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daniel.romero\OneDrive - Instituto Colombiano Agropecuario (1)\SAD\2022\Solicitudes de contratación\Licitación pública\Reactivos y Elementos\Nuevo proceso\"/>
    </mc:Choice>
  </mc:AlternateContent>
  <bookViews>
    <workbookView xWindow="0" yWindow="0" windowWidth="28800" windowHeight="12480" firstSheet="1" activeTab="2"/>
  </bookViews>
  <sheets>
    <sheet name="Reactivos" sheetId="1" state="hidden" r:id="rId1"/>
    <sheet name="LP Reactivos" sheetId="9" r:id="rId2"/>
    <sheet name="Análisis Estadistico Reactivos" sheetId="10" r:id="rId3"/>
    <sheet name="LP Elementos" sheetId="8" r:id="rId4"/>
    <sheet name="Análisis estadístico elementos" sheetId="11" r:id="rId5"/>
    <sheet name="Elementos" sheetId="2" state="hidden" r:id="rId6"/>
    <sheet name="ESTADO proceso " sheetId="7" state="hidden" r:id="rId7"/>
  </sheets>
  <definedNames>
    <definedName name="_xlnm._FilterDatabase" localSheetId="4" hidden="1">'Análisis estadístico elementos'!$A$2:$O$634</definedName>
    <definedName name="_xlnm._FilterDatabase" localSheetId="2" hidden="1">'Análisis Estadistico Reactivos'!$B$2:$M$677</definedName>
    <definedName name="_xlnm._FilterDatabase" localSheetId="5" hidden="1">Elementos!$A$2:$EH$2</definedName>
    <definedName name="_xlnm._FilterDatabase" localSheetId="3" hidden="1">'LP Elementos'!$A$2:$DB$634</definedName>
    <definedName name="_xlnm._FilterDatabase" localSheetId="1" hidden="1">'LP Reactivos'!$A$2:$DG$677</definedName>
    <definedName name="_xlnm._FilterDatabase" localSheetId="0" hidden="1">Reactivos!$A$2:$FJ$805</definedName>
    <definedName name="agricola">Reactivos!$B:$C</definedName>
    <definedName name="dani">#REF!</definedName>
    <definedName name="EURO">'LP Elementos'!$B$15</definedName>
    <definedName name="TRM">'LP Elementos'!$B$14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Z570" i="9" l="1"/>
  <c r="AZ74" i="8" l="1"/>
  <c r="BA74" i="8" s="1"/>
  <c r="BB74" i="8" s="1"/>
  <c r="G101" i="8"/>
  <c r="H101" i="8" s="1"/>
  <c r="I101" i="8" s="1"/>
  <c r="L669" i="10"/>
  <c r="L668" i="10"/>
  <c r="L665" i="10"/>
  <c r="L663" i="10"/>
  <c r="L662" i="10"/>
  <c r="L661" i="10"/>
  <c r="L660" i="10"/>
  <c r="L659" i="10"/>
  <c r="L658" i="10"/>
  <c r="L657" i="10"/>
  <c r="L656" i="10"/>
  <c r="L655" i="10"/>
  <c r="L654" i="10"/>
  <c r="L653" i="10"/>
  <c r="L651" i="10"/>
  <c r="L650" i="10"/>
  <c r="L649" i="10"/>
  <c r="L648" i="10"/>
  <c r="L647" i="10"/>
  <c r="L646" i="10"/>
  <c r="L645" i="10"/>
  <c r="L644" i="10"/>
  <c r="L642" i="10"/>
  <c r="L640" i="10"/>
  <c r="L635" i="10"/>
  <c r="L633" i="10"/>
  <c r="L630" i="10"/>
  <c r="L625" i="10"/>
  <c r="L624" i="10"/>
  <c r="L621" i="10"/>
  <c r="L619" i="10"/>
  <c r="L617" i="10"/>
  <c r="L616" i="10"/>
  <c r="L609" i="10"/>
  <c r="L604" i="10"/>
  <c r="L602" i="10"/>
  <c r="L590" i="10"/>
  <c r="L588" i="10"/>
  <c r="L583" i="10"/>
  <c r="L582" i="10"/>
  <c r="L581" i="10"/>
  <c r="L580" i="10"/>
  <c r="L579" i="10"/>
  <c r="L578" i="10"/>
  <c r="L577" i="10"/>
  <c r="L576" i="10"/>
  <c r="L575" i="10"/>
  <c r="L574" i="10"/>
  <c r="L573" i="10"/>
  <c r="L571" i="10"/>
  <c r="L560" i="10"/>
  <c r="L554" i="10"/>
  <c r="L553" i="10"/>
  <c r="L552" i="10"/>
  <c r="L546" i="10"/>
  <c r="L545" i="10"/>
  <c r="L544" i="10"/>
  <c r="L543" i="10"/>
  <c r="L542" i="10"/>
  <c r="L541" i="10"/>
  <c r="L540" i="10"/>
  <c r="L532" i="10"/>
  <c r="L531" i="10"/>
  <c r="L527" i="10"/>
  <c r="L526" i="10"/>
  <c r="L524" i="10"/>
  <c r="L523" i="10"/>
  <c r="L522" i="10"/>
  <c r="L511" i="10"/>
  <c r="L510" i="10"/>
  <c r="L508" i="10"/>
  <c r="L506" i="10"/>
  <c r="L505" i="10"/>
  <c r="L503" i="10"/>
  <c r="L502" i="10"/>
  <c r="L493" i="10"/>
  <c r="L488" i="10"/>
  <c r="L487" i="10"/>
  <c r="L486" i="10"/>
  <c r="L480" i="10"/>
  <c r="L477" i="10"/>
  <c r="L476" i="10"/>
  <c r="L475" i="10"/>
  <c r="L474" i="10"/>
  <c r="L472" i="10"/>
  <c r="L471" i="10"/>
  <c r="L470" i="10"/>
  <c r="L469" i="10"/>
  <c r="L468" i="10"/>
  <c r="L467" i="10"/>
  <c r="L466" i="10"/>
  <c r="L464" i="10"/>
  <c r="L460" i="10"/>
  <c r="L459" i="10"/>
  <c r="L457" i="10"/>
  <c r="L456" i="10"/>
  <c r="L455" i="10"/>
  <c r="L454" i="10"/>
  <c r="L453" i="10"/>
  <c r="L452" i="10"/>
  <c r="L451" i="10"/>
  <c r="L450" i="10"/>
  <c r="L449" i="10"/>
  <c r="L447" i="10"/>
  <c r="L437" i="10"/>
  <c r="L432" i="10"/>
  <c r="L430" i="10"/>
  <c r="L429" i="10"/>
  <c r="L428" i="10"/>
  <c r="L427" i="10"/>
  <c r="L424" i="10"/>
  <c r="L423" i="10"/>
  <c r="L422" i="10"/>
  <c r="L412" i="10"/>
  <c r="L411" i="10"/>
  <c r="L410" i="10"/>
  <c r="L409" i="10"/>
  <c r="L408" i="10"/>
  <c r="L404" i="10"/>
  <c r="L403" i="10"/>
  <c r="L402" i="10"/>
  <c r="L401" i="10"/>
  <c r="L400" i="10"/>
  <c r="L398" i="10"/>
  <c r="L397" i="10"/>
  <c r="L396" i="10"/>
  <c r="L395" i="10"/>
  <c r="L394" i="10"/>
  <c r="L393" i="10"/>
  <c r="L392" i="10"/>
  <c r="L388" i="10"/>
  <c r="L385" i="10"/>
  <c r="L384" i="10"/>
  <c r="L378" i="10"/>
  <c r="L377" i="10"/>
  <c r="L376" i="10"/>
  <c r="L371" i="10"/>
  <c r="L370" i="10"/>
  <c r="L369" i="10"/>
  <c r="L367" i="10"/>
  <c r="L366" i="10"/>
  <c r="L365" i="10"/>
  <c r="L361" i="10"/>
  <c r="L360" i="10"/>
  <c r="L359" i="10"/>
  <c r="L356" i="10"/>
  <c r="L354" i="10"/>
  <c r="L351" i="10"/>
  <c r="L350" i="10"/>
  <c r="L349" i="10"/>
  <c r="L348" i="10"/>
  <c r="L347" i="10"/>
  <c r="L343" i="10"/>
  <c r="L336" i="10"/>
  <c r="L335" i="10"/>
  <c r="L333" i="10"/>
  <c r="L329" i="10"/>
  <c r="L316" i="10"/>
  <c r="L315" i="10"/>
  <c r="L314" i="10"/>
  <c r="L313" i="10"/>
  <c r="L312" i="10"/>
  <c r="L309" i="10"/>
  <c r="L308" i="10"/>
  <c r="L307" i="10"/>
  <c r="L306" i="10"/>
  <c r="L299" i="10"/>
  <c r="L298" i="10"/>
  <c r="L297" i="10"/>
  <c r="L296" i="10"/>
  <c r="L293" i="10"/>
  <c r="L292" i="10"/>
  <c r="L289" i="10"/>
  <c r="L287" i="10"/>
  <c r="L286" i="10"/>
  <c r="L285" i="10"/>
  <c r="L284" i="10"/>
  <c r="L283" i="10"/>
  <c r="L282" i="10"/>
  <c r="L281" i="10"/>
  <c r="L278" i="10"/>
  <c r="L276" i="10"/>
  <c r="L275" i="10"/>
  <c r="L274" i="10"/>
  <c r="L271" i="10"/>
  <c r="L270" i="10"/>
  <c r="L269" i="10"/>
  <c r="L267" i="10"/>
  <c r="L266" i="10"/>
  <c r="L265" i="10"/>
  <c r="L264" i="10"/>
  <c r="L263" i="10"/>
  <c r="L262" i="10"/>
  <c r="L261" i="10"/>
  <c r="L260" i="10"/>
  <c r="L259" i="10"/>
  <c r="L258" i="10"/>
  <c r="L257" i="10"/>
  <c r="L255" i="10"/>
  <c r="L254" i="10"/>
  <c r="L253" i="10"/>
  <c r="L252" i="10"/>
  <c r="L251" i="10"/>
  <c r="L250" i="10"/>
  <c r="L249" i="10"/>
  <c r="L244" i="10"/>
  <c r="L237" i="10"/>
  <c r="L235" i="10"/>
  <c r="L234" i="10"/>
  <c r="L233" i="10"/>
  <c r="L232" i="10"/>
  <c r="L229" i="10"/>
  <c r="L227" i="10"/>
  <c r="L226" i="10"/>
  <c r="L223" i="10"/>
  <c r="L218" i="10"/>
  <c r="L214" i="10"/>
  <c r="L212" i="10"/>
  <c r="L207" i="10"/>
  <c r="L206" i="10"/>
  <c r="L205" i="10"/>
  <c r="L203" i="10"/>
  <c r="L202" i="10"/>
  <c r="L201" i="10"/>
  <c r="L200" i="10"/>
  <c r="L199" i="10"/>
  <c r="L189" i="10"/>
  <c r="L188" i="10"/>
  <c r="L186" i="10"/>
  <c r="L178" i="10"/>
  <c r="L173" i="10"/>
  <c r="L172" i="10"/>
  <c r="L171" i="10"/>
  <c r="L170" i="10"/>
  <c r="L169" i="10"/>
  <c r="L167" i="10"/>
  <c r="L164" i="10"/>
  <c r="L163" i="10"/>
  <c r="L159" i="10"/>
  <c r="L151" i="10"/>
  <c r="L146" i="10"/>
  <c r="L144" i="10"/>
  <c r="L143" i="10"/>
  <c r="L142" i="10"/>
  <c r="L141" i="10"/>
  <c r="L140" i="10"/>
  <c r="L139" i="10"/>
  <c r="L138" i="10"/>
  <c r="L136" i="10"/>
  <c r="L135" i="10"/>
  <c r="L133" i="10"/>
  <c r="L132" i="10"/>
  <c r="L131" i="10"/>
  <c r="L130" i="10"/>
  <c r="L129" i="10"/>
  <c r="L128" i="10"/>
  <c r="L127" i="10"/>
  <c r="L126" i="10"/>
  <c r="L125" i="10"/>
  <c r="L123" i="10"/>
  <c r="L122" i="10"/>
  <c r="L117" i="10"/>
  <c r="L116" i="10"/>
  <c r="L115" i="10"/>
  <c r="L110" i="10"/>
  <c r="L109" i="10"/>
  <c r="L108" i="10"/>
  <c r="L107" i="10"/>
  <c r="L106" i="10"/>
  <c r="L105" i="10"/>
  <c r="L104" i="10"/>
  <c r="L103" i="10"/>
  <c r="L102" i="10"/>
  <c r="L101" i="10"/>
  <c r="L100" i="10"/>
  <c r="L99" i="10"/>
  <c r="L98" i="10"/>
  <c r="L97" i="10"/>
  <c r="L96" i="10"/>
  <c r="L95" i="10"/>
  <c r="L94" i="10"/>
  <c r="L93" i="10"/>
  <c r="L91" i="10"/>
  <c r="L90" i="10"/>
  <c r="L87" i="10"/>
  <c r="L86" i="10"/>
  <c r="L85" i="10"/>
  <c r="L81" i="10"/>
  <c r="L77" i="10"/>
  <c r="L76" i="10"/>
  <c r="L74" i="10"/>
  <c r="L73" i="10"/>
  <c r="L72" i="10"/>
  <c r="L70" i="10"/>
  <c r="L68" i="10"/>
  <c r="L57" i="10"/>
  <c r="L35" i="10"/>
  <c r="L30" i="10"/>
  <c r="L10" i="10"/>
  <c r="L9" i="10"/>
  <c r="L7" i="10"/>
  <c r="L6" i="10"/>
  <c r="L5" i="10"/>
  <c r="L3" i="10"/>
  <c r="G669" i="10"/>
  <c r="F669" i="10"/>
  <c r="E669" i="10"/>
  <c r="G668" i="10"/>
  <c r="F668" i="10"/>
  <c r="E668" i="10"/>
  <c r="G665" i="10"/>
  <c r="F665" i="10"/>
  <c r="E665" i="10"/>
  <c r="G663" i="10"/>
  <c r="F663" i="10"/>
  <c r="E663" i="10"/>
  <c r="G662" i="10"/>
  <c r="F662" i="10"/>
  <c r="E662" i="10"/>
  <c r="G661" i="10"/>
  <c r="F661" i="10"/>
  <c r="E661" i="10"/>
  <c r="G660" i="10"/>
  <c r="F660" i="10"/>
  <c r="E660" i="10"/>
  <c r="G659" i="10"/>
  <c r="F659" i="10"/>
  <c r="E659" i="10"/>
  <c r="G658" i="10"/>
  <c r="F658" i="10"/>
  <c r="E658" i="10"/>
  <c r="G657" i="10"/>
  <c r="F657" i="10"/>
  <c r="E657" i="10"/>
  <c r="G656" i="10"/>
  <c r="F656" i="10"/>
  <c r="E656" i="10"/>
  <c r="G655" i="10"/>
  <c r="F655" i="10"/>
  <c r="E655" i="10"/>
  <c r="G654" i="10"/>
  <c r="F654" i="10"/>
  <c r="E654" i="10"/>
  <c r="G653" i="10"/>
  <c r="F653" i="10"/>
  <c r="E653" i="10"/>
  <c r="G651" i="10"/>
  <c r="F651" i="10"/>
  <c r="E651" i="10"/>
  <c r="G650" i="10"/>
  <c r="F650" i="10"/>
  <c r="E650" i="10"/>
  <c r="G649" i="10"/>
  <c r="F649" i="10"/>
  <c r="E649" i="10"/>
  <c r="G648" i="10"/>
  <c r="F648" i="10"/>
  <c r="E648" i="10"/>
  <c r="G647" i="10"/>
  <c r="F647" i="10"/>
  <c r="E647" i="10"/>
  <c r="G646" i="10"/>
  <c r="F646" i="10"/>
  <c r="E646" i="10"/>
  <c r="G645" i="10"/>
  <c r="F645" i="10"/>
  <c r="E645" i="10"/>
  <c r="G644" i="10"/>
  <c r="F644" i="10"/>
  <c r="E644" i="10"/>
  <c r="G642" i="10"/>
  <c r="F642" i="10"/>
  <c r="E642" i="10"/>
  <c r="G640" i="10"/>
  <c r="F640" i="10"/>
  <c r="E640" i="10"/>
  <c r="G635" i="10"/>
  <c r="F635" i="10"/>
  <c r="E635" i="10"/>
  <c r="G633" i="10"/>
  <c r="F633" i="10"/>
  <c r="E633" i="10"/>
  <c r="G630" i="10"/>
  <c r="F630" i="10"/>
  <c r="E630" i="10"/>
  <c r="G625" i="10"/>
  <c r="F625" i="10"/>
  <c r="E625" i="10"/>
  <c r="G624" i="10"/>
  <c r="F624" i="10"/>
  <c r="E624" i="10"/>
  <c r="G621" i="10"/>
  <c r="F621" i="10"/>
  <c r="E621" i="10"/>
  <c r="G619" i="10"/>
  <c r="F619" i="10"/>
  <c r="E619" i="10"/>
  <c r="G617" i="10"/>
  <c r="F617" i="10"/>
  <c r="E617" i="10"/>
  <c r="G616" i="10"/>
  <c r="F616" i="10"/>
  <c r="E616" i="10"/>
  <c r="G609" i="10"/>
  <c r="F609" i="10"/>
  <c r="E609" i="10"/>
  <c r="G604" i="10"/>
  <c r="F604" i="10"/>
  <c r="E604" i="10"/>
  <c r="G602" i="10"/>
  <c r="F602" i="10"/>
  <c r="E602" i="10"/>
  <c r="G590" i="10"/>
  <c r="F590" i="10"/>
  <c r="E590" i="10"/>
  <c r="G588" i="10"/>
  <c r="F588" i="10"/>
  <c r="E588" i="10"/>
  <c r="G583" i="10"/>
  <c r="F583" i="10"/>
  <c r="E583" i="10"/>
  <c r="G582" i="10"/>
  <c r="F582" i="10"/>
  <c r="E582" i="10"/>
  <c r="G581" i="10"/>
  <c r="F581" i="10"/>
  <c r="E581" i="10"/>
  <c r="G580" i="10"/>
  <c r="F580" i="10"/>
  <c r="E580" i="10"/>
  <c r="G579" i="10"/>
  <c r="F579" i="10"/>
  <c r="E579" i="10"/>
  <c r="G578" i="10"/>
  <c r="F578" i="10"/>
  <c r="E578" i="10"/>
  <c r="G577" i="10"/>
  <c r="F577" i="10"/>
  <c r="E577" i="10"/>
  <c r="G576" i="10"/>
  <c r="F576" i="10"/>
  <c r="E576" i="10"/>
  <c r="G575" i="10"/>
  <c r="F575" i="10"/>
  <c r="E575" i="10"/>
  <c r="G574" i="10"/>
  <c r="F574" i="10"/>
  <c r="E574" i="10"/>
  <c r="G573" i="10"/>
  <c r="F573" i="10"/>
  <c r="E573" i="10"/>
  <c r="G571" i="10"/>
  <c r="F571" i="10"/>
  <c r="E571" i="10"/>
  <c r="G560" i="10"/>
  <c r="F560" i="10"/>
  <c r="E560" i="10"/>
  <c r="G554" i="10"/>
  <c r="F554" i="10"/>
  <c r="E554" i="10"/>
  <c r="G553" i="10"/>
  <c r="F553" i="10"/>
  <c r="E553" i="10"/>
  <c r="G552" i="10"/>
  <c r="F552" i="10"/>
  <c r="E552" i="10"/>
  <c r="G546" i="10"/>
  <c r="F546" i="10"/>
  <c r="E546" i="10"/>
  <c r="G545" i="10"/>
  <c r="F545" i="10"/>
  <c r="E545" i="10"/>
  <c r="G544" i="10"/>
  <c r="F544" i="10"/>
  <c r="E544" i="10"/>
  <c r="G543" i="10"/>
  <c r="F543" i="10"/>
  <c r="E543" i="10"/>
  <c r="G542" i="10"/>
  <c r="F542" i="10"/>
  <c r="E542" i="10"/>
  <c r="G541" i="10"/>
  <c r="F541" i="10"/>
  <c r="E541" i="10"/>
  <c r="G540" i="10"/>
  <c r="F540" i="10"/>
  <c r="E540" i="10"/>
  <c r="G532" i="10"/>
  <c r="F532" i="10"/>
  <c r="E532" i="10"/>
  <c r="G531" i="10"/>
  <c r="F531" i="10"/>
  <c r="E531" i="10"/>
  <c r="G527" i="10"/>
  <c r="F527" i="10"/>
  <c r="E527" i="10"/>
  <c r="G526" i="10"/>
  <c r="F526" i="10"/>
  <c r="E526" i="10"/>
  <c r="G524" i="10"/>
  <c r="F524" i="10"/>
  <c r="E524" i="10"/>
  <c r="G523" i="10"/>
  <c r="F523" i="10"/>
  <c r="E523" i="10"/>
  <c r="G522" i="10"/>
  <c r="F522" i="10"/>
  <c r="E522" i="10"/>
  <c r="G511" i="10"/>
  <c r="F511" i="10"/>
  <c r="E511" i="10"/>
  <c r="G510" i="10"/>
  <c r="F510" i="10"/>
  <c r="E510" i="10"/>
  <c r="G508" i="10"/>
  <c r="F508" i="10"/>
  <c r="E508" i="10"/>
  <c r="G506" i="10"/>
  <c r="F506" i="10"/>
  <c r="E506" i="10"/>
  <c r="G505" i="10"/>
  <c r="F505" i="10"/>
  <c r="E505" i="10"/>
  <c r="G503" i="10"/>
  <c r="F503" i="10"/>
  <c r="E503" i="10"/>
  <c r="G502" i="10"/>
  <c r="F502" i="10"/>
  <c r="E502" i="10"/>
  <c r="G493" i="10"/>
  <c r="F493" i="10"/>
  <c r="E493" i="10"/>
  <c r="G488" i="10"/>
  <c r="F488" i="10"/>
  <c r="E488" i="10"/>
  <c r="G487" i="10"/>
  <c r="F487" i="10"/>
  <c r="E487" i="10"/>
  <c r="G486" i="10"/>
  <c r="F486" i="10"/>
  <c r="E486" i="10"/>
  <c r="G480" i="10"/>
  <c r="F480" i="10"/>
  <c r="E480" i="10"/>
  <c r="G477" i="10"/>
  <c r="F477" i="10"/>
  <c r="E477" i="10"/>
  <c r="G476" i="10"/>
  <c r="F476" i="10"/>
  <c r="E476" i="10"/>
  <c r="G475" i="10"/>
  <c r="F475" i="10"/>
  <c r="E475" i="10"/>
  <c r="G474" i="10"/>
  <c r="F474" i="10"/>
  <c r="E474" i="10"/>
  <c r="G472" i="10"/>
  <c r="F472" i="10"/>
  <c r="E472" i="10"/>
  <c r="G471" i="10"/>
  <c r="F471" i="10"/>
  <c r="E471" i="10"/>
  <c r="G470" i="10"/>
  <c r="F470" i="10"/>
  <c r="E470" i="10"/>
  <c r="G469" i="10"/>
  <c r="F469" i="10"/>
  <c r="E469" i="10"/>
  <c r="G468" i="10"/>
  <c r="F468" i="10"/>
  <c r="E468" i="10"/>
  <c r="G467" i="10"/>
  <c r="F467" i="10"/>
  <c r="E467" i="10"/>
  <c r="G466" i="10"/>
  <c r="F466" i="10"/>
  <c r="E466" i="10"/>
  <c r="G464" i="10"/>
  <c r="F464" i="10"/>
  <c r="E464" i="10"/>
  <c r="G460" i="10"/>
  <c r="F460" i="10"/>
  <c r="E460" i="10"/>
  <c r="G459" i="10"/>
  <c r="F459" i="10"/>
  <c r="E459" i="10"/>
  <c r="G457" i="10"/>
  <c r="F457" i="10"/>
  <c r="E457" i="10"/>
  <c r="G456" i="10"/>
  <c r="F456" i="10"/>
  <c r="E456" i="10"/>
  <c r="G455" i="10"/>
  <c r="F455" i="10"/>
  <c r="E455" i="10"/>
  <c r="G454" i="10"/>
  <c r="F454" i="10"/>
  <c r="E454" i="10"/>
  <c r="G453" i="10"/>
  <c r="F453" i="10"/>
  <c r="E453" i="10"/>
  <c r="G452" i="10"/>
  <c r="F452" i="10"/>
  <c r="E452" i="10"/>
  <c r="G451" i="10"/>
  <c r="F451" i="10"/>
  <c r="E451" i="10"/>
  <c r="G450" i="10"/>
  <c r="F450" i="10"/>
  <c r="E450" i="10"/>
  <c r="G449" i="10"/>
  <c r="F449" i="10"/>
  <c r="E449" i="10"/>
  <c r="G447" i="10"/>
  <c r="F447" i="10"/>
  <c r="E447" i="10"/>
  <c r="G437" i="10"/>
  <c r="F437" i="10"/>
  <c r="E437" i="10"/>
  <c r="G432" i="10"/>
  <c r="F432" i="10"/>
  <c r="E432" i="10"/>
  <c r="G430" i="10"/>
  <c r="F430" i="10"/>
  <c r="E430" i="10"/>
  <c r="G429" i="10"/>
  <c r="F429" i="10"/>
  <c r="E429" i="10"/>
  <c r="G428" i="10"/>
  <c r="F428" i="10"/>
  <c r="E428" i="10"/>
  <c r="G427" i="10"/>
  <c r="F427" i="10"/>
  <c r="E427" i="10"/>
  <c r="G424" i="10"/>
  <c r="F424" i="10"/>
  <c r="E424" i="10"/>
  <c r="G423" i="10"/>
  <c r="F423" i="10"/>
  <c r="E423" i="10"/>
  <c r="G422" i="10"/>
  <c r="F422" i="10"/>
  <c r="E422" i="10"/>
  <c r="G412" i="10"/>
  <c r="F412" i="10"/>
  <c r="E412" i="10"/>
  <c r="G411" i="10"/>
  <c r="F411" i="10"/>
  <c r="E411" i="10"/>
  <c r="G410" i="10"/>
  <c r="F410" i="10"/>
  <c r="E410" i="10"/>
  <c r="G409" i="10"/>
  <c r="F409" i="10"/>
  <c r="E409" i="10"/>
  <c r="G408" i="10"/>
  <c r="F408" i="10"/>
  <c r="E408" i="10"/>
  <c r="G404" i="10"/>
  <c r="F404" i="10"/>
  <c r="E404" i="10"/>
  <c r="G403" i="10"/>
  <c r="F403" i="10"/>
  <c r="E403" i="10"/>
  <c r="G402" i="10"/>
  <c r="F402" i="10"/>
  <c r="E402" i="10"/>
  <c r="G401" i="10"/>
  <c r="F401" i="10"/>
  <c r="E401" i="10"/>
  <c r="G400" i="10"/>
  <c r="F400" i="10"/>
  <c r="E400" i="10"/>
  <c r="G398" i="10"/>
  <c r="F398" i="10"/>
  <c r="E398" i="10"/>
  <c r="G397" i="10"/>
  <c r="F397" i="10"/>
  <c r="E397" i="10"/>
  <c r="G396" i="10"/>
  <c r="F396" i="10"/>
  <c r="E396" i="10"/>
  <c r="G395" i="10"/>
  <c r="F395" i="10"/>
  <c r="E395" i="10"/>
  <c r="G394" i="10"/>
  <c r="F394" i="10"/>
  <c r="E394" i="10"/>
  <c r="G393" i="10"/>
  <c r="F393" i="10"/>
  <c r="E393" i="10"/>
  <c r="G392" i="10"/>
  <c r="F392" i="10"/>
  <c r="E392" i="10"/>
  <c r="G388" i="10"/>
  <c r="F388" i="10"/>
  <c r="E388" i="10"/>
  <c r="G385" i="10"/>
  <c r="F385" i="10"/>
  <c r="E385" i="10"/>
  <c r="G384" i="10"/>
  <c r="F384" i="10"/>
  <c r="E384" i="10"/>
  <c r="G378" i="10"/>
  <c r="F378" i="10"/>
  <c r="E378" i="10"/>
  <c r="G377" i="10"/>
  <c r="F377" i="10"/>
  <c r="E377" i="10"/>
  <c r="G376" i="10"/>
  <c r="F376" i="10"/>
  <c r="E376" i="10"/>
  <c r="G371" i="10"/>
  <c r="F371" i="10"/>
  <c r="E371" i="10"/>
  <c r="G370" i="10"/>
  <c r="F370" i="10"/>
  <c r="E370" i="10"/>
  <c r="G369" i="10"/>
  <c r="F369" i="10"/>
  <c r="E369" i="10"/>
  <c r="G367" i="10"/>
  <c r="F367" i="10"/>
  <c r="E367" i="10"/>
  <c r="G366" i="10"/>
  <c r="F366" i="10"/>
  <c r="E366" i="10"/>
  <c r="G365" i="10"/>
  <c r="F365" i="10"/>
  <c r="E365" i="10"/>
  <c r="G361" i="10"/>
  <c r="F361" i="10"/>
  <c r="E361" i="10"/>
  <c r="G360" i="10"/>
  <c r="F360" i="10"/>
  <c r="E360" i="10"/>
  <c r="G359" i="10"/>
  <c r="F359" i="10"/>
  <c r="E359" i="10"/>
  <c r="G356" i="10"/>
  <c r="F356" i="10"/>
  <c r="E356" i="10"/>
  <c r="G354" i="10"/>
  <c r="F354" i="10"/>
  <c r="E354" i="10"/>
  <c r="G351" i="10"/>
  <c r="F351" i="10"/>
  <c r="E351" i="10"/>
  <c r="G350" i="10"/>
  <c r="F350" i="10"/>
  <c r="E350" i="10"/>
  <c r="G349" i="10"/>
  <c r="F349" i="10"/>
  <c r="E349" i="10"/>
  <c r="G348" i="10"/>
  <c r="F348" i="10"/>
  <c r="E348" i="10"/>
  <c r="G347" i="10"/>
  <c r="F347" i="10"/>
  <c r="E347" i="10"/>
  <c r="G343" i="10"/>
  <c r="F343" i="10"/>
  <c r="E343" i="10"/>
  <c r="G336" i="10"/>
  <c r="F336" i="10"/>
  <c r="E336" i="10"/>
  <c r="G335" i="10"/>
  <c r="F335" i="10"/>
  <c r="E335" i="10"/>
  <c r="G333" i="10"/>
  <c r="F333" i="10"/>
  <c r="E333" i="10"/>
  <c r="G329" i="10"/>
  <c r="F329" i="10"/>
  <c r="E329" i="10"/>
  <c r="G316" i="10"/>
  <c r="F316" i="10"/>
  <c r="E316" i="10"/>
  <c r="G315" i="10"/>
  <c r="F315" i="10"/>
  <c r="E315" i="10"/>
  <c r="G314" i="10"/>
  <c r="F314" i="10"/>
  <c r="E314" i="10"/>
  <c r="G313" i="10"/>
  <c r="F313" i="10"/>
  <c r="E313" i="10"/>
  <c r="G312" i="10"/>
  <c r="F312" i="10"/>
  <c r="E312" i="10"/>
  <c r="G309" i="10"/>
  <c r="F309" i="10"/>
  <c r="E309" i="10"/>
  <c r="G308" i="10"/>
  <c r="F308" i="10"/>
  <c r="E308" i="10"/>
  <c r="G307" i="10"/>
  <c r="F307" i="10"/>
  <c r="E307" i="10"/>
  <c r="G306" i="10"/>
  <c r="F306" i="10"/>
  <c r="E306" i="10"/>
  <c r="G299" i="10"/>
  <c r="F299" i="10"/>
  <c r="E299" i="10"/>
  <c r="G298" i="10"/>
  <c r="F298" i="10"/>
  <c r="E298" i="10"/>
  <c r="G297" i="10"/>
  <c r="F297" i="10"/>
  <c r="E297" i="10"/>
  <c r="G296" i="10"/>
  <c r="F296" i="10"/>
  <c r="E296" i="10"/>
  <c r="G293" i="10"/>
  <c r="F293" i="10"/>
  <c r="E293" i="10"/>
  <c r="G292" i="10"/>
  <c r="F292" i="10"/>
  <c r="E292" i="10"/>
  <c r="G289" i="10"/>
  <c r="F289" i="10"/>
  <c r="E289" i="10"/>
  <c r="G287" i="10"/>
  <c r="F287" i="10"/>
  <c r="E287" i="10"/>
  <c r="G286" i="10"/>
  <c r="F286" i="10"/>
  <c r="E286" i="10"/>
  <c r="G285" i="10"/>
  <c r="F285" i="10"/>
  <c r="E285" i="10"/>
  <c r="G284" i="10"/>
  <c r="F284" i="10"/>
  <c r="E284" i="10"/>
  <c r="G283" i="10"/>
  <c r="F283" i="10"/>
  <c r="E283" i="10"/>
  <c r="G282" i="10"/>
  <c r="F282" i="10"/>
  <c r="E282" i="10"/>
  <c r="G281" i="10"/>
  <c r="F281" i="10"/>
  <c r="E281" i="10"/>
  <c r="G278" i="10"/>
  <c r="F278" i="10"/>
  <c r="E278" i="10"/>
  <c r="G276" i="10"/>
  <c r="F276" i="10"/>
  <c r="E276" i="10"/>
  <c r="G275" i="10"/>
  <c r="F275" i="10"/>
  <c r="E275" i="10"/>
  <c r="G274" i="10"/>
  <c r="F274" i="10"/>
  <c r="E274" i="10"/>
  <c r="G271" i="10"/>
  <c r="F271" i="10"/>
  <c r="E271" i="10"/>
  <c r="G270" i="10"/>
  <c r="F270" i="10"/>
  <c r="E270" i="10"/>
  <c r="G269" i="10"/>
  <c r="F269" i="10"/>
  <c r="E269" i="10"/>
  <c r="G267" i="10"/>
  <c r="F267" i="10"/>
  <c r="E267" i="10"/>
  <c r="G266" i="10"/>
  <c r="F266" i="10"/>
  <c r="E266" i="10"/>
  <c r="G265" i="10"/>
  <c r="F265" i="10"/>
  <c r="E265" i="10"/>
  <c r="G264" i="10"/>
  <c r="F264" i="10"/>
  <c r="E264" i="10"/>
  <c r="G263" i="10"/>
  <c r="F263" i="10"/>
  <c r="E263" i="10"/>
  <c r="G262" i="10"/>
  <c r="F262" i="10"/>
  <c r="E262" i="10"/>
  <c r="G261" i="10"/>
  <c r="F261" i="10"/>
  <c r="E261" i="10"/>
  <c r="G260" i="10"/>
  <c r="F260" i="10"/>
  <c r="E260" i="10"/>
  <c r="G259" i="10"/>
  <c r="F259" i="10"/>
  <c r="E259" i="10"/>
  <c r="G258" i="10"/>
  <c r="F258" i="10"/>
  <c r="E258" i="10"/>
  <c r="G257" i="10"/>
  <c r="F257" i="10"/>
  <c r="E257" i="10"/>
  <c r="G255" i="10"/>
  <c r="F255" i="10"/>
  <c r="E255" i="10"/>
  <c r="G254" i="10"/>
  <c r="F254" i="10"/>
  <c r="E254" i="10"/>
  <c r="G253" i="10"/>
  <c r="F253" i="10"/>
  <c r="E253" i="10"/>
  <c r="G252" i="10"/>
  <c r="F252" i="10"/>
  <c r="E252" i="10"/>
  <c r="G251" i="10"/>
  <c r="F251" i="10"/>
  <c r="E251" i="10"/>
  <c r="G250" i="10"/>
  <c r="F250" i="10"/>
  <c r="E250" i="10"/>
  <c r="G249" i="10"/>
  <c r="F249" i="10"/>
  <c r="E249" i="10"/>
  <c r="G244" i="10"/>
  <c r="F244" i="10"/>
  <c r="E244" i="10"/>
  <c r="G237" i="10"/>
  <c r="F237" i="10"/>
  <c r="E237" i="10"/>
  <c r="G235" i="10"/>
  <c r="F235" i="10"/>
  <c r="E235" i="10"/>
  <c r="G234" i="10"/>
  <c r="F234" i="10"/>
  <c r="E234" i="10"/>
  <c r="G233" i="10"/>
  <c r="F233" i="10"/>
  <c r="E233" i="10"/>
  <c r="G232" i="10"/>
  <c r="F232" i="10"/>
  <c r="E232" i="10"/>
  <c r="G229" i="10"/>
  <c r="F229" i="10"/>
  <c r="E229" i="10"/>
  <c r="G227" i="10"/>
  <c r="F227" i="10"/>
  <c r="E227" i="10"/>
  <c r="G226" i="10"/>
  <c r="F226" i="10"/>
  <c r="E226" i="10"/>
  <c r="G223" i="10"/>
  <c r="F223" i="10"/>
  <c r="E223" i="10"/>
  <c r="G218" i="10"/>
  <c r="F218" i="10"/>
  <c r="E218" i="10"/>
  <c r="G214" i="10"/>
  <c r="F214" i="10"/>
  <c r="E214" i="10"/>
  <c r="G212" i="10"/>
  <c r="F212" i="10"/>
  <c r="E212" i="10"/>
  <c r="G207" i="10"/>
  <c r="F207" i="10"/>
  <c r="E207" i="10"/>
  <c r="G206" i="10"/>
  <c r="F206" i="10"/>
  <c r="E206" i="10"/>
  <c r="G205" i="10"/>
  <c r="F205" i="10"/>
  <c r="E205" i="10"/>
  <c r="G203" i="10"/>
  <c r="F203" i="10"/>
  <c r="E203" i="10"/>
  <c r="G202" i="10"/>
  <c r="F202" i="10"/>
  <c r="E202" i="10"/>
  <c r="G201" i="10"/>
  <c r="F201" i="10"/>
  <c r="E201" i="10"/>
  <c r="G200" i="10"/>
  <c r="F200" i="10"/>
  <c r="E200" i="10"/>
  <c r="G199" i="10"/>
  <c r="F199" i="10"/>
  <c r="E199" i="10"/>
  <c r="G189" i="10"/>
  <c r="F189" i="10"/>
  <c r="E189" i="10"/>
  <c r="G188" i="10"/>
  <c r="F188" i="10"/>
  <c r="E188" i="10"/>
  <c r="G186" i="10"/>
  <c r="F186" i="10"/>
  <c r="E186" i="10"/>
  <c r="G178" i="10"/>
  <c r="F178" i="10"/>
  <c r="E178" i="10"/>
  <c r="G173" i="10"/>
  <c r="F173" i="10"/>
  <c r="E173" i="10"/>
  <c r="G172" i="10"/>
  <c r="F172" i="10"/>
  <c r="E172" i="10"/>
  <c r="G171" i="10"/>
  <c r="F171" i="10"/>
  <c r="E171" i="10"/>
  <c r="G170" i="10"/>
  <c r="F170" i="10"/>
  <c r="E170" i="10"/>
  <c r="G169" i="10"/>
  <c r="F169" i="10"/>
  <c r="E169" i="10"/>
  <c r="G167" i="10"/>
  <c r="F167" i="10"/>
  <c r="E167" i="10"/>
  <c r="G164" i="10"/>
  <c r="F164" i="10"/>
  <c r="E164" i="10"/>
  <c r="G163" i="10"/>
  <c r="F163" i="10"/>
  <c r="E163" i="10"/>
  <c r="G159" i="10"/>
  <c r="F159" i="10"/>
  <c r="E159" i="10"/>
  <c r="G151" i="10"/>
  <c r="F151" i="10"/>
  <c r="E151" i="10"/>
  <c r="G146" i="10"/>
  <c r="F146" i="10"/>
  <c r="E146" i="10"/>
  <c r="G144" i="10"/>
  <c r="F144" i="10"/>
  <c r="E144" i="10"/>
  <c r="G143" i="10"/>
  <c r="F143" i="10"/>
  <c r="E143" i="10"/>
  <c r="G142" i="10"/>
  <c r="F142" i="10"/>
  <c r="E142" i="10"/>
  <c r="G141" i="10"/>
  <c r="F141" i="10"/>
  <c r="E141" i="10"/>
  <c r="G140" i="10"/>
  <c r="F140" i="10"/>
  <c r="E140" i="10"/>
  <c r="G139" i="10"/>
  <c r="F139" i="10"/>
  <c r="E139" i="10"/>
  <c r="G138" i="10"/>
  <c r="F138" i="10"/>
  <c r="E138" i="10"/>
  <c r="G136" i="10"/>
  <c r="F136" i="10"/>
  <c r="E136" i="10"/>
  <c r="G135" i="10"/>
  <c r="F135" i="10"/>
  <c r="E135" i="10"/>
  <c r="G133" i="10"/>
  <c r="F133" i="10"/>
  <c r="E133" i="10"/>
  <c r="G132" i="10"/>
  <c r="F132" i="10"/>
  <c r="E132" i="10"/>
  <c r="G131" i="10"/>
  <c r="F131" i="10"/>
  <c r="E131" i="10"/>
  <c r="G130" i="10"/>
  <c r="F130" i="10"/>
  <c r="E130" i="10"/>
  <c r="G129" i="10"/>
  <c r="F129" i="10"/>
  <c r="E129" i="10"/>
  <c r="G128" i="10"/>
  <c r="F128" i="10"/>
  <c r="E128" i="10"/>
  <c r="G127" i="10"/>
  <c r="F127" i="10"/>
  <c r="E127" i="10"/>
  <c r="G126" i="10"/>
  <c r="F126" i="10"/>
  <c r="E126" i="10"/>
  <c r="G125" i="10"/>
  <c r="F125" i="10"/>
  <c r="E125" i="10"/>
  <c r="G123" i="10"/>
  <c r="F123" i="10"/>
  <c r="E123" i="10"/>
  <c r="G122" i="10"/>
  <c r="F122" i="10"/>
  <c r="E122" i="10"/>
  <c r="G117" i="10"/>
  <c r="F117" i="10"/>
  <c r="E117" i="10"/>
  <c r="G116" i="10"/>
  <c r="F116" i="10"/>
  <c r="E116" i="10"/>
  <c r="G115" i="10"/>
  <c r="F115" i="10"/>
  <c r="E115" i="10"/>
  <c r="G110" i="10"/>
  <c r="F110" i="10"/>
  <c r="E110" i="10"/>
  <c r="G109" i="10"/>
  <c r="F109" i="10"/>
  <c r="E109" i="10"/>
  <c r="G108" i="10"/>
  <c r="F108" i="10"/>
  <c r="E108" i="10"/>
  <c r="G107" i="10"/>
  <c r="F107" i="10"/>
  <c r="E107" i="10"/>
  <c r="G106" i="10"/>
  <c r="F106" i="10"/>
  <c r="E106" i="10"/>
  <c r="G105" i="10"/>
  <c r="F105" i="10"/>
  <c r="E105" i="10"/>
  <c r="G104" i="10"/>
  <c r="F104" i="10"/>
  <c r="E104" i="10"/>
  <c r="G103" i="10"/>
  <c r="F103" i="10"/>
  <c r="E103" i="10"/>
  <c r="G102" i="10"/>
  <c r="F102" i="10"/>
  <c r="E102" i="10"/>
  <c r="G101" i="10"/>
  <c r="F101" i="10"/>
  <c r="E101" i="10"/>
  <c r="G100" i="10"/>
  <c r="F100" i="10"/>
  <c r="E100" i="10"/>
  <c r="G99" i="10"/>
  <c r="F99" i="10"/>
  <c r="E99" i="10"/>
  <c r="G98" i="10"/>
  <c r="F98" i="10"/>
  <c r="E98" i="10"/>
  <c r="G97" i="10"/>
  <c r="F97" i="10"/>
  <c r="E97" i="10"/>
  <c r="G96" i="10"/>
  <c r="F96" i="10"/>
  <c r="E96" i="10"/>
  <c r="G95" i="10"/>
  <c r="F95" i="10"/>
  <c r="E95" i="10"/>
  <c r="G94" i="10"/>
  <c r="F94" i="10"/>
  <c r="E94" i="10"/>
  <c r="G93" i="10"/>
  <c r="F93" i="10"/>
  <c r="E93" i="10"/>
  <c r="G91" i="10"/>
  <c r="F91" i="10"/>
  <c r="E91" i="10"/>
  <c r="G90" i="10"/>
  <c r="F90" i="10"/>
  <c r="E90" i="10"/>
  <c r="G87" i="10"/>
  <c r="F87" i="10"/>
  <c r="E87" i="10"/>
  <c r="G86" i="10"/>
  <c r="F86" i="10"/>
  <c r="E86" i="10"/>
  <c r="G85" i="10"/>
  <c r="F85" i="10"/>
  <c r="E85" i="10"/>
  <c r="G81" i="10"/>
  <c r="F81" i="10"/>
  <c r="E81" i="10"/>
  <c r="G77" i="10"/>
  <c r="F77" i="10"/>
  <c r="E77" i="10"/>
  <c r="G76" i="10"/>
  <c r="F76" i="10"/>
  <c r="E76" i="10"/>
  <c r="G74" i="10"/>
  <c r="F74" i="10"/>
  <c r="E74" i="10"/>
  <c r="G73" i="10"/>
  <c r="F73" i="10"/>
  <c r="E73" i="10"/>
  <c r="G72" i="10"/>
  <c r="F72" i="10"/>
  <c r="E72" i="10"/>
  <c r="G70" i="10"/>
  <c r="F70" i="10"/>
  <c r="E70" i="10"/>
  <c r="G68" i="10"/>
  <c r="F68" i="10"/>
  <c r="E68" i="10"/>
  <c r="G57" i="10"/>
  <c r="F57" i="10"/>
  <c r="E57" i="10"/>
  <c r="G35" i="10"/>
  <c r="F35" i="10"/>
  <c r="E35" i="10"/>
  <c r="G30" i="10"/>
  <c r="F30" i="10"/>
  <c r="E30" i="10"/>
  <c r="G10" i="10"/>
  <c r="F10" i="10"/>
  <c r="E10" i="10"/>
  <c r="G9" i="10"/>
  <c r="F9" i="10"/>
  <c r="E9" i="10"/>
  <c r="G7" i="10"/>
  <c r="F7" i="10"/>
  <c r="E7" i="10"/>
  <c r="G6" i="10"/>
  <c r="F6" i="10"/>
  <c r="E6" i="10"/>
  <c r="G5" i="10"/>
  <c r="F5" i="10"/>
  <c r="E5" i="10"/>
  <c r="G3" i="10"/>
  <c r="F3" i="10"/>
  <c r="E3" i="10"/>
  <c r="D669" i="10"/>
  <c r="D668" i="10"/>
  <c r="D665" i="10"/>
  <c r="D663" i="10"/>
  <c r="D662" i="10"/>
  <c r="D661" i="10"/>
  <c r="D660" i="10"/>
  <c r="D659" i="10"/>
  <c r="D658" i="10"/>
  <c r="D657" i="10"/>
  <c r="D656" i="10"/>
  <c r="D655" i="10"/>
  <c r="D654" i="10"/>
  <c r="D653" i="10"/>
  <c r="D651" i="10"/>
  <c r="D650" i="10"/>
  <c r="D649" i="10"/>
  <c r="D648" i="10"/>
  <c r="D647" i="10"/>
  <c r="D646" i="10"/>
  <c r="D645" i="10"/>
  <c r="D644" i="10"/>
  <c r="D642" i="10"/>
  <c r="D640" i="10"/>
  <c r="D635" i="10"/>
  <c r="D633" i="10"/>
  <c r="D630" i="10"/>
  <c r="D625" i="10"/>
  <c r="D624" i="10"/>
  <c r="D621" i="10"/>
  <c r="D619" i="10"/>
  <c r="D617" i="10"/>
  <c r="D616" i="10"/>
  <c r="D609" i="10"/>
  <c r="D604" i="10"/>
  <c r="D602" i="10"/>
  <c r="D590" i="10"/>
  <c r="D588" i="10"/>
  <c r="D583" i="10"/>
  <c r="D582" i="10"/>
  <c r="D581" i="10"/>
  <c r="D580" i="10"/>
  <c r="D579" i="10"/>
  <c r="D578" i="10"/>
  <c r="D577" i="10"/>
  <c r="D576" i="10"/>
  <c r="D575" i="10"/>
  <c r="D574" i="10"/>
  <c r="D573" i="10"/>
  <c r="D571" i="10"/>
  <c r="D560" i="10"/>
  <c r="D554" i="10"/>
  <c r="D553" i="10"/>
  <c r="D552" i="10"/>
  <c r="D546" i="10"/>
  <c r="D545" i="10"/>
  <c r="D544" i="10"/>
  <c r="D543" i="10"/>
  <c r="D542" i="10"/>
  <c r="D541" i="10"/>
  <c r="D540" i="10"/>
  <c r="D532" i="10"/>
  <c r="D531" i="10"/>
  <c r="D527" i="10"/>
  <c r="D526" i="10"/>
  <c r="D524" i="10"/>
  <c r="D523" i="10"/>
  <c r="D522" i="10"/>
  <c r="D511" i="10"/>
  <c r="D510" i="10"/>
  <c r="D508" i="10"/>
  <c r="D506" i="10"/>
  <c r="D505" i="10"/>
  <c r="D503" i="10"/>
  <c r="D502" i="10"/>
  <c r="D493" i="10"/>
  <c r="D488" i="10"/>
  <c r="D487" i="10"/>
  <c r="D486" i="10"/>
  <c r="D480" i="10"/>
  <c r="D477" i="10"/>
  <c r="D476" i="10"/>
  <c r="D475" i="10"/>
  <c r="D474" i="10"/>
  <c r="D472" i="10"/>
  <c r="D471" i="10"/>
  <c r="D470" i="10"/>
  <c r="D469" i="10"/>
  <c r="D468" i="10"/>
  <c r="D467" i="10"/>
  <c r="D466" i="10"/>
  <c r="D464" i="10"/>
  <c r="D460" i="10"/>
  <c r="D459" i="10"/>
  <c r="D457" i="10"/>
  <c r="D456" i="10"/>
  <c r="D455" i="10"/>
  <c r="D454" i="10"/>
  <c r="D453" i="10"/>
  <c r="D452" i="10"/>
  <c r="D451" i="10"/>
  <c r="D450" i="10"/>
  <c r="D449" i="10"/>
  <c r="D447" i="10"/>
  <c r="D437" i="10"/>
  <c r="D432" i="10"/>
  <c r="D430" i="10"/>
  <c r="D429" i="10"/>
  <c r="D428" i="10"/>
  <c r="D427" i="10"/>
  <c r="D424" i="10"/>
  <c r="D423" i="10"/>
  <c r="D422" i="10"/>
  <c r="D412" i="10"/>
  <c r="D411" i="10"/>
  <c r="D410" i="10"/>
  <c r="D409" i="10"/>
  <c r="D408" i="10"/>
  <c r="D404" i="10"/>
  <c r="D403" i="10"/>
  <c r="D402" i="10"/>
  <c r="D401" i="10"/>
  <c r="D400" i="10"/>
  <c r="D398" i="10"/>
  <c r="D397" i="10"/>
  <c r="D396" i="10"/>
  <c r="D395" i="10"/>
  <c r="D394" i="10"/>
  <c r="D393" i="10"/>
  <c r="D392" i="10"/>
  <c r="D388" i="10"/>
  <c r="D385" i="10"/>
  <c r="D384" i="10"/>
  <c r="D378" i="10"/>
  <c r="D377" i="10"/>
  <c r="D376" i="10"/>
  <c r="D371" i="10"/>
  <c r="D370" i="10"/>
  <c r="D369" i="10"/>
  <c r="D367" i="10"/>
  <c r="D366" i="10"/>
  <c r="D365" i="10"/>
  <c r="D361" i="10"/>
  <c r="D360" i="10"/>
  <c r="D359" i="10"/>
  <c r="D356" i="10"/>
  <c r="D354" i="10"/>
  <c r="D351" i="10"/>
  <c r="D350" i="10"/>
  <c r="D349" i="10"/>
  <c r="D348" i="10"/>
  <c r="D347" i="10"/>
  <c r="D343" i="10"/>
  <c r="D336" i="10"/>
  <c r="D335" i="10"/>
  <c r="D333" i="10"/>
  <c r="D329" i="10"/>
  <c r="D316" i="10"/>
  <c r="D315" i="10"/>
  <c r="D314" i="10"/>
  <c r="D313" i="10"/>
  <c r="D312" i="10"/>
  <c r="D309" i="10"/>
  <c r="D308" i="10"/>
  <c r="D307" i="10"/>
  <c r="D306" i="10"/>
  <c r="D299" i="10"/>
  <c r="D298" i="10"/>
  <c r="D297" i="10"/>
  <c r="D296" i="10"/>
  <c r="D293" i="10"/>
  <c r="D292" i="10"/>
  <c r="D289" i="10"/>
  <c r="D287" i="10"/>
  <c r="D286" i="10"/>
  <c r="D285" i="10"/>
  <c r="D284" i="10"/>
  <c r="D283" i="10"/>
  <c r="D282" i="10"/>
  <c r="D281" i="10"/>
  <c r="D278" i="10"/>
  <c r="D276" i="10"/>
  <c r="D275" i="10"/>
  <c r="D274" i="10"/>
  <c r="D271" i="10"/>
  <c r="D270" i="10"/>
  <c r="D269" i="10"/>
  <c r="D267" i="10"/>
  <c r="D266" i="10"/>
  <c r="D265" i="10"/>
  <c r="D264" i="10"/>
  <c r="D263" i="10"/>
  <c r="D262" i="10"/>
  <c r="D261" i="10"/>
  <c r="D260" i="10"/>
  <c r="D259" i="10"/>
  <c r="D258" i="10"/>
  <c r="D257" i="10"/>
  <c r="D255" i="10"/>
  <c r="D254" i="10"/>
  <c r="D253" i="10"/>
  <c r="D252" i="10"/>
  <c r="D251" i="10"/>
  <c r="D250" i="10"/>
  <c r="D249" i="10"/>
  <c r="D244" i="10"/>
  <c r="D237" i="10"/>
  <c r="D235" i="10"/>
  <c r="D234" i="10"/>
  <c r="D233" i="10"/>
  <c r="D232" i="10"/>
  <c r="D229" i="10"/>
  <c r="D227" i="10"/>
  <c r="D226" i="10"/>
  <c r="D223" i="10"/>
  <c r="D218" i="10"/>
  <c r="D214" i="10"/>
  <c r="D212" i="10"/>
  <c r="D207" i="10"/>
  <c r="D206" i="10"/>
  <c r="D205" i="10"/>
  <c r="D203" i="10"/>
  <c r="D202" i="10"/>
  <c r="D201" i="10"/>
  <c r="D200" i="10"/>
  <c r="D199" i="10"/>
  <c r="D189" i="10"/>
  <c r="D188" i="10"/>
  <c r="D186" i="10"/>
  <c r="D178" i="10"/>
  <c r="D173" i="10"/>
  <c r="D172" i="10"/>
  <c r="D171" i="10"/>
  <c r="D170" i="10"/>
  <c r="D169" i="10"/>
  <c r="D167" i="10"/>
  <c r="D164" i="10"/>
  <c r="D163" i="10"/>
  <c r="D159" i="10"/>
  <c r="D151" i="10"/>
  <c r="D146" i="10"/>
  <c r="D144" i="10"/>
  <c r="D143" i="10"/>
  <c r="D142" i="10"/>
  <c r="D141" i="10"/>
  <c r="D140" i="10"/>
  <c r="D139" i="10"/>
  <c r="D138" i="10"/>
  <c r="D136" i="10"/>
  <c r="D135" i="10"/>
  <c r="D133" i="10"/>
  <c r="D132" i="10"/>
  <c r="D131" i="10"/>
  <c r="D130" i="10"/>
  <c r="D129" i="10"/>
  <c r="D128" i="10"/>
  <c r="D127" i="10"/>
  <c r="D126" i="10"/>
  <c r="D125" i="10"/>
  <c r="D123" i="10"/>
  <c r="D122" i="10"/>
  <c r="D117" i="10"/>
  <c r="D116" i="10"/>
  <c r="D115" i="10"/>
  <c r="D110" i="10"/>
  <c r="D109" i="10"/>
  <c r="D108" i="10"/>
  <c r="D107" i="10"/>
  <c r="D106" i="10"/>
  <c r="D105" i="10"/>
  <c r="D104" i="10"/>
  <c r="D103" i="10"/>
  <c r="D102" i="10"/>
  <c r="D101" i="10"/>
  <c r="D100" i="10"/>
  <c r="D99" i="10"/>
  <c r="D98" i="10"/>
  <c r="D97" i="10"/>
  <c r="D96" i="10"/>
  <c r="D95" i="10"/>
  <c r="D94" i="10"/>
  <c r="D93" i="10"/>
  <c r="D91" i="10"/>
  <c r="D90" i="10"/>
  <c r="D87" i="10"/>
  <c r="D86" i="10"/>
  <c r="D85" i="10"/>
  <c r="D81" i="10"/>
  <c r="D77" i="10"/>
  <c r="D76" i="10"/>
  <c r="D74" i="10"/>
  <c r="D73" i="10"/>
  <c r="D72" i="10"/>
  <c r="D70" i="10"/>
  <c r="D68" i="10"/>
  <c r="D57" i="10"/>
  <c r="D35" i="10"/>
  <c r="D30" i="10"/>
  <c r="D10" i="10"/>
  <c r="D9" i="10"/>
  <c r="D7" i="10"/>
  <c r="D6" i="10"/>
  <c r="D5" i="10"/>
  <c r="D3" i="10"/>
  <c r="ED404" i="9"/>
  <c r="ED678" i="9"/>
  <c r="BA634" i="8"/>
  <c r="BB634" i="8" s="1"/>
  <c r="CY634" i="8"/>
  <c r="CZ634" i="8" s="1"/>
  <c r="CZ635" i="8"/>
  <c r="F399" i="9"/>
  <c r="G558" i="8"/>
  <c r="G560" i="8"/>
  <c r="H560" i="8" s="1"/>
  <c r="I560" i="8" s="1"/>
  <c r="BY561" i="8"/>
  <c r="BY555" i="8"/>
  <c r="L399" i="10" l="1"/>
  <c r="G399" i="10"/>
  <c r="F399" i="10"/>
  <c r="E399" i="10"/>
  <c r="D399" i="10"/>
  <c r="H558" i="8"/>
  <c r="I558" i="8" s="1"/>
  <c r="L633" i="11" l="1"/>
  <c r="L632" i="11"/>
  <c r="L631" i="11"/>
  <c r="L630" i="11"/>
  <c r="L629" i="11"/>
  <c r="L628" i="11"/>
  <c r="L627" i="11"/>
  <c r="L626" i="11"/>
  <c r="L625" i="11"/>
  <c r="L624" i="11"/>
  <c r="L623" i="11"/>
  <c r="L622" i="11"/>
  <c r="L621" i="11"/>
  <c r="L617" i="11"/>
  <c r="L616" i="11"/>
  <c r="L612" i="11"/>
  <c r="L611" i="11"/>
  <c r="L609" i="11"/>
  <c r="L607" i="11"/>
  <c r="L606" i="11"/>
  <c r="L604" i="11"/>
  <c r="L602" i="11"/>
  <c r="L593" i="11"/>
  <c r="L590" i="11"/>
  <c r="L589" i="11"/>
  <c r="L588" i="11"/>
  <c r="L587" i="11"/>
  <c r="L586" i="11"/>
  <c r="L584" i="11"/>
  <c r="L583" i="11"/>
  <c r="L582" i="11"/>
  <c r="L581" i="11"/>
  <c r="L580" i="11"/>
  <c r="L579" i="11"/>
  <c r="L578" i="11"/>
  <c r="L575" i="11"/>
  <c r="L574" i="11"/>
  <c r="L573" i="11"/>
  <c r="L569" i="11"/>
  <c r="L568" i="11"/>
  <c r="L564" i="11"/>
  <c r="L563" i="11"/>
  <c r="L562" i="11"/>
  <c r="L560" i="11"/>
  <c r="L558" i="11"/>
  <c r="L557" i="11"/>
  <c r="L556" i="11"/>
  <c r="L554" i="11"/>
  <c r="L549" i="11"/>
  <c r="L548" i="11"/>
  <c r="L547" i="11"/>
  <c r="L546" i="11"/>
  <c r="L545" i="11"/>
  <c r="L544" i="11"/>
  <c r="L543" i="11"/>
  <c r="L542" i="11"/>
  <c r="L541" i="11"/>
  <c r="L540" i="11"/>
  <c r="L539" i="11"/>
  <c r="L538" i="11"/>
  <c r="L537" i="11"/>
  <c r="L536" i="11"/>
  <c r="L535" i="11"/>
  <c r="L534" i="11"/>
  <c r="L533" i="11"/>
  <c r="L532" i="11"/>
  <c r="L531" i="11"/>
  <c r="L530" i="11"/>
  <c r="L529" i="11"/>
  <c r="L528" i="11"/>
  <c r="L523" i="11"/>
  <c r="L518" i="11"/>
  <c r="L516" i="11"/>
  <c r="L515" i="11"/>
  <c r="L514" i="11"/>
  <c r="L513" i="11"/>
  <c r="L510" i="11"/>
  <c r="L509" i="11"/>
  <c r="L508" i="11"/>
  <c r="L507" i="11"/>
  <c r="L506" i="11"/>
  <c r="L505" i="11"/>
  <c r="L504" i="11"/>
  <c r="L499" i="11"/>
  <c r="L498" i="11"/>
  <c r="L497" i="11"/>
  <c r="L495" i="11"/>
  <c r="L494" i="11"/>
  <c r="L492" i="11"/>
  <c r="L491" i="11"/>
  <c r="L490" i="11"/>
  <c r="L488" i="11"/>
  <c r="L487" i="11"/>
  <c r="L485" i="11"/>
  <c r="L484" i="11"/>
  <c r="L481" i="11"/>
  <c r="L478" i="11"/>
  <c r="L475" i="11"/>
  <c r="L472" i="11"/>
  <c r="L470" i="11"/>
  <c r="L469" i="11"/>
  <c r="L467" i="11"/>
  <c r="L462" i="11"/>
  <c r="L461" i="11"/>
  <c r="L460" i="11"/>
  <c r="L459" i="11"/>
  <c r="L458" i="11"/>
  <c r="L453" i="11"/>
  <c r="L452" i="11"/>
  <c r="L449" i="11"/>
  <c r="L448" i="11"/>
  <c r="L447" i="11"/>
  <c r="L446" i="11"/>
  <c r="L441" i="11"/>
  <c r="L435" i="11"/>
  <c r="L434" i="11"/>
  <c r="L433" i="11"/>
  <c r="L432" i="11"/>
  <c r="L427" i="11"/>
  <c r="L420" i="11"/>
  <c r="L419" i="11"/>
  <c r="L418" i="11"/>
  <c r="L417" i="11"/>
  <c r="L415" i="11"/>
  <c r="L414" i="11"/>
  <c r="L413" i="11"/>
  <c r="L412" i="11"/>
  <c r="L411" i="11"/>
  <c r="L410" i="11"/>
  <c r="L409" i="11"/>
  <c r="L408" i="11"/>
  <c r="L406" i="11"/>
  <c r="L405" i="11"/>
  <c r="L404" i="11"/>
  <c r="L403" i="11"/>
  <c r="L402" i="11"/>
  <c r="L401" i="11"/>
  <c r="L400" i="11"/>
  <c r="L399" i="11"/>
  <c r="L398" i="11"/>
  <c r="L397" i="11"/>
  <c r="L396" i="11"/>
  <c r="L395" i="11"/>
  <c r="L393" i="11"/>
  <c r="L392" i="11"/>
  <c r="L391" i="11"/>
  <c r="L390" i="11"/>
  <c r="L389" i="11"/>
  <c r="L388" i="11"/>
  <c r="L387" i="11"/>
  <c r="L386" i="11"/>
  <c r="L385" i="11"/>
  <c r="L384" i="11"/>
  <c r="L383" i="11"/>
  <c r="L382" i="11"/>
  <c r="L381" i="11"/>
  <c r="L380" i="11"/>
  <c r="L379" i="11"/>
  <c r="L378" i="11"/>
  <c r="L377" i="11"/>
  <c r="L376" i="11"/>
  <c r="L375" i="11"/>
  <c r="L374" i="11"/>
  <c r="L373" i="11"/>
  <c r="L369" i="11"/>
  <c r="L367" i="11"/>
  <c r="L366" i="11"/>
  <c r="L365" i="11"/>
  <c r="L364" i="11"/>
  <c r="L363" i="11"/>
  <c r="L362" i="11"/>
  <c r="L361" i="11"/>
  <c r="L360" i="11"/>
  <c r="L359" i="11"/>
  <c r="L358" i="11"/>
  <c r="L353" i="11"/>
  <c r="L344" i="11"/>
  <c r="L343" i="11"/>
  <c r="L342" i="11"/>
  <c r="L341" i="11"/>
  <c r="L340" i="11"/>
  <c r="L337" i="11"/>
  <c r="L336" i="11"/>
  <c r="L335" i="11"/>
  <c r="L334" i="11"/>
  <c r="L333" i="11"/>
  <c r="L332" i="11"/>
  <c r="L331" i="11"/>
  <c r="L330" i="11"/>
  <c r="L329" i="11"/>
  <c r="L328" i="11"/>
  <c r="L324" i="11"/>
  <c r="L323" i="11"/>
  <c r="L318" i="11"/>
  <c r="L316" i="11"/>
  <c r="L314" i="11"/>
  <c r="L310" i="11"/>
  <c r="L309" i="11"/>
  <c r="L308" i="11"/>
  <c r="L307" i="11"/>
  <c r="L306" i="11"/>
  <c r="L305" i="11"/>
  <c r="L304" i="11"/>
  <c r="L303" i="11"/>
  <c r="L302" i="11"/>
  <c r="L300" i="11"/>
  <c r="L292" i="11"/>
  <c r="L291" i="11"/>
  <c r="L290" i="11"/>
  <c r="L289" i="11"/>
  <c r="L288" i="11"/>
  <c r="L284" i="11"/>
  <c r="L283" i="11"/>
  <c r="L282" i="11"/>
  <c r="L281" i="11"/>
  <c r="L280" i="11"/>
  <c r="L279" i="11"/>
  <c r="L278" i="11"/>
  <c r="L277" i="11"/>
  <c r="L275" i="11"/>
  <c r="L273" i="11"/>
  <c r="L272" i="11"/>
  <c r="L271" i="11"/>
  <c r="L270" i="11"/>
  <c r="L268" i="11"/>
  <c r="L267" i="11"/>
  <c r="L266" i="11"/>
  <c r="L265" i="11"/>
  <c r="L264" i="11"/>
  <c r="L263" i="11"/>
  <c r="L262" i="11"/>
  <c r="L261" i="11"/>
  <c r="L260" i="11"/>
  <c r="L259" i="11"/>
  <c r="L258" i="11"/>
  <c r="L257" i="11"/>
  <c r="L256" i="11"/>
  <c r="L255" i="11"/>
  <c r="L254" i="11"/>
  <c r="L253" i="11"/>
  <c r="L251" i="11"/>
  <c r="L250" i="11"/>
  <c r="L249" i="11"/>
  <c r="L247" i="11"/>
  <c r="L243" i="11"/>
  <c r="L239" i="11"/>
  <c r="L238" i="11"/>
  <c r="L235" i="11"/>
  <c r="L234" i="11"/>
  <c r="L233" i="11"/>
  <c r="L232" i="11"/>
  <c r="L231" i="11"/>
  <c r="L229" i="11"/>
  <c r="L228" i="11"/>
  <c r="L227" i="11"/>
  <c r="L225" i="11"/>
  <c r="L224" i="11"/>
  <c r="L223" i="11"/>
  <c r="L222" i="11"/>
  <c r="L221" i="11"/>
  <c r="L220" i="11"/>
  <c r="L219" i="11"/>
  <c r="L217" i="11"/>
  <c r="L215" i="11"/>
  <c r="L212" i="11"/>
  <c r="L210" i="11"/>
  <c r="L209" i="11"/>
  <c r="L208" i="11"/>
  <c r="L206" i="11"/>
  <c r="L203" i="11"/>
  <c r="L200" i="11"/>
  <c r="L199" i="11"/>
  <c r="L196" i="11"/>
  <c r="L195" i="11"/>
  <c r="L194" i="11"/>
  <c r="L193" i="11"/>
  <c r="L190" i="11"/>
  <c r="L189" i="11"/>
  <c r="L188" i="11"/>
  <c r="L187" i="11"/>
  <c r="L186" i="11"/>
  <c r="L185" i="11"/>
  <c r="L184" i="11"/>
  <c r="L183" i="11"/>
  <c r="L182" i="11"/>
  <c r="L181" i="11"/>
  <c r="L180" i="11"/>
  <c r="L179" i="11"/>
  <c r="L178" i="11"/>
  <c r="L177" i="11"/>
  <c r="L176" i="11"/>
  <c r="L175" i="11"/>
  <c r="L173" i="11"/>
  <c r="L172" i="11"/>
  <c r="L171" i="11"/>
  <c r="L170" i="11"/>
  <c r="L169" i="11"/>
  <c r="L168" i="11"/>
  <c r="L166" i="11"/>
  <c r="L163" i="11"/>
  <c r="L162" i="11"/>
  <c r="L161" i="11"/>
  <c r="L159" i="11"/>
  <c r="L158" i="11"/>
  <c r="L157" i="11"/>
  <c r="L156" i="11"/>
  <c r="L155" i="11"/>
  <c r="L154" i="11"/>
  <c r="L153" i="11"/>
  <c r="L152" i="11"/>
  <c r="L151" i="11"/>
  <c r="L150" i="11"/>
  <c r="L149" i="11"/>
  <c r="L148" i="11"/>
  <c r="L147" i="11"/>
  <c r="L146" i="11"/>
  <c r="L138" i="11"/>
  <c r="L137" i="11"/>
  <c r="L136" i="11"/>
  <c r="L135" i="11"/>
  <c r="L134" i="11"/>
  <c r="L133" i="11"/>
  <c r="L132" i="11"/>
  <c r="L131" i="11"/>
  <c r="L130" i="11"/>
  <c r="L129" i="11"/>
  <c r="L128" i="11"/>
  <c r="L127" i="11"/>
  <c r="L126" i="11"/>
  <c r="L125" i="11"/>
  <c r="L123" i="11"/>
  <c r="L122" i="11"/>
  <c r="L121" i="11"/>
  <c r="L119" i="11"/>
  <c r="L115" i="11"/>
  <c r="L114" i="11"/>
  <c r="L113" i="11"/>
  <c r="L112" i="11"/>
  <c r="L111" i="11"/>
  <c r="L110" i="11"/>
  <c r="L109" i="11"/>
  <c r="L108" i="11"/>
  <c r="L104" i="11"/>
  <c r="L103" i="11"/>
  <c r="L102" i="11"/>
  <c r="L101" i="11"/>
  <c r="L99" i="11"/>
  <c r="L98" i="11"/>
  <c r="L97" i="11"/>
  <c r="L95" i="11"/>
  <c r="L94" i="11"/>
  <c r="L93" i="11"/>
  <c r="L92" i="11"/>
  <c r="L91" i="11"/>
  <c r="L90" i="11"/>
  <c r="L89" i="11"/>
  <c r="L88" i="11"/>
  <c r="L81" i="11"/>
  <c r="L80" i="11"/>
  <c r="L79" i="11"/>
  <c r="L78" i="11"/>
  <c r="L77" i="11"/>
  <c r="L76" i="11"/>
  <c r="L75" i="11"/>
  <c r="L74" i="11"/>
  <c r="L73" i="11"/>
  <c r="L72" i="11"/>
  <c r="L71" i="11"/>
  <c r="L70" i="11"/>
  <c r="L69" i="11"/>
  <c r="L68" i="11"/>
  <c r="L67" i="11"/>
  <c r="L66" i="11"/>
  <c r="L65" i="11"/>
  <c r="L64" i="11"/>
  <c r="L63" i="11"/>
  <c r="L62" i="11"/>
  <c r="L61" i="11"/>
  <c r="L60" i="11"/>
  <c r="L59" i="11"/>
  <c r="L58" i="11"/>
  <c r="L57" i="11"/>
  <c r="L56" i="11"/>
  <c r="L55" i="11"/>
  <c r="L54" i="11"/>
  <c r="L53" i="11"/>
  <c r="L52" i="11"/>
  <c r="L51" i="11"/>
  <c r="L49" i="11"/>
  <c r="L48" i="11"/>
  <c r="L47" i="11"/>
  <c r="L46" i="11"/>
  <c r="L45" i="11"/>
  <c r="L44" i="11"/>
  <c r="L43" i="11"/>
  <c r="L42" i="11"/>
  <c r="L37" i="11"/>
  <c r="L30" i="11"/>
  <c r="L29" i="11"/>
  <c r="L26" i="11"/>
  <c r="L25" i="11"/>
  <c r="L23" i="11"/>
  <c r="L22" i="11"/>
  <c r="L21" i="11"/>
  <c r="L20" i="11"/>
  <c r="L17" i="11"/>
  <c r="L16" i="11"/>
  <c r="L15" i="11"/>
  <c r="L14" i="11"/>
  <c r="L13" i="11"/>
  <c r="L11" i="11"/>
  <c r="L10" i="11"/>
  <c r="L9" i="11"/>
  <c r="L8" i="11"/>
  <c r="L7" i="11"/>
  <c r="L5" i="11"/>
  <c r="L3" i="11"/>
  <c r="G633" i="11"/>
  <c r="F633" i="11"/>
  <c r="E633" i="11"/>
  <c r="G632" i="11"/>
  <c r="F632" i="11"/>
  <c r="E632" i="11"/>
  <c r="G631" i="11"/>
  <c r="F631" i="11"/>
  <c r="E631" i="11"/>
  <c r="G630" i="11"/>
  <c r="F630" i="11"/>
  <c r="E630" i="11"/>
  <c r="G629" i="11"/>
  <c r="F629" i="11"/>
  <c r="E629" i="11"/>
  <c r="G628" i="11"/>
  <c r="F628" i="11"/>
  <c r="E628" i="11"/>
  <c r="G627" i="11"/>
  <c r="F627" i="11"/>
  <c r="E627" i="11"/>
  <c r="G626" i="11"/>
  <c r="F626" i="11"/>
  <c r="E626" i="11"/>
  <c r="G625" i="11"/>
  <c r="F625" i="11"/>
  <c r="E625" i="11"/>
  <c r="G624" i="11"/>
  <c r="F624" i="11"/>
  <c r="E624" i="11"/>
  <c r="G623" i="11"/>
  <c r="F623" i="11"/>
  <c r="E623" i="11"/>
  <c r="G622" i="11"/>
  <c r="F622" i="11"/>
  <c r="E622" i="11"/>
  <c r="G621" i="11"/>
  <c r="F621" i="11"/>
  <c r="E621" i="11"/>
  <c r="G617" i="11"/>
  <c r="F617" i="11"/>
  <c r="E617" i="11"/>
  <c r="G616" i="11"/>
  <c r="F616" i="11"/>
  <c r="E616" i="11"/>
  <c r="G612" i="11"/>
  <c r="F612" i="11"/>
  <c r="E612" i="11"/>
  <c r="G611" i="11"/>
  <c r="F611" i="11"/>
  <c r="E611" i="11"/>
  <c r="G609" i="11"/>
  <c r="F609" i="11"/>
  <c r="E609" i="11"/>
  <c r="G607" i="11"/>
  <c r="F607" i="11"/>
  <c r="E607" i="11"/>
  <c r="G606" i="11"/>
  <c r="F606" i="11"/>
  <c r="E606" i="11"/>
  <c r="G604" i="11"/>
  <c r="F604" i="11"/>
  <c r="E604" i="11"/>
  <c r="G602" i="11"/>
  <c r="F602" i="11"/>
  <c r="E602" i="11"/>
  <c r="G593" i="11"/>
  <c r="F593" i="11"/>
  <c r="E593" i="11"/>
  <c r="G590" i="11"/>
  <c r="F590" i="11"/>
  <c r="E590" i="11"/>
  <c r="G589" i="11"/>
  <c r="F589" i="11"/>
  <c r="E589" i="11"/>
  <c r="G588" i="11"/>
  <c r="F588" i="11"/>
  <c r="E588" i="11"/>
  <c r="G587" i="11"/>
  <c r="F587" i="11"/>
  <c r="E587" i="11"/>
  <c r="G586" i="11"/>
  <c r="F586" i="11"/>
  <c r="E586" i="11"/>
  <c r="G584" i="11"/>
  <c r="F584" i="11"/>
  <c r="E584" i="11"/>
  <c r="G583" i="11"/>
  <c r="F583" i="11"/>
  <c r="E583" i="11"/>
  <c r="G582" i="11"/>
  <c r="F582" i="11"/>
  <c r="E582" i="11"/>
  <c r="G581" i="11"/>
  <c r="F581" i="11"/>
  <c r="E581" i="11"/>
  <c r="G580" i="11"/>
  <c r="F580" i="11"/>
  <c r="E580" i="11"/>
  <c r="G579" i="11"/>
  <c r="F579" i="11"/>
  <c r="E579" i="11"/>
  <c r="G578" i="11"/>
  <c r="F578" i="11"/>
  <c r="E578" i="11"/>
  <c r="G575" i="11"/>
  <c r="F575" i="11"/>
  <c r="E575" i="11"/>
  <c r="G574" i="11"/>
  <c r="F574" i="11"/>
  <c r="E574" i="11"/>
  <c r="G573" i="11"/>
  <c r="F573" i="11"/>
  <c r="E573" i="11"/>
  <c r="G569" i="11"/>
  <c r="F569" i="11"/>
  <c r="E569" i="11"/>
  <c r="G568" i="11"/>
  <c r="F568" i="11"/>
  <c r="E568" i="11"/>
  <c r="G564" i="11"/>
  <c r="F564" i="11"/>
  <c r="E564" i="11"/>
  <c r="G563" i="11"/>
  <c r="F563" i="11"/>
  <c r="E563" i="11"/>
  <c r="G562" i="11"/>
  <c r="F562" i="11"/>
  <c r="E562" i="11"/>
  <c r="G560" i="11"/>
  <c r="F560" i="11"/>
  <c r="E560" i="11"/>
  <c r="G558" i="11"/>
  <c r="F558" i="11"/>
  <c r="E558" i="11"/>
  <c r="G557" i="11"/>
  <c r="F557" i="11"/>
  <c r="E557" i="11"/>
  <c r="G556" i="11"/>
  <c r="F556" i="11"/>
  <c r="E556" i="11"/>
  <c r="G554" i="11"/>
  <c r="F554" i="11"/>
  <c r="E554" i="11"/>
  <c r="G549" i="11"/>
  <c r="F549" i="11"/>
  <c r="E549" i="11"/>
  <c r="G548" i="11"/>
  <c r="F548" i="11"/>
  <c r="E548" i="11"/>
  <c r="G547" i="11"/>
  <c r="F547" i="11"/>
  <c r="E547" i="11"/>
  <c r="G546" i="11"/>
  <c r="F546" i="11"/>
  <c r="E546" i="11"/>
  <c r="G545" i="11"/>
  <c r="F545" i="11"/>
  <c r="E545" i="11"/>
  <c r="G544" i="11"/>
  <c r="F544" i="11"/>
  <c r="E544" i="11"/>
  <c r="G543" i="11"/>
  <c r="F543" i="11"/>
  <c r="E543" i="11"/>
  <c r="G542" i="11"/>
  <c r="F542" i="11"/>
  <c r="E542" i="11"/>
  <c r="G541" i="11"/>
  <c r="F541" i="11"/>
  <c r="E541" i="11"/>
  <c r="G540" i="11"/>
  <c r="F540" i="11"/>
  <c r="E540" i="11"/>
  <c r="G539" i="11"/>
  <c r="F539" i="11"/>
  <c r="E539" i="11"/>
  <c r="G538" i="11"/>
  <c r="F538" i="11"/>
  <c r="E538" i="11"/>
  <c r="G537" i="11"/>
  <c r="F537" i="11"/>
  <c r="E537" i="11"/>
  <c r="G536" i="11"/>
  <c r="F536" i="11"/>
  <c r="E536" i="11"/>
  <c r="G535" i="11"/>
  <c r="F535" i="11"/>
  <c r="E535" i="11"/>
  <c r="G534" i="11"/>
  <c r="F534" i="11"/>
  <c r="E534" i="11"/>
  <c r="G533" i="11"/>
  <c r="F533" i="11"/>
  <c r="E533" i="11"/>
  <c r="G532" i="11"/>
  <c r="F532" i="11"/>
  <c r="E532" i="11"/>
  <c r="G531" i="11"/>
  <c r="F531" i="11"/>
  <c r="E531" i="11"/>
  <c r="G530" i="11"/>
  <c r="F530" i="11"/>
  <c r="E530" i="11"/>
  <c r="G529" i="11"/>
  <c r="F529" i="11"/>
  <c r="E529" i="11"/>
  <c r="G528" i="11"/>
  <c r="F528" i="11"/>
  <c r="E528" i="11"/>
  <c r="G523" i="11"/>
  <c r="F523" i="11"/>
  <c r="E523" i="11"/>
  <c r="G518" i="11"/>
  <c r="F518" i="11"/>
  <c r="E518" i="11"/>
  <c r="G516" i="11"/>
  <c r="F516" i="11"/>
  <c r="E516" i="11"/>
  <c r="G515" i="11"/>
  <c r="F515" i="11"/>
  <c r="E515" i="11"/>
  <c r="G514" i="11"/>
  <c r="F514" i="11"/>
  <c r="E514" i="11"/>
  <c r="G513" i="11"/>
  <c r="F513" i="11"/>
  <c r="E513" i="11"/>
  <c r="G510" i="11"/>
  <c r="F510" i="11"/>
  <c r="E510" i="11"/>
  <c r="G509" i="11"/>
  <c r="F509" i="11"/>
  <c r="E509" i="11"/>
  <c r="G508" i="11"/>
  <c r="F508" i="11"/>
  <c r="E508" i="11"/>
  <c r="G507" i="11"/>
  <c r="F507" i="11"/>
  <c r="E507" i="11"/>
  <c r="G506" i="11"/>
  <c r="F506" i="11"/>
  <c r="E506" i="11"/>
  <c r="G505" i="11"/>
  <c r="F505" i="11"/>
  <c r="E505" i="11"/>
  <c r="G504" i="11"/>
  <c r="F504" i="11"/>
  <c r="E504" i="11"/>
  <c r="G499" i="11"/>
  <c r="F499" i="11"/>
  <c r="E499" i="11"/>
  <c r="G498" i="11"/>
  <c r="F498" i="11"/>
  <c r="E498" i="11"/>
  <c r="G497" i="11"/>
  <c r="F497" i="11"/>
  <c r="E497" i="11"/>
  <c r="G495" i="11"/>
  <c r="F495" i="11"/>
  <c r="E495" i="11"/>
  <c r="G494" i="11"/>
  <c r="F494" i="11"/>
  <c r="E494" i="11"/>
  <c r="G492" i="11"/>
  <c r="F492" i="11"/>
  <c r="E492" i="11"/>
  <c r="G491" i="11"/>
  <c r="F491" i="11"/>
  <c r="E491" i="11"/>
  <c r="G490" i="11"/>
  <c r="F490" i="11"/>
  <c r="E490" i="11"/>
  <c r="G488" i="11"/>
  <c r="F488" i="11"/>
  <c r="E488" i="11"/>
  <c r="G487" i="11"/>
  <c r="F487" i="11"/>
  <c r="E487" i="11"/>
  <c r="G485" i="11"/>
  <c r="F485" i="11"/>
  <c r="E485" i="11"/>
  <c r="G484" i="11"/>
  <c r="F484" i="11"/>
  <c r="E484" i="11"/>
  <c r="G481" i="11"/>
  <c r="F481" i="11"/>
  <c r="E481" i="11"/>
  <c r="G478" i="11"/>
  <c r="F478" i="11"/>
  <c r="E478" i="11"/>
  <c r="G475" i="11"/>
  <c r="F475" i="11"/>
  <c r="E475" i="11"/>
  <c r="G472" i="11"/>
  <c r="F472" i="11"/>
  <c r="E472" i="11"/>
  <c r="G470" i="11"/>
  <c r="F470" i="11"/>
  <c r="E470" i="11"/>
  <c r="G469" i="11"/>
  <c r="F469" i="11"/>
  <c r="E469" i="11"/>
  <c r="G467" i="11"/>
  <c r="F467" i="11"/>
  <c r="E467" i="11"/>
  <c r="G462" i="11"/>
  <c r="F462" i="11"/>
  <c r="E462" i="11"/>
  <c r="G461" i="11"/>
  <c r="F461" i="11"/>
  <c r="E461" i="11"/>
  <c r="G460" i="11"/>
  <c r="F460" i="11"/>
  <c r="E460" i="11"/>
  <c r="G459" i="11"/>
  <c r="F459" i="11"/>
  <c r="E459" i="11"/>
  <c r="G458" i="11"/>
  <c r="F458" i="11"/>
  <c r="E458" i="11"/>
  <c r="G453" i="11"/>
  <c r="F453" i="11"/>
  <c r="E453" i="11"/>
  <c r="G452" i="11"/>
  <c r="F452" i="11"/>
  <c r="E452" i="11"/>
  <c r="G449" i="11"/>
  <c r="F449" i="11"/>
  <c r="E449" i="11"/>
  <c r="G448" i="11"/>
  <c r="F448" i="11"/>
  <c r="E448" i="11"/>
  <c r="G447" i="11"/>
  <c r="F447" i="11"/>
  <c r="E447" i="11"/>
  <c r="G446" i="11"/>
  <c r="F446" i="11"/>
  <c r="E446" i="11"/>
  <c r="G441" i="11"/>
  <c r="F441" i="11"/>
  <c r="E441" i="11"/>
  <c r="G435" i="11"/>
  <c r="F435" i="11"/>
  <c r="E435" i="11"/>
  <c r="G434" i="11"/>
  <c r="F434" i="11"/>
  <c r="E434" i="11"/>
  <c r="G433" i="11"/>
  <c r="F433" i="11"/>
  <c r="E433" i="11"/>
  <c r="G432" i="11"/>
  <c r="F432" i="11"/>
  <c r="E432" i="11"/>
  <c r="G427" i="11"/>
  <c r="F427" i="11"/>
  <c r="E427" i="11"/>
  <c r="G420" i="11"/>
  <c r="F420" i="11"/>
  <c r="E420" i="11"/>
  <c r="G419" i="11"/>
  <c r="F419" i="11"/>
  <c r="E419" i="11"/>
  <c r="G418" i="11"/>
  <c r="F418" i="11"/>
  <c r="E418" i="11"/>
  <c r="G417" i="11"/>
  <c r="F417" i="11"/>
  <c r="E417" i="11"/>
  <c r="G415" i="11"/>
  <c r="F415" i="11"/>
  <c r="E415" i="11"/>
  <c r="G414" i="11"/>
  <c r="F414" i="11"/>
  <c r="E414" i="11"/>
  <c r="G413" i="11"/>
  <c r="F413" i="11"/>
  <c r="E413" i="11"/>
  <c r="G412" i="11"/>
  <c r="F412" i="11"/>
  <c r="E412" i="11"/>
  <c r="G411" i="11"/>
  <c r="F411" i="11"/>
  <c r="E411" i="11"/>
  <c r="G410" i="11"/>
  <c r="F410" i="11"/>
  <c r="E410" i="11"/>
  <c r="G409" i="11"/>
  <c r="F409" i="11"/>
  <c r="E409" i="11"/>
  <c r="G408" i="11"/>
  <c r="F408" i="11"/>
  <c r="E408" i="11"/>
  <c r="G406" i="11"/>
  <c r="F406" i="11"/>
  <c r="E406" i="11"/>
  <c r="G405" i="11"/>
  <c r="F405" i="11"/>
  <c r="E405" i="11"/>
  <c r="G404" i="11"/>
  <c r="F404" i="11"/>
  <c r="E404" i="11"/>
  <c r="G403" i="11"/>
  <c r="F403" i="11"/>
  <c r="E403" i="11"/>
  <c r="G402" i="11"/>
  <c r="F402" i="11"/>
  <c r="E402" i="11"/>
  <c r="G401" i="11"/>
  <c r="F401" i="11"/>
  <c r="E401" i="11"/>
  <c r="G400" i="11"/>
  <c r="F400" i="11"/>
  <c r="E400" i="11"/>
  <c r="G399" i="11"/>
  <c r="F399" i="11"/>
  <c r="E399" i="11"/>
  <c r="G398" i="11"/>
  <c r="F398" i="11"/>
  <c r="E398" i="11"/>
  <c r="G397" i="11"/>
  <c r="F397" i="11"/>
  <c r="E397" i="11"/>
  <c r="G396" i="11"/>
  <c r="F396" i="11"/>
  <c r="E396" i="11"/>
  <c r="G395" i="11"/>
  <c r="F395" i="11"/>
  <c r="E395" i="11"/>
  <c r="G393" i="11"/>
  <c r="F393" i="11"/>
  <c r="E393" i="11"/>
  <c r="G392" i="11"/>
  <c r="F392" i="11"/>
  <c r="E392" i="11"/>
  <c r="G391" i="11"/>
  <c r="F391" i="11"/>
  <c r="E391" i="11"/>
  <c r="G390" i="11"/>
  <c r="F390" i="11"/>
  <c r="E390" i="11"/>
  <c r="G389" i="11"/>
  <c r="F389" i="11"/>
  <c r="E389" i="11"/>
  <c r="G388" i="11"/>
  <c r="F388" i="11"/>
  <c r="E388" i="11"/>
  <c r="G387" i="11"/>
  <c r="F387" i="11"/>
  <c r="E387" i="11"/>
  <c r="G386" i="11"/>
  <c r="F386" i="11"/>
  <c r="E386" i="11"/>
  <c r="G385" i="11"/>
  <c r="F385" i="11"/>
  <c r="E385" i="11"/>
  <c r="G384" i="11"/>
  <c r="F384" i="11"/>
  <c r="E384" i="11"/>
  <c r="G383" i="11"/>
  <c r="F383" i="11"/>
  <c r="E383" i="11"/>
  <c r="G382" i="11"/>
  <c r="F382" i="11"/>
  <c r="E382" i="11"/>
  <c r="G381" i="11"/>
  <c r="F381" i="11"/>
  <c r="E381" i="11"/>
  <c r="G380" i="11"/>
  <c r="F380" i="11"/>
  <c r="E380" i="11"/>
  <c r="G379" i="11"/>
  <c r="F379" i="11"/>
  <c r="E379" i="11"/>
  <c r="G378" i="11"/>
  <c r="F378" i="11"/>
  <c r="E378" i="11"/>
  <c r="G377" i="11"/>
  <c r="F377" i="11"/>
  <c r="E377" i="11"/>
  <c r="G376" i="11"/>
  <c r="F376" i="11"/>
  <c r="E376" i="11"/>
  <c r="G375" i="11"/>
  <c r="F375" i="11"/>
  <c r="E375" i="11"/>
  <c r="G374" i="11"/>
  <c r="F374" i="11"/>
  <c r="E374" i="11"/>
  <c r="G373" i="11"/>
  <c r="F373" i="11"/>
  <c r="E373" i="11"/>
  <c r="G369" i="11"/>
  <c r="F369" i="11"/>
  <c r="E369" i="11"/>
  <c r="G367" i="11"/>
  <c r="F367" i="11"/>
  <c r="E367" i="11"/>
  <c r="G366" i="11"/>
  <c r="F366" i="11"/>
  <c r="E366" i="11"/>
  <c r="G365" i="11"/>
  <c r="F365" i="11"/>
  <c r="E365" i="11"/>
  <c r="G364" i="11"/>
  <c r="F364" i="11"/>
  <c r="E364" i="11"/>
  <c r="G363" i="11"/>
  <c r="F363" i="11"/>
  <c r="E363" i="11"/>
  <c r="G362" i="11"/>
  <c r="F362" i="11"/>
  <c r="E362" i="11"/>
  <c r="G361" i="11"/>
  <c r="F361" i="11"/>
  <c r="E361" i="11"/>
  <c r="G360" i="11"/>
  <c r="F360" i="11"/>
  <c r="E360" i="11"/>
  <c r="G359" i="11"/>
  <c r="F359" i="11"/>
  <c r="E359" i="11"/>
  <c r="G358" i="11"/>
  <c r="F358" i="11"/>
  <c r="E358" i="11"/>
  <c r="G353" i="11"/>
  <c r="F353" i="11"/>
  <c r="E353" i="11"/>
  <c r="G344" i="11"/>
  <c r="F344" i="11"/>
  <c r="E344" i="11"/>
  <c r="G343" i="11"/>
  <c r="F343" i="11"/>
  <c r="E343" i="11"/>
  <c r="G342" i="11"/>
  <c r="F342" i="11"/>
  <c r="E342" i="11"/>
  <c r="G341" i="11"/>
  <c r="F341" i="11"/>
  <c r="E341" i="11"/>
  <c r="G340" i="11"/>
  <c r="F340" i="11"/>
  <c r="E340" i="11"/>
  <c r="G337" i="11"/>
  <c r="F337" i="11"/>
  <c r="E337" i="11"/>
  <c r="G336" i="11"/>
  <c r="F336" i="11"/>
  <c r="E336" i="11"/>
  <c r="G335" i="11"/>
  <c r="F335" i="11"/>
  <c r="E335" i="11"/>
  <c r="G334" i="11"/>
  <c r="F334" i="11"/>
  <c r="E334" i="11"/>
  <c r="G333" i="11"/>
  <c r="F333" i="11"/>
  <c r="E333" i="11"/>
  <c r="G332" i="11"/>
  <c r="F332" i="11"/>
  <c r="E332" i="11"/>
  <c r="G331" i="11"/>
  <c r="F331" i="11"/>
  <c r="E331" i="11"/>
  <c r="G330" i="11"/>
  <c r="F330" i="11"/>
  <c r="E330" i="11"/>
  <c r="G329" i="11"/>
  <c r="F329" i="11"/>
  <c r="E329" i="11"/>
  <c r="G328" i="11"/>
  <c r="F328" i="11"/>
  <c r="E328" i="11"/>
  <c r="G324" i="11"/>
  <c r="F324" i="11"/>
  <c r="E324" i="11"/>
  <c r="G323" i="11"/>
  <c r="F323" i="11"/>
  <c r="E323" i="11"/>
  <c r="G318" i="11"/>
  <c r="F318" i="11"/>
  <c r="E318" i="11"/>
  <c r="G316" i="11"/>
  <c r="F316" i="11"/>
  <c r="E316" i="11"/>
  <c r="G314" i="11"/>
  <c r="F314" i="11"/>
  <c r="E314" i="11"/>
  <c r="G310" i="11"/>
  <c r="F310" i="11"/>
  <c r="E310" i="11"/>
  <c r="G309" i="11"/>
  <c r="F309" i="11"/>
  <c r="E309" i="11"/>
  <c r="G308" i="11"/>
  <c r="F308" i="11"/>
  <c r="E308" i="11"/>
  <c r="G307" i="11"/>
  <c r="F307" i="11"/>
  <c r="E307" i="11"/>
  <c r="G306" i="11"/>
  <c r="F306" i="11"/>
  <c r="E306" i="11"/>
  <c r="G305" i="11"/>
  <c r="F305" i="11"/>
  <c r="E305" i="11"/>
  <c r="G304" i="11"/>
  <c r="F304" i="11"/>
  <c r="E304" i="11"/>
  <c r="G303" i="11"/>
  <c r="F303" i="11"/>
  <c r="E303" i="11"/>
  <c r="G302" i="11"/>
  <c r="F302" i="11"/>
  <c r="E302" i="11"/>
  <c r="G300" i="11"/>
  <c r="F300" i="11"/>
  <c r="E300" i="11"/>
  <c r="G292" i="11"/>
  <c r="F292" i="11"/>
  <c r="E292" i="11"/>
  <c r="G291" i="11"/>
  <c r="F291" i="11"/>
  <c r="E291" i="11"/>
  <c r="G290" i="11"/>
  <c r="F290" i="11"/>
  <c r="E290" i="11"/>
  <c r="G289" i="11"/>
  <c r="F289" i="11"/>
  <c r="E289" i="11"/>
  <c r="G288" i="11"/>
  <c r="F288" i="11"/>
  <c r="E288" i="11"/>
  <c r="G284" i="11"/>
  <c r="F284" i="11"/>
  <c r="E284" i="11"/>
  <c r="G283" i="11"/>
  <c r="F283" i="11"/>
  <c r="E283" i="11"/>
  <c r="G282" i="11"/>
  <c r="F282" i="11"/>
  <c r="E282" i="11"/>
  <c r="G281" i="11"/>
  <c r="F281" i="11"/>
  <c r="E281" i="11"/>
  <c r="G280" i="11"/>
  <c r="F280" i="11"/>
  <c r="E280" i="11"/>
  <c r="G279" i="11"/>
  <c r="F279" i="11"/>
  <c r="E279" i="11"/>
  <c r="G278" i="11"/>
  <c r="F278" i="11"/>
  <c r="E278" i="11"/>
  <c r="G277" i="11"/>
  <c r="F277" i="11"/>
  <c r="E277" i="11"/>
  <c r="G275" i="11"/>
  <c r="F275" i="11"/>
  <c r="E275" i="11"/>
  <c r="G273" i="11"/>
  <c r="F273" i="11"/>
  <c r="E273" i="11"/>
  <c r="G272" i="11"/>
  <c r="F272" i="11"/>
  <c r="E272" i="11"/>
  <c r="G271" i="11"/>
  <c r="F271" i="11"/>
  <c r="E271" i="11"/>
  <c r="G270" i="11"/>
  <c r="F270" i="11"/>
  <c r="E270" i="11"/>
  <c r="G268" i="11"/>
  <c r="F268" i="11"/>
  <c r="E268" i="11"/>
  <c r="G267" i="11"/>
  <c r="F267" i="11"/>
  <c r="E267" i="11"/>
  <c r="G266" i="11"/>
  <c r="F266" i="11"/>
  <c r="E266" i="11"/>
  <c r="G265" i="11"/>
  <c r="F265" i="11"/>
  <c r="E265" i="11"/>
  <c r="G264" i="11"/>
  <c r="F264" i="11"/>
  <c r="E264" i="11"/>
  <c r="G263" i="11"/>
  <c r="F263" i="11"/>
  <c r="E263" i="11"/>
  <c r="G262" i="11"/>
  <c r="F262" i="11"/>
  <c r="E262" i="11"/>
  <c r="G261" i="11"/>
  <c r="F261" i="11"/>
  <c r="E261" i="11"/>
  <c r="G260" i="11"/>
  <c r="F260" i="11"/>
  <c r="E260" i="11"/>
  <c r="G259" i="11"/>
  <c r="F259" i="11"/>
  <c r="E259" i="11"/>
  <c r="G258" i="11"/>
  <c r="F258" i="11"/>
  <c r="E258" i="11"/>
  <c r="G257" i="11"/>
  <c r="F257" i="11"/>
  <c r="E257" i="11"/>
  <c r="G256" i="11"/>
  <c r="F256" i="11"/>
  <c r="E256" i="11"/>
  <c r="G255" i="11"/>
  <c r="F255" i="11"/>
  <c r="E255" i="11"/>
  <c r="G254" i="11"/>
  <c r="F254" i="11"/>
  <c r="E254" i="11"/>
  <c r="G253" i="11"/>
  <c r="F253" i="11"/>
  <c r="E253" i="11"/>
  <c r="G251" i="11"/>
  <c r="F251" i="11"/>
  <c r="E251" i="11"/>
  <c r="G250" i="11"/>
  <c r="F250" i="11"/>
  <c r="E250" i="11"/>
  <c r="G249" i="11"/>
  <c r="F249" i="11"/>
  <c r="E249" i="11"/>
  <c r="G247" i="11"/>
  <c r="F247" i="11"/>
  <c r="E247" i="11"/>
  <c r="G243" i="11"/>
  <c r="F243" i="11"/>
  <c r="E243" i="11"/>
  <c r="G239" i="11"/>
  <c r="F239" i="11"/>
  <c r="E239" i="11"/>
  <c r="G238" i="11"/>
  <c r="F238" i="11"/>
  <c r="E238" i="11"/>
  <c r="G235" i="11"/>
  <c r="F235" i="11"/>
  <c r="E235" i="11"/>
  <c r="G234" i="11"/>
  <c r="F234" i="11"/>
  <c r="E234" i="11"/>
  <c r="G233" i="11"/>
  <c r="F233" i="11"/>
  <c r="E233" i="11"/>
  <c r="G232" i="11"/>
  <c r="F232" i="11"/>
  <c r="E232" i="11"/>
  <c r="G231" i="11"/>
  <c r="F231" i="11"/>
  <c r="E231" i="11"/>
  <c r="G229" i="11"/>
  <c r="F229" i="11"/>
  <c r="E229" i="11"/>
  <c r="G228" i="11"/>
  <c r="F228" i="11"/>
  <c r="E228" i="11"/>
  <c r="G227" i="11"/>
  <c r="F227" i="11"/>
  <c r="E227" i="11"/>
  <c r="G225" i="11"/>
  <c r="F225" i="11"/>
  <c r="E225" i="11"/>
  <c r="G224" i="11"/>
  <c r="F224" i="11"/>
  <c r="E224" i="11"/>
  <c r="G223" i="11"/>
  <c r="F223" i="11"/>
  <c r="E223" i="11"/>
  <c r="G222" i="11"/>
  <c r="F222" i="11"/>
  <c r="E222" i="11"/>
  <c r="G221" i="11"/>
  <c r="F221" i="11"/>
  <c r="E221" i="11"/>
  <c r="G220" i="11"/>
  <c r="F220" i="11"/>
  <c r="E220" i="11"/>
  <c r="G219" i="11"/>
  <c r="F219" i="11"/>
  <c r="E219" i="11"/>
  <c r="G217" i="11"/>
  <c r="F217" i="11"/>
  <c r="E217" i="11"/>
  <c r="G215" i="11"/>
  <c r="F215" i="11"/>
  <c r="E215" i="11"/>
  <c r="G212" i="11"/>
  <c r="F212" i="11"/>
  <c r="E212" i="11"/>
  <c r="G210" i="11"/>
  <c r="F210" i="11"/>
  <c r="E210" i="11"/>
  <c r="G209" i="11"/>
  <c r="F209" i="11"/>
  <c r="E209" i="11"/>
  <c r="G208" i="11"/>
  <c r="F208" i="11"/>
  <c r="E208" i="11"/>
  <c r="G206" i="11"/>
  <c r="F206" i="11"/>
  <c r="E206" i="11"/>
  <c r="G203" i="11"/>
  <c r="F203" i="11"/>
  <c r="E203" i="11"/>
  <c r="G200" i="11"/>
  <c r="F200" i="11"/>
  <c r="E200" i="11"/>
  <c r="G199" i="11"/>
  <c r="F199" i="11"/>
  <c r="E199" i="11"/>
  <c r="G196" i="11"/>
  <c r="F196" i="11"/>
  <c r="E196" i="11"/>
  <c r="G195" i="11"/>
  <c r="F195" i="11"/>
  <c r="E195" i="11"/>
  <c r="G194" i="11"/>
  <c r="F194" i="11"/>
  <c r="E194" i="11"/>
  <c r="G193" i="11"/>
  <c r="F193" i="11"/>
  <c r="E193" i="11"/>
  <c r="G190" i="11"/>
  <c r="F190" i="11"/>
  <c r="E190" i="11"/>
  <c r="G189" i="11"/>
  <c r="F189" i="11"/>
  <c r="E189" i="11"/>
  <c r="G188" i="11"/>
  <c r="F188" i="11"/>
  <c r="E188" i="11"/>
  <c r="G187" i="11"/>
  <c r="F187" i="11"/>
  <c r="E187" i="11"/>
  <c r="G186" i="11"/>
  <c r="F186" i="11"/>
  <c r="E186" i="11"/>
  <c r="G185" i="11"/>
  <c r="F185" i="11"/>
  <c r="E185" i="11"/>
  <c r="G184" i="11"/>
  <c r="F184" i="11"/>
  <c r="E184" i="11"/>
  <c r="G183" i="11"/>
  <c r="F183" i="11"/>
  <c r="E183" i="11"/>
  <c r="G182" i="11"/>
  <c r="F182" i="11"/>
  <c r="E182" i="11"/>
  <c r="G181" i="11"/>
  <c r="F181" i="11"/>
  <c r="E181" i="11"/>
  <c r="G180" i="11"/>
  <c r="F180" i="11"/>
  <c r="E180" i="11"/>
  <c r="G179" i="11"/>
  <c r="F179" i="11"/>
  <c r="E179" i="11"/>
  <c r="G178" i="11"/>
  <c r="F178" i="11"/>
  <c r="E178" i="11"/>
  <c r="G177" i="11"/>
  <c r="F177" i="11"/>
  <c r="E177" i="11"/>
  <c r="G176" i="11"/>
  <c r="F176" i="11"/>
  <c r="E176" i="11"/>
  <c r="G175" i="11"/>
  <c r="F175" i="11"/>
  <c r="E175" i="11"/>
  <c r="G173" i="11"/>
  <c r="F173" i="11"/>
  <c r="E173" i="11"/>
  <c r="G172" i="11"/>
  <c r="F172" i="11"/>
  <c r="E172" i="11"/>
  <c r="G171" i="11"/>
  <c r="F171" i="11"/>
  <c r="E171" i="11"/>
  <c r="G170" i="11"/>
  <c r="F170" i="11"/>
  <c r="E170" i="11"/>
  <c r="G169" i="11"/>
  <c r="F169" i="11"/>
  <c r="E169" i="11"/>
  <c r="G168" i="11"/>
  <c r="F168" i="11"/>
  <c r="E168" i="11"/>
  <c r="G166" i="11"/>
  <c r="F166" i="11"/>
  <c r="E166" i="11"/>
  <c r="G163" i="11"/>
  <c r="F163" i="11"/>
  <c r="E163" i="11"/>
  <c r="G162" i="11"/>
  <c r="F162" i="11"/>
  <c r="E162" i="11"/>
  <c r="G161" i="11"/>
  <c r="F161" i="11"/>
  <c r="E161" i="11"/>
  <c r="G159" i="11"/>
  <c r="F159" i="11"/>
  <c r="E159" i="11"/>
  <c r="G158" i="11"/>
  <c r="F158" i="11"/>
  <c r="E158" i="11"/>
  <c r="G157" i="11"/>
  <c r="F157" i="11"/>
  <c r="E157" i="11"/>
  <c r="G156" i="11"/>
  <c r="F156" i="11"/>
  <c r="E156" i="11"/>
  <c r="G155" i="11"/>
  <c r="F155" i="11"/>
  <c r="E155" i="11"/>
  <c r="G154" i="11"/>
  <c r="F154" i="11"/>
  <c r="E154" i="11"/>
  <c r="G153" i="11"/>
  <c r="F153" i="11"/>
  <c r="E153" i="11"/>
  <c r="G152" i="11"/>
  <c r="F152" i="11"/>
  <c r="E152" i="11"/>
  <c r="G151" i="11"/>
  <c r="F151" i="11"/>
  <c r="E151" i="11"/>
  <c r="G150" i="11"/>
  <c r="F150" i="11"/>
  <c r="E150" i="11"/>
  <c r="G149" i="11"/>
  <c r="F149" i="11"/>
  <c r="E149" i="11"/>
  <c r="G148" i="11"/>
  <c r="F148" i="11"/>
  <c r="E148" i="11"/>
  <c r="G147" i="11"/>
  <c r="F147" i="11"/>
  <c r="E147" i="11"/>
  <c r="G146" i="11"/>
  <c r="F146" i="11"/>
  <c r="E146" i="11"/>
  <c r="G138" i="11"/>
  <c r="F138" i="11"/>
  <c r="E138" i="11"/>
  <c r="G137" i="11"/>
  <c r="F137" i="11"/>
  <c r="E137" i="11"/>
  <c r="G136" i="11"/>
  <c r="F136" i="11"/>
  <c r="E136" i="11"/>
  <c r="G135" i="11"/>
  <c r="F135" i="11"/>
  <c r="E135" i="11"/>
  <c r="G134" i="11"/>
  <c r="F134" i="11"/>
  <c r="E134" i="11"/>
  <c r="G133" i="11"/>
  <c r="F133" i="11"/>
  <c r="E133" i="11"/>
  <c r="G132" i="11"/>
  <c r="F132" i="11"/>
  <c r="E132" i="11"/>
  <c r="G131" i="11"/>
  <c r="F131" i="11"/>
  <c r="E131" i="11"/>
  <c r="G130" i="11"/>
  <c r="F130" i="11"/>
  <c r="E130" i="11"/>
  <c r="G129" i="11"/>
  <c r="F129" i="11"/>
  <c r="E129" i="11"/>
  <c r="G128" i="11"/>
  <c r="F128" i="11"/>
  <c r="E128" i="11"/>
  <c r="G127" i="11"/>
  <c r="F127" i="11"/>
  <c r="E127" i="11"/>
  <c r="G126" i="11"/>
  <c r="F126" i="11"/>
  <c r="E126" i="11"/>
  <c r="G125" i="11"/>
  <c r="F125" i="11"/>
  <c r="E125" i="11"/>
  <c r="G123" i="11"/>
  <c r="F123" i="11"/>
  <c r="E123" i="11"/>
  <c r="G122" i="11"/>
  <c r="F122" i="11"/>
  <c r="E122" i="11"/>
  <c r="G121" i="11"/>
  <c r="F121" i="11"/>
  <c r="E121" i="11"/>
  <c r="G119" i="11"/>
  <c r="F119" i="11"/>
  <c r="E119" i="11"/>
  <c r="G115" i="11"/>
  <c r="F115" i="11"/>
  <c r="E115" i="11"/>
  <c r="G114" i="11"/>
  <c r="F114" i="11"/>
  <c r="E114" i="11"/>
  <c r="G113" i="11"/>
  <c r="F113" i="11"/>
  <c r="E113" i="11"/>
  <c r="G112" i="11"/>
  <c r="F112" i="11"/>
  <c r="E112" i="11"/>
  <c r="G111" i="11"/>
  <c r="F111" i="11"/>
  <c r="E111" i="11"/>
  <c r="G110" i="11"/>
  <c r="F110" i="11"/>
  <c r="E110" i="11"/>
  <c r="G109" i="11"/>
  <c r="F109" i="11"/>
  <c r="E109" i="11"/>
  <c r="G108" i="11"/>
  <c r="F108" i="11"/>
  <c r="E108" i="11"/>
  <c r="G104" i="11"/>
  <c r="F104" i="11"/>
  <c r="E104" i="11"/>
  <c r="G103" i="11"/>
  <c r="F103" i="11"/>
  <c r="E103" i="11"/>
  <c r="G102" i="11"/>
  <c r="F102" i="11"/>
  <c r="E102" i="11"/>
  <c r="G101" i="11"/>
  <c r="F101" i="11"/>
  <c r="E101" i="11"/>
  <c r="G99" i="11"/>
  <c r="F99" i="11"/>
  <c r="E99" i="11"/>
  <c r="G98" i="11"/>
  <c r="F98" i="11"/>
  <c r="E98" i="11"/>
  <c r="G97" i="11"/>
  <c r="F97" i="11"/>
  <c r="E97" i="11"/>
  <c r="G95" i="11"/>
  <c r="F95" i="11"/>
  <c r="E95" i="11"/>
  <c r="G94" i="11"/>
  <c r="F94" i="11"/>
  <c r="E94" i="11"/>
  <c r="G93" i="11"/>
  <c r="F93" i="11"/>
  <c r="E93" i="11"/>
  <c r="G92" i="11"/>
  <c r="F92" i="11"/>
  <c r="E92" i="11"/>
  <c r="G91" i="11"/>
  <c r="F91" i="11"/>
  <c r="E91" i="11"/>
  <c r="G90" i="11"/>
  <c r="F90" i="11"/>
  <c r="E90" i="11"/>
  <c r="G89" i="11"/>
  <c r="F89" i="11"/>
  <c r="E89" i="11"/>
  <c r="G88" i="11"/>
  <c r="F88" i="11"/>
  <c r="E88" i="11"/>
  <c r="G81" i="11"/>
  <c r="F81" i="11"/>
  <c r="E81" i="11"/>
  <c r="G80" i="11"/>
  <c r="F80" i="11"/>
  <c r="E80" i="11"/>
  <c r="G79" i="11"/>
  <c r="F79" i="11"/>
  <c r="E79" i="11"/>
  <c r="G78" i="11"/>
  <c r="F78" i="11"/>
  <c r="E78" i="11"/>
  <c r="G77" i="11"/>
  <c r="F77" i="11"/>
  <c r="E77" i="11"/>
  <c r="G76" i="11"/>
  <c r="F76" i="11"/>
  <c r="E76" i="11"/>
  <c r="G75" i="11"/>
  <c r="F75" i="11"/>
  <c r="E75" i="11"/>
  <c r="G74" i="11"/>
  <c r="F74" i="11"/>
  <c r="E74" i="11"/>
  <c r="G73" i="11"/>
  <c r="F73" i="11"/>
  <c r="E73" i="11"/>
  <c r="G72" i="11"/>
  <c r="F72" i="11"/>
  <c r="E72" i="11"/>
  <c r="G71" i="11"/>
  <c r="F71" i="11"/>
  <c r="E71" i="11"/>
  <c r="G70" i="11"/>
  <c r="F70" i="11"/>
  <c r="E70" i="11"/>
  <c r="G69" i="11"/>
  <c r="F69" i="11"/>
  <c r="E69" i="11"/>
  <c r="G68" i="11"/>
  <c r="F68" i="11"/>
  <c r="E68" i="11"/>
  <c r="G67" i="11"/>
  <c r="F67" i="11"/>
  <c r="E67" i="11"/>
  <c r="G66" i="11"/>
  <c r="F66" i="11"/>
  <c r="E66" i="11"/>
  <c r="G65" i="11"/>
  <c r="F65" i="11"/>
  <c r="E65" i="11"/>
  <c r="G64" i="11"/>
  <c r="F64" i="11"/>
  <c r="E64" i="11"/>
  <c r="G63" i="11"/>
  <c r="F63" i="11"/>
  <c r="E63" i="11"/>
  <c r="G62" i="11"/>
  <c r="F62" i="11"/>
  <c r="E62" i="11"/>
  <c r="G61" i="11"/>
  <c r="F61" i="11"/>
  <c r="E61" i="11"/>
  <c r="G60" i="11"/>
  <c r="F60" i="11"/>
  <c r="E60" i="11"/>
  <c r="G59" i="11"/>
  <c r="F59" i="11"/>
  <c r="E59" i="11"/>
  <c r="G58" i="11"/>
  <c r="F58" i="11"/>
  <c r="E58" i="11"/>
  <c r="G57" i="11"/>
  <c r="F57" i="11"/>
  <c r="E57" i="11"/>
  <c r="G56" i="11"/>
  <c r="F56" i="11"/>
  <c r="E56" i="11"/>
  <c r="G55" i="11"/>
  <c r="F55" i="11"/>
  <c r="E55" i="11"/>
  <c r="G54" i="11"/>
  <c r="F54" i="11"/>
  <c r="E54" i="11"/>
  <c r="G53" i="11"/>
  <c r="F53" i="11"/>
  <c r="E53" i="11"/>
  <c r="G52" i="11"/>
  <c r="F52" i="11"/>
  <c r="E52" i="11"/>
  <c r="G51" i="11"/>
  <c r="F51" i="11"/>
  <c r="E51" i="11"/>
  <c r="G49" i="11"/>
  <c r="F49" i="11"/>
  <c r="E49" i="11"/>
  <c r="G48" i="11"/>
  <c r="F48" i="11"/>
  <c r="E48" i="11"/>
  <c r="G47" i="11"/>
  <c r="F47" i="11"/>
  <c r="E47" i="11"/>
  <c r="G46" i="11"/>
  <c r="F46" i="11"/>
  <c r="E46" i="11"/>
  <c r="G45" i="11"/>
  <c r="F45" i="11"/>
  <c r="E45" i="11"/>
  <c r="G44" i="11"/>
  <c r="F44" i="11"/>
  <c r="E44" i="11"/>
  <c r="G43" i="11"/>
  <c r="F43" i="11"/>
  <c r="E43" i="11"/>
  <c r="G42" i="11"/>
  <c r="F42" i="11"/>
  <c r="E42" i="11"/>
  <c r="G37" i="11"/>
  <c r="F37" i="11"/>
  <c r="E37" i="11"/>
  <c r="G30" i="11"/>
  <c r="F30" i="11"/>
  <c r="E30" i="11"/>
  <c r="G29" i="11"/>
  <c r="F29" i="11"/>
  <c r="E29" i="11"/>
  <c r="G26" i="11"/>
  <c r="F26" i="11"/>
  <c r="E26" i="11"/>
  <c r="G25" i="11"/>
  <c r="F25" i="11"/>
  <c r="E25" i="11"/>
  <c r="G23" i="11"/>
  <c r="F23" i="11"/>
  <c r="E23" i="11"/>
  <c r="G22" i="11"/>
  <c r="F22" i="11"/>
  <c r="E22" i="11"/>
  <c r="G21" i="11"/>
  <c r="F21" i="11"/>
  <c r="E21" i="11"/>
  <c r="G20" i="11"/>
  <c r="F20" i="11"/>
  <c r="E20" i="11"/>
  <c r="G17" i="11"/>
  <c r="F17" i="11"/>
  <c r="E17" i="11"/>
  <c r="G16" i="11"/>
  <c r="F16" i="11"/>
  <c r="E16" i="11"/>
  <c r="G15" i="11"/>
  <c r="F15" i="11"/>
  <c r="E15" i="11"/>
  <c r="G14" i="11"/>
  <c r="F14" i="11"/>
  <c r="E14" i="11"/>
  <c r="G13" i="11"/>
  <c r="F13" i="11"/>
  <c r="E13" i="11"/>
  <c r="G11" i="11"/>
  <c r="F11" i="11"/>
  <c r="E11" i="11"/>
  <c r="G10" i="11"/>
  <c r="F10" i="11"/>
  <c r="E10" i="11"/>
  <c r="G9" i="11"/>
  <c r="F9" i="11"/>
  <c r="E9" i="11"/>
  <c r="G8" i="11"/>
  <c r="F8" i="11"/>
  <c r="E8" i="11"/>
  <c r="G7" i="11"/>
  <c r="F7" i="11"/>
  <c r="E7" i="11"/>
  <c r="G5" i="11"/>
  <c r="F5" i="11"/>
  <c r="E5" i="11"/>
  <c r="G3" i="11"/>
  <c r="F3" i="11"/>
  <c r="E3" i="11"/>
  <c r="D633" i="11"/>
  <c r="D632" i="11"/>
  <c r="D631" i="11"/>
  <c r="D630" i="11"/>
  <c r="D629" i="11"/>
  <c r="D628" i="11"/>
  <c r="D627" i="11"/>
  <c r="D626" i="11"/>
  <c r="D625" i="11"/>
  <c r="D624" i="11"/>
  <c r="D623" i="11"/>
  <c r="D622" i="11"/>
  <c r="D621" i="11"/>
  <c r="D617" i="11"/>
  <c r="D616" i="11"/>
  <c r="D612" i="11"/>
  <c r="D611" i="11"/>
  <c r="D609" i="11"/>
  <c r="D607" i="11"/>
  <c r="D606" i="11"/>
  <c r="D604" i="11"/>
  <c r="D602" i="11"/>
  <c r="D593" i="11"/>
  <c r="D590" i="11"/>
  <c r="D589" i="11"/>
  <c r="D588" i="11"/>
  <c r="D587" i="11"/>
  <c r="D586" i="11"/>
  <c r="D584" i="11"/>
  <c r="D583" i="11"/>
  <c r="D582" i="11"/>
  <c r="D581" i="11"/>
  <c r="D580" i="11"/>
  <c r="D579" i="11"/>
  <c r="D578" i="11"/>
  <c r="D575" i="11"/>
  <c r="D574" i="11"/>
  <c r="D573" i="11"/>
  <c r="D569" i="11"/>
  <c r="D568" i="11"/>
  <c r="D564" i="11"/>
  <c r="D563" i="11"/>
  <c r="D562" i="11"/>
  <c r="D560" i="11"/>
  <c r="D558" i="11"/>
  <c r="D557" i="11"/>
  <c r="D556" i="11"/>
  <c r="D554" i="11"/>
  <c r="D549" i="11"/>
  <c r="D548" i="11"/>
  <c r="D547" i="11"/>
  <c r="D546" i="11"/>
  <c r="D545" i="11"/>
  <c r="D544" i="11"/>
  <c r="D543" i="11"/>
  <c r="D542" i="11"/>
  <c r="D541" i="11"/>
  <c r="D540" i="11"/>
  <c r="D539" i="11"/>
  <c r="D538" i="11"/>
  <c r="D537" i="11"/>
  <c r="D536" i="11"/>
  <c r="D535" i="11"/>
  <c r="D534" i="11"/>
  <c r="D533" i="11"/>
  <c r="D532" i="11"/>
  <c r="D531" i="11"/>
  <c r="D530" i="11"/>
  <c r="D529" i="11"/>
  <c r="D528" i="11"/>
  <c r="D523" i="11"/>
  <c r="D518" i="11"/>
  <c r="D516" i="11"/>
  <c r="D515" i="11"/>
  <c r="D514" i="11"/>
  <c r="D513" i="11"/>
  <c r="D510" i="11"/>
  <c r="D509" i="11"/>
  <c r="D508" i="11"/>
  <c r="D507" i="11"/>
  <c r="D506" i="11"/>
  <c r="D505" i="11"/>
  <c r="D504" i="11"/>
  <c r="D499" i="11"/>
  <c r="D498" i="11"/>
  <c r="D497" i="11"/>
  <c r="D495" i="11"/>
  <c r="D494" i="11"/>
  <c r="D492" i="11"/>
  <c r="D491" i="11"/>
  <c r="D490" i="11"/>
  <c r="D488" i="11"/>
  <c r="D487" i="11"/>
  <c r="D485" i="11"/>
  <c r="D484" i="11"/>
  <c r="D481" i="11"/>
  <c r="D478" i="11"/>
  <c r="D475" i="11"/>
  <c r="D472" i="11"/>
  <c r="D470" i="11"/>
  <c r="D469" i="11"/>
  <c r="D467" i="11"/>
  <c r="D462" i="11"/>
  <c r="D461" i="11"/>
  <c r="D460" i="11"/>
  <c r="D459" i="11"/>
  <c r="D458" i="11"/>
  <c r="D453" i="11"/>
  <c r="D452" i="11"/>
  <c r="D449" i="11"/>
  <c r="D448" i="11"/>
  <c r="D447" i="11"/>
  <c r="D446" i="11"/>
  <c r="D441" i="11"/>
  <c r="D435" i="11"/>
  <c r="D434" i="11"/>
  <c r="D433" i="11"/>
  <c r="D432" i="11"/>
  <c r="D427" i="11"/>
  <c r="D420" i="11"/>
  <c r="D419" i="11"/>
  <c r="D418" i="11"/>
  <c r="D417" i="11"/>
  <c r="D415" i="11"/>
  <c r="D414" i="11"/>
  <c r="D413" i="11"/>
  <c r="D412" i="11"/>
  <c r="D411" i="11"/>
  <c r="D410" i="11"/>
  <c r="D409" i="11"/>
  <c r="D408" i="11"/>
  <c r="D406" i="11"/>
  <c r="D405" i="11"/>
  <c r="D404" i="11"/>
  <c r="D403" i="11"/>
  <c r="D402" i="11"/>
  <c r="D401" i="11"/>
  <c r="D400" i="11"/>
  <c r="D399" i="11"/>
  <c r="D398" i="11"/>
  <c r="D397" i="11"/>
  <c r="D396" i="11"/>
  <c r="D395" i="11"/>
  <c r="D393" i="11"/>
  <c r="D392" i="11"/>
  <c r="D391" i="11"/>
  <c r="D390" i="11"/>
  <c r="D389" i="11"/>
  <c r="D388" i="11"/>
  <c r="D387" i="11"/>
  <c r="D386" i="11"/>
  <c r="D385" i="11"/>
  <c r="D384" i="11"/>
  <c r="D383" i="11"/>
  <c r="D382" i="11"/>
  <c r="D381" i="11"/>
  <c r="D380" i="11"/>
  <c r="D379" i="11"/>
  <c r="D378" i="11"/>
  <c r="D377" i="11"/>
  <c r="D376" i="11"/>
  <c r="D375" i="11"/>
  <c r="D374" i="11"/>
  <c r="D373" i="11"/>
  <c r="D369" i="11"/>
  <c r="D367" i="11"/>
  <c r="D366" i="11"/>
  <c r="D365" i="11"/>
  <c r="D364" i="11"/>
  <c r="D363" i="11"/>
  <c r="D362" i="11"/>
  <c r="D361" i="11"/>
  <c r="D360" i="11"/>
  <c r="D359" i="11"/>
  <c r="D358" i="11"/>
  <c r="D353" i="11"/>
  <c r="D344" i="11"/>
  <c r="D343" i="11"/>
  <c r="D342" i="11"/>
  <c r="D341" i="11"/>
  <c r="D340" i="11"/>
  <c r="D337" i="11"/>
  <c r="D336" i="11"/>
  <c r="D335" i="11"/>
  <c r="D334" i="11"/>
  <c r="D333" i="11"/>
  <c r="D332" i="11"/>
  <c r="D331" i="11"/>
  <c r="D330" i="11"/>
  <c r="D329" i="11"/>
  <c r="D328" i="11"/>
  <c r="D324" i="11"/>
  <c r="D323" i="11"/>
  <c r="D318" i="11"/>
  <c r="D316" i="11"/>
  <c r="D314" i="11"/>
  <c r="D310" i="11"/>
  <c r="D309" i="11"/>
  <c r="D308" i="11"/>
  <c r="D307" i="11"/>
  <c r="D306" i="11"/>
  <c r="D305" i="11"/>
  <c r="D304" i="11"/>
  <c r="D303" i="11"/>
  <c r="D302" i="11"/>
  <c r="D300" i="11"/>
  <c r="D292" i="11"/>
  <c r="D291" i="11"/>
  <c r="D290" i="11"/>
  <c r="D289" i="11"/>
  <c r="D288" i="11"/>
  <c r="D284" i="11"/>
  <c r="D283" i="11"/>
  <c r="D282" i="11"/>
  <c r="D281" i="11"/>
  <c r="D280" i="11"/>
  <c r="D279" i="11"/>
  <c r="D278" i="11"/>
  <c r="D277" i="11"/>
  <c r="D275" i="11"/>
  <c r="D273" i="11"/>
  <c r="D272" i="11"/>
  <c r="D271" i="11"/>
  <c r="D270" i="11"/>
  <c r="D268" i="11"/>
  <c r="D267" i="11"/>
  <c r="D266" i="11"/>
  <c r="D265" i="11"/>
  <c r="D264" i="11"/>
  <c r="D263" i="11"/>
  <c r="D262" i="11"/>
  <c r="D261" i="11"/>
  <c r="D260" i="11"/>
  <c r="D259" i="11"/>
  <c r="D258" i="11"/>
  <c r="D257" i="11"/>
  <c r="D256" i="11"/>
  <c r="D255" i="11"/>
  <c r="D254" i="11"/>
  <c r="D253" i="11"/>
  <c r="D251" i="11"/>
  <c r="D250" i="11"/>
  <c r="D249" i="11"/>
  <c r="D247" i="11"/>
  <c r="D243" i="11"/>
  <c r="D239" i="11"/>
  <c r="D238" i="11"/>
  <c r="D235" i="11"/>
  <c r="D234" i="11"/>
  <c r="D233" i="11"/>
  <c r="D232" i="11"/>
  <c r="D231" i="11"/>
  <c r="D229" i="11"/>
  <c r="D228" i="11"/>
  <c r="D227" i="11"/>
  <c r="D225" i="11"/>
  <c r="D224" i="11"/>
  <c r="D223" i="11"/>
  <c r="D222" i="11"/>
  <c r="D221" i="11"/>
  <c r="D220" i="11"/>
  <c r="D219" i="11"/>
  <c r="D217" i="11"/>
  <c r="D215" i="11"/>
  <c r="D212" i="11"/>
  <c r="D210" i="11"/>
  <c r="D209" i="11"/>
  <c r="D208" i="11"/>
  <c r="D206" i="11"/>
  <c r="D203" i="11"/>
  <c r="D200" i="11"/>
  <c r="D199" i="11"/>
  <c r="D196" i="11"/>
  <c r="D195" i="11"/>
  <c r="D194" i="11"/>
  <c r="D193" i="11"/>
  <c r="D190" i="11"/>
  <c r="D189" i="11"/>
  <c r="D188" i="11"/>
  <c r="D187" i="11"/>
  <c r="D186" i="11"/>
  <c r="D185" i="11"/>
  <c r="D184" i="11"/>
  <c r="D183" i="11"/>
  <c r="D182" i="11"/>
  <c r="D181" i="11"/>
  <c r="D180" i="11"/>
  <c r="D179" i="11"/>
  <c r="D178" i="11"/>
  <c r="D177" i="11"/>
  <c r="D176" i="11"/>
  <c r="D175" i="11"/>
  <c r="D173" i="11"/>
  <c r="D172" i="11"/>
  <c r="D171" i="11"/>
  <c r="D170" i="11"/>
  <c r="D169" i="11"/>
  <c r="D168" i="11"/>
  <c r="D166" i="11"/>
  <c r="D163" i="11"/>
  <c r="D162" i="11"/>
  <c r="D161" i="11"/>
  <c r="D159" i="11"/>
  <c r="D158" i="11"/>
  <c r="D157" i="11"/>
  <c r="D156" i="11"/>
  <c r="D155" i="11"/>
  <c r="D154" i="11"/>
  <c r="D153" i="11"/>
  <c r="D152" i="11"/>
  <c r="D151" i="11"/>
  <c r="D150" i="11"/>
  <c r="D149" i="11"/>
  <c r="D148" i="11"/>
  <c r="D147" i="11"/>
  <c r="D146" i="11"/>
  <c r="D138" i="11"/>
  <c r="D137" i="11"/>
  <c r="D136" i="11"/>
  <c r="D135" i="11"/>
  <c r="D134" i="11"/>
  <c r="D133" i="11"/>
  <c r="D132" i="11"/>
  <c r="D131" i="11"/>
  <c r="D130" i="11"/>
  <c r="D129" i="11"/>
  <c r="D128" i="11"/>
  <c r="D127" i="11"/>
  <c r="D126" i="11"/>
  <c r="D125" i="11"/>
  <c r="D123" i="11"/>
  <c r="D122" i="11"/>
  <c r="D121" i="11"/>
  <c r="D119" i="11"/>
  <c r="D115" i="11"/>
  <c r="D114" i="11"/>
  <c r="D113" i="11"/>
  <c r="D112" i="11"/>
  <c r="D111" i="11"/>
  <c r="D110" i="11"/>
  <c r="D109" i="11"/>
  <c r="D108" i="11"/>
  <c r="D104" i="11"/>
  <c r="D103" i="11"/>
  <c r="D102" i="11"/>
  <c r="D101" i="11"/>
  <c r="D99" i="11"/>
  <c r="D98" i="11"/>
  <c r="D97" i="11"/>
  <c r="D95" i="11"/>
  <c r="D94" i="11"/>
  <c r="D93" i="11"/>
  <c r="D92" i="11"/>
  <c r="D91" i="11"/>
  <c r="D90" i="11"/>
  <c r="D89" i="11"/>
  <c r="D88" i="11"/>
  <c r="D81" i="11"/>
  <c r="D80" i="11"/>
  <c r="D79" i="11"/>
  <c r="D78" i="11"/>
  <c r="D77" i="11"/>
  <c r="D76" i="11"/>
  <c r="D75" i="11"/>
  <c r="D74" i="11"/>
  <c r="D73" i="11"/>
  <c r="D72" i="11"/>
  <c r="D71" i="11"/>
  <c r="D70" i="11"/>
  <c r="D69" i="11"/>
  <c r="D68" i="11"/>
  <c r="D67" i="11"/>
  <c r="D66" i="11"/>
  <c r="D65" i="11"/>
  <c r="D64" i="11"/>
  <c r="D63" i="11"/>
  <c r="D62" i="11"/>
  <c r="D61" i="11"/>
  <c r="D60" i="11"/>
  <c r="D59" i="11"/>
  <c r="D58" i="11"/>
  <c r="D57" i="11"/>
  <c r="D56" i="11"/>
  <c r="D55" i="11"/>
  <c r="D54" i="11"/>
  <c r="D53" i="11"/>
  <c r="D52" i="11"/>
  <c r="D51" i="11"/>
  <c r="D49" i="11"/>
  <c r="D48" i="11"/>
  <c r="D47" i="11"/>
  <c r="D46" i="11"/>
  <c r="D45" i="11"/>
  <c r="D44" i="11"/>
  <c r="D43" i="11"/>
  <c r="D42" i="11"/>
  <c r="D37" i="11"/>
  <c r="D30" i="11"/>
  <c r="D29" i="11"/>
  <c r="D26" i="11"/>
  <c r="D25" i="11"/>
  <c r="D23" i="11"/>
  <c r="D22" i="11"/>
  <c r="D21" i="11"/>
  <c r="D20" i="11"/>
  <c r="D17" i="11"/>
  <c r="D16" i="11"/>
  <c r="D15" i="11"/>
  <c r="D14" i="11"/>
  <c r="D13" i="11"/>
  <c r="D11" i="11"/>
  <c r="D10" i="11"/>
  <c r="D9" i="11"/>
  <c r="D8" i="11"/>
  <c r="D7" i="11"/>
  <c r="D5" i="11"/>
  <c r="D3" i="11"/>
  <c r="CT421" i="8" l="1"/>
  <c r="CU421" i="8" s="1"/>
  <c r="CT296" i="8"/>
  <c r="CU296" i="8" s="1"/>
  <c r="CT192" i="8"/>
  <c r="CU192" i="8" s="1"/>
  <c r="CT12" i="8"/>
  <c r="CU12" i="8" s="1"/>
  <c r="CO525" i="8"/>
  <c r="CP525" i="8" s="1"/>
  <c r="CO368" i="8"/>
  <c r="CP368" i="8" s="1"/>
  <c r="CO430" i="8"/>
  <c r="CP430" i="8" s="1"/>
  <c r="CO321" i="8"/>
  <c r="CP321" i="8" s="1"/>
  <c r="CO317" i="8"/>
  <c r="CP317" i="8" s="1"/>
  <c r="CO245" i="8"/>
  <c r="CP245" i="8" s="1"/>
  <c r="CO214" i="8"/>
  <c r="CP214" i="8" s="1"/>
  <c r="CO213" i="8"/>
  <c r="CP213" i="8" s="1"/>
  <c r="CO216" i="8"/>
  <c r="CP216" i="8" s="1"/>
  <c r="CO142" i="8"/>
  <c r="CP142" i="8" s="1"/>
  <c r="CO192" i="8"/>
  <c r="CP192" i="8" s="1"/>
  <c r="CO143" i="8"/>
  <c r="CP143" i="8" s="1"/>
  <c r="CO144" i="8"/>
  <c r="CP144" i="8" s="1"/>
  <c r="CD610" i="8"/>
  <c r="CE610" i="8" s="1"/>
  <c r="CF610" i="8" s="1"/>
  <c r="CE439" i="8"/>
  <c r="CF439" i="8" s="1"/>
  <c r="CE438" i="8"/>
  <c r="CF438" i="8" s="1"/>
  <c r="CE430" i="8"/>
  <c r="CF430" i="8" s="1"/>
  <c r="CE421" i="8"/>
  <c r="CF421" i="8" s="1"/>
  <c r="CE416" i="8"/>
  <c r="CF416" i="8" s="1"/>
  <c r="CE394" i="8"/>
  <c r="CF394" i="8" s="1"/>
  <c r="CE372" i="8"/>
  <c r="CF372" i="8" s="1"/>
  <c r="CE371" i="8"/>
  <c r="CF371" i="8" s="1"/>
  <c r="CE370" i="8"/>
  <c r="CF370" i="8" s="1"/>
  <c r="CE572" i="8"/>
  <c r="CF572" i="8" s="1"/>
  <c r="CE322" i="8"/>
  <c r="CF322" i="8" s="1"/>
  <c r="CJ634" i="8"/>
  <c r="CK634" i="8" s="1"/>
  <c r="CE301" i="8"/>
  <c r="CF301" i="8" s="1"/>
  <c r="H633" i="11"/>
  <c r="I633" i="11" s="1"/>
  <c r="J633" i="11" s="1"/>
  <c r="K633" i="11" s="1"/>
  <c r="H632" i="11"/>
  <c r="I632" i="11" s="1"/>
  <c r="J632" i="11" s="1"/>
  <c r="K632" i="11" s="1"/>
  <c r="H631" i="11"/>
  <c r="I631" i="11" s="1"/>
  <c r="J631" i="11" s="1"/>
  <c r="K631" i="11" s="1"/>
  <c r="H630" i="11"/>
  <c r="I630" i="11" s="1"/>
  <c r="J630" i="11" s="1"/>
  <c r="K630" i="11" s="1"/>
  <c r="H629" i="11"/>
  <c r="I629" i="11" s="1"/>
  <c r="J629" i="11" s="1"/>
  <c r="K629" i="11" s="1"/>
  <c r="H628" i="11"/>
  <c r="I628" i="11" s="1"/>
  <c r="J628" i="11" s="1"/>
  <c r="K628" i="11" s="1"/>
  <c r="H627" i="11"/>
  <c r="I627" i="11" s="1"/>
  <c r="J627" i="11" s="1"/>
  <c r="K627" i="11" s="1"/>
  <c r="H626" i="11"/>
  <c r="I626" i="11" s="1"/>
  <c r="J626" i="11" s="1"/>
  <c r="K626" i="11" s="1"/>
  <c r="H625" i="11"/>
  <c r="I625" i="11" s="1"/>
  <c r="J625" i="11" s="1"/>
  <c r="K625" i="11" s="1"/>
  <c r="H624" i="11"/>
  <c r="I624" i="11" s="1"/>
  <c r="J624" i="11" s="1"/>
  <c r="K624" i="11" s="1"/>
  <c r="H623" i="11"/>
  <c r="I623" i="11" s="1"/>
  <c r="J623" i="11" s="1"/>
  <c r="K623" i="11" s="1"/>
  <c r="H622" i="11"/>
  <c r="I622" i="11" s="1"/>
  <c r="J622" i="11" s="1"/>
  <c r="K622" i="11" s="1"/>
  <c r="H621" i="11"/>
  <c r="I621" i="11" s="1"/>
  <c r="J621" i="11" s="1"/>
  <c r="K621" i="11" s="1"/>
  <c r="H669" i="10"/>
  <c r="I669" i="10" s="1"/>
  <c r="J669" i="10" s="1"/>
  <c r="K669" i="10" s="1"/>
  <c r="H668" i="10"/>
  <c r="I668" i="10" s="1"/>
  <c r="J668" i="10" s="1"/>
  <c r="K668" i="10" s="1"/>
  <c r="H661" i="10"/>
  <c r="I661" i="10" s="1"/>
  <c r="J661" i="10" s="1"/>
  <c r="K661" i="10" s="1"/>
  <c r="H659" i="10"/>
  <c r="I659" i="10" s="1"/>
  <c r="J659" i="10" s="1"/>
  <c r="K659" i="10" s="1"/>
  <c r="H658" i="10"/>
  <c r="I658" i="10" s="1"/>
  <c r="J658" i="10" s="1"/>
  <c r="K658" i="10" s="1"/>
  <c r="H653" i="10"/>
  <c r="I653" i="10" s="1"/>
  <c r="J653" i="10" s="1"/>
  <c r="K653" i="10" s="1"/>
  <c r="H651" i="10"/>
  <c r="I651" i="10" s="1"/>
  <c r="J651" i="10" s="1"/>
  <c r="K651" i="10" s="1"/>
  <c r="H646" i="10"/>
  <c r="I646" i="10" s="1"/>
  <c r="J646" i="10" s="1"/>
  <c r="K646" i="10" s="1"/>
  <c r="H640" i="10"/>
  <c r="I640" i="10" s="1"/>
  <c r="J640" i="10" s="1"/>
  <c r="K640" i="10" s="1"/>
  <c r="H635" i="10"/>
  <c r="I635" i="10" s="1"/>
  <c r="J635" i="10" s="1"/>
  <c r="K635" i="10" s="1"/>
  <c r="H633" i="10"/>
  <c r="I633" i="10" s="1"/>
  <c r="J633" i="10" s="1"/>
  <c r="K633" i="10" s="1"/>
  <c r="H621" i="10"/>
  <c r="I621" i="10" s="1"/>
  <c r="J621" i="10" s="1"/>
  <c r="K621" i="10" s="1"/>
  <c r="H616" i="10"/>
  <c r="I616" i="10" s="1"/>
  <c r="J616" i="10" s="1"/>
  <c r="K616" i="10" s="1"/>
  <c r="H602" i="10"/>
  <c r="I602" i="10" s="1"/>
  <c r="J602" i="10" s="1"/>
  <c r="K602" i="10" s="1"/>
  <c r="H581" i="10"/>
  <c r="I581" i="10" s="1"/>
  <c r="J581" i="10" s="1"/>
  <c r="K581" i="10" s="1"/>
  <c r="H580" i="10"/>
  <c r="I580" i="10" s="1"/>
  <c r="J580" i="10" s="1"/>
  <c r="K580" i="10" s="1"/>
  <c r="H579" i="10"/>
  <c r="I579" i="10" s="1"/>
  <c r="J579" i="10" s="1"/>
  <c r="K579" i="10" s="1"/>
  <c r="H578" i="10"/>
  <c r="I578" i="10" s="1"/>
  <c r="J578" i="10" s="1"/>
  <c r="K578" i="10" s="1"/>
  <c r="H571" i="10"/>
  <c r="I571" i="10" s="1"/>
  <c r="J571" i="10" s="1"/>
  <c r="K571" i="10" s="1"/>
  <c r="H554" i="10"/>
  <c r="I554" i="10" s="1"/>
  <c r="H553" i="10"/>
  <c r="I553" i="10" s="1"/>
  <c r="J553" i="10" s="1"/>
  <c r="K553" i="10" s="1"/>
  <c r="H552" i="10"/>
  <c r="I552" i="10" s="1"/>
  <c r="J552" i="10" s="1"/>
  <c r="K552" i="10" s="1"/>
  <c r="H523" i="10"/>
  <c r="I523" i="10" s="1"/>
  <c r="J523" i="10" s="1"/>
  <c r="K523" i="10" s="1"/>
  <c r="H522" i="10"/>
  <c r="I522" i="10" s="1"/>
  <c r="J522" i="10" s="1"/>
  <c r="K522" i="10" s="1"/>
  <c r="H510" i="10"/>
  <c r="I510" i="10" s="1"/>
  <c r="J510" i="10" s="1"/>
  <c r="K510" i="10" s="1"/>
  <c r="H508" i="10"/>
  <c r="I508" i="10" s="1"/>
  <c r="J508" i="10" s="1"/>
  <c r="K508" i="10" s="1"/>
  <c r="H506" i="10"/>
  <c r="I506" i="10" s="1"/>
  <c r="J506" i="10" s="1"/>
  <c r="K506" i="10" s="1"/>
  <c r="H503" i="10"/>
  <c r="I503" i="10" s="1"/>
  <c r="J503" i="10" s="1"/>
  <c r="K503" i="10" s="1"/>
  <c r="H475" i="10"/>
  <c r="I475" i="10" s="1"/>
  <c r="J475" i="10" s="1"/>
  <c r="K475" i="10" s="1"/>
  <c r="H474" i="10"/>
  <c r="I474" i="10" s="1"/>
  <c r="J474" i="10" s="1"/>
  <c r="K474" i="10" s="1"/>
  <c r="H470" i="10"/>
  <c r="I470" i="10" s="1"/>
  <c r="J470" i="10" s="1"/>
  <c r="K470" i="10" s="1"/>
  <c r="H469" i="10"/>
  <c r="I469" i="10" s="1"/>
  <c r="J469" i="10" s="1"/>
  <c r="K469" i="10" s="1"/>
  <c r="H468" i="10"/>
  <c r="I468" i="10" s="1"/>
  <c r="J468" i="10" s="1"/>
  <c r="K468" i="10" s="1"/>
  <c r="H467" i="10"/>
  <c r="I467" i="10" s="1"/>
  <c r="J467" i="10" s="1"/>
  <c r="K467" i="10" s="1"/>
  <c r="H456" i="10"/>
  <c r="I456" i="10" s="1"/>
  <c r="J456" i="10" s="1"/>
  <c r="K456" i="10" s="1"/>
  <c r="H449" i="10"/>
  <c r="I449" i="10" s="1"/>
  <c r="J449" i="10" s="1"/>
  <c r="K449" i="10" s="1"/>
  <c r="H437" i="10"/>
  <c r="I437" i="10" s="1"/>
  <c r="J437" i="10" s="1"/>
  <c r="K437" i="10" s="1"/>
  <c r="H430" i="10"/>
  <c r="I430" i="10" s="1"/>
  <c r="J430" i="10" s="1"/>
  <c r="K430" i="10" s="1"/>
  <c r="H429" i="10"/>
  <c r="I429" i="10" s="1"/>
  <c r="J429" i="10" s="1"/>
  <c r="K429" i="10" s="1"/>
  <c r="H424" i="10"/>
  <c r="I424" i="10" s="1"/>
  <c r="J424" i="10" s="1"/>
  <c r="K424" i="10" s="1"/>
  <c r="H423" i="10"/>
  <c r="I423" i="10" s="1"/>
  <c r="J423" i="10" s="1"/>
  <c r="K423" i="10" s="1"/>
  <c r="H412" i="10"/>
  <c r="I412" i="10" s="1"/>
  <c r="J412" i="10" s="1"/>
  <c r="K412" i="10" s="1"/>
  <c r="H411" i="10"/>
  <c r="I411" i="10" s="1"/>
  <c r="J411" i="10" s="1"/>
  <c r="K411" i="10" s="1"/>
  <c r="H409" i="10"/>
  <c r="I409" i="10" s="1"/>
  <c r="J409" i="10" s="1"/>
  <c r="K409" i="10" s="1"/>
  <c r="H404" i="10"/>
  <c r="I404" i="10" s="1"/>
  <c r="J404" i="10" s="1"/>
  <c r="K404" i="10" s="1"/>
  <c r="H403" i="10"/>
  <c r="I403" i="10" s="1"/>
  <c r="J403" i="10" s="1"/>
  <c r="K403" i="10" s="1"/>
  <c r="H402" i="10"/>
  <c r="I402" i="10" s="1"/>
  <c r="J402" i="10" s="1"/>
  <c r="K402" i="10" s="1"/>
  <c r="H397" i="10"/>
  <c r="I397" i="10" s="1"/>
  <c r="H395" i="10"/>
  <c r="I395" i="10" s="1"/>
  <c r="J395" i="10" s="1"/>
  <c r="K395" i="10" s="1"/>
  <c r="H393" i="10"/>
  <c r="I393" i="10" s="1"/>
  <c r="J393" i="10" s="1"/>
  <c r="K393" i="10" s="1"/>
  <c r="H392" i="10"/>
  <c r="I392" i="10" s="1"/>
  <c r="J392" i="10" s="1"/>
  <c r="K392" i="10" s="1"/>
  <c r="H385" i="10"/>
  <c r="I385" i="10" s="1"/>
  <c r="J385" i="10" s="1"/>
  <c r="K385" i="10" s="1"/>
  <c r="H378" i="10"/>
  <c r="I378" i="10" s="1"/>
  <c r="J378" i="10" s="1"/>
  <c r="K378" i="10" s="1"/>
  <c r="H377" i="10"/>
  <c r="I377" i="10" s="1"/>
  <c r="J377" i="10" s="1"/>
  <c r="K377" i="10" s="1"/>
  <c r="H371" i="10"/>
  <c r="I371" i="10" s="1"/>
  <c r="J371" i="10" s="1"/>
  <c r="K371" i="10" s="1"/>
  <c r="H361" i="10"/>
  <c r="I361" i="10" s="1"/>
  <c r="J361" i="10" s="1"/>
  <c r="K361" i="10" s="1"/>
  <c r="H356" i="10"/>
  <c r="I356" i="10" s="1"/>
  <c r="J356" i="10" s="1"/>
  <c r="K356" i="10" s="1"/>
  <c r="H354" i="10"/>
  <c r="I354" i="10" s="1"/>
  <c r="J354" i="10" s="1"/>
  <c r="K354" i="10" s="1"/>
  <c r="H350" i="10"/>
  <c r="I350" i="10" s="1"/>
  <c r="J350" i="10" s="1"/>
  <c r="K350" i="10" s="1"/>
  <c r="H348" i="10"/>
  <c r="I348" i="10" s="1"/>
  <c r="J348" i="10" s="1"/>
  <c r="K348" i="10" s="1"/>
  <c r="H347" i="10"/>
  <c r="I347" i="10" s="1"/>
  <c r="J347" i="10" s="1"/>
  <c r="K347" i="10" s="1"/>
  <c r="H336" i="10"/>
  <c r="I336" i="10" s="1"/>
  <c r="H333" i="10"/>
  <c r="I333" i="10" s="1"/>
  <c r="J333" i="10" s="1"/>
  <c r="K333" i="10" s="1"/>
  <c r="H329" i="10"/>
  <c r="I329" i="10" s="1"/>
  <c r="H313" i="10"/>
  <c r="I313" i="10" s="1"/>
  <c r="J313" i="10" s="1"/>
  <c r="K313" i="10" s="1"/>
  <c r="H312" i="10"/>
  <c r="I312" i="10" s="1"/>
  <c r="J312" i="10" s="1"/>
  <c r="K312" i="10" s="1"/>
  <c r="H309" i="10"/>
  <c r="I309" i="10" s="1"/>
  <c r="J309" i="10" s="1"/>
  <c r="K309" i="10" s="1"/>
  <c r="H299" i="10"/>
  <c r="I299" i="10" s="1"/>
  <c r="J299" i="10" s="1"/>
  <c r="K299" i="10" s="1"/>
  <c r="H298" i="10"/>
  <c r="I298" i="10" s="1"/>
  <c r="H297" i="10"/>
  <c r="I297" i="10" s="1"/>
  <c r="J297" i="10" s="1"/>
  <c r="K297" i="10" s="1"/>
  <c r="H296" i="10"/>
  <c r="I296" i="10" s="1"/>
  <c r="J296" i="10" s="1"/>
  <c r="K296" i="10" s="1"/>
  <c r="H292" i="10"/>
  <c r="I292" i="10" s="1"/>
  <c r="J292" i="10" s="1"/>
  <c r="K292" i="10" s="1"/>
  <c r="H289" i="10"/>
  <c r="I289" i="10" s="1"/>
  <c r="J289" i="10" s="1"/>
  <c r="K289" i="10" s="1"/>
  <c r="H284" i="10"/>
  <c r="I284" i="10" s="1"/>
  <c r="J284" i="10" s="1"/>
  <c r="K284" i="10" s="1"/>
  <c r="H282" i="10"/>
  <c r="I282" i="10" s="1"/>
  <c r="H276" i="10"/>
  <c r="I276" i="10" s="1"/>
  <c r="H274" i="10"/>
  <c r="I274" i="10" s="1"/>
  <c r="J274" i="10" s="1"/>
  <c r="K274" i="10" s="1"/>
  <c r="H266" i="10"/>
  <c r="I266" i="10" s="1"/>
  <c r="J266" i="10" s="1"/>
  <c r="K266" i="10" s="1"/>
  <c r="H265" i="10"/>
  <c r="I265" i="10" s="1"/>
  <c r="J265" i="10" s="1"/>
  <c r="K265" i="10" s="1"/>
  <c r="H260" i="10"/>
  <c r="I260" i="10" s="1"/>
  <c r="J260" i="10" s="1"/>
  <c r="K260" i="10" s="1"/>
  <c r="H259" i="10"/>
  <c r="I259" i="10" s="1"/>
  <c r="J259" i="10" s="1"/>
  <c r="K259" i="10" s="1"/>
  <c r="H258" i="10"/>
  <c r="I258" i="10" s="1"/>
  <c r="H257" i="10"/>
  <c r="I257" i="10" s="1"/>
  <c r="J257" i="10" s="1"/>
  <c r="K257" i="10" s="1"/>
  <c r="H252" i="10"/>
  <c r="I252" i="10" s="1"/>
  <c r="H251" i="10"/>
  <c r="I251" i="10" s="1"/>
  <c r="J251" i="10" s="1"/>
  <c r="K251" i="10" s="1"/>
  <c r="H250" i="10"/>
  <c r="I250" i="10" s="1"/>
  <c r="J250" i="10" s="1"/>
  <c r="K250" i="10" s="1"/>
  <c r="H249" i="10"/>
  <c r="I249" i="10" s="1"/>
  <c r="J249" i="10" s="1"/>
  <c r="K249" i="10" s="1"/>
  <c r="H244" i="10"/>
  <c r="I244" i="10" s="1"/>
  <c r="J244" i="10" s="1"/>
  <c r="K244" i="10" s="1"/>
  <c r="H235" i="10"/>
  <c r="I235" i="10" s="1"/>
  <c r="H234" i="10"/>
  <c r="I234" i="10" s="1"/>
  <c r="J234" i="10" s="1"/>
  <c r="K234" i="10" s="1"/>
  <c r="H233" i="10"/>
  <c r="I233" i="10" s="1"/>
  <c r="H232" i="10"/>
  <c r="I232" i="10" s="1"/>
  <c r="J232" i="10" s="1"/>
  <c r="K232" i="10" s="1"/>
  <c r="H226" i="10"/>
  <c r="I226" i="10" s="1"/>
  <c r="J226" i="10" s="1"/>
  <c r="K226" i="10" s="1"/>
  <c r="H218" i="10"/>
  <c r="I218" i="10" s="1"/>
  <c r="J218" i="10" s="1"/>
  <c r="K218" i="10" s="1"/>
  <c r="H214" i="10"/>
  <c r="I214" i="10" s="1"/>
  <c r="H207" i="10"/>
  <c r="I207" i="10" s="1"/>
  <c r="J207" i="10" s="1"/>
  <c r="K207" i="10" s="1"/>
  <c r="H205" i="10"/>
  <c r="I205" i="10" s="1"/>
  <c r="J205" i="10" s="1"/>
  <c r="K205" i="10" s="1"/>
  <c r="H202" i="10"/>
  <c r="I202" i="10" s="1"/>
  <c r="J202" i="10" s="1"/>
  <c r="K202" i="10" s="1"/>
  <c r="H200" i="10"/>
  <c r="I200" i="10" s="1"/>
  <c r="J200" i="10" s="1"/>
  <c r="K200" i="10" s="1"/>
  <c r="H189" i="10"/>
  <c r="I189" i="10" s="1"/>
  <c r="J189" i="10" s="1"/>
  <c r="K189" i="10" s="1"/>
  <c r="H188" i="10"/>
  <c r="I188" i="10" s="1"/>
  <c r="H186" i="10"/>
  <c r="I186" i="10" s="1"/>
  <c r="J186" i="10" s="1"/>
  <c r="K186" i="10" s="1"/>
  <c r="H170" i="10"/>
  <c r="I170" i="10" s="1"/>
  <c r="J170" i="10" s="1"/>
  <c r="K170" i="10" s="1"/>
  <c r="H164" i="10"/>
  <c r="I164" i="10" s="1"/>
  <c r="J164" i="10" s="1"/>
  <c r="K164" i="10" s="1"/>
  <c r="H163" i="10"/>
  <c r="I163" i="10" s="1"/>
  <c r="J163" i="10" s="1"/>
  <c r="K163" i="10" s="1"/>
  <c r="H146" i="10"/>
  <c r="I146" i="10" s="1"/>
  <c r="J146" i="10" s="1"/>
  <c r="K146" i="10" s="1"/>
  <c r="H142" i="10"/>
  <c r="I142" i="10" s="1"/>
  <c r="J142" i="10" s="1"/>
  <c r="K142" i="10" s="1"/>
  <c r="H141" i="10"/>
  <c r="I141" i="10" s="1"/>
  <c r="J141" i="10" s="1"/>
  <c r="K141" i="10" s="1"/>
  <c r="H140" i="10"/>
  <c r="I140" i="10" s="1"/>
  <c r="J140" i="10" s="1"/>
  <c r="K140" i="10" s="1"/>
  <c r="H139" i="10"/>
  <c r="I139" i="10" s="1"/>
  <c r="J139" i="10" s="1"/>
  <c r="K139" i="10" s="1"/>
  <c r="H138" i="10"/>
  <c r="I138" i="10" s="1"/>
  <c r="J138" i="10" s="1"/>
  <c r="K138" i="10" s="1"/>
  <c r="H133" i="10"/>
  <c r="I133" i="10" s="1"/>
  <c r="J133" i="10" s="1"/>
  <c r="K133" i="10" s="1"/>
  <c r="H132" i="10"/>
  <c r="I132" i="10" s="1"/>
  <c r="J132" i="10" s="1"/>
  <c r="K132" i="10" s="1"/>
  <c r="H131" i="10"/>
  <c r="I131" i="10" s="1"/>
  <c r="J131" i="10" s="1"/>
  <c r="K131" i="10" s="1"/>
  <c r="H127" i="10"/>
  <c r="I127" i="10" s="1"/>
  <c r="J127" i="10" s="1"/>
  <c r="K127" i="10" s="1"/>
  <c r="H126" i="10"/>
  <c r="I126" i="10" s="1"/>
  <c r="J126" i="10" s="1"/>
  <c r="K126" i="10" s="1"/>
  <c r="H125" i="10"/>
  <c r="I125" i="10" s="1"/>
  <c r="J125" i="10" s="1"/>
  <c r="K125" i="10" s="1"/>
  <c r="H123" i="10"/>
  <c r="I123" i="10" s="1"/>
  <c r="J123" i="10" s="1"/>
  <c r="K123" i="10" s="1"/>
  <c r="H116" i="10"/>
  <c r="I116" i="10" s="1"/>
  <c r="J116" i="10" s="1"/>
  <c r="K116" i="10" s="1"/>
  <c r="H115" i="10"/>
  <c r="I115" i="10" s="1"/>
  <c r="J115" i="10" s="1"/>
  <c r="K115" i="10" s="1"/>
  <c r="H105" i="10"/>
  <c r="I105" i="10" s="1"/>
  <c r="J105" i="10" s="1"/>
  <c r="K105" i="10" s="1"/>
  <c r="H104" i="10"/>
  <c r="I104" i="10" s="1"/>
  <c r="J104" i="10" s="1"/>
  <c r="K104" i="10" s="1"/>
  <c r="H98" i="10"/>
  <c r="I98" i="10" s="1"/>
  <c r="J98" i="10" s="1"/>
  <c r="K98" i="10" s="1"/>
  <c r="H97" i="10"/>
  <c r="I97" i="10" s="1"/>
  <c r="J97" i="10" s="1"/>
  <c r="K97" i="10" s="1"/>
  <c r="H93" i="10"/>
  <c r="I93" i="10" s="1"/>
  <c r="J93" i="10" s="1"/>
  <c r="K93" i="10" s="1"/>
  <c r="H87" i="10"/>
  <c r="I87" i="10" s="1"/>
  <c r="J87" i="10" s="1"/>
  <c r="K87" i="10" s="1"/>
  <c r="H86" i="10"/>
  <c r="I86" i="10" s="1"/>
  <c r="J86" i="10" s="1"/>
  <c r="K86" i="10" s="1"/>
  <c r="H85" i="10"/>
  <c r="I85" i="10" s="1"/>
  <c r="J85" i="10" s="1"/>
  <c r="K85" i="10" s="1"/>
  <c r="H77" i="10"/>
  <c r="I77" i="10" s="1"/>
  <c r="J77" i="10" s="1"/>
  <c r="K77" i="10" s="1"/>
  <c r="H72" i="10"/>
  <c r="I72" i="10" s="1"/>
  <c r="J72" i="10" s="1"/>
  <c r="K72" i="10" s="1"/>
  <c r="H70" i="10"/>
  <c r="I70" i="10" s="1"/>
  <c r="J70" i="10" s="1"/>
  <c r="K70" i="10" s="1"/>
  <c r="H35" i="10"/>
  <c r="I35" i="10" s="1"/>
  <c r="J35" i="10" s="1"/>
  <c r="K35" i="10" s="1"/>
  <c r="H6" i="10"/>
  <c r="I6" i="10" s="1"/>
  <c r="J6" i="10" s="1"/>
  <c r="K6" i="10" s="1"/>
  <c r="H5" i="10"/>
  <c r="I5" i="10" s="1"/>
  <c r="J5" i="10" s="1"/>
  <c r="K5" i="10" s="1"/>
  <c r="CE293" i="8"/>
  <c r="CF293" i="8" s="1"/>
  <c r="CE274" i="8"/>
  <c r="CF274" i="8" s="1"/>
  <c r="CE269" i="8"/>
  <c r="CF269" i="8" s="1"/>
  <c r="CE248" i="8"/>
  <c r="CF248" i="8" s="1"/>
  <c r="CE245" i="8"/>
  <c r="CF245" i="8" s="1"/>
  <c r="CE345" i="8"/>
  <c r="CF345" i="8" s="1"/>
  <c r="CE216" i="8"/>
  <c r="CF216" i="8" s="1"/>
  <c r="CE192" i="8"/>
  <c r="CF192" i="8" s="1"/>
  <c r="CE143" i="8"/>
  <c r="CF143" i="8" s="1"/>
  <c r="CE145" i="8"/>
  <c r="CF145" i="8" s="1"/>
  <c r="CE141" i="8"/>
  <c r="CF141" i="8" s="1"/>
  <c r="CE144" i="8"/>
  <c r="CF144" i="8" s="1"/>
  <c r="CE140" i="8"/>
  <c r="CF140" i="8" s="1"/>
  <c r="CE50" i="8"/>
  <c r="CF50" i="8" s="1"/>
  <c r="CE19" i="8"/>
  <c r="CF19" i="8" s="1"/>
  <c r="CE18" i="8"/>
  <c r="CF18" i="8" s="1"/>
  <c r="J336" i="10" l="1"/>
  <c r="K336" i="10" s="1"/>
  <c r="J397" i="10"/>
  <c r="K397" i="10" s="1"/>
  <c r="J258" i="10"/>
  <c r="K258" i="10" s="1"/>
  <c r="J554" i="10"/>
  <c r="K554" i="10" s="1"/>
  <c r="J235" i="10"/>
  <c r="K235" i="10" s="1"/>
  <c r="J188" i="10"/>
  <c r="K188" i="10" s="1"/>
  <c r="J214" i="10"/>
  <c r="K214" i="10" s="1"/>
  <c r="J276" i="10"/>
  <c r="K276" i="10" s="1"/>
  <c r="J233" i="10"/>
  <c r="K233" i="10" s="1"/>
  <c r="J282" i="10"/>
  <c r="K282" i="10" s="1"/>
  <c r="J298" i="10"/>
  <c r="K298" i="10" s="1"/>
  <c r="J329" i="10"/>
  <c r="K329" i="10" s="1"/>
  <c r="J252" i="10"/>
  <c r="K252" i="10" s="1"/>
  <c r="G317" i="11"/>
  <c r="F317" i="11"/>
  <c r="E317" i="11"/>
  <c r="L317" i="11"/>
  <c r="D317" i="11"/>
  <c r="L634" i="11"/>
  <c r="F634" i="11"/>
  <c r="E634" i="11"/>
  <c r="G634" i="11"/>
  <c r="D634" i="11"/>
  <c r="G610" i="11"/>
  <c r="F610" i="11"/>
  <c r="E610" i="11"/>
  <c r="L610" i="11"/>
  <c r="D610" i="11"/>
  <c r="L19" i="11"/>
  <c r="E19" i="11"/>
  <c r="D19" i="11"/>
  <c r="G19" i="11"/>
  <c r="F19" i="11"/>
  <c r="L269" i="11"/>
  <c r="G269" i="11"/>
  <c r="E269" i="11"/>
  <c r="D269" i="11"/>
  <c r="F269" i="11"/>
  <c r="L12" i="11"/>
  <c r="E12" i="11"/>
  <c r="D12" i="11"/>
  <c r="G12" i="11"/>
  <c r="F12" i="11"/>
  <c r="L18" i="11"/>
  <c r="G18" i="11"/>
  <c r="F18" i="11"/>
  <c r="D18" i="11"/>
  <c r="E18" i="11"/>
  <c r="H3" i="10"/>
  <c r="I3" i="10" s="1"/>
  <c r="J3" i="10" s="1"/>
  <c r="K3" i="10" s="1"/>
  <c r="H68" i="10"/>
  <c r="I68" i="10" s="1"/>
  <c r="J68" i="10" s="1"/>
  <c r="K68" i="10" s="1"/>
  <c r="H110" i="10"/>
  <c r="I110" i="10" s="1"/>
  <c r="J110" i="10" s="1"/>
  <c r="K110" i="10" s="1"/>
  <c r="H178" i="10"/>
  <c r="I178" i="10" s="1"/>
  <c r="J178" i="10" s="1"/>
  <c r="K178" i="10" s="1"/>
  <c r="H267" i="10"/>
  <c r="I267" i="10" s="1"/>
  <c r="J267" i="10" s="1"/>
  <c r="K267" i="10" s="1"/>
  <c r="H335" i="10"/>
  <c r="I335" i="10" s="1"/>
  <c r="J335" i="10" s="1"/>
  <c r="K335" i="10" s="1"/>
  <c r="H396" i="10"/>
  <c r="I396" i="10" s="1"/>
  <c r="H410" i="10"/>
  <c r="I410" i="10" s="1"/>
  <c r="J410" i="10" s="1"/>
  <c r="K410" i="10" s="1"/>
  <c r="H428" i="10"/>
  <c r="I428" i="10" s="1"/>
  <c r="J428" i="10" s="1"/>
  <c r="K428" i="10" s="1"/>
  <c r="H450" i="10"/>
  <c r="I450" i="10" s="1"/>
  <c r="J450" i="10" s="1"/>
  <c r="K450" i="10" s="1"/>
  <c r="H464" i="10"/>
  <c r="I464" i="10" s="1"/>
  <c r="J464" i="10" s="1"/>
  <c r="K464" i="10" s="1"/>
  <c r="H476" i="10"/>
  <c r="I476" i="10" s="1"/>
  <c r="J476" i="10" s="1"/>
  <c r="K476" i="10" s="1"/>
  <c r="H524" i="10"/>
  <c r="I524" i="10" s="1"/>
  <c r="J524" i="10" s="1"/>
  <c r="K524" i="10" s="1"/>
  <c r="H546" i="10"/>
  <c r="I546" i="10" s="1"/>
  <c r="J546" i="10" s="1"/>
  <c r="K546" i="10" s="1"/>
  <c r="H588" i="10"/>
  <c r="I588" i="10" s="1"/>
  <c r="J588" i="10" s="1"/>
  <c r="K588" i="10" s="1"/>
  <c r="H619" i="10"/>
  <c r="I619" i="10" s="1"/>
  <c r="J619" i="10" s="1"/>
  <c r="K619" i="10" s="1"/>
  <c r="H644" i="10"/>
  <c r="I644" i="10" s="1"/>
  <c r="J644" i="10" s="1"/>
  <c r="K644" i="10" s="1"/>
  <c r="G394" i="11"/>
  <c r="L394" i="11"/>
  <c r="E394" i="11"/>
  <c r="F394" i="11"/>
  <c r="D394" i="11"/>
  <c r="G321" i="11"/>
  <c r="F321" i="11"/>
  <c r="E321" i="11"/>
  <c r="L321" i="11"/>
  <c r="D321" i="11"/>
  <c r="E416" i="11"/>
  <c r="L416" i="11"/>
  <c r="G416" i="11"/>
  <c r="D416" i="11"/>
  <c r="F416" i="11"/>
  <c r="F192" i="11"/>
  <c r="L192" i="11"/>
  <c r="D192" i="11"/>
  <c r="G192" i="11"/>
  <c r="E192" i="11"/>
  <c r="L216" i="11"/>
  <c r="G216" i="11"/>
  <c r="F216" i="11"/>
  <c r="D216" i="11"/>
  <c r="E216" i="11"/>
  <c r="L301" i="11"/>
  <c r="G301" i="11"/>
  <c r="F301" i="11"/>
  <c r="E301" i="11"/>
  <c r="D301" i="11"/>
  <c r="G421" i="11"/>
  <c r="F421" i="11"/>
  <c r="E421" i="11"/>
  <c r="L421" i="11"/>
  <c r="D421" i="11"/>
  <c r="G345" i="11"/>
  <c r="F345" i="11"/>
  <c r="E345" i="11"/>
  <c r="L345" i="11"/>
  <c r="D345" i="11"/>
  <c r="L430" i="11"/>
  <c r="G430" i="11"/>
  <c r="E430" i="11"/>
  <c r="D430" i="11"/>
  <c r="F430" i="11"/>
  <c r="L213" i="11"/>
  <c r="E213" i="11"/>
  <c r="G213" i="11"/>
  <c r="D213" i="11"/>
  <c r="F213" i="11"/>
  <c r="G368" i="11"/>
  <c r="L368" i="11"/>
  <c r="E368" i="11"/>
  <c r="F368" i="11"/>
  <c r="D368" i="11"/>
  <c r="E438" i="11"/>
  <c r="L438" i="11"/>
  <c r="G438" i="11"/>
  <c r="F438" i="11"/>
  <c r="D438" i="11"/>
  <c r="L439" i="11"/>
  <c r="G439" i="11"/>
  <c r="F439" i="11"/>
  <c r="E439" i="11"/>
  <c r="D439" i="11"/>
  <c r="L50" i="11"/>
  <c r="G50" i="11"/>
  <c r="E50" i="11"/>
  <c r="D50" i="11"/>
  <c r="F50" i="11"/>
  <c r="G248" i="11"/>
  <c r="F248" i="11"/>
  <c r="L248" i="11"/>
  <c r="D248" i="11"/>
  <c r="E248" i="11"/>
  <c r="L370" i="11"/>
  <c r="E370" i="11"/>
  <c r="G370" i="11"/>
  <c r="F370" i="11"/>
  <c r="D370" i="11"/>
  <c r="G274" i="11"/>
  <c r="F274" i="11"/>
  <c r="E274" i="11"/>
  <c r="L274" i="11"/>
  <c r="D274" i="11"/>
  <c r="G371" i="11"/>
  <c r="F371" i="11"/>
  <c r="E371" i="11"/>
  <c r="L371" i="11"/>
  <c r="D371" i="11"/>
  <c r="G293" i="11"/>
  <c r="L293" i="11"/>
  <c r="E293" i="11"/>
  <c r="D293" i="11"/>
  <c r="F293" i="11"/>
  <c r="G372" i="11"/>
  <c r="E372" i="11"/>
  <c r="L372" i="11"/>
  <c r="F372" i="11"/>
  <c r="D372" i="11"/>
  <c r="H76" i="10"/>
  <c r="I76" i="10" s="1"/>
  <c r="J76" i="10" s="1"/>
  <c r="K76" i="10" s="1"/>
  <c r="H212" i="10"/>
  <c r="I212" i="10" s="1"/>
  <c r="J212" i="10" s="1"/>
  <c r="K212" i="10" s="1"/>
  <c r="H281" i="10"/>
  <c r="I281" i="10" s="1"/>
  <c r="J281" i="10" s="1"/>
  <c r="K281" i="10" s="1"/>
  <c r="H376" i="10"/>
  <c r="I376" i="10" s="1"/>
  <c r="J376" i="10" s="1"/>
  <c r="K376" i="10" s="1"/>
  <c r="H384" i="10"/>
  <c r="I384" i="10" s="1"/>
  <c r="J384" i="10" s="1"/>
  <c r="K384" i="10" s="1"/>
  <c r="H173" i="10"/>
  <c r="I173" i="10" s="1"/>
  <c r="J173" i="10" s="1"/>
  <c r="K173" i="10" s="1"/>
  <c r="H229" i="10"/>
  <c r="I229" i="10" s="1"/>
  <c r="J229" i="10" s="1"/>
  <c r="K229" i="10" s="1"/>
  <c r="H275" i="10"/>
  <c r="I275" i="10" s="1"/>
  <c r="H283" i="10"/>
  <c r="I283" i="10" s="1"/>
  <c r="H349" i="10"/>
  <c r="I349" i="10" s="1"/>
  <c r="J349" i="10" s="1"/>
  <c r="K349" i="10" s="1"/>
  <c r="H370" i="10"/>
  <c r="I370" i="10" s="1"/>
  <c r="J370" i="10" s="1"/>
  <c r="K370" i="10" s="1"/>
  <c r="H477" i="10"/>
  <c r="I477" i="10" s="1"/>
  <c r="J477" i="10" s="1"/>
  <c r="K477" i="10" s="1"/>
  <c r="H604" i="10"/>
  <c r="I604" i="10" s="1"/>
  <c r="J604" i="10" s="1"/>
  <c r="K604" i="10" s="1"/>
  <c r="H99" i="10"/>
  <c r="I99" i="10" s="1"/>
  <c r="J99" i="10" s="1"/>
  <c r="K99" i="10" s="1"/>
  <c r="H7" i="10"/>
  <c r="I7" i="10" s="1"/>
  <c r="J7" i="10" s="1"/>
  <c r="K7" i="10" s="1"/>
  <c r="H9" i="10"/>
  <c r="I9" i="10" s="1"/>
  <c r="J9" i="10" s="1"/>
  <c r="K9" i="10" s="1"/>
  <c r="H10" i="10"/>
  <c r="I10" i="10" s="1"/>
  <c r="J10" i="10" s="1"/>
  <c r="K10" i="10" s="1"/>
  <c r="H30" i="10"/>
  <c r="I30" i="10" s="1"/>
  <c r="H57" i="10"/>
  <c r="I57" i="10" s="1"/>
  <c r="J57" i="10" s="1"/>
  <c r="K57" i="10" s="1"/>
  <c r="H73" i="10"/>
  <c r="I73" i="10" s="1"/>
  <c r="J73" i="10" s="1"/>
  <c r="K73" i="10" s="1"/>
  <c r="H81" i="10"/>
  <c r="I81" i="10" s="1"/>
  <c r="J81" i="10" s="1"/>
  <c r="K81" i="10" s="1"/>
  <c r="H94" i="10"/>
  <c r="I94" i="10" s="1"/>
  <c r="J94" i="10" s="1"/>
  <c r="K94" i="10" s="1"/>
  <c r="H101" i="10"/>
  <c r="I101" i="10" s="1"/>
  <c r="J101" i="10" s="1"/>
  <c r="K101" i="10" s="1"/>
  <c r="H106" i="10"/>
  <c r="I106" i="10" s="1"/>
  <c r="J106" i="10" s="1"/>
  <c r="K106" i="10" s="1"/>
  <c r="H128" i="10"/>
  <c r="I128" i="10" s="1"/>
  <c r="J128" i="10" s="1"/>
  <c r="K128" i="10" s="1"/>
  <c r="H143" i="10"/>
  <c r="I143" i="10" s="1"/>
  <c r="J143" i="10" s="1"/>
  <c r="K143" i="10" s="1"/>
  <c r="H159" i="10"/>
  <c r="I159" i="10" s="1"/>
  <c r="J159" i="10" s="1"/>
  <c r="K159" i="10" s="1"/>
  <c r="H167" i="10"/>
  <c r="I167" i="10" s="1"/>
  <c r="J167" i="10" s="1"/>
  <c r="K167" i="10" s="1"/>
  <c r="H223" i="10"/>
  <c r="I223" i="10" s="1"/>
  <c r="J223" i="10" s="1"/>
  <c r="K223" i="10" s="1"/>
  <c r="H237" i="10"/>
  <c r="I237" i="10" s="1"/>
  <c r="J237" i="10" s="1"/>
  <c r="K237" i="10" s="1"/>
  <c r="H253" i="10"/>
  <c r="I253" i="10" s="1"/>
  <c r="J253" i="10" s="1"/>
  <c r="K253" i="10" s="1"/>
  <c r="H261" i="10"/>
  <c r="I261" i="10" s="1"/>
  <c r="J261" i="10" s="1"/>
  <c r="K261" i="10" s="1"/>
  <c r="H269" i="10"/>
  <c r="I269" i="10" s="1"/>
  <c r="J269" i="10" s="1"/>
  <c r="K269" i="10" s="1"/>
  <c r="H285" i="10"/>
  <c r="I285" i="10" s="1"/>
  <c r="J285" i="10" s="1"/>
  <c r="K285" i="10" s="1"/>
  <c r="H293" i="10"/>
  <c r="I293" i="10" s="1"/>
  <c r="J293" i="10" s="1"/>
  <c r="K293" i="10" s="1"/>
  <c r="H306" i="10"/>
  <c r="I306" i="10" s="1"/>
  <c r="H314" i="10"/>
  <c r="I314" i="10" s="1"/>
  <c r="J314" i="10" s="1"/>
  <c r="K314" i="10" s="1"/>
  <c r="H343" i="10"/>
  <c r="I343" i="10" s="1"/>
  <c r="J343" i="10" s="1"/>
  <c r="K343" i="10" s="1"/>
  <c r="H351" i="10"/>
  <c r="I351" i="10" s="1"/>
  <c r="J351" i="10" s="1"/>
  <c r="K351" i="10" s="1"/>
  <c r="H365" i="10"/>
  <c r="I365" i="10" s="1"/>
  <c r="J365" i="10" s="1"/>
  <c r="K365" i="10" s="1"/>
  <c r="H74" i="10"/>
  <c r="I74" i="10" s="1"/>
  <c r="J74" i="10" s="1"/>
  <c r="K74" i="10" s="1"/>
  <c r="H90" i="10"/>
  <c r="I90" i="10" s="1"/>
  <c r="J90" i="10" s="1"/>
  <c r="K90" i="10" s="1"/>
  <c r="H95" i="10"/>
  <c r="I95" i="10" s="1"/>
  <c r="J95" i="10" s="1"/>
  <c r="K95" i="10" s="1"/>
  <c r="H102" i="10"/>
  <c r="I102" i="10" s="1"/>
  <c r="J102" i="10" s="1"/>
  <c r="K102" i="10" s="1"/>
  <c r="H107" i="10"/>
  <c r="I107" i="10" s="1"/>
  <c r="J107" i="10" s="1"/>
  <c r="K107" i="10" s="1"/>
  <c r="H129" i="10"/>
  <c r="I129" i="10" s="1"/>
  <c r="J129" i="10" s="1"/>
  <c r="K129" i="10" s="1"/>
  <c r="H136" i="10"/>
  <c r="I136" i="10" s="1"/>
  <c r="J136" i="10" s="1"/>
  <c r="K136" i="10" s="1"/>
  <c r="H144" i="10"/>
  <c r="I144" i="10" s="1"/>
  <c r="J144" i="10" s="1"/>
  <c r="K144" i="10" s="1"/>
  <c r="H254" i="10"/>
  <c r="I254" i="10" s="1"/>
  <c r="J254" i="10" s="1"/>
  <c r="K254" i="10" s="1"/>
  <c r="H262" i="10"/>
  <c r="I262" i="10" s="1"/>
  <c r="J262" i="10" s="1"/>
  <c r="K262" i="10" s="1"/>
  <c r="H270" i="10"/>
  <c r="I270" i="10" s="1"/>
  <c r="H278" i="10"/>
  <c r="I278" i="10" s="1"/>
  <c r="J278" i="10" s="1"/>
  <c r="K278" i="10" s="1"/>
  <c r="H286" i="10"/>
  <c r="I286" i="10" s="1"/>
  <c r="J286" i="10" s="1"/>
  <c r="K286" i="10" s="1"/>
  <c r="H307" i="10"/>
  <c r="I307" i="10" s="1"/>
  <c r="J307" i="10" s="1"/>
  <c r="K307" i="10" s="1"/>
  <c r="H315" i="10"/>
  <c r="I315" i="10" s="1"/>
  <c r="J315" i="10" s="1"/>
  <c r="K315" i="10" s="1"/>
  <c r="H366" i="10"/>
  <c r="I366" i="10" s="1"/>
  <c r="J366" i="10" s="1"/>
  <c r="K366" i="10" s="1"/>
  <c r="H400" i="10"/>
  <c r="I400" i="10" s="1"/>
  <c r="J400" i="10" s="1"/>
  <c r="K400" i="10" s="1"/>
  <c r="H432" i="10"/>
  <c r="I432" i="10" s="1"/>
  <c r="J432" i="10" s="1"/>
  <c r="K432" i="10" s="1"/>
  <c r="H452" i="10"/>
  <c r="I452" i="10" s="1"/>
  <c r="J452" i="10" s="1"/>
  <c r="K452" i="10" s="1"/>
  <c r="H459" i="10"/>
  <c r="I459" i="10" s="1"/>
  <c r="J459" i="10" s="1"/>
  <c r="K459" i="10" s="1"/>
  <c r="H480" i="10"/>
  <c r="I480" i="10" s="1"/>
  <c r="J480" i="10" s="1"/>
  <c r="K480" i="10" s="1"/>
  <c r="H511" i="10"/>
  <c r="I511" i="10" s="1"/>
  <c r="J511" i="10" s="1"/>
  <c r="K511" i="10" s="1"/>
  <c r="H526" i="10"/>
  <c r="I526" i="10" s="1"/>
  <c r="J526" i="10" s="1"/>
  <c r="K526" i="10" s="1"/>
  <c r="H573" i="10"/>
  <c r="I573" i="10" s="1"/>
  <c r="J573" i="10" s="1"/>
  <c r="K573" i="10" s="1"/>
  <c r="H583" i="10"/>
  <c r="I583" i="10" s="1"/>
  <c r="J583" i="10" s="1"/>
  <c r="K583" i="10" s="1"/>
  <c r="H617" i="10"/>
  <c r="I617" i="10" s="1"/>
  <c r="J617" i="10" s="1"/>
  <c r="K617" i="10" s="1"/>
  <c r="H649" i="10"/>
  <c r="I649" i="10" s="1"/>
  <c r="J649" i="10" s="1"/>
  <c r="K649" i="10" s="1"/>
  <c r="H655" i="10"/>
  <c r="I655" i="10" s="1"/>
  <c r="J655" i="10" s="1"/>
  <c r="K655" i="10" s="1"/>
  <c r="H663" i="10"/>
  <c r="I663" i="10" s="1"/>
  <c r="J663" i="10" s="1"/>
  <c r="K663" i="10" s="1"/>
  <c r="H91" i="10"/>
  <c r="I91" i="10" s="1"/>
  <c r="J91" i="10" s="1"/>
  <c r="K91" i="10" s="1"/>
  <c r="H96" i="10"/>
  <c r="I96" i="10" s="1"/>
  <c r="J96" i="10" s="1"/>
  <c r="K96" i="10" s="1"/>
  <c r="H103" i="10"/>
  <c r="I103" i="10" s="1"/>
  <c r="J103" i="10" s="1"/>
  <c r="K103" i="10" s="1"/>
  <c r="H122" i="10"/>
  <c r="I122" i="10" s="1"/>
  <c r="H130" i="10"/>
  <c r="I130" i="10" s="1"/>
  <c r="J130" i="10" s="1"/>
  <c r="K130" i="10" s="1"/>
  <c r="H169" i="10"/>
  <c r="I169" i="10" s="1"/>
  <c r="J169" i="10" s="1"/>
  <c r="K169" i="10" s="1"/>
  <c r="H199" i="10"/>
  <c r="I199" i="10" s="1"/>
  <c r="J199" i="10" s="1"/>
  <c r="K199" i="10" s="1"/>
  <c r="H255" i="10"/>
  <c r="I255" i="10" s="1"/>
  <c r="J255" i="10" s="1"/>
  <c r="K255" i="10" s="1"/>
  <c r="H271" i="10"/>
  <c r="I271" i="10" s="1"/>
  <c r="J271" i="10" s="1"/>
  <c r="K271" i="10" s="1"/>
  <c r="H287" i="10"/>
  <c r="I287" i="10" s="1"/>
  <c r="J287" i="10" s="1"/>
  <c r="K287" i="10" s="1"/>
  <c r="H308" i="10"/>
  <c r="I308" i="10" s="1"/>
  <c r="J308" i="10" s="1"/>
  <c r="K308" i="10" s="1"/>
  <c r="H316" i="10"/>
  <c r="I316" i="10" s="1"/>
  <c r="J316" i="10" s="1"/>
  <c r="K316" i="10" s="1"/>
  <c r="H360" i="10"/>
  <c r="I360" i="10" s="1"/>
  <c r="J360" i="10" s="1"/>
  <c r="K360" i="10" s="1"/>
  <c r="H367" i="10"/>
  <c r="I367" i="10" s="1"/>
  <c r="J367" i="10" s="1"/>
  <c r="K367" i="10" s="1"/>
  <c r="H408" i="10"/>
  <c r="I408" i="10" s="1"/>
  <c r="J408" i="10" s="1"/>
  <c r="K408" i="10" s="1"/>
  <c r="H422" i="10"/>
  <c r="I422" i="10" s="1"/>
  <c r="J422" i="10" s="1"/>
  <c r="K422" i="10" s="1"/>
  <c r="H447" i="10"/>
  <c r="I447" i="10" s="1"/>
  <c r="J447" i="10" s="1"/>
  <c r="K447" i="10" s="1"/>
  <c r="H453" i="10"/>
  <c r="I453" i="10" s="1"/>
  <c r="J453" i="10" s="1"/>
  <c r="K453" i="10" s="1"/>
  <c r="H460" i="10"/>
  <c r="I460" i="10" s="1"/>
  <c r="J460" i="10" s="1"/>
  <c r="K460" i="10" s="1"/>
  <c r="H466" i="10"/>
  <c r="I466" i="10" s="1"/>
  <c r="J466" i="10" s="1"/>
  <c r="K466" i="10" s="1"/>
  <c r="H486" i="10"/>
  <c r="I486" i="10" s="1"/>
  <c r="J486" i="10" s="1"/>
  <c r="K486" i="10" s="1"/>
  <c r="H493" i="10"/>
  <c r="I493" i="10" s="1"/>
  <c r="J493" i="10" s="1"/>
  <c r="K493" i="10" s="1"/>
  <c r="H505" i="10"/>
  <c r="I505" i="10" s="1"/>
  <c r="J505" i="10" s="1"/>
  <c r="K505" i="10" s="1"/>
  <c r="H577" i="10"/>
  <c r="I577" i="10" s="1"/>
  <c r="J577" i="10" s="1"/>
  <c r="K577" i="10" s="1"/>
  <c r="H625" i="10"/>
  <c r="I625" i="10" s="1"/>
  <c r="J625" i="10" s="1"/>
  <c r="K625" i="10" s="1"/>
  <c r="H650" i="10"/>
  <c r="I650" i="10" s="1"/>
  <c r="J650" i="10" s="1"/>
  <c r="K650" i="10" s="1"/>
  <c r="H394" i="10"/>
  <c r="I394" i="10" s="1"/>
  <c r="J394" i="10" s="1"/>
  <c r="K394" i="10" s="1"/>
  <c r="H399" i="10"/>
  <c r="I399" i="10" s="1"/>
  <c r="J399" i="10" s="1"/>
  <c r="K399" i="10" s="1"/>
  <c r="H427" i="10"/>
  <c r="I427" i="10" s="1"/>
  <c r="J427" i="10" s="1"/>
  <c r="K427" i="10" s="1"/>
  <c r="H451" i="10"/>
  <c r="I451" i="10" s="1"/>
  <c r="J451" i="10" s="1"/>
  <c r="K451" i="10" s="1"/>
  <c r="H541" i="10"/>
  <c r="I541" i="10" s="1"/>
  <c r="J541" i="10" s="1"/>
  <c r="K541" i="10" s="1"/>
  <c r="H576" i="10"/>
  <c r="I576" i="10" s="1"/>
  <c r="J576" i="10" s="1"/>
  <c r="K576" i="10" s="1"/>
  <c r="H582" i="10"/>
  <c r="I582" i="10" s="1"/>
  <c r="J582" i="10" s="1"/>
  <c r="K582" i="10" s="1"/>
  <c r="H590" i="10"/>
  <c r="I590" i="10" s="1"/>
  <c r="J590" i="10" s="1"/>
  <c r="K590" i="10" s="1"/>
  <c r="H609" i="10"/>
  <c r="I609" i="10" s="1"/>
  <c r="J609" i="10" s="1"/>
  <c r="K609" i="10" s="1"/>
  <c r="H624" i="10"/>
  <c r="I624" i="10" s="1"/>
  <c r="J624" i="10" s="1"/>
  <c r="K624" i="10" s="1"/>
  <c r="H642" i="10"/>
  <c r="I642" i="10" s="1"/>
  <c r="J642" i="10" s="1"/>
  <c r="K642" i="10" s="1"/>
  <c r="H648" i="10"/>
  <c r="I648" i="10" s="1"/>
  <c r="J648" i="10" s="1"/>
  <c r="K648" i="10" s="1"/>
  <c r="H654" i="10"/>
  <c r="I654" i="10" s="1"/>
  <c r="J654" i="10" s="1"/>
  <c r="K654" i="10" s="1"/>
  <c r="H487" i="10"/>
  <c r="I487" i="10" s="1"/>
  <c r="J487" i="10" s="1"/>
  <c r="K487" i="10" s="1"/>
  <c r="H388" i="10"/>
  <c r="I388" i="10" s="1"/>
  <c r="J388" i="10" s="1"/>
  <c r="K388" i="10" s="1"/>
  <c r="H665" i="10"/>
  <c r="I665" i="10" s="1"/>
  <c r="J665" i="10" s="1"/>
  <c r="K665" i="10" s="1"/>
  <c r="H662" i="10"/>
  <c r="I662" i="10" s="1"/>
  <c r="J662" i="10" s="1"/>
  <c r="K662" i="10" s="1"/>
  <c r="H660" i="10"/>
  <c r="I660" i="10" s="1"/>
  <c r="J660" i="10" s="1"/>
  <c r="K660" i="10" s="1"/>
  <c r="H657" i="10"/>
  <c r="I657" i="10" s="1"/>
  <c r="J657" i="10" s="1"/>
  <c r="K657" i="10" s="1"/>
  <c r="H656" i="10"/>
  <c r="I656" i="10" s="1"/>
  <c r="J656" i="10" s="1"/>
  <c r="K656" i="10" s="1"/>
  <c r="H647" i="10"/>
  <c r="I647" i="10" s="1"/>
  <c r="J647" i="10" s="1"/>
  <c r="K647" i="10" s="1"/>
  <c r="H645" i="10"/>
  <c r="I645" i="10" s="1"/>
  <c r="J645" i="10" s="1"/>
  <c r="K645" i="10" s="1"/>
  <c r="H630" i="10"/>
  <c r="I630" i="10" s="1"/>
  <c r="J630" i="10" s="1"/>
  <c r="K630" i="10" s="1"/>
  <c r="H575" i="10"/>
  <c r="I575" i="10" s="1"/>
  <c r="H574" i="10"/>
  <c r="I574" i="10" s="1"/>
  <c r="J574" i="10" s="1"/>
  <c r="K574" i="10" s="1"/>
  <c r="H545" i="10"/>
  <c r="I545" i="10" s="1"/>
  <c r="J545" i="10" s="1"/>
  <c r="K545" i="10" s="1"/>
  <c r="H544" i="10"/>
  <c r="I544" i="10" s="1"/>
  <c r="J544" i="10" s="1"/>
  <c r="K544" i="10" s="1"/>
  <c r="H543" i="10"/>
  <c r="I543" i="10" s="1"/>
  <c r="J543" i="10" s="1"/>
  <c r="K543" i="10" s="1"/>
  <c r="H542" i="10"/>
  <c r="I542" i="10" s="1"/>
  <c r="J542" i="10" s="1"/>
  <c r="K542" i="10" s="1"/>
  <c r="H540" i="10"/>
  <c r="I540" i="10" s="1"/>
  <c r="J540" i="10" s="1"/>
  <c r="K540" i="10" s="1"/>
  <c r="H532" i="10"/>
  <c r="I532" i="10" s="1"/>
  <c r="J532" i="10" s="1"/>
  <c r="K532" i="10" s="1"/>
  <c r="H531" i="10"/>
  <c r="I531" i="10" s="1"/>
  <c r="J531" i="10" s="1"/>
  <c r="K531" i="10" s="1"/>
  <c r="H527" i="10"/>
  <c r="I527" i="10" s="1"/>
  <c r="J527" i="10" s="1"/>
  <c r="K527" i="10" s="1"/>
  <c r="H502" i="10"/>
  <c r="I502" i="10" s="1"/>
  <c r="J502" i="10" s="1"/>
  <c r="K502" i="10" s="1"/>
  <c r="H488" i="10"/>
  <c r="I488" i="10" s="1"/>
  <c r="J488" i="10" s="1"/>
  <c r="K488" i="10" s="1"/>
  <c r="H472" i="10"/>
  <c r="I472" i="10" s="1"/>
  <c r="J472" i="10" s="1"/>
  <c r="K472" i="10" s="1"/>
  <c r="H471" i="10"/>
  <c r="I471" i="10" s="1"/>
  <c r="J471" i="10" s="1"/>
  <c r="K471" i="10" s="1"/>
  <c r="H457" i="10"/>
  <c r="I457" i="10" s="1"/>
  <c r="J457" i="10" s="1"/>
  <c r="K457" i="10" s="1"/>
  <c r="H455" i="10"/>
  <c r="I455" i="10" s="1"/>
  <c r="J455" i="10" s="1"/>
  <c r="K455" i="10" s="1"/>
  <c r="H454" i="10"/>
  <c r="I454" i="10" s="1"/>
  <c r="J454" i="10" s="1"/>
  <c r="K454" i="10" s="1"/>
  <c r="H401" i="10"/>
  <c r="I401" i="10" s="1"/>
  <c r="J401" i="10" s="1"/>
  <c r="K401" i="10" s="1"/>
  <c r="H135" i="10"/>
  <c r="I135" i="10" s="1"/>
  <c r="J135" i="10" s="1"/>
  <c r="K135" i="10" s="1"/>
  <c r="H398" i="10"/>
  <c r="I398" i="10" s="1"/>
  <c r="J398" i="10" s="1"/>
  <c r="K398" i="10" s="1"/>
  <c r="H369" i="10"/>
  <c r="I369" i="10" s="1"/>
  <c r="J369" i="10" s="1"/>
  <c r="K369" i="10" s="1"/>
  <c r="H359" i="10"/>
  <c r="I359" i="10" s="1"/>
  <c r="J359" i="10" s="1"/>
  <c r="K359" i="10" s="1"/>
  <c r="H264" i="10"/>
  <c r="I264" i="10" s="1"/>
  <c r="J264" i="10" s="1"/>
  <c r="K264" i="10" s="1"/>
  <c r="H263" i="10"/>
  <c r="I263" i="10" s="1"/>
  <c r="J263" i="10" s="1"/>
  <c r="K263" i="10" s="1"/>
  <c r="H227" i="10"/>
  <c r="I227" i="10" s="1"/>
  <c r="J227" i="10" s="1"/>
  <c r="K227" i="10" s="1"/>
  <c r="H206" i="10"/>
  <c r="I206" i="10" s="1"/>
  <c r="J206" i="10" s="1"/>
  <c r="K206" i="10" s="1"/>
  <c r="H203" i="10"/>
  <c r="I203" i="10" s="1"/>
  <c r="J203" i="10" s="1"/>
  <c r="K203" i="10" s="1"/>
  <c r="H172" i="10"/>
  <c r="I172" i="10" s="1"/>
  <c r="J172" i="10" s="1"/>
  <c r="K172" i="10" s="1"/>
  <c r="H171" i="10"/>
  <c r="I171" i="10" s="1"/>
  <c r="J171" i="10" s="1"/>
  <c r="K171" i="10" s="1"/>
  <c r="H151" i="10"/>
  <c r="I151" i="10" s="1"/>
  <c r="J151" i="10" s="1"/>
  <c r="K151" i="10" s="1"/>
  <c r="H109" i="10"/>
  <c r="I109" i="10" s="1"/>
  <c r="J109" i="10" s="1"/>
  <c r="K109" i="10" s="1"/>
  <c r="H108" i="10"/>
  <c r="I108" i="10" s="1"/>
  <c r="J108" i="10" s="1"/>
  <c r="K108" i="10" s="1"/>
  <c r="H100" i="10"/>
  <c r="I100" i="10" s="1"/>
  <c r="J100" i="10" s="1"/>
  <c r="K100" i="10" s="1"/>
  <c r="H560" i="10"/>
  <c r="I560" i="10" s="1"/>
  <c r="J560" i="10" s="1"/>
  <c r="K560" i="10" s="1"/>
  <c r="H201" i="10"/>
  <c r="I201" i="10" s="1"/>
  <c r="J201" i="10" s="1"/>
  <c r="K201" i="10" s="1"/>
  <c r="H117" i="10"/>
  <c r="I117" i="10" s="1"/>
  <c r="J117" i="10" s="1"/>
  <c r="K117" i="10" s="1"/>
  <c r="X677" i="9"/>
  <c r="X676" i="9"/>
  <c r="X675" i="9"/>
  <c r="X322" i="9"/>
  <c r="X321" i="9"/>
  <c r="X318" i="9"/>
  <c r="X317" i="9"/>
  <c r="X674" i="9"/>
  <c r="X320" i="9"/>
  <c r="X319" i="9"/>
  <c r="X310" i="9"/>
  <c r="X305" i="9"/>
  <c r="X304" i="9"/>
  <c r="X303" i="9"/>
  <c r="X302" i="9"/>
  <c r="X672" i="9"/>
  <c r="X295" i="9"/>
  <c r="X294" i="9"/>
  <c r="X671" i="9"/>
  <c r="X291" i="9"/>
  <c r="X290" i="9"/>
  <c r="X248" i="9"/>
  <c r="X247" i="9"/>
  <c r="X246" i="9"/>
  <c r="X245" i="9"/>
  <c r="X652" i="9"/>
  <c r="X243" i="9"/>
  <c r="X242" i="9"/>
  <c r="X241" i="9"/>
  <c r="X239" i="9"/>
  <c r="X238" i="9"/>
  <c r="X236" i="9"/>
  <c r="BA454" i="8"/>
  <c r="BB454" i="8" s="1"/>
  <c r="L243" i="10" l="1"/>
  <c r="G243" i="10"/>
  <c r="F243" i="10"/>
  <c r="E243" i="10"/>
  <c r="D243" i="10"/>
  <c r="H634" i="11"/>
  <c r="I634" i="11" s="1"/>
  <c r="J634" i="11" s="1"/>
  <c r="K634" i="11" s="1"/>
  <c r="J306" i="10"/>
  <c r="K306" i="10" s="1"/>
  <c r="J270" i="10"/>
  <c r="K270" i="10" s="1"/>
  <c r="J283" i="10"/>
  <c r="K283" i="10" s="1"/>
  <c r="J275" i="10"/>
  <c r="K275" i="10" s="1"/>
  <c r="J575" i="10"/>
  <c r="K575" i="10" s="1"/>
  <c r="J396" i="10"/>
  <c r="K396" i="10" s="1"/>
  <c r="J122" i="10"/>
  <c r="K122" i="10" s="1"/>
  <c r="J30" i="10"/>
  <c r="K30" i="10" s="1"/>
  <c r="X678" i="9"/>
  <c r="AV631" i="9"/>
  <c r="AW631" i="9" s="1"/>
  <c r="AV446" i="9"/>
  <c r="AW446" i="9" s="1"/>
  <c r="AV445" i="9"/>
  <c r="AW445" i="9" s="1"/>
  <c r="AV150" i="9"/>
  <c r="AW150" i="9" s="1"/>
  <c r="AV149" i="9"/>
  <c r="AW149" i="9" s="1"/>
  <c r="AV677" i="9"/>
  <c r="AW677" i="9" s="1"/>
  <c r="AV676" i="9"/>
  <c r="AW676" i="9" s="1"/>
  <c r="AV675" i="9"/>
  <c r="AW675" i="9" s="1"/>
  <c r="AV321" i="9"/>
  <c r="AW321" i="9" s="1"/>
  <c r="AV318" i="9"/>
  <c r="AW318" i="9" s="1"/>
  <c r="AV674" i="9"/>
  <c r="AW674" i="9" s="1"/>
  <c r="AV320" i="9"/>
  <c r="AW320" i="9" s="1"/>
  <c r="AV319" i="9"/>
  <c r="AW319" i="9" s="1"/>
  <c r="AV311" i="9"/>
  <c r="AW311" i="9" s="1"/>
  <c r="AV310" i="9"/>
  <c r="AW310" i="9" s="1"/>
  <c r="AV305" i="9"/>
  <c r="AW305" i="9" s="1"/>
  <c r="AV304" i="9"/>
  <c r="AW304" i="9" s="1"/>
  <c r="AV303" i="9"/>
  <c r="AW303" i="9" s="1"/>
  <c r="AV302" i="9"/>
  <c r="AW302" i="9" s="1"/>
  <c r="AV300" i="9"/>
  <c r="AW300" i="9" s="1"/>
  <c r="AV672" i="9"/>
  <c r="AW672" i="9" s="1"/>
  <c r="AV295" i="9"/>
  <c r="AW295" i="9" s="1"/>
  <c r="AV294" i="9"/>
  <c r="AW294" i="9" s="1"/>
  <c r="DT677" i="9"/>
  <c r="DT676" i="9"/>
  <c r="DS675" i="9"/>
  <c r="DT675" i="9" s="1"/>
  <c r="DE678" i="9"/>
  <c r="CZ678" i="9"/>
  <c r="CU678" i="9"/>
  <c r="BV678" i="9"/>
  <c r="BL678" i="9"/>
  <c r="BG678" i="9"/>
  <c r="AR678" i="9"/>
  <c r="AM678" i="9"/>
  <c r="DS674" i="9"/>
  <c r="DT674" i="9" s="1"/>
  <c r="DT673" i="9"/>
  <c r="DS672" i="9"/>
  <c r="DT672" i="9" s="1"/>
  <c r="DS652" i="9"/>
  <c r="DT652" i="9" s="1"/>
  <c r="AV671" i="9"/>
  <c r="AW671" i="9" s="1"/>
  <c r="AV291" i="9"/>
  <c r="AW291" i="9" s="1"/>
  <c r="AV290" i="9"/>
  <c r="AW290" i="9" s="1"/>
  <c r="AV248" i="9"/>
  <c r="AW248" i="9" s="1"/>
  <c r="AV247" i="9"/>
  <c r="AW247" i="9" s="1"/>
  <c r="AW246" i="9"/>
  <c r="AV652" i="9"/>
  <c r="AW652" i="9" s="1"/>
  <c r="AV242" i="9"/>
  <c r="AW242" i="9" s="1"/>
  <c r="AV241" i="9"/>
  <c r="AW241" i="9" s="1"/>
  <c r="AW240" i="9"/>
  <c r="AV239" i="9"/>
  <c r="AW239" i="9" s="1"/>
  <c r="AV236" i="9"/>
  <c r="AW236" i="9" s="1"/>
  <c r="BA338" i="8"/>
  <c r="BB338" i="8" s="1"/>
  <c r="BA139" i="8"/>
  <c r="BB139" i="8" s="1"/>
  <c r="BA117" i="8"/>
  <c r="BB117" i="8" s="1"/>
  <c r="L652" i="10" l="1"/>
  <c r="G652" i="10"/>
  <c r="F652" i="10"/>
  <c r="E652" i="10"/>
  <c r="D652" i="10"/>
  <c r="L671" i="10"/>
  <c r="G671" i="10"/>
  <c r="F671" i="10"/>
  <c r="E671" i="10"/>
  <c r="D671" i="10"/>
  <c r="L673" i="10"/>
  <c r="G673" i="10"/>
  <c r="F673" i="10"/>
  <c r="E673" i="10"/>
  <c r="D673" i="10"/>
  <c r="L672" i="10"/>
  <c r="G672" i="10"/>
  <c r="F672" i="10"/>
  <c r="E672" i="10"/>
  <c r="D672" i="10"/>
  <c r="L300" i="10"/>
  <c r="G300" i="10"/>
  <c r="F300" i="10"/>
  <c r="E300" i="10"/>
  <c r="D300" i="10"/>
  <c r="L674" i="10"/>
  <c r="G674" i="10"/>
  <c r="F674" i="10"/>
  <c r="E674" i="10"/>
  <c r="D674" i="10"/>
  <c r="L675" i="10"/>
  <c r="G675" i="10"/>
  <c r="F675" i="10"/>
  <c r="E675" i="10"/>
  <c r="D675" i="10"/>
  <c r="L676" i="10"/>
  <c r="G676" i="10"/>
  <c r="F676" i="10"/>
  <c r="E676" i="10"/>
  <c r="D676" i="10"/>
  <c r="L677" i="10"/>
  <c r="G677" i="10"/>
  <c r="F677" i="10"/>
  <c r="E677" i="10"/>
  <c r="D677" i="10"/>
  <c r="L139" i="11"/>
  <c r="G139" i="11"/>
  <c r="E139" i="11"/>
  <c r="F139" i="11"/>
  <c r="D139" i="11"/>
  <c r="H243" i="10"/>
  <c r="I243" i="10" s="1"/>
  <c r="AW678" i="9"/>
  <c r="I635" i="8"/>
  <c r="H675" i="10" l="1"/>
  <c r="I675" i="10" s="1"/>
  <c r="J675" i="10" s="1"/>
  <c r="K675" i="10" s="1"/>
  <c r="H674" i="10"/>
  <c r="I674" i="10" s="1"/>
  <c r="J674" i="10" s="1"/>
  <c r="K674" i="10" s="1"/>
  <c r="H676" i="10"/>
  <c r="I676" i="10" s="1"/>
  <c r="J676" i="10" s="1"/>
  <c r="K676" i="10" s="1"/>
  <c r="J243" i="10"/>
  <c r="K243" i="10" s="1"/>
  <c r="H652" i="10"/>
  <c r="I652" i="10" s="1"/>
  <c r="J652" i="10" s="1"/>
  <c r="K652" i="10" s="1"/>
  <c r="H672" i="10"/>
  <c r="I672" i="10" s="1"/>
  <c r="J672" i="10" s="1"/>
  <c r="K672" i="10" s="1"/>
  <c r="H673" i="10"/>
  <c r="I673" i="10" s="1"/>
  <c r="J673" i="10" s="1"/>
  <c r="K673" i="10" s="1"/>
  <c r="H671" i="10"/>
  <c r="I671" i="10" s="1"/>
  <c r="J671" i="10" s="1"/>
  <c r="K671" i="10" s="1"/>
  <c r="H677" i="10"/>
  <c r="I677" i="10" s="1"/>
  <c r="J677" i="10" s="1"/>
  <c r="K677" i="10" s="1"/>
  <c r="H300" i="10"/>
  <c r="I300" i="10" s="1"/>
  <c r="J300" i="10" s="1"/>
  <c r="K300" i="10" s="1"/>
  <c r="CU635" i="8"/>
  <c r="CP635" i="8"/>
  <c r="CK635" i="8"/>
  <c r="CF635" i="8"/>
  <c r="BV635" i="8"/>
  <c r="AW635" i="8"/>
  <c r="AM635" i="8"/>
  <c r="AH635" i="8"/>
  <c r="S635" i="8"/>
  <c r="DX670" i="9"/>
  <c r="DY670" i="9" s="1"/>
  <c r="DX667" i="9"/>
  <c r="DX666" i="9"/>
  <c r="DY666" i="9" s="1"/>
  <c r="DX664" i="9"/>
  <c r="DY664" i="9" s="1"/>
  <c r="DX564" i="9"/>
  <c r="DY564" i="9" s="1"/>
  <c r="DX92" i="9"/>
  <c r="DY92" i="9" s="1"/>
  <c r="DX627" i="9"/>
  <c r="DY627" i="9" s="1"/>
  <c r="DX626" i="9"/>
  <c r="DY626" i="9" s="1"/>
  <c r="DX618" i="9"/>
  <c r="DY618" i="9" s="1"/>
  <c r="DX498" i="9"/>
  <c r="DY498" i="9" s="1"/>
  <c r="DY84" i="9"/>
  <c r="DY222" i="9"/>
  <c r="DY224" i="9"/>
  <c r="DY339" i="9"/>
  <c r="L498" i="10" l="1"/>
  <c r="G498" i="10"/>
  <c r="F498" i="10"/>
  <c r="E498" i="10"/>
  <c r="D498" i="10"/>
  <c r="L92" i="10"/>
  <c r="G92" i="10"/>
  <c r="F92" i="10"/>
  <c r="E92" i="10"/>
  <c r="D92" i="10"/>
  <c r="L564" i="10"/>
  <c r="G564" i="10"/>
  <c r="F564" i="10"/>
  <c r="E564" i="10"/>
  <c r="D564" i="10"/>
  <c r="L664" i="10"/>
  <c r="G664" i="10"/>
  <c r="F664" i="10"/>
  <c r="E664" i="10"/>
  <c r="D664" i="10"/>
  <c r="L666" i="10"/>
  <c r="G666" i="10"/>
  <c r="F666" i="10"/>
  <c r="E666" i="10"/>
  <c r="D666" i="10"/>
  <c r="L670" i="10"/>
  <c r="G670" i="10"/>
  <c r="F670" i="10"/>
  <c r="E670" i="10"/>
  <c r="D670" i="10"/>
  <c r="DY667" i="9"/>
  <c r="L667" i="10" l="1"/>
  <c r="G667" i="10"/>
  <c r="F667" i="10"/>
  <c r="E667" i="10"/>
  <c r="D667" i="10"/>
  <c r="DY678" i="9"/>
  <c r="H92" i="10"/>
  <c r="I92" i="10" s="1"/>
  <c r="J92" i="10" s="1"/>
  <c r="K92" i="10" s="1"/>
  <c r="H664" i="10"/>
  <c r="I664" i="10" s="1"/>
  <c r="J664" i="10" s="1"/>
  <c r="K664" i="10" s="1"/>
  <c r="H498" i="10"/>
  <c r="I498" i="10" s="1"/>
  <c r="J498" i="10" s="1"/>
  <c r="K498" i="10" s="1"/>
  <c r="H666" i="10"/>
  <c r="I666" i="10" s="1"/>
  <c r="J666" i="10" s="1"/>
  <c r="K666" i="10" s="1"/>
  <c r="H670" i="10"/>
  <c r="I670" i="10" s="1"/>
  <c r="J670" i="10" s="1"/>
  <c r="K670" i="10" s="1"/>
  <c r="H564" i="10"/>
  <c r="I564" i="10" s="1"/>
  <c r="J564" i="10" s="1"/>
  <c r="K564" i="10" s="1"/>
  <c r="DN288" i="9"/>
  <c r="DO288" i="9" s="1"/>
  <c r="DN322" i="9"/>
  <c r="DO322" i="9" s="1"/>
  <c r="DN321" i="9"/>
  <c r="DO321" i="9" s="1"/>
  <c r="DN318" i="9"/>
  <c r="DO318" i="9" s="1"/>
  <c r="DO317" i="9"/>
  <c r="DN311" i="9"/>
  <c r="DO311" i="9" s="1"/>
  <c r="DN305" i="9"/>
  <c r="DO305" i="9" s="1"/>
  <c r="DN303" i="9"/>
  <c r="DO303" i="9" s="1"/>
  <c r="DN302" i="9"/>
  <c r="DO302" i="9" s="1"/>
  <c r="DN295" i="9"/>
  <c r="DO295" i="9" s="1"/>
  <c r="DN294" i="9"/>
  <c r="DO294" i="9" s="1"/>
  <c r="DN291" i="9"/>
  <c r="DO291" i="9" s="1"/>
  <c r="DN290" i="9"/>
  <c r="DO290" i="9" s="1"/>
  <c r="DN248" i="9"/>
  <c r="DO248" i="9" s="1"/>
  <c r="DN247" i="9"/>
  <c r="DO247" i="9" s="1"/>
  <c r="DO246" i="9"/>
  <c r="DN245" i="9"/>
  <c r="DO245" i="9" s="1"/>
  <c r="DN242" i="9"/>
  <c r="DO242" i="9" s="1"/>
  <c r="DN241" i="9"/>
  <c r="DO241" i="9" s="1"/>
  <c r="DO239" i="9"/>
  <c r="DN238" i="9"/>
  <c r="DO238" i="9" s="1"/>
  <c r="DN236" i="9"/>
  <c r="DO236" i="9" s="1"/>
  <c r="BZ603" i="8"/>
  <c r="CA603" i="8" s="1"/>
  <c r="BZ561" i="8"/>
  <c r="CA561" i="8" s="1"/>
  <c r="BZ555" i="8"/>
  <c r="CA555" i="8" s="1"/>
  <c r="BZ526" i="8"/>
  <c r="CA526" i="8" s="1"/>
  <c r="BZ525" i="8"/>
  <c r="CA525" i="8" s="1"/>
  <c r="BZ524" i="8"/>
  <c r="CA524" i="8" s="1"/>
  <c r="BZ503" i="8"/>
  <c r="CA503" i="8" s="1"/>
  <c r="BY440" i="8"/>
  <c r="BZ440" i="8" s="1"/>
  <c r="CA440" i="8" s="1"/>
  <c r="BZ436" i="8"/>
  <c r="CA436" i="8" s="1"/>
  <c r="BZ407" i="8"/>
  <c r="CA407" i="8" s="1"/>
  <c r="L311" i="10" l="1"/>
  <c r="G311" i="10"/>
  <c r="F311" i="10"/>
  <c r="E311" i="10"/>
  <c r="D311" i="10"/>
  <c r="L288" i="10"/>
  <c r="G288" i="10"/>
  <c r="F288" i="10"/>
  <c r="E288" i="10"/>
  <c r="D288" i="10"/>
  <c r="L603" i="11"/>
  <c r="E603" i="11"/>
  <c r="G603" i="11"/>
  <c r="D603" i="11"/>
  <c r="F603" i="11"/>
  <c r="G524" i="11"/>
  <c r="E524" i="11"/>
  <c r="L524" i="11"/>
  <c r="F524" i="11"/>
  <c r="D524" i="11"/>
  <c r="G561" i="11"/>
  <c r="F561" i="11"/>
  <c r="E561" i="11"/>
  <c r="L561" i="11"/>
  <c r="D561" i="11"/>
  <c r="H667" i="10"/>
  <c r="I667" i="10" s="1"/>
  <c r="J667" i="10" s="1"/>
  <c r="K667" i="10" s="1"/>
  <c r="BZ339" i="8"/>
  <c r="CA339" i="8" s="1"/>
  <c r="BZ338" i="8"/>
  <c r="CA338" i="8" s="1"/>
  <c r="BZ327" i="8"/>
  <c r="CA327" i="8" s="1"/>
  <c r="BZ326" i="8"/>
  <c r="CA326" i="8" s="1"/>
  <c r="BY319" i="8"/>
  <c r="BZ319" i="8"/>
  <c r="CA319" i="8" s="1"/>
  <c r="BZ312" i="8"/>
  <c r="CA312" i="8" s="1"/>
  <c r="G326" i="11" l="1"/>
  <c r="L326" i="11"/>
  <c r="E326" i="11"/>
  <c r="D326" i="11"/>
  <c r="F326" i="11"/>
  <c r="L319" i="11"/>
  <c r="G319" i="11"/>
  <c r="F319" i="11"/>
  <c r="E319" i="11"/>
  <c r="D319" i="11"/>
  <c r="H311" i="10"/>
  <c r="I311" i="10" s="1"/>
  <c r="J311" i="10" s="1"/>
  <c r="K311" i="10" s="1"/>
  <c r="H288" i="10"/>
  <c r="I288" i="10" s="1"/>
  <c r="J288" i="10" s="1"/>
  <c r="K288" i="10" s="1"/>
  <c r="BZ299" i="8"/>
  <c r="CA299" i="8" s="1"/>
  <c r="BZ296" i="8"/>
  <c r="CA296" i="8" s="1"/>
  <c r="BZ295" i="8"/>
  <c r="CA295" i="8" s="1"/>
  <c r="BY287" i="8"/>
  <c r="BZ287" i="8" s="1"/>
  <c r="BY286" i="8"/>
  <c r="BZ286" i="8" s="1"/>
  <c r="BY285" i="8"/>
  <c r="BZ285" i="8" s="1"/>
  <c r="CA285" i="8" s="1"/>
  <c r="BZ244" i="8"/>
  <c r="CA244" i="8" s="1"/>
  <c r="BZ245" i="8"/>
  <c r="CA245" i="8" s="1"/>
  <c r="BZ211" i="8"/>
  <c r="CA211" i="8" s="1"/>
  <c r="BZ145" i="8"/>
  <c r="CA145" i="8" s="1"/>
  <c r="BZ143" i="8"/>
  <c r="CA143" i="8" s="1"/>
  <c r="BY142" i="8"/>
  <c r="BZ142" i="8" s="1"/>
  <c r="CA142" i="8" s="1"/>
  <c r="BZ124" i="8"/>
  <c r="CA124" i="8" s="1"/>
  <c r="BZ120" i="8"/>
  <c r="CA120" i="8" s="1"/>
  <c r="BZ117" i="8"/>
  <c r="CA117" i="8" s="1"/>
  <c r="BZ116" i="8"/>
  <c r="CA116" i="8" s="1"/>
  <c r="DS342" i="9"/>
  <c r="DT342" i="9" s="1"/>
  <c r="DS444" i="9"/>
  <c r="DT444" i="9" s="1"/>
  <c r="DS330" i="9"/>
  <c r="DT330" i="9" s="1"/>
  <c r="DS194" i="9"/>
  <c r="DT194" i="9" s="1"/>
  <c r="DS27" i="9"/>
  <c r="DT27" i="9" s="1"/>
  <c r="DS18" i="9"/>
  <c r="DT18" i="9" s="1"/>
  <c r="DS323" i="9"/>
  <c r="DT323" i="9" s="1"/>
  <c r="DT322" i="9"/>
  <c r="DT321" i="9"/>
  <c r="DS318" i="9"/>
  <c r="DT318" i="9" s="1"/>
  <c r="DT310" i="9"/>
  <c r="DT320" i="9"/>
  <c r="DS319" i="9"/>
  <c r="DT319" i="9" s="1"/>
  <c r="DS304" i="9"/>
  <c r="DT304" i="9" s="1"/>
  <c r="DS305" i="9"/>
  <c r="DT305" i="9" s="1"/>
  <c r="DS303" i="9"/>
  <c r="DT303" i="9" s="1"/>
  <c r="DS302" i="9"/>
  <c r="DT302" i="9" s="1"/>
  <c r="DT301" i="9"/>
  <c r="DS295" i="9"/>
  <c r="DT295" i="9" s="1"/>
  <c r="DS294" i="9"/>
  <c r="DT294" i="9" s="1"/>
  <c r="DT317" i="9"/>
  <c r="L317" i="10" l="1"/>
  <c r="G317" i="10"/>
  <c r="F317" i="10"/>
  <c r="E317" i="10"/>
  <c r="D317" i="10"/>
  <c r="L294" i="10"/>
  <c r="G294" i="10"/>
  <c r="F294" i="10"/>
  <c r="E294" i="10"/>
  <c r="D294" i="10"/>
  <c r="L295" i="10"/>
  <c r="G295" i="10"/>
  <c r="F295" i="10"/>
  <c r="E295" i="10"/>
  <c r="D295" i="10"/>
  <c r="L301" i="10"/>
  <c r="G301" i="10"/>
  <c r="F301" i="10"/>
  <c r="E301" i="10"/>
  <c r="D301" i="10"/>
  <c r="L302" i="10"/>
  <c r="G302" i="10"/>
  <c r="F302" i="10"/>
  <c r="E302" i="10"/>
  <c r="D302" i="10"/>
  <c r="L303" i="10"/>
  <c r="G303" i="10"/>
  <c r="F303" i="10"/>
  <c r="E303" i="10"/>
  <c r="D303" i="10"/>
  <c r="L305" i="10"/>
  <c r="G305" i="10"/>
  <c r="F305" i="10"/>
  <c r="E305" i="10"/>
  <c r="D305" i="10"/>
  <c r="L304" i="10"/>
  <c r="G304" i="10"/>
  <c r="F304" i="10"/>
  <c r="E304" i="10"/>
  <c r="D304" i="10"/>
  <c r="L319" i="10"/>
  <c r="G319" i="10"/>
  <c r="F319" i="10"/>
  <c r="E319" i="10"/>
  <c r="D319" i="10"/>
  <c r="L320" i="10"/>
  <c r="G320" i="10"/>
  <c r="F320" i="10"/>
  <c r="E320" i="10"/>
  <c r="D320" i="10"/>
  <c r="L310" i="10"/>
  <c r="G310" i="10"/>
  <c r="F310" i="10"/>
  <c r="E310" i="10"/>
  <c r="D310" i="10"/>
  <c r="L318" i="10"/>
  <c r="G318" i="10"/>
  <c r="F318" i="10"/>
  <c r="E318" i="10"/>
  <c r="D318" i="10"/>
  <c r="L321" i="10"/>
  <c r="G321" i="10"/>
  <c r="F321" i="10"/>
  <c r="E321" i="10"/>
  <c r="D321" i="10"/>
  <c r="L322" i="10"/>
  <c r="G322" i="10"/>
  <c r="F322" i="10"/>
  <c r="E322" i="10"/>
  <c r="D322" i="10"/>
  <c r="L323" i="10"/>
  <c r="G323" i="10"/>
  <c r="F323" i="10"/>
  <c r="E323" i="10"/>
  <c r="D323" i="10"/>
  <c r="L145" i="11"/>
  <c r="G145" i="11"/>
  <c r="F145" i="11"/>
  <c r="E145" i="11"/>
  <c r="D145" i="11"/>
  <c r="L245" i="11"/>
  <c r="G245" i="11"/>
  <c r="F245" i="11"/>
  <c r="E245" i="11"/>
  <c r="D245" i="11"/>
  <c r="G299" i="11"/>
  <c r="F299" i="11"/>
  <c r="E299" i="11"/>
  <c r="L299" i="11"/>
  <c r="D299" i="11"/>
  <c r="E211" i="11"/>
  <c r="L211" i="11"/>
  <c r="G211" i="11"/>
  <c r="F211" i="11"/>
  <c r="D211" i="11"/>
  <c r="CA286" i="8"/>
  <c r="CA287" i="8"/>
  <c r="DS291" i="9"/>
  <c r="DT291" i="9" s="1"/>
  <c r="DS290" i="9"/>
  <c r="DT290" i="9" s="1"/>
  <c r="DS247" i="9"/>
  <c r="DT247" i="9" s="1"/>
  <c r="DT248" i="9"/>
  <c r="DT246" i="9"/>
  <c r="DT245" i="9"/>
  <c r="DT256" i="9"/>
  <c r="DT242" i="9"/>
  <c r="DT241" i="9"/>
  <c r="DT240" i="9"/>
  <c r="DT239" i="9"/>
  <c r="DS238" i="9"/>
  <c r="DT238" i="9" s="1"/>
  <c r="DS236" i="9"/>
  <c r="DT236" i="9" s="1"/>
  <c r="DN631" i="9"/>
  <c r="DO631" i="9" s="1"/>
  <c r="DN446" i="9"/>
  <c r="DO446" i="9" s="1"/>
  <c r="DN391" i="9"/>
  <c r="DO391" i="9" s="1"/>
  <c r="DN330" i="9"/>
  <c r="DO330" i="9" s="1"/>
  <c r="DN194" i="9"/>
  <c r="DO194" i="9" s="1"/>
  <c r="DN150" i="9"/>
  <c r="DO150" i="9" s="1"/>
  <c r="DN149" i="9"/>
  <c r="DO149" i="9" s="1"/>
  <c r="DN27" i="9"/>
  <c r="DO27" i="9" s="1"/>
  <c r="DN19" i="9"/>
  <c r="DO19" i="9" s="1"/>
  <c r="BU92" i="8"/>
  <c r="BT44" i="8"/>
  <c r="BU44" i="8" s="1"/>
  <c r="BT12" i="8"/>
  <c r="BU12" i="8" s="1"/>
  <c r="BO608" i="8"/>
  <c r="BP608" i="8" s="1"/>
  <c r="BQ608" i="8" s="1"/>
  <c r="BP559" i="8"/>
  <c r="BQ559" i="8" s="1"/>
  <c r="BO555" i="8"/>
  <c r="BP555" i="8" s="1"/>
  <c r="BQ555" i="8" s="1"/>
  <c r="BP526" i="8"/>
  <c r="BQ526" i="8" s="1"/>
  <c r="BP525" i="8"/>
  <c r="BQ525" i="8" s="1"/>
  <c r="BP503" i="8"/>
  <c r="BQ503" i="8" s="1"/>
  <c r="BP440" i="8"/>
  <c r="BQ440" i="8" s="1"/>
  <c r="BP436" i="8"/>
  <c r="BQ436" i="8" s="1"/>
  <c r="BP407" i="8"/>
  <c r="BQ407" i="8" s="1"/>
  <c r="BP339" i="8"/>
  <c r="BQ339" i="8" s="1"/>
  <c r="BP338" i="8"/>
  <c r="BQ338" i="8" s="1"/>
  <c r="BP327" i="8"/>
  <c r="BQ327" i="8" s="1"/>
  <c r="BP325" i="8"/>
  <c r="BQ325" i="8" s="1"/>
  <c r="BP322" i="8"/>
  <c r="BQ322" i="8" s="1"/>
  <c r="BP320" i="8"/>
  <c r="BQ320" i="8" s="1"/>
  <c r="BP312" i="8"/>
  <c r="BQ312" i="8" s="1"/>
  <c r="BP311" i="8"/>
  <c r="BQ311" i="8" s="1"/>
  <c r="BP298" i="8"/>
  <c r="BQ298" i="8" s="1"/>
  <c r="BP296" i="8"/>
  <c r="BQ296" i="8" s="1"/>
  <c r="BP295" i="8"/>
  <c r="BQ295" i="8" s="1"/>
  <c r="L330" i="10" l="1"/>
  <c r="G330" i="10"/>
  <c r="F330" i="10"/>
  <c r="E330" i="10"/>
  <c r="D330" i="10"/>
  <c r="L391" i="10"/>
  <c r="G391" i="10"/>
  <c r="F391" i="10"/>
  <c r="E391" i="10"/>
  <c r="D391" i="10"/>
  <c r="L236" i="10"/>
  <c r="G236" i="10"/>
  <c r="F236" i="10"/>
  <c r="E236" i="10"/>
  <c r="D236" i="10"/>
  <c r="L238" i="10"/>
  <c r="G238" i="10"/>
  <c r="F238" i="10"/>
  <c r="E238" i="10"/>
  <c r="D238" i="10"/>
  <c r="L239" i="10"/>
  <c r="G239" i="10"/>
  <c r="F239" i="10"/>
  <c r="E239" i="10"/>
  <c r="D239" i="10"/>
  <c r="L240" i="10"/>
  <c r="G240" i="10"/>
  <c r="F240" i="10"/>
  <c r="E240" i="10"/>
  <c r="D240" i="10"/>
  <c r="L241" i="10"/>
  <c r="G241" i="10"/>
  <c r="F241" i="10"/>
  <c r="E241" i="10"/>
  <c r="D241" i="10"/>
  <c r="L242" i="10"/>
  <c r="G242" i="10"/>
  <c r="F242" i="10"/>
  <c r="E242" i="10"/>
  <c r="D242" i="10"/>
  <c r="L256" i="10"/>
  <c r="G256" i="10"/>
  <c r="F256" i="10"/>
  <c r="E256" i="10"/>
  <c r="D256" i="10"/>
  <c r="L245" i="10"/>
  <c r="G245" i="10"/>
  <c r="F245" i="10"/>
  <c r="E245" i="10"/>
  <c r="D245" i="10"/>
  <c r="L246" i="10"/>
  <c r="G246" i="10"/>
  <c r="F246" i="10"/>
  <c r="E246" i="10"/>
  <c r="D246" i="10"/>
  <c r="L248" i="10"/>
  <c r="G248" i="10"/>
  <c r="F248" i="10"/>
  <c r="E248" i="10"/>
  <c r="D248" i="10"/>
  <c r="L247" i="10"/>
  <c r="G247" i="10"/>
  <c r="F247" i="10"/>
  <c r="E247" i="10"/>
  <c r="D247" i="10"/>
  <c r="L290" i="10"/>
  <c r="G290" i="10"/>
  <c r="F290" i="10"/>
  <c r="E290" i="10"/>
  <c r="D290" i="10"/>
  <c r="L291" i="10"/>
  <c r="G291" i="10"/>
  <c r="F291" i="10"/>
  <c r="E291" i="10"/>
  <c r="D291" i="10"/>
  <c r="CA635" i="8"/>
  <c r="E295" i="11"/>
  <c r="L295" i="11"/>
  <c r="G295" i="11"/>
  <c r="F295" i="11"/>
  <c r="D295" i="11"/>
  <c r="E407" i="11"/>
  <c r="L407" i="11"/>
  <c r="G407" i="11"/>
  <c r="D407" i="11"/>
  <c r="F407" i="11"/>
  <c r="G503" i="11"/>
  <c r="F503" i="11"/>
  <c r="E503" i="11"/>
  <c r="L503" i="11"/>
  <c r="D503" i="11"/>
  <c r="G440" i="11"/>
  <c r="E440" i="11"/>
  <c r="L440" i="11"/>
  <c r="F440" i="11"/>
  <c r="D440" i="11"/>
  <c r="L312" i="11"/>
  <c r="G312" i="11"/>
  <c r="E312" i="11"/>
  <c r="F312" i="11"/>
  <c r="D312" i="11"/>
  <c r="L320" i="11"/>
  <c r="E320" i="11"/>
  <c r="G320" i="11"/>
  <c r="D320" i="11"/>
  <c r="F320" i="11"/>
  <c r="G525" i="11"/>
  <c r="F525" i="11"/>
  <c r="E525" i="11"/>
  <c r="L525" i="11"/>
  <c r="D525" i="11"/>
  <c r="E526" i="11"/>
  <c r="L526" i="11"/>
  <c r="G526" i="11"/>
  <c r="F526" i="11"/>
  <c r="D526" i="11"/>
  <c r="L298" i="11"/>
  <c r="E298" i="11"/>
  <c r="G298" i="11"/>
  <c r="D298" i="11"/>
  <c r="F298" i="11"/>
  <c r="G311" i="11"/>
  <c r="L311" i="11"/>
  <c r="E311" i="11"/>
  <c r="D311" i="11"/>
  <c r="F311" i="11"/>
  <c r="L325" i="11"/>
  <c r="G325" i="11"/>
  <c r="F325" i="11"/>
  <c r="E325" i="11"/>
  <c r="D325" i="11"/>
  <c r="E327" i="11"/>
  <c r="L327" i="11"/>
  <c r="G327" i="11"/>
  <c r="F327" i="11"/>
  <c r="D327" i="11"/>
  <c r="D555" i="11"/>
  <c r="E555" i="11"/>
  <c r="L555" i="11"/>
  <c r="G555" i="11"/>
  <c r="F555" i="11"/>
  <c r="L296" i="11"/>
  <c r="G296" i="11"/>
  <c r="F296" i="11"/>
  <c r="E296" i="11"/>
  <c r="D296" i="11"/>
  <c r="G322" i="11"/>
  <c r="E322" i="11"/>
  <c r="L322" i="11"/>
  <c r="F322" i="11"/>
  <c r="D322" i="11"/>
  <c r="G559" i="11"/>
  <c r="F559" i="11"/>
  <c r="E559" i="11"/>
  <c r="L559" i="11"/>
  <c r="D559" i="11"/>
  <c r="L436" i="11"/>
  <c r="G436" i="11"/>
  <c r="F436" i="11"/>
  <c r="E436" i="11"/>
  <c r="D436" i="11"/>
  <c r="G338" i="11"/>
  <c r="E338" i="11"/>
  <c r="L338" i="11"/>
  <c r="F338" i="11"/>
  <c r="D338" i="11"/>
  <c r="G339" i="11"/>
  <c r="F339" i="11"/>
  <c r="E339" i="11"/>
  <c r="L339" i="11"/>
  <c r="D339" i="11"/>
  <c r="L608" i="11"/>
  <c r="G608" i="11"/>
  <c r="F608" i="11"/>
  <c r="E608" i="11"/>
  <c r="D608" i="11"/>
  <c r="DT678" i="9"/>
  <c r="H310" i="10"/>
  <c r="I310" i="10" s="1"/>
  <c r="H294" i="10"/>
  <c r="I294" i="10" s="1"/>
  <c r="J294" i="10" s="1"/>
  <c r="K294" i="10" s="1"/>
  <c r="H302" i="10"/>
  <c r="I302" i="10" s="1"/>
  <c r="H323" i="10"/>
  <c r="I323" i="10" s="1"/>
  <c r="J323" i="10" s="1"/>
  <c r="K323" i="10" s="1"/>
  <c r="H317" i="10"/>
  <c r="I317" i="10" s="1"/>
  <c r="J317" i="10" s="1"/>
  <c r="K317" i="10" s="1"/>
  <c r="H305" i="10"/>
  <c r="I305" i="10" s="1"/>
  <c r="H318" i="10"/>
  <c r="I318" i="10" s="1"/>
  <c r="J318" i="10" s="1"/>
  <c r="K318" i="10" s="1"/>
  <c r="H303" i="10"/>
  <c r="I303" i="10" s="1"/>
  <c r="J303" i="10" s="1"/>
  <c r="K303" i="10" s="1"/>
  <c r="H320" i="10"/>
  <c r="I320" i="10" s="1"/>
  <c r="J320" i="10" s="1"/>
  <c r="K320" i="10" s="1"/>
  <c r="H304" i="10"/>
  <c r="I304" i="10" s="1"/>
  <c r="J304" i="10" s="1"/>
  <c r="K304" i="10" s="1"/>
  <c r="H301" i="10"/>
  <c r="I301" i="10" s="1"/>
  <c r="J301" i="10" s="1"/>
  <c r="K301" i="10" s="1"/>
  <c r="H322" i="10"/>
  <c r="I322" i="10" s="1"/>
  <c r="H295" i="10"/>
  <c r="I295" i="10" s="1"/>
  <c r="J295" i="10" s="1"/>
  <c r="K295" i="10" s="1"/>
  <c r="H321" i="10"/>
  <c r="I321" i="10" s="1"/>
  <c r="H319" i="10"/>
  <c r="I319" i="10" s="1"/>
  <c r="J319" i="10" s="1"/>
  <c r="K319" i="10" s="1"/>
  <c r="DO678" i="9"/>
  <c r="BP287" i="8"/>
  <c r="BQ287" i="8" s="1"/>
  <c r="BP286" i="8"/>
  <c r="BQ286" i="8" s="1"/>
  <c r="BP285" i="8"/>
  <c r="BQ285" i="8" s="1"/>
  <c r="BO252" i="8"/>
  <c r="BP252" i="8" s="1"/>
  <c r="BQ252" i="8" s="1"/>
  <c r="BP237" i="8"/>
  <c r="BQ237" i="8" s="1"/>
  <c r="BP218" i="8"/>
  <c r="BQ218" i="8" s="1"/>
  <c r="BP214" i="8"/>
  <c r="BQ214" i="8" s="1"/>
  <c r="BP144" i="8"/>
  <c r="BQ144" i="8" s="1"/>
  <c r="BP143" i="8"/>
  <c r="BQ143" i="8" s="1"/>
  <c r="BP142" i="8"/>
  <c r="BQ142" i="8" s="1"/>
  <c r="BP141" i="8"/>
  <c r="BQ141" i="8" s="1"/>
  <c r="J321" i="10" l="1"/>
  <c r="K321" i="10" s="1"/>
  <c r="J310" i="10"/>
  <c r="K310" i="10" s="1"/>
  <c r="J302" i="10"/>
  <c r="K302" i="10" s="1"/>
  <c r="J305" i="10"/>
  <c r="K305" i="10" s="1"/>
  <c r="J322" i="10"/>
  <c r="K322" i="10" s="1"/>
  <c r="E252" i="11"/>
  <c r="L252" i="11"/>
  <c r="G252" i="11"/>
  <c r="F252" i="11"/>
  <c r="D252" i="11"/>
  <c r="G214" i="11"/>
  <c r="F214" i="11"/>
  <c r="E214" i="11"/>
  <c r="L214" i="11"/>
  <c r="D214" i="11"/>
  <c r="L237" i="11"/>
  <c r="E237" i="11"/>
  <c r="G237" i="11"/>
  <c r="D237" i="11"/>
  <c r="F237" i="11"/>
  <c r="L218" i="11"/>
  <c r="E218" i="11"/>
  <c r="G218" i="11"/>
  <c r="D218" i="11"/>
  <c r="F218" i="11"/>
  <c r="E285" i="11"/>
  <c r="L285" i="11"/>
  <c r="G285" i="11"/>
  <c r="D285" i="11"/>
  <c r="F285" i="11"/>
  <c r="L286" i="11"/>
  <c r="G286" i="11"/>
  <c r="F286" i="11"/>
  <c r="E286" i="11"/>
  <c r="D286" i="11"/>
  <c r="L287" i="11"/>
  <c r="G287" i="11"/>
  <c r="E287" i="11"/>
  <c r="D287" i="11"/>
  <c r="F287" i="11"/>
  <c r="L141" i="11"/>
  <c r="D141" i="11"/>
  <c r="G141" i="11"/>
  <c r="F141" i="11"/>
  <c r="E141" i="11"/>
  <c r="E142" i="11"/>
  <c r="L142" i="11"/>
  <c r="G142" i="11"/>
  <c r="F142" i="11"/>
  <c r="D142" i="11"/>
  <c r="G143" i="11"/>
  <c r="E143" i="11"/>
  <c r="L143" i="11"/>
  <c r="D143" i="11"/>
  <c r="F143" i="11"/>
  <c r="E144" i="11"/>
  <c r="L144" i="11"/>
  <c r="G144" i="11"/>
  <c r="F144" i="11"/>
  <c r="D144" i="11"/>
  <c r="H391" i="10"/>
  <c r="I391" i="10" s="1"/>
  <c r="J391" i="10" s="1"/>
  <c r="K391" i="10" s="1"/>
  <c r="H256" i="10"/>
  <c r="I256" i="10" s="1"/>
  <c r="J256" i="10" s="1"/>
  <c r="K256" i="10" s="1"/>
  <c r="H245" i="10"/>
  <c r="I245" i="10" s="1"/>
  <c r="H240" i="10"/>
  <c r="I240" i="10" s="1"/>
  <c r="H238" i="10"/>
  <c r="I238" i="10" s="1"/>
  <c r="H330" i="10"/>
  <c r="I330" i="10" s="1"/>
  <c r="H246" i="10"/>
  <c r="I246" i="10" s="1"/>
  <c r="H242" i="10"/>
  <c r="I242" i="10" s="1"/>
  <c r="J242" i="10" s="1"/>
  <c r="K242" i="10" s="1"/>
  <c r="H291" i="10"/>
  <c r="I291" i="10" s="1"/>
  <c r="J291" i="10" s="1"/>
  <c r="K291" i="10" s="1"/>
  <c r="H247" i="10"/>
  <c r="I247" i="10" s="1"/>
  <c r="J247" i="10" s="1"/>
  <c r="K247" i="10" s="1"/>
  <c r="H248" i="10"/>
  <c r="I248" i="10" s="1"/>
  <c r="H290" i="10"/>
  <c r="I290" i="10" s="1"/>
  <c r="J290" i="10" s="1"/>
  <c r="K290" i="10" s="1"/>
  <c r="H236" i="10"/>
  <c r="I236" i="10" s="1"/>
  <c r="J236" i="10" s="1"/>
  <c r="K236" i="10" s="1"/>
  <c r="H241" i="10"/>
  <c r="I241" i="10" s="1"/>
  <c r="H239" i="10"/>
  <c r="I239" i="10" s="1"/>
  <c r="BP140" i="8"/>
  <c r="BQ140" i="8" s="1"/>
  <c r="BP124" i="8"/>
  <c r="BQ124" i="8" s="1"/>
  <c r="BP120" i="8"/>
  <c r="BQ120" i="8" s="1"/>
  <c r="BP117" i="8"/>
  <c r="BQ117" i="8" s="1"/>
  <c r="BP116" i="8"/>
  <c r="BQ116" i="8" s="1"/>
  <c r="DJ496" i="9"/>
  <c r="BK230" i="8"/>
  <c r="BL230" i="8" s="1"/>
  <c r="BJ577" i="8"/>
  <c r="BJ576" i="8"/>
  <c r="DC356" i="9"/>
  <c r="DD356" i="9" s="1"/>
  <c r="CX356" i="9"/>
  <c r="CY356" i="9" s="1"/>
  <c r="CT356" i="9"/>
  <c r="CO589" i="9"/>
  <c r="CP589" i="9" s="1"/>
  <c r="CO586" i="9"/>
  <c r="CP586" i="9" s="1"/>
  <c r="CO587" i="9"/>
  <c r="CP587" i="9" s="1"/>
  <c r="CJ328" i="9"/>
  <c r="CK328" i="9" s="1"/>
  <c r="CJ363" i="9"/>
  <c r="CK363" i="9" s="1"/>
  <c r="CJ426" i="9"/>
  <c r="CK426" i="9" s="1"/>
  <c r="CJ425" i="9"/>
  <c r="CK425" i="9" s="1"/>
  <c r="CJ137" i="9"/>
  <c r="CK137" i="9" s="1"/>
  <c r="CJ112" i="9"/>
  <c r="CK112" i="9" s="1"/>
  <c r="CE331" i="9"/>
  <c r="CF331" i="9" s="1"/>
  <c r="CF678" i="9" s="1"/>
  <c r="BA96" i="8"/>
  <c r="BB96" i="8" s="1"/>
  <c r="L112" i="10" l="1"/>
  <c r="G112" i="10"/>
  <c r="F112" i="10"/>
  <c r="E112" i="10"/>
  <c r="D112" i="10"/>
  <c r="L137" i="10"/>
  <c r="G137" i="10"/>
  <c r="F137" i="10"/>
  <c r="E137" i="10"/>
  <c r="D137" i="10"/>
  <c r="L425" i="10"/>
  <c r="G425" i="10"/>
  <c r="F425" i="10"/>
  <c r="E425" i="10"/>
  <c r="D425" i="10"/>
  <c r="L426" i="10"/>
  <c r="G426" i="10"/>
  <c r="F426" i="10"/>
  <c r="E426" i="10"/>
  <c r="D426" i="10"/>
  <c r="L363" i="10"/>
  <c r="G363" i="10"/>
  <c r="F363" i="10"/>
  <c r="E363" i="10"/>
  <c r="D363" i="10"/>
  <c r="L328" i="10"/>
  <c r="G328" i="10"/>
  <c r="F328" i="10"/>
  <c r="E328" i="10"/>
  <c r="D328" i="10"/>
  <c r="L587" i="10"/>
  <c r="G587" i="10"/>
  <c r="F587" i="10"/>
  <c r="E587" i="10"/>
  <c r="D587" i="10"/>
  <c r="L586" i="10"/>
  <c r="G586" i="10"/>
  <c r="F586" i="10"/>
  <c r="E586" i="10"/>
  <c r="D586" i="10"/>
  <c r="L589" i="10"/>
  <c r="G589" i="10"/>
  <c r="F589" i="10"/>
  <c r="E589" i="10"/>
  <c r="D589" i="10"/>
  <c r="L496" i="10"/>
  <c r="G496" i="10"/>
  <c r="F496" i="10"/>
  <c r="E496" i="10"/>
  <c r="D496" i="10"/>
  <c r="J330" i="10"/>
  <c r="K330" i="10" s="1"/>
  <c r="J238" i="10"/>
  <c r="K238" i="10" s="1"/>
  <c r="J240" i="10"/>
  <c r="K240" i="10" s="1"/>
  <c r="J239" i="10"/>
  <c r="K239" i="10" s="1"/>
  <c r="J241" i="10"/>
  <c r="K241" i="10" s="1"/>
  <c r="J248" i="10"/>
  <c r="K248" i="10" s="1"/>
  <c r="J245" i="10"/>
  <c r="K245" i="10" s="1"/>
  <c r="J246" i="10"/>
  <c r="K246" i="10" s="1"/>
  <c r="G124" i="11"/>
  <c r="E124" i="11"/>
  <c r="L124" i="11"/>
  <c r="D124" i="11"/>
  <c r="F124" i="11"/>
  <c r="E230" i="11"/>
  <c r="L230" i="11"/>
  <c r="G230" i="11"/>
  <c r="F230" i="11"/>
  <c r="D230" i="11"/>
  <c r="BB635" i="8"/>
  <c r="E96" i="11"/>
  <c r="L96" i="11"/>
  <c r="G96" i="11"/>
  <c r="D96" i="11"/>
  <c r="F96" i="11"/>
  <c r="BQ635" i="8"/>
  <c r="E116" i="11"/>
  <c r="L116" i="11"/>
  <c r="G116" i="11"/>
  <c r="D116" i="11"/>
  <c r="F116" i="11"/>
  <c r="L117" i="11"/>
  <c r="G117" i="11"/>
  <c r="F117" i="11"/>
  <c r="E117" i="11"/>
  <c r="D117" i="11"/>
  <c r="L140" i="11"/>
  <c r="E140" i="11"/>
  <c r="G140" i="11"/>
  <c r="F140" i="11"/>
  <c r="D140" i="11"/>
  <c r="E120" i="11"/>
  <c r="L120" i="11"/>
  <c r="G120" i="11"/>
  <c r="D120" i="11"/>
  <c r="F120" i="11"/>
  <c r="CP678" i="9"/>
  <c r="DJ678" i="9"/>
  <c r="CK678" i="9"/>
  <c r="BK577" i="8"/>
  <c r="BL577" i="8" s="1"/>
  <c r="BK576" i="8"/>
  <c r="BL576" i="8" s="1"/>
  <c r="H587" i="10" l="1"/>
  <c r="I587" i="10" s="1"/>
  <c r="J587" i="10" s="1"/>
  <c r="K587" i="10" s="1"/>
  <c r="H589" i="10"/>
  <c r="I589" i="10" s="1"/>
  <c r="J589" i="10" s="1"/>
  <c r="K589" i="10" s="1"/>
  <c r="L577" i="11"/>
  <c r="G577" i="11"/>
  <c r="F577" i="11"/>
  <c r="E577" i="11"/>
  <c r="D577" i="11"/>
  <c r="H586" i="10"/>
  <c r="I586" i="10" s="1"/>
  <c r="J586" i="10" s="1"/>
  <c r="K586" i="10" s="1"/>
  <c r="BL635" i="8"/>
  <c r="E576" i="11"/>
  <c r="L576" i="11"/>
  <c r="G576" i="11"/>
  <c r="D576" i="11"/>
  <c r="F576" i="11"/>
  <c r="H363" i="10"/>
  <c r="I363" i="10" s="1"/>
  <c r="J363" i="10" s="1"/>
  <c r="K363" i="10" s="1"/>
  <c r="H137" i="10"/>
  <c r="I137" i="10" s="1"/>
  <c r="J137" i="10" s="1"/>
  <c r="K137" i="10" s="1"/>
  <c r="H425" i="10"/>
  <c r="I425" i="10" s="1"/>
  <c r="J425" i="10" s="1"/>
  <c r="K425" i="10" s="1"/>
  <c r="H328" i="10"/>
  <c r="I328" i="10" s="1"/>
  <c r="J328" i="10" s="1"/>
  <c r="K328" i="10" s="1"/>
  <c r="H426" i="10"/>
  <c r="I426" i="10" s="1"/>
  <c r="J426" i="10" s="1"/>
  <c r="K426" i="10" s="1"/>
  <c r="H496" i="10"/>
  <c r="I496" i="10" s="1"/>
  <c r="J496" i="10" s="1"/>
  <c r="K496" i="10" s="1"/>
  <c r="H112" i="10"/>
  <c r="I112" i="10" s="1"/>
  <c r="J112" i="10" s="1"/>
  <c r="K112" i="10" s="1"/>
  <c r="BZ634" i="9"/>
  <c r="CA634" i="9" s="1"/>
  <c r="BZ614" i="9"/>
  <c r="CA614" i="9" s="1"/>
  <c r="BZ603" i="9"/>
  <c r="CA603" i="9" s="1"/>
  <c r="CA570" i="9"/>
  <c r="BZ567" i="9"/>
  <c r="CA567" i="9" s="1"/>
  <c r="BZ566" i="9"/>
  <c r="CA566" i="9" s="1"/>
  <c r="BZ548" i="9"/>
  <c r="CA548" i="9" s="1"/>
  <c r="BZ547" i="9"/>
  <c r="CA547" i="9" s="1"/>
  <c r="CA539" i="9"/>
  <c r="CA538" i="9"/>
  <c r="CA537" i="9"/>
  <c r="CA536" i="9"/>
  <c r="CA535" i="9"/>
  <c r="CA534" i="9"/>
  <c r="CA533" i="9"/>
  <c r="BZ509" i="9"/>
  <c r="CA509" i="9" s="1"/>
  <c r="BZ491" i="9"/>
  <c r="CA491" i="9" s="1"/>
  <c r="BZ490" i="9"/>
  <c r="CA490" i="9" s="1"/>
  <c r="BZ484" i="9"/>
  <c r="CA484" i="9" s="1"/>
  <c r="BZ441" i="9"/>
  <c r="CA441" i="9" s="1"/>
  <c r="BZ440" i="9"/>
  <c r="CA440" i="9" s="1"/>
  <c r="BZ438" i="9"/>
  <c r="CA438" i="9" s="1"/>
  <c r="BZ436" i="9"/>
  <c r="CA436" i="9" s="1"/>
  <c r="BZ435" i="9"/>
  <c r="CA435" i="9" s="1"/>
  <c r="BZ433" i="9"/>
  <c r="CA433" i="9" s="1"/>
  <c r="BZ431" i="9"/>
  <c r="CA431" i="9" s="1"/>
  <c r="BZ416" i="9"/>
  <c r="CA416" i="9" s="1"/>
  <c r="BZ415" i="9"/>
  <c r="CA415" i="9" s="1"/>
  <c r="BZ414" i="9"/>
  <c r="CA414" i="9" s="1"/>
  <c r="BZ383" i="9"/>
  <c r="CA383" i="9" s="1"/>
  <c r="BZ353" i="9"/>
  <c r="CA353" i="9" s="1"/>
  <c r="BZ352" i="9"/>
  <c r="CA352" i="9" s="1"/>
  <c r="BZ231" i="9"/>
  <c r="CA231" i="9" s="1"/>
  <c r="BZ228" i="9"/>
  <c r="CA228" i="9" s="1"/>
  <c r="BZ209" i="9"/>
  <c r="CA209" i="9" s="1"/>
  <c r="BZ208" i="9"/>
  <c r="CA208" i="9" s="1"/>
  <c r="BZ197" i="9"/>
  <c r="CA197" i="9" s="1"/>
  <c r="BZ182" i="9"/>
  <c r="CA182" i="9" s="1"/>
  <c r="BZ181" i="9"/>
  <c r="CA181" i="9" s="1"/>
  <c r="BZ180" i="9"/>
  <c r="CA180" i="9" s="1"/>
  <c r="BZ179" i="9"/>
  <c r="CA179" i="9" s="1"/>
  <c r="BZ177" i="9"/>
  <c r="CA177" i="9" s="1"/>
  <c r="BZ176" i="9"/>
  <c r="CA176" i="9" s="1"/>
  <c r="BZ175" i="9"/>
  <c r="CA175" i="9" s="1"/>
  <c r="BZ174" i="9"/>
  <c r="CA174" i="9" s="1"/>
  <c r="BZ162" i="9"/>
  <c r="CA162" i="9" s="1"/>
  <c r="BZ160" i="9"/>
  <c r="CA160" i="9" s="1"/>
  <c r="BZ158" i="9"/>
  <c r="CA158" i="9" s="1"/>
  <c r="BZ157" i="9"/>
  <c r="CA157" i="9" s="1"/>
  <c r="BZ156" i="9"/>
  <c r="CA156" i="9" s="1"/>
  <c r="BZ155" i="9"/>
  <c r="CA155" i="9" s="1"/>
  <c r="BZ154" i="9"/>
  <c r="CA154" i="9" s="1"/>
  <c r="BZ153" i="9"/>
  <c r="CA153" i="9" s="1"/>
  <c r="BZ124" i="9"/>
  <c r="CA124" i="9" s="1"/>
  <c r="CA114" i="9"/>
  <c r="CA113" i="9"/>
  <c r="BZ71" i="9"/>
  <c r="CA71" i="9" s="1"/>
  <c r="BZ66" i="9"/>
  <c r="CA66" i="9" s="1"/>
  <c r="BZ65" i="9"/>
  <c r="CA65" i="9" s="1"/>
  <c r="BZ64" i="9"/>
  <c r="CA64" i="9" s="1"/>
  <c r="BZ63" i="9"/>
  <c r="CA63" i="9" s="1"/>
  <c r="BZ62" i="9"/>
  <c r="CA62" i="9" s="1"/>
  <c r="BZ61" i="9"/>
  <c r="CA61" i="9" s="1"/>
  <c r="BZ60" i="9"/>
  <c r="CA60" i="9" s="1"/>
  <c r="BZ59" i="9"/>
  <c r="CA59" i="9" s="1"/>
  <c r="BZ58" i="9"/>
  <c r="CA58" i="9" s="1"/>
  <c r="BZ56" i="9"/>
  <c r="CA56" i="9" s="1"/>
  <c r="BZ55" i="9"/>
  <c r="CA55" i="9" s="1"/>
  <c r="BZ54" i="9"/>
  <c r="CA54" i="9" s="1"/>
  <c r="BZ53" i="9"/>
  <c r="CA53" i="9" s="1"/>
  <c r="BZ52" i="9"/>
  <c r="CA52" i="9" s="1"/>
  <c r="BZ51" i="9"/>
  <c r="CA51" i="9" s="1"/>
  <c r="BZ50" i="9"/>
  <c r="CA50" i="9" s="1"/>
  <c r="BZ49" i="9"/>
  <c r="CA49" i="9" s="1"/>
  <c r="BZ48" i="9"/>
  <c r="CA48" i="9" s="1"/>
  <c r="BZ47" i="9"/>
  <c r="CA47" i="9" s="1"/>
  <c r="BZ46" i="9"/>
  <c r="CA46" i="9" s="1"/>
  <c r="BZ45" i="9"/>
  <c r="CA45" i="9" s="1"/>
  <c r="BZ44" i="9"/>
  <c r="CA44" i="9" s="1"/>
  <c r="BZ43" i="9"/>
  <c r="CA43" i="9" s="1"/>
  <c r="BZ42" i="9"/>
  <c r="CA42" i="9" s="1"/>
  <c r="BZ41" i="9"/>
  <c r="CA41" i="9" s="1"/>
  <c r="BZ40" i="9"/>
  <c r="CA40" i="9" s="1"/>
  <c r="BZ39" i="9"/>
  <c r="CA39" i="9" s="1"/>
  <c r="L39" i="10" l="1"/>
  <c r="G39" i="10"/>
  <c r="F39" i="10"/>
  <c r="E39" i="10"/>
  <c r="D39" i="10"/>
  <c r="L42" i="10"/>
  <c r="G42" i="10"/>
  <c r="F42" i="10"/>
  <c r="E42" i="10"/>
  <c r="D42" i="10"/>
  <c r="L44" i="10"/>
  <c r="G44" i="10"/>
  <c r="F44" i="10"/>
  <c r="E44" i="10"/>
  <c r="D44" i="10"/>
  <c r="L45" i="10"/>
  <c r="G45" i="10"/>
  <c r="F45" i="10"/>
  <c r="E45" i="10"/>
  <c r="D45" i="10"/>
  <c r="L48" i="10"/>
  <c r="G48" i="10"/>
  <c r="F48" i="10"/>
  <c r="E48" i="10"/>
  <c r="D48" i="10"/>
  <c r="L50" i="10"/>
  <c r="G50" i="10"/>
  <c r="F50" i="10"/>
  <c r="E50" i="10"/>
  <c r="D50" i="10"/>
  <c r="L51" i="10"/>
  <c r="G51" i="10"/>
  <c r="F51" i="10"/>
  <c r="E51" i="10"/>
  <c r="D51" i="10"/>
  <c r="L52" i="10"/>
  <c r="G52" i="10"/>
  <c r="F52" i="10"/>
  <c r="E52" i="10"/>
  <c r="D52" i="10"/>
  <c r="L54" i="10"/>
  <c r="G54" i="10"/>
  <c r="F54" i="10"/>
  <c r="E54" i="10"/>
  <c r="D54" i="10"/>
  <c r="L62" i="10"/>
  <c r="G62" i="10"/>
  <c r="F62" i="10"/>
  <c r="E62" i="10"/>
  <c r="D62" i="10"/>
  <c r="L71" i="10"/>
  <c r="G71" i="10"/>
  <c r="F71" i="10"/>
  <c r="E71" i="10"/>
  <c r="D71" i="10"/>
  <c r="L113" i="10"/>
  <c r="G113" i="10"/>
  <c r="F113" i="10"/>
  <c r="E113" i="10"/>
  <c r="D113" i="10"/>
  <c r="L114" i="10"/>
  <c r="G114" i="10"/>
  <c r="F114" i="10"/>
  <c r="E114" i="10"/>
  <c r="D114" i="10"/>
  <c r="L124" i="10"/>
  <c r="G124" i="10"/>
  <c r="F124" i="10"/>
  <c r="E124" i="10"/>
  <c r="D124" i="10"/>
  <c r="L155" i="10"/>
  <c r="G155" i="10"/>
  <c r="F155" i="10"/>
  <c r="E155" i="10"/>
  <c r="D155" i="10"/>
  <c r="L158" i="10"/>
  <c r="G158" i="10"/>
  <c r="F158" i="10"/>
  <c r="E158" i="10"/>
  <c r="D158" i="10"/>
  <c r="L160" i="10"/>
  <c r="G160" i="10"/>
  <c r="F160" i="10"/>
  <c r="E160" i="10"/>
  <c r="D160" i="10"/>
  <c r="L197" i="10"/>
  <c r="G197" i="10"/>
  <c r="F197" i="10"/>
  <c r="E197" i="10"/>
  <c r="D197" i="10"/>
  <c r="L228" i="10"/>
  <c r="G228" i="10"/>
  <c r="F228" i="10"/>
  <c r="E228" i="10"/>
  <c r="D228" i="10"/>
  <c r="L231" i="10"/>
  <c r="G231" i="10"/>
  <c r="F231" i="10"/>
  <c r="E231" i="10"/>
  <c r="D231" i="10"/>
  <c r="L383" i="10"/>
  <c r="G383" i="10"/>
  <c r="F383" i="10"/>
  <c r="E383" i="10"/>
  <c r="D383" i="10"/>
  <c r="L414" i="10"/>
  <c r="G414" i="10"/>
  <c r="F414" i="10"/>
  <c r="E414" i="10"/>
  <c r="D414" i="10"/>
  <c r="L415" i="10"/>
  <c r="G415" i="10"/>
  <c r="F415" i="10"/>
  <c r="E415" i="10"/>
  <c r="D415" i="10"/>
  <c r="L416" i="10"/>
  <c r="G416" i="10"/>
  <c r="F416" i="10"/>
  <c r="E416" i="10"/>
  <c r="D416" i="10"/>
  <c r="L435" i="10"/>
  <c r="G435" i="10"/>
  <c r="F435" i="10"/>
  <c r="E435" i="10"/>
  <c r="D435" i="10"/>
  <c r="L438" i="10"/>
  <c r="G438" i="10"/>
  <c r="F438" i="10"/>
  <c r="E438" i="10"/>
  <c r="D438" i="10"/>
  <c r="L441" i="10"/>
  <c r="G441" i="10"/>
  <c r="F441" i="10"/>
  <c r="E441" i="10"/>
  <c r="D441" i="10"/>
  <c r="L484" i="10"/>
  <c r="G484" i="10"/>
  <c r="F484" i="10"/>
  <c r="E484" i="10"/>
  <c r="D484" i="10"/>
  <c r="L491" i="10"/>
  <c r="G491" i="10"/>
  <c r="F491" i="10"/>
  <c r="E491" i="10"/>
  <c r="D491" i="10"/>
  <c r="L533" i="10"/>
  <c r="G533" i="10"/>
  <c r="F533" i="10"/>
  <c r="E533" i="10"/>
  <c r="D533" i="10"/>
  <c r="L534" i="10"/>
  <c r="G534" i="10"/>
  <c r="F534" i="10"/>
  <c r="E534" i="10"/>
  <c r="D534" i="10"/>
  <c r="L535" i="10"/>
  <c r="G535" i="10"/>
  <c r="F535" i="10"/>
  <c r="E535" i="10"/>
  <c r="D535" i="10"/>
  <c r="L536" i="10"/>
  <c r="G536" i="10"/>
  <c r="F536" i="10"/>
  <c r="E536" i="10"/>
  <c r="D536" i="10"/>
  <c r="L537" i="10"/>
  <c r="G537" i="10"/>
  <c r="F537" i="10"/>
  <c r="E537" i="10"/>
  <c r="D537" i="10"/>
  <c r="L538" i="10"/>
  <c r="G538" i="10"/>
  <c r="F538" i="10"/>
  <c r="E538" i="10"/>
  <c r="D538" i="10"/>
  <c r="L539" i="10"/>
  <c r="G539" i="10"/>
  <c r="F539" i="10"/>
  <c r="E539" i="10"/>
  <c r="D539" i="10"/>
  <c r="L547" i="10"/>
  <c r="G547" i="10"/>
  <c r="F547" i="10"/>
  <c r="E547" i="10"/>
  <c r="D547" i="10"/>
  <c r="L548" i="10"/>
  <c r="G548" i="10"/>
  <c r="F548" i="10"/>
  <c r="E548" i="10"/>
  <c r="D548" i="10"/>
  <c r="L566" i="10"/>
  <c r="G566" i="10"/>
  <c r="F566" i="10"/>
  <c r="E566" i="10"/>
  <c r="D566" i="10"/>
  <c r="L603" i="10"/>
  <c r="G603" i="10"/>
  <c r="F603" i="10"/>
  <c r="E603" i="10"/>
  <c r="D603" i="10"/>
  <c r="L614" i="10"/>
  <c r="G614" i="10"/>
  <c r="F614" i="10"/>
  <c r="E614" i="10"/>
  <c r="D614" i="10"/>
  <c r="L634" i="10"/>
  <c r="G634" i="10"/>
  <c r="F634" i="10"/>
  <c r="E634" i="10"/>
  <c r="D634" i="10"/>
  <c r="CA678" i="9"/>
  <c r="H415" i="10" l="1"/>
  <c r="I415" i="10" s="1"/>
  <c r="J415" i="10" s="1"/>
  <c r="K415" i="10" s="1"/>
  <c r="H114" i="10"/>
  <c r="I114" i="10" s="1"/>
  <c r="J114" i="10" s="1"/>
  <c r="K114" i="10" s="1"/>
  <c r="H536" i="10"/>
  <c r="I536" i="10" s="1"/>
  <c r="J536" i="10" s="1"/>
  <c r="K536" i="10" s="1"/>
  <c r="H228" i="10"/>
  <c r="I228" i="10" s="1"/>
  <c r="J228" i="10" s="1"/>
  <c r="K228" i="10" s="1"/>
  <c r="H71" i="10"/>
  <c r="I71" i="10" s="1"/>
  <c r="J71" i="10" s="1"/>
  <c r="K71" i="10" s="1"/>
  <c r="H48" i="10"/>
  <c r="I48" i="10" s="1"/>
  <c r="H39" i="10"/>
  <c r="I39" i="10" s="1"/>
  <c r="H547" i="10"/>
  <c r="I547" i="10" s="1"/>
  <c r="H113" i="10"/>
  <c r="I113" i="10" s="1"/>
  <c r="J113" i="10" s="1"/>
  <c r="K113" i="10" s="1"/>
  <c r="H231" i="10"/>
  <c r="I231" i="10" s="1"/>
  <c r="J231" i="10" s="1"/>
  <c r="K231" i="10" s="1"/>
  <c r="H614" i="10"/>
  <c r="I614" i="10" s="1"/>
  <c r="J614" i="10" s="1"/>
  <c r="K614" i="10" s="1"/>
  <c r="H197" i="10"/>
  <c r="I197" i="10" s="1"/>
  <c r="J197" i="10" s="1"/>
  <c r="K197" i="10" s="1"/>
  <c r="H534" i="10"/>
  <c r="I534" i="10" s="1"/>
  <c r="J534" i="10" s="1"/>
  <c r="K534" i="10" s="1"/>
  <c r="H435" i="10"/>
  <c r="I435" i="10" s="1"/>
  <c r="H484" i="10"/>
  <c r="I484" i="10" s="1"/>
  <c r="J484" i="10" s="1"/>
  <c r="K484" i="10" s="1"/>
  <c r="H45" i="10"/>
  <c r="I45" i="10" s="1"/>
  <c r="J45" i="10" s="1"/>
  <c r="K45" i="10" s="1"/>
  <c r="H50" i="10"/>
  <c r="I50" i="10" s="1"/>
  <c r="J50" i="10" s="1"/>
  <c r="K50" i="10" s="1"/>
  <c r="H383" i="10"/>
  <c r="I383" i="10" s="1"/>
  <c r="J383" i="10" s="1"/>
  <c r="K383" i="10" s="1"/>
  <c r="H634" i="10"/>
  <c r="I634" i="10" s="1"/>
  <c r="J634" i="10" s="1"/>
  <c r="K634" i="10" s="1"/>
  <c r="H491" i="10"/>
  <c r="I491" i="10" s="1"/>
  <c r="H51" i="10"/>
  <c r="I51" i="10" s="1"/>
  <c r="H52" i="10"/>
  <c r="I52" i="10" s="1"/>
  <c r="J52" i="10" s="1"/>
  <c r="K52" i="10" s="1"/>
  <c r="H42" i="10"/>
  <c r="I42" i="10" s="1"/>
  <c r="J42" i="10" s="1"/>
  <c r="K42" i="10" s="1"/>
  <c r="H414" i="10"/>
  <c r="I414" i="10" s="1"/>
  <c r="J414" i="10" s="1"/>
  <c r="K414" i="10" s="1"/>
  <c r="H566" i="10"/>
  <c r="I566" i="10" s="1"/>
  <c r="J566" i="10" s="1"/>
  <c r="K566" i="10" s="1"/>
  <c r="H533" i="10"/>
  <c r="I533" i="10" s="1"/>
  <c r="J533" i="10" s="1"/>
  <c r="K533" i="10" s="1"/>
  <c r="H603" i="10"/>
  <c r="I603" i="10" s="1"/>
  <c r="I678" i="9"/>
  <c r="H44" i="10"/>
  <c r="I44" i="10" s="1"/>
  <c r="J44" i="10" s="1"/>
  <c r="K44" i="10" s="1"/>
  <c r="H416" i="10"/>
  <c r="I416" i="10" s="1"/>
  <c r="J416" i="10" s="1"/>
  <c r="K416" i="10" s="1"/>
  <c r="H124" i="10"/>
  <c r="I124" i="10" s="1"/>
  <c r="H160" i="10"/>
  <c r="I160" i="10" s="1"/>
  <c r="J160" i="10" s="1"/>
  <c r="K160" i="10" s="1"/>
  <c r="H538" i="10"/>
  <c r="I538" i="10" s="1"/>
  <c r="J538" i="10" s="1"/>
  <c r="K538" i="10" s="1"/>
  <c r="H155" i="10"/>
  <c r="I155" i="10" s="1"/>
  <c r="J155" i="10" s="1"/>
  <c r="K155" i="10" s="1"/>
  <c r="H438" i="10"/>
  <c r="I438" i="10" s="1"/>
  <c r="H441" i="10"/>
  <c r="I441" i="10" s="1"/>
  <c r="J441" i="10" s="1"/>
  <c r="K441" i="10" s="1"/>
  <c r="H537" i="10"/>
  <c r="I537" i="10" s="1"/>
  <c r="J537" i="10" s="1"/>
  <c r="K537" i="10" s="1"/>
  <c r="H535" i="10"/>
  <c r="I535" i="10" s="1"/>
  <c r="J535" i="10" s="1"/>
  <c r="K535" i="10" s="1"/>
  <c r="H548" i="10"/>
  <c r="I548" i="10" s="1"/>
  <c r="J548" i="10" s="1"/>
  <c r="K548" i="10" s="1"/>
  <c r="H54" i="10"/>
  <c r="I54" i="10" s="1"/>
  <c r="J54" i="10" s="1"/>
  <c r="K54" i="10" s="1"/>
  <c r="H539" i="10"/>
  <c r="I539" i="10" s="1"/>
  <c r="J539" i="10" s="1"/>
  <c r="K539" i="10" s="1"/>
  <c r="H62" i="10"/>
  <c r="I62" i="10" s="1"/>
  <c r="H158" i="10"/>
  <c r="I158" i="10" s="1"/>
  <c r="H616" i="11"/>
  <c r="I616" i="11" s="1"/>
  <c r="J616" i="11" s="1"/>
  <c r="K616" i="11" s="1"/>
  <c r="H606" i="11"/>
  <c r="I606" i="11" s="1"/>
  <c r="J606" i="11" s="1"/>
  <c r="K606" i="11" s="1"/>
  <c r="H603" i="11"/>
  <c r="I603" i="11" s="1"/>
  <c r="J603" i="11" s="1"/>
  <c r="K603" i="11" s="1"/>
  <c r="H593" i="11"/>
  <c r="I593" i="11" s="1"/>
  <c r="J593" i="11" s="1"/>
  <c r="K593" i="11" s="1"/>
  <c r="H587" i="11"/>
  <c r="I587" i="11" s="1"/>
  <c r="J587" i="11" s="1"/>
  <c r="K587" i="11" s="1"/>
  <c r="H583" i="11"/>
  <c r="I583" i="11" s="1"/>
  <c r="J583" i="11" s="1"/>
  <c r="K583" i="11" s="1"/>
  <c r="H578" i="11"/>
  <c r="I578" i="11" s="1"/>
  <c r="J578" i="11" s="1"/>
  <c r="K578" i="11" s="1"/>
  <c r="H575" i="11"/>
  <c r="I575" i="11" s="1"/>
  <c r="J575" i="11" s="1"/>
  <c r="K575" i="11" s="1"/>
  <c r="H568" i="11"/>
  <c r="I568" i="11" s="1"/>
  <c r="J568" i="11" s="1"/>
  <c r="K568" i="11" s="1"/>
  <c r="H564" i="11"/>
  <c r="I564" i="11" s="1"/>
  <c r="H557" i="11"/>
  <c r="I557" i="11" s="1"/>
  <c r="J557" i="11" s="1"/>
  <c r="K557" i="11" s="1"/>
  <c r="H549" i="11"/>
  <c r="I549" i="11" s="1"/>
  <c r="J549" i="11" s="1"/>
  <c r="K549" i="11" s="1"/>
  <c r="H546" i="11"/>
  <c r="I546" i="11" s="1"/>
  <c r="J546" i="11" s="1"/>
  <c r="K546" i="11" s="1"/>
  <c r="H545" i="11"/>
  <c r="I545" i="11" s="1"/>
  <c r="J545" i="11" s="1"/>
  <c r="K545" i="11" s="1"/>
  <c r="H544" i="11"/>
  <c r="I544" i="11" s="1"/>
  <c r="H542" i="11"/>
  <c r="I542" i="11" s="1"/>
  <c r="J542" i="11" s="1"/>
  <c r="K542" i="11" s="1"/>
  <c r="H538" i="11"/>
  <c r="I538" i="11" s="1"/>
  <c r="J538" i="11" s="1"/>
  <c r="K538" i="11" s="1"/>
  <c r="H536" i="11"/>
  <c r="I536" i="11" s="1"/>
  <c r="J536" i="11" s="1"/>
  <c r="K536" i="11" s="1"/>
  <c r="H534" i="11"/>
  <c r="I534" i="11" s="1"/>
  <c r="J534" i="11" s="1"/>
  <c r="K534" i="11" s="1"/>
  <c r="H533" i="11"/>
  <c r="I533" i="11" s="1"/>
  <c r="J533" i="11" s="1"/>
  <c r="K533" i="11" s="1"/>
  <c r="H531" i="11"/>
  <c r="I531" i="11" s="1"/>
  <c r="J531" i="11" s="1"/>
  <c r="K531" i="11" s="1"/>
  <c r="H526" i="11"/>
  <c r="I526" i="11" s="1"/>
  <c r="J526" i="11" s="1"/>
  <c r="K526" i="11" s="1"/>
  <c r="H509" i="11"/>
  <c r="I509" i="11" s="1"/>
  <c r="J509" i="11" s="1"/>
  <c r="K509" i="11" s="1"/>
  <c r="H508" i="11"/>
  <c r="I508" i="11" s="1"/>
  <c r="J508" i="11" s="1"/>
  <c r="K508" i="11" s="1"/>
  <c r="H504" i="11"/>
  <c r="I504" i="11" s="1"/>
  <c r="J504" i="11" s="1"/>
  <c r="K504" i="11" s="1"/>
  <c r="H499" i="11"/>
  <c r="I499" i="11" s="1"/>
  <c r="H494" i="11"/>
  <c r="I494" i="11" s="1"/>
  <c r="J494" i="11" s="1"/>
  <c r="K494" i="11" s="1"/>
  <c r="H492" i="11"/>
  <c r="I492" i="11" s="1"/>
  <c r="J492" i="11" s="1"/>
  <c r="K492" i="11" s="1"/>
  <c r="H490" i="11"/>
  <c r="I490" i="11" s="1"/>
  <c r="J490" i="11" s="1"/>
  <c r="K490" i="11" s="1"/>
  <c r="H484" i="11"/>
  <c r="I484" i="11" s="1"/>
  <c r="J484" i="11" s="1"/>
  <c r="K484" i="11" s="1"/>
  <c r="H478" i="11"/>
  <c r="I478" i="11" s="1"/>
  <c r="H475" i="11"/>
  <c r="I475" i="11" s="1"/>
  <c r="J475" i="11" s="1"/>
  <c r="K475" i="11" s="1"/>
  <c r="H467" i="11"/>
  <c r="I467" i="11" s="1"/>
  <c r="J467" i="11" s="1"/>
  <c r="K467" i="11" s="1"/>
  <c r="H461" i="11"/>
  <c r="I461" i="11" s="1"/>
  <c r="J461" i="11" s="1"/>
  <c r="K461" i="11" s="1"/>
  <c r="H459" i="11"/>
  <c r="I459" i="11" s="1"/>
  <c r="J459" i="11" s="1"/>
  <c r="K459" i="11" s="1"/>
  <c r="H449" i="11"/>
  <c r="I449" i="11" s="1"/>
  <c r="J449" i="11" s="1"/>
  <c r="K449" i="11" s="1"/>
  <c r="H447" i="11"/>
  <c r="I447" i="11" s="1"/>
  <c r="J447" i="11" s="1"/>
  <c r="K447" i="11" s="1"/>
  <c r="H441" i="11"/>
  <c r="I441" i="11" s="1"/>
  <c r="J441" i="11" s="1"/>
  <c r="K441" i="11" s="1"/>
  <c r="H440" i="11"/>
  <c r="I440" i="11" s="1"/>
  <c r="J440" i="11" s="1"/>
  <c r="K440" i="11" s="1"/>
  <c r="H439" i="11"/>
  <c r="I439" i="11" s="1"/>
  <c r="J439" i="11" s="1"/>
  <c r="K439" i="11" s="1"/>
  <c r="H438" i="11"/>
  <c r="I438" i="11" s="1"/>
  <c r="J438" i="11" s="1"/>
  <c r="K438" i="11" s="1"/>
  <c r="H430" i="11"/>
  <c r="I430" i="11" s="1"/>
  <c r="J430" i="11" s="1"/>
  <c r="K430" i="11" s="1"/>
  <c r="H414" i="11"/>
  <c r="I414" i="11" s="1"/>
  <c r="J414" i="11" s="1"/>
  <c r="K414" i="11" s="1"/>
  <c r="H409" i="11"/>
  <c r="I409" i="11" s="1"/>
  <c r="J409" i="11" s="1"/>
  <c r="K409" i="11" s="1"/>
  <c r="H401" i="11"/>
  <c r="I401" i="11" s="1"/>
  <c r="J401" i="11" s="1"/>
  <c r="K401" i="11" s="1"/>
  <c r="H394" i="11"/>
  <c r="I394" i="11" s="1"/>
  <c r="J394" i="11" s="1"/>
  <c r="K394" i="11" s="1"/>
  <c r="H388" i="11"/>
  <c r="I388" i="11" s="1"/>
  <c r="J388" i="11" s="1"/>
  <c r="K388" i="11" s="1"/>
  <c r="H381" i="11"/>
  <c r="I381" i="11" s="1"/>
  <c r="J381" i="11" s="1"/>
  <c r="K381" i="11" s="1"/>
  <c r="H376" i="11"/>
  <c r="I376" i="11" s="1"/>
  <c r="J376" i="11" s="1"/>
  <c r="K376" i="11" s="1"/>
  <c r="H359" i="11"/>
  <c r="I359" i="11" s="1"/>
  <c r="J359" i="11" s="1"/>
  <c r="K359" i="11" s="1"/>
  <c r="H345" i="11"/>
  <c r="I345" i="11" s="1"/>
  <c r="J345" i="11" s="1"/>
  <c r="K345" i="11" s="1"/>
  <c r="H340" i="11"/>
  <c r="I340" i="11" s="1"/>
  <c r="J340" i="11" s="1"/>
  <c r="K340" i="11" s="1"/>
  <c r="H335" i="11"/>
  <c r="I335" i="11" s="1"/>
  <c r="J335" i="11" s="1"/>
  <c r="K335" i="11" s="1"/>
  <c r="H332" i="11"/>
  <c r="I332" i="11" s="1"/>
  <c r="J332" i="11" s="1"/>
  <c r="K332" i="11" s="1"/>
  <c r="H327" i="11"/>
  <c r="I327" i="11" s="1"/>
  <c r="J327" i="11" s="1"/>
  <c r="K327" i="11" s="1"/>
  <c r="H325" i="11"/>
  <c r="I325" i="11" s="1"/>
  <c r="J325" i="11" s="1"/>
  <c r="K325" i="11" s="1"/>
  <c r="H320" i="11"/>
  <c r="I320" i="11" s="1"/>
  <c r="J320" i="11" s="1"/>
  <c r="K320" i="11" s="1"/>
  <c r="H319" i="11"/>
  <c r="I319" i="11" s="1"/>
  <c r="J319" i="11" s="1"/>
  <c r="K319" i="11" s="1"/>
  <c r="H314" i="11"/>
  <c r="I314" i="11" s="1"/>
  <c r="J314" i="11" s="1"/>
  <c r="K314" i="11" s="1"/>
  <c r="H312" i="11"/>
  <c r="I312" i="11" s="1"/>
  <c r="J312" i="11" s="1"/>
  <c r="K312" i="11" s="1"/>
  <c r="H309" i="11"/>
  <c r="I309" i="11" s="1"/>
  <c r="J309" i="11" s="1"/>
  <c r="K309" i="11" s="1"/>
  <c r="H307" i="11"/>
  <c r="I307" i="11" s="1"/>
  <c r="J307" i="11" s="1"/>
  <c r="K307" i="11" s="1"/>
  <c r="H298" i="11"/>
  <c r="I298" i="11" s="1"/>
  <c r="J298" i="11" s="1"/>
  <c r="K298" i="11" s="1"/>
  <c r="H291" i="11"/>
  <c r="I291" i="11" s="1"/>
  <c r="J291" i="11" s="1"/>
  <c r="K291" i="11" s="1"/>
  <c r="H289" i="11"/>
  <c r="I289" i="11" s="1"/>
  <c r="J289" i="11" s="1"/>
  <c r="K289" i="11" s="1"/>
  <c r="H283" i="11"/>
  <c r="I283" i="11" s="1"/>
  <c r="J283" i="11" s="1"/>
  <c r="K283" i="11" s="1"/>
  <c r="H278" i="11"/>
  <c r="I278" i="11" s="1"/>
  <c r="J278" i="11" s="1"/>
  <c r="K278" i="11" s="1"/>
  <c r="H271" i="11"/>
  <c r="I271" i="11" s="1"/>
  <c r="J271" i="11" s="1"/>
  <c r="K271" i="11" s="1"/>
  <c r="H260" i="11"/>
  <c r="I260" i="11" s="1"/>
  <c r="J260" i="11" s="1"/>
  <c r="K260" i="11" s="1"/>
  <c r="H256" i="11"/>
  <c r="I256" i="11" s="1"/>
  <c r="J256" i="11" s="1"/>
  <c r="K256" i="11" s="1"/>
  <c r="H250" i="11"/>
  <c r="I250" i="11" s="1"/>
  <c r="J250" i="11" s="1"/>
  <c r="K250" i="11" s="1"/>
  <c r="H239" i="11"/>
  <c r="I239" i="11" s="1"/>
  <c r="J239" i="11" s="1"/>
  <c r="K239" i="11" s="1"/>
  <c r="H232" i="11"/>
  <c r="I232" i="11" s="1"/>
  <c r="J232" i="11" s="1"/>
  <c r="K232" i="11" s="1"/>
  <c r="H227" i="11"/>
  <c r="I227" i="11" s="1"/>
  <c r="J227" i="11" s="1"/>
  <c r="K227" i="11" s="1"/>
  <c r="H225" i="11"/>
  <c r="I225" i="11" s="1"/>
  <c r="J225" i="11" s="1"/>
  <c r="K225" i="11" s="1"/>
  <c r="H220" i="11"/>
  <c r="I220" i="11" s="1"/>
  <c r="J220" i="11" s="1"/>
  <c r="K220" i="11" s="1"/>
  <c r="H218" i="11"/>
  <c r="I218" i="11" s="1"/>
  <c r="J218" i="11" s="1"/>
  <c r="K218" i="11" s="1"/>
  <c r="H213" i="11"/>
  <c r="I213" i="11" s="1"/>
  <c r="J213" i="11" s="1"/>
  <c r="K213" i="11" s="1"/>
  <c r="H211" i="11"/>
  <c r="I211" i="11" s="1"/>
  <c r="J211" i="11" s="1"/>
  <c r="K211" i="11" s="1"/>
  <c r="H200" i="11"/>
  <c r="I200" i="11" s="1"/>
  <c r="J200" i="11" s="1"/>
  <c r="K200" i="11" s="1"/>
  <c r="H194" i="11"/>
  <c r="I194" i="11" s="1"/>
  <c r="J194" i="11" s="1"/>
  <c r="K194" i="11" s="1"/>
  <c r="H187" i="11"/>
  <c r="I187" i="11" s="1"/>
  <c r="J187" i="11" s="1"/>
  <c r="K187" i="11" s="1"/>
  <c r="H186" i="11"/>
  <c r="I186" i="11" s="1"/>
  <c r="J186" i="11" s="1"/>
  <c r="K186" i="11" s="1"/>
  <c r="H180" i="11"/>
  <c r="I180" i="11" s="1"/>
  <c r="J180" i="11" s="1"/>
  <c r="K180" i="11" s="1"/>
  <c r="H175" i="11"/>
  <c r="I175" i="11" s="1"/>
  <c r="J175" i="11" s="1"/>
  <c r="K175" i="11" s="1"/>
  <c r="H168" i="11"/>
  <c r="I168" i="11" s="1"/>
  <c r="J168" i="11" s="1"/>
  <c r="K168" i="11" s="1"/>
  <c r="H166" i="11"/>
  <c r="I166" i="11" s="1"/>
  <c r="H159" i="11"/>
  <c r="I159" i="11" s="1"/>
  <c r="J159" i="11" s="1"/>
  <c r="K159" i="11" s="1"/>
  <c r="H155" i="11"/>
  <c r="I155" i="11" s="1"/>
  <c r="J155" i="11" s="1"/>
  <c r="K155" i="11" s="1"/>
  <c r="H154" i="11"/>
  <c r="I154" i="11" s="1"/>
  <c r="J154" i="11" s="1"/>
  <c r="K154" i="11" s="1"/>
  <c r="H149" i="11"/>
  <c r="I149" i="11" s="1"/>
  <c r="J149" i="11" s="1"/>
  <c r="K149" i="11" s="1"/>
  <c r="H148" i="11"/>
  <c r="I148" i="11" s="1"/>
  <c r="J148" i="11" s="1"/>
  <c r="K148" i="11" s="1"/>
  <c r="H147" i="11"/>
  <c r="I147" i="11" s="1"/>
  <c r="J147" i="11" s="1"/>
  <c r="K147" i="11" s="1"/>
  <c r="H142" i="11"/>
  <c r="I142" i="11" s="1"/>
  <c r="J142" i="11" s="1"/>
  <c r="K142" i="11" s="1"/>
  <c r="H141" i="11"/>
  <c r="I141" i="11" s="1"/>
  <c r="J141" i="11" s="1"/>
  <c r="K141" i="11" s="1"/>
  <c r="H140" i="11"/>
  <c r="I140" i="11" s="1"/>
  <c r="J140" i="11" s="1"/>
  <c r="K140" i="11" s="1"/>
  <c r="H136" i="11"/>
  <c r="I136" i="11" s="1"/>
  <c r="J136" i="11" s="1"/>
  <c r="K136" i="11" s="1"/>
  <c r="H135" i="11"/>
  <c r="I135" i="11" s="1"/>
  <c r="J135" i="11" s="1"/>
  <c r="K135" i="11" s="1"/>
  <c r="H134" i="11"/>
  <c r="I134" i="11" s="1"/>
  <c r="J134" i="11" s="1"/>
  <c r="K134" i="11" s="1"/>
  <c r="H128" i="11"/>
  <c r="I128" i="11" s="1"/>
  <c r="J128" i="11" s="1"/>
  <c r="K128" i="11" s="1"/>
  <c r="H127" i="11"/>
  <c r="I127" i="11" s="1"/>
  <c r="J127" i="11" s="1"/>
  <c r="K127" i="11" s="1"/>
  <c r="H117" i="11"/>
  <c r="I117" i="11" s="1"/>
  <c r="J117" i="11" s="1"/>
  <c r="K117" i="11" s="1"/>
  <c r="H116" i="11"/>
  <c r="I116" i="11" s="1"/>
  <c r="J116" i="11" s="1"/>
  <c r="K116" i="11" s="1"/>
  <c r="H115" i="11"/>
  <c r="I115" i="11" s="1"/>
  <c r="J115" i="11" s="1"/>
  <c r="K115" i="11" s="1"/>
  <c r="H111" i="11"/>
  <c r="I111" i="11" s="1"/>
  <c r="J111" i="11" s="1"/>
  <c r="K111" i="11" s="1"/>
  <c r="H110" i="11"/>
  <c r="I110" i="11" s="1"/>
  <c r="J110" i="11" s="1"/>
  <c r="K110" i="11" s="1"/>
  <c r="H109" i="11"/>
  <c r="I109" i="11" s="1"/>
  <c r="J109" i="11" s="1"/>
  <c r="K109" i="11" s="1"/>
  <c r="H102" i="11"/>
  <c r="I102" i="11" s="1"/>
  <c r="J102" i="11" s="1"/>
  <c r="K102" i="11" s="1"/>
  <c r="H101" i="11"/>
  <c r="I101" i="11" s="1"/>
  <c r="J101" i="11" s="1"/>
  <c r="K101" i="11" s="1"/>
  <c r="H99" i="11"/>
  <c r="I99" i="11" s="1"/>
  <c r="J99" i="11" s="1"/>
  <c r="K99" i="11" s="1"/>
  <c r="H94" i="11"/>
  <c r="I94" i="11" s="1"/>
  <c r="J94" i="11" s="1"/>
  <c r="K94" i="11" s="1"/>
  <c r="H89" i="11"/>
  <c r="I89" i="11" s="1"/>
  <c r="J89" i="11" s="1"/>
  <c r="K89" i="11" s="1"/>
  <c r="H88" i="11"/>
  <c r="I88" i="11" s="1"/>
  <c r="J88" i="11" s="1"/>
  <c r="K88" i="11" s="1"/>
  <c r="H77" i="11"/>
  <c r="I77" i="11" s="1"/>
  <c r="J77" i="11" s="1"/>
  <c r="K77" i="11" s="1"/>
  <c r="H76" i="11"/>
  <c r="I76" i="11" s="1"/>
  <c r="J76" i="11" s="1"/>
  <c r="K76" i="11" s="1"/>
  <c r="H75" i="11"/>
  <c r="I75" i="11" s="1"/>
  <c r="J75" i="11" s="1"/>
  <c r="K75" i="11" s="1"/>
  <c r="H69" i="11"/>
  <c r="I69" i="11" s="1"/>
  <c r="J69" i="11" s="1"/>
  <c r="K69" i="11" s="1"/>
  <c r="H68" i="11"/>
  <c r="I68" i="11" s="1"/>
  <c r="J68" i="11" s="1"/>
  <c r="K68" i="11" s="1"/>
  <c r="H67" i="11"/>
  <c r="I67" i="11" s="1"/>
  <c r="J67" i="11" s="1"/>
  <c r="K67" i="11" s="1"/>
  <c r="H61" i="11"/>
  <c r="I61" i="11" s="1"/>
  <c r="J61" i="11" s="1"/>
  <c r="K61" i="11" s="1"/>
  <c r="H60" i="11"/>
  <c r="I60" i="11" s="1"/>
  <c r="J60" i="11" s="1"/>
  <c r="K60" i="11" s="1"/>
  <c r="H59" i="11"/>
  <c r="I59" i="11" s="1"/>
  <c r="J59" i="11" s="1"/>
  <c r="K59" i="11" s="1"/>
  <c r="H53" i="11"/>
  <c r="I53" i="11" s="1"/>
  <c r="J53" i="11" s="1"/>
  <c r="K53" i="11" s="1"/>
  <c r="H52" i="11"/>
  <c r="I52" i="11" s="1"/>
  <c r="J52" i="11" s="1"/>
  <c r="K52" i="11" s="1"/>
  <c r="H51" i="11"/>
  <c r="I51" i="11" s="1"/>
  <c r="J51" i="11" s="1"/>
  <c r="K51" i="11" s="1"/>
  <c r="H46" i="11"/>
  <c r="I46" i="11" s="1"/>
  <c r="J46" i="11" s="1"/>
  <c r="K46" i="11" s="1"/>
  <c r="H45" i="11"/>
  <c r="I45" i="11" s="1"/>
  <c r="J45" i="11" s="1"/>
  <c r="K45" i="11" s="1"/>
  <c r="H30" i="11"/>
  <c r="I30" i="11" s="1"/>
  <c r="J30" i="11" s="1"/>
  <c r="K30" i="11" s="1"/>
  <c r="H21" i="11"/>
  <c r="I21" i="11" s="1"/>
  <c r="J21" i="11" s="1"/>
  <c r="K21" i="11" s="1"/>
  <c r="H20" i="11"/>
  <c r="I20" i="11" s="1"/>
  <c r="J20" i="11" s="1"/>
  <c r="K20" i="11" s="1"/>
  <c r="H19" i="11"/>
  <c r="I19" i="11" s="1"/>
  <c r="J19" i="11" s="1"/>
  <c r="K19" i="11" s="1"/>
  <c r="H13" i="11"/>
  <c r="I13" i="11" s="1"/>
  <c r="J13" i="11" s="1"/>
  <c r="K13" i="11" s="1"/>
  <c r="H12" i="11"/>
  <c r="I12" i="11" s="1"/>
  <c r="J12" i="11" s="1"/>
  <c r="K12" i="11" s="1"/>
  <c r="H7" i="11"/>
  <c r="I7" i="11" s="1"/>
  <c r="J7" i="11" s="1"/>
  <c r="K7" i="11" s="1"/>
  <c r="BP629" i="9"/>
  <c r="BQ629" i="9" s="1"/>
  <c r="BP628" i="9"/>
  <c r="BQ628" i="9" s="1"/>
  <c r="BP626" i="9"/>
  <c r="BQ626" i="9" s="1"/>
  <c r="BP623" i="9"/>
  <c r="BQ623" i="9" s="1"/>
  <c r="BP622" i="9"/>
  <c r="BQ622" i="9" s="1"/>
  <c r="BP615" i="9"/>
  <c r="BQ615" i="9" s="1"/>
  <c r="BP608" i="9"/>
  <c r="BQ608" i="9" s="1"/>
  <c r="BP607" i="9"/>
  <c r="BQ607" i="9" s="1"/>
  <c r="BP605" i="9"/>
  <c r="BQ605" i="9" s="1"/>
  <c r="BP600" i="9"/>
  <c r="BQ600" i="9" s="1"/>
  <c r="BP598" i="9"/>
  <c r="BQ598" i="9" s="1"/>
  <c r="BP518" i="9"/>
  <c r="BQ518" i="9" s="1"/>
  <c r="BP516" i="9"/>
  <c r="BQ516" i="9" s="1"/>
  <c r="BP512" i="9"/>
  <c r="BQ512" i="9" s="1"/>
  <c r="BP507" i="9"/>
  <c r="BQ507" i="9" s="1"/>
  <c r="BP504" i="9"/>
  <c r="BQ504" i="9" s="1"/>
  <c r="BP500" i="9"/>
  <c r="BQ500" i="9" s="1"/>
  <c r="BP489" i="9"/>
  <c r="BQ489" i="9" s="1"/>
  <c r="BP485" i="9"/>
  <c r="BQ485" i="9" s="1"/>
  <c r="BP482" i="9"/>
  <c r="BQ482" i="9" s="1"/>
  <c r="BP478" i="9"/>
  <c r="BQ478" i="9" s="1"/>
  <c r="BP439" i="9"/>
  <c r="BQ439" i="9" s="1"/>
  <c r="BP419" i="9"/>
  <c r="BQ419" i="9" s="1"/>
  <c r="BP386" i="9"/>
  <c r="BQ386" i="9" s="1"/>
  <c r="BP364" i="9"/>
  <c r="BQ364" i="9" s="1"/>
  <c r="BP358" i="9"/>
  <c r="BQ358" i="9" s="1"/>
  <c r="BP325" i="9"/>
  <c r="BQ325" i="9" s="1"/>
  <c r="BP224" i="9"/>
  <c r="BQ224" i="9" s="1"/>
  <c r="BP220" i="9"/>
  <c r="BQ220" i="9" s="1"/>
  <c r="BP219" i="9"/>
  <c r="BQ219" i="9" s="1"/>
  <c r="BP215" i="9"/>
  <c r="BQ215" i="9" s="1"/>
  <c r="BP145" i="9"/>
  <c r="BQ145" i="9" s="1"/>
  <c r="BP80" i="9"/>
  <c r="BQ80" i="9" s="1"/>
  <c r="BP69" i="9"/>
  <c r="BQ69" i="9" s="1"/>
  <c r="BP67" i="9"/>
  <c r="BQ67" i="9" s="1"/>
  <c r="BP39" i="9"/>
  <c r="BF572" i="8"/>
  <c r="BG572" i="8" s="1"/>
  <c r="BF571" i="8"/>
  <c r="BG571" i="8" s="1"/>
  <c r="BF570" i="8"/>
  <c r="BG570" i="8" s="1"/>
  <c r="BF567" i="8"/>
  <c r="BG567" i="8" s="1"/>
  <c r="BF566" i="8"/>
  <c r="BG566" i="8" s="1"/>
  <c r="BF553" i="8"/>
  <c r="BG553" i="8" s="1"/>
  <c r="BF552" i="8"/>
  <c r="BG552" i="8" s="1"/>
  <c r="BF551" i="8"/>
  <c r="BG551" i="8" s="1"/>
  <c r="BF522" i="8"/>
  <c r="BG522" i="8" s="1"/>
  <c r="BF471" i="8"/>
  <c r="BG471" i="8" s="1"/>
  <c r="BF468" i="8"/>
  <c r="BG468" i="8" s="1"/>
  <c r="BF465" i="8"/>
  <c r="BG465" i="8" s="1"/>
  <c r="BF464" i="8"/>
  <c r="BG464" i="8" s="1"/>
  <c r="BF463" i="8"/>
  <c r="BG463" i="8" s="1"/>
  <c r="BF355" i="8"/>
  <c r="BG355" i="8" s="1"/>
  <c r="BF351" i="8"/>
  <c r="BG351" i="8" s="1"/>
  <c r="BF350" i="8"/>
  <c r="BG350" i="8" s="1"/>
  <c r="BF349" i="8"/>
  <c r="BG349" i="8" s="1"/>
  <c r="BF348" i="8"/>
  <c r="BG348" i="8" s="1"/>
  <c r="BF347" i="8"/>
  <c r="BG347" i="8" s="1"/>
  <c r="BF167" i="8"/>
  <c r="BG167" i="8" s="1"/>
  <c r="BF165" i="8"/>
  <c r="BG165" i="8" s="1"/>
  <c r="BF164" i="8"/>
  <c r="BG164" i="8" s="1"/>
  <c r="BF107" i="8"/>
  <c r="BG107" i="8" s="1"/>
  <c r="BF106" i="8"/>
  <c r="BG106" i="8" s="1"/>
  <c r="BF105" i="8"/>
  <c r="BG105" i="8" s="1"/>
  <c r="BF6" i="8"/>
  <c r="BG6" i="8" s="1"/>
  <c r="BF4" i="8"/>
  <c r="BG4" i="8" s="1"/>
  <c r="L69" i="10" l="1"/>
  <c r="G69" i="10"/>
  <c r="F69" i="10"/>
  <c r="E69" i="10"/>
  <c r="D69" i="10"/>
  <c r="L364" i="10"/>
  <c r="G364" i="10"/>
  <c r="F364" i="10"/>
  <c r="E364" i="10"/>
  <c r="D364" i="10"/>
  <c r="L386" i="10"/>
  <c r="G386" i="10"/>
  <c r="F386" i="10"/>
  <c r="E386" i="10"/>
  <c r="D386" i="10"/>
  <c r="L419" i="10"/>
  <c r="G419" i="10"/>
  <c r="F419" i="10"/>
  <c r="E419" i="10"/>
  <c r="D419" i="10"/>
  <c r="L478" i="10"/>
  <c r="G478" i="10"/>
  <c r="F478" i="10"/>
  <c r="E478" i="10"/>
  <c r="D478" i="10"/>
  <c r="L482" i="10"/>
  <c r="G482" i="10"/>
  <c r="F482" i="10"/>
  <c r="E482" i="10"/>
  <c r="D482" i="10"/>
  <c r="L504" i="10"/>
  <c r="G504" i="10"/>
  <c r="F504" i="10"/>
  <c r="E504" i="10"/>
  <c r="D504" i="10"/>
  <c r="L598" i="10"/>
  <c r="G598" i="10"/>
  <c r="F598" i="10"/>
  <c r="E598" i="10"/>
  <c r="D598" i="10"/>
  <c r="L608" i="10"/>
  <c r="G608" i="10"/>
  <c r="F608" i="10"/>
  <c r="E608" i="10"/>
  <c r="D608" i="10"/>
  <c r="L622" i="10"/>
  <c r="G622" i="10"/>
  <c r="F622" i="10"/>
  <c r="E622" i="10"/>
  <c r="D622" i="10"/>
  <c r="J166" i="11"/>
  <c r="K166" i="11" s="1"/>
  <c r="J478" i="11"/>
  <c r="K478" i="11" s="1"/>
  <c r="J499" i="11"/>
  <c r="K499" i="11" s="1"/>
  <c r="J544" i="11"/>
  <c r="K544" i="11" s="1"/>
  <c r="J564" i="11"/>
  <c r="K564" i="11" s="1"/>
  <c r="J603" i="10"/>
  <c r="K603" i="10" s="1"/>
  <c r="J435" i="10"/>
  <c r="K435" i="10" s="1"/>
  <c r="J158" i="10"/>
  <c r="K158" i="10" s="1"/>
  <c r="J547" i="10"/>
  <c r="K547" i="10" s="1"/>
  <c r="J491" i="10"/>
  <c r="K491" i="10" s="1"/>
  <c r="J438" i="10"/>
  <c r="K438" i="10" s="1"/>
  <c r="J62" i="10"/>
  <c r="K62" i="10" s="1"/>
  <c r="J124" i="10"/>
  <c r="K124" i="10" s="1"/>
  <c r="J51" i="10"/>
  <c r="K51" i="10" s="1"/>
  <c r="J48" i="10"/>
  <c r="K48" i="10" s="1"/>
  <c r="J39" i="10"/>
  <c r="K39" i="10" s="1"/>
  <c r="L566" i="11"/>
  <c r="G566" i="11"/>
  <c r="E566" i="11"/>
  <c r="D566" i="11"/>
  <c r="F566" i="11"/>
  <c r="G571" i="11"/>
  <c r="F571" i="11"/>
  <c r="E571" i="11"/>
  <c r="L571" i="11"/>
  <c r="D571" i="11"/>
  <c r="L465" i="11"/>
  <c r="G465" i="11"/>
  <c r="E465" i="11"/>
  <c r="D465" i="11"/>
  <c r="F465" i="11"/>
  <c r="G105" i="11"/>
  <c r="E105" i="11"/>
  <c r="L105" i="11"/>
  <c r="F105" i="11"/>
  <c r="D105" i="11"/>
  <c r="L464" i="11"/>
  <c r="G464" i="11"/>
  <c r="F464" i="11"/>
  <c r="E464" i="11"/>
  <c r="D464" i="11"/>
  <c r="L6" i="11"/>
  <c r="G6" i="11"/>
  <c r="F6" i="11"/>
  <c r="E6" i="11"/>
  <c r="D6" i="11"/>
  <c r="E106" i="11"/>
  <c r="L106" i="11"/>
  <c r="G106" i="11"/>
  <c r="F106" i="11"/>
  <c r="D106" i="11"/>
  <c r="L107" i="11"/>
  <c r="E107" i="11"/>
  <c r="G107" i="11"/>
  <c r="D107" i="11"/>
  <c r="F107" i="11"/>
  <c r="L164" i="11"/>
  <c r="E164" i="11"/>
  <c r="G164" i="11"/>
  <c r="F164" i="11"/>
  <c r="D164" i="11"/>
  <c r="BQ678" i="9"/>
  <c r="BG635" i="8"/>
  <c r="H11" i="11"/>
  <c r="I11" i="11" s="1"/>
  <c r="J11" i="11" s="1"/>
  <c r="K11" i="11" s="1"/>
  <c r="H17" i="11"/>
  <c r="I17" i="11" s="1"/>
  <c r="J17" i="11" s="1"/>
  <c r="K17" i="11" s="1"/>
  <c r="H26" i="11"/>
  <c r="I26" i="11" s="1"/>
  <c r="H43" i="11"/>
  <c r="I43" i="11" s="1"/>
  <c r="J43" i="11" s="1"/>
  <c r="K43" i="11" s="1"/>
  <c r="H49" i="11"/>
  <c r="I49" i="11" s="1"/>
  <c r="J49" i="11" s="1"/>
  <c r="K49" i="11" s="1"/>
  <c r="H57" i="11"/>
  <c r="I57" i="11" s="1"/>
  <c r="J57" i="11" s="1"/>
  <c r="K57" i="11" s="1"/>
  <c r="H65" i="11"/>
  <c r="I65" i="11" s="1"/>
  <c r="J65" i="11" s="1"/>
  <c r="K65" i="11" s="1"/>
  <c r="H80" i="11"/>
  <c r="I80" i="11" s="1"/>
  <c r="J80" i="11" s="1"/>
  <c r="K80" i="11" s="1"/>
  <c r="H93" i="11"/>
  <c r="I93" i="11" s="1"/>
  <c r="J93" i="11" s="1"/>
  <c r="K93" i="11" s="1"/>
  <c r="H97" i="11"/>
  <c r="I97" i="11" s="1"/>
  <c r="J97" i="11" s="1"/>
  <c r="K97" i="11" s="1"/>
  <c r="H104" i="11"/>
  <c r="I104" i="11" s="1"/>
  <c r="J104" i="11" s="1"/>
  <c r="K104" i="11" s="1"/>
  <c r="H122" i="11"/>
  <c r="I122" i="11" s="1"/>
  <c r="J122" i="11" s="1"/>
  <c r="K122" i="11" s="1"/>
  <c r="H132" i="11"/>
  <c r="I132" i="11" s="1"/>
  <c r="J132" i="11" s="1"/>
  <c r="K132" i="11" s="1"/>
  <c r="H153" i="11"/>
  <c r="I153" i="11" s="1"/>
  <c r="J153" i="11" s="1"/>
  <c r="K153" i="11" s="1"/>
  <c r="H172" i="11"/>
  <c r="I172" i="11" s="1"/>
  <c r="J172" i="11" s="1"/>
  <c r="K172" i="11" s="1"/>
  <c r="H209" i="11"/>
  <c r="I209" i="11" s="1"/>
  <c r="J209" i="11" s="1"/>
  <c r="K209" i="11" s="1"/>
  <c r="H217" i="11"/>
  <c r="I217" i="11" s="1"/>
  <c r="J217" i="11" s="1"/>
  <c r="K217" i="11" s="1"/>
  <c r="H223" i="11"/>
  <c r="I223" i="11" s="1"/>
  <c r="J223" i="11" s="1"/>
  <c r="K223" i="11" s="1"/>
  <c r="H237" i="11"/>
  <c r="I237" i="11" s="1"/>
  <c r="J237" i="11" s="1"/>
  <c r="K237" i="11" s="1"/>
  <c r="H248" i="11"/>
  <c r="I248" i="11" s="1"/>
  <c r="J248" i="11" s="1"/>
  <c r="K248" i="11" s="1"/>
  <c r="H253" i="11"/>
  <c r="I253" i="11" s="1"/>
  <c r="J253" i="11" s="1"/>
  <c r="K253" i="11" s="1"/>
  <c r="H277" i="11"/>
  <c r="I277" i="11" s="1"/>
  <c r="J277" i="11" s="1"/>
  <c r="K277" i="11" s="1"/>
  <c r="H281" i="11"/>
  <c r="I281" i="11" s="1"/>
  <c r="J281" i="11" s="1"/>
  <c r="K281" i="11" s="1"/>
  <c r="H287" i="11"/>
  <c r="I287" i="11" s="1"/>
  <c r="J287" i="11" s="1"/>
  <c r="K287" i="11" s="1"/>
  <c r="H293" i="11"/>
  <c r="I293" i="11" s="1"/>
  <c r="J293" i="11" s="1"/>
  <c r="K293" i="11" s="1"/>
  <c r="H305" i="11"/>
  <c r="I305" i="11" s="1"/>
  <c r="J305" i="11" s="1"/>
  <c r="K305" i="11" s="1"/>
  <c r="H3" i="11"/>
  <c r="H73" i="11"/>
  <c r="I73" i="11" s="1"/>
  <c r="J73" i="11" s="1"/>
  <c r="K73" i="11" s="1"/>
  <c r="H90" i="11"/>
  <c r="I90" i="11" s="1"/>
  <c r="J90" i="11" s="1"/>
  <c r="K90" i="11" s="1"/>
  <c r="H62" i="11"/>
  <c r="I62" i="11" s="1"/>
  <c r="J62" i="11" s="1"/>
  <c r="K62" i="11" s="1"/>
  <c r="H22" i="11"/>
  <c r="I22" i="11" s="1"/>
  <c r="J22" i="11" s="1"/>
  <c r="K22" i="11" s="1"/>
  <c r="H119" i="11"/>
  <c r="I119" i="11" s="1"/>
  <c r="J119" i="11" s="1"/>
  <c r="K119" i="11" s="1"/>
  <c r="H37" i="11"/>
  <c r="I37" i="11" s="1"/>
  <c r="J37" i="11" s="1"/>
  <c r="K37" i="11" s="1"/>
  <c r="H78" i="11"/>
  <c r="I78" i="11" s="1"/>
  <c r="J78" i="11" s="1"/>
  <c r="K78" i="11" s="1"/>
  <c r="H8" i="11"/>
  <c r="I8" i="11" s="1"/>
  <c r="J8" i="11" s="1"/>
  <c r="K8" i="11" s="1"/>
  <c r="H54" i="11"/>
  <c r="I54" i="11" s="1"/>
  <c r="J54" i="11" s="1"/>
  <c r="K54" i="11" s="1"/>
  <c r="H95" i="11"/>
  <c r="I95" i="11" s="1"/>
  <c r="J95" i="11" s="1"/>
  <c r="K95" i="11" s="1"/>
  <c r="H14" i="11"/>
  <c r="I14" i="11" s="1"/>
  <c r="J14" i="11" s="1"/>
  <c r="K14" i="11" s="1"/>
  <c r="H47" i="11"/>
  <c r="I47" i="11" s="1"/>
  <c r="J47" i="11" s="1"/>
  <c r="K47" i="11" s="1"/>
  <c r="H70" i="11"/>
  <c r="I70" i="11" s="1"/>
  <c r="J70" i="11" s="1"/>
  <c r="K70" i="11" s="1"/>
  <c r="H129" i="11"/>
  <c r="I129" i="11" s="1"/>
  <c r="J129" i="11" s="1"/>
  <c r="K129" i="11" s="1"/>
  <c r="H156" i="11"/>
  <c r="I156" i="11" s="1"/>
  <c r="J156" i="11" s="1"/>
  <c r="K156" i="11" s="1"/>
  <c r="H195" i="11"/>
  <c r="I195" i="11" s="1"/>
  <c r="J195" i="11" s="1"/>
  <c r="K195" i="11" s="1"/>
  <c r="H214" i="11"/>
  <c r="I214" i="11" s="1"/>
  <c r="J214" i="11" s="1"/>
  <c r="K214" i="11" s="1"/>
  <c r="H221" i="11"/>
  <c r="I221" i="11" s="1"/>
  <c r="J221" i="11" s="1"/>
  <c r="K221" i="11" s="1"/>
  <c r="H251" i="11"/>
  <c r="I251" i="11" s="1"/>
  <c r="J251" i="11" s="1"/>
  <c r="K251" i="11" s="1"/>
  <c r="H310" i="11"/>
  <c r="I310" i="11" s="1"/>
  <c r="J310" i="11" s="1"/>
  <c r="K310" i="11" s="1"/>
  <c r="H322" i="11"/>
  <c r="I322" i="11" s="1"/>
  <c r="J322" i="11" s="1"/>
  <c r="K322" i="11" s="1"/>
  <c r="H342" i="11"/>
  <c r="I342" i="11" s="1"/>
  <c r="J342" i="11" s="1"/>
  <c r="K342" i="11" s="1"/>
  <c r="H389" i="11"/>
  <c r="I389" i="11" s="1"/>
  <c r="J389" i="11" s="1"/>
  <c r="K389" i="11" s="1"/>
  <c r="H403" i="11"/>
  <c r="I403" i="11" s="1"/>
  <c r="J403" i="11" s="1"/>
  <c r="K403" i="11" s="1"/>
  <c r="H416" i="11"/>
  <c r="I416" i="11" s="1"/>
  <c r="J416" i="11" s="1"/>
  <c r="K416" i="11" s="1"/>
  <c r="H452" i="11"/>
  <c r="I452" i="11" s="1"/>
  <c r="J452" i="11" s="1"/>
  <c r="K452" i="11" s="1"/>
  <c r="H485" i="11"/>
  <c r="I485" i="11" s="1"/>
  <c r="J485" i="11" s="1"/>
  <c r="K485" i="11" s="1"/>
  <c r="H559" i="11"/>
  <c r="I559" i="11" s="1"/>
  <c r="J559" i="11" s="1"/>
  <c r="K559" i="11" s="1"/>
  <c r="H580" i="11"/>
  <c r="I580" i="11" s="1"/>
  <c r="J580" i="11" s="1"/>
  <c r="K580" i="11" s="1"/>
  <c r="H206" i="11"/>
  <c r="I206" i="11" s="1"/>
  <c r="J206" i="11" s="1"/>
  <c r="K206" i="11" s="1"/>
  <c r="H245" i="11"/>
  <c r="I245" i="11" s="1"/>
  <c r="J245" i="11" s="1"/>
  <c r="K245" i="11" s="1"/>
  <c r="H258" i="11"/>
  <c r="I258" i="11" s="1"/>
  <c r="H273" i="11"/>
  <c r="I273" i="11" s="1"/>
  <c r="J273" i="11" s="1"/>
  <c r="K273" i="11" s="1"/>
  <c r="H302" i="11"/>
  <c r="I302" i="11" s="1"/>
  <c r="J302" i="11" s="1"/>
  <c r="K302" i="11" s="1"/>
  <c r="H316" i="11"/>
  <c r="I316" i="11" s="1"/>
  <c r="J316" i="11" s="1"/>
  <c r="K316" i="11" s="1"/>
  <c r="H338" i="11"/>
  <c r="I338" i="11" s="1"/>
  <c r="J338" i="11" s="1"/>
  <c r="K338" i="11" s="1"/>
  <c r="H361" i="11"/>
  <c r="I361" i="11" s="1"/>
  <c r="J361" i="11" s="1"/>
  <c r="K361" i="11" s="1"/>
  <c r="H370" i="11"/>
  <c r="I370" i="11" s="1"/>
  <c r="J370" i="11" s="1"/>
  <c r="K370" i="11" s="1"/>
  <c r="H383" i="11"/>
  <c r="I383" i="11" s="1"/>
  <c r="J383" i="11" s="1"/>
  <c r="K383" i="11" s="1"/>
  <c r="H411" i="11"/>
  <c r="I411" i="11" s="1"/>
  <c r="J411" i="11" s="1"/>
  <c r="K411" i="11" s="1"/>
  <c r="H432" i="11"/>
  <c r="I432" i="11" s="1"/>
  <c r="J432" i="11" s="1"/>
  <c r="K432" i="11" s="1"/>
  <c r="H469" i="11"/>
  <c r="I469" i="11" s="1"/>
  <c r="J469" i="11" s="1"/>
  <c r="K469" i="11" s="1"/>
  <c r="H510" i="11"/>
  <c r="I510" i="11" s="1"/>
  <c r="J510" i="11" s="1"/>
  <c r="K510" i="11" s="1"/>
  <c r="H539" i="11"/>
  <c r="I539" i="11" s="1"/>
  <c r="J539" i="11" s="1"/>
  <c r="K539" i="11" s="1"/>
  <c r="H569" i="11"/>
  <c r="I569" i="11" s="1"/>
  <c r="J569" i="11" s="1"/>
  <c r="K569" i="11" s="1"/>
  <c r="H588" i="11"/>
  <c r="I588" i="11" s="1"/>
  <c r="J588" i="11" s="1"/>
  <c r="K588" i="11" s="1"/>
  <c r="H607" i="11"/>
  <c r="I607" i="11" s="1"/>
  <c r="J607" i="11" s="1"/>
  <c r="K607" i="11" s="1"/>
  <c r="H9" i="11"/>
  <c r="I9" i="11" s="1"/>
  <c r="J9" i="11" s="1"/>
  <c r="K9" i="11" s="1"/>
  <c r="H15" i="11"/>
  <c r="I15" i="11" s="1"/>
  <c r="J15" i="11" s="1"/>
  <c r="K15" i="11" s="1"/>
  <c r="H23" i="11"/>
  <c r="I23" i="11" s="1"/>
  <c r="J23" i="11" s="1"/>
  <c r="K23" i="11" s="1"/>
  <c r="H48" i="11"/>
  <c r="I48" i="11" s="1"/>
  <c r="J48" i="11" s="1"/>
  <c r="K48" i="11" s="1"/>
  <c r="H55" i="11"/>
  <c r="I55" i="11" s="1"/>
  <c r="J55" i="11" s="1"/>
  <c r="K55" i="11" s="1"/>
  <c r="H63" i="11"/>
  <c r="I63" i="11" s="1"/>
  <c r="J63" i="11" s="1"/>
  <c r="K63" i="11" s="1"/>
  <c r="H71" i="11"/>
  <c r="I71" i="11" s="1"/>
  <c r="J71" i="11" s="1"/>
  <c r="K71" i="11" s="1"/>
  <c r="H91" i="11"/>
  <c r="I91" i="11" s="1"/>
  <c r="J91" i="11" s="1"/>
  <c r="K91" i="11" s="1"/>
  <c r="H113" i="11"/>
  <c r="I113" i="11" s="1"/>
  <c r="J113" i="11" s="1"/>
  <c r="K113" i="11" s="1"/>
  <c r="H120" i="11"/>
  <c r="I120" i="11" s="1"/>
  <c r="J120" i="11" s="1"/>
  <c r="K120" i="11" s="1"/>
  <c r="H130" i="11"/>
  <c r="I130" i="11" s="1"/>
  <c r="J130" i="11" s="1"/>
  <c r="K130" i="11" s="1"/>
  <c r="H137" i="11"/>
  <c r="I137" i="11" s="1"/>
  <c r="J137" i="11" s="1"/>
  <c r="K137" i="11" s="1"/>
  <c r="H144" i="11"/>
  <c r="I144" i="11" s="1"/>
  <c r="J144" i="11" s="1"/>
  <c r="K144" i="11" s="1"/>
  <c r="H151" i="11"/>
  <c r="I151" i="11" s="1"/>
  <c r="J151" i="11" s="1"/>
  <c r="K151" i="11" s="1"/>
  <c r="H157" i="11"/>
  <c r="I157" i="11" s="1"/>
  <c r="J157" i="11" s="1"/>
  <c r="K157" i="11" s="1"/>
  <c r="H170" i="11"/>
  <c r="I170" i="11" s="1"/>
  <c r="J170" i="11" s="1"/>
  <c r="K170" i="11" s="1"/>
  <c r="H196" i="11"/>
  <c r="I196" i="11" s="1"/>
  <c r="J196" i="11" s="1"/>
  <c r="K196" i="11" s="1"/>
  <c r="H215" i="11"/>
  <c r="I215" i="11" s="1"/>
  <c r="J215" i="11" s="1"/>
  <c r="K215" i="11" s="1"/>
  <c r="H222" i="11"/>
  <c r="I222" i="11" s="1"/>
  <c r="J222" i="11" s="1"/>
  <c r="K222" i="11" s="1"/>
  <c r="H234" i="11"/>
  <c r="I234" i="11" s="1"/>
  <c r="J234" i="11" s="1"/>
  <c r="K234" i="11" s="1"/>
  <c r="H279" i="11"/>
  <c r="I279" i="11" s="1"/>
  <c r="J279" i="11" s="1"/>
  <c r="K279" i="11" s="1"/>
  <c r="H285" i="11"/>
  <c r="I285" i="11" s="1"/>
  <c r="J285" i="11" s="1"/>
  <c r="K285" i="11" s="1"/>
  <c r="H303" i="11"/>
  <c r="I303" i="11" s="1"/>
  <c r="J303" i="11" s="1"/>
  <c r="K303" i="11" s="1"/>
  <c r="H311" i="11"/>
  <c r="I311" i="11" s="1"/>
  <c r="J311" i="11" s="1"/>
  <c r="K311" i="11" s="1"/>
  <c r="H362" i="11"/>
  <c r="I362" i="11" s="1"/>
  <c r="J362" i="11" s="1"/>
  <c r="K362" i="11" s="1"/>
  <c r="H367" i="11"/>
  <c r="I367" i="11" s="1"/>
  <c r="J367" i="11" s="1"/>
  <c r="K367" i="11" s="1"/>
  <c r="H371" i="11"/>
  <c r="I371" i="11" s="1"/>
  <c r="J371" i="11" s="1"/>
  <c r="K371" i="11" s="1"/>
  <c r="H384" i="11"/>
  <c r="I384" i="11" s="1"/>
  <c r="J384" i="11" s="1"/>
  <c r="K384" i="11" s="1"/>
  <c r="H390" i="11"/>
  <c r="I390" i="11" s="1"/>
  <c r="J390" i="11" s="1"/>
  <c r="K390" i="11" s="1"/>
  <c r="H396" i="11"/>
  <c r="I396" i="11" s="1"/>
  <c r="J396" i="11" s="1"/>
  <c r="K396" i="11" s="1"/>
  <c r="H404" i="11"/>
  <c r="I404" i="11" s="1"/>
  <c r="J404" i="11" s="1"/>
  <c r="K404" i="11" s="1"/>
  <c r="H417" i="11"/>
  <c r="I417" i="11" s="1"/>
  <c r="J417" i="11" s="1"/>
  <c r="K417" i="11" s="1"/>
  <c r="H433" i="11"/>
  <c r="I433" i="11" s="1"/>
  <c r="J433" i="11" s="1"/>
  <c r="K433" i="11" s="1"/>
  <c r="H453" i="11"/>
  <c r="I453" i="11" s="1"/>
  <c r="J453" i="11" s="1"/>
  <c r="K453" i="11" s="1"/>
  <c r="H497" i="11"/>
  <c r="I497" i="11" s="1"/>
  <c r="H524" i="11"/>
  <c r="I524" i="11" s="1"/>
  <c r="J524" i="11" s="1"/>
  <c r="K524" i="11" s="1"/>
  <c r="H529" i="11"/>
  <c r="I529" i="11" s="1"/>
  <c r="J529" i="11" s="1"/>
  <c r="K529" i="11" s="1"/>
  <c r="H535" i="11"/>
  <c r="I535" i="11" s="1"/>
  <c r="J535" i="11" s="1"/>
  <c r="K535" i="11" s="1"/>
  <c r="H540" i="11"/>
  <c r="I540" i="11" s="1"/>
  <c r="J540" i="11" s="1"/>
  <c r="K540" i="11" s="1"/>
  <c r="H560" i="11"/>
  <c r="I560" i="11" s="1"/>
  <c r="H589" i="11"/>
  <c r="I589" i="11" s="1"/>
  <c r="J589" i="11" s="1"/>
  <c r="K589" i="11" s="1"/>
  <c r="H261" i="11"/>
  <c r="I261" i="11" s="1"/>
  <c r="J261" i="11" s="1"/>
  <c r="K261" i="11" s="1"/>
  <c r="H25" i="11"/>
  <c r="I25" i="11" s="1"/>
  <c r="J25" i="11" s="1"/>
  <c r="K25" i="11" s="1"/>
  <c r="H64" i="11"/>
  <c r="I64" i="11" s="1"/>
  <c r="J64" i="11" s="1"/>
  <c r="K64" i="11" s="1"/>
  <c r="H103" i="11"/>
  <c r="I103" i="11" s="1"/>
  <c r="J103" i="11" s="1"/>
  <c r="K103" i="11" s="1"/>
  <c r="H131" i="11"/>
  <c r="I131" i="11" s="1"/>
  <c r="J131" i="11" s="1"/>
  <c r="K131" i="11" s="1"/>
  <c r="H184" i="11"/>
  <c r="I184" i="11" s="1"/>
  <c r="J184" i="11" s="1"/>
  <c r="K184" i="11" s="1"/>
  <c r="H216" i="11"/>
  <c r="I216" i="11" s="1"/>
  <c r="J216" i="11" s="1"/>
  <c r="K216" i="11" s="1"/>
  <c r="H252" i="11"/>
  <c r="I252" i="11" s="1"/>
  <c r="J252" i="11" s="1"/>
  <c r="K252" i="11" s="1"/>
  <c r="H275" i="11"/>
  <c r="I275" i="11" s="1"/>
  <c r="J275" i="11" s="1"/>
  <c r="K275" i="11" s="1"/>
  <c r="H324" i="11"/>
  <c r="I324" i="11" s="1"/>
  <c r="J324" i="11" s="1"/>
  <c r="K324" i="11" s="1"/>
  <c r="H363" i="11"/>
  <c r="I363" i="11" s="1"/>
  <c r="J363" i="11" s="1"/>
  <c r="K363" i="11" s="1"/>
  <c r="H385" i="11"/>
  <c r="I385" i="11" s="1"/>
  <c r="J385" i="11" s="1"/>
  <c r="K385" i="11" s="1"/>
  <c r="H418" i="11"/>
  <c r="I418" i="11" s="1"/>
  <c r="J418" i="11" s="1"/>
  <c r="K418" i="11" s="1"/>
  <c r="H488" i="11"/>
  <c r="I488" i="11" s="1"/>
  <c r="J488" i="11" s="1"/>
  <c r="K488" i="11" s="1"/>
  <c r="H561" i="11"/>
  <c r="I561" i="11" s="1"/>
  <c r="J561" i="11" s="1"/>
  <c r="K561" i="11" s="1"/>
  <c r="H590" i="11"/>
  <c r="I590" i="11" s="1"/>
  <c r="J590" i="11" s="1"/>
  <c r="K590" i="11" s="1"/>
  <c r="H609" i="11"/>
  <c r="I609" i="11" s="1"/>
  <c r="H150" i="11"/>
  <c r="I150" i="11" s="1"/>
  <c r="J150" i="11" s="1"/>
  <c r="K150" i="11" s="1"/>
  <c r="H177" i="11"/>
  <c r="I177" i="11" s="1"/>
  <c r="J177" i="11" s="1"/>
  <c r="K177" i="11" s="1"/>
  <c r="H284" i="11"/>
  <c r="I284" i="11" s="1"/>
  <c r="J284" i="11" s="1"/>
  <c r="K284" i="11" s="1"/>
  <c r="H16" i="11"/>
  <c r="I16" i="11" s="1"/>
  <c r="J16" i="11" s="1"/>
  <c r="K16" i="11" s="1"/>
  <c r="H56" i="11"/>
  <c r="I56" i="11" s="1"/>
  <c r="J56" i="11" s="1"/>
  <c r="K56" i="11" s="1"/>
  <c r="H92" i="11"/>
  <c r="I92" i="11" s="1"/>
  <c r="J92" i="11" s="1"/>
  <c r="K92" i="11" s="1"/>
  <c r="H121" i="11"/>
  <c r="I121" i="11" s="1"/>
  <c r="J121" i="11" s="1"/>
  <c r="K121" i="11" s="1"/>
  <c r="H199" i="11"/>
  <c r="I199" i="11" s="1"/>
  <c r="J199" i="11" s="1"/>
  <c r="K199" i="11" s="1"/>
  <c r="H229" i="11"/>
  <c r="I229" i="11" s="1"/>
  <c r="J229" i="11" s="1"/>
  <c r="K229" i="11" s="1"/>
  <c r="H286" i="11"/>
  <c r="I286" i="11" s="1"/>
  <c r="J286" i="11" s="1"/>
  <c r="K286" i="11" s="1"/>
  <c r="H334" i="11"/>
  <c r="I334" i="11" s="1"/>
  <c r="J334" i="11" s="1"/>
  <c r="K334" i="11" s="1"/>
  <c r="H368" i="11"/>
  <c r="I368" i="11" s="1"/>
  <c r="J368" i="11" s="1"/>
  <c r="K368" i="11" s="1"/>
  <c r="H391" i="11"/>
  <c r="I391" i="11" s="1"/>
  <c r="J391" i="11" s="1"/>
  <c r="K391" i="11" s="1"/>
  <c r="H498" i="11"/>
  <c r="I498" i="11" s="1"/>
  <c r="J498" i="11" s="1"/>
  <c r="K498" i="11" s="1"/>
  <c r="H112" i="11"/>
  <c r="I112" i="11" s="1"/>
  <c r="J112" i="11" s="1"/>
  <c r="K112" i="11" s="1"/>
  <c r="H143" i="11"/>
  <c r="I143" i="11" s="1"/>
  <c r="J143" i="11" s="1"/>
  <c r="K143" i="11" s="1"/>
  <c r="H182" i="11"/>
  <c r="I182" i="11" s="1"/>
  <c r="J182" i="11" s="1"/>
  <c r="K182" i="11" s="1"/>
  <c r="H189" i="11"/>
  <c r="I189" i="11" s="1"/>
  <c r="J189" i="11" s="1"/>
  <c r="K189" i="11" s="1"/>
  <c r="H299" i="11"/>
  <c r="I299" i="11" s="1"/>
  <c r="J299" i="11" s="1"/>
  <c r="K299" i="11" s="1"/>
  <c r="H10" i="11"/>
  <c r="I10" i="11" s="1"/>
  <c r="J10" i="11" s="1"/>
  <c r="K10" i="11" s="1"/>
  <c r="H79" i="11"/>
  <c r="I79" i="11" s="1"/>
  <c r="J79" i="11" s="1"/>
  <c r="K79" i="11" s="1"/>
  <c r="H114" i="11"/>
  <c r="I114" i="11" s="1"/>
  <c r="J114" i="11" s="1"/>
  <c r="K114" i="11" s="1"/>
  <c r="H161" i="11"/>
  <c r="I161" i="11" s="1"/>
  <c r="J161" i="11" s="1"/>
  <c r="K161" i="11" s="1"/>
  <c r="H192" i="11"/>
  <c r="I192" i="11" s="1"/>
  <c r="J192" i="11" s="1"/>
  <c r="K192" i="11" s="1"/>
  <c r="H268" i="11"/>
  <c r="I268" i="11" s="1"/>
  <c r="J268" i="11" s="1"/>
  <c r="K268" i="11" s="1"/>
  <c r="H318" i="11"/>
  <c r="I318" i="11" s="1"/>
  <c r="J318" i="11" s="1"/>
  <c r="K318" i="11" s="1"/>
  <c r="H372" i="11"/>
  <c r="I372" i="11" s="1"/>
  <c r="J372" i="11" s="1"/>
  <c r="K372" i="11" s="1"/>
  <c r="H397" i="11"/>
  <c r="I397" i="11" s="1"/>
  <c r="J397" i="11" s="1"/>
  <c r="K397" i="11" s="1"/>
  <c r="H434" i="11"/>
  <c r="I434" i="11" s="1"/>
  <c r="J434" i="11" s="1"/>
  <c r="K434" i="11" s="1"/>
  <c r="H506" i="11"/>
  <c r="I506" i="11" s="1"/>
  <c r="J506" i="11" s="1"/>
  <c r="K506" i="11" s="1"/>
  <c r="H574" i="11"/>
  <c r="I574" i="11" s="1"/>
  <c r="J574" i="11" s="1"/>
  <c r="K574" i="11" s="1"/>
  <c r="H5" i="11"/>
  <c r="I5" i="11" s="1"/>
  <c r="J5" i="11" s="1"/>
  <c r="K5" i="11" s="1"/>
  <c r="H18" i="11"/>
  <c r="I18" i="11" s="1"/>
  <c r="J18" i="11" s="1"/>
  <c r="K18" i="11" s="1"/>
  <c r="H29" i="11"/>
  <c r="I29" i="11" s="1"/>
  <c r="J29" i="11" s="1"/>
  <c r="K29" i="11" s="1"/>
  <c r="H44" i="11"/>
  <c r="I44" i="11" s="1"/>
  <c r="J44" i="11" s="1"/>
  <c r="K44" i="11" s="1"/>
  <c r="H50" i="11"/>
  <c r="I50" i="11" s="1"/>
  <c r="J50" i="11" s="1"/>
  <c r="K50" i="11" s="1"/>
  <c r="H58" i="11"/>
  <c r="I58" i="11" s="1"/>
  <c r="J58" i="11" s="1"/>
  <c r="K58" i="11" s="1"/>
  <c r="H66" i="11"/>
  <c r="I66" i="11" s="1"/>
  <c r="J66" i="11" s="1"/>
  <c r="K66" i="11" s="1"/>
  <c r="H74" i="11"/>
  <c r="I74" i="11" s="1"/>
  <c r="H81" i="11"/>
  <c r="I81" i="11" s="1"/>
  <c r="J81" i="11" s="1"/>
  <c r="K81" i="11" s="1"/>
  <c r="H98" i="11"/>
  <c r="I98" i="11" s="1"/>
  <c r="J98" i="11" s="1"/>
  <c r="K98" i="11" s="1"/>
  <c r="H108" i="11"/>
  <c r="I108" i="11" s="1"/>
  <c r="J108" i="11" s="1"/>
  <c r="K108" i="11" s="1"/>
  <c r="H123" i="11"/>
  <c r="I123" i="11" s="1"/>
  <c r="J123" i="11" s="1"/>
  <c r="K123" i="11" s="1"/>
  <c r="H126" i="11"/>
  <c r="I126" i="11" s="1"/>
  <c r="J126" i="11" s="1"/>
  <c r="K126" i="11" s="1"/>
  <c r="H162" i="11"/>
  <c r="I162" i="11" s="1"/>
  <c r="J162" i="11" s="1"/>
  <c r="K162" i="11" s="1"/>
  <c r="H179" i="11"/>
  <c r="I179" i="11" s="1"/>
  <c r="J179" i="11" s="1"/>
  <c r="K179" i="11" s="1"/>
  <c r="H230" i="11"/>
  <c r="I230" i="11" s="1"/>
  <c r="J230" i="11" s="1"/>
  <c r="K230" i="11" s="1"/>
  <c r="H249" i="11"/>
  <c r="I249" i="11" s="1"/>
  <c r="J249" i="11" s="1"/>
  <c r="K249" i="11" s="1"/>
  <c r="H254" i="11"/>
  <c r="I254" i="11" s="1"/>
  <c r="H264" i="11"/>
  <c r="I264" i="11" s="1"/>
  <c r="J264" i="11" s="1"/>
  <c r="K264" i="11" s="1"/>
  <c r="H269" i="11"/>
  <c r="I269" i="11" s="1"/>
  <c r="J269" i="11" s="1"/>
  <c r="K269" i="11" s="1"/>
  <c r="H295" i="11"/>
  <c r="I295" i="11" s="1"/>
  <c r="J295" i="11" s="1"/>
  <c r="K295" i="11" s="1"/>
  <c r="H326" i="11"/>
  <c r="I326" i="11" s="1"/>
  <c r="J326" i="11" s="1"/>
  <c r="K326" i="11" s="1"/>
  <c r="H330" i="11"/>
  <c r="I330" i="11" s="1"/>
  <c r="J330" i="11" s="1"/>
  <c r="K330" i="11" s="1"/>
  <c r="H341" i="11"/>
  <c r="I341" i="11" s="1"/>
  <c r="J341" i="11" s="1"/>
  <c r="K341" i="11" s="1"/>
  <c r="H365" i="11"/>
  <c r="I365" i="11" s="1"/>
  <c r="J365" i="11" s="1"/>
  <c r="K365" i="11" s="1"/>
  <c r="H374" i="11"/>
  <c r="I374" i="11" s="1"/>
  <c r="J374" i="11" s="1"/>
  <c r="K374" i="11" s="1"/>
  <c r="H379" i="11"/>
  <c r="I379" i="11" s="1"/>
  <c r="J379" i="11" s="1"/>
  <c r="K379" i="11" s="1"/>
  <c r="H387" i="11"/>
  <c r="I387" i="11" s="1"/>
  <c r="J387" i="11" s="1"/>
  <c r="K387" i="11" s="1"/>
  <c r="H393" i="11"/>
  <c r="I393" i="11" s="1"/>
  <c r="J393" i="11" s="1"/>
  <c r="K393" i="11" s="1"/>
  <c r="H399" i="11"/>
  <c r="I399" i="11" s="1"/>
  <c r="J399" i="11" s="1"/>
  <c r="K399" i="11" s="1"/>
  <c r="H407" i="11"/>
  <c r="I407" i="11" s="1"/>
  <c r="J407" i="11" s="1"/>
  <c r="K407" i="11" s="1"/>
  <c r="H412" i="11"/>
  <c r="I412" i="11" s="1"/>
  <c r="J412" i="11" s="1"/>
  <c r="K412" i="11" s="1"/>
  <c r="H420" i="11"/>
  <c r="I420" i="11" s="1"/>
  <c r="J420" i="11" s="1"/>
  <c r="K420" i="11" s="1"/>
  <c r="H460" i="11"/>
  <c r="I460" i="11" s="1"/>
  <c r="J460" i="11" s="1"/>
  <c r="K460" i="11" s="1"/>
  <c r="H491" i="11"/>
  <c r="I491" i="11" s="1"/>
  <c r="J491" i="11" s="1"/>
  <c r="K491" i="11" s="1"/>
  <c r="H515" i="11"/>
  <c r="I515" i="11" s="1"/>
  <c r="J515" i="11" s="1"/>
  <c r="K515" i="11" s="1"/>
  <c r="H518" i="11"/>
  <c r="I518" i="11" s="1"/>
  <c r="J518" i="11" s="1"/>
  <c r="K518" i="11" s="1"/>
  <c r="H555" i="11"/>
  <c r="I555" i="11" s="1"/>
  <c r="H562" i="11"/>
  <c r="I562" i="11" s="1"/>
  <c r="J562" i="11" s="1"/>
  <c r="K562" i="11" s="1"/>
  <c r="H576" i="11"/>
  <c r="I576" i="11" s="1"/>
  <c r="J576" i="11" s="1"/>
  <c r="K576" i="11" s="1"/>
  <c r="H584" i="11"/>
  <c r="I584" i="11" s="1"/>
  <c r="J584" i="11" s="1"/>
  <c r="K584" i="11" s="1"/>
  <c r="H611" i="11"/>
  <c r="I611" i="11" s="1"/>
  <c r="J611" i="11" s="1"/>
  <c r="K611" i="11" s="1"/>
  <c r="H124" i="11"/>
  <c r="I124" i="11" s="1"/>
  <c r="J124" i="11" s="1"/>
  <c r="K124" i="11" s="1"/>
  <c r="H169" i="11"/>
  <c r="I169" i="11" s="1"/>
  <c r="J169" i="11" s="1"/>
  <c r="K169" i="11" s="1"/>
  <c r="H292" i="11"/>
  <c r="I292" i="11" s="1"/>
  <c r="J292" i="11" s="1"/>
  <c r="K292" i="11" s="1"/>
  <c r="H42" i="11"/>
  <c r="I42" i="11" s="1"/>
  <c r="J42" i="11" s="1"/>
  <c r="K42" i="11" s="1"/>
  <c r="H72" i="11"/>
  <c r="I72" i="11" s="1"/>
  <c r="J72" i="11" s="1"/>
  <c r="K72" i="11" s="1"/>
  <c r="H96" i="11"/>
  <c r="I96" i="11" s="1"/>
  <c r="J96" i="11" s="1"/>
  <c r="K96" i="11" s="1"/>
  <c r="H125" i="11"/>
  <c r="I125" i="11" s="1"/>
  <c r="J125" i="11" s="1"/>
  <c r="K125" i="11" s="1"/>
  <c r="H178" i="11"/>
  <c r="I178" i="11" s="1"/>
  <c r="J178" i="11" s="1"/>
  <c r="K178" i="11" s="1"/>
  <c r="H208" i="11"/>
  <c r="I208" i="11" s="1"/>
  <c r="J208" i="11" s="1"/>
  <c r="K208" i="11" s="1"/>
  <c r="H235" i="11"/>
  <c r="I235" i="11" s="1"/>
  <c r="J235" i="11" s="1"/>
  <c r="K235" i="11" s="1"/>
  <c r="H263" i="11"/>
  <c r="I263" i="11" s="1"/>
  <c r="J263" i="11" s="1"/>
  <c r="K263" i="11" s="1"/>
  <c r="H280" i="11"/>
  <c r="I280" i="11" s="1"/>
  <c r="J280" i="11" s="1"/>
  <c r="K280" i="11" s="1"/>
  <c r="H329" i="11"/>
  <c r="I329" i="11" s="1"/>
  <c r="J329" i="11" s="1"/>
  <c r="K329" i="11" s="1"/>
  <c r="H344" i="11"/>
  <c r="I344" i="11" s="1"/>
  <c r="J344" i="11" s="1"/>
  <c r="K344" i="11" s="1"/>
  <c r="H378" i="11"/>
  <c r="I378" i="11" s="1"/>
  <c r="J378" i="11" s="1"/>
  <c r="K378" i="11" s="1"/>
  <c r="H405" i="11"/>
  <c r="I405" i="11" s="1"/>
  <c r="J405" i="11" s="1"/>
  <c r="K405" i="11" s="1"/>
  <c r="H513" i="11"/>
  <c r="I513" i="11" s="1"/>
  <c r="J513" i="11" s="1"/>
  <c r="K513" i="11" s="1"/>
  <c r="H582" i="11"/>
  <c r="I582" i="11" s="1"/>
  <c r="H183" i="11"/>
  <c r="I183" i="11" s="1"/>
  <c r="J183" i="11" s="1"/>
  <c r="K183" i="11" s="1"/>
  <c r="H190" i="11"/>
  <c r="I190" i="11" s="1"/>
  <c r="J190" i="11" s="1"/>
  <c r="K190" i="11" s="1"/>
  <c r="H247" i="11"/>
  <c r="I247" i="11" s="1"/>
  <c r="J247" i="11" s="1"/>
  <c r="K247" i="11" s="1"/>
  <c r="H262" i="11"/>
  <c r="I262" i="11" s="1"/>
  <c r="J262" i="11" s="1"/>
  <c r="K262" i="11" s="1"/>
  <c r="H267" i="11"/>
  <c r="I267" i="11" s="1"/>
  <c r="J267" i="11" s="1"/>
  <c r="K267" i="11" s="1"/>
  <c r="H274" i="11"/>
  <c r="I274" i="11" s="1"/>
  <c r="J274" i="11" s="1"/>
  <c r="K274" i="11" s="1"/>
  <c r="H317" i="11"/>
  <c r="I317" i="11" s="1"/>
  <c r="J317" i="11" s="1"/>
  <c r="K317" i="11" s="1"/>
  <c r="H323" i="11"/>
  <c r="I323" i="11" s="1"/>
  <c r="J323" i="11" s="1"/>
  <c r="K323" i="11" s="1"/>
  <c r="H328" i="11"/>
  <c r="I328" i="11" s="1"/>
  <c r="J328" i="11" s="1"/>
  <c r="K328" i="11" s="1"/>
  <c r="H333" i="11"/>
  <c r="I333" i="11" s="1"/>
  <c r="J333" i="11" s="1"/>
  <c r="K333" i="11" s="1"/>
  <c r="H339" i="11"/>
  <c r="I339" i="11" s="1"/>
  <c r="J339" i="11" s="1"/>
  <c r="K339" i="11" s="1"/>
  <c r="H343" i="11"/>
  <c r="I343" i="11" s="1"/>
  <c r="J343" i="11" s="1"/>
  <c r="K343" i="11" s="1"/>
  <c r="H470" i="11"/>
  <c r="I470" i="11" s="1"/>
  <c r="J470" i="11" s="1"/>
  <c r="K470" i="11" s="1"/>
  <c r="H487" i="11"/>
  <c r="I487" i="11" s="1"/>
  <c r="J487" i="11" s="1"/>
  <c r="K487" i="11" s="1"/>
  <c r="H505" i="11"/>
  <c r="I505" i="11" s="1"/>
  <c r="J505" i="11" s="1"/>
  <c r="K505" i="11" s="1"/>
  <c r="H573" i="11"/>
  <c r="I573" i="11" s="1"/>
  <c r="J573" i="11" s="1"/>
  <c r="K573" i="11" s="1"/>
  <c r="H581" i="11"/>
  <c r="I581" i="11" s="1"/>
  <c r="H608" i="11"/>
  <c r="I608" i="11" s="1"/>
  <c r="J608" i="11" s="1"/>
  <c r="K608" i="11" s="1"/>
  <c r="H138" i="11"/>
  <c r="I138" i="11" s="1"/>
  <c r="J138" i="11" s="1"/>
  <c r="K138" i="11" s="1"/>
  <c r="H145" i="11"/>
  <c r="I145" i="11" s="1"/>
  <c r="J145" i="11" s="1"/>
  <c r="K145" i="11" s="1"/>
  <c r="H152" i="11"/>
  <c r="I152" i="11" s="1"/>
  <c r="J152" i="11" s="1"/>
  <c r="K152" i="11" s="1"/>
  <c r="H158" i="11"/>
  <c r="I158" i="11" s="1"/>
  <c r="J158" i="11" s="1"/>
  <c r="K158" i="11" s="1"/>
  <c r="H171" i="11"/>
  <c r="I171" i="11" s="1"/>
  <c r="J171" i="11" s="1"/>
  <c r="K171" i="11" s="1"/>
  <c r="H300" i="11"/>
  <c r="I300" i="11" s="1"/>
  <c r="J300" i="11" s="1"/>
  <c r="K300" i="11" s="1"/>
  <c r="H304" i="11"/>
  <c r="I304" i="11" s="1"/>
  <c r="J304" i="11" s="1"/>
  <c r="K304" i="11" s="1"/>
  <c r="H458" i="11"/>
  <c r="I458" i="11" s="1"/>
  <c r="J458" i="11" s="1"/>
  <c r="K458" i="11" s="1"/>
  <c r="H472" i="11"/>
  <c r="I472" i="11" s="1"/>
  <c r="J472" i="11" s="1"/>
  <c r="K472" i="11" s="1"/>
  <c r="H530" i="11"/>
  <c r="I530" i="11" s="1"/>
  <c r="J530" i="11" s="1"/>
  <c r="K530" i="11" s="1"/>
  <c r="H541" i="11"/>
  <c r="I541" i="11" s="1"/>
  <c r="J541" i="11" s="1"/>
  <c r="K541" i="11" s="1"/>
  <c r="H547" i="11"/>
  <c r="I547" i="11" s="1"/>
  <c r="J547" i="11" s="1"/>
  <c r="K547" i="11" s="1"/>
  <c r="H185" i="11"/>
  <c r="I185" i="11" s="1"/>
  <c r="J185" i="11" s="1"/>
  <c r="K185" i="11" s="1"/>
  <c r="H364" i="11"/>
  <c r="I364" i="11" s="1"/>
  <c r="J364" i="11" s="1"/>
  <c r="K364" i="11" s="1"/>
  <c r="H373" i="11"/>
  <c r="I373" i="11" s="1"/>
  <c r="J373" i="11" s="1"/>
  <c r="K373" i="11" s="1"/>
  <c r="H386" i="11"/>
  <c r="I386" i="11" s="1"/>
  <c r="J386" i="11" s="1"/>
  <c r="K386" i="11" s="1"/>
  <c r="H392" i="11"/>
  <c r="I392" i="11" s="1"/>
  <c r="J392" i="11" s="1"/>
  <c r="K392" i="11" s="1"/>
  <c r="H398" i="11"/>
  <c r="I398" i="11" s="1"/>
  <c r="J398" i="11" s="1"/>
  <c r="K398" i="11" s="1"/>
  <c r="H406" i="11"/>
  <c r="I406" i="11" s="1"/>
  <c r="J406" i="11" s="1"/>
  <c r="K406" i="11" s="1"/>
  <c r="H419" i="11"/>
  <c r="I419" i="11" s="1"/>
  <c r="J419" i="11" s="1"/>
  <c r="K419" i="11" s="1"/>
  <c r="H435" i="11"/>
  <c r="I435" i="11" s="1"/>
  <c r="J435" i="11" s="1"/>
  <c r="K435" i="11" s="1"/>
  <c r="H514" i="11"/>
  <c r="I514" i="11" s="1"/>
  <c r="J514" i="11" s="1"/>
  <c r="K514" i="11" s="1"/>
  <c r="H554" i="11"/>
  <c r="I554" i="11" s="1"/>
  <c r="J554" i="11" s="1"/>
  <c r="K554" i="11" s="1"/>
  <c r="H610" i="11"/>
  <c r="I610" i="11" s="1"/>
  <c r="J610" i="11" s="1"/>
  <c r="K610" i="11" s="1"/>
  <c r="H139" i="11"/>
  <c r="I139" i="11" s="1"/>
  <c r="J139" i="11" s="1"/>
  <c r="K139" i="11" s="1"/>
  <c r="H173" i="11"/>
  <c r="I173" i="11" s="1"/>
  <c r="J173" i="11" s="1"/>
  <c r="K173" i="11" s="1"/>
  <c r="H306" i="11"/>
  <c r="I306" i="11" s="1"/>
  <c r="J306" i="11" s="1"/>
  <c r="K306" i="11" s="1"/>
  <c r="H353" i="11"/>
  <c r="I353" i="11" s="1"/>
  <c r="J353" i="11" s="1"/>
  <c r="K353" i="11" s="1"/>
  <c r="H436" i="11"/>
  <c r="I436" i="11" s="1"/>
  <c r="J436" i="11" s="1"/>
  <c r="K436" i="11" s="1"/>
  <c r="H446" i="11"/>
  <c r="I446" i="11" s="1"/>
  <c r="J446" i="11" s="1"/>
  <c r="K446" i="11" s="1"/>
  <c r="H528" i="11"/>
  <c r="I528" i="11" s="1"/>
  <c r="J528" i="11" s="1"/>
  <c r="K528" i="11" s="1"/>
  <c r="H532" i="11"/>
  <c r="I532" i="11" s="1"/>
  <c r="J532" i="11" s="1"/>
  <c r="K532" i="11" s="1"/>
  <c r="H537" i="11"/>
  <c r="I537" i="11" s="1"/>
  <c r="J537" i="11" s="1"/>
  <c r="K537" i="11" s="1"/>
  <c r="H543" i="11"/>
  <c r="I543" i="11" s="1"/>
  <c r="J543" i="11" s="1"/>
  <c r="K543" i="11" s="1"/>
  <c r="H548" i="11"/>
  <c r="I548" i="11" s="1"/>
  <c r="J548" i="11" s="1"/>
  <c r="K548" i="11" s="1"/>
  <c r="H602" i="11"/>
  <c r="I602" i="11" s="1"/>
  <c r="J602" i="11" s="1"/>
  <c r="K602" i="11" s="1"/>
  <c r="H146" i="11"/>
  <c r="I146" i="11" s="1"/>
  <c r="J146" i="11" s="1"/>
  <c r="K146" i="11" s="1"/>
  <c r="H210" i="11"/>
  <c r="I210" i="11" s="1"/>
  <c r="J210" i="11" s="1"/>
  <c r="K210" i="11" s="1"/>
  <c r="H224" i="11"/>
  <c r="I224" i="11" s="1"/>
  <c r="J224" i="11" s="1"/>
  <c r="K224" i="11" s="1"/>
  <c r="H238" i="11"/>
  <c r="I238" i="11" s="1"/>
  <c r="J238" i="11" s="1"/>
  <c r="K238" i="11" s="1"/>
  <c r="H301" i="11"/>
  <c r="I301" i="11" s="1"/>
  <c r="J301" i="11" s="1"/>
  <c r="K301" i="11" s="1"/>
  <c r="H163" i="11"/>
  <c r="I163" i="11" s="1"/>
  <c r="J163" i="11" s="1"/>
  <c r="K163" i="11" s="1"/>
  <c r="H231" i="11"/>
  <c r="I231" i="11" s="1"/>
  <c r="J231" i="11" s="1"/>
  <c r="K231" i="11" s="1"/>
  <c r="H255" i="11"/>
  <c r="I255" i="11" s="1"/>
  <c r="J255" i="11" s="1"/>
  <c r="K255" i="11" s="1"/>
  <c r="H259" i="11"/>
  <c r="I259" i="11" s="1"/>
  <c r="H265" i="11"/>
  <c r="I265" i="11" s="1"/>
  <c r="H270" i="11"/>
  <c r="I270" i="11" s="1"/>
  <c r="J270" i="11" s="1"/>
  <c r="K270" i="11" s="1"/>
  <c r="H296" i="11"/>
  <c r="I296" i="11" s="1"/>
  <c r="J296" i="11" s="1"/>
  <c r="K296" i="11" s="1"/>
  <c r="H331" i="11"/>
  <c r="I331" i="11" s="1"/>
  <c r="J331" i="11" s="1"/>
  <c r="K331" i="11" s="1"/>
  <c r="H336" i="11"/>
  <c r="I336" i="11" s="1"/>
  <c r="J336" i="11" s="1"/>
  <c r="K336" i="11" s="1"/>
  <c r="H358" i="11"/>
  <c r="I358" i="11" s="1"/>
  <c r="J358" i="11" s="1"/>
  <c r="K358" i="11" s="1"/>
  <c r="H366" i="11"/>
  <c r="I366" i="11" s="1"/>
  <c r="J366" i="11" s="1"/>
  <c r="K366" i="11" s="1"/>
  <c r="H369" i="11"/>
  <c r="I369" i="11" s="1"/>
  <c r="J369" i="11" s="1"/>
  <c r="K369" i="11" s="1"/>
  <c r="H375" i="11"/>
  <c r="I375" i="11" s="1"/>
  <c r="J375" i="11" s="1"/>
  <c r="K375" i="11" s="1"/>
  <c r="H380" i="11"/>
  <c r="I380" i="11" s="1"/>
  <c r="J380" i="11" s="1"/>
  <c r="K380" i="11" s="1"/>
  <c r="H400" i="11"/>
  <c r="I400" i="11" s="1"/>
  <c r="J400" i="11" s="1"/>
  <c r="K400" i="11" s="1"/>
  <c r="H408" i="11"/>
  <c r="I408" i="11" s="1"/>
  <c r="J408" i="11" s="1"/>
  <c r="K408" i="11" s="1"/>
  <c r="H413" i="11"/>
  <c r="I413" i="11" s="1"/>
  <c r="J413" i="11" s="1"/>
  <c r="K413" i="11" s="1"/>
  <c r="H421" i="11"/>
  <c r="I421" i="11" s="1"/>
  <c r="J421" i="11" s="1"/>
  <c r="K421" i="11" s="1"/>
  <c r="H503" i="11"/>
  <c r="I503" i="11" s="1"/>
  <c r="J503" i="11" s="1"/>
  <c r="K503" i="11" s="1"/>
  <c r="H507" i="11"/>
  <c r="I507" i="11" s="1"/>
  <c r="J507" i="11" s="1"/>
  <c r="K507" i="11" s="1"/>
  <c r="H556" i="11"/>
  <c r="I556" i="11" s="1"/>
  <c r="J556" i="11" s="1"/>
  <c r="K556" i="11" s="1"/>
  <c r="H563" i="11"/>
  <c r="I563" i="11" s="1"/>
  <c r="J563" i="11" s="1"/>
  <c r="K563" i="11" s="1"/>
  <c r="H577" i="11"/>
  <c r="I577" i="11" s="1"/>
  <c r="J577" i="11" s="1"/>
  <c r="K577" i="11" s="1"/>
  <c r="H612" i="11"/>
  <c r="I612" i="11" s="1"/>
  <c r="J612" i="11" s="1"/>
  <c r="K612" i="11" s="1"/>
  <c r="H133" i="11"/>
  <c r="I133" i="11" s="1"/>
  <c r="J133" i="11" s="1"/>
  <c r="K133" i="11" s="1"/>
  <c r="H193" i="11"/>
  <c r="I193" i="11" s="1"/>
  <c r="J193" i="11" s="1"/>
  <c r="K193" i="11" s="1"/>
  <c r="H288" i="11"/>
  <c r="I288" i="11" s="1"/>
  <c r="J288" i="11" s="1"/>
  <c r="K288" i="11" s="1"/>
  <c r="H212" i="11"/>
  <c r="I212" i="11" s="1"/>
  <c r="J212" i="11" s="1"/>
  <c r="K212" i="11" s="1"/>
  <c r="H219" i="11"/>
  <c r="I219" i="11" s="1"/>
  <c r="J219" i="11" s="1"/>
  <c r="K219" i="11" s="1"/>
  <c r="H282" i="11"/>
  <c r="I282" i="11" s="1"/>
  <c r="J282" i="11" s="1"/>
  <c r="K282" i="11" s="1"/>
  <c r="H290" i="11"/>
  <c r="I290" i="11" s="1"/>
  <c r="J290" i="11" s="1"/>
  <c r="K290" i="11" s="1"/>
  <c r="H308" i="11"/>
  <c r="I308" i="11" s="1"/>
  <c r="J308" i="11" s="1"/>
  <c r="K308" i="11" s="1"/>
  <c r="H427" i="11"/>
  <c r="I427" i="11" s="1"/>
  <c r="J427" i="11" s="1"/>
  <c r="K427" i="11" s="1"/>
  <c r="H448" i="11"/>
  <c r="I448" i="11" s="1"/>
  <c r="J448" i="11" s="1"/>
  <c r="K448" i="11" s="1"/>
  <c r="H462" i="11"/>
  <c r="I462" i="11" s="1"/>
  <c r="J462" i="11" s="1"/>
  <c r="K462" i="11" s="1"/>
  <c r="H481" i="11"/>
  <c r="I481" i="11" s="1"/>
  <c r="J481" i="11" s="1"/>
  <c r="K481" i="11" s="1"/>
  <c r="H523" i="11"/>
  <c r="I523" i="11" s="1"/>
  <c r="J523" i="11" s="1"/>
  <c r="K523" i="11" s="1"/>
  <c r="H525" i="11"/>
  <c r="I525" i="11" s="1"/>
  <c r="J525" i="11" s="1"/>
  <c r="K525" i="11" s="1"/>
  <c r="H586" i="11"/>
  <c r="I586" i="11" s="1"/>
  <c r="J586" i="11" s="1"/>
  <c r="K586" i="11" s="1"/>
  <c r="H604" i="11"/>
  <c r="I604" i="11" s="1"/>
  <c r="J604" i="11" s="1"/>
  <c r="K604" i="11" s="1"/>
  <c r="H176" i="11"/>
  <c r="I176" i="11" s="1"/>
  <c r="J176" i="11" s="1"/>
  <c r="K176" i="11" s="1"/>
  <c r="H181" i="11"/>
  <c r="I181" i="11" s="1"/>
  <c r="J181" i="11" s="1"/>
  <c r="K181" i="11" s="1"/>
  <c r="H188" i="11"/>
  <c r="I188" i="11" s="1"/>
  <c r="J188" i="11" s="1"/>
  <c r="K188" i="11" s="1"/>
  <c r="H203" i="11"/>
  <c r="I203" i="11" s="1"/>
  <c r="J203" i="11" s="1"/>
  <c r="K203" i="11" s="1"/>
  <c r="H228" i="11"/>
  <c r="I228" i="11" s="1"/>
  <c r="J228" i="11" s="1"/>
  <c r="K228" i="11" s="1"/>
  <c r="H233" i="11"/>
  <c r="I233" i="11" s="1"/>
  <c r="J233" i="11" s="1"/>
  <c r="K233" i="11" s="1"/>
  <c r="H243" i="11"/>
  <c r="I243" i="11" s="1"/>
  <c r="J243" i="11" s="1"/>
  <c r="K243" i="11" s="1"/>
  <c r="H257" i="11"/>
  <c r="I257" i="11" s="1"/>
  <c r="J257" i="11" s="1"/>
  <c r="K257" i="11" s="1"/>
  <c r="H266" i="11"/>
  <c r="I266" i="11" s="1"/>
  <c r="J266" i="11" s="1"/>
  <c r="K266" i="11" s="1"/>
  <c r="H272" i="11"/>
  <c r="I272" i="11" s="1"/>
  <c r="J272" i="11" s="1"/>
  <c r="K272" i="11" s="1"/>
  <c r="H321" i="11"/>
  <c r="I321" i="11" s="1"/>
  <c r="J321" i="11" s="1"/>
  <c r="K321" i="11" s="1"/>
  <c r="H337" i="11"/>
  <c r="I337" i="11" s="1"/>
  <c r="J337" i="11" s="1"/>
  <c r="K337" i="11" s="1"/>
  <c r="H360" i="11"/>
  <c r="I360" i="11" s="1"/>
  <c r="J360" i="11" s="1"/>
  <c r="K360" i="11" s="1"/>
  <c r="H377" i="11"/>
  <c r="I377" i="11" s="1"/>
  <c r="J377" i="11" s="1"/>
  <c r="K377" i="11" s="1"/>
  <c r="H382" i="11"/>
  <c r="I382" i="11" s="1"/>
  <c r="J382" i="11" s="1"/>
  <c r="K382" i="11" s="1"/>
  <c r="H395" i="11"/>
  <c r="I395" i="11" s="1"/>
  <c r="J395" i="11" s="1"/>
  <c r="K395" i="11" s="1"/>
  <c r="H402" i="11"/>
  <c r="I402" i="11" s="1"/>
  <c r="J402" i="11" s="1"/>
  <c r="K402" i="11" s="1"/>
  <c r="H410" i="11"/>
  <c r="I410" i="11" s="1"/>
  <c r="J410" i="11" s="1"/>
  <c r="K410" i="11" s="1"/>
  <c r="H415" i="11"/>
  <c r="I415" i="11" s="1"/>
  <c r="J415" i="11" s="1"/>
  <c r="K415" i="11" s="1"/>
  <c r="H495" i="11"/>
  <c r="I495" i="11" s="1"/>
  <c r="J495" i="11" s="1"/>
  <c r="K495" i="11" s="1"/>
  <c r="H516" i="11"/>
  <c r="I516" i="11" s="1"/>
  <c r="J516" i="11" s="1"/>
  <c r="K516" i="11" s="1"/>
  <c r="H558" i="11"/>
  <c r="I558" i="11" s="1"/>
  <c r="J558" i="11" s="1"/>
  <c r="K558" i="11" s="1"/>
  <c r="H579" i="11"/>
  <c r="I579" i="11" s="1"/>
  <c r="J579" i="11" s="1"/>
  <c r="K579" i="11" s="1"/>
  <c r="H617" i="11"/>
  <c r="I617" i="11" s="1"/>
  <c r="J617" i="11" s="1"/>
  <c r="K617" i="11" s="1"/>
  <c r="J74" i="11" l="1"/>
  <c r="K74" i="11" s="1"/>
  <c r="J265" i="11"/>
  <c r="K265" i="11" s="1"/>
  <c r="J259" i="11"/>
  <c r="K259" i="11" s="1"/>
  <c r="J581" i="11"/>
  <c r="K581" i="11" s="1"/>
  <c r="J582" i="11"/>
  <c r="K582" i="11" s="1"/>
  <c r="J555" i="11"/>
  <c r="K555" i="11" s="1"/>
  <c r="J254" i="11"/>
  <c r="K254" i="11" s="1"/>
  <c r="J609" i="11"/>
  <c r="K609" i="11" s="1"/>
  <c r="J497" i="11"/>
  <c r="K497" i="11" s="1"/>
  <c r="J258" i="11"/>
  <c r="K258" i="11" s="1"/>
  <c r="J26" i="11"/>
  <c r="K26" i="11" s="1"/>
  <c r="I3" i="11"/>
  <c r="J3" i="11" s="1"/>
  <c r="K3" i="11" s="1"/>
  <c r="J560" i="11"/>
  <c r="K560" i="11" s="1"/>
  <c r="H419" i="10"/>
  <c r="I419" i="10" s="1"/>
  <c r="J419" i="10" s="1"/>
  <c r="K419" i="10" s="1"/>
  <c r="H69" i="10"/>
  <c r="I69" i="10" s="1"/>
  <c r="J69" i="10" s="1"/>
  <c r="K69" i="10" s="1"/>
  <c r="H386" i="10"/>
  <c r="I386" i="10" s="1"/>
  <c r="J386" i="10" s="1"/>
  <c r="K386" i="10" s="1"/>
  <c r="H504" i="10"/>
  <c r="I504" i="10" s="1"/>
  <c r="J504" i="10" s="1"/>
  <c r="K504" i="10" s="1"/>
  <c r="H608" i="10"/>
  <c r="I608" i="10" s="1"/>
  <c r="J608" i="10" s="1"/>
  <c r="K608" i="10" s="1"/>
  <c r="H622" i="10"/>
  <c r="I622" i="10" s="1"/>
  <c r="H364" i="10"/>
  <c r="I364" i="10" s="1"/>
  <c r="J364" i="10" s="1"/>
  <c r="K364" i="10" s="1"/>
  <c r="H478" i="10"/>
  <c r="I478" i="10" s="1"/>
  <c r="H598" i="10"/>
  <c r="I598" i="10" s="1"/>
  <c r="H482" i="10"/>
  <c r="I482" i="10" s="1"/>
  <c r="H464" i="11"/>
  <c r="I464" i="11" s="1"/>
  <c r="J464" i="11" s="1"/>
  <c r="K464" i="11" s="1"/>
  <c r="H571" i="11"/>
  <c r="I571" i="11" s="1"/>
  <c r="H566" i="11"/>
  <c r="I566" i="11" s="1"/>
  <c r="H465" i="11"/>
  <c r="I465" i="11" s="1"/>
  <c r="J465" i="11" s="1"/>
  <c r="K465" i="11" s="1"/>
  <c r="H164" i="11"/>
  <c r="I164" i="11" s="1"/>
  <c r="J164" i="11" s="1"/>
  <c r="K164" i="11" s="1"/>
  <c r="H107" i="11"/>
  <c r="I107" i="11" s="1"/>
  <c r="J107" i="11" s="1"/>
  <c r="K107" i="11" s="1"/>
  <c r="H106" i="11"/>
  <c r="I106" i="11" s="1"/>
  <c r="J106" i="11" s="1"/>
  <c r="K106" i="11" s="1"/>
  <c r="H105" i="11"/>
  <c r="I105" i="11" s="1"/>
  <c r="J105" i="11" s="1"/>
  <c r="K105" i="11" s="1"/>
  <c r="H6" i="11"/>
  <c r="I6" i="11" s="1"/>
  <c r="J6" i="11" s="1"/>
  <c r="K6" i="11" s="1"/>
  <c r="J566" i="11" l="1"/>
  <c r="K566" i="11" s="1"/>
  <c r="J571" i="11"/>
  <c r="K571" i="11" s="1"/>
  <c r="J598" i="10"/>
  <c r="K598" i="10" s="1"/>
  <c r="J622" i="10"/>
  <c r="K622" i="10" s="1"/>
  <c r="J482" i="10"/>
  <c r="K482" i="10" s="1"/>
  <c r="J478" i="10"/>
  <c r="K478" i="10" s="1"/>
  <c r="BB111" i="9"/>
  <c r="AQ315" i="8"/>
  <c r="AR315" i="8" s="1"/>
  <c r="AQ313" i="8"/>
  <c r="AR313" i="8" s="1"/>
  <c r="L111" i="10" l="1"/>
  <c r="G111" i="10"/>
  <c r="F111" i="10"/>
  <c r="E111" i="10"/>
  <c r="D111" i="10"/>
  <c r="AR635" i="8"/>
  <c r="L313" i="11"/>
  <c r="E313" i="11"/>
  <c r="G313" i="11"/>
  <c r="F313" i="11"/>
  <c r="D313" i="11"/>
  <c r="L315" i="11"/>
  <c r="G315" i="11"/>
  <c r="F315" i="11"/>
  <c r="E315" i="11"/>
  <c r="D315" i="11"/>
  <c r="BB678" i="9"/>
  <c r="AH643" i="9"/>
  <c r="AB615" i="8"/>
  <c r="AC615" i="8" s="1"/>
  <c r="AB614" i="8"/>
  <c r="AC614" i="8" s="1"/>
  <c r="AB613" i="8"/>
  <c r="AC613" i="8" s="1"/>
  <c r="AB605" i="8"/>
  <c r="AC605" i="8" s="1"/>
  <c r="AB601" i="8"/>
  <c r="AC601" i="8" s="1"/>
  <c r="AB600" i="8"/>
  <c r="AC600" i="8" s="1"/>
  <c r="AB599" i="8"/>
  <c r="AC599" i="8" s="1"/>
  <c r="AB598" i="8"/>
  <c r="AC598" i="8" s="1"/>
  <c r="AB597" i="8"/>
  <c r="AC597" i="8" s="1"/>
  <c r="AB596" i="8"/>
  <c r="AC596" i="8" s="1"/>
  <c r="AB595" i="8"/>
  <c r="AC595" i="8" s="1"/>
  <c r="AB594" i="8"/>
  <c r="AC594" i="8" s="1"/>
  <c r="AB592" i="8"/>
  <c r="AC592" i="8" s="1"/>
  <c r="AB591" i="8"/>
  <c r="AC591" i="8" s="1"/>
  <c r="AB585" i="8"/>
  <c r="AC585" i="8" s="1"/>
  <c r="AB527" i="8"/>
  <c r="AC527" i="8" s="1"/>
  <c r="AB519" i="8"/>
  <c r="AC519" i="8" s="1"/>
  <c r="AB517" i="8"/>
  <c r="AC517" i="8" s="1"/>
  <c r="AB473" i="8"/>
  <c r="AC473" i="8" s="1"/>
  <c r="AB471" i="8"/>
  <c r="AC471" i="8" s="1"/>
  <c r="AB457" i="8"/>
  <c r="AC457" i="8" s="1"/>
  <c r="AB456" i="8"/>
  <c r="AC456" i="8" s="1"/>
  <c r="AB455" i="8"/>
  <c r="AC455" i="8" s="1"/>
  <c r="AB454" i="8"/>
  <c r="AC454" i="8" s="1"/>
  <c r="AB451" i="8"/>
  <c r="AC451" i="8" s="1"/>
  <c r="AB450" i="8"/>
  <c r="AC450" i="8" s="1"/>
  <c r="AB445" i="8"/>
  <c r="AC445" i="8" s="1"/>
  <c r="AB444" i="8"/>
  <c r="AC444" i="8" s="1"/>
  <c r="AB443" i="8"/>
  <c r="AC443" i="8" s="1"/>
  <c r="AB442" i="8"/>
  <c r="AC442" i="8" s="1"/>
  <c r="AB426" i="8"/>
  <c r="AC426" i="8" s="1"/>
  <c r="AB425" i="8"/>
  <c r="AC425" i="8" s="1"/>
  <c r="AB424" i="8"/>
  <c r="AC424" i="8" s="1"/>
  <c r="AB423" i="8"/>
  <c r="AC423" i="8" s="1"/>
  <c r="AB422" i="8"/>
  <c r="AC422" i="8" s="1"/>
  <c r="AB297" i="8"/>
  <c r="AC297" i="8" s="1"/>
  <c r="AB294" i="8"/>
  <c r="AC294" i="8" s="1"/>
  <c r="AB246" i="8"/>
  <c r="AC246" i="8" s="1"/>
  <c r="AB244" i="8"/>
  <c r="AC244" i="8" s="1"/>
  <c r="AB242" i="8"/>
  <c r="AC242" i="8" s="1"/>
  <c r="AB241" i="8"/>
  <c r="AC241" i="8" s="1"/>
  <c r="AB240" i="8"/>
  <c r="AC240" i="8" s="1"/>
  <c r="AB236" i="8"/>
  <c r="AC236" i="8" s="1"/>
  <c r="AB226" i="8"/>
  <c r="AC226" i="8" s="1"/>
  <c r="AB207" i="8"/>
  <c r="AC207" i="8" s="1"/>
  <c r="AB205" i="8"/>
  <c r="AC205" i="8" s="1"/>
  <c r="AB204" i="8"/>
  <c r="AC204" i="8" s="1"/>
  <c r="AB202" i="8"/>
  <c r="AC202" i="8" s="1"/>
  <c r="AB201" i="8"/>
  <c r="AC201" i="8" s="1"/>
  <c r="AB198" i="8"/>
  <c r="AC198" i="8" s="1"/>
  <c r="AB197" i="8"/>
  <c r="AC197" i="8" s="1"/>
  <c r="AB160" i="8"/>
  <c r="AC160" i="8" s="1"/>
  <c r="AB118" i="8"/>
  <c r="AC118" i="8" s="1"/>
  <c r="AB100" i="8"/>
  <c r="AC100" i="8" s="1"/>
  <c r="AB41" i="8"/>
  <c r="AC41" i="8" s="1"/>
  <c r="AB40" i="8"/>
  <c r="AC40" i="8" s="1"/>
  <c r="AB39" i="8"/>
  <c r="AC39" i="8" s="1"/>
  <c r="AB38" i="8"/>
  <c r="AC38" i="8" s="1"/>
  <c r="AB36" i="8"/>
  <c r="AC36" i="8" s="1"/>
  <c r="AB35" i="8"/>
  <c r="AC35" i="8" s="1"/>
  <c r="AB34" i="8"/>
  <c r="AC34" i="8" s="1"/>
  <c r="AB33" i="8"/>
  <c r="AC33" i="8" s="1"/>
  <c r="AB32" i="8"/>
  <c r="AC32" i="8" s="1"/>
  <c r="AB31" i="8"/>
  <c r="AC31" i="8" s="1"/>
  <c r="AB28" i="8"/>
  <c r="AC28" i="8" s="1"/>
  <c r="AB27" i="8"/>
  <c r="AC27" i="8" s="1"/>
  <c r="AB24" i="8"/>
  <c r="AC24" i="8" s="1"/>
  <c r="AG641" i="9"/>
  <c r="AH641" i="9" s="1"/>
  <c r="AG639" i="9"/>
  <c r="AH639" i="9" s="1"/>
  <c r="AG636" i="9"/>
  <c r="AH636" i="9" s="1"/>
  <c r="AG632" i="9"/>
  <c r="AH632" i="9" s="1"/>
  <c r="AG631" i="9"/>
  <c r="AH631" i="9" s="1"/>
  <c r="AG629" i="9"/>
  <c r="AH629" i="9" s="1"/>
  <c r="AG627" i="9"/>
  <c r="AH627" i="9" s="1"/>
  <c r="AG626" i="9"/>
  <c r="AH626" i="9" s="1"/>
  <c r="AG618" i="9"/>
  <c r="AH618" i="9" s="1"/>
  <c r="AG613" i="9"/>
  <c r="AH613" i="9" s="1"/>
  <c r="AG612" i="9"/>
  <c r="AH612" i="9" s="1"/>
  <c r="AG611" i="9"/>
  <c r="AH611" i="9" s="1"/>
  <c r="AG597" i="9"/>
  <c r="AH597" i="9" s="1"/>
  <c r="AG596" i="9"/>
  <c r="AH596" i="9" s="1"/>
  <c r="AG595" i="9"/>
  <c r="AH595" i="9" s="1"/>
  <c r="AG594" i="9"/>
  <c r="AH594" i="9" s="1"/>
  <c r="AG593" i="9"/>
  <c r="AH593" i="9" s="1"/>
  <c r="AG592" i="9"/>
  <c r="AH592" i="9" s="1"/>
  <c r="AH568" i="9"/>
  <c r="AH567" i="9"/>
  <c r="AH565" i="9"/>
  <c r="AG559" i="9"/>
  <c r="AH559" i="9" s="1"/>
  <c r="AG558" i="9"/>
  <c r="AH558" i="9" s="1"/>
  <c r="AG557" i="9"/>
  <c r="AH557" i="9" s="1"/>
  <c r="AG556" i="9"/>
  <c r="AH556" i="9" s="1"/>
  <c r="AG555" i="9"/>
  <c r="AH555" i="9" s="1"/>
  <c r="AG551" i="9"/>
  <c r="AH551" i="9" s="1"/>
  <c r="AG550" i="9"/>
  <c r="AH550" i="9" s="1"/>
  <c r="AG549" i="9"/>
  <c r="AH549" i="9" s="1"/>
  <c r="AH530" i="9"/>
  <c r="AH529" i="9"/>
  <c r="AH528" i="9"/>
  <c r="AH525" i="9"/>
  <c r="AG521" i="9"/>
  <c r="AH521" i="9" s="1"/>
  <c r="AG520" i="9"/>
  <c r="AH520" i="9" s="1"/>
  <c r="AG519" i="9"/>
  <c r="AH519" i="9" s="1"/>
  <c r="AH513" i="9"/>
  <c r="AG509" i="9"/>
  <c r="AH509" i="9" s="1"/>
  <c r="AH501" i="9"/>
  <c r="AG495" i="9"/>
  <c r="AH495" i="9" s="1"/>
  <c r="AG492" i="9"/>
  <c r="AH492" i="9" s="1"/>
  <c r="AG490" i="9"/>
  <c r="AG483" i="9"/>
  <c r="AH483" i="9" s="1"/>
  <c r="AG481" i="9"/>
  <c r="AH481" i="9" s="1"/>
  <c r="AG479" i="9"/>
  <c r="AH479" i="9" s="1"/>
  <c r="AG465" i="9"/>
  <c r="AH465" i="9" s="1"/>
  <c r="AG463" i="9"/>
  <c r="AH463" i="9" s="1"/>
  <c r="AG462" i="9"/>
  <c r="AH462" i="9" s="1"/>
  <c r="AG461" i="9"/>
  <c r="AH461" i="9" s="1"/>
  <c r="AG458" i="9"/>
  <c r="AH458" i="9" s="1"/>
  <c r="AG448" i="9"/>
  <c r="AH448" i="9" s="1"/>
  <c r="AG446" i="9"/>
  <c r="AH446" i="9" s="1"/>
  <c r="AG445" i="9"/>
  <c r="AH445" i="9" s="1"/>
  <c r="AG444" i="9"/>
  <c r="AH444" i="9" s="1"/>
  <c r="AG443" i="9"/>
  <c r="AH443" i="9" s="1"/>
  <c r="AG440" i="9"/>
  <c r="AG436" i="9"/>
  <c r="AG433" i="9"/>
  <c r="AH433" i="9" s="1"/>
  <c r="AG431" i="9"/>
  <c r="AG418" i="9"/>
  <c r="AH418" i="9" s="1"/>
  <c r="AG417" i="9"/>
  <c r="AH417" i="9" s="1"/>
  <c r="AG413" i="9"/>
  <c r="AH413" i="9" s="1"/>
  <c r="AG390" i="9"/>
  <c r="AH390" i="9" s="1"/>
  <c r="AG389" i="9"/>
  <c r="AH389" i="9" s="1"/>
  <c r="AG387" i="9"/>
  <c r="AH387" i="9" s="1"/>
  <c r="AG375" i="9"/>
  <c r="AH375" i="9" s="1"/>
  <c r="AG374" i="9"/>
  <c r="AH374" i="9" s="1"/>
  <c r="AG373" i="9"/>
  <c r="AH373" i="9" s="1"/>
  <c r="AG372" i="9"/>
  <c r="AH372" i="9" s="1"/>
  <c r="AG368" i="9"/>
  <c r="AH368" i="9" s="1"/>
  <c r="AG358" i="9"/>
  <c r="AH358" i="9" s="1"/>
  <c r="AG357" i="9"/>
  <c r="AH357" i="9" s="1"/>
  <c r="AG353" i="9"/>
  <c r="AH353" i="9" s="1"/>
  <c r="AG352" i="9"/>
  <c r="AH352" i="9" s="1"/>
  <c r="AG346" i="9"/>
  <c r="AH346" i="9" s="1"/>
  <c r="AG345" i="9"/>
  <c r="AH345" i="9" s="1"/>
  <c r="AG344" i="9"/>
  <c r="AH344" i="9" s="1"/>
  <c r="AG342" i="9"/>
  <c r="AH342" i="9" s="1"/>
  <c r="AG341" i="9"/>
  <c r="AH341" i="9" s="1"/>
  <c r="AG340" i="9"/>
  <c r="AH340" i="9" s="1"/>
  <c r="AG339" i="9"/>
  <c r="AH339" i="9" s="1"/>
  <c r="AG338" i="9"/>
  <c r="AH338" i="9" s="1"/>
  <c r="AG337" i="9"/>
  <c r="AH337" i="9" s="1"/>
  <c r="AG334" i="9"/>
  <c r="AH334" i="9" s="1"/>
  <c r="AG332" i="9"/>
  <c r="AH332" i="9" s="1"/>
  <c r="AG327" i="9"/>
  <c r="AH327" i="9" s="1"/>
  <c r="AG326" i="9"/>
  <c r="AH326" i="9" s="1"/>
  <c r="AG325" i="9"/>
  <c r="AH325" i="9" s="1"/>
  <c r="AG324" i="9"/>
  <c r="AH324" i="9" s="1"/>
  <c r="AG280" i="9"/>
  <c r="AH280" i="9" s="1"/>
  <c r="AG279" i="9"/>
  <c r="AH279" i="9" s="1"/>
  <c r="AG277" i="9"/>
  <c r="AH277" i="9" s="1"/>
  <c r="AG273" i="9"/>
  <c r="AH273" i="9" s="1"/>
  <c r="AG272" i="9"/>
  <c r="AH272" i="9" s="1"/>
  <c r="AG268" i="9"/>
  <c r="AH268" i="9" s="1"/>
  <c r="AG230" i="9"/>
  <c r="AH230" i="9" s="1"/>
  <c r="AG225" i="9"/>
  <c r="AH225" i="9" s="1"/>
  <c r="AG224" i="9"/>
  <c r="AH224" i="9" s="1"/>
  <c r="AG222" i="9"/>
  <c r="AH222" i="9" s="1"/>
  <c r="AG221" i="9"/>
  <c r="AH221" i="9" s="1"/>
  <c r="AG217" i="9"/>
  <c r="AH217" i="9" s="1"/>
  <c r="AG216" i="9"/>
  <c r="AH216" i="9" s="1"/>
  <c r="AG215" i="9"/>
  <c r="AH215" i="9" s="1"/>
  <c r="AG213" i="9"/>
  <c r="AH213" i="9" s="1"/>
  <c r="AG211" i="9"/>
  <c r="AH211" i="9" s="1"/>
  <c r="AG210" i="9"/>
  <c r="AH210" i="9" s="1"/>
  <c r="AG209" i="9"/>
  <c r="AH209" i="9" s="1"/>
  <c r="AG204" i="9"/>
  <c r="AH204" i="9" s="1"/>
  <c r="AG198" i="9"/>
  <c r="AH198" i="9" s="1"/>
  <c r="AH196" i="9"/>
  <c r="AG195" i="9"/>
  <c r="AH195" i="9" s="1"/>
  <c r="AG194" i="9"/>
  <c r="AH194" i="9" s="1"/>
  <c r="AG193" i="9"/>
  <c r="AH193" i="9" s="1"/>
  <c r="AG192" i="9"/>
  <c r="AH192" i="9" s="1"/>
  <c r="AG191" i="9"/>
  <c r="AH191" i="9" s="1"/>
  <c r="AG190" i="9"/>
  <c r="AH190" i="9" s="1"/>
  <c r="AG187" i="9"/>
  <c r="AH187" i="9" s="1"/>
  <c r="AG185" i="9"/>
  <c r="AH185" i="9" s="1"/>
  <c r="AG184" i="9"/>
  <c r="AH184" i="9" s="1"/>
  <c r="AG183" i="9"/>
  <c r="AH183" i="9" s="1"/>
  <c r="AH182" i="9"/>
  <c r="AH181" i="9"/>
  <c r="AH180" i="9"/>
  <c r="AH179" i="9"/>
  <c r="AH177" i="9"/>
  <c r="AH176" i="9"/>
  <c r="AH175" i="9"/>
  <c r="AH174" i="9"/>
  <c r="AG166" i="9"/>
  <c r="AH166" i="9" s="1"/>
  <c r="AG165" i="9"/>
  <c r="AH165" i="9" s="1"/>
  <c r="AG161" i="9"/>
  <c r="AH161" i="9" s="1"/>
  <c r="AG152" i="9"/>
  <c r="AH152" i="9" s="1"/>
  <c r="AG150" i="9"/>
  <c r="AH150" i="9" s="1"/>
  <c r="AG149" i="9"/>
  <c r="AH149" i="9" s="1"/>
  <c r="AG148" i="9"/>
  <c r="AH148" i="9" s="1"/>
  <c r="AG147" i="9"/>
  <c r="AH147" i="9" s="1"/>
  <c r="AG134" i="9"/>
  <c r="AH134" i="9" s="1"/>
  <c r="AG121" i="9"/>
  <c r="AH121" i="9" s="1"/>
  <c r="AG120" i="9"/>
  <c r="AH120" i="9" s="1"/>
  <c r="AG119" i="9"/>
  <c r="AH119" i="9" s="1"/>
  <c r="AG118" i="9"/>
  <c r="AH118" i="9" s="1"/>
  <c r="AG84" i="9"/>
  <c r="AH84" i="9" s="1"/>
  <c r="AG83" i="9"/>
  <c r="AH83" i="9" s="1"/>
  <c r="AG82" i="9"/>
  <c r="AH82" i="9" s="1"/>
  <c r="AG79" i="9"/>
  <c r="AH79" i="9" s="1"/>
  <c r="AG78" i="9"/>
  <c r="AH78" i="9" s="1"/>
  <c r="AG75" i="9"/>
  <c r="AH75" i="9" s="1"/>
  <c r="AG66" i="9"/>
  <c r="AG64" i="9"/>
  <c r="AG63" i="9"/>
  <c r="AH63" i="9" s="1"/>
  <c r="AG60" i="9"/>
  <c r="AH60" i="9" s="1"/>
  <c r="AG59" i="9"/>
  <c r="AG55" i="9"/>
  <c r="AH55" i="9" s="1"/>
  <c r="AG53" i="9"/>
  <c r="AG47" i="9"/>
  <c r="AH47" i="9" s="1"/>
  <c r="AG46" i="9"/>
  <c r="AH46" i="9" s="1"/>
  <c r="AG43" i="9"/>
  <c r="AG40" i="9"/>
  <c r="AG38" i="9"/>
  <c r="AH38" i="9" s="1"/>
  <c r="AG37" i="9"/>
  <c r="AH37" i="9" s="1"/>
  <c r="AG36" i="9"/>
  <c r="AH36" i="9" s="1"/>
  <c r="AG34" i="9"/>
  <c r="AH34" i="9" s="1"/>
  <c r="AG33" i="9"/>
  <c r="AH33" i="9" s="1"/>
  <c r="AG32" i="9"/>
  <c r="AH32" i="9" s="1"/>
  <c r="AG31" i="9"/>
  <c r="AH31" i="9" s="1"/>
  <c r="AG29" i="9"/>
  <c r="AH29" i="9" s="1"/>
  <c r="AG28" i="9"/>
  <c r="AH28" i="9" s="1"/>
  <c r="AG27" i="9"/>
  <c r="AH27" i="9" s="1"/>
  <c r="AG26" i="9"/>
  <c r="AH26" i="9" s="1"/>
  <c r="AG25" i="9"/>
  <c r="AH25" i="9" s="1"/>
  <c r="AG24" i="9"/>
  <c r="AH24" i="9" s="1"/>
  <c r="AG23" i="9"/>
  <c r="AH23" i="9" s="1"/>
  <c r="AG22" i="9"/>
  <c r="AH22" i="9" s="1"/>
  <c r="AG21" i="9"/>
  <c r="AH21" i="9" s="1"/>
  <c r="AG20" i="9"/>
  <c r="AH20" i="9" s="1"/>
  <c r="AG19" i="9"/>
  <c r="AH19" i="9" s="1"/>
  <c r="AG18" i="9"/>
  <c r="AH18" i="9" s="1"/>
  <c r="AG17" i="9"/>
  <c r="AH17" i="9" s="1"/>
  <c r="AG16" i="9"/>
  <c r="AH16" i="9" s="1"/>
  <c r="AG15" i="9"/>
  <c r="AH15" i="9" s="1"/>
  <c r="AG14" i="9"/>
  <c r="AH14" i="9" s="1"/>
  <c r="AG13" i="9"/>
  <c r="AH13" i="9" s="1"/>
  <c r="AG12" i="9"/>
  <c r="AH12" i="9" s="1"/>
  <c r="AG11" i="9"/>
  <c r="AH11" i="9" s="1"/>
  <c r="AG8" i="9"/>
  <c r="AH8" i="9" s="1"/>
  <c r="H313" i="11" l="1"/>
  <c r="I313" i="11" s="1"/>
  <c r="J313" i="11" s="1"/>
  <c r="K313" i="11" s="1"/>
  <c r="L8" i="10"/>
  <c r="G8" i="10"/>
  <c r="F8" i="10"/>
  <c r="E8" i="10"/>
  <c r="D8" i="10"/>
  <c r="L11" i="10"/>
  <c r="G11" i="10"/>
  <c r="F11" i="10"/>
  <c r="E11" i="10"/>
  <c r="D11" i="10"/>
  <c r="L12" i="10"/>
  <c r="G12" i="10"/>
  <c r="F12" i="10"/>
  <c r="E12" i="10"/>
  <c r="D12" i="10"/>
  <c r="L13" i="10"/>
  <c r="G13" i="10"/>
  <c r="F13" i="10"/>
  <c r="E13" i="10"/>
  <c r="D13" i="10"/>
  <c r="L14" i="10"/>
  <c r="G14" i="10"/>
  <c r="F14" i="10"/>
  <c r="E14" i="10"/>
  <c r="D14" i="10"/>
  <c r="L15" i="10"/>
  <c r="G15" i="10"/>
  <c r="F15" i="10"/>
  <c r="E15" i="10"/>
  <c r="D15" i="10"/>
  <c r="L16" i="10"/>
  <c r="G16" i="10"/>
  <c r="F16" i="10"/>
  <c r="E16" i="10"/>
  <c r="D16" i="10"/>
  <c r="L17" i="10"/>
  <c r="G17" i="10"/>
  <c r="F17" i="10"/>
  <c r="E17" i="10"/>
  <c r="D17" i="10"/>
  <c r="L18" i="10"/>
  <c r="G18" i="10"/>
  <c r="F18" i="10"/>
  <c r="E18" i="10"/>
  <c r="D18" i="10"/>
  <c r="L19" i="10"/>
  <c r="G19" i="10"/>
  <c r="F19" i="10"/>
  <c r="E19" i="10"/>
  <c r="D19" i="10"/>
  <c r="L20" i="10"/>
  <c r="G20" i="10"/>
  <c r="F20" i="10"/>
  <c r="E20" i="10"/>
  <c r="D20" i="10"/>
  <c r="L21" i="10"/>
  <c r="G21" i="10"/>
  <c r="F21" i="10"/>
  <c r="E21" i="10"/>
  <c r="D21" i="10"/>
  <c r="L22" i="10"/>
  <c r="G22" i="10"/>
  <c r="F22" i="10"/>
  <c r="E22" i="10"/>
  <c r="D22" i="10"/>
  <c r="L25" i="10"/>
  <c r="G25" i="10"/>
  <c r="F25" i="10"/>
  <c r="E25" i="10"/>
  <c r="D25" i="10"/>
  <c r="L26" i="10"/>
  <c r="G26" i="10"/>
  <c r="F26" i="10"/>
  <c r="E26" i="10"/>
  <c r="D26" i="10"/>
  <c r="L27" i="10"/>
  <c r="G27" i="10"/>
  <c r="F27" i="10"/>
  <c r="E27" i="10"/>
  <c r="D27" i="10"/>
  <c r="L28" i="10"/>
  <c r="G28" i="10"/>
  <c r="F28" i="10"/>
  <c r="E28" i="10"/>
  <c r="D28" i="10"/>
  <c r="L29" i="10"/>
  <c r="G29" i="10"/>
  <c r="F29" i="10"/>
  <c r="E29" i="10"/>
  <c r="D29" i="10"/>
  <c r="L31" i="10"/>
  <c r="G31" i="10"/>
  <c r="F31" i="10"/>
  <c r="E31" i="10"/>
  <c r="D31" i="10"/>
  <c r="L32" i="10"/>
  <c r="G32" i="10"/>
  <c r="F32" i="10"/>
  <c r="E32" i="10"/>
  <c r="D32" i="10"/>
  <c r="L33" i="10"/>
  <c r="G33" i="10"/>
  <c r="F33" i="10"/>
  <c r="E33" i="10"/>
  <c r="D33" i="10"/>
  <c r="L34" i="10"/>
  <c r="G34" i="10"/>
  <c r="F34" i="10"/>
  <c r="E34" i="10"/>
  <c r="D34" i="10"/>
  <c r="L36" i="10"/>
  <c r="G36" i="10"/>
  <c r="F36" i="10"/>
  <c r="E36" i="10"/>
  <c r="D36" i="10"/>
  <c r="L37" i="10"/>
  <c r="G37" i="10"/>
  <c r="F37" i="10"/>
  <c r="E37" i="10"/>
  <c r="D37" i="10"/>
  <c r="L38" i="10"/>
  <c r="G38" i="10"/>
  <c r="F38" i="10"/>
  <c r="E38" i="10"/>
  <c r="D38" i="10"/>
  <c r="L46" i="10"/>
  <c r="G46" i="10"/>
  <c r="F46" i="10"/>
  <c r="E46" i="10"/>
  <c r="D46" i="10"/>
  <c r="L47" i="10"/>
  <c r="G47" i="10"/>
  <c r="F47" i="10"/>
  <c r="E47" i="10"/>
  <c r="D47" i="10"/>
  <c r="L55" i="10"/>
  <c r="G55" i="10"/>
  <c r="F55" i="10"/>
  <c r="E55" i="10"/>
  <c r="D55" i="10"/>
  <c r="L60" i="10"/>
  <c r="G60" i="10"/>
  <c r="F60" i="10"/>
  <c r="E60" i="10"/>
  <c r="D60" i="10"/>
  <c r="L63" i="10"/>
  <c r="G63" i="10"/>
  <c r="F63" i="10"/>
  <c r="E63" i="10"/>
  <c r="D63" i="10"/>
  <c r="L75" i="10"/>
  <c r="G75" i="10"/>
  <c r="F75" i="10"/>
  <c r="E75" i="10"/>
  <c r="D75" i="10"/>
  <c r="L78" i="10"/>
  <c r="G78" i="10"/>
  <c r="F78" i="10"/>
  <c r="E78" i="10"/>
  <c r="D78" i="10"/>
  <c r="L79" i="10"/>
  <c r="G79" i="10"/>
  <c r="F79" i="10"/>
  <c r="E79" i="10"/>
  <c r="D79" i="10"/>
  <c r="L82" i="10"/>
  <c r="G82" i="10"/>
  <c r="F82" i="10"/>
  <c r="E82" i="10"/>
  <c r="D82" i="10"/>
  <c r="L83" i="10"/>
  <c r="G83" i="10"/>
  <c r="F83" i="10"/>
  <c r="E83" i="10"/>
  <c r="D83" i="10"/>
  <c r="L84" i="10"/>
  <c r="G84" i="10"/>
  <c r="F84" i="10"/>
  <c r="E84" i="10"/>
  <c r="D84" i="10"/>
  <c r="L118" i="10"/>
  <c r="G118" i="10"/>
  <c r="F118" i="10"/>
  <c r="E118" i="10"/>
  <c r="D118" i="10"/>
  <c r="L119" i="10"/>
  <c r="G119" i="10"/>
  <c r="F119" i="10"/>
  <c r="E119" i="10"/>
  <c r="D119" i="10"/>
  <c r="L120" i="10"/>
  <c r="G120" i="10"/>
  <c r="F120" i="10"/>
  <c r="E120" i="10"/>
  <c r="D120" i="10"/>
  <c r="L121" i="10"/>
  <c r="G121" i="10"/>
  <c r="F121" i="10"/>
  <c r="E121" i="10"/>
  <c r="D121" i="10"/>
  <c r="L134" i="10"/>
  <c r="G134" i="10"/>
  <c r="F134" i="10"/>
  <c r="E134" i="10"/>
  <c r="D134" i="10"/>
  <c r="L147" i="10"/>
  <c r="G147" i="10"/>
  <c r="F147" i="10"/>
  <c r="E147" i="10"/>
  <c r="D147" i="10"/>
  <c r="L148" i="10"/>
  <c r="G148" i="10"/>
  <c r="F148" i="10"/>
  <c r="E148" i="10"/>
  <c r="D148" i="10"/>
  <c r="L149" i="10"/>
  <c r="G149" i="10"/>
  <c r="F149" i="10"/>
  <c r="E149" i="10"/>
  <c r="D149" i="10"/>
  <c r="L150" i="10"/>
  <c r="G150" i="10"/>
  <c r="F150" i="10"/>
  <c r="E150" i="10"/>
  <c r="D150" i="10"/>
  <c r="L152" i="10"/>
  <c r="G152" i="10"/>
  <c r="F152" i="10"/>
  <c r="E152" i="10"/>
  <c r="D152" i="10"/>
  <c r="L161" i="10"/>
  <c r="G161" i="10"/>
  <c r="F161" i="10"/>
  <c r="E161" i="10"/>
  <c r="D161" i="10"/>
  <c r="L165" i="10"/>
  <c r="G165" i="10"/>
  <c r="F165" i="10"/>
  <c r="E165" i="10"/>
  <c r="D165" i="10"/>
  <c r="L166" i="10"/>
  <c r="G166" i="10"/>
  <c r="F166" i="10"/>
  <c r="E166" i="10"/>
  <c r="D166" i="10"/>
  <c r="L174" i="10"/>
  <c r="G174" i="10"/>
  <c r="F174" i="10"/>
  <c r="E174" i="10"/>
  <c r="D174" i="10"/>
  <c r="L175" i="10"/>
  <c r="G175" i="10"/>
  <c r="F175" i="10"/>
  <c r="E175" i="10"/>
  <c r="D175" i="10"/>
  <c r="L176" i="10"/>
  <c r="G176" i="10"/>
  <c r="F176" i="10"/>
  <c r="E176" i="10"/>
  <c r="D176" i="10"/>
  <c r="L177" i="10"/>
  <c r="G177" i="10"/>
  <c r="F177" i="10"/>
  <c r="E177" i="10"/>
  <c r="D177" i="10"/>
  <c r="L179" i="10"/>
  <c r="G179" i="10"/>
  <c r="F179" i="10"/>
  <c r="E179" i="10"/>
  <c r="D179" i="10"/>
  <c r="L180" i="10"/>
  <c r="G180" i="10"/>
  <c r="F180" i="10"/>
  <c r="E180" i="10"/>
  <c r="D180" i="10"/>
  <c r="L181" i="10"/>
  <c r="G181" i="10"/>
  <c r="F181" i="10"/>
  <c r="E181" i="10"/>
  <c r="D181" i="10"/>
  <c r="L182" i="10"/>
  <c r="G182" i="10"/>
  <c r="F182" i="10"/>
  <c r="E182" i="10"/>
  <c r="D182" i="10"/>
  <c r="L183" i="10"/>
  <c r="G183" i="10"/>
  <c r="F183" i="10"/>
  <c r="E183" i="10"/>
  <c r="D183" i="10"/>
  <c r="L184" i="10"/>
  <c r="G184" i="10"/>
  <c r="F184" i="10"/>
  <c r="E184" i="10"/>
  <c r="D184" i="10"/>
  <c r="L185" i="10"/>
  <c r="G185" i="10"/>
  <c r="F185" i="10"/>
  <c r="E185" i="10"/>
  <c r="D185" i="10"/>
  <c r="L187" i="10"/>
  <c r="G187" i="10"/>
  <c r="F187" i="10"/>
  <c r="E187" i="10"/>
  <c r="D187" i="10"/>
  <c r="L190" i="10"/>
  <c r="G190" i="10"/>
  <c r="F190" i="10"/>
  <c r="E190" i="10"/>
  <c r="D190" i="10"/>
  <c r="L191" i="10"/>
  <c r="G191" i="10"/>
  <c r="F191" i="10"/>
  <c r="E191" i="10"/>
  <c r="D191" i="10"/>
  <c r="L192" i="10"/>
  <c r="G192" i="10"/>
  <c r="F192" i="10"/>
  <c r="E192" i="10"/>
  <c r="D192" i="10"/>
  <c r="L193" i="10"/>
  <c r="G193" i="10"/>
  <c r="F193" i="10"/>
  <c r="E193" i="10"/>
  <c r="D193" i="10"/>
  <c r="L194" i="10"/>
  <c r="G194" i="10"/>
  <c r="F194" i="10"/>
  <c r="E194" i="10"/>
  <c r="D194" i="10"/>
  <c r="L195" i="10"/>
  <c r="G195" i="10"/>
  <c r="F195" i="10"/>
  <c r="E195" i="10"/>
  <c r="D195" i="10"/>
  <c r="L196" i="10"/>
  <c r="G196" i="10"/>
  <c r="F196" i="10"/>
  <c r="E196" i="10"/>
  <c r="D196" i="10"/>
  <c r="L198" i="10"/>
  <c r="G198" i="10"/>
  <c r="F198" i="10"/>
  <c r="E198" i="10"/>
  <c r="D198" i="10"/>
  <c r="L204" i="10"/>
  <c r="G204" i="10"/>
  <c r="F204" i="10"/>
  <c r="E204" i="10"/>
  <c r="D204" i="10"/>
  <c r="L210" i="10"/>
  <c r="G210" i="10"/>
  <c r="F210" i="10"/>
  <c r="E210" i="10"/>
  <c r="D210" i="10"/>
  <c r="L211" i="10"/>
  <c r="G211" i="10"/>
  <c r="F211" i="10"/>
  <c r="E211" i="10"/>
  <c r="D211" i="10"/>
  <c r="L213" i="10"/>
  <c r="G213" i="10"/>
  <c r="F213" i="10"/>
  <c r="E213" i="10"/>
  <c r="D213" i="10"/>
  <c r="L216" i="10"/>
  <c r="G216" i="10"/>
  <c r="F216" i="10"/>
  <c r="E216" i="10"/>
  <c r="D216" i="10"/>
  <c r="L217" i="10"/>
  <c r="G217" i="10"/>
  <c r="F217" i="10"/>
  <c r="E217" i="10"/>
  <c r="D217" i="10"/>
  <c r="L222" i="10"/>
  <c r="G222" i="10"/>
  <c r="F222" i="10"/>
  <c r="E222" i="10"/>
  <c r="D222" i="10"/>
  <c r="L225" i="10"/>
  <c r="G225" i="10"/>
  <c r="F225" i="10"/>
  <c r="E225" i="10"/>
  <c r="D225" i="10"/>
  <c r="L268" i="10"/>
  <c r="G268" i="10"/>
  <c r="F268" i="10"/>
  <c r="E268" i="10"/>
  <c r="D268" i="10"/>
  <c r="L272" i="10"/>
  <c r="G272" i="10"/>
  <c r="F272" i="10"/>
  <c r="E272" i="10"/>
  <c r="D272" i="10"/>
  <c r="L273" i="10"/>
  <c r="G273" i="10"/>
  <c r="F273" i="10"/>
  <c r="E273" i="10"/>
  <c r="D273" i="10"/>
  <c r="L277" i="10"/>
  <c r="G277" i="10"/>
  <c r="F277" i="10"/>
  <c r="E277" i="10"/>
  <c r="D277" i="10"/>
  <c r="L279" i="10"/>
  <c r="G279" i="10"/>
  <c r="F279" i="10"/>
  <c r="E279" i="10"/>
  <c r="D279" i="10"/>
  <c r="L280" i="10"/>
  <c r="G280" i="10"/>
  <c r="F280" i="10"/>
  <c r="E280" i="10"/>
  <c r="D280" i="10"/>
  <c r="L324" i="10"/>
  <c r="G324" i="10"/>
  <c r="F324" i="10"/>
  <c r="E324" i="10"/>
  <c r="D324" i="10"/>
  <c r="L325" i="10"/>
  <c r="G325" i="10"/>
  <c r="F325" i="10"/>
  <c r="E325" i="10"/>
  <c r="D325" i="10"/>
  <c r="L326" i="10"/>
  <c r="G326" i="10"/>
  <c r="F326" i="10"/>
  <c r="E326" i="10"/>
  <c r="D326" i="10"/>
  <c r="L327" i="10"/>
  <c r="G327" i="10"/>
  <c r="F327" i="10"/>
  <c r="E327" i="10"/>
  <c r="D327" i="10"/>
  <c r="L332" i="10"/>
  <c r="G332" i="10"/>
  <c r="F332" i="10"/>
  <c r="E332" i="10"/>
  <c r="D332" i="10"/>
  <c r="L334" i="10"/>
  <c r="G334" i="10"/>
  <c r="F334" i="10"/>
  <c r="E334" i="10"/>
  <c r="D334" i="10"/>
  <c r="L337" i="10"/>
  <c r="G337" i="10"/>
  <c r="F337" i="10"/>
  <c r="E337" i="10"/>
  <c r="D337" i="10"/>
  <c r="L338" i="10"/>
  <c r="G338" i="10"/>
  <c r="F338" i="10"/>
  <c r="E338" i="10"/>
  <c r="D338" i="10"/>
  <c r="L339" i="10"/>
  <c r="G339" i="10"/>
  <c r="F339" i="10"/>
  <c r="E339" i="10"/>
  <c r="D339" i="10"/>
  <c r="L340" i="10"/>
  <c r="G340" i="10"/>
  <c r="F340" i="10"/>
  <c r="E340" i="10"/>
  <c r="D340" i="10"/>
  <c r="L341" i="10"/>
  <c r="G341" i="10"/>
  <c r="F341" i="10"/>
  <c r="E341" i="10"/>
  <c r="D341" i="10"/>
  <c r="L342" i="10"/>
  <c r="G342" i="10"/>
  <c r="F342" i="10"/>
  <c r="E342" i="10"/>
  <c r="D342" i="10"/>
  <c r="L344" i="10"/>
  <c r="G344" i="10"/>
  <c r="F344" i="10"/>
  <c r="E344" i="10"/>
  <c r="D344" i="10"/>
  <c r="L345" i="10"/>
  <c r="G345" i="10"/>
  <c r="F345" i="10"/>
  <c r="E345" i="10"/>
  <c r="D345" i="10"/>
  <c r="L346" i="10"/>
  <c r="G346" i="10"/>
  <c r="F346" i="10"/>
  <c r="E346" i="10"/>
  <c r="D346" i="10"/>
  <c r="L352" i="10"/>
  <c r="G352" i="10"/>
  <c r="F352" i="10"/>
  <c r="E352" i="10"/>
  <c r="D352" i="10"/>
  <c r="L353" i="10"/>
  <c r="G353" i="10"/>
  <c r="F353" i="10"/>
  <c r="E353" i="10"/>
  <c r="D353" i="10"/>
  <c r="L357" i="10"/>
  <c r="G357" i="10"/>
  <c r="F357" i="10"/>
  <c r="E357" i="10"/>
  <c r="D357" i="10"/>
  <c r="L358" i="10"/>
  <c r="G358" i="10"/>
  <c r="F358" i="10"/>
  <c r="E358" i="10"/>
  <c r="D358" i="10"/>
  <c r="L368" i="10"/>
  <c r="G368" i="10"/>
  <c r="F368" i="10"/>
  <c r="E368" i="10"/>
  <c r="D368" i="10"/>
  <c r="L372" i="10"/>
  <c r="G372" i="10"/>
  <c r="F372" i="10"/>
  <c r="E372" i="10"/>
  <c r="D372" i="10"/>
  <c r="L373" i="10"/>
  <c r="G373" i="10"/>
  <c r="F373" i="10"/>
  <c r="E373" i="10"/>
  <c r="D373" i="10"/>
  <c r="L374" i="10"/>
  <c r="G374" i="10"/>
  <c r="F374" i="10"/>
  <c r="E374" i="10"/>
  <c r="D374" i="10"/>
  <c r="L375" i="10"/>
  <c r="G375" i="10"/>
  <c r="F375" i="10"/>
  <c r="E375" i="10"/>
  <c r="D375" i="10"/>
  <c r="L387" i="10"/>
  <c r="G387" i="10"/>
  <c r="F387" i="10"/>
  <c r="E387" i="10"/>
  <c r="D387" i="10"/>
  <c r="L389" i="10"/>
  <c r="G389" i="10"/>
  <c r="F389" i="10"/>
  <c r="E389" i="10"/>
  <c r="D389" i="10"/>
  <c r="L390" i="10"/>
  <c r="G390" i="10"/>
  <c r="F390" i="10"/>
  <c r="E390" i="10"/>
  <c r="D390" i="10"/>
  <c r="L413" i="10"/>
  <c r="G413" i="10"/>
  <c r="F413" i="10"/>
  <c r="E413" i="10"/>
  <c r="D413" i="10"/>
  <c r="L417" i="10"/>
  <c r="G417" i="10"/>
  <c r="F417" i="10"/>
  <c r="E417" i="10"/>
  <c r="D417" i="10"/>
  <c r="L418" i="10"/>
  <c r="G418" i="10"/>
  <c r="F418" i="10"/>
  <c r="E418" i="10"/>
  <c r="D418" i="10"/>
  <c r="L433" i="10"/>
  <c r="G433" i="10"/>
  <c r="F433" i="10"/>
  <c r="E433" i="10"/>
  <c r="D433" i="10"/>
  <c r="L443" i="10"/>
  <c r="G443" i="10"/>
  <c r="F443" i="10"/>
  <c r="E443" i="10"/>
  <c r="D443" i="10"/>
  <c r="L444" i="10"/>
  <c r="G444" i="10"/>
  <c r="F444" i="10"/>
  <c r="E444" i="10"/>
  <c r="D444" i="10"/>
  <c r="L445" i="10"/>
  <c r="G445" i="10"/>
  <c r="F445" i="10"/>
  <c r="E445" i="10"/>
  <c r="D445" i="10"/>
  <c r="L446" i="10"/>
  <c r="G446" i="10"/>
  <c r="F446" i="10"/>
  <c r="E446" i="10"/>
  <c r="D446" i="10"/>
  <c r="L448" i="10"/>
  <c r="G448" i="10"/>
  <c r="F448" i="10"/>
  <c r="E448" i="10"/>
  <c r="D448" i="10"/>
  <c r="L458" i="10"/>
  <c r="G458" i="10"/>
  <c r="F458" i="10"/>
  <c r="E458" i="10"/>
  <c r="D458" i="10"/>
  <c r="L461" i="10"/>
  <c r="G461" i="10"/>
  <c r="F461" i="10"/>
  <c r="E461" i="10"/>
  <c r="D461" i="10"/>
  <c r="L462" i="10"/>
  <c r="G462" i="10"/>
  <c r="F462" i="10"/>
  <c r="E462" i="10"/>
  <c r="D462" i="10"/>
  <c r="L463" i="10"/>
  <c r="G463" i="10"/>
  <c r="F463" i="10"/>
  <c r="E463" i="10"/>
  <c r="D463" i="10"/>
  <c r="L465" i="10"/>
  <c r="G465" i="10"/>
  <c r="F465" i="10"/>
  <c r="E465" i="10"/>
  <c r="D465" i="10"/>
  <c r="L479" i="10"/>
  <c r="G479" i="10"/>
  <c r="F479" i="10"/>
  <c r="E479" i="10"/>
  <c r="D479" i="10"/>
  <c r="L481" i="10"/>
  <c r="G481" i="10"/>
  <c r="F481" i="10"/>
  <c r="E481" i="10"/>
  <c r="D481" i="10"/>
  <c r="L483" i="10"/>
  <c r="G483" i="10"/>
  <c r="F483" i="10"/>
  <c r="E483" i="10"/>
  <c r="D483" i="10"/>
  <c r="L492" i="10"/>
  <c r="G492" i="10"/>
  <c r="F492" i="10"/>
  <c r="E492" i="10"/>
  <c r="D492" i="10"/>
  <c r="L501" i="10"/>
  <c r="G501" i="10"/>
  <c r="F501" i="10"/>
  <c r="E501" i="10"/>
  <c r="D501" i="10"/>
  <c r="L509" i="10"/>
  <c r="G509" i="10"/>
  <c r="F509" i="10"/>
  <c r="E509" i="10"/>
  <c r="D509" i="10"/>
  <c r="L513" i="10"/>
  <c r="G513" i="10"/>
  <c r="F513" i="10"/>
  <c r="E513" i="10"/>
  <c r="D513" i="10"/>
  <c r="L519" i="10"/>
  <c r="G519" i="10"/>
  <c r="F519" i="10"/>
  <c r="E519" i="10"/>
  <c r="D519" i="10"/>
  <c r="L520" i="10"/>
  <c r="G520" i="10"/>
  <c r="F520" i="10"/>
  <c r="E520" i="10"/>
  <c r="D520" i="10"/>
  <c r="L521" i="10"/>
  <c r="G521" i="10"/>
  <c r="F521" i="10"/>
  <c r="E521" i="10"/>
  <c r="D521" i="10"/>
  <c r="L525" i="10"/>
  <c r="G525" i="10"/>
  <c r="F525" i="10"/>
  <c r="E525" i="10"/>
  <c r="D525" i="10"/>
  <c r="L528" i="10"/>
  <c r="G528" i="10"/>
  <c r="F528" i="10"/>
  <c r="E528" i="10"/>
  <c r="D528" i="10"/>
  <c r="L529" i="10"/>
  <c r="G529" i="10"/>
  <c r="F529" i="10"/>
  <c r="E529" i="10"/>
  <c r="D529" i="10"/>
  <c r="L530" i="10"/>
  <c r="G530" i="10"/>
  <c r="F530" i="10"/>
  <c r="E530" i="10"/>
  <c r="D530" i="10"/>
  <c r="L549" i="10"/>
  <c r="G549" i="10"/>
  <c r="F549" i="10"/>
  <c r="E549" i="10"/>
  <c r="D549" i="10"/>
  <c r="L550" i="10"/>
  <c r="G550" i="10"/>
  <c r="F550" i="10"/>
  <c r="E550" i="10"/>
  <c r="D550" i="10"/>
  <c r="L551" i="10"/>
  <c r="G551" i="10"/>
  <c r="F551" i="10"/>
  <c r="E551" i="10"/>
  <c r="D551" i="10"/>
  <c r="H551" i="10" s="1"/>
  <c r="I551" i="10" s="1"/>
  <c r="J551" i="10" s="1"/>
  <c r="K551" i="10" s="1"/>
  <c r="L555" i="10"/>
  <c r="G555" i="10"/>
  <c r="F555" i="10"/>
  <c r="E555" i="10"/>
  <c r="D555" i="10"/>
  <c r="L556" i="10"/>
  <c r="G556" i="10"/>
  <c r="F556" i="10"/>
  <c r="E556" i="10"/>
  <c r="D556" i="10"/>
  <c r="L557" i="10"/>
  <c r="G557" i="10"/>
  <c r="F557" i="10"/>
  <c r="E557" i="10"/>
  <c r="D557" i="10"/>
  <c r="L558" i="10"/>
  <c r="G558" i="10"/>
  <c r="F558" i="10"/>
  <c r="E558" i="10"/>
  <c r="D558" i="10"/>
  <c r="L559" i="10"/>
  <c r="G559" i="10"/>
  <c r="F559" i="10"/>
  <c r="E559" i="10"/>
  <c r="D559" i="10"/>
  <c r="L565" i="10"/>
  <c r="G565" i="10"/>
  <c r="F565" i="10"/>
  <c r="E565" i="10"/>
  <c r="D565" i="10"/>
  <c r="L567" i="10"/>
  <c r="G567" i="10"/>
  <c r="F567" i="10"/>
  <c r="E567" i="10"/>
  <c r="D567" i="10"/>
  <c r="L568" i="10"/>
  <c r="G568" i="10"/>
  <c r="F568" i="10"/>
  <c r="E568" i="10"/>
  <c r="D568" i="10"/>
  <c r="L592" i="10"/>
  <c r="G592" i="10"/>
  <c r="F592" i="10"/>
  <c r="E592" i="10"/>
  <c r="D592" i="10"/>
  <c r="L593" i="10"/>
  <c r="G593" i="10"/>
  <c r="F593" i="10"/>
  <c r="E593" i="10"/>
  <c r="D593" i="10"/>
  <c r="L594" i="10"/>
  <c r="G594" i="10"/>
  <c r="F594" i="10"/>
  <c r="E594" i="10"/>
  <c r="D594" i="10"/>
  <c r="L595" i="10"/>
  <c r="G595" i="10"/>
  <c r="F595" i="10"/>
  <c r="E595" i="10"/>
  <c r="D595" i="10"/>
  <c r="L596" i="10"/>
  <c r="G596" i="10"/>
  <c r="F596" i="10"/>
  <c r="E596" i="10"/>
  <c r="D596" i="10"/>
  <c r="L597" i="10"/>
  <c r="G597" i="10"/>
  <c r="F597" i="10"/>
  <c r="E597" i="10"/>
  <c r="D597" i="10"/>
  <c r="L611" i="10"/>
  <c r="G611" i="10"/>
  <c r="F611" i="10"/>
  <c r="E611" i="10"/>
  <c r="D611" i="10"/>
  <c r="L612" i="10"/>
  <c r="G612" i="10"/>
  <c r="F612" i="10"/>
  <c r="E612" i="10"/>
  <c r="D612" i="10"/>
  <c r="L613" i="10"/>
  <c r="G613" i="10"/>
  <c r="F613" i="10"/>
  <c r="E613" i="10"/>
  <c r="D613" i="10"/>
  <c r="L618" i="10"/>
  <c r="G618" i="10"/>
  <c r="F618" i="10"/>
  <c r="E618" i="10"/>
  <c r="D618" i="10"/>
  <c r="L626" i="10"/>
  <c r="G626" i="10"/>
  <c r="F626" i="10"/>
  <c r="E626" i="10"/>
  <c r="D626" i="10"/>
  <c r="L627" i="10"/>
  <c r="G627" i="10"/>
  <c r="F627" i="10"/>
  <c r="E627" i="10"/>
  <c r="D627" i="10"/>
  <c r="L629" i="10"/>
  <c r="G629" i="10"/>
  <c r="F629" i="10"/>
  <c r="E629" i="10"/>
  <c r="D629" i="10"/>
  <c r="L631" i="10"/>
  <c r="G631" i="10"/>
  <c r="F631" i="10"/>
  <c r="E631" i="10"/>
  <c r="D631" i="10"/>
  <c r="L632" i="10"/>
  <c r="G632" i="10"/>
  <c r="F632" i="10"/>
  <c r="E632" i="10"/>
  <c r="D632" i="10"/>
  <c r="L636" i="10"/>
  <c r="G636" i="10"/>
  <c r="F636" i="10"/>
  <c r="E636" i="10"/>
  <c r="D636" i="10"/>
  <c r="L639" i="10"/>
  <c r="G639" i="10"/>
  <c r="F639" i="10"/>
  <c r="E639" i="10"/>
  <c r="D639" i="10"/>
  <c r="L641" i="10"/>
  <c r="G641" i="10"/>
  <c r="F641" i="10"/>
  <c r="E641" i="10"/>
  <c r="D641" i="10"/>
  <c r="L643" i="10"/>
  <c r="G643" i="10"/>
  <c r="F643" i="10"/>
  <c r="E643" i="10"/>
  <c r="D643" i="10"/>
  <c r="H315" i="11"/>
  <c r="I315" i="11" s="1"/>
  <c r="J315" i="11" s="1"/>
  <c r="K315" i="11" s="1"/>
  <c r="L36" i="11"/>
  <c r="G36" i="11"/>
  <c r="F36" i="11"/>
  <c r="E36" i="11"/>
  <c r="D36" i="11"/>
  <c r="L198" i="11"/>
  <c r="G198" i="11"/>
  <c r="F198" i="11"/>
  <c r="E198" i="11"/>
  <c r="D198" i="11"/>
  <c r="L246" i="11"/>
  <c r="G246" i="11"/>
  <c r="E246" i="11"/>
  <c r="D246" i="11"/>
  <c r="F246" i="11"/>
  <c r="G450" i="11"/>
  <c r="F450" i="11"/>
  <c r="E450" i="11"/>
  <c r="L450" i="11"/>
  <c r="D450" i="11"/>
  <c r="G605" i="11"/>
  <c r="E605" i="11"/>
  <c r="L605" i="11"/>
  <c r="F605" i="11"/>
  <c r="D605" i="11"/>
  <c r="L38" i="11"/>
  <c r="G38" i="11"/>
  <c r="F38" i="11"/>
  <c r="E38" i="11"/>
  <c r="D38" i="11"/>
  <c r="L201" i="11"/>
  <c r="F201" i="11"/>
  <c r="G201" i="11"/>
  <c r="E201" i="11"/>
  <c r="D201" i="11"/>
  <c r="G294" i="11"/>
  <c r="F294" i="11"/>
  <c r="E294" i="11"/>
  <c r="L294" i="11"/>
  <c r="D294" i="11"/>
  <c r="E451" i="11"/>
  <c r="L451" i="11"/>
  <c r="G451" i="11"/>
  <c r="D451" i="11"/>
  <c r="F451" i="11"/>
  <c r="L585" i="11"/>
  <c r="G585" i="11"/>
  <c r="F585" i="11"/>
  <c r="E585" i="11"/>
  <c r="D585" i="11"/>
  <c r="L39" i="11"/>
  <c r="G39" i="11"/>
  <c r="F39" i="11"/>
  <c r="D39" i="11"/>
  <c r="E39" i="11"/>
  <c r="L202" i="11"/>
  <c r="E202" i="11"/>
  <c r="G202" i="11"/>
  <c r="F202" i="11"/>
  <c r="D202" i="11"/>
  <c r="L297" i="11"/>
  <c r="G297" i="11"/>
  <c r="E297" i="11"/>
  <c r="F297" i="11"/>
  <c r="D297" i="11"/>
  <c r="L454" i="11"/>
  <c r="G454" i="11"/>
  <c r="F454" i="11"/>
  <c r="E454" i="11"/>
  <c r="D454" i="11"/>
  <c r="L591" i="11"/>
  <c r="E591" i="11"/>
  <c r="G591" i="11"/>
  <c r="D591" i="11"/>
  <c r="F591" i="11"/>
  <c r="L613" i="11"/>
  <c r="G613" i="11"/>
  <c r="F613" i="11"/>
  <c r="E613" i="11"/>
  <c r="D613" i="11"/>
  <c r="L40" i="11"/>
  <c r="E40" i="11"/>
  <c r="D40" i="11"/>
  <c r="G40" i="11"/>
  <c r="F40" i="11"/>
  <c r="E204" i="11"/>
  <c r="L204" i="11"/>
  <c r="G204" i="11"/>
  <c r="D204" i="11"/>
  <c r="F204" i="11"/>
  <c r="G422" i="11"/>
  <c r="E422" i="11"/>
  <c r="L422" i="11"/>
  <c r="F422" i="11"/>
  <c r="D422" i="11"/>
  <c r="L455" i="11"/>
  <c r="E455" i="11"/>
  <c r="G455" i="11"/>
  <c r="F455" i="11"/>
  <c r="D455" i="11"/>
  <c r="G592" i="11"/>
  <c r="F592" i="11"/>
  <c r="E592" i="11"/>
  <c r="L592" i="11"/>
  <c r="D592" i="11"/>
  <c r="L614" i="11"/>
  <c r="E614" i="11"/>
  <c r="G614" i="11"/>
  <c r="D614" i="11"/>
  <c r="F614" i="11"/>
  <c r="L41" i="11"/>
  <c r="D41" i="11"/>
  <c r="E41" i="11"/>
  <c r="G41" i="11"/>
  <c r="F41" i="11"/>
  <c r="L205" i="11"/>
  <c r="F205" i="11"/>
  <c r="D205" i="11"/>
  <c r="G205" i="11"/>
  <c r="E205" i="11"/>
  <c r="G423" i="11"/>
  <c r="F423" i="11"/>
  <c r="E423" i="11"/>
  <c r="L423" i="11"/>
  <c r="D423" i="11"/>
  <c r="G456" i="11"/>
  <c r="F456" i="11"/>
  <c r="E456" i="11"/>
  <c r="L456" i="11"/>
  <c r="D456" i="11"/>
  <c r="G594" i="11"/>
  <c r="F594" i="11"/>
  <c r="E594" i="11"/>
  <c r="L594" i="11"/>
  <c r="D594" i="11"/>
  <c r="G615" i="11"/>
  <c r="F615" i="11"/>
  <c r="E615" i="11"/>
  <c r="L615" i="11"/>
  <c r="D615" i="11"/>
  <c r="E100" i="11"/>
  <c r="L100" i="11"/>
  <c r="G100" i="11"/>
  <c r="D100" i="11"/>
  <c r="F100" i="11"/>
  <c r="L207" i="11"/>
  <c r="G207" i="11"/>
  <c r="F207" i="11"/>
  <c r="E207" i="11"/>
  <c r="D207" i="11"/>
  <c r="E424" i="11"/>
  <c r="L424" i="11"/>
  <c r="G424" i="11"/>
  <c r="D424" i="11"/>
  <c r="F424" i="11"/>
  <c r="G457" i="11"/>
  <c r="E457" i="11"/>
  <c r="L457" i="11"/>
  <c r="F457" i="11"/>
  <c r="D457" i="11"/>
  <c r="E595" i="11"/>
  <c r="L595" i="11"/>
  <c r="G595" i="11"/>
  <c r="D595" i="11"/>
  <c r="F595" i="11"/>
  <c r="L28" i="11"/>
  <c r="E28" i="11"/>
  <c r="D28" i="11"/>
  <c r="G28" i="11"/>
  <c r="F28" i="11"/>
  <c r="L118" i="11"/>
  <c r="E118" i="11"/>
  <c r="G118" i="11"/>
  <c r="D118" i="11"/>
  <c r="F118" i="11"/>
  <c r="L226" i="11"/>
  <c r="G226" i="11"/>
  <c r="F226" i="11"/>
  <c r="E226" i="11"/>
  <c r="D226" i="11"/>
  <c r="L425" i="11"/>
  <c r="G425" i="11"/>
  <c r="F425" i="11"/>
  <c r="E425" i="11"/>
  <c r="D425" i="11"/>
  <c r="L596" i="11"/>
  <c r="G596" i="11"/>
  <c r="F596" i="11"/>
  <c r="E596" i="11"/>
  <c r="D596" i="11"/>
  <c r="L31" i="11"/>
  <c r="G31" i="11"/>
  <c r="F31" i="11"/>
  <c r="E31" i="11"/>
  <c r="D31" i="11"/>
  <c r="E160" i="11"/>
  <c r="L160" i="11"/>
  <c r="G160" i="11"/>
  <c r="F160" i="11"/>
  <c r="D160" i="11"/>
  <c r="L236" i="11"/>
  <c r="G236" i="11"/>
  <c r="F236" i="11"/>
  <c r="E236" i="11"/>
  <c r="D236" i="11"/>
  <c r="G426" i="11"/>
  <c r="L426" i="11"/>
  <c r="E426" i="11"/>
  <c r="D426" i="11"/>
  <c r="F426" i="11"/>
  <c r="G473" i="11"/>
  <c r="L473" i="11"/>
  <c r="E473" i="11"/>
  <c r="F473" i="11"/>
  <c r="D473" i="11"/>
  <c r="G597" i="11"/>
  <c r="L597" i="11"/>
  <c r="E597" i="11"/>
  <c r="F597" i="11"/>
  <c r="D597" i="11"/>
  <c r="L32" i="11"/>
  <c r="G32" i="11"/>
  <c r="F32" i="11"/>
  <c r="D32" i="11"/>
  <c r="E32" i="11"/>
  <c r="E240" i="11"/>
  <c r="L240" i="11"/>
  <c r="G240" i="11"/>
  <c r="F240" i="11"/>
  <c r="D240" i="11"/>
  <c r="L442" i="11"/>
  <c r="G442" i="11"/>
  <c r="F442" i="11"/>
  <c r="E442" i="11"/>
  <c r="D442" i="11"/>
  <c r="G517" i="11"/>
  <c r="F517" i="11"/>
  <c r="E517" i="11"/>
  <c r="L517" i="11"/>
  <c r="D517" i="11"/>
  <c r="G598" i="11"/>
  <c r="F598" i="11"/>
  <c r="E598" i="11"/>
  <c r="L598" i="11"/>
  <c r="D598" i="11"/>
  <c r="L33" i="11"/>
  <c r="E33" i="11"/>
  <c r="D33" i="11"/>
  <c r="F33" i="11"/>
  <c r="G33" i="11"/>
  <c r="L241" i="11"/>
  <c r="G241" i="11"/>
  <c r="F241" i="11"/>
  <c r="E241" i="11"/>
  <c r="D241" i="11"/>
  <c r="L443" i="11"/>
  <c r="E443" i="11"/>
  <c r="G443" i="11"/>
  <c r="D443" i="11"/>
  <c r="F443" i="11"/>
  <c r="G519" i="11"/>
  <c r="L519" i="11"/>
  <c r="E519" i="11"/>
  <c r="D519" i="11"/>
  <c r="F519" i="11"/>
  <c r="E599" i="11"/>
  <c r="L599" i="11"/>
  <c r="G599" i="11"/>
  <c r="F599" i="11"/>
  <c r="D599" i="11"/>
  <c r="L34" i="11"/>
  <c r="E34" i="11"/>
  <c r="G34" i="11"/>
  <c r="F34" i="11"/>
  <c r="D34" i="11"/>
  <c r="G242" i="11"/>
  <c r="L242" i="11"/>
  <c r="E242" i="11"/>
  <c r="D242" i="11"/>
  <c r="F242" i="11"/>
  <c r="G444" i="11"/>
  <c r="F444" i="11"/>
  <c r="E444" i="11"/>
  <c r="L444" i="11"/>
  <c r="D444" i="11"/>
  <c r="L600" i="11"/>
  <c r="G600" i="11"/>
  <c r="F600" i="11"/>
  <c r="E600" i="11"/>
  <c r="D600" i="11"/>
  <c r="L35" i="11"/>
  <c r="G35" i="11"/>
  <c r="D35" i="11"/>
  <c r="F35" i="11"/>
  <c r="E35" i="11"/>
  <c r="L197" i="11"/>
  <c r="E197" i="11"/>
  <c r="D197" i="11"/>
  <c r="G197" i="11"/>
  <c r="F197" i="11"/>
  <c r="E244" i="11"/>
  <c r="L244" i="11"/>
  <c r="G244" i="11"/>
  <c r="F244" i="11"/>
  <c r="D244" i="11"/>
  <c r="G445" i="11"/>
  <c r="E445" i="11"/>
  <c r="L445" i="11"/>
  <c r="F445" i="11"/>
  <c r="D445" i="11"/>
  <c r="G527" i="11"/>
  <c r="E527" i="11"/>
  <c r="L527" i="11"/>
  <c r="F527" i="11"/>
  <c r="D527" i="11"/>
  <c r="L601" i="11"/>
  <c r="G601" i="11"/>
  <c r="E601" i="11"/>
  <c r="D601" i="11"/>
  <c r="F601" i="11"/>
  <c r="H111" i="10"/>
  <c r="I111" i="10" s="1"/>
  <c r="J111" i="10" s="1"/>
  <c r="K111" i="10" s="1"/>
  <c r="AC635" i="8"/>
  <c r="AH440" i="9"/>
  <c r="AH59" i="9"/>
  <c r="AG56" i="9"/>
  <c r="AH56" i="9" s="1"/>
  <c r="AH436" i="9"/>
  <c r="AG65" i="9"/>
  <c r="AH65" i="9" s="1"/>
  <c r="AG154" i="9"/>
  <c r="AH154" i="9" s="1"/>
  <c r="AG157" i="9"/>
  <c r="AH157" i="9" s="1"/>
  <c r="AH431" i="9"/>
  <c r="AH40" i="9"/>
  <c r="AH43" i="9"/>
  <c r="AG49" i="9"/>
  <c r="AH49" i="9" s="1"/>
  <c r="AG58" i="9"/>
  <c r="AH58" i="9" s="1"/>
  <c r="AH66" i="9"/>
  <c r="AG162" i="9"/>
  <c r="AH162" i="9" s="1"/>
  <c r="AG61" i="9"/>
  <c r="AH61" i="9" s="1"/>
  <c r="AH53" i="9"/>
  <c r="AH64" i="9"/>
  <c r="AG153" i="9"/>
  <c r="AH153" i="9" s="1"/>
  <c r="AG156" i="9"/>
  <c r="AH156" i="9" s="1"/>
  <c r="AH490" i="9"/>
  <c r="AG41" i="9"/>
  <c r="AH41" i="9" s="1"/>
  <c r="H525" i="10" l="1"/>
  <c r="I525" i="10" s="1"/>
  <c r="J525" i="10" s="1"/>
  <c r="K525" i="10" s="1"/>
  <c r="H353" i="10"/>
  <c r="I353" i="10" s="1"/>
  <c r="J353" i="10" s="1"/>
  <c r="K353" i="10" s="1"/>
  <c r="H222" i="10"/>
  <c r="I222" i="10" s="1"/>
  <c r="J222" i="10" s="1"/>
  <c r="K222" i="10" s="1"/>
  <c r="H25" i="10"/>
  <c r="I25" i="10" s="1"/>
  <c r="J25" i="10" s="1"/>
  <c r="K25" i="10" s="1"/>
  <c r="H372" i="10"/>
  <c r="I372" i="10" s="1"/>
  <c r="J372" i="10" s="1"/>
  <c r="K372" i="10" s="1"/>
  <c r="H332" i="10"/>
  <c r="I332" i="10" s="1"/>
  <c r="J332" i="10" s="1"/>
  <c r="K332" i="10" s="1"/>
  <c r="H14" i="10"/>
  <c r="I14" i="10" s="1"/>
  <c r="J14" i="10" s="1"/>
  <c r="K14" i="10" s="1"/>
  <c r="L41" i="10"/>
  <c r="G41" i="10"/>
  <c r="F41" i="10"/>
  <c r="E41" i="10"/>
  <c r="D41" i="10"/>
  <c r="L490" i="10"/>
  <c r="G490" i="10"/>
  <c r="F490" i="10"/>
  <c r="E490" i="10"/>
  <c r="D490" i="10"/>
  <c r="L156" i="10"/>
  <c r="G156" i="10"/>
  <c r="F156" i="10"/>
  <c r="E156" i="10"/>
  <c r="D156" i="10"/>
  <c r="L153" i="10"/>
  <c r="G153" i="10"/>
  <c r="F153" i="10"/>
  <c r="E153" i="10"/>
  <c r="D153" i="10"/>
  <c r="L64" i="10"/>
  <c r="G64" i="10"/>
  <c r="F64" i="10"/>
  <c r="E64" i="10"/>
  <c r="D64" i="10"/>
  <c r="L53" i="10"/>
  <c r="G53" i="10"/>
  <c r="F53" i="10"/>
  <c r="E53" i="10"/>
  <c r="D53" i="10"/>
  <c r="L61" i="10"/>
  <c r="G61" i="10"/>
  <c r="F61" i="10"/>
  <c r="E61" i="10"/>
  <c r="D61" i="10"/>
  <c r="L162" i="10"/>
  <c r="G162" i="10"/>
  <c r="F162" i="10"/>
  <c r="E162" i="10"/>
  <c r="D162" i="10"/>
  <c r="L66" i="10"/>
  <c r="G66" i="10"/>
  <c r="F66" i="10"/>
  <c r="E66" i="10"/>
  <c r="D66" i="10"/>
  <c r="L58" i="10"/>
  <c r="G58" i="10"/>
  <c r="F58" i="10"/>
  <c r="E58" i="10"/>
  <c r="D58" i="10"/>
  <c r="L49" i="10"/>
  <c r="G49" i="10"/>
  <c r="F49" i="10"/>
  <c r="E49" i="10"/>
  <c r="D49" i="10"/>
  <c r="L43" i="10"/>
  <c r="G43" i="10"/>
  <c r="F43" i="10"/>
  <c r="E43" i="10"/>
  <c r="D43" i="10"/>
  <c r="L40" i="10"/>
  <c r="G40" i="10"/>
  <c r="F40" i="10"/>
  <c r="E40" i="10"/>
  <c r="D40" i="10"/>
  <c r="L431" i="10"/>
  <c r="G431" i="10"/>
  <c r="F431" i="10"/>
  <c r="E431" i="10"/>
  <c r="D431" i="10"/>
  <c r="L157" i="10"/>
  <c r="G157" i="10"/>
  <c r="F157" i="10"/>
  <c r="E157" i="10"/>
  <c r="D157" i="10"/>
  <c r="L154" i="10"/>
  <c r="G154" i="10"/>
  <c r="F154" i="10"/>
  <c r="E154" i="10"/>
  <c r="D154" i="10"/>
  <c r="L65" i="10"/>
  <c r="G65" i="10"/>
  <c r="F65" i="10"/>
  <c r="E65" i="10"/>
  <c r="D65" i="10"/>
  <c r="L436" i="10"/>
  <c r="G436" i="10"/>
  <c r="F436" i="10"/>
  <c r="E436" i="10"/>
  <c r="D436" i="10"/>
  <c r="L56" i="10"/>
  <c r="G56" i="10"/>
  <c r="F56" i="10"/>
  <c r="E56" i="10"/>
  <c r="D56" i="10"/>
  <c r="L59" i="10"/>
  <c r="G59" i="10"/>
  <c r="F59" i="10"/>
  <c r="E59" i="10"/>
  <c r="D59" i="10"/>
  <c r="L440" i="10"/>
  <c r="G440" i="10"/>
  <c r="F440" i="10"/>
  <c r="E440" i="10"/>
  <c r="D440" i="10"/>
  <c r="H180" i="10"/>
  <c r="I180" i="10" s="1"/>
  <c r="J180" i="10" s="1"/>
  <c r="K180" i="10" s="1"/>
  <c r="H277" i="10"/>
  <c r="I277" i="10" s="1"/>
  <c r="J277" i="10" s="1"/>
  <c r="K277" i="10" s="1"/>
  <c r="H462" i="10"/>
  <c r="I462" i="10" s="1"/>
  <c r="J462" i="10" s="1"/>
  <c r="K462" i="10" s="1"/>
  <c r="H75" i="10"/>
  <c r="I75" i="10" s="1"/>
  <c r="J75" i="10" s="1"/>
  <c r="K75" i="10" s="1"/>
  <c r="H29" i="10"/>
  <c r="I29" i="10" s="1"/>
  <c r="J29" i="10" s="1"/>
  <c r="K29" i="10" s="1"/>
  <c r="H38" i="10"/>
  <c r="I38" i="10" s="1"/>
  <c r="J38" i="10" s="1"/>
  <c r="K38" i="10" s="1"/>
  <c r="H12" i="10"/>
  <c r="I12" i="10" s="1"/>
  <c r="J12" i="10" s="1"/>
  <c r="K12" i="10" s="1"/>
  <c r="H217" i="10"/>
  <c r="I217" i="10" s="1"/>
  <c r="J217" i="10" s="1"/>
  <c r="K217" i="10" s="1"/>
  <c r="H46" i="10"/>
  <c r="I46" i="10" s="1"/>
  <c r="J46" i="10" s="1"/>
  <c r="K46" i="10" s="1"/>
  <c r="H55" i="10"/>
  <c r="I55" i="10" s="1"/>
  <c r="J55" i="10" s="1"/>
  <c r="K55" i="10" s="1"/>
  <c r="H612" i="10"/>
  <c r="I612" i="10" s="1"/>
  <c r="J612" i="10" s="1"/>
  <c r="K612" i="10" s="1"/>
  <c r="H47" i="10"/>
  <c r="I47" i="10" s="1"/>
  <c r="J47" i="10" s="1"/>
  <c r="K47" i="10" s="1"/>
  <c r="H629" i="10"/>
  <c r="I629" i="10" s="1"/>
  <c r="J629" i="10" s="1"/>
  <c r="K629" i="10" s="1"/>
  <c r="H63" i="10"/>
  <c r="I63" i="10" s="1"/>
  <c r="H213" i="10"/>
  <c r="I213" i="10" s="1"/>
  <c r="J213" i="10" s="1"/>
  <c r="K213" i="10" s="1"/>
  <c r="H626" i="10"/>
  <c r="I626" i="10" s="1"/>
  <c r="J626" i="10" s="1"/>
  <c r="K626" i="10" s="1"/>
  <c r="H341" i="10"/>
  <c r="I341" i="10" s="1"/>
  <c r="H181" i="10"/>
  <c r="I181" i="10" s="1"/>
  <c r="J181" i="10" s="1"/>
  <c r="K181" i="10" s="1"/>
  <c r="H21" i="10"/>
  <c r="I21" i="10" s="1"/>
  <c r="J21" i="10" s="1"/>
  <c r="K21" i="10" s="1"/>
  <c r="H161" i="10"/>
  <c r="I161" i="10" s="1"/>
  <c r="J161" i="10" s="1"/>
  <c r="H639" i="10"/>
  <c r="I639" i="10" s="1"/>
  <c r="J639" i="10" s="1"/>
  <c r="K639" i="10" s="1"/>
  <c r="H216" i="10"/>
  <c r="I216" i="10" s="1"/>
  <c r="J216" i="10" s="1"/>
  <c r="K216" i="10" s="1"/>
  <c r="H373" i="10"/>
  <c r="I373" i="10" s="1"/>
  <c r="J373" i="10" s="1"/>
  <c r="K373" i="10" s="1"/>
  <c r="H17" i="10"/>
  <c r="I17" i="10" s="1"/>
  <c r="J17" i="10" s="1"/>
  <c r="K17" i="10" s="1"/>
  <c r="H479" i="10"/>
  <c r="I479" i="10" s="1"/>
  <c r="J479" i="10" s="1"/>
  <c r="K479" i="10" s="1"/>
  <c r="H458" i="10"/>
  <c r="I458" i="10" s="1"/>
  <c r="J458" i="10" s="1"/>
  <c r="K458" i="10" s="1"/>
  <c r="H346" i="10"/>
  <c r="I346" i="10" s="1"/>
  <c r="H179" i="10"/>
  <c r="I179" i="10" s="1"/>
  <c r="J179" i="10" s="1"/>
  <c r="K179" i="10" s="1"/>
  <c r="H174" i="10"/>
  <c r="I174" i="10" s="1"/>
  <c r="J174" i="10" s="1"/>
  <c r="K174" i="10" s="1"/>
  <c r="H444" i="10"/>
  <c r="I444" i="10" s="1"/>
  <c r="J444" i="10" s="1"/>
  <c r="K444" i="10" s="1"/>
  <c r="H529" i="10"/>
  <c r="I529" i="10" s="1"/>
  <c r="J529" i="10" s="1"/>
  <c r="K529" i="10" s="1"/>
  <c r="H368" i="10"/>
  <c r="I368" i="10" s="1"/>
  <c r="J368" i="10" s="1"/>
  <c r="K368" i="10" s="1"/>
  <c r="H121" i="10"/>
  <c r="I121" i="10" s="1"/>
  <c r="J121" i="10" s="1"/>
  <c r="K121" i="10" s="1"/>
  <c r="H194" i="10"/>
  <c r="I194" i="10" s="1"/>
  <c r="H509" i="10"/>
  <c r="I509" i="10" s="1"/>
  <c r="J509" i="10" s="1"/>
  <c r="K509" i="10" s="1"/>
  <c r="H279" i="10"/>
  <c r="I279" i="10" s="1"/>
  <c r="J279" i="10" s="1"/>
  <c r="K279" i="10" s="1"/>
  <c r="H389" i="10"/>
  <c r="I389" i="10" s="1"/>
  <c r="J389" i="10" s="1"/>
  <c r="K389" i="10" s="1"/>
  <c r="H166" i="10"/>
  <c r="I166" i="10" s="1"/>
  <c r="J166" i="10" s="1"/>
  <c r="K166" i="10" s="1"/>
  <c r="H150" i="10"/>
  <c r="I150" i="10" s="1"/>
  <c r="J150" i="10" s="1"/>
  <c r="K150" i="10" s="1"/>
  <c r="H118" i="10"/>
  <c r="I118" i="10" s="1"/>
  <c r="J118" i="10" s="1"/>
  <c r="K118" i="10" s="1"/>
  <c r="H28" i="10"/>
  <c r="I28" i="10" s="1"/>
  <c r="J28" i="10" s="1"/>
  <c r="K28" i="10" s="1"/>
  <c r="H147" i="10"/>
  <c r="I147" i="10" s="1"/>
  <c r="J147" i="10" s="1"/>
  <c r="K147" i="10" s="1"/>
  <c r="H211" i="10"/>
  <c r="I211" i="10" s="1"/>
  <c r="J211" i="10" s="1"/>
  <c r="K211" i="10" s="1"/>
  <c r="H618" i="10"/>
  <c r="I618" i="10" s="1"/>
  <c r="J618" i="10" s="1"/>
  <c r="K618" i="10" s="1"/>
  <c r="H198" i="10"/>
  <c r="I198" i="10" s="1"/>
  <c r="J198" i="10" s="1"/>
  <c r="K198" i="10" s="1"/>
  <c r="H196" i="10"/>
  <c r="I196" i="10" s="1"/>
  <c r="H37" i="10"/>
  <c r="I37" i="10" s="1"/>
  <c r="J37" i="10" s="1"/>
  <c r="K37" i="10" s="1"/>
  <c r="H13" i="10"/>
  <c r="I13" i="10" s="1"/>
  <c r="J13" i="10" s="1"/>
  <c r="K13" i="10" s="1"/>
  <c r="H82" i="10"/>
  <c r="I82" i="10" s="1"/>
  <c r="J82" i="10" s="1"/>
  <c r="K82" i="10" s="1"/>
  <c r="H559" i="10"/>
  <c r="I559" i="10" s="1"/>
  <c r="J559" i="10" s="1"/>
  <c r="K559" i="10" s="1"/>
  <c r="H631" i="10"/>
  <c r="I631" i="10" s="1"/>
  <c r="H627" i="10"/>
  <c r="I627" i="10" s="1"/>
  <c r="J627" i="10" s="1"/>
  <c r="K627" i="10" s="1"/>
  <c r="H192" i="10"/>
  <c r="I192" i="10" s="1"/>
  <c r="J192" i="10" s="1"/>
  <c r="K192" i="10" s="1"/>
  <c r="H26" i="10"/>
  <c r="I26" i="10" s="1"/>
  <c r="J26" i="10" s="1"/>
  <c r="K26" i="10" s="1"/>
  <c r="H338" i="10"/>
  <c r="I338" i="10" s="1"/>
  <c r="J338" i="10" s="1"/>
  <c r="K338" i="10" s="1"/>
  <c r="H413" i="10"/>
  <c r="I413" i="10" s="1"/>
  <c r="J413" i="10" s="1"/>
  <c r="K413" i="10" s="1"/>
  <c r="H22" i="10"/>
  <c r="I22" i="10" s="1"/>
  <c r="J22" i="10" s="1"/>
  <c r="K22" i="10" s="1"/>
  <c r="H483" i="10"/>
  <c r="I483" i="10" s="1"/>
  <c r="J483" i="10" s="1"/>
  <c r="K483" i="10" s="1"/>
  <c r="H465" i="10"/>
  <c r="I465" i="10" s="1"/>
  <c r="J465" i="10" s="1"/>
  <c r="K465" i="10" s="1"/>
  <c r="H461" i="10"/>
  <c r="I461" i="10" s="1"/>
  <c r="J461" i="10" s="1"/>
  <c r="K461" i="10" s="1"/>
  <c r="H190" i="10"/>
  <c r="I190" i="10" s="1"/>
  <c r="J190" i="10" s="1"/>
  <c r="K190" i="10" s="1"/>
  <c r="H79" i="10"/>
  <c r="I79" i="10" s="1"/>
  <c r="J79" i="10" s="1"/>
  <c r="K79" i="10" s="1"/>
  <c r="H592" i="10"/>
  <c r="I592" i="10" s="1"/>
  <c r="H326" i="10"/>
  <c r="I326" i="10" s="1"/>
  <c r="J326" i="10" s="1"/>
  <c r="K326" i="10" s="1"/>
  <c r="H352" i="10"/>
  <c r="I352" i="10" s="1"/>
  <c r="J352" i="10" s="1"/>
  <c r="K352" i="10" s="1"/>
  <c r="H550" i="10"/>
  <c r="I550" i="10" s="1"/>
  <c r="J550" i="10" s="1"/>
  <c r="K550" i="10" s="1"/>
  <c r="H148" i="10"/>
  <c r="I148" i="10" s="1"/>
  <c r="J148" i="10" s="1"/>
  <c r="K148" i="10" s="1"/>
  <c r="H632" i="10"/>
  <c r="I632" i="10" s="1"/>
  <c r="J632" i="10" s="1"/>
  <c r="K632" i="10" s="1"/>
  <c r="H558" i="10"/>
  <c r="I558" i="10" s="1"/>
  <c r="J558" i="10" s="1"/>
  <c r="K558" i="10" s="1"/>
  <c r="H463" i="10"/>
  <c r="I463" i="10" s="1"/>
  <c r="J463" i="10" s="1"/>
  <c r="K463" i="10" s="1"/>
  <c r="H334" i="10"/>
  <c r="I334" i="10" s="1"/>
  <c r="J334" i="10" s="1"/>
  <c r="K334" i="10" s="1"/>
  <c r="H32" i="10"/>
  <c r="I32" i="10" s="1"/>
  <c r="J32" i="10" s="1"/>
  <c r="K32" i="10" s="1"/>
  <c r="H417" i="10"/>
  <c r="I417" i="10" s="1"/>
  <c r="H175" i="10"/>
  <c r="I175" i="10" s="1"/>
  <c r="J175" i="10" s="1"/>
  <c r="K175" i="10" s="1"/>
  <c r="H557" i="10"/>
  <c r="I557" i="10" s="1"/>
  <c r="J557" i="10" s="1"/>
  <c r="K557" i="10" s="1"/>
  <c r="H120" i="10"/>
  <c r="I120" i="10" s="1"/>
  <c r="J120" i="10" s="1"/>
  <c r="K120" i="10" s="1"/>
  <c r="H149" i="10"/>
  <c r="I149" i="10" s="1"/>
  <c r="J149" i="10" s="1"/>
  <c r="K149" i="10" s="1"/>
  <c r="H556" i="10"/>
  <c r="I556" i="10" s="1"/>
  <c r="J556" i="10" s="1"/>
  <c r="K556" i="10" s="1"/>
  <c r="H272" i="10"/>
  <c r="I272" i="10" s="1"/>
  <c r="J272" i="10" s="1"/>
  <c r="K272" i="10" s="1"/>
  <c r="H375" i="10"/>
  <c r="I375" i="10" s="1"/>
  <c r="J375" i="10" s="1"/>
  <c r="K375" i="10" s="1"/>
  <c r="H177" i="10"/>
  <c r="I177" i="10" s="1"/>
  <c r="J177" i="10" s="1"/>
  <c r="K177" i="10" s="1"/>
  <c r="H225" i="10"/>
  <c r="I225" i="10" s="1"/>
  <c r="H636" i="10"/>
  <c r="I636" i="10" s="1"/>
  <c r="J636" i="10" s="1"/>
  <c r="K636" i="10" s="1"/>
  <c r="H446" i="10"/>
  <c r="I446" i="10" s="1"/>
  <c r="J446" i="10" s="1"/>
  <c r="K446" i="10" s="1"/>
  <c r="H195" i="10"/>
  <c r="I195" i="10" s="1"/>
  <c r="J195" i="10" s="1"/>
  <c r="K195" i="10" s="1"/>
  <c r="H34" i="10"/>
  <c r="I34" i="10" s="1"/>
  <c r="J34" i="10" s="1"/>
  <c r="K34" i="10" s="1"/>
  <c r="H11" i="10"/>
  <c r="I11" i="10" s="1"/>
  <c r="H565" i="10"/>
  <c r="I565" i="10" s="1"/>
  <c r="J565" i="10" s="1"/>
  <c r="K565" i="10" s="1"/>
  <c r="H521" i="10"/>
  <c r="I521" i="10" s="1"/>
  <c r="J521" i="10" s="1"/>
  <c r="K521" i="10" s="1"/>
  <c r="H325" i="10"/>
  <c r="I325" i="10" s="1"/>
  <c r="J325" i="10" s="1"/>
  <c r="K325" i="10" s="1"/>
  <c r="H418" i="10"/>
  <c r="I418" i="10" s="1"/>
  <c r="J418" i="10" s="1"/>
  <c r="K418" i="10" s="1"/>
  <c r="H33" i="10"/>
  <c r="I33" i="10" s="1"/>
  <c r="J33" i="10" s="1"/>
  <c r="K33" i="10" s="1"/>
  <c r="H567" i="10"/>
  <c r="I567" i="10" s="1"/>
  <c r="J567" i="10" s="1"/>
  <c r="K567" i="10" s="1"/>
  <c r="H643" i="10"/>
  <c r="I643" i="10" s="1"/>
  <c r="J643" i="10" s="1"/>
  <c r="K643" i="10" s="1"/>
  <c r="H390" i="10"/>
  <c r="I390" i="10" s="1"/>
  <c r="J390" i="10" s="1"/>
  <c r="K390" i="10" s="1"/>
  <c r="H549" i="10"/>
  <c r="I549" i="10" s="1"/>
  <c r="J549" i="10" s="1"/>
  <c r="K549" i="10" s="1"/>
  <c r="H344" i="10"/>
  <c r="I344" i="10" s="1"/>
  <c r="J344" i="10" s="1"/>
  <c r="K344" i="10" s="1"/>
  <c r="H641" i="10"/>
  <c r="I641" i="10" s="1"/>
  <c r="J641" i="10" s="1"/>
  <c r="K641" i="10" s="1"/>
  <c r="H501" i="10"/>
  <c r="I501" i="10" s="1"/>
  <c r="J501" i="10" s="1"/>
  <c r="K501" i="10" s="1"/>
  <c r="H210" i="10"/>
  <c r="I210" i="10" s="1"/>
  <c r="J210" i="10" s="1"/>
  <c r="K210" i="10" s="1"/>
  <c r="H345" i="10"/>
  <c r="I345" i="10" s="1"/>
  <c r="J345" i="10" s="1"/>
  <c r="K345" i="10" s="1"/>
  <c r="H594" i="10"/>
  <c r="I594" i="10" s="1"/>
  <c r="J594" i="10" s="1"/>
  <c r="K594" i="10" s="1"/>
  <c r="H273" i="10"/>
  <c r="I273" i="10" s="1"/>
  <c r="J273" i="10" s="1"/>
  <c r="K273" i="10" s="1"/>
  <c r="H31" i="10"/>
  <c r="I31" i="10" s="1"/>
  <c r="J31" i="10" s="1"/>
  <c r="K31" i="10" s="1"/>
  <c r="H165" i="10"/>
  <c r="I165" i="10" s="1"/>
  <c r="H520" i="10"/>
  <c r="I520" i="10" s="1"/>
  <c r="H513" i="10"/>
  <c r="I513" i="10" s="1"/>
  <c r="J513" i="10" s="1"/>
  <c r="K513" i="10" s="1"/>
  <c r="H492" i="10"/>
  <c r="I492" i="10" s="1"/>
  <c r="J492" i="10" s="1"/>
  <c r="K492" i="10" s="1"/>
  <c r="H357" i="10"/>
  <c r="I357" i="10" s="1"/>
  <c r="J357" i="10" s="1"/>
  <c r="K357" i="10" s="1"/>
  <c r="H204" i="10"/>
  <c r="I204" i="10" s="1"/>
  <c r="J204" i="10" s="1"/>
  <c r="K204" i="10" s="1"/>
  <c r="H134" i="10"/>
  <c r="I134" i="10" s="1"/>
  <c r="J134" i="10" s="1"/>
  <c r="K134" i="10" s="1"/>
  <c r="H613" i="10"/>
  <c r="I613" i="10" s="1"/>
  <c r="J613" i="10" s="1"/>
  <c r="K613" i="10" s="1"/>
  <c r="H374" i="10"/>
  <c r="I374" i="10" s="1"/>
  <c r="J374" i="10" s="1"/>
  <c r="K374" i="10" s="1"/>
  <c r="H19" i="10"/>
  <c r="I19" i="10" s="1"/>
  <c r="J19" i="10" s="1"/>
  <c r="K19" i="10" s="1"/>
  <c r="H185" i="10"/>
  <c r="I185" i="10" s="1"/>
  <c r="J185" i="10" s="1"/>
  <c r="K185" i="10" s="1"/>
  <c r="H568" i="10"/>
  <c r="I568" i="10" s="1"/>
  <c r="J568" i="10" s="1"/>
  <c r="K568" i="10" s="1"/>
  <c r="H324" i="10"/>
  <c r="I324" i="10" s="1"/>
  <c r="J324" i="10" s="1"/>
  <c r="K324" i="10" s="1"/>
  <c r="H596" i="10"/>
  <c r="I596" i="10" s="1"/>
  <c r="J596" i="10" s="1"/>
  <c r="K596" i="10" s="1"/>
  <c r="H8" i="10"/>
  <c r="I8" i="10" s="1"/>
  <c r="J8" i="10" s="1"/>
  <c r="K8" i="10" s="1"/>
  <c r="H342" i="10"/>
  <c r="I342" i="10" s="1"/>
  <c r="J342" i="10" s="1"/>
  <c r="K342" i="10" s="1"/>
  <c r="H36" i="10"/>
  <c r="I36" i="10" s="1"/>
  <c r="J36" i="10" s="1"/>
  <c r="K36" i="10" s="1"/>
  <c r="H193" i="10"/>
  <c r="I193" i="10" s="1"/>
  <c r="J193" i="10" s="1"/>
  <c r="K193" i="10" s="1"/>
  <c r="H358" i="10"/>
  <c r="I358" i="10" s="1"/>
  <c r="H152" i="10"/>
  <c r="I152" i="10" s="1"/>
  <c r="H15" i="10"/>
  <c r="I15" i="10" s="1"/>
  <c r="J15" i="10" s="1"/>
  <c r="K15" i="10" s="1"/>
  <c r="H83" i="10"/>
  <c r="I83" i="10" s="1"/>
  <c r="H183" i="10"/>
  <c r="I183" i="10" s="1"/>
  <c r="J183" i="10" s="1"/>
  <c r="K183" i="10" s="1"/>
  <c r="H593" i="10"/>
  <c r="I593" i="10" s="1"/>
  <c r="J593" i="10" s="1"/>
  <c r="K593" i="10" s="1"/>
  <c r="H327" i="10"/>
  <c r="I327" i="10" s="1"/>
  <c r="J327" i="10" s="1"/>
  <c r="K327" i="10" s="1"/>
  <c r="H433" i="10"/>
  <c r="I433" i="10" s="1"/>
  <c r="J433" i="10" s="1"/>
  <c r="K433" i="10" s="1"/>
  <c r="H340" i="10"/>
  <c r="I340" i="10" s="1"/>
  <c r="J340" i="10" s="1"/>
  <c r="K340" i="10" s="1"/>
  <c r="H187" i="10"/>
  <c r="I187" i="10" s="1"/>
  <c r="J187" i="10" s="1"/>
  <c r="K187" i="10" s="1"/>
  <c r="H339" i="10"/>
  <c r="I339" i="10" s="1"/>
  <c r="J339" i="10" s="1"/>
  <c r="K339" i="10" s="1"/>
  <c r="H27" i="10"/>
  <c r="I27" i="10" s="1"/>
  <c r="J27" i="10" s="1"/>
  <c r="K27" i="10" s="1"/>
  <c r="H519" i="10"/>
  <c r="I519" i="10" s="1"/>
  <c r="J519" i="10" s="1"/>
  <c r="K519" i="10" s="1"/>
  <c r="H530" i="10"/>
  <c r="I530" i="10" s="1"/>
  <c r="J530" i="10" s="1"/>
  <c r="K530" i="10" s="1"/>
  <c r="H597" i="10"/>
  <c r="I597" i="10" s="1"/>
  <c r="J597" i="10" s="1"/>
  <c r="K597" i="10" s="1"/>
  <c r="H595" i="10"/>
  <c r="I595" i="10" s="1"/>
  <c r="J595" i="10" s="1"/>
  <c r="K595" i="10" s="1"/>
  <c r="H445" i="10"/>
  <c r="I445" i="10" s="1"/>
  <c r="J445" i="10" s="1"/>
  <c r="K445" i="10" s="1"/>
  <c r="H184" i="10"/>
  <c r="I184" i="10" s="1"/>
  <c r="J184" i="10" s="1"/>
  <c r="K184" i="10" s="1"/>
  <c r="H443" i="10"/>
  <c r="I443" i="10" s="1"/>
  <c r="J443" i="10" s="1"/>
  <c r="K443" i="10" s="1"/>
  <c r="H182" i="10"/>
  <c r="I182" i="10" s="1"/>
  <c r="J182" i="10" s="1"/>
  <c r="K182" i="10" s="1"/>
  <c r="H78" i="10"/>
  <c r="I78" i="10" s="1"/>
  <c r="J78" i="10" s="1"/>
  <c r="K78" i="10" s="1"/>
  <c r="H18" i="10"/>
  <c r="I18" i="10" s="1"/>
  <c r="J18" i="10" s="1"/>
  <c r="K18" i="10" s="1"/>
  <c r="H280" i="10"/>
  <c r="I280" i="10" s="1"/>
  <c r="J280" i="10" s="1"/>
  <c r="K280" i="10" s="1"/>
  <c r="H528" i="10"/>
  <c r="I528" i="10" s="1"/>
  <c r="J528" i="10" s="1"/>
  <c r="K528" i="10" s="1"/>
  <c r="H191" i="10"/>
  <c r="I191" i="10" s="1"/>
  <c r="J191" i="10" s="1"/>
  <c r="K191" i="10" s="1"/>
  <c r="H16" i="10"/>
  <c r="I16" i="10" s="1"/>
  <c r="J16" i="10" s="1"/>
  <c r="K16" i="10" s="1"/>
  <c r="H119" i="10"/>
  <c r="I119" i="10" s="1"/>
  <c r="J119" i="10" s="1"/>
  <c r="K119" i="10" s="1"/>
  <c r="H20" i="10"/>
  <c r="I20" i="10" s="1"/>
  <c r="J20" i="10" s="1"/>
  <c r="K20" i="10" s="1"/>
  <c r="H448" i="10"/>
  <c r="I448" i="10" s="1"/>
  <c r="J448" i="10" s="1"/>
  <c r="K448" i="10" s="1"/>
  <c r="H337" i="10"/>
  <c r="I337" i="10" s="1"/>
  <c r="J337" i="10" s="1"/>
  <c r="K337" i="10" s="1"/>
  <c r="H387" i="10"/>
  <c r="I387" i="10" s="1"/>
  <c r="J387" i="10" s="1"/>
  <c r="K387" i="10" s="1"/>
  <c r="H60" i="10"/>
  <c r="I60" i="10" s="1"/>
  <c r="J60" i="10" s="1"/>
  <c r="K60" i="10" s="1"/>
  <c r="H555" i="10"/>
  <c r="I555" i="10" s="1"/>
  <c r="J555" i="10" s="1"/>
  <c r="K555" i="10" s="1"/>
  <c r="H268" i="10"/>
  <c r="I268" i="10" s="1"/>
  <c r="J268" i="10" s="1"/>
  <c r="K268" i="10" s="1"/>
  <c r="H481" i="10"/>
  <c r="I481" i="10" s="1"/>
  <c r="J481" i="10" s="1"/>
  <c r="K481" i="10" s="1"/>
  <c r="H84" i="10"/>
  <c r="I84" i="10" s="1"/>
  <c r="J84" i="10" s="1"/>
  <c r="K84" i="10" s="1"/>
  <c r="H176" i="10"/>
  <c r="I176" i="10" s="1"/>
  <c r="J176" i="10" s="1"/>
  <c r="K176" i="10" s="1"/>
  <c r="H611" i="10"/>
  <c r="I611" i="10" s="1"/>
  <c r="J611" i="10" s="1"/>
  <c r="K611" i="10" s="1"/>
  <c r="AH678" i="9"/>
  <c r="H615" i="11"/>
  <c r="I615" i="11" s="1"/>
  <c r="H614" i="11"/>
  <c r="I614" i="11" s="1"/>
  <c r="H613" i="11"/>
  <c r="I613" i="11" s="1"/>
  <c r="H605" i="11"/>
  <c r="I605" i="11" s="1"/>
  <c r="H601" i="11"/>
  <c r="I601" i="11" s="1"/>
  <c r="H600" i="11"/>
  <c r="I600" i="11" s="1"/>
  <c r="H599" i="11"/>
  <c r="I599" i="11" s="1"/>
  <c r="H598" i="11"/>
  <c r="I598" i="11" s="1"/>
  <c r="H597" i="11"/>
  <c r="I597" i="11" s="1"/>
  <c r="H596" i="11"/>
  <c r="I596" i="11" s="1"/>
  <c r="H595" i="11"/>
  <c r="I595" i="11" s="1"/>
  <c r="H594" i="11"/>
  <c r="I594" i="11" s="1"/>
  <c r="H592" i="11"/>
  <c r="I592" i="11" s="1"/>
  <c r="H591" i="11"/>
  <c r="I591" i="11" s="1"/>
  <c r="H585" i="11"/>
  <c r="I585" i="11" s="1"/>
  <c r="J585" i="11" s="1"/>
  <c r="K585" i="11" s="1"/>
  <c r="H527" i="11"/>
  <c r="I527" i="11" s="1"/>
  <c r="J527" i="11" s="1"/>
  <c r="K527" i="11" s="1"/>
  <c r="H519" i="11"/>
  <c r="I519" i="11" s="1"/>
  <c r="J519" i="11" s="1"/>
  <c r="K519" i="11" s="1"/>
  <c r="H517" i="11"/>
  <c r="I517" i="11" s="1"/>
  <c r="J517" i="11" s="1"/>
  <c r="K517" i="11" s="1"/>
  <c r="H473" i="11"/>
  <c r="I473" i="11" s="1"/>
  <c r="J473" i="11" s="1"/>
  <c r="K473" i="11" s="1"/>
  <c r="H457" i="11"/>
  <c r="I457" i="11" s="1"/>
  <c r="J457" i="11" s="1"/>
  <c r="K457" i="11" s="1"/>
  <c r="H456" i="11"/>
  <c r="I456" i="11" s="1"/>
  <c r="J456" i="11" s="1"/>
  <c r="K456" i="11" s="1"/>
  <c r="H455" i="11"/>
  <c r="I455" i="11" s="1"/>
  <c r="J455" i="11" s="1"/>
  <c r="K455" i="11" s="1"/>
  <c r="H454" i="11"/>
  <c r="I454" i="11" s="1"/>
  <c r="J454" i="11" s="1"/>
  <c r="K454" i="11" s="1"/>
  <c r="H451" i="11"/>
  <c r="I451" i="11" s="1"/>
  <c r="J451" i="11" s="1"/>
  <c r="K451" i="11" s="1"/>
  <c r="H450" i="11"/>
  <c r="I450" i="11" s="1"/>
  <c r="J450" i="11" s="1"/>
  <c r="K450" i="11" s="1"/>
  <c r="H445" i="11"/>
  <c r="I445" i="11" s="1"/>
  <c r="J445" i="11" s="1"/>
  <c r="K445" i="11" s="1"/>
  <c r="H444" i="11"/>
  <c r="I444" i="11" s="1"/>
  <c r="J444" i="11" s="1"/>
  <c r="K444" i="11" s="1"/>
  <c r="H443" i="11"/>
  <c r="I443" i="11" s="1"/>
  <c r="J443" i="11" s="1"/>
  <c r="K443" i="11" s="1"/>
  <c r="H442" i="11"/>
  <c r="I442" i="11" s="1"/>
  <c r="J442" i="11" s="1"/>
  <c r="K442" i="11" s="1"/>
  <c r="H426" i="11"/>
  <c r="I426" i="11" s="1"/>
  <c r="J426" i="11" s="1"/>
  <c r="K426" i="11" s="1"/>
  <c r="H425" i="11"/>
  <c r="I425" i="11" s="1"/>
  <c r="J425" i="11" s="1"/>
  <c r="K425" i="11" s="1"/>
  <c r="H424" i="11"/>
  <c r="I424" i="11" s="1"/>
  <c r="J424" i="11" s="1"/>
  <c r="K424" i="11" s="1"/>
  <c r="H423" i="11"/>
  <c r="I423" i="11" s="1"/>
  <c r="J423" i="11" s="1"/>
  <c r="K423" i="11" s="1"/>
  <c r="H422" i="11"/>
  <c r="I422" i="11" s="1"/>
  <c r="J422" i="11" s="1"/>
  <c r="K422" i="11" s="1"/>
  <c r="H297" i="11"/>
  <c r="I297" i="11" s="1"/>
  <c r="J297" i="11" s="1"/>
  <c r="K297" i="11" s="1"/>
  <c r="H294" i="11"/>
  <c r="I294" i="11" s="1"/>
  <c r="J294" i="11" s="1"/>
  <c r="K294" i="11" s="1"/>
  <c r="H246" i="11"/>
  <c r="I246" i="11" s="1"/>
  <c r="H244" i="11"/>
  <c r="I244" i="11" s="1"/>
  <c r="H242" i="11"/>
  <c r="I242" i="11" s="1"/>
  <c r="H241" i="11"/>
  <c r="I241" i="11" s="1"/>
  <c r="H240" i="11"/>
  <c r="I240" i="11" s="1"/>
  <c r="H236" i="11"/>
  <c r="I236" i="11" s="1"/>
  <c r="J236" i="11" s="1"/>
  <c r="K236" i="11" s="1"/>
  <c r="H226" i="11"/>
  <c r="I226" i="11" s="1"/>
  <c r="J226" i="11" s="1"/>
  <c r="K226" i="11" s="1"/>
  <c r="H207" i="11"/>
  <c r="I207" i="11" s="1"/>
  <c r="J207" i="11" s="1"/>
  <c r="K207" i="11" s="1"/>
  <c r="H205" i="11"/>
  <c r="I205" i="11" s="1"/>
  <c r="H204" i="11"/>
  <c r="I204" i="11" s="1"/>
  <c r="H202" i="11"/>
  <c r="I202" i="11" s="1"/>
  <c r="H201" i="11"/>
  <c r="I201" i="11" s="1"/>
  <c r="H198" i="11"/>
  <c r="I198" i="11" s="1"/>
  <c r="J198" i="11" s="1"/>
  <c r="K198" i="11" s="1"/>
  <c r="H197" i="11"/>
  <c r="I197" i="11" s="1"/>
  <c r="J197" i="11" s="1"/>
  <c r="K197" i="11" s="1"/>
  <c r="H160" i="11"/>
  <c r="I160" i="11" s="1"/>
  <c r="H118" i="11"/>
  <c r="I118" i="11" s="1"/>
  <c r="J118" i="11" s="1"/>
  <c r="K118" i="11" s="1"/>
  <c r="H100" i="11"/>
  <c r="I100" i="11" s="1"/>
  <c r="J100" i="11" s="1"/>
  <c r="K100" i="11" s="1"/>
  <c r="H41" i="11"/>
  <c r="I41" i="11" s="1"/>
  <c r="J41" i="11" s="1"/>
  <c r="K41" i="11" s="1"/>
  <c r="H40" i="11"/>
  <c r="I40" i="11" s="1"/>
  <c r="J40" i="11" s="1"/>
  <c r="K40" i="11" s="1"/>
  <c r="H39" i="11"/>
  <c r="I39" i="11" s="1"/>
  <c r="J39" i="11" s="1"/>
  <c r="K39" i="11" s="1"/>
  <c r="H38" i="11"/>
  <c r="I38" i="11" s="1"/>
  <c r="J38" i="11" s="1"/>
  <c r="K38" i="11" s="1"/>
  <c r="H36" i="11"/>
  <c r="I36" i="11" s="1"/>
  <c r="J36" i="11" s="1"/>
  <c r="K36" i="11" s="1"/>
  <c r="H35" i="11"/>
  <c r="I35" i="11" s="1"/>
  <c r="J35" i="11" s="1"/>
  <c r="K35" i="11" s="1"/>
  <c r="H34" i="11"/>
  <c r="I34" i="11" s="1"/>
  <c r="J34" i="11" s="1"/>
  <c r="K34" i="11" s="1"/>
  <c r="H33" i="11"/>
  <c r="I33" i="11" s="1"/>
  <c r="J33" i="11" s="1"/>
  <c r="K33" i="11" s="1"/>
  <c r="H32" i="11"/>
  <c r="I32" i="11" s="1"/>
  <c r="J32" i="11" s="1"/>
  <c r="K32" i="11" s="1"/>
  <c r="H31" i="11"/>
  <c r="I31" i="11" s="1"/>
  <c r="J31" i="11" s="1"/>
  <c r="K31" i="11" s="1"/>
  <c r="H28" i="11"/>
  <c r="I28" i="11" s="1"/>
  <c r="J28" i="11" s="1"/>
  <c r="K28" i="11" s="1"/>
  <c r="X572" i="8"/>
  <c r="W572" i="8"/>
  <c r="X570" i="8"/>
  <c r="W570" i="8"/>
  <c r="X567" i="8"/>
  <c r="W567" i="8"/>
  <c r="X565" i="8"/>
  <c r="W565" i="8"/>
  <c r="X553" i="8"/>
  <c r="W553" i="8"/>
  <c r="X552" i="8"/>
  <c r="W552" i="8"/>
  <c r="X551" i="8"/>
  <c r="W551" i="8"/>
  <c r="X550" i="8"/>
  <c r="W550" i="8"/>
  <c r="X522" i="8"/>
  <c r="W522" i="8"/>
  <c r="X521" i="8"/>
  <c r="W521" i="8"/>
  <c r="X520" i="8"/>
  <c r="W520" i="8"/>
  <c r="X512" i="8"/>
  <c r="W512" i="8"/>
  <c r="X511" i="8"/>
  <c r="W511" i="8"/>
  <c r="X502" i="8"/>
  <c r="W502" i="8"/>
  <c r="X501" i="8"/>
  <c r="W501" i="8"/>
  <c r="X500" i="8"/>
  <c r="W500" i="8"/>
  <c r="X496" i="8"/>
  <c r="W496" i="8"/>
  <c r="X493" i="8"/>
  <c r="W493" i="8"/>
  <c r="X489" i="8"/>
  <c r="W489" i="8"/>
  <c r="X486" i="8"/>
  <c r="W486" i="8"/>
  <c r="X483" i="8"/>
  <c r="W483" i="8"/>
  <c r="X482" i="8"/>
  <c r="W482" i="8"/>
  <c r="X480" i="8"/>
  <c r="W480" i="8"/>
  <c r="X479" i="8"/>
  <c r="W479" i="8"/>
  <c r="X477" i="8"/>
  <c r="W477" i="8"/>
  <c r="X476" i="8"/>
  <c r="W476" i="8"/>
  <c r="X474" i="8"/>
  <c r="W474" i="8"/>
  <c r="X471" i="8"/>
  <c r="W471" i="8"/>
  <c r="X468" i="8"/>
  <c r="W468" i="8"/>
  <c r="X466" i="8"/>
  <c r="W466" i="8"/>
  <c r="X463" i="8"/>
  <c r="W463" i="8"/>
  <c r="X437" i="8"/>
  <c r="W437" i="8"/>
  <c r="X431" i="8"/>
  <c r="W431" i="8"/>
  <c r="X429" i="8"/>
  <c r="W429" i="8"/>
  <c r="X428" i="8"/>
  <c r="W428" i="8"/>
  <c r="X357" i="8"/>
  <c r="W357" i="8"/>
  <c r="X356" i="8"/>
  <c r="W356" i="8"/>
  <c r="X355" i="8"/>
  <c r="W355" i="8"/>
  <c r="X354" i="8"/>
  <c r="W354" i="8"/>
  <c r="X352" i="8"/>
  <c r="W352" i="8"/>
  <c r="X351" i="8"/>
  <c r="W351" i="8"/>
  <c r="X350" i="8"/>
  <c r="W350" i="8"/>
  <c r="X349" i="8"/>
  <c r="W349" i="8"/>
  <c r="X348" i="8"/>
  <c r="W348" i="8"/>
  <c r="X347" i="8"/>
  <c r="W347" i="8"/>
  <c r="X346" i="8"/>
  <c r="W346" i="8"/>
  <c r="X276" i="8"/>
  <c r="W276" i="8"/>
  <c r="X191" i="8"/>
  <c r="W191" i="8"/>
  <c r="X174" i="8"/>
  <c r="W174" i="8"/>
  <c r="X167" i="8"/>
  <c r="W167" i="8"/>
  <c r="X165" i="8"/>
  <c r="W165" i="8"/>
  <c r="X87" i="8"/>
  <c r="W87" i="8"/>
  <c r="X86" i="8"/>
  <c r="W86" i="8"/>
  <c r="X85" i="8"/>
  <c r="W85" i="8"/>
  <c r="X84" i="8"/>
  <c r="W84" i="8"/>
  <c r="X83" i="8"/>
  <c r="W83" i="8"/>
  <c r="X82" i="8"/>
  <c r="W82" i="8"/>
  <c r="X27" i="8"/>
  <c r="W27" i="8"/>
  <c r="X24" i="8"/>
  <c r="W24" i="8"/>
  <c r="X4" i="8"/>
  <c r="W4" i="8"/>
  <c r="J160" i="11" l="1"/>
  <c r="K160" i="11" s="1"/>
  <c r="J201" i="11"/>
  <c r="K201" i="11" s="1"/>
  <c r="J202" i="11"/>
  <c r="K202" i="11" s="1"/>
  <c r="J204" i="11"/>
  <c r="K204" i="11" s="1"/>
  <c r="J205" i="11"/>
  <c r="K205" i="11" s="1"/>
  <c r="J240" i="11"/>
  <c r="K240" i="11" s="1"/>
  <c r="J241" i="11"/>
  <c r="K241" i="11" s="1"/>
  <c r="J242" i="11"/>
  <c r="K242" i="11" s="1"/>
  <c r="J244" i="11"/>
  <c r="K244" i="11" s="1"/>
  <c r="J246" i="11"/>
  <c r="K246" i="11" s="1"/>
  <c r="J591" i="11"/>
  <c r="K591" i="11" s="1"/>
  <c r="J592" i="11"/>
  <c r="K592" i="11" s="1"/>
  <c r="J594" i="11"/>
  <c r="K594" i="11" s="1"/>
  <c r="J595" i="11"/>
  <c r="K595" i="11" s="1"/>
  <c r="J596" i="11"/>
  <c r="K596" i="11" s="1"/>
  <c r="J597" i="11"/>
  <c r="K597" i="11" s="1"/>
  <c r="J598" i="11"/>
  <c r="K598" i="11" s="1"/>
  <c r="J599" i="11"/>
  <c r="K599" i="11" s="1"/>
  <c r="J600" i="11"/>
  <c r="K600" i="11" s="1"/>
  <c r="J601" i="11"/>
  <c r="K601" i="11" s="1"/>
  <c r="J605" i="11"/>
  <c r="K605" i="11" s="1"/>
  <c r="J613" i="11"/>
  <c r="K613" i="11" s="1"/>
  <c r="J614" i="11"/>
  <c r="K614" i="11" s="1"/>
  <c r="J615" i="11"/>
  <c r="K615" i="11" s="1"/>
  <c r="J358" i="10"/>
  <c r="K358" i="10" s="1"/>
  <c r="J165" i="10"/>
  <c r="K165" i="10" s="1"/>
  <c r="J417" i="10"/>
  <c r="K417" i="10" s="1"/>
  <c r="J631" i="10"/>
  <c r="K631" i="10" s="1"/>
  <c r="J225" i="10"/>
  <c r="K225" i="10" s="1"/>
  <c r="J341" i="10"/>
  <c r="K341" i="10" s="1"/>
  <c r="J346" i="10"/>
  <c r="K346" i="10" s="1"/>
  <c r="J520" i="10"/>
  <c r="K520" i="10" s="1"/>
  <c r="J196" i="10"/>
  <c r="K196" i="10" s="1"/>
  <c r="J194" i="10"/>
  <c r="K194" i="10" s="1"/>
  <c r="J152" i="10"/>
  <c r="K152" i="10" s="1"/>
  <c r="J592" i="10"/>
  <c r="K592" i="10" s="1"/>
  <c r="K161" i="10"/>
  <c r="J83" i="10"/>
  <c r="K83" i="10" s="1"/>
  <c r="J63" i="10"/>
  <c r="K63" i="10" s="1"/>
  <c r="J11" i="10"/>
  <c r="K11" i="10" s="1"/>
  <c r="G437" i="11"/>
  <c r="F437" i="11"/>
  <c r="E437" i="11"/>
  <c r="L437" i="11"/>
  <c r="D437" i="11"/>
  <c r="L24" i="11"/>
  <c r="E24" i="11"/>
  <c r="G24" i="11"/>
  <c r="F24" i="11"/>
  <c r="D24" i="11"/>
  <c r="L86" i="11"/>
  <c r="D86" i="11"/>
  <c r="G86" i="11"/>
  <c r="F86" i="11"/>
  <c r="E86" i="11"/>
  <c r="E348" i="11"/>
  <c r="L348" i="11"/>
  <c r="G348" i="11"/>
  <c r="D348" i="11"/>
  <c r="F348" i="11"/>
  <c r="L355" i="11"/>
  <c r="G355" i="11"/>
  <c r="F355" i="11"/>
  <c r="E355" i="11"/>
  <c r="D355" i="11"/>
  <c r="E428" i="11"/>
  <c r="L428" i="11"/>
  <c r="G428" i="11"/>
  <c r="F428" i="11"/>
  <c r="D428" i="11"/>
  <c r="E463" i="11"/>
  <c r="L463" i="11"/>
  <c r="G463" i="11"/>
  <c r="D463" i="11"/>
  <c r="F463" i="11"/>
  <c r="L477" i="11"/>
  <c r="G477" i="11"/>
  <c r="F477" i="11"/>
  <c r="E477" i="11"/>
  <c r="D477" i="11"/>
  <c r="L489" i="11"/>
  <c r="G489" i="11"/>
  <c r="F489" i="11"/>
  <c r="E489" i="11"/>
  <c r="D489" i="11"/>
  <c r="E511" i="11"/>
  <c r="L511" i="11"/>
  <c r="G511" i="11"/>
  <c r="D511" i="11"/>
  <c r="F511" i="11"/>
  <c r="L551" i="11"/>
  <c r="G551" i="11"/>
  <c r="F551" i="11"/>
  <c r="E551" i="11"/>
  <c r="D551" i="11"/>
  <c r="E572" i="11"/>
  <c r="L572" i="11"/>
  <c r="G572" i="11"/>
  <c r="D572" i="11"/>
  <c r="F572" i="11"/>
  <c r="L85" i="11"/>
  <c r="E85" i="11"/>
  <c r="G85" i="11"/>
  <c r="D85" i="11"/>
  <c r="F85" i="11"/>
  <c r="E354" i="11"/>
  <c r="L354" i="11"/>
  <c r="G354" i="11"/>
  <c r="F354" i="11"/>
  <c r="D354" i="11"/>
  <c r="E486" i="11"/>
  <c r="L486" i="11"/>
  <c r="G486" i="11"/>
  <c r="D486" i="11"/>
  <c r="F486" i="11"/>
  <c r="E87" i="11"/>
  <c r="L87" i="11"/>
  <c r="F87" i="11"/>
  <c r="G87" i="11"/>
  <c r="D87" i="11"/>
  <c r="L191" i="11"/>
  <c r="G191" i="11"/>
  <c r="E191" i="11"/>
  <c r="F191" i="11"/>
  <c r="D191" i="11"/>
  <c r="L349" i="11"/>
  <c r="G349" i="11"/>
  <c r="F349" i="11"/>
  <c r="E349" i="11"/>
  <c r="D349" i="11"/>
  <c r="L429" i="11"/>
  <c r="G429" i="11"/>
  <c r="F429" i="11"/>
  <c r="E429" i="11"/>
  <c r="D429" i="11"/>
  <c r="L466" i="11"/>
  <c r="G466" i="11"/>
  <c r="F466" i="11"/>
  <c r="E466" i="11"/>
  <c r="D466" i="11"/>
  <c r="G479" i="11"/>
  <c r="F479" i="11"/>
  <c r="E479" i="11"/>
  <c r="L479" i="11"/>
  <c r="D479" i="11"/>
  <c r="G493" i="11"/>
  <c r="F493" i="11"/>
  <c r="E493" i="11"/>
  <c r="L493" i="11"/>
  <c r="D493" i="11"/>
  <c r="L512" i="11"/>
  <c r="G512" i="11"/>
  <c r="F512" i="11"/>
  <c r="E512" i="11"/>
  <c r="D512" i="11"/>
  <c r="G552" i="11"/>
  <c r="L552" i="11"/>
  <c r="E552" i="11"/>
  <c r="F552" i="11"/>
  <c r="D552" i="11"/>
  <c r="G347" i="11"/>
  <c r="F347" i="11"/>
  <c r="E347" i="11"/>
  <c r="L347" i="11"/>
  <c r="D347" i="11"/>
  <c r="E357" i="11"/>
  <c r="L357" i="11"/>
  <c r="G357" i="11"/>
  <c r="F357" i="11"/>
  <c r="D357" i="11"/>
  <c r="G550" i="11"/>
  <c r="F550" i="11"/>
  <c r="E550" i="11"/>
  <c r="L550" i="11"/>
  <c r="D550" i="11"/>
  <c r="G350" i="11"/>
  <c r="L350" i="11"/>
  <c r="E350" i="11"/>
  <c r="D350" i="11"/>
  <c r="F350" i="11"/>
  <c r="L352" i="11"/>
  <c r="E352" i="11"/>
  <c r="G352" i="11"/>
  <c r="D352" i="11"/>
  <c r="F352" i="11"/>
  <c r="G356" i="11"/>
  <c r="F356" i="11"/>
  <c r="E356" i="11"/>
  <c r="L356" i="11"/>
  <c r="D356" i="11"/>
  <c r="L431" i="11"/>
  <c r="G431" i="11"/>
  <c r="F431" i="11"/>
  <c r="E431" i="11"/>
  <c r="D431" i="11"/>
  <c r="G468" i="11"/>
  <c r="F468" i="11"/>
  <c r="E468" i="11"/>
  <c r="L468" i="11"/>
  <c r="D468" i="11"/>
  <c r="G480" i="11"/>
  <c r="E480" i="11"/>
  <c r="L480" i="11"/>
  <c r="F480" i="11"/>
  <c r="D480" i="11"/>
  <c r="G496" i="11"/>
  <c r="F496" i="11"/>
  <c r="E496" i="11"/>
  <c r="L496" i="11"/>
  <c r="D496" i="11"/>
  <c r="E520" i="11"/>
  <c r="L520" i="11"/>
  <c r="G520" i="11"/>
  <c r="F520" i="11"/>
  <c r="D520" i="11"/>
  <c r="G553" i="11"/>
  <c r="F553" i="11"/>
  <c r="E553" i="11"/>
  <c r="L553" i="11"/>
  <c r="D553" i="11"/>
  <c r="L4" i="11"/>
  <c r="G4" i="11"/>
  <c r="E4" i="11"/>
  <c r="F4" i="11"/>
  <c r="D4" i="11"/>
  <c r="L476" i="11"/>
  <c r="G476" i="11"/>
  <c r="F476" i="11"/>
  <c r="E476" i="11"/>
  <c r="D476" i="11"/>
  <c r="G570" i="11"/>
  <c r="E570" i="11"/>
  <c r="L570" i="11"/>
  <c r="F570" i="11"/>
  <c r="D570" i="11"/>
  <c r="L165" i="11"/>
  <c r="D165" i="11"/>
  <c r="G165" i="11"/>
  <c r="F165" i="11"/>
  <c r="E165" i="11"/>
  <c r="L27" i="11"/>
  <c r="E27" i="11"/>
  <c r="G27" i="11"/>
  <c r="D27" i="11"/>
  <c r="F27" i="11"/>
  <c r="L83" i="11"/>
  <c r="E83" i="11"/>
  <c r="D83" i="11"/>
  <c r="G83" i="11"/>
  <c r="F83" i="11"/>
  <c r="G167" i="11"/>
  <c r="E167" i="11"/>
  <c r="L167" i="11"/>
  <c r="D167" i="11"/>
  <c r="F167" i="11"/>
  <c r="L276" i="11"/>
  <c r="G276" i="11"/>
  <c r="F276" i="11"/>
  <c r="E276" i="11"/>
  <c r="D276" i="11"/>
  <c r="E471" i="11"/>
  <c r="L471" i="11"/>
  <c r="G471" i="11"/>
  <c r="D471" i="11"/>
  <c r="F471" i="11"/>
  <c r="E482" i="11"/>
  <c r="L482" i="11"/>
  <c r="G482" i="11"/>
  <c r="F482" i="11"/>
  <c r="D482" i="11"/>
  <c r="L500" i="11"/>
  <c r="G500" i="11"/>
  <c r="F500" i="11"/>
  <c r="E500" i="11"/>
  <c r="D500" i="11"/>
  <c r="L521" i="11"/>
  <c r="G521" i="11"/>
  <c r="F521" i="11"/>
  <c r="E521" i="11"/>
  <c r="D521" i="11"/>
  <c r="L565" i="11"/>
  <c r="G565" i="11"/>
  <c r="F565" i="11"/>
  <c r="E565" i="11"/>
  <c r="D565" i="11"/>
  <c r="L174" i="11"/>
  <c r="E174" i="11"/>
  <c r="G174" i="11"/>
  <c r="D174" i="11"/>
  <c r="F174" i="11"/>
  <c r="G502" i="11"/>
  <c r="E502" i="11"/>
  <c r="L502" i="11"/>
  <c r="F502" i="11"/>
  <c r="D502" i="11"/>
  <c r="L82" i="11"/>
  <c r="F82" i="11"/>
  <c r="D82" i="11"/>
  <c r="E82" i="11"/>
  <c r="G82" i="11"/>
  <c r="L84" i="11"/>
  <c r="G84" i="11"/>
  <c r="E84" i="11"/>
  <c r="D84" i="11"/>
  <c r="F84" i="11"/>
  <c r="G346" i="11"/>
  <c r="E346" i="11"/>
  <c r="L346" i="11"/>
  <c r="F346" i="11"/>
  <c r="D346" i="11"/>
  <c r="E351" i="11"/>
  <c r="L351" i="11"/>
  <c r="G351" i="11"/>
  <c r="D351" i="11"/>
  <c r="F351" i="11"/>
  <c r="G474" i="11"/>
  <c r="F474" i="11"/>
  <c r="E474" i="11"/>
  <c r="L474" i="11"/>
  <c r="D474" i="11"/>
  <c r="L483" i="11"/>
  <c r="G483" i="11"/>
  <c r="F483" i="11"/>
  <c r="E483" i="11"/>
  <c r="D483" i="11"/>
  <c r="L501" i="11"/>
  <c r="E501" i="11"/>
  <c r="G501" i="11"/>
  <c r="D501" i="11"/>
  <c r="F501" i="11"/>
  <c r="L522" i="11"/>
  <c r="G522" i="11"/>
  <c r="E522" i="11"/>
  <c r="D522" i="11"/>
  <c r="F522" i="11"/>
  <c r="L567" i="11"/>
  <c r="G567" i="11"/>
  <c r="F567" i="11"/>
  <c r="E567" i="11"/>
  <c r="D567" i="11"/>
  <c r="H156" i="10"/>
  <c r="I156" i="10" s="1"/>
  <c r="H56" i="10"/>
  <c r="I56" i="10" s="1"/>
  <c r="J56" i="10" s="1"/>
  <c r="K56" i="10" s="1"/>
  <c r="H65" i="10"/>
  <c r="I65" i="10" s="1"/>
  <c r="J65" i="10" s="1"/>
  <c r="K65" i="10" s="1"/>
  <c r="H162" i="10"/>
  <c r="I162" i="10" s="1"/>
  <c r="J162" i="10" s="1"/>
  <c r="K162" i="10" s="1"/>
  <c r="H490" i="10"/>
  <c r="I490" i="10" s="1"/>
  <c r="H41" i="10"/>
  <c r="I41" i="10" s="1"/>
  <c r="J41" i="10" s="1"/>
  <c r="K41" i="10" s="1"/>
  <c r="H431" i="10"/>
  <c r="I431" i="10" s="1"/>
  <c r="J431" i="10" s="1"/>
  <c r="K431" i="10" s="1"/>
  <c r="H40" i="10"/>
  <c r="I40" i="10" s="1"/>
  <c r="J40" i="10" s="1"/>
  <c r="K40" i="10" s="1"/>
  <c r="H59" i="10"/>
  <c r="I59" i="10" s="1"/>
  <c r="J59" i="10" s="1"/>
  <c r="K59" i="10" s="1"/>
  <c r="H157" i="10"/>
  <c r="I157" i="10" s="1"/>
  <c r="H58" i="10"/>
  <c r="I58" i="10" s="1"/>
  <c r="H154" i="10"/>
  <c r="I154" i="10" s="1"/>
  <c r="J154" i="10" s="1"/>
  <c r="K154" i="10" s="1"/>
  <c r="H49" i="10"/>
  <c r="I49" i="10" s="1"/>
  <c r="J49" i="10" s="1"/>
  <c r="K49" i="10" s="1"/>
  <c r="H153" i="10"/>
  <c r="I153" i="10" s="1"/>
  <c r="J153" i="10" s="1"/>
  <c r="K153" i="10" s="1"/>
  <c r="H440" i="10"/>
  <c r="I440" i="10" s="1"/>
  <c r="J440" i="10" s="1"/>
  <c r="K440" i="10" s="1"/>
  <c r="H66" i="10"/>
  <c r="I66" i="10" s="1"/>
  <c r="J66" i="10" s="1"/>
  <c r="K66" i="10" s="1"/>
  <c r="H436" i="10"/>
  <c r="I436" i="10" s="1"/>
  <c r="H53" i="10"/>
  <c r="I53" i="10" s="1"/>
  <c r="J53" i="10" s="1"/>
  <c r="K53" i="10" s="1"/>
  <c r="H43" i="10"/>
  <c r="I43" i="10" s="1"/>
  <c r="J43" i="10" s="1"/>
  <c r="K43" i="10" s="1"/>
  <c r="H61" i="10"/>
  <c r="I61" i="10" s="1"/>
  <c r="J61" i="10" s="1"/>
  <c r="K61" i="10" s="1"/>
  <c r="H64" i="10"/>
  <c r="I64" i="10" s="1"/>
  <c r="J64" i="10" s="1"/>
  <c r="K64" i="10" s="1"/>
  <c r="X635" i="8"/>
  <c r="AB514" i="9"/>
  <c r="AC514" i="9" s="1"/>
  <c r="AB638" i="9"/>
  <c r="AC638" i="9" s="1"/>
  <c r="AB637" i="9"/>
  <c r="AC637" i="9" s="1"/>
  <c r="AB623" i="9"/>
  <c r="AC623" i="9" s="1"/>
  <c r="AB620" i="9"/>
  <c r="AC620" i="9" s="1"/>
  <c r="AB607" i="9"/>
  <c r="AC607" i="9" s="1"/>
  <c r="AB605" i="9"/>
  <c r="AC605" i="9" s="1"/>
  <c r="AB601" i="9"/>
  <c r="AC601" i="9" s="1"/>
  <c r="AB600" i="9"/>
  <c r="AC600" i="9" s="1"/>
  <c r="AB599" i="9"/>
  <c r="AC599" i="9" s="1"/>
  <c r="AB518" i="9"/>
  <c r="AC518" i="9" s="1"/>
  <c r="AB515" i="9"/>
  <c r="AC515" i="9" s="1"/>
  <c r="AB516" i="9"/>
  <c r="AC516" i="9" s="1"/>
  <c r="AB512" i="9"/>
  <c r="AC512" i="9" s="1"/>
  <c r="AB507" i="9"/>
  <c r="AC507" i="9" s="1"/>
  <c r="AB500" i="9"/>
  <c r="AC500" i="9" s="1"/>
  <c r="AB499" i="9"/>
  <c r="AC499" i="9" s="1"/>
  <c r="AB494" i="9"/>
  <c r="AC494" i="9" s="1"/>
  <c r="AB489" i="9"/>
  <c r="AC489" i="9" s="1"/>
  <c r="AB485" i="9"/>
  <c r="AC485" i="9" s="1"/>
  <c r="AB420" i="9"/>
  <c r="AC420" i="9" s="1"/>
  <c r="AB421" i="9"/>
  <c r="AC421" i="9" s="1"/>
  <c r="AB407" i="9"/>
  <c r="AC407" i="9" s="1"/>
  <c r="AB406" i="9"/>
  <c r="AC406" i="9" s="1"/>
  <c r="AB331" i="9"/>
  <c r="AC331" i="9" s="1"/>
  <c r="AB230" i="9"/>
  <c r="AC230" i="9" s="1"/>
  <c r="AB224" i="9"/>
  <c r="AC224" i="9" s="1"/>
  <c r="AB221" i="9"/>
  <c r="AC221" i="9" s="1"/>
  <c r="AB220" i="9"/>
  <c r="AC220" i="9" s="1"/>
  <c r="AB219" i="9"/>
  <c r="AC219" i="9" s="1"/>
  <c r="AB215" i="9"/>
  <c r="AC215" i="9" s="1"/>
  <c r="AB209" i="9"/>
  <c r="AC209" i="9" s="1"/>
  <c r="AB208" i="9"/>
  <c r="AC208" i="9" s="1"/>
  <c r="AB168" i="9"/>
  <c r="AC168" i="9" s="1"/>
  <c r="AA23" i="9"/>
  <c r="AB23" i="9" s="1"/>
  <c r="AC23" i="9" s="1"/>
  <c r="AB24" i="9"/>
  <c r="AC24" i="9" s="1"/>
  <c r="AB4" i="9"/>
  <c r="AC4" i="9" s="1"/>
  <c r="L4" i="10" l="1"/>
  <c r="G4" i="10"/>
  <c r="F4" i="10"/>
  <c r="E4" i="10"/>
  <c r="D4" i="10"/>
  <c r="L24" i="10"/>
  <c r="G24" i="10"/>
  <c r="F24" i="10"/>
  <c r="E24" i="10"/>
  <c r="D24" i="10"/>
  <c r="L23" i="10"/>
  <c r="G23" i="10"/>
  <c r="F23" i="10"/>
  <c r="E23" i="10"/>
  <c r="D23" i="10"/>
  <c r="L168" i="10"/>
  <c r="G168" i="10"/>
  <c r="F168" i="10"/>
  <c r="E168" i="10"/>
  <c r="D168" i="10"/>
  <c r="L208" i="10"/>
  <c r="G208" i="10"/>
  <c r="F208" i="10"/>
  <c r="E208" i="10"/>
  <c r="D208" i="10"/>
  <c r="L209" i="10"/>
  <c r="G209" i="10"/>
  <c r="F209" i="10"/>
  <c r="E209" i="10"/>
  <c r="D209" i="10"/>
  <c r="L215" i="10"/>
  <c r="G215" i="10"/>
  <c r="F215" i="10"/>
  <c r="E215" i="10"/>
  <c r="D215" i="10"/>
  <c r="L220" i="10"/>
  <c r="G220" i="10"/>
  <c r="F220" i="10"/>
  <c r="E220" i="10"/>
  <c r="D220" i="10"/>
  <c r="L221" i="10"/>
  <c r="G221" i="10"/>
  <c r="F221" i="10"/>
  <c r="E221" i="10"/>
  <c r="D221" i="10"/>
  <c r="L230" i="10"/>
  <c r="G230" i="10"/>
  <c r="F230" i="10"/>
  <c r="E230" i="10"/>
  <c r="D230" i="10"/>
  <c r="L331" i="10"/>
  <c r="G331" i="10"/>
  <c r="F331" i="10"/>
  <c r="E331" i="10"/>
  <c r="D331" i="10"/>
  <c r="L406" i="10"/>
  <c r="G406" i="10"/>
  <c r="F406" i="10"/>
  <c r="E406" i="10"/>
  <c r="D406" i="10"/>
  <c r="L407" i="10"/>
  <c r="G407" i="10"/>
  <c r="F407" i="10"/>
  <c r="E407" i="10"/>
  <c r="D407" i="10"/>
  <c r="L421" i="10"/>
  <c r="G421" i="10"/>
  <c r="F421" i="10"/>
  <c r="E421" i="10"/>
  <c r="D421" i="10"/>
  <c r="L420" i="10"/>
  <c r="G420" i="10"/>
  <c r="F420" i="10"/>
  <c r="E420" i="10"/>
  <c r="D420" i="10"/>
  <c r="L494" i="10"/>
  <c r="G494" i="10"/>
  <c r="F494" i="10"/>
  <c r="E494" i="10"/>
  <c r="D494" i="10"/>
  <c r="L499" i="10"/>
  <c r="G499" i="10"/>
  <c r="F499" i="10"/>
  <c r="E499" i="10"/>
  <c r="D499" i="10"/>
  <c r="L500" i="10"/>
  <c r="G500" i="10"/>
  <c r="F500" i="10"/>
  <c r="E500" i="10"/>
  <c r="D500" i="10"/>
  <c r="L515" i="10"/>
  <c r="G515" i="10"/>
  <c r="F515" i="10"/>
  <c r="E515" i="10"/>
  <c r="D515" i="10"/>
  <c r="L518" i="10"/>
  <c r="G518" i="10"/>
  <c r="F518" i="10"/>
  <c r="E518" i="10"/>
  <c r="D518" i="10"/>
  <c r="L599" i="10"/>
  <c r="G599" i="10"/>
  <c r="F599" i="10"/>
  <c r="E599" i="10"/>
  <c r="D599" i="10"/>
  <c r="L600" i="10"/>
  <c r="G600" i="10"/>
  <c r="F600" i="10"/>
  <c r="E600" i="10"/>
  <c r="D600" i="10"/>
  <c r="L601" i="10"/>
  <c r="G601" i="10"/>
  <c r="F601" i="10"/>
  <c r="E601" i="10"/>
  <c r="D601" i="10"/>
  <c r="L620" i="10"/>
  <c r="G620" i="10"/>
  <c r="F620" i="10"/>
  <c r="E620" i="10"/>
  <c r="D620" i="10"/>
  <c r="L637" i="10"/>
  <c r="G637" i="10"/>
  <c r="F637" i="10"/>
  <c r="E637" i="10"/>
  <c r="D637" i="10"/>
  <c r="L638" i="10"/>
  <c r="G638" i="10"/>
  <c r="F638" i="10"/>
  <c r="E638" i="10"/>
  <c r="D638" i="10"/>
  <c r="L514" i="10"/>
  <c r="G514" i="10"/>
  <c r="F514" i="10"/>
  <c r="E514" i="10"/>
  <c r="D514" i="10"/>
  <c r="J156" i="10"/>
  <c r="K156" i="10" s="1"/>
  <c r="J157" i="10"/>
  <c r="K157" i="10" s="1"/>
  <c r="J436" i="10"/>
  <c r="K436" i="10" s="1"/>
  <c r="J490" i="10"/>
  <c r="K490" i="10" s="1"/>
  <c r="J58" i="10"/>
  <c r="K58" i="10" s="1"/>
  <c r="AC678" i="9"/>
  <c r="H572" i="11"/>
  <c r="I572" i="11" s="1"/>
  <c r="J572" i="11" s="1"/>
  <c r="K572" i="11" s="1"/>
  <c r="H570" i="11"/>
  <c r="I570" i="11" s="1"/>
  <c r="J570" i="11" s="1"/>
  <c r="K570" i="11" s="1"/>
  <c r="H567" i="11"/>
  <c r="I567" i="11" s="1"/>
  <c r="J567" i="11" s="1"/>
  <c r="K567" i="11" s="1"/>
  <c r="H565" i="11"/>
  <c r="I565" i="11" s="1"/>
  <c r="H553" i="11"/>
  <c r="I553" i="11" s="1"/>
  <c r="J553" i="11" s="1"/>
  <c r="K553" i="11" s="1"/>
  <c r="H552" i="11"/>
  <c r="I552" i="11" s="1"/>
  <c r="J552" i="11" s="1"/>
  <c r="K552" i="11" s="1"/>
  <c r="H551" i="11"/>
  <c r="I551" i="11" s="1"/>
  <c r="J551" i="11" s="1"/>
  <c r="K551" i="11" s="1"/>
  <c r="H550" i="11"/>
  <c r="I550" i="11" s="1"/>
  <c r="J550" i="11" s="1"/>
  <c r="K550" i="11" s="1"/>
  <c r="H522" i="11"/>
  <c r="I522" i="11" s="1"/>
  <c r="J522" i="11" s="1"/>
  <c r="K522" i="11" s="1"/>
  <c r="H521" i="11"/>
  <c r="I521" i="11" s="1"/>
  <c r="J521" i="11" s="1"/>
  <c r="K521" i="11" s="1"/>
  <c r="H520" i="11"/>
  <c r="I520" i="11" s="1"/>
  <c r="J520" i="11" s="1"/>
  <c r="K520" i="11" s="1"/>
  <c r="H512" i="11"/>
  <c r="I512" i="11" s="1"/>
  <c r="J512" i="11" s="1"/>
  <c r="K512" i="11" s="1"/>
  <c r="H511" i="11"/>
  <c r="I511" i="11" s="1"/>
  <c r="J511" i="11" s="1"/>
  <c r="K511" i="11" s="1"/>
  <c r="H502" i="11"/>
  <c r="I502" i="11" s="1"/>
  <c r="J502" i="11" s="1"/>
  <c r="K502" i="11" s="1"/>
  <c r="H501" i="11"/>
  <c r="I501" i="11" s="1"/>
  <c r="J501" i="11" s="1"/>
  <c r="K501" i="11" s="1"/>
  <c r="H500" i="11"/>
  <c r="I500" i="11" s="1"/>
  <c r="H496" i="11"/>
  <c r="I496" i="11" s="1"/>
  <c r="J496" i="11" s="1"/>
  <c r="K496" i="11" s="1"/>
  <c r="H493" i="11"/>
  <c r="I493" i="11" s="1"/>
  <c r="H489" i="11"/>
  <c r="I489" i="11" s="1"/>
  <c r="J489" i="11" s="1"/>
  <c r="K489" i="11" s="1"/>
  <c r="H486" i="11"/>
  <c r="I486" i="11" s="1"/>
  <c r="J486" i="11" s="1"/>
  <c r="K486" i="11" s="1"/>
  <c r="H483" i="11"/>
  <c r="I483" i="11" s="1"/>
  <c r="J483" i="11" s="1"/>
  <c r="K483" i="11" s="1"/>
  <c r="H482" i="11"/>
  <c r="I482" i="11" s="1"/>
  <c r="J482" i="11" s="1"/>
  <c r="K482" i="11" s="1"/>
  <c r="H480" i="11"/>
  <c r="I480" i="11" s="1"/>
  <c r="J480" i="11" s="1"/>
  <c r="K480" i="11" s="1"/>
  <c r="H479" i="11"/>
  <c r="I479" i="11" s="1"/>
  <c r="H477" i="11"/>
  <c r="I477" i="11" s="1"/>
  <c r="J477" i="11" s="1"/>
  <c r="K477" i="11" s="1"/>
  <c r="H476" i="11"/>
  <c r="I476" i="11" s="1"/>
  <c r="J476" i="11" s="1"/>
  <c r="K476" i="11" s="1"/>
  <c r="H474" i="11"/>
  <c r="I474" i="11" s="1"/>
  <c r="J474" i="11" s="1"/>
  <c r="K474" i="11" s="1"/>
  <c r="H471" i="11"/>
  <c r="I471" i="11" s="1"/>
  <c r="J471" i="11" s="1"/>
  <c r="K471" i="11" s="1"/>
  <c r="H468" i="11"/>
  <c r="I468" i="11" s="1"/>
  <c r="J468" i="11" s="1"/>
  <c r="K468" i="11" s="1"/>
  <c r="H466" i="11"/>
  <c r="I466" i="11" s="1"/>
  <c r="J466" i="11" s="1"/>
  <c r="K466" i="11" s="1"/>
  <c r="H463" i="11"/>
  <c r="I463" i="11" s="1"/>
  <c r="J463" i="11" s="1"/>
  <c r="K463" i="11" s="1"/>
  <c r="H437" i="11"/>
  <c r="I437" i="11" s="1"/>
  <c r="J437" i="11" s="1"/>
  <c r="K437" i="11" s="1"/>
  <c r="H431" i="11"/>
  <c r="I431" i="11" s="1"/>
  <c r="J431" i="11" s="1"/>
  <c r="K431" i="11" s="1"/>
  <c r="H429" i="11"/>
  <c r="I429" i="11" s="1"/>
  <c r="J429" i="11" s="1"/>
  <c r="K429" i="11" s="1"/>
  <c r="H428" i="11"/>
  <c r="I428" i="11" s="1"/>
  <c r="J428" i="11" s="1"/>
  <c r="K428" i="11" s="1"/>
  <c r="H357" i="11"/>
  <c r="I357" i="11" s="1"/>
  <c r="J357" i="11" s="1"/>
  <c r="K357" i="11" s="1"/>
  <c r="H356" i="11"/>
  <c r="I356" i="11" s="1"/>
  <c r="J356" i="11" s="1"/>
  <c r="K356" i="11" s="1"/>
  <c r="H355" i="11"/>
  <c r="I355" i="11" s="1"/>
  <c r="J355" i="11" s="1"/>
  <c r="K355" i="11" s="1"/>
  <c r="H354" i="11"/>
  <c r="I354" i="11" s="1"/>
  <c r="J354" i="11" s="1"/>
  <c r="K354" i="11" s="1"/>
  <c r="H352" i="11"/>
  <c r="I352" i="11" s="1"/>
  <c r="J352" i="11" s="1"/>
  <c r="K352" i="11" s="1"/>
  <c r="H351" i="11"/>
  <c r="I351" i="11" s="1"/>
  <c r="J351" i="11" s="1"/>
  <c r="K351" i="11" s="1"/>
  <c r="H350" i="11"/>
  <c r="I350" i="11" s="1"/>
  <c r="J350" i="11" s="1"/>
  <c r="K350" i="11" s="1"/>
  <c r="H349" i="11"/>
  <c r="I349" i="11" s="1"/>
  <c r="J349" i="11" s="1"/>
  <c r="K349" i="11" s="1"/>
  <c r="H348" i="11"/>
  <c r="I348" i="11" s="1"/>
  <c r="J348" i="11" s="1"/>
  <c r="K348" i="11" s="1"/>
  <c r="H347" i="11"/>
  <c r="I347" i="11" s="1"/>
  <c r="J347" i="11" s="1"/>
  <c r="K347" i="11" s="1"/>
  <c r="H346" i="11"/>
  <c r="I346" i="11" s="1"/>
  <c r="J346" i="11" s="1"/>
  <c r="K346" i="11" s="1"/>
  <c r="H276" i="11"/>
  <c r="I276" i="11" s="1"/>
  <c r="H191" i="11"/>
  <c r="I191" i="11" s="1"/>
  <c r="J191" i="11" s="1"/>
  <c r="K191" i="11" s="1"/>
  <c r="H174" i="11"/>
  <c r="I174" i="11" s="1"/>
  <c r="J174" i="11" s="1"/>
  <c r="K174" i="11" s="1"/>
  <c r="H167" i="11"/>
  <c r="I167" i="11" s="1"/>
  <c r="H165" i="11"/>
  <c r="I165" i="11" s="1"/>
  <c r="J165" i="11" s="1"/>
  <c r="K165" i="11" s="1"/>
  <c r="H87" i="11"/>
  <c r="I87" i="11" s="1"/>
  <c r="J87" i="11" s="1"/>
  <c r="K87" i="11" s="1"/>
  <c r="H86" i="11"/>
  <c r="I86" i="11" s="1"/>
  <c r="J86" i="11" s="1"/>
  <c r="K86" i="11" s="1"/>
  <c r="H85" i="11"/>
  <c r="I85" i="11" s="1"/>
  <c r="J85" i="11" s="1"/>
  <c r="K85" i="11" s="1"/>
  <c r="H84" i="11"/>
  <c r="I84" i="11" s="1"/>
  <c r="J84" i="11" s="1"/>
  <c r="K84" i="11" s="1"/>
  <c r="H83" i="11"/>
  <c r="I83" i="11" s="1"/>
  <c r="J83" i="11" s="1"/>
  <c r="K83" i="11" s="1"/>
  <c r="H82" i="11"/>
  <c r="I82" i="11" s="1"/>
  <c r="H27" i="11"/>
  <c r="I27" i="11" s="1"/>
  <c r="J27" i="11" s="1"/>
  <c r="K27" i="11" s="1"/>
  <c r="H24" i="11"/>
  <c r="I24" i="11" s="1"/>
  <c r="H4" i="11"/>
  <c r="I4" i="11" s="1"/>
  <c r="J4" i="11" s="1"/>
  <c r="K4" i="11" s="1"/>
  <c r="M620" i="8"/>
  <c r="N620" i="8" s="1"/>
  <c r="M618" i="8"/>
  <c r="N618" i="8" s="1"/>
  <c r="M619" i="8"/>
  <c r="N619" i="8" s="1"/>
  <c r="J24" i="11" l="1"/>
  <c r="K24" i="11" s="1"/>
  <c r="J82" i="11"/>
  <c r="K82" i="11" s="1"/>
  <c r="J167" i="11"/>
  <c r="K167" i="11" s="1"/>
  <c r="J276" i="11"/>
  <c r="K276" i="11" s="1"/>
  <c r="J479" i="11"/>
  <c r="K479" i="11" s="1"/>
  <c r="J493" i="11"/>
  <c r="K493" i="11" s="1"/>
  <c r="J500" i="11"/>
  <c r="K500" i="11" s="1"/>
  <c r="J565" i="11"/>
  <c r="K565" i="11" s="1"/>
  <c r="H23" i="10"/>
  <c r="I23" i="10" s="1"/>
  <c r="J23" i="10" s="1"/>
  <c r="K23" i="10" s="1"/>
  <c r="H494" i="10"/>
  <c r="I494" i="10" s="1"/>
  <c r="G620" i="11"/>
  <c r="F620" i="11"/>
  <c r="E620" i="11"/>
  <c r="L620" i="11"/>
  <c r="D620" i="11"/>
  <c r="H601" i="10"/>
  <c r="I601" i="10" s="1"/>
  <c r="J601" i="10" s="1"/>
  <c r="K601" i="10" s="1"/>
  <c r="L618" i="11"/>
  <c r="G618" i="11"/>
  <c r="F618" i="11"/>
  <c r="E618" i="11"/>
  <c r="D618" i="11"/>
  <c r="G619" i="11"/>
  <c r="L619" i="11"/>
  <c r="E619" i="11"/>
  <c r="F619" i="11"/>
  <c r="D619" i="11"/>
  <c r="H208" i="10"/>
  <c r="I208" i="10" s="1"/>
  <c r="H406" i="10"/>
  <c r="I406" i="10" s="1"/>
  <c r="J406" i="10" s="1"/>
  <c r="K406" i="10" s="1"/>
  <c r="H620" i="10"/>
  <c r="I620" i="10" s="1"/>
  <c r="J620" i="10" s="1"/>
  <c r="K620" i="10" s="1"/>
  <c r="H209" i="10"/>
  <c r="I209" i="10" s="1"/>
  <c r="J209" i="10" s="1"/>
  <c r="K209" i="10" s="1"/>
  <c r="H220" i="10"/>
  <c r="I220" i="10" s="1"/>
  <c r="H407" i="10"/>
  <c r="I407" i="10" s="1"/>
  <c r="J407" i="10" s="1"/>
  <c r="K407" i="10" s="1"/>
  <c r="H600" i="10"/>
  <c r="I600" i="10" s="1"/>
  <c r="J600" i="10" s="1"/>
  <c r="K600" i="10" s="1"/>
  <c r="H221" i="10"/>
  <c r="I221" i="10" s="1"/>
  <c r="J221" i="10" s="1"/>
  <c r="K221" i="10" s="1"/>
  <c r="H168" i="10"/>
  <c r="I168" i="10" s="1"/>
  <c r="J168" i="10" s="1"/>
  <c r="K168" i="10" s="1"/>
  <c r="H637" i="10"/>
  <c r="I637" i="10" s="1"/>
  <c r="J637" i="10" s="1"/>
  <c r="K637" i="10" s="1"/>
  <c r="H420" i="10"/>
  <c r="I420" i="10" s="1"/>
  <c r="J420" i="10" s="1"/>
  <c r="K420" i="10" s="1"/>
  <c r="H599" i="10"/>
  <c r="I599" i="10" s="1"/>
  <c r="J599" i="10" s="1"/>
  <c r="K599" i="10" s="1"/>
  <c r="H499" i="10"/>
  <c r="I499" i="10" s="1"/>
  <c r="J499" i="10" s="1"/>
  <c r="K499" i="10" s="1"/>
  <c r="H4" i="10"/>
  <c r="I4" i="10" s="1"/>
  <c r="J4" i="10" s="1"/>
  <c r="K4" i="10" s="1"/>
  <c r="H421" i="10"/>
  <c r="I421" i="10" s="1"/>
  <c r="J421" i="10" s="1"/>
  <c r="K421" i="10" s="1"/>
  <c r="H500" i="10"/>
  <c r="I500" i="10" s="1"/>
  <c r="J500" i="10" s="1"/>
  <c r="K500" i="10" s="1"/>
  <c r="H515" i="10"/>
  <c r="I515" i="10" s="1"/>
  <c r="J515" i="10" s="1"/>
  <c r="K515" i="10" s="1"/>
  <c r="H230" i="10"/>
  <c r="I230" i="10" s="1"/>
  <c r="H24" i="10"/>
  <c r="I24" i="10" s="1"/>
  <c r="J24" i="10" s="1"/>
  <c r="K24" i="10" s="1"/>
  <c r="H638" i="10"/>
  <c r="I638" i="10" s="1"/>
  <c r="J638" i="10" s="1"/>
  <c r="K638" i="10" s="1"/>
  <c r="H514" i="10"/>
  <c r="I514" i="10" s="1"/>
  <c r="J514" i="10" s="1"/>
  <c r="K514" i="10" s="1"/>
  <c r="H331" i="10"/>
  <c r="I331" i="10" s="1"/>
  <c r="H518" i="10"/>
  <c r="I518" i="10" s="1"/>
  <c r="H215" i="10"/>
  <c r="I215" i="10" s="1"/>
  <c r="N635" i="8"/>
  <c r="S610" i="9"/>
  <c r="S382" i="9"/>
  <c r="S381" i="9"/>
  <c r="S380" i="9"/>
  <c r="S379" i="9"/>
  <c r="M628" i="9"/>
  <c r="N628" i="9" s="1"/>
  <c r="M623" i="9"/>
  <c r="N623" i="9" s="1"/>
  <c r="M615" i="9"/>
  <c r="N615" i="9" s="1"/>
  <c r="M607" i="9"/>
  <c r="N607" i="9" s="1"/>
  <c r="M606" i="9"/>
  <c r="N606" i="9" s="1"/>
  <c r="M605" i="9"/>
  <c r="N605" i="9" s="1"/>
  <c r="N591" i="9"/>
  <c r="N585" i="9"/>
  <c r="N584" i="9"/>
  <c r="N572" i="9"/>
  <c r="M569" i="9"/>
  <c r="N569" i="9" s="1"/>
  <c r="M563" i="9"/>
  <c r="N563" i="9" s="1"/>
  <c r="M562" i="9"/>
  <c r="N562" i="9" s="1"/>
  <c r="M561" i="9"/>
  <c r="N561" i="9" s="1"/>
  <c r="M517" i="9"/>
  <c r="N517" i="9" s="1"/>
  <c r="M516" i="9"/>
  <c r="N516" i="9" s="1"/>
  <c r="M512" i="9"/>
  <c r="N512" i="9" s="1"/>
  <c r="M507" i="9"/>
  <c r="N507" i="9" s="1"/>
  <c r="M497" i="9"/>
  <c r="N497" i="9" s="1"/>
  <c r="M495" i="9"/>
  <c r="N495" i="9" s="1"/>
  <c r="N489" i="9"/>
  <c r="M485" i="9"/>
  <c r="N485" i="9" s="1"/>
  <c r="M473" i="9"/>
  <c r="N473" i="9" s="1"/>
  <c r="M442" i="9"/>
  <c r="N442" i="9" s="1"/>
  <c r="M439" i="9"/>
  <c r="N439" i="9" s="1"/>
  <c r="M434" i="9"/>
  <c r="N434" i="9" s="1"/>
  <c r="M405" i="9"/>
  <c r="N405" i="9" s="1"/>
  <c r="M362" i="9"/>
  <c r="N362" i="9" s="1"/>
  <c r="N355" i="9"/>
  <c r="M224" i="9"/>
  <c r="N224" i="9" s="1"/>
  <c r="M219" i="9"/>
  <c r="N219" i="9" s="1"/>
  <c r="M145" i="9"/>
  <c r="N145" i="9" s="1"/>
  <c r="N89" i="9"/>
  <c r="N88" i="9"/>
  <c r="M80" i="9"/>
  <c r="N80" i="9" s="1"/>
  <c r="M67" i="9"/>
  <c r="N67" i="9" s="1"/>
  <c r="L67" i="10" l="1"/>
  <c r="G67" i="10"/>
  <c r="F67" i="10"/>
  <c r="E67" i="10"/>
  <c r="D67" i="10"/>
  <c r="L80" i="10"/>
  <c r="G80" i="10"/>
  <c r="F80" i="10"/>
  <c r="E80" i="10"/>
  <c r="D80" i="10"/>
  <c r="L88" i="10"/>
  <c r="G88" i="10"/>
  <c r="F88" i="10"/>
  <c r="E88" i="10"/>
  <c r="D88" i="10"/>
  <c r="L89" i="10"/>
  <c r="G89" i="10"/>
  <c r="F89" i="10"/>
  <c r="E89" i="10"/>
  <c r="D89" i="10"/>
  <c r="L145" i="10"/>
  <c r="G145" i="10"/>
  <c r="F145" i="10"/>
  <c r="E145" i="10"/>
  <c r="D145" i="10"/>
  <c r="L219" i="10"/>
  <c r="G219" i="10"/>
  <c r="F219" i="10"/>
  <c r="E219" i="10"/>
  <c r="D219" i="10"/>
  <c r="L224" i="10"/>
  <c r="G224" i="10"/>
  <c r="F224" i="10"/>
  <c r="E224" i="10"/>
  <c r="D224" i="10"/>
  <c r="L355" i="10"/>
  <c r="G355" i="10"/>
  <c r="F355" i="10"/>
  <c r="E355" i="10"/>
  <c r="D355" i="10"/>
  <c r="L362" i="10"/>
  <c r="G362" i="10"/>
  <c r="F362" i="10"/>
  <c r="E362" i="10"/>
  <c r="D362" i="10"/>
  <c r="L405" i="10"/>
  <c r="G405" i="10"/>
  <c r="F405" i="10"/>
  <c r="E405" i="10"/>
  <c r="D405" i="10"/>
  <c r="L434" i="10"/>
  <c r="G434" i="10"/>
  <c r="F434" i="10"/>
  <c r="E434" i="10"/>
  <c r="D434" i="10"/>
  <c r="L439" i="10"/>
  <c r="G439" i="10"/>
  <c r="F439" i="10"/>
  <c r="E439" i="10"/>
  <c r="D439" i="10"/>
  <c r="L442" i="10"/>
  <c r="G442" i="10"/>
  <c r="F442" i="10"/>
  <c r="E442" i="10"/>
  <c r="D442" i="10"/>
  <c r="L473" i="10"/>
  <c r="G473" i="10"/>
  <c r="F473" i="10"/>
  <c r="E473" i="10"/>
  <c r="D473" i="10"/>
  <c r="L485" i="10"/>
  <c r="G485" i="10"/>
  <c r="F485" i="10"/>
  <c r="E485" i="10"/>
  <c r="D485" i="10"/>
  <c r="L489" i="10"/>
  <c r="G489" i="10"/>
  <c r="F489" i="10"/>
  <c r="E489" i="10"/>
  <c r="D489" i="10"/>
  <c r="L495" i="10"/>
  <c r="G495" i="10"/>
  <c r="F495" i="10"/>
  <c r="E495" i="10"/>
  <c r="D495" i="10"/>
  <c r="L497" i="10"/>
  <c r="G497" i="10"/>
  <c r="F497" i="10"/>
  <c r="E497" i="10"/>
  <c r="D497" i="10"/>
  <c r="L507" i="10"/>
  <c r="G507" i="10"/>
  <c r="F507" i="10"/>
  <c r="E507" i="10"/>
  <c r="D507" i="10"/>
  <c r="L512" i="10"/>
  <c r="G512" i="10"/>
  <c r="F512" i="10"/>
  <c r="E512" i="10"/>
  <c r="D512" i="10"/>
  <c r="L516" i="10"/>
  <c r="G516" i="10"/>
  <c r="F516" i="10"/>
  <c r="E516" i="10"/>
  <c r="D516" i="10"/>
  <c r="L517" i="10"/>
  <c r="G517" i="10"/>
  <c r="F517" i="10"/>
  <c r="E517" i="10"/>
  <c r="D517" i="10"/>
  <c r="L561" i="10"/>
  <c r="G561" i="10"/>
  <c r="F561" i="10"/>
  <c r="E561" i="10"/>
  <c r="D561" i="10"/>
  <c r="L562" i="10"/>
  <c r="G562" i="10"/>
  <c r="F562" i="10"/>
  <c r="E562" i="10"/>
  <c r="D562" i="10"/>
  <c r="L563" i="10"/>
  <c r="G563" i="10"/>
  <c r="F563" i="10"/>
  <c r="E563" i="10"/>
  <c r="D563" i="10"/>
  <c r="L569" i="10"/>
  <c r="G569" i="10"/>
  <c r="F569" i="10"/>
  <c r="E569" i="10"/>
  <c r="D569" i="10"/>
  <c r="L570" i="10"/>
  <c r="G570" i="10"/>
  <c r="F570" i="10"/>
  <c r="E570" i="10"/>
  <c r="D570" i="10"/>
  <c r="L572" i="10"/>
  <c r="G572" i="10"/>
  <c r="F572" i="10"/>
  <c r="E572" i="10"/>
  <c r="D572" i="10"/>
  <c r="L584" i="10"/>
  <c r="G584" i="10"/>
  <c r="F584" i="10"/>
  <c r="E584" i="10"/>
  <c r="D584" i="10"/>
  <c r="L585" i="10"/>
  <c r="G585" i="10"/>
  <c r="F585" i="10"/>
  <c r="E585" i="10"/>
  <c r="D585" i="10"/>
  <c r="L591" i="10"/>
  <c r="G591" i="10"/>
  <c r="F591" i="10"/>
  <c r="E591" i="10"/>
  <c r="D591" i="10"/>
  <c r="L605" i="10"/>
  <c r="G605" i="10"/>
  <c r="F605" i="10"/>
  <c r="E605" i="10"/>
  <c r="D605" i="10"/>
  <c r="L606" i="10"/>
  <c r="G606" i="10"/>
  <c r="F606" i="10"/>
  <c r="E606" i="10"/>
  <c r="D606" i="10"/>
  <c r="L607" i="10"/>
  <c r="G607" i="10"/>
  <c r="F607" i="10"/>
  <c r="E607" i="10"/>
  <c r="D607" i="10"/>
  <c r="L615" i="10"/>
  <c r="G615" i="10"/>
  <c r="F615" i="10"/>
  <c r="E615" i="10"/>
  <c r="D615" i="10"/>
  <c r="L623" i="10"/>
  <c r="G623" i="10"/>
  <c r="F623" i="10"/>
  <c r="E623" i="10"/>
  <c r="D623" i="10"/>
  <c r="L628" i="10"/>
  <c r="G628" i="10"/>
  <c r="F628" i="10"/>
  <c r="E628" i="10"/>
  <c r="D628" i="10"/>
  <c r="L379" i="10"/>
  <c r="G379" i="10"/>
  <c r="F379" i="10"/>
  <c r="E379" i="10"/>
  <c r="D379" i="10"/>
  <c r="L380" i="10"/>
  <c r="G380" i="10"/>
  <c r="F380" i="10"/>
  <c r="E380" i="10"/>
  <c r="D380" i="10"/>
  <c r="L381" i="10"/>
  <c r="G381" i="10"/>
  <c r="F381" i="10"/>
  <c r="E381" i="10"/>
  <c r="D381" i="10"/>
  <c r="L382" i="10"/>
  <c r="G382" i="10"/>
  <c r="F382" i="10"/>
  <c r="E382" i="10"/>
  <c r="D382" i="10"/>
  <c r="L610" i="10"/>
  <c r="G610" i="10"/>
  <c r="F610" i="10"/>
  <c r="E610" i="10"/>
  <c r="D610" i="10"/>
  <c r="J494" i="10"/>
  <c r="K494" i="10" s="1"/>
  <c r="J230" i="10"/>
  <c r="K230" i="10" s="1"/>
  <c r="J220" i="10"/>
  <c r="K220" i="10" s="1"/>
  <c r="J208" i="10"/>
  <c r="K208" i="10" s="1"/>
  <c r="J518" i="10"/>
  <c r="K518" i="10" s="1"/>
  <c r="J215" i="10"/>
  <c r="K215" i="10" s="1"/>
  <c r="J331" i="10"/>
  <c r="K331" i="10" s="1"/>
  <c r="S678" i="9"/>
  <c r="N678" i="9"/>
  <c r="H620" i="11"/>
  <c r="I620" i="11" s="1"/>
  <c r="J620" i="11" s="1"/>
  <c r="K620" i="11" s="1"/>
  <c r="H618" i="11"/>
  <c r="I618" i="11" s="1"/>
  <c r="J618" i="11" s="1"/>
  <c r="K618" i="11" s="1"/>
  <c r="H619" i="11"/>
  <c r="I619" i="11" s="1"/>
  <c r="J619" i="11" s="1"/>
  <c r="K619" i="11" s="1"/>
  <c r="BV443" i="1"/>
  <c r="BW443" i="1" s="1"/>
  <c r="BX443" i="1" s="1"/>
  <c r="CH804" i="1"/>
  <c r="BV802" i="1"/>
  <c r="BX372" i="1"/>
  <c r="BP372" i="1"/>
  <c r="BW357" i="1"/>
  <c r="BX357" i="1" s="1"/>
  <c r="BW356" i="1"/>
  <c r="BX356" i="1" s="1"/>
  <c r="BW355" i="1"/>
  <c r="BX355" i="1" s="1"/>
  <c r="BW354" i="1"/>
  <c r="BX354" i="1" s="1"/>
  <c r="BW322" i="1"/>
  <c r="BX322" i="1" s="1"/>
  <c r="BW233" i="1"/>
  <c r="BX233" i="1" s="1"/>
  <c r="BW152" i="1"/>
  <c r="BX152" i="1" s="1"/>
  <c r="BW151" i="1"/>
  <c r="BX151" i="1" s="1"/>
  <c r="BJ782" i="2"/>
  <c r="BJ781" i="2"/>
  <c r="BJ780" i="2"/>
  <c r="BJ767" i="2"/>
  <c r="BJ616" i="2"/>
  <c r="BK484" i="2"/>
  <c r="BL484" i="2" s="1"/>
  <c r="BJ24" i="2"/>
  <c r="BJ617" i="2"/>
  <c r="CO485" i="2"/>
  <c r="CP485" i="2" s="1"/>
  <c r="CO484" i="2"/>
  <c r="CP484" i="2" s="1"/>
  <c r="BJ413" i="2"/>
  <c r="H591" i="10" l="1"/>
  <c r="I591" i="10" s="1"/>
  <c r="J591" i="10" s="1"/>
  <c r="K591" i="10" s="1"/>
  <c r="H439" i="10"/>
  <c r="I439" i="10" s="1"/>
  <c r="J439" i="10" s="1"/>
  <c r="K439" i="10" s="1"/>
  <c r="H405" i="10"/>
  <c r="I405" i="10" s="1"/>
  <c r="J405" i="10" s="1"/>
  <c r="K405" i="10" s="1"/>
  <c r="H489" i="10"/>
  <c r="I489" i="10" s="1"/>
  <c r="H442" i="10"/>
  <c r="I442" i="10" s="1"/>
  <c r="H473" i="10"/>
  <c r="I473" i="10" s="1"/>
  <c r="J473" i="10" s="1"/>
  <c r="K473" i="10" s="1"/>
  <c r="H584" i="10"/>
  <c r="I584" i="10" s="1"/>
  <c r="J584" i="10" s="1"/>
  <c r="K584" i="10" s="1"/>
  <c r="H355" i="10"/>
  <c r="I355" i="10" s="1"/>
  <c r="J355" i="10" s="1"/>
  <c r="K355" i="10" s="1"/>
  <c r="H623" i="10"/>
  <c r="I623" i="10" s="1"/>
  <c r="H507" i="10"/>
  <c r="I507" i="10" s="1"/>
  <c r="J507" i="10" s="1"/>
  <c r="K507" i="10" s="1"/>
  <c r="H495" i="10"/>
  <c r="I495" i="10" s="1"/>
  <c r="J495" i="10" s="1"/>
  <c r="K495" i="10" s="1"/>
  <c r="H497" i="10"/>
  <c r="I497" i="10" s="1"/>
  <c r="J497" i="10" s="1"/>
  <c r="K497" i="10" s="1"/>
  <c r="H562" i="10"/>
  <c r="I562" i="10" s="1"/>
  <c r="J562" i="10" s="1"/>
  <c r="K562" i="10" s="1"/>
  <c r="H382" i="10"/>
  <c r="I382" i="10" s="1"/>
  <c r="J382" i="10" s="1"/>
  <c r="K382" i="10" s="1"/>
  <c r="H434" i="10"/>
  <c r="I434" i="10" s="1"/>
  <c r="J434" i="10" s="1"/>
  <c r="K434" i="10" s="1"/>
  <c r="H380" i="10"/>
  <c r="I380" i="10" s="1"/>
  <c r="J380" i="10" s="1"/>
  <c r="K380" i="10" s="1"/>
  <c r="H512" i="10"/>
  <c r="I512" i="10" s="1"/>
  <c r="H561" i="10"/>
  <c r="I561" i="10" s="1"/>
  <c r="J561" i="10" s="1"/>
  <c r="K561" i="10" s="1"/>
  <c r="H607" i="10"/>
  <c r="I607" i="10" s="1"/>
  <c r="J607" i="10" s="1"/>
  <c r="K607" i="10" s="1"/>
  <c r="H572" i="10"/>
  <c r="I572" i="10" s="1"/>
  <c r="J572" i="10" s="1"/>
  <c r="K572" i="10" s="1"/>
  <c r="H381" i="10"/>
  <c r="I381" i="10" s="1"/>
  <c r="J381" i="10" s="1"/>
  <c r="K381" i="10" s="1"/>
  <c r="H67" i="10"/>
  <c r="I67" i="10" s="1"/>
  <c r="J67" i="10" s="1"/>
  <c r="K67" i="10" s="1"/>
  <c r="H224" i="10"/>
  <c r="I224" i="10" s="1"/>
  <c r="J224" i="10" s="1"/>
  <c r="K224" i="10" s="1"/>
  <c r="H563" i="10"/>
  <c r="I563" i="10" s="1"/>
  <c r="J563" i="10" s="1"/>
  <c r="K563" i="10" s="1"/>
  <c r="H610" i="10"/>
  <c r="I610" i="10" s="1"/>
  <c r="J610" i="10" s="1"/>
  <c r="K610" i="10" s="1"/>
  <c r="H80" i="10"/>
  <c r="I80" i="10" s="1"/>
  <c r="H88" i="10"/>
  <c r="I88" i="10" s="1"/>
  <c r="J88" i="10" s="1"/>
  <c r="K88" i="10" s="1"/>
  <c r="H362" i="10"/>
  <c r="I362" i="10" s="1"/>
  <c r="J362" i="10" s="1"/>
  <c r="K362" i="10" s="1"/>
  <c r="H517" i="10"/>
  <c r="I517" i="10" s="1"/>
  <c r="J517" i="10" s="1"/>
  <c r="K517" i="10" s="1"/>
  <c r="H516" i="10"/>
  <c r="I516" i="10" s="1"/>
  <c r="J516" i="10" s="1"/>
  <c r="K516" i="10" s="1"/>
  <c r="H89" i="10"/>
  <c r="I89" i="10" s="1"/>
  <c r="J89" i="10" s="1"/>
  <c r="K89" i="10" s="1"/>
  <c r="H569" i="10"/>
  <c r="I569" i="10" s="1"/>
  <c r="J569" i="10" s="1"/>
  <c r="K569" i="10" s="1"/>
  <c r="H605" i="10"/>
  <c r="I605" i="10" s="1"/>
  <c r="H379" i="10"/>
  <c r="I379" i="10" s="1"/>
  <c r="J379" i="10" s="1"/>
  <c r="K379" i="10" s="1"/>
  <c r="H485" i="10"/>
  <c r="I485" i="10" s="1"/>
  <c r="J485" i="10" s="1"/>
  <c r="K485" i="10" s="1"/>
  <c r="H570" i="10"/>
  <c r="I570" i="10" s="1"/>
  <c r="J570" i="10" s="1"/>
  <c r="K570" i="10" s="1"/>
  <c r="H145" i="10"/>
  <c r="I145" i="10" s="1"/>
  <c r="H606" i="10"/>
  <c r="I606" i="10" s="1"/>
  <c r="J606" i="10" s="1"/>
  <c r="K606" i="10" s="1"/>
  <c r="H219" i="10"/>
  <c r="I219" i="10" s="1"/>
  <c r="H628" i="10"/>
  <c r="I628" i="10" s="1"/>
  <c r="J628" i="10" s="1"/>
  <c r="K628" i="10" s="1"/>
  <c r="H585" i="10"/>
  <c r="I585" i="10" s="1"/>
  <c r="J585" i="10" s="1"/>
  <c r="K585" i="10" s="1"/>
  <c r="H615" i="10"/>
  <c r="I615" i="10" s="1"/>
  <c r="J615" i="10" s="1"/>
  <c r="K615" i="10" s="1"/>
  <c r="BW141" i="2"/>
  <c r="BX141" i="2" s="1"/>
  <c r="J623" i="10" l="1"/>
  <c r="K623" i="10" s="1"/>
  <c r="J145" i="10"/>
  <c r="K145" i="10" s="1"/>
  <c r="J512" i="10"/>
  <c r="K512" i="10" s="1"/>
  <c r="J605" i="10"/>
  <c r="K605" i="10" s="1"/>
  <c r="J219" i="10"/>
  <c r="K219" i="10" s="1"/>
  <c r="J442" i="10"/>
  <c r="K442" i="10" s="1"/>
  <c r="J489" i="10"/>
  <c r="K489" i="10" s="1"/>
  <c r="J80" i="10"/>
  <c r="K80" i="10" s="1"/>
  <c r="AX198" i="2"/>
  <c r="Z768" i="2"/>
  <c r="Z742" i="2"/>
  <c r="Z731" i="2"/>
  <c r="Z730" i="2"/>
  <c r="Z708" i="2"/>
  <c r="Z274" i="2" l="1"/>
  <c r="CO192" i="1" l="1"/>
  <c r="CO308" i="1"/>
  <c r="CH756" i="1"/>
  <c r="CH743" i="1"/>
  <c r="BV685" i="1"/>
  <c r="CH685" i="1"/>
  <c r="BV687" i="1"/>
  <c r="CH687" i="1"/>
  <c r="CH690" i="1"/>
  <c r="CH689" i="1"/>
  <c r="CH688" i="1"/>
  <c r="CH686" i="1"/>
  <c r="CH683" i="1"/>
  <c r="BV690" i="1"/>
  <c r="BV689" i="1"/>
  <c r="BV688" i="1"/>
  <c r="BV686" i="1"/>
  <c r="BV683" i="1"/>
  <c r="BV682" i="1"/>
  <c r="CH682" i="1"/>
  <c r="CH671" i="1"/>
  <c r="BV664" i="1"/>
  <c r="CH664" i="1"/>
  <c r="BV661" i="1"/>
  <c r="CH661" i="1"/>
  <c r="BV328" i="1"/>
  <c r="CH328" i="1"/>
  <c r="CI328" i="1" s="1"/>
  <c r="CJ328" i="1" s="1"/>
  <c r="CH297" i="1"/>
  <c r="BW107" i="1"/>
  <c r="BX107" i="1" s="1"/>
  <c r="CH805" i="1"/>
  <c r="BV805" i="1"/>
  <c r="BV804" i="1"/>
  <c r="CH803" i="1"/>
  <c r="BV803" i="1"/>
  <c r="CH802" i="1"/>
  <c r="CH800" i="1"/>
  <c r="BV800" i="1"/>
  <c r="CH799" i="1"/>
  <c r="BV799" i="1"/>
  <c r="CH789" i="1"/>
  <c r="BV789" i="1"/>
  <c r="CH776" i="1"/>
  <c r="BV776" i="1"/>
  <c r="BV756" i="1"/>
  <c r="CH748" i="1"/>
  <c r="CH747" i="1"/>
  <c r="BV748" i="1"/>
  <c r="BV747" i="1"/>
  <c r="BV743" i="1"/>
  <c r="BV671" i="1"/>
  <c r="BV654" i="1"/>
  <c r="BV641" i="1"/>
  <c r="CH639" i="1"/>
  <c r="BV639" i="1"/>
  <c r="BV541" i="1"/>
  <c r="BV448" i="1"/>
  <c r="T443" i="1"/>
  <c r="BV398" i="1"/>
  <c r="BV299" i="1"/>
  <c r="BV297" i="1"/>
  <c r="BP249" i="1"/>
  <c r="BP58" i="1"/>
  <c r="AX671" i="1"/>
  <c r="AX627" i="1"/>
  <c r="AX615" i="1"/>
  <c r="AX501" i="1"/>
  <c r="AX468" i="1"/>
  <c r="AX445" i="1"/>
  <c r="AX224" i="1"/>
  <c r="AX157" i="1"/>
  <c r="AX107" i="1"/>
  <c r="AX66" i="1"/>
  <c r="AX22" i="1"/>
  <c r="AR664" i="1"/>
  <c r="AR661" i="1"/>
  <c r="AR650" i="1"/>
  <c r="AR635" i="1"/>
  <c r="AR620" i="1"/>
  <c r="AR615" i="1"/>
  <c r="AR610" i="1"/>
  <c r="AR609" i="1"/>
  <c r="AR536" i="1"/>
  <c r="AR618" i="1"/>
  <c r="AR509" i="1"/>
  <c r="AR498" i="1"/>
  <c r="AR493" i="1"/>
  <c r="AR491" i="1"/>
  <c r="AR488" i="1"/>
  <c r="AR483" i="1"/>
  <c r="AR398" i="1"/>
  <c r="AR392" i="1"/>
  <c r="AR353" i="1"/>
  <c r="AR347" i="1"/>
  <c r="AR321" i="1"/>
  <c r="AR319" i="1"/>
  <c r="AR317" i="1"/>
  <c r="AR315" i="1"/>
  <c r="AR314" i="1"/>
  <c r="C266" i="1"/>
  <c r="AR252" i="1"/>
  <c r="AR251" i="1"/>
  <c r="AR250" i="1"/>
  <c r="AR243" i="1"/>
  <c r="AR235" i="1"/>
  <c r="AR230" i="1"/>
  <c r="AR228" i="1"/>
  <c r="AR227" i="1"/>
  <c r="AR226" i="1"/>
  <c r="AR195" i="1"/>
  <c r="AR193" i="1"/>
  <c r="AR185" i="1"/>
  <c r="AR78" i="1"/>
  <c r="AR76" i="1"/>
  <c r="AR37" i="1"/>
  <c r="AR34" i="1"/>
  <c r="AR33" i="1"/>
  <c r="AR29" i="1"/>
  <c r="AR26" i="1"/>
  <c r="AR13" i="1"/>
  <c r="AL635" i="1"/>
  <c r="AL535" i="1"/>
  <c r="AL532" i="1"/>
  <c r="AL451" i="1"/>
  <c r="AL398" i="1"/>
  <c r="AL394" i="1"/>
  <c r="AL321" i="1"/>
  <c r="AL226" i="1"/>
  <c r="AL197" i="1"/>
  <c r="AL33" i="1"/>
  <c r="AL14" i="1"/>
  <c r="T73" i="1"/>
  <c r="T55" i="1"/>
  <c r="AL7" i="1" l="1"/>
  <c r="AL53" i="1" l="1"/>
  <c r="AR53" i="1"/>
  <c r="DA769" i="1" l="1"/>
  <c r="DB769" i="1" s="1"/>
  <c r="DA768" i="1"/>
  <c r="DB768" i="1" s="1"/>
  <c r="DA766" i="1"/>
  <c r="DB766" i="1" s="1"/>
  <c r="DA765" i="1"/>
  <c r="DB765" i="1" s="1"/>
  <c r="DA764" i="1"/>
  <c r="DB764" i="1" s="1"/>
  <c r="DA762" i="1"/>
  <c r="DB762" i="1" s="1"/>
  <c r="DA761" i="1"/>
  <c r="DB761" i="1" s="1"/>
  <c r="DA742" i="1"/>
  <c r="DB742" i="1" s="1"/>
  <c r="DA741" i="1"/>
  <c r="DB741" i="1" s="1"/>
  <c r="DA739" i="1"/>
  <c r="DB739" i="1" s="1"/>
  <c r="DA734" i="1"/>
  <c r="DB734" i="1" s="1"/>
  <c r="DA730" i="1"/>
  <c r="DB730" i="1" s="1"/>
  <c r="DA665" i="1"/>
  <c r="DB665" i="1" s="1"/>
  <c r="DA649" i="1"/>
  <c r="DB649" i="1" s="1"/>
  <c r="DA648" i="1"/>
  <c r="DB648" i="1" s="1"/>
  <c r="DA646" i="1"/>
  <c r="DB646" i="1" s="1"/>
  <c r="DA640" i="1"/>
  <c r="DB640" i="1" s="1"/>
  <c r="DA638" i="1"/>
  <c r="DB638" i="1" s="1"/>
  <c r="DA635" i="1"/>
  <c r="DB635" i="1" s="1"/>
  <c r="DA631" i="1"/>
  <c r="DB631" i="1" s="1"/>
  <c r="DA629" i="1"/>
  <c r="DB629" i="1" s="1"/>
  <c r="DA616" i="1"/>
  <c r="DB616" i="1" s="1"/>
  <c r="DA568" i="1"/>
  <c r="DB568" i="1" s="1"/>
  <c r="DA567" i="1"/>
  <c r="DB567" i="1" s="1"/>
  <c r="DA566" i="1"/>
  <c r="DB566" i="1" s="1"/>
  <c r="DA565" i="1"/>
  <c r="DB565" i="1" s="1"/>
  <c r="DA564" i="1"/>
  <c r="DB564" i="1" s="1"/>
  <c r="DA563" i="1"/>
  <c r="DB563" i="1" s="1"/>
  <c r="DA561" i="1"/>
  <c r="DB561" i="1" s="1"/>
  <c r="DA535" i="1"/>
  <c r="DB535" i="1" s="1"/>
  <c r="DA533" i="1"/>
  <c r="DB533" i="1" s="1"/>
  <c r="DA532" i="1"/>
  <c r="DB532" i="1" s="1"/>
  <c r="DA526" i="1"/>
  <c r="DB526" i="1" s="1"/>
  <c r="DA525" i="1"/>
  <c r="DB525" i="1" s="1"/>
  <c r="DA511" i="1"/>
  <c r="DB511" i="1" s="1"/>
  <c r="DA502" i="1"/>
  <c r="DB502" i="1" s="1"/>
  <c r="DA501" i="1"/>
  <c r="DB501" i="1" s="1"/>
  <c r="DA498" i="1"/>
  <c r="DB498" i="1" s="1"/>
  <c r="DA496" i="1"/>
  <c r="DB496" i="1" s="1"/>
  <c r="DA471" i="1"/>
  <c r="DB471" i="1" s="1"/>
  <c r="DA469" i="1"/>
  <c r="DB469" i="1" s="1"/>
  <c r="DA447" i="1"/>
  <c r="DB447" i="1" s="1"/>
  <c r="DA446" i="1"/>
  <c r="DB446" i="1" s="1"/>
  <c r="DA445" i="1"/>
  <c r="DB445" i="1" s="1"/>
  <c r="DA441" i="1"/>
  <c r="DB441" i="1" s="1"/>
  <c r="DA432" i="1"/>
  <c r="DB432" i="1" s="1"/>
  <c r="DA361" i="1"/>
  <c r="DB361" i="1" s="1"/>
  <c r="FH361" i="1" s="1"/>
  <c r="DA351" i="1"/>
  <c r="DB351" i="1" s="1"/>
  <c r="DA350" i="1"/>
  <c r="DB350" i="1" s="1"/>
  <c r="DA345" i="1"/>
  <c r="DB345" i="1" s="1"/>
  <c r="DA318" i="1"/>
  <c r="DB318" i="1" s="1"/>
  <c r="DA317" i="1"/>
  <c r="DB317" i="1" s="1"/>
  <c r="DA314" i="1"/>
  <c r="DB314" i="1" s="1"/>
  <c r="DA311" i="1"/>
  <c r="DB311" i="1" s="1"/>
  <c r="DA310" i="1"/>
  <c r="DB310" i="1" s="1"/>
  <c r="DA309" i="1"/>
  <c r="DB309" i="1" s="1"/>
  <c r="DA303" i="1"/>
  <c r="DB303" i="1" s="1"/>
  <c r="DA288" i="1"/>
  <c r="DB288" i="1" s="1"/>
  <c r="DA277" i="1"/>
  <c r="DB277" i="1" s="1"/>
  <c r="DA274" i="1"/>
  <c r="DB274" i="1" s="1"/>
  <c r="DA273" i="1"/>
  <c r="DB273" i="1" s="1"/>
  <c r="DA251" i="1"/>
  <c r="DB251" i="1" s="1"/>
  <c r="DA250" i="1"/>
  <c r="DB250" i="1" s="1"/>
  <c r="DA248" i="1"/>
  <c r="DB248" i="1" s="1"/>
  <c r="DA247" i="1"/>
  <c r="DB247" i="1" s="1"/>
  <c r="DA245" i="1"/>
  <c r="DB245" i="1" s="1"/>
  <c r="DA242" i="1"/>
  <c r="DB242" i="1" s="1"/>
  <c r="DA231" i="1"/>
  <c r="DB231" i="1" s="1"/>
  <c r="DA197" i="1"/>
  <c r="DB197" i="1" s="1"/>
  <c r="DA196" i="1"/>
  <c r="DB196" i="1" s="1"/>
  <c r="DA195" i="1"/>
  <c r="DB195" i="1" s="1"/>
  <c r="DA194" i="1"/>
  <c r="DB194" i="1" s="1"/>
  <c r="DA191" i="1"/>
  <c r="DB191" i="1" s="1"/>
  <c r="DA190" i="1"/>
  <c r="DB190" i="1" s="1"/>
  <c r="DA160" i="1"/>
  <c r="DB160" i="1" s="1"/>
  <c r="DA153" i="1"/>
  <c r="DB153" i="1" s="1"/>
  <c r="DA152" i="1"/>
  <c r="DB152" i="1" s="1"/>
  <c r="DA151" i="1"/>
  <c r="DB151" i="1" s="1"/>
  <c r="DA144" i="1"/>
  <c r="DB144" i="1" s="1"/>
  <c r="DA143" i="1"/>
  <c r="DB143" i="1" s="1"/>
  <c r="DA142" i="1"/>
  <c r="DB142" i="1" s="1"/>
  <c r="DA141" i="1"/>
  <c r="DB141" i="1" s="1"/>
  <c r="DA140" i="1"/>
  <c r="DB140" i="1" s="1"/>
  <c r="DA126" i="1"/>
  <c r="DB126" i="1" s="1"/>
  <c r="DA107" i="1"/>
  <c r="DB107" i="1" s="1"/>
  <c r="DA105" i="1"/>
  <c r="DB105" i="1" s="1"/>
  <c r="DA75" i="1"/>
  <c r="DB75" i="1" s="1"/>
  <c r="DA74" i="1"/>
  <c r="DB74" i="1" s="1"/>
  <c r="DA73" i="1"/>
  <c r="DB73" i="1" s="1"/>
  <c r="DA72" i="1"/>
  <c r="DB72" i="1" s="1"/>
  <c r="DA71" i="1"/>
  <c r="DB71" i="1" s="1"/>
  <c r="DA70" i="1"/>
  <c r="DB70" i="1" s="1"/>
  <c r="DA68" i="1"/>
  <c r="DB68" i="1" s="1"/>
  <c r="DA65" i="1"/>
  <c r="DB65" i="1" s="1"/>
  <c r="DA57" i="1"/>
  <c r="DB57" i="1" s="1"/>
  <c r="DA53" i="1"/>
  <c r="DB53" i="1" s="1"/>
  <c r="DA51" i="1"/>
  <c r="DB51" i="1" s="1"/>
  <c r="DA50" i="1"/>
  <c r="DB50" i="1" s="1"/>
  <c r="DA49" i="1"/>
  <c r="DB49" i="1" s="1"/>
  <c r="DA46" i="1"/>
  <c r="DB46" i="1" s="1"/>
  <c r="DA45" i="1"/>
  <c r="DB45" i="1" s="1"/>
  <c r="DA40" i="1"/>
  <c r="DB40" i="1" s="1"/>
  <c r="DA39" i="1"/>
  <c r="DB39" i="1" s="1"/>
  <c r="DA34" i="1"/>
  <c r="DB34" i="1" s="1"/>
  <c r="DA32" i="1"/>
  <c r="DB32" i="1" s="1"/>
  <c r="DA29" i="1"/>
  <c r="DB29" i="1" s="1"/>
  <c r="DA26" i="1"/>
  <c r="DB26" i="1" s="1"/>
  <c r="DA25" i="1"/>
  <c r="DB25" i="1" s="1"/>
  <c r="DA24" i="1"/>
  <c r="DB24" i="1" s="1"/>
  <c r="DA23" i="1"/>
  <c r="DB23" i="1" s="1"/>
  <c r="DA21" i="1"/>
  <c r="DB21" i="1" s="1"/>
  <c r="DA19" i="1"/>
  <c r="DB19" i="1" s="1"/>
  <c r="DA18" i="1"/>
  <c r="DB18" i="1" s="1"/>
  <c r="DA17" i="1"/>
  <c r="DB17" i="1" s="1"/>
  <c r="DA16" i="1"/>
  <c r="DB16" i="1" s="1"/>
  <c r="DA15" i="1"/>
  <c r="DB15" i="1" s="1"/>
  <c r="DA14" i="1"/>
  <c r="DB14" i="1" s="1"/>
  <c r="DA12" i="1"/>
  <c r="DB12" i="1" s="1"/>
  <c r="DA11" i="1"/>
  <c r="DB11" i="1" s="1"/>
  <c r="DA10" i="1"/>
  <c r="DB10" i="1" s="1"/>
  <c r="DA9" i="1"/>
  <c r="DB9" i="1" s="1"/>
  <c r="DA8" i="1"/>
  <c r="DB8" i="1" s="1"/>
  <c r="CC187" i="2"/>
  <c r="CD187" i="2" s="1"/>
  <c r="CC188" i="2"/>
  <c r="CD188" i="2" s="1"/>
  <c r="CC189" i="2"/>
  <c r="CD189" i="2" s="1"/>
  <c r="CC190" i="2"/>
  <c r="CD190" i="2" s="1"/>
  <c r="CC191" i="2"/>
  <c r="CD191" i="2" s="1"/>
  <c r="CC192" i="2"/>
  <c r="CD192" i="2" s="1"/>
  <c r="M779" i="2"/>
  <c r="M778" i="2"/>
  <c r="M768" i="2"/>
  <c r="M766" i="2"/>
  <c r="M765" i="2"/>
  <c r="EE765" i="2" s="1"/>
  <c r="M762" i="2"/>
  <c r="M761" i="2"/>
  <c r="EE761" i="2" s="1"/>
  <c r="M760" i="2"/>
  <c r="EE760" i="2" s="1"/>
  <c r="M759" i="2"/>
  <c r="M758" i="2"/>
  <c r="M757" i="2"/>
  <c r="M756" i="2"/>
  <c r="M755" i="2"/>
  <c r="M754" i="2"/>
  <c r="M752" i="2"/>
  <c r="M751" i="2"/>
  <c r="EE751" i="2" s="1"/>
  <c r="M750" i="2"/>
  <c r="M748" i="2"/>
  <c r="M746" i="2"/>
  <c r="M744" i="2"/>
  <c r="EE744" i="2" s="1"/>
  <c r="M743" i="2"/>
  <c r="M741" i="2"/>
  <c r="M732" i="2"/>
  <c r="EE732" i="2" s="1"/>
  <c r="M727" i="2"/>
  <c r="M726" i="2"/>
  <c r="M724" i="2"/>
  <c r="M723" i="2"/>
  <c r="EE723" i="2" s="1"/>
  <c r="M722" i="2"/>
  <c r="EE722" i="2" s="1"/>
  <c r="M721" i="2"/>
  <c r="EE721" i="2" s="1"/>
  <c r="M720" i="2"/>
  <c r="M718" i="2"/>
  <c r="EE718" i="2" s="1"/>
  <c r="M717" i="2"/>
  <c r="EE717" i="2" s="1"/>
  <c r="M715" i="2"/>
  <c r="M714" i="2"/>
  <c r="M713" i="2"/>
  <c r="M712" i="2"/>
  <c r="M710" i="2"/>
  <c r="M709" i="2"/>
  <c r="M708" i="2"/>
  <c r="M707" i="2"/>
  <c r="EE707" i="2" s="1"/>
  <c r="M705" i="2"/>
  <c r="M700" i="2"/>
  <c r="M699" i="2"/>
  <c r="M698" i="2"/>
  <c r="EE698" i="2" s="1"/>
  <c r="M697" i="2"/>
  <c r="M696" i="2"/>
  <c r="M695" i="2"/>
  <c r="EE695" i="2" s="1"/>
  <c r="M694" i="2"/>
  <c r="EE694" i="2" s="1"/>
  <c r="M693" i="2"/>
  <c r="M691" i="2"/>
  <c r="M689" i="2"/>
  <c r="EE689" i="2" s="1"/>
  <c r="M688" i="2"/>
  <c r="EE688" i="2" s="1"/>
  <c r="M680" i="2"/>
  <c r="M676" i="2"/>
  <c r="M675" i="2"/>
  <c r="EE675" i="2" s="1"/>
  <c r="M673" i="2"/>
  <c r="EE673" i="2" s="1"/>
  <c r="M669" i="2"/>
  <c r="M665" i="2"/>
  <c r="M661" i="2"/>
  <c r="M660" i="2"/>
  <c r="M656" i="2"/>
  <c r="M652" i="2"/>
  <c r="M651" i="2"/>
  <c r="EE651" i="2" s="1"/>
  <c r="M649" i="2"/>
  <c r="EE649" i="2" s="1"/>
  <c r="M648" i="2"/>
  <c r="M647" i="2"/>
  <c r="M646" i="2"/>
  <c r="M645" i="2"/>
  <c r="M644" i="2"/>
  <c r="M636" i="2"/>
  <c r="M627" i="2"/>
  <c r="M624" i="2"/>
  <c r="EE624" i="2" s="1"/>
  <c r="M623" i="2"/>
  <c r="M622" i="2"/>
  <c r="M621" i="2"/>
  <c r="EE621" i="2" s="1"/>
  <c r="M620" i="2"/>
  <c r="EE620" i="2" s="1"/>
  <c r="M619" i="2"/>
  <c r="M617" i="2"/>
  <c r="M611" i="2"/>
  <c r="M609" i="2"/>
  <c r="EE609" i="2" s="1"/>
  <c r="M607" i="2"/>
  <c r="M602" i="2"/>
  <c r="M601" i="2"/>
  <c r="M600" i="2"/>
  <c r="M599" i="2"/>
  <c r="M598" i="2"/>
  <c r="M596" i="2"/>
  <c r="EE596" i="2" s="1"/>
  <c r="M595" i="2"/>
  <c r="EE595" i="2" s="1"/>
  <c r="M594" i="2"/>
  <c r="M593" i="2"/>
  <c r="M592" i="2"/>
  <c r="M591" i="2"/>
  <c r="EE591" i="2" s="1"/>
  <c r="M590" i="2"/>
  <c r="M589" i="2"/>
  <c r="M588" i="2"/>
  <c r="EE588" i="2" s="1"/>
  <c r="M586" i="2"/>
  <c r="EE586" i="2" s="1"/>
  <c r="M584" i="2"/>
  <c r="M583" i="2"/>
  <c r="M582" i="2"/>
  <c r="EE582" i="2" s="1"/>
  <c r="M581" i="2"/>
  <c r="EE581" i="2" s="1"/>
  <c r="M580" i="2"/>
  <c r="M579" i="2"/>
  <c r="M578" i="2"/>
  <c r="EE578" i="2" s="1"/>
  <c r="M577" i="2"/>
  <c r="EE577" i="2" s="1"/>
  <c r="M576" i="2"/>
  <c r="M575" i="2"/>
  <c r="M574" i="2"/>
  <c r="M573" i="2"/>
  <c r="M572" i="2"/>
  <c r="M571" i="2"/>
  <c r="M570" i="2"/>
  <c r="M569" i="2"/>
  <c r="EE569" i="2" s="1"/>
  <c r="M568" i="2"/>
  <c r="M567" i="2"/>
  <c r="M566" i="2"/>
  <c r="M565" i="2"/>
  <c r="EE565" i="2" s="1"/>
  <c r="M563" i="2"/>
  <c r="M562" i="2"/>
  <c r="M564" i="2"/>
  <c r="EE564" i="2" s="1"/>
  <c r="M557" i="2"/>
  <c r="EE557" i="2" s="1"/>
  <c r="M553" i="2"/>
  <c r="M552" i="2"/>
  <c r="M551" i="2"/>
  <c r="EE551" i="2" s="1"/>
  <c r="M550" i="2"/>
  <c r="EE550" i="2" s="1"/>
  <c r="M544" i="2"/>
  <c r="M543" i="2"/>
  <c r="M537" i="2"/>
  <c r="EE537" i="2" s="1"/>
  <c r="M536" i="2"/>
  <c r="EE536" i="2" s="1"/>
  <c r="M534" i="2"/>
  <c r="M533" i="2"/>
  <c r="M532" i="2"/>
  <c r="M531" i="2"/>
  <c r="M530" i="2"/>
  <c r="M529" i="2"/>
  <c r="M528" i="2"/>
  <c r="EE528" i="2" s="1"/>
  <c r="M527" i="2"/>
  <c r="EE527" i="2" s="1"/>
  <c r="M526" i="2"/>
  <c r="M524" i="2"/>
  <c r="M523" i="2"/>
  <c r="M522" i="2"/>
  <c r="EE522" i="2" s="1"/>
  <c r="M520" i="2"/>
  <c r="M518" i="2"/>
  <c r="M516" i="2"/>
  <c r="EE516" i="2" s="1"/>
  <c r="M514" i="2"/>
  <c r="EE514" i="2" s="1"/>
  <c r="M513" i="2"/>
  <c r="M511" i="2"/>
  <c r="M510" i="2"/>
  <c r="EE510" i="2" s="1"/>
  <c r="M509" i="2"/>
  <c r="EE509" i="2" s="1"/>
  <c r="M508" i="2"/>
  <c r="M507" i="2"/>
  <c r="M506" i="2"/>
  <c r="EE506" i="2" s="1"/>
  <c r="M502" i="2"/>
  <c r="EE502" i="2" s="1"/>
  <c r="M501" i="2"/>
  <c r="M500" i="2"/>
  <c r="M499" i="2"/>
  <c r="M498" i="2"/>
  <c r="M497" i="2"/>
  <c r="M494" i="2"/>
  <c r="M493" i="2"/>
  <c r="EE493" i="2" s="1"/>
  <c r="M492" i="2"/>
  <c r="M491" i="2"/>
  <c r="M489" i="2"/>
  <c r="M488" i="2"/>
  <c r="M485" i="2"/>
  <c r="EE485" i="2" s="1"/>
  <c r="M484" i="2"/>
  <c r="M483" i="2"/>
  <c r="M482" i="2"/>
  <c r="EE482" i="2" s="1"/>
  <c r="M481" i="2"/>
  <c r="EE481" i="2" s="1"/>
  <c r="M480" i="2"/>
  <c r="M479" i="2"/>
  <c r="M478" i="2"/>
  <c r="M477" i="2"/>
  <c r="EE477" i="2" s="1"/>
  <c r="M476" i="2"/>
  <c r="M474" i="2"/>
  <c r="M473" i="2"/>
  <c r="M467" i="2"/>
  <c r="EE467" i="2" s="1"/>
  <c r="M465" i="2"/>
  <c r="M462" i="2"/>
  <c r="M461" i="2"/>
  <c r="M460" i="2"/>
  <c r="M458" i="2"/>
  <c r="M456" i="2"/>
  <c r="M455" i="2"/>
  <c r="EE455" i="2" s="1"/>
  <c r="M454" i="2"/>
  <c r="EE454" i="2" s="1"/>
  <c r="M453" i="2"/>
  <c r="M452" i="2"/>
  <c r="M451" i="2"/>
  <c r="M450" i="2"/>
  <c r="EE450" i="2" s="1"/>
  <c r="M449" i="2"/>
  <c r="M448" i="2"/>
  <c r="M447" i="2"/>
  <c r="M444" i="2"/>
  <c r="EE444" i="2" s="1"/>
  <c r="M443" i="2"/>
  <c r="M441" i="2"/>
  <c r="M440" i="2"/>
  <c r="EE440" i="2" s="1"/>
  <c r="M439" i="2"/>
  <c r="EE439" i="2" s="1"/>
  <c r="M438" i="2"/>
  <c r="M429" i="2"/>
  <c r="M428" i="2"/>
  <c r="EE428" i="2" s="1"/>
  <c r="M427" i="2"/>
  <c r="EE427" i="2" s="1"/>
  <c r="M426" i="2"/>
  <c r="M425" i="2"/>
  <c r="M424" i="2"/>
  <c r="M423" i="2"/>
  <c r="M422" i="2"/>
  <c r="M421" i="2"/>
  <c r="M419" i="2"/>
  <c r="EE419" i="2" s="1"/>
  <c r="M418" i="2"/>
  <c r="EE418" i="2" s="1"/>
  <c r="M412" i="2"/>
  <c r="M411" i="2"/>
  <c r="M410" i="2"/>
  <c r="M409" i="2"/>
  <c r="EE409" i="2" s="1"/>
  <c r="M406" i="2"/>
  <c r="M404" i="2"/>
  <c r="M403" i="2"/>
  <c r="EE403" i="2" s="1"/>
  <c r="M402" i="2"/>
  <c r="EE402" i="2" s="1"/>
  <c r="M401" i="2"/>
  <c r="M395" i="2"/>
  <c r="M394" i="2"/>
  <c r="EE394" i="2" s="1"/>
  <c r="M389" i="2"/>
  <c r="EE389" i="2" s="1"/>
  <c r="M386" i="2"/>
  <c r="M385" i="2"/>
  <c r="M384" i="2"/>
  <c r="EE384" i="2" s="1"/>
  <c r="M379" i="2"/>
  <c r="EE379" i="2" s="1"/>
  <c r="M378" i="2"/>
  <c r="M369" i="2"/>
  <c r="M368" i="2"/>
  <c r="M367" i="2"/>
  <c r="M365" i="2"/>
  <c r="M364" i="2"/>
  <c r="M363" i="2"/>
  <c r="EE363" i="2" s="1"/>
  <c r="M362" i="2"/>
  <c r="EE362" i="2" s="1"/>
  <c r="M361" i="2"/>
  <c r="M360" i="2"/>
  <c r="M359" i="2"/>
  <c r="M357" i="2"/>
  <c r="EE357" i="2" s="1"/>
  <c r="M356" i="2"/>
  <c r="M351" i="2"/>
  <c r="M350" i="2"/>
  <c r="EE350" i="2" s="1"/>
  <c r="M348" i="2"/>
  <c r="M345" i="2"/>
  <c r="M344" i="2"/>
  <c r="M343" i="2"/>
  <c r="EE343" i="2" s="1"/>
  <c r="M342" i="2"/>
  <c r="EE342" i="2" s="1"/>
  <c r="M341" i="2"/>
  <c r="M340" i="2"/>
  <c r="M336" i="2"/>
  <c r="EE336" i="2" s="1"/>
  <c r="M335" i="2"/>
  <c r="EE335" i="2" s="1"/>
  <c r="M334" i="2"/>
  <c r="M333" i="2"/>
  <c r="M332" i="2"/>
  <c r="M326" i="2"/>
  <c r="M325" i="2"/>
  <c r="M323" i="2"/>
  <c r="M322" i="2"/>
  <c r="EE322" i="2" s="1"/>
  <c r="M321" i="2"/>
  <c r="EE321" i="2" s="1"/>
  <c r="M320" i="2"/>
  <c r="M318" i="2"/>
  <c r="M314" i="2"/>
  <c r="M313" i="2"/>
  <c r="EE313" i="2" s="1"/>
  <c r="M310" i="2"/>
  <c r="M309" i="2"/>
  <c r="M304" i="2"/>
  <c r="EE304" i="2" s="1"/>
  <c r="M303" i="2"/>
  <c r="EE303" i="2" s="1"/>
  <c r="M302" i="2"/>
  <c r="M301" i="2"/>
  <c r="M298" i="2"/>
  <c r="M290" i="2"/>
  <c r="EE290" i="2" s="1"/>
  <c r="M287" i="2"/>
  <c r="M286" i="2"/>
  <c r="M285" i="2"/>
  <c r="M284" i="2"/>
  <c r="M282" i="2"/>
  <c r="M278" i="2"/>
  <c r="M277" i="2"/>
  <c r="M275" i="2"/>
  <c r="M272" i="2"/>
  <c r="M267" i="2"/>
  <c r="M266" i="2"/>
  <c r="EE266" i="2" s="1"/>
  <c r="M262" i="2"/>
  <c r="EE262" i="2" s="1"/>
  <c r="M261" i="2"/>
  <c r="M260" i="2"/>
  <c r="M259" i="2"/>
  <c r="M257" i="2"/>
  <c r="EE257" i="2" s="1"/>
  <c r="M256" i="2"/>
  <c r="M255" i="2"/>
  <c r="M254" i="2"/>
  <c r="EE254" i="2" s="1"/>
  <c r="M247" i="2"/>
  <c r="EE247" i="2" s="1"/>
  <c r="M246" i="2"/>
  <c r="M244" i="2"/>
  <c r="M243" i="2"/>
  <c r="EE243" i="2" s="1"/>
  <c r="M240" i="2"/>
  <c r="EE240" i="2" s="1"/>
  <c r="M239" i="2"/>
  <c r="M236" i="2"/>
  <c r="M235" i="2"/>
  <c r="EE235" i="2" s="1"/>
  <c r="M233" i="2"/>
  <c r="EE233" i="2" s="1"/>
  <c r="M232" i="2"/>
  <c r="M231" i="2"/>
  <c r="M225" i="2"/>
  <c r="M224" i="2"/>
  <c r="M223" i="2"/>
  <c r="M222" i="2"/>
  <c r="M220" i="2"/>
  <c r="EE220" i="2" s="1"/>
  <c r="M219" i="2"/>
  <c r="EE219" i="2" s="1"/>
  <c r="M218" i="2"/>
  <c r="M217" i="2"/>
  <c r="M216" i="2"/>
  <c r="M215" i="2"/>
  <c r="EE215" i="2" s="1"/>
  <c r="M214" i="2"/>
  <c r="M213" i="2"/>
  <c r="M210" i="2"/>
  <c r="M208" i="2"/>
  <c r="M207" i="2"/>
  <c r="M206" i="2"/>
  <c r="M205" i="2"/>
  <c r="M204" i="2"/>
  <c r="M203" i="2"/>
  <c r="M202" i="2"/>
  <c r="M199" i="2"/>
  <c r="EE199" i="2" s="1"/>
  <c r="M198" i="2"/>
  <c r="EE198" i="2" s="1"/>
  <c r="M197" i="2"/>
  <c r="M196" i="2"/>
  <c r="M195" i="2"/>
  <c r="M194" i="2"/>
  <c r="M190" i="2"/>
  <c r="M189" i="2"/>
  <c r="M184" i="2"/>
  <c r="EE184" i="2" s="1"/>
  <c r="M183" i="2"/>
  <c r="EE183" i="2" s="1"/>
  <c r="M182" i="2"/>
  <c r="M181" i="2"/>
  <c r="M180" i="2"/>
  <c r="M179" i="2"/>
  <c r="EE179" i="2" s="1"/>
  <c r="M178" i="2"/>
  <c r="M177" i="2"/>
  <c r="M176" i="2"/>
  <c r="EE176" i="2" s="1"/>
  <c r="M175" i="2"/>
  <c r="EE175" i="2" s="1"/>
  <c r="M174" i="2"/>
  <c r="M171" i="2"/>
  <c r="M170" i="2"/>
  <c r="M169" i="2"/>
  <c r="M168" i="2"/>
  <c r="M167" i="2"/>
  <c r="M166" i="2"/>
  <c r="EE166" i="2" s="1"/>
  <c r="M165" i="2"/>
  <c r="EE165" i="2" s="1"/>
  <c r="M164" i="2"/>
  <c r="M161" i="2"/>
  <c r="M154" i="2"/>
  <c r="M153" i="2"/>
  <c r="M152" i="2"/>
  <c r="M151" i="2"/>
  <c r="M149" i="2"/>
  <c r="EE149" i="2" s="1"/>
  <c r="M147" i="2"/>
  <c r="EE147" i="2" s="1"/>
  <c r="M146" i="2"/>
  <c r="M145" i="2"/>
  <c r="M144" i="2"/>
  <c r="M143" i="2"/>
  <c r="EE143" i="2" s="1"/>
  <c r="M142" i="2"/>
  <c r="M141" i="2"/>
  <c r="M140" i="2"/>
  <c r="EE140" i="2" s="1"/>
  <c r="M139" i="2"/>
  <c r="EE139" i="2" s="1"/>
  <c r="M138" i="2"/>
  <c r="M137" i="2"/>
  <c r="M136" i="2"/>
  <c r="EE136" i="2" s="1"/>
  <c r="M135" i="2"/>
  <c r="EE135" i="2" s="1"/>
  <c r="M134" i="2"/>
  <c r="M133" i="2"/>
  <c r="M131" i="2"/>
  <c r="EE131" i="2" s="1"/>
  <c r="M127" i="2"/>
  <c r="EE127" i="2" s="1"/>
  <c r="M126" i="2"/>
  <c r="M125" i="2"/>
  <c r="M124" i="2"/>
  <c r="M115" i="2"/>
  <c r="M112" i="2"/>
  <c r="M110" i="2"/>
  <c r="M105" i="2"/>
  <c r="M104" i="2"/>
  <c r="EE104" i="2" s="1"/>
  <c r="M103" i="2"/>
  <c r="M97" i="2"/>
  <c r="M96" i="2"/>
  <c r="M94" i="2"/>
  <c r="EE94" i="2" s="1"/>
  <c r="M93" i="2"/>
  <c r="M87" i="2"/>
  <c r="M85" i="2"/>
  <c r="EE85" i="2" s="1"/>
  <c r="M84" i="2"/>
  <c r="EE84" i="2" s="1"/>
  <c r="M83" i="2"/>
  <c r="M82" i="2"/>
  <c r="M81" i="2"/>
  <c r="EE81" i="2" s="1"/>
  <c r="M80" i="2"/>
  <c r="EE80" i="2" s="1"/>
  <c r="M79" i="2"/>
  <c r="M74" i="2"/>
  <c r="M76" i="2"/>
  <c r="EE76" i="2" s="1"/>
  <c r="M75" i="2"/>
  <c r="EE75" i="2" s="1"/>
  <c r="M73" i="2"/>
  <c r="M72" i="2"/>
  <c r="M71" i="2"/>
  <c r="M70" i="2"/>
  <c r="M69" i="2"/>
  <c r="M68" i="2"/>
  <c r="M67" i="2"/>
  <c r="EE67" i="2" s="1"/>
  <c r="M66" i="2"/>
  <c r="M65" i="2"/>
  <c r="M64" i="2"/>
  <c r="M57" i="2"/>
  <c r="M56" i="2"/>
  <c r="M55" i="2"/>
  <c r="M54" i="2"/>
  <c r="M53" i="2"/>
  <c r="EE53" i="2" s="1"/>
  <c r="M44" i="2"/>
  <c r="EE44" i="2" s="1"/>
  <c r="M43" i="2"/>
  <c r="M39" i="2"/>
  <c r="M38" i="2"/>
  <c r="EE38" i="2" s="1"/>
  <c r="M35" i="2"/>
  <c r="EE35" i="2" s="1"/>
  <c r="M32" i="2"/>
  <c r="M31" i="2"/>
  <c r="M30" i="2"/>
  <c r="M29" i="2"/>
  <c r="EE29" i="2" s="1"/>
  <c r="M28" i="2"/>
  <c r="M27" i="2"/>
  <c r="M26" i="2"/>
  <c r="M23" i="2"/>
  <c r="M22" i="2"/>
  <c r="M19" i="2"/>
  <c r="M18" i="2"/>
  <c r="EE18" i="2" s="1"/>
  <c r="M17" i="2"/>
  <c r="EE17" i="2" s="1"/>
  <c r="M16" i="2"/>
  <c r="M15" i="2"/>
  <c r="M14" i="2"/>
  <c r="M11" i="2"/>
  <c r="EE11" i="2" s="1"/>
  <c r="M10" i="2"/>
  <c r="M9" i="2"/>
  <c r="M8" i="2"/>
  <c r="EE8" i="2" s="1"/>
  <c r="M7" i="2"/>
  <c r="EE7" i="2" s="1"/>
  <c r="M6" i="2"/>
  <c r="M5" i="2"/>
  <c r="M760" i="1"/>
  <c r="M665" i="1"/>
  <c r="M664" i="1"/>
  <c r="FI664" i="1" s="1"/>
  <c r="M661" i="1"/>
  <c r="FI661" i="1" s="1"/>
  <c r="M660" i="1"/>
  <c r="FI660" i="1" s="1"/>
  <c r="M658" i="1"/>
  <c r="FI658" i="1" s="1"/>
  <c r="M652" i="1"/>
  <c r="FI652" i="1" s="1"/>
  <c r="M650" i="1"/>
  <c r="FI650" i="1" s="1"/>
  <c r="M649" i="1"/>
  <c r="FI649" i="1" s="1"/>
  <c r="M648" i="1"/>
  <c r="M643" i="1"/>
  <c r="FI643" i="1" s="1"/>
  <c r="M641" i="1"/>
  <c r="FI641" i="1" s="1"/>
  <c r="M638" i="1"/>
  <c r="FI638" i="1" s="1"/>
  <c r="M637" i="1"/>
  <c r="FI637" i="1" s="1"/>
  <c r="M636" i="1"/>
  <c r="FI636" i="1" s="1"/>
  <c r="M635" i="1"/>
  <c r="FI635" i="1" s="1"/>
  <c r="M634" i="1"/>
  <c r="M633" i="1"/>
  <c r="M631" i="1"/>
  <c r="FI631" i="1" s="1"/>
  <c r="M630" i="1"/>
  <c r="FI630" i="1" s="1"/>
  <c r="M629" i="1"/>
  <c r="FI629" i="1" s="1"/>
  <c r="M628" i="1"/>
  <c r="FI628" i="1" s="1"/>
  <c r="M616" i="1"/>
  <c r="FI616" i="1" s="1"/>
  <c r="M615" i="1"/>
  <c r="FI615" i="1" s="1"/>
  <c r="M614" i="1"/>
  <c r="FI614" i="1" s="1"/>
  <c r="M610" i="1"/>
  <c r="FI610" i="1" s="1"/>
  <c r="M609" i="1"/>
  <c r="FI609" i="1" s="1"/>
  <c r="M607" i="1"/>
  <c r="FI607" i="1" s="1"/>
  <c r="M599" i="1"/>
  <c r="FI599" i="1" s="1"/>
  <c r="M597" i="1"/>
  <c r="FI597" i="1" s="1"/>
  <c r="M596" i="1"/>
  <c r="FI596" i="1" s="1"/>
  <c r="M593" i="1"/>
  <c r="FI593" i="1" s="1"/>
  <c r="M592" i="1"/>
  <c r="FH592" i="1" s="1"/>
  <c r="M587" i="1"/>
  <c r="M581" i="1"/>
  <c r="FI581" i="1" s="1"/>
  <c r="M580" i="1"/>
  <c r="FI580" i="1" s="1"/>
  <c r="M579" i="1"/>
  <c r="FI579" i="1" s="1"/>
  <c r="M571" i="1"/>
  <c r="FI571" i="1" s="1"/>
  <c r="M568" i="1"/>
  <c r="FI568" i="1" s="1"/>
  <c r="M562" i="1"/>
  <c r="FI562" i="1" s="1"/>
  <c r="M557" i="1"/>
  <c r="FI557" i="1" s="1"/>
  <c r="M556" i="1"/>
  <c r="FI556" i="1" s="1"/>
  <c r="M554" i="1"/>
  <c r="FI554" i="1" s="1"/>
  <c r="M549" i="1"/>
  <c r="FI549" i="1" s="1"/>
  <c r="M543" i="1"/>
  <c r="M540" i="1"/>
  <c r="FI540" i="1" s="1"/>
  <c r="M536" i="1"/>
  <c r="FI536" i="1" s="1"/>
  <c r="M535" i="1"/>
  <c r="FI535" i="1" s="1"/>
  <c r="M534" i="1"/>
  <c r="M533" i="1"/>
  <c r="FI533" i="1" s="1"/>
  <c r="M532" i="1"/>
  <c r="FI532" i="1" s="1"/>
  <c r="M531" i="1"/>
  <c r="FI531" i="1" s="1"/>
  <c r="M529" i="1"/>
  <c r="FI529" i="1" s="1"/>
  <c r="M528" i="1"/>
  <c r="FI528" i="1" s="1"/>
  <c r="M526" i="1"/>
  <c r="FI526" i="1" s="1"/>
  <c r="M525" i="1"/>
  <c r="FI525" i="1" s="1"/>
  <c r="M522" i="1"/>
  <c r="FI522" i="1" s="1"/>
  <c r="M519" i="1"/>
  <c r="FI519" i="1" s="1"/>
  <c r="M517" i="1"/>
  <c r="FI517" i="1" s="1"/>
  <c r="M510" i="1"/>
  <c r="FI510" i="1" s="1"/>
  <c r="M507" i="1"/>
  <c r="FI507" i="1" s="1"/>
  <c r="M508" i="1"/>
  <c r="FI508" i="1" s="1"/>
  <c r="M502" i="1"/>
  <c r="FI502" i="1" s="1"/>
  <c r="M501" i="1"/>
  <c r="FI501" i="1" s="1"/>
  <c r="M500" i="1"/>
  <c r="FI500" i="1" s="1"/>
  <c r="M496" i="1"/>
  <c r="FI496" i="1" s="1"/>
  <c r="M493" i="1"/>
  <c r="FI493" i="1" s="1"/>
  <c r="M492" i="1"/>
  <c r="FI492" i="1" s="1"/>
  <c r="M491" i="1"/>
  <c r="FI491" i="1" s="1"/>
  <c r="M489" i="1"/>
  <c r="FI489" i="1" s="1"/>
  <c r="M488" i="1"/>
  <c r="FI488" i="1" s="1"/>
  <c r="M485" i="1"/>
  <c r="FI485" i="1" s="1"/>
  <c r="M484" i="1"/>
  <c r="M482" i="1"/>
  <c r="FI482" i="1" s="1"/>
  <c r="M481" i="1"/>
  <c r="FI481" i="1" s="1"/>
  <c r="M479" i="1"/>
  <c r="FI479" i="1" s="1"/>
  <c r="M478" i="1"/>
  <c r="FI478" i="1" s="1"/>
  <c r="M477" i="1"/>
  <c r="FI477" i="1" s="1"/>
  <c r="M474" i="1"/>
  <c r="FI474" i="1" s="1"/>
  <c r="M471" i="1"/>
  <c r="FI471" i="1" s="1"/>
  <c r="M469" i="1"/>
  <c r="FI469" i="1" s="1"/>
  <c r="M468" i="1"/>
  <c r="FI468" i="1" s="1"/>
  <c r="M467" i="1"/>
  <c r="FI467" i="1" s="1"/>
  <c r="M466" i="1"/>
  <c r="FI466" i="1" s="1"/>
  <c r="M465" i="1"/>
  <c r="FI465" i="1" s="1"/>
  <c r="M464" i="1"/>
  <c r="FI464" i="1" s="1"/>
  <c r="M451" i="1"/>
  <c r="FI451" i="1" s="1"/>
  <c r="M450" i="1"/>
  <c r="FI450" i="1" s="1"/>
  <c r="M449" i="1"/>
  <c r="FI449" i="1" s="1"/>
  <c r="M447" i="1"/>
  <c r="FI447" i="1" s="1"/>
  <c r="M445" i="1"/>
  <c r="FI445" i="1" s="1"/>
  <c r="M441" i="1"/>
  <c r="FI441" i="1" s="1"/>
  <c r="M440" i="1"/>
  <c r="FI440" i="1" s="1"/>
  <c r="M439" i="1"/>
  <c r="FI439" i="1" s="1"/>
  <c r="M436" i="1"/>
  <c r="FI436" i="1" s="1"/>
  <c r="M435" i="1"/>
  <c r="FI435" i="1" s="1"/>
  <c r="M430" i="1"/>
  <c r="FI430" i="1" s="1"/>
  <c r="M408" i="1"/>
  <c r="FI408" i="1" s="1"/>
  <c r="M406" i="1"/>
  <c r="FI406" i="1" s="1"/>
  <c r="M405" i="1"/>
  <c r="FI405" i="1" s="1"/>
  <c r="M400" i="1"/>
  <c r="FI400" i="1" s="1"/>
  <c r="M397" i="1"/>
  <c r="FI397" i="1" s="1"/>
  <c r="M396" i="1"/>
  <c r="FI396" i="1" s="1"/>
  <c r="M394" i="1"/>
  <c r="FI394" i="1" s="1"/>
  <c r="M371" i="1"/>
  <c r="FI371" i="1" s="1"/>
  <c r="M370" i="1"/>
  <c r="FI370" i="1" s="1"/>
  <c r="M369" i="1"/>
  <c r="FI369" i="1" s="1"/>
  <c r="M368" i="1"/>
  <c r="FI368" i="1" s="1"/>
  <c r="M366" i="1"/>
  <c r="FI366" i="1" s="1"/>
  <c r="M365" i="1"/>
  <c r="FI365" i="1" s="1"/>
  <c r="M364" i="1"/>
  <c r="FI364" i="1" s="1"/>
  <c r="M362" i="1"/>
  <c r="FI362" i="1" s="1"/>
  <c r="M360" i="1"/>
  <c r="FI360" i="1" s="1"/>
  <c r="M359" i="1"/>
  <c r="FI359" i="1" s="1"/>
  <c r="M358" i="1"/>
  <c r="FI358" i="1" s="1"/>
  <c r="M357" i="1"/>
  <c r="FI357" i="1" s="1"/>
  <c r="M353" i="1"/>
  <c r="FI353" i="1" s="1"/>
  <c r="M351" i="1"/>
  <c r="FI351" i="1" s="1"/>
  <c r="M350" i="1"/>
  <c r="FI350" i="1" s="1"/>
  <c r="M349" i="1"/>
  <c r="FI349" i="1" s="1"/>
  <c r="M348" i="1"/>
  <c r="FI348" i="1" s="1"/>
  <c r="M345" i="1"/>
  <c r="FI345" i="1" s="1"/>
  <c r="M343" i="1"/>
  <c r="FI343" i="1" s="1"/>
  <c r="M336" i="1"/>
  <c r="FI336" i="1" s="1"/>
  <c r="M335" i="1"/>
  <c r="FI335" i="1" s="1"/>
  <c r="M332" i="1"/>
  <c r="FI332" i="1" s="1"/>
  <c r="M331" i="1"/>
  <c r="FI331" i="1" s="1"/>
  <c r="M329" i="1"/>
  <c r="FI329" i="1" s="1"/>
  <c r="M328" i="1"/>
  <c r="FI328" i="1" s="1"/>
  <c r="M327" i="1"/>
  <c r="FI327" i="1" s="1"/>
  <c r="M326" i="1"/>
  <c r="FI326" i="1" s="1"/>
  <c r="M325" i="1"/>
  <c r="FI325" i="1" s="1"/>
  <c r="M324" i="1"/>
  <c r="FI324" i="1" s="1"/>
  <c r="M322" i="1"/>
  <c r="FI322" i="1" s="1"/>
  <c r="M321" i="1"/>
  <c r="FI321" i="1" s="1"/>
  <c r="M320" i="1"/>
  <c r="FI320" i="1" s="1"/>
  <c r="M318" i="1"/>
  <c r="FI318" i="1" s="1"/>
  <c r="M316" i="1"/>
  <c r="FI316" i="1" s="1"/>
  <c r="M315" i="1"/>
  <c r="FI315" i="1" s="1"/>
  <c r="M312" i="1"/>
  <c r="FI312" i="1" s="1"/>
  <c r="M311" i="1"/>
  <c r="FI311" i="1" s="1"/>
  <c r="M310" i="1"/>
  <c r="FI310" i="1" s="1"/>
  <c r="M309" i="1"/>
  <c r="FI309" i="1" s="1"/>
  <c r="M306" i="1"/>
  <c r="FI306" i="1" s="1"/>
  <c r="M305" i="1"/>
  <c r="FI305" i="1" s="1"/>
  <c r="M304" i="1"/>
  <c r="FI304" i="1" s="1"/>
  <c r="M303" i="1"/>
  <c r="FI303" i="1" s="1"/>
  <c r="M302" i="1"/>
  <c r="M301" i="1"/>
  <c r="M300" i="1"/>
  <c r="FI300" i="1" s="1"/>
  <c r="M297" i="1"/>
  <c r="FI297" i="1" s="1"/>
  <c r="M296" i="1"/>
  <c r="FI296" i="1" s="1"/>
  <c r="M292" i="1"/>
  <c r="FI292" i="1" s="1"/>
  <c r="M291" i="1"/>
  <c r="FI291" i="1" s="1"/>
  <c r="M289" i="1"/>
  <c r="FI289" i="1" s="1"/>
  <c r="M288" i="1"/>
  <c r="FI288" i="1" s="1"/>
  <c r="M285" i="1"/>
  <c r="FI285" i="1" s="1"/>
  <c r="M284" i="1"/>
  <c r="M283" i="1"/>
  <c r="FI283" i="1" s="1"/>
  <c r="M282" i="1"/>
  <c r="FI282" i="1" s="1"/>
  <c r="M281" i="1"/>
  <c r="FI281" i="1" s="1"/>
  <c r="M280" i="1"/>
  <c r="FI280" i="1" s="1"/>
  <c r="M279" i="1"/>
  <c r="FI279" i="1" s="1"/>
  <c r="M278" i="1"/>
  <c r="FI278" i="1" s="1"/>
  <c r="M277" i="1"/>
  <c r="FI277" i="1" s="1"/>
  <c r="M276" i="1"/>
  <c r="FI276" i="1" s="1"/>
  <c r="M275" i="1"/>
  <c r="FI275" i="1" s="1"/>
  <c r="M273" i="1"/>
  <c r="FI273" i="1" s="1"/>
  <c r="M272" i="1"/>
  <c r="FI272" i="1" s="1"/>
  <c r="M271" i="1"/>
  <c r="FI271" i="1" s="1"/>
  <c r="M268" i="1"/>
  <c r="FI268" i="1" s="1"/>
  <c r="M260" i="1"/>
  <c r="FI260" i="1" s="1"/>
  <c r="M258" i="1"/>
  <c r="FI258" i="1" s="1"/>
  <c r="M255" i="1"/>
  <c r="FI255" i="1" s="1"/>
  <c r="M254" i="1"/>
  <c r="FI254" i="1" s="1"/>
  <c r="M249" i="1"/>
  <c r="FI249" i="1" s="1"/>
  <c r="M247" i="1"/>
  <c r="FI247" i="1" s="1"/>
  <c r="M245" i="1"/>
  <c r="FI245" i="1" s="1"/>
  <c r="M243" i="1"/>
  <c r="FI243" i="1" s="1"/>
  <c r="M240" i="1"/>
  <c r="FI240" i="1" s="1"/>
  <c r="M236" i="1"/>
  <c r="FI236" i="1" s="1"/>
  <c r="M235" i="1"/>
  <c r="FI235" i="1" s="1"/>
  <c r="M234" i="1"/>
  <c r="FI234" i="1" s="1"/>
  <c r="M231" i="1"/>
  <c r="FI231" i="1" s="1"/>
  <c r="M227" i="1"/>
  <c r="FI227" i="1" s="1"/>
  <c r="M226" i="1"/>
  <c r="FI226" i="1" s="1"/>
  <c r="M224" i="1"/>
  <c r="FI224" i="1" s="1"/>
  <c r="M223" i="1"/>
  <c r="FI223" i="1" s="1"/>
  <c r="M218" i="1"/>
  <c r="FI218" i="1" s="1"/>
  <c r="M217" i="1"/>
  <c r="FI217" i="1" s="1"/>
  <c r="M209" i="1"/>
  <c r="FI209" i="1" s="1"/>
  <c r="M208" i="1"/>
  <c r="FI208" i="1" s="1"/>
  <c r="M207" i="1"/>
  <c r="FI207" i="1" s="1"/>
  <c r="M206" i="1"/>
  <c r="FI206" i="1" s="1"/>
  <c r="M205" i="1"/>
  <c r="FI205" i="1" s="1"/>
  <c r="M204" i="1"/>
  <c r="FI204" i="1" s="1"/>
  <c r="M202" i="1"/>
  <c r="FI202" i="1" s="1"/>
  <c r="M201" i="1"/>
  <c r="FI201" i="1" s="1"/>
  <c r="M198" i="1"/>
  <c r="FI198" i="1" s="1"/>
  <c r="M197" i="1"/>
  <c r="FI197" i="1" s="1"/>
  <c r="M196" i="1"/>
  <c r="FI196" i="1" s="1"/>
  <c r="M195" i="1"/>
  <c r="FI195" i="1" s="1"/>
  <c r="M191" i="1"/>
  <c r="FI191" i="1" s="1"/>
  <c r="M189" i="1"/>
  <c r="FI189" i="1" s="1"/>
  <c r="M183" i="1"/>
  <c r="FI183" i="1" s="1"/>
  <c r="M180" i="1"/>
  <c r="FI180" i="1" s="1"/>
  <c r="M167" i="1"/>
  <c r="FI167" i="1" s="1"/>
  <c r="M166" i="1"/>
  <c r="FI166" i="1" s="1"/>
  <c r="M164" i="1"/>
  <c r="FI164" i="1" s="1"/>
  <c r="M161" i="1"/>
  <c r="FI161" i="1" s="1"/>
  <c r="M159" i="1"/>
  <c r="FI159" i="1" s="1"/>
  <c r="M158" i="1"/>
  <c r="FI158" i="1" s="1"/>
  <c r="M156" i="1"/>
  <c r="FI156" i="1" s="1"/>
  <c r="M155" i="1"/>
  <c r="FI155" i="1" s="1"/>
  <c r="M152" i="1"/>
  <c r="FI152" i="1" s="1"/>
  <c r="M151" i="1"/>
  <c r="FI151" i="1" s="1"/>
  <c r="M148" i="1"/>
  <c r="FI148" i="1" s="1"/>
  <c r="M146" i="1"/>
  <c r="FI146" i="1" s="1"/>
  <c r="M145" i="1"/>
  <c r="FI145" i="1" s="1"/>
  <c r="M144" i="1"/>
  <c r="FI144" i="1" s="1"/>
  <c r="M143" i="1"/>
  <c r="FI143" i="1" s="1"/>
  <c r="M141" i="1"/>
  <c r="FI141" i="1" s="1"/>
  <c r="M140" i="1"/>
  <c r="M139" i="1"/>
  <c r="FI139" i="1" s="1"/>
  <c r="M134" i="1"/>
  <c r="FI134" i="1" s="1"/>
  <c r="M133" i="1"/>
  <c r="FI133" i="1" s="1"/>
  <c r="M126" i="1"/>
  <c r="FI126" i="1" s="1"/>
  <c r="M125" i="1"/>
  <c r="FI125" i="1" s="1"/>
  <c r="M118" i="1"/>
  <c r="FI118" i="1" s="1"/>
  <c r="M117" i="1"/>
  <c r="FI117" i="1" s="1"/>
  <c r="M115" i="1"/>
  <c r="FI115" i="1" s="1"/>
  <c r="M112" i="1"/>
  <c r="FI112" i="1" s="1"/>
  <c r="M111" i="1"/>
  <c r="FI111" i="1" s="1"/>
  <c r="M108" i="1"/>
  <c r="FI108" i="1" s="1"/>
  <c r="M107" i="1"/>
  <c r="FI107" i="1" s="1"/>
  <c r="M105" i="1"/>
  <c r="FI105" i="1" s="1"/>
  <c r="M104" i="1"/>
  <c r="FI104" i="1" s="1"/>
  <c r="M102" i="1"/>
  <c r="FI102" i="1" s="1"/>
  <c r="M100" i="1"/>
  <c r="FI100" i="1" s="1"/>
  <c r="M95" i="1"/>
  <c r="FI95" i="1" s="1"/>
  <c r="M76" i="1"/>
  <c r="FI76" i="1" s="1"/>
  <c r="M74" i="1"/>
  <c r="FI74" i="1" s="1"/>
  <c r="M73" i="1"/>
  <c r="FI73" i="1" s="1"/>
  <c r="M72" i="1"/>
  <c r="FI72" i="1" s="1"/>
  <c r="M71" i="1"/>
  <c r="FI71" i="1" s="1"/>
  <c r="M70" i="1"/>
  <c r="FI70" i="1" s="1"/>
  <c r="M69" i="1"/>
  <c r="FI69" i="1" s="1"/>
  <c r="M66" i="1"/>
  <c r="FI66" i="1" s="1"/>
  <c r="M65" i="1"/>
  <c r="FI65" i="1" s="1"/>
  <c r="M64" i="1"/>
  <c r="FI64" i="1" s="1"/>
  <c r="M63" i="1"/>
  <c r="M62" i="1"/>
  <c r="FI62" i="1" s="1"/>
  <c r="M61" i="1"/>
  <c r="FI61" i="1" s="1"/>
  <c r="M60" i="1"/>
  <c r="FI60" i="1" s="1"/>
  <c r="M59" i="1"/>
  <c r="FI59" i="1" s="1"/>
  <c r="M58" i="1"/>
  <c r="FI58" i="1" s="1"/>
  <c r="M57" i="1"/>
  <c r="FI57" i="1" s="1"/>
  <c r="M55" i="1"/>
  <c r="FI55" i="1" s="1"/>
  <c r="M53" i="1"/>
  <c r="FI53" i="1" s="1"/>
  <c r="M52" i="1"/>
  <c r="FI52" i="1" s="1"/>
  <c r="M51" i="1"/>
  <c r="FI51" i="1" s="1"/>
  <c r="M50" i="1"/>
  <c r="FI50" i="1" s="1"/>
  <c r="M49" i="1"/>
  <c r="FI49" i="1" s="1"/>
  <c r="M46" i="1"/>
  <c r="FI46" i="1" s="1"/>
  <c r="M45" i="1"/>
  <c r="FI45" i="1" s="1"/>
  <c r="M40" i="1"/>
  <c r="FI40" i="1" s="1"/>
  <c r="M36" i="1"/>
  <c r="FI36" i="1" s="1"/>
  <c r="M33" i="1"/>
  <c r="FI33" i="1" s="1"/>
  <c r="M31" i="1"/>
  <c r="FI31" i="1" s="1"/>
  <c r="M27" i="1"/>
  <c r="FI27" i="1" s="1"/>
  <c r="M25" i="1"/>
  <c r="FI25" i="1" s="1"/>
  <c r="M24" i="1"/>
  <c r="FI24" i="1" s="1"/>
  <c r="M23" i="1"/>
  <c r="FI23" i="1" s="1"/>
  <c r="M22" i="1"/>
  <c r="FI22" i="1" s="1"/>
  <c r="M21" i="1"/>
  <c r="FI21" i="1" s="1"/>
  <c r="M15" i="1"/>
  <c r="FI15" i="1" s="1"/>
  <c r="M14" i="1"/>
  <c r="FI14" i="1" s="1"/>
  <c r="M13" i="1"/>
  <c r="FI13" i="1" s="1"/>
  <c r="M11" i="1"/>
  <c r="FI11" i="1" s="1"/>
  <c r="M9" i="1"/>
  <c r="FI9" i="1" s="1"/>
  <c r="M8" i="1"/>
  <c r="FI8" i="1" s="1"/>
  <c r="M7" i="1"/>
  <c r="FI7" i="1" s="1"/>
  <c r="M6" i="1"/>
  <c r="FI6" i="1" s="1"/>
  <c r="M5" i="1"/>
  <c r="FI5" i="1" s="1"/>
  <c r="M3" i="1"/>
  <c r="FI3" i="1" s="1"/>
  <c r="FI805" i="1"/>
  <c r="BW805" i="1"/>
  <c r="BX805" i="1" s="1"/>
  <c r="CI805" i="1"/>
  <c r="CJ805" i="1" s="1"/>
  <c r="FI804" i="1"/>
  <c r="BW804" i="1"/>
  <c r="BX804" i="1" s="1"/>
  <c r="CI804" i="1"/>
  <c r="CJ804" i="1" s="1"/>
  <c r="FI803" i="1"/>
  <c r="BW803" i="1"/>
  <c r="BX803" i="1" s="1"/>
  <c r="CI803" i="1"/>
  <c r="CJ803" i="1" s="1"/>
  <c r="FI802" i="1"/>
  <c r="BW802" i="1"/>
  <c r="BX802" i="1" s="1"/>
  <c r="CI802" i="1"/>
  <c r="CJ802" i="1" s="1"/>
  <c r="FI801" i="1"/>
  <c r="BW801" i="1"/>
  <c r="BX801" i="1" s="1"/>
  <c r="CI801" i="1"/>
  <c r="CJ801" i="1" s="1"/>
  <c r="FI800" i="1"/>
  <c r="BW800" i="1"/>
  <c r="BX800" i="1" s="1"/>
  <c r="CI800" i="1"/>
  <c r="CJ800" i="1" s="1"/>
  <c r="FI799" i="1"/>
  <c r="BW799" i="1"/>
  <c r="BX799" i="1" s="1"/>
  <c r="CI799" i="1"/>
  <c r="CJ799" i="1" s="1"/>
  <c r="FI798" i="1"/>
  <c r="BW798" i="1"/>
  <c r="BX798" i="1" s="1"/>
  <c r="CI798" i="1"/>
  <c r="CJ798" i="1" s="1"/>
  <c r="FI797" i="1"/>
  <c r="BW797" i="1"/>
  <c r="BX797" i="1" s="1"/>
  <c r="CI797" i="1"/>
  <c r="CJ797" i="1" s="1"/>
  <c r="FI796" i="1"/>
  <c r="BW796" i="1"/>
  <c r="BX796" i="1" s="1"/>
  <c r="CI796" i="1"/>
  <c r="CJ796" i="1" s="1"/>
  <c r="FI795" i="1"/>
  <c r="BW795" i="1"/>
  <c r="BX795" i="1" s="1"/>
  <c r="CI795" i="1"/>
  <c r="CJ795" i="1" s="1"/>
  <c r="FI794" i="1"/>
  <c r="FH794" i="1"/>
  <c r="FI793" i="1"/>
  <c r="BW793" i="1"/>
  <c r="BX793" i="1" s="1"/>
  <c r="CI793" i="1"/>
  <c r="CJ793" i="1" s="1"/>
  <c r="FI792" i="1"/>
  <c r="BW792" i="1"/>
  <c r="BX792" i="1" s="1"/>
  <c r="CI792" i="1"/>
  <c r="CJ792" i="1" s="1"/>
  <c r="FI791" i="1"/>
  <c r="BW791" i="1"/>
  <c r="BX791" i="1" s="1"/>
  <c r="CI791" i="1"/>
  <c r="CJ791" i="1" s="1"/>
  <c r="FI790" i="1"/>
  <c r="BW790" i="1"/>
  <c r="BX790" i="1" s="1"/>
  <c r="CI790" i="1"/>
  <c r="CJ790" i="1" s="1"/>
  <c r="FI789" i="1"/>
  <c r="BW789" i="1"/>
  <c r="BX789" i="1" s="1"/>
  <c r="CI789" i="1"/>
  <c r="CJ789" i="1" s="1"/>
  <c r="FI788" i="1"/>
  <c r="BW788" i="1"/>
  <c r="BX788" i="1" s="1"/>
  <c r="CI788" i="1"/>
  <c r="CJ788" i="1" s="1"/>
  <c r="FI787" i="1"/>
  <c r="BW787" i="1"/>
  <c r="BX787" i="1" s="1"/>
  <c r="CI787" i="1"/>
  <c r="CJ787" i="1" s="1"/>
  <c r="FI786" i="1"/>
  <c r="BW786" i="1"/>
  <c r="BX786" i="1" s="1"/>
  <c r="CI786" i="1"/>
  <c r="CJ786" i="1" s="1"/>
  <c r="FI785" i="1"/>
  <c r="BW785" i="1"/>
  <c r="BX785" i="1" s="1"/>
  <c r="CI785" i="1"/>
  <c r="CJ785" i="1" s="1"/>
  <c r="FI784" i="1"/>
  <c r="BW784" i="1"/>
  <c r="BX784" i="1" s="1"/>
  <c r="CI784" i="1"/>
  <c r="CJ784" i="1" s="1"/>
  <c r="FI783" i="1"/>
  <c r="BW783" i="1"/>
  <c r="BX783" i="1" s="1"/>
  <c r="CI783" i="1"/>
  <c r="CJ783" i="1" s="1"/>
  <c r="FI782" i="1"/>
  <c r="BW782" i="1"/>
  <c r="BX782" i="1" s="1"/>
  <c r="CI782" i="1"/>
  <c r="CJ782" i="1" s="1"/>
  <c r="FI781" i="1"/>
  <c r="BW781" i="1"/>
  <c r="BX781" i="1" s="1"/>
  <c r="CI781" i="1"/>
  <c r="CJ781" i="1" s="1"/>
  <c r="FI780" i="1"/>
  <c r="BW780" i="1"/>
  <c r="BX780" i="1" s="1"/>
  <c r="CI780" i="1"/>
  <c r="CJ780" i="1" s="1"/>
  <c r="FI779" i="1"/>
  <c r="BW779" i="1"/>
  <c r="BX779" i="1" s="1"/>
  <c r="CI779" i="1"/>
  <c r="CJ779" i="1" s="1"/>
  <c r="FI778" i="1"/>
  <c r="BW778" i="1"/>
  <c r="BX778" i="1" s="1"/>
  <c r="CI778" i="1"/>
  <c r="CJ778" i="1" s="1"/>
  <c r="FI777" i="1"/>
  <c r="BW777" i="1"/>
  <c r="BX777" i="1" s="1"/>
  <c r="CI777" i="1"/>
  <c r="CJ777" i="1" s="1"/>
  <c r="FI776" i="1"/>
  <c r="BW776" i="1"/>
  <c r="BX776" i="1" s="1"/>
  <c r="CI776" i="1"/>
  <c r="CJ776" i="1" s="1"/>
  <c r="FI775" i="1"/>
  <c r="BW775" i="1"/>
  <c r="BX775" i="1" s="1"/>
  <c r="CI775" i="1"/>
  <c r="CJ775" i="1" s="1"/>
  <c r="FI774" i="1"/>
  <c r="BW774" i="1"/>
  <c r="BX774" i="1" s="1"/>
  <c r="CI774" i="1"/>
  <c r="CJ774" i="1" s="1"/>
  <c r="FI773" i="1"/>
  <c r="O773" i="1"/>
  <c r="P773" i="1" s="1"/>
  <c r="BW773" i="1"/>
  <c r="BX773" i="1" s="1"/>
  <c r="CI773" i="1"/>
  <c r="CJ773" i="1" s="1"/>
  <c r="FI772" i="1"/>
  <c r="O772" i="1"/>
  <c r="P772" i="1" s="1"/>
  <c r="BW772" i="1"/>
  <c r="BX772" i="1" s="1"/>
  <c r="CI772" i="1"/>
  <c r="CJ772" i="1" s="1"/>
  <c r="FI771" i="1"/>
  <c r="O771" i="1"/>
  <c r="P771" i="1" s="1"/>
  <c r="AM771" i="1"/>
  <c r="AN771" i="1" s="1"/>
  <c r="BW771" i="1"/>
  <c r="BX771" i="1" s="1"/>
  <c r="FI770" i="1"/>
  <c r="AY770" i="1"/>
  <c r="AZ770" i="1" s="1"/>
  <c r="BW770" i="1"/>
  <c r="BX770" i="1" s="1"/>
  <c r="CI770" i="1"/>
  <c r="CJ770" i="1" s="1"/>
  <c r="FI769" i="1"/>
  <c r="O769" i="1"/>
  <c r="P769" i="1" s="1"/>
  <c r="BW769" i="1"/>
  <c r="BX769" i="1" s="1"/>
  <c r="FI768" i="1"/>
  <c r="O768" i="1"/>
  <c r="P768" i="1" s="1"/>
  <c r="BW768" i="1"/>
  <c r="BX768" i="1" s="1"/>
  <c r="FI767" i="1"/>
  <c r="O767" i="1"/>
  <c r="P767" i="1" s="1"/>
  <c r="BW767" i="1"/>
  <c r="BX767" i="1" s="1"/>
  <c r="CI767" i="1"/>
  <c r="CJ767" i="1" s="1"/>
  <c r="FI766" i="1"/>
  <c r="O766" i="1"/>
  <c r="P766" i="1" s="1"/>
  <c r="BW766" i="1"/>
  <c r="BX766" i="1" s="1"/>
  <c r="CI766" i="1"/>
  <c r="CJ766" i="1" s="1"/>
  <c r="FI765" i="1"/>
  <c r="O765" i="1"/>
  <c r="P765" i="1" s="1"/>
  <c r="BW765" i="1"/>
  <c r="BX765" i="1" s="1"/>
  <c r="FI764" i="1"/>
  <c r="O764" i="1"/>
  <c r="P764" i="1" s="1"/>
  <c r="BW764" i="1"/>
  <c r="BX764" i="1" s="1"/>
  <c r="CI764" i="1"/>
  <c r="CJ764" i="1" s="1"/>
  <c r="FI763" i="1"/>
  <c r="O763" i="1"/>
  <c r="P763" i="1" s="1"/>
  <c r="BW763" i="1"/>
  <c r="BX763" i="1" s="1"/>
  <c r="CI763" i="1"/>
  <c r="CJ763" i="1" s="1"/>
  <c r="FI762" i="1"/>
  <c r="O762" i="1"/>
  <c r="P762" i="1" s="1"/>
  <c r="BW762" i="1"/>
  <c r="BX762" i="1" s="1"/>
  <c r="CI762" i="1"/>
  <c r="CJ762" i="1" s="1"/>
  <c r="FI761" i="1"/>
  <c r="O761" i="1"/>
  <c r="P761" i="1" s="1"/>
  <c r="BW761" i="1"/>
  <c r="BX761" i="1" s="1"/>
  <c r="CI761" i="1"/>
  <c r="CJ761" i="1" s="1"/>
  <c r="FI759" i="1"/>
  <c r="FH759" i="1"/>
  <c r="FI758" i="1"/>
  <c r="FH758" i="1"/>
  <c r="FI757" i="1"/>
  <c r="FH757" i="1"/>
  <c r="FI756" i="1"/>
  <c r="BW756" i="1"/>
  <c r="BX756" i="1" s="1"/>
  <c r="CI756" i="1"/>
  <c r="CJ756" i="1" s="1"/>
  <c r="FI755" i="1"/>
  <c r="FH755" i="1"/>
  <c r="FI754" i="1"/>
  <c r="BW754" i="1"/>
  <c r="BX754" i="1" s="1"/>
  <c r="CI754" i="1"/>
  <c r="CJ754" i="1" s="1"/>
  <c r="FI753" i="1"/>
  <c r="BW753" i="1"/>
  <c r="BX753" i="1" s="1"/>
  <c r="CI753" i="1"/>
  <c r="CJ753" i="1" s="1"/>
  <c r="FI752" i="1"/>
  <c r="FH752" i="1"/>
  <c r="FI751" i="1"/>
  <c r="BW751" i="1"/>
  <c r="BX751" i="1" s="1"/>
  <c r="CI751" i="1"/>
  <c r="CJ751" i="1" s="1"/>
  <c r="FI750" i="1"/>
  <c r="FH750" i="1"/>
  <c r="FI749" i="1"/>
  <c r="BW749" i="1"/>
  <c r="BX749" i="1" s="1"/>
  <c r="CI749" i="1"/>
  <c r="CJ749" i="1" s="1"/>
  <c r="FI748" i="1"/>
  <c r="BW748" i="1"/>
  <c r="BX748" i="1" s="1"/>
  <c r="CI748" i="1"/>
  <c r="CJ748" i="1" s="1"/>
  <c r="FI747" i="1"/>
  <c r="BW747" i="1"/>
  <c r="BX747" i="1" s="1"/>
  <c r="CI747" i="1"/>
  <c r="CJ747" i="1" s="1"/>
  <c r="FI746" i="1"/>
  <c r="BW746" i="1"/>
  <c r="BX746" i="1" s="1"/>
  <c r="CI746" i="1"/>
  <c r="CJ746" i="1" s="1"/>
  <c r="CO746" i="1"/>
  <c r="CP746" i="1" s="1"/>
  <c r="FI745" i="1"/>
  <c r="BW745" i="1"/>
  <c r="BX745" i="1" s="1"/>
  <c r="CI745" i="1"/>
  <c r="CJ745" i="1" s="1"/>
  <c r="FI744" i="1"/>
  <c r="BW744" i="1"/>
  <c r="BX744" i="1" s="1"/>
  <c r="CI744" i="1"/>
  <c r="CJ744" i="1" s="1"/>
  <c r="CU744" i="1"/>
  <c r="CV744" i="1" s="1"/>
  <c r="FI743" i="1"/>
  <c r="BW743" i="1"/>
  <c r="BX743" i="1" s="1"/>
  <c r="CI743" i="1"/>
  <c r="CJ743" i="1" s="1"/>
  <c r="FI742" i="1"/>
  <c r="O742" i="1"/>
  <c r="P742" i="1" s="1"/>
  <c r="BW742" i="1"/>
  <c r="BX742" i="1" s="1"/>
  <c r="CI742" i="1"/>
  <c r="CJ742" i="1" s="1"/>
  <c r="FI741" i="1"/>
  <c r="O741" i="1"/>
  <c r="P741" i="1" s="1"/>
  <c r="BW741" i="1"/>
  <c r="BX741" i="1" s="1"/>
  <c r="CI741" i="1"/>
  <c r="CJ741" i="1" s="1"/>
  <c r="FI740" i="1"/>
  <c r="O740" i="1"/>
  <c r="P740" i="1" s="1"/>
  <c r="BW740" i="1"/>
  <c r="BX740" i="1" s="1"/>
  <c r="CI740" i="1"/>
  <c r="CJ740" i="1" s="1"/>
  <c r="FI739" i="1"/>
  <c r="O739" i="1"/>
  <c r="P739" i="1" s="1"/>
  <c r="AM739" i="1"/>
  <c r="AN739" i="1" s="1"/>
  <c r="BW739" i="1"/>
  <c r="BX739" i="1" s="1"/>
  <c r="CI739" i="1"/>
  <c r="CJ739" i="1" s="1"/>
  <c r="FI738" i="1"/>
  <c r="FH738" i="1"/>
  <c r="FI737" i="1"/>
  <c r="BW737" i="1"/>
  <c r="BX737" i="1" s="1"/>
  <c r="CI737" i="1"/>
  <c r="CJ737" i="1" s="1"/>
  <c r="FI736" i="1"/>
  <c r="FH736" i="1"/>
  <c r="FI735" i="1"/>
  <c r="O735" i="1"/>
  <c r="P735" i="1" s="1"/>
  <c r="AM735" i="1"/>
  <c r="AN735" i="1" s="1"/>
  <c r="BW735" i="1"/>
  <c r="BX735" i="1" s="1"/>
  <c r="CI735" i="1"/>
  <c r="CJ735" i="1" s="1"/>
  <c r="FI734" i="1"/>
  <c r="O734" i="1"/>
  <c r="P734" i="1" s="1"/>
  <c r="BW734" i="1"/>
  <c r="BX734" i="1" s="1"/>
  <c r="CI734" i="1"/>
  <c r="CJ734" i="1" s="1"/>
  <c r="FI733" i="1"/>
  <c r="O733" i="1"/>
  <c r="P733" i="1" s="1"/>
  <c r="BW733" i="1"/>
  <c r="BX733" i="1" s="1"/>
  <c r="CI733" i="1"/>
  <c r="CJ733" i="1" s="1"/>
  <c r="FI732" i="1"/>
  <c r="BW732" i="1"/>
  <c r="BX732" i="1" s="1"/>
  <c r="CI732" i="1"/>
  <c r="CJ732" i="1" s="1"/>
  <c r="FI731" i="1"/>
  <c r="O731" i="1"/>
  <c r="P731" i="1" s="1"/>
  <c r="AM731" i="1"/>
  <c r="AN731" i="1" s="1"/>
  <c r="BW731" i="1"/>
  <c r="BX731" i="1" s="1"/>
  <c r="CI731" i="1"/>
  <c r="CJ731" i="1" s="1"/>
  <c r="FI730" i="1"/>
  <c r="O730" i="1"/>
  <c r="P730" i="1" s="1"/>
  <c r="AM730" i="1"/>
  <c r="AN730" i="1" s="1"/>
  <c r="BW730" i="1"/>
  <c r="BX730" i="1" s="1"/>
  <c r="CI730" i="1"/>
  <c r="CJ730" i="1" s="1"/>
  <c r="FI729" i="1"/>
  <c r="BW729" i="1"/>
  <c r="BX729" i="1" s="1"/>
  <c r="CI729" i="1"/>
  <c r="CJ729" i="1" s="1"/>
  <c r="FI728" i="1"/>
  <c r="BW728" i="1"/>
  <c r="BX728" i="1" s="1"/>
  <c r="CI728" i="1"/>
  <c r="CJ728" i="1" s="1"/>
  <c r="FI727" i="1"/>
  <c r="AM727" i="1"/>
  <c r="AN727" i="1" s="1"/>
  <c r="BW727" i="1"/>
  <c r="BX727" i="1" s="1"/>
  <c r="CI727" i="1"/>
  <c r="CJ727" i="1" s="1"/>
  <c r="FI726" i="1"/>
  <c r="BQ726" i="1"/>
  <c r="BR726" i="1" s="1"/>
  <c r="FH726" i="1" s="1"/>
  <c r="FI725" i="1"/>
  <c r="FH725" i="1"/>
  <c r="FI724" i="1"/>
  <c r="FH724" i="1"/>
  <c r="FI723" i="1"/>
  <c r="FH723" i="1"/>
  <c r="FI722" i="1"/>
  <c r="BW722" i="1"/>
  <c r="BX722" i="1" s="1"/>
  <c r="CI722" i="1"/>
  <c r="CJ722" i="1" s="1"/>
  <c r="FI721" i="1"/>
  <c r="BW721" i="1"/>
  <c r="BX721" i="1" s="1"/>
  <c r="CI721" i="1"/>
  <c r="CJ721" i="1" s="1"/>
  <c r="FI720" i="1"/>
  <c r="O720" i="1"/>
  <c r="P720" i="1" s="1"/>
  <c r="BW720" i="1"/>
  <c r="BX720" i="1" s="1"/>
  <c r="FI719" i="1"/>
  <c r="BW719" i="1"/>
  <c r="BX719" i="1" s="1"/>
  <c r="CI719" i="1"/>
  <c r="CJ719" i="1" s="1"/>
  <c r="FI718" i="1"/>
  <c r="FH718" i="1"/>
  <c r="FI717" i="1"/>
  <c r="BW717" i="1"/>
  <c r="BX717" i="1" s="1"/>
  <c r="CI717" i="1"/>
  <c r="CJ717" i="1" s="1"/>
  <c r="FI716" i="1"/>
  <c r="O716" i="1"/>
  <c r="P716" i="1" s="1"/>
  <c r="BW716" i="1"/>
  <c r="BX716" i="1" s="1"/>
  <c r="FI715" i="1"/>
  <c r="O715" i="1"/>
  <c r="P715" i="1" s="1"/>
  <c r="BW715" i="1"/>
  <c r="BX715" i="1" s="1"/>
  <c r="FI714" i="1"/>
  <c r="O714" i="1"/>
  <c r="P714" i="1" s="1"/>
  <c r="BW714" i="1"/>
  <c r="BX714" i="1" s="1"/>
  <c r="FI713" i="1"/>
  <c r="BW713" i="1"/>
  <c r="BX713" i="1" s="1"/>
  <c r="CI713" i="1"/>
  <c r="CJ713" i="1" s="1"/>
  <c r="FI712" i="1"/>
  <c r="BW712" i="1"/>
  <c r="BX712" i="1" s="1"/>
  <c r="CI712" i="1"/>
  <c r="CJ712" i="1" s="1"/>
  <c r="FI711" i="1"/>
  <c r="BW711" i="1"/>
  <c r="BX711" i="1" s="1"/>
  <c r="CI711" i="1"/>
  <c r="CJ711" i="1" s="1"/>
  <c r="FI710" i="1"/>
  <c r="BW710" i="1"/>
  <c r="BX710" i="1" s="1"/>
  <c r="CI710" i="1"/>
  <c r="CJ710" i="1" s="1"/>
  <c r="FI709" i="1"/>
  <c r="BW709" i="1"/>
  <c r="BX709" i="1" s="1"/>
  <c r="CI709" i="1"/>
  <c r="CJ709" i="1" s="1"/>
  <c r="FI708" i="1"/>
  <c r="FH708" i="1"/>
  <c r="FI707" i="1"/>
  <c r="O707" i="1"/>
  <c r="P707" i="1" s="1"/>
  <c r="FH707" i="1" s="1"/>
  <c r="FI706" i="1"/>
  <c r="O706" i="1"/>
  <c r="P706" i="1" s="1"/>
  <c r="FH706" i="1" s="1"/>
  <c r="FI705" i="1"/>
  <c r="BW705" i="1"/>
  <c r="BX705" i="1" s="1"/>
  <c r="CI705" i="1"/>
  <c r="CJ705" i="1" s="1"/>
  <c r="FI704" i="1"/>
  <c r="O704" i="1"/>
  <c r="P704" i="1" s="1"/>
  <c r="BW704" i="1"/>
  <c r="BX704" i="1" s="1"/>
  <c r="FI703" i="1"/>
  <c r="BW703" i="1"/>
  <c r="BX703" i="1" s="1"/>
  <c r="CI703" i="1"/>
  <c r="CJ703" i="1" s="1"/>
  <c r="FI702" i="1"/>
  <c r="O702" i="1"/>
  <c r="P702" i="1" s="1"/>
  <c r="BW702" i="1"/>
  <c r="BX702" i="1" s="1"/>
  <c r="FI701" i="1"/>
  <c r="O701" i="1"/>
  <c r="P701" i="1" s="1"/>
  <c r="BW701" i="1"/>
  <c r="BX701" i="1" s="1"/>
  <c r="CI701" i="1"/>
  <c r="CJ701" i="1" s="1"/>
  <c r="FI700" i="1"/>
  <c r="BW700" i="1"/>
  <c r="BX700" i="1" s="1"/>
  <c r="CI700" i="1"/>
  <c r="CJ700" i="1" s="1"/>
  <c r="FI699" i="1"/>
  <c r="BW699" i="1"/>
  <c r="BX699" i="1" s="1"/>
  <c r="CI699" i="1"/>
  <c r="CJ699" i="1" s="1"/>
  <c r="FI698" i="1"/>
  <c r="O698" i="1"/>
  <c r="P698" i="1" s="1"/>
  <c r="BW698" i="1"/>
  <c r="BX698" i="1" s="1"/>
  <c r="FI697" i="1"/>
  <c r="O697" i="1"/>
  <c r="P697" i="1" s="1"/>
  <c r="BW697" i="1"/>
  <c r="BX697" i="1" s="1"/>
  <c r="FI696" i="1"/>
  <c r="O696" i="1"/>
  <c r="P696" i="1" s="1"/>
  <c r="BW696" i="1"/>
  <c r="BX696" i="1" s="1"/>
  <c r="FI695" i="1"/>
  <c r="BW695" i="1"/>
  <c r="BX695" i="1" s="1"/>
  <c r="CI695" i="1"/>
  <c r="CJ695" i="1" s="1"/>
  <c r="FI694" i="1"/>
  <c r="O694" i="1"/>
  <c r="P694" i="1" s="1"/>
  <c r="BW694" i="1"/>
  <c r="BX694" i="1" s="1"/>
  <c r="CI694" i="1"/>
  <c r="CJ694" i="1" s="1"/>
  <c r="FI693" i="1"/>
  <c r="BW693" i="1"/>
  <c r="BX693" i="1" s="1"/>
  <c r="CI693" i="1"/>
  <c r="CJ693" i="1" s="1"/>
  <c r="FI692" i="1"/>
  <c r="BW692" i="1"/>
  <c r="BX692" i="1" s="1"/>
  <c r="CI692" i="1"/>
  <c r="CJ692" i="1" s="1"/>
  <c r="FI691" i="1"/>
  <c r="BW691" i="1"/>
  <c r="BX691" i="1" s="1"/>
  <c r="CI691" i="1"/>
  <c r="CJ691" i="1" s="1"/>
  <c r="FI690" i="1"/>
  <c r="BW690" i="1"/>
  <c r="BX690" i="1" s="1"/>
  <c r="CI690" i="1"/>
  <c r="CJ690" i="1" s="1"/>
  <c r="CO690" i="1"/>
  <c r="CP690" i="1" s="1"/>
  <c r="FI689" i="1"/>
  <c r="BW689" i="1"/>
  <c r="BX689" i="1" s="1"/>
  <c r="CI689" i="1"/>
  <c r="CJ689" i="1" s="1"/>
  <c r="CO689" i="1"/>
  <c r="CP689" i="1" s="1"/>
  <c r="FI688" i="1"/>
  <c r="BW688" i="1"/>
  <c r="BX688" i="1" s="1"/>
  <c r="CI688" i="1"/>
  <c r="CJ688" i="1" s="1"/>
  <c r="CO688" i="1"/>
  <c r="CP688" i="1" s="1"/>
  <c r="FI687" i="1"/>
  <c r="BW687" i="1"/>
  <c r="BX687" i="1" s="1"/>
  <c r="CI687" i="1"/>
  <c r="CJ687" i="1" s="1"/>
  <c r="CO687" i="1"/>
  <c r="CP687" i="1" s="1"/>
  <c r="FI686" i="1"/>
  <c r="BW686" i="1"/>
  <c r="BX686" i="1" s="1"/>
  <c r="CI686" i="1"/>
  <c r="CJ686" i="1" s="1"/>
  <c r="CO686" i="1"/>
  <c r="CP686" i="1" s="1"/>
  <c r="FI685" i="1"/>
  <c r="BW685" i="1"/>
  <c r="BX685" i="1" s="1"/>
  <c r="CI685" i="1"/>
  <c r="CJ685" i="1" s="1"/>
  <c r="CO685" i="1"/>
  <c r="CP685" i="1" s="1"/>
  <c r="FI684" i="1"/>
  <c r="BW684" i="1"/>
  <c r="BX684" i="1" s="1"/>
  <c r="CO684" i="1"/>
  <c r="CP684" i="1" s="1"/>
  <c r="FI683" i="1"/>
  <c r="BW683" i="1"/>
  <c r="BX683" i="1" s="1"/>
  <c r="CI683" i="1"/>
  <c r="CJ683" i="1" s="1"/>
  <c r="CO683" i="1"/>
  <c r="CP683" i="1" s="1"/>
  <c r="FI682" i="1"/>
  <c r="BW682" i="1"/>
  <c r="BX682" i="1" s="1"/>
  <c r="CI682" i="1"/>
  <c r="CJ682" i="1" s="1"/>
  <c r="CO682" i="1"/>
  <c r="CP682" i="1" s="1"/>
  <c r="FI681" i="1"/>
  <c r="BW681" i="1"/>
  <c r="BX681" i="1" s="1"/>
  <c r="CO681" i="1"/>
  <c r="CP681" i="1" s="1"/>
  <c r="FI680" i="1"/>
  <c r="BW680" i="1"/>
  <c r="BX680" i="1" s="1"/>
  <c r="CI680" i="1"/>
  <c r="CJ680" i="1" s="1"/>
  <c r="CO680" i="1"/>
  <c r="CP680" i="1" s="1"/>
  <c r="FI679" i="1"/>
  <c r="BW679" i="1"/>
  <c r="BX679" i="1" s="1"/>
  <c r="CI679" i="1"/>
  <c r="CJ679" i="1" s="1"/>
  <c r="CO679" i="1"/>
  <c r="CP679" i="1" s="1"/>
  <c r="FI678" i="1"/>
  <c r="BW678" i="1"/>
  <c r="BX678" i="1" s="1"/>
  <c r="CI678" i="1"/>
  <c r="CJ678" i="1" s="1"/>
  <c r="CO678" i="1"/>
  <c r="CP678" i="1" s="1"/>
  <c r="FI677" i="1"/>
  <c r="BW677" i="1"/>
  <c r="BX677" i="1" s="1"/>
  <c r="CI677" i="1"/>
  <c r="CJ677" i="1" s="1"/>
  <c r="CO677" i="1"/>
  <c r="CP677" i="1" s="1"/>
  <c r="FI676" i="1"/>
  <c r="FH676" i="1"/>
  <c r="FI675" i="1"/>
  <c r="BW675" i="1"/>
  <c r="BX675" i="1" s="1"/>
  <c r="CI675" i="1"/>
  <c r="CJ675" i="1" s="1"/>
  <c r="FI674" i="1"/>
  <c r="BW674" i="1"/>
  <c r="BX674" i="1" s="1"/>
  <c r="CI674" i="1"/>
  <c r="CJ674" i="1" s="1"/>
  <c r="FI673" i="1"/>
  <c r="BW673" i="1"/>
  <c r="BX673" i="1" s="1"/>
  <c r="CI673" i="1"/>
  <c r="CJ673" i="1" s="1"/>
  <c r="CO673" i="1"/>
  <c r="CP673" i="1" s="1"/>
  <c r="FI672" i="1"/>
  <c r="AM672" i="1"/>
  <c r="AN672" i="1" s="1"/>
  <c r="BW672" i="1"/>
  <c r="BX672" i="1" s="1"/>
  <c r="CI672" i="1"/>
  <c r="CJ672" i="1" s="1"/>
  <c r="FI671" i="1"/>
  <c r="AM671" i="1"/>
  <c r="AN671" i="1" s="1"/>
  <c r="AY671" i="1"/>
  <c r="AZ671" i="1" s="1"/>
  <c r="BW671" i="1"/>
  <c r="BX671" i="1" s="1"/>
  <c r="CI671" i="1"/>
  <c r="CJ671" i="1" s="1"/>
  <c r="FI670" i="1"/>
  <c r="FH670" i="1"/>
  <c r="FI669" i="1"/>
  <c r="BW669" i="1"/>
  <c r="BX669" i="1" s="1"/>
  <c r="CI669" i="1"/>
  <c r="CJ669" i="1" s="1"/>
  <c r="FI668" i="1"/>
  <c r="O668" i="1"/>
  <c r="P668" i="1" s="1"/>
  <c r="FH668" i="1" s="1"/>
  <c r="FI667" i="1"/>
  <c r="O667" i="1"/>
  <c r="P667" i="1" s="1"/>
  <c r="FH667" i="1" s="1"/>
  <c r="FI666" i="1"/>
  <c r="BW666" i="1"/>
  <c r="BX666" i="1" s="1"/>
  <c r="CI666" i="1"/>
  <c r="CJ666" i="1" s="1"/>
  <c r="CV666" i="1"/>
  <c r="AS665" i="1"/>
  <c r="AT665" i="1" s="1"/>
  <c r="BW665" i="1"/>
  <c r="BX665" i="1" s="1"/>
  <c r="CU665" i="1"/>
  <c r="CV665" i="1" s="1"/>
  <c r="AG664" i="1"/>
  <c r="AH664" i="1" s="1"/>
  <c r="AS664" i="1"/>
  <c r="AT664" i="1" s="1"/>
  <c r="BW664" i="1"/>
  <c r="BX664" i="1" s="1"/>
  <c r="CI664" i="1"/>
  <c r="CJ664" i="1" s="1"/>
  <c r="FI663" i="1"/>
  <c r="BE663" i="1"/>
  <c r="BF663" i="1" s="1"/>
  <c r="BW663" i="1"/>
  <c r="BX663" i="1" s="1"/>
  <c r="CI663" i="1"/>
  <c r="CJ663" i="1" s="1"/>
  <c r="FI662" i="1"/>
  <c r="BE662" i="1"/>
  <c r="BF662" i="1" s="1"/>
  <c r="BW662" i="1"/>
  <c r="BX662" i="1" s="1"/>
  <c r="CI662" i="1"/>
  <c r="CJ662" i="1" s="1"/>
  <c r="AM661" i="1"/>
  <c r="AN661" i="1" s="1"/>
  <c r="AS661" i="1"/>
  <c r="AT661" i="1" s="1"/>
  <c r="BW661" i="1"/>
  <c r="BX661" i="1" s="1"/>
  <c r="CI661" i="1"/>
  <c r="CJ661" i="1" s="1"/>
  <c r="BW660" i="1"/>
  <c r="BX660" i="1" s="1"/>
  <c r="CI660" i="1"/>
  <c r="CJ660" i="1" s="1"/>
  <c r="FI659" i="1"/>
  <c r="FH659" i="1"/>
  <c r="AG658" i="1"/>
  <c r="AH658" i="1" s="1"/>
  <c r="BW658" i="1"/>
  <c r="BX658" i="1" s="1"/>
  <c r="FI657" i="1"/>
  <c r="BW657" i="1"/>
  <c r="BX657" i="1" s="1"/>
  <c r="CI657" i="1"/>
  <c r="CJ657" i="1" s="1"/>
  <c r="FI656" i="1"/>
  <c r="AA656" i="1"/>
  <c r="AB656" i="1" s="1"/>
  <c r="BW656" i="1"/>
  <c r="BX656" i="1" s="1"/>
  <c r="CI656" i="1"/>
  <c r="CJ656" i="1" s="1"/>
  <c r="FI655" i="1"/>
  <c r="AG655" i="1"/>
  <c r="AH655" i="1" s="1"/>
  <c r="FH655" i="1" s="1"/>
  <c r="FI654" i="1"/>
  <c r="AM654" i="1"/>
  <c r="AN654" i="1" s="1"/>
  <c r="BW654" i="1"/>
  <c r="BX654" i="1" s="1"/>
  <c r="CI654" i="1"/>
  <c r="CJ654" i="1" s="1"/>
  <c r="FI653" i="1"/>
  <c r="AG653" i="1"/>
  <c r="AH653" i="1" s="1"/>
  <c r="BW653" i="1"/>
  <c r="BX653" i="1" s="1"/>
  <c r="CC653" i="1"/>
  <c r="CD653" i="1" s="1"/>
  <c r="CI653" i="1"/>
  <c r="CJ653" i="1" s="1"/>
  <c r="AG652" i="1"/>
  <c r="AH652" i="1" s="1"/>
  <c r="AM652" i="1"/>
  <c r="AN652" i="1" s="1"/>
  <c r="FI651" i="1"/>
  <c r="BW651" i="1"/>
  <c r="BX651" i="1" s="1"/>
  <c r="CI651" i="1"/>
  <c r="CJ651" i="1" s="1"/>
  <c r="CV651" i="1"/>
  <c r="U650" i="1"/>
  <c r="V650" i="1" s="1"/>
  <c r="AG650" i="1"/>
  <c r="AH650" i="1" s="1"/>
  <c r="AM650" i="1"/>
  <c r="AN650" i="1" s="1"/>
  <c r="AS650" i="1"/>
  <c r="AT650" i="1" s="1"/>
  <c r="BQ650" i="1"/>
  <c r="BR650" i="1" s="1"/>
  <c r="BW650" i="1"/>
  <c r="BX650" i="1" s="1"/>
  <c r="CI650" i="1"/>
  <c r="CJ650" i="1" s="1"/>
  <c r="AG649" i="1"/>
  <c r="AH649" i="1" s="1"/>
  <c r="AM649" i="1"/>
  <c r="AN649" i="1" s="1"/>
  <c r="AS649" i="1"/>
  <c r="AT649" i="1" s="1"/>
  <c r="AY649" i="1"/>
  <c r="AZ649" i="1" s="1"/>
  <c r="BW649" i="1"/>
  <c r="BX649" i="1" s="1"/>
  <c r="CI649" i="1"/>
  <c r="CJ649" i="1" s="1"/>
  <c r="U648" i="1"/>
  <c r="V648" i="1" s="1"/>
  <c r="AM648" i="1"/>
  <c r="AN648" i="1" s="1"/>
  <c r="AS648" i="1"/>
  <c r="AT648" i="1" s="1"/>
  <c r="AY648" i="1"/>
  <c r="AZ648" i="1" s="1"/>
  <c r="BQ648" i="1"/>
  <c r="BR648" i="1" s="1"/>
  <c r="BW648" i="1"/>
  <c r="BX648" i="1" s="1"/>
  <c r="CI648" i="1"/>
  <c r="CJ648" i="1" s="1"/>
  <c r="FI647" i="1"/>
  <c r="U647" i="1"/>
  <c r="V647" i="1" s="1"/>
  <c r="AS647" i="1"/>
  <c r="AT647" i="1" s="1"/>
  <c r="BQ647" i="1"/>
  <c r="BR647" i="1" s="1"/>
  <c r="FI646" i="1"/>
  <c r="U646" i="1"/>
  <c r="V646" i="1" s="1"/>
  <c r="BQ646" i="1"/>
  <c r="BR646" i="1" s="1"/>
  <c r="BW646" i="1"/>
  <c r="BX646" i="1" s="1"/>
  <c r="CI646" i="1"/>
  <c r="CJ646" i="1" s="1"/>
  <c r="CU646" i="1"/>
  <c r="CV646" i="1" s="1"/>
  <c r="FI645" i="1"/>
  <c r="U645" i="1"/>
  <c r="V645" i="1" s="1"/>
  <c r="FH645" i="1" s="1"/>
  <c r="FI644" i="1"/>
  <c r="U644" i="1"/>
  <c r="V644" i="1" s="1"/>
  <c r="FH644" i="1" s="1"/>
  <c r="AM643" i="1"/>
  <c r="AN643" i="1" s="1"/>
  <c r="AS643" i="1"/>
  <c r="AT643" i="1" s="1"/>
  <c r="BQ643" i="1"/>
  <c r="BR643" i="1" s="1"/>
  <c r="BW643" i="1"/>
  <c r="BX643" i="1" s="1"/>
  <c r="CI643" i="1"/>
  <c r="CJ643" i="1" s="1"/>
  <c r="FI642" i="1"/>
  <c r="AS642" i="1"/>
  <c r="AT642" i="1" s="1"/>
  <c r="BQ642" i="1"/>
  <c r="BR642" i="1" s="1"/>
  <c r="BW642" i="1"/>
  <c r="BX642" i="1" s="1"/>
  <c r="AS641" i="1"/>
  <c r="AT641" i="1" s="1"/>
  <c r="BW641" i="1"/>
  <c r="BX641" i="1" s="1"/>
  <c r="FI640" i="1"/>
  <c r="BW640" i="1"/>
  <c r="BX640" i="1" s="1"/>
  <c r="CI640" i="1"/>
  <c r="CJ640" i="1" s="1"/>
  <c r="FI639" i="1"/>
  <c r="BW639" i="1"/>
  <c r="BX639" i="1" s="1"/>
  <c r="CI639" i="1"/>
  <c r="CJ639" i="1" s="1"/>
  <c r="O638" i="1"/>
  <c r="P638" i="1" s="1"/>
  <c r="AH638" i="1"/>
  <c r="BW638" i="1"/>
  <c r="BX638" i="1" s="1"/>
  <c r="AG637" i="1"/>
  <c r="AH637" i="1" s="1"/>
  <c r="AM637" i="1"/>
  <c r="AN637" i="1" s="1"/>
  <c r="AS637" i="1"/>
  <c r="AT637" i="1" s="1"/>
  <c r="BW637" i="1"/>
  <c r="BX637" i="1" s="1"/>
  <c r="CI637" i="1"/>
  <c r="CJ637" i="1" s="1"/>
  <c r="AH636" i="1"/>
  <c r="BW636" i="1"/>
  <c r="BX636" i="1" s="1"/>
  <c r="CC636" i="1"/>
  <c r="CD636" i="1" s="1"/>
  <c r="CI636" i="1"/>
  <c r="CJ636" i="1" s="1"/>
  <c r="AG635" i="1"/>
  <c r="AH635" i="1" s="1"/>
  <c r="AM635" i="1"/>
  <c r="AN635" i="1" s="1"/>
  <c r="AS635" i="1"/>
  <c r="AT635" i="1" s="1"/>
  <c r="BW635" i="1"/>
  <c r="BX635" i="1" s="1"/>
  <c r="CU635" i="1"/>
  <c r="CV635" i="1" s="1"/>
  <c r="BW634" i="1"/>
  <c r="BX634" i="1" s="1"/>
  <c r="CI634" i="1"/>
  <c r="CJ634" i="1" s="1"/>
  <c r="AG633" i="1"/>
  <c r="AH633" i="1" s="1"/>
  <c r="AM633" i="1"/>
  <c r="AN633" i="1" s="1"/>
  <c r="AS633" i="1"/>
  <c r="AT633" i="1" s="1"/>
  <c r="BW633" i="1"/>
  <c r="BX633" i="1" s="1"/>
  <c r="CC633" i="1"/>
  <c r="CD633" i="1" s="1"/>
  <c r="CI633" i="1"/>
  <c r="CJ633" i="1" s="1"/>
  <c r="FI632" i="1"/>
  <c r="AG632" i="1"/>
  <c r="AH632" i="1" s="1"/>
  <c r="AM632" i="1"/>
  <c r="AN632" i="1" s="1"/>
  <c r="AS632" i="1"/>
  <c r="AT632" i="1" s="1"/>
  <c r="BW632" i="1"/>
  <c r="BX632" i="1" s="1"/>
  <c r="CI632" i="1"/>
  <c r="CJ632" i="1" s="1"/>
  <c r="AG631" i="1"/>
  <c r="AH631" i="1" s="1"/>
  <c r="BW631" i="1"/>
  <c r="BX631" i="1" s="1"/>
  <c r="CI631" i="1"/>
  <c r="CJ631" i="1" s="1"/>
  <c r="CU631" i="1"/>
  <c r="CV631" i="1" s="1"/>
  <c r="AB630" i="1"/>
  <c r="CU630" i="1"/>
  <c r="CV630" i="1" s="1"/>
  <c r="AG629" i="1"/>
  <c r="AH629" i="1" s="1"/>
  <c r="BW629" i="1"/>
  <c r="BX629" i="1" s="1"/>
  <c r="CU629" i="1"/>
  <c r="CV629" i="1" s="1"/>
  <c r="AH628" i="1"/>
  <c r="BW628" i="1"/>
  <c r="BX628" i="1" s="1"/>
  <c r="CI628" i="1"/>
  <c r="CJ628" i="1" s="1"/>
  <c r="FI627" i="1"/>
  <c r="AG627" i="1"/>
  <c r="AH627" i="1" s="1"/>
  <c r="AM627" i="1"/>
  <c r="AN627" i="1" s="1"/>
  <c r="AS627" i="1"/>
  <c r="AT627" i="1" s="1"/>
  <c r="AY627" i="1"/>
  <c r="AZ627" i="1" s="1"/>
  <c r="BW627" i="1"/>
  <c r="BX627" i="1" s="1"/>
  <c r="FI626" i="1"/>
  <c r="FH626" i="1"/>
  <c r="FI625" i="1"/>
  <c r="FH625" i="1"/>
  <c r="FI624" i="1"/>
  <c r="U624" i="1"/>
  <c r="V624" i="1" s="1"/>
  <c r="AS624" i="1"/>
  <c r="AT624" i="1" s="1"/>
  <c r="BQ624" i="1"/>
  <c r="BR624" i="1" s="1"/>
  <c r="FI623" i="1"/>
  <c r="U623" i="1"/>
  <c r="V623" i="1" s="1"/>
  <c r="AS623" i="1"/>
  <c r="AT623" i="1" s="1"/>
  <c r="BQ623" i="1"/>
  <c r="BR623" i="1" s="1"/>
  <c r="FI622" i="1"/>
  <c r="BW622" i="1"/>
  <c r="BX622" i="1" s="1"/>
  <c r="CI622" i="1"/>
  <c r="CJ622" i="1" s="1"/>
  <c r="FI621" i="1"/>
  <c r="FH621" i="1"/>
  <c r="FI620" i="1"/>
  <c r="AS620" i="1"/>
  <c r="AT620" i="1" s="1"/>
  <c r="BQ620" i="1"/>
  <c r="BR620" i="1" s="1"/>
  <c r="BW620" i="1"/>
  <c r="BX620" i="1" s="1"/>
  <c r="FI619" i="1"/>
  <c r="BW619" i="1"/>
  <c r="BX619" i="1" s="1"/>
  <c r="CI619" i="1"/>
  <c r="CJ619" i="1" s="1"/>
  <c r="FI618" i="1"/>
  <c r="AM618" i="1"/>
  <c r="AN618" i="1" s="1"/>
  <c r="AS618" i="1"/>
  <c r="AT618" i="1" s="1"/>
  <c r="BW618" i="1"/>
  <c r="BX618" i="1" s="1"/>
  <c r="CI618" i="1"/>
  <c r="CJ618" i="1" s="1"/>
  <c r="FI617" i="1"/>
  <c r="AG617" i="1"/>
  <c r="AH617" i="1" s="1"/>
  <c r="AM617" i="1"/>
  <c r="AN617" i="1" s="1"/>
  <c r="AY617" i="1"/>
  <c r="AZ617" i="1" s="1"/>
  <c r="BW617" i="1"/>
  <c r="BX617" i="1" s="1"/>
  <c r="CI617" i="1"/>
  <c r="CJ617" i="1" s="1"/>
  <c r="AG616" i="1"/>
  <c r="AH616" i="1" s="1"/>
  <c r="AM616" i="1"/>
  <c r="AN616" i="1" s="1"/>
  <c r="AS616" i="1"/>
  <c r="AT616" i="1" s="1"/>
  <c r="AY616" i="1"/>
  <c r="AZ616" i="1" s="1"/>
  <c r="BW616" i="1"/>
  <c r="BX616" i="1" s="1"/>
  <c r="CC616" i="1"/>
  <c r="CD616" i="1" s="1"/>
  <c r="CI616" i="1"/>
  <c r="CJ616" i="1" s="1"/>
  <c r="AG615" i="1"/>
  <c r="AH615" i="1" s="1"/>
  <c r="AM615" i="1"/>
  <c r="AN615" i="1" s="1"/>
  <c r="AS615" i="1"/>
  <c r="AT615" i="1" s="1"/>
  <c r="AY615" i="1"/>
  <c r="AZ615" i="1" s="1"/>
  <c r="BW615" i="1"/>
  <c r="BX615" i="1" s="1"/>
  <c r="CI615" i="1"/>
  <c r="CJ615" i="1" s="1"/>
  <c r="AG614" i="1"/>
  <c r="AH614" i="1" s="1"/>
  <c r="AM614" i="1"/>
  <c r="AN614" i="1" s="1"/>
  <c r="AS614" i="1"/>
  <c r="AT614" i="1" s="1"/>
  <c r="BW614" i="1"/>
  <c r="BX614" i="1" s="1"/>
  <c r="FI613" i="1"/>
  <c r="AG613" i="1"/>
  <c r="AH613" i="1" s="1"/>
  <c r="AM613" i="1"/>
  <c r="AN613" i="1" s="1"/>
  <c r="AS613" i="1"/>
  <c r="AT613" i="1" s="1"/>
  <c r="BW613" i="1"/>
  <c r="BX613" i="1" s="1"/>
  <c r="CI613" i="1"/>
  <c r="CJ613" i="1" s="1"/>
  <c r="FI612" i="1"/>
  <c r="AM612" i="1"/>
  <c r="AN612" i="1" s="1"/>
  <c r="AS612" i="1"/>
  <c r="AT612" i="1" s="1"/>
  <c r="BW612" i="1"/>
  <c r="BX612" i="1" s="1"/>
  <c r="CI612" i="1"/>
  <c r="CJ612" i="1" s="1"/>
  <c r="FI611" i="1"/>
  <c r="AG611" i="1"/>
  <c r="AH611" i="1" s="1"/>
  <c r="AM611" i="1"/>
  <c r="AN611" i="1" s="1"/>
  <c r="AS611" i="1"/>
  <c r="AT611" i="1" s="1"/>
  <c r="BW611" i="1"/>
  <c r="BX611" i="1" s="1"/>
  <c r="AG610" i="1"/>
  <c r="AH610" i="1" s="1"/>
  <c r="AM610" i="1"/>
  <c r="AN610" i="1" s="1"/>
  <c r="AS610" i="1"/>
  <c r="AT610" i="1" s="1"/>
  <c r="BW610" i="1"/>
  <c r="BX610" i="1" s="1"/>
  <c r="CI610" i="1"/>
  <c r="CJ610" i="1" s="1"/>
  <c r="AS609" i="1"/>
  <c r="AT609" i="1" s="1"/>
  <c r="BW609" i="1"/>
  <c r="BX609" i="1" s="1"/>
  <c r="CI609" i="1"/>
  <c r="CJ609" i="1" s="1"/>
  <c r="FI608" i="1"/>
  <c r="AM608" i="1"/>
  <c r="AN608" i="1" s="1"/>
  <c r="AY608" i="1"/>
  <c r="AZ608" i="1" s="1"/>
  <c r="BW608" i="1"/>
  <c r="BX608" i="1" s="1"/>
  <c r="CI608" i="1"/>
  <c r="CJ608" i="1" s="1"/>
  <c r="BW607" i="1"/>
  <c r="BX607" i="1" s="1"/>
  <c r="CI607" i="1"/>
  <c r="CJ607" i="1" s="1"/>
  <c r="FI606" i="1"/>
  <c r="AA606" i="1"/>
  <c r="AB606" i="1" s="1"/>
  <c r="BW606" i="1"/>
  <c r="BX606" i="1" s="1"/>
  <c r="CI606" i="1"/>
  <c r="CJ606" i="1" s="1"/>
  <c r="FI605" i="1"/>
  <c r="FH605" i="1"/>
  <c r="FI604" i="1"/>
  <c r="AA604" i="1"/>
  <c r="AB604" i="1" s="1"/>
  <c r="BW604" i="1"/>
  <c r="BX604" i="1" s="1"/>
  <c r="CI604" i="1"/>
  <c r="CJ604" i="1" s="1"/>
  <c r="FI603" i="1"/>
  <c r="FH603" i="1"/>
  <c r="FI602" i="1"/>
  <c r="FH602" i="1"/>
  <c r="FI601" i="1"/>
  <c r="FH601" i="1"/>
  <c r="FI600" i="1"/>
  <c r="FH600" i="1"/>
  <c r="BQ599" i="1"/>
  <c r="BR599" i="1" s="1"/>
  <c r="FI598" i="1"/>
  <c r="BW598" i="1"/>
  <c r="BX598" i="1" s="1"/>
  <c r="CI598" i="1"/>
  <c r="CJ598" i="1" s="1"/>
  <c r="BW597" i="1"/>
  <c r="BX597" i="1" s="1"/>
  <c r="CI597" i="1"/>
  <c r="CJ597" i="1" s="1"/>
  <c r="BW596" i="1"/>
  <c r="BX596" i="1" s="1"/>
  <c r="CI596" i="1"/>
  <c r="CJ596" i="1" s="1"/>
  <c r="FI595" i="1"/>
  <c r="BW595" i="1"/>
  <c r="BX595" i="1" s="1"/>
  <c r="CI595" i="1"/>
  <c r="CJ595" i="1" s="1"/>
  <c r="FI594" i="1"/>
  <c r="BW594" i="1"/>
  <c r="BX594" i="1" s="1"/>
  <c r="CI594" i="1"/>
  <c r="CJ594" i="1" s="1"/>
  <c r="FI591" i="1"/>
  <c r="BW591" i="1"/>
  <c r="BX591" i="1" s="1"/>
  <c r="CI591" i="1"/>
  <c r="CJ591" i="1" s="1"/>
  <c r="FI590" i="1"/>
  <c r="BW590" i="1"/>
  <c r="BX590" i="1" s="1"/>
  <c r="CI590" i="1"/>
  <c r="CJ590" i="1" s="1"/>
  <c r="FI589" i="1"/>
  <c r="BW589" i="1"/>
  <c r="BX589" i="1" s="1"/>
  <c r="CI589" i="1"/>
  <c r="CJ589" i="1" s="1"/>
  <c r="FI588" i="1"/>
  <c r="FH588" i="1"/>
  <c r="BW587" i="1"/>
  <c r="BX587" i="1" s="1"/>
  <c r="CI587" i="1"/>
  <c r="CJ587" i="1" s="1"/>
  <c r="FI586" i="1"/>
  <c r="FH586" i="1"/>
  <c r="FI585" i="1"/>
  <c r="FH585" i="1"/>
  <c r="FI584" i="1"/>
  <c r="FH584" i="1"/>
  <c r="FI583" i="1"/>
  <c r="FH583" i="1"/>
  <c r="FI582" i="1"/>
  <c r="BW582" i="1"/>
  <c r="BX582" i="1" s="1"/>
  <c r="CI582" i="1"/>
  <c r="CJ582" i="1" s="1"/>
  <c r="BW581" i="1"/>
  <c r="BX581" i="1" s="1"/>
  <c r="CI581" i="1"/>
  <c r="CJ581" i="1" s="1"/>
  <c r="BW580" i="1"/>
  <c r="BX580" i="1" s="1"/>
  <c r="CI580" i="1"/>
  <c r="CJ580" i="1" s="1"/>
  <c r="AM579" i="1"/>
  <c r="AN579" i="1" s="1"/>
  <c r="AS579" i="1"/>
  <c r="AT579" i="1" s="1"/>
  <c r="BW579" i="1"/>
  <c r="BX579" i="1" s="1"/>
  <c r="CI579" i="1"/>
  <c r="CJ579" i="1" s="1"/>
  <c r="FI578" i="1"/>
  <c r="AS578" i="1"/>
  <c r="AT578" i="1" s="1"/>
  <c r="BW578" i="1"/>
  <c r="BX578" i="1" s="1"/>
  <c r="CC578" i="1"/>
  <c r="CD578" i="1" s="1"/>
  <c r="FI577" i="1"/>
  <c r="FH577" i="1"/>
  <c r="FI576" i="1"/>
  <c r="U576" i="1"/>
  <c r="V576" i="1" s="1"/>
  <c r="FH576" i="1" s="1"/>
  <c r="FI575" i="1"/>
  <c r="FH575" i="1"/>
  <c r="FI574" i="1"/>
  <c r="FH574" i="1"/>
  <c r="FI573" i="1"/>
  <c r="BW573" i="1"/>
  <c r="BX573" i="1" s="1"/>
  <c r="CI573" i="1"/>
  <c r="CJ573" i="1" s="1"/>
  <c r="FI572" i="1"/>
  <c r="AH572" i="1"/>
  <c r="BW572" i="1"/>
  <c r="BX572" i="1" s="1"/>
  <c r="CI572" i="1"/>
  <c r="CJ572" i="1" s="1"/>
  <c r="AM571" i="1"/>
  <c r="AN571" i="1" s="1"/>
  <c r="AS571" i="1"/>
  <c r="AT571" i="1" s="1"/>
  <c r="BW571" i="1"/>
  <c r="BX571" i="1" s="1"/>
  <c r="CI571" i="1"/>
  <c r="CJ571" i="1" s="1"/>
  <c r="CU571" i="1"/>
  <c r="CV571" i="1" s="1"/>
  <c r="FI570" i="1"/>
  <c r="V570" i="1"/>
  <c r="CU570" i="1"/>
  <c r="CV570" i="1" s="1"/>
  <c r="FI569" i="1"/>
  <c r="CU569" i="1"/>
  <c r="CV569" i="1" s="1"/>
  <c r="FH569" i="1" s="1"/>
  <c r="AM568" i="1"/>
  <c r="AN568" i="1" s="1"/>
  <c r="BW568" i="1"/>
  <c r="BX568" i="1" s="1"/>
  <c r="CI568" i="1"/>
  <c r="CJ568" i="1" s="1"/>
  <c r="CU568" i="1"/>
  <c r="CV568" i="1" s="1"/>
  <c r="FI567" i="1"/>
  <c r="AG567" i="1"/>
  <c r="AH567" i="1" s="1"/>
  <c r="AM567" i="1"/>
  <c r="AN567" i="1" s="1"/>
  <c r="BW567" i="1"/>
  <c r="BX567" i="1" s="1"/>
  <c r="CI567" i="1"/>
  <c r="CJ567" i="1" s="1"/>
  <c r="CU567" i="1"/>
  <c r="CV567" i="1" s="1"/>
  <c r="FI566" i="1"/>
  <c r="AG566" i="1"/>
  <c r="AH566" i="1" s="1"/>
  <c r="AM566" i="1"/>
  <c r="AN566" i="1" s="1"/>
  <c r="BW566" i="1"/>
  <c r="BX566" i="1" s="1"/>
  <c r="CI566" i="1"/>
  <c r="CJ566" i="1" s="1"/>
  <c r="CU566" i="1"/>
  <c r="CV566" i="1" s="1"/>
  <c r="FI565" i="1"/>
  <c r="AG565" i="1"/>
  <c r="AH565" i="1" s="1"/>
  <c r="AM565" i="1"/>
  <c r="AN565" i="1" s="1"/>
  <c r="BW565" i="1"/>
  <c r="BX565" i="1" s="1"/>
  <c r="CI565" i="1"/>
  <c r="CJ565" i="1" s="1"/>
  <c r="CU565" i="1"/>
  <c r="CV565" i="1" s="1"/>
  <c r="FI564" i="1"/>
  <c r="AG564" i="1"/>
  <c r="AH564" i="1" s="1"/>
  <c r="AM564" i="1"/>
  <c r="AN564" i="1" s="1"/>
  <c r="BW564" i="1"/>
  <c r="BX564" i="1" s="1"/>
  <c r="CI564" i="1"/>
  <c r="CJ564" i="1" s="1"/>
  <c r="CU564" i="1"/>
  <c r="CV564" i="1" s="1"/>
  <c r="FI563" i="1"/>
  <c r="AG563" i="1"/>
  <c r="AH563" i="1" s="1"/>
  <c r="AM563" i="1"/>
  <c r="AN563" i="1" s="1"/>
  <c r="BW563" i="1"/>
  <c r="BX563" i="1" s="1"/>
  <c r="CI563" i="1"/>
  <c r="CJ563" i="1" s="1"/>
  <c r="CU563" i="1"/>
  <c r="CV563" i="1" s="1"/>
  <c r="AG562" i="1"/>
  <c r="AH562" i="1" s="1"/>
  <c r="AM562" i="1"/>
  <c r="AN562" i="1" s="1"/>
  <c r="BW562" i="1"/>
  <c r="BX562" i="1" s="1"/>
  <c r="CI562" i="1"/>
  <c r="CJ562" i="1" s="1"/>
  <c r="CU562" i="1"/>
  <c r="CV562" i="1" s="1"/>
  <c r="FI561" i="1"/>
  <c r="AG561" i="1"/>
  <c r="AH561" i="1" s="1"/>
  <c r="AM561" i="1"/>
  <c r="AN561" i="1" s="1"/>
  <c r="BW561" i="1"/>
  <c r="BX561" i="1" s="1"/>
  <c r="CI561" i="1"/>
  <c r="CJ561" i="1" s="1"/>
  <c r="CU561" i="1"/>
  <c r="CV561" i="1" s="1"/>
  <c r="FI560" i="1"/>
  <c r="FH560" i="1"/>
  <c r="FI559" i="1"/>
  <c r="FH559" i="1"/>
  <c r="FI558" i="1"/>
  <c r="AS558" i="1"/>
  <c r="AT558" i="1" s="1"/>
  <c r="BW558" i="1"/>
  <c r="BX558" i="1" s="1"/>
  <c r="CI558" i="1"/>
  <c r="CJ558" i="1" s="1"/>
  <c r="AM557" i="1"/>
  <c r="AN557" i="1" s="1"/>
  <c r="BW557" i="1"/>
  <c r="BX557" i="1" s="1"/>
  <c r="CI557" i="1"/>
  <c r="CJ557" i="1" s="1"/>
  <c r="O556" i="1"/>
  <c r="P556" i="1" s="1"/>
  <c r="AH556" i="1"/>
  <c r="BK556" i="1"/>
  <c r="BL556" i="1" s="1"/>
  <c r="FI555" i="1"/>
  <c r="O555" i="1"/>
  <c r="P555" i="1" s="1"/>
  <c r="AH555" i="1"/>
  <c r="BK555" i="1"/>
  <c r="BL555" i="1" s="1"/>
  <c r="O554" i="1"/>
  <c r="P554" i="1" s="1"/>
  <c r="AH554" i="1"/>
  <c r="FI553" i="1"/>
  <c r="AH553" i="1"/>
  <c r="FH553" i="1" s="1"/>
  <c r="FI552" i="1"/>
  <c r="O552" i="1"/>
  <c r="P552" i="1" s="1"/>
  <c r="AH552" i="1"/>
  <c r="FI551" i="1"/>
  <c r="O551" i="1"/>
  <c r="P551" i="1" s="1"/>
  <c r="AH551" i="1"/>
  <c r="BK551" i="1"/>
  <c r="BL551" i="1" s="1"/>
  <c r="FI550" i="1"/>
  <c r="O550" i="1"/>
  <c r="P550" i="1" s="1"/>
  <c r="AH550" i="1"/>
  <c r="O549" i="1"/>
  <c r="P549" i="1" s="1"/>
  <c r="AH549" i="1"/>
  <c r="FI548" i="1"/>
  <c r="O548" i="1"/>
  <c r="P548" i="1" s="1"/>
  <c r="AH548" i="1"/>
  <c r="BK548" i="1"/>
  <c r="BL548" i="1" s="1"/>
  <c r="FI547" i="1"/>
  <c r="O547" i="1"/>
  <c r="P547" i="1" s="1"/>
  <c r="AH547" i="1"/>
  <c r="BK547" i="1"/>
  <c r="BL547" i="1" s="1"/>
  <c r="FI546" i="1"/>
  <c r="AH546" i="1"/>
  <c r="BK546" i="1"/>
  <c r="BL546" i="1" s="1"/>
  <c r="FI545" i="1"/>
  <c r="O545" i="1"/>
  <c r="P545" i="1" s="1"/>
  <c r="AH545" i="1"/>
  <c r="BK545" i="1"/>
  <c r="BL545" i="1" s="1"/>
  <c r="FI544" i="1"/>
  <c r="O544" i="1"/>
  <c r="P544" i="1" s="1"/>
  <c r="AH544" i="1"/>
  <c r="BK544" i="1"/>
  <c r="BL544" i="1" s="1"/>
  <c r="BW543" i="1"/>
  <c r="BX543" i="1" s="1"/>
  <c r="CI543" i="1"/>
  <c r="CJ543" i="1" s="1"/>
  <c r="CU543" i="1"/>
  <c r="CV543" i="1" s="1"/>
  <c r="FI542" i="1"/>
  <c r="FH542" i="1"/>
  <c r="FI541" i="1"/>
  <c r="AG541" i="1"/>
  <c r="AH541" i="1" s="1"/>
  <c r="BW541" i="1"/>
  <c r="BX541" i="1" s="1"/>
  <c r="CI541" i="1"/>
  <c r="CJ541" i="1" s="1"/>
  <c r="O540" i="1"/>
  <c r="P540" i="1" s="1"/>
  <c r="BW540" i="1"/>
  <c r="BX540" i="1" s="1"/>
  <c r="CI540" i="1"/>
  <c r="CJ540" i="1" s="1"/>
  <c r="FI539" i="1"/>
  <c r="FH539" i="1"/>
  <c r="FI538" i="1"/>
  <c r="FH538" i="1"/>
  <c r="FI537" i="1"/>
  <c r="FH537" i="1"/>
  <c r="AS536" i="1"/>
  <c r="AT536" i="1" s="1"/>
  <c r="BW536" i="1"/>
  <c r="BX536" i="1" s="1"/>
  <c r="CU536" i="1"/>
  <c r="CV536" i="1" s="1"/>
  <c r="AG535" i="1"/>
  <c r="AH535" i="1" s="1"/>
  <c r="AM535" i="1"/>
  <c r="AN535" i="1" s="1"/>
  <c r="AS535" i="1"/>
  <c r="AT535" i="1" s="1"/>
  <c r="BW535" i="1"/>
  <c r="BX535" i="1" s="1"/>
  <c r="CI535" i="1"/>
  <c r="CJ535" i="1" s="1"/>
  <c r="AG534" i="1"/>
  <c r="AH534" i="1" s="1"/>
  <c r="AM534" i="1"/>
  <c r="AN534" i="1" s="1"/>
  <c r="AS534" i="1"/>
  <c r="AT534" i="1" s="1"/>
  <c r="BW534" i="1"/>
  <c r="BX534" i="1" s="1"/>
  <c r="CI534" i="1"/>
  <c r="CJ534" i="1" s="1"/>
  <c r="AG533" i="1"/>
  <c r="AH533" i="1" s="1"/>
  <c r="AM533" i="1"/>
  <c r="AN533" i="1" s="1"/>
  <c r="AS533" i="1"/>
  <c r="AT533" i="1" s="1"/>
  <c r="BW533" i="1"/>
  <c r="BX533" i="1" s="1"/>
  <c r="CI533" i="1"/>
  <c r="CJ533" i="1" s="1"/>
  <c r="AG532" i="1"/>
  <c r="AH532" i="1" s="1"/>
  <c r="AM532" i="1"/>
  <c r="AN532" i="1" s="1"/>
  <c r="AS532" i="1"/>
  <c r="AT532" i="1" s="1"/>
  <c r="BW532" i="1"/>
  <c r="BX532" i="1" s="1"/>
  <c r="CI532" i="1"/>
  <c r="CJ532" i="1" s="1"/>
  <c r="U531" i="1"/>
  <c r="V531" i="1" s="1"/>
  <c r="AS531" i="1"/>
  <c r="AT531" i="1" s="1"/>
  <c r="BQ531" i="1"/>
  <c r="BR531" i="1" s="1"/>
  <c r="BW531" i="1"/>
  <c r="BX531" i="1" s="1"/>
  <c r="CI531" i="1"/>
  <c r="CJ531" i="1" s="1"/>
  <c r="FI530" i="1"/>
  <c r="U530" i="1"/>
  <c r="V530" i="1" s="1"/>
  <c r="AS530" i="1"/>
  <c r="AT530" i="1" s="1"/>
  <c r="BW530" i="1"/>
  <c r="BX530" i="1" s="1"/>
  <c r="U529" i="1"/>
  <c r="V529" i="1" s="1"/>
  <c r="AS529" i="1"/>
  <c r="AT529" i="1" s="1"/>
  <c r="BW529" i="1"/>
  <c r="BX529" i="1" s="1"/>
  <c r="CI529" i="1"/>
  <c r="CJ529" i="1" s="1"/>
  <c r="AS528" i="1"/>
  <c r="AT528" i="1" s="1"/>
  <c r="BW528" i="1"/>
  <c r="BX528" i="1" s="1"/>
  <c r="CI528" i="1"/>
  <c r="CJ528" i="1" s="1"/>
  <c r="FI527" i="1"/>
  <c r="BW527" i="1"/>
  <c r="BX527" i="1" s="1"/>
  <c r="CI527" i="1"/>
  <c r="CJ527" i="1" s="1"/>
  <c r="AG526" i="1"/>
  <c r="AH526" i="1" s="1"/>
  <c r="BW526" i="1"/>
  <c r="BX526" i="1" s="1"/>
  <c r="CI526" i="1"/>
  <c r="CJ526" i="1" s="1"/>
  <c r="AG525" i="1"/>
  <c r="AH525" i="1" s="1"/>
  <c r="AM525" i="1"/>
  <c r="AN525" i="1" s="1"/>
  <c r="AS525" i="1"/>
  <c r="AT525" i="1" s="1"/>
  <c r="BW525" i="1"/>
  <c r="BX525" i="1" s="1"/>
  <c r="CI525" i="1"/>
  <c r="CJ525" i="1" s="1"/>
  <c r="FI524" i="1"/>
  <c r="AS524" i="1"/>
  <c r="AT524" i="1" s="1"/>
  <c r="FH524" i="1" s="1"/>
  <c r="FI523" i="1"/>
  <c r="BW523" i="1"/>
  <c r="BX523" i="1" s="1"/>
  <c r="CI523" i="1"/>
  <c r="CJ523" i="1" s="1"/>
  <c r="CV523" i="1"/>
  <c r="AG522" i="1"/>
  <c r="AH522" i="1" s="1"/>
  <c r="AS522" i="1"/>
  <c r="AT522" i="1" s="1"/>
  <c r="FI521" i="1"/>
  <c r="BW521" i="1"/>
  <c r="BX521" i="1" s="1"/>
  <c r="CI521" i="1"/>
  <c r="CJ521" i="1" s="1"/>
  <c r="FI520" i="1"/>
  <c r="AS520" i="1"/>
  <c r="AT520" i="1" s="1"/>
  <c r="BW520" i="1"/>
  <c r="BX520" i="1" s="1"/>
  <c r="CI520" i="1"/>
  <c r="CJ520" i="1" s="1"/>
  <c r="BQ519" i="1"/>
  <c r="BR519" i="1" s="1"/>
  <c r="BW519" i="1"/>
  <c r="BX519" i="1" s="1"/>
  <c r="FI518" i="1"/>
  <c r="AS518" i="1"/>
  <c r="AT518" i="1" s="1"/>
  <c r="BQ518" i="1"/>
  <c r="BR518" i="1" s="1"/>
  <c r="BW518" i="1"/>
  <c r="BX518" i="1" s="1"/>
  <c r="CI518" i="1"/>
  <c r="CJ518" i="1" s="1"/>
  <c r="O517" i="1"/>
  <c r="P517" i="1" s="1"/>
  <c r="BW517" i="1"/>
  <c r="BX517" i="1" s="1"/>
  <c r="FI516" i="1"/>
  <c r="AM516" i="1"/>
  <c r="AN516" i="1" s="1"/>
  <c r="AS516" i="1"/>
  <c r="AT516" i="1" s="1"/>
  <c r="BW516" i="1"/>
  <c r="BX516" i="1" s="1"/>
  <c r="CI516" i="1"/>
  <c r="CJ516" i="1" s="1"/>
  <c r="CC515" i="1"/>
  <c r="CD515" i="1" s="1"/>
  <c r="FI514" i="1"/>
  <c r="BW514" i="1"/>
  <c r="BX514" i="1" s="1"/>
  <c r="CI514" i="1"/>
  <c r="CJ514" i="1" s="1"/>
  <c r="FI513" i="1"/>
  <c r="BW513" i="1"/>
  <c r="BX513" i="1" s="1"/>
  <c r="CI513" i="1"/>
  <c r="CJ513" i="1" s="1"/>
  <c r="FI512" i="1"/>
  <c r="BW512" i="1"/>
  <c r="BX512" i="1" s="1"/>
  <c r="CI512" i="1"/>
  <c r="CJ512" i="1" s="1"/>
  <c r="FI511" i="1"/>
  <c r="O511" i="1"/>
  <c r="P511" i="1" s="1"/>
  <c r="BW511" i="1"/>
  <c r="BX511" i="1" s="1"/>
  <c r="AG510" i="1"/>
  <c r="AH510" i="1" s="1"/>
  <c r="AM510" i="1"/>
  <c r="AN510" i="1" s="1"/>
  <c r="AS510" i="1"/>
  <c r="AT510" i="1" s="1"/>
  <c r="BW510" i="1"/>
  <c r="BX510" i="1" s="1"/>
  <c r="CC510" i="1"/>
  <c r="CD510" i="1" s="1"/>
  <c r="CI510" i="1"/>
  <c r="CJ510" i="1" s="1"/>
  <c r="FI509" i="1"/>
  <c r="AS509" i="1"/>
  <c r="AT509" i="1" s="1"/>
  <c r="BW509" i="1"/>
  <c r="BX509" i="1" s="1"/>
  <c r="CI509" i="1"/>
  <c r="CJ509" i="1" s="1"/>
  <c r="BW508" i="1"/>
  <c r="BX508" i="1" s="1"/>
  <c r="CI508" i="1"/>
  <c r="CJ508" i="1" s="1"/>
  <c r="AS507" i="1"/>
  <c r="AT507" i="1" s="1"/>
  <c r="BW507" i="1"/>
  <c r="BX507" i="1" s="1"/>
  <c r="CI507" i="1"/>
  <c r="CJ507" i="1" s="1"/>
  <c r="FI506" i="1"/>
  <c r="AS506" i="1"/>
  <c r="AT506" i="1" s="1"/>
  <c r="FH506" i="1" s="1"/>
  <c r="FI505" i="1"/>
  <c r="BW505" i="1"/>
  <c r="BX505" i="1" s="1"/>
  <c r="CI505" i="1"/>
  <c r="CJ505" i="1" s="1"/>
  <c r="FI504" i="1"/>
  <c r="AS504" i="1"/>
  <c r="AT504" i="1" s="1"/>
  <c r="BW504" i="1"/>
  <c r="BX504" i="1" s="1"/>
  <c r="CI504" i="1"/>
  <c r="CJ504" i="1" s="1"/>
  <c r="FI503" i="1"/>
  <c r="AM503" i="1"/>
  <c r="AN503" i="1" s="1"/>
  <c r="AS503" i="1"/>
  <c r="AT503" i="1" s="1"/>
  <c r="BW503" i="1"/>
  <c r="BX503" i="1" s="1"/>
  <c r="CI503" i="1"/>
  <c r="CJ503" i="1" s="1"/>
  <c r="AM502" i="1"/>
  <c r="AN502" i="1" s="1"/>
  <c r="AS502" i="1"/>
  <c r="AT502" i="1" s="1"/>
  <c r="BW502" i="1"/>
  <c r="BX502" i="1" s="1"/>
  <c r="CI502" i="1"/>
  <c r="CJ502" i="1" s="1"/>
  <c r="AM501" i="1"/>
  <c r="AN501" i="1" s="1"/>
  <c r="AY501" i="1"/>
  <c r="AZ501" i="1" s="1"/>
  <c r="BW501" i="1"/>
  <c r="BX501" i="1" s="1"/>
  <c r="CI501" i="1"/>
  <c r="CJ501" i="1" s="1"/>
  <c r="CU501" i="1"/>
  <c r="CV501" i="1" s="1"/>
  <c r="O500" i="1"/>
  <c r="P500" i="1" s="1"/>
  <c r="BW500" i="1"/>
  <c r="BX500" i="1" s="1"/>
  <c r="FI499" i="1"/>
  <c r="AS499" i="1"/>
  <c r="AT499" i="1" s="1"/>
  <c r="FH499" i="1" s="1"/>
  <c r="FI498" i="1"/>
  <c r="AS498" i="1"/>
  <c r="AT498" i="1" s="1"/>
  <c r="BW498" i="1"/>
  <c r="BX498" i="1" s="1"/>
  <c r="CI498" i="1"/>
  <c r="CJ498" i="1" s="1"/>
  <c r="FI497" i="1"/>
  <c r="AH497" i="1"/>
  <c r="AS497" i="1"/>
  <c r="AT497" i="1" s="1"/>
  <c r="BW496" i="1"/>
  <c r="BX496" i="1" s="1"/>
  <c r="CI496" i="1"/>
  <c r="CJ496" i="1" s="1"/>
  <c r="FI495" i="1"/>
  <c r="BW495" i="1"/>
  <c r="BX495" i="1" s="1"/>
  <c r="CI495" i="1"/>
  <c r="CJ495" i="1" s="1"/>
  <c r="CO495" i="1"/>
  <c r="CP495" i="1" s="1"/>
  <c r="FI494" i="1"/>
  <c r="BW494" i="1"/>
  <c r="BX494" i="1" s="1"/>
  <c r="CI494" i="1"/>
  <c r="CJ494" i="1" s="1"/>
  <c r="CO494" i="1"/>
  <c r="CP494" i="1" s="1"/>
  <c r="U493" i="1"/>
  <c r="V493" i="1" s="1"/>
  <c r="AS493" i="1"/>
  <c r="AT493" i="1" s="1"/>
  <c r="BW493" i="1"/>
  <c r="BX493" i="1" s="1"/>
  <c r="CI493" i="1"/>
  <c r="CJ493" i="1" s="1"/>
  <c r="BW492" i="1"/>
  <c r="BX492" i="1" s="1"/>
  <c r="CI492" i="1"/>
  <c r="CJ492" i="1" s="1"/>
  <c r="CO492" i="1"/>
  <c r="CP492" i="1" s="1"/>
  <c r="AM491" i="1"/>
  <c r="AN491" i="1" s="1"/>
  <c r="AS491" i="1"/>
  <c r="AT491" i="1" s="1"/>
  <c r="BW491" i="1"/>
  <c r="BX491" i="1" s="1"/>
  <c r="CC491" i="1"/>
  <c r="CD491" i="1" s="1"/>
  <c r="CI491" i="1"/>
  <c r="CJ491" i="1" s="1"/>
  <c r="FI490" i="1"/>
  <c r="BW490" i="1"/>
  <c r="BX490" i="1" s="1"/>
  <c r="CI490" i="1"/>
  <c r="CJ490" i="1" s="1"/>
  <c r="BW489" i="1"/>
  <c r="BX489" i="1" s="1"/>
  <c r="CI489" i="1"/>
  <c r="CJ489" i="1" s="1"/>
  <c r="AM488" i="1"/>
  <c r="AN488" i="1" s="1"/>
  <c r="AS488" i="1"/>
  <c r="AT488" i="1" s="1"/>
  <c r="BW488" i="1"/>
  <c r="BX488" i="1" s="1"/>
  <c r="CI488" i="1"/>
  <c r="CJ488" i="1" s="1"/>
  <c r="FI487" i="1"/>
  <c r="BW487" i="1"/>
  <c r="BX487" i="1" s="1"/>
  <c r="CI487" i="1"/>
  <c r="CJ487" i="1" s="1"/>
  <c r="FI486" i="1"/>
  <c r="AS486" i="1"/>
  <c r="AT486" i="1" s="1"/>
  <c r="BW486" i="1"/>
  <c r="BX486" i="1" s="1"/>
  <c r="CI486" i="1"/>
  <c r="CJ486" i="1" s="1"/>
  <c r="BW485" i="1"/>
  <c r="BX485" i="1" s="1"/>
  <c r="CU485" i="1"/>
  <c r="CV485" i="1" s="1"/>
  <c r="BW484" i="1"/>
  <c r="BX484" i="1" s="1"/>
  <c r="CI484" i="1"/>
  <c r="CJ484" i="1" s="1"/>
  <c r="FI483" i="1"/>
  <c r="AG483" i="1"/>
  <c r="AH483" i="1" s="1"/>
  <c r="AS483" i="1"/>
  <c r="AT483" i="1" s="1"/>
  <c r="BW483" i="1"/>
  <c r="BX483" i="1" s="1"/>
  <c r="BW482" i="1"/>
  <c r="BX482" i="1" s="1"/>
  <c r="CU482" i="1"/>
  <c r="CV482" i="1" s="1"/>
  <c r="BW481" i="1"/>
  <c r="BX481" i="1" s="1"/>
  <c r="CU481" i="1"/>
  <c r="CV481" i="1" s="1"/>
  <c r="FI480" i="1"/>
  <c r="BW480" i="1"/>
  <c r="BX480" i="1" s="1"/>
  <c r="CI480" i="1"/>
  <c r="CJ480" i="1" s="1"/>
  <c r="CU480" i="1"/>
  <c r="CV480" i="1" s="1"/>
  <c r="BW479" i="1"/>
  <c r="BX479" i="1" s="1"/>
  <c r="CI479" i="1"/>
  <c r="CJ479" i="1" s="1"/>
  <c r="O478" i="1"/>
  <c r="P478" i="1" s="1"/>
  <c r="BW478" i="1"/>
  <c r="BX478" i="1" s="1"/>
  <c r="BW477" i="1"/>
  <c r="BX477" i="1" s="1"/>
  <c r="CI477" i="1"/>
  <c r="CJ477" i="1" s="1"/>
  <c r="FI476" i="1"/>
  <c r="BW476" i="1"/>
  <c r="BX476" i="1" s="1"/>
  <c r="CI476" i="1"/>
  <c r="CJ476" i="1" s="1"/>
  <c r="FI475" i="1"/>
  <c r="AS475" i="1"/>
  <c r="AT475" i="1" s="1"/>
  <c r="BW475" i="1"/>
  <c r="BX475" i="1" s="1"/>
  <c r="CI475" i="1"/>
  <c r="CJ475" i="1" s="1"/>
  <c r="AG474" i="1"/>
  <c r="AH474" i="1" s="1"/>
  <c r="BW474" i="1"/>
  <c r="BX474" i="1" s="1"/>
  <c r="CI474" i="1"/>
  <c r="CJ474" i="1" s="1"/>
  <c r="FI473" i="1"/>
  <c r="BW473" i="1"/>
  <c r="BX473" i="1" s="1"/>
  <c r="CI473" i="1"/>
  <c r="CJ473" i="1" s="1"/>
  <c r="CU473" i="1"/>
  <c r="CV473" i="1" s="1"/>
  <c r="FI472" i="1"/>
  <c r="BW472" i="1"/>
  <c r="BX472" i="1" s="1"/>
  <c r="CI472" i="1"/>
  <c r="CJ472" i="1" s="1"/>
  <c r="AG471" i="1"/>
  <c r="AH471" i="1" s="1"/>
  <c r="AM471" i="1"/>
  <c r="AN471" i="1" s="1"/>
  <c r="BW471" i="1"/>
  <c r="BX471" i="1" s="1"/>
  <c r="CI471" i="1"/>
  <c r="CJ471" i="1" s="1"/>
  <c r="CV471" i="1"/>
  <c r="FI470" i="1"/>
  <c r="AG470" i="1"/>
  <c r="AH470" i="1" s="1"/>
  <c r="AS470" i="1"/>
  <c r="AT470" i="1" s="1"/>
  <c r="BW470" i="1"/>
  <c r="BX470" i="1" s="1"/>
  <c r="AG469" i="1"/>
  <c r="AH469" i="1" s="1"/>
  <c r="AM469" i="1"/>
  <c r="AN469" i="1" s="1"/>
  <c r="AS469" i="1"/>
  <c r="AT469" i="1" s="1"/>
  <c r="BW469" i="1"/>
  <c r="BX469" i="1" s="1"/>
  <c r="CI469" i="1"/>
  <c r="CJ469" i="1" s="1"/>
  <c r="CU469" i="1"/>
  <c r="CV469" i="1" s="1"/>
  <c r="AM468" i="1"/>
  <c r="AN468" i="1" s="1"/>
  <c r="AS468" i="1"/>
  <c r="AT468" i="1" s="1"/>
  <c r="AY468" i="1"/>
  <c r="AZ468" i="1" s="1"/>
  <c r="BW468" i="1"/>
  <c r="BX468" i="1" s="1"/>
  <c r="AS467" i="1"/>
  <c r="AT467" i="1" s="1"/>
  <c r="BW467" i="1"/>
  <c r="BX467" i="1" s="1"/>
  <c r="CI467" i="1"/>
  <c r="CJ467" i="1" s="1"/>
  <c r="AM466" i="1"/>
  <c r="AN466" i="1" s="1"/>
  <c r="AY466" i="1"/>
  <c r="AZ466" i="1" s="1"/>
  <c r="BW466" i="1"/>
  <c r="BX466" i="1" s="1"/>
  <c r="CI466" i="1"/>
  <c r="CJ466" i="1" s="1"/>
  <c r="AM464" i="1"/>
  <c r="AN464" i="1" s="1"/>
  <c r="BW464" i="1"/>
  <c r="BX464" i="1" s="1"/>
  <c r="CC464" i="1"/>
  <c r="CD464" i="1" s="1"/>
  <c r="CI464" i="1"/>
  <c r="CJ464" i="1" s="1"/>
  <c r="FI463" i="1"/>
  <c r="AS463" i="1"/>
  <c r="AT463" i="1" s="1"/>
  <c r="BW463" i="1"/>
  <c r="BX463" i="1" s="1"/>
  <c r="CI463" i="1"/>
  <c r="CJ463" i="1" s="1"/>
  <c r="FI462" i="1"/>
  <c r="BW462" i="1"/>
  <c r="BX462" i="1" s="1"/>
  <c r="CI462" i="1"/>
  <c r="CJ462" i="1" s="1"/>
  <c r="FI461" i="1"/>
  <c r="FH461" i="1"/>
  <c r="FI460" i="1"/>
  <c r="FH460" i="1"/>
  <c r="FI459" i="1"/>
  <c r="FH459" i="1"/>
  <c r="FI458" i="1"/>
  <c r="FH458" i="1"/>
  <c r="FI457" i="1"/>
  <c r="BW457" i="1"/>
  <c r="BX457" i="1" s="1"/>
  <c r="CI457" i="1"/>
  <c r="CJ457" i="1" s="1"/>
  <c r="FI456" i="1"/>
  <c r="FH456" i="1"/>
  <c r="FI455" i="1"/>
  <c r="BW455" i="1"/>
  <c r="BX455" i="1" s="1"/>
  <c r="CI455" i="1"/>
  <c r="CJ455" i="1" s="1"/>
  <c r="FI454" i="1"/>
  <c r="BW454" i="1"/>
  <c r="BX454" i="1" s="1"/>
  <c r="CI454" i="1"/>
  <c r="CJ454" i="1" s="1"/>
  <c r="FI453" i="1"/>
  <c r="FH453" i="1"/>
  <c r="FI452" i="1"/>
  <c r="BW452" i="1"/>
  <c r="BX452" i="1" s="1"/>
  <c r="CI452" i="1"/>
  <c r="CJ452" i="1" s="1"/>
  <c r="AG451" i="1"/>
  <c r="AH451" i="1" s="1"/>
  <c r="AM451" i="1"/>
  <c r="AN451" i="1" s="1"/>
  <c r="AS451" i="1"/>
  <c r="AT451" i="1" s="1"/>
  <c r="BW451" i="1"/>
  <c r="BX451" i="1" s="1"/>
  <c r="CI451" i="1"/>
  <c r="CJ451" i="1" s="1"/>
  <c r="AG450" i="1"/>
  <c r="AH450" i="1" s="1"/>
  <c r="AM450" i="1"/>
  <c r="AN450" i="1" s="1"/>
  <c r="AS450" i="1"/>
  <c r="AT450" i="1" s="1"/>
  <c r="AY450" i="1"/>
  <c r="AZ450" i="1" s="1"/>
  <c r="BW450" i="1"/>
  <c r="BX450" i="1" s="1"/>
  <c r="CI450" i="1"/>
  <c r="CJ450" i="1" s="1"/>
  <c r="BW449" i="1"/>
  <c r="BX449" i="1" s="1"/>
  <c r="CI449" i="1"/>
  <c r="CJ449" i="1" s="1"/>
  <c r="FI448" i="1"/>
  <c r="BW448" i="1"/>
  <c r="BX448" i="1" s="1"/>
  <c r="CI448" i="1"/>
  <c r="CJ448" i="1" s="1"/>
  <c r="AM447" i="1"/>
  <c r="AN447" i="1" s="1"/>
  <c r="AY447" i="1"/>
  <c r="AZ447" i="1" s="1"/>
  <c r="BW447" i="1"/>
  <c r="BX447" i="1" s="1"/>
  <c r="CI447" i="1"/>
  <c r="CJ447" i="1" s="1"/>
  <c r="FI446" i="1"/>
  <c r="AG446" i="1"/>
  <c r="AH446" i="1" s="1"/>
  <c r="BW446" i="1"/>
  <c r="BX446" i="1" s="1"/>
  <c r="CI446" i="1"/>
  <c r="CJ446" i="1" s="1"/>
  <c r="AM445" i="1"/>
  <c r="AN445" i="1" s="1"/>
  <c r="AY445" i="1"/>
  <c r="AZ445" i="1" s="1"/>
  <c r="BW445" i="1"/>
  <c r="BX445" i="1" s="1"/>
  <c r="CI445" i="1"/>
  <c r="CJ445" i="1" s="1"/>
  <c r="FI444" i="1"/>
  <c r="AM444" i="1"/>
  <c r="AN444" i="1" s="1"/>
  <c r="AS444" i="1"/>
  <c r="AT444" i="1" s="1"/>
  <c r="BW444" i="1"/>
  <c r="BX444" i="1" s="1"/>
  <c r="CI444" i="1"/>
  <c r="CJ444" i="1" s="1"/>
  <c r="FI443" i="1"/>
  <c r="U443" i="1"/>
  <c r="V443" i="1" s="1"/>
  <c r="FI442" i="1"/>
  <c r="FH442" i="1"/>
  <c r="O441" i="1"/>
  <c r="P441" i="1" s="1"/>
  <c r="BW441" i="1"/>
  <c r="BX441" i="1" s="1"/>
  <c r="CI441" i="1"/>
  <c r="CJ441" i="1" s="1"/>
  <c r="U440" i="1"/>
  <c r="V440" i="1" s="1"/>
  <c r="BW440" i="1"/>
  <c r="BX440" i="1" s="1"/>
  <c r="CI440" i="1"/>
  <c r="CJ440" i="1" s="1"/>
  <c r="BW439" i="1"/>
  <c r="BX439" i="1" s="1"/>
  <c r="CI439" i="1"/>
  <c r="CJ439" i="1" s="1"/>
  <c r="FI438" i="1"/>
  <c r="BW438" i="1"/>
  <c r="BX438" i="1" s="1"/>
  <c r="CI438" i="1"/>
  <c r="CJ438" i="1" s="1"/>
  <c r="FI437" i="1"/>
  <c r="BQ437" i="1"/>
  <c r="BR437" i="1" s="1"/>
  <c r="BW437" i="1"/>
  <c r="BX437" i="1" s="1"/>
  <c r="CI437" i="1"/>
  <c r="CJ437" i="1" s="1"/>
  <c r="BW436" i="1"/>
  <c r="BX436" i="1" s="1"/>
  <c r="CI436" i="1"/>
  <c r="CJ436" i="1" s="1"/>
  <c r="BW435" i="1"/>
  <c r="BX435" i="1" s="1"/>
  <c r="CI435" i="1"/>
  <c r="CJ435" i="1" s="1"/>
  <c r="FI434" i="1"/>
  <c r="FH434" i="1"/>
  <c r="FI433" i="1"/>
  <c r="BW433" i="1"/>
  <c r="BX433" i="1" s="1"/>
  <c r="CI433" i="1"/>
  <c r="CJ433" i="1" s="1"/>
  <c r="FI432" i="1"/>
  <c r="BW432" i="1"/>
  <c r="BX432" i="1" s="1"/>
  <c r="CI432" i="1"/>
  <c r="CJ432" i="1" s="1"/>
  <c r="FI431" i="1"/>
  <c r="BQ431" i="1"/>
  <c r="BR431" i="1" s="1"/>
  <c r="BW431" i="1"/>
  <c r="BX431" i="1" s="1"/>
  <c r="CI431" i="1"/>
  <c r="CJ431" i="1" s="1"/>
  <c r="U430" i="1"/>
  <c r="V430" i="1" s="1"/>
  <c r="BW430" i="1"/>
  <c r="BX430" i="1" s="1"/>
  <c r="CI430" i="1"/>
  <c r="CJ430" i="1" s="1"/>
  <c r="FI429" i="1"/>
  <c r="AS429" i="1"/>
  <c r="AT429" i="1" s="1"/>
  <c r="BW429" i="1"/>
  <c r="BX429" i="1" s="1"/>
  <c r="CI429" i="1"/>
  <c r="CJ429" i="1" s="1"/>
  <c r="FI428" i="1"/>
  <c r="FH428" i="1"/>
  <c r="FI427" i="1"/>
  <c r="FH427" i="1"/>
  <c r="FI426" i="1"/>
  <c r="BW426" i="1"/>
  <c r="BX426" i="1" s="1"/>
  <c r="CI426" i="1"/>
  <c r="CJ426" i="1" s="1"/>
  <c r="FI425" i="1"/>
  <c r="BW425" i="1"/>
  <c r="BX425" i="1" s="1"/>
  <c r="CI425" i="1"/>
  <c r="CJ425" i="1" s="1"/>
  <c r="FI424" i="1"/>
  <c r="BW424" i="1"/>
  <c r="BX424" i="1" s="1"/>
  <c r="CI424" i="1"/>
  <c r="CJ424" i="1" s="1"/>
  <c r="FI423" i="1"/>
  <c r="BW423" i="1"/>
  <c r="BX423" i="1" s="1"/>
  <c r="CI423" i="1"/>
  <c r="CJ423" i="1" s="1"/>
  <c r="FI422" i="1"/>
  <c r="BW422" i="1"/>
  <c r="BX422" i="1" s="1"/>
  <c r="CI422" i="1"/>
  <c r="CJ422" i="1" s="1"/>
  <c r="FI421" i="1"/>
  <c r="BW421" i="1"/>
  <c r="BX421" i="1" s="1"/>
  <c r="CI421" i="1"/>
  <c r="CJ421" i="1" s="1"/>
  <c r="FI420" i="1"/>
  <c r="BW420" i="1"/>
  <c r="BX420" i="1" s="1"/>
  <c r="CI420" i="1"/>
  <c r="CJ420" i="1" s="1"/>
  <c r="FI419" i="1"/>
  <c r="BW419" i="1"/>
  <c r="BX419" i="1" s="1"/>
  <c r="CI419" i="1"/>
  <c r="CJ419" i="1" s="1"/>
  <c r="FI418" i="1"/>
  <c r="BW418" i="1"/>
  <c r="BX418" i="1" s="1"/>
  <c r="CI418" i="1"/>
  <c r="CJ418" i="1" s="1"/>
  <c r="FI417" i="1"/>
  <c r="BW417" i="1"/>
  <c r="BX417" i="1" s="1"/>
  <c r="CI417" i="1"/>
  <c r="CJ417" i="1" s="1"/>
  <c r="FI416" i="1"/>
  <c r="BW416" i="1"/>
  <c r="BX416" i="1" s="1"/>
  <c r="CI416" i="1"/>
  <c r="CJ416" i="1" s="1"/>
  <c r="FI415" i="1"/>
  <c r="BW415" i="1"/>
  <c r="BX415" i="1" s="1"/>
  <c r="CI415" i="1"/>
  <c r="CJ415" i="1" s="1"/>
  <c r="FI414" i="1"/>
  <c r="BW414" i="1"/>
  <c r="BX414" i="1" s="1"/>
  <c r="CI414" i="1"/>
  <c r="CJ414" i="1" s="1"/>
  <c r="FI413" i="1"/>
  <c r="FH413" i="1"/>
  <c r="FI412" i="1"/>
  <c r="BW412" i="1"/>
  <c r="BX412" i="1" s="1"/>
  <c r="CI412" i="1"/>
  <c r="CJ412" i="1" s="1"/>
  <c r="FI411" i="1"/>
  <c r="AS411" i="1"/>
  <c r="AT411" i="1" s="1"/>
  <c r="BW411" i="1"/>
  <c r="BX411" i="1" s="1"/>
  <c r="FI410" i="1"/>
  <c r="FI409" i="1"/>
  <c r="AS409" i="1"/>
  <c r="AT409" i="1" s="1"/>
  <c r="BW409" i="1"/>
  <c r="BX409" i="1" s="1"/>
  <c r="CI409" i="1"/>
  <c r="CJ409" i="1" s="1"/>
  <c r="AH408" i="1"/>
  <c r="AM408" i="1"/>
  <c r="AN408" i="1" s="1"/>
  <c r="AS408" i="1"/>
  <c r="AT408" i="1" s="1"/>
  <c r="BW408" i="1"/>
  <c r="BX408" i="1" s="1"/>
  <c r="CI408" i="1"/>
  <c r="CJ408" i="1" s="1"/>
  <c r="FI407" i="1"/>
  <c r="AS407" i="1"/>
  <c r="AT407" i="1" s="1"/>
  <c r="FH407" i="1" s="1"/>
  <c r="AM406" i="1"/>
  <c r="AN406" i="1" s="1"/>
  <c r="AS406" i="1"/>
  <c r="AT406" i="1" s="1"/>
  <c r="BW406" i="1"/>
  <c r="BX406" i="1" s="1"/>
  <c r="CI406" i="1"/>
  <c r="CJ406" i="1" s="1"/>
  <c r="AG405" i="1"/>
  <c r="AH405" i="1" s="1"/>
  <c r="AM405" i="1"/>
  <c r="AN405" i="1" s="1"/>
  <c r="AS405" i="1"/>
  <c r="AT405" i="1" s="1"/>
  <c r="BW405" i="1"/>
  <c r="BX405" i="1" s="1"/>
  <c r="CI405" i="1"/>
  <c r="CJ405" i="1" s="1"/>
  <c r="FI404" i="1"/>
  <c r="FH404" i="1"/>
  <c r="FI403" i="1"/>
  <c r="AS403" i="1"/>
  <c r="AT403" i="1" s="1"/>
  <c r="BW403" i="1"/>
  <c r="BX403" i="1" s="1"/>
  <c r="CI403" i="1"/>
  <c r="CJ403" i="1" s="1"/>
  <c r="FI402" i="1"/>
  <c r="FH402" i="1"/>
  <c r="FI401" i="1"/>
  <c r="AS401" i="1"/>
  <c r="AT401" i="1" s="1"/>
  <c r="BW401" i="1"/>
  <c r="BX401" i="1" s="1"/>
  <c r="CI401" i="1"/>
  <c r="CJ401" i="1" s="1"/>
  <c r="AM400" i="1"/>
  <c r="AN400" i="1" s="1"/>
  <c r="AS400" i="1"/>
  <c r="AT400" i="1" s="1"/>
  <c r="BW400" i="1"/>
  <c r="BX400" i="1" s="1"/>
  <c r="FI399" i="1"/>
  <c r="AG399" i="1"/>
  <c r="AH399" i="1" s="1"/>
  <c r="BW399" i="1"/>
  <c r="BX399" i="1" s="1"/>
  <c r="CI399" i="1"/>
  <c r="CJ399" i="1" s="1"/>
  <c r="FI398" i="1"/>
  <c r="AG398" i="1"/>
  <c r="AH398" i="1" s="1"/>
  <c r="AM398" i="1"/>
  <c r="AN398" i="1" s="1"/>
  <c r="AS398" i="1"/>
  <c r="AT398" i="1" s="1"/>
  <c r="BW398" i="1"/>
  <c r="BX398" i="1" s="1"/>
  <c r="AG397" i="1"/>
  <c r="AH397" i="1" s="1"/>
  <c r="AM397" i="1"/>
  <c r="AN397" i="1" s="1"/>
  <c r="AS397" i="1"/>
  <c r="AT397" i="1" s="1"/>
  <c r="BW397" i="1"/>
  <c r="BX397" i="1" s="1"/>
  <c r="CI397" i="1"/>
  <c r="CJ397" i="1" s="1"/>
  <c r="AG396" i="1"/>
  <c r="AH396" i="1" s="1"/>
  <c r="AM396" i="1"/>
  <c r="AN396" i="1" s="1"/>
  <c r="AS396" i="1"/>
  <c r="AT396" i="1" s="1"/>
  <c r="BW396" i="1"/>
  <c r="BX396" i="1" s="1"/>
  <c r="CI396" i="1"/>
  <c r="CJ396" i="1" s="1"/>
  <c r="FI395" i="1"/>
  <c r="AS395" i="1"/>
  <c r="AT395" i="1" s="1"/>
  <c r="BW395" i="1"/>
  <c r="BX395" i="1" s="1"/>
  <c r="CI395" i="1"/>
  <c r="CJ395" i="1" s="1"/>
  <c r="AG394" i="1"/>
  <c r="AH394" i="1" s="1"/>
  <c r="AM394" i="1"/>
  <c r="AN394" i="1" s="1"/>
  <c r="AS394" i="1"/>
  <c r="AT394" i="1" s="1"/>
  <c r="BW394" i="1"/>
  <c r="BX394" i="1" s="1"/>
  <c r="FI393" i="1"/>
  <c r="AM393" i="1"/>
  <c r="AN393" i="1" s="1"/>
  <c r="AS393" i="1"/>
  <c r="AT393" i="1" s="1"/>
  <c r="AY393" i="1"/>
  <c r="AZ393" i="1" s="1"/>
  <c r="CU393" i="1"/>
  <c r="CV393" i="1" s="1"/>
  <c r="FI392" i="1"/>
  <c r="AS392" i="1"/>
  <c r="AT392" i="1" s="1"/>
  <c r="FH392" i="1" s="1"/>
  <c r="FI391" i="1"/>
  <c r="FH391" i="1"/>
  <c r="FI390" i="1"/>
  <c r="FH390" i="1"/>
  <c r="FI389" i="1"/>
  <c r="FH389" i="1"/>
  <c r="FI388" i="1"/>
  <c r="FH388" i="1"/>
  <c r="FI387" i="1"/>
  <c r="FH387" i="1"/>
  <c r="FI386" i="1"/>
  <c r="FH386" i="1"/>
  <c r="FI385" i="1"/>
  <c r="FH385" i="1"/>
  <c r="FI384" i="1"/>
  <c r="FH384" i="1"/>
  <c r="FI383" i="1"/>
  <c r="FH383" i="1"/>
  <c r="FI382" i="1"/>
  <c r="FH382" i="1"/>
  <c r="FI381" i="1"/>
  <c r="FH381" i="1"/>
  <c r="FI380" i="1"/>
  <c r="FH380" i="1"/>
  <c r="FI379" i="1"/>
  <c r="FH379" i="1"/>
  <c r="FI378" i="1"/>
  <c r="FH378" i="1"/>
  <c r="FI377" i="1"/>
  <c r="FH377" i="1"/>
  <c r="FI376" i="1"/>
  <c r="FH376" i="1"/>
  <c r="FI375" i="1"/>
  <c r="FH375" i="1"/>
  <c r="FI374" i="1"/>
  <c r="FH374" i="1"/>
  <c r="FI373" i="1"/>
  <c r="FH373" i="1"/>
  <c r="BW371" i="1"/>
  <c r="BX371" i="1" s="1"/>
  <c r="CI371" i="1"/>
  <c r="CJ371" i="1" s="1"/>
  <c r="AS370" i="1"/>
  <c r="AT370" i="1" s="1"/>
  <c r="BW370" i="1"/>
  <c r="BX370" i="1" s="1"/>
  <c r="BW369" i="1"/>
  <c r="BX369" i="1" s="1"/>
  <c r="U368" i="1"/>
  <c r="V368" i="1" s="1"/>
  <c r="AS368" i="1"/>
  <c r="AT368" i="1" s="1"/>
  <c r="FI367" i="1"/>
  <c r="FH367" i="1"/>
  <c r="BW366" i="1"/>
  <c r="BX366" i="1" s="1"/>
  <c r="CI366" i="1"/>
  <c r="CJ366" i="1" s="1"/>
  <c r="AG365" i="1"/>
  <c r="AH365" i="1" s="1"/>
  <c r="AM365" i="1"/>
  <c r="AN365" i="1" s="1"/>
  <c r="BW365" i="1"/>
  <c r="BX365" i="1" s="1"/>
  <c r="CC365" i="1"/>
  <c r="CD365" i="1" s="1"/>
  <c r="AG364" i="1"/>
  <c r="AH364" i="1" s="1"/>
  <c r="BW364" i="1"/>
  <c r="BX364" i="1" s="1"/>
  <c r="CI364" i="1"/>
  <c r="CJ364" i="1" s="1"/>
  <c r="FI363" i="1"/>
  <c r="AG363" i="1"/>
  <c r="AH363" i="1" s="1"/>
  <c r="AM363" i="1"/>
  <c r="AN363" i="1" s="1"/>
  <c r="AG362" i="1"/>
  <c r="AH362" i="1" s="1"/>
  <c r="AM362" i="1"/>
  <c r="AN362" i="1" s="1"/>
  <c r="BW362" i="1"/>
  <c r="BX362" i="1" s="1"/>
  <c r="CI362" i="1"/>
  <c r="CJ362" i="1" s="1"/>
  <c r="FI361" i="1"/>
  <c r="AM360" i="1"/>
  <c r="AN360" i="1" s="1"/>
  <c r="BW360" i="1"/>
  <c r="BX360" i="1" s="1"/>
  <c r="CI360" i="1"/>
  <c r="CJ360" i="1" s="1"/>
  <c r="AS359" i="1"/>
  <c r="AT359" i="1" s="1"/>
  <c r="BW359" i="1"/>
  <c r="BX359" i="1" s="1"/>
  <c r="CU359" i="1"/>
  <c r="CV359" i="1" s="1"/>
  <c r="AH358" i="1"/>
  <c r="BW358" i="1"/>
  <c r="BX358" i="1" s="1"/>
  <c r="AB357" i="1"/>
  <c r="FI356" i="1"/>
  <c r="AB356" i="1"/>
  <c r="FI355" i="1"/>
  <c r="AB355" i="1"/>
  <c r="FI354" i="1"/>
  <c r="AB354" i="1"/>
  <c r="AS353" i="1"/>
  <c r="AT353" i="1" s="1"/>
  <c r="BW353" i="1"/>
  <c r="BX353" i="1" s="1"/>
  <c r="FI352" i="1"/>
  <c r="AG352" i="1"/>
  <c r="AH352" i="1" s="1"/>
  <c r="AS352" i="1"/>
  <c r="AT352" i="1" s="1"/>
  <c r="BW352" i="1"/>
  <c r="BX352" i="1" s="1"/>
  <c r="CC352" i="1"/>
  <c r="CD352" i="1" s="1"/>
  <c r="CI352" i="1"/>
  <c r="CJ352" i="1" s="1"/>
  <c r="AM351" i="1"/>
  <c r="AN351" i="1" s="1"/>
  <c r="BW351" i="1"/>
  <c r="BX351" i="1" s="1"/>
  <c r="CI351" i="1"/>
  <c r="CJ351" i="1" s="1"/>
  <c r="AM350" i="1"/>
  <c r="AN350" i="1" s="1"/>
  <c r="BW350" i="1"/>
  <c r="BX350" i="1" s="1"/>
  <c r="CI350" i="1"/>
  <c r="CJ350" i="1" s="1"/>
  <c r="AG349" i="1"/>
  <c r="AH349" i="1" s="1"/>
  <c r="AM349" i="1"/>
  <c r="AN349" i="1" s="1"/>
  <c r="BW349" i="1"/>
  <c r="BX349" i="1" s="1"/>
  <c r="CI349" i="1"/>
  <c r="CJ349" i="1" s="1"/>
  <c r="AG348" i="1"/>
  <c r="AH348" i="1" s="1"/>
  <c r="AM348" i="1"/>
  <c r="AN348" i="1" s="1"/>
  <c r="BW348" i="1"/>
  <c r="BX348" i="1" s="1"/>
  <c r="CI348" i="1"/>
  <c r="CJ348" i="1" s="1"/>
  <c r="FI347" i="1"/>
  <c r="AS347" i="1"/>
  <c r="AT347" i="1" s="1"/>
  <c r="BW347" i="1"/>
  <c r="BX347" i="1" s="1"/>
  <c r="CI347" i="1"/>
  <c r="CJ347" i="1" s="1"/>
  <c r="FI346" i="1"/>
  <c r="FH346" i="1"/>
  <c r="AM345" i="1"/>
  <c r="AN345" i="1" s="1"/>
  <c r="BW345" i="1"/>
  <c r="BX345" i="1" s="1"/>
  <c r="FI344" i="1"/>
  <c r="FH344" i="1"/>
  <c r="AG343" i="1"/>
  <c r="AH343" i="1" s="1"/>
  <c r="BW343" i="1"/>
  <c r="BX343" i="1" s="1"/>
  <c r="FI342" i="1"/>
  <c r="BW342" i="1"/>
  <c r="BX342" i="1" s="1"/>
  <c r="CI342" i="1"/>
  <c r="CJ342" i="1" s="1"/>
  <c r="FI341" i="1"/>
  <c r="CO341" i="1"/>
  <c r="CP341" i="1" s="1"/>
  <c r="FH341" i="1" s="1"/>
  <c r="FI340" i="1"/>
  <c r="BW340" i="1"/>
  <c r="BX340" i="1" s="1"/>
  <c r="CI340" i="1"/>
  <c r="CJ340" i="1" s="1"/>
  <c r="FI339" i="1"/>
  <c r="FH339" i="1"/>
  <c r="FI338" i="1"/>
  <c r="FH338" i="1"/>
  <c r="FI337" i="1"/>
  <c r="FH337" i="1"/>
  <c r="AG336" i="1"/>
  <c r="AH336" i="1" s="1"/>
  <c r="AM336" i="1"/>
  <c r="AN336" i="1" s="1"/>
  <c r="AS336" i="1"/>
  <c r="AT336" i="1" s="1"/>
  <c r="BW336" i="1"/>
  <c r="BX336" i="1" s="1"/>
  <c r="CI336" i="1"/>
  <c r="CJ336" i="1" s="1"/>
  <c r="U335" i="1"/>
  <c r="V335" i="1" s="1"/>
  <c r="AG335" i="1"/>
  <c r="AH335" i="1" s="1"/>
  <c r="AM335" i="1"/>
  <c r="AN335" i="1" s="1"/>
  <c r="AS335" i="1"/>
  <c r="AT335" i="1" s="1"/>
  <c r="BW335" i="1"/>
  <c r="BX335" i="1" s="1"/>
  <c r="CI335" i="1"/>
  <c r="CJ335" i="1" s="1"/>
  <c r="FI334" i="1"/>
  <c r="AG334" i="1"/>
  <c r="AH334" i="1" s="1"/>
  <c r="AM334" i="1"/>
  <c r="AN334" i="1" s="1"/>
  <c r="AS334" i="1"/>
  <c r="AT334" i="1" s="1"/>
  <c r="AY334" i="1"/>
  <c r="AZ334" i="1" s="1"/>
  <c r="BW334" i="1"/>
  <c r="BX334" i="1" s="1"/>
  <c r="FI333" i="1"/>
  <c r="BW333" i="1"/>
  <c r="BX333" i="1" s="1"/>
  <c r="CI333" i="1"/>
  <c r="CJ333" i="1" s="1"/>
  <c r="BW332" i="1"/>
  <c r="BX332" i="1" s="1"/>
  <c r="CI332" i="1"/>
  <c r="CJ332" i="1" s="1"/>
  <c r="AG331" i="1"/>
  <c r="AH331" i="1" s="1"/>
  <c r="AS331" i="1"/>
  <c r="AT331" i="1" s="1"/>
  <c r="BW331" i="1"/>
  <c r="BX331" i="1" s="1"/>
  <c r="FI330" i="1"/>
  <c r="BW330" i="1"/>
  <c r="BX330" i="1" s="1"/>
  <c r="CI330" i="1"/>
  <c r="CJ330" i="1" s="1"/>
  <c r="O329" i="1"/>
  <c r="P329" i="1" s="1"/>
  <c r="AG329" i="1"/>
  <c r="AH329" i="1" s="1"/>
  <c r="AS329" i="1"/>
  <c r="AT329" i="1" s="1"/>
  <c r="BW329" i="1"/>
  <c r="BX329" i="1" s="1"/>
  <c r="AG328" i="1"/>
  <c r="AH328" i="1" s="1"/>
  <c r="BW328" i="1"/>
  <c r="BX328" i="1" s="1"/>
  <c r="CC328" i="1"/>
  <c r="CD328" i="1" s="1"/>
  <c r="AG327" i="1"/>
  <c r="AH327" i="1" s="1"/>
  <c r="AM327" i="1"/>
  <c r="AN327" i="1" s="1"/>
  <c r="BW327" i="1"/>
  <c r="BX327" i="1" s="1"/>
  <c r="AG326" i="1"/>
  <c r="AH326" i="1" s="1"/>
  <c r="AM326" i="1"/>
  <c r="AN326" i="1" s="1"/>
  <c r="AS326" i="1"/>
  <c r="AT326" i="1" s="1"/>
  <c r="BW326" i="1"/>
  <c r="BX326" i="1" s="1"/>
  <c r="CI326" i="1"/>
  <c r="CJ326" i="1" s="1"/>
  <c r="AH325" i="1"/>
  <c r="AS325" i="1"/>
  <c r="AT325" i="1" s="1"/>
  <c r="BW325" i="1"/>
  <c r="BX325" i="1" s="1"/>
  <c r="CI325" i="1"/>
  <c r="CJ325" i="1" s="1"/>
  <c r="AH324" i="1"/>
  <c r="AM324" i="1"/>
  <c r="AN324" i="1" s="1"/>
  <c r="AS324" i="1"/>
  <c r="AT324" i="1" s="1"/>
  <c r="BW324" i="1"/>
  <c r="BX324" i="1" s="1"/>
  <c r="CI324" i="1"/>
  <c r="CJ324" i="1" s="1"/>
  <c r="FI323" i="1"/>
  <c r="FH323" i="1"/>
  <c r="AG322" i="1"/>
  <c r="AH322" i="1" s="1"/>
  <c r="AM322" i="1"/>
  <c r="AN322" i="1" s="1"/>
  <c r="AS322" i="1"/>
  <c r="AT322" i="1" s="1"/>
  <c r="AG321" i="1"/>
  <c r="AH321" i="1" s="1"/>
  <c r="AM321" i="1"/>
  <c r="AN321" i="1" s="1"/>
  <c r="AS321" i="1"/>
  <c r="AT321" i="1" s="1"/>
  <c r="BW321" i="1"/>
  <c r="BX321" i="1" s="1"/>
  <c r="CI321" i="1"/>
  <c r="CJ321" i="1" s="1"/>
  <c r="CU321" i="1"/>
  <c r="CV321" i="1" s="1"/>
  <c r="AG320" i="1"/>
  <c r="AH320" i="1" s="1"/>
  <c r="AM320" i="1"/>
  <c r="AN320" i="1" s="1"/>
  <c r="AS320" i="1"/>
  <c r="AT320" i="1" s="1"/>
  <c r="BW320" i="1"/>
  <c r="BX320" i="1" s="1"/>
  <c r="CI320" i="1"/>
  <c r="CJ320" i="1" s="1"/>
  <c r="FI319" i="1"/>
  <c r="AG319" i="1"/>
  <c r="AH319" i="1" s="1"/>
  <c r="AS319" i="1"/>
  <c r="AT319" i="1" s="1"/>
  <c r="AG318" i="1"/>
  <c r="AH318" i="1" s="1"/>
  <c r="AM318" i="1"/>
  <c r="AN318" i="1" s="1"/>
  <c r="AS318" i="1"/>
  <c r="AT318" i="1" s="1"/>
  <c r="BW318" i="1"/>
  <c r="BX318" i="1" s="1"/>
  <c r="CI318" i="1"/>
  <c r="CJ318" i="1" s="1"/>
  <c r="FI317" i="1"/>
  <c r="AG317" i="1"/>
  <c r="AH317" i="1" s="1"/>
  <c r="AM317" i="1"/>
  <c r="AN317" i="1" s="1"/>
  <c r="AS317" i="1"/>
  <c r="AT317" i="1" s="1"/>
  <c r="AY317" i="1"/>
  <c r="AZ317" i="1" s="1"/>
  <c r="BW317" i="1"/>
  <c r="BX317" i="1" s="1"/>
  <c r="CI317" i="1"/>
  <c r="CJ317" i="1" s="1"/>
  <c r="CV317" i="1"/>
  <c r="AG316" i="1"/>
  <c r="AH316" i="1" s="1"/>
  <c r="AM316" i="1"/>
  <c r="AN316" i="1" s="1"/>
  <c r="BW316" i="1"/>
  <c r="BX316" i="1" s="1"/>
  <c r="CI316" i="1"/>
  <c r="CJ316" i="1" s="1"/>
  <c r="AS315" i="1"/>
  <c r="AT315" i="1" s="1"/>
  <c r="BW315" i="1"/>
  <c r="BX315" i="1" s="1"/>
  <c r="FI314" i="1"/>
  <c r="AG314" i="1"/>
  <c r="AH314" i="1" s="1"/>
  <c r="AM314" i="1"/>
  <c r="AN314" i="1" s="1"/>
  <c r="AS314" i="1"/>
  <c r="AT314" i="1" s="1"/>
  <c r="BW314" i="1"/>
  <c r="BX314" i="1" s="1"/>
  <c r="CI314" i="1"/>
  <c r="CJ314" i="1" s="1"/>
  <c r="CU314" i="1"/>
  <c r="CV314" i="1" s="1"/>
  <c r="FI313" i="1"/>
  <c r="AS313" i="1"/>
  <c r="AT313" i="1" s="1"/>
  <c r="BW313" i="1"/>
  <c r="BX313" i="1" s="1"/>
  <c r="CI313" i="1"/>
  <c r="CJ313" i="1" s="1"/>
  <c r="BW312" i="1"/>
  <c r="BX312" i="1" s="1"/>
  <c r="CI312" i="1"/>
  <c r="CJ312" i="1" s="1"/>
  <c r="U311" i="1"/>
  <c r="V311" i="1" s="1"/>
  <c r="AM311" i="1"/>
  <c r="AN311" i="1" s="1"/>
  <c r="AS311" i="1"/>
  <c r="AT311" i="1" s="1"/>
  <c r="BW311" i="1"/>
  <c r="BX311" i="1" s="1"/>
  <c r="AG310" i="1"/>
  <c r="AH310" i="1" s="1"/>
  <c r="AM310" i="1"/>
  <c r="AN310" i="1" s="1"/>
  <c r="BW310" i="1"/>
  <c r="BX310" i="1" s="1"/>
  <c r="CU310" i="1"/>
  <c r="CV310" i="1" s="1"/>
  <c r="AG309" i="1"/>
  <c r="AH309" i="1" s="1"/>
  <c r="BW309" i="1"/>
  <c r="BX309" i="1" s="1"/>
  <c r="CU309" i="1"/>
  <c r="CV309" i="1" s="1"/>
  <c r="FI308" i="1"/>
  <c r="CP308" i="1"/>
  <c r="FH308" i="1" s="1"/>
  <c r="FI307" i="1"/>
  <c r="AG307" i="1"/>
  <c r="AH307" i="1" s="1"/>
  <c r="BW307" i="1"/>
  <c r="BX307" i="1" s="1"/>
  <c r="CI307" i="1"/>
  <c r="CJ307" i="1" s="1"/>
  <c r="AM306" i="1"/>
  <c r="AN306" i="1" s="1"/>
  <c r="BW306" i="1"/>
  <c r="BX306" i="1" s="1"/>
  <c r="CI306" i="1"/>
  <c r="CJ306" i="1" s="1"/>
  <c r="AH305" i="1"/>
  <c r="AM305" i="1"/>
  <c r="AN305" i="1" s="1"/>
  <c r="AS305" i="1"/>
  <c r="AT305" i="1" s="1"/>
  <c r="BW305" i="1"/>
  <c r="BX305" i="1" s="1"/>
  <c r="CI305" i="1"/>
  <c r="CJ305" i="1" s="1"/>
  <c r="AG304" i="1"/>
  <c r="AH304" i="1" s="1"/>
  <c r="AM304" i="1"/>
  <c r="AN304" i="1" s="1"/>
  <c r="AS304" i="1"/>
  <c r="AT304" i="1" s="1"/>
  <c r="BW304" i="1"/>
  <c r="BX304" i="1" s="1"/>
  <c r="CI304" i="1"/>
  <c r="CJ304" i="1" s="1"/>
  <c r="AG303" i="1"/>
  <c r="AH303" i="1" s="1"/>
  <c r="AM303" i="1"/>
  <c r="AN303" i="1" s="1"/>
  <c r="AS303" i="1"/>
  <c r="AT303" i="1" s="1"/>
  <c r="BW303" i="1"/>
  <c r="BX303" i="1" s="1"/>
  <c r="AS302" i="1"/>
  <c r="AT302" i="1" s="1"/>
  <c r="BW302" i="1"/>
  <c r="BX302" i="1" s="1"/>
  <c r="AS301" i="1"/>
  <c r="AT301" i="1" s="1"/>
  <c r="BW301" i="1"/>
  <c r="BX301" i="1" s="1"/>
  <c r="BW300" i="1"/>
  <c r="BX300" i="1" s="1"/>
  <c r="CI300" i="1"/>
  <c r="CJ300" i="1" s="1"/>
  <c r="FI299" i="1"/>
  <c r="AS299" i="1"/>
  <c r="AT299" i="1" s="1"/>
  <c r="BW299" i="1"/>
  <c r="BX299" i="1" s="1"/>
  <c r="CU299" i="1"/>
  <c r="CV299" i="1" s="1"/>
  <c r="FI298" i="1"/>
  <c r="BW298" i="1"/>
  <c r="BX298" i="1" s="1"/>
  <c r="CI298" i="1"/>
  <c r="CJ298" i="1" s="1"/>
  <c r="CU298" i="1"/>
  <c r="CV298" i="1" s="1"/>
  <c r="AS297" i="1"/>
  <c r="AT297" i="1" s="1"/>
  <c r="BW297" i="1"/>
  <c r="BX297" i="1" s="1"/>
  <c r="CI297" i="1"/>
  <c r="CJ297" i="1" s="1"/>
  <c r="CU297" i="1"/>
  <c r="CV297" i="1" s="1"/>
  <c r="AS296" i="1"/>
  <c r="AT296" i="1" s="1"/>
  <c r="BW296" i="1"/>
  <c r="BX296" i="1" s="1"/>
  <c r="CU296" i="1"/>
  <c r="CV296" i="1" s="1"/>
  <c r="FI295" i="1"/>
  <c r="AS295" i="1"/>
  <c r="AT295" i="1" s="1"/>
  <c r="BW295" i="1"/>
  <c r="BX295" i="1" s="1"/>
  <c r="CI295" i="1"/>
  <c r="CJ295" i="1" s="1"/>
  <c r="CU295" i="1"/>
  <c r="CV295" i="1" s="1"/>
  <c r="FI294" i="1"/>
  <c r="AS294" i="1"/>
  <c r="AT294" i="1" s="1"/>
  <c r="BW294" i="1"/>
  <c r="BX294" i="1" s="1"/>
  <c r="CU294" i="1"/>
  <c r="CV294" i="1" s="1"/>
  <c r="FI293" i="1"/>
  <c r="AS293" i="1"/>
  <c r="AT293" i="1" s="1"/>
  <c r="BW293" i="1"/>
  <c r="BX293" i="1" s="1"/>
  <c r="CU293" i="1"/>
  <c r="CV293" i="1" s="1"/>
  <c r="AS292" i="1"/>
  <c r="AT292" i="1" s="1"/>
  <c r="BW292" i="1"/>
  <c r="BX292" i="1" s="1"/>
  <c r="CI292" i="1"/>
  <c r="CJ292" i="1" s="1"/>
  <c r="CU292" i="1"/>
  <c r="CV292" i="1" s="1"/>
  <c r="AS291" i="1"/>
  <c r="AT291" i="1" s="1"/>
  <c r="BW291" i="1"/>
  <c r="BX291" i="1" s="1"/>
  <c r="CI291" i="1"/>
  <c r="CJ291" i="1" s="1"/>
  <c r="CU291" i="1"/>
  <c r="CV291" i="1" s="1"/>
  <c r="FI290" i="1"/>
  <c r="AS290" i="1"/>
  <c r="AT290" i="1" s="1"/>
  <c r="BW290" i="1"/>
  <c r="BX290" i="1" s="1"/>
  <c r="CI290" i="1"/>
  <c r="CJ290" i="1" s="1"/>
  <c r="CU290" i="1"/>
  <c r="CV290" i="1" s="1"/>
  <c r="AS289" i="1"/>
  <c r="AT289" i="1" s="1"/>
  <c r="BW289" i="1"/>
  <c r="BX289" i="1" s="1"/>
  <c r="CI289" i="1"/>
  <c r="CJ289" i="1" s="1"/>
  <c r="CU289" i="1"/>
  <c r="CV289" i="1" s="1"/>
  <c r="AM288" i="1"/>
  <c r="AN288" i="1" s="1"/>
  <c r="AS288" i="1"/>
  <c r="AT288" i="1" s="1"/>
  <c r="BW288" i="1"/>
  <c r="BX288" i="1" s="1"/>
  <c r="CI288" i="1"/>
  <c r="CJ288" i="1" s="1"/>
  <c r="CU288" i="1"/>
  <c r="CV288" i="1" s="1"/>
  <c r="FI287" i="1"/>
  <c r="AM287" i="1"/>
  <c r="AN287" i="1" s="1"/>
  <c r="AS287" i="1"/>
  <c r="AT287" i="1" s="1"/>
  <c r="BW287" i="1"/>
  <c r="BX287" i="1" s="1"/>
  <c r="CI287" i="1"/>
  <c r="CJ287" i="1" s="1"/>
  <c r="CU287" i="1"/>
  <c r="CV287" i="1" s="1"/>
  <c r="FI286" i="1"/>
  <c r="BW286" i="1"/>
  <c r="BX286" i="1" s="1"/>
  <c r="CI286" i="1"/>
  <c r="CJ286" i="1" s="1"/>
  <c r="CU286" i="1"/>
  <c r="CV286" i="1" s="1"/>
  <c r="AM285" i="1"/>
  <c r="AN285" i="1" s="1"/>
  <c r="AS285" i="1"/>
  <c r="AT285" i="1" s="1"/>
  <c r="BW285" i="1"/>
  <c r="BX285" i="1" s="1"/>
  <c r="CI285" i="1"/>
  <c r="CJ285" i="1" s="1"/>
  <c r="CU285" i="1"/>
  <c r="CV285" i="1" s="1"/>
  <c r="BW284" i="1"/>
  <c r="BX284" i="1" s="1"/>
  <c r="CI284" i="1"/>
  <c r="CJ284" i="1" s="1"/>
  <c r="CU284" i="1"/>
  <c r="CV284" i="1" s="1"/>
  <c r="BW283" i="1"/>
  <c r="BX283" i="1" s="1"/>
  <c r="CU283" i="1"/>
  <c r="CV283" i="1" s="1"/>
  <c r="AS282" i="1"/>
  <c r="AT282" i="1" s="1"/>
  <c r="BW282" i="1"/>
  <c r="BX282" i="1" s="1"/>
  <c r="CU282" i="1"/>
  <c r="CV282" i="1" s="1"/>
  <c r="AS281" i="1"/>
  <c r="AT281" i="1" s="1"/>
  <c r="BW281" i="1"/>
  <c r="BX281" i="1" s="1"/>
  <c r="CU281" i="1"/>
  <c r="CV281" i="1" s="1"/>
  <c r="BW280" i="1"/>
  <c r="BX280" i="1" s="1"/>
  <c r="CI280" i="1"/>
  <c r="CJ280" i="1" s="1"/>
  <c r="CU280" i="1"/>
  <c r="CV280" i="1" s="1"/>
  <c r="BW279" i="1"/>
  <c r="BX279" i="1" s="1"/>
  <c r="CU279" i="1"/>
  <c r="CV279" i="1" s="1"/>
  <c r="AS278" i="1"/>
  <c r="AT278" i="1" s="1"/>
  <c r="BW278" i="1"/>
  <c r="BX278" i="1" s="1"/>
  <c r="CI278" i="1"/>
  <c r="CJ278" i="1" s="1"/>
  <c r="CU278" i="1"/>
  <c r="CV278" i="1" s="1"/>
  <c r="AM277" i="1"/>
  <c r="AN277" i="1" s="1"/>
  <c r="AS277" i="1"/>
  <c r="AT277" i="1" s="1"/>
  <c r="BW277" i="1"/>
  <c r="BX277" i="1" s="1"/>
  <c r="CI277" i="1"/>
  <c r="CJ277" i="1" s="1"/>
  <c r="CU277" i="1"/>
  <c r="CV277" i="1" s="1"/>
  <c r="AM276" i="1"/>
  <c r="AN276" i="1" s="1"/>
  <c r="AS276" i="1"/>
  <c r="AT276" i="1" s="1"/>
  <c r="BW276" i="1"/>
  <c r="BX276" i="1" s="1"/>
  <c r="CI276" i="1"/>
  <c r="CJ276" i="1" s="1"/>
  <c r="CU276" i="1"/>
  <c r="CV276" i="1" s="1"/>
  <c r="AS275" i="1"/>
  <c r="AT275" i="1" s="1"/>
  <c r="BW275" i="1"/>
  <c r="BX275" i="1" s="1"/>
  <c r="CU275" i="1"/>
  <c r="CV275" i="1" s="1"/>
  <c r="FI274" i="1"/>
  <c r="AM274" i="1"/>
  <c r="AN274" i="1" s="1"/>
  <c r="AS274" i="1"/>
  <c r="AT274" i="1" s="1"/>
  <c r="BW274" i="1"/>
  <c r="BX274" i="1" s="1"/>
  <c r="CI274" i="1"/>
  <c r="CJ274" i="1" s="1"/>
  <c r="CU274" i="1"/>
  <c r="CV274" i="1" s="1"/>
  <c r="AM273" i="1"/>
  <c r="AN273" i="1" s="1"/>
  <c r="AS273" i="1"/>
  <c r="AT273" i="1" s="1"/>
  <c r="BW273" i="1"/>
  <c r="BX273" i="1" s="1"/>
  <c r="CI273" i="1"/>
  <c r="CJ273" i="1" s="1"/>
  <c r="CU273" i="1"/>
  <c r="CV273" i="1" s="1"/>
  <c r="BW272" i="1"/>
  <c r="BX272" i="1" s="1"/>
  <c r="CI272" i="1"/>
  <c r="CJ272" i="1" s="1"/>
  <c r="CO272" i="1"/>
  <c r="CP272" i="1" s="1"/>
  <c r="CU272" i="1"/>
  <c r="CV272" i="1" s="1"/>
  <c r="AM271" i="1"/>
  <c r="AN271" i="1" s="1"/>
  <c r="AS271" i="1"/>
  <c r="AT271" i="1" s="1"/>
  <c r="BW271" i="1"/>
  <c r="BX271" i="1" s="1"/>
  <c r="CI271" i="1"/>
  <c r="CJ271" i="1" s="1"/>
  <c r="CU271" i="1"/>
  <c r="CV271" i="1" s="1"/>
  <c r="FI270" i="1"/>
  <c r="BW270" i="1"/>
  <c r="BX270" i="1" s="1"/>
  <c r="CI270" i="1"/>
  <c r="CJ270" i="1" s="1"/>
  <c r="CU270" i="1"/>
  <c r="CV270" i="1" s="1"/>
  <c r="FI269" i="1"/>
  <c r="CU269" i="1"/>
  <c r="CV269" i="1" s="1"/>
  <c r="FH269" i="1" s="1"/>
  <c r="CU268" i="1"/>
  <c r="CV268" i="1" s="1"/>
  <c r="FI267" i="1"/>
  <c r="AS267" i="1"/>
  <c r="AT267" i="1" s="1"/>
  <c r="CU267" i="1"/>
  <c r="CV267" i="1" s="1"/>
  <c r="FI266" i="1"/>
  <c r="AS266" i="1"/>
  <c r="AT266" i="1" s="1"/>
  <c r="CU266" i="1"/>
  <c r="CV266" i="1" s="1"/>
  <c r="FI265" i="1"/>
  <c r="AS265" i="1"/>
  <c r="AT265" i="1" s="1"/>
  <c r="CU265" i="1"/>
  <c r="CV265" i="1" s="1"/>
  <c r="FI264" i="1"/>
  <c r="AS264" i="1"/>
  <c r="AT264" i="1" s="1"/>
  <c r="CU264" i="1"/>
  <c r="CV264" i="1" s="1"/>
  <c r="FI263" i="1"/>
  <c r="AS263" i="1"/>
  <c r="AT263" i="1" s="1"/>
  <c r="CU263" i="1"/>
  <c r="CV263" i="1" s="1"/>
  <c r="FI262" i="1"/>
  <c r="AS262" i="1"/>
  <c r="AT262" i="1" s="1"/>
  <c r="CU262" i="1"/>
  <c r="CV262" i="1" s="1"/>
  <c r="FI261" i="1"/>
  <c r="AG261" i="1"/>
  <c r="AH261" i="1" s="1"/>
  <c r="FH261" i="1" s="1"/>
  <c r="FI259" i="1"/>
  <c r="AM259" i="1"/>
  <c r="AN259" i="1" s="1"/>
  <c r="AS259" i="1"/>
  <c r="AT259" i="1" s="1"/>
  <c r="AG258" i="1"/>
  <c r="AH258" i="1" s="1"/>
  <c r="AS258" i="1"/>
  <c r="AT258" i="1" s="1"/>
  <c r="FI257" i="1"/>
  <c r="AS257" i="1"/>
  <c r="AT257" i="1" s="1"/>
  <c r="FH257" i="1" s="1"/>
  <c r="FI256" i="1"/>
  <c r="FH256" i="1"/>
  <c r="AG255" i="1"/>
  <c r="AH255" i="1" s="1"/>
  <c r="FI253" i="1"/>
  <c r="U253" i="1"/>
  <c r="V253" i="1" s="1"/>
  <c r="AS253" i="1"/>
  <c r="AT253" i="1" s="1"/>
  <c r="FI252" i="1"/>
  <c r="AS252" i="1"/>
  <c r="AT252" i="1" s="1"/>
  <c r="CC252" i="1"/>
  <c r="CD252" i="1" s="1"/>
  <c r="FI251" i="1"/>
  <c r="U251" i="1"/>
  <c r="V251" i="1" s="1"/>
  <c r="AM251" i="1"/>
  <c r="AN251" i="1" s="1"/>
  <c r="AS251" i="1"/>
  <c r="AT251" i="1" s="1"/>
  <c r="AY251" i="1"/>
  <c r="AZ251" i="1" s="1"/>
  <c r="FI250" i="1"/>
  <c r="AS250" i="1"/>
  <c r="AT250" i="1" s="1"/>
  <c r="AG249" i="1"/>
  <c r="AH249" i="1" s="1"/>
  <c r="AM249" i="1"/>
  <c r="AN249" i="1" s="1"/>
  <c r="AS249" i="1"/>
  <c r="AT249" i="1" s="1"/>
  <c r="BQ249" i="1"/>
  <c r="BR249" i="1" s="1"/>
  <c r="BW249" i="1"/>
  <c r="BX249" i="1" s="1"/>
  <c r="CI249" i="1"/>
  <c r="CJ249" i="1" s="1"/>
  <c r="FI248" i="1"/>
  <c r="AS248" i="1"/>
  <c r="AT248" i="1" s="1"/>
  <c r="BW248" i="1"/>
  <c r="BX248" i="1" s="1"/>
  <c r="CI248" i="1"/>
  <c r="CJ248" i="1" s="1"/>
  <c r="AM247" i="1"/>
  <c r="AN247" i="1" s="1"/>
  <c r="AS247" i="1"/>
  <c r="AT247" i="1" s="1"/>
  <c r="BW247" i="1"/>
  <c r="BX247" i="1" s="1"/>
  <c r="CI247" i="1"/>
  <c r="CJ247" i="1" s="1"/>
  <c r="CU247" i="1"/>
  <c r="CV247" i="1" s="1"/>
  <c r="FI246" i="1"/>
  <c r="AS246" i="1"/>
  <c r="AT246" i="1" s="1"/>
  <c r="BW246" i="1"/>
  <c r="BX246" i="1" s="1"/>
  <c r="CI246" i="1"/>
  <c r="CJ246" i="1" s="1"/>
  <c r="AM245" i="1"/>
  <c r="AN245" i="1" s="1"/>
  <c r="BW245" i="1"/>
  <c r="BX245" i="1" s="1"/>
  <c r="CI245" i="1"/>
  <c r="CJ245" i="1" s="1"/>
  <c r="CU245" i="1"/>
  <c r="CV245" i="1" s="1"/>
  <c r="FI244" i="1"/>
  <c r="AS244" i="1"/>
  <c r="AT244" i="1" s="1"/>
  <c r="BW244" i="1"/>
  <c r="BX244" i="1" s="1"/>
  <c r="CI244" i="1"/>
  <c r="CJ244" i="1" s="1"/>
  <c r="AG243" i="1"/>
  <c r="AH243" i="1" s="1"/>
  <c r="AM243" i="1"/>
  <c r="AN243" i="1" s="1"/>
  <c r="AS243" i="1"/>
  <c r="AT243" i="1" s="1"/>
  <c r="BW243" i="1"/>
  <c r="BX243" i="1" s="1"/>
  <c r="CI243" i="1"/>
  <c r="CJ243" i="1" s="1"/>
  <c r="CU243" i="1"/>
  <c r="CV243" i="1" s="1"/>
  <c r="FI242" i="1"/>
  <c r="O242" i="1"/>
  <c r="P242" i="1" s="1"/>
  <c r="AG242" i="1"/>
  <c r="AH242" i="1" s="1"/>
  <c r="BW242" i="1"/>
  <c r="BX242" i="1" s="1"/>
  <c r="FI241" i="1"/>
  <c r="AS241" i="1"/>
  <c r="AT241" i="1" s="1"/>
  <c r="BW241" i="1"/>
  <c r="BX241" i="1" s="1"/>
  <c r="CI241" i="1"/>
  <c r="CJ241" i="1" s="1"/>
  <c r="AS240" i="1"/>
  <c r="AT240" i="1" s="1"/>
  <c r="BW240" i="1"/>
  <c r="BX240" i="1" s="1"/>
  <c r="FI239" i="1"/>
  <c r="BW239" i="1"/>
  <c r="BX239" i="1" s="1"/>
  <c r="CI239" i="1"/>
  <c r="CJ239" i="1" s="1"/>
  <c r="FI238" i="1"/>
  <c r="FH238" i="1"/>
  <c r="FI237" i="1"/>
  <c r="FH237" i="1"/>
  <c r="AG236" i="1"/>
  <c r="AH236" i="1" s="1"/>
  <c r="AS236" i="1"/>
  <c r="AT236" i="1" s="1"/>
  <c r="BQ236" i="1"/>
  <c r="BR236" i="1" s="1"/>
  <c r="BW236" i="1"/>
  <c r="BX236" i="1" s="1"/>
  <c r="CI236" i="1"/>
  <c r="CJ236" i="1" s="1"/>
  <c r="AG235" i="1"/>
  <c r="AH235" i="1" s="1"/>
  <c r="AM235" i="1"/>
  <c r="AN235" i="1" s="1"/>
  <c r="AS235" i="1"/>
  <c r="AT235" i="1" s="1"/>
  <c r="BW235" i="1"/>
  <c r="BX235" i="1" s="1"/>
  <c r="CC235" i="1"/>
  <c r="CD235" i="1" s="1"/>
  <c r="CI235" i="1"/>
  <c r="CJ235" i="1" s="1"/>
  <c r="AM234" i="1"/>
  <c r="AN234" i="1" s="1"/>
  <c r="BQ234" i="1"/>
  <c r="BR234" i="1" s="1"/>
  <c r="BW234" i="1"/>
  <c r="BX234" i="1" s="1"/>
  <c r="CI234" i="1"/>
  <c r="CJ234" i="1" s="1"/>
  <c r="FI233" i="1"/>
  <c r="FI232" i="1"/>
  <c r="AS232" i="1"/>
  <c r="AT232" i="1" s="1"/>
  <c r="FH232" i="1" s="1"/>
  <c r="AS231" i="1"/>
  <c r="AT231" i="1" s="1"/>
  <c r="BW231" i="1"/>
  <c r="BX231" i="1" s="1"/>
  <c r="CI231" i="1"/>
  <c r="CJ231" i="1" s="1"/>
  <c r="FI230" i="1"/>
  <c r="AS230" i="1"/>
  <c r="AT230" i="1" s="1"/>
  <c r="FH230" i="1" s="1"/>
  <c r="FI229" i="1"/>
  <c r="FH229" i="1"/>
  <c r="FI228" i="1"/>
  <c r="AS228" i="1"/>
  <c r="AT228" i="1" s="1"/>
  <c r="BW228" i="1"/>
  <c r="BX228" i="1" s="1"/>
  <c r="CI228" i="1"/>
  <c r="CJ228" i="1" s="1"/>
  <c r="AG227" i="1"/>
  <c r="AH227" i="1" s="1"/>
  <c r="AM227" i="1"/>
  <c r="AN227" i="1" s="1"/>
  <c r="AS227" i="1"/>
  <c r="AT227" i="1" s="1"/>
  <c r="AY227" i="1"/>
  <c r="AZ227" i="1" s="1"/>
  <c r="BW227" i="1"/>
  <c r="BX227" i="1" s="1"/>
  <c r="CI227" i="1"/>
  <c r="CJ227" i="1" s="1"/>
  <c r="AM226" i="1"/>
  <c r="AN226" i="1" s="1"/>
  <c r="AS226" i="1"/>
  <c r="AT226" i="1" s="1"/>
  <c r="BW226" i="1"/>
  <c r="BX226" i="1" s="1"/>
  <c r="CI226" i="1"/>
  <c r="CJ226" i="1" s="1"/>
  <c r="FI225" i="1"/>
  <c r="AG225" i="1"/>
  <c r="AH225" i="1" s="1"/>
  <c r="AM225" i="1"/>
  <c r="AN225" i="1" s="1"/>
  <c r="AS225" i="1"/>
  <c r="AT225" i="1" s="1"/>
  <c r="BW225" i="1"/>
  <c r="BX225" i="1" s="1"/>
  <c r="CI225" i="1"/>
  <c r="CJ225" i="1" s="1"/>
  <c r="AM224" i="1"/>
  <c r="AN224" i="1" s="1"/>
  <c r="AY224" i="1"/>
  <c r="AZ224" i="1" s="1"/>
  <c r="BW224" i="1"/>
  <c r="BX224" i="1" s="1"/>
  <c r="CC224" i="1"/>
  <c r="CD224" i="1" s="1"/>
  <c r="CI224" i="1"/>
  <c r="CJ224" i="1" s="1"/>
  <c r="AH223" i="1"/>
  <c r="FI222" i="1"/>
  <c r="AS222" i="1"/>
  <c r="AT222" i="1" s="1"/>
  <c r="BW222" i="1"/>
  <c r="BX222" i="1" s="1"/>
  <c r="CI222" i="1"/>
  <c r="CJ222" i="1" s="1"/>
  <c r="FI221" i="1"/>
  <c r="BW221" i="1"/>
  <c r="BX221" i="1" s="1"/>
  <c r="CI221" i="1"/>
  <c r="CJ221" i="1" s="1"/>
  <c r="FI220" i="1"/>
  <c r="AS220" i="1"/>
  <c r="AT220" i="1" s="1"/>
  <c r="BW220" i="1"/>
  <c r="BX220" i="1" s="1"/>
  <c r="CI220" i="1"/>
  <c r="CJ220" i="1" s="1"/>
  <c r="FI219" i="1"/>
  <c r="BW219" i="1"/>
  <c r="BX219" i="1" s="1"/>
  <c r="CI219" i="1"/>
  <c r="CJ219" i="1" s="1"/>
  <c r="AG218" i="1"/>
  <c r="AH218" i="1" s="1"/>
  <c r="AM218" i="1"/>
  <c r="AN218" i="1" s="1"/>
  <c r="AS218" i="1"/>
  <c r="AT218" i="1" s="1"/>
  <c r="BW218" i="1"/>
  <c r="BX218" i="1" s="1"/>
  <c r="AG217" i="1"/>
  <c r="AH217" i="1" s="1"/>
  <c r="AM217" i="1"/>
  <c r="AN217" i="1" s="1"/>
  <c r="AS217" i="1"/>
  <c r="AT217" i="1" s="1"/>
  <c r="BW217" i="1"/>
  <c r="BX217" i="1" s="1"/>
  <c r="CC217" i="1"/>
  <c r="CD217" i="1" s="1"/>
  <c r="CI217" i="1"/>
  <c r="CJ217" i="1" s="1"/>
  <c r="FI216" i="1"/>
  <c r="FH216" i="1"/>
  <c r="FI215" i="1"/>
  <c r="FH215" i="1"/>
  <c r="FI214" i="1"/>
  <c r="FH214" i="1"/>
  <c r="FI213" i="1"/>
  <c r="FH213" i="1"/>
  <c r="FI212" i="1"/>
  <c r="FH212" i="1"/>
  <c r="FI211" i="1"/>
  <c r="FH211" i="1"/>
  <c r="FI210" i="1"/>
  <c r="FH210" i="1"/>
  <c r="AS209" i="1"/>
  <c r="AT209" i="1" s="1"/>
  <c r="BW209" i="1"/>
  <c r="BX209" i="1" s="1"/>
  <c r="CV209" i="1"/>
  <c r="AA208" i="1"/>
  <c r="AB208" i="1" s="1"/>
  <c r="AS208" i="1"/>
  <c r="AT208" i="1" s="1"/>
  <c r="BW208" i="1"/>
  <c r="BX208" i="1" s="1"/>
  <c r="AG207" i="1"/>
  <c r="AH207" i="1" s="1"/>
  <c r="AM207" i="1"/>
  <c r="AN207" i="1" s="1"/>
  <c r="AS207" i="1"/>
  <c r="AT207" i="1" s="1"/>
  <c r="BW207" i="1"/>
  <c r="BX207" i="1" s="1"/>
  <c r="CI207" i="1"/>
  <c r="CJ207" i="1" s="1"/>
  <c r="AG206" i="1"/>
  <c r="AH206" i="1" s="1"/>
  <c r="BW206" i="1"/>
  <c r="BX206" i="1" s="1"/>
  <c r="CI206" i="1"/>
  <c r="CJ206" i="1" s="1"/>
  <c r="AG205" i="1"/>
  <c r="AH205" i="1" s="1"/>
  <c r="AS205" i="1"/>
  <c r="AT205" i="1" s="1"/>
  <c r="BW205" i="1"/>
  <c r="BX205" i="1" s="1"/>
  <c r="CI205" i="1"/>
  <c r="CJ205" i="1" s="1"/>
  <c r="AS204" i="1"/>
  <c r="AT204" i="1" s="1"/>
  <c r="BW204" i="1"/>
  <c r="BX204" i="1" s="1"/>
  <c r="FI203" i="1"/>
  <c r="O203" i="1"/>
  <c r="P203" i="1" s="1"/>
  <c r="BW203" i="1"/>
  <c r="BX203" i="1" s="1"/>
  <c r="CI203" i="1"/>
  <c r="CJ203" i="1" s="1"/>
  <c r="AG202" i="1"/>
  <c r="AH202" i="1" s="1"/>
  <c r="AM202" i="1"/>
  <c r="AN202" i="1" s="1"/>
  <c r="BW202" i="1"/>
  <c r="BX202" i="1" s="1"/>
  <c r="CI202" i="1"/>
  <c r="CJ202" i="1" s="1"/>
  <c r="AG201" i="1"/>
  <c r="AH201" i="1" s="1"/>
  <c r="AM201" i="1"/>
  <c r="AN201" i="1" s="1"/>
  <c r="BW201" i="1"/>
  <c r="BX201" i="1" s="1"/>
  <c r="FI200" i="1"/>
  <c r="AG200" i="1"/>
  <c r="AH200" i="1" s="1"/>
  <c r="AM200" i="1"/>
  <c r="AN200" i="1" s="1"/>
  <c r="AS200" i="1"/>
  <c r="AT200" i="1" s="1"/>
  <c r="AY200" i="1"/>
  <c r="AZ200" i="1" s="1"/>
  <c r="BW200" i="1"/>
  <c r="BX200" i="1" s="1"/>
  <c r="CI200" i="1"/>
  <c r="CJ200" i="1" s="1"/>
  <c r="CV200" i="1"/>
  <c r="FI199" i="1"/>
  <c r="AM199" i="1"/>
  <c r="AN199" i="1" s="1"/>
  <c r="AS199" i="1"/>
  <c r="AT199" i="1" s="1"/>
  <c r="BW199" i="1"/>
  <c r="BX199" i="1" s="1"/>
  <c r="CI199" i="1"/>
  <c r="CJ199" i="1" s="1"/>
  <c r="AG198" i="1"/>
  <c r="AH198" i="1" s="1"/>
  <c r="AM198" i="1"/>
  <c r="AN198" i="1" s="1"/>
  <c r="AS198" i="1"/>
  <c r="AT198" i="1" s="1"/>
  <c r="AY198" i="1"/>
  <c r="AZ198" i="1" s="1"/>
  <c r="BW198" i="1"/>
  <c r="BX198" i="1" s="1"/>
  <c r="CI198" i="1"/>
  <c r="CJ198" i="1" s="1"/>
  <c r="AM197" i="1"/>
  <c r="AN197" i="1" s="1"/>
  <c r="AS197" i="1"/>
  <c r="AT197" i="1" s="1"/>
  <c r="BW197" i="1"/>
  <c r="BX197" i="1" s="1"/>
  <c r="CI197" i="1"/>
  <c r="CJ197" i="1" s="1"/>
  <c r="AM196" i="1"/>
  <c r="AN196" i="1" s="1"/>
  <c r="AS196" i="1"/>
  <c r="AT196" i="1" s="1"/>
  <c r="BW196" i="1"/>
  <c r="BX196" i="1" s="1"/>
  <c r="AG195" i="1"/>
  <c r="AH195" i="1" s="1"/>
  <c r="AM195" i="1"/>
  <c r="AN195" i="1" s="1"/>
  <c r="AS195" i="1"/>
  <c r="AT195" i="1" s="1"/>
  <c r="BW195" i="1"/>
  <c r="BX195" i="1" s="1"/>
  <c r="CI195" i="1"/>
  <c r="CJ195" i="1" s="1"/>
  <c r="FI194" i="1"/>
  <c r="AG194" i="1"/>
  <c r="AH194" i="1" s="1"/>
  <c r="AM194" i="1"/>
  <c r="AN194" i="1" s="1"/>
  <c r="AS194" i="1"/>
  <c r="AT194" i="1" s="1"/>
  <c r="AY194" i="1"/>
  <c r="AZ194" i="1" s="1"/>
  <c r="BW194" i="1"/>
  <c r="BX194" i="1" s="1"/>
  <c r="CI194" i="1"/>
  <c r="CJ194" i="1" s="1"/>
  <c r="FI193" i="1"/>
  <c r="AS193" i="1"/>
  <c r="AT193" i="1" s="1"/>
  <c r="FH193" i="1" s="1"/>
  <c r="FI192" i="1"/>
  <c r="CP192" i="1"/>
  <c r="FH192" i="1" s="1"/>
  <c r="AM191" i="1"/>
  <c r="AN191" i="1" s="1"/>
  <c r="BW191" i="1"/>
  <c r="BX191" i="1" s="1"/>
  <c r="CI191" i="1"/>
  <c r="CJ191" i="1" s="1"/>
  <c r="CU191" i="1"/>
  <c r="CV191" i="1" s="1"/>
  <c r="FI190" i="1"/>
  <c r="AG190" i="1"/>
  <c r="AH190" i="1" s="1"/>
  <c r="AM190" i="1"/>
  <c r="AN190" i="1" s="1"/>
  <c r="AY190" i="1"/>
  <c r="AZ190" i="1" s="1"/>
  <c r="BW190" i="1"/>
  <c r="BX190" i="1" s="1"/>
  <c r="CI190" i="1"/>
  <c r="CJ190" i="1" s="1"/>
  <c r="AS189" i="1"/>
  <c r="AT189" i="1" s="1"/>
  <c r="BW189" i="1"/>
  <c r="BX189" i="1" s="1"/>
  <c r="CI189" i="1"/>
  <c r="CJ189" i="1" s="1"/>
  <c r="FI188" i="1"/>
  <c r="FH188" i="1"/>
  <c r="FI187" i="1"/>
  <c r="AG187" i="1"/>
  <c r="AH187" i="1" s="1"/>
  <c r="AM187" i="1"/>
  <c r="AN187" i="1" s="1"/>
  <c r="FI186" i="1"/>
  <c r="BW186" i="1"/>
  <c r="BX186" i="1" s="1"/>
  <c r="CI186" i="1"/>
  <c r="CJ186" i="1" s="1"/>
  <c r="CU186" i="1"/>
  <c r="CV186" i="1" s="1"/>
  <c r="FI185" i="1"/>
  <c r="AS185" i="1"/>
  <c r="AT185" i="1" s="1"/>
  <c r="BW185" i="1"/>
  <c r="BX185" i="1" s="1"/>
  <c r="CI185" i="1"/>
  <c r="CJ185" i="1" s="1"/>
  <c r="FI184" i="1"/>
  <c r="AG184" i="1"/>
  <c r="AH184" i="1" s="1"/>
  <c r="BW184" i="1"/>
  <c r="BX184" i="1" s="1"/>
  <c r="CI184" i="1"/>
  <c r="CJ184" i="1" s="1"/>
  <c r="BW183" i="1"/>
  <c r="BX183" i="1" s="1"/>
  <c r="CI183" i="1"/>
  <c r="CJ183" i="1" s="1"/>
  <c r="FI182" i="1"/>
  <c r="BW182" i="1"/>
  <c r="BX182" i="1" s="1"/>
  <c r="CI182" i="1"/>
  <c r="CJ182" i="1" s="1"/>
  <c r="FI181" i="1"/>
  <c r="CC181" i="1"/>
  <c r="CD181" i="1" s="1"/>
  <c r="FH181" i="1" s="1"/>
  <c r="O180" i="1"/>
  <c r="P180" i="1" s="1"/>
  <c r="BW180" i="1"/>
  <c r="BX180" i="1" s="1"/>
  <c r="CC180" i="1"/>
  <c r="CD180" i="1" s="1"/>
  <c r="CI180" i="1"/>
  <c r="CJ180" i="1" s="1"/>
  <c r="FI179" i="1"/>
  <c r="O179" i="1"/>
  <c r="P179" i="1" s="1"/>
  <c r="CC179" i="1"/>
  <c r="CD179" i="1" s="1"/>
  <c r="FI178" i="1"/>
  <c r="CC178" i="1"/>
  <c r="CD178" i="1" s="1"/>
  <c r="FH178" i="1" s="1"/>
  <c r="FI177" i="1"/>
  <c r="O177" i="1"/>
  <c r="P177" i="1" s="1"/>
  <c r="BW177" i="1"/>
  <c r="BX177" i="1" s="1"/>
  <c r="CC177" i="1"/>
  <c r="CD177" i="1" s="1"/>
  <c r="CI177" i="1"/>
  <c r="CJ177" i="1" s="1"/>
  <c r="FI176" i="1"/>
  <c r="O176" i="1"/>
  <c r="P176" i="1" s="1"/>
  <c r="CC176" i="1"/>
  <c r="CD176" i="1" s="1"/>
  <c r="FI175" i="1"/>
  <c r="O175" i="1"/>
  <c r="P175" i="1" s="1"/>
  <c r="BK175" i="1"/>
  <c r="BL175" i="1" s="1"/>
  <c r="BW175" i="1"/>
  <c r="BX175" i="1" s="1"/>
  <c r="CC175" i="1"/>
  <c r="CD175" i="1" s="1"/>
  <c r="FI174" i="1"/>
  <c r="CC174" i="1"/>
  <c r="CD174" i="1" s="1"/>
  <c r="FH174" i="1" s="1"/>
  <c r="FI173" i="1"/>
  <c r="CC173" i="1"/>
  <c r="CD173" i="1" s="1"/>
  <c r="FH173" i="1" s="1"/>
  <c r="FI172" i="1"/>
  <c r="CC172" i="1"/>
  <c r="CD172" i="1" s="1"/>
  <c r="FH172" i="1" s="1"/>
  <c r="FI171" i="1"/>
  <c r="CC171" i="1"/>
  <c r="CD171" i="1" s="1"/>
  <c r="FH171" i="1" s="1"/>
  <c r="FI170" i="1"/>
  <c r="CC170" i="1"/>
  <c r="CD170" i="1" s="1"/>
  <c r="FH170" i="1" s="1"/>
  <c r="FI169" i="1"/>
  <c r="CC169" i="1"/>
  <c r="CD169" i="1" s="1"/>
  <c r="FH169" i="1" s="1"/>
  <c r="FI168" i="1"/>
  <c r="CC168" i="1"/>
  <c r="CD168" i="1" s="1"/>
  <c r="FH168" i="1" s="1"/>
  <c r="AG167" i="1"/>
  <c r="AH167" i="1" s="1"/>
  <c r="BW167" i="1"/>
  <c r="BX167" i="1" s="1"/>
  <c r="AG166" i="1"/>
  <c r="AH166" i="1" s="1"/>
  <c r="BW166" i="1"/>
  <c r="BX166" i="1" s="1"/>
  <c r="CI166" i="1"/>
  <c r="CJ166" i="1" s="1"/>
  <c r="FI165" i="1"/>
  <c r="BW165" i="1"/>
  <c r="BX165" i="1" s="1"/>
  <c r="CI165" i="1"/>
  <c r="CJ165" i="1" s="1"/>
  <c r="BW164" i="1"/>
  <c r="BX164" i="1" s="1"/>
  <c r="FI163" i="1"/>
  <c r="CC163" i="1"/>
  <c r="CD163" i="1" s="1"/>
  <c r="CO163" i="1"/>
  <c r="CP163" i="1" s="1"/>
  <c r="FI162" i="1"/>
  <c r="CU162" i="1"/>
  <c r="CV162" i="1" s="1"/>
  <c r="FH162" i="1" s="1"/>
  <c r="AG161" i="1"/>
  <c r="AH161" i="1" s="1"/>
  <c r="AM161" i="1"/>
  <c r="AN161" i="1" s="1"/>
  <c r="AS161" i="1"/>
  <c r="AT161" i="1" s="1"/>
  <c r="AY161" i="1"/>
  <c r="AZ161" i="1" s="1"/>
  <c r="BW161" i="1"/>
  <c r="BX161" i="1" s="1"/>
  <c r="CI161" i="1"/>
  <c r="CJ161" i="1" s="1"/>
  <c r="CU161" i="1"/>
  <c r="CV161" i="1" s="1"/>
  <c r="FI160" i="1"/>
  <c r="AG160" i="1"/>
  <c r="AH160" i="1" s="1"/>
  <c r="AM160" i="1"/>
  <c r="AN160" i="1" s="1"/>
  <c r="AS160" i="1"/>
  <c r="AT160" i="1" s="1"/>
  <c r="AM159" i="1"/>
  <c r="AN159" i="1" s="1"/>
  <c r="BW159" i="1"/>
  <c r="BX159" i="1" s="1"/>
  <c r="AM158" i="1"/>
  <c r="AN158" i="1" s="1"/>
  <c r="FI157" i="1"/>
  <c r="AM157" i="1"/>
  <c r="AN157" i="1" s="1"/>
  <c r="AS157" i="1"/>
  <c r="AT157" i="1" s="1"/>
  <c r="AY157" i="1"/>
  <c r="AZ157" i="1" s="1"/>
  <c r="BW157" i="1"/>
  <c r="BX157" i="1" s="1"/>
  <c r="CI157" i="1"/>
  <c r="CJ157" i="1" s="1"/>
  <c r="BW156" i="1"/>
  <c r="BX156" i="1" s="1"/>
  <c r="CI156" i="1"/>
  <c r="CJ156" i="1" s="1"/>
  <c r="O155" i="1"/>
  <c r="P155" i="1" s="1"/>
  <c r="BK155" i="1"/>
  <c r="BL155" i="1" s="1"/>
  <c r="BW155" i="1"/>
  <c r="BX155" i="1" s="1"/>
  <c r="CI155" i="1"/>
  <c r="CJ155" i="1" s="1"/>
  <c r="FI154" i="1"/>
  <c r="BK154" i="1"/>
  <c r="BL154" i="1" s="1"/>
  <c r="FI153" i="1"/>
  <c r="BW153" i="1"/>
  <c r="BX153" i="1" s="1"/>
  <c r="O152" i="1"/>
  <c r="P152" i="1" s="1"/>
  <c r="AS151" i="1"/>
  <c r="AT151" i="1" s="1"/>
  <c r="FI150" i="1"/>
  <c r="FH150" i="1"/>
  <c r="FI149" i="1"/>
  <c r="O149" i="1"/>
  <c r="P149" i="1" s="1"/>
  <c r="FH149" i="1" s="1"/>
  <c r="BW148" i="1"/>
  <c r="BX148" i="1" s="1"/>
  <c r="FI147" i="1"/>
  <c r="FH147" i="1"/>
  <c r="AS146" i="1"/>
  <c r="AT146" i="1" s="1"/>
  <c r="BQ146" i="1"/>
  <c r="BR146" i="1" s="1"/>
  <c r="BW146" i="1"/>
  <c r="BX146" i="1" s="1"/>
  <c r="CI146" i="1"/>
  <c r="CJ146" i="1" s="1"/>
  <c r="BQ145" i="1"/>
  <c r="BR145" i="1" s="1"/>
  <c r="BW145" i="1"/>
  <c r="BX145" i="1" s="1"/>
  <c r="CI145" i="1"/>
  <c r="CJ145" i="1" s="1"/>
  <c r="AG144" i="1"/>
  <c r="AH144" i="1" s="1"/>
  <c r="AM144" i="1"/>
  <c r="AN144" i="1" s="1"/>
  <c r="AS144" i="1"/>
  <c r="AT144" i="1" s="1"/>
  <c r="BW144" i="1"/>
  <c r="BX144" i="1" s="1"/>
  <c r="CC144" i="1"/>
  <c r="CD144" i="1" s="1"/>
  <c r="AG143" i="1"/>
  <c r="AH143" i="1" s="1"/>
  <c r="AM143" i="1"/>
  <c r="AN143" i="1" s="1"/>
  <c r="AS143" i="1"/>
  <c r="AT143" i="1" s="1"/>
  <c r="BW143" i="1"/>
  <c r="BX143" i="1" s="1"/>
  <c r="CC143" i="1"/>
  <c r="CD143" i="1" s="1"/>
  <c r="FI142" i="1"/>
  <c r="AG142" i="1"/>
  <c r="AH142" i="1" s="1"/>
  <c r="BW142" i="1"/>
  <c r="BX142" i="1" s="1"/>
  <c r="CC142" i="1"/>
  <c r="CD142" i="1" s="1"/>
  <c r="AG141" i="1"/>
  <c r="AH141" i="1" s="1"/>
  <c r="AM141" i="1"/>
  <c r="AN141" i="1" s="1"/>
  <c r="AS141" i="1"/>
  <c r="AT141" i="1" s="1"/>
  <c r="BW141" i="1"/>
  <c r="BX141" i="1" s="1"/>
  <c r="CC141" i="1"/>
  <c r="CD141" i="1" s="1"/>
  <c r="FI140" i="1"/>
  <c r="BW140" i="1"/>
  <c r="BX140" i="1" s="1"/>
  <c r="U139" i="1"/>
  <c r="V139" i="1" s="1"/>
  <c r="AS139" i="1"/>
  <c r="AT139" i="1" s="1"/>
  <c r="BQ139" i="1"/>
  <c r="BR139" i="1" s="1"/>
  <c r="BW139" i="1"/>
  <c r="BX139" i="1" s="1"/>
  <c r="FI138" i="1"/>
  <c r="AS138" i="1"/>
  <c r="AT138" i="1" s="1"/>
  <c r="BQ138" i="1"/>
  <c r="BR138" i="1" s="1"/>
  <c r="BW138" i="1"/>
  <c r="BX138" i="1" s="1"/>
  <c r="FI137" i="1"/>
  <c r="FH137" i="1"/>
  <c r="FI136" i="1"/>
  <c r="FH136" i="1"/>
  <c r="FI135" i="1"/>
  <c r="FH135" i="1"/>
  <c r="FI132" i="1"/>
  <c r="FH132" i="1"/>
  <c r="FI131" i="1"/>
  <c r="BW131" i="1"/>
  <c r="BX131" i="1" s="1"/>
  <c r="CI131" i="1"/>
  <c r="CJ131" i="1" s="1"/>
  <c r="FI130" i="1"/>
  <c r="CO130" i="1"/>
  <c r="CP130" i="1" s="1"/>
  <c r="FH130" i="1" s="1"/>
  <c r="FI129" i="1"/>
  <c r="CO129" i="1"/>
  <c r="CP129" i="1" s="1"/>
  <c r="CV129" i="1"/>
  <c r="FI128" i="1"/>
  <c r="CV128" i="1"/>
  <c r="FH128" i="1" s="1"/>
  <c r="FI127" i="1"/>
  <c r="AS127" i="1"/>
  <c r="AT127" i="1" s="1"/>
  <c r="BW127" i="1"/>
  <c r="BX127" i="1" s="1"/>
  <c r="CI127" i="1"/>
  <c r="CJ127" i="1" s="1"/>
  <c r="CV127" i="1"/>
  <c r="AG126" i="1"/>
  <c r="AH126" i="1" s="1"/>
  <c r="AM126" i="1"/>
  <c r="AN126" i="1" s="1"/>
  <c r="AS126" i="1"/>
  <c r="AT126" i="1" s="1"/>
  <c r="BW126" i="1"/>
  <c r="BX126" i="1" s="1"/>
  <c r="CI126" i="1"/>
  <c r="CJ126" i="1" s="1"/>
  <c r="AS125" i="1"/>
  <c r="AT125" i="1" s="1"/>
  <c r="BW125" i="1"/>
  <c r="BX125" i="1" s="1"/>
  <c r="CI125" i="1"/>
  <c r="CJ125" i="1" s="1"/>
  <c r="CV125" i="1"/>
  <c r="FI124" i="1"/>
  <c r="AS124" i="1"/>
  <c r="AT124" i="1" s="1"/>
  <c r="BW124" i="1"/>
  <c r="BX124" i="1" s="1"/>
  <c r="CI124" i="1"/>
  <c r="CJ124" i="1" s="1"/>
  <c r="CU124" i="1"/>
  <c r="CV124" i="1" s="1"/>
  <c r="FI123" i="1"/>
  <c r="AS123" i="1"/>
  <c r="AT123" i="1" s="1"/>
  <c r="BW123" i="1"/>
  <c r="BX123" i="1" s="1"/>
  <c r="CU123" i="1"/>
  <c r="CV123" i="1" s="1"/>
  <c r="FI122" i="1"/>
  <c r="FH122" i="1"/>
  <c r="FI121" i="1"/>
  <c r="FH121" i="1"/>
  <c r="FI120" i="1"/>
  <c r="FH120" i="1"/>
  <c r="FI119" i="1"/>
  <c r="AG119" i="1"/>
  <c r="AH119" i="1" s="1"/>
  <c r="AM119" i="1"/>
  <c r="AN119" i="1" s="1"/>
  <c r="AS119" i="1"/>
  <c r="AT119" i="1" s="1"/>
  <c r="CC119" i="1"/>
  <c r="CD119" i="1" s="1"/>
  <c r="BW118" i="1"/>
  <c r="BX118" i="1" s="1"/>
  <c r="CI118" i="1"/>
  <c r="CJ118" i="1" s="1"/>
  <c r="BW117" i="1"/>
  <c r="BX117" i="1" s="1"/>
  <c r="CI117" i="1"/>
  <c r="CJ117" i="1" s="1"/>
  <c r="FI116" i="1"/>
  <c r="BW116" i="1"/>
  <c r="BX116" i="1" s="1"/>
  <c r="CI116" i="1"/>
  <c r="CJ116" i="1" s="1"/>
  <c r="O115" i="1"/>
  <c r="P115" i="1" s="1"/>
  <c r="BW115" i="1"/>
  <c r="BX115" i="1" s="1"/>
  <c r="FI114" i="1"/>
  <c r="U114" i="1"/>
  <c r="V114" i="1" s="1"/>
  <c r="AS114" i="1"/>
  <c r="AT114" i="1" s="1"/>
  <c r="CC114" i="1"/>
  <c r="CD114" i="1" s="1"/>
  <c r="FI113" i="1"/>
  <c r="AG113" i="1"/>
  <c r="AH113" i="1" s="1"/>
  <c r="AM113" i="1"/>
  <c r="AN113" i="1" s="1"/>
  <c r="AS113" i="1"/>
  <c r="AT113" i="1" s="1"/>
  <c r="BW113" i="1"/>
  <c r="BX113" i="1" s="1"/>
  <c r="CC113" i="1"/>
  <c r="CD113" i="1" s="1"/>
  <c r="O112" i="1"/>
  <c r="P112" i="1" s="1"/>
  <c r="BW112" i="1"/>
  <c r="BX112" i="1" s="1"/>
  <c r="AS111" i="1"/>
  <c r="AT111" i="1" s="1"/>
  <c r="BW111" i="1"/>
  <c r="BX111" i="1" s="1"/>
  <c r="CI111" i="1"/>
  <c r="CJ111" i="1" s="1"/>
  <c r="FI110" i="1"/>
  <c r="AS110" i="1"/>
  <c r="AT110" i="1" s="1"/>
  <c r="FH110" i="1" s="1"/>
  <c r="FI109" i="1"/>
  <c r="AS109" i="1"/>
  <c r="AT109" i="1" s="1"/>
  <c r="BW109" i="1"/>
  <c r="BX109" i="1" s="1"/>
  <c r="CI109" i="1"/>
  <c r="CJ109" i="1" s="1"/>
  <c r="AG108" i="1"/>
  <c r="AH108" i="1" s="1"/>
  <c r="AS108" i="1"/>
  <c r="AT108" i="1" s="1"/>
  <c r="BW108" i="1"/>
  <c r="BX108" i="1" s="1"/>
  <c r="CI108" i="1"/>
  <c r="CJ108" i="1" s="1"/>
  <c r="AG107" i="1"/>
  <c r="AH107" i="1" s="1"/>
  <c r="AM107" i="1"/>
  <c r="AN107" i="1" s="1"/>
  <c r="AS107" i="1"/>
  <c r="AT107" i="1" s="1"/>
  <c r="AY107" i="1"/>
  <c r="AZ107" i="1" s="1"/>
  <c r="FI106" i="1"/>
  <c r="AG106" i="1"/>
  <c r="AH106" i="1" s="1"/>
  <c r="AM106" i="1"/>
  <c r="AN106" i="1" s="1"/>
  <c r="AS106" i="1"/>
  <c r="AT106" i="1" s="1"/>
  <c r="BW106" i="1"/>
  <c r="BX106" i="1" s="1"/>
  <c r="CC106" i="1"/>
  <c r="CD106" i="1" s="1"/>
  <c r="CI106" i="1"/>
  <c r="CJ106" i="1" s="1"/>
  <c r="AG105" i="1"/>
  <c r="AH105" i="1" s="1"/>
  <c r="AM105" i="1"/>
  <c r="AN105" i="1" s="1"/>
  <c r="AS105" i="1"/>
  <c r="AT105" i="1" s="1"/>
  <c r="AY105" i="1"/>
  <c r="AZ105" i="1" s="1"/>
  <c r="BW105" i="1"/>
  <c r="BX105" i="1" s="1"/>
  <c r="CC105" i="1"/>
  <c r="CD105" i="1" s="1"/>
  <c r="AG104" i="1"/>
  <c r="AH104" i="1" s="1"/>
  <c r="AS104" i="1"/>
  <c r="AT104" i="1" s="1"/>
  <c r="BW104" i="1"/>
  <c r="BX104" i="1" s="1"/>
  <c r="FI103" i="1"/>
  <c r="BW103" i="1"/>
  <c r="BX103" i="1" s="1"/>
  <c r="CI103" i="1"/>
  <c r="CJ103" i="1" s="1"/>
  <c r="AG102" i="1"/>
  <c r="AH102" i="1" s="1"/>
  <c r="BW102" i="1"/>
  <c r="BX102" i="1" s="1"/>
  <c r="CC102" i="1"/>
  <c r="CD102" i="1" s="1"/>
  <c r="FI101" i="1"/>
  <c r="AG101" i="1"/>
  <c r="AH101" i="1" s="1"/>
  <c r="AM101" i="1"/>
  <c r="AN101" i="1" s="1"/>
  <c r="AS101" i="1"/>
  <c r="AT101" i="1" s="1"/>
  <c r="BW101" i="1"/>
  <c r="BX101" i="1" s="1"/>
  <c r="CC101" i="1"/>
  <c r="CD101" i="1" s="1"/>
  <c r="CU101" i="1"/>
  <c r="CV101" i="1" s="1"/>
  <c r="AG100" i="1"/>
  <c r="AH100" i="1" s="1"/>
  <c r="AM100" i="1"/>
  <c r="AN100" i="1" s="1"/>
  <c r="AS100" i="1"/>
  <c r="AT100" i="1" s="1"/>
  <c r="BW100" i="1"/>
  <c r="BX100" i="1" s="1"/>
  <c r="CI100" i="1"/>
  <c r="CJ100" i="1" s="1"/>
  <c r="FI99" i="1"/>
  <c r="FH99" i="1"/>
  <c r="FI98" i="1"/>
  <c r="FH98" i="1"/>
  <c r="FI97" i="1"/>
  <c r="FH97" i="1"/>
  <c r="FI96" i="1"/>
  <c r="FH96" i="1"/>
  <c r="O95" i="1"/>
  <c r="P95" i="1" s="1"/>
  <c r="BW95" i="1"/>
  <c r="BX95" i="1" s="1"/>
  <c r="CI95" i="1"/>
  <c r="CJ95" i="1" s="1"/>
  <c r="FI94" i="1"/>
  <c r="FH94" i="1"/>
  <c r="FI93" i="1"/>
  <c r="FH93" i="1"/>
  <c r="FI92" i="1"/>
  <c r="FH92" i="1"/>
  <c r="FI91" i="1"/>
  <c r="FH91" i="1"/>
  <c r="FI90" i="1"/>
  <c r="FH90" i="1"/>
  <c r="FI89" i="1"/>
  <c r="FH89" i="1"/>
  <c r="FI88" i="1"/>
  <c r="CV88" i="1"/>
  <c r="FH88" i="1" s="1"/>
  <c r="FI87" i="1"/>
  <c r="CU87" i="1"/>
  <c r="CV87" i="1" s="1"/>
  <c r="FH87" i="1" s="1"/>
  <c r="FI86" i="1"/>
  <c r="CV86" i="1"/>
  <c r="FH86" i="1" s="1"/>
  <c r="FI85" i="1"/>
  <c r="CU85" i="1"/>
  <c r="CV85" i="1" s="1"/>
  <c r="FH85" i="1" s="1"/>
  <c r="FI84" i="1"/>
  <c r="CV84" i="1"/>
  <c r="FH84" i="1" s="1"/>
  <c r="FI83" i="1"/>
  <c r="CV83" i="1"/>
  <c r="FH83" i="1" s="1"/>
  <c r="FI82" i="1"/>
  <c r="CV82" i="1"/>
  <c r="FH82" i="1" s="1"/>
  <c r="FI81" i="1"/>
  <c r="AB81" i="1"/>
  <c r="CV81" i="1"/>
  <c r="FI80" i="1"/>
  <c r="AS80" i="1"/>
  <c r="AT80" i="1" s="1"/>
  <c r="BW80" i="1"/>
  <c r="BX80" i="1" s="1"/>
  <c r="CV80" i="1"/>
  <c r="FI79" i="1"/>
  <c r="BW79" i="1"/>
  <c r="BX79" i="1" s="1"/>
  <c r="CV79" i="1"/>
  <c r="FI78" i="1"/>
  <c r="AS78" i="1"/>
  <c r="AT78" i="1" s="1"/>
  <c r="CV78" i="1"/>
  <c r="FI77" i="1"/>
  <c r="AS77" i="1"/>
  <c r="AT77" i="1" s="1"/>
  <c r="BW77" i="1"/>
  <c r="BX77" i="1" s="1"/>
  <c r="CI77" i="1"/>
  <c r="CJ77" i="1" s="1"/>
  <c r="CV77" i="1"/>
  <c r="AS76" i="1"/>
  <c r="AT76" i="1" s="1"/>
  <c r="BW76" i="1"/>
  <c r="BX76" i="1" s="1"/>
  <c r="CV76" i="1"/>
  <c r="FI75" i="1"/>
  <c r="AS75" i="1"/>
  <c r="AT75" i="1" s="1"/>
  <c r="BW75" i="1"/>
  <c r="BX75" i="1" s="1"/>
  <c r="CI75" i="1"/>
  <c r="CJ75" i="1" s="1"/>
  <c r="CV75" i="1"/>
  <c r="U74" i="1"/>
  <c r="V74" i="1" s="1"/>
  <c r="BW74" i="1"/>
  <c r="BX74" i="1" s="1"/>
  <c r="CI74" i="1"/>
  <c r="CJ74" i="1" s="1"/>
  <c r="CV74" i="1"/>
  <c r="U73" i="1"/>
  <c r="V73" i="1" s="1"/>
  <c r="BQ73" i="1"/>
  <c r="BR73" i="1" s="1"/>
  <c r="BW73" i="1"/>
  <c r="BX73" i="1" s="1"/>
  <c r="CI73" i="1"/>
  <c r="CJ73" i="1" s="1"/>
  <c r="CV73" i="1"/>
  <c r="O72" i="1"/>
  <c r="P72" i="1" s="1"/>
  <c r="AG72" i="1"/>
  <c r="AH72" i="1" s="1"/>
  <c r="CV72" i="1"/>
  <c r="O71" i="1"/>
  <c r="P71" i="1" s="1"/>
  <c r="AG71" i="1"/>
  <c r="AH71" i="1" s="1"/>
  <c r="BW71" i="1"/>
  <c r="BX71" i="1" s="1"/>
  <c r="CI71" i="1"/>
  <c r="CJ71" i="1" s="1"/>
  <c r="O70" i="1"/>
  <c r="P70" i="1" s="1"/>
  <c r="AG70" i="1"/>
  <c r="AH70" i="1" s="1"/>
  <c r="BW70" i="1"/>
  <c r="BX70" i="1" s="1"/>
  <c r="CI70" i="1"/>
  <c r="CJ70" i="1" s="1"/>
  <c r="CU70" i="1"/>
  <c r="CV70" i="1" s="1"/>
  <c r="AG69" i="1"/>
  <c r="AH69" i="1" s="1"/>
  <c r="AS69" i="1"/>
  <c r="AT69" i="1" s="1"/>
  <c r="BW69" i="1"/>
  <c r="BX69" i="1" s="1"/>
  <c r="CI69" i="1"/>
  <c r="CJ69" i="1" s="1"/>
  <c r="CV69" i="1"/>
  <c r="FI68" i="1"/>
  <c r="AG68" i="1"/>
  <c r="AH68" i="1" s="1"/>
  <c r="AM68" i="1"/>
  <c r="AN68" i="1" s="1"/>
  <c r="BW68" i="1"/>
  <c r="BX68" i="1" s="1"/>
  <c r="CI68" i="1"/>
  <c r="CJ68" i="1" s="1"/>
  <c r="FI67" i="1"/>
  <c r="U67" i="1"/>
  <c r="V67" i="1" s="1"/>
  <c r="BW67" i="1"/>
  <c r="BX67" i="1" s="1"/>
  <c r="CI67" i="1"/>
  <c r="CJ67" i="1" s="1"/>
  <c r="AG66" i="1"/>
  <c r="AH66" i="1" s="1"/>
  <c r="AM66" i="1"/>
  <c r="AN66" i="1" s="1"/>
  <c r="AS66" i="1"/>
  <c r="AT66" i="1" s="1"/>
  <c r="AY66" i="1"/>
  <c r="AZ66" i="1" s="1"/>
  <c r="BW66" i="1"/>
  <c r="BX66" i="1" s="1"/>
  <c r="CI66" i="1"/>
  <c r="CJ66" i="1" s="1"/>
  <c r="CV66" i="1"/>
  <c r="AG65" i="1"/>
  <c r="AH65" i="1" s="1"/>
  <c r="AS65" i="1"/>
  <c r="AT65" i="1" s="1"/>
  <c r="BW65" i="1"/>
  <c r="BX65" i="1" s="1"/>
  <c r="CI65" i="1"/>
  <c r="CJ65" i="1" s="1"/>
  <c r="AM64" i="1"/>
  <c r="AN64" i="1" s="1"/>
  <c r="AS64" i="1"/>
  <c r="AT64" i="1" s="1"/>
  <c r="BW64" i="1"/>
  <c r="BX64" i="1" s="1"/>
  <c r="CC64" i="1"/>
  <c r="CD64" i="1" s="1"/>
  <c r="CI64" i="1"/>
  <c r="CJ64" i="1" s="1"/>
  <c r="FI63" i="1"/>
  <c r="AG63" i="1"/>
  <c r="AH63" i="1" s="1"/>
  <c r="AM63" i="1"/>
  <c r="AN63" i="1" s="1"/>
  <c r="BW63" i="1"/>
  <c r="BX63" i="1" s="1"/>
  <c r="CD63" i="1"/>
  <c r="CI63" i="1"/>
  <c r="CJ63" i="1" s="1"/>
  <c r="AG62" i="1"/>
  <c r="AH62" i="1" s="1"/>
  <c r="AM62" i="1"/>
  <c r="AN62" i="1" s="1"/>
  <c r="AS62" i="1"/>
  <c r="AT62" i="1" s="1"/>
  <c r="BW62" i="1"/>
  <c r="BX62" i="1" s="1"/>
  <c r="CD62" i="1"/>
  <c r="CI62" i="1"/>
  <c r="CJ62" i="1" s="1"/>
  <c r="AM61" i="1"/>
  <c r="AN61" i="1" s="1"/>
  <c r="BW61" i="1"/>
  <c r="BX61" i="1" s="1"/>
  <c r="CC61" i="1"/>
  <c r="CD61" i="1" s="1"/>
  <c r="CI61" i="1"/>
  <c r="CJ61" i="1" s="1"/>
  <c r="AH60" i="1"/>
  <c r="AS60" i="1"/>
  <c r="AT60" i="1" s="1"/>
  <c r="BW60" i="1"/>
  <c r="BX60" i="1" s="1"/>
  <c r="CD60" i="1"/>
  <c r="CI60" i="1"/>
  <c r="CJ60" i="1" s="1"/>
  <c r="AG59" i="1"/>
  <c r="AH59" i="1" s="1"/>
  <c r="BW59" i="1"/>
  <c r="BX59" i="1" s="1"/>
  <c r="CC59" i="1"/>
  <c r="CD59" i="1" s="1"/>
  <c r="CI59" i="1"/>
  <c r="CJ59" i="1" s="1"/>
  <c r="CV59" i="1"/>
  <c r="AG58" i="1"/>
  <c r="AH58" i="1" s="1"/>
  <c r="BE58" i="1"/>
  <c r="BF58" i="1" s="1"/>
  <c r="BQ58" i="1"/>
  <c r="BR58" i="1" s="1"/>
  <c r="BW58" i="1"/>
  <c r="BX58" i="1" s="1"/>
  <c r="CI58" i="1"/>
  <c r="CJ58" i="1" s="1"/>
  <c r="CU58" i="1"/>
  <c r="CV58" i="1" s="1"/>
  <c r="AG57" i="1"/>
  <c r="AH57" i="1" s="1"/>
  <c r="AS57" i="1"/>
  <c r="AT57" i="1" s="1"/>
  <c r="BK57" i="1"/>
  <c r="BL57" i="1" s="1"/>
  <c r="BW57" i="1"/>
  <c r="BX57" i="1" s="1"/>
  <c r="CC57" i="1"/>
  <c r="CD57" i="1" s="1"/>
  <c r="CV57" i="1"/>
  <c r="FI56" i="1"/>
  <c r="AH56" i="1"/>
  <c r="AS56" i="1"/>
  <c r="AT56" i="1" s="1"/>
  <c r="BW56" i="1"/>
  <c r="BX56" i="1" s="1"/>
  <c r="CI56" i="1"/>
  <c r="CJ56" i="1" s="1"/>
  <c r="U55" i="1"/>
  <c r="V55" i="1" s="1"/>
  <c r="BQ55" i="1"/>
  <c r="BR55" i="1" s="1"/>
  <c r="BW55" i="1"/>
  <c r="BX55" i="1" s="1"/>
  <c r="CV55" i="1"/>
  <c r="FI54" i="1"/>
  <c r="U54" i="1"/>
  <c r="V54" i="1" s="1"/>
  <c r="AS54" i="1"/>
  <c r="AT54" i="1" s="1"/>
  <c r="BQ54" i="1"/>
  <c r="BR54" i="1" s="1"/>
  <c r="CV54" i="1"/>
  <c r="U53" i="1"/>
  <c r="V53" i="1" s="1"/>
  <c r="AM53" i="1"/>
  <c r="AN53" i="1" s="1"/>
  <c r="AS53" i="1"/>
  <c r="AT53" i="1" s="1"/>
  <c r="BE53" i="1"/>
  <c r="BF53" i="1" s="1"/>
  <c r="BQ53" i="1"/>
  <c r="BR53" i="1" s="1"/>
  <c r="CV53" i="1"/>
  <c r="O52" i="1"/>
  <c r="P52" i="1" s="1"/>
  <c r="AG52" i="1"/>
  <c r="AH52" i="1" s="1"/>
  <c r="AM52" i="1"/>
  <c r="AN52" i="1" s="1"/>
  <c r="AS52" i="1"/>
  <c r="AT52" i="1" s="1"/>
  <c r="BK52" i="1"/>
  <c r="BL52" i="1" s="1"/>
  <c r="BW52" i="1"/>
  <c r="BX52" i="1" s="1"/>
  <c r="CI52" i="1"/>
  <c r="CJ52" i="1" s="1"/>
  <c r="CV52" i="1"/>
  <c r="O51" i="1"/>
  <c r="P51" i="1" s="1"/>
  <c r="AM51" i="1"/>
  <c r="AN51" i="1" s="1"/>
  <c r="AS51" i="1"/>
  <c r="AT51" i="1" s="1"/>
  <c r="BK51" i="1"/>
  <c r="BL51" i="1" s="1"/>
  <c r="BW51" i="1"/>
  <c r="BX51" i="1" s="1"/>
  <c r="CC51" i="1"/>
  <c r="CD51" i="1" s="1"/>
  <c r="CI51" i="1"/>
  <c r="CJ51" i="1" s="1"/>
  <c r="CV51" i="1"/>
  <c r="AM50" i="1"/>
  <c r="AN50" i="1" s="1"/>
  <c r="AS50" i="1"/>
  <c r="AT50" i="1" s="1"/>
  <c r="BW50" i="1"/>
  <c r="BX50" i="1" s="1"/>
  <c r="CI50" i="1"/>
  <c r="CJ50" i="1" s="1"/>
  <c r="CV50" i="1"/>
  <c r="AM49" i="1"/>
  <c r="AN49" i="1" s="1"/>
  <c r="BW49" i="1"/>
  <c r="BX49" i="1" s="1"/>
  <c r="CC49" i="1"/>
  <c r="CD49" i="1" s="1"/>
  <c r="CI49" i="1"/>
  <c r="CJ49" i="1" s="1"/>
  <c r="CV49" i="1"/>
  <c r="FI48" i="1"/>
  <c r="BW48" i="1"/>
  <c r="BX48" i="1" s="1"/>
  <c r="CV48" i="1"/>
  <c r="FI47" i="1"/>
  <c r="O47" i="1"/>
  <c r="P47" i="1" s="1"/>
  <c r="BQ47" i="1"/>
  <c r="BR47" i="1" s="1"/>
  <c r="BW47" i="1"/>
  <c r="BX47" i="1" s="1"/>
  <c r="CV47" i="1"/>
  <c r="BW46" i="1"/>
  <c r="BX46" i="1" s="1"/>
  <c r="CV46" i="1"/>
  <c r="O45" i="1"/>
  <c r="P45" i="1" s="1"/>
  <c r="AM45" i="1"/>
  <c r="AN45" i="1" s="1"/>
  <c r="AS45" i="1"/>
  <c r="AT45" i="1" s="1"/>
  <c r="BW45" i="1"/>
  <c r="BX45" i="1" s="1"/>
  <c r="CC45" i="1"/>
  <c r="CD45" i="1" s="1"/>
  <c r="CV45" i="1"/>
  <c r="FI44" i="1"/>
  <c r="BK44" i="1"/>
  <c r="BL44" i="1" s="1"/>
  <c r="BW44" i="1"/>
  <c r="BX44" i="1" s="1"/>
  <c r="CC44" i="1"/>
  <c r="CD44" i="1" s="1"/>
  <c r="CV44" i="1"/>
  <c r="FI43" i="1"/>
  <c r="AS43" i="1"/>
  <c r="AT43" i="1" s="1"/>
  <c r="BW43" i="1"/>
  <c r="BX43" i="1" s="1"/>
  <c r="CI43" i="1"/>
  <c r="CJ43" i="1" s="1"/>
  <c r="CV43" i="1"/>
  <c r="FI42" i="1"/>
  <c r="AS42" i="1"/>
  <c r="AT42" i="1" s="1"/>
  <c r="BW42" i="1"/>
  <c r="BX42" i="1" s="1"/>
  <c r="CI42" i="1"/>
  <c r="CJ42" i="1" s="1"/>
  <c r="CV42" i="1"/>
  <c r="FI41" i="1"/>
  <c r="BK41" i="1"/>
  <c r="BL41" i="1" s="1"/>
  <c r="BX41" i="1"/>
  <c r="CI41" i="1"/>
  <c r="CJ41" i="1" s="1"/>
  <c r="CV41" i="1"/>
  <c r="AG40" i="1"/>
  <c r="AH40" i="1" s="1"/>
  <c r="AM40" i="1"/>
  <c r="AN40" i="1" s="1"/>
  <c r="AS40" i="1"/>
  <c r="AT40" i="1" s="1"/>
  <c r="BW40" i="1"/>
  <c r="BX40" i="1" s="1"/>
  <c r="CI40" i="1"/>
  <c r="CJ40" i="1" s="1"/>
  <c r="CV40" i="1"/>
  <c r="FI39" i="1"/>
  <c r="AG39" i="1"/>
  <c r="AH39" i="1" s="1"/>
  <c r="AM39" i="1"/>
  <c r="AN39" i="1" s="1"/>
  <c r="BW39" i="1"/>
  <c r="BX39" i="1" s="1"/>
  <c r="CI39" i="1"/>
  <c r="CJ39" i="1" s="1"/>
  <c r="CV39" i="1"/>
  <c r="FI38" i="1"/>
  <c r="AM38" i="1"/>
  <c r="AN38" i="1" s="1"/>
  <c r="AS38" i="1"/>
  <c r="AT38" i="1" s="1"/>
  <c r="BW38" i="1"/>
  <c r="BX38" i="1" s="1"/>
  <c r="CV38" i="1"/>
  <c r="FI37" i="1"/>
  <c r="AG37" i="1"/>
  <c r="AH37" i="1" s="1"/>
  <c r="AM37" i="1"/>
  <c r="AN37" i="1" s="1"/>
  <c r="AS37" i="1"/>
  <c r="AT37" i="1" s="1"/>
  <c r="BW37" i="1"/>
  <c r="BX37" i="1" s="1"/>
  <c r="CV37" i="1"/>
  <c r="AG36" i="1"/>
  <c r="AH36" i="1" s="1"/>
  <c r="AM36" i="1"/>
  <c r="AN36" i="1" s="1"/>
  <c r="AS36" i="1"/>
  <c r="AT36" i="1" s="1"/>
  <c r="BW36" i="1"/>
  <c r="BX36" i="1" s="1"/>
  <c r="CV36" i="1"/>
  <c r="FI35" i="1"/>
  <c r="AG35" i="1"/>
  <c r="AH35" i="1" s="1"/>
  <c r="AM35" i="1"/>
  <c r="AN35" i="1" s="1"/>
  <c r="AS35" i="1"/>
  <c r="AT35" i="1" s="1"/>
  <c r="BW35" i="1"/>
  <c r="BX35" i="1" s="1"/>
  <c r="CV35" i="1"/>
  <c r="FI34" i="1"/>
  <c r="AG34" i="1"/>
  <c r="AH34" i="1" s="1"/>
  <c r="AM34" i="1"/>
  <c r="AN34" i="1" s="1"/>
  <c r="AS34" i="1"/>
  <c r="AT34" i="1" s="1"/>
  <c r="BW34" i="1"/>
  <c r="BX34" i="1" s="1"/>
  <c r="CI34" i="1"/>
  <c r="CJ34" i="1" s="1"/>
  <c r="CV34" i="1"/>
  <c r="AM33" i="1"/>
  <c r="AN33" i="1" s="1"/>
  <c r="AS33" i="1"/>
  <c r="AT33" i="1" s="1"/>
  <c r="BW33" i="1"/>
  <c r="BX33" i="1" s="1"/>
  <c r="CI33" i="1"/>
  <c r="CJ33" i="1" s="1"/>
  <c r="CV33" i="1"/>
  <c r="FI32" i="1"/>
  <c r="AM32" i="1"/>
  <c r="AN32" i="1" s="1"/>
  <c r="AS32" i="1"/>
  <c r="AT32" i="1" s="1"/>
  <c r="BW32" i="1"/>
  <c r="BX32" i="1" s="1"/>
  <c r="CI32" i="1"/>
  <c r="CJ32" i="1" s="1"/>
  <c r="CV32" i="1"/>
  <c r="AG31" i="1"/>
  <c r="AH31" i="1" s="1"/>
  <c r="AM31" i="1"/>
  <c r="AN31" i="1" s="1"/>
  <c r="AS31" i="1"/>
  <c r="AT31" i="1" s="1"/>
  <c r="BW31" i="1"/>
  <c r="BX31" i="1" s="1"/>
  <c r="CV31" i="1"/>
  <c r="FI30" i="1"/>
  <c r="BW30" i="1"/>
  <c r="BX30" i="1" s="1"/>
  <c r="CI30" i="1"/>
  <c r="CJ30" i="1" s="1"/>
  <c r="CV30" i="1"/>
  <c r="FI29" i="1"/>
  <c r="AM29" i="1"/>
  <c r="AN29" i="1" s="1"/>
  <c r="AS29" i="1"/>
  <c r="AT29" i="1" s="1"/>
  <c r="BW29" i="1"/>
  <c r="BX29" i="1" s="1"/>
  <c r="CV29" i="1"/>
  <c r="FI28" i="1"/>
  <c r="AY28" i="1"/>
  <c r="AZ28" i="1" s="1"/>
  <c r="BW28" i="1"/>
  <c r="BX28" i="1" s="1"/>
  <c r="CI28" i="1"/>
  <c r="CJ28" i="1" s="1"/>
  <c r="CV28" i="1"/>
  <c r="AG27" i="1"/>
  <c r="AH27" i="1" s="1"/>
  <c r="AM27" i="1"/>
  <c r="AN27" i="1" s="1"/>
  <c r="AS27" i="1"/>
  <c r="AT27" i="1" s="1"/>
  <c r="BW27" i="1"/>
  <c r="BX27" i="1" s="1"/>
  <c r="CI27" i="1"/>
  <c r="CJ27" i="1" s="1"/>
  <c r="CV27" i="1"/>
  <c r="FI26" i="1"/>
  <c r="AS26" i="1"/>
  <c r="AT26" i="1" s="1"/>
  <c r="BW26" i="1"/>
  <c r="BX26" i="1" s="1"/>
  <c r="CI26" i="1"/>
  <c r="CJ26" i="1" s="1"/>
  <c r="CV26" i="1"/>
  <c r="AG25" i="1"/>
  <c r="AH25" i="1" s="1"/>
  <c r="AM25" i="1"/>
  <c r="AN25" i="1" s="1"/>
  <c r="BW25" i="1"/>
  <c r="BX25" i="1" s="1"/>
  <c r="CI25" i="1"/>
  <c r="CJ25" i="1" s="1"/>
  <c r="CV25" i="1"/>
  <c r="AG24" i="1"/>
  <c r="AH24" i="1" s="1"/>
  <c r="AM24" i="1"/>
  <c r="AN24" i="1" s="1"/>
  <c r="AS24" i="1"/>
  <c r="AT24" i="1" s="1"/>
  <c r="AY24" i="1"/>
  <c r="AZ24" i="1" s="1"/>
  <c r="BW24" i="1"/>
  <c r="BX24" i="1" s="1"/>
  <c r="CI24" i="1"/>
  <c r="CJ24" i="1" s="1"/>
  <c r="CV24" i="1"/>
  <c r="AG23" i="1"/>
  <c r="AH23" i="1" s="1"/>
  <c r="AM23" i="1"/>
  <c r="AN23" i="1" s="1"/>
  <c r="AS23" i="1"/>
  <c r="AT23" i="1" s="1"/>
  <c r="BW23" i="1"/>
  <c r="BX23" i="1" s="1"/>
  <c r="CC23" i="1"/>
  <c r="CD23" i="1" s="1"/>
  <c r="CI23" i="1"/>
  <c r="CJ23" i="1" s="1"/>
  <c r="CV23" i="1"/>
  <c r="AG22" i="1"/>
  <c r="AH22" i="1" s="1"/>
  <c r="AM22" i="1"/>
  <c r="AN22" i="1" s="1"/>
  <c r="AS22" i="1"/>
  <c r="AT22" i="1" s="1"/>
  <c r="AY22" i="1"/>
  <c r="AZ22" i="1" s="1"/>
  <c r="BW22" i="1"/>
  <c r="BX22" i="1" s="1"/>
  <c r="CI22" i="1"/>
  <c r="CJ22" i="1" s="1"/>
  <c r="CV22" i="1"/>
  <c r="AG21" i="1"/>
  <c r="AH21" i="1" s="1"/>
  <c r="AM21" i="1"/>
  <c r="AN21" i="1" s="1"/>
  <c r="AS21" i="1"/>
  <c r="AT21" i="1" s="1"/>
  <c r="AY21" i="1"/>
  <c r="AZ21" i="1" s="1"/>
  <c r="BW21" i="1"/>
  <c r="BX21" i="1" s="1"/>
  <c r="CC21" i="1"/>
  <c r="CD21" i="1" s="1"/>
  <c r="CI21" i="1"/>
  <c r="CJ21" i="1" s="1"/>
  <c r="CV21" i="1"/>
  <c r="FI20" i="1"/>
  <c r="CV20" i="1"/>
  <c r="FH20" i="1" s="1"/>
  <c r="FI19" i="1"/>
  <c r="BW19" i="1"/>
  <c r="BX19" i="1" s="1"/>
  <c r="CV19" i="1"/>
  <c r="FI18" i="1"/>
  <c r="AG18" i="1"/>
  <c r="AH18" i="1" s="1"/>
  <c r="BW18" i="1"/>
  <c r="BX18" i="1" s="1"/>
  <c r="CU18" i="1"/>
  <c r="CV18" i="1" s="1"/>
  <c r="FI17" i="1"/>
  <c r="AG17" i="1"/>
  <c r="AH17" i="1" s="1"/>
  <c r="AM17" i="1"/>
  <c r="AN17" i="1" s="1"/>
  <c r="AS17" i="1"/>
  <c r="AT17" i="1" s="1"/>
  <c r="BW17" i="1"/>
  <c r="BX17" i="1" s="1"/>
  <c r="CC17" i="1"/>
  <c r="CD17" i="1" s="1"/>
  <c r="CI17" i="1"/>
  <c r="CJ17" i="1" s="1"/>
  <c r="CU17" i="1"/>
  <c r="CV17" i="1" s="1"/>
  <c r="FI16" i="1"/>
  <c r="AG16" i="1"/>
  <c r="AH16" i="1" s="1"/>
  <c r="AM16" i="1"/>
  <c r="AN16" i="1" s="1"/>
  <c r="AY16" i="1"/>
  <c r="AZ16" i="1" s="1"/>
  <c r="BW16" i="1"/>
  <c r="BX16" i="1" s="1"/>
  <c r="CI16" i="1"/>
  <c r="CJ16" i="1" s="1"/>
  <c r="CV16" i="1"/>
  <c r="AM15" i="1"/>
  <c r="AN15" i="1" s="1"/>
  <c r="AY15" i="1"/>
  <c r="AZ15" i="1" s="1"/>
  <c r="BW15" i="1"/>
  <c r="BX15" i="1" s="1"/>
  <c r="CI15" i="1"/>
  <c r="CJ15" i="1" s="1"/>
  <c r="CV15" i="1"/>
  <c r="AM14" i="1"/>
  <c r="AN14" i="1" s="1"/>
  <c r="BW14" i="1"/>
  <c r="BX14" i="1" s="1"/>
  <c r="CC14" i="1"/>
  <c r="CD14" i="1" s="1"/>
  <c r="CI14" i="1"/>
  <c r="CJ14" i="1" s="1"/>
  <c r="CV14" i="1"/>
  <c r="AG13" i="1"/>
  <c r="AH13" i="1" s="1"/>
  <c r="AM13" i="1"/>
  <c r="AN13" i="1" s="1"/>
  <c r="AS13" i="1"/>
  <c r="AT13" i="1" s="1"/>
  <c r="AY13" i="1"/>
  <c r="AZ13" i="1" s="1"/>
  <c r="BW13" i="1"/>
  <c r="BX13" i="1" s="1"/>
  <c r="CC13" i="1"/>
  <c r="CD13" i="1" s="1"/>
  <c r="CI13" i="1"/>
  <c r="CJ13" i="1" s="1"/>
  <c r="CV13" i="1"/>
  <c r="FI12" i="1"/>
  <c r="AM12" i="1"/>
  <c r="AN12" i="1" s="1"/>
  <c r="AS12" i="1"/>
  <c r="AT12" i="1" s="1"/>
  <c r="BW12" i="1"/>
  <c r="BX12" i="1" s="1"/>
  <c r="CI12" i="1"/>
  <c r="CJ12" i="1" s="1"/>
  <c r="CV12" i="1"/>
  <c r="AY11" i="1"/>
  <c r="AZ11" i="1" s="1"/>
  <c r="BW11" i="1"/>
  <c r="BX11" i="1" s="1"/>
  <c r="CI11" i="1"/>
  <c r="CJ11" i="1" s="1"/>
  <c r="FI10" i="1"/>
  <c r="AS10" i="1"/>
  <c r="AT10" i="1" s="1"/>
  <c r="BW10" i="1"/>
  <c r="BX10" i="1" s="1"/>
  <c r="CI10" i="1"/>
  <c r="CJ10" i="1" s="1"/>
  <c r="AM9" i="1"/>
  <c r="AN9" i="1" s="1"/>
  <c r="AS9" i="1"/>
  <c r="AT9" i="1" s="1"/>
  <c r="BW9" i="1"/>
  <c r="BX9" i="1" s="1"/>
  <c r="CI9" i="1"/>
  <c r="CJ9" i="1" s="1"/>
  <c r="AS8" i="1"/>
  <c r="AT8" i="1" s="1"/>
  <c r="BW8" i="1"/>
  <c r="BX8" i="1" s="1"/>
  <c r="CV8" i="1"/>
  <c r="AG7" i="1"/>
  <c r="AH7" i="1" s="1"/>
  <c r="AM7" i="1"/>
  <c r="AN7" i="1" s="1"/>
  <c r="AS7" i="1"/>
  <c r="AT7" i="1" s="1"/>
  <c r="BW7" i="1"/>
  <c r="BX7" i="1" s="1"/>
  <c r="CC7" i="1"/>
  <c r="CD7" i="1" s="1"/>
  <c r="CI7" i="1"/>
  <c r="CJ7" i="1" s="1"/>
  <c r="CU7" i="1"/>
  <c r="CV7" i="1" s="1"/>
  <c r="O6" i="1"/>
  <c r="P6" i="1" s="1"/>
  <c r="AG6" i="1"/>
  <c r="AH6" i="1" s="1"/>
  <c r="AM6" i="1"/>
  <c r="AN6" i="1" s="1"/>
  <c r="AS6" i="1"/>
  <c r="AT6" i="1" s="1"/>
  <c r="BW6" i="1"/>
  <c r="BX6" i="1" s="1"/>
  <c r="CC6" i="1"/>
  <c r="CD6" i="1" s="1"/>
  <c r="CI6" i="1"/>
  <c r="CJ6" i="1" s="1"/>
  <c r="AG5" i="1"/>
  <c r="AH5" i="1" s="1"/>
  <c r="AS5" i="1"/>
  <c r="AT5" i="1" s="1"/>
  <c r="BW5" i="1"/>
  <c r="BX5" i="1" s="1"/>
  <c r="CC5" i="1"/>
  <c r="CD5" i="1" s="1"/>
  <c r="CI5" i="1"/>
  <c r="CJ5" i="1" s="1"/>
  <c r="FI4" i="1"/>
  <c r="BW4" i="1"/>
  <c r="BX4" i="1" s="1"/>
  <c r="CI4" i="1"/>
  <c r="CJ4" i="1" s="1"/>
  <c r="CV4" i="1"/>
  <c r="AS3" i="1"/>
  <c r="AT3" i="1" s="1"/>
  <c r="BW3" i="1"/>
  <c r="BX3" i="1" s="1"/>
  <c r="CI3" i="1"/>
  <c r="CJ3" i="1" s="1"/>
  <c r="CV3" i="1"/>
  <c r="EE831" i="2"/>
  <c r="BK831" i="2"/>
  <c r="BL831" i="2" s="1"/>
  <c r="BW831" i="2"/>
  <c r="BX831" i="2" s="1"/>
  <c r="EE830" i="2"/>
  <c r="O830" i="2"/>
  <c r="P830" i="2" s="1"/>
  <c r="ED830" i="2" s="1"/>
  <c r="EE829" i="2"/>
  <c r="O829" i="2"/>
  <c r="P829" i="2" s="1"/>
  <c r="BK829" i="2"/>
  <c r="BL829" i="2" s="1"/>
  <c r="BW829" i="2"/>
  <c r="BX829" i="2" s="1"/>
  <c r="EE828" i="2"/>
  <c r="ED828" i="2"/>
  <c r="EE827" i="2"/>
  <c r="BK827" i="2"/>
  <c r="BL827" i="2" s="1"/>
  <c r="BQ827" i="2"/>
  <c r="BR827" i="2" s="1"/>
  <c r="BW827" i="2"/>
  <c r="BX827" i="2" s="1"/>
  <c r="EE826" i="2"/>
  <c r="BK826" i="2"/>
  <c r="BL826" i="2" s="1"/>
  <c r="BQ826" i="2"/>
  <c r="BR826" i="2" s="1"/>
  <c r="BW826" i="2"/>
  <c r="BX826" i="2" s="1"/>
  <c r="EE825" i="2"/>
  <c r="BK825" i="2"/>
  <c r="BL825" i="2" s="1"/>
  <c r="BQ825" i="2"/>
  <c r="BR825" i="2" s="1"/>
  <c r="BW825" i="2"/>
  <c r="BX825" i="2" s="1"/>
  <c r="EE824" i="2"/>
  <c r="BK824" i="2"/>
  <c r="BL824" i="2" s="1"/>
  <c r="BQ824" i="2"/>
  <c r="BR824" i="2" s="1"/>
  <c r="BW824" i="2"/>
  <c r="BX824" i="2" s="1"/>
  <c r="EE823" i="2"/>
  <c r="BQ823" i="2"/>
  <c r="BR823" i="2" s="1"/>
  <c r="ED823" i="2" s="1"/>
  <c r="EE822" i="2"/>
  <c r="CI822" i="2"/>
  <c r="CJ822" i="2" s="1"/>
  <c r="ED822" i="2" s="1"/>
  <c r="EE821" i="2"/>
  <c r="CI821" i="2"/>
  <c r="CJ821" i="2" s="1"/>
  <c r="ED821" i="2" s="1"/>
  <c r="EE820" i="2"/>
  <c r="AM820" i="2"/>
  <c r="AN820" i="2" s="1"/>
  <c r="CI820" i="2"/>
  <c r="CJ820" i="2" s="1"/>
  <c r="EE819" i="2"/>
  <c r="BQ819" i="2"/>
  <c r="BR819" i="2" s="1"/>
  <c r="CC819" i="2"/>
  <c r="CD819" i="2" s="1"/>
  <c r="CI819" i="2"/>
  <c r="CJ819" i="2" s="1"/>
  <c r="EE818" i="2"/>
  <c r="O818" i="2"/>
  <c r="P818" i="2" s="1"/>
  <c r="U818" i="2"/>
  <c r="V818" i="2" s="1"/>
  <c r="BK818" i="2"/>
  <c r="BL818" i="2" s="1"/>
  <c r="BQ818" i="2"/>
  <c r="BR818" i="2" s="1"/>
  <c r="BW818" i="2"/>
  <c r="BX818" i="2" s="1"/>
  <c r="CC818" i="2"/>
  <c r="CD818" i="2" s="1"/>
  <c r="EE817" i="2"/>
  <c r="ED817" i="2"/>
  <c r="O816" i="2"/>
  <c r="P816" i="2" s="1"/>
  <c r="BK816" i="2"/>
  <c r="BL816" i="2" s="1"/>
  <c r="BW816" i="2"/>
  <c r="BX816" i="2" s="1"/>
  <c r="EE815" i="2"/>
  <c r="ED815" i="2"/>
  <c r="EE814" i="2"/>
  <c r="ED814" i="2"/>
  <c r="EF814" i="2" s="1"/>
  <c r="EE813" i="2"/>
  <c r="BK813" i="2"/>
  <c r="BL813" i="2" s="1"/>
  <c r="BQ813" i="2"/>
  <c r="BR813" i="2" s="1"/>
  <c r="BW813" i="2"/>
  <c r="BX813" i="2" s="1"/>
  <c r="EE812" i="2"/>
  <c r="O812" i="2"/>
  <c r="P812" i="2" s="1"/>
  <c r="BK812" i="2"/>
  <c r="BL812" i="2" s="1"/>
  <c r="BQ812" i="2"/>
  <c r="BR812" i="2" s="1"/>
  <c r="BW812" i="2"/>
  <c r="BX812" i="2" s="1"/>
  <c r="EE811" i="2"/>
  <c r="O811" i="2"/>
  <c r="P811" i="2" s="1"/>
  <c r="BK811" i="2"/>
  <c r="BL811" i="2" s="1"/>
  <c r="BQ811" i="2"/>
  <c r="BR811" i="2" s="1"/>
  <c r="BW811" i="2"/>
  <c r="BX811" i="2" s="1"/>
  <c r="EE810" i="2"/>
  <c r="BK810" i="2"/>
  <c r="BL810" i="2" s="1"/>
  <c r="BQ810" i="2"/>
  <c r="BR810" i="2" s="1"/>
  <c r="BW810" i="2"/>
  <c r="BX810" i="2" s="1"/>
  <c r="O809" i="2"/>
  <c r="P809" i="2" s="1"/>
  <c r="BQ809" i="2"/>
  <c r="BR809" i="2" s="1"/>
  <c r="O808" i="2"/>
  <c r="P808" i="2" s="1"/>
  <c r="BQ808" i="2"/>
  <c r="BR808" i="2" s="1"/>
  <c r="EE807" i="2"/>
  <c r="O807" i="2"/>
  <c r="P807" i="2" s="1"/>
  <c r="BK807" i="2"/>
  <c r="BL807" i="2" s="1"/>
  <c r="BQ807" i="2"/>
  <c r="BR807" i="2" s="1"/>
  <c r="BW807" i="2"/>
  <c r="BX807" i="2" s="1"/>
  <c r="EE806" i="2"/>
  <c r="O806" i="2"/>
  <c r="P806" i="2" s="1"/>
  <c r="BK806" i="2"/>
  <c r="BL806" i="2" s="1"/>
  <c r="BQ806" i="2"/>
  <c r="BR806" i="2" s="1"/>
  <c r="BW806" i="2"/>
  <c r="BX806" i="2" s="1"/>
  <c r="EE805" i="2"/>
  <c r="O805" i="2"/>
  <c r="P805" i="2" s="1"/>
  <c r="U805" i="2"/>
  <c r="V805" i="2" s="1"/>
  <c r="BK805" i="2"/>
  <c r="BL805" i="2" s="1"/>
  <c r="BQ805" i="2"/>
  <c r="BR805" i="2" s="1"/>
  <c r="BW805" i="2"/>
  <c r="BX805" i="2" s="1"/>
  <c r="EE804" i="2"/>
  <c r="BK804" i="2"/>
  <c r="BL804" i="2" s="1"/>
  <c r="BW804" i="2"/>
  <c r="BX804" i="2" s="1"/>
  <c r="EE803" i="2"/>
  <c r="BK803" i="2"/>
  <c r="BL803" i="2" s="1"/>
  <c r="BW803" i="2"/>
  <c r="BX803" i="2" s="1"/>
  <c r="EE802" i="2"/>
  <c r="O802" i="2"/>
  <c r="P802" i="2" s="1"/>
  <c r="BK802" i="2"/>
  <c r="BL802" i="2" s="1"/>
  <c r="BQ802" i="2"/>
  <c r="BR802" i="2" s="1"/>
  <c r="BW802" i="2"/>
  <c r="BX802" i="2" s="1"/>
  <c r="EE801" i="2"/>
  <c r="O801" i="2"/>
  <c r="P801" i="2" s="1"/>
  <c r="U801" i="2"/>
  <c r="V801" i="2" s="1"/>
  <c r="BK801" i="2"/>
  <c r="BL801" i="2" s="1"/>
  <c r="BQ801" i="2"/>
  <c r="BR801" i="2" s="1"/>
  <c r="BW801" i="2"/>
  <c r="BX801" i="2" s="1"/>
  <c r="EE800" i="2"/>
  <c r="U800" i="2"/>
  <c r="V800" i="2" s="1"/>
  <c r="BK800" i="2"/>
  <c r="BL800" i="2" s="1"/>
  <c r="BW800" i="2"/>
  <c r="BX800" i="2" s="1"/>
  <c r="EE799" i="2"/>
  <c r="BK799" i="2"/>
  <c r="BL799" i="2" s="1"/>
  <c r="BW799" i="2"/>
  <c r="BX799" i="2" s="1"/>
  <c r="EE798" i="2"/>
  <c r="BK798" i="2"/>
  <c r="BL798" i="2" s="1"/>
  <c r="BW798" i="2"/>
  <c r="BX798" i="2" s="1"/>
  <c r="EE797" i="2"/>
  <c r="BK797" i="2"/>
  <c r="BL797" i="2" s="1"/>
  <c r="BW797" i="2"/>
  <c r="BX797" i="2" s="1"/>
  <c r="EE796" i="2"/>
  <c r="BK796" i="2"/>
  <c r="BL796" i="2" s="1"/>
  <c r="BW796" i="2"/>
  <c r="BX796" i="2" s="1"/>
  <c r="EE795" i="2"/>
  <c r="BK795" i="2"/>
  <c r="BL795" i="2" s="1"/>
  <c r="BW795" i="2"/>
  <c r="BX795" i="2" s="1"/>
  <c r="EE794" i="2"/>
  <c r="BK794" i="2"/>
  <c r="BL794" i="2" s="1"/>
  <c r="BW794" i="2"/>
  <c r="BX794" i="2" s="1"/>
  <c r="EE793" i="2"/>
  <c r="BK793" i="2"/>
  <c r="BL793" i="2" s="1"/>
  <c r="BW793" i="2"/>
  <c r="BX793" i="2" s="1"/>
  <c r="EE792" i="2"/>
  <c r="BK792" i="2"/>
  <c r="BL792" i="2" s="1"/>
  <c r="BW792" i="2"/>
  <c r="BX792" i="2" s="1"/>
  <c r="EE791" i="2"/>
  <c r="BK791" i="2"/>
  <c r="BL791" i="2" s="1"/>
  <c r="BQ791" i="2"/>
  <c r="BR791" i="2" s="1"/>
  <c r="BW791" i="2"/>
  <c r="BX791" i="2" s="1"/>
  <c r="EE790" i="2"/>
  <c r="U790" i="2"/>
  <c r="V790" i="2" s="1"/>
  <c r="BK790" i="2"/>
  <c r="BL790" i="2" s="1"/>
  <c r="BW790" i="2"/>
  <c r="BX790" i="2" s="1"/>
  <c r="CC790" i="2"/>
  <c r="CD790" i="2" s="1"/>
  <c r="EE789" i="2"/>
  <c r="U789" i="2"/>
  <c r="V789" i="2" s="1"/>
  <c r="BK789" i="2"/>
  <c r="BL789" i="2" s="1"/>
  <c r="BW789" i="2"/>
  <c r="BX789" i="2" s="1"/>
  <c r="EE788" i="2"/>
  <c r="O788" i="2"/>
  <c r="P788" i="2" s="1"/>
  <c r="BK788" i="2"/>
  <c r="BL788" i="2" s="1"/>
  <c r="BQ788" i="2"/>
  <c r="BR788" i="2" s="1"/>
  <c r="EE787" i="2"/>
  <c r="O787" i="2"/>
  <c r="P787" i="2" s="1"/>
  <c r="ED787" i="2" s="1"/>
  <c r="EE786" i="2"/>
  <c r="BK786" i="2"/>
  <c r="BL786" i="2" s="1"/>
  <c r="BQ786" i="2"/>
  <c r="BR786" i="2" s="1"/>
  <c r="BW786" i="2"/>
  <c r="BX786" i="2" s="1"/>
  <c r="EE785" i="2"/>
  <c r="O785" i="2"/>
  <c r="P785" i="2" s="1"/>
  <c r="BK785" i="2"/>
  <c r="BL785" i="2" s="1"/>
  <c r="BQ785" i="2"/>
  <c r="BR785" i="2" s="1"/>
  <c r="BW785" i="2"/>
  <c r="BX785" i="2" s="1"/>
  <c r="EE784" i="2"/>
  <c r="BK784" i="2"/>
  <c r="BL784" i="2" s="1"/>
  <c r="BQ784" i="2"/>
  <c r="BR784" i="2" s="1"/>
  <c r="EE783" i="2"/>
  <c r="O783" i="2"/>
  <c r="P783" i="2" s="1"/>
  <c r="BQ783" i="2"/>
  <c r="BR783" i="2" s="1"/>
  <c r="O782" i="2"/>
  <c r="P782" i="2" s="1"/>
  <c r="BQ782" i="2"/>
  <c r="BR782" i="2" s="1"/>
  <c r="O781" i="2"/>
  <c r="P781" i="2" s="1"/>
  <c r="BQ781" i="2"/>
  <c r="BR781" i="2" s="1"/>
  <c r="O780" i="2"/>
  <c r="P780" i="2" s="1"/>
  <c r="BQ780" i="2"/>
  <c r="BR780" i="2" s="1"/>
  <c r="O779" i="2"/>
  <c r="P779" i="2" s="1"/>
  <c r="BK779" i="2"/>
  <c r="BL779" i="2" s="1"/>
  <c r="BQ779" i="2"/>
  <c r="BR779" i="2" s="1"/>
  <c r="BW779" i="2"/>
  <c r="BX779" i="2" s="1"/>
  <c r="EE778" i="2"/>
  <c r="O778" i="2"/>
  <c r="P778" i="2" s="1"/>
  <c r="U778" i="2"/>
  <c r="V778" i="2" s="1"/>
  <c r="BK778" i="2"/>
  <c r="BL778" i="2" s="1"/>
  <c r="BQ778" i="2"/>
  <c r="BR778" i="2" s="1"/>
  <c r="BW778" i="2"/>
  <c r="BX778" i="2" s="1"/>
  <c r="EE777" i="2"/>
  <c r="O777" i="2"/>
  <c r="P777" i="2" s="1"/>
  <c r="BK777" i="2"/>
  <c r="BL777" i="2" s="1"/>
  <c r="BQ777" i="2"/>
  <c r="BR777" i="2" s="1"/>
  <c r="BW777" i="2"/>
  <c r="BX777" i="2" s="1"/>
  <c r="EE776" i="2"/>
  <c r="O776" i="2"/>
  <c r="P776" i="2" s="1"/>
  <c r="BK776" i="2"/>
  <c r="BL776" i="2" s="1"/>
  <c r="BQ776" i="2"/>
  <c r="BR776" i="2" s="1"/>
  <c r="BW776" i="2"/>
  <c r="BX776" i="2" s="1"/>
  <c r="CC776" i="2"/>
  <c r="CD776" i="2" s="1"/>
  <c r="O775" i="2"/>
  <c r="P775" i="2" s="1"/>
  <c r="BQ775" i="2"/>
  <c r="BR775" i="2" s="1"/>
  <c r="BW775" i="2"/>
  <c r="BX775" i="2" s="1"/>
  <c r="CC775" i="2"/>
  <c r="CD775" i="2" s="1"/>
  <c r="EE774" i="2"/>
  <c r="BK774" i="2"/>
  <c r="BL774" i="2" s="1"/>
  <c r="BW774" i="2"/>
  <c r="BX774" i="2" s="1"/>
  <c r="CC774" i="2"/>
  <c r="CD774" i="2" s="1"/>
  <c r="EE773" i="2"/>
  <c r="BK773" i="2"/>
  <c r="BL773" i="2" s="1"/>
  <c r="CC773" i="2"/>
  <c r="CD773" i="2" s="1"/>
  <c r="EE772" i="2"/>
  <c r="O772" i="2"/>
  <c r="P772" i="2" s="1"/>
  <c r="BK772" i="2"/>
  <c r="BL772" i="2" s="1"/>
  <c r="BQ772" i="2"/>
  <c r="BR772" i="2" s="1"/>
  <c r="CC772" i="2"/>
  <c r="CD772" i="2" s="1"/>
  <c r="BW771" i="2"/>
  <c r="BX771" i="2" s="1"/>
  <c r="CC771" i="2"/>
  <c r="CD771" i="2" s="1"/>
  <c r="EE770" i="2"/>
  <c r="O770" i="2"/>
  <c r="P770" i="2" s="1"/>
  <c r="BK770" i="2"/>
  <c r="BL770" i="2" s="1"/>
  <c r="CC770" i="2"/>
  <c r="CD770" i="2" s="1"/>
  <c r="O769" i="2"/>
  <c r="P769" i="2" s="1"/>
  <c r="BQ769" i="2"/>
  <c r="BR769" i="2" s="1"/>
  <c r="CC769" i="2"/>
  <c r="CD769" i="2" s="1"/>
  <c r="O768" i="2"/>
  <c r="P768" i="2" s="1"/>
  <c r="BK768" i="2"/>
  <c r="BL768" i="2" s="1"/>
  <c r="BQ768" i="2"/>
  <c r="BR768" i="2" s="1"/>
  <c r="BW768" i="2"/>
  <c r="BX768" i="2" s="1"/>
  <c r="CC768" i="2"/>
  <c r="CD768" i="2" s="1"/>
  <c r="BQ767" i="2"/>
  <c r="BR767" i="2" s="1"/>
  <c r="CC767" i="2"/>
  <c r="CD767" i="2" s="1"/>
  <c r="O766" i="2"/>
  <c r="P766" i="2" s="1"/>
  <c r="BK766" i="2"/>
  <c r="BL766" i="2" s="1"/>
  <c r="BW766" i="2"/>
  <c r="BX766" i="2" s="1"/>
  <c r="CC766" i="2"/>
  <c r="CD766" i="2" s="1"/>
  <c r="O765" i="2"/>
  <c r="P765" i="2" s="1"/>
  <c r="BK765" i="2"/>
  <c r="BL765" i="2" s="1"/>
  <c r="BQ765" i="2"/>
  <c r="BR765" i="2" s="1"/>
  <c r="BW765" i="2"/>
  <c r="BX765" i="2" s="1"/>
  <c r="EE764" i="2"/>
  <c r="BK764" i="2"/>
  <c r="BL764" i="2" s="1"/>
  <c r="BW764" i="2"/>
  <c r="BX764" i="2" s="1"/>
  <c r="EE763" i="2"/>
  <c r="BK763" i="2"/>
  <c r="BL763" i="2" s="1"/>
  <c r="BQ763" i="2"/>
  <c r="BR763" i="2" s="1"/>
  <c r="EE762" i="2"/>
  <c r="O762" i="2"/>
  <c r="P762" i="2" s="1"/>
  <c r="U762" i="2"/>
  <c r="V762" i="2" s="1"/>
  <c r="BK762" i="2"/>
  <c r="BL762" i="2" s="1"/>
  <c r="BW762" i="2"/>
  <c r="BX762" i="2" s="1"/>
  <c r="O761" i="2"/>
  <c r="P761" i="2" s="1"/>
  <c r="BK761" i="2"/>
  <c r="BL761" i="2" s="1"/>
  <c r="BW761" i="2"/>
  <c r="BX761" i="2" s="1"/>
  <c r="O760" i="2"/>
  <c r="P760" i="2" s="1"/>
  <c r="U760" i="2"/>
  <c r="V760" i="2" s="1"/>
  <c r="BK760" i="2"/>
  <c r="BL760" i="2" s="1"/>
  <c r="BW760" i="2"/>
  <c r="BX760" i="2" s="1"/>
  <c r="O759" i="2"/>
  <c r="P759" i="2" s="1"/>
  <c r="U759" i="2"/>
  <c r="V759" i="2" s="1"/>
  <c r="BK759" i="2"/>
  <c r="BL759" i="2" s="1"/>
  <c r="BW759" i="2"/>
  <c r="BX759" i="2" s="1"/>
  <c r="EE758" i="2"/>
  <c r="O758" i="2"/>
  <c r="P758" i="2" s="1"/>
  <c r="U758" i="2"/>
  <c r="V758" i="2" s="1"/>
  <c r="BK758" i="2"/>
  <c r="BL758" i="2" s="1"/>
  <c r="BW758" i="2"/>
  <c r="BX758" i="2" s="1"/>
  <c r="EE757" i="2"/>
  <c r="O757" i="2"/>
  <c r="P757" i="2" s="1"/>
  <c r="U757" i="2"/>
  <c r="V757" i="2" s="1"/>
  <c r="BK757" i="2"/>
  <c r="BL757" i="2" s="1"/>
  <c r="BW757" i="2"/>
  <c r="BX757" i="2" s="1"/>
  <c r="EE756" i="2"/>
  <c r="O756" i="2"/>
  <c r="P756" i="2" s="1"/>
  <c r="U756" i="2"/>
  <c r="V756" i="2" s="1"/>
  <c r="BK756" i="2"/>
  <c r="BL756" i="2" s="1"/>
  <c r="BW756" i="2"/>
  <c r="BX756" i="2" s="1"/>
  <c r="EE755" i="2"/>
  <c r="O755" i="2"/>
  <c r="P755" i="2" s="1"/>
  <c r="BK755" i="2"/>
  <c r="BL755" i="2" s="1"/>
  <c r="BW755" i="2"/>
  <c r="BX755" i="2" s="1"/>
  <c r="EE754" i="2"/>
  <c r="O754" i="2"/>
  <c r="P754" i="2" s="1"/>
  <c r="U754" i="2"/>
  <c r="V754" i="2" s="1"/>
  <c r="BK754" i="2"/>
  <c r="BL754" i="2" s="1"/>
  <c r="BW754" i="2"/>
  <c r="BX754" i="2" s="1"/>
  <c r="EE753" i="2"/>
  <c r="O753" i="2"/>
  <c r="P753" i="2" s="1"/>
  <c r="U753" i="2"/>
  <c r="V753" i="2" s="1"/>
  <c r="BK753" i="2"/>
  <c r="BL753" i="2" s="1"/>
  <c r="BW753" i="2"/>
  <c r="BX753" i="2" s="1"/>
  <c r="O752" i="2"/>
  <c r="P752" i="2" s="1"/>
  <c r="BK752" i="2"/>
  <c r="BL752" i="2" s="1"/>
  <c r="BW752" i="2"/>
  <c r="BX752" i="2" s="1"/>
  <c r="O751" i="2"/>
  <c r="P751" i="2" s="1"/>
  <c r="BK751" i="2"/>
  <c r="BL751" i="2" s="1"/>
  <c r="BQ751" i="2"/>
  <c r="BR751" i="2" s="1"/>
  <c r="BW751" i="2"/>
  <c r="BX751" i="2" s="1"/>
  <c r="O750" i="2"/>
  <c r="P750" i="2" s="1"/>
  <c r="BK750" i="2"/>
  <c r="BL750" i="2" s="1"/>
  <c r="BQ750" i="2"/>
  <c r="BR750" i="2" s="1"/>
  <c r="BW750" i="2"/>
  <c r="BX750" i="2" s="1"/>
  <c r="EE749" i="2"/>
  <c r="BK749" i="2"/>
  <c r="BL749" i="2" s="1"/>
  <c r="BQ749" i="2"/>
  <c r="BR749" i="2" s="1"/>
  <c r="BW749" i="2"/>
  <c r="BX749" i="2" s="1"/>
  <c r="O748" i="2"/>
  <c r="P748" i="2" s="1"/>
  <c r="BK748" i="2"/>
  <c r="BL748" i="2" s="1"/>
  <c r="BW748" i="2"/>
  <c r="BX748" i="2" s="1"/>
  <c r="EE747" i="2"/>
  <c r="O747" i="2"/>
  <c r="P747" i="2" s="1"/>
  <c r="BK747" i="2"/>
  <c r="BL747" i="2" s="1"/>
  <c r="BQ747" i="2"/>
  <c r="BR747" i="2" s="1"/>
  <c r="BW747" i="2"/>
  <c r="BX747" i="2" s="1"/>
  <c r="EE746" i="2"/>
  <c r="O746" i="2"/>
  <c r="P746" i="2" s="1"/>
  <c r="BK746" i="2"/>
  <c r="BL746" i="2" s="1"/>
  <c r="BQ746" i="2"/>
  <c r="BR746" i="2" s="1"/>
  <c r="BW746" i="2"/>
  <c r="BX746" i="2" s="1"/>
  <c r="EE745" i="2"/>
  <c r="O745" i="2"/>
  <c r="P745" i="2" s="1"/>
  <c r="BK745" i="2"/>
  <c r="BL745" i="2" s="1"/>
  <c r="BQ745" i="2"/>
  <c r="BR745" i="2" s="1"/>
  <c r="BW745" i="2"/>
  <c r="BX745" i="2" s="1"/>
  <c r="BK744" i="2"/>
  <c r="BL744" i="2" s="1"/>
  <c r="BQ744" i="2"/>
  <c r="BR744" i="2" s="1"/>
  <c r="BW744" i="2"/>
  <c r="BX744" i="2" s="1"/>
  <c r="EE743" i="2"/>
  <c r="O743" i="2"/>
  <c r="P743" i="2" s="1"/>
  <c r="BK743" i="2"/>
  <c r="BL743" i="2" s="1"/>
  <c r="BQ743" i="2"/>
  <c r="BR743" i="2" s="1"/>
  <c r="BW743" i="2"/>
  <c r="BX743" i="2" s="1"/>
  <c r="BQ742" i="2"/>
  <c r="BR742" i="2" s="1"/>
  <c r="EE741" i="2"/>
  <c r="BK741" i="2"/>
  <c r="BL741" i="2" s="1"/>
  <c r="BW741" i="2"/>
  <c r="BX741" i="2" s="1"/>
  <c r="EE740" i="2"/>
  <c r="AM740" i="2"/>
  <c r="AN740" i="2" s="1"/>
  <c r="BK740" i="2"/>
  <c r="BL740" i="2" s="1"/>
  <c r="BW740" i="2"/>
  <c r="BX740" i="2" s="1"/>
  <c r="EE739" i="2"/>
  <c r="BK739" i="2"/>
  <c r="BL739" i="2" s="1"/>
  <c r="BW739" i="2"/>
  <c r="BX739" i="2" s="1"/>
  <c r="EE738" i="2"/>
  <c r="BK738" i="2"/>
  <c r="BL738" i="2" s="1"/>
  <c r="BW738" i="2"/>
  <c r="BX738" i="2" s="1"/>
  <c r="EE737" i="2"/>
  <c r="ED737" i="2"/>
  <c r="EE736" i="2"/>
  <c r="BK736" i="2"/>
  <c r="BL736" i="2" s="1"/>
  <c r="BW736" i="2"/>
  <c r="BX736" i="2" s="1"/>
  <c r="EE735" i="2"/>
  <c r="O735" i="2"/>
  <c r="P735" i="2" s="1"/>
  <c r="BQ735" i="2"/>
  <c r="BR735" i="2" s="1"/>
  <c r="EE734" i="2"/>
  <c r="O734" i="2"/>
  <c r="P734" i="2" s="1"/>
  <c r="BK734" i="2"/>
  <c r="BL734" i="2" s="1"/>
  <c r="BQ734" i="2"/>
  <c r="BR734" i="2" s="1"/>
  <c r="BW734" i="2"/>
  <c r="BX734" i="2" s="1"/>
  <c r="EE733" i="2"/>
  <c r="BK733" i="2"/>
  <c r="BL733" i="2" s="1"/>
  <c r="BQ733" i="2"/>
  <c r="BR733" i="2" s="1"/>
  <c r="BW733" i="2"/>
  <c r="BX733" i="2" s="1"/>
  <c r="BE732" i="2"/>
  <c r="BF732" i="2" s="1"/>
  <c r="BK732" i="2"/>
  <c r="BL732" i="2" s="1"/>
  <c r="BQ732" i="2"/>
  <c r="BR732" i="2" s="1"/>
  <c r="BK731" i="2"/>
  <c r="BL731" i="2" s="1"/>
  <c r="BQ731" i="2"/>
  <c r="BR731" i="2" s="1"/>
  <c r="O730" i="2"/>
  <c r="P730" i="2" s="1"/>
  <c r="BE730" i="2"/>
  <c r="BF730" i="2" s="1"/>
  <c r="BK730" i="2"/>
  <c r="BL730" i="2" s="1"/>
  <c r="BQ730" i="2"/>
  <c r="BR730" i="2" s="1"/>
  <c r="BW730" i="2"/>
  <c r="BX730" i="2" s="1"/>
  <c r="EE729" i="2"/>
  <c r="O729" i="2"/>
  <c r="P729" i="2" s="1"/>
  <c r="BK729" i="2"/>
  <c r="BL729" i="2" s="1"/>
  <c r="BQ729" i="2"/>
  <c r="BR729" i="2" s="1"/>
  <c r="BW729" i="2"/>
  <c r="BX729" i="2" s="1"/>
  <c r="EE728" i="2"/>
  <c r="O728" i="2"/>
  <c r="P728" i="2" s="1"/>
  <c r="BK728" i="2"/>
  <c r="BL728" i="2" s="1"/>
  <c r="BQ728" i="2"/>
  <c r="BR728" i="2" s="1"/>
  <c r="BW728" i="2"/>
  <c r="BX728" i="2" s="1"/>
  <c r="O727" i="2"/>
  <c r="P727" i="2" s="1"/>
  <c r="AA727" i="2"/>
  <c r="AB727" i="2" s="1"/>
  <c r="BK727" i="2"/>
  <c r="BL727" i="2" s="1"/>
  <c r="BQ727" i="2"/>
  <c r="BR727" i="2" s="1"/>
  <c r="BW727" i="2"/>
  <c r="BX727" i="2" s="1"/>
  <c r="EE726" i="2"/>
  <c r="AA726" i="2"/>
  <c r="AB726" i="2" s="1"/>
  <c r="BE726" i="2"/>
  <c r="BF726" i="2" s="1"/>
  <c r="BK726" i="2"/>
  <c r="BL726" i="2" s="1"/>
  <c r="EE725" i="2"/>
  <c r="BK725" i="2"/>
  <c r="BL725" i="2" s="1"/>
  <c r="BQ725" i="2"/>
  <c r="BR725" i="2" s="1"/>
  <c r="BW725" i="2"/>
  <c r="BX725" i="2" s="1"/>
  <c r="EE724" i="2"/>
  <c r="O724" i="2"/>
  <c r="P724" i="2" s="1"/>
  <c r="BK724" i="2"/>
  <c r="BL724" i="2" s="1"/>
  <c r="BQ724" i="2"/>
  <c r="BR724" i="2" s="1"/>
  <c r="BW724" i="2"/>
  <c r="BX724" i="2" s="1"/>
  <c r="BE723" i="2"/>
  <c r="BF723" i="2" s="1"/>
  <c r="BK723" i="2"/>
  <c r="BL723" i="2" s="1"/>
  <c r="BQ723" i="2"/>
  <c r="BR723" i="2" s="1"/>
  <c r="BW723" i="2"/>
  <c r="BX723" i="2" s="1"/>
  <c r="BK722" i="2"/>
  <c r="BL722" i="2" s="1"/>
  <c r="BQ722" i="2"/>
  <c r="BR722" i="2" s="1"/>
  <c r="O721" i="2"/>
  <c r="P721" i="2" s="1"/>
  <c r="BK721" i="2"/>
  <c r="BL721" i="2" s="1"/>
  <c r="BQ721" i="2"/>
  <c r="BR721" i="2" s="1"/>
  <c r="BW721" i="2"/>
  <c r="BX721" i="2" s="1"/>
  <c r="BK720" i="2"/>
  <c r="BL720" i="2" s="1"/>
  <c r="BQ720" i="2"/>
  <c r="BR720" i="2" s="1"/>
  <c r="BW720" i="2"/>
  <c r="BX720" i="2" s="1"/>
  <c r="EE719" i="2"/>
  <c r="O719" i="2"/>
  <c r="P719" i="2" s="1"/>
  <c r="ED719" i="2" s="1"/>
  <c r="O718" i="2"/>
  <c r="P718" i="2" s="1"/>
  <c r="BK718" i="2"/>
  <c r="BL718" i="2" s="1"/>
  <c r="BQ718" i="2"/>
  <c r="BR718" i="2" s="1"/>
  <c r="BW718" i="2"/>
  <c r="BX718" i="2" s="1"/>
  <c r="O717" i="2"/>
  <c r="P717" i="2" s="1"/>
  <c r="U717" i="2"/>
  <c r="V717" i="2" s="1"/>
  <c r="BK717" i="2"/>
  <c r="BL717" i="2" s="1"/>
  <c r="BQ717" i="2"/>
  <c r="BR717" i="2" s="1"/>
  <c r="BW717" i="2"/>
  <c r="BX717" i="2" s="1"/>
  <c r="EE716" i="2"/>
  <c r="O716" i="2"/>
  <c r="P716" i="2" s="1"/>
  <c r="BQ716" i="2"/>
  <c r="BR716" i="2" s="1"/>
  <c r="O715" i="2"/>
  <c r="P715" i="2" s="1"/>
  <c r="BQ715" i="2"/>
  <c r="BR715" i="2" s="1"/>
  <c r="EE714" i="2"/>
  <c r="BK714" i="2"/>
  <c r="BL714" i="2" s="1"/>
  <c r="BQ714" i="2"/>
  <c r="BR714" i="2" s="1"/>
  <c r="BW714" i="2"/>
  <c r="BX714" i="2" s="1"/>
  <c r="BQ713" i="2"/>
  <c r="BR713" i="2" s="1"/>
  <c r="BQ712" i="2"/>
  <c r="BR712" i="2" s="1"/>
  <c r="EE711" i="2"/>
  <c r="BK711" i="2"/>
  <c r="BL711" i="2" s="1"/>
  <c r="BQ711" i="2"/>
  <c r="BR711" i="2" s="1"/>
  <c r="BW711" i="2"/>
  <c r="BX711" i="2" s="1"/>
  <c r="O710" i="2"/>
  <c r="P710" i="2" s="1"/>
  <c r="BE710" i="2"/>
  <c r="BF710" i="2" s="1"/>
  <c r="BQ710" i="2"/>
  <c r="BR710" i="2" s="1"/>
  <c r="O709" i="2"/>
  <c r="P709" i="2" s="1"/>
  <c r="BE709" i="2"/>
  <c r="BF709" i="2" s="1"/>
  <c r="BQ709" i="2"/>
  <c r="BR709" i="2" s="1"/>
  <c r="O708" i="2"/>
  <c r="P708" i="2" s="1"/>
  <c r="BE708" i="2"/>
  <c r="BF708" i="2" s="1"/>
  <c r="BQ708" i="2"/>
  <c r="BR708" i="2" s="1"/>
  <c r="BK707" i="2"/>
  <c r="BL707" i="2" s="1"/>
  <c r="BQ707" i="2"/>
  <c r="BR707" i="2" s="1"/>
  <c r="BW707" i="2"/>
  <c r="BX707" i="2" s="1"/>
  <c r="EE706" i="2"/>
  <c r="ED706" i="2"/>
  <c r="BE705" i="2"/>
  <c r="BF705" i="2" s="1"/>
  <c r="BK705" i="2"/>
  <c r="BL705" i="2" s="1"/>
  <c r="BQ705" i="2"/>
  <c r="BR705" i="2" s="1"/>
  <c r="BW705" i="2"/>
  <c r="BX705" i="2" s="1"/>
  <c r="EE704" i="2"/>
  <c r="ED704" i="2"/>
  <c r="EE703" i="2"/>
  <c r="BQ703" i="2"/>
  <c r="BR703" i="2" s="1"/>
  <c r="ED703" i="2" s="1"/>
  <c r="EE702" i="2"/>
  <c r="O702" i="2"/>
  <c r="P702" i="2" s="1"/>
  <c r="BK702" i="2"/>
  <c r="BL702" i="2" s="1"/>
  <c r="BQ702" i="2"/>
  <c r="BR702" i="2" s="1"/>
  <c r="BW702" i="2"/>
  <c r="BX702" i="2" s="1"/>
  <c r="EE701" i="2"/>
  <c r="BK701" i="2"/>
  <c r="BL701" i="2" s="1"/>
  <c r="BW701" i="2"/>
  <c r="BX701" i="2" s="1"/>
  <c r="EE700" i="2"/>
  <c r="O700" i="2"/>
  <c r="P700" i="2" s="1"/>
  <c r="BK700" i="2"/>
  <c r="BL700" i="2" s="1"/>
  <c r="BQ700" i="2"/>
  <c r="BR700" i="2" s="1"/>
  <c r="BW700" i="2"/>
  <c r="BX700" i="2" s="1"/>
  <c r="EE699" i="2"/>
  <c r="O699" i="2"/>
  <c r="P699" i="2" s="1"/>
  <c r="BK699" i="2"/>
  <c r="BL699" i="2" s="1"/>
  <c r="BQ699" i="2"/>
  <c r="BR699" i="2" s="1"/>
  <c r="BW699" i="2"/>
  <c r="BX699" i="2" s="1"/>
  <c r="BK698" i="2"/>
  <c r="BL698" i="2" s="1"/>
  <c r="BW698" i="2"/>
  <c r="BX698" i="2" s="1"/>
  <c r="EE697" i="2"/>
  <c r="O697" i="2"/>
  <c r="P697" i="2" s="1"/>
  <c r="BK697" i="2"/>
  <c r="BL697" i="2" s="1"/>
  <c r="BQ697" i="2"/>
  <c r="BR697" i="2" s="1"/>
  <c r="BW697" i="2"/>
  <c r="BX697" i="2" s="1"/>
  <c r="EE696" i="2"/>
  <c r="O696" i="2"/>
  <c r="P696" i="2" s="1"/>
  <c r="ED696" i="2" s="1"/>
  <c r="O695" i="2"/>
  <c r="P695" i="2" s="1"/>
  <c r="AS695" i="2"/>
  <c r="AT695" i="2" s="1"/>
  <c r="BK695" i="2"/>
  <c r="BL695" i="2" s="1"/>
  <c r="BQ695" i="2"/>
  <c r="BR695" i="2" s="1"/>
  <c r="BW695" i="2"/>
  <c r="BX695" i="2" s="1"/>
  <c r="O694" i="2"/>
  <c r="P694" i="2" s="1"/>
  <c r="AS694" i="2"/>
  <c r="AT694" i="2" s="1"/>
  <c r="BK694" i="2"/>
  <c r="BL694" i="2" s="1"/>
  <c r="BQ694" i="2"/>
  <c r="BR694" i="2" s="1"/>
  <c r="BW694" i="2"/>
  <c r="BX694" i="2" s="1"/>
  <c r="O693" i="2"/>
  <c r="P693" i="2" s="1"/>
  <c r="AS693" i="2"/>
  <c r="AT693" i="2" s="1"/>
  <c r="BK693" i="2"/>
  <c r="BL693" i="2" s="1"/>
  <c r="BW693" i="2"/>
  <c r="BX693" i="2" s="1"/>
  <c r="EE692" i="2"/>
  <c r="O692" i="2"/>
  <c r="P692" i="2" s="1"/>
  <c r="AS692" i="2"/>
  <c r="AT692" i="2" s="1"/>
  <c r="BK692" i="2"/>
  <c r="BL692" i="2" s="1"/>
  <c r="BQ692" i="2"/>
  <c r="BR692" i="2" s="1"/>
  <c r="BW692" i="2"/>
  <c r="BX692" i="2" s="1"/>
  <c r="EE691" i="2"/>
  <c r="O691" i="2"/>
  <c r="P691" i="2" s="1"/>
  <c r="ED691" i="2" s="1"/>
  <c r="EE690" i="2"/>
  <c r="O690" i="2"/>
  <c r="P690" i="2" s="1"/>
  <c r="AS690" i="2"/>
  <c r="AT690" i="2" s="1"/>
  <c r="BQ690" i="2"/>
  <c r="BR690" i="2" s="1"/>
  <c r="O689" i="2"/>
  <c r="P689" i="2" s="1"/>
  <c r="AS689" i="2"/>
  <c r="AT689" i="2" s="1"/>
  <c r="BQ689" i="2"/>
  <c r="BR689" i="2" s="1"/>
  <c r="O688" i="2"/>
  <c r="P688" i="2" s="1"/>
  <c r="AS688" i="2"/>
  <c r="AT688" i="2" s="1"/>
  <c r="BQ688" i="2"/>
  <c r="BR688" i="2" s="1"/>
  <c r="EE687" i="2"/>
  <c r="BQ687" i="2"/>
  <c r="BR687" i="2" s="1"/>
  <c r="ED687" i="2" s="1"/>
  <c r="EE686" i="2"/>
  <c r="BQ686" i="2"/>
  <c r="BR686" i="2" s="1"/>
  <c r="ED686" i="2" s="1"/>
  <c r="EE685" i="2"/>
  <c r="BQ685" i="2"/>
  <c r="BR685" i="2" s="1"/>
  <c r="ED685" i="2" s="1"/>
  <c r="EE684" i="2"/>
  <c r="ED684" i="2"/>
  <c r="EE683" i="2"/>
  <c r="BK683" i="2"/>
  <c r="BL683" i="2" s="1"/>
  <c r="BW683" i="2"/>
  <c r="BX683" i="2" s="1"/>
  <c r="EE682" i="2"/>
  <c r="BK682" i="2"/>
  <c r="BL682" i="2" s="1"/>
  <c r="BW682" i="2"/>
  <c r="BX682" i="2" s="1"/>
  <c r="EE681" i="2"/>
  <c r="BK681" i="2"/>
  <c r="BL681" i="2" s="1"/>
  <c r="BW681" i="2"/>
  <c r="BX681" i="2" s="1"/>
  <c r="EE680" i="2"/>
  <c r="BK680" i="2"/>
  <c r="BL680" i="2" s="1"/>
  <c r="BW680" i="2"/>
  <c r="BX680" i="2" s="1"/>
  <c r="EE679" i="2"/>
  <c r="BK679" i="2"/>
  <c r="BL679" i="2" s="1"/>
  <c r="BQ679" i="2"/>
  <c r="BR679" i="2" s="1"/>
  <c r="BW679" i="2"/>
  <c r="BX679" i="2" s="1"/>
  <c r="EE678" i="2"/>
  <c r="BK678" i="2"/>
  <c r="BL678" i="2" s="1"/>
  <c r="BW678" i="2"/>
  <c r="BX678" i="2" s="1"/>
  <c r="EE677" i="2"/>
  <c r="BK677" i="2"/>
  <c r="BL677" i="2" s="1"/>
  <c r="BW677" i="2"/>
  <c r="BX677" i="2" s="1"/>
  <c r="EE676" i="2"/>
  <c r="BK676" i="2"/>
  <c r="BL676" i="2" s="1"/>
  <c r="BW676" i="2"/>
  <c r="BX676" i="2" s="1"/>
  <c r="BK675" i="2"/>
  <c r="BL675" i="2" s="1"/>
  <c r="BQ675" i="2"/>
  <c r="BR675" i="2" s="1"/>
  <c r="BW675" i="2"/>
  <c r="BX675" i="2" s="1"/>
  <c r="EE674" i="2"/>
  <c r="BK674" i="2"/>
  <c r="BL674" i="2" s="1"/>
  <c r="BW674" i="2"/>
  <c r="BX674" i="2" s="1"/>
  <c r="BK673" i="2"/>
  <c r="BL673" i="2" s="1"/>
  <c r="BQ673" i="2"/>
  <c r="BR673" i="2" s="1"/>
  <c r="BW673" i="2"/>
  <c r="BX673" i="2" s="1"/>
  <c r="EE672" i="2"/>
  <c r="BK672" i="2"/>
  <c r="BL672" i="2" s="1"/>
  <c r="BQ672" i="2"/>
  <c r="BR672" i="2" s="1"/>
  <c r="BW672" i="2"/>
  <c r="BX672" i="2" s="1"/>
  <c r="EE671" i="2"/>
  <c r="BK671" i="2"/>
  <c r="BL671" i="2" s="1"/>
  <c r="BW671" i="2"/>
  <c r="BX671" i="2" s="1"/>
  <c r="EE670" i="2"/>
  <c r="BK670" i="2"/>
  <c r="BL670" i="2" s="1"/>
  <c r="BQ670" i="2"/>
  <c r="BR670" i="2" s="1"/>
  <c r="BW670" i="2"/>
  <c r="BX670" i="2" s="1"/>
  <c r="EE669" i="2"/>
  <c r="BK669" i="2"/>
  <c r="BL669" i="2" s="1"/>
  <c r="BQ669" i="2"/>
  <c r="BR669" i="2" s="1"/>
  <c r="BW669" i="2"/>
  <c r="BX669" i="2" s="1"/>
  <c r="EE668" i="2"/>
  <c r="BK668" i="2"/>
  <c r="BL668" i="2" s="1"/>
  <c r="BQ668" i="2"/>
  <c r="BR668" i="2" s="1"/>
  <c r="BW668" i="2"/>
  <c r="BX668" i="2" s="1"/>
  <c r="EE667" i="2"/>
  <c r="BK667" i="2"/>
  <c r="BL667" i="2" s="1"/>
  <c r="BQ667" i="2"/>
  <c r="BR667" i="2" s="1"/>
  <c r="BW667" i="2"/>
  <c r="BX667" i="2" s="1"/>
  <c r="EE666" i="2"/>
  <c r="O666" i="2"/>
  <c r="P666" i="2" s="1"/>
  <c r="BK666" i="2"/>
  <c r="BL666" i="2" s="1"/>
  <c r="BQ666" i="2"/>
  <c r="BR666" i="2" s="1"/>
  <c r="EE665" i="2"/>
  <c r="BK665" i="2"/>
  <c r="BL665" i="2" s="1"/>
  <c r="BQ665" i="2"/>
  <c r="BR665" i="2" s="1"/>
  <c r="EE664" i="2"/>
  <c r="BQ664" i="2"/>
  <c r="BR664" i="2" s="1"/>
  <c r="ED664" i="2" s="1"/>
  <c r="EE663" i="2"/>
  <c r="BK663" i="2"/>
  <c r="BL663" i="2" s="1"/>
  <c r="BW663" i="2"/>
  <c r="BX663" i="2" s="1"/>
  <c r="EE662" i="2"/>
  <c r="BQ662" i="2"/>
  <c r="BR662" i="2" s="1"/>
  <c r="ED662" i="2" s="1"/>
  <c r="EE661" i="2"/>
  <c r="O661" i="2"/>
  <c r="P661" i="2" s="1"/>
  <c r="BK661" i="2"/>
  <c r="BL661" i="2" s="1"/>
  <c r="BQ661" i="2"/>
  <c r="BR661" i="2" s="1"/>
  <c r="BW661" i="2"/>
  <c r="BX661" i="2" s="1"/>
  <c r="EE660" i="2"/>
  <c r="BK660" i="2"/>
  <c r="BL660" i="2" s="1"/>
  <c r="BQ660" i="2"/>
  <c r="BR660" i="2" s="1"/>
  <c r="BW660" i="2"/>
  <c r="BX660" i="2" s="1"/>
  <c r="EE659" i="2"/>
  <c r="BQ659" i="2"/>
  <c r="BR659" i="2" s="1"/>
  <c r="CC659" i="2"/>
  <c r="CD659" i="2" s="1"/>
  <c r="EE658" i="2"/>
  <c r="O658" i="2"/>
  <c r="P658" i="2" s="1"/>
  <c r="BK658" i="2"/>
  <c r="BL658" i="2" s="1"/>
  <c r="BQ658" i="2"/>
  <c r="BR658" i="2" s="1"/>
  <c r="BW658" i="2"/>
  <c r="BX658" i="2" s="1"/>
  <c r="CC658" i="2"/>
  <c r="CD658" i="2" s="1"/>
  <c r="EE657" i="2"/>
  <c r="BK657" i="2"/>
  <c r="BL657" i="2" s="1"/>
  <c r="BW657" i="2"/>
  <c r="BX657" i="2" s="1"/>
  <c r="CC657" i="2"/>
  <c r="CD657" i="2" s="1"/>
  <c r="EE656" i="2"/>
  <c r="BK656" i="2"/>
  <c r="BL656" i="2" s="1"/>
  <c r="BW656" i="2"/>
  <c r="BX656" i="2" s="1"/>
  <c r="EE655" i="2"/>
  <c r="AS655" i="2"/>
  <c r="AT655" i="2" s="1"/>
  <c r="BK655" i="2"/>
  <c r="BL655" i="2" s="1"/>
  <c r="BQ655" i="2"/>
  <c r="BR655" i="2" s="1"/>
  <c r="BW655" i="2"/>
  <c r="BX655" i="2" s="1"/>
  <c r="EE654" i="2"/>
  <c r="AS654" i="2"/>
  <c r="AT654" i="2" s="1"/>
  <c r="BK654" i="2"/>
  <c r="BL654" i="2" s="1"/>
  <c r="BQ654" i="2"/>
  <c r="BR654" i="2" s="1"/>
  <c r="BW654" i="2"/>
  <c r="BX654" i="2" s="1"/>
  <c r="AS653" i="2"/>
  <c r="AT653" i="2" s="1"/>
  <c r="EE652" i="2"/>
  <c r="BK652" i="2"/>
  <c r="BL652" i="2" s="1"/>
  <c r="BW652" i="2"/>
  <c r="BX652" i="2" s="1"/>
  <c r="BK651" i="2"/>
  <c r="BL651" i="2" s="1"/>
  <c r="BW651" i="2"/>
  <c r="BX651" i="2" s="1"/>
  <c r="EE650" i="2"/>
  <c r="CC650" i="2"/>
  <c r="CD650" i="2" s="1"/>
  <c r="ED650" i="2" s="1"/>
  <c r="BK649" i="2"/>
  <c r="BL649" i="2" s="1"/>
  <c r="BQ649" i="2"/>
  <c r="BR649" i="2" s="1"/>
  <c r="BW649" i="2"/>
  <c r="BX649" i="2" s="1"/>
  <c r="CC649" i="2"/>
  <c r="CD649" i="2" s="1"/>
  <c r="O648" i="2"/>
  <c r="P648" i="2" s="1"/>
  <c r="U648" i="2"/>
  <c r="V648" i="2" s="1"/>
  <c r="BK648" i="2"/>
  <c r="BL648" i="2" s="1"/>
  <c r="BQ648" i="2"/>
  <c r="BR648" i="2" s="1"/>
  <c r="BW648" i="2"/>
  <c r="BX648" i="2" s="1"/>
  <c r="EE647" i="2"/>
  <c r="O647" i="2"/>
  <c r="P647" i="2" s="1"/>
  <c r="BK647" i="2"/>
  <c r="BL647" i="2" s="1"/>
  <c r="BQ647" i="2"/>
  <c r="BR647" i="2" s="1"/>
  <c r="BW647" i="2"/>
  <c r="BX647" i="2" s="1"/>
  <c r="EE646" i="2"/>
  <c r="O646" i="2"/>
  <c r="P646" i="2" s="1"/>
  <c r="U646" i="2"/>
  <c r="V646" i="2" s="1"/>
  <c r="AA646" i="2"/>
  <c r="AB646" i="2" s="1"/>
  <c r="BK646" i="2"/>
  <c r="BL646" i="2" s="1"/>
  <c r="BQ646" i="2"/>
  <c r="BR646" i="2" s="1"/>
  <c r="BW646" i="2"/>
  <c r="BX646" i="2" s="1"/>
  <c r="EE645" i="2"/>
  <c r="O645" i="2"/>
  <c r="P645" i="2" s="1"/>
  <c r="BK645" i="2"/>
  <c r="BL645" i="2" s="1"/>
  <c r="BQ645" i="2"/>
  <c r="BR645" i="2" s="1"/>
  <c r="BW645" i="2"/>
  <c r="BX645" i="2" s="1"/>
  <c r="EE644" i="2"/>
  <c r="O644" i="2"/>
  <c r="P644" i="2" s="1"/>
  <c r="AA644" i="2"/>
  <c r="AB644" i="2" s="1"/>
  <c r="BK644" i="2"/>
  <c r="BL644" i="2" s="1"/>
  <c r="BQ644" i="2"/>
  <c r="BR644" i="2" s="1"/>
  <c r="BW644" i="2"/>
  <c r="BX644" i="2" s="1"/>
  <c r="EE643" i="2"/>
  <c r="O643" i="2"/>
  <c r="P643" i="2" s="1"/>
  <c r="BK643" i="2"/>
  <c r="BL643" i="2" s="1"/>
  <c r="BW643" i="2"/>
  <c r="BX643" i="2" s="1"/>
  <c r="EE642" i="2"/>
  <c r="ED642" i="2"/>
  <c r="EE641" i="2"/>
  <c r="BQ641" i="2"/>
  <c r="BR641" i="2" s="1"/>
  <c r="ED641" i="2" s="1"/>
  <c r="EE640" i="2"/>
  <c r="BQ640" i="2"/>
  <c r="BR640" i="2" s="1"/>
  <c r="ED640" i="2" s="1"/>
  <c r="EE639" i="2"/>
  <c r="BQ639" i="2"/>
  <c r="BR639" i="2" s="1"/>
  <c r="ED639" i="2" s="1"/>
  <c r="EE638" i="2"/>
  <c r="BK638" i="2"/>
  <c r="BL638" i="2" s="1"/>
  <c r="BW638" i="2"/>
  <c r="BX638" i="2" s="1"/>
  <c r="EE637" i="2"/>
  <c r="O637" i="2"/>
  <c r="P637" i="2" s="1"/>
  <c r="BK637" i="2"/>
  <c r="BL637" i="2" s="1"/>
  <c r="BW637" i="2"/>
  <c r="BX637" i="2" s="1"/>
  <c r="EE636" i="2"/>
  <c r="O636" i="2"/>
  <c r="P636" i="2" s="1"/>
  <c r="U636" i="2"/>
  <c r="V636" i="2" s="1"/>
  <c r="BK636" i="2"/>
  <c r="BL636" i="2" s="1"/>
  <c r="BW636" i="2"/>
  <c r="BX636" i="2" s="1"/>
  <c r="EE635" i="2"/>
  <c r="O635" i="2"/>
  <c r="P635" i="2" s="1"/>
  <c r="ED635" i="2" s="1"/>
  <c r="EE634" i="2"/>
  <c r="BK634" i="2"/>
  <c r="BL634" i="2" s="1"/>
  <c r="BW634" i="2"/>
  <c r="BX634" i="2" s="1"/>
  <c r="EE633" i="2"/>
  <c r="ED633" i="2"/>
  <c r="EE631" i="2"/>
  <c r="ED631" i="2"/>
  <c r="EE630" i="2"/>
  <c r="BK630" i="2"/>
  <c r="BL630" i="2" s="1"/>
  <c r="BW630" i="2"/>
  <c r="BX630" i="2" s="1"/>
  <c r="EE629" i="2"/>
  <c r="O629" i="2"/>
  <c r="P629" i="2" s="1"/>
  <c r="BK629" i="2"/>
  <c r="BL629" i="2" s="1"/>
  <c r="BW629" i="2"/>
  <c r="BX629" i="2" s="1"/>
  <c r="EE628" i="2"/>
  <c r="BK628" i="2"/>
  <c r="BL628" i="2" s="1"/>
  <c r="BW628" i="2"/>
  <c r="BX628" i="2" s="1"/>
  <c r="AA627" i="2"/>
  <c r="AB627" i="2" s="1"/>
  <c r="EE625" i="2"/>
  <c r="BK625" i="2"/>
  <c r="BL625" i="2" s="1"/>
  <c r="BQ625" i="2"/>
  <c r="BR625" i="2" s="1"/>
  <c r="BW625" i="2"/>
  <c r="BX625" i="2" s="1"/>
  <c r="O624" i="2"/>
  <c r="P624" i="2" s="1"/>
  <c r="BK624" i="2"/>
  <c r="BL624" i="2" s="1"/>
  <c r="BQ624" i="2"/>
  <c r="BR624" i="2" s="1"/>
  <c r="BW624" i="2"/>
  <c r="BX624" i="2" s="1"/>
  <c r="O623" i="2"/>
  <c r="P623" i="2" s="1"/>
  <c r="BK623" i="2"/>
  <c r="BL623" i="2" s="1"/>
  <c r="BQ623" i="2"/>
  <c r="BR623" i="2" s="1"/>
  <c r="BW623" i="2"/>
  <c r="BX623" i="2" s="1"/>
  <c r="EE622" i="2"/>
  <c r="O622" i="2"/>
  <c r="P622" i="2" s="1"/>
  <c r="BK622" i="2"/>
  <c r="BL622" i="2" s="1"/>
  <c r="BQ622" i="2"/>
  <c r="BR622" i="2" s="1"/>
  <c r="BW622" i="2"/>
  <c r="BX622" i="2" s="1"/>
  <c r="O621" i="2"/>
  <c r="P621" i="2" s="1"/>
  <c r="BK621" i="2"/>
  <c r="BL621" i="2" s="1"/>
  <c r="BQ621" i="2"/>
  <c r="BR621" i="2" s="1"/>
  <c r="BW621" i="2"/>
  <c r="BX621" i="2" s="1"/>
  <c r="O620" i="2"/>
  <c r="P620" i="2" s="1"/>
  <c r="BK620" i="2"/>
  <c r="BL620" i="2" s="1"/>
  <c r="BW620" i="2"/>
  <c r="BX620" i="2" s="1"/>
  <c r="EE619" i="2"/>
  <c r="O619" i="2"/>
  <c r="P619" i="2" s="1"/>
  <c r="BK619" i="2"/>
  <c r="BL619" i="2" s="1"/>
  <c r="BW619" i="2"/>
  <c r="BX619" i="2" s="1"/>
  <c r="EE618" i="2"/>
  <c r="O618" i="2"/>
  <c r="P618" i="2" s="1"/>
  <c r="BK618" i="2"/>
  <c r="BL618" i="2" s="1"/>
  <c r="BW618" i="2"/>
  <c r="BX618" i="2" s="1"/>
  <c r="EE617" i="2"/>
  <c r="O617" i="2"/>
  <c r="P617" i="2" s="1"/>
  <c r="BK617" i="2"/>
  <c r="BL617" i="2" s="1"/>
  <c r="AA616" i="2"/>
  <c r="AB616" i="2" s="1"/>
  <c r="EE615" i="2"/>
  <c r="ED615" i="2"/>
  <c r="EE614" i="2"/>
  <c r="BK614" i="2"/>
  <c r="BL614" i="2" s="1"/>
  <c r="BW614" i="2"/>
  <c r="BX614" i="2" s="1"/>
  <c r="EE613" i="2"/>
  <c r="BK613" i="2"/>
  <c r="BL613" i="2" s="1"/>
  <c r="BW613" i="2"/>
  <c r="BX613" i="2" s="1"/>
  <c r="EE612" i="2"/>
  <c r="BK612" i="2"/>
  <c r="BL612" i="2" s="1"/>
  <c r="BW612" i="2"/>
  <c r="BX612" i="2" s="1"/>
  <c r="BE610" i="2"/>
  <c r="BF610" i="2" s="1"/>
  <c r="O609" i="2"/>
  <c r="P609" i="2" s="1"/>
  <c r="U609" i="2"/>
  <c r="V609" i="2" s="1"/>
  <c r="AA609" i="2"/>
  <c r="AB609" i="2" s="1"/>
  <c r="BE609" i="2"/>
  <c r="BF609" i="2" s="1"/>
  <c r="BK609" i="2"/>
  <c r="BL609" i="2" s="1"/>
  <c r="BW609" i="2"/>
  <c r="BX609" i="2" s="1"/>
  <c r="EE608" i="2"/>
  <c r="AA608" i="2"/>
  <c r="AB608" i="2" s="1"/>
  <c r="BK608" i="2"/>
  <c r="BL608" i="2" s="1"/>
  <c r="BW608" i="2"/>
  <c r="BX608" i="2" s="1"/>
  <c r="EE607" i="2"/>
  <c r="O607" i="2"/>
  <c r="P607" i="2" s="1"/>
  <c r="AA607" i="2"/>
  <c r="AB607" i="2" s="1"/>
  <c r="BE607" i="2"/>
  <c r="BF607" i="2" s="1"/>
  <c r="BK607" i="2"/>
  <c r="BL607" i="2" s="1"/>
  <c r="BW607" i="2"/>
  <c r="BX607" i="2" s="1"/>
  <c r="EE606" i="2"/>
  <c r="BK606" i="2"/>
  <c r="BL606" i="2" s="1"/>
  <c r="BW606" i="2"/>
  <c r="BX606" i="2" s="1"/>
  <c r="O605" i="2"/>
  <c r="P605" i="2" s="1"/>
  <c r="AA605" i="2"/>
  <c r="AB605" i="2" s="1"/>
  <c r="BE605" i="2"/>
  <c r="BF605" i="2" s="1"/>
  <c r="EE603" i="2"/>
  <c r="O603" i="2"/>
  <c r="P603" i="2" s="1"/>
  <c r="AA603" i="2"/>
  <c r="AB603" i="2" s="1"/>
  <c r="BE603" i="2"/>
  <c r="BF603" i="2" s="1"/>
  <c r="BK603" i="2"/>
  <c r="BL603" i="2" s="1"/>
  <c r="BW603" i="2"/>
  <c r="BX603" i="2" s="1"/>
  <c r="EE602" i="2"/>
  <c r="BK602" i="2"/>
  <c r="BL602" i="2" s="1"/>
  <c r="BW602" i="2"/>
  <c r="BX602" i="2" s="1"/>
  <c r="EE601" i="2"/>
  <c r="BK601" i="2"/>
  <c r="BL601" i="2" s="1"/>
  <c r="BW601" i="2"/>
  <c r="BX601" i="2" s="1"/>
  <c r="EE600" i="2"/>
  <c r="BK600" i="2"/>
  <c r="BL600" i="2" s="1"/>
  <c r="BW600" i="2"/>
  <c r="BX600" i="2" s="1"/>
  <c r="EE599" i="2"/>
  <c r="BK599" i="2"/>
  <c r="BL599" i="2" s="1"/>
  <c r="BW599" i="2"/>
  <c r="BX599" i="2" s="1"/>
  <c r="EE598" i="2"/>
  <c r="O598" i="2"/>
  <c r="P598" i="2" s="1"/>
  <c r="U598" i="2"/>
  <c r="V598" i="2" s="1"/>
  <c r="AA598" i="2"/>
  <c r="AB598" i="2" s="1"/>
  <c r="BE598" i="2"/>
  <c r="BF598" i="2" s="1"/>
  <c r="BK598" i="2"/>
  <c r="BL598" i="2" s="1"/>
  <c r="BW598" i="2"/>
  <c r="BX598" i="2" s="1"/>
  <c r="EE597" i="2"/>
  <c r="BK597" i="2"/>
  <c r="BL597" i="2" s="1"/>
  <c r="BW597" i="2"/>
  <c r="BX597" i="2" s="1"/>
  <c r="O596" i="2"/>
  <c r="P596" i="2" s="1"/>
  <c r="BK596" i="2"/>
  <c r="BL596" i="2" s="1"/>
  <c r="BW596" i="2"/>
  <c r="BX596" i="2" s="1"/>
  <c r="O595" i="2"/>
  <c r="P595" i="2" s="1"/>
  <c r="BK595" i="2"/>
  <c r="BL595" i="2" s="1"/>
  <c r="BW595" i="2"/>
  <c r="BX595" i="2" s="1"/>
  <c r="O594" i="2"/>
  <c r="P594" i="2" s="1"/>
  <c r="BK594" i="2"/>
  <c r="BL594" i="2" s="1"/>
  <c r="BW594" i="2"/>
  <c r="BX594" i="2" s="1"/>
  <c r="EE593" i="2"/>
  <c r="O593" i="2"/>
  <c r="P593" i="2" s="1"/>
  <c r="AA593" i="2"/>
  <c r="AB593" i="2" s="1"/>
  <c r="BE593" i="2"/>
  <c r="BF593" i="2" s="1"/>
  <c r="BK593" i="2"/>
  <c r="BL593" i="2" s="1"/>
  <c r="BW593" i="2"/>
  <c r="BX593" i="2" s="1"/>
  <c r="EE592" i="2"/>
  <c r="BK592" i="2"/>
  <c r="BL592" i="2" s="1"/>
  <c r="BW592" i="2"/>
  <c r="BX592" i="2" s="1"/>
  <c r="BK591" i="2"/>
  <c r="BL591" i="2" s="1"/>
  <c r="BW591" i="2"/>
  <c r="BX591" i="2" s="1"/>
  <c r="EE590" i="2"/>
  <c r="BK590" i="2"/>
  <c r="BL590" i="2" s="1"/>
  <c r="BW590" i="2"/>
  <c r="BX590" i="2" s="1"/>
  <c r="EE589" i="2"/>
  <c r="BK589" i="2"/>
  <c r="BL589" i="2" s="1"/>
  <c r="BW589" i="2"/>
  <c r="BX589" i="2" s="1"/>
  <c r="AA588" i="2"/>
  <c r="AB588" i="2" s="1"/>
  <c r="BE588" i="2"/>
  <c r="BF588" i="2" s="1"/>
  <c r="BK588" i="2"/>
  <c r="BL588" i="2" s="1"/>
  <c r="BW588" i="2"/>
  <c r="BX588" i="2" s="1"/>
  <c r="EE587" i="2"/>
  <c r="AA587" i="2"/>
  <c r="AB587" i="2" s="1"/>
  <c r="BE587" i="2"/>
  <c r="BF587" i="2" s="1"/>
  <c r="BK587" i="2"/>
  <c r="BL587" i="2" s="1"/>
  <c r="BW587" i="2"/>
  <c r="BX587" i="2" s="1"/>
  <c r="AA586" i="2"/>
  <c r="AB586" i="2" s="1"/>
  <c r="BE586" i="2"/>
  <c r="BF586" i="2" s="1"/>
  <c r="BK586" i="2"/>
  <c r="BL586" i="2" s="1"/>
  <c r="BW586" i="2"/>
  <c r="BX586" i="2" s="1"/>
  <c r="EE585" i="2"/>
  <c r="O585" i="2"/>
  <c r="P585" i="2" s="1"/>
  <c r="U585" i="2"/>
  <c r="V585" i="2" s="1"/>
  <c r="BE585" i="2"/>
  <c r="BF585" i="2" s="1"/>
  <c r="BK585" i="2"/>
  <c r="BL585" i="2" s="1"/>
  <c r="BW585" i="2"/>
  <c r="BX585" i="2" s="1"/>
  <c r="BE584" i="2"/>
  <c r="BF584" i="2" s="1"/>
  <c r="BK584" i="2"/>
  <c r="BL584" i="2" s="1"/>
  <c r="EE583" i="2"/>
  <c r="BK583" i="2"/>
  <c r="BL583" i="2" s="1"/>
  <c r="AA582" i="2"/>
  <c r="AB582" i="2" s="1"/>
  <c r="BE582" i="2"/>
  <c r="BF582" i="2" s="1"/>
  <c r="BK582" i="2"/>
  <c r="BL582" i="2" s="1"/>
  <c r="BW582" i="2"/>
  <c r="BX582" i="2" s="1"/>
  <c r="BK581" i="2"/>
  <c r="BL581" i="2" s="1"/>
  <c r="BW581" i="2"/>
  <c r="BX581" i="2" s="1"/>
  <c r="EE580" i="2"/>
  <c r="AA580" i="2"/>
  <c r="AB580" i="2" s="1"/>
  <c r="BE580" i="2"/>
  <c r="BF580" i="2" s="1"/>
  <c r="BK580" i="2"/>
  <c r="BL580" i="2" s="1"/>
  <c r="BW580" i="2"/>
  <c r="BX580" i="2" s="1"/>
  <c r="EE579" i="2"/>
  <c r="O579" i="2"/>
  <c r="P579" i="2" s="1"/>
  <c r="BK579" i="2"/>
  <c r="BL579" i="2" s="1"/>
  <c r="BW579" i="2"/>
  <c r="BX579" i="2" s="1"/>
  <c r="AA578" i="2"/>
  <c r="AB578" i="2" s="1"/>
  <c r="BE578" i="2"/>
  <c r="BF578" i="2" s="1"/>
  <c r="BK578" i="2"/>
  <c r="BL578" i="2" s="1"/>
  <c r="BW578" i="2"/>
  <c r="BX578" i="2" s="1"/>
  <c r="BK577" i="2"/>
  <c r="BL577" i="2" s="1"/>
  <c r="BW577" i="2"/>
  <c r="BX577" i="2" s="1"/>
  <c r="BK576" i="2"/>
  <c r="BL576" i="2" s="1"/>
  <c r="BW576" i="2"/>
  <c r="BX576" i="2" s="1"/>
  <c r="AA575" i="2"/>
  <c r="AB575" i="2" s="1"/>
  <c r="BE575" i="2"/>
  <c r="BF575" i="2" s="1"/>
  <c r="BK575" i="2"/>
  <c r="BL575" i="2" s="1"/>
  <c r="BW575" i="2"/>
  <c r="BX575" i="2" s="1"/>
  <c r="EE574" i="2"/>
  <c r="BK574" i="2"/>
  <c r="BL574" i="2" s="1"/>
  <c r="BW574" i="2"/>
  <c r="BX574" i="2" s="1"/>
  <c r="EE573" i="2"/>
  <c r="BK573" i="2"/>
  <c r="BL573" i="2" s="1"/>
  <c r="BW573" i="2"/>
  <c r="BX573" i="2" s="1"/>
  <c r="EE572" i="2"/>
  <c r="AA572" i="2"/>
  <c r="AB572" i="2" s="1"/>
  <c r="BE572" i="2"/>
  <c r="BF572" i="2" s="1"/>
  <c r="BK572" i="2"/>
  <c r="BL572" i="2" s="1"/>
  <c r="BW572" i="2"/>
  <c r="BX572" i="2" s="1"/>
  <c r="EE571" i="2"/>
  <c r="BK571" i="2"/>
  <c r="BL571" i="2" s="1"/>
  <c r="BW571" i="2"/>
  <c r="BX571" i="2" s="1"/>
  <c r="O570" i="2"/>
  <c r="P570" i="2" s="1"/>
  <c r="BK570" i="2"/>
  <c r="BL570" i="2" s="1"/>
  <c r="BW570" i="2"/>
  <c r="BX570" i="2" s="1"/>
  <c r="BE569" i="2"/>
  <c r="BF569" i="2" s="1"/>
  <c r="BK569" i="2"/>
  <c r="BL569" i="2" s="1"/>
  <c r="BW569" i="2"/>
  <c r="BX569" i="2" s="1"/>
  <c r="AA568" i="2"/>
  <c r="AB568" i="2" s="1"/>
  <c r="BK568" i="2"/>
  <c r="BL568" i="2" s="1"/>
  <c r="BW568" i="2"/>
  <c r="BX568" i="2" s="1"/>
  <c r="EE567" i="2"/>
  <c r="O567" i="2"/>
  <c r="P567" i="2" s="1"/>
  <c r="AA567" i="2"/>
  <c r="AB567" i="2" s="1"/>
  <c r="BE567" i="2"/>
  <c r="BF567" i="2" s="1"/>
  <c r="BK567" i="2"/>
  <c r="BL567" i="2" s="1"/>
  <c r="BW567" i="2"/>
  <c r="BX567" i="2" s="1"/>
  <c r="EE566" i="2"/>
  <c r="BK566" i="2"/>
  <c r="BL566" i="2" s="1"/>
  <c r="U565" i="2"/>
  <c r="V565" i="2" s="1"/>
  <c r="BK565" i="2"/>
  <c r="BL565" i="2" s="1"/>
  <c r="BW565" i="2"/>
  <c r="BX565" i="2" s="1"/>
  <c r="O564" i="2"/>
  <c r="P564" i="2" s="1"/>
  <c r="U564" i="2"/>
  <c r="V564" i="2" s="1"/>
  <c r="BK564" i="2"/>
  <c r="BL564" i="2" s="1"/>
  <c r="BW564" i="2"/>
  <c r="BX564" i="2" s="1"/>
  <c r="EE563" i="2"/>
  <c r="O563" i="2"/>
  <c r="P563" i="2" s="1"/>
  <c r="U563" i="2"/>
  <c r="V563" i="2" s="1"/>
  <c r="BK563" i="2"/>
  <c r="BL563" i="2" s="1"/>
  <c r="BW563" i="2"/>
  <c r="BX563" i="2" s="1"/>
  <c r="EE562" i="2"/>
  <c r="O562" i="2"/>
  <c r="P562" i="2" s="1"/>
  <c r="BK562" i="2"/>
  <c r="BL562" i="2" s="1"/>
  <c r="BW562" i="2"/>
  <c r="BX562" i="2" s="1"/>
  <c r="EE561" i="2"/>
  <c r="O561" i="2"/>
  <c r="P561" i="2" s="1"/>
  <c r="BK561" i="2"/>
  <c r="BL561" i="2" s="1"/>
  <c r="BW561" i="2"/>
  <c r="BX561" i="2" s="1"/>
  <c r="EE560" i="2"/>
  <c r="O560" i="2"/>
  <c r="P560" i="2" s="1"/>
  <c r="U560" i="2"/>
  <c r="V560" i="2" s="1"/>
  <c r="BK560" i="2"/>
  <c r="BL560" i="2" s="1"/>
  <c r="BW560" i="2"/>
  <c r="BX560" i="2" s="1"/>
  <c r="EE559" i="2"/>
  <c r="O559" i="2"/>
  <c r="P559" i="2" s="1"/>
  <c r="U559" i="2"/>
  <c r="V559" i="2" s="1"/>
  <c r="BK559" i="2"/>
  <c r="BL559" i="2" s="1"/>
  <c r="BW559" i="2"/>
  <c r="BX559" i="2" s="1"/>
  <c r="EE558" i="2"/>
  <c r="O558" i="2"/>
  <c r="P558" i="2" s="1"/>
  <c r="U558" i="2"/>
  <c r="V558" i="2" s="1"/>
  <c r="BK558" i="2"/>
  <c r="BL558" i="2" s="1"/>
  <c r="BW558" i="2"/>
  <c r="BX558" i="2" s="1"/>
  <c r="O557" i="2"/>
  <c r="P557" i="2" s="1"/>
  <c r="BK557" i="2"/>
  <c r="BL557" i="2" s="1"/>
  <c r="BW557" i="2"/>
  <c r="BX557" i="2" s="1"/>
  <c r="EE556" i="2"/>
  <c r="O556" i="2"/>
  <c r="P556" i="2" s="1"/>
  <c r="U556" i="2"/>
  <c r="V556" i="2" s="1"/>
  <c r="BK556" i="2"/>
  <c r="BL556" i="2" s="1"/>
  <c r="BW556" i="2"/>
  <c r="BX556" i="2" s="1"/>
  <c r="EE555" i="2"/>
  <c r="O555" i="2"/>
  <c r="P555" i="2" s="1"/>
  <c r="U555" i="2"/>
  <c r="V555" i="2" s="1"/>
  <c r="BK555" i="2"/>
  <c r="BL555" i="2" s="1"/>
  <c r="BW555" i="2"/>
  <c r="BX555" i="2" s="1"/>
  <c r="EE554" i="2"/>
  <c r="O554" i="2"/>
  <c r="P554" i="2" s="1"/>
  <c r="U554" i="2"/>
  <c r="V554" i="2" s="1"/>
  <c r="BK554" i="2"/>
  <c r="BL554" i="2" s="1"/>
  <c r="BW554" i="2"/>
  <c r="BX554" i="2" s="1"/>
  <c r="O553" i="2"/>
  <c r="P553" i="2" s="1"/>
  <c r="U553" i="2"/>
  <c r="V553" i="2" s="1"/>
  <c r="BK553" i="2"/>
  <c r="BL553" i="2" s="1"/>
  <c r="BW553" i="2"/>
  <c r="BX553" i="2" s="1"/>
  <c r="EE552" i="2"/>
  <c r="O552" i="2"/>
  <c r="P552" i="2" s="1"/>
  <c r="U552" i="2"/>
  <c r="V552" i="2" s="1"/>
  <c r="BK552" i="2"/>
  <c r="BL552" i="2" s="1"/>
  <c r="BW552" i="2"/>
  <c r="BX552" i="2" s="1"/>
  <c r="O551" i="2"/>
  <c r="P551" i="2" s="1"/>
  <c r="U551" i="2"/>
  <c r="V551" i="2" s="1"/>
  <c r="BK551" i="2"/>
  <c r="BL551" i="2" s="1"/>
  <c r="BW551" i="2"/>
  <c r="BX551" i="2" s="1"/>
  <c r="O550" i="2"/>
  <c r="P550" i="2" s="1"/>
  <c r="U550" i="2"/>
  <c r="V550" i="2" s="1"/>
  <c r="BK550" i="2"/>
  <c r="BL550" i="2" s="1"/>
  <c r="BW550" i="2"/>
  <c r="BX550" i="2" s="1"/>
  <c r="EE549" i="2"/>
  <c r="O549" i="2"/>
  <c r="P549" i="2" s="1"/>
  <c r="U549" i="2"/>
  <c r="V549" i="2" s="1"/>
  <c r="BK549" i="2"/>
  <c r="BL549" i="2" s="1"/>
  <c r="BW549" i="2"/>
  <c r="BX549" i="2" s="1"/>
  <c r="EE548" i="2"/>
  <c r="O548" i="2"/>
  <c r="P548" i="2" s="1"/>
  <c r="U548" i="2"/>
  <c r="V548" i="2" s="1"/>
  <c r="BK548" i="2"/>
  <c r="BL548" i="2" s="1"/>
  <c r="BW548" i="2"/>
  <c r="BX548" i="2" s="1"/>
  <c r="EE547" i="2"/>
  <c r="ED547" i="2"/>
  <c r="EF547" i="2" s="1"/>
  <c r="EE546" i="2"/>
  <c r="O546" i="2"/>
  <c r="P546" i="2" s="1"/>
  <c r="BK546" i="2"/>
  <c r="BL546" i="2" s="1"/>
  <c r="BW546" i="2"/>
  <c r="BX546" i="2" s="1"/>
  <c r="EE545" i="2"/>
  <c r="ED545" i="2"/>
  <c r="EE544" i="2"/>
  <c r="BK544" i="2"/>
  <c r="BL544" i="2" s="1"/>
  <c r="BW544" i="2"/>
  <c r="BX544" i="2" s="1"/>
  <c r="EE543" i="2"/>
  <c r="O543" i="2"/>
  <c r="P543" i="2" s="1"/>
  <c r="BK543" i="2"/>
  <c r="BL543" i="2" s="1"/>
  <c r="BW543" i="2"/>
  <c r="BX543" i="2" s="1"/>
  <c r="EE542" i="2"/>
  <c r="ED542" i="2"/>
  <c r="EE541" i="2"/>
  <c r="ED541" i="2"/>
  <c r="EE540" i="2"/>
  <c r="O540" i="2"/>
  <c r="P540" i="2" s="1"/>
  <c r="BK540" i="2"/>
  <c r="BL540" i="2" s="1"/>
  <c r="BQ540" i="2"/>
  <c r="BR540" i="2" s="1"/>
  <c r="EE539" i="2"/>
  <c r="O539" i="2"/>
  <c r="P539" i="2" s="1"/>
  <c r="BK539" i="2"/>
  <c r="BL539" i="2" s="1"/>
  <c r="BQ539" i="2"/>
  <c r="BR539" i="2" s="1"/>
  <c r="BW539" i="2"/>
  <c r="BX539" i="2" s="1"/>
  <c r="EE538" i="2"/>
  <c r="O538" i="2"/>
  <c r="P538" i="2" s="1"/>
  <c r="U538" i="2"/>
  <c r="V538" i="2" s="1"/>
  <c r="BK538" i="2"/>
  <c r="BL538" i="2" s="1"/>
  <c r="BQ538" i="2"/>
  <c r="BR538" i="2" s="1"/>
  <c r="BW538" i="2"/>
  <c r="BX538" i="2" s="1"/>
  <c r="O537" i="2"/>
  <c r="P537" i="2" s="1"/>
  <c r="U537" i="2"/>
  <c r="V537" i="2" s="1"/>
  <c r="BK537" i="2"/>
  <c r="BL537" i="2" s="1"/>
  <c r="BQ537" i="2"/>
  <c r="BR537" i="2" s="1"/>
  <c r="BW537" i="2"/>
  <c r="BX537" i="2" s="1"/>
  <c r="BE536" i="2"/>
  <c r="BF536" i="2" s="1"/>
  <c r="BK536" i="2"/>
  <c r="BL536" i="2" s="1"/>
  <c r="BW536" i="2"/>
  <c r="BX536" i="2" s="1"/>
  <c r="EE535" i="2"/>
  <c r="BK535" i="2"/>
  <c r="BL535" i="2" s="1"/>
  <c r="BW535" i="2"/>
  <c r="BX535" i="2" s="1"/>
  <c r="EE534" i="2"/>
  <c r="BK534" i="2"/>
  <c r="BL534" i="2" s="1"/>
  <c r="BW534" i="2"/>
  <c r="BX534" i="2" s="1"/>
  <c r="EE533" i="2"/>
  <c r="O533" i="2"/>
  <c r="P533" i="2" s="1"/>
  <c r="BK533" i="2"/>
  <c r="BL533" i="2" s="1"/>
  <c r="BQ533" i="2"/>
  <c r="BR533" i="2" s="1"/>
  <c r="BW533" i="2"/>
  <c r="BX533" i="2" s="1"/>
  <c r="EE532" i="2"/>
  <c r="O532" i="2"/>
  <c r="P532" i="2" s="1"/>
  <c r="BE532" i="2"/>
  <c r="BF532" i="2" s="1"/>
  <c r="BK532" i="2"/>
  <c r="BL532" i="2" s="1"/>
  <c r="BQ532" i="2"/>
  <c r="BR532" i="2" s="1"/>
  <c r="BW532" i="2"/>
  <c r="BX532" i="2" s="1"/>
  <c r="O531" i="2"/>
  <c r="P531" i="2" s="1"/>
  <c r="BK531" i="2"/>
  <c r="BL531" i="2" s="1"/>
  <c r="BQ531" i="2"/>
  <c r="BR531" i="2" s="1"/>
  <c r="BW531" i="2"/>
  <c r="BX531" i="2" s="1"/>
  <c r="EE530" i="2"/>
  <c r="O530" i="2"/>
  <c r="P530" i="2" s="1"/>
  <c r="BE530" i="2"/>
  <c r="BF530" i="2" s="1"/>
  <c r="BK530" i="2"/>
  <c r="BL530" i="2" s="1"/>
  <c r="BQ530" i="2"/>
  <c r="BR530" i="2" s="1"/>
  <c r="BW530" i="2"/>
  <c r="BX530" i="2" s="1"/>
  <c r="EE529" i="2"/>
  <c r="O529" i="2"/>
  <c r="P529" i="2" s="1"/>
  <c r="U529" i="2"/>
  <c r="V529" i="2" s="1"/>
  <c r="BK529" i="2"/>
  <c r="BL529" i="2" s="1"/>
  <c r="BW529" i="2"/>
  <c r="BX529" i="2" s="1"/>
  <c r="U528" i="2"/>
  <c r="V528" i="2" s="1"/>
  <c r="BK528" i="2"/>
  <c r="BL528" i="2" s="1"/>
  <c r="BW528" i="2"/>
  <c r="BX528" i="2" s="1"/>
  <c r="BK527" i="2"/>
  <c r="BL527" i="2" s="1"/>
  <c r="BW527" i="2"/>
  <c r="BX527" i="2" s="1"/>
  <c r="O526" i="2"/>
  <c r="P526" i="2" s="1"/>
  <c r="BK526" i="2"/>
  <c r="BL526" i="2" s="1"/>
  <c r="BW526" i="2"/>
  <c r="BX526" i="2" s="1"/>
  <c r="EE525" i="2"/>
  <c r="O525" i="2"/>
  <c r="P525" i="2" s="1"/>
  <c r="U525" i="2"/>
  <c r="V525" i="2" s="1"/>
  <c r="BK525" i="2"/>
  <c r="BL525" i="2" s="1"/>
  <c r="BW525" i="2"/>
  <c r="BX525" i="2" s="1"/>
  <c r="EE524" i="2"/>
  <c r="O524" i="2"/>
  <c r="P524" i="2" s="1"/>
  <c r="U524" i="2"/>
  <c r="V524" i="2" s="1"/>
  <c r="BK524" i="2"/>
  <c r="BL524" i="2" s="1"/>
  <c r="BW524" i="2"/>
  <c r="BX524" i="2" s="1"/>
  <c r="EE523" i="2"/>
  <c r="O523" i="2"/>
  <c r="P523" i="2" s="1"/>
  <c r="U523" i="2"/>
  <c r="V523" i="2" s="1"/>
  <c r="BK523" i="2"/>
  <c r="BL523" i="2" s="1"/>
  <c r="BW523" i="2"/>
  <c r="BX523" i="2" s="1"/>
  <c r="O522" i="2"/>
  <c r="P522" i="2" s="1"/>
  <c r="U522" i="2"/>
  <c r="V522" i="2" s="1"/>
  <c r="BK522" i="2"/>
  <c r="BL522" i="2" s="1"/>
  <c r="BW522" i="2"/>
  <c r="BX522" i="2" s="1"/>
  <c r="EE521" i="2"/>
  <c r="O521" i="2"/>
  <c r="P521" i="2" s="1"/>
  <c r="AS521" i="2"/>
  <c r="AT521" i="2" s="1"/>
  <c r="BQ521" i="2"/>
  <c r="BR521" i="2" s="1"/>
  <c r="EE520" i="2"/>
  <c r="O520" i="2"/>
  <c r="P520" i="2" s="1"/>
  <c r="BK520" i="2"/>
  <c r="BL520" i="2" s="1"/>
  <c r="BW520" i="2"/>
  <c r="BX520" i="2" s="1"/>
  <c r="EE519" i="2"/>
  <c r="O519" i="2"/>
  <c r="P519" i="2" s="1"/>
  <c r="AS519" i="2"/>
  <c r="AT519" i="2" s="1"/>
  <c r="BK519" i="2"/>
  <c r="BL519" i="2" s="1"/>
  <c r="BQ519" i="2"/>
  <c r="BR519" i="2" s="1"/>
  <c r="BW519" i="2"/>
  <c r="BX519" i="2" s="1"/>
  <c r="EE518" i="2"/>
  <c r="O518" i="2"/>
  <c r="P518" i="2" s="1"/>
  <c r="AS518" i="2"/>
  <c r="AT518" i="2" s="1"/>
  <c r="BK518" i="2"/>
  <c r="BL518" i="2" s="1"/>
  <c r="BQ518" i="2"/>
  <c r="BR518" i="2" s="1"/>
  <c r="BW518" i="2"/>
  <c r="BX518" i="2" s="1"/>
  <c r="EE517" i="2"/>
  <c r="AS517" i="2"/>
  <c r="AT517" i="2" s="1"/>
  <c r="BK517" i="2"/>
  <c r="BL517" i="2" s="1"/>
  <c r="BQ517" i="2"/>
  <c r="BR517" i="2" s="1"/>
  <c r="BW517" i="2"/>
  <c r="BX517" i="2" s="1"/>
  <c r="O516" i="2"/>
  <c r="P516" i="2" s="1"/>
  <c r="AS516" i="2"/>
  <c r="AT516" i="2" s="1"/>
  <c r="BK516" i="2"/>
  <c r="BL516" i="2" s="1"/>
  <c r="BQ516" i="2"/>
  <c r="BR516" i="2" s="1"/>
  <c r="BW516" i="2"/>
  <c r="BX516" i="2" s="1"/>
  <c r="EE515" i="2"/>
  <c r="O515" i="2"/>
  <c r="P515" i="2" s="1"/>
  <c r="AS515" i="2"/>
  <c r="AT515" i="2" s="1"/>
  <c r="BK515" i="2"/>
  <c r="BL515" i="2" s="1"/>
  <c r="BQ515" i="2"/>
  <c r="BR515" i="2" s="1"/>
  <c r="BW515" i="2"/>
  <c r="BX515" i="2" s="1"/>
  <c r="O514" i="2"/>
  <c r="P514" i="2" s="1"/>
  <c r="AS514" i="2"/>
  <c r="AT514" i="2" s="1"/>
  <c r="BK514" i="2"/>
  <c r="BL514" i="2" s="1"/>
  <c r="BQ514" i="2"/>
  <c r="BR514" i="2" s="1"/>
  <c r="BW514" i="2"/>
  <c r="BX514" i="2" s="1"/>
  <c r="EE513" i="2"/>
  <c r="O513" i="2"/>
  <c r="P513" i="2" s="1"/>
  <c r="AS513" i="2"/>
  <c r="AT513" i="2" s="1"/>
  <c r="BK513" i="2"/>
  <c r="BL513" i="2" s="1"/>
  <c r="BQ513" i="2"/>
  <c r="BR513" i="2" s="1"/>
  <c r="BW513" i="2"/>
  <c r="BX513" i="2" s="1"/>
  <c r="EE512" i="2"/>
  <c r="O512" i="2"/>
  <c r="P512" i="2" s="1"/>
  <c r="AS512" i="2"/>
  <c r="AT512" i="2" s="1"/>
  <c r="BK512" i="2"/>
  <c r="BL512" i="2" s="1"/>
  <c r="BQ512" i="2"/>
  <c r="BR512" i="2" s="1"/>
  <c r="BW512" i="2"/>
  <c r="BX512" i="2" s="1"/>
  <c r="EE511" i="2"/>
  <c r="O511" i="2"/>
  <c r="P511" i="2" s="1"/>
  <c r="AS511" i="2"/>
  <c r="AT511" i="2" s="1"/>
  <c r="BK511" i="2"/>
  <c r="BL511" i="2" s="1"/>
  <c r="BQ511" i="2"/>
  <c r="BR511" i="2" s="1"/>
  <c r="BW511" i="2"/>
  <c r="BX511" i="2" s="1"/>
  <c r="O510" i="2"/>
  <c r="P510" i="2" s="1"/>
  <c r="AS510" i="2"/>
  <c r="AT510" i="2" s="1"/>
  <c r="BK510" i="2"/>
  <c r="BL510" i="2" s="1"/>
  <c r="BQ510" i="2"/>
  <c r="BR510" i="2" s="1"/>
  <c r="BW510" i="2"/>
  <c r="BX510" i="2" s="1"/>
  <c r="O509" i="2"/>
  <c r="P509" i="2" s="1"/>
  <c r="AS509" i="2"/>
  <c r="AT509" i="2" s="1"/>
  <c r="BK509" i="2"/>
  <c r="BL509" i="2" s="1"/>
  <c r="BQ509" i="2"/>
  <c r="BR509" i="2" s="1"/>
  <c r="BW509" i="2"/>
  <c r="BX509" i="2" s="1"/>
  <c r="EE508" i="2"/>
  <c r="O508" i="2"/>
  <c r="P508" i="2" s="1"/>
  <c r="AS508" i="2"/>
  <c r="AT508" i="2" s="1"/>
  <c r="BK508" i="2"/>
  <c r="BL508" i="2" s="1"/>
  <c r="BQ508" i="2"/>
  <c r="BR508" i="2" s="1"/>
  <c r="BW508" i="2"/>
  <c r="BX508" i="2" s="1"/>
  <c r="EE507" i="2"/>
  <c r="O507" i="2"/>
  <c r="P507" i="2" s="1"/>
  <c r="AS507" i="2"/>
  <c r="AT507" i="2" s="1"/>
  <c r="BK507" i="2"/>
  <c r="BL507" i="2" s="1"/>
  <c r="BQ507" i="2"/>
  <c r="BR507" i="2" s="1"/>
  <c r="BW507" i="2"/>
  <c r="BX507" i="2" s="1"/>
  <c r="O506" i="2"/>
  <c r="P506" i="2" s="1"/>
  <c r="AS506" i="2"/>
  <c r="AT506" i="2" s="1"/>
  <c r="BK506" i="2"/>
  <c r="BL506" i="2" s="1"/>
  <c r="BQ506" i="2"/>
  <c r="BR506" i="2" s="1"/>
  <c r="BW506" i="2"/>
  <c r="BX506" i="2" s="1"/>
  <c r="EE505" i="2"/>
  <c r="O505" i="2"/>
  <c r="P505" i="2" s="1"/>
  <c r="BQ505" i="2"/>
  <c r="BR505" i="2" s="1"/>
  <c r="EE504" i="2"/>
  <c r="O504" i="2"/>
  <c r="P504" i="2" s="1"/>
  <c r="BQ504" i="2"/>
  <c r="BR504" i="2" s="1"/>
  <c r="EE503" i="2"/>
  <c r="O503" i="2"/>
  <c r="P503" i="2" s="1"/>
  <c r="BQ503" i="2"/>
  <c r="BR503" i="2" s="1"/>
  <c r="O502" i="2"/>
  <c r="P502" i="2" s="1"/>
  <c r="BK502" i="2"/>
  <c r="BL502" i="2" s="1"/>
  <c r="BQ502" i="2"/>
  <c r="BR502" i="2" s="1"/>
  <c r="BW502" i="2"/>
  <c r="BX502" i="2" s="1"/>
  <c r="EE501" i="2"/>
  <c r="O501" i="2"/>
  <c r="P501" i="2" s="1"/>
  <c r="BK501" i="2"/>
  <c r="BL501" i="2" s="1"/>
  <c r="BQ501" i="2"/>
  <c r="BR501" i="2" s="1"/>
  <c r="BW501" i="2"/>
  <c r="BX501" i="2" s="1"/>
  <c r="EE500" i="2"/>
  <c r="O500" i="2"/>
  <c r="P500" i="2" s="1"/>
  <c r="BK500" i="2"/>
  <c r="BL500" i="2" s="1"/>
  <c r="BQ500" i="2"/>
  <c r="BR500" i="2" s="1"/>
  <c r="BW500" i="2"/>
  <c r="BX500" i="2" s="1"/>
  <c r="EE499" i="2"/>
  <c r="O499" i="2"/>
  <c r="P499" i="2" s="1"/>
  <c r="BK499" i="2"/>
  <c r="BL499" i="2" s="1"/>
  <c r="BQ499" i="2"/>
  <c r="BR499" i="2" s="1"/>
  <c r="BW499" i="2"/>
  <c r="BX499" i="2" s="1"/>
  <c r="EE498" i="2"/>
  <c r="O498" i="2"/>
  <c r="P498" i="2" s="1"/>
  <c r="BK498" i="2"/>
  <c r="BL498" i="2" s="1"/>
  <c r="BQ498" i="2"/>
  <c r="BR498" i="2" s="1"/>
  <c r="BW498" i="2"/>
  <c r="BX498" i="2" s="1"/>
  <c r="EE497" i="2"/>
  <c r="U497" i="2"/>
  <c r="V497" i="2" s="1"/>
  <c r="BK497" i="2"/>
  <c r="BL497" i="2" s="1"/>
  <c r="BW497" i="2"/>
  <c r="BX497" i="2" s="1"/>
  <c r="EE496" i="2"/>
  <c r="O496" i="2"/>
  <c r="P496" i="2" s="1"/>
  <c r="BK496" i="2"/>
  <c r="BL496" i="2" s="1"/>
  <c r="BQ496" i="2"/>
  <c r="BR496" i="2" s="1"/>
  <c r="BW496" i="2"/>
  <c r="BX496" i="2" s="1"/>
  <c r="EE495" i="2"/>
  <c r="BK495" i="2"/>
  <c r="BL495" i="2" s="1"/>
  <c r="BQ495" i="2"/>
  <c r="BR495" i="2" s="1"/>
  <c r="BW495" i="2"/>
  <c r="BX495" i="2" s="1"/>
  <c r="O494" i="2"/>
  <c r="P494" i="2" s="1"/>
  <c r="U494" i="2"/>
  <c r="V494" i="2" s="1"/>
  <c r="BQ494" i="2"/>
  <c r="BR494" i="2" s="1"/>
  <c r="BK493" i="2"/>
  <c r="BL493" i="2" s="1"/>
  <c r="BW493" i="2"/>
  <c r="BX493" i="2" s="1"/>
  <c r="EE491" i="2"/>
  <c r="O491" i="2"/>
  <c r="P491" i="2" s="1"/>
  <c r="U491" i="2"/>
  <c r="V491" i="2" s="1"/>
  <c r="BK491" i="2"/>
  <c r="BL491" i="2" s="1"/>
  <c r="BQ491" i="2"/>
  <c r="BR491" i="2" s="1"/>
  <c r="BW491" i="2"/>
  <c r="BX491" i="2" s="1"/>
  <c r="EE490" i="2"/>
  <c r="BK490" i="2"/>
  <c r="BL490" i="2" s="1"/>
  <c r="BQ490" i="2"/>
  <c r="BR490" i="2" s="1"/>
  <c r="BW490" i="2"/>
  <c r="BX490" i="2" s="1"/>
  <c r="EE489" i="2"/>
  <c r="O489" i="2"/>
  <c r="P489" i="2" s="1"/>
  <c r="BK489" i="2"/>
  <c r="BL489" i="2" s="1"/>
  <c r="BQ489" i="2"/>
  <c r="BR489" i="2" s="1"/>
  <c r="BW489" i="2"/>
  <c r="BX489" i="2" s="1"/>
  <c r="EE488" i="2"/>
  <c r="O488" i="2"/>
  <c r="P488" i="2" s="1"/>
  <c r="BE488" i="2"/>
  <c r="BF488" i="2" s="1"/>
  <c r="BK488" i="2"/>
  <c r="BL488" i="2" s="1"/>
  <c r="BW488" i="2"/>
  <c r="BX488" i="2" s="1"/>
  <c r="EE487" i="2"/>
  <c r="O487" i="2"/>
  <c r="P487" i="2" s="1"/>
  <c r="BE487" i="2"/>
  <c r="BF487" i="2" s="1"/>
  <c r="BK487" i="2"/>
  <c r="BL487" i="2" s="1"/>
  <c r="BW487" i="2"/>
  <c r="BX487" i="2" s="1"/>
  <c r="EE486" i="2"/>
  <c r="O486" i="2"/>
  <c r="P486" i="2" s="1"/>
  <c r="BE486" i="2"/>
  <c r="BF486" i="2" s="1"/>
  <c r="CI486" i="2"/>
  <c r="CJ486" i="2" s="1"/>
  <c r="BE485" i="2"/>
  <c r="BF485" i="2" s="1"/>
  <c r="CI485" i="2"/>
  <c r="CJ485" i="2" s="1"/>
  <c r="CI484" i="2"/>
  <c r="CJ484" i="2" s="1"/>
  <c r="EE483" i="2"/>
  <c r="O483" i="2"/>
  <c r="P483" i="2" s="1"/>
  <c r="BE483" i="2"/>
  <c r="BF483" i="2" s="1"/>
  <c r="BK483" i="2"/>
  <c r="BL483" i="2" s="1"/>
  <c r="BQ483" i="2"/>
  <c r="BR483" i="2" s="1"/>
  <c r="BW483" i="2"/>
  <c r="BX483" i="2" s="1"/>
  <c r="CI483" i="2"/>
  <c r="CJ483" i="2" s="1"/>
  <c r="O482" i="2"/>
  <c r="P482" i="2" s="1"/>
  <c r="AM482" i="2"/>
  <c r="AN482" i="2" s="1"/>
  <c r="BE482" i="2"/>
  <c r="BF482" i="2" s="1"/>
  <c r="BK482" i="2"/>
  <c r="BL482" i="2" s="1"/>
  <c r="BQ482" i="2"/>
  <c r="BR482" i="2" s="1"/>
  <c r="BW482" i="2"/>
  <c r="BX482" i="2" s="1"/>
  <c r="CI482" i="2"/>
  <c r="CJ482" i="2" s="1"/>
  <c r="O481" i="2"/>
  <c r="P481" i="2" s="1"/>
  <c r="AM481" i="2"/>
  <c r="AN481" i="2" s="1"/>
  <c r="BE481" i="2"/>
  <c r="BF481" i="2" s="1"/>
  <c r="BK481" i="2"/>
  <c r="BL481" i="2" s="1"/>
  <c r="BQ481" i="2"/>
  <c r="BR481" i="2" s="1"/>
  <c r="BW481" i="2"/>
  <c r="BX481" i="2" s="1"/>
  <c r="CI481" i="2"/>
  <c r="CJ481" i="2" s="1"/>
  <c r="EE480" i="2"/>
  <c r="O480" i="2"/>
  <c r="P480" i="2" s="1"/>
  <c r="U480" i="2"/>
  <c r="V480" i="2" s="1"/>
  <c r="AM480" i="2"/>
  <c r="AN480" i="2" s="1"/>
  <c r="BE480" i="2"/>
  <c r="BF480" i="2" s="1"/>
  <c r="BK480" i="2"/>
  <c r="BL480" i="2" s="1"/>
  <c r="BQ480" i="2"/>
  <c r="BR480" i="2" s="1"/>
  <c r="BW480" i="2"/>
  <c r="BX480" i="2" s="1"/>
  <c r="CI480" i="2"/>
  <c r="CJ480" i="2" s="1"/>
  <c r="EE479" i="2"/>
  <c r="O479" i="2"/>
  <c r="P479" i="2" s="1"/>
  <c r="U479" i="2"/>
  <c r="V479" i="2" s="1"/>
  <c r="AM479" i="2"/>
  <c r="AN479" i="2" s="1"/>
  <c r="BE479" i="2"/>
  <c r="BF479" i="2" s="1"/>
  <c r="BK479" i="2"/>
  <c r="BL479" i="2" s="1"/>
  <c r="BQ479" i="2"/>
  <c r="BR479" i="2" s="1"/>
  <c r="BW479" i="2"/>
  <c r="BX479" i="2" s="1"/>
  <c r="CI479" i="2"/>
  <c r="CJ479" i="2" s="1"/>
  <c r="O478" i="2"/>
  <c r="P478" i="2" s="1"/>
  <c r="AM478" i="2"/>
  <c r="AN478" i="2" s="1"/>
  <c r="BK478" i="2"/>
  <c r="BL478" i="2" s="1"/>
  <c r="BW478" i="2"/>
  <c r="BX478" i="2" s="1"/>
  <c r="O477" i="2"/>
  <c r="P477" i="2" s="1"/>
  <c r="BK477" i="2"/>
  <c r="BL477" i="2" s="1"/>
  <c r="BQ477" i="2"/>
  <c r="BR477" i="2" s="1"/>
  <c r="BW477" i="2"/>
  <c r="BX477" i="2" s="1"/>
  <c r="O476" i="2"/>
  <c r="P476" i="2" s="1"/>
  <c r="BK476" i="2"/>
  <c r="BL476" i="2" s="1"/>
  <c r="BQ476" i="2"/>
  <c r="BR476" i="2" s="1"/>
  <c r="BW476" i="2"/>
  <c r="BX476" i="2" s="1"/>
  <c r="EE475" i="2"/>
  <c r="AM475" i="2"/>
  <c r="AN475" i="2" s="1"/>
  <c r="ED475" i="2" s="1"/>
  <c r="EE474" i="2"/>
  <c r="O474" i="2"/>
  <c r="P474" i="2" s="1"/>
  <c r="AM474" i="2"/>
  <c r="AN474" i="2" s="1"/>
  <c r="BK474" i="2"/>
  <c r="BL474" i="2" s="1"/>
  <c r="BQ474" i="2"/>
  <c r="BR474" i="2" s="1"/>
  <c r="BW474" i="2"/>
  <c r="BX474" i="2" s="1"/>
  <c r="EE473" i="2"/>
  <c r="O473" i="2"/>
  <c r="P473" i="2" s="1"/>
  <c r="BK473" i="2"/>
  <c r="BL473" i="2" s="1"/>
  <c r="EE472" i="2"/>
  <c r="BK472" i="2"/>
  <c r="BL472" i="2" s="1"/>
  <c r="BQ472" i="2"/>
  <c r="BR472" i="2" s="1"/>
  <c r="BW472" i="2"/>
  <c r="BX472" i="2" s="1"/>
  <c r="EE471" i="2"/>
  <c r="O471" i="2"/>
  <c r="P471" i="2" s="1"/>
  <c r="BQ471" i="2"/>
  <c r="BR471" i="2" s="1"/>
  <c r="EE470" i="2"/>
  <c r="BK470" i="2"/>
  <c r="BL470" i="2" s="1"/>
  <c r="BW470" i="2"/>
  <c r="BX470" i="2" s="1"/>
  <c r="EE469" i="2"/>
  <c r="O469" i="2"/>
  <c r="P469" i="2" s="1"/>
  <c r="BK469" i="2"/>
  <c r="BL469" i="2" s="1"/>
  <c r="BQ469" i="2"/>
  <c r="BR469" i="2" s="1"/>
  <c r="BW469" i="2"/>
  <c r="BX469" i="2" s="1"/>
  <c r="EE468" i="2"/>
  <c r="O468" i="2"/>
  <c r="P468" i="2" s="1"/>
  <c r="BK468" i="2"/>
  <c r="BL468" i="2" s="1"/>
  <c r="BQ468" i="2"/>
  <c r="BR468" i="2" s="1"/>
  <c r="BW468" i="2"/>
  <c r="BX468" i="2" s="1"/>
  <c r="O467" i="2"/>
  <c r="P467" i="2" s="1"/>
  <c r="BK467" i="2"/>
  <c r="BL467" i="2" s="1"/>
  <c r="BW467" i="2"/>
  <c r="BX467" i="2" s="1"/>
  <c r="EE466" i="2"/>
  <c r="O466" i="2"/>
  <c r="P466" i="2" s="1"/>
  <c r="BK466" i="2"/>
  <c r="BL466" i="2" s="1"/>
  <c r="BW466" i="2"/>
  <c r="BX466" i="2" s="1"/>
  <c r="EE465" i="2"/>
  <c r="U465" i="2"/>
  <c r="V465" i="2" s="1"/>
  <c r="BK465" i="2"/>
  <c r="BL465" i="2" s="1"/>
  <c r="BQ465" i="2"/>
  <c r="BR465" i="2" s="1"/>
  <c r="BW465" i="2"/>
  <c r="BX465" i="2" s="1"/>
  <c r="EE464" i="2"/>
  <c r="O464" i="2"/>
  <c r="P464" i="2" s="1"/>
  <c r="BK464" i="2"/>
  <c r="BL464" i="2" s="1"/>
  <c r="BQ464" i="2"/>
  <c r="BR464" i="2" s="1"/>
  <c r="BW464" i="2"/>
  <c r="BX464" i="2" s="1"/>
  <c r="EE463" i="2"/>
  <c r="BE463" i="2"/>
  <c r="BF463" i="2" s="1"/>
  <c r="BK463" i="2"/>
  <c r="BL463" i="2" s="1"/>
  <c r="BW463" i="2"/>
  <c r="BX463" i="2" s="1"/>
  <c r="EE462" i="2"/>
  <c r="BE462" i="2"/>
  <c r="BF462" i="2" s="1"/>
  <c r="BK462" i="2"/>
  <c r="BL462" i="2" s="1"/>
  <c r="BW462" i="2"/>
  <c r="BX462" i="2" s="1"/>
  <c r="EE461" i="2"/>
  <c r="BE461" i="2"/>
  <c r="BF461" i="2" s="1"/>
  <c r="BK461" i="2"/>
  <c r="BL461" i="2" s="1"/>
  <c r="BW461" i="2"/>
  <c r="BX461" i="2" s="1"/>
  <c r="EE460" i="2"/>
  <c r="BE460" i="2"/>
  <c r="BF460" i="2" s="1"/>
  <c r="BK460" i="2"/>
  <c r="BL460" i="2" s="1"/>
  <c r="BW460" i="2"/>
  <c r="BX460" i="2" s="1"/>
  <c r="EE459" i="2"/>
  <c r="BK459" i="2"/>
  <c r="BL459" i="2" s="1"/>
  <c r="BW459" i="2"/>
  <c r="BX459" i="2" s="1"/>
  <c r="EE458" i="2"/>
  <c r="O458" i="2"/>
  <c r="P458" i="2" s="1"/>
  <c r="BK458" i="2"/>
  <c r="BL458" i="2" s="1"/>
  <c r="BW458" i="2"/>
  <c r="BX458" i="2" s="1"/>
  <c r="EE457" i="2"/>
  <c r="BK457" i="2"/>
  <c r="BL457" i="2" s="1"/>
  <c r="BW457" i="2"/>
  <c r="BX457" i="2" s="1"/>
  <c r="AA456" i="2"/>
  <c r="AB456" i="2" s="1"/>
  <c r="AY456" i="2"/>
  <c r="AZ456" i="2" s="1"/>
  <c r="BQ456" i="2"/>
  <c r="BR456" i="2" s="1"/>
  <c r="BW456" i="2"/>
  <c r="BX456" i="2" s="1"/>
  <c r="O455" i="2"/>
  <c r="P455" i="2" s="1"/>
  <c r="AA455" i="2"/>
  <c r="AB455" i="2" s="1"/>
  <c r="BK455" i="2"/>
  <c r="BL455" i="2" s="1"/>
  <c r="BQ455" i="2"/>
  <c r="BR455" i="2" s="1"/>
  <c r="BW455" i="2"/>
  <c r="BX455" i="2" s="1"/>
  <c r="BK454" i="2"/>
  <c r="BL454" i="2" s="1"/>
  <c r="BQ454" i="2"/>
  <c r="BR454" i="2" s="1"/>
  <c r="BQ453" i="2"/>
  <c r="BR453" i="2" s="1"/>
  <c r="BW453" i="2"/>
  <c r="BX453" i="2" s="1"/>
  <c r="O452" i="2"/>
  <c r="P452" i="2" s="1"/>
  <c r="BK452" i="2"/>
  <c r="BL452" i="2" s="1"/>
  <c r="BQ452" i="2"/>
  <c r="BR452" i="2" s="1"/>
  <c r="BW452" i="2"/>
  <c r="BX452" i="2" s="1"/>
  <c r="O451" i="2"/>
  <c r="P451" i="2" s="1"/>
  <c r="BQ451" i="2"/>
  <c r="BR451" i="2" s="1"/>
  <c r="BW451" i="2"/>
  <c r="BX451" i="2" s="1"/>
  <c r="U450" i="2"/>
  <c r="V450" i="2" s="1"/>
  <c r="BK450" i="2"/>
  <c r="BL450" i="2" s="1"/>
  <c r="BQ450" i="2"/>
  <c r="BR450" i="2" s="1"/>
  <c r="BW450" i="2"/>
  <c r="BX450" i="2" s="1"/>
  <c r="EE449" i="2"/>
  <c r="BK449" i="2"/>
  <c r="BL449" i="2" s="1"/>
  <c r="BQ449" i="2"/>
  <c r="BR449" i="2" s="1"/>
  <c r="BW449" i="2"/>
  <c r="BX449" i="2" s="1"/>
  <c r="O448" i="2"/>
  <c r="P448" i="2" s="1"/>
  <c r="AA448" i="2"/>
  <c r="AB448" i="2" s="1"/>
  <c r="EE446" i="2"/>
  <c r="O446" i="2"/>
  <c r="P446" i="2" s="1"/>
  <c r="BK446" i="2"/>
  <c r="BL446" i="2" s="1"/>
  <c r="BW446" i="2"/>
  <c r="BX446" i="2" s="1"/>
  <c r="EE445" i="2"/>
  <c r="O445" i="2"/>
  <c r="P445" i="2" s="1"/>
  <c r="BK445" i="2"/>
  <c r="BL445" i="2" s="1"/>
  <c r="BW445" i="2"/>
  <c r="BX445" i="2" s="1"/>
  <c r="BE444" i="2"/>
  <c r="BF444" i="2" s="1"/>
  <c r="BK444" i="2"/>
  <c r="BL444" i="2" s="1"/>
  <c r="BW444" i="2"/>
  <c r="BX444" i="2" s="1"/>
  <c r="EE443" i="2"/>
  <c r="BE443" i="2"/>
  <c r="BF443" i="2" s="1"/>
  <c r="BK443" i="2"/>
  <c r="BL443" i="2" s="1"/>
  <c r="BW443" i="2"/>
  <c r="BX443" i="2" s="1"/>
  <c r="EE442" i="2"/>
  <c r="BK442" i="2"/>
  <c r="BL442" i="2" s="1"/>
  <c r="BW442" i="2"/>
  <c r="BX442" i="2" s="1"/>
  <c r="EE441" i="2"/>
  <c r="BE441" i="2"/>
  <c r="BF441" i="2" s="1"/>
  <c r="BK441" i="2"/>
  <c r="BL441" i="2" s="1"/>
  <c r="BW441" i="2"/>
  <c r="BX441" i="2" s="1"/>
  <c r="AA440" i="2"/>
  <c r="AB440" i="2" s="1"/>
  <c r="BE440" i="2"/>
  <c r="BF440" i="2" s="1"/>
  <c r="BK440" i="2"/>
  <c r="BL440" i="2" s="1"/>
  <c r="BW440" i="2"/>
  <c r="BX440" i="2" s="1"/>
  <c r="BE439" i="2"/>
  <c r="BF439" i="2" s="1"/>
  <c r="BK439" i="2"/>
  <c r="BL439" i="2" s="1"/>
  <c r="BW439" i="2"/>
  <c r="BX439" i="2" s="1"/>
  <c r="EE438" i="2"/>
  <c r="BK438" i="2"/>
  <c r="BL438" i="2" s="1"/>
  <c r="BW438" i="2"/>
  <c r="BX438" i="2" s="1"/>
  <c r="EE437" i="2"/>
  <c r="BK437" i="2"/>
  <c r="BL437" i="2" s="1"/>
  <c r="BW437" i="2"/>
  <c r="BX437" i="2" s="1"/>
  <c r="EE436" i="2"/>
  <c r="BK436" i="2"/>
  <c r="BL436" i="2" s="1"/>
  <c r="BW436" i="2"/>
  <c r="BX436" i="2" s="1"/>
  <c r="EE435" i="2"/>
  <c r="BK435" i="2"/>
  <c r="BL435" i="2" s="1"/>
  <c r="BW435" i="2"/>
  <c r="BX435" i="2" s="1"/>
  <c r="EE434" i="2"/>
  <c r="BK434" i="2"/>
  <c r="BL434" i="2" s="1"/>
  <c r="BW434" i="2"/>
  <c r="BX434" i="2" s="1"/>
  <c r="EE433" i="2"/>
  <c r="BK433" i="2"/>
  <c r="BL433" i="2" s="1"/>
  <c r="BW433" i="2"/>
  <c r="BX433" i="2" s="1"/>
  <c r="EE432" i="2"/>
  <c r="AA432" i="2"/>
  <c r="AB432" i="2" s="1"/>
  <c r="BE432" i="2"/>
  <c r="BF432" i="2" s="1"/>
  <c r="BK432" i="2"/>
  <c r="BL432" i="2" s="1"/>
  <c r="BW432" i="2"/>
  <c r="BX432" i="2" s="1"/>
  <c r="CI432" i="2"/>
  <c r="CJ432" i="2" s="1"/>
  <c r="EE431" i="2"/>
  <c r="AA431" i="2"/>
  <c r="AB431" i="2" s="1"/>
  <c r="BE431" i="2"/>
  <c r="BF431" i="2" s="1"/>
  <c r="BK431" i="2"/>
  <c r="BL431" i="2" s="1"/>
  <c r="BW431" i="2"/>
  <c r="BX431" i="2" s="1"/>
  <c r="CI431" i="2"/>
  <c r="CJ431" i="2" s="1"/>
  <c r="EE430" i="2"/>
  <c r="AA430" i="2"/>
  <c r="AB430" i="2" s="1"/>
  <c r="BE430" i="2"/>
  <c r="BF430" i="2" s="1"/>
  <c r="BK430" i="2"/>
  <c r="BL430" i="2" s="1"/>
  <c r="BW430" i="2"/>
  <c r="BX430" i="2" s="1"/>
  <c r="CI430" i="2"/>
  <c r="CJ430" i="2" s="1"/>
  <c r="EE429" i="2"/>
  <c r="BE429" i="2"/>
  <c r="BF429" i="2" s="1"/>
  <c r="BK429" i="2"/>
  <c r="BL429" i="2" s="1"/>
  <c r="BW429" i="2"/>
  <c r="BX429" i="2" s="1"/>
  <c r="AA428" i="2"/>
  <c r="AB428" i="2" s="1"/>
  <c r="BE428" i="2"/>
  <c r="BF428" i="2" s="1"/>
  <c r="BK428" i="2"/>
  <c r="BL428" i="2" s="1"/>
  <c r="BW428" i="2"/>
  <c r="BX428" i="2" s="1"/>
  <c r="CI428" i="2"/>
  <c r="CJ428" i="2" s="1"/>
  <c r="AA427" i="2"/>
  <c r="AB427" i="2" s="1"/>
  <c r="BE427" i="2"/>
  <c r="BF427" i="2" s="1"/>
  <c r="BK427" i="2"/>
  <c r="BL427" i="2" s="1"/>
  <c r="BW427" i="2"/>
  <c r="BX427" i="2" s="1"/>
  <c r="CI427" i="2"/>
  <c r="CJ427" i="2" s="1"/>
  <c r="EE426" i="2"/>
  <c r="AA426" i="2"/>
  <c r="AB426" i="2" s="1"/>
  <c r="BE426" i="2"/>
  <c r="BF426" i="2" s="1"/>
  <c r="BK426" i="2"/>
  <c r="BL426" i="2" s="1"/>
  <c r="BW426" i="2"/>
  <c r="BX426" i="2" s="1"/>
  <c r="CI426" i="2"/>
  <c r="CJ426" i="2" s="1"/>
  <c r="EE425" i="2"/>
  <c r="AA425" i="2"/>
  <c r="AB425" i="2" s="1"/>
  <c r="BE425" i="2"/>
  <c r="BF425" i="2" s="1"/>
  <c r="BK425" i="2"/>
  <c r="BL425" i="2" s="1"/>
  <c r="BW425" i="2"/>
  <c r="BX425" i="2" s="1"/>
  <c r="CI425" i="2"/>
  <c r="CJ425" i="2" s="1"/>
  <c r="EE424" i="2"/>
  <c r="AA424" i="2"/>
  <c r="AB424" i="2" s="1"/>
  <c r="BE424" i="2"/>
  <c r="BF424" i="2" s="1"/>
  <c r="BK424" i="2"/>
  <c r="BL424" i="2" s="1"/>
  <c r="BW424" i="2"/>
  <c r="BX424" i="2" s="1"/>
  <c r="CI424" i="2"/>
  <c r="CJ424" i="2" s="1"/>
  <c r="EE423" i="2"/>
  <c r="O423" i="2"/>
  <c r="P423" i="2" s="1"/>
  <c r="AA423" i="2"/>
  <c r="AB423" i="2" s="1"/>
  <c r="BE423" i="2"/>
  <c r="BF423" i="2" s="1"/>
  <c r="BK423" i="2"/>
  <c r="BL423" i="2" s="1"/>
  <c r="BW423" i="2"/>
  <c r="BX423" i="2" s="1"/>
  <c r="CI423" i="2"/>
  <c r="CJ423" i="2" s="1"/>
  <c r="EE422" i="2"/>
  <c r="AA422" i="2"/>
  <c r="AB422" i="2" s="1"/>
  <c r="BE422" i="2"/>
  <c r="BF422" i="2" s="1"/>
  <c r="BK422" i="2"/>
  <c r="BL422" i="2" s="1"/>
  <c r="BW422" i="2"/>
  <c r="BX422" i="2" s="1"/>
  <c r="CI422" i="2"/>
  <c r="CJ422" i="2" s="1"/>
  <c r="EE421" i="2"/>
  <c r="O421" i="2"/>
  <c r="P421" i="2" s="1"/>
  <c r="AA421" i="2"/>
  <c r="AB421" i="2" s="1"/>
  <c r="BE421" i="2"/>
  <c r="BF421" i="2" s="1"/>
  <c r="BK421" i="2"/>
  <c r="BL421" i="2" s="1"/>
  <c r="BW421" i="2"/>
  <c r="BX421" i="2" s="1"/>
  <c r="CI421" i="2"/>
  <c r="CJ421" i="2" s="1"/>
  <c r="EE420" i="2"/>
  <c r="BK420" i="2"/>
  <c r="BL420" i="2" s="1"/>
  <c r="BW420" i="2"/>
  <c r="BX420" i="2" s="1"/>
  <c r="O419" i="2"/>
  <c r="P419" i="2" s="1"/>
  <c r="U419" i="2"/>
  <c r="V419" i="2" s="1"/>
  <c r="BK419" i="2"/>
  <c r="BL419" i="2" s="1"/>
  <c r="BQ419" i="2"/>
  <c r="BR419" i="2" s="1"/>
  <c r="BW419" i="2"/>
  <c r="BX419" i="2" s="1"/>
  <c r="O418" i="2"/>
  <c r="P418" i="2" s="1"/>
  <c r="BK418" i="2"/>
  <c r="BL418" i="2" s="1"/>
  <c r="BQ418" i="2"/>
  <c r="BR418" i="2" s="1"/>
  <c r="BW418" i="2"/>
  <c r="BX418" i="2" s="1"/>
  <c r="CI418" i="2"/>
  <c r="CJ418" i="2" s="1"/>
  <c r="O417" i="2"/>
  <c r="P417" i="2" s="1"/>
  <c r="U417" i="2"/>
  <c r="V417" i="2" s="1"/>
  <c r="BQ417" i="2"/>
  <c r="BR417" i="2" s="1"/>
  <c r="CI417" i="2"/>
  <c r="CJ417" i="2" s="1"/>
  <c r="EE416" i="2"/>
  <c r="O416" i="2"/>
  <c r="P416" i="2" s="1"/>
  <c r="BK416" i="2"/>
  <c r="BL416" i="2" s="1"/>
  <c r="BQ416" i="2"/>
  <c r="BR416" i="2" s="1"/>
  <c r="BW416" i="2"/>
  <c r="BX416" i="2" s="1"/>
  <c r="CC416" i="2"/>
  <c r="CD416" i="2" s="1"/>
  <c r="EE415" i="2"/>
  <c r="CC415" i="2"/>
  <c r="CD415" i="2" s="1"/>
  <c r="ED415" i="2" s="1"/>
  <c r="EE414" i="2"/>
  <c r="BK414" i="2"/>
  <c r="BL414" i="2" s="1"/>
  <c r="BW414" i="2"/>
  <c r="BX414" i="2" s="1"/>
  <c r="CI414" i="2"/>
  <c r="CJ414" i="2" s="1"/>
  <c r="O413" i="2"/>
  <c r="P413" i="2" s="1"/>
  <c r="BK413" i="2"/>
  <c r="BL413" i="2" s="1"/>
  <c r="BQ413" i="2"/>
  <c r="BR413" i="2" s="1"/>
  <c r="CC413" i="2"/>
  <c r="CD413" i="2" s="1"/>
  <c r="CI413" i="2"/>
  <c r="CJ413" i="2" s="1"/>
  <c r="EE412" i="2"/>
  <c r="O412" i="2"/>
  <c r="P412" i="2" s="1"/>
  <c r="U412" i="2"/>
  <c r="V412" i="2" s="1"/>
  <c r="BQ412" i="2"/>
  <c r="BR412" i="2" s="1"/>
  <c r="EE411" i="2"/>
  <c r="ED411" i="2"/>
  <c r="EE410" i="2"/>
  <c r="BQ410" i="2"/>
  <c r="BR410" i="2" s="1"/>
  <c r="ED410" i="2" s="1"/>
  <c r="EE408" i="2"/>
  <c r="O408" i="2"/>
  <c r="P408" i="2" s="1"/>
  <c r="BQ408" i="2"/>
  <c r="BR408" i="2" s="1"/>
  <c r="EE407" i="2"/>
  <c r="O407" i="2"/>
  <c r="P407" i="2" s="1"/>
  <c r="BQ407" i="2"/>
  <c r="BR407" i="2" s="1"/>
  <c r="EE406" i="2"/>
  <c r="O406" i="2"/>
  <c r="P406" i="2" s="1"/>
  <c r="BQ406" i="2"/>
  <c r="BR406" i="2" s="1"/>
  <c r="EE405" i="2"/>
  <c r="O405" i="2"/>
  <c r="P405" i="2" s="1"/>
  <c r="AS405" i="2"/>
  <c r="AT405" i="2" s="1"/>
  <c r="EE404" i="2"/>
  <c r="O404" i="2"/>
  <c r="P404" i="2" s="1"/>
  <c r="AS404" i="2"/>
  <c r="AT404" i="2" s="1"/>
  <c r="BK403" i="2"/>
  <c r="BL403" i="2" s="1"/>
  <c r="BQ403" i="2"/>
  <c r="BR403" i="2" s="1"/>
  <c r="BW403" i="2"/>
  <c r="BX403" i="2" s="1"/>
  <c r="O402" i="2"/>
  <c r="P402" i="2" s="1"/>
  <c r="AS402" i="2"/>
  <c r="AT402" i="2" s="1"/>
  <c r="BK402" i="2"/>
  <c r="BL402" i="2" s="1"/>
  <c r="BQ402" i="2"/>
  <c r="BR402" i="2" s="1"/>
  <c r="BW402" i="2"/>
  <c r="BX402" i="2" s="1"/>
  <c r="EE401" i="2"/>
  <c r="O401" i="2"/>
  <c r="P401" i="2" s="1"/>
  <c r="AS401" i="2"/>
  <c r="AT401" i="2" s="1"/>
  <c r="BK401" i="2"/>
  <c r="BL401" i="2" s="1"/>
  <c r="BQ401" i="2"/>
  <c r="BR401" i="2" s="1"/>
  <c r="BW401" i="2"/>
  <c r="BX401" i="2" s="1"/>
  <c r="EE400" i="2"/>
  <c r="ED400" i="2"/>
  <c r="EE399" i="2"/>
  <c r="BQ399" i="2"/>
  <c r="BR399" i="2" s="1"/>
  <c r="ED399" i="2" s="1"/>
  <c r="EE398" i="2"/>
  <c r="BK398" i="2"/>
  <c r="BL398" i="2" s="1"/>
  <c r="EE397" i="2"/>
  <c r="AY397" i="2"/>
  <c r="AZ397" i="2" s="1"/>
  <c r="BK397" i="2"/>
  <c r="BL397" i="2" s="1"/>
  <c r="BW397" i="2"/>
  <c r="BX397" i="2" s="1"/>
  <c r="EE396" i="2"/>
  <c r="O396" i="2"/>
  <c r="P396" i="2" s="1"/>
  <c r="ED396" i="2" s="1"/>
  <c r="EE395" i="2"/>
  <c r="O395" i="2"/>
  <c r="P395" i="2" s="1"/>
  <c r="AS395" i="2"/>
  <c r="AT395" i="2" s="1"/>
  <c r="BK395" i="2"/>
  <c r="BL395" i="2" s="1"/>
  <c r="BW395" i="2"/>
  <c r="BX395" i="2" s="1"/>
  <c r="EE393" i="2"/>
  <c r="O393" i="2"/>
  <c r="P393" i="2" s="1"/>
  <c r="AS393" i="2"/>
  <c r="AT393" i="2" s="1"/>
  <c r="BQ393" i="2"/>
  <c r="BR393" i="2" s="1"/>
  <c r="EE392" i="2"/>
  <c r="O392" i="2"/>
  <c r="P392" i="2" s="1"/>
  <c r="AS392" i="2"/>
  <c r="AT392" i="2" s="1"/>
  <c r="BK392" i="2"/>
  <c r="BL392" i="2" s="1"/>
  <c r="BQ392" i="2"/>
  <c r="BR392" i="2" s="1"/>
  <c r="BW392" i="2"/>
  <c r="BX392" i="2" s="1"/>
  <c r="EE391" i="2"/>
  <c r="O391" i="2"/>
  <c r="P391" i="2" s="1"/>
  <c r="AS391" i="2"/>
  <c r="AT391" i="2" s="1"/>
  <c r="BK391" i="2"/>
  <c r="BL391" i="2" s="1"/>
  <c r="BQ391" i="2"/>
  <c r="BR391" i="2" s="1"/>
  <c r="BW391" i="2"/>
  <c r="BX391" i="2" s="1"/>
  <c r="EE390" i="2"/>
  <c r="BQ390" i="2"/>
  <c r="BR390" i="2" s="1"/>
  <c r="ED390" i="2" s="1"/>
  <c r="O389" i="2"/>
  <c r="P389" i="2" s="1"/>
  <c r="BK389" i="2"/>
  <c r="BL389" i="2" s="1"/>
  <c r="BQ389" i="2"/>
  <c r="BR389" i="2" s="1"/>
  <c r="BW389" i="2"/>
  <c r="BX389" i="2" s="1"/>
  <c r="EE388" i="2"/>
  <c r="O388" i="2"/>
  <c r="P388" i="2" s="1"/>
  <c r="ED388" i="2" s="1"/>
  <c r="EE387" i="2"/>
  <c r="O387" i="2"/>
  <c r="P387" i="2" s="1"/>
  <c r="BK387" i="2"/>
  <c r="BL387" i="2" s="1"/>
  <c r="BW387" i="2"/>
  <c r="BX387" i="2" s="1"/>
  <c r="EE386" i="2"/>
  <c r="O386" i="2"/>
  <c r="P386" i="2" s="1"/>
  <c r="BQ386" i="2"/>
  <c r="BR386" i="2" s="1"/>
  <c r="EE385" i="2"/>
  <c r="O385" i="2"/>
  <c r="P385" i="2" s="1"/>
  <c r="BQ385" i="2"/>
  <c r="BR385" i="2" s="1"/>
  <c r="O384" i="2"/>
  <c r="P384" i="2" s="1"/>
  <c r="U384" i="2"/>
  <c r="V384" i="2" s="1"/>
  <c r="BQ384" i="2"/>
  <c r="BR384" i="2" s="1"/>
  <c r="EE383" i="2"/>
  <c r="O383" i="2"/>
  <c r="P383" i="2" s="1"/>
  <c r="BQ383" i="2"/>
  <c r="BR383" i="2" s="1"/>
  <c r="EE382" i="2"/>
  <c r="ED382" i="2"/>
  <c r="EE381" i="2"/>
  <c r="ED381" i="2"/>
  <c r="EE380" i="2"/>
  <c r="O380" i="2"/>
  <c r="P380" i="2" s="1"/>
  <c r="BQ380" i="2"/>
  <c r="BR380" i="2" s="1"/>
  <c r="O379" i="2"/>
  <c r="P379" i="2" s="1"/>
  <c r="U379" i="2"/>
  <c r="V379" i="2" s="1"/>
  <c r="EE378" i="2"/>
  <c r="BQ378" i="2"/>
  <c r="BR378" i="2" s="1"/>
  <c r="ED378" i="2" s="1"/>
  <c r="EE377" i="2"/>
  <c r="O377" i="2"/>
  <c r="P377" i="2" s="1"/>
  <c r="AS377" i="2"/>
  <c r="AT377" i="2" s="1"/>
  <c r="EE376" i="2"/>
  <c r="O376" i="2"/>
  <c r="P376" i="2" s="1"/>
  <c r="AS376" i="2"/>
  <c r="AT376" i="2" s="1"/>
  <c r="EE375" i="2"/>
  <c r="O375" i="2"/>
  <c r="P375" i="2" s="1"/>
  <c r="AS375" i="2"/>
  <c r="AT375" i="2" s="1"/>
  <c r="EE374" i="2"/>
  <c r="O374" i="2"/>
  <c r="P374" i="2" s="1"/>
  <c r="AS374" i="2"/>
  <c r="AT374" i="2" s="1"/>
  <c r="EE373" i="2"/>
  <c r="O373" i="2"/>
  <c r="P373" i="2" s="1"/>
  <c r="AS373" i="2"/>
  <c r="AT373" i="2" s="1"/>
  <c r="EE372" i="2"/>
  <c r="AS372" i="2"/>
  <c r="AT372" i="2" s="1"/>
  <c r="BQ372" i="2"/>
  <c r="BR372" i="2" s="1"/>
  <c r="EE371" i="2"/>
  <c r="ED371" i="2"/>
  <c r="EE370" i="2"/>
  <c r="ED370" i="2"/>
  <c r="EE369" i="2"/>
  <c r="BQ369" i="2"/>
  <c r="BR369" i="2" s="1"/>
  <c r="ED369" i="2" s="1"/>
  <c r="EE368" i="2"/>
  <c r="BQ368" i="2"/>
  <c r="BR368" i="2" s="1"/>
  <c r="ED368" i="2" s="1"/>
  <c r="EE367" i="2"/>
  <c r="BQ367" i="2"/>
  <c r="BR367" i="2" s="1"/>
  <c r="ED367" i="2" s="1"/>
  <c r="EE366" i="2"/>
  <c r="BQ366" i="2"/>
  <c r="BR366" i="2" s="1"/>
  <c r="ED366" i="2" s="1"/>
  <c r="EE365" i="2"/>
  <c r="O365" i="2"/>
  <c r="P365" i="2" s="1"/>
  <c r="BK365" i="2"/>
  <c r="BL365" i="2" s="1"/>
  <c r="BQ365" i="2"/>
  <c r="BR365" i="2" s="1"/>
  <c r="BW365" i="2"/>
  <c r="BX365" i="2" s="1"/>
  <c r="EE364" i="2"/>
  <c r="O364" i="2"/>
  <c r="P364" i="2" s="1"/>
  <c r="BK364" i="2"/>
  <c r="BL364" i="2" s="1"/>
  <c r="BQ364" i="2"/>
  <c r="BR364" i="2" s="1"/>
  <c r="BW364" i="2"/>
  <c r="BX364" i="2" s="1"/>
  <c r="O363" i="2"/>
  <c r="P363" i="2" s="1"/>
  <c r="BK363" i="2"/>
  <c r="BL363" i="2" s="1"/>
  <c r="BQ363" i="2"/>
  <c r="BR363" i="2" s="1"/>
  <c r="BW363" i="2"/>
  <c r="BX363" i="2" s="1"/>
  <c r="O362" i="2"/>
  <c r="P362" i="2" s="1"/>
  <c r="BQ362" i="2"/>
  <c r="BR362" i="2" s="1"/>
  <c r="EE361" i="2"/>
  <c r="O361" i="2"/>
  <c r="P361" i="2" s="1"/>
  <c r="BK361" i="2"/>
  <c r="BL361" i="2" s="1"/>
  <c r="BQ361" i="2"/>
  <c r="BR361" i="2" s="1"/>
  <c r="BW361" i="2"/>
  <c r="BX361" i="2" s="1"/>
  <c r="EE360" i="2"/>
  <c r="O360" i="2"/>
  <c r="P360" i="2" s="1"/>
  <c r="BK360" i="2"/>
  <c r="BL360" i="2" s="1"/>
  <c r="BQ360" i="2"/>
  <c r="BR360" i="2" s="1"/>
  <c r="BW360" i="2"/>
  <c r="BX360" i="2" s="1"/>
  <c r="CC360" i="2"/>
  <c r="CD360" i="2" s="1"/>
  <c r="EE359" i="2"/>
  <c r="O359" i="2"/>
  <c r="P359" i="2" s="1"/>
  <c r="BQ359" i="2"/>
  <c r="BR359" i="2" s="1"/>
  <c r="EE358" i="2"/>
  <c r="ED358" i="2"/>
  <c r="O357" i="2"/>
  <c r="P357" i="2" s="1"/>
  <c r="BQ357" i="2"/>
  <c r="BR357" i="2" s="1"/>
  <c r="EE356" i="2"/>
  <c r="O356" i="2"/>
  <c r="P356" i="2" s="1"/>
  <c r="BQ356" i="2"/>
  <c r="BR356" i="2" s="1"/>
  <c r="EE355" i="2"/>
  <c r="O355" i="2"/>
  <c r="P355" i="2" s="1"/>
  <c r="BQ355" i="2"/>
  <c r="BR355" i="2" s="1"/>
  <c r="EE354" i="2"/>
  <c r="BQ354" i="2"/>
  <c r="BR354" i="2" s="1"/>
  <c r="ED354" i="2" s="1"/>
  <c r="EE353" i="2"/>
  <c r="CC353" i="2"/>
  <c r="CD353" i="2" s="1"/>
  <c r="ED353" i="2" s="1"/>
  <c r="EE352" i="2"/>
  <c r="ED352" i="2"/>
  <c r="EE351" i="2"/>
  <c r="ED351" i="2"/>
  <c r="O350" i="2"/>
  <c r="P350" i="2" s="1"/>
  <c r="EE349" i="2"/>
  <c r="O349" i="2"/>
  <c r="P349" i="2" s="1"/>
  <c r="ED349" i="2" s="1"/>
  <c r="EE347" i="2"/>
  <c r="ED347" i="2"/>
  <c r="EE346" i="2"/>
  <c r="O346" i="2"/>
  <c r="P346" i="2" s="1"/>
  <c r="BK346" i="2"/>
  <c r="BL346" i="2" s="1"/>
  <c r="BW346" i="2"/>
  <c r="BX346" i="2" s="1"/>
  <c r="EE345" i="2"/>
  <c r="O345" i="2"/>
  <c r="P345" i="2" s="1"/>
  <c r="BK345" i="2"/>
  <c r="BL345" i="2" s="1"/>
  <c r="BW345" i="2"/>
  <c r="BX345" i="2" s="1"/>
  <c r="EE344" i="2"/>
  <c r="O344" i="2"/>
  <c r="P344" i="2" s="1"/>
  <c r="BK344" i="2"/>
  <c r="BL344" i="2" s="1"/>
  <c r="BW344" i="2"/>
  <c r="BX344" i="2" s="1"/>
  <c r="EE341" i="2"/>
  <c r="O341" i="2"/>
  <c r="P341" i="2" s="1"/>
  <c r="BK341" i="2"/>
  <c r="BL341" i="2" s="1"/>
  <c r="BQ341" i="2"/>
  <c r="BR341" i="2" s="1"/>
  <c r="BW341" i="2"/>
  <c r="BX341" i="2" s="1"/>
  <c r="EE340" i="2"/>
  <c r="O340" i="2"/>
  <c r="P340" i="2" s="1"/>
  <c r="BK340" i="2"/>
  <c r="BL340" i="2" s="1"/>
  <c r="BQ340" i="2"/>
  <c r="BR340" i="2" s="1"/>
  <c r="BW340" i="2"/>
  <c r="BX340" i="2" s="1"/>
  <c r="EE339" i="2"/>
  <c r="O339" i="2"/>
  <c r="P339" i="2" s="1"/>
  <c r="ED339" i="2" s="1"/>
  <c r="EE338" i="2"/>
  <c r="O338" i="2"/>
  <c r="P338" i="2" s="1"/>
  <c r="ED338" i="2" s="1"/>
  <c r="EE337" i="2"/>
  <c r="O337" i="2"/>
  <c r="P337" i="2" s="1"/>
  <c r="ED337" i="2" s="1"/>
  <c r="O336" i="2"/>
  <c r="P336" i="2" s="1"/>
  <c r="BK336" i="2"/>
  <c r="BL336" i="2" s="1"/>
  <c r="O335" i="2"/>
  <c r="P335" i="2" s="1"/>
  <c r="BK335" i="2"/>
  <c r="BL335" i="2" s="1"/>
  <c r="EE334" i="2"/>
  <c r="O334" i="2"/>
  <c r="P334" i="2" s="1"/>
  <c r="BK334" i="2"/>
  <c r="BL334" i="2" s="1"/>
  <c r="EE333" i="2"/>
  <c r="O333" i="2"/>
  <c r="P333" i="2" s="1"/>
  <c r="BK333" i="2"/>
  <c r="BL333" i="2" s="1"/>
  <c r="BW333" i="2"/>
  <c r="BX333" i="2" s="1"/>
  <c r="EE332" i="2"/>
  <c r="O332" i="2"/>
  <c r="P332" i="2" s="1"/>
  <c r="BK332" i="2"/>
  <c r="BL332" i="2" s="1"/>
  <c r="BW332" i="2"/>
  <c r="BX332" i="2" s="1"/>
  <c r="EE331" i="2"/>
  <c r="ED331" i="2"/>
  <c r="EE330" i="2"/>
  <c r="BK330" i="2"/>
  <c r="BL330" i="2" s="1"/>
  <c r="BQ330" i="2"/>
  <c r="BR330" i="2" s="1"/>
  <c r="BW330" i="2"/>
  <c r="BX330" i="2" s="1"/>
  <c r="EE329" i="2"/>
  <c r="ED329" i="2"/>
  <c r="EE328" i="2"/>
  <c r="BK328" i="2"/>
  <c r="BL328" i="2" s="1"/>
  <c r="BW328" i="2"/>
  <c r="BX328" i="2" s="1"/>
  <c r="EE327" i="2"/>
  <c r="O327" i="2"/>
  <c r="P327" i="2" s="1"/>
  <c r="BQ327" i="2"/>
  <c r="BR327" i="2" s="1"/>
  <c r="EE326" i="2"/>
  <c r="O326" i="2"/>
  <c r="P326" i="2" s="1"/>
  <c r="BQ326" i="2"/>
  <c r="BR326" i="2" s="1"/>
  <c r="EE325" i="2"/>
  <c r="O325" i="2"/>
  <c r="P325" i="2" s="1"/>
  <c r="AA325" i="2"/>
  <c r="AB325" i="2" s="1"/>
  <c r="BK325" i="2"/>
  <c r="BL325" i="2" s="1"/>
  <c r="BQ325" i="2"/>
  <c r="BR325" i="2" s="1"/>
  <c r="BW325" i="2"/>
  <c r="BX325" i="2" s="1"/>
  <c r="EE324" i="2"/>
  <c r="O324" i="2"/>
  <c r="P324" i="2" s="1"/>
  <c r="BK324" i="2"/>
  <c r="BL324" i="2" s="1"/>
  <c r="BQ324" i="2"/>
  <c r="BR324" i="2" s="1"/>
  <c r="BW324" i="2"/>
  <c r="BX324" i="2" s="1"/>
  <c r="O323" i="2"/>
  <c r="P323" i="2" s="1"/>
  <c r="AA323" i="2"/>
  <c r="AB323" i="2" s="1"/>
  <c r="O322" i="2"/>
  <c r="P322" i="2" s="1"/>
  <c r="U322" i="2"/>
  <c r="V322" i="2" s="1"/>
  <c r="AA322" i="2"/>
  <c r="AB322" i="2" s="1"/>
  <c r="BK322" i="2"/>
  <c r="BL322" i="2" s="1"/>
  <c r="BQ322" i="2"/>
  <c r="BR322" i="2" s="1"/>
  <c r="BW322" i="2"/>
  <c r="BX322" i="2" s="1"/>
  <c r="O321" i="2"/>
  <c r="P321" i="2" s="1"/>
  <c r="U321" i="2"/>
  <c r="V321" i="2" s="1"/>
  <c r="AA321" i="2"/>
  <c r="AB321" i="2" s="1"/>
  <c r="BK321" i="2"/>
  <c r="BL321" i="2" s="1"/>
  <c r="BQ321" i="2"/>
  <c r="BR321" i="2" s="1"/>
  <c r="BW321" i="2"/>
  <c r="BX321" i="2" s="1"/>
  <c r="EE320" i="2"/>
  <c r="AA320" i="2"/>
  <c r="AB320" i="2" s="1"/>
  <c r="BQ320" i="2"/>
  <c r="BR320" i="2" s="1"/>
  <c r="EE319" i="2"/>
  <c r="O319" i="2"/>
  <c r="P319" i="2" s="1"/>
  <c r="BK319" i="2"/>
  <c r="BL319" i="2" s="1"/>
  <c r="BW319" i="2"/>
  <c r="BX319" i="2" s="1"/>
  <c r="EE318" i="2"/>
  <c r="O318" i="2"/>
  <c r="P318" i="2" s="1"/>
  <c r="BK318" i="2"/>
  <c r="BL318" i="2" s="1"/>
  <c r="BQ318" i="2"/>
  <c r="BR318" i="2" s="1"/>
  <c r="BW318" i="2"/>
  <c r="BX318" i="2" s="1"/>
  <c r="EE317" i="2"/>
  <c r="BK317" i="2"/>
  <c r="BL317" i="2" s="1"/>
  <c r="BW317" i="2"/>
  <c r="BX317" i="2" s="1"/>
  <c r="EE316" i="2"/>
  <c r="O316" i="2"/>
  <c r="P316" i="2" s="1"/>
  <c r="BK316" i="2"/>
  <c r="BL316" i="2" s="1"/>
  <c r="BQ316" i="2"/>
  <c r="BR316" i="2" s="1"/>
  <c r="BW316" i="2"/>
  <c r="BX316" i="2" s="1"/>
  <c r="O315" i="2"/>
  <c r="P315" i="2" s="1"/>
  <c r="BQ315" i="2"/>
  <c r="BR315" i="2" s="1"/>
  <c r="EE314" i="2"/>
  <c r="O314" i="2"/>
  <c r="P314" i="2" s="1"/>
  <c r="BK314" i="2"/>
  <c r="BL314" i="2" s="1"/>
  <c r="BW314" i="2"/>
  <c r="BX314" i="2" s="1"/>
  <c r="P313" i="2"/>
  <c r="BK313" i="2"/>
  <c r="BL313" i="2" s="1"/>
  <c r="BQ313" i="2"/>
  <c r="BR313" i="2" s="1"/>
  <c r="BW313" i="2"/>
  <c r="BX313" i="2" s="1"/>
  <c r="EE312" i="2"/>
  <c r="O312" i="2"/>
  <c r="P312" i="2" s="1"/>
  <c r="ED312" i="2" s="1"/>
  <c r="EE311" i="2"/>
  <c r="BK311" i="2"/>
  <c r="BL311" i="2" s="1"/>
  <c r="BW311" i="2"/>
  <c r="BX311" i="2" s="1"/>
  <c r="EE310" i="2"/>
  <c r="O310" i="2"/>
  <c r="P310" i="2" s="1"/>
  <c r="BK310" i="2"/>
  <c r="BL310" i="2" s="1"/>
  <c r="BQ310" i="2"/>
  <c r="BR310" i="2" s="1"/>
  <c r="BW310" i="2"/>
  <c r="BX310" i="2" s="1"/>
  <c r="EE309" i="2"/>
  <c r="O309" i="2"/>
  <c r="P309" i="2" s="1"/>
  <c r="AA309" i="2"/>
  <c r="AB309" i="2" s="1"/>
  <c r="BK309" i="2"/>
  <c r="BL309" i="2" s="1"/>
  <c r="BW309" i="2"/>
  <c r="BX309" i="2" s="1"/>
  <c r="EE308" i="2"/>
  <c r="O308" i="2"/>
  <c r="P308" i="2" s="1"/>
  <c r="ED308" i="2" s="1"/>
  <c r="EE307" i="2"/>
  <c r="ED307" i="2"/>
  <c r="EE306" i="2"/>
  <c r="ED306" i="2"/>
  <c r="O305" i="2"/>
  <c r="P305" i="2" s="1"/>
  <c r="O304" i="2"/>
  <c r="P304" i="2" s="1"/>
  <c r="BK304" i="2"/>
  <c r="BL304" i="2" s="1"/>
  <c r="BW304" i="2"/>
  <c r="BX304" i="2" s="1"/>
  <c r="O303" i="2"/>
  <c r="P303" i="2" s="1"/>
  <c r="BK303" i="2"/>
  <c r="BL303" i="2" s="1"/>
  <c r="BW303" i="2"/>
  <c r="BX303" i="2" s="1"/>
  <c r="EE302" i="2"/>
  <c r="ED302" i="2"/>
  <c r="EE301" i="2"/>
  <c r="O301" i="2"/>
  <c r="P301" i="2" s="1"/>
  <c r="BK301" i="2"/>
  <c r="BL301" i="2" s="1"/>
  <c r="BQ301" i="2"/>
  <c r="BR301" i="2" s="1"/>
  <c r="BW301" i="2"/>
  <c r="BX301" i="2" s="1"/>
  <c r="EE300" i="2"/>
  <c r="O300" i="2"/>
  <c r="P300" i="2" s="1"/>
  <c r="BQ300" i="2"/>
  <c r="BR300" i="2" s="1"/>
  <c r="O299" i="2"/>
  <c r="P299" i="2" s="1"/>
  <c r="BQ299" i="2"/>
  <c r="BR299" i="2" s="1"/>
  <c r="EE297" i="2"/>
  <c r="O297" i="2"/>
  <c r="P297" i="2" s="1"/>
  <c r="U297" i="2"/>
  <c r="V297" i="2" s="1"/>
  <c r="BK297" i="2"/>
  <c r="BL297" i="2" s="1"/>
  <c r="BW297" i="2"/>
  <c r="BX297" i="2" s="1"/>
  <c r="EE296" i="2"/>
  <c r="O296" i="2"/>
  <c r="P296" i="2" s="1"/>
  <c r="U296" i="2"/>
  <c r="V296" i="2" s="1"/>
  <c r="EE295" i="2"/>
  <c r="O295" i="2"/>
  <c r="P295" i="2" s="1"/>
  <c r="U295" i="2"/>
  <c r="V295" i="2" s="1"/>
  <c r="BK295" i="2"/>
  <c r="BL295" i="2" s="1"/>
  <c r="BW295" i="2"/>
  <c r="BX295" i="2" s="1"/>
  <c r="EE294" i="2"/>
  <c r="O294" i="2"/>
  <c r="P294" i="2" s="1"/>
  <c r="ED294" i="2" s="1"/>
  <c r="EE293" i="2"/>
  <c r="O293" i="2"/>
  <c r="P293" i="2" s="1"/>
  <c r="U293" i="2"/>
  <c r="V293" i="2" s="1"/>
  <c r="BK293" i="2"/>
  <c r="BL293" i="2" s="1"/>
  <c r="BW293" i="2"/>
  <c r="BX293" i="2" s="1"/>
  <c r="EE292" i="2"/>
  <c r="O292" i="2"/>
  <c r="P292" i="2" s="1"/>
  <c r="U292" i="2"/>
  <c r="V292" i="2" s="1"/>
  <c r="BK292" i="2"/>
  <c r="BL292" i="2" s="1"/>
  <c r="BW292" i="2"/>
  <c r="BX292" i="2" s="1"/>
  <c r="EE291" i="2"/>
  <c r="O291" i="2"/>
  <c r="P291" i="2" s="1"/>
  <c r="U291" i="2"/>
  <c r="V291" i="2" s="1"/>
  <c r="BK291" i="2"/>
  <c r="BL291" i="2" s="1"/>
  <c r="BW291" i="2"/>
  <c r="BX291" i="2" s="1"/>
  <c r="O290" i="2"/>
  <c r="P290" i="2" s="1"/>
  <c r="U290" i="2"/>
  <c r="V290" i="2" s="1"/>
  <c r="AG290" i="2"/>
  <c r="AH290" i="2" s="1"/>
  <c r="BK290" i="2"/>
  <c r="BL290" i="2" s="1"/>
  <c r="BW290" i="2"/>
  <c r="BX290" i="2" s="1"/>
  <c r="EE289" i="2"/>
  <c r="O289" i="2"/>
  <c r="P289" i="2" s="1"/>
  <c r="U289" i="2"/>
  <c r="V289" i="2" s="1"/>
  <c r="AG289" i="2"/>
  <c r="AH289" i="2" s="1"/>
  <c r="BK289" i="2"/>
  <c r="BL289" i="2" s="1"/>
  <c r="BW289" i="2"/>
  <c r="BX289" i="2" s="1"/>
  <c r="EE288" i="2"/>
  <c r="O288" i="2"/>
  <c r="P288" i="2" s="1"/>
  <c r="AG288" i="2"/>
  <c r="AH288" i="2" s="1"/>
  <c r="EE287" i="2"/>
  <c r="O287" i="2"/>
  <c r="P287" i="2" s="1"/>
  <c r="U287" i="2"/>
  <c r="V287" i="2" s="1"/>
  <c r="AG287" i="2"/>
  <c r="AH287" i="2" s="1"/>
  <c r="BK287" i="2"/>
  <c r="BL287" i="2" s="1"/>
  <c r="BW287" i="2"/>
  <c r="BX287" i="2" s="1"/>
  <c r="EE286" i="2"/>
  <c r="O286" i="2"/>
  <c r="P286" i="2" s="1"/>
  <c r="U286" i="2"/>
  <c r="V286" i="2" s="1"/>
  <c r="AG286" i="2"/>
  <c r="AH286" i="2" s="1"/>
  <c r="BK286" i="2"/>
  <c r="BL286" i="2" s="1"/>
  <c r="BW286" i="2"/>
  <c r="BX286" i="2" s="1"/>
  <c r="O285" i="2"/>
  <c r="P285" i="2" s="1"/>
  <c r="BK285" i="2"/>
  <c r="BL285" i="2" s="1"/>
  <c r="BQ285" i="2"/>
  <c r="BR285" i="2" s="1"/>
  <c r="BW285" i="2"/>
  <c r="BX285" i="2" s="1"/>
  <c r="O284" i="2"/>
  <c r="P284" i="2" s="1"/>
  <c r="BK284" i="2"/>
  <c r="BL284" i="2" s="1"/>
  <c r="BQ284" i="2"/>
  <c r="BR284" i="2" s="1"/>
  <c r="M283" i="2"/>
  <c r="EE283" i="2" s="1"/>
  <c r="O283" i="2"/>
  <c r="P283" i="2" s="1"/>
  <c r="AA283" i="2"/>
  <c r="AB283" i="2" s="1"/>
  <c r="BK283" i="2"/>
  <c r="BL283" i="2" s="1"/>
  <c r="BQ283" i="2"/>
  <c r="BR283" i="2" s="1"/>
  <c r="O282" i="2"/>
  <c r="P282" i="2" s="1"/>
  <c r="BQ282" i="2"/>
  <c r="BR282" i="2" s="1"/>
  <c r="EE281" i="2"/>
  <c r="ED281" i="2"/>
  <c r="EE280" i="2"/>
  <c r="O280" i="2"/>
  <c r="P280" i="2" s="1"/>
  <c r="ED280" i="2" s="1"/>
  <c r="EE279" i="2"/>
  <c r="ED279" i="2"/>
  <c r="EE278" i="2"/>
  <c r="O278" i="2"/>
  <c r="P278" i="2" s="1"/>
  <c r="BK278" i="2"/>
  <c r="BL278" i="2" s="1"/>
  <c r="BW278" i="2"/>
  <c r="BX278" i="2" s="1"/>
  <c r="EE277" i="2"/>
  <c r="O277" i="2"/>
  <c r="P277" i="2" s="1"/>
  <c r="ED277" i="2" s="1"/>
  <c r="EE276" i="2"/>
  <c r="ED276" i="2"/>
  <c r="EE275" i="2"/>
  <c r="O275" i="2"/>
  <c r="P275" i="2" s="1"/>
  <c r="BQ275" i="2"/>
  <c r="BR275" i="2" s="1"/>
  <c r="BQ274" i="2"/>
  <c r="BR274" i="2" s="1"/>
  <c r="CI274" i="2"/>
  <c r="CJ274" i="2" s="1"/>
  <c r="BQ273" i="2"/>
  <c r="BR273" i="2" s="1"/>
  <c r="CI273" i="2"/>
  <c r="CJ273" i="2" s="1"/>
  <c r="EE272" i="2"/>
  <c r="BQ272" i="2"/>
  <c r="BR272" i="2" s="1"/>
  <c r="CC272" i="2"/>
  <c r="CD272" i="2" s="1"/>
  <c r="CI272" i="2"/>
  <c r="CJ272" i="2" s="1"/>
  <c r="EE271" i="2"/>
  <c r="CC271" i="2"/>
  <c r="CD271" i="2" s="1"/>
  <c r="ED271" i="2" s="1"/>
  <c r="EE270" i="2"/>
  <c r="BQ270" i="2"/>
  <c r="BR270" i="2" s="1"/>
  <c r="ED270" i="2" s="1"/>
  <c r="EE269" i="2"/>
  <c r="AM269" i="2"/>
  <c r="AN269" i="2" s="1"/>
  <c r="BQ269" i="2"/>
  <c r="BR269" i="2" s="1"/>
  <c r="EE268" i="2"/>
  <c r="AM268" i="2"/>
  <c r="AN268" i="2" s="1"/>
  <c r="BQ268" i="2"/>
  <c r="BR268" i="2" s="1"/>
  <c r="EE267" i="2"/>
  <c r="AM267" i="2"/>
  <c r="AN267" i="2" s="1"/>
  <c r="BQ267" i="2"/>
  <c r="BR267" i="2" s="1"/>
  <c r="BQ266" i="2"/>
  <c r="BR266" i="2" s="1"/>
  <c r="EE265" i="2"/>
  <c r="O265" i="2"/>
  <c r="P265" i="2" s="1"/>
  <c r="BQ265" i="2"/>
  <c r="BR265" i="2" s="1"/>
  <c r="EE264" i="2"/>
  <c r="O264" i="2"/>
  <c r="P264" i="2" s="1"/>
  <c r="ED264" i="2" s="1"/>
  <c r="EE263" i="2"/>
  <c r="BQ263" i="2"/>
  <c r="BR263" i="2" s="1"/>
  <c r="ED263" i="2" s="1"/>
  <c r="BQ262" i="2"/>
  <c r="BR262" i="2" s="1"/>
  <c r="EE261" i="2"/>
  <c r="BQ261" i="2"/>
  <c r="BR261" i="2" s="1"/>
  <c r="ED261" i="2" s="1"/>
  <c r="EE260" i="2"/>
  <c r="O260" i="2"/>
  <c r="P260" i="2" s="1"/>
  <c r="AS260" i="2"/>
  <c r="AT260" i="2" s="1"/>
  <c r="BK260" i="2"/>
  <c r="BL260" i="2" s="1"/>
  <c r="BQ260" i="2"/>
  <c r="BR260" i="2" s="1"/>
  <c r="BW260" i="2"/>
  <c r="BX260" i="2" s="1"/>
  <c r="EE259" i="2"/>
  <c r="O259" i="2"/>
  <c r="P259" i="2" s="1"/>
  <c r="U259" i="2"/>
  <c r="V259" i="2" s="1"/>
  <c r="AS259" i="2"/>
  <c r="AT259" i="2" s="1"/>
  <c r="BK259" i="2"/>
  <c r="BL259" i="2" s="1"/>
  <c r="BQ259" i="2"/>
  <c r="BR259" i="2" s="1"/>
  <c r="BW259" i="2"/>
  <c r="BX259" i="2" s="1"/>
  <c r="O258" i="2"/>
  <c r="P258" i="2" s="1"/>
  <c r="U258" i="2"/>
  <c r="V258" i="2" s="1"/>
  <c r="BQ258" i="2"/>
  <c r="BR258" i="2" s="1"/>
  <c r="O257" i="2"/>
  <c r="P257" i="2" s="1"/>
  <c r="BK257" i="2"/>
  <c r="BL257" i="2" s="1"/>
  <c r="BQ257" i="2"/>
  <c r="BR257" i="2" s="1"/>
  <c r="BW257" i="2"/>
  <c r="BX257" i="2" s="1"/>
  <c r="EE256" i="2"/>
  <c r="O256" i="2"/>
  <c r="P256" i="2" s="1"/>
  <c r="U256" i="2"/>
  <c r="V256" i="2" s="1"/>
  <c r="BQ256" i="2"/>
  <c r="BR256" i="2" s="1"/>
  <c r="EE255" i="2"/>
  <c r="O255" i="2"/>
  <c r="P255" i="2" s="1"/>
  <c r="ED255" i="2" s="1"/>
  <c r="O254" i="2"/>
  <c r="P254" i="2" s="1"/>
  <c r="BK254" i="2"/>
  <c r="BL254" i="2" s="1"/>
  <c r="BW254" i="2"/>
  <c r="BX254" i="2" s="1"/>
  <c r="EE253" i="2"/>
  <c r="O253" i="2"/>
  <c r="P253" i="2" s="1"/>
  <c r="AG253" i="2"/>
  <c r="AH253" i="2" s="1"/>
  <c r="BK253" i="2"/>
  <c r="BL253" i="2" s="1"/>
  <c r="BW253" i="2"/>
  <c r="BX253" i="2" s="1"/>
  <c r="EE252" i="2"/>
  <c r="BK252" i="2"/>
  <c r="BL252" i="2" s="1"/>
  <c r="BW252" i="2"/>
  <c r="BX252" i="2" s="1"/>
  <c r="EE251" i="2"/>
  <c r="O251" i="2"/>
  <c r="P251" i="2" s="1"/>
  <c r="AG251" i="2"/>
  <c r="AH251" i="2" s="1"/>
  <c r="BK251" i="2"/>
  <c r="BL251" i="2" s="1"/>
  <c r="BW251" i="2"/>
  <c r="BX251" i="2" s="1"/>
  <c r="EE250" i="2"/>
  <c r="O250" i="2"/>
  <c r="P250" i="2" s="1"/>
  <c r="AG250" i="2"/>
  <c r="AH250" i="2" s="1"/>
  <c r="BK250" i="2"/>
  <c r="BL250" i="2" s="1"/>
  <c r="BW250" i="2"/>
  <c r="BX250" i="2" s="1"/>
  <c r="EE249" i="2"/>
  <c r="O249" i="2"/>
  <c r="P249" i="2" s="1"/>
  <c r="AG249" i="2"/>
  <c r="AH249" i="2" s="1"/>
  <c r="BK249" i="2"/>
  <c r="BL249" i="2" s="1"/>
  <c r="BW249" i="2"/>
  <c r="BX249" i="2" s="1"/>
  <c r="EE248" i="2"/>
  <c r="O248" i="2"/>
  <c r="P248" i="2" s="1"/>
  <c r="AG248" i="2"/>
  <c r="AH248" i="2" s="1"/>
  <c r="BK248" i="2"/>
  <c r="BL248" i="2" s="1"/>
  <c r="BW248" i="2"/>
  <c r="BX248" i="2" s="1"/>
  <c r="O247" i="2"/>
  <c r="P247" i="2" s="1"/>
  <c r="AG247" i="2"/>
  <c r="AH247" i="2" s="1"/>
  <c r="BK247" i="2"/>
  <c r="BL247" i="2" s="1"/>
  <c r="BW247" i="2"/>
  <c r="BX247" i="2" s="1"/>
  <c r="EE246" i="2"/>
  <c r="BK246" i="2"/>
  <c r="BL246" i="2" s="1"/>
  <c r="BQ246" i="2"/>
  <c r="BR246" i="2" s="1"/>
  <c r="BW246" i="2"/>
  <c r="BX246" i="2" s="1"/>
  <c r="EE245" i="2"/>
  <c r="O245" i="2"/>
  <c r="P245" i="2" s="1"/>
  <c r="BK245" i="2"/>
  <c r="BL245" i="2" s="1"/>
  <c r="BQ245" i="2"/>
  <c r="BR245" i="2" s="1"/>
  <c r="BW245" i="2"/>
  <c r="BX245" i="2" s="1"/>
  <c r="EE244" i="2"/>
  <c r="O244" i="2"/>
  <c r="P244" i="2" s="1"/>
  <c r="U244" i="2"/>
  <c r="V244" i="2" s="1"/>
  <c r="BK244" i="2"/>
  <c r="BL244" i="2" s="1"/>
  <c r="BQ244" i="2"/>
  <c r="BR244" i="2" s="1"/>
  <c r="BW244" i="2"/>
  <c r="BX244" i="2" s="1"/>
  <c r="BK243" i="2"/>
  <c r="BL243" i="2" s="1"/>
  <c r="BQ243" i="2"/>
  <c r="BR243" i="2" s="1"/>
  <c r="BW243" i="2"/>
  <c r="BX243" i="2" s="1"/>
  <c r="EE242" i="2"/>
  <c r="BQ242" i="2"/>
  <c r="BR242" i="2" s="1"/>
  <c r="ED242" i="2" s="1"/>
  <c r="EE241" i="2"/>
  <c r="O241" i="2"/>
  <c r="P241" i="2" s="1"/>
  <c r="U241" i="2"/>
  <c r="V241" i="2" s="1"/>
  <c r="BK241" i="2"/>
  <c r="BL241" i="2" s="1"/>
  <c r="BQ241" i="2"/>
  <c r="BR241" i="2" s="1"/>
  <c r="BW241" i="2"/>
  <c r="BX241" i="2" s="1"/>
  <c r="O240" i="2"/>
  <c r="P240" i="2" s="1"/>
  <c r="U240" i="2"/>
  <c r="V240" i="2" s="1"/>
  <c r="BK240" i="2"/>
  <c r="BL240" i="2" s="1"/>
  <c r="BQ240" i="2"/>
  <c r="BR240" i="2" s="1"/>
  <c r="BW240" i="2"/>
  <c r="BX240" i="2" s="1"/>
  <c r="EE239" i="2"/>
  <c r="BK239" i="2"/>
  <c r="BL239" i="2" s="1"/>
  <c r="BQ239" i="2"/>
  <c r="BR239" i="2" s="1"/>
  <c r="BW239" i="2"/>
  <c r="BX239" i="2" s="1"/>
  <c r="EE238" i="2"/>
  <c r="ED238" i="2"/>
  <c r="EE237" i="2"/>
  <c r="ED237" i="2"/>
  <c r="EF237" i="2" s="1"/>
  <c r="EE236" i="2"/>
  <c r="ED236" i="2"/>
  <c r="BK235" i="2"/>
  <c r="BL235" i="2" s="1"/>
  <c r="BW235" i="2"/>
  <c r="BX235" i="2" s="1"/>
  <c r="EE234" i="2"/>
  <c r="BK234" i="2"/>
  <c r="BL234" i="2" s="1"/>
  <c r="BW234" i="2"/>
  <c r="BX234" i="2" s="1"/>
  <c r="BK233" i="2"/>
  <c r="BL233" i="2" s="1"/>
  <c r="BW233" i="2"/>
  <c r="BX233" i="2" s="1"/>
  <c r="EE232" i="2"/>
  <c r="O232" i="2"/>
  <c r="P232" i="2" s="1"/>
  <c r="BK232" i="2"/>
  <c r="BL232" i="2" s="1"/>
  <c r="BQ232" i="2"/>
  <c r="BR232" i="2" s="1"/>
  <c r="BW232" i="2"/>
  <c r="BX232" i="2" s="1"/>
  <c r="EE231" i="2"/>
  <c r="BE231" i="2"/>
  <c r="BF231" i="2" s="1"/>
  <c r="BK231" i="2"/>
  <c r="BL231" i="2" s="1"/>
  <c r="EE230" i="2"/>
  <c r="ED230" i="2"/>
  <c r="EE229" i="2"/>
  <c r="O229" i="2"/>
  <c r="P229" i="2" s="1"/>
  <c r="U229" i="2"/>
  <c r="V229" i="2" s="1"/>
  <c r="BK229" i="2"/>
  <c r="BL229" i="2" s="1"/>
  <c r="EE228" i="2"/>
  <c r="O228" i="2"/>
  <c r="P228" i="2" s="1"/>
  <c r="U228" i="2"/>
  <c r="V228" i="2" s="1"/>
  <c r="BE228" i="2"/>
  <c r="BF228" i="2" s="1"/>
  <c r="BK228" i="2"/>
  <c r="BL228" i="2" s="1"/>
  <c r="EE227" i="2"/>
  <c r="O227" i="2"/>
  <c r="P227" i="2" s="1"/>
  <c r="U227" i="2"/>
  <c r="V227" i="2" s="1"/>
  <c r="BE227" i="2"/>
  <c r="BF227" i="2" s="1"/>
  <c r="EE226" i="2"/>
  <c r="BK226" i="2"/>
  <c r="BL226" i="2" s="1"/>
  <c r="BQ226" i="2"/>
  <c r="BR226" i="2" s="1"/>
  <c r="BW226" i="2"/>
  <c r="BX226" i="2" s="1"/>
  <c r="EE225" i="2"/>
  <c r="O225" i="2"/>
  <c r="P225" i="2" s="1"/>
  <c r="AS225" i="2"/>
  <c r="AT225" i="2" s="1"/>
  <c r="EE224" i="2"/>
  <c r="O224" i="2"/>
  <c r="P224" i="2" s="1"/>
  <c r="AS224" i="2"/>
  <c r="AT224" i="2" s="1"/>
  <c r="EE223" i="2"/>
  <c r="O223" i="2"/>
  <c r="P223" i="2" s="1"/>
  <c r="AS223" i="2"/>
  <c r="AT223" i="2" s="1"/>
  <c r="EE222" i="2"/>
  <c r="AS222" i="2"/>
  <c r="AT222" i="2" s="1"/>
  <c r="BQ222" i="2"/>
  <c r="BR222" i="2" s="1"/>
  <c r="EE221" i="2"/>
  <c r="ED221" i="2"/>
  <c r="O220" i="2"/>
  <c r="P220" i="2" s="1"/>
  <c r="AS220" i="2"/>
  <c r="AT220" i="2" s="1"/>
  <c r="BK220" i="2"/>
  <c r="BL220" i="2" s="1"/>
  <c r="BQ220" i="2"/>
  <c r="BR220" i="2" s="1"/>
  <c r="BW220" i="2"/>
  <c r="BX220" i="2" s="1"/>
  <c r="O219" i="2"/>
  <c r="P219" i="2" s="1"/>
  <c r="AS219" i="2"/>
  <c r="AT219" i="2" s="1"/>
  <c r="BK219" i="2"/>
  <c r="BL219" i="2" s="1"/>
  <c r="BQ219" i="2"/>
  <c r="BR219" i="2" s="1"/>
  <c r="BW219" i="2"/>
  <c r="BX219" i="2" s="1"/>
  <c r="EE218" i="2"/>
  <c r="O218" i="2"/>
  <c r="P218" i="2" s="1"/>
  <c r="AS218" i="2"/>
  <c r="AT218" i="2" s="1"/>
  <c r="BK218" i="2"/>
  <c r="BL218" i="2" s="1"/>
  <c r="BQ218" i="2"/>
  <c r="BR218" i="2" s="1"/>
  <c r="BW218" i="2"/>
  <c r="BX218" i="2" s="1"/>
  <c r="EE217" i="2"/>
  <c r="O217" i="2"/>
  <c r="P217" i="2" s="1"/>
  <c r="AS217" i="2"/>
  <c r="AT217" i="2" s="1"/>
  <c r="BK217" i="2"/>
  <c r="BL217" i="2" s="1"/>
  <c r="BQ217" i="2"/>
  <c r="BR217" i="2" s="1"/>
  <c r="BW217" i="2"/>
  <c r="BX217" i="2" s="1"/>
  <c r="EE216" i="2"/>
  <c r="O216" i="2"/>
  <c r="P216" i="2" s="1"/>
  <c r="BK216" i="2"/>
  <c r="BL216" i="2" s="1"/>
  <c r="AA215" i="2"/>
  <c r="AB215" i="2" s="1"/>
  <c r="ED215" i="2" s="1"/>
  <c r="EE214" i="2"/>
  <c r="O214" i="2"/>
  <c r="P214" i="2" s="1"/>
  <c r="BQ214" i="2"/>
  <c r="BR214" i="2" s="1"/>
  <c r="EE213" i="2"/>
  <c r="ED213" i="2"/>
  <c r="EE212" i="2"/>
  <c r="ED212" i="2"/>
  <c r="EE211" i="2"/>
  <c r="ED211" i="2"/>
  <c r="EE210" i="2"/>
  <c r="O210" i="2"/>
  <c r="P210" i="2" s="1"/>
  <c r="U210" i="2"/>
  <c r="V210" i="2" s="1"/>
  <c r="BK210" i="2"/>
  <c r="BL210" i="2" s="1"/>
  <c r="BQ210" i="2"/>
  <c r="BR210" i="2" s="1"/>
  <c r="BW210" i="2"/>
  <c r="BX210" i="2" s="1"/>
  <c r="BQ209" i="2"/>
  <c r="BR209" i="2" s="1"/>
  <c r="O208" i="2"/>
  <c r="P208" i="2" s="1"/>
  <c r="AA208" i="2"/>
  <c r="AB208" i="2" s="1"/>
  <c r="BK208" i="2"/>
  <c r="BL208" i="2" s="1"/>
  <c r="BK207" i="2"/>
  <c r="BL207" i="2" s="1"/>
  <c r="BQ207" i="2"/>
  <c r="BR207" i="2" s="1"/>
  <c r="BK206" i="2"/>
  <c r="BL206" i="2" s="1"/>
  <c r="BQ206" i="2"/>
  <c r="BR206" i="2" s="1"/>
  <c r="O205" i="2"/>
  <c r="P205" i="2" s="1"/>
  <c r="BQ205" i="2"/>
  <c r="BR205" i="2" s="1"/>
  <c r="O204" i="2"/>
  <c r="P204" i="2" s="1"/>
  <c r="BQ204" i="2"/>
  <c r="BR204" i="2" s="1"/>
  <c r="EE203" i="2"/>
  <c r="O203" i="2"/>
  <c r="P203" i="2" s="1"/>
  <c r="BK203" i="2"/>
  <c r="BL203" i="2" s="1"/>
  <c r="BQ203" i="2"/>
  <c r="BR203" i="2" s="1"/>
  <c r="BW203" i="2"/>
  <c r="BX203" i="2" s="1"/>
  <c r="EE202" i="2"/>
  <c r="O202" i="2"/>
  <c r="P202" i="2" s="1"/>
  <c r="BK202" i="2"/>
  <c r="BL202" i="2" s="1"/>
  <c r="BQ202" i="2"/>
  <c r="BR202" i="2" s="1"/>
  <c r="BW202" i="2"/>
  <c r="BX202" i="2" s="1"/>
  <c r="O201" i="2"/>
  <c r="P201" i="2" s="1"/>
  <c r="EE200" i="2"/>
  <c r="O200" i="2"/>
  <c r="P200" i="2" s="1"/>
  <c r="AA200" i="2"/>
  <c r="AB200" i="2" s="1"/>
  <c r="BK200" i="2"/>
  <c r="BL200" i="2" s="1"/>
  <c r="BQ200" i="2"/>
  <c r="BR200" i="2" s="1"/>
  <c r="BW200" i="2"/>
  <c r="BX200" i="2" s="1"/>
  <c r="O199" i="2"/>
  <c r="P199" i="2" s="1"/>
  <c r="BQ199" i="2"/>
  <c r="BR199" i="2" s="1"/>
  <c r="AY198" i="2"/>
  <c r="AZ198" i="2" s="1"/>
  <c r="BQ198" i="2"/>
  <c r="BR198" i="2" s="1"/>
  <c r="EE197" i="2"/>
  <c r="BQ197" i="2"/>
  <c r="BR197" i="2" s="1"/>
  <c r="ED197" i="2" s="1"/>
  <c r="EE196" i="2"/>
  <c r="AY196" i="2"/>
  <c r="AZ196" i="2" s="1"/>
  <c r="BQ196" i="2"/>
  <c r="BR196" i="2" s="1"/>
  <c r="EE195" i="2"/>
  <c r="O195" i="2"/>
  <c r="P195" i="2" s="1"/>
  <c r="BQ195" i="2"/>
  <c r="BR195" i="2" s="1"/>
  <c r="EE194" i="2"/>
  <c r="O194" i="2"/>
  <c r="P194" i="2" s="1"/>
  <c r="BQ194" i="2"/>
  <c r="BR194" i="2" s="1"/>
  <c r="EE193" i="2"/>
  <c r="O193" i="2"/>
  <c r="P193" i="2" s="1"/>
  <c r="BK193" i="2"/>
  <c r="BL193" i="2" s="1"/>
  <c r="EE192" i="2"/>
  <c r="CI192" i="2"/>
  <c r="CJ192" i="2" s="1"/>
  <c r="EE191" i="2"/>
  <c r="CI191" i="2"/>
  <c r="CJ191" i="2" s="1"/>
  <c r="ED191" i="2" s="1"/>
  <c r="EE190" i="2"/>
  <c r="CI190" i="2"/>
  <c r="CJ190" i="2" s="1"/>
  <c r="ED190" i="2" s="1"/>
  <c r="EF190" i="2" s="1"/>
  <c r="EE189" i="2"/>
  <c r="CI189" i="2"/>
  <c r="CJ189" i="2" s="1"/>
  <c r="ED189" i="2" s="1"/>
  <c r="EE188" i="2"/>
  <c r="CI188" i="2"/>
  <c r="CJ188" i="2" s="1"/>
  <c r="ED188" i="2" s="1"/>
  <c r="EE187" i="2"/>
  <c r="CI187" i="2"/>
  <c r="CJ187" i="2" s="1"/>
  <c r="EE186" i="2"/>
  <c r="O186" i="2"/>
  <c r="P186" i="2" s="1"/>
  <c r="AS186" i="2"/>
  <c r="AT186" i="2" s="1"/>
  <c r="BQ186" i="2"/>
  <c r="BR186" i="2" s="1"/>
  <c r="EE185" i="2"/>
  <c r="O185" i="2"/>
  <c r="P185" i="2" s="1"/>
  <c r="AS185" i="2"/>
  <c r="AT185" i="2" s="1"/>
  <c r="BQ185" i="2"/>
  <c r="BR185" i="2" s="1"/>
  <c r="O184" i="2"/>
  <c r="P184" i="2" s="1"/>
  <c r="AS184" i="2"/>
  <c r="AT184" i="2" s="1"/>
  <c r="BK184" i="2"/>
  <c r="BL184" i="2" s="1"/>
  <c r="BQ184" i="2"/>
  <c r="BR184" i="2" s="1"/>
  <c r="BW184" i="2"/>
  <c r="BX184" i="2" s="1"/>
  <c r="O183" i="2"/>
  <c r="P183" i="2" s="1"/>
  <c r="BQ183" i="2"/>
  <c r="BR183" i="2" s="1"/>
  <c r="EE182" i="2"/>
  <c r="O182" i="2"/>
  <c r="P182" i="2" s="1"/>
  <c r="BQ182" i="2"/>
  <c r="BR182" i="2" s="1"/>
  <c r="EE181" i="2"/>
  <c r="O181" i="2"/>
  <c r="P181" i="2" s="1"/>
  <c r="BK181" i="2"/>
  <c r="BL181" i="2" s="1"/>
  <c r="BQ181" i="2"/>
  <c r="BR181" i="2" s="1"/>
  <c r="BW181" i="2"/>
  <c r="BX181" i="2" s="1"/>
  <c r="EE180" i="2"/>
  <c r="O180" i="2"/>
  <c r="P180" i="2" s="1"/>
  <c r="U180" i="2"/>
  <c r="V180" i="2" s="1"/>
  <c r="BK180" i="2"/>
  <c r="BL180" i="2" s="1"/>
  <c r="BQ180" i="2"/>
  <c r="BR180" i="2" s="1"/>
  <c r="BW180" i="2"/>
  <c r="BX180" i="2" s="1"/>
  <c r="O179" i="2"/>
  <c r="P179" i="2" s="1"/>
  <c r="U179" i="2"/>
  <c r="V179" i="2" s="1"/>
  <c r="BK179" i="2"/>
  <c r="BL179" i="2" s="1"/>
  <c r="BQ179" i="2"/>
  <c r="BR179" i="2" s="1"/>
  <c r="BW179" i="2"/>
  <c r="BX179" i="2" s="1"/>
  <c r="EE178" i="2"/>
  <c r="O178" i="2"/>
  <c r="P178" i="2" s="1"/>
  <c r="U178" i="2"/>
  <c r="V178" i="2" s="1"/>
  <c r="BK178" i="2"/>
  <c r="BL178" i="2" s="1"/>
  <c r="BQ178" i="2"/>
  <c r="BR178" i="2" s="1"/>
  <c r="BW178" i="2"/>
  <c r="BX178" i="2" s="1"/>
  <c r="EE177" i="2"/>
  <c r="O177" i="2"/>
  <c r="P177" i="2" s="1"/>
  <c r="BQ177" i="2"/>
  <c r="BR177" i="2" s="1"/>
  <c r="O176" i="2"/>
  <c r="P176" i="2" s="1"/>
  <c r="BK176" i="2"/>
  <c r="BL176" i="2" s="1"/>
  <c r="BQ176" i="2"/>
  <c r="BR176" i="2" s="1"/>
  <c r="BW176" i="2"/>
  <c r="BX176" i="2" s="1"/>
  <c r="O175" i="2"/>
  <c r="P175" i="2" s="1"/>
  <c r="BQ175" i="2"/>
  <c r="BR175" i="2" s="1"/>
  <c r="BK174" i="2"/>
  <c r="BL174" i="2" s="1"/>
  <c r="BW174" i="2"/>
  <c r="BX174" i="2" s="1"/>
  <c r="EE173" i="2"/>
  <c r="O173" i="2"/>
  <c r="P173" i="2" s="1"/>
  <c r="BQ173" i="2"/>
  <c r="BR173" i="2" s="1"/>
  <c r="EE172" i="2"/>
  <c r="O172" i="2"/>
  <c r="P172" i="2" s="1"/>
  <c r="ED172" i="2" s="1"/>
  <c r="O171" i="2"/>
  <c r="P171" i="2" s="1"/>
  <c r="BK171" i="2"/>
  <c r="BL171" i="2" s="1"/>
  <c r="BQ171" i="2"/>
  <c r="BR171" i="2" s="1"/>
  <c r="BW171" i="2"/>
  <c r="BX171" i="2" s="1"/>
  <c r="BK170" i="2"/>
  <c r="BL170" i="2" s="1"/>
  <c r="BQ170" i="2"/>
  <c r="BR170" i="2" s="1"/>
  <c r="BW170" i="2"/>
  <c r="BX170" i="2" s="1"/>
  <c r="O169" i="2"/>
  <c r="P169" i="2" s="1"/>
  <c r="BK169" i="2"/>
  <c r="BL169" i="2" s="1"/>
  <c r="BQ169" i="2"/>
  <c r="BR169" i="2" s="1"/>
  <c r="BW169" i="2"/>
  <c r="BX169" i="2" s="1"/>
  <c r="BK168" i="2"/>
  <c r="BL168" i="2" s="1"/>
  <c r="BQ168" i="2"/>
  <c r="BR168" i="2" s="1"/>
  <c r="BW168" i="2"/>
  <c r="BX168" i="2" s="1"/>
  <c r="O167" i="2"/>
  <c r="P167" i="2" s="1"/>
  <c r="BK167" i="2"/>
  <c r="BL167" i="2" s="1"/>
  <c r="BQ167" i="2"/>
  <c r="BR167" i="2" s="1"/>
  <c r="BW167" i="2"/>
  <c r="BX167" i="2" s="1"/>
  <c r="O166" i="2"/>
  <c r="P166" i="2" s="1"/>
  <c r="BK166" i="2"/>
  <c r="BL166" i="2" s="1"/>
  <c r="BQ166" i="2"/>
  <c r="BR166" i="2" s="1"/>
  <c r="BW166" i="2"/>
  <c r="BX166" i="2" s="1"/>
  <c r="BK165" i="2"/>
  <c r="BL165" i="2" s="1"/>
  <c r="BQ165" i="2"/>
  <c r="BR165" i="2" s="1"/>
  <c r="BW165" i="2"/>
  <c r="BX165" i="2" s="1"/>
  <c r="EE164" i="2"/>
  <c r="BQ164" i="2"/>
  <c r="BR164" i="2" s="1"/>
  <c r="ED164" i="2" s="1"/>
  <c r="EE163" i="2"/>
  <c r="O163" i="2"/>
  <c r="P163" i="2" s="1"/>
  <c r="BQ163" i="2"/>
  <c r="BR163" i="2" s="1"/>
  <c r="EE162" i="2"/>
  <c r="O162" i="2"/>
  <c r="P162" i="2" s="1"/>
  <c r="BK162" i="2"/>
  <c r="BL162" i="2" s="1"/>
  <c r="BW162" i="2"/>
  <c r="BX162" i="2" s="1"/>
  <c r="EE161" i="2"/>
  <c r="U161" i="2"/>
  <c r="V161" i="2" s="1"/>
  <c r="BK161" i="2"/>
  <c r="BL161" i="2" s="1"/>
  <c r="BQ161" i="2"/>
  <c r="BR161" i="2" s="1"/>
  <c r="BW161" i="2"/>
  <c r="BX161" i="2" s="1"/>
  <c r="EE160" i="2"/>
  <c r="BK160" i="2"/>
  <c r="BL160" i="2" s="1"/>
  <c r="BQ160" i="2"/>
  <c r="BR160" i="2" s="1"/>
  <c r="BW160" i="2"/>
  <c r="BX160" i="2" s="1"/>
  <c r="CC160" i="2"/>
  <c r="CD160" i="2" s="1"/>
  <c r="EE159" i="2"/>
  <c r="O159" i="2"/>
  <c r="P159" i="2" s="1"/>
  <c r="BK159" i="2"/>
  <c r="BL159" i="2" s="1"/>
  <c r="BQ159" i="2"/>
  <c r="BR159" i="2" s="1"/>
  <c r="BW159" i="2"/>
  <c r="BX159" i="2" s="1"/>
  <c r="EE158" i="2"/>
  <c r="O158" i="2"/>
  <c r="P158" i="2" s="1"/>
  <c r="BK158" i="2"/>
  <c r="BL158" i="2" s="1"/>
  <c r="BQ158" i="2"/>
  <c r="BR158" i="2" s="1"/>
  <c r="BW158" i="2"/>
  <c r="BX158" i="2" s="1"/>
  <c r="EE157" i="2"/>
  <c r="O157" i="2"/>
  <c r="P157" i="2" s="1"/>
  <c r="BK157" i="2"/>
  <c r="BL157" i="2" s="1"/>
  <c r="BQ157" i="2"/>
  <c r="BR157" i="2" s="1"/>
  <c r="BW157" i="2"/>
  <c r="BX157" i="2" s="1"/>
  <c r="EE156" i="2"/>
  <c r="O156" i="2"/>
  <c r="P156" i="2" s="1"/>
  <c r="BK156" i="2"/>
  <c r="BL156" i="2" s="1"/>
  <c r="BQ156" i="2"/>
  <c r="BR156" i="2" s="1"/>
  <c r="BW156" i="2"/>
  <c r="BX156" i="2" s="1"/>
  <c r="EE155" i="2"/>
  <c r="BK155" i="2"/>
  <c r="BL155" i="2" s="1"/>
  <c r="BQ155" i="2"/>
  <c r="BR155" i="2" s="1"/>
  <c r="BW155" i="2"/>
  <c r="BX155" i="2" s="1"/>
  <c r="EE154" i="2"/>
  <c r="O154" i="2"/>
  <c r="P154" i="2" s="1"/>
  <c r="BK154" i="2"/>
  <c r="BL154" i="2" s="1"/>
  <c r="BQ154" i="2"/>
  <c r="BR154" i="2" s="1"/>
  <c r="BW154" i="2"/>
  <c r="BX154" i="2" s="1"/>
  <c r="EE153" i="2"/>
  <c r="ED153" i="2"/>
  <c r="EE152" i="2"/>
  <c r="ED152" i="2"/>
  <c r="EE151" i="2"/>
  <c r="ED151" i="2"/>
  <c r="EE150" i="2"/>
  <c r="ED150" i="2"/>
  <c r="AM149" i="2"/>
  <c r="AN149" i="2" s="1"/>
  <c r="EE148" i="2"/>
  <c r="ED148" i="2"/>
  <c r="AM147" i="2"/>
  <c r="AN147" i="2" s="1"/>
  <c r="EE146" i="2"/>
  <c r="AM146" i="2"/>
  <c r="AN146" i="2" s="1"/>
  <c r="ED146" i="2" s="1"/>
  <c r="EE145" i="2"/>
  <c r="AM145" i="2"/>
  <c r="AN145" i="2" s="1"/>
  <c r="ED145" i="2" s="1"/>
  <c r="EE144" i="2"/>
  <c r="AM144" i="2"/>
  <c r="AN144" i="2" s="1"/>
  <c r="ED144" i="2" s="1"/>
  <c r="O143" i="2"/>
  <c r="P143" i="2" s="1"/>
  <c r="BQ143" i="2"/>
  <c r="BR143" i="2" s="1"/>
  <c r="EE142" i="2"/>
  <c r="O142" i="2"/>
  <c r="P142" i="2" s="1"/>
  <c r="U142" i="2"/>
  <c r="V142" i="2" s="1"/>
  <c r="BQ142" i="2"/>
  <c r="BR142" i="2" s="1"/>
  <c r="EE141" i="2"/>
  <c r="O141" i="2"/>
  <c r="P141" i="2" s="1"/>
  <c r="BK141" i="2"/>
  <c r="BL141" i="2" s="1"/>
  <c r="O140" i="2"/>
  <c r="P140" i="2" s="1"/>
  <c r="BK140" i="2"/>
  <c r="BL140" i="2" s="1"/>
  <c r="BQ140" i="2"/>
  <c r="BR140" i="2" s="1"/>
  <c r="BW140" i="2"/>
  <c r="BX140" i="2" s="1"/>
  <c r="BK139" i="2"/>
  <c r="BL139" i="2" s="1"/>
  <c r="BQ139" i="2"/>
  <c r="BR139" i="2" s="1"/>
  <c r="BW139" i="2"/>
  <c r="BX139" i="2" s="1"/>
  <c r="EE138" i="2"/>
  <c r="O138" i="2"/>
  <c r="P138" i="2" s="1"/>
  <c r="AM138" i="2"/>
  <c r="AN138" i="2" s="1"/>
  <c r="BK138" i="2"/>
  <c r="BL138" i="2" s="1"/>
  <c r="BQ138" i="2"/>
  <c r="BR138" i="2" s="1"/>
  <c r="BW138" i="2"/>
  <c r="BX138" i="2" s="1"/>
  <c r="EE137" i="2"/>
  <c r="O137" i="2"/>
  <c r="P137" i="2" s="1"/>
  <c r="AS137" i="2"/>
  <c r="AT137" i="2" s="1"/>
  <c r="BK137" i="2"/>
  <c r="BL137" i="2" s="1"/>
  <c r="BQ137" i="2"/>
  <c r="BR137" i="2" s="1"/>
  <c r="BW137" i="2"/>
  <c r="BX137" i="2" s="1"/>
  <c r="O136" i="2"/>
  <c r="P136" i="2" s="1"/>
  <c r="BK136" i="2"/>
  <c r="BL136" i="2" s="1"/>
  <c r="BQ136" i="2"/>
  <c r="BR136" i="2" s="1"/>
  <c r="BW136" i="2"/>
  <c r="BX136" i="2" s="1"/>
  <c r="O135" i="2"/>
  <c r="P135" i="2" s="1"/>
  <c r="AM135" i="2"/>
  <c r="AN135" i="2" s="1"/>
  <c r="AS135" i="2"/>
  <c r="AT135" i="2" s="1"/>
  <c r="BK135" i="2"/>
  <c r="BL135" i="2" s="1"/>
  <c r="BQ135" i="2"/>
  <c r="BR135" i="2" s="1"/>
  <c r="BW135" i="2"/>
  <c r="BX135" i="2" s="1"/>
  <c r="EE134" i="2"/>
  <c r="AM134" i="2"/>
  <c r="AN134" i="2" s="1"/>
  <c r="AS134" i="2"/>
  <c r="AT134" i="2" s="1"/>
  <c r="BK134" i="2"/>
  <c r="BL134" i="2" s="1"/>
  <c r="BQ134" i="2"/>
  <c r="BR134" i="2" s="1"/>
  <c r="BW134" i="2"/>
  <c r="BX134" i="2" s="1"/>
  <c r="EE133" i="2"/>
  <c r="O133" i="2"/>
  <c r="P133" i="2" s="1"/>
  <c r="AM133" i="2"/>
  <c r="AN133" i="2" s="1"/>
  <c r="BK133" i="2"/>
  <c r="BL133" i="2" s="1"/>
  <c r="BQ133" i="2"/>
  <c r="BR133" i="2" s="1"/>
  <c r="BW133" i="2"/>
  <c r="BX133" i="2" s="1"/>
  <c r="EE132" i="2"/>
  <c r="O132" i="2"/>
  <c r="P132" i="2" s="1"/>
  <c r="BK132" i="2"/>
  <c r="BL132" i="2" s="1"/>
  <c r="BW132" i="2"/>
  <c r="BX132" i="2" s="1"/>
  <c r="O131" i="2"/>
  <c r="P131" i="2" s="1"/>
  <c r="BK131" i="2"/>
  <c r="BL131" i="2" s="1"/>
  <c r="BQ131" i="2"/>
  <c r="BR131" i="2" s="1"/>
  <c r="BW131" i="2"/>
  <c r="BX131" i="2" s="1"/>
  <c r="EE130" i="2"/>
  <c r="O130" i="2"/>
  <c r="P130" i="2" s="1"/>
  <c r="BK130" i="2"/>
  <c r="BL130" i="2" s="1"/>
  <c r="BQ130" i="2"/>
  <c r="BR130" i="2" s="1"/>
  <c r="BW130" i="2"/>
  <c r="BX130" i="2" s="1"/>
  <c r="EE129" i="2"/>
  <c r="ED129" i="2"/>
  <c r="EE128" i="2"/>
  <c r="ED128" i="2"/>
  <c r="O127" i="2"/>
  <c r="P127" i="2" s="1"/>
  <c r="U127" i="2"/>
  <c r="V127" i="2" s="1"/>
  <c r="BQ127" i="2"/>
  <c r="BR127" i="2" s="1"/>
  <c r="EE126" i="2"/>
  <c r="O126" i="2"/>
  <c r="P126" i="2" s="1"/>
  <c r="U126" i="2"/>
  <c r="V126" i="2" s="1"/>
  <c r="AA126" i="2"/>
  <c r="AB126" i="2" s="1"/>
  <c r="BK126" i="2"/>
  <c r="BL126" i="2" s="1"/>
  <c r="BQ126" i="2"/>
  <c r="BR126" i="2" s="1"/>
  <c r="BW126" i="2"/>
  <c r="BX126" i="2" s="1"/>
  <c r="EE125" i="2"/>
  <c r="BQ125" i="2"/>
  <c r="BR125" i="2" s="1"/>
  <c r="ED125" i="2" s="1"/>
  <c r="EE124" i="2"/>
  <c r="O124" i="2"/>
  <c r="P124" i="2" s="1"/>
  <c r="BQ124" i="2"/>
  <c r="BR124" i="2" s="1"/>
  <c r="EE123" i="2"/>
  <c r="BQ123" i="2"/>
  <c r="BR123" i="2" s="1"/>
  <c r="ED123" i="2" s="1"/>
  <c r="EE122" i="2"/>
  <c r="O122" i="2"/>
  <c r="P122" i="2" s="1"/>
  <c r="BQ122" i="2"/>
  <c r="BR122" i="2" s="1"/>
  <c r="EE121" i="2"/>
  <c r="O121" i="2"/>
  <c r="P121" i="2" s="1"/>
  <c r="BQ121" i="2"/>
  <c r="BR121" i="2" s="1"/>
  <c r="EE120" i="2"/>
  <c r="BQ120" i="2"/>
  <c r="BR120" i="2" s="1"/>
  <c r="ED120" i="2" s="1"/>
  <c r="EE119" i="2"/>
  <c r="O119" i="2"/>
  <c r="P119" i="2" s="1"/>
  <c r="BQ119" i="2"/>
  <c r="BR119" i="2" s="1"/>
  <c r="EE118" i="2"/>
  <c r="O118" i="2"/>
  <c r="P118" i="2" s="1"/>
  <c r="BK118" i="2"/>
  <c r="BL118" i="2" s="1"/>
  <c r="BQ118" i="2"/>
  <c r="BR118" i="2" s="1"/>
  <c r="BW118" i="2"/>
  <c r="BX118" i="2" s="1"/>
  <c r="EE117" i="2"/>
  <c r="O117" i="2"/>
  <c r="P117" i="2" s="1"/>
  <c r="BK117" i="2"/>
  <c r="BL117" i="2" s="1"/>
  <c r="BQ117" i="2"/>
  <c r="BR117" i="2" s="1"/>
  <c r="BW117" i="2"/>
  <c r="BX117" i="2" s="1"/>
  <c r="EE116" i="2"/>
  <c r="O116" i="2"/>
  <c r="P116" i="2" s="1"/>
  <c r="BQ116" i="2"/>
  <c r="BR116" i="2" s="1"/>
  <c r="EE115" i="2"/>
  <c r="BQ115" i="2"/>
  <c r="BR115" i="2" s="1"/>
  <c r="ED115" i="2" s="1"/>
  <c r="EE114" i="2"/>
  <c r="BQ114" i="2"/>
  <c r="BR114" i="2" s="1"/>
  <c r="ED114" i="2" s="1"/>
  <c r="EE113" i="2"/>
  <c r="AS113" i="2"/>
  <c r="AT113" i="2" s="1"/>
  <c r="BK113" i="2"/>
  <c r="BL113" i="2" s="1"/>
  <c r="BQ113" i="2"/>
  <c r="BR113" i="2" s="1"/>
  <c r="EE112" i="2"/>
  <c r="AS112" i="2"/>
  <c r="AT112" i="2" s="1"/>
  <c r="BK112" i="2"/>
  <c r="BL112" i="2" s="1"/>
  <c r="BQ112" i="2"/>
  <c r="BR112" i="2" s="1"/>
  <c r="BW112" i="2"/>
  <c r="BX112" i="2" s="1"/>
  <c r="EE111" i="2"/>
  <c r="BQ111" i="2"/>
  <c r="BR111" i="2" s="1"/>
  <c r="ED111" i="2" s="1"/>
  <c r="AS110" i="2"/>
  <c r="AT110" i="2" s="1"/>
  <c r="BQ110" i="2"/>
  <c r="BR110" i="2" s="1"/>
  <c r="EE109" i="2"/>
  <c r="O109" i="2"/>
  <c r="P109" i="2" s="1"/>
  <c r="ED109" i="2" s="1"/>
  <c r="EE108" i="2"/>
  <c r="AS108" i="2"/>
  <c r="AT108" i="2" s="1"/>
  <c r="ED108" i="2" s="1"/>
  <c r="EE107" i="2"/>
  <c r="O107" i="2"/>
  <c r="P107" i="2" s="1"/>
  <c r="BQ107" i="2"/>
  <c r="BR107" i="2" s="1"/>
  <c r="O106" i="2"/>
  <c r="P106" i="2" s="1"/>
  <c r="O105" i="2"/>
  <c r="P105" i="2" s="1"/>
  <c r="U105" i="2"/>
  <c r="V105" i="2" s="1"/>
  <c r="O104" i="2"/>
  <c r="P104" i="2" s="1"/>
  <c r="U104" i="2"/>
  <c r="V104" i="2" s="1"/>
  <c r="BQ104" i="2"/>
  <c r="BR104" i="2" s="1"/>
  <c r="EE103" i="2"/>
  <c r="O103" i="2"/>
  <c r="P103" i="2" s="1"/>
  <c r="BQ103" i="2"/>
  <c r="BR103" i="2" s="1"/>
  <c r="EE102" i="2"/>
  <c r="O102" i="2"/>
  <c r="P102" i="2" s="1"/>
  <c r="BQ102" i="2"/>
  <c r="BR102" i="2" s="1"/>
  <c r="EE101" i="2"/>
  <c r="O101" i="2"/>
  <c r="P101" i="2" s="1"/>
  <c r="BQ101" i="2"/>
  <c r="BR101" i="2" s="1"/>
  <c r="EE100" i="2"/>
  <c r="BQ100" i="2"/>
  <c r="BR100" i="2" s="1"/>
  <c r="ED100" i="2" s="1"/>
  <c r="EE99" i="2"/>
  <c r="AG99" i="2"/>
  <c r="AH99" i="2" s="1"/>
  <c r="ED99" i="2" s="1"/>
  <c r="EE98" i="2"/>
  <c r="U98" i="2"/>
  <c r="V98" i="2" s="1"/>
  <c r="AG98" i="2"/>
  <c r="AH98" i="2" s="1"/>
  <c r="EE97" i="2"/>
  <c r="U97" i="2"/>
  <c r="V97" i="2" s="1"/>
  <c r="BK97" i="2"/>
  <c r="BL97" i="2" s="1"/>
  <c r="BQ97" i="2"/>
  <c r="BR97" i="2" s="1"/>
  <c r="EE96" i="2"/>
  <c r="BQ96" i="2"/>
  <c r="BR96" i="2" s="1"/>
  <c r="ED96" i="2" s="1"/>
  <c r="EE95" i="2"/>
  <c r="O95" i="2"/>
  <c r="P95" i="2" s="1"/>
  <c r="BK95" i="2"/>
  <c r="BL95" i="2" s="1"/>
  <c r="BQ95" i="2"/>
  <c r="BR95" i="2" s="1"/>
  <c r="BW95" i="2"/>
  <c r="BX95" i="2" s="1"/>
  <c r="O94" i="2"/>
  <c r="P94" i="2" s="1"/>
  <c r="BK94" i="2"/>
  <c r="BL94" i="2" s="1"/>
  <c r="BQ94" i="2"/>
  <c r="BR94" i="2" s="1"/>
  <c r="BW94" i="2"/>
  <c r="BX94" i="2" s="1"/>
  <c r="EE93" i="2"/>
  <c r="O93" i="2"/>
  <c r="P93" i="2" s="1"/>
  <c r="BK93" i="2"/>
  <c r="BL93" i="2" s="1"/>
  <c r="BQ93" i="2"/>
  <c r="BR93" i="2" s="1"/>
  <c r="BW93" i="2"/>
  <c r="BX93" i="2" s="1"/>
  <c r="EE92" i="2"/>
  <c r="BK92" i="2"/>
  <c r="BL92" i="2" s="1"/>
  <c r="BQ92" i="2"/>
  <c r="BR92" i="2" s="1"/>
  <c r="BW92" i="2"/>
  <c r="BX92" i="2" s="1"/>
  <c r="EE91" i="2"/>
  <c r="O91" i="2"/>
  <c r="P91" i="2" s="1"/>
  <c r="BQ91" i="2"/>
  <c r="BR91" i="2" s="1"/>
  <c r="EE90" i="2"/>
  <c r="O90" i="2"/>
  <c r="P90" i="2" s="1"/>
  <c r="BQ90" i="2"/>
  <c r="BR90" i="2" s="1"/>
  <c r="EE89" i="2"/>
  <c r="O89" i="2"/>
  <c r="P89" i="2" s="1"/>
  <c r="BK89" i="2"/>
  <c r="BL89" i="2" s="1"/>
  <c r="BQ89" i="2"/>
  <c r="BR89" i="2" s="1"/>
  <c r="BW89" i="2"/>
  <c r="BX89" i="2" s="1"/>
  <c r="EE88" i="2"/>
  <c r="O88" i="2"/>
  <c r="P88" i="2" s="1"/>
  <c r="BQ88" i="2"/>
  <c r="BR88" i="2" s="1"/>
  <c r="EE87" i="2"/>
  <c r="O87" i="2"/>
  <c r="P87" i="2" s="1"/>
  <c r="BQ87" i="2"/>
  <c r="BR87" i="2" s="1"/>
  <c r="EE86" i="2"/>
  <c r="BQ86" i="2"/>
  <c r="BR86" i="2" s="1"/>
  <c r="ED86" i="2" s="1"/>
  <c r="O85" i="2"/>
  <c r="P85" i="2" s="1"/>
  <c r="BQ85" i="2"/>
  <c r="BR85" i="2" s="1"/>
  <c r="O84" i="2"/>
  <c r="P84" i="2" s="1"/>
  <c r="BQ84" i="2"/>
  <c r="BR84" i="2" s="1"/>
  <c r="EE83" i="2"/>
  <c r="O83" i="2"/>
  <c r="P83" i="2" s="1"/>
  <c r="U83" i="2"/>
  <c r="V83" i="2" s="1"/>
  <c r="BK83" i="2"/>
  <c r="BL83" i="2" s="1"/>
  <c r="BQ83" i="2"/>
  <c r="BR83" i="2" s="1"/>
  <c r="BW83" i="2"/>
  <c r="BX83" i="2" s="1"/>
  <c r="EE82" i="2"/>
  <c r="O82" i="2"/>
  <c r="P82" i="2" s="1"/>
  <c r="BK82" i="2"/>
  <c r="BL82" i="2" s="1"/>
  <c r="BQ82" i="2"/>
  <c r="BR82" i="2" s="1"/>
  <c r="BW82" i="2"/>
  <c r="BX82" i="2" s="1"/>
  <c r="O81" i="2"/>
  <c r="P81" i="2" s="1"/>
  <c r="BK81" i="2"/>
  <c r="BL81" i="2" s="1"/>
  <c r="BQ81" i="2"/>
  <c r="BR81" i="2" s="1"/>
  <c r="BW81" i="2"/>
  <c r="BX81" i="2" s="1"/>
  <c r="BQ80" i="2"/>
  <c r="BR80" i="2" s="1"/>
  <c r="EE79" i="2"/>
  <c r="O79" i="2"/>
  <c r="P79" i="2" s="1"/>
  <c r="BK79" i="2"/>
  <c r="BL79" i="2" s="1"/>
  <c r="BQ79" i="2"/>
  <c r="BR79" i="2" s="1"/>
  <c r="BW79" i="2"/>
  <c r="BX79" i="2" s="1"/>
  <c r="EE78" i="2"/>
  <c r="BQ78" i="2"/>
  <c r="BR78" i="2" s="1"/>
  <c r="ED78" i="2" s="1"/>
  <c r="EE77" i="2"/>
  <c r="O77" i="2"/>
  <c r="P77" i="2" s="1"/>
  <c r="BQ77" i="2"/>
  <c r="BR77" i="2" s="1"/>
  <c r="O76" i="2"/>
  <c r="P76" i="2" s="1"/>
  <c r="BQ76" i="2"/>
  <c r="BR76" i="2" s="1"/>
  <c r="O75" i="2"/>
  <c r="P75" i="2" s="1"/>
  <c r="BQ75" i="2"/>
  <c r="BR75" i="2" s="1"/>
  <c r="EE74" i="2"/>
  <c r="O74" i="2"/>
  <c r="P74" i="2" s="1"/>
  <c r="BQ74" i="2"/>
  <c r="BR74" i="2" s="1"/>
  <c r="EE73" i="2"/>
  <c r="O73" i="2"/>
  <c r="P73" i="2" s="1"/>
  <c r="BQ73" i="2"/>
  <c r="BR73" i="2" s="1"/>
  <c r="EE72" i="2"/>
  <c r="O72" i="2"/>
  <c r="P72" i="2" s="1"/>
  <c r="BQ72" i="2"/>
  <c r="BR72" i="2" s="1"/>
  <c r="O71" i="2"/>
  <c r="P71" i="2" s="1"/>
  <c r="BQ71" i="2"/>
  <c r="BR71" i="2" s="1"/>
  <c r="O70" i="2"/>
  <c r="P70" i="2" s="1"/>
  <c r="BK70" i="2"/>
  <c r="BL70" i="2" s="1"/>
  <c r="BQ70" i="2"/>
  <c r="BR70" i="2" s="1"/>
  <c r="BW70" i="2"/>
  <c r="BX70" i="2" s="1"/>
  <c r="BQ69" i="2"/>
  <c r="BR69" i="2" s="1"/>
  <c r="EE68" i="2"/>
  <c r="O68" i="2"/>
  <c r="P68" i="2" s="1"/>
  <c r="BK68" i="2"/>
  <c r="BL68" i="2" s="1"/>
  <c r="BQ68" i="2"/>
  <c r="BR68" i="2" s="1"/>
  <c r="O67" i="2"/>
  <c r="P67" i="2" s="1"/>
  <c r="BK67" i="2"/>
  <c r="BL67" i="2" s="1"/>
  <c r="BQ67" i="2"/>
  <c r="BR67" i="2" s="1"/>
  <c r="O66" i="2"/>
  <c r="P66" i="2" s="1"/>
  <c r="BQ66" i="2"/>
  <c r="BR66" i="2" s="1"/>
  <c r="EE65" i="2"/>
  <c r="O65" i="2"/>
  <c r="P65" i="2" s="1"/>
  <c r="BK65" i="2"/>
  <c r="BL65" i="2" s="1"/>
  <c r="BQ65" i="2"/>
  <c r="BR65" i="2" s="1"/>
  <c r="EE64" i="2"/>
  <c r="O64" i="2"/>
  <c r="P64" i="2" s="1"/>
  <c r="BQ64" i="2"/>
  <c r="BR64" i="2" s="1"/>
  <c r="EE63" i="2"/>
  <c r="O63" i="2"/>
  <c r="P63" i="2" s="1"/>
  <c r="BK63" i="2"/>
  <c r="BL63" i="2" s="1"/>
  <c r="BQ63" i="2"/>
  <c r="BR63" i="2" s="1"/>
  <c r="BW63" i="2"/>
  <c r="BX63" i="2" s="1"/>
  <c r="EE62" i="2"/>
  <c r="O62" i="2"/>
  <c r="P62" i="2" s="1"/>
  <c r="BQ62" i="2"/>
  <c r="BR62" i="2" s="1"/>
  <c r="EE61" i="2"/>
  <c r="O61" i="2"/>
  <c r="P61" i="2" s="1"/>
  <c r="BK61" i="2"/>
  <c r="BL61" i="2" s="1"/>
  <c r="BQ61" i="2"/>
  <c r="BR61" i="2" s="1"/>
  <c r="BW61" i="2"/>
  <c r="BX61" i="2" s="1"/>
  <c r="EE60" i="2"/>
  <c r="O60" i="2"/>
  <c r="P60" i="2" s="1"/>
  <c r="BK60" i="2"/>
  <c r="BL60" i="2" s="1"/>
  <c r="BQ60" i="2"/>
  <c r="BR60" i="2" s="1"/>
  <c r="BW60" i="2"/>
  <c r="BX60" i="2" s="1"/>
  <c r="EE59" i="2"/>
  <c r="O59" i="2"/>
  <c r="P59" i="2" s="1"/>
  <c r="BK59" i="2"/>
  <c r="BL59" i="2" s="1"/>
  <c r="BQ59" i="2"/>
  <c r="BR59" i="2" s="1"/>
  <c r="BW59" i="2"/>
  <c r="BX59" i="2" s="1"/>
  <c r="EE58" i="2"/>
  <c r="O58" i="2"/>
  <c r="P58" i="2" s="1"/>
  <c r="BK58" i="2"/>
  <c r="BL58" i="2" s="1"/>
  <c r="BQ58" i="2"/>
  <c r="BR58" i="2" s="1"/>
  <c r="BW58" i="2"/>
  <c r="BX58" i="2" s="1"/>
  <c r="EE57" i="2"/>
  <c r="O57" i="2"/>
  <c r="P57" i="2" s="1"/>
  <c r="U57" i="2"/>
  <c r="V57" i="2" s="1"/>
  <c r="BK57" i="2"/>
  <c r="BL57" i="2" s="1"/>
  <c r="BQ57" i="2"/>
  <c r="BR57" i="2" s="1"/>
  <c r="BW57" i="2"/>
  <c r="BX57" i="2" s="1"/>
  <c r="EE56" i="2"/>
  <c r="O56" i="2"/>
  <c r="P56" i="2" s="1"/>
  <c r="BK56" i="2"/>
  <c r="BL56" i="2" s="1"/>
  <c r="BQ56" i="2"/>
  <c r="BR56" i="2" s="1"/>
  <c r="BW56" i="2"/>
  <c r="BX56" i="2" s="1"/>
  <c r="EE55" i="2"/>
  <c r="O55" i="2"/>
  <c r="P55" i="2" s="1"/>
  <c r="BK55" i="2"/>
  <c r="BL55" i="2" s="1"/>
  <c r="BQ55" i="2"/>
  <c r="BR55" i="2" s="1"/>
  <c r="BW55" i="2"/>
  <c r="BX55" i="2" s="1"/>
  <c r="EE54" i="2"/>
  <c r="O54" i="2"/>
  <c r="P54" i="2" s="1"/>
  <c r="U54" i="2"/>
  <c r="V54" i="2" s="1"/>
  <c r="BK54" i="2"/>
  <c r="BL54" i="2" s="1"/>
  <c r="BQ54" i="2"/>
  <c r="BR54" i="2" s="1"/>
  <c r="BW54" i="2"/>
  <c r="BX54" i="2" s="1"/>
  <c r="O53" i="2"/>
  <c r="P53" i="2" s="1"/>
  <c r="U53" i="2"/>
  <c r="V53" i="2" s="1"/>
  <c r="BK53" i="2"/>
  <c r="BL53" i="2" s="1"/>
  <c r="BQ53" i="2"/>
  <c r="BR53" i="2" s="1"/>
  <c r="BW53" i="2"/>
  <c r="BX53" i="2" s="1"/>
  <c r="EE52" i="2"/>
  <c r="O52" i="2"/>
  <c r="P52" i="2" s="1"/>
  <c r="BK52" i="2"/>
  <c r="BL52" i="2" s="1"/>
  <c r="BW52" i="2"/>
  <c r="BX52" i="2" s="1"/>
  <c r="EE51" i="2"/>
  <c r="BQ51" i="2"/>
  <c r="BR51" i="2" s="1"/>
  <c r="ED51" i="2" s="1"/>
  <c r="EE50" i="2"/>
  <c r="O50" i="2"/>
  <c r="P50" i="2" s="1"/>
  <c r="BQ50" i="2"/>
  <c r="BR50" i="2" s="1"/>
  <c r="EE49" i="2"/>
  <c r="O49" i="2"/>
  <c r="P49" i="2" s="1"/>
  <c r="BK49" i="2"/>
  <c r="BL49" i="2" s="1"/>
  <c r="BQ49" i="2"/>
  <c r="BR49" i="2" s="1"/>
  <c r="EE48" i="2"/>
  <c r="O48" i="2"/>
  <c r="P48" i="2" s="1"/>
  <c r="BK48" i="2"/>
  <c r="BL48" i="2" s="1"/>
  <c r="BQ48" i="2"/>
  <c r="BR48" i="2" s="1"/>
  <c r="BW48" i="2"/>
  <c r="BX48" i="2" s="1"/>
  <c r="EE47" i="2"/>
  <c r="O47" i="2"/>
  <c r="P47" i="2" s="1"/>
  <c r="BK47" i="2"/>
  <c r="BL47" i="2" s="1"/>
  <c r="BQ47" i="2"/>
  <c r="BR47" i="2" s="1"/>
  <c r="BW47" i="2"/>
  <c r="BX47" i="2" s="1"/>
  <c r="EE46" i="2"/>
  <c r="O46" i="2"/>
  <c r="P46" i="2" s="1"/>
  <c r="BQ46" i="2"/>
  <c r="BR46" i="2" s="1"/>
  <c r="EE45" i="2"/>
  <c r="O45" i="2"/>
  <c r="P45" i="2" s="1"/>
  <c r="U45" i="2"/>
  <c r="V45" i="2" s="1"/>
  <c r="AG45" i="2"/>
  <c r="AH45" i="2" s="1"/>
  <c r="BK45" i="2"/>
  <c r="BL45" i="2" s="1"/>
  <c r="BQ45" i="2"/>
  <c r="BR45" i="2" s="1"/>
  <c r="BW45" i="2"/>
  <c r="BX45" i="2" s="1"/>
  <c r="AG44" i="2"/>
  <c r="AH44" i="2" s="1"/>
  <c r="BK44" i="2"/>
  <c r="BL44" i="2" s="1"/>
  <c r="BQ44" i="2"/>
  <c r="BR44" i="2" s="1"/>
  <c r="BW44" i="2"/>
  <c r="BX44" i="2" s="1"/>
  <c r="EE43" i="2"/>
  <c r="AG43" i="2"/>
  <c r="AH43" i="2" s="1"/>
  <c r="BK43" i="2"/>
  <c r="BL43" i="2" s="1"/>
  <c r="BQ43" i="2"/>
  <c r="BR43" i="2" s="1"/>
  <c r="BW43" i="2"/>
  <c r="BX43" i="2" s="1"/>
  <c r="EE42" i="2"/>
  <c r="O42" i="2"/>
  <c r="P42" i="2" s="1"/>
  <c r="U42" i="2"/>
  <c r="V42" i="2" s="1"/>
  <c r="AG42" i="2"/>
  <c r="AH42" i="2" s="1"/>
  <c r="BK42" i="2"/>
  <c r="BL42" i="2" s="1"/>
  <c r="BQ42" i="2"/>
  <c r="BR42" i="2" s="1"/>
  <c r="BW42" i="2"/>
  <c r="BX42" i="2" s="1"/>
  <c r="EE41" i="2"/>
  <c r="AG41" i="2"/>
  <c r="AH41" i="2" s="1"/>
  <c r="BK41" i="2"/>
  <c r="BL41" i="2" s="1"/>
  <c r="BQ41" i="2"/>
  <c r="BR41" i="2" s="1"/>
  <c r="BW41" i="2"/>
  <c r="BX41" i="2" s="1"/>
  <c r="EE40" i="2"/>
  <c r="O40" i="2"/>
  <c r="P40" i="2" s="1"/>
  <c r="AG40" i="2"/>
  <c r="AH40" i="2" s="1"/>
  <c r="BK40" i="2"/>
  <c r="BL40" i="2" s="1"/>
  <c r="BQ40" i="2"/>
  <c r="BR40" i="2" s="1"/>
  <c r="BW40" i="2"/>
  <c r="BX40" i="2" s="1"/>
  <c r="EE39" i="2"/>
  <c r="O39" i="2"/>
  <c r="P39" i="2" s="1"/>
  <c r="AG39" i="2"/>
  <c r="AH39" i="2" s="1"/>
  <c r="BK39" i="2"/>
  <c r="BL39" i="2" s="1"/>
  <c r="BQ39" i="2"/>
  <c r="BR39" i="2" s="1"/>
  <c r="BW39" i="2"/>
  <c r="BX39" i="2" s="1"/>
  <c r="O38" i="2"/>
  <c r="P38" i="2" s="1"/>
  <c r="AG38" i="2"/>
  <c r="AH38" i="2" s="1"/>
  <c r="BK38" i="2"/>
  <c r="BL38" i="2" s="1"/>
  <c r="BQ38" i="2"/>
  <c r="BR38" i="2" s="1"/>
  <c r="BW38" i="2"/>
  <c r="BX38" i="2" s="1"/>
  <c r="EE37" i="2"/>
  <c r="O37" i="2"/>
  <c r="P37" i="2" s="1"/>
  <c r="U37" i="2"/>
  <c r="V37" i="2" s="1"/>
  <c r="AG37" i="2"/>
  <c r="AH37" i="2" s="1"/>
  <c r="BK37" i="2"/>
  <c r="BL37" i="2" s="1"/>
  <c r="BQ37" i="2"/>
  <c r="BR37" i="2" s="1"/>
  <c r="BW37" i="2"/>
  <c r="BX37" i="2" s="1"/>
  <c r="EE36" i="2"/>
  <c r="O36" i="2"/>
  <c r="P36" i="2" s="1"/>
  <c r="AG36" i="2"/>
  <c r="AH36" i="2" s="1"/>
  <c r="BK36" i="2"/>
  <c r="BL36" i="2" s="1"/>
  <c r="BQ36" i="2"/>
  <c r="BR36" i="2" s="1"/>
  <c r="BW36" i="2"/>
  <c r="BX36" i="2" s="1"/>
  <c r="O35" i="2"/>
  <c r="P35" i="2" s="1"/>
  <c r="BK35" i="2"/>
  <c r="BL35" i="2" s="1"/>
  <c r="BQ35" i="2"/>
  <c r="BR35" i="2" s="1"/>
  <c r="BW35" i="2"/>
  <c r="BX35" i="2" s="1"/>
  <c r="EE34" i="2"/>
  <c r="O34" i="2"/>
  <c r="P34" i="2" s="1"/>
  <c r="AS34" i="2"/>
  <c r="AT34" i="2" s="1"/>
  <c r="BQ34" i="2"/>
  <c r="BR34" i="2" s="1"/>
  <c r="EE33" i="2"/>
  <c r="O33" i="2"/>
  <c r="P33" i="2" s="1"/>
  <c r="AS33" i="2"/>
  <c r="AT33" i="2" s="1"/>
  <c r="BQ33" i="2"/>
  <c r="BR33" i="2" s="1"/>
  <c r="EE32" i="2"/>
  <c r="O32" i="2"/>
  <c r="P32" i="2" s="1"/>
  <c r="BK32" i="2"/>
  <c r="BL32" i="2" s="1"/>
  <c r="BQ32" i="2"/>
  <c r="BR32" i="2" s="1"/>
  <c r="BW32" i="2"/>
  <c r="BX32" i="2" s="1"/>
  <c r="EE31" i="2"/>
  <c r="O31" i="2"/>
  <c r="P31" i="2" s="1"/>
  <c r="AA31" i="2"/>
  <c r="AB31" i="2" s="1"/>
  <c r="BK31" i="2"/>
  <c r="BL31" i="2" s="1"/>
  <c r="BQ31" i="2"/>
  <c r="BR31" i="2" s="1"/>
  <c r="BW31" i="2"/>
  <c r="BX31" i="2" s="1"/>
  <c r="EE30" i="2"/>
  <c r="O30" i="2"/>
  <c r="P30" i="2" s="1"/>
  <c r="BQ30" i="2"/>
  <c r="BR30" i="2" s="1"/>
  <c r="O29" i="2"/>
  <c r="P29" i="2" s="1"/>
  <c r="U29" i="2"/>
  <c r="V29" i="2" s="1"/>
  <c r="BK29" i="2"/>
  <c r="BL29" i="2" s="1"/>
  <c r="BQ29" i="2"/>
  <c r="BR29" i="2" s="1"/>
  <c r="BW29" i="2"/>
  <c r="BX29" i="2" s="1"/>
  <c r="O28" i="2"/>
  <c r="P28" i="2" s="1"/>
  <c r="U28" i="2"/>
  <c r="V28" i="2" s="1"/>
  <c r="BQ28" i="2"/>
  <c r="BR28" i="2" s="1"/>
  <c r="EE27" i="2"/>
  <c r="O27" i="2"/>
  <c r="P27" i="2" s="1"/>
  <c r="U27" i="2"/>
  <c r="V27" i="2" s="1"/>
  <c r="BK27" i="2"/>
  <c r="BL27" i="2" s="1"/>
  <c r="BQ27" i="2"/>
  <c r="BR27" i="2" s="1"/>
  <c r="BW27" i="2"/>
  <c r="BX27" i="2" s="1"/>
  <c r="O26" i="2"/>
  <c r="P26" i="2" s="1"/>
  <c r="BQ26" i="2"/>
  <c r="BR26" i="2" s="1"/>
  <c r="BW26" i="2"/>
  <c r="BX26" i="2" s="1"/>
  <c r="EE25" i="2"/>
  <c r="O25" i="2"/>
  <c r="P25" i="2" s="1"/>
  <c r="BK25" i="2"/>
  <c r="BL25" i="2" s="1"/>
  <c r="BQ25" i="2"/>
  <c r="BR25" i="2" s="1"/>
  <c r="O24" i="2"/>
  <c r="P24" i="2" s="1"/>
  <c r="EE23" i="2"/>
  <c r="O23" i="2"/>
  <c r="P23" i="2" s="1"/>
  <c r="AG23" i="2"/>
  <c r="AH23" i="2" s="1"/>
  <c r="BK23" i="2"/>
  <c r="BL23" i="2" s="1"/>
  <c r="BW23" i="2"/>
  <c r="BX23" i="2" s="1"/>
  <c r="EE22" i="2"/>
  <c r="O22" i="2"/>
  <c r="P22" i="2" s="1"/>
  <c r="AG22" i="2"/>
  <c r="AH22" i="2" s="1"/>
  <c r="BK22" i="2"/>
  <c r="BL22" i="2" s="1"/>
  <c r="BW22" i="2"/>
  <c r="BX22" i="2" s="1"/>
  <c r="EE21" i="2"/>
  <c r="O21" i="2"/>
  <c r="P21" i="2" s="1"/>
  <c r="BQ21" i="2"/>
  <c r="BR21" i="2" s="1"/>
  <c r="EE20" i="2"/>
  <c r="O20" i="2"/>
  <c r="P20" i="2" s="1"/>
  <c r="BK20" i="2"/>
  <c r="BL20" i="2" s="1"/>
  <c r="BR20" i="2"/>
  <c r="BW20" i="2"/>
  <c r="BX20" i="2" s="1"/>
  <c r="EE19" i="2"/>
  <c r="O19" i="2"/>
  <c r="P19" i="2" s="1"/>
  <c r="BK19" i="2"/>
  <c r="BL19" i="2" s="1"/>
  <c r="BW19" i="2"/>
  <c r="BX19" i="2" s="1"/>
  <c r="O18" i="2"/>
  <c r="P18" i="2" s="1"/>
  <c r="AS18" i="2"/>
  <c r="AT18" i="2" s="1"/>
  <c r="BK18" i="2"/>
  <c r="BL18" i="2" s="1"/>
  <c r="BQ18" i="2"/>
  <c r="BR18" i="2" s="1"/>
  <c r="BW18" i="2"/>
  <c r="BX18" i="2" s="1"/>
  <c r="O17" i="2"/>
  <c r="P17" i="2" s="1"/>
  <c r="AS17" i="2"/>
  <c r="AT17" i="2" s="1"/>
  <c r="BK17" i="2"/>
  <c r="BL17" i="2" s="1"/>
  <c r="BQ17" i="2"/>
  <c r="BR17" i="2" s="1"/>
  <c r="BW17" i="2"/>
  <c r="BX17" i="2" s="1"/>
  <c r="EE16" i="2"/>
  <c r="O16" i="2"/>
  <c r="P16" i="2" s="1"/>
  <c r="AS16" i="2"/>
  <c r="AT16" i="2" s="1"/>
  <c r="BK16" i="2"/>
  <c r="BL16" i="2" s="1"/>
  <c r="BQ16" i="2"/>
  <c r="BR16" i="2" s="1"/>
  <c r="BW16" i="2"/>
  <c r="BX16" i="2" s="1"/>
  <c r="EE15" i="2"/>
  <c r="O15" i="2"/>
  <c r="P15" i="2" s="1"/>
  <c r="AS15" i="2"/>
  <c r="AT15" i="2" s="1"/>
  <c r="BK15" i="2"/>
  <c r="BL15" i="2" s="1"/>
  <c r="BQ15" i="2"/>
  <c r="BR15" i="2" s="1"/>
  <c r="BW15" i="2"/>
  <c r="BX15" i="2" s="1"/>
  <c r="EE14" i="2"/>
  <c r="O14" i="2"/>
  <c r="P14" i="2" s="1"/>
  <c r="AS14" i="2"/>
  <c r="AT14" i="2" s="1"/>
  <c r="BK14" i="2"/>
  <c r="BL14" i="2" s="1"/>
  <c r="BQ14" i="2"/>
  <c r="BR14" i="2" s="1"/>
  <c r="BW14" i="2"/>
  <c r="BX14" i="2" s="1"/>
  <c r="EE13" i="2"/>
  <c r="O13" i="2"/>
  <c r="P13" i="2" s="1"/>
  <c r="BK13" i="2"/>
  <c r="BL13" i="2" s="1"/>
  <c r="BW13" i="2"/>
  <c r="BX13" i="2" s="1"/>
  <c r="EE12" i="2"/>
  <c r="ED12" i="2"/>
  <c r="O11" i="2"/>
  <c r="P11" i="2" s="1"/>
  <c r="BK11" i="2"/>
  <c r="BL11" i="2" s="1"/>
  <c r="BW11" i="2"/>
  <c r="BX11" i="2" s="1"/>
  <c r="EE10" i="2"/>
  <c r="O10" i="2"/>
  <c r="P10" i="2" s="1"/>
  <c r="BK10" i="2"/>
  <c r="BL10" i="2" s="1"/>
  <c r="BW10" i="2"/>
  <c r="BX10" i="2" s="1"/>
  <c r="EE9" i="2"/>
  <c r="O9" i="2"/>
  <c r="P9" i="2" s="1"/>
  <c r="BK9" i="2"/>
  <c r="BL9" i="2" s="1"/>
  <c r="BW9" i="2"/>
  <c r="BX9" i="2" s="1"/>
  <c r="O8" i="2"/>
  <c r="P8" i="2" s="1"/>
  <c r="BK8" i="2"/>
  <c r="BL8" i="2" s="1"/>
  <c r="BW8" i="2"/>
  <c r="BX8" i="2" s="1"/>
  <c r="O7" i="2"/>
  <c r="P7" i="2" s="1"/>
  <c r="BK7" i="2"/>
  <c r="BL7" i="2" s="1"/>
  <c r="BW7" i="2"/>
  <c r="BX7" i="2" s="1"/>
  <c r="EE6" i="2"/>
  <c r="O6" i="2"/>
  <c r="P6" i="2" s="1"/>
  <c r="BK6" i="2"/>
  <c r="BL6" i="2" s="1"/>
  <c r="BW6" i="2"/>
  <c r="BX6" i="2" s="1"/>
  <c r="EE5" i="2"/>
  <c r="AY5" i="2"/>
  <c r="AZ5" i="2" s="1"/>
  <c r="BE5" i="2"/>
  <c r="BF5" i="2" s="1"/>
  <c r="BK5" i="2"/>
  <c r="BL5" i="2" s="1"/>
  <c r="BQ5" i="2"/>
  <c r="BR5" i="2" s="1"/>
  <c r="BW5" i="2"/>
  <c r="BX5" i="2" s="1"/>
  <c r="EE4" i="2"/>
  <c r="AA4" i="2"/>
  <c r="AB4" i="2" s="1"/>
  <c r="AY4" i="2"/>
  <c r="AZ4" i="2" s="1"/>
  <c r="BK4" i="2"/>
  <c r="BL4" i="2" s="1"/>
  <c r="BW4" i="2"/>
  <c r="BX4" i="2" s="1"/>
  <c r="EE3" i="2"/>
  <c r="AY3" i="2"/>
  <c r="AZ3" i="2" s="1"/>
  <c r="BK3" i="2"/>
  <c r="BL3" i="2" s="1"/>
  <c r="BW3" i="2"/>
  <c r="BX3" i="2" s="1"/>
  <c r="L779" i="2"/>
  <c r="L778" i="2"/>
  <c r="L777" i="2"/>
  <c r="L770" i="2"/>
  <c r="L769" i="2"/>
  <c r="L768" i="2"/>
  <c r="L766" i="2"/>
  <c r="L765" i="2"/>
  <c r="L764" i="2"/>
  <c r="L763" i="2"/>
  <c r="L762" i="2"/>
  <c r="L761" i="2"/>
  <c r="L760" i="2"/>
  <c r="L759" i="2"/>
  <c r="L758" i="2"/>
  <c r="L757" i="2"/>
  <c r="L756" i="2"/>
  <c r="L755" i="2"/>
  <c r="L754" i="2"/>
  <c r="L753" i="2"/>
  <c r="L752" i="2"/>
  <c r="L751" i="2"/>
  <c r="L750" i="2"/>
  <c r="L749" i="2"/>
  <c r="L748" i="2"/>
  <c r="L747" i="2"/>
  <c r="L746" i="2"/>
  <c r="L745" i="2"/>
  <c r="L744" i="2"/>
  <c r="L743" i="2"/>
  <c r="L742" i="2"/>
  <c r="L741" i="2"/>
  <c r="L740" i="2"/>
  <c r="L739" i="2"/>
  <c r="L738" i="2"/>
  <c r="L736" i="2"/>
  <c r="L732" i="2"/>
  <c r="L731" i="2"/>
  <c r="L730" i="2"/>
  <c r="L727" i="2"/>
  <c r="L726" i="2"/>
  <c r="L725" i="2"/>
  <c r="L724" i="2"/>
  <c r="L723" i="2"/>
  <c r="L722" i="2"/>
  <c r="L721" i="2"/>
  <c r="L720" i="2"/>
  <c r="L719" i="2"/>
  <c r="L718" i="2"/>
  <c r="L717" i="2"/>
  <c r="L716" i="2"/>
  <c r="L715" i="2"/>
  <c r="L714" i="2"/>
  <c r="L713" i="2"/>
  <c r="L712" i="2"/>
  <c r="L710" i="2"/>
  <c r="L709" i="2"/>
  <c r="L708" i="2"/>
  <c r="L707" i="2"/>
  <c r="L706" i="2"/>
  <c r="L705" i="2"/>
  <c r="L703" i="2"/>
  <c r="L702" i="2"/>
  <c r="L700" i="2"/>
  <c r="L699" i="2"/>
  <c r="L698" i="2"/>
  <c r="L697" i="2"/>
  <c r="L696" i="2"/>
  <c r="L695" i="2"/>
  <c r="L694" i="2"/>
  <c r="L693" i="2"/>
  <c r="L691" i="2"/>
  <c r="L690" i="2"/>
  <c r="L689" i="2"/>
  <c r="L688" i="2"/>
  <c r="L687" i="2"/>
  <c r="L685" i="2"/>
  <c r="L680" i="2"/>
  <c r="L676" i="2"/>
  <c r="L675" i="2"/>
  <c r="L673" i="2"/>
  <c r="L669" i="2"/>
  <c r="L666" i="2"/>
  <c r="L665" i="2"/>
  <c r="L661" i="2"/>
  <c r="L660" i="2"/>
  <c r="L659" i="2"/>
  <c r="L658" i="2"/>
  <c r="L656" i="2"/>
  <c r="L655" i="2"/>
  <c r="L654" i="2"/>
  <c r="L653" i="2"/>
  <c r="L652" i="2"/>
  <c r="L651" i="2"/>
  <c r="L649" i="2"/>
  <c r="L648" i="2"/>
  <c r="L647" i="2"/>
  <c r="L646" i="2"/>
  <c r="L645" i="2"/>
  <c r="L644" i="2"/>
  <c r="L642" i="2"/>
  <c r="L637" i="2"/>
  <c r="L636" i="2"/>
  <c r="L635" i="2"/>
  <c r="L634" i="2"/>
  <c r="L627" i="2"/>
  <c r="L626" i="2"/>
  <c r="L625" i="2"/>
  <c r="L624" i="2"/>
  <c r="L623" i="2"/>
  <c r="L622" i="2"/>
  <c r="L621" i="2"/>
  <c r="L620" i="2"/>
  <c r="L619" i="2"/>
  <c r="L618" i="2"/>
  <c r="L617" i="2"/>
  <c r="L616" i="2"/>
  <c r="L614" i="2"/>
  <c r="L611" i="2"/>
  <c r="L609" i="2"/>
  <c r="L608" i="2"/>
  <c r="L607" i="2"/>
  <c r="L605" i="2"/>
  <c r="L604" i="2"/>
  <c r="L603" i="2"/>
  <c r="L602" i="2"/>
  <c r="L601" i="2"/>
  <c r="L600" i="2"/>
  <c r="L599" i="2"/>
  <c r="L598" i="2"/>
  <c r="L596" i="2"/>
  <c r="L595" i="2"/>
  <c r="L594" i="2"/>
  <c r="L593" i="2"/>
  <c r="L592" i="2"/>
  <c r="L591" i="2"/>
  <c r="L590" i="2"/>
  <c r="L589" i="2"/>
  <c r="L588" i="2"/>
  <c r="L587" i="2"/>
  <c r="L586" i="2"/>
  <c r="L584" i="2"/>
  <c r="L583" i="2"/>
  <c r="L582" i="2"/>
  <c r="L581" i="2"/>
  <c r="L580" i="2"/>
  <c r="L579" i="2"/>
  <c r="L578" i="2"/>
  <c r="L577" i="2"/>
  <c r="L576" i="2"/>
  <c r="L575" i="2"/>
  <c r="L574" i="2"/>
  <c r="L573" i="2"/>
  <c r="L572" i="2"/>
  <c r="L571" i="2"/>
  <c r="L570" i="2"/>
  <c r="L569" i="2"/>
  <c r="L568" i="2"/>
  <c r="L567" i="2"/>
  <c r="L566" i="2"/>
  <c r="L565" i="2"/>
  <c r="L564" i="2"/>
  <c r="L563" i="2"/>
  <c r="L562" i="2"/>
  <c r="L557" i="2"/>
  <c r="L553" i="2"/>
  <c r="L552" i="2"/>
  <c r="L551" i="2"/>
  <c r="L550" i="2"/>
  <c r="L546" i="2"/>
  <c r="L545" i="2"/>
  <c r="L544" i="2"/>
  <c r="L543" i="2"/>
  <c r="L541" i="2"/>
  <c r="L540" i="2"/>
  <c r="L539" i="2"/>
  <c r="L538" i="2"/>
  <c r="L537" i="2"/>
  <c r="L536" i="2"/>
  <c r="L535" i="2"/>
  <c r="L534" i="2"/>
  <c r="L533" i="2"/>
  <c r="L532" i="2"/>
  <c r="L531" i="2"/>
  <c r="L530" i="2"/>
  <c r="L529" i="2"/>
  <c r="L528" i="2"/>
  <c r="L527" i="2"/>
  <c r="L526" i="2"/>
  <c r="L524" i="2"/>
  <c r="L523" i="2"/>
  <c r="L522" i="2"/>
  <c r="L520" i="2"/>
  <c r="L518" i="2"/>
  <c r="L516" i="2"/>
  <c r="L514" i="2"/>
  <c r="L513" i="2"/>
  <c r="L511" i="2"/>
  <c r="L510" i="2"/>
  <c r="L509" i="2"/>
  <c r="L508" i="2"/>
  <c r="L507" i="2"/>
  <c r="L506" i="2"/>
  <c r="L504" i="2"/>
  <c r="L503" i="2"/>
  <c r="L502" i="2"/>
  <c r="L501" i="2"/>
  <c r="L500" i="2"/>
  <c r="L499" i="2"/>
  <c r="L498" i="2"/>
  <c r="L497" i="2"/>
  <c r="L496" i="2"/>
  <c r="L495" i="2"/>
  <c r="L494" i="2"/>
  <c r="L493" i="2"/>
  <c r="L492" i="2"/>
  <c r="L491" i="2"/>
  <c r="L489" i="2"/>
  <c r="L488" i="2"/>
  <c r="L486" i="2"/>
  <c r="L485" i="2"/>
  <c r="L484" i="2"/>
  <c r="L483" i="2"/>
  <c r="L482" i="2"/>
  <c r="L481" i="2"/>
  <c r="L480" i="2"/>
  <c r="L479" i="2"/>
  <c r="L478" i="2"/>
  <c r="L477" i="2"/>
  <c r="L476" i="2"/>
  <c r="L474" i="2"/>
  <c r="L473" i="2"/>
  <c r="L471" i="2"/>
  <c r="L470" i="2"/>
  <c r="L469" i="2"/>
  <c r="L468" i="2"/>
  <c r="L467" i="2"/>
  <c r="L465" i="2"/>
  <c r="L463" i="2"/>
  <c r="L462" i="2"/>
  <c r="L461" i="2"/>
  <c r="L460" i="2"/>
  <c r="L459" i="2"/>
  <c r="L458" i="2"/>
  <c r="L456" i="2"/>
  <c r="L455" i="2"/>
  <c r="L454" i="2"/>
  <c r="L453" i="2"/>
  <c r="L452" i="2"/>
  <c r="L451" i="2"/>
  <c r="L450" i="2"/>
  <c r="L449" i="2"/>
  <c r="L448" i="2"/>
  <c r="L447" i="2"/>
  <c r="L444" i="2"/>
  <c r="L443" i="2"/>
  <c r="L442" i="2"/>
  <c r="L441" i="2"/>
  <c r="L440" i="2"/>
  <c r="L439" i="2"/>
  <c r="L438" i="2"/>
  <c r="L429" i="2"/>
  <c r="L428" i="2"/>
  <c r="L427" i="2"/>
  <c r="L426" i="2"/>
  <c r="L425" i="2"/>
  <c r="L424" i="2"/>
  <c r="L423" i="2"/>
  <c r="L422" i="2"/>
  <c r="L421" i="2"/>
  <c r="L419" i="2"/>
  <c r="L418" i="2"/>
  <c r="L417" i="2"/>
  <c r="L416" i="2"/>
  <c r="L414" i="2"/>
  <c r="L412" i="2"/>
  <c r="L411" i="2"/>
  <c r="L410" i="2"/>
  <c r="L409" i="2"/>
  <c r="L407" i="2"/>
  <c r="L406" i="2"/>
  <c r="L404" i="2"/>
  <c r="L403" i="2"/>
  <c r="L402" i="2"/>
  <c r="L401" i="2"/>
  <c r="L400" i="2"/>
  <c r="L399" i="2"/>
  <c r="L398" i="2"/>
  <c r="L397" i="2"/>
  <c r="L395" i="2"/>
  <c r="L394" i="2"/>
  <c r="L390" i="2"/>
  <c r="L389" i="2"/>
  <c r="L388" i="2"/>
  <c r="L387" i="2"/>
  <c r="L386" i="2"/>
  <c r="L385" i="2"/>
  <c r="L384" i="2"/>
  <c r="L381" i="2"/>
  <c r="L380" i="2"/>
  <c r="L379" i="2"/>
  <c r="L378" i="2"/>
  <c r="L372" i="2"/>
  <c r="L370" i="2"/>
  <c r="L369" i="2"/>
  <c r="L368" i="2"/>
  <c r="L367" i="2"/>
  <c r="L365" i="2"/>
  <c r="L364" i="2"/>
  <c r="L363" i="2"/>
  <c r="L362" i="2"/>
  <c r="L361" i="2"/>
  <c r="L360" i="2"/>
  <c r="L359" i="2"/>
  <c r="L357" i="2"/>
  <c r="L356" i="2"/>
  <c r="L351" i="2"/>
  <c r="L350" i="2"/>
  <c r="L349" i="2"/>
  <c r="L348" i="2"/>
  <c r="L347" i="2"/>
  <c r="L345" i="2"/>
  <c r="L344" i="2"/>
  <c r="L343" i="2"/>
  <c r="L342" i="2"/>
  <c r="L341" i="2"/>
  <c r="L340" i="2"/>
  <c r="L337" i="2"/>
  <c r="L336" i="2"/>
  <c r="L335" i="2"/>
  <c r="L334" i="2"/>
  <c r="L333" i="2"/>
  <c r="L332" i="2"/>
  <c r="L331" i="2"/>
  <c r="L330" i="2"/>
  <c r="L329" i="2"/>
  <c r="L328" i="2"/>
  <c r="L327" i="2"/>
  <c r="L326" i="2"/>
  <c r="L325" i="2"/>
  <c r="L324" i="2"/>
  <c r="L323" i="2"/>
  <c r="L322" i="2"/>
  <c r="L321" i="2"/>
  <c r="L320" i="2"/>
  <c r="L318" i="2"/>
  <c r="L314" i="2"/>
  <c r="L313" i="2"/>
  <c r="L310" i="2"/>
  <c r="L309" i="2"/>
  <c r="L306" i="2"/>
  <c r="L305" i="2"/>
  <c r="L304" i="2"/>
  <c r="L303" i="2"/>
  <c r="L302" i="2"/>
  <c r="L301" i="2"/>
  <c r="L300" i="2"/>
  <c r="L299" i="2"/>
  <c r="L298" i="2"/>
  <c r="L290" i="2"/>
  <c r="L287" i="2"/>
  <c r="L286" i="2"/>
  <c r="L285" i="2"/>
  <c r="L284" i="2"/>
  <c r="L283" i="2"/>
  <c r="L282" i="2"/>
  <c r="L280" i="2"/>
  <c r="L279" i="2"/>
  <c r="L278" i="2"/>
  <c r="L277" i="2"/>
  <c r="L275" i="2"/>
  <c r="L274" i="2"/>
  <c r="L272" i="2"/>
  <c r="L271" i="2"/>
  <c r="L270" i="2"/>
  <c r="L269" i="2"/>
  <c r="L268" i="2"/>
  <c r="L267" i="2"/>
  <c r="L266" i="2"/>
  <c r="L265" i="2"/>
  <c r="L264" i="2"/>
  <c r="L262" i="2"/>
  <c r="L261" i="2"/>
  <c r="L260" i="2"/>
  <c r="L259" i="2"/>
  <c r="L257" i="2"/>
  <c r="L256" i="2"/>
  <c r="L255" i="2"/>
  <c r="L254" i="2"/>
  <c r="L247" i="2"/>
  <c r="L246" i="2"/>
  <c r="L245" i="2"/>
  <c r="L244" i="2"/>
  <c r="L243" i="2"/>
  <c r="L241" i="2"/>
  <c r="L240" i="2"/>
  <c r="L239" i="2"/>
  <c r="L236" i="2"/>
  <c r="L235" i="2"/>
  <c r="L234" i="2"/>
  <c r="L233" i="2"/>
  <c r="L232" i="2"/>
  <c r="L231" i="2"/>
  <c r="L230" i="2"/>
  <c r="L225" i="2"/>
  <c r="L224" i="2"/>
  <c r="L223" i="2"/>
  <c r="L222" i="2"/>
  <c r="L221" i="2"/>
  <c r="L220" i="2"/>
  <c r="L219" i="2"/>
  <c r="L218" i="2"/>
  <c r="L217" i="2"/>
  <c r="L216" i="2"/>
  <c r="L215" i="2"/>
  <c r="L214" i="2"/>
  <c r="L213" i="2"/>
  <c r="L210" i="2"/>
  <c r="L209" i="2"/>
  <c r="L208" i="2"/>
  <c r="L207" i="2"/>
  <c r="L206" i="2"/>
  <c r="L205" i="2"/>
  <c r="L204" i="2"/>
  <c r="L203" i="2"/>
  <c r="L202" i="2"/>
  <c r="L200" i="2"/>
  <c r="L199" i="2"/>
  <c r="L198" i="2"/>
  <c r="L197" i="2"/>
  <c r="L196" i="2"/>
  <c r="L195" i="2"/>
  <c r="L194" i="2"/>
  <c r="L193" i="2"/>
  <c r="L192" i="2"/>
  <c r="L191" i="2"/>
  <c r="L190" i="2"/>
  <c r="L189" i="2"/>
  <c r="L188" i="2"/>
  <c r="L187" i="2"/>
  <c r="L186" i="2"/>
  <c r="L185" i="2"/>
  <c r="L184" i="2"/>
  <c r="L183" i="2"/>
  <c r="L182" i="2"/>
  <c r="L181" i="2"/>
  <c r="L180" i="2"/>
  <c r="L179" i="2"/>
  <c r="L178" i="2"/>
  <c r="L177" i="2"/>
  <c r="L176" i="2"/>
  <c r="L175" i="2"/>
  <c r="L174" i="2"/>
  <c r="L173" i="2"/>
  <c r="L171" i="2"/>
  <c r="L170" i="2"/>
  <c r="L169" i="2"/>
  <c r="L168" i="2"/>
  <c r="L167" i="2"/>
  <c r="L166" i="2"/>
  <c r="L165" i="2"/>
  <c r="L164" i="2"/>
  <c r="L163" i="2"/>
  <c r="L161" i="2"/>
  <c r="L154" i="2"/>
  <c r="L153" i="2"/>
  <c r="L152" i="2"/>
  <c r="L151" i="2"/>
  <c r="L150" i="2"/>
  <c r="L149" i="2"/>
  <c r="L148" i="2"/>
  <c r="L147" i="2"/>
  <c r="L146" i="2"/>
  <c r="L145" i="2"/>
  <c r="L144" i="2"/>
  <c r="L143" i="2"/>
  <c r="L142" i="2"/>
  <c r="L141" i="2"/>
  <c r="L140" i="2"/>
  <c r="L139" i="2"/>
  <c r="L138" i="2"/>
  <c r="L137" i="2"/>
  <c r="L136" i="2"/>
  <c r="L135" i="2"/>
  <c r="L134" i="2"/>
  <c r="L133" i="2"/>
  <c r="L131" i="2"/>
  <c r="L127" i="2"/>
  <c r="L126" i="2"/>
  <c r="L125" i="2"/>
  <c r="L124" i="2"/>
  <c r="L115" i="2"/>
  <c r="L114" i="2"/>
  <c r="L112" i="2"/>
  <c r="L111" i="2"/>
  <c r="L110" i="2"/>
  <c r="L106" i="2"/>
  <c r="L105" i="2"/>
  <c r="L104" i="2"/>
  <c r="L103" i="2"/>
  <c r="L99" i="2"/>
  <c r="L97" i="2"/>
  <c r="L96" i="2"/>
  <c r="L94" i="2"/>
  <c r="L93" i="2"/>
  <c r="L91" i="2"/>
  <c r="L90" i="2"/>
  <c r="L88" i="2"/>
  <c r="L87" i="2"/>
  <c r="L86" i="2"/>
  <c r="L85" i="2"/>
  <c r="L84" i="2"/>
  <c r="L83" i="2"/>
  <c r="L82" i="2"/>
  <c r="L81" i="2"/>
  <c r="L80" i="2"/>
  <c r="L79" i="2"/>
  <c r="L78" i="2"/>
  <c r="L77" i="2"/>
  <c r="L76" i="2"/>
  <c r="L75" i="2"/>
  <c r="L74" i="2"/>
  <c r="L73" i="2"/>
  <c r="L72" i="2"/>
  <c r="L71" i="2"/>
  <c r="L70" i="2"/>
  <c r="L69" i="2"/>
  <c r="L68" i="2"/>
  <c r="L67" i="2"/>
  <c r="L66" i="2"/>
  <c r="L65" i="2"/>
  <c r="L64" i="2"/>
  <c r="L62" i="2"/>
  <c r="L59" i="2"/>
  <c r="L58" i="2"/>
  <c r="L57" i="2"/>
  <c r="L56" i="2"/>
  <c r="L55" i="2"/>
  <c r="L54" i="2"/>
  <c r="L53" i="2"/>
  <c r="L51" i="2"/>
  <c r="L49" i="2"/>
  <c r="L46" i="2"/>
  <c r="L45" i="2"/>
  <c r="L44" i="2"/>
  <c r="L43" i="2"/>
  <c r="L39" i="2"/>
  <c r="L38" i="2"/>
  <c r="L35" i="2"/>
  <c r="L32" i="2"/>
  <c r="L31" i="2"/>
  <c r="L30" i="2"/>
  <c r="L29" i="2"/>
  <c r="L28" i="2"/>
  <c r="L27" i="2"/>
  <c r="L26" i="2"/>
  <c r="L25" i="2"/>
  <c r="L23" i="2"/>
  <c r="L22" i="2"/>
  <c r="L21" i="2"/>
  <c r="L20" i="2"/>
  <c r="L19" i="2"/>
  <c r="L18" i="2"/>
  <c r="L17" i="2"/>
  <c r="L16" i="2"/>
  <c r="L15" i="2"/>
  <c r="L14" i="2"/>
  <c r="L11" i="2"/>
  <c r="L10" i="2"/>
  <c r="L9" i="2"/>
  <c r="L8" i="2"/>
  <c r="L7" i="2"/>
  <c r="L6" i="2"/>
  <c r="L5" i="2"/>
  <c r="L4" i="2"/>
  <c r="L3" i="2"/>
  <c r="L760" i="1"/>
  <c r="L729" i="1"/>
  <c r="L728" i="1"/>
  <c r="L665" i="1"/>
  <c r="L664" i="1"/>
  <c r="L663" i="1"/>
  <c r="L662" i="1"/>
  <c r="L661" i="1"/>
  <c r="L660" i="1"/>
  <c r="L658" i="1"/>
  <c r="L656" i="1"/>
  <c r="L655" i="1"/>
  <c r="L654" i="1"/>
  <c r="L653" i="1"/>
  <c r="L652" i="1"/>
  <c r="L651" i="1"/>
  <c r="L650" i="1"/>
  <c r="L649" i="1"/>
  <c r="L648" i="1"/>
  <c r="L647" i="1"/>
  <c r="L645" i="1"/>
  <c r="L644" i="1"/>
  <c r="L643" i="1"/>
  <c r="L642" i="1"/>
  <c r="L641" i="1"/>
  <c r="L639" i="1"/>
  <c r="L638" i="1"/>
  <c r="L637" i="1"/>
  <c r="L636" i="1"/>
  <c r="L635" i="1"/>
  <c r="L634" i="1"/>
  <c r="L633" i="1"/>
  <c r="L632" i="1"/>
  <c r="L631" i="1"/>
  <c r="L630" i="1"/>
  <c r="L629" i="1"/>
  <c r="L628" i="1"/>
  <c r="L627" i="1"/>
  <c r="L624" i="1"/>
  <c r="L623" i="1"/>
  <c r="L620" i="1"/>
  <c r="L619" i="1"/>
  <c r="L618" i="1"/>
  <c r="L617" i="1"/>
  <c r="L616" i="1"/>
  <c r="L615" i="1"/>
  <c r="L614" i="1"/>
  <c r="L612" i="1"/>
  <c r="L611" i="1"/>
  <c r="L610" i="1"/>
  <c r="L609" i="1"/>
  <c r="L607" i="1"/>
  <c r="L606" i="1"/>
  <c r="L605" i="1"/>
  <c r="L604" i="1"/>
  <c r="L603" i="1"/>
  <c r="L602" i="1"/>
  <c r="L601" i="1"/>
  <c r="L600" i="1"/>
  <c r="L599" i="1"/>
  <c r="L598" i="1"/>
  <c r="L597" i="1"/>
  <c r="L596" i="1"/>
  <c r="L595" i="1"/>
  <c r="L594" i="1"/>
  <c r="L593" i="1"/>
  <c r="L592" i="1"/>
  <c r="L591" i="1"/>
  <c r="L590" i="1"/>
  <c r="L589" i="1"/>
  <c r="L588" i="1"/>
  <c r="L587" i="1"/>
  <c r="L586" i="1"/>
  <c r="L584" i="1"/>
  <c r="L583" i="1"/>
  <c r="L582" i="1"/>
  <c r="L581" i="1"/>
  <c r="L580" i="1"/>
  <c r="L579" i="1"/>
  <c r="L577" i="1"/>
  <c r="L576" i="1"/>
  <c r="L575" i="1"/>
  <c r="L574" i="1"/>
  <c r="L573" i="1"/>
  <c r="L571" i="1"/>
  <c r="L570" i="1"/>
  <c r="L569" i="1"/>
  <c r="L568" i="1"/>
  <c r="L567" i="1"/>
  <c r="L566" i="1"/>
  <c r="L565" i="1"/>
  <c r="L564" i="1"/>
  <c r="L563" i="1"/>
  <c r="L562" i="1"/>
  <c r="L561" i="1"/>
  <c r="L557" i="1"/>
  <c r="L556" i="1"/>
  <c r="L555" i="1"/>
  <c r="L554" i="1"/>
  <c r="L553" i="1"/>
  <c r="L552" i="1"/>
  <c r="L551" i="1"/>
  <c r="L550" i="1"/>
  <c r="L549" i="1"/>
  <c r="L548" i="1"/>
  <c r="L547" i="1"/>
  <c r="L546" i="1"/>
  <c r="L545" i="1"/>
  <c r="L544" i="1"/>
  <c r="L543" i="1"/>
  <c r="L541" i="1"/>
  <c r="L540" i="1"/>
  <c r="L536" i="1"/>
  <c r="L535" i="1"/>
  <c r="L534" i="1"/>
  <c r="L533" i="1"/>
  <c r="L532" i="1"/>
  <c r="L531" i="1"/>
  <c r="L530" i="1"/>
  <c r="L529" i="1"/>
  <c r="L528" i="1"/>
  <c r="L527" i="1"/>
  <c r="L526" i="1"/>
  <c r="L525" i="1"/>
  <c r="L524" i="1"/>
  <c r="L523" i="1"/>
  <c r="L522" i="1"/>
  <c r="L520" i="1"/>
  <c r="L519" i="1"/>
  <c r="L518" i="1"/>
  <c r="L517" i="1"/>
  <c r="L516" i="1"/>
  <c r="L515" i="1"/>
  <c r="L514" i="1"/>
  <c r="L513" i="1"/>
  <c r="L512" i="1"/>
  <c r="L510" i="1"/>
  <c r="L509" i="1"/>
  <c r="L508" i="1"/>
  <c r="L507" i="1"/>
  <c r="L506" i="1"/>
  <c r="L505" i="1"/>
  <c r="L504" i="1"/>
  <c r="L502" i="1"/>
  <c r="L501" i="1"/>
  <c r="L500" i="1"/>
  <c r="L499" i="1"/>
  <c r="L498" i="1"/>
  <c r="L497" i="1"/>
  <c r="L496" i="1"/>
  <c r="L495" i="1"/>
  <c r="L494" i="1"/>
  <c r="L493" i="1"/>
  <c r="L492" i="1"/>
  <c r="L491" i="1"/>
  <c r="L490" i="1"/>
  <c r="L489" i="1"/>
  <c r="L488" i="1"/>
  <c r="L485" i="1"/>
  <c r="L484" i="1"/>
  <c r="L483" i="1"/>
  <c r="L482" i="1"/>
  <c r="L481" i="1"/>
  <c r="L480" i="1"/>
  <c r="L479" i="1"/>
  <c r="L478" i="1"/>
  <c r="L477" i="1"/>
  <c r="L476" i="1"/>
  <c r="L474" i="1"/>
  <c r="L473" i="1"/>
  <c r="L472" i="1"/>
  <c r="L471" i="1"/>
  <c r="L470" i="1"/>
  <c r="L469" i="1"/>
  <c r="L468" i="1"/>
  <c r="L467" i="1"/>
  <c r="L466" i="1"/>
  <c r="L465" i="1"/>
  <c r="L464" i="1"/>
  <c r="L463" i="1"/>
  <c r="L462" i="1"/>
  <c r="L451" i="1"/>
  <c r="L450" i="1"/>
  <c r="L449" i="1"/>
  <c r="L448" i="1"/>
  <c r="L447" i="1"/>
  <c r="L445" i="1"/>
  <c r="L443" i="1"/>
  <c r="L442" i="1"/>
  <c r="L441" i="1"/>
  <c r="L440" i="1"/>
  <c r="L439" i="1"/>
  <c r="L438" i="1"/>
  <c r="L437" i="1"/>
  <c r="L436" i="1"/>
  <c r="L435" i="1"/>
  <c r="L433" i="1"/>
  <c r="L432" i="1"/>
  <c r="L431" i="1"/>
  <c r="L430" i="1"/>
  <c r="L429" i="1"/>
  <c r="L426" i="1"/>
  <c r="L425" i="1"/>
  <c r="L424" i="1"/>
  <c r="L418" i="1"/>
  <c r="L417" i="1"/>
  <c r="L416" i="1"/>
  <c r="L415" i="1"/>
  <c r="L414" i="1"/>
  <c r="L411" i="1"/>
  <c r="L410" i="1"/>
  <c r="L408" i="1"/>
  <c r="L406" i="1"/>
  <c r="L405" i="1"/>
  <c r="L403" i="1"/>
  <c r="L401" i="1"/>
  <c r="L400" i="1"/>
  <c r="L399" i="1"/>
  <c r="L398" i="1"/>
  <c r="L397" i="1"/>
  <c r="L396" i="1"/>
  <c r="L395" i="1"/>
  <c r="L394" i="1"/>
  <c r="L393" i="1"/>
  <c r="L392" i="1"/>
  <c r="L391" i="1"/>
  <c r="L390" i="1"/>
  <c r="L389" i="1"/>
  <c r="L388" i="1"/>
  <c r="L386" i="1"/>
  <c r="L385" i="1"/>
  <c r="L380" i="1"/>
  <c r="L375" i="1"/>
  <c r="L374" i="1"/>
  <c r="L373" i="1"/>
  <c r="L372" i="1"/>
  <c r="L371" i="1"/>
  <c r="L370" i="1"/>
  <c r="L369" i="1"/>
  <c r="L368" i="1"/>
  <c r="L367" i="1"/>
  <c r="L366" i="1"/>
  <c r="L365" i="1"/>
  <c r="L364" i="1"/>
  <c r="L362" i="1"/>
  <c r="L360" i="1"/>
  <c r="L359" i="1"/>
  <c r="L358" i="1"/>
  <c r="L357" i="1"/>
  <c r="L356" i="1"/>
  <c r="L355" i="1"/>
  <c r="L354" i="1"/>
  <c r="L353" i="1"/>
  <c r="L351" i="1"/>
  <c r="L350" i="1"/>
  <c r="L349" i="1"/>
  <c r="L348" i="1"/>
  <c r="L347" i="1"/>
  <c r="L346" i="1"/>
  <c r="L345" i="1"/>
  <c r="L344" i="1"/>
  <c r="L343" i="1"/>
  <c r="L342" i="1"/>
  <c r="L340" i="1"/>
  <c r="L338" i="1"/>
  <c r="L336" i="1"/>
  <c r="L335" i="1"/>
  <c r="L334" i="1"/>
  <c r="L332" i="1"/>
  <c r="L331" i="1"/>
  <c r="L330" i="1"/>
  <c r="L329" i="1"/>
  <c r="L328" i="1"/>
  <c r="L327" i="1"/>
  <c r="L326" i="1"/>
  <c r="L325" i="1"/>
  <c r="L324" i="1"/>
  <c r="L322" i="1"/>
  <c r="L321" i="1"/>
  <c r="L320" i="1"/>
  <c r="L319" i="1"/>
  <c r="L318" i="1"/>
  <c r="L316" i="1"/>
  <c r="L315" i="1"/>
  <c r="L313" i="1"/>
  <c r="L312" i="1"/>
  <c r="L311" i="1"/>
  <c r="L310" i="1"/>
  <c r="L309" i="1"/>
  <c r="L307" i="1"/>
  <c r="L306" i="1"/>
  <c r="L305" i="1"/>
  <c r="L304" i="1"/>
  <c r="L303" i="1"/>
  <c r="L302" i="1"/>
  <c r="L301" i="1"/>
  <c r="L300" i="1"/>
  <c r="L297" i="1"/>
  <c r="L296" i="1"/>
  <c r="L292" i="1"/>
  <c r="L291" i="1"/>
  <c r="L289" i="1"/>
  <c r="L288" i="1"/>
  <c r="L287" i="1"/>
  <c r="L286" i="1"/>
  <c r="L285" i="1"/>
  <c r="L284" i="1"/>
  <c r="L283" i="1"/>
  <c r="L282" i="1"/>
  <c r="L281" i="1"/>
  <c r="L280" i="1"/>
  <c r="L279" i="1"/>
  <c r="L278" i="1"/>
  <c r="L277" i="1"/>
  <c r="L276" i="1"/>
  <c r="L275" i="1"/>
  <c r="L273" i="1"/>
  <c r="L272" i="1"/>
  <c r="L271" i="1"/>
  <c r="L268" i="1"/>
  <c r="L261" i="1"/>
  <c r="L260" i="1"/>
  <c r="L259" i="1"/>
  <c r="L258" i="1"/>
  <c r="L257" i="1"/>
  <c r="L255" i="1"/>
  <c r="L254" i="1"/>
  <c r="L253" i="1"/>
  <c r="L252" i="1"/>
  <c r="L249" i="1"/>
  <c r="L248" i="1"/>
  <c r="L247" i="1"/>
  <c r="L246" i="1"/>
  <c r="L245" i="1"/>
  <c r="L243" i="1"/>
  <c r="L241" i="1"/>
  <c r="L240" i="1"/>
  <c r="L239" i="1"/>
  <c r="L238" i="1"/>
  <c r="L236" i="1"/>
  <c r="L235" i="1"/>
  <c r="L234" i="1"/>
  <c r="L232" i="1"/>
  <c r="L231" i="1"/>
  <c r="L227" i="1"/>
  <c r="L226" i="1"/>
  <c r="L225" i="1"/>
  <c r="L224" i="1"/>
  <c r="L223" i="1"/>
  <c r="L222" i="1"/>
  <c r="L220" i="1"/>
  <c r="L218" i="1"/>
  <c r="L217" i="1"/>
  <c r="L215" i="1"/>
  <c r="L209" i="1"/>
  <c r="L208" i="1"/>
  <c r="L207" i="1"/>
  <c r="L206" i="1"/>
  <c r="L205" i="1"/>
  <c r="L204" i="1"/>
  <c r="L203" i="1"/>
  <c r="L202" i="1"/>
  <c r="L201" i="1"/>
  <c r="L198" i="1"/>
  <c r="L197" i="1"/>
  <c r="L196" i="1"/>
  <c r="L195" i="1"/>
  <c r="L193" i="1"/>
  <c r="L191" i="1"/>
  <c r="L189" i="1"/>
  <c r="L187" i="1"/>
  <c r="L185" i="1"/>
  <c r="L183" i="1"/>
  <c r="L180" i="1"/>
  <c r="L176" i="1"/>
  <c r="L175" i="1"/>
  <c r="L174" i="1"/>
  <c r="L173" i="1"/>
  <c r="L172" i="1"/>
  <c r="L167" i="1"/>
  <c r="L166" i="1"/>
  <c r="L165" i="1"/>
  <c r="L164" i="1"/>
  <c r="L163" i="1"/>
  <c r="L161" i="1"/>
  <c r="L159" i="1"/>
  <c r="L158" i="1"/>
  <c r="L157" i="1"/>
  <c r="L156" i="1"/>
  <c r="L155" i="1"/>
  <c r="L154" i="1"/>
  <c r="L153" i="1"/>
  <c r="L152" i="1"/>
  <c r="L151" i="1"/>
  <c r="L150" i="1"/>
  <c r="L149" i="1"/>
  <c r="L148" i="1"/>
  <c r="L146" i="1"/>
  <c r="L145" i="1"/>
  <c r="L144" i="1"/>
  <c r="L143" i="1"/>
  <c r="L141" i="1"/>
  <c r="L140" i="1"/>
  <c r="L139" i="1"/>
  <c r="L138" i="1"/>
  <c r="L136" i="1"/>
  <c r="L135" i="1"/>
  <c r="L134" i="1"/>
  <c r="L133" i="1"/>
  <c r="L132" i="1"/>
  <c r="L131" i="1"/>
  <c r="L130" i="1"/>
  <c r="L129" i="1"/>
  <c r="L128" i="1"/>
  <c r="L127" i="1"/>
  <c r="L126" i="1"/>
  <c r="L125" i="1"/>
  <c r="L124" i="1"/>
  <c r="L123" i="1"/>
  <c r="L120" i="1"/>
  <c r="L118" i="1"/>
  <c r="L117" i="1"/>
  <c r="L115" i="1"/>
  <c r="L114" i="1"/>
  <c r="L112" i="1"/>
  <c r="L111" i="1"/>
  <c r="L110" i="1"/>
  <c r="L108" i="1"/>
  <c r="L107" i="1"/>
  <c r="L105" i="1"/>
  <c r="L104" i="1"/>
  <c r="L103" i="1"/>
  <c r="L102" i="1"/>
  <c r="L100" i="1"/>
  <c r="L99" i="1"/>
  <c r="L98" i="1"/>
  <c r="L96" i="1"/>
  <c r="L95" i="1"/>
  <c r="L94" i="1"/>
  <c r="L91" i="1"/>
  <c r="L90" i="1"/>
  <c r="L89" i="1"/>
  <c r="L88" i="1"/>
  <c r="L87" i="1"/>
  <c r="L86" i="1"/>
  <c r="L85" i="1"/>
  <c r="L84" i="1"/>
  <c r="L83" i="1"/>
  <c r="L82" i="1"/>
  <c r="L81" i="1"/>
  <c r="L78" i="1"/>
  <c r="L77" i="1"/>
  <c r="L76" i="1"/>
  <c r="L75" i="1"/>
  <c r="L74" i="1"/>
  <c r="L73" i="1"/>
  <c r="L72" i="1"/>
  <c r="L71" i="1"/>
  <c r="L70" i="1"/>
  <c r="L69" i="1"/>
  <c r="L67" i="1"/>
  <c r="L66" i="1"/>
  <c r="L65" i="1"/>
  <c r="L64" i="1"/>
  <c r="L63" i="1"/>
  <c r="L62" i="1"/>
  <c r="L61" i="1"/>
  <c r="L60" i="1"/>
  <c r="L59" i="1"/>
  <c r="L58" i="1"/>
  <c r="L57" i="1"/>
  <c r="L56" i="1"/>
  <c r="L55" i="1"/>
  <c r="L54" i="1"/>
  <c r="L53" i="1"/>
  <c r="L52" i="1"/>
  <c r="L51" i="1"/>
  <c r="L50" i="1"/>
  <c r="L49" i="1"/>
  <c r="L47" i="1"/>
  <c r="L46" i="1"/>
  <c r="L45" i="1"/>
  <c r="L43" i="1"/>
  <c r="L40" i="1"/>
  <c r="L38" i="1"/>
  <c r="L37" i="1"/>
  <c r="L36" i="1"/>
  <c r="L33" i="1"/>
  <c r="L31" i="1"/>
  <c r="L30" i="1"/>
  <c r="L29" i="1"/>
  <c r="L27" i="1"/>
  <c r="L26" i="1"/>
  <c r="L25" i="1"/>
  <c r="L24" i="1"/>
  <c r="L23" i="1"/>
  <c r="L22" i="1"/>
  <c r="L21" i="1"/>
  <c r="L15" i="1"/>
  <c r="L14" i="1"/>
  <c r="L13" i="1"/>
  <c r="L12" i="1"/>
  <c r="L11" i="1"/>
  <c r="L10" i="1"/>
  <c r="L9" i="1"/>
  <c r="L8" i="1"/>
  <c r="L7" i="1"/>
  <c r="L6" i="1"/>
  <c r="L5" i="1"/>
  <c r="L4" i="1"/>
  <c r="L3" i="1"/>
  <c r="CU666" i="1"/>
  <c r="CU651" i="1"/>
  <c r="CU523" i="1"/>
  <c r="CU471" i="1"/>
  <c r="CU317" i="1"/>
  <c r="CU209" i="1"/>
  <c r="CU200" i="1"/>
  <c r="CN284" i="1"/>
  <c r="CO284" i="1" s="1"/>
  <c r="CP284" i="1" s="1"/>
  <c r="CN301" i="1"/>
  <c r="CO301" i="1" s="1"/>
  <c r="CP301" i="1" s="1"/>
  <c r="CN302" i="1"/>
  <c r="BV809" i="2"/>
  <c r="BV808" i="2"/>
  <c r="BV782" i="2"/>
  <c r="BV781" i="2"/>
  <c r="BV780" i="2"/>
  <c r="BV715" i="2"/>
  <c r="BV713" i="2"/>
  <c r="BV712" i="2"/>
  <c r="BV632" i="2"/>
  <c r="BV626" i="2"/>
  <c r="BV611" i="2"/>
  <c r="BV610" i="2"/>
  <c r="BJ604" i="2"/>
  <c r="BV604" i="2"/>
  <c r="BV605" i="2"/>
  <c r="BV494" i="2"/>
  <c r="BV492" i="2"/>
  <c r="BV448" i="2"/>
  <c r="BW448" i="2" s="1"/>
  <c r="BX448" i="2" s="1"/>
  <c r="BV447" i="2"/>
  <c r="BV417" i="2"/>
  <c r="BV413" i="2"/>
  <c r="BV315" i="2"/>
  <c r="BV299" i="2"/>
  <c r="BW299" i="2" s="1"/>
  <c r="BX299" i="2" s="1"/>
  <c r="BV282" i="2"/>
  <c r="BW282" i="2" s="1"/>
  <c r="BX282" i="2" s="1"/>
  <c r="BV258" i="2"/>
  <c r="BV206" i="2"/>
  <c r="BW206" i="2" s="1"/>
  <c r="BV205" i="2"/>
  <c r="BW205" i="2" s="1"/>
  <c r="BX205" i="2" s="1"/>
  <c r="BV204" i="2"/>
  <c r="BW204" i="2" s="1"/>
  <c r="BV110" i="2"/>
  <c r="BW110" i="2" s="1"/>
  <c r="BV28" i="2"/>
  <c r="BW28" i="2" s="1"/>
  <c r="BJ808" i="2"/>
  <c r="BJ775" i="2"/>
  <c r="BJ715" i="2"/>
  <c r="BJ713" i="2"/>
  <c r="BJ712" i="2"/>
  <c r="BJ611" i="2"/>
  <c r="BJ610" i="2"/>
  <c r="BJ605" i="2"/>
  <c r="BJ494" i="2"/>
  <c r="BJ492" i="2"/>
  <c r="BJ456" i="2"/>
  <c r="BJ453" i="2"/>
  <c r="BJ451" i="2"/>
  <c r="BJ448" i="2"/>
  <c r="BJ447" i="2"/>
  <c r="BJ417" i="2"/>
  <c r="BJ315" i="2"/>
  <c r="BJ299" i="2"/>
  <c r="BJ298" i="2"/>
  <c r="BJ282" i="2"/>
  <c r="BJ258" i="2"/>
  <c r="BJ209" i="2"/>
  <c r="BJ205" i="2"/>
  <c r="BJ204" i="2"/>
  <c r="BK204" i="2" s="1"/>
  <c r="BJ110" i="2"/>
  <c r="BK110" i="2" s="1"/>
  <c r="BJ66" i="2"/>
  <c r="BJ26" i="2"/>
  <c r="BK26" i="2" s="1"/>
  <c r="BJ28" i="2"/>
  <c r="BD742" i="2"/>
  <c r="BD731" i="2"/>
  <c r="BD727" i="2"/>
  <c r="BD531" i="2"/>
  <c r="BD274" i="2"/>
  <c r="BD273" i="2"/>
  <c r="BE273" i="2" s="1"/>
  <c r="BF273" i="2" s="1"/>
  <c r="BD209" i="2"/>
  <c r="BE209" i="2" s="1"/>
  <c r="BF209" i="2" s="1"/>
  <c r="BD208" i="2"/>
  <c r="BD207" i="2"/>
  <c r="BE207" i="2" s="1"/>
  <c r="BF207" i="2" s="1"/>
  <c r="AL476" i="2"/>
  <c r="AL71" i="2"/>
  <c r="AM71" i="2" s="1"/>
  <c r="AL70" i="2"/>
  <c r="EE70" i="2" s="1"/>
  <c r="AL69" i="2"/>
  <c r="AM69" i="2" s="1"/>
  <c r="AL66" i="2"/>
  <c r="AM66" i="2" s="1"/>
  <c r="Z710" i="2"/>
  <c r="Z285" i="2"/>
  <c r="Z284" i="2"/>
  <c r="Z273" i="2"/>
  <c r="Z209" i="2"/>
  <c r="Z201" i="2"/>
  <c r="AA201" i="2" s="1"/>
  <c r="T750" i="2"/>
  <c r="T748" i="2"/>
  <c r="T720" i="2"/>
  <c r="T709" i="2"/>
  <c r="T705" i="2"/>
  <c r="T575" i="2"/>
  <c r="T570" i="2"/>
  <c r="T452" i="2"/>
  <c r="T323" i="2"/>
  <c r="T171" i="2"/>
  <c r="U171" i="2" s="1"/>
  <c r="V171" i="2" s="1"/>
  <c r="T168" i="2"/>
  <c r="U168" i="2" s="1"/>
  <c r="V168" i="2" s="1"/>
  <c r="T170" i="2"/>
  <c r="U170" i="2" s="1"/>
  <c r="V170" i="2" s="1"/>
  <c r="T169" i="2"/>
  <c r="U169" i="2" s="1"/>
  <c r="T167" i="2"/>
  <c r="U167" i="2" s="1"/>
  <c r="BP816" i="2"/>
  <c r="BP766" i="2"/>
  <c r="BP752" i="2"/>
  <c r="BP748" i="2"/>
  <c r="BQ748" i="2" s="1"/>
  <c r="BR748" i="2" s="1"/>
  <c r="BP653" i="2"/>
  <c r="BP478" i="2"/>
  <c r="BP323" i="2"/>
  <c r="BQ323" i="2" s="1"/>
  <c r="BR323" i="2" s="1"/>
  <c r="BP305" i="2"/>
  <c r="BP298" i="2"/>
  <c r="BQ298" i="2" s="1"/>
  <c r="BR298" i="2" s="1"/>
  <c r="BP208" i="2"/>
  <c r="BQ208" i="2" s="1"/>
  <c r="BR208" i="2" s="1"/>
  <c r="BP201" i="2"/>
  <c r="BQ201" i="2" s="1"/>
  <c r="BR201" i="2" s="1"/>
  <c r="BP174" i="2"/>
  <c r="BQ174" i="2" s="1"/>
  <c r="BR174" i="2" s="1"/>
  <c r="BP106" i="2"/>
  <c r="BQ106" i="2" s="1"/>
  <c r="BR106" i="2" s="1"/>
  <c r="BP105" i="2"/>
  <c r="BQ105" i="2" s="1"/>
  <c r="BR105" i="2" s="1"/>
  <c r="BJ771" i="2"/>
  <c r="BJ769" i="2"/>
  <c r="BJ632" i="2"/>
  <c r="BJ627" i="2"/>
  <c r="BJ626" i="2"/>
  <c r="BD484" i="2"/>
  <c r="B459" i="2"/>
  <c r="C398" i="2"/>
  <c r="C346" i="2"/>
  <c r="BJ201" i="2"/>
  <c r="BK201" i="2" s="1"/>
  <c r="BL201" i="2" s="1"/>
  <c r="BD201" i="2"/>
  <c r="C97" i="2"/>
  <c r="EE24" i="2"/>
  <c r="B227" i="2"/>
  <c r="BP543" i="1"/>
  <c r="BQ543" i="1" s="1"/>
  <c r="BR543" i="1" s="1"/>
  <c r="AR515" i="1"/>
  <c r="AS515" i="1" s="1"/>
  <c r="AT515" i="1" s="1"/>
  <c r="B732" i="2"/>
  <c r="AL806" i="1"/>
  <c r="T515" i="1"/>
  <c r="D831" i="2"/>
  <c r="C831" i="2"/>
  <c r="B831" i="2"/>
  <c r="A831" i="2"/>
  <c r="C6" i="7" s="1"/>
  <c r="D830" i="2"/>
  <c r="C830" i="2"/>
  <c r="B830" i="2"/>
  <c r="A830" i="2"/>
  <c r="D829" i="2"/>
  <c r="C829" i="2"/>
  <c r="B829" i="2"/>
  <c r="A829" i="2"/>
  <c r="D828" i="2"/>
  <c r="C828" i="2"/>
  <c r="B828" i="2"/>
  <c r="A828" i="2"/>
  <c r="D827" i="2"/>
  <c r="C827" i="2"/>
  <c r="B827" i="2"/>
  <c r="A827" i="2"/>
  <c r="D826" i="2"/>
  <c r="C826" i="2"/>
  <c r="B826" i="2"/>
  <c r="A826" i="2"/>
  <c r="D825" i="2"/>
  <c r="C825" i="2"/>
  <c r="B825" i="2"/>
  <c r="A825" i="2"/>
  <c r="D824" i="2"/>
  <c r="C824" i="2"/>
  <c r="B824" i="2"/>
  <c r="A824" i="2"/>
  <c r="D823" i="2"/>
  <c r="C823" i="2"/>
  <c r="B823" i="2"/>
  <c r="A823" i="2"/>
  <c r="D822" i="2"/>
  <c r="C822" i="2"/>
  <c r="B822" i="2"/>
  <c r="A822" i="2"/>
  <c r="D821" i="2"/>
  <c r="C821" i="2"/>
  <c r="B821" i="2"/>
  <c r="A821" i="2"/>
  <c r="D820" i="2"/>
  <c r="C820" i="2"/>
  <c r="B820" i="2"/>
  <c r="A820" i="2"/>
  <c r="D819" i="2"/>
  <c r="C819" i="2"/>
  <c r="B819" i="2"/>
  <c r="A819" i="2"/>
  <c r="D818" i="2"/>
  <c r="C818" i="2"/>
  <c r="B818" i="2"/>
  <c r="A818" i="2"/>
  <c r="D817" i="2"/>
  <c r="C817" i="2"/>
  <c r="B817" i="2"/>
  <c r="A817" i="2"/>
  <c r="D816" i="2"/>
  <c r="C816" i="2"/>
  <c r="B816" i="2"/>
  <c r="A816" i="2"/>
  <c r="D815" i="2"/>
  <c r="C815" i="2"/>
  <c r="B815" i="2"/>
  <c r="A815" i="2"/>
  <c r="D814" i="2"/>
  <c r="C814" i="2"/>
  <c r="B814" i="2"/>
  <c r="A814" i="2"/>
  <c r="D813" i="2"/>
  <c r="C813" i="2"/>
  <c r="B813" i="2"/>
  <c r="A813" i="2"/>
  <c r="D812" i="2"/>
  <c r="C812" i="2"/>
  <c r="B812" i="2"/>
  <c r="A812" i="2"/>
  <c r="D811" i="2"/>
  <c r="C811" i="2"/>
  <c r="B811" i="2"/>
  <c r="A811" i="2"/>
  <c r="D810" i="2"/>
  <c r="C810" i="2"/>
  <c r="B810" i="2"/>
  <c r="A810" i="2"/>
  <c r="D809" i="2"/>
  <c r="C809" i="2"/>
  <c r="B809" i="2"/>
  <c r="A809" i="2"/>
  <c r="D808" i="2"/>
  <c r="C808" i="2"/>
  <c r="B808" i="2"/>
  <c r="A808" i="2"/>
  <c r="D807" i="2"/>
  <c r="C807" i="2"/>
  <c r="B807" i="2"/>
  <c r="A807" i="2"/>
  <c r="D806" i="2"/>
  <c r="C806" i="2"/>
  <c r="B806" i="2"/>
  <c r="A806" i="2"/>
  <c r="D805" i="2"/>
  <c r="C805" i="2"/>
  <c r="B805" i="2"/>
  <c r="A805" i="2"/>
  <c r="D804" i="2"/>
  <c r="C804" i="2"/>
  <c r="B804" i="2"/>
  <c r="A804" i="2"/>
  <c r="D803" i="2"/>
  <c r="C803" i="2"/>
  <c r="B803" i="2"/>
  <c r="A803" i="2"/>
  <c r="D802" i="2"/>
  <c r="C802" i="2"/>
  <c r="B802" i="2"/>
  <c r="A802" i="2"/>
  <c r="D801" i="2"/>
  <c r="C801" i="2"/>
  <c r="B801" i="2"/>
  <c r="A801" i="2"/>
  <c r="D800" i="2"/>
  <c r="C800" i="2"/>
  <c r="B800" i="2"/>
  <c r="A800" i="2"/>
  <c r="D799" i="2"/>
  <c r="C799" i="2"/>
  <c r="B799" i="2"/>
  <c r="A799" i="2"/>
  <c r="D798" i="2"/>
  <c r="C798" i="2"/>
  <c r="B798" i="2"/>
  <c r="A798" i="2"/>
  <c r="D797" i="2"/>
  <c r="C797" i="2"/>
  <c r="B797" i="2"/>
  <c r="A797" i="2"/>
  <c r="D796" i="2"/>
  <c r="C796" i="2"/>
  <c r="B796" i="2"/>
  <c r="A796" i="2"/>
  <c r="D795" i="2"/>
  <c r="C795" i="2"/>
  <c r="B795" i="2"/>
  <c r="A795" i="2"/>
  <c r="D794" i="2"/>
  <c r="C794" i="2"/>
  <c r="B794" i="2"/>
  <c r="A794" i="2"/>
  <c r="D793" i="2"/>
  <c r="C793" i="2"/>
  <c r="B793" i="2"/>
  <c r="A793" i="2"/>
  <c r="D792" i="2"/>
  <c r="C792" i="2"/>
  <c r="B792" i="2"/>
  <c r="A792" i="2"/>
  <c r="D791" i="2"/>
  <c r="C791" i="2"/>
  <c r="B791" i="2"/>
  <c r="A791" i="2"/>
  <c r="D790" i="2"/>
  <c r="C790" i="2"/>
  <c r="B790" i="2"/>
  <c r="A790" i="2"/>
  <c r="D789" i="2"/>
  <c r="C789" i="2"/>
  <c r="B789" i="2"/>
  <c r="A789" i="2"/>
  <c r="D788" i="2"/>
  <c r="C788" i="2"/>
  <c r="B788" i="2"/>
  <c r="A788" i="2"/>
  <c r="D787" i="2"/>
  <c r="C787" i="2"/>
  <c r="B787" i="2"/>
  <c r="A787" i="2"/>
  <c r="D786" i="2"/>
  <c r="C786" i="2"/>
  <c r="B786" i="2"/>
  <c r="A786" i="2"/>
  <c r="D785" i="2"/>
  <c r="C785" i="2"/>
  <c r="B785" i="2"/>
  <c r="A785" i="2"/>
  <c r="D784" i="2"/>
  <c r="C784" i="2"/>
  <c r="B784" i="2"/>
  <c r="A784" i="2"/>
  <c r="D783" i="2"/>
  <c r="C783" i="2"/>
  <c r="B783" i="2"/>
  <c r="A783" i="2"/>
  <c r="D782" i="2"/>
  <c r="C782" i="2"/>
  <c r="B782" i="2"/>
  <c r="A782" i="2"/>
  <c r="D781" i="2"/>
  <c r="C781" i="2"/>
  <c r="B781" i="2"/>
  <c r="A781" i="2"/>
  <c r="D780" i="2"/>
  <c r="C780" i="2"/>
  <c r="B780" i="2"/>
  <c r="A780" i="2"/>
  <c r="D779" i="2"/>
  <c r="C779" i="2"/>
  <c r="B779" i="2"/>
  <c r="A779" i="2"/>
  <c r="D778" i="2"/>
  <c r="C778" i="2"/>
  <c r="B778" i="2"/>
  <c r="A778" i="2"/>
  <c r="D777" i="2"/>
  <c r="C777" i="2"/>
  <c r="B777" i="2"/>
  <c r="A777" i="2"/>
  <c r="D776" i="2"/>
  <c r="C776" i="2"/>
  <c r="B776" i="2"/>
  <c r="A776" i="2"/>
  <c r="D775" i="2"/>
  <c r="C775" i="2"/>
  <c r="B775" i="2"/>
  <c r="A775" i="2"/>
  <c r="D774" i="2"/>
  <c r="C774" i="2"/>
  <c r="B774" i="2"/>
  <c r="A774" i="2"/>
  <c r="D773" i="2"/>
  <c r="C773" i="2"/>
  <c r="B773" i="2"/>
  <c r="A773" i="2"/>
  <c r="D772" i="2"/>
  <c r="C772" i="2"/>
  <c r="B772" i="2"/>
  <c r="A772" i="2"/>
  <c r="D771" i="2"/>
  <c r="C771" i="2"/>
  <c r="B771" i="2"/>
  <c r="A771" i="2"/>
  <c r="D770" i="2"/>
  <c r="C770" i="2"/>
  <c r="B770" i="2"/>
  <c r="A770" i="2"/>
  <c r="D769" i="2"/>
  <c r="C769" i="2"/>
  <c r="B769" i="2"/>
  <c r="A769" i="2"/>
  <c r="D768" i="2"/>
  <c r="C768" i="2"/>
  <c r="B768" i="2"/>
  <c r="A768" i="2"/>
  <c r="D767" i="2"/>
  <c r="C767" i="2"/>
  <c r="B767" i="2"/>
  <c r="A767" i="2"/>
  <c r="D766" i="2"/>
  <c r="C766" i="2"/>
  <c r="B766" i="2"/>
  <c r="A766" i="2"/>
  <c r="D765" i="2"/>
  <c r="C765" i="2"/>
  <c r="B765" i="2"/>
  <c r="A765" i="2"/>
  <c r="D764" i="2"/>
  <c r="C764" i="2"/>
  <c r="B764" i="2"/>
  <c r="A764" i="2"/>
  <c r="D763" i="2"/>
  <c r="C763" i="2"/>
  <c r="B763" i="2"/>
  <c r="A763" i="2"/>
  <c r="D762" i="2"/>
  <c r="C762" i="2"/>
  <c r="B762" i="2"/>
  <c r="A762" i="2"/>
  <c r="D761" i="2"/>
  <c r="C761" i="2"/>
  <c r="B761" i="2"/>
  <c r="A761" i="2"/>
  <c r="D760" i="2"/>
  <c r="C760" i="2"/>
  <c r="B760" i="2"/>
  <c r="A760" i="2"/>
  <c r="D759" i="2"/>
  <c r="C759" i="2"/>
  <c r="B759" i="2"/>
  <c r="A759" i="2"/>
  <c r="D758" i="2"/>
  <c r="C758" i="2"/>
  <c r="B758" i="2"/>
  <c r="A758" i="2"/>
  <c r="D757" i="2"/>
  <c r="C757" i="2"/>
  <c r="B757" i="2"/>
  <c r="A757" i="2"/>
  <c r="D756" i="2"/>
  <c r="C756" i="2"/>
  <c r="B756" i="2"/>
  <c r="A756" i="2"/>
  <c r="D755" i="2"/>
  <c r="C755" i="2"/>
  <c r="B755" i="2"/>
  <c r="A755" i="2"/>
  <c r="D754" i="2"/>
  <c r="C754" i="2"/>
  <c r="B754" i="2"/>
  <c r="A754" i="2"/>
  <c r="D753" i="2"/>
  <c r="C753" i="2"/>
  <c r="B753" i="2"/>
  <c r="A753" i="2"/>
  <c r="D752" i="2"/>
  <c r="C752" i="2"/>
  <c r="B752" i="2"/>
  <c r="A752" i="2"/>
  <c r="D751" i="2"/>
  <c r="C751" i="2"/>
  <c r="B751" i="2"/>
  <c r="A751" i="2"/>
  <c r="D750" i="2"/>
  <c r="C750" i="2"/>
  <c r="B750" i="2"/>
  <c r="A750" i="2"/>
  <c r="D749" i="2"/>
  <c r="C749" i="2"/>
  <c r="B749" i="2"/>
  <c r="A749" i="2"/>
  <c r="D748" i="2"/>
  <c r="C748" i="2"/>
  <c r="B748" i="2"/>
  <c r="A748" i="2"/>
  <c r="D747" i="2"/>
  <c r="C747" i="2"/>
  <c r="B747" i="2"/>
  <c r="A747" i="2"/>
  <c r="D746" i="2"/>
  <c r="C746" i="2"/>
  <c r="B746" i="2"/>
  <c r="A746" i="2"/>
  <c r="D745" i="2"/>
  <c r="C745" i="2"/>
  <c r="B745" i="2"/>
  <c r="A745" i="2"/>
  <c r="D744" i="2"/>
  <c r="C744" i="2"/>
  <c r="B744" i="2"/>
  <c r="A744" i="2"/>
  <c r="D743" i="2"/>
  <c r="C743" i="2"/>
  <c r="B743" i="2"/>
  <c r="A743" i="2"/>
  <c r="D742" i="2"/>
  <c r="C742" i="2"/>
  <c r="B742" i="2"/>
  <c r="A742" i="2"/>
  <c r="D741" i="2"/>
  <c r="C741" i="2"/>
  <c r="B741" i="2"/>
  <c r="A741" i="2"/>
  <c r="D740" i="2"/>
  <c r="C740" i="2"/>
  <c r="B740" i="2"/>
  <c r="A740" i="2"/>
  <c r="D739" i="2"/>
  <c r="C739" i="2"/>
  <c r="B739" i="2"/>
  <c r="A739" i="2"/>
  <c r="D738" i="2"/>
  <c r="C738" i="2"/>
  <c r="B738" i="2"/>
  <c r="A738" i="2"/>
  <c r="D737" i="2"/>
  <c r="C737" i="2"/>
  <c r="B737" i="2"/>
  <c r="A737" i="2"/>
  <c r="D736" i="2"/>
  <c r="C736" i="2"/>
  <c r="B736" i="2"/>
  <c r="A736" i="2"/>
  <c r="D735" i="2"/>
  <c r="C735" i="2"/>
  <c r="B735" i="2"/>
  <c r="A735" i="2"/>
  <c r="D734" i="2"/>
  <c r="C734" i="2"/>
  <c r="B734" i="2"/>
  <c r="A734" i="2"/>
  <c r="D733" i="2"/>
  <c r="C733" i="2"/>
  <c r="B733" i="2"/>
  <c r="A733" i="2"/>
  <c r="D732" i="2"/>
  <c r="C732" i="2"/>
  <c r="A732" i="2"/>
  <c r="D731" i="2"/>
  <c r="C731" i="2"/>
  <c r="B731" i="2"/>
  <c r="A731" i="2"/>
  <c r="D730" i="2"/>
  <c r="C730" i="2"/>
  <c r="B730" i="2"/>
  <c r="A730" i="2"/>
  <c r="D729" i="2"/>
  <c r="C729" i="2"/>
  <c r="B729" i="2"/>
  <c r="A729" i="2"/>
  <c r="D728" i="2"/>
  <c r="C728" i="2"/>
  <c r="B728" i="2"/>
  <c r="A728" i="2"/>
  <c r="D727" i="2"/>
  <c r="C727" i="2"/>
  <c r="B727" i="2"/>
  <c r="A727" i="2"/>
  <c r="D726" i="2"/>
  <c r="C726" i="2"/>
  <c r="B726" i="2"/>
  <c r="A726" i="2"/>
  <c r="D725" i="2"/>
  <c r="C725" i="2"/>
  <c r="B725" i="2"/>
  <c r="A725" i="2"/>
  <c r="D724" i="2"/>
  <c r="C724" i="2"/>
  <c r="B724" i="2"/>
  <c r="A724" i="2"/>
  <c r="D723" i="2"/>
  <c r="C723" i="2"/>
  <c r="B723" i="2"/>
  <c r="A723" i="2"/>
  <c r="D722" i="2"/>
  <c r="C722" i="2"/>
  <c r="B722" i="2"/>
  <c r="A722" i="2"/>
  <c r="D721" i="2"/>
  <c r="C721" i="2"/>
  <c r="B721" i="2"/>
  <c r="A721" i="2"/>
  <c r="D720" i="2"/>
  <c r="C720" i="2"/>
  <c r="B720" i="2"/>
  <c r="A720" i="2"/>
  <c r="D719" i="2"/>
  <c r="C719" i="2"/>
  <c r="B719" i="2"/>
  <c r="A719" i="2"/>
  <c r="D718" i="2"/>
  <c r="C718" i="2"/>
  <c r="B718" i="2"/>
  <c r="A718" i="2"/>
  <c r="D717" i="2"/>
  <c r="C717" i="2"/>
  <c r="B717" i="2"/>
  <c r="A717" i="2"/>
  <c r="D716" i="2"/>
  <c r="C716" i="2"/>
  <c r="B716" i="2"/>
  <c r="A716" i="2"/>
  <c r="D715" i="2"/>
  <c r="C715" i="2"/>
  <c r="B715" i="2"/>
  <c r="A715" i="2"/>
  <c r="D714" i="2"/>
  <c r="C714" i="2"/>
  <c r="B714" i="2"/>
  <c r="A714" i="2"/>
  <c r="D713" i="2"/>
  <c r="C713" i="2"/>
  <c r="B713" i="2"/>
  <c r="A713" i="2"/>
  <c r="D712" i="2"/>
  <c r="C712" i="2"/>
  <c r="B712" i="2"/>
  <c r="A712" i="2"/>
  <c r="D711" i="2"/>
  <c r="C711" i="2"/>
  <c r="B711" i="2"/>
  <c r="A711" i="2"/>
  <c r="D710" i="2"/>
  <c r="C710" i="2"/>
  <c r="B710" i="2"/>
  <c r="A710" i="2"/>
  <c r="D709" i="2"/>
  <c r="C709" i="2"/>
  <c r="B709" i="2"/>
  <c r="A709" i="2"/>
  <c r="D708" i="2"/>
  <c r="C708" i="2"/>
  <c r="B708" i="2"/>
  <c r="A708" i="2"/>
  <c r="D707" i="2"/>
  <c r="C707" i="2"/>
  <c r="B707" i="2"/>
  <c r="A707" i="2"/>
  <c r="D706" i="2"/>
  <c r="C706" i="2"/>
  <c r="B706" i="2"/>
  <c r="A706" i="2"/>
  <c r="D705" i="2"/>
  <c r="C705" i="2"/>
  <c r="B705" i="2"/>
  <c r="A705" i="2"/>
  <c r="D704" i="2"/>
  <c r="C704" i="2"/>
  <c r="B704" i="2"/>
  <c r="A704" i="2"/>
  <c r="D703" i="2"/>
  <c r="C703" i="2"/>
  <c r="B703" i="2"/>
  <c r="A703" i="2"/>
  <c r="D702" i="2"/>
  <c r="C702" i="2"/>
  <c r="B702" i="2"/>
  <c r="A702" i="2"/>
  <c r="D701" i="2"/>
  <c r="C701" i="2"/>
  <c r="B701" i="2"/>
  <c r="A701" i="2"/>
  <c r="D700" i="2"/>
  <c r="C700" i="2"/>
  <c r="B700" i="2"/>
  <c r="A700" i="2"/>
  <c r="D699" i="2"/>
  <c r="C699" i="2"/>
  <c r="B699" i="2"/>
  <c r="A699" i="2"/>
  <c r="D698" i="2"/>
  <c r="C698" i="2"/>
  <c r="B698" i="2"/>
  <c r="A698" i="2"/>
  <c r="D697" i="2"/>
  <c r="C697" i="2"/>
  <c r="B697" i="2"/>
  <c r="A697" i="2"/>
  <c r="D696" i="2"/>
  <c r="C696" i="2"/>
  <c r="B696" i="2"/>
  <c r="A696" i="2"/>
  <c r="D695" i="2"/>
  <c r="C695" i="2"/>
  <c r="B695" i="2"/>
  <c r="A695" i="2"/>
  <c r="D694" i="2"/>
  <c r="C694" i="2"/>
  <c r="B694" i="2"/>
  <c r="A694" i="2"/>
  <c r="D693" i="2"/>
  <c r="C693" i="2"/>
  <c r="B693" i="2"/>
  <c r="A693" i="2"/>
  <c r="D692" i="2"/>
  <c r="C692" i="2"/>
  <c r="B692" i="2"/>
  <c r="A692" i="2"/>
  <c r="D691" i="2"/>
  <c r="C691" i="2"/>
  <c r="B691" i="2"/>
  <c r="A691" i="2"/>
  <c r="D690" i="2"/>
  <c r="C690" i="2"/>
  <c r="B690" i="2"/>
  <c r="A690" i="2"/>
  <c r="D689" i="2"/>
  <c r="C689" i="2"/>
  <c r="B689" i="2"/>
  <c r="A689" i="2"/>
  <c r="D688" i="2"/>
  <c r="C688" i="2"/>
  <c r="B688" i="2"/>
  <c r="A688" i="2"/>
  <c r="D687" i="2"/>
  <c r="C687" i="2"/>
  <c r="B687" i="2"/>
  <c r="A687" i="2"/>
  <c r="D686" i="2"/>
  <c r="C686" i="2"/>
  <c r="B686" i="2"/>
  <c r="A686" i="2"/>
  <c r="D685" i="2"/>
  <c r="C685" i="2"/>
  <c r="B685" i="2"/>
  <c r="A685" i="2"/>
  <c r="D684" i="2"/>
  <c r="C684" i="2"/>
  <c r="B684" i="2"/>
  <c r="A684" i="2"/>
  <c r="D683" i="2"/>
  <c r="C683" i="2"/>
  <c r="B683" i="2"/>
  <c r="A683" i="2"/>
  <c r="D682" i="2"/>
  <c r="C682" i="2"/>
  <c r="B682" i="2"/>
  <c r="A682" i="2"/>
  <c r="D681" i="2"/>
  <c r="C681" i="2"/>
  <c r="B681" i="2"/>
  <c r="A681" i="2"/>
  <c r="D680" i="2"/>
  <c r="C680" i="2"/>
  <c r="B680" i="2"/>
  <c r="A680" i="2"/>
  <c r="D679" i="2"/>
  <c r="C679" i="2"/>
  <c r="B679" i="2"/>
  <c r="A679" i="2"/>
  <c r="D678" i="2"/>
  <c r="C678" i="2"/>
  <c r="B678" i="2"/>
  <c r="A678" i="2"/>
  <c r="D677" i="2"/>
  <c r="C677" i="2"/>
  <c r="B677" i="2"/>
  <c r="A677" i="2"/>
  <c r="D676" i="2"/>
  <c r="C676" i="2"/>
  <c r="B676" i="2"/>
  <c r="A676" i="2"/>
  <c r="D675" i="2"/>
  <c r="C675" i="2"/>
  <c r="B675" i="2"/>
  <c r="A675" i="2"/>
  <c r="D674" i="2"/>
  <c r="C674" i="2"/>
  <c r="B674" i="2"/>
  <c r="A674" i="2"/>
  <c r="D673" i="2"/>
  <c r="C673" i="2"/>
  <c r="B673" i="2"/>
  <c r="A673" i="2"/>
  <c r="D672" i="2"/>
  <c r="C672" i="2"/>
  <c r="B672" i="2"/>
  <c r="A672" i="2"/>
  <c r="D671" i="2"/>
  <c r="C671" i="2"/>
  <c r="B671" i="2"/>
  <c r="A671" i="2"/>
  <c r="D670" i="2"/>
  <c r="C670" i="2"/>
  <c r="B670" i="2"/>
  <c r="A670" i="2"/>
  <c r="D669" i="2"/>
  <c r="C669" i="2"/>
  <c r="B669" i="2"/>
  <c r="A669" i="2"/>
  <c r="D668" i="2"/>
  <c r="C668" i="2"/>
  <c r="B668" i="2"/>
  <c r="A668" i="2"/>
  <c r="D667" i="2"/>
  <c r="C667" i="2"/>
  <c r="B667" i="2"/>
  <c r="A667" i="2"/>
  <c r="D666" i="2"/>
  <c r="C666" i="2"/>
  <c r="B666" i="2"/>
  <c r="A666" i="2"/>
  <c r="D665" i="2"/>
  <c r="C665" i="2"/>
  <c r="B665" i="2"/>
  <c r="A665" i="2"/>
  <c r="D664" i="2"/>
  <c r="C664" i="2"/>
  <c r="B664" i="2"/>
  <c r="A664" i="2"/>
  <c r="D663" i="2"/>
  <c r="C663" i="2"/>
  <c r="B663" i="2"/>
  <c r="A663" i="2"/>
  <c r="D662" i="2"/>
  <c r="C662" i="2"/>
  <c r="B662" i="2"/>
  <c r="A662" i="2"/>
  <c r="D661" i="2"/>
  <c r="C661" i="2"/>
  <c r="B661" i="2"/>
  <c r="A661" i="2"/>
  <c r="D660" i="2"/>
  <c r="C660" i="2"/>
  <c r="B660" i="2"/>
  <c r="A660" i="2"/>
  <c r="D659" i="2"/>
  <c r="C659" i="2"/>
  <c r="B659" i="2"/>
  <c r="A659" i="2"/>
  <c r="D658" i="2"/>
  <c r="C658" i="2"/>
  <c r="B658" i="2"/>
  <c r="A658" i="2"/>
  <c r="D657" i="2"/>
  <c r="C657" i="2"/>
  <c r="B657" i="2"/>
  <c r="A657" i="2"/>
  <c r="D656" i="2"/>
  <c r="C656" i="2"/>
  <c r="B656" i="2"/>
  <c r="A656" i="2"/>
  <c r="D655" i="2"/>
  <c r="C655" i="2"/>
  <c r="B655" i="2"/>
  <c r="A655" i="2"/>
  <c r="D654" i="2"/>
  <c r="C654" i="2"/>
  <c r="B654" i="2"/>
  <c r="A654" i="2"/>
  <c r="D653" i="2"/>
  <c r="C653" i="2"/>
  <c r="B653" i="2"/>
  <c r="A653" i="2"/>
  <c r="D652" i="2"/>
  <c r="C652" i="2"/>
  <c r="B652" i="2"/>
  <c r="A652" i="2"/>
  <c r="D651" i="2"/>
  <c r="C651" i="2"/>
  <c r="B651" i="2"/>
  <c r="A651" i="2"/>
  <c r="D650" i="2"/>
  <c r="C650" i="2"/>
  <c r="B650" i="2"/>
  <c r="A650" i="2"/>
  <c r="D649" i="2"/>
  <c r="C649" i="2"/>
  <c r="B649" i="2"/>
  <c r="A649" i="2"/>
  <c r="D648" i="2"/>
  <c r="C648" i="2"/>
  <c r="B648" i="2"/>
  <c r="A648" i="2"/>
  <c r="D647" i="2"/>
  <c r="C647" i="2"/>
  <c r="B647" i="2"/>
  <c r="A647" i="2"/>
  <c r="D646" i="2"/>
  <c r="C646" i="2"/>
  <c r="B646" i="2"/>
  <c r="A646" i="2"/>
  <c r="D645" i="2"/>
  <c r="C645" i="2"/>
  <c r="B645" i="2"/>
  <c r="A645" i="2"/>
  <c r="D644" i="2"/>
  <c r="C644" i="2"/>
  <c r="B644" i="2"/>
  <c r="A644" i="2"/>
  <c r="D643" i="2"/>
  <c r="C643" i="2"/>
  <c r="B643" i="2"/>
  <c r="A643" i="2"/>
  <c r="D642" i="2"/>
  <c r="C642" i="2"/>
  <c r="B642" i="2"/>
  <c r="A642" i="2"/>
  <c r="D641" i="2"/>
  <c r="C641" i="2"/>
  <c r="B641" i="2"/>
  <c r="A641" i="2"/>
  <c r="D640" i="2"/>
  <c r="C640" i="2"/>
  <c r="B640" i="2"/>
  <c r="A640" i="2"/>
  <c r="D639" i="2"/>
  <c r="C639" i="2"/>
  <c r="B639" i="2"/>
  <c r="A639" i="2"/>
  <c r="D638" i="2"/>
  <c r="C638" i="2"/>
  <c r="B638" i="2"/>
  <c r="A638" i="2"/>
  <c r="D637" i="2"/>
  <c r="C637" i="2"/>
  <c r="B637" i="2"/>
  <c r="A637" i="2"/>
  <c r="D636" i="2"/>
  <c r="C636" i="2"/>
  <c r="B636" i="2"/>
  <c r="A636" i="2"/>
  <c r="D635" i="2"/>
  <c r="C635" i="2"/>
  <c r="B635" i="2"/>
  <c r="A635" i="2"/>
  <c r="D634" i="2"/>
  <c r="C634" i="2"/>
  <c r="B634" i="2"/>
  <c r="A634" i="2"/>
  <c r="D633" i="2"/>
  <c r="C633" i="2"/>
  <c r="B633" i="2"/>
  <c r="A633" i="2"/>
  <c r="D632" i="2"/>
  <c r="C632" i="2"/>
  <c r="B632" i="2"/>
  <c r="A632" i="2"/>
  <c r="D631" i="2"/>
  <c r="C631" i="2"/>
  <c r="B631" i="2"/>
  <c r="A631" i="2"/>
  <c r="D630" i="2"/>
  <c r="C630" i="2"/>
  <c r="B630" i="2"/>
  <c r="A630" i="2"/>
  <c r="D629" i="2"/>
  <c r="C629" i="2"/>
  <c r="B629" i="2"/>
  <c r="A629" i="2"/>
  <c r="D628" i="2"/>
  <c r="C628" i="2"/>
  <c r="B628" i="2"/>
  <c r="A628" i="2"/>
  <c r="D627" i="2"/>
  <c r="C627" i="2"/>
  <c r="B627" i="2"/>
  <c r="A627" i="2"/>
  <c r="D626" i="2"/>
  <c r="C626" i="2"/>
  <c r="B626" i="2"/>
  <c r="A626" i="2"/>
  <c r="D625" i="2"/>
  <c r="C625" i="2"/>
  <c r="B625" i="2"/>
  <c r="A625" i="2"/>
  <c r="D624" i="2"/>
  <c r="C624" i="2"/>
  <c r="B624" i="2"/>
  <c r="A624" i="2"/>
  <c r="D623" i="2"/>
  <c r="C623" i="2"/>
  <c r="B623" i="2"/>
  <c r="A623" i="2"/>
  <c r="D622" i="2"/>
  <c r="C622" i="2"/>
  <c r="B622" i="2"/>
  <c r="A622" i="2"/>
  <c r="D621" i="2"/>
  <c r="C621" i="2"/>
  <c r="B621" i="2"/>
  <c r="A621" i="2"/>
  <c r="D620" i="2"/>
  <c r="C620" i="2"/>
  <c r="B620" i="2"/>
  <c r="A620" i="2"/>
  <c r="D619" i="2"/>
  <c r="C619" i="2"/>
  <c r="B619" i="2"/>
  <c r="A619" i="2"/>
  <c r="D618" i="2"/>
  <c r="C618" i="2"/>
  <c r="B618" i="2"/>
  <c r="A618" i="2"/>
  <c r="D617" i="2"/>
  <c r="C617" i="2"/>
  <c r="B617" i="2"/>
  <c r="A617" i="2"/>
  <c r="D616" i="2"/>
  <c r="C616" i="2"/>
  <c r="B616" i="2"/>
  <c r="A616" i="2"/>
  <c r="D615" i="2"/>
  <c r="C615" i="2"/>
  <c r="B615" i="2"/>
  <c r="A615" i="2"/>
  <c r="D614" i="2"/>
  <c r="C614" i="2"/>
  <c r="B614" i="2"/>
  <c r="A614" i="2"/>
  <c r="D613" i="2"/>
  <c r="C613" i="2"/>
  <c r="B613" i="2"/>
  <c r="A613" i="2"/>
  <c r="D612" i="2"/>
  <c r="C612" i="2"/>
  <c r="B612" i="2"/>
  <c r="A612" i="2"/>
  <c r="D611" i="2"/>
  <c r="C611" i="2"/>
  <c r="B611" i="2"/>
  <c r="A611" i="2"/>
  <c r="D610" i="2"/>
  <c r="C610" i="2"/>
  <c r="B610" i="2"/>
  <c r="A610" i="2"/>
  <c r="D609" i="2"/>
  <c r="C609" i="2"/>
  <c r="B609" i="2"/>
  <c r="A609" i="2"/>
  <c r="D608" i="2"/>
  <c r="C608" i="2"/>
  <c r="B608" i="2"/>
  <c r="A608" i="2"/>
  <c r="D607" i="2"/>
  <c r="C607" i="2"/>
  <c r="B607" i="2"/>
  <c r="A607" i="2"/>
  <c r="D606" i="2"/>
  <c r="C606" i="2"/>
  <c r="B606" i="2"/>
  <c r="A606" i="2"/>
  <c r="D605" i="2"/>
  <c r="C605" i="2"/>
  <c r="B605" i="2"/>
  <c r="A605" i="2"/>
  <c r="D604" i="2"/>
  <c r="C604" i="2"/>
  <c r="B604" i="2"/>
  <c r="A604" i="2"/>
  <c r="D603" i="2"/>
  <c r="C603" i="2"/>
  <c r="B603" i="2"/>
  <c r="A603" i="2"/>
  <c r="D602" i="2"/>
  <c r="C602" i="2"/>
  <c r="B602" i="2"/>
  <c r="A602" i="2"/>
  <c r="D601" i="2"/>
  <c r="C601" i="2"/>
  <c r="B601" i="2"/>
  <c r="A601" i="2"/>
  <c r="D600" i="2"/>
  <c r="C600" i="2"/>
  <c r="B600" i="2"/>
  <c r="A600" i="2"/>
  <c r="D599" i="2"/>
  <c r="C599" i="2"/>
  <c r="B599" i="2"/>
  <c r="A599" i="2"/>
  <c r="D598" i="2"/>
  <c r="C598" i="2"/>
  <c r="B598" i="2"/>
  <c r="A598" i="2"/>
  <c r="D597" i="2"/>
  <c r="C597" i="2"/>
  <c r="B597" i="2"/>
  <c r="A597" i="2"/>
  <c r="D596" i="2"/>
  <c r="C596" i="2"/>
  <c r="B596" i="2"/>
  <c r="A596" i="2"/>
  <c r="D595" i="2"/>
  <c r="C595" i="2"/>
  <c r="B595" i="2"/>
  <c r="A595" i="2"/>
  <c r="D594" i="2"/>
  <c r="C594" i="2"/>
  <c r="B594" i="2"/>
  <c r="A594" i="2"/>
  <c r="D593" i="2"/>
  <c r="C593" i="2"/>
  <c r="B593" i="2"/>
  <c r="A593" i="2"/>
  <c r="D592" i="2"/>
  <c r="C592" i="2"/>
  <c r="B592" i="2"/>
  <c r="A592" i="2"/>
  <c r="D591" i="2"/>
  <c r="C591" i="2"/>
  <c r="B591" i="2"/>
  <c r="A591" i="2"/>
  <c r="D590" i="2"/>
  <c r="C590" i="2"/>
  <c r="B590" i="2"/>
  <c r="A590" i="2"/>
  <c r="D589" i="2"/>
  <c r="C589" i="2"/>
  <c r="B589" i="2"/>
  <c r="A589" i="2"/>
  <c r="D588" i="2"/>
  <c r="C588" i="2"/>
  <c r="B588" i="2"/>
  <c r="A588" i="2"/>
  <c r="D587" i="2"/>
  <c r="C587" i="2"/>
  <c r="B587" i="2"/>
  <c r="A587" i="2"/>
  <c r="D586" i="2"/>
  <c r="C586" i="2"/>
  <c r="B586" i="2"/>
  <c r="A586" i="2"/>
  <c r="D585" i="2"/>
  <c r="C585" i="2"/>
  <c r="B585" i="2"/>
  <c r="A585" i="2"/>
  <c r="D584" i="2"/>
  <c r="C584" i="2"/>
  <c r="B584" i="2"/>
  <c r="A584" i="2"/>
  <c r="D583" i="2"/>
  <c r="C583" i="2"/>
  <c r="B583" i="2"/>
  <c r="A583" i="2"/>
  <c r="D582" i="2"/>
  <c r="C582" i="2"/>
  <c r="B582" i="2"/>
  <c r="A582" i="2"/>
  <c r="D581" i="2"/>
  <c r="C581" i="2"/>
  <c r="B581" i="2"/>
  <c r="A581" i="2"/>
  <c r="D580" i="2"/>
  <c r="C580" i="2"/>
  <c r="B580" i="2"/>
  <c r="A580" i="2"/>
  <c r="D579" i="2"/>
  <c r="C579" i="2"/>
  <c r="B579" i="2"/>
  <c r="A579" i="2"/>
  <c r="D578" i="2"/>
  <c r="C578" i="2"/>
  <c r="B578" i="2"/>
  <c r="A578" i="2"/>
  <c r="D577" i="2"/>
  <c r="C577" i="2"/>
  <c r="B577" i="2"/>
  <c r="A577" i="2"/>
  <c r="D576" i="2"/>
  <c r="C576" i="2"/>
  <c r="B576" i="2"/>
  <c r="A576" i="2"/>
  <c r="D575" i="2"/>
  <c r="C575" i="2"/>
  <c r="B575" i="2"/>
  <c r="A575" i="2"/>
  <c r="D574" i="2"/>
  <c r="C574" i="2"/>
  <c r="B574" i="2"/>
  <c r="A574" i="2"/>
  <c r="D573" i="2"/>
  <c r="C573" i="2"/>
  <c r="B573" i="2"/>
  <c r="A573" i="2"/>
  <c r="D572" i="2"/>
  <c r="C572" i="2"/>
  <c r="B572" i="2"/>
  <c r="A572" i="2"/>
  <c r="D571" i="2"/>
  <c r="C571" i="2"/>
  <c r="B571" i="2"/>
  <c r="A571" i="2"/>
  <c r="D570" i="2"/>
  <c r="C570" i="2"/>
  <c r="B570" i="2"/>
  <c r="A570" i="2"/>
  <c r="D569" i="2"/>
  <c r="C569" i="2"/>
  <c r="B569" i="2"/>
  <c r="A569" i="2"/>
  <c r="D568" i="2"/>
  <c r="C568" i="2"/>
  <c r="B568" i="2"/>
  <c r="A568" i="2"/>
  <c r="D567" i="2"/>
  <c r="C567" i="2"/>
  <c r="B567" i="2"/>
  <c r="A567" i="2"/>
  <c r="D566" i="2"/>
  <c r="C566" i="2"/>
  <c r="B566" i="2"/>
  <c r="A566" i="2"/>
  <c r="D565" i="2"/>
  <c r="C565" i="2"/>
  <c r="B565" i="2"/>
  <c r="A565" i="2"/>
  <c r="D564" i="2"/>
  <c r="C564" i="2"/>
  <c r="B564" i="2"/>
  <c r="A564" i="2"/>
  <c r="D563" i="2"/>
  <c r="C563" i="2"/>
  <c r="B563" i="2"/>
  <c r="A563" i="2"/>
  <c r="D562" i="2"/>
  <c r="C562" i="2"/>
  <c r="B562" i="2"/>
  <c r="A562" i="2"/>
  <c r="D561" i="2"/>
  <c r="C561" i="2"/>
  <c r="B561" i="2"/>
  <c r="A561" i="2"/>
  <c r="D560" i="2"/>
  <c r="C560" i="2"/>
  <c r="B560" i="2"/>
  <c r="A560" i="2"/>
  <c r="D559" i="2"/>
  <c r="C559" i="2"/>
  <c r="B559" i="2"/>
  <c r="A559" i="2"/>
  <c r="D558" i="2"/>
  <c r="C558" i="2"/>
  <c r="B558" i="2"/>
  <c r="A558" i="2"/>
  <c r="D557" i="2"/>
  <c r="C557" i="2"/>
  <c r="B557" i="2"/>
  <c r="A557" i="2"/>
  <c r="D556" i="2"/>
  <c r="C556" i="2"/>
  <c r="B556" i="2"/>
  <c r="A556" i="2"/>
  <c r="D555" i="2"/>
  <c r="C555" i="2"/>
  <c r="B555" i="2"/>
  <c r="A555" i="2"/>
  <c r="D554" i="2"/>
  <c r="C554" i="2"/>
  <c r="B554" i="2"/>
  <c r="A554" i="2"/>
  <c r="D553" i="2"/>
  <c r="C553" i="2"/>
  <c r="B553" i="2"/>
  <c r="A553" i="2"/>
  <c r="D552" i="2"/>
  <c r="C552" i="2"/>
  <c r="B552" i="2"/>
  <c r="A552" i="2"/>
  <c r="D551" i="2"/>
  <c r="C551" i="2"/>
  <c r="B551" i="2"/>
  <c r="A551" i="2"/>
  <c r="D550" i="2"/>
  <c r="C550" i="2"/>
  <c r="B550" i="2"/>
  <c r="A550" i="2"/>
  <c r="D549" i="2"/>
  <c r="C549" i="2"/>
  <c r="B549" i="2"/>
  <c r="A549" i="2"/>
  <c r="D548" i="2"/>
  <c r="C548" i="2"/>
  <c r="B548" i="2"/>
  <c r="A548" i="2"/>
  <c r="D547" i="2"/>
  <c r="C547" i="2"/>
  <c r="B547" i="2"/>
  <c r="A547" i="2"/>
  <c r="D546" i="2"/>
  <c r="C546" i="2"/>
  <c r="B546" i="2"/>
  <c r="A546" i="2"/>
  <c r="D545" i="2"/>
  <c r="C545" i="2"/>
  <c r="B545" i="2"/>
  <c r="A545" i="2"/>
  <c r="D544" i="2"/>
  <c r="C544" i="2"/>
  <c r="B544" i="2"/>
  <c r="A544" i="2"/>
  <c r="D543" i="2"/>
  <c r="C543" i="2"/>
  <c r="B543" i="2"/>
  <c r="A543" i="2"/>
  <c r="D542" i="2"/>
  <c r="C542" i="2"/>
  <c r="B542" i="2"/>
  <c r="A542" i="2"/>
  <c r="D541" i="2"/>
  <c r="C541" i="2"/>
  <c r="B541" i="2"/>
  <c r="A541" i="2"/>
  <c r="D540" i="2"/>
  <c r="C540" i="2"/>
  <c r="B540" i="2"/>
  <c r="A540" i="2"/>
  <c r="D539" i="2"/>
  <c r="C539" i="2"/>
  <c r="B539" i="2"/>
  <c r="A539" i="2"/>
  <c r="D538" i="2"/>
  <c r="C538" i="2"/>
  <c r="B538" i="2"/>
  <c r="A538" i="2"/>
  <c r="D537" i="2"/>
  <c r="C537" i="2"/>
  <c r="B537" i="2"/>
  <c r="A537" i="2"/>
  <c r="D536" i="2"/>
  <c r="C536" i="2"/>
  <c r="B536" i="2"/>
  <c r="A536" i="2"/>
  <c r="D535" i="2"/>
  <c r="C535" i="2"/>
  <c r="B535" i="2"/>
  <c r="A535" i="2"/>
  <c r="D534" i="2"/>
  <c r="C534" i="2"/>
  <c r="B534" i="2"/>
  <c r="A534" i="2"/>
  <c r="D533" i="2"/>
  <c r="C533" i="2"/>
  <c r="B533" i="2"/>
  <c r="A533" i="2"/>
  <c r="D532" i="2"/>
  <c r="C532" i="2"/>
  <c r="B532" i="2"/>
  <c r="A532" i="2"/>
  <c r="D531" i="2"/>
  <c r="C531" i="2"/>
  <c r="B531" i="2"/>
  <c r="A531" i="2"/>
  <c r="D530" i="2"/>
  <c r="C530" i="2"/>
  <c r="B530" i="2"/>
  <c r="A530" i="2"/>
  <c r="D529" i="2"/>
  <c r="C529" i="2"/>
  <c r="B529" i="2"/>
  <c r="A529" i="2"/>
  <c r="D528" i="2"/>
  <c r="C528" i="2"/>
  <c r="B528" i="2"/>
  <c r="A528" i="2"/>
  <c r="D527" i="2"/>
  <c r="C527" i="2"/>
  <c r="B527" i="2"/>
  <c r="A527" i="2"/>
  <c r="D526" i="2"/>
  <c r="C526" i="2"/>
  <c r="B526" i="2"/>
  <c r="A526" i="2"/>
  <c r="D525" i="2"/>
  <c r="C525" i="2"/>
  <c r="B525" i="2"/>
  <c r="A525" i="2"/>
  <c r="D524" i="2"/>
  <c r="C524" i="2"/>
  <c r="B524" i="2"/>
  <c r="A524" i="2"/>
  <c r="D523" i="2"/>
  <c r="C523" i="2"/>
  <c r="B523" i="2"/>
  <c r="A523" i="2"/>
  <c r="D522" i="2"/>
  <c r="C522" i="2"/>
  <c r="B522" i="2"/>
  <c r="A522" i="2"/>
  <c r="D521" i="2"/>
  <c r="C521" i="2"/>
  <c r="B521" i="2"/>
  <c r="A521" i="2"/>
  <c r="D520" i="2"/>
  <c r="C520" i="2"/>
  <c r="B520" i="2"/>
  <c r="A520" i="2"/>
  <c r="D519" i="2"/>
  <c r="C519" i="2"/>
  <c r="B519" i="2"/>
  <c r="A519" i="2"/>
  <c r="D518" i="2"/>
  <c r="C518" i="2"/>
  <c r="B518" i="2"/>
  <c r="A518" i="2"/>
  <c r="D517" i="2"/>
  <c r="C517" i="2"/>
  <c r="B517" i="2"/>
  <c r="A517" i="2"/>
  <c r="D516" i="2"/>
  <c r="C516" i="2"/>
  <c r="B516" i="2"/>
  <c r="A516" i="2"/>
  <c r="D515" i="2"/>
  <c r="C515" i="2"/>
  <c r="B515" i="2"/>
  <c r="A515" i="2"/>
  <c r="D514" i="2"/>
  <c r="C514" i="2"/>
  <c r="B514" i="2"/>
  <c r="A514" i="2"/>
  <c r="D513" i="2"/>
  <c r="C513" i="2"/>
  <c r="B513" i="2"/>
  <c r="A513" i="2"/>
  <c r="D512" i="2"/>
  <c r="C512" i="2"/>
  <c r="B512" i="2"/>
  <c r="A512" i="2"/>
  <c r="D511" i="2"/>
  <c r="C511" i="2"/>
  <c r="B511" i="2"/>
  <c r="A511" i="2"/>
  <c r="D510" i="2"/>
  <c r="C510" i="2"/>
  <c r="B510" i="2"/>
  <c r="A510" i="2"/>
  <c r="D509" i="2"/>
  <c r="C509" i="2"/>
  <c r="B509" i="2"/>
  <c r="A509" i="2"/>
  <c r="D508" i="2"/>
  <c r="C508" i="2"/>
  <c r="B508" i="2"/>
  <c r="A508" i="2"/>
  <c r="D507" i="2"/>
  <c r="C507" i="2"/>
  <c r="B507" i="2"/>
  <c r="A507" i="2"/>
  <c r="D506" i="2"/>
  <c r="C506" i="2"/>
  <c r="B506" i="2"/>
  <c r="A506" i="2"/>
  <c r="D505" i="2"/>
  <c r="C505" i="2"/>
  <c r="B505" i="2"/>
  <c r="A505" i="2"/>
  <c r="D504" i="2"/>
  <c r="C504" i="2"/>
  <c r="B504" i="2"/>
  <c r="A504" i="2"/>
  <c r="D503" i="2"/>
  <c r="C503" i="2"/>
  <c r="B503" i="2"/>
  <c r="A503" i="2"/>
  <c r="D502" i="2"/>
  <c r="C502" i="2"/>
  <c r="B502" i="2"/>
  <c r="A502" i="2"/>
  <c r="D501" i="2"/>
  <c r="C501" i="2"/>
  <c r="B501" i="2"/>
  <c r="A501" i="2"/>
  <c r="D500" i="2"/>
  <c r="C500" i="2"/>
  <c r="B500" i="2"/>
  <c r="A500" i="2"/>
  <c r="D499" i="2"/>
  <c r="C499" i="2"/>
  <c r="B499" i="2"/>
  <c r="A499" i="2"/>
  <c r="D498" i="2"/>
  <c r="C498" i="2"/>
  <c r="B498" i="2"/>
  <c r="A498" i="2"/>
  <c r="D497" i="2"/>
  <c r="C497" i="2"/>
  <c r="B497" i="2"/>
  <c r="A497" i="2"/>
  <c r="D496" i="2"/>
  <c r="C496" i="2"/>
  <c r="B496" i="2"/>
  <c r="A496" i="2"/>
  <c r="D495" i="2"/>
  <c r="C495" i="2"/>
  <c r="B495" i="2"/>
  <c r="A495" i="2"/>
  <c r="D494" i="2"/>
  <c r="C494" i="2"/>
  <c r="B494" i="2"/>
  <c r="A494" i="2"/>
  <c r="D493" i="2"/>
  <c r="C493" i="2"/>
  <c r="B493" i="2"/>
  <c r="A493" i="2"/>
  <c r="D492" i="2"/>
  <c r="C492" i="2"/>
  <c r="B492" i="2"/>
  <c r="A492" i="2"/>
  <c r="D491" i="2"/>
  <c r="C491" i="2"/>
  <c r="B491" i="2"/>
  <c r="A491" i="2"/>
  <c r="D490" i="2"/>
  <c r="C490" i="2"/>
  <c r="B490" i="2"/>
  <c r="A490" i="2"/>
  <c r="D489" i="2"/>
  <c r="C489" i="2"/>
  <c r="B489" i="2"/>
  <c r="A489" i="2"/>
  <c r="D488" i="2"/>
  <c r="C488" i="2"/>
  <c r="B488" i="2"/>
  <c r="A488" i="2"/>
  <c r="D487" i="2"/>
  <c r="C487" i="2"/>
  <c r="B487" i="2"/>
  <c r="A487" i="2"/>
  <c r="D486" i="2"/>
  <c r="C486" i="2"/>
  <c r="B486" i="2"/>
  <c r="A486" i="2"/>
  <c r="D485" i="2"/>
  <c r="C485" i="2"/>
  <c r="B485" i="2"/>
  <c r="A485" i="2"/>
  <c r="D484" i="2"/>
  <c r="C484" i="2"/>
  <c r="B484" i="2"/>
  <c r="A484" i="2"/>
  <c r="D483" i="2"/>
  <c r="C483" i="2"/>
  <c r="B483" i="2"/>
  <c r="A483" i="2"/>
  <c r="D482" i="2"/>
  <c r="C482" i="2"/>
  <c r="B482" i="2"/>
  <c r="A482" i="2"/>
  <c r="D481" i="2"/>
  <c r="C481" i="2"/>
  <c r="B481" i="2"/>
  <c r="A481" i="2"/>
  <c r="D480" i="2"/>
  <c r="C480" i="2"/>
  <c r="B480" i="2"/>
  <c r="A480" i="2"/>
  <c r="D479" i="2"/>
  <c r="C479" i="2"/>
  <c r="B479" i="2"/>
  <c r="A479" i="2"/>
  <c r="D478" i="2"/>
  <c r="C478" i="2"/>
  <c r="B478" i="2"/>
  <c r="A478" i="2"/>
  <c r="D477" i="2"/>
  <c r="C477" i="2"/>
  <c r="B477" i="2"/>
  <c r="A477" i="2"/>
  <c r="D476" i="2"/>
  <c r="C476" i="2"/>
  <c r="B476" i="2"/>
  <c r="A476" i="2"/>
  <c r="D475" i="2"/>
  <c r="C475" i="2"/>
  <c r="B475" i="2"/>
  <c r="A475" i="2"/>
  <c r="D474" i="2"/>
  <c r="C474" i="2"/>
  <c r="B474" i="2"/>
  <c r="A474" i="2"/>
  <c r="D473" i="2"/>
  <c r="C473" i="2"/>
  <c r="B473" i="2"/>
  <c r="A473" i="2"/>
  <c r="D472" i="2"/>
  <c r="C472" i="2"/>
  <c r="B472" i="2"/>
  <c r="A472" i="2"/>
  <c r="D471" i="2"/>
  <c r="C471" i="2"/>
  <c r="B471" i="2"/>
  <c r="A471" i="2"/>
  <c r="D470" i="2"/>
  <c r="C470" i="2"/>
  <c r="B470" i="2"/>
  <c r="A470" i="2"/>
  <c r="D469" i="2"/>
  <c r="C469" i="2"/>
  <c r="B469" i="2"/>
  <c r="A469" i="2"/>
  <c r="D468" i="2"/>
  <c r="C468" i="2"/>
  <c r="B468" i="2"/>
  <c r="A468" i="2"/>
  <c r="D467" i="2"/>
  <c r="C467" i="2"/>
  <c r="B467" i="2"/>
  <c r="A467" i="2"/>
  <c r="D466" i="2"/>
  <c r="C466" i="2"/>
  <c r="B466" i="2"/>
  <c r="A466" i="2"/>
  <c r="D465" i="2"/>
  <c r="C465" i="2"/>
  <c r="B465" i="2"/>
  <c r="A465" i="2"/>
  <c r="D464" i="2"/>
  <c r="C464" i="2"/>
  <c r="B464" i="2"/>
  <c r="A464" i="2"/>
  <c r="D463" i="2"/>
  <c r="C463" i="2"/>
  <c r="B463" i="2"/>
  <c r="A463" i="2"/>
  <c r="D462" i="2"/>
  <c r="C462" i="2"/>
  <c r="B462" i="2"/>
  <c r="A462" i="2"/>
  <c r="D461" i="2"/>
  <c r="C461" i="2"/>
  <c r="B461" i="2"/>
  <c r="A461" i="2"/>
  <c r="D460" i="2"/>
  <c r="C460" i="2"/>
  <c r="B460" i="2"/>
  <c r="A460" i="2"/>
  <c r="D459" i="2"/>
  <c r="C459" i="2"/>
  <c r="A459" i="2"/>
  <c r="D458" i="2"/>
  <c r="C458" i="2"/>
  <c r="B458" i="2"/>
  <c r="A458" i="2"/>
  <c r="D457" i="2"/>
  <c r="C457" i="2"/>
  <c r="B457" i="2"/>
  <c r="A457" i="2"/>
  <c r="D456" i="2"/>
  <c r="C456" i="2"/>
  <c r="B456" i="2"/>
  <c r="A456" i="2"/>
  <c r="D455" i="2"/>
  <c r="C455" i="2"/>
  <c r="B455" i="2"/>
  <c r="A455" i="2"/>
  <c r="D454" i="2"/>
  <c r="C454" i="2"/>
  <c r="B454" i="2"/>
  <c r="A454" i="2"/>
  <c r="D453" i="2"/>
  <c r="C453" i="2"/>
  <c r="B453" i="2"/>
  <c r="A453" i="2"/>
  <c r="D452" i="2"/>
  <c r="C452" i="2"/>
  <c r="B452" i="2"/>
  <c r="A452" i="2"/>
  <c r="D451" i="2"/>
  <c r="C451" i="2"/>
  <c r="B451" i="2"/>
  <c r="A451" i="2"/>
  <c r="D450" i="2"/>
  <c r="C450" i="2"/>
  <c r="B450" i="2"/>
  <c r="A450" i="2"/>
  <c r="D449" i="2"/>
  <c r="C449" i="2"/>
  <c r="B449" i="2"/>
  <c r="A449" i="2"/>
  <c r="D448" i="2"/>
  <c r="C448" i="2"/>
  <c r="B448" i="2"/>
  <c r="A448" i="2"/>
  <c r="D447" i="2"/>
  <c r="C447" i="2"/>
  <c r="B447" i="2"/>
  <c r="A447" i="2"/>
  <c r="D446" i="2"/>
  <c r="C446" i="2"/>
  <c r="B446" i="2"/>
  <c r="A446" i="2"/>
  <c r="D445" i="2"/>
  <c r="C445" i="2"/>
  <c r="B445" i="2"/>
  <c r="A445" i="2"/>
  <c r="D444" i="2"/>
  <c r="C444" i="2"/>
  <c r="B444" i="2"/>
  <c r="A444" i="2"/>
  <c r="D443" i="2"/>
  <c r="C443" i="2"/>
  <c r="B443" i="2"/>
  <c r="A443" i="2"/>
  <c r="D442" i="2"/>
  <c r="C442" i="2"/>
  <c r="B442" i="2"/>
  <c r="A442" i="2"/>
  <c r="D441" i="2"/>
  <c r="C441" i="2"/>
  <c r="B441" i="2"/>
  <c r="A441" i="2"/>
  <c r="D440" i="2"/>
  <c r="C440" i="2"/>
  <c r="B440" i="2"/>
  <c r="A440" i="2"/>
  <c r="D439" i="2"/>
  <c r="C439" i="2"/>
  <c r="B439" i="2"/>
  <c r="A439" i="2"/>
  <c r="D438" i="2"/>
  <c r="C438" i="2"/>
  <c r="B438" i="2"/>
  <c r="A438" i="2"/>
  <c r="D437" i="2"/>
  <c r="C437" i="2"/>
  <c r="B437" i="2"/>
  <c r="A437" i="2"/>
  <c r="D436" i="2"/>
  <c r="C436" i="2"/>
  <c r="B436" i="2"/>
  <c r="A436" i="2"/>
  <c r="D435" i="2"/>
  <c r="C435" i="2"/>
  <c r="B435" i="2"/>
  <c r="A435" i="2"/>
  <c r="D434" i="2"/>
  <c r="C434" i="2"/>
  <c r="B434" i="2"/>
  <c r="A434" i="2"/>
  <c r="D433" i="2"/>
  <c r="C433" i="2"/>
  <c r="B433" i="2"/>
  <c r="A433" i="2"/>
  <c r="D432" i="2"/>
  <c r="C432" i="2"/>
  <c r="B432" i="2"/>
  <c r="A432" i="2"/>
  <c r="D431" i="2"/>
  <c r="C431" i="2"/>
  <c r="B431" i="2"/>
  <c r="A431" i="2"/>
  <c r="D430" i="2"/>
  <c r="C430" i="2"/>
  <c r="B430" i="2"/>
  <c r="A430" i="2"/>
  <c r="D429" i="2"/>
  <c r="C429" i="2"/>
  <c r="B429" i="2"/>
  <c r="A429" i="2"/>
  <c r="D428" i="2"/>
  <c r="C428" i="2"/>
  <c r="B428" i="2"/>
  <c r="A428" i="2"/>
  <c r="D427" i="2"/>
  <c r="C427" i="2"/>
  <c r="B427" i="2"/>
  <c r="A427" i="2"/>
  <c r="D426" i="2"/>
  <c r="C426" i="2"/>
  <c r="B426" i="2"/>
  <c r="A426" i="2"/>
  <c r="D425" i="2"/>
  <c r="C425" i="2"/>
  <c r="B425" i="2"/>
  <c r="A425" i="2"/>
  <c r="D424" i="2"/>
  <c r="C424" i="2"/>
  <c r="B424" i="2"/>
  <c r="A424" i="2"/>
  <c r="D423" i="2"/>
  <c r="C423" i="2"/>
  <c r="B423" i="2"/>
  <c r="A423" i="2"/>
  <c r="D422" i="2"/>
  <c r="C422" i="2"/>
  <c r="B422" i="2"/>
  <c r="A422" i="2"/>
  <c r="D421" i="2"/>
  <c r="C421" i="2"/>
  <c r="B421" i="2"/>
  <c r="A421" i="2"/>
  <c r="D420" i="2"/>
  <c r="C420" i="2"/>
  <c r="B420" i="2"/>
  <c r="A420" i="2"/>
  <c r="D419" i="2"/>
  <c r="C419" i="2"/>
  <c r="B419" i="2"/>
  <c r="A419" i="2"/>
  <c r="D418" i="2"/>
  <c r="C418" i="2"/>
  <c r="B418" i="2"/>
  <c r="A418" i="2"/>
  <c r="D417" i="2"/>
  <c r="C417" i="2"/>
  <c r="B417" i="2"/>
  <c r="A417" i="2"/>
  <c r="D416" i="2"/>
  <c r="C416" i="2"/>
  <c r="B416" i="2"/>
  <c r="A416" i="2"/>
  <c r="D415" i="2"/>
  <c r="C415" i="2"/>
  <c r="B415" i="2"/>
  <c r="A415" i="2"/>
  <c r="D414" i="2"/>
  <c r="C414" i="2"/>
  <c r="B414" i="2"/>
  <c r="A414" i="2"/>
  <c r="D413" i="2"/>
  <c r="C413" i="2"/>
  <c r="B413" i="2"/>
  <c r="A413" i="2"/>
  <c r="D412" i="2"/>
  <c r="C412" i="2"/>
  <c r="B412" i="2"/>
  <c r="A412" i="2"/>
  <c r="D411" i="2"/>
  <c r="C411" i="2"/>
  <c r="B411" i="2"/>
  <c r="A411" i="2"/>
  <c r="D410" i="2"/>
  <c r="C410" i="2"/>
  <c r="B410" i="2"/>
  <c r="A410" i="2"/>
  <c r="D409" i="2"/>
  <c r="C409" i="2"/>
  <c r="B409" i="2"/>
  <c r="A409" i="2"/>
  <c r="D408" i="2"/>
  <c r="C408" i="2"/>
  <c r="B408" i="2"/>
  <c r="A408" i="2"/>
  <c r="D407" i="2"/>
  <c r="C407" i="2"/>
  <c r="B407" i="2"/>
  <c r="A407" i="2"/>
  <c r="D406" i="2"/>
  <c r="C406" i="2"/>
  <c r="B406" i="2"/>
  <c r="A406" i="2"/>
  <c r="D405" i="2"/>
  <c r="C405" i="2"/>
  <c r="B405" i="2"/>
  <c r="A405" i="2"/>
  <c r="D404" i="2"/>
  <c r="C404" i="2"/>
  <c r="B404" i="2"/>
  <c r="A404" i="2"/>
  <c r="D403" i="2"/>
  <c r="C403" i="2"/>
  <c r="B403" i="2"/>
  <c r="A403" i="2"/>
  <c r="D402" i="2"/>
  <c r="C402" i="2"/>
  <c r="B402" i="2"/>
  <c r="A402" i="2"/>
  <c r="D401" i="2"/>
  <c r="C401" i="2"/>
  <c r="B401" i="2"/>
  <c r="A401" i="2"/>
  <c r="D400" i="2"/>
  <c r="C400" i="2"/>
  <c r="B400" i="2"/>
  <c r="A400" i="2"/>
  <c r="D399" i="2"/>
  <c r="C399" i="2"/>
  <c r="B399" i="2"/>
  <c r="A399" i="2"/>
  <c r="D398" i="2"/>
  <c r="B398" i="2"/>
  <c r="A398" i="2"/>
  <c r="D397" i="2"/>
  <c r="C397" i="2"/>
  <c r="B397" i="2"/>
  <c r="A397" i="2"/>
  <c r="D396" i="2"/>
  <c r="C396" i="2"/>
  <c r="B396" i="2"/>
  <c r="A396" i="2"/>
  <c r="D395" i="2"/>
  <c r="C395" i="2"/>
  <c r="B395" i="2"/>
  <c r="A395" i="2"/>
  <c r="D394" i="2"/>
  <c r="C394" i="2"/>
  <c r="B394" i="2"/>
  <c r="A394" i="2"/>
  <c r="D393" i="2"/>
  <c r="C393" i="2"/>
  <c r="B393" i="2"/>
  <c r="A393" i="2"/>
  <c r="D392" i="2"/>
  <c r="C392" i="2"/>
  <c r="B392" i="2"/>
  <c r="A392" i="2"/>
  <c r="D391" i="2"/>
  <c r="C391" i="2"/>
  <c r="B391" i="2"/>
  <c r="A391" i="2"/>
  <c r="D390" i="2"/>
  <c r="C390" i="2"/>
  <c r="B390" i="2"/>
  <c r="A390" i="2"/>
  <c r="D389" i="2"/>
  <c r="C389" i="2"/>
  <c r="B389" i="2"/>
  <c r="A389" i="2"/>
  <c r="D388" i="2"/>
  <c r="C388" i="2"/>
  <c r="B388" i="2"/>
  <c r="A388" i="2"/>
  <c r="D387" i="2"/>
  <c r="C387" i="2"/>
  <c r="B387" i="2"/>
  <c r="A387" i="2"/>
  <c r="D386" i="2"/>
  <c r="C386" i="2"/>
  <c r="B386" i="2"/>
  <c r="A386" i="2"/>
  <c r="D385" i="2"/>
  <c r="C385" i="2"/>
  <c r="B385" i="2"/>
  <c r="A385" i="2"/>
  <c r="D384" i="2"/>
  <c r="C384" i="2"/>
  <c r="B384" i="2"/>
  <c r="A384" i="2"/>
  <c r="D383" i="2"/>
  <c r="C383" i="2"/>
  <c r="B383" i="2"/>
  <c r="A383" i="2"/>
  <c r="D382" i="2"/>
  <c r="C382" i="2"/>
  <c r="B382" i="2"/>
  <c r="A382" i="2"/>
  <c r="D381" i="2"/>
  <c r="C381" i="2"/>
  <c r="B381" i="2"/>
  <c r="A381" i="2"/>
  <c r="D380" i="2"/>
  <c r="C380" i="2"/>
  <c r="B380" i="2"/>
  <c r="A380" i="2"/>
  <c r="D379" i="2"/>
  <c r="C379" i="2"/>
  <c r="B379" i="2"/>
  <c r="A379" i="2"/>
  <c r="D378" i="2"/>
  <c r="C378" i="2"/>
  <c r="B378" i="2"/>
  <c r="A378" i="2"/>
  <c r="D377" i="2"/>
  <c r="C377" i="2"/>
  <c r="B377" i="2"/>
  <c r="A377" i="2"/>
  <c r="D376" i="2"/>
  <c r="C376" i="2"/>
  <c r="B376" i="2"/>
  <c r="A376" i="2"/>
  <c r="D375" i="2"/>
  <c r="C375" i="2"/>
  <c r="B375" i="2"/>
  <c r="A375" i="2"/>
  <c r="D374" i="2"/>
  <c r="C374" i="2"/>
  <c r="B374" i="2"/>
  <c r="A374" i="2"/>
  <c r="D373" i="2"/>
  <c r="C373" i="2"/>
  <c r="B373" i="2"/>
  <c r="A373" i="2"/>
  <c r="D372" i="2"/>
  <c r="C372" i="2"/>
  <c r="B372" i="2"/>
  <c r="A372" i="2"/>
  <c r="D371" i="2"/>
  <c r="C371" i="2"/>
  <c r="B371" i="2"/>
  <c r="A371" i="2"/>
  <c r="D370" i="2"/>
  <c r="C370" i="2"/>
  <c r="B370" i="2"/>
  <c r="A370" i="2"/>
  <c r="D369" i="2"/>
  <c r="C369" i="2"/>
  <c r="B369" i="2"/>
  <c r="A369" i="2"/>
  <c r="D368" i="2"/>
  <c r="C368" i="2"/>
  <c r="B368" i="2"/>
  <c r="A368" i="2"/>
  <c r="D367" i="2"/>
  <c r="C367" i="2"/>
  <c r="B367" i="2"/>
  <c r="A367" i="2"/>
  <c r="D366" i="2"/>
  <c r="C366" i="2"/>
  <c r="B366" i="2"/>
  <c r="A366" i="2"/>
  <c r="D365" i="2"/>
  <c r="C365" i="2"/>
  <c r="B365" i="2"/>
  <c r="A365" i="2"/>
  <c r="D364" i="2"/>
  <c r="C364" i="2"/>
  <c r="B364" i="2"/>
  <c r="A364" i="2"/>
  <c r="D363" i="2"/>
  <c r="C363" i="2"/>
  <c r="B363" i="2"/>
  <c r="A363" i="2"/>
  <c r="D362" i="2"/>
  <c r="C362" i="2"/>
  <c r="B362" i="2"/>
  <c r="A362" i="2"/>
  <c r="D361" i="2"/>
  <c r="C361" i="2"/>
  <c r="B361" i="2"/>
  <c r="A361" i="2"/>
  <c r="D360" i="2"/>
  <c r="C360" i="2"/>
  <c r="B360" i="2"/>
  <c r="A360" i="2"/>
  <c r="D359" i="2"/>
  <c r="C359" i="2"/>
  <c r="B359" i="2"/>
  <c r="A359" i="2"/>
  <c r="D358" i="2"/>
  <c r="C358" i="2"/>
  <c r="B358" i="2"/>
  <c r="A358" i="2"/>
  <c r="D357" i="2"/>
  <c r="C357" i="2"/>
  <c r="B357" i="2"/>
  <c r="A357" i="2"/>
  <c r="D356" i="2"/>
  <c r="C356" i="2"/>
  <c r="B356" i="2"/>
  <c r="A356" i="2"/>
  <c r="D355" i="2"/>
  <c r="C355" i="2"/>
  <c r="B355" i="2"/>
  <c r="A355" i="2"/>
  <c r="D354" i="2"/>
  <c r="C354" i="2"/>
  <c r="B354" i="2"/>
  <c r="A354" i="2"/>
  <c r="D353" i="2"/>
  <c r="C353" i="2"/>
  <c r="B353" i="2"/>
  <c r="A353" i="2"/>
  <c r="D352" i="2"/>
  <c r="C352" i="2"/>
  <c r="B352" i="2"/>
  <c r="A352" i="2"/>
  <c r="D351" i="2"/>
  <c r="C351" i="2"/>
  <c r="B351" i="2"/>
  <c r="A351" i="2"/>
  <c r="D350" i="2"/>
  <c r="C350" i="2"/>
  <c r="B350" i="2"/>
  <c r="A350" i="2"/>
  <c r="D349" i="2"/>
  <c r="C349" i="2"/>
  <c r="B349" i="2"/>
  <c r="A349" i="2"/>
  <c r="D348" i="2"/>
  <c r="C348" i="2"/>
  <c r="B348" i="2"/>
  <c r="A348" i="2"/>
  <c r="D347" i="2"/>
  <c r="C347" i="2"/>
  <c r="B347" i="2"/>
  <c r="A347" i="2"/>
  <c r="D346" i="2"/>
  <c r="B346" i="2"/>
  <c r="A346" i="2"/>
  <c r="D345" i="2"/>
  <c r="C345" i="2"/>
  <c r="B345" i="2"/>
  <c r="A345" i="2"/>
  <c r="D344" i="2"/>
  <c r="C344" i="2"/>
  <c r="B344" i="2"/>
  <c r="A344" i="2"/>
  <c r="D343" i="2"/>
  <c r="C343" i="2"/>
  <c r="B343" i="2"/>
  <c r="A343" i="2"/>
  <c r="D342" i="2"/>
  <c r="C342" i="2"/>
  <c r="B342" i="2"/>
  <c r="A342" i="2"/>
  <c r="D341" i="2"/>
  <c r="C341" i="2"/>
  <c r="B341" i="2"/>
  <c r="A341" i="2"/>
  <c r="D340" i="2"/>
  <c r="C340" i="2"/>
  <c r="B340" i="2"/>
  <c r="A340" i="2"/>
  <c r="D339" i="2"/>
  <c r="C339" i="2"/>
  <c r="B339" i="2"/>
  <c r="A339" i="2"/>
  <c r="D338" i="2"/>
  <c r="C338" i="2"/>
  <c r="B338" i="2"/>
  <c r="A338" i="2"/>
  <c r="D337" i="2"/>
  <c r="C337" i="2"/>
  <c r="B337" i="2"/>
  <c r="A337" i="2"/>
  <c r="D336" i="2"/>
  <c r="C336" i="2"/>
  <c r="B336" i="2"/>
  <c r="A336" i="2"/>
  <c r="D335" i="2"/>
  <c r="C335" i="2"/>
  <c r="B335" i="2"/>
  <c r="A335" i="2"/>
  <c r="D334" i="2"/>
  <c r="C334" i="2"/>
  <c r="B334" i="2"/>
  <c r="A334" i="2"/>
  <c r="D333" i="2"/>
  <c r="C333" i="2"/>
  <c r="B333" i="2"/>
  <c r="A333" i="2"/>
  <c r="D332" i="2"/>
  <c r="C332" i="2"/>
  <c r="B332" i="2"/>
  <c r="A332" i="2"/>
  <c r="D331" i="2"/>
  <c r="C331" i="2"/>
  <c r="B331" i="2"/>
  <c r="A331" i="2"/>
  <c r="D330" i="2"/>
  <c r="C330" i="2"/>
  <c r="B330" i="2"/>
  <c r="A330" i="2"/>
  <c r="D329" i="2"/>
  <c r="C329" i="2"/>
  <c r="B329" i="2"/>
  <c r="A329" i="2"/>
  <c r="D328" i="2"/>
  <c r="C328" i="2"/>
  <c r="B328" i="2"/>
  <c r="A328" i="2"/>
  <c r="D327" i="2"/>
  <c r="C327" i="2"/>
  <c r="B327" i="2"/>
  <c r="A327" i="2"/>
  <c r="D326" i="2"/>
  <c r="C326" i="2"/>
  <c r="B326" i="2"/>
  <c r="A326" i="2"/>
  <c r="D325" i="2"/>
  <c r="C325" i="2"/>
  <c r="B325" i="2"/>
  <c r="A325" i="2"/>
  <c r="D324" i="2"/>
  <c r="C324" i="2"/>
  <c r="B324" i="2"/>
  <c r="A324" i="2"/>
  <c r="D323" i="2"/>
  <c r="C323" i="2"/>
  <c r="B323" i="2"/>
  <c r="A323" i="2"/>
  <c r="D322" i="2"/>
  <c r="C322" i="2"/>
  <c r="B322" i="2"/>
  <c r="A322" i="2"/>
  <c r="D321" i="2"/>
  <c r="C321" i="2"/>
  <c r="B321" i="2"/>
  <c r="A321" i="2"/>
  <c r="D320" i="2"/>
  <c r="C320" i="2"/>
  <c r="B320" i="2"/>
  <c r="A320" i="2"/>
  <c r="D319" i="2"/>
  <c r="C319" i="2"/>
  <c r="B319" i="2"/>
  <c r="A319" i="2"/>
  <c r="D318" i="2"/>
  <c r="C318" i="2"/>
  <c r="B318" i="2"/>
  <c r="A318" i="2"/>
  <c r="D317" i="2"/>
  <c r="C317" i="2"/>
  <c r="B317" i="2"/>
  <c r="A317" i="2"/>
  <c r="D316" i="2"/>
  <c r="C316" i="2"/>
  <c r="B316" i="2"/>
  <c r="A316" i="2"/>
  <c r="D315" i="2"/>
  <c r="C315" i="2"/>
  <c r="B315" i="2"/>
  <c r="A315" i="2"/>
  <c r="D314" i="2"/>
  <c r="C314" i="2"/>
  <c r="B314" i="2"/>
  <c r="A314" i="2"/>
  <c r="D313" i="2"/>
  <c r="C313" i="2"/>
  <c r="B313" i="2"/>
  <c r="A313" i="2"/>
  <c r="D312" i="2"/>
  <c r="C312" i="2"/>
  <c r="B312" i="2"/>
  <c r="A312" i="2"/>
  <c r="D311" i="2"/>
  <c r="C311" i="2"/>
  <c r="B311" i="2"/>
  <c r="A311" i="2"/>
  <c r="D310" i="2"/>
  <c r="C310" i="2"/>
  <c r="B310" i="2"/>
  <c r="A310" i="2"/>
  <c r="D309" i="2"/>
  <c r="C309" i="2"/>
  <c r="B309" i="2"/>
  <c r="A309" i="2"/>
  <c r="D308" i="2"/>
  <c r="C308" i="2"/>
  <c r="B308" i="2"/>
  <c r="A308" i="2"/>
  <c r="D307" i="2"/>
  <c r="C307" i="2"/>
  <c r="B307" i="2"/>
  <c r="A307" i="2"/>
  <c r="D306" i="2"/>
  <c r="C306" i="2"/>
  <c r="B306" i="2"/>
  <c r="A306" i="2"/>
  <c r="D305" i="2"/>
  <c r="C305" i="2"/>
  <c r="B305" i="2"/>
  <c r="A305" i="2"/>
  <c r="D304" i="2"/>
  <c r="C304" i="2"/>
  <c r="B304" i="2"/>
  <c r="A304" i="2"/>
  <c r="D303" i="2"/>
  <c r="C303" i="2"/>
  <c r="B303" i="2"/>
  <c r="A303" i="2"/>
  <c r="D302" i="2"/>
  <c r="C302" i="2"/>
  <c r="B302" i="2"/>
  <c r="A302" i="2"/>
  <c r="D301" i="2"/>
  <c r="C301" i="2"/>
  <c r="B301" i="2"/>
  <c r="A301" i="2"/>
  <c r="D300" i="2"/>
  <c r="C300" i="2"/>
  <c r="B300" i="2"/>
  <c r="A300" i="2"/>
  <c r="D299" i="2"/>
  <c r="C299" i="2"/>
  <c r="B299" i="2"/>
  <c r="A299" i="2"/>
  <c r="D298" i="2"/>
  <c r="C298" i="2"/>
  <c r="B298" i="2"/>
  <c r="A298" i="2"/>
  <c r="D297" i="2"/>
  <c r="C297" i="2"/>
  <c r="B297" i="2"/>
  <c r="A297" i="2"/>
  <c r="D296" i="2"/>
  <c r="C296" i="2"/>
  <c r="B296" i="2"/>
  <c r="A296" i="2"/>
  <c r="D295" i="2"/>
  <c r="C295" i="2"/>
  <c r="B295" i="2"/>
  <c r="A295" i="2"/>
  <c r="D294" i="2"/>
  <c r="C294" i="2"/>
  <c r="B294" i="2"/>
  <c r="A294" i="2"/>
  <c r="D293" i="2"/>
  <c r="C293" i="2"/>
  <c r="B293" i="2"/>
  <c r="A293" i="2"/>
  <c r="D292" i="2"/>
  <c r="C292" i="2"/>
  <c r="B292" i="2"/>
  <c r="A292" i="2"/>
  <c r="D291" i="2"/>
  <c r="C291" i="2"/>
  <c r="B291" i="2"/>
  <c r="A291" i="2"/>
  <c r="D290" i="2"/>
  <c r="C290" i="2"/>
  <c r="B290" i="2"/>
  <c r="A290" i="2"/>
  <c r="D289" i="2"/>
  <c r="C289" i="2"/>
  <c r="B289" i="2"/>
  <c r="A289" i="2"/>
  <c r="D288" i="2"/>
  <c r="C288" i="2"/>
  <c r="B288" i="2"/>
  <c r="A288" i="2"/>
  <c r="D287" i="2"/>
  <c r="C287" i="2"/>
  <c r="B287" i="2"/>
  <c r="A287" i="2"/>
  <c r="D286" i="2"/>
  <c r="C286" i="2"/>
  <c r="B286" i="2"/>
  <c r="A286" i="2"/>
  <c r="D285" i="2"/>
  <c r="C285" i="2"/>
  <c r="B285" i="2"/>
  <c r="A285" i="2"/>
  <c r="D284" i="2"/>
  <c r="C284" i="2"/>
  <c r="B284" i="2"/>
  <c r="A284" i="2"/>
  <c r="D283" i="2"/>
  <c r="C283" i="2"/>
  <c r="B283" i="2"/>
  <c r="A283" i="2"/>
  <c r="D282" i="2"/>
  <c r="C282" i="2"/>
  <c r="B282" i="2"/>
  <c r="A282" i="2"/>
  <c r="D281" i="2"/>
  <c r="C281" i="2"/>
  <c r="B281" i="2"/>
  <c r="A281" i="2"/>
  <c r="D280" i="2"/>
  <c r="C280" i="2"/>
  <c r="B280" i="2"/>
  <c r="A280" i="2"/>
  <c r="D279" i="2"/>
  <c r="C279" i="2"/>
  <c r="B279" i="2"/>
  <c r="A279" i="2"/>
  <c r="D278" i="2"/>
  <c r="C278" i="2"/>
  <c r="B278" i="2"/>
  <c r="A278" i="2"/>
  <c r="D277" i="2"/>
  <c r="C277" i="2"/>
  <c r="B277" i="2"/>
  <c r="A277" i="2"/>
  <c r="D276" i="2"/>
  <c r="C276" i="2"/>
  <c r="B276" i="2"/>
  <c r="A276" i="2"/>
  <c r="D275" i="2"/>
  <c r="C275" i="2"/>
  <c r="B275" i="2"/>
  <c r="A275" i="2"/>
  <c r="D274" i="2"/>
  <c r="C274" i="2"/>
  <c r="B274" i="2"/>
  <c r="A274" i="2"/>
  <c r="D273" i="2"/>
  <c r="C273" i="2"/>
  <c r="B273" i="2"/>
  <c r="A273" i="2"/>
  <c r="D272" i="2"/>
  <c r="C272" i="2"/>
  <c r="B272" i="2"/>
  <c r="A272" i="2"/>
  <c r="D271" i="2"/>
  <c r="C271" i="2"/>
  <c r="B271" i="2"/>
  <c r="A271" i="2"/>
  <c r="D270" i="2"/>
  <c r="C270" i="2"/>
  <c r="B270" i="2"/>
  <c r="A270" i="2"/>
  <c r="D269" i="2"/>
  <c r="C269" i="2"/>
  <c r="B269" i="2"/>
  <c r="A269" i="2"/>
  <c r="D268" i="2"/>
  <c r="C268" i="2"/>
  <c r="B268" i="2"/>
  <c r="A268" i="2"/>
  <c r="D267" i="2"/>
  <c r="C267" i="2"/>
  <c r="B267" i="2"/>
  <c r="A267" i="2"/>
  <c r="D266" i="2"/>
  <c r="C266" i="2"/>
  <c r="B266" i="2"/>
  <c r="A266" i="2"/>
  <c r="D265" i="2"/>
  <c r="C265" i="2"/>
  <c r="B265" i="2"/>
  <c r="A265" i="2"/>
  <c r="D264" i="2"/>
  <c r="C264" i="2"/>
  <c r="B264" i="2"/>
  <c r="A264" i="2"/>
  <c r="D263" i="2"/>
  <c r="C263" i="2"/>
  <c r="B263" i="2"/>
  <c r="A263" i="2"/>
  <c r="D262" i="2"/>
  <c r="C262" i="2"/>
  <c r="B262" i="2"/>
  <c r="A262" i="2"/>
  <c r="D261" i="2"/>
  <c r="C261" i="2"/>
  <c r="B261" i="2"/>
  <c r="A261" i="2"/>
  <c r="D260" i="2"/>
  <c r="C260" i="2"/>
  <c r="B260" i="2"/>
  <c r="A260" i="2"/>
  <c r="D259" i="2"/>
  <c r="C259" i="2"/>
  <c r="B259" i="2"/>
  <c r="A259" i="2"/>
  <c r="D258" i="2"/>
  <c r="C258" i="2"/>
  <c r="B258" i="2"/>
  <c r="A258" i="2"/>
  <c r="D257" i="2"/>
  <c r="C257" i="2"/>
  <c r="B257" i="2"/>
  <c r="A257" i="2"/>
  <c r="D256" i="2"/>
  <c r="C256" i="2"/>
  <c r="B256" i="2"/>
  <c r="A256" i="2"/>
  <c r="D255" i="2"/>
  <c r="C255" i="2"/>
  <c r="B255" i="2"/>
  <c r="A255" i="2"/>
  <c r="D254" i="2"/>
  <c r="C254" i="2"/>
  <c r="B254" i="2"/>
  <c r="A254" i="2"/>
  <c r="D253" i="2"/>
  <c r="C253" i="2"/>
  <c r="B253" i="2"/>
  <c r="A253" i="2"/>
  <c r="D252" i="2"/>
  <c r="C252" i="2"/>
  <c r="B252" i="2"/>
  <c r="A252" i="2"/>
  <c r="D251" i="2"/>
  <c r="C251" i="2"/>
  <c r="B251" i="2"/>
  <c r="A251" i="2"/>
  <c r="D250" i="2"/>
  <c r="C250" i="2"/>
  <c r="B250" i="2"/>
  <c r="A250" i="2"/>
  <c r="D249" i="2"/>
  <c r="C249" i="2"/>
  <c r="B249" i="2"/>
  <c r="A249" i="2"/>
  <c r="D248" i="2"/>
  <c r="C248" i="2"/>
  <c r="B248" i="2"/>
  <c r="A248" i="2"/>
  <c r="D247" i="2"/>
  <c r="C247" i="2"/>
  <c r="B247" i="2"/>
  <c r="A247" i="2"/>
  <c r="D246" i="2"/>
  <c r="C246" i="2"/>
  <c r="B246" i="2"/>
  <c r="A246" i="2"/>
  <c r="D245" i="2"/>
  <c r="C245" i="2"/>
  <c r="B245" i="2"/>
  <c r="A245" i="2"/>
  <c r="D244" i="2"/>
  <c r="C244" i="2"/>
  <c r="B244" i="2"/>
  <c r="A244" i="2"/>
  <c r="D243" i="2"/>
  <c r="C243" i="2"/>
  <c r="B243" i="2"/>
  <c r="A243" i="2"/>
  <c r="D242" i="2"/>
  <c r="C242" i="2"/>
  <c r="B242" i="2"/>
  <c r="A242" i="2"/>
  <c r="D241" i="2"/>
  <c r="C241" i="2"/>
  <c r="B241" i="2"/>
  <c r="A241" i="2"/>
  <c r="D240" i="2"/>
  <c r="C240" i="2"/>
  <c r="B240" i="2"/>
  <c r="A240" i="2"/>
  <c r="D239" i="2"/>
  <c r="C239" i="2"/>
  <c r="B239" i="2"/>
  <c r="A239" i="2"/>
  <c r="D238" i="2"/>
  <c r="C238" i="2"/>
  <c r="B238" i="2"/>
  <c r="A238" i="2"/>
  <c r="D237" i="2"/>
  <c r="C237" i="2"/>
  <c r="B237" i="2"/>
  <c r="A237" i="2"/>
  <c r="D236" i="2"/>
  <c r="C236" i="2"/>
  <c r="B236" i="2"/>
  <c r="A236" i="2"/>
  <c r="D235" i="2"/>
  <c r="C235" i="2"/>
  <c r="B235" i="2"/>
  <c r="A235" i="2"/>
  <c r="D234" i="2"/>
  <c r="C234" i="2"/>
  <c r="B234" i="2"/>
  <c r="A234" i="2"/>
  <c r="D233" i="2"/>
  <c r="C233" i="2"/>
  <c r="B233" i="2"/>
  <c r="A233" i="2"/>
  <c r="D232" i="2"/>
  <c r="C232" i="2"/>
  <c r="B232" i="2"/>
  <c r="A232" i="2"/>
  <c r="D231" i="2"/>
  <c r="C231" i="2"/>
  <c r="B231" i="2"/>
  <c r="A231" i="2"/>
  <c r="D230" i="2"/>
  <c r="C230" i="2"/>
  <c r="B230" i="2"/>
  <c r="A230" i="2"/>
  <c r="D229" i="2"/>
  <c r="C229" i="2"/>
  <c r="B229" i="2"/>
  <c r="A229" i="2"/>
  <c r="D228" i="2"/>
  <c r="C228" i="2"/>
  <c r="B228" i="2"/>
  <c r="A228" i="2"/>
  <c r="D227" i="2"/>
  <c r="C227" i="2"/>
  <c r="A227" i="2"/>
  <c r="D226" i="2"/>
  <c r="C226" i="2"/>
  <c r="B226" i="2"/>
  <c r="A226" i="2"/>
  <c r="D225" i="2"/>
  <c r="C225" i="2"/>
  <c r="B225" i="2"/>
  <c r="A225" i="2"/>
  <c r="D224" i="2"/>
  <c r="C224" i="2"/>
  <c r="B224" i="2"/>
  <c r="A224" i="2"/>
  <c r="D223" i="2"/>
  <c r="C223" i="2"/>
  <c r="B223" i="2"/>
  <c r="A223" i="2"/>
  <c r="D222" i="2"/>
  <c r="C222" i="2"/>
  <c r="B222" i="2"/>
  <c r="A222" i="2"/>
  <c r="D221" i="2"/>
  <c r="C221" i="2"/>
  <c r="B221" i="2"/>
  <c r="A221" i="2"/>
  <c r="D220" i="2"/>
  <c r="C220" i="2"/>
  <c r="B220" i="2"/>
  <c r="A220" i="2"/>
  <c r="D219" i="2"/>
  <c r="C219" i="2"/>
  <c r="B219" i="2"/>
  <c r="A219" i="2"/>
  <c r="D218" i="2"/>
  <c r="C218" i="2"/>
  <c r="B218" i="2"/>
  <c r="A218" i="2"/>
  <c r="D217" i="2"/>
  <c r="C217" i="2"/>
  <c r="B217" i="2"/>
  <c r="A217" i="2"/>
  <c r="D216" i="2"/>
  <c r="C216" i="2"/>
  <c r="B216" i="2"/>
  <c r="A216" i="2"/>
  <c r="D215" i="2"/>
  <c r="C215" i="2"/>
  <c r="B215" i="2"/>
  <c r="A215" i="2"/>
  <c r="D214" i="2"/>
  <c r="C214" i="2"/>
  <c r="B214" i="2"/>
  <c r="A214" i="2"/>
  <c r="D213" i="2"/>
  <c r="C213" i="2"/>
  <c r="B213" i="2"/>
  <c r="A213" i="2"/>
  <c r="D212" i="2"/>
  <c r="C212" i="2"/>
  <c r="B212" i="2"/>
  <c r="A212" i="2"/>
  <c r="D211" i="2"/>
  <c r="C211" i="2"/>
  <c r="B211" i="2"/>
  <c r="A211" i="2"/>
  <c r="D210" i="2"/>
  <c r="C210" i="2"/>
  <c r="B210" i="2"/>
  <c r="A210" i="2"/>
  <c r="D209" i="2"/>
  <c r="C209" i="2"/>
  <c r="B209" i="2"/>
  <c r="A209" i="2"/>
  <c r="D208" i="2"/>
  <c r="C208" i="2"/>
  <c r="B208" i="2"/>
  <c r="A208" i="2"/>
  <c r="D207" i="2"/>
  <c r="C207" i="2"/>
  <c r="B207" i="2"/>
  <c r="A207" i="2"/>
  <c r="D206" i="2"/>
  <c r="C206" i="2"/>
  <c r="B206" i="2"/>
  <c r="A206" i="2"/>
  <c r="D205" i="2"/>
  <c r="C205" i="2"/>
  <c r="B205" i="2"/>
  <c r="A205" i="2"/>
  <c r="D204" i="2"/>
  <c r="C204" i="2"/>
  <c r="B204" i="2"/>
  <c r="A204" i="2"/>
  <c r="D203" i="2"/>
  <c r="C203" i="2"/>
  <c r="B203" i="2"/>
  <c r="A203" i="2"/>
  <c r="D202" i="2"/>
  <c r="C202" i="2"/>
  <c r="B202" i="2"/>
  <c r="A202" i="2"/>
  <c r="D201" i="2"/>
  <c r="C201" i="2"/>
  <c r="B201" i="2"/>
  <c r="A201" i="2"/>
  <c r="D200" i="2"/>
  <c r="C200" i="2"/>
  <c r="B200" i="2"/>
  <c r="A200" i="2"/>
  <c r="D199" i="2"/>
  <c r="C199" i="2"/>
  <c r="B199" i="2"/>
  <c r="A199" i="2"/>
  <c r="D198" i="2"/>
  <c r="C198" i="2"/>
  <c r="B198" i="2"/>
  <c r="A198" i="2"/>
  <c r="D197" i="2"/>
  <c r="C197" i="2"/>
  <c r="B197" i="2"/>
  <c r="A197" i="2"/>
  <c r="D196" i="2"/>
  <c r="C196" i="2"/>
  <c r="B196" i="2"/>
  <c r="A196" i="2"/>
  <c r="D195" i="2"/>
  <c r="C195" i="2"/>
  <c r="B195" i="2"/>
  <c r="A195" i="2"/>
  <c r="D194" i="2"/>
  <c r="C194" i="2"/>
  <c r="B194" i="2"/>
  <c r="A194" i="2"/>
  <c r="D193" i="2"/>
  <c r="C193" i="2"/>
  <c r="B193" i="2"/>
  <c r="A193" i="2"/>
  <c r="D192" i="2"/>
  <c r="C192" i="2"/>
  <c r="B192" i="2"/>
  <c r="A192" i="2"/>
  <c r="D191" i="2"/>
  <c r="C191" i="2"/>
  <c r="B191" i="2"/>
  <c r="A191" i="2"/>
  <c r="D190" i="2"/>
  <c r="C190" i="2"/>
  <c r="B190" i="2"/>
  <c r="A190" i="2"/>
  <c r="D189" i="2"/>
  <c r="C189" i="2"/>
  <c r="B189" i="2"/>
  <c r="A189" i="2"/>
  <c r="D188" i="2"/>
  <c r="C188" i="2"/>
  <c r="B188" i="2"/>
  <c r="A188" i="2"/>
  <c r="D187" i="2"/>
  <c r="C187" i="2"/>
  <c r="B187" i="2"/>
  <c r="A187" i="2"/>
  <c r="D186" i="2"/>
  <c r="C186" i="2"/>
  <c r="B186" i="2"/>
  <c r="A186" i="2"/>
  <c r="D185" i="2"/>
  <c r="C185" i="2"/>
  <c r="B185" i="2"/>
  <c r="A185" i="2"/>
  <c r="D184" i="2"/>
  <c r="C184" i="2"/>
  <c r="B184" i="2"/>
  <c r="A184" i="2"/>
  <c r="D183" i="2"/>
  <c r="C183" i="2"/>
  <c r="B183" i="2"/>
  <c r="A183" i="2"/>
  <c r="D182" i="2"/>
  <c r="C182" i="2"/>
  <c r="B182" i="2"/>
  <c r="A182" i="2"/>
  <c r="D181" i="2"/>
  <c r="C181" i="2"/>
  <c r="B181" i="2"/>
  <c r="A181" i="2"/>
  <c r="D180" i="2"/>
  <c r="C180" i="2"/>
  <c r="B180" i="2"/>
  <c r="A180" i="2"/>
  <c r="D179" i="2"/>
  <c r="C179" i="2"/>
  <c r="B179" i="2"/>
  <c r="A179" i="2"/>
  <c r="D178" i="2"/>
  <c r="C178" i="2"/>
  <c r="B178" i="2"/>
  <c r="A178" i="2"/>
  <c r="D177" i="2"/>
  <c r="C177" i="2"/>
  <c r="B177" i="2"/>
  <c r="A177" i="2"/>
  <c r="D176" i="2"/>
  <c r="C176" i="2"/>
  <c r="B176" i="2"/>
  <c r="A176" i="2"/>
  <c r="D175" i="2"/>
  <c r="C175" i="2"/>
  <c r="B175" i="2"/>
  <c r="A175" i="2"/>
  <c r="D174" i="2"/>
  <c r="C174" i="2"/>
  <c r="B174" i="2"/>
  <c r="A174" i="2"/>
  <c r="D173" i="2"/>
  <c r="C173" i="2"/>
  <c r="B173" i="2"/>
  <c r="A173" i="2"/>
  <c r="D172" i="2"/>
  <c r="C172" i="2"/>
  <c r="B172" i="2"/>
  <c r="A172" i="2"/>
  <c r="D171" i="2"/>
  <c r="C171" i="2"/>
  <c r="B171" i="2"/>
  <c r="A171" i="2"/>
  <c r="D170" i="2"/>
  <c r="C170" i="2"/>
  <c r="B170" i="2"/>
  <c r="A170" i="2"/>
  <c r="D169" i="2"/>
  <c r="C169" i="2"/>
  <c r="B169" i="2"/>
  <c r="A169" i="2"/>
  <c r="D168" i="2"/>
  <c r="C168" i="2"/>
  <c r="B168" i="2"/>
  <c r="A168" i="2"/>
  <c r="D167" i="2"/>
  <c r="C167" i="2"/>
  <c r="B167" i="2"/>
  <c r="A167" i="2"/>
  <c r="D166" i="2"/>
  <c r="C166" i="2"/>
  <c r="B166" i="2"/>
  <c r="A166" i="2"/>
  <c r="D165" i="2"/>
  <c r="C165" i="2"/>
  <c r="B165" i="2"/>
  <c r="A165" i="2"/>
  <c r="D164" i="2"/>
  <c r="C164" i="2"/>
  <c r="B164" i="2"/>
  <c r="A164" i="2"/>
  <c r="D163" i="2"/>
  <c r="C163" i="2"/>
  <c r="B163" i="2"/>
  <c r="A163" i="2"/>
  <c r="D162" i="2"/>
  <c r="C162" i="2"/>
  <c r="B162" i="2"/>
  <c r="A162" i="2"/>
  <c r="D161" i="2"/>
  <c r="C161" i="2"/>
  <c r="B161" i="2"/>
  <c r="A161" i="2"/>
  <c r="D160" i="2"/>
  <c r="C160" i="2"/>
  <c r="B160" i="2"/>
  <c r="A160" i="2"/>
  <c r="D159" i="2"/>
  <c r="C159" i="2"/>
  <c r="B159" i="2"/>
  <c r="A159" i="2"/>
  <c r="D158" i="2"/>
  <c r="C158" i="2"/>
  <c r="B158" i="2"/>
  <c r="A158" i="2"/>
  <c r="D157" i="2"/>
  <c r="C157" i="2"/>
  <c r="B157" i="2"/>
  <c r="A157" i="2"/>
  <c r="D156" i="2"/>
  <c r="C156" i="2"/>
  <c r="B156" i="2"/>
  <c r="A156" i="2"/>
  <c r="D155" i="2"/>
  <c r="C155" i="2"/>
  <c r="B155" i="2"/>
  <c r="A155" i="2"/>
  <c r="D154" i="2"/>
  <c r="C154" i="2"/>
  <c r="B154" i="2"/>
  <c r="A154" i="2"/>
  <c r="D153" i="2"/>
  <c r="C153" i="2"/>
  <c r="B153" i="2"/>
  <c r="A153" i="2"/>
  <c r="D152" i="2"/>
  <c r="C152" i="2"/>
  <c r="B152" i="2"/>
  <c r="A152" i="2"/>
  <c r="D151" i="2"/>
  <c r="C151" i="2"/>
  <c r="B151" i="2"/>
  <c r="A151" i="2"/>
  <c r="D150" i="2"/>
  <c r="C150" i="2"/>
  <c r="B150" i="2"/>
  <c r="A150" i="2"/>
  <c r="D149" i="2"/>
  <c r="C149" i="2"/>
  <c r="B149" i="2"/>
  <c r="A149" i="2"/>
  <c r="D148" i="2"/>
  <c r="C148" i="2"/>
  <c r="B148" i="2"/>
  <c r="A148" i="2"/>
  <c r="D147" i="2"/>
  <c r="C147" i="2"/>
  <c r="B147" i="2"/>
  <c r="A147" i="2"/>
  <c r="D146" i="2"/>
  <c r="C146" i="2"/>
  <c r="B146" i="2"/>
  <c r="A146" i="2"/>
  <c r="D145" i="2"/>
  <c r="C145" i="2"/>
  <c r="B145" i="2"/>
  <c r="A145" i="2"/>
  <c r="D144" i="2"/>
  <c r="C144" i="2"/>
  <c r="B144" i="2"/>
  <c r="A144" i="2"/>
  <c r="D143" i="2"/>
  <c r="C143" i="2"/>
  <c r="B143" i="2"/>
  <c r="A143" i="2"/>
  <c r="D142" i="2"/>
  <c r="C142" i="2"/>
  <c r="B142" i="2"/>
  <c r="A142" i="2"/>
  <c r="D141" i="2"/>
  <c r="C141" i="2"/>
  <c r="B141" i="2"/>
  <c r="A141" i="2"/>
  <c r="D140" i="2"/>
  <c r="C140" i="2"/>
  <c r="B140" i="2"/>
  <c r="A140" i="2"/>
  <c r="D139" i="2"/>
  <c r="C139" i="2"/>
  <c r="B139" i="2"/>
  <c r="A139" i="2"/>
  <c r="D138" i="2"/>
  <c r="C138" i="2"/>
  <c r="B138" i="2"/>
  <c r="A138" i="2"/>
  <c r="D137" i="2"/>
  <c r="C137" i="2"/>
  <c r="B137" i="2"/>
  <c r="A137" i="2"/>
  <c r="D136" i="2"/>
  <c r="C136" i="2"/>
  <c r="B136" i="2"/>
  <c r="A136" i="2"/>
  <c r="D135" i="2"/>
  <c r="C135" i="2"/>
  <c r="B135" i="2"/>
  <c r="A135" i="2"/>
  <c r="D134" i="2"/>
  <c r="C134" i="2"/>
  <c r="B134" i="2"/>
  <c r="A134" i="2"/>
  <c r="D133" i="2"/>
  <c r="C133" i="2"/>
  <c r="B133" i="2"/>
  <c r="A133" i="2"/>
  <c r="D132" i="2"/>
  <c r="C132" i="2"/>
  <c r="B132" i="2"/>
  <c r="A132" i="2"/>
  <c r="D131" i="2"/>
  <c r="C131" i="2"/>
  <c r="B131" i="2"/>
  <c r="A131" i="2"/>
  <c r="D130" i="2"/>
  <c r="C130" i="2"/>
  <c r="B130" i="2"/>
  <c r="A130" i="2"/>
  <c r="D129" i="2"/>
  <c r="C129" i="2"/>
  <c r="B129" i="2"/>
  <c r="A129" i="2"/>
  <c r="D128" i="2"/>
  <c r="C128" i="2"/>
  <c r="B128" i="2"/>
  <c r="A128" i="2"/>
  <c r="D127" i="2"/>
  <c r="C127" i="2"/>
  <c r="B127" i="2"/>
  <c r="A127" i="2"/>
  <c r="D126" i="2"/>
  <c r="C126" i="2"/>
  <c r="B126" i="2"/>
  <c r="A126" i="2"/>
  <c r="D125" i="2"/>
  <c r="C125" i="2"/>
  <c r="B125" i="2"/>
  <c r="A125" i="2"/>
  <c r="D124" i="2"/>
  <c r="C124" i="2"/>
  <c r="B124" i="2"/>
  <c r="A124" i="2"/>
  <c r="D123" i="2"/>
  <c r="C123" i="2"/>
  <c r="B123" i="2"/>
  <c r="A123" i="2"/>
  <c r="D122" i="2"/>
  <c r="C122" i="2"/>
  <c r="B122" i="2"/>
  <c r="A122" i="2"/>
  <c r="D121" i="2"/>
  <c r="C121" i="2"/>
  <c r="B121" i="2"/>
  <c r="A121" i="2"/>
  <c r="D120" i="2"/>
  <c r="C120" i="2"/>
  <c r="B120" i="2"/>
  <c r="A120" i="2"/>
  <c r="D119" i="2"/>
  <c r="C119" i="2"/>
  <c r="B119" i="2"/>
  <c r="A119" i="2"/>
  <c r="D118" i="2"/>
  <c r="C118" i="2"/>
  <c r="B118" i="2"/>
  <c r="A118" i="2"/>
  <c r="D117" i="2"/>
  <c r="C117" i="2"/>
  <c r="B117" i="2"/>
  <c r="A117" i="2"/>
  <c r="D116" i="2"/>
  <c r="C116" i="2"/>
  <c r="B116" i="2"/>
  <c r="A116" i="2"/>
  <c r="D115" i="2"/>
  <c r="C115" i="2"/>
  <c r="B115" i="2"/>
  <c r="A115" i="2"/>
  <c r="D114" i="2"/>
  <c r="C114" i="2"/>
  <c r="B114" i="2"/>
  <c r="A114" i="2"/>
  <c r="D113" i="2"/>
  <c r="C113" i="2"/>
  <c r="B113" i="2"/>
  <c r="A113" i="2"/>
  <c r="D112" i="2"/>
  <c r="C112" i="2"/>
  <c r="B112" i="2"/>
  <c r="A112" i="2"/>
  <c r="D111" i="2"/>
  <c r="C111" i="2"/>
  <c r="B111" i="2"/>
  <c r="A111" i="2"/>
  <c r="D110" i="2"/>
  <c r="C110" i="2"/>
  <c r="B110" i="2"/>
  <c r="A110" i="2"/>
  <c r="D109" i="2"/>
  <c r="C109" i="2"/>
  <c r="B109" i="2"/>
  <c r="A109" i="2"/>
  <c r="D108" i="2"/>
  <c r="C108" i="2"/>
  <c r="B108" i="2"/>
  <c r="A108" i="2"/>
  <c r="D107" i="2"/>
  <c r="C107" i="2"/>
  <c r="B107" i="2"/>
  <c r="A107" i="2"/>
  <c r="D106" i="2"/>
  <c r="C106" i="2"/>
  <c r="B106" i="2"/>
  <c r="A106" i="2"/>
  <c r="D105" i="2"/>
  <c r="C105" i="2"/>
  <c r="B105" i="2"/>
  <c r="A105" i="2"/>
  <c r="D104" i="2"/>
  <c r="C104" i="2"/>
  <c r="B104" i="2"/>
  <c r="A104" i="2"/>
  <c r="D103" i="2"/>
  <c r="C103" i="2"/>
  <c r="B103" i="2"/>
  <c r="A103" i="2"/>
  <c r="D102" i="2"/>
  <c r="C102" i="2"/>
  <c r="B102" i="2"/>
  <c r="A102" i="2"/>
  <c r="D101" i="2"/>
  <c r="C101" i="2"/>
  <c r="B101" i="2"/>
  <c r="A101" i="2"/>
  <c r="D100" i="2"/>
  <c r="C100" i="2"/>
  <c r="B100" i="2"/>
  <c r="A100" i="2"/>
  <c r="D99" i="2"/>
  <c r="C99" i="2"/>
  <c r="B99" i="2"/>
  <c r="A99" i="2"/>
  <c r="D98" i="2"/>
  <c r="C98" i="2"/>
  <c r="B98" i="2"/>
  <c r="A98" i="2"/>
  <c r="D97" i="2"/>
  <c r="B97" i="2"/>
  <c r="A97" i="2"/>
  <c r="D96" i="2"/>
  <c r="C96" i="2"/>
  <c r="B96" i="2"/>
  <c r="A96" i="2"/>
  <c r="D95" i="2"/>
  <c r="C95" i="2"/>
  <c r="B95" i="2"/>
  <c r="A95" i="2"/>
  <c r="D94" i="2"/>
  <c r="C94" i="2"/>
  <c r="B94" i="2"/>
  <c r="A94" i="2"/>
  <c r="D93" i="2"/>
  <c r="C93" i="2"/>
  <c r="B93" i="2"/>
  <c r="A93" i="2"/>
  <c r="D92" i="2"/>
  <c r="C92" i="2"/>
  <c r="B92" i="2"/>
  <c r="A92" i="2"/>
  <c r="D91" i="2"/>
  <c r="C91" i="2"/>
  <c r="B91" i="2"/>
  <c r="A91" i="2"/>
  <c r="D90" i="2"/>
  <c r="C90" i="2"/>
  <c r="B90" i="2"/>
  <c r="A90" i="2"/>
  <c r="D89" i="2"/>
  <c r="C89" i="2"/>
  <c r="B89" i="2"/>
  <c r="A89" i="2"/>
  <c r="D88" i="2"/>
  <c r="C88" i="2"/>
  <c r="B88" i="2"/>
  <c r="A88" i="2"/>
  <c r="D87" i="2"/>
  <c r="C87" i="2"/>
  <c r="B87" i="2"/>
  <c r="A87" i="2"/>
  <c r="D86" i="2"/>
  <c r="C86" i="2"/>
  <c r="B86" i="2"/>
  <c r="A86" i="2"/>
  <c r="D85" i="2"/>
  <c r="C85" i="2"/>
  <c r="B85" i="2"/>
  <c r="A85" i="2"/>
  <c r="D84" i="2"/>
  <c r="C84" i="2"/>
  <c r="B84" i="2"/>
  <c r="A84" i="2"/>
  <c r="D83" i="2"/>
  <c r="C83" i="2"/>
  <c r="B83" i="2"/>
  <c r="A83" i="2"/>
  <c r="D82" i="2"/>
  <c r="C82" i="2"/>
  <c r="B82" i="2"/>
  <c r="A82" i="2"/>
  <c r="D81" i="2"/>
  <c r="C81" i="2"/>
  <c r="B81" i="2"/>
  <c r="A81" i="2"/>
  <c r="D80" i="2"/>
  <c r="C80" i="2"/>
  <c r="B80" i="2"/>
  <c r="A80" i="2"/>
  <c r="D79" i="2"/>
  <c r="C79" i="2"/>
  <c r="B79" i="2"/>
  <c r="A79" i="2"/>
  <c r="D78" i="2"/>
  <c r="C78" i="2"/>
  <c r="B78" i="2"/>
  <c r="A78" i="2"/>
  <c r="D77" i="2"/>
  <c r="C77" i="2"/>
  <c r="B77" i="2"/>
  <c r="A77" i="2"/>
  <c r="D76" i="2"/>
  <c r="C76" i="2"/>
  <c r="B76" i="2"/>
  <c r="A76" i="2"/>
  <c r="D75" i="2"/>
  <c r="C75" i="2"/>
  <c r="B75" i="2"/>
  <c r="A75" i="2"/>
  <c r="D74" i="2"/>
  <c r="C74" i="2"/>
  <c r="B74" i="2"/>
  <c r="A74" i="2"/>
  <c r="D73" i="2"/>
  <c r="C73" i="2"/>
  <c r="B73" i="2"/>
  <c r="A73" i="2"/>
  <c r="D72" i="2"/>
  <c r="C72" i="2"/>
  <c r="B72" i="2"/>
  <c r="A72" i="2"/>
  <c r="D71" i="2"/>
  <c r="C71" i="2"/>
  <c r="B71" i="2"/>
  <c r="A71" i="2"/>
  <c r="D70" i="2"/>
  <c r="C70" i="2"/>
  <c r="B70" i="2"/>
  <c r="A70" i="2"/>
  <c r="D69" i="2"/>
  <c r="C69" i="2"/>
  <c r="B69" i="2"/>
  <c r="A69" i="2"/>
  <c r="D68" i="2"/>
  <c r="C68" i="2"/>
  <c r="B68" i="2"/>
  <c r="A68" i="2"/>
  <c r="D67" i="2"/>
  <c r="C67" i="2"/>
  <c r="B67" i="2"/>
  <c r="A67" i="2"/>
  <c r="D66" i="2"/>
  <c r="C66" i="2"/>
  <c r="B66" i="2"/>
  <c r="A66" i="2"/>
  <c r="D65" i="2"/>
  <c r="C65" i="2"/>
  <c r="B65" i="2"/>
  <c r="A65" i="2"/>
  <c r="D64" i="2"/>
  <c r="C64" i="2"/>
  <c r="B64" i="2"/>
  <c r="A64" i="2"/>
  <c r="D63" i="2"/>
  <c r="C63" i="2"/>
  <c r="B63" i="2"/>
  <c r="A63" i="2"/>
  <c r="D62" i="2"/>
  <c r="C62" i="2"/>
  <c r="B62" i="2"/>
  <c r="A62" i="2"/>
  <c r="D61" i="2"/>
  <c r="C61" i="2"/>
  <c r="B61" i="2"/>
  <c r="A61" i="2"/>
  <c r="D60" i="2"/>
  <c r="C60" i="2"/>
  <c r="B60" i="2"/>
  <c r="A60" i="2"/>
  <c r="D59" i="2"/>
  <c r="C59" i="2"/>
  <c r="B59" i="2"/>
  <c r="A59" i="2"/>
  <c r="D58" i="2"/>
  <c r="C58" i="2"/>
  <c r="B58" i="2"/>
  <c r="A58" i="2"/>
  <c r="D57" i="2"/>
  <c r="C57" i="2"/>
  <c r="B57" i="2"/>
  <c r="A57" i="2"/>
  <c r="D56" i="2"/>
  <c r="C56" i="2"/>
  <c r="B56" i="2"/>
  <c r="A56" i="2"/>
  <c r="D55" i="2"/>
  <c r="C55" i="2"/>
  <c r="B55" i="2"/>
  <c r="A55" i="2"/>
  <c r="D54" i="2"/>
  <c r="C54" i="2"/>
  <c r="B54" i="2"/>
  <c r="A54" i="2"/>
  <c r="D53" i="2"/>
  <c r="C53" i="2"/>
  <c r="B53" i="2"/>
  <c r="A53" i="2"/>
  <c r="D52" i="2"/>
  <c r="C52" i="2"/>
  <c r="B52" i="2"/>
  <c r="A52" i="2"/>
  <c r="D51" i="2"/>
  <c r="C51" i="2"/>
  <c r="B51" i="2"/>
  <c r="A51" i="2"/>
  <c r="D50" i="2"/>
  <c r="C50" i="2"/>
  <c r="B50" i="2"/>
  <c r="A50" i="2"/>
  <c r="D49" i="2"/>
  <c r="C49" i="2"/>
  <c r="B49" i="2"/>
  <c r="A49" i="2"/>
  <c r="D48" i="2"/>
  <c r="C48" i="2"/>
  <c r="B48" i="2"/>
  <c r="A48" i="2"/>
  <c r="D47" i="2"/>
  <c r="C47" i="2"/>
  <c r="B47" i="2"/>
  <c r="A47" i="2"/>
  <c r="D46" i="2"/>
  <c r="C46" i="2"/>
  <c r="B46" i="2"/>
  <c r="A46" i="2"/>
  <c r="D45" i="2"/>
  <c r="C45" i="2"/>
  <c r="B45" i="2"/>
  <c r="A45" i="2"/>
  <c r="D44" i="2"/>
  <c r="C44" i="2"/>
  <c r="B44" i="2"/>
  <c r="A44" i="2"/>
  <c r="D43" i="2"/>
  <c r="C43" i="2"/>
  <c r="B43" i="2"/>
  <c r="A43" i="2"/>
  <c r="D42" i="2"/>
  <c r="C42" i="2"/>
  <c r="B42" i="2"/>
  <c r="A42" i="2"/>
  <c r="D41" i="2"/>
  <c r="C41" i="2"/>
  <c r="B41" i="2"/>
  <c r="A41" i="2"/>
  <c r="D40" i="2"/>
  <c r="C40" i="2"/>
  <c r="B40" i="2"/>
  <c r="A40" i="2"/>
  <c r="D39" i="2"/>
  <c r="C39" i="2"/>
  <c r="B39" i="2"/>
  <c r="A39" i="2"/>
  <c r="D38" i="2"/>
  <c r="C38" i="2"/>
  <c r="B38" i="2"/>
  <c r="A38" i="2"/>
  <c r="D37" i="2"/>
  <c r="C37" i="2"/>
  <c r="B37" i="2"/>
  <c r="A37" i="2"/>
  <c r="D36" i="2"/>
  <c r="C36" i="2"/>
  <c r="B36" i="2"/>
  <c r="A36" i="2"/>
  <c r="D35" i="2"/>
  <c r="C35" i="2"/>
  <c r="B35" i="2"/>
  <c r="A35" i="2"/>
  <c r="D34" i="2"/>
  <c r="C34" i="2"/>
  <c r="B34" i="2"/>
  <c r="A34" i="2"/>
  <c r="D33" i="2"/>
  <c r="C33" i="2"/>
  <c r="B33" i="2"/>
  <c r="A33" i="2"/>
  <c r="D32" i="2"/>
  <c r="C32" i="2"/>
  <c r="B32" i="2"/>
  <c r="A32" i="2"/>
  <c r="D31" i="2"/>
  <c r="C31" i="2"/>
  <c r="B31" i="2"/>
  <c r="A31" i="2"/>
  <c r="D30" i="2"/>
  <c r="C30" i="2"/>
  <c r="B30" i="2"/>
  <c r="A30" i="2"/>
  <c r="D29" i="2"/>
  <c r="C29" i="2"/>
  <c r="B29" i="2"/>
  <c r="A29" i="2"/>
  <c r="D28" i="2"/>
  <c r="C28" i="2"/>
  <c r="B28" i="2"/>
  <c r="A28" i="2"/>
  <c r="D27" i="2"/>
  <c r="C27" i="2"/>
  <c r="B27" i="2"/>
  <c r="A27" i="2"/>
  <c r="D26" i="2"/>
  <c r="C26" i="2"/>
  <c r="B26" i="2"/>
  <c r="A26" i="2"/>
  <c r="D25" i="2"/>
  <c r="C25" i="2"/>
  <c r="B25" i="2"/>
  <c r="A25" i="2"/>
  <c r="D24" i="2"/>
  <c r="C24" i="2"/>
  <c r="B24" i="2"/>
  <c r="A24" i="2"/>
  <c r="D23" i="2"/>
  <c r="C23" i="2"/>
  <c r="B23" i="2"/>
  <c r="A23" i="2"/>
  <c r="D22" i="2"/>
  <c r="C22" i="2"/>
  <c r="B22" i="2"/>
  <c r="A22" i="2"/>
  <c r="D21" i="2"/>
  <c r="C21" i="2"/>
  <c r="B21" i="2"/>
  <c r="A21" i="2"/>
  <c r="D20" i="2"/>
  <c r="C20" i="2"/>
  <c r="B20" i="2"/>
  <c r="A20" i="2"/>
  <c r="D19" i="2"/>
  <c r="C19" i="2"/>
  <c r="B19" i="2"/>
  <c r="A19" i="2"/>
  <c r="D18" i="2"/>
  <c r="C18" i="2"/>
  <c r="B18" i="2"/>
  <c r="A18" i="2"/>
  <c r="D17" i="2"/>
  <c r="C17" i="2"/>
  <c r="B17" i="2"/>
  <c r="A17" i="2"/>
  <c r="D16" i="2"/>
  <c r="C16" i="2"/>
  <c r="B16" i="2"/>
  <c r="A16" i="2"/>
  <c r="D15" i="2"/>
  <c r="C15" i="2"/>
  <c r="B15" i="2"/>
  <c r="A15" i="2"/>
  <c r="D14" i="2"/>
  <c r="C14" i="2"/>
  <c r="B14" i="2"/>
  <c r="A14" i="2"/>
  <c r="D13" i="2"/>
  <c r="C13" i="2"/>
  <c r="B13" i="2"/>
  <c r="A13" i="2"/>
  <c r="D12" i="2"/>
  <c r="C12" i="2"/>
  <c r="B12" i="2"/>
  <c r="A12" i="2"/>
  <c r="D11" i="2"/>
  <c r="C11" i="2"/>
  <c r="B11" i="2"/>
  <c r="A11" i="2"/>
  <c r="D10" i="2"/>
  <c r="C10" i="2"/>
  <c r="B10" i="2"/>
  <c r="A10" i="2"/>
  <c r="D9" i="2"/>
  <c r="C9" i="2"/>
  <c r="B9" i="2"/>
  <c r="A9" i="2"/>
  <c r="D8" i="2"/>
  <c r="C8" i="2"/>
  <c r="B8" i="2"/>
  <c r="A8" i="2"/>
  <c r="D7" i="2"/>
  <c r="C7" i="2"/>
  <c r="B7" i="2"/>
  <c r="A7" i="2"/>
  <c r="D6" i="2"/>
  <c r="C6" i="2"/>
  <c r="B6" i="2"/>
  <c r="A6" i="2"/>
  <c r="D5" i="2"/>
  <c r="C5" i="2"/>
  <c r="B5" i="2"/>
  <c r="A5" i="2"/>
  <c r="D4" i="2"/>
  <c r="C4" i="2"/>
  <c r="B4" i="2"/>
  <c r="A4" i="2"/>
  <c r="D3" i="2"/>
  <c r="C3" i="2"/>
  <c r="B3" i="2"/>
  <c r="A3" i="2"/>
  <c r="EF822" i="2"/>
  <c r="EF787" i="2"/>
  <c r="EF828" i="2"/>
  <c r="B707" i="1"/>
  <c r="A795" i="1"/>
  <c r="B795" i="1"/>
  <c r="C795" i="1"/>
  <c r="D795" i="1"/>
  <c r="A796" i="1"/>
  <c r="B796" i="1"/>
  <c r="C796" i="1"/>
  <c r="D796" i="1"/>
  <c r="A797" i="1"/>
  <c r="B797" i="1"/>
  <c r="C797" i="1"/>
  <c r="D797" i="1"/>
  <c r="A798" i="1"/>
  <c r="B798" i="1"/>
  <c r="C798" i="1"/>
  <c r="D798" i="1"/>
  <c r="A799" i="1"/>
  <c r="B799" i="1"/>
  <c r="C799" i="1"/>
  <c r="D799" i="1"/>
  <c r="A800" i="1"/>
  <c r="B800" i="1"/>
  <c r="C800" i="1"/>
  <c r="D800" i="1"/>
  <c r="A801" i="1"/>
  <c r="B801" i="1"/>
  <c r="C801" i="1"/>
  <c r="D801" i="1"/>
  <c r="A802" i="1"/>
  <c r="B802" i="1"/>
  <c r="C802" i="1"/>
  <c r="D802" i="1"/>
  <c r="A803" i="1"/>
  <c r="B803" i="1"/>
  <c r="C803" i="1"/>
  <c r="D803" i="1"/>
  <c r="A804" i="1"/>
  <c r="B804" i="1"/>
  <c r="C804" i="1"/>
  <c r="D804" i="1"/>
  <c r="A805" i="1"/>
  <c r="G6" i="7" s="1"/>
  <c r="B805" i="1"/>
  <c r="C805" i="1"/>
  <c r="D805" i="1"/>
  <c r="A664" i="1"/>
  <c r="B664" i="1"/>
  <c r="C664" i="1"/>
  <c r="D664" i="1"/>
  <c r="A665" i="1"/>
  <c r="B665" i="1"/>
  <c r="C665" i="1"/>
  <c r="D665" i="1"/>
  <c r="A666" i="1"/>
  <c r="B666" i="1"/>
  <c r="C666" i="1"/>
  <c r="D666" i="1"/>
  <c r="A667" i="1"/>
  <c r="B667" i="1"/>
  <c r="C667" i="1"/>
  <c r="D667" i="1"/>
  <c r="A668" i="1"/>
  <c r="B668" i="1"/>
  <c r="C668" i="1"/>
  <c r="D668" i="1"/>
  <c r="A669" i="1"/>
  <c r="B669" i="1"/>
  <c r="C669" i="1"/>
  <c r="D669" i="1"/>
  <c r="A670" i="1"/>
  <c r="B670" i="1"/>
  <c r="C670" i="1"/>
  <c r="D670" i="1"/>
  <c r="A671" i="1"/>
  <c r="B671" i="1"/>
  <c r="C671" i="1"/>
  <c r="D671" i="1"/>
  <c r="A672" i="1"/>
  <c r="B672" i="1"/>
  <c r="C672" i="1"/>
  <c r="D672" i="1"/>
  <c r="A673" i="1"/>
  <c r="B673" i="1"/>
  <c r="C673" i="1"/>
  <c r="D673" i="1"/>
  <c r="A674" i="1"/>
  <c r="B674" i="1"/>
  <c r="C674" i="1"/>
  <c r="D674" i="1"/>
  <c r="A675" i="1"/>
  <c r="B675" i="1"/>
  <c r="C675" i="1"/>
  <c r="D675" i="1"/>
  <c r="A676" i="1"/>
  <c r="B676" i="1"/>
  <c r="C676" i="1"/>
  <c r="D676" i="1"/>
  <c r="A677" i="1"/>
  <c r="B677" i="1"/>
  <c r="C677" i="1"/>
  <c r="D677" i="1"/>
  <c r="A678" i="1"/>
  <c r="B678" i="1"/>
  <c r="C678" i="1"/>
  <c r="D678" i="1"/>
  <c r="A679" i="1"/>
  <c r="B679" i="1"/>
  <c r="C679" i="1"/>
  <c r="D679" i="1"/>
  <c r="A680" i="1"/>
  <c r="B680" i="1"/>
  <c r="C680" i="1"/>
  <c r="D680" i="1"/>
  <c r="A681" i="1"/>
  <c r="B681" i="1"/>
  <c r="C681" i="1"/>
  <c r="D681" i="1"/>
  <c r="A682" i="1"/>
  <c r="B682" i="1"/>
  <c r="C682" i="1"/>
  <c r="D682" i="1"/>
  <c r="A683" i="1"/>
  <c r="B683" i="1"/>
  <c r="C683" i="1"/>
  <c r="D683" i="1"/>
  <c r="A684" i="1"/>
  <c r="B684" i="1"/>
  <c r="C684" i="1"/>
  <c r="D684" i="1"/>
  <c r="A685" i="1"/>
  <c r="B685" i="1"/>
  <c r="C685" i="1"/>
  <c r="D685" i="1"/>
  <c r="A686" i="1"/>
  <c r="B686" i="1"/>
  <c r="C686" i="1"/>
  <c r="D686" i="1"/>
  <c r="A687" i="1"/>
  <c r="B687" i="1"/>
  <c r="C687" i="1"/>
  <c r="D687" i="1"/>
  <c r="A688" i="1"/>
  <c r="B688" i="1"/>
  <c r="C688" i="1"/>
  <c r="D688" i="1"/>
  <c r="A689" i="1"/>
  <c r="B689" i="1"/>
  <c r="C689" i="1"/>
  <c r="D689" i="1"/>
  <c r="A690" i="1"/>
  <c r="B690" i="1"/>
  <c r="C690" i="1"/>
  <c r="D690" i="1"/>
  <c r="A691" i="1"/>
  <c r="B691" i="1"/>
  <c r="C691" i="1"/>
  <c r="D691" i="1"/>
  <c r="A692" i="1"/>
  <c r="B692" i="1"/>
  <c r="C692" i="1"/>
  <c r="D692" i="1"/>
  <c r="A693" i="1"/>
  <c r="B693" i="1"/>
  <c r="C693" i="1"/>
  <c r="D693" i="1"/>
  <c r="A694" i="1"/>
  <c r="B694" i="1"/>
  <c r="C694" i="1"/>
  <c r="D694" i="1"/>
  <c r="A695" i="1"/>
  <c r="B695" i="1"/>
  <c r="C695" i="1"/>
  <c r="D695" i="1"/>
  <c r="A696" i="1"/>
  <c r="B696" i="1"/>
  <c r="C696" i="1"/>
  <c r="D696" i="1"/>
  <c r="A697" i="1"/>
  <c r="B697" i="1"/>
  <c r="C697" i="1"/>
  <c r="D697" i="1"/>
  <c r="A698" i="1"/>
  <c r="B698" i="1"/>
  <c r="C698" i="1"/>
  <c r="D698" i="1"/>
  <c r="A699" i="1"/>
  <c r="B699" i="1"/>
  <c r="C699" i="1"/>
  <c r="D699" i="1"/>
  <c r="A700" i="1"/>
  <c r="B700" i="1"/>
  <c r="C700" i="1"/>
  <c r="D700" i="1"/>
  <c r="A701" i="1"/>
  <c r="B701" i="1"/>
  <c r="C701" i="1"/>
  <c r="D701" i="1"/>
  <c r="A702" i="1"/>
  <c r="B702" i="1"/>
  <c r="C702" i="1"/>
  <c r="D702" i="1"/>
  <c r="A703" i="1"/>
  <c r="B703" i="1"/>
  <c r="C703" i="1"/>
  <c r="D703" i="1"/>
  <c r="A704" i="1"/>
  <c r="B704" i="1"/>
  <c r="C704" i="1"/>
  <c r="D704" i="1"/>
  <c r="A705" i="1"/>
  <c r="B705" i="1"/>
  <c r="C705" i="1"/>
  <c r="D705" i="1"/>
  <c r="A706" i="1"/>
  <c r="B706" i="1"/>
  <c r="C706" i="1"/>
  <c r="D706" i="1"/>
  <c r="A707" i="1"/>
  <c r="C707" i="1"/>
  <c r="D707" i="1"/>
  <c r="A708" i="1"/>
  <c r="B708" i="1"/>
  <c r="C708" i="1"/>
  <c r="D708" i="1"/>
  <c r="A709" i="1"/>
  <c r="B709" i="1"/>
  <c r="C709" i="1"/>
  <c r="D709" i="1"/>
  <c r="A710" i="1"/>
  <c r="B710" i="1"/>
  <c r="C710" i="1"/>
  <c r="D710" i="1"/>
  <c r="A711" i="1"/>
  <c r="B711" i="1"/>
  <c r="C711" i="1"/>
  <c r="D711" i="1"/>
  <c r="A712" i="1"/>
  <c r="B712" i="1"/>
  <c r="C712" i="1"/>
  <c r="D712" i="1"/>
  <c r="A713" i="1"/>
  <c r="B713" i="1"/>
  <c r="C713" i="1"/>
  <c r="D713" i="1"/>
  <c r="A714" i="1"/>
  <c r="B714" i="1"/>
  <c r="C714" i="1"/>
  <c r="D714" i="1"/>
  <c r="A715" i="1"/>
  <c r="B715" i="1"/>
  <c r="C715" i="1"/>
  <c r="D715" i="1"/>
  <c r="A716" i="1"/>
  <c r="B716" i="1"/>
  <c r="C716" i="1"/>
  <c r="D716" i="1"/>
  <c r="A717" i="1"/>
  <c r="B717" i="1"/>
  <c r="C717" i="1"/>
  <c r="D717" i="1"/>
  <c r="A718" i="1"/>
  <c r="B718" i="1"/>
  <c r="C718" i="1"/>
  <c r="D718" i="1"/>
  <c r="A719" i="1"/>
  <c r="B719" i="1"/>
  <c r="C719" i="1"/>
  <c r="D719" i="1"/>
  <c r="A720" i="1"/>
  <c r="B720" i="1"/>
  <c r="C720" i="1"/>
  <c r="D720" i="1"/>
  <c r="A721" i="1"/>
  <c r="B721" i="1"/>
  <c r="C721" i="1"/>
  <c r="D721" i="1"/>
  <c r="A722" i="1"/>
  <c r="B722" i="1"/>
  <c r="C722" i="1"/>
  <c r="D722" i="1"/>
  <c r="A723" i="1"/>
  <c r="B723" i="1"/>
  <c r="C723" i="1"/>
  <c r="D723" i="1"/>
  <c r="A724" i="1"/>
  <c r="B724" i="1"/>
  <c r="C724" i="1"/>
  <c r="D724" i="1"/>
  <c r="A725" i="1"/>
  <c r="B725" i="1"/>
  <c r="C725" i="1"/>
  <c r="D725" i="1"/>
  <c r="A726" i="1"/>
  <c r="B726" i="1"/>
  <c r="C726" i="1"/>
  <c r="D726" i="1"/>
  <c r="A727" i="1"/>
  <c r="B727" i="1"/>
  <c r="C727" i="1"/>
  <c r="D727" i="1"/>
  <c r="A728" i="1"/>
  <c r="B728" i="1"/>
  <c r="C728" i="1"/>
  <c r="D728" i="1"/>
  <c r="A729" i="1"/>
  <c r="B729" i="1"/>
  <c r="C729" i="1"/>
  <c r="D729" i="1"/>
  <c r="A730" i="1"/>
  <c r="B730" i="1"/>
  <c r="C730" i="1"/>
  <c r="D730" i="1"/>
  <c r="A731" i="1"/>
  <c r="B731" i="1"/>
  <c r="C731" i="1"/>
  <c r="D731" i="1"/>
  <c r="A732" i="1"/>
  <c r="B732" i="1"/>
  <c r="C732" i="1"/>
  <c r="D732" i="1"/>
  <c r="A733" i="1"/>
  <c r="B733" i="1"/>
  <c r="C733" i="1"/>
  <c r="D733" i="1"/>
  <c r="A734" i="1"/>
  <c r="B734" i="1"/>
  <c r="C734" i="1"/>
  <c r="D734" i="1"/>
  <c r="A735" i="1"/>
  <c r="B735" i="1"/>
  <c r="C735" i="1"/>
  <c r="D735" i="1"/>
  <c r="A736" i="1"/>
  <c r="B736" i="1"/>
  <c r="C736" i="1"/>
  <c r="D736" i="1"/>
  <c r="A737" i="1"/>
  <c r="B737" i="1"/>
  <c r="C737" i="1"/>
  <c r="D737" i="1"/>
  <c r="A738" i="1"/>
  <c r="B738" i="1"/>
  <c r="C738" i="1"/>
  <c r="D738" i="1"/>
  <c r="A739" i="1"/>
  <c r="B739" i="1"/>
  <c r="C739" i="1"/>
  <c r="D739" i="1"/>
  <c r="A740" i="1"/>
  <c r="B740" i="1"/>
  <c r="C740" i="1"/>
  <c r="D740" i="1"/>
  <c r="A741" i="1"/>
  <c r="B741" i="1"/>
  <c r="C741" i="1"/>
  <c r="D741" i="1"/>
  <c r="A742" i="1"/>
  <c r="B742" i="1"/>
  <c r="C742" i="1"/>
  <c r="D742" i="1"/>
  <c r="A743" i="1"/>
  <c r="B743" i="1"/>
  <c r="C743" i="1"/>
  <c r="D743" i="1"/>
  <c r="A744" i="1"/>
  <c r="B744" i="1"/>
  <c r="C744" i="1"/>
  <c r="D744" i="1"/>
  <c r="A745" i="1"/>
  <c r="B745" i="1"/>
  <c r="C745" i="1"/>
  <c r="D745" i="1"/>
  <c r="A746" i="1"/>
  <c r="B746" i="1"/>
  <c r="C746" i="1"/>
  <c r="D746" i="1"/>
  <c r="A747" i="1"/>
  <c r="B747" i="1"/>
  <c r="C747" i="1"/>
  <c r="D747" i="1"/>
  <c r="A748" i="1"/>
  <c r="B748" i="1"/>
  <c r="C748" i="1"/>
  <c r="D748" i="1"/>
  <c r="A749" i="1"/>
  <c r="B749" i="1"/>
  <c r="C749" i="1"/>
  <c r="D749" i="1"/>
  <c r="A750" i="1"/>
  <c r="B750" i="1"/>
  <c r="C750" i="1"/>
  <c r="D750" i="1"/>
  <c r="A751" i="1"/>
  <c r="B751" i="1"/>
  <c r="C751" i="1"/>
  <c r="D751" i="1"/>
  <c r="A752" i="1"/>
  <c r="B752" i="1"/>
  <c r="C752" i="1"/>
  <c r="D752" i="1"/>
  <c r="A753" i="1"/>
  <c r="B753" i="1"/>
  <c r="C753" i="1"/>
  <c r="D753" i="1"/>
  <c r="A754" i="1"/>
  <c r="B754" i="1"/>
  <c r="C754" i="1"/>
  <c r="D754" i="1"/>
  <c r="A755" i="1"/>
  <c r="B755" i="1"/>
  <c r="C755" i="1"/>
  <c r="D755" i="1"/>
  <c r="A756" i="1"/>
  <c r="B756" i="1"/>
  <c r="C756" i="1"/>
  <c r="D756" i="1"/>
  <c r="A757" i="1"/>
  <c r="B757" i="1"/>
  <c r="C757" i="1"/>
  <c r="D757" i="1"/>
  <c r="A758" i="1"/>
  <c r="B758" i="1"/>
  <c r="C758" i="1"/>
  <c r="D758" i="1"/>
  <c r="A759" i="1"/>
  <c r="B759" i="1"/>
  <c r="C759" i="1"/>
  <c r="D759" i="1"/>
  <c r="A760" i="1"/>
  <c r="B760" i="1"/>
  <c r="C760" i="1"/>
  <c r="D760" i="1"/>
  <c r="A761" i="1"/>
  <c r="B761" i="1"/>
  <c r="C761" i="1"/>
  <c r="D761" i="1"/>
  <c r="A762" i="1"/>
  <c r="B762" i="1"/>
  <c r="C762" i="1"/>
  <c r="D762" i="1"/>
  <c r="A763" i="1"/>
  <c r="B763" i="1"/>
  <c r="C763" i="1"/>
  <c r="D763" i="1"/>
  <c r="A764" i="1"/>
  <c r="B764" i="1"/>
  <c r="C764" i="1"/>
  <c r="D764" i="1"/>
  <c r="A765" i="1"/>
  <c r="B765" i="1"/>
  <c r="C765" i="1"/>
  <c r="D765" i="1"/>
  <c r="A766" i="1"/>
  <c r="B766" i="1"/>
  <c r="C766" i="1"/>
  <c r="D766" i="1"/>
  <c r="A767" i="1"/>
  <c r="B767" i="1"/>
  <c r="C767" i="1"/>
  <c r="D767" i="1"/>
  <c r="A768" i="1"/>
  <c r="B768" i="1"/>
  <c r="C768" i="1"/>
  <c r="D768" i="1"/>
  <c r="A769" i="1"/>
  <c r="B769" i="1"/>
  <c r="C769" i="1"/>
  <c r="D769" i="1"/>
  <c r="A770" i="1"/>
  <c r="B770" i="1"/>
  <c r="C770" i="1"/>
  <c r="D770" i="1"/>
  <c r="A771" i="1"/>
  <c r="B771" i="1"/>
  <c r="C771" i="1"/>
  <c r="D771" i="1"/>
  <c r="A772" i="1"/>
  <c r="B772" i="1"/>
  <c r="C772" i="1"/>
  <c r="D772" i="1"/>
  <c r="A773" i="1"/>
  <c r="B773" i="1"/>
  <c r="C773" i="1"/>
  <c r="D773" i="1"/>
  <c r="A774" i="1"/>
  <c r="B774" i="1"/>
  <c r="C774" i="1"/>
  <c r="D774" i="1"/>
  <c r="A775" i="1"/>
  <c r="B775" i="1"/>
  <c r="C775" i="1"/>
  <c r="D775" i="1"/>
  <c r="A776" i="1"/>
  <c r="B776" i="1"/>
  <c r="C776" i="1"/>
  <c r="D776" i="1"/>
  <c r="A777" i="1"/>
  <c r="B777" i="1"/>
  <c r="C777" i="1"/>
  <c r="D777" i="1"/>
  <c r="A778" i="1"/>
  <c r="B778" i="1"/>
  <c r="C778" i="1"/>
  <c r="D778" i="1"/>
  <c r="A779" i="1"/>
  <c r="B779" i="1"/>
  <c r="C779" i="1"/>
  <c r="D779" i="1"/>
  <c r="A780" i="1"/>
  <c r="B780" i="1"/>
  <c r="C780" i="1"/>
  <c r="D780" i="1"/>
  <c r="A781" i="1"/>
  <c r="B781" i="1"/>
  <c r="C781" i="1"/>
  <c r="D781" i="1"/>
  <c r="A782" i="1"/>
  <c r="B782" i="1"/>
  <c r="C782" i="1"/>
  <c r="D782" i="1"/>
  <c r="A783" i="1"/>
  <c r="B783" i="1"/>
  <c r="C783" i="1"/>
  <c r="D783" i="1"/>
  <c r="A784" i="1"/>
  <c r="B784" i="1"/>
  <c r="C784" i="1"/>
  <c r="D784" i="1"/>
  <c r="A785" i="1"/>
  <c r="B785" i="1"/>
  <c r="C785" i="1"/>
  <c r="D785" i="1"/>
  <c r="A786" i="1"/>
  <c r="B786" i="1"/>
  <c r="C786" i="1"/>
  <c r="D786" i="1"/>
  <c r="A787" i="1"/>
  <c r="B787" i="1"/>
  <c r="C787" i="1"/>
  <c r="D787" i="1"/>
  <c r="A788" i="1"/>
  <c r="B788" i="1"/>
  <c r="C788" i="1"/>
  <c r="D788" i="1"/>
  <c r="A789" i="1"/>
  <c r="B789" i="1"/>
  <c r="C789" i="1"/>
  <c r="D789" i="1"/>
  <c r="A790" i="1"/>
  <c r="B790" i="1"/>
  <c r="C790" i="1"/>
  <c r="D790" i="1"/>
  <c r="A791" i="1"/>
  <c r="B791" i="1"/>
  <c r="C791" i="1"/>
  <c r="D791" i="1"/>
  <c r="A792" i="1"/>
  <c r="B792" i="1"/>
  <c r="C792" i="1"/>
  <c r="D792" i="1"/>
  <c r="A793" i="1"/>
  <c r="B793" i="1"/>
  <c r="C793" i="1"/>
  <c r="D793" i="1"/>
  <c r="A794" i="1"/>
  <c r="B794" i="1"/>
  <c r="C794" i="1"/>
  <c r="D794" i="1"/>
  <c r="D663" i="1"/>
  <c r="C663" i="1"/>
  <c r="B663" i="1"/>
  <c r="A663" i="1"/>
  <c r="D662" i="1"/>
  <c r="C662" i="1"/>
  <c r="B662" i="1"/>
  <c r="A662" i="1"/>
  <c r="D661" i="1"/>
  <c r="C661" i="1"/>
  <c r="B661" i="1"/>
  <c r="A661" i="1"/>
  <c r="D660" i="1"/>
  <c r="C660" i="1"/>
  <c r="B660" i="1"/>
  <c r="A660" i="1"/>
  <c r="D659" i="1"/>
  <c r="C659" i="1"/>
  <c r="B659" i="1"/>
  <c r="A659" i="1"/>
  <c r="D658" i="1"/>
  <c r="C658" i="1"/>
  <c r="B658" i="1"/>
  <c r="A658" i="1"/>
  <c r="D657" i="1"/>
  <c r="C657" i="1"/>
  <c r="B657" i="1"/>
  <c r="A657" i="1"/>
  <c r="D656" i="1"/>
  <c r="C656" i="1"/>
  <c r="B656" i="1"/>
  <c r="A656" i="1"/>
  <c r="D655" i="1"/>
  <c r="C655" i="1"/>
  <c r="B655" i="1"/>
  <c r="A655" i="1"/>
  <c r="D654" i="1"/>
  <c r="C654" i="1"/>
  <c r="B654" i="1"/>
  <c r="A654" i="1"/>
  <c r="D653" i="1"/>
  <c r="C653" i="1"/>
  <c r="B653" i="1"/>
  <c r="A653" i="1"/>
  <c r="D652" i="1"/>
  <c r="C652" i="1"/>
  <c r="B652" i="1"/>
  <c r="A652" i="1"/>
  <c r="D651" i="1"/>
  <c r="C651" i="1"/>
  <c r="B651" i="1"/>
  <c r="A651" i="1"/>
  <c r="D650" i="1"/>
  <c r="C650" i="1"/>
  <c r="B650" i="1"/>
  <c r="A650" i="1"/>
  <c r="D649" i="1"/>
  <c r="C649" i="1"/>
  <c r="B649" i="1"/>
  <c r="A649" i="1"/>
  <c r="D648" i="1"/>
  <c r="C648" i="1"/>
  <c r="B648" i="1"/>
  <c r="A648" i="1"/>
  <c r="D647" i="1"/>
  <c r="C647" i="1"/>
  <c r="B647" i="1"/>
  <c r="A647" i="1"/>
  <c r="D646" i="1"/>
  <c r="C646" i="1"/>
  <c r="B646" i="1"/>
  <c r="A646" i="1"/>
  <c r="D645" i="1"/>
  <c r="C645" i="1"/>
  <c r="B645" i="1"/>
  <c r="A645" i="1"/>
  <c r="D644" i="1"/>
  <c r="C644" i="1"/>
  <c r="B644" i="1"/>
  <c r="A644" i="1"/>
  <c r="D643" i="1"/>
  <c r="C643" i="1"/>
  <c r="B643" i="1"/>
  <c r="A643" i="1"/>
  <c r="D642" i="1"/>
  <c r="C642" i="1"/>
  <c r="B642" i="1"/>
  <c r="A642" i="1"/>
  <c r="D641" i="1"/>
  <c r="C641" i="1"/>
  <c r="B641" i="1"/>
  <c r="A641" i="1"/>
  <c r="D640" i="1"/>
  <c r="C640" i="1"/>
  <c r="B640" i="1"/>
  <c r="A640" i="1"/>
  <c r="D639" i="1"/>
  <c r="C639" i="1"/>
  <c r="B639" i="1"/>
  <c r="A639" i="1"/>
  <c r="D638" i="1"/>
  <c r="C638" i="1"/>
  <c r="B638" i="1"/>
  <c r="A638" i="1"/>
  <c r="D637" i="1"/>
  <c r="C637" i="1"/>
  <c r="B637" i="1"/>
  <c r="A637" i="1"/>
  <c r="D636" i="1"/>
  <c r="C636" i="1"/>
  <c r="B636" i="1"/>
  <c r="A636" i="1"/>
  <c r="D635" i="1"/>
  <c r="C635" i="1"/>
  <c r="B635" i="1"/>
  <c r="A635" i="1"/>
  <c r="D634" i="1"/>
  <c r="C634" i="1"/>
  <c r="B634" i="1"/>
  <c r="A634" i="1"/>
  <c r="D633" i="1"/>
  <c r="C633" i="1"/>
  <c r="B633" i="1"/>
  <c r="A633" i="1"/>
  <c r="D632" i="1"/>
  <c r="C632" i="1"/>
  <c r="B632" i="1"/>
  <c r="A632" i="1"/>
  <c r="D631" i="1"/>
  <c r="C631" i="1"/>
  <c r="B631" i="1"/>
  <c r="A631" i="1"/>
  <c r="D630" i="1"/>
  <c r="C630" i="1"/>
  <c r="B630" i="1"/>
  <c r="A630" i="1"/>
  <c r="D629" i="1"/>
  <c r="C629" i="1"/>
  <c r="B629" i="1"/>
  <c r="A629" i="1"/>
  <c r="D628" i="1"/>
  <c r="C628" i="1"/>
  <c r="B628" i="1"/>
  <c r="A628" i="1"/>
  <c r="D627" i="1"/>
  <c r="C627" i="1"/>
  <c r="B627" i="1"/>
  <c r="A627" i="1"/>
  <c r="D626" i="1"/>
  <c r="C626" i="1"/>
  <c r="B626" i="1"/>
  <c r="A626" i="1"/>
  <c r="D625" i="1"/>
  <c r="C625" i="1"/>
  <c r="B625" i="1"/>
  <c r="A625" i="1"/>
  <c r="D624" i="1"/>
  <c r="C624" i="1"/>
  <c r="B624" i="1"/>
  <c r="A624" i="1"/>
  <c r="D623" i="1"/>
  <c r="C623" i="1"/>
  <c r="B623" i="1"/>
  <c r="A623" i="1"/>
  <c r="D622" i="1"/>
  <c r="C622" i="1"/>
  <c r="B622" i="1"/>
  <c r="A622" i="1"/>
  <c r="D621" i="1"/>
  <c r="C621" i="1"/>
  <c r="B621" i="1"/>
  <c r="A621" i="1"/>
  <c r="D620" i="1"/>
  <c r="C620" i="1"/>
  <c r="B620" i="1"/>
  <c r="A620" i="1"/>
  <c r="D619" i="1"/>
  <c r="C619" i="1"/>
  <c r="B619" i="1"/>
  <c r="A619" i="1"/>
  <c r="D618" i="1"/>
  <c r="C618" i="1"/>
  <c r="B618" i="1"/>
  <c r="A618" i="1"/>
  <c r="D617" i="1"/>
  <c r="C617" i="1"/>
  <c r="B617" i="1"/>
  <c r="A617" i="1"/>
  <c r="D616" i="1"/>
  <c r="C616" i="1"/>
  <c r="B616" i="1"/>
  <c r="A616" i="1"/>
  <c r="D615" i="1"/>
  <c r="C615" i="1"/>
  <c r="B615" i="1"/>
  <c r="A615" i="1"/>
  <c r="D614" i="1"/>
  <c r="C614" i="1"/>
  <c r="B614" i="1"/>
  <c r="A614" i="1"/>
  <c r="D613" i="1"/>
  <c r="C613" i="1"/>
  <c r="B613" i="1"/>
  <c r="A613" i="1"/>
  <c r="D612" i="1"/>
  <c r="C612" i="1"/>
  <c r="B612" i="1"/>
  <c r="A612" i="1"/>
  <c r="D611" i="1"/>
  <c r="C611" i="1"/>
  <c r="B611" i="1"/>
  <c r="A611" i="1"/>
  <c r="D610" i="1"/>
  <c r="C610" i="1"/>
  <c r="B610" i="1"/>
  <c r="A610" i="1"/>
  <c r="D609" i="1"/>
  <c r="C609" i="1"/>
  <c r="B609" i="1"/>
  <c r="A609" i="1"/>
  <c r="D608" i="1"/>
  <c r="C608" i="1"/>
  <c r="B608" i="1"/>
  <c r="A608" i="1"/>
  <c r="D607" i="1"/>
  <c r="C607" i="1"/>
  <c r="B607" i="1"/>
  <c r="A607" i="1"/>
  <c r="D606" i="1"/>
  <c r="C606" i="1"/>
  <c r="B606" i="1"/>
  <c r="A606" i="1"/>
  <c r="D605" i="1"/>
  <c r="C605" i="1"/>
  <c r="B605" i="1"/>
  <c r="A605" i="1"/>
  <c r="D604" i="1"/>
  <c r="C604" i="1"/>
  <c r="B604" i="1"/>
  <c r="A604" i="1"/>
  <c r="D603" i="1"/>
  <c r="C603" i="1"/>
  <c r="B603" i="1"/>
  <c r="A603" i="1"/>
  <c r="D602" i="1"/>
  <c r="C602" i="1"/>
  <c r="B602" i="1"/>
  <c r="A602" i="1"/>
  <c r="D601" i="1"/>
  <c r="C601" i="1"/>
  <c r="B601" i="1"/>
  <c r="A601" i="1"/>
  <c r="D600" i="1"/>
  <c r="C600" i="1"/>
  <c r="B600" i="1"/>
  <c r="A600" i="1"/>
  <c r="D599" i="1"/>
  <c r="C599" i="1"/>
  <c r="B599" i="1"/>
  <c r="A599" i="1"/>
  <c r="D598" i="1"/>
  <c r="C598" i="1"/>
  <c r="B598" i="1"/>
  <c r="A598" i="1"/>
  <c r="D597" i="1"/>
  <c r="C597" i="1"/>
  <c r="B597" i="1"/>
  <c r="A597" i="1"/>
  <c r="D596" i="1"/>
  <c r="C596" i="1"/>
  <c r="B596" i="1"/>
  <c r="A596" i="1"/>
  <c r="D595" i="1"/>
  <c r="C595" i="1"/>
  <c r="B595" i="1"/>
  <c r="A595" i="1"/>
  <c r="D594" i="1"/>
  <c r="C594" i="1"/>
  <c r="B594" i="1"/>
  <c r="A594" i="1"/>
  <c r="D593" i="1"/>
  <c r="C593" i="1"/>
  <c r="B593" i="1"/>
  <c r="A593" i="1"/>
  <c r="D592" i="1"/>
  <c r="C592" i="1"/>
  <c r="B592" i="1"/>
  <c r="A592" i="1"/>
  <c r="D591" i="1"/>
  <c r="C591" i="1"/>
  <c r="B591" i="1"/>
  <c r="A591" i="1"/>
  <c r="D590" i="1"/>
  <c r="C590" i="1"/>
  <c r="B590" i="1"/>
  <c r="A590" i="1"/>
  <c r="D589" i="1"/>
  <c r="C589" i="1"/>
  <c r="B589" i="1"/>
  <c r="A589" i="1"/>
  <c r="D588" i="1"/>
  <c r="C588" i="1"/>
  <c r="B588" i="1"/>
  <c r="A588" i="1"/>
  <c r="D587" i="1"/>
  <c r="C587" i="1"/>
  <c r="B587" i="1"/>
  <c r="A587" i="1"/>
  <c r="D586" i="1"/>
  <c r="C586" i="1"/>
  <c r="B586" i="1"/>
  <c r="A586" i="1"/>
  <c r="D585" i="1"/>
  <c r="C585" i="1"/>
  <c r="B585" i="1"/>
  <c r="A585" i="1"/>
  <c r="D584" i="1"/>
  <c r="C584" i="1"/>
  <c r="B584" i="1"/>
  <c r="A584" i="1"/>
  <c r="D583" i="1"/>
  <c r="C583" i="1"/>
  <c r="B583" i="1"/>
  <c r="A583" i="1"/>
  <c r="D582" i="1"/>
  <c r="C582" i="1"/>
  <c r="B582" i="1"/>
  <c r="A582" i="1"/>
  <c r="D581" i="1"/>
  <c r="C581" i="1"/>
  <c r="B581" i="1"/>
  <c r="A581" i="1"/>
  <c r="D580" i="1"/>
  <c r="C580" i="1"/>
  <c r="B580" i="1"/>
  <c r="A580" i="1"/>
  <c r="D579" i="1"/>
  <c r="C579" i="1"/>
  <c r="B579" i="1"/>
  <c r="A579" i="1"/>
  <c r="D578" i="1"/>
  <c r="C578" i="1"/>
  <c r="B578" i="1"/>
  <c r="A578" i="1"/>
  <c r="D577" i="1"/>
  <c r="C577" i="1"/>
  <c r="B577" i="1"/>
  <c r="A577" i="1"/>
  <c r="D576" i="1"/>
  <c r="C576" i="1"/>
  <c r="B576" i="1"/>
  <c r="A576" i="1"/>
  <c r="D575" i="1"/>
  <c r="C575" i="1"/>
  <c r="B575" i="1"/>
  <c r="A575" i="1"/>
  <c r="D574" i="1"/>
  <c r="C574" i="1"/>
  <c r="B574" i="1"/>
  <c r="A574" i="1"/>
  <c r="D573" i="1"/>
  <c r="C573" i="1"/>
  <c r="B573" i="1"/>
  <c r="A573" i="1"/>
  <c r="D572" i="1"/>
  <c r="C572" i="1"/>
  <c r="B572" i="1"/>
  <c r="A572" i="1"/>
  <c r="D571" i="1"/>
  <c r="C571" i="1"/>
  <c r="B571" i="1"/>
  <c r="A571" i="1"/>
  <c r="D570" i="1"/>
  <c r="C570" i="1"/>
  <c r="B570" i="1"/>
  <c r="A570" i="1"/>
  <c r="D569" i="1"/>
  <c r="C569" i="1"/>
  <c r="B569" i="1"/>
  <c r="A569" i="1"/>
  <c r="D568" i="1"/>
  <c r="C568" i="1"/>
  <c r="B568" i="1"/>
  <c r="A568" i="1"/>
  <c r="D567" i="1"/>
  <c r="C567" i="1"/>
  <c r="B567" i="1"/>
  <c r="A567" i="1"/>
  <c r="D566" i="1"/>
  <c r="C566" i="1"/>
  <c r="B566" i="1"/>
  <c r="A566" i="1"/>
  <c r="D565" i="1"/>
  <c r="C565" i="1"/>
  <c r="B565" i="1"/>
  <c r="A565" i="1"/>
  <c r="D564" i="1"/>
  <c r="C564" i="1"/>
  <c r="B564" i="1"/>
  <c r="A564" i="1"/>
  <c r="D563" i="1"/>
  <c r="C563" i="1"/>
  <c r="B563" i="1"/>
  <c r="A563" i="1"/>
  <c r="D562" i="1"/>
  <c r="C562" i="1"/>
  <c r="B562" i="1"/>
  <c r="A562" i="1"/>
  <c r="D561" i="1"/>
  <c r="C561" i="1"/>
  <c r="B561" i="1"/>
  <c r="A561" i="1"/>
  <c r="D560" i="1"/>
  <c r="C560" i="1"/>
  <c r="B560" i="1"/>
  <c r="A560" i="1"/>
  <c r="D559" i="1"/>
  <c r="C559" i="1"/>
  <c r="B559" i="1"/>
  <c r="A559" i="1"/>
  <c r="D558" i="1"/>
  <c r="C558" i="1"/>
  <c r="B558" i="1"/>
  <c r="A558" i="1"/>
  <c r="D557" i="1"/>
  <c r="C557" i="1"/>
  <c r="B557" i="1"/>
  <c r="A557" i="1"/>
  <c r="D556" i="1"/>
  <c r="C556" i="1"/>
  <c r="B556" i="1"/>
  <c r="A556" i="1"/>
  <c r="D555" i="1"/>
  <c r="C555" i="1"/>
  <c r="B555" i="1"/>
  <c r="A555" i="1"/>
  <c r="D554" i="1"/>
  <c r="C554" i="1"/>
  <c r="B554" i="1"/>
  <c r="A554" i="1"/>
  <c r="D553" i="1"/>
  <c r="C553" i="1"/>
  <c r="B553" i="1"/>
  <c r="A553" i="1"/>
  <c r="D552" i="1"/>
  <c r="C552" i="1"/>
  <c r="B552" i="1"/>
  <c r="A552" i="1"/>
  <c r="D551" i="1"/>
  <c r="C551" i="1"/>
  <c r="B551" i="1"/>
  <c r="A551" i="1"/>
  <c r="D550" i="1"/>
  <c r="C550" i="1"/>
  <c r="B550" i="1"/>
  <c r="A550" i="1"/>
  <c r="D549" i="1"/>
  <c r="C549" i="1"/>
  <c r="B549" i="1"/>
  <c r="A549" i="1"/>
  <c r="D548" i="1"/>
  <c r="C548" i="1"/>
  <c r="B548" i="1"/>
  <c r="A548" i="1"/>
  <c r="D547" i="1"/>
  <c r="C547" i="1"/>
  <c r="B547" i="1"/>
  <c r="A547" i="1"/>
  <c r="D546" i="1"/>
  <c r="C546" i="1"/>
  <c r="B546" i="1"/>
  <c r="A546" i="1"/>
  <c r="D545" i="1"/>
  <c r="C545" i="1"/>
  <c r="B545" i="1"/>
  <c r="A545" i="1"/>
  <c r="D544" i="1"/>
  <c r="C544" i="1"/>
  <c r="B544" i="1"/>
  <c r="A544" i="1"/>
  <c r="D543" i="1"/>
  <c r="C543" i="1"/>
  <c r="B543" i="1"/>
  <c r="A543" i="1"/>
  <c r="D542" i="1"/>
  <c r="C542" i="1"/>
  <c r="B542" i="1"/>
  <c r="A542" i="1"/>
  <c r="D541" i="1"/>
  <c r="C541" i="1"/>
  <c r="B541" i="1"/>
  <c r="A541" i="1"/>
  <c r="D540" i="1"/>
  <c r="C540" i="1"/>
  <c r="B540" i="1"/>
  <c r="A540" i="1"/>
  <c r="D539" i="1"/>
  <c r="C539" i="1"/>
  <c r="B539" i="1"/>
  <c r="A539" i="1"/>
  <c r="D538" i="1"/>
  <c r="C538" i="1"/>
  <c r="B538" i="1"/>
  <c r="A538" i="1"/>
  <c r="D537" i="1"/>
  <c r="C537" i="1"/>
  <c r="B537" i="1"/>
  <c r="A537" i="1"/>
  <c r="D536" i="1"/>
  <c r="C536" i="1"/>
  <c r="B536" i="1"/>
  <c r="A536" i="1"/>
  <c r="D535" i="1"/>
  <c r="C535" i="1"/>
  <c r="B535" i="1"/>
  <c r="A535" i="1"/>
  <c r="D534" i="1"/>
  <c r="C534" i="1"/>
  <c r="B534" i="1"/>
  <c r="A534" i="1"/>
  <c r="D533" i="1"/>
  <c r="C533" i="1"/>
  <c r="B533" i="1"/>
  <c r="A533" i="1"/>
  <c r="D532" i="1"/>
  <c r="C532" i="1"/>
  <c r="B532" i="1"/>
  <c r="A532" i="1"/>
  <c r="D531" i="1"/>
  <c r="C531" i="1"/>
  <c r="B531" i="1"/>
  <c r="A531" i="1"/>
  <c r="D530" i="1"/>
  <c r="C530" i="1"/>
  <c r="B530" i="1"/>
  <c r="A530" i="1"/>
  <c r="D529" i="1"/>
  <c r="C529" i="1"/>
  <c r="B529" i="1"/>
  <c r="A529" i="1"/>
  <c r="D528" i="1"/>
  <c r="C528" i="1"/>
  <c r="B528" i="1"/>
  <c r="A528" i="1"/>
  <c r="D527" i="1"/>
  <c r="C527" i="1"/>
  <c r="B527" i="1"/>
  <c r="A527" i="1"/>
  <c r="D526" i="1"/>
  <c r="C526" i="1"/>
  <c r="B526" i="1"/>
  <c r="A526" i="1"/>
  <c r="D525" i="1"/>
  <c r="C525" i="1"/>
  <c r="B525" i="1"/>
  <c r="A525" i="1"/>
  <c r="D524" i="1"/>
  <c r="C524" i="1"/>
  <c r="B524" i="1"/>
  <c r="A524" i="1"/>
  <c r="D523" i="1"/>
  <c r="C523" i="1"/>
  <c r="B523" i="1"/>
  <c r="A523" i="1"/>
  <c r="D522" i="1"/>
  <c r="C522" i="1"/>
  <c r="B522" i="1"/>
  <c r="A522" i="1"/>
  <c r="D521" i="1"/>
  <c r="C521" i="1"/>
  <c r="B521" i="1"/>
  <c r="A521" i="1"/>
  <c r="D520" i="1"/>
  <c r="C520" i="1"/>
  <c r="B520" i="1"/>
  <c r="A520" i="1"/>
  <c r="D519" i="1"/>
  <c r="C519" i="1"/>
  <c r="B519" i="1"/>
  <c r="A519" i="1"/>
  <c r="D518" i="1"/>
  <c r="C518" i="1"/>
  <c r="B518" i="1"/>
  <c r="A518" i="1"/>
  <c r="D517" i="1"/>
  <c r="C517" i="1"/>
  <c r="B517" i="1"/>
  <c r="A517" i="1"/>
  <c r="D516" i="1"/>
  <c r="C516" i="1"/>
  <c r="B516" i="1"/>
  <c r="A516" i="1"/>
  <c r="D515" i="1"/>
  <c r="C515" i="1"/>
  <c r="B515" i="1"/>
  <c r="A515" i="1"/>
  <c r="D514" i="1"/>
  <c r="C514" i="1"/>
  <c r="B514" i="1"/>
  <c r="A514" i="1"/>
  <c r="D513" i="1"/>
  <c r="C513" i="1"/>
  <c r="B513" i="1"/>
  <c r="A513" i="1"/>
  <c r="D512" i="1"/>
  <c r="C512" i="1"/>
  <c r="B512" i="1"/>
  <c r="A512" i="1"/>
  <c r="D511" i="1"/>
  <c r="C511" i="1"/>
  <c r="B511" i="1"/>
  <c r="A511" i="1"/>
  <c r="D510" i="1"/>
  <c r="C510" i="1"/>
  <c r="B510" i="1"/>
  <c r="A510" i="1"/>
  <c r="D509" i="1"/>
  <c r="C509" i="1"/>
  <c r="B509" i="1"/>
  <c r="A509" i="1"/>
  <c r="D508" i="1"/>
  <c r="C508" i="1"/>
  <c r="B508" i="1"/>
  <c r="A508" i="1"/>
  <c r="D507" i="1"/>
  <c r="C507" i="1"/>
  <c r="B507" i="1"/>
  <c r="A507" i="1"/>
  <c r="D506" i="1"/>
  <c r="C506" i="1"/>
  <c r="B506" i="1"/>
  <c r="A506" i="1"/>
  <c r="D505" i="1"/>
  <c r="C505" i="1"/>
  <c r="B505" i="1"/>
  <c r="A505" i="1"/>
  <c r="D504" i="1"/>
  <c r="C504" i="1"/>
  <c r="B504" i="1"/>
  <c r="A504" i="1"/>
  <c r="D503" i="1"/>
  <c r="C503" i="1"/>
  <c r="B503" i="1"/>
  <c r="A503" i="1"/>
  <c r="D502" i="1"/>
  <c r="C502" i="1"/>
  <c r="B502" i="1"/>
  <c r="A502" i="1"/>
  <c r="D501" i="1"/>
  <c r="C501" i="1"/>
  <c r="B501" i="1"/>
  <c r="A501" i="1"/>
  <c r="D500" i="1"/>
  <c r="C500" i="1"/>
  <c r="B500" i="1"/>
  <c r="A500" i="1"/>
  <c r="D499" i="1"/>
  <c r="C499" i="1"/>
  <c r="B499" i="1"/>
  <c r="A499" i="1"/>
  <c r="D498" i="1"/>
  <c r="C498" i="1"/>
  <c r="B498" i="1"/>
  <c r="A498" i="1"/>
  <c r="D497" i="1"/>
  <c r="C497" i="1"/>
  <c r="B497" i="1"/>
  <c r="A497" i="1"/>
  <c r="D496" i="1"/>
  <c r="C496" i="1"/>
  <c r="B496" i="1"/>
  <c r="A496" i="1"/>
  <c r="D495" i="1"/>
  <c r="C495" i="1"/>
  <c r="B495" i="1"/>
  <c r="A495" i="1"/>
  <c r="D494" i="1"/>
  <c r="C494" i="1"/>
  <c r="B494" i="1"/>
  <c r="A494" i="1"/>
  <c r="D493" i="1"/>
  <c r="C493" i="1"/>
  <c r="B493" i="1"/>
  <c r="A493" i="1"/>
  <c r="D492" i="1"/>
  <c r="C492" i="1"/>
  <c r="B492" i="1"/>
  <c r="A492" i="1"/>
  <c r="D491" i="1"/>
  <c r="C491" i="1"/>
  <c r="B491" i="1"/>
  <c r="A491" i="1"/>
  <c r="D490" i="1"/>
  <c r="C490" i="1"/>
  <c r="B490" i="1"/>
  <c r="A490" i="1"/>
  <c r="D489" i="1"/>
  <c r="C489" i="1"/>
  <c r="B489" i="1"/>
  <c r="A489" i="1"/>
  <c r="D488" i="1"/>
  <c r="C488" i="1"/>
  <c r="B488" i="1"/>
  <c r="A488" i="1"/>
  <c r="D487" i="1"/>
  <c r="C487" i="1"/>
  <c r="B487" i="1"/>
  <c r="A487" i="1"/>
  <c r="D486" i="1"/>
  <c r="C486" i="1"/>
  <c r="B486" i="1"/>
  <c r="A486" i="1"/>
  <c r="D485" i="1"/>
  <c r="C485" i="1"/>
  <c r="B485" i="1"/>
  <c r="A485" i="1"/>
  <c r="D484" i="1"/>
  <c r="C484" i="1"/>
  <c r="B484" i="1"/>
  <c r="A484" i="1"/>
  <c r="D483" i="1"/>
  <c r="C483" i="1"/>
  <c r="B483" i="1"/>
  <c r="A483" i="1"/>
  <c r="D482" i="1"/>
  <c r="C482" i="1"/>
  <c r="B482" i="1"/>
  <c r="A482" i="1"/>
  <c r="D481" i="1"/>
  <c r="C481" i="1"/>
  <c r="B481" i="1"/>
  <c r="A481" i="1"/>
  <c r="D480" i="1"/>
  <c r="C480" i="1"/>
  <c r="B480" i="1"/>
  <c r="A480" i="1"/>
  <c r="D479" i="1"/>
  <c r="C479" i="1"/>
  <c r="B479" i="1"/>
  <c r="A479" i="1"/>
  <c r="D478" i="1"/>
  <c r="C478" i="1"/>
  <c r="B478" i="1"/>
  <c r="A478" i="1"/>
  <c r="D477" i="1"/>
  <c r="C477" i="1"/>
  <c r="B477" i="1"/>
  <c r="A477" i="1"/>
  <c r="D476" i="1"/>
  <c r="C476" i="1"/>
  <c r="B476" i="1"/>
  <c r="A476" i="1"/>
  <c r="D475" i="1"/>
  <c r="C475" i="1"/>
  <c r="B475" i="1"/>
  <c r="A475" i="1"/>
  <c r="D474" i="1"/>
  <c r="C474" i="1"/>
  <c r="B474" i="1"/>
  <c r="A474" i="1"/>
  <c r="D473" i="1"/>
  <c r="C473" i="1"/>
  <c r="B473" i="1"/>
  <c r="A473" i="1"/>
  <c r="D472" i="1"/>
  <c r="C472" i="1"/>
  <c r="B472" i="1"/>
  <c r="A472" i="1"/>
  <c r="D471" i="1"/>
  <c r="C471" i="1"/>
  <c r="B471" i="1"/>
  <c r="A471" i="1"/>
  <c r="D470" i="1"/>
  <c r="C470" i="1"/>
  <c r="B470" i="1"/>
  <c r="A470" i="1"/>
  <c r="D469" i="1"/>
  <c r="C469" i="1"/>
  <c r="B469" i="1"/>
  <c r="A469" i="1"/>
  <c r="D468" i="1"/>
  <c r="C468" i="1"/>
  <c r="B468" i="1"/>
  <c r="A468" i="1"/>
  <c r="D467" i="1"/>
  <c r="C467" i="1"/>
  <c r="B467" i="1"/>
  <c r="A467" i="1"/>
  <c r="D466" i="1"/>
  <c r="C466" i="1"/>
  <c r="B466" i="1"/>
  <c r="A466" i="1"/>
  <c r="D465" i="1"/>
  <c r="C465" i="1"/>
  <c r="B465" i="1"/>
  <c r="A465" i="1"/>
  <c r="D464" i="1"/>
  <c r="C464" i="1"/>
  <c r="B464" i="1"/>
  <c r="A464" i="1"/>
  <c r="D463" i="1"/>
  <c r="C463" i="1"/>
  <c r="B463" i="1"/>
  <c r="A463" i="1"/>
  <c r="D462" i="1"/>
  <c r="C462" i="1"/>
  <c r="B462" i="1"/>
  <c r="A462" i="1"/>
  <c r="D461" i="1"/>
  <c r="C461" i="1"/>
  <c r="B461" i="1"/>
  <c r="A461" i="1"/>
  <c r="D460" i="1"/>
  <c r="C460" i="1"/>
  <c r="B460" i="1"/>
  <c r="A460" i="1"/>
  <c r="D459" i="1"/>
  <c r="C459" i="1"/>
  <c r="B459" i="1"/>
  <c r="A459" i="1"/>
  <c r="D458" i="1"/>
  <c r="C458" i="1"/>
  <c r="B458" i="1"/>
  <c r="A458" i="1"/>
  <c r="D457" i="1"/>
  <c r="C457" i="1"/>
  <c r="B457" i="1"/>
  <c r="A457" i="1"/>
  <c r="D456" i="1"/>
  <c r="C456" i="1"/>
  <c r="B456" i="1"/>
  <c r="A456" i="1"/>
  <c r="D455" i="1"/>
  <c r="C455" i="1"/>
  <c r="B455" i="1"/>
  <c r="A455" i="1"/>
  <c r="D454" i="1"/>
  <c r="C454" i="1"/>
  <c r="B454" i="1"/>
  <c r="A454" i="1"/>
  <c r="D453" i="1"/>
  <c r="C453" i="1"/>
  <c r="B453" i="1"/>
  <c r="A453" i="1"/>
  <c r="D452" i="1"/>
  <c r="C452" i="1"/>
  <c r="B452" i="1"/>
  <c r="A452" i="1"/>
  <c r="D451" i="1"/>
  <c r="C451" i="1"/>
  <c r="B451" i="1"/>
  <c r="A451" i="1"/>
  <c r="D450" i="1"/>
  <c r="C450" i="1"/>
  <c r="B450" i="1"/>
  <c r="A450" i="1"/>
  <c r="D449" i="1"/>
  <c r="C449" i="1"/>
  <c r="B449" i="1"/>
  <c r="A449" i="1"/>
  <c r="D448" i="1"/>
  <c r="C448" i="1"/>
  <c r="B448" i="1"/>
  <c r="A448" i="1"/>
  <c r="D447" i="1"/>
  <c r="C447" i="1"/>
  <c r="B447" i="1"/>
  <c r="A447" i="1"/>
  <c r="D446" i="1"/>
  <c r="C446" i="1"/>
  <c r="B446" i="1"/>
  <c r="A446" i="1"/>
  <c r="D445" i="1"/>
  <c r="C445" i="1"/>
  <c r="B445" i="1"/>
  <c r="A445" i="1"/>
  <c r="D444" i="1"/>
  <c r="C444" i="1"/>
  <c r="B444" i="1"/>
  <c r="A444" i="1"/>
  <c r="D443" i="1"/>
  <c r="C443" i="1"/>
  <c r="B443" i="1"/>
  <c r="A443" i="1"/>
  <c r="D442" i="1"/>
  <c r="C442" i="1"/>
  <c r="B442" i="1"/>
  <c r="A442" i="1"/>
  <c r="D441" i="1"/>
  <c r="C441" i="1"/>
  <c r="B441" i="1"/>
  <c r="A441" i="1"/>
  <c r="D440" i="1"/>
  <c r="C440" i="1"/>
  <c r="B440" i="1"/>
  <c r="A440" i="1"/>
  <c r="D439" i="1"/>
  <c r="C439" i="1"/>
  <c r="B439" i="1"/>
  <c r="A439" i="1"/>
  <c r="D438" i="1"/>
  <c r="C438" i="1"/>
  <c r="B438" i="1"/>
  <c r="A438" i="1"/>
  <c r="D437" i="1"/>
  <c r="C437" i="1"/>
  <c r="B437" i="1"/>
  <c r="A437" i="1"/>
  <c r="D436" i="1"/>
  <c r="C436" i="1"/>
  <c r="B436" i="1"/>
  <c r="A436" i="1"/>
  <c r="D435" i="1"/>
  <c r="C435" i="1"/>
  <c r="B435" i="1"/>
  <c r="A435" i="1"/>
  <c r="D434" i="1"/>
  <c r="C434" i="1"/>
  <c r="B434" i="1"/>
  <c r="A434" i="1"/>
  <c r="D433" i="1"/>
  <c r="C433" i="1"/>
  <c r="B433" i="1"/>
  <c r="A433" i="1"/>
  <c r="D432" i="1"/>
  <c r="C432" i="1"/>
  <c r="B432" i="1"/>
  <c r="A432" i="1"/>
  <c r="D431" i="1"/>
  <c r="C431" i="1"/>
  <c r="B431" i="1"/>
  <c r="A431" i="1"/>
  <c r="D430" i="1"/>
  <c r="C430" i="1"/>
  <c r="B430" i="1"/>
  <c r="A430" i="1"/>
  <c r="D429" i="1"/>
  <c r="C429" i="1"/>
  <c r="B429" i="1"/>
  <c r="A429" i="1"/>
  <c r="D428" i="1"/>
  <c r="C428" i="1"/>
  <c r="B428" i="1"/>
  <c r="A428" i="1"/>
  <c r="D427" i="1"/>
  <c r="C427" i="1"/>
  <c r="B427" i="1"/>
  <c r="A427" i="1"/>
  <c r="D426" i="1"/>
  <c r="C426" i="1"/>
  <c r="B426" i="1"/>
  <c r="A426" i="1"/>
  <c r="D425" i="1"/>
  <c r="C425" i="1"/>
  <c r="B425" i="1"/>
  <c r="A425" i="1"/>
  <c r="D424" i="1"/>
  <c r="C424" i="1"/>
  <c r="B424" i="1"/>
  <c r="A424" i="1"/>
  <c r="D423" i="1"/>
  <c r="C423" i="1"/>
  <c r="B423" i="1"/>
  <c r="A423" i="1"/>
  <c r="D422" i="1"/>
  <c r="C422" i="1"/>
  <c r="B422" i="1"/>
  <c r="A422" i="1"/>
  <c r="D421" i="1"/>
  <c r="C421" i="1"/>
  <c r="B421" i="1"/>
  <c r="A421" i="1"/>
  <c r="D420" i="1"/>
  <c r="C420" i="1"/>
  <c r="B420" i="1"/>
  <c r="A420" i="1"/>
  <c r="D419" i="1"/>
  <c r="C419" i="1"/>
  <c r="B419" i="1"/>
  <c r="A419" i="1"/>
  <c r="D418" i="1"/>
  <c r="C418" i="1"/>
  <c r="B418" i="1"/>
  <c r="A418" i="1"/>
  <c r="D417" i="1"/>
  <c r="C417" i="1"/>
  <c r="B417" i="1"/>
  <c r="A417" i="1"/>
  <c r="D416" i="1"/>
  <c r="C416" i="1"/>
  <c r="B416" i="1"/>
  <c r="A416" i="1"/>
  <c r="D415" i="1"/>
  <c r="C415" i="1"/>
  <c r="B415" i="1"/>
  <c r="A415" i="1"/>
  <c r="D414" i="1"/>
  <c r="C414" i="1"/>
  <c r="B414" i="1"/>
  <c r="A414" i="1"/>
  <c r="D413" i="1"/>
  <c r="C413" i="1"/>
  <c r="B413" i="1"/>
  <c r="A413" i="1"/>
  <c r="D412" i="1"/>
  <c r="C412" i="1"/>
  <c r="B412" i="1"/>
  <c r="A412" i="1"/>
  <c r="D411" i="1"/>
  <c r="C411" i="1"/>
  <c r="B411" i="1"/>
  <c r="A411" i="1"/>
  <c r="D410" i="1"/>
  <c r="C410" i="1"/>
  <c r="B410" i="1"/>
  <c r="A410" i="1"/>
  <c r="D409" i="1"/>
  <c r="C409" i="1"/>
  <c r="B409" i="1"/>
  <c r="A409" i="1"/>
  <c r="D408" i="1"/>
  <c r="C408" i="1"/>
  <c r="B408" i="1"/>
  <c r="A408" i="1"/>
  <c r="D407" i="1"/>
  <c r="C407" i="1"/>
  <c r="B407" i="1"/>
  <c r="A407" i="1"/>
  <c r="D406" i="1"/>
  <c r="C406" i="1"/>
  <c r="B406" i="1"/>
  <c r="A406" i="1"/>
  <c r="D405" i="1"/>
  <c r="C405" i="1"/>
  <c r="B405" i="1"/>
  <c r="A405" i="1"/>
  <c r="D404" i="1"/>
  <c r="C404" i="1"/>
  <c r="B404" i="1"/>
  <c r="A404" i="1"/>
  <c r="D403" i="1"/>
  <c r="C403" i="1"/>
  <c r="B403" i="1"/>
  <c r="A403" i="1"/>
  <c r="D402" i="1"/>
  <c r="C402" i="1"/>
  <c r="B402" i="1"/>
  <c r="A402" i="1"/>
  <c r="D401" i="1"/>
  <c r="C401" i="1"/>
  <c r="B401" i="1"/>
  <c r="A401" i="1"/>
  <c r="D400" i="1"/>
  <c r="C400" i="1"/>
  <c r="B400" i="1"/>
  <c r="A400" i="1"/>
  <c r="D399" i="1"/>
  <c r="C399" i="1"/>
  <c r="B399" i="1"/>
  <c r="A399" i="1"/>
  <c r="D398" i="1"/>
  <c r="C398" i="1"/>
  <c r="B398" i="1"/>
  <c r="A398" i="1"/>
  <c r="D397" i="1"/>
  <c r="C397" i="1"/>
  <c r="B397" i="1"/>
  <c r="A397" i="1"/>
  <c r="D396" i="1"/>
  <c r="C396" i="1"/>
  <c r="B396" i="1"/>
  <c r="A396" i="1"/>
  <c r="D395" i="1"/>
  <c r="C395" i="1"/>
  <c r="B395" i="1"/>
  <c r="A395" i="1"/>
  <c r="D394" i="1"/>
  <c r="C394" i="1"/>
  <c r="B394" i="1"/>
  <c r="A394" i="1"/>
  <c r="D393" i="1"/>
  <c r="C393" i="1"/>
  <c r="B393" i="1"/>
  <c r="A393" i="1"/>
  <c r="D392" i="1"/>
  <c r="C392" i="1"/>
  <c r="B392" i="1"/>
  <c r="A392" i="1"/>
  <c r="D391" i="1"/>
  <c r="C391" i="1"/>
  <c r="B391" i="1"/>
  <c r="A391" i="1"/>
  <c r="D390" i="1"/>
  <c r="C390" i="1"/>
  <c r="B390" i="1"/>
  <c r="A390" i="1"/>
  <c r="D389" i="1"/>
  <c r="C389" i="1"/>
  <c r="B389" i="1"/>
  <c r="A389" i="1"/>
  <c r="D388" i="1"/>
  <c r="C388" i="1"/>
  <c r="B388" i="1"/>
  <c r="A388" i="1"/>
  <c r="D387" i="1"/>
  <c r="C387" i="1"/>
  <c r="B387" i="1"/>
  <c r="A387" i="1"/>
  <c r="D386" i="1"/>
  <c r="C386" i="1"/>
  <c r="B386" i="1"/>
  <c r="A386" i="1"/>
  <c r="D385" i="1"/>
  <c r="C385" i="1"/>
  <c r="B385" i="1"/>
  <c r="A385" i="1"/>
  <c r="D384" i="1"/>
  <c r="C384" i="1"/>
  <c r="B384" i="1"/>
  <c r="A384" i="1"/>
  <c r="D383" i="1"/>
  <c r="C383" i="1"/>
  <c r="B383" i="1"/>
  <c r="A383" i="1"/>
  <c r="D382" i="1"/>
  <c r="C382" i="1"/>
  <c r="B382" i="1"/>
  <c r="A382" i="1"/>
  <c r="D381" i="1"/>
  <c r="C381" i="1"/>
  <c r="B381" i="1"/>
  <c r="A381" i="1"/>
  <c r="D380" i="1"/>
  <c r="C380" i="1"/>
  <c r="B380" i="1"/>
  <c r="A380" i="1"/>
  <c r="D379" i="1"/>
  <c r="C379" i="1"/>
  <c r="B379" i="1"/>
  <c r="A379" i="1"/>
  <c r="D378" i="1"/>
  <c r="C378" i="1"/>
  <c r="B378" i="1"/>
  <c r="A378" i="1"/>
  <c r="D377" i="1"/>
  <c r="C377" i="1"/>
  <c r="B377" i="1"/>
  <c r="A377" i="1"/>
  <c r="D376" i="1"/>
  <c r="C376" i="1"/>
  <c r="B376" i="1"/>
  <c r="A376" i="1"/>
  <c r="D375" i="1"/>
  <c r="C375" i="1"/>
  <c r="B375" i="1"/>
  <c r="A375" i="1"/>
  <c r="D374" i="1"/>
  <c r="C374" i="1"/>
  <c r="B374" i="1"/>
  <c r="A374" i="1"/>
  <c r="D373" i="1"/>
  <c r="C373" i="1"/>
  <c r="B373" i="1"/>
  <c r="A373" i="1"/>
  <c r="D372" i="1"/>
  <c r="C372" i="1"/>
  <c r="B372" i="1"/>
  <c r="A372" i="1"/>
  <c r="D371" i="1"/>
  <c r="C371" i="1"/>
  <c r="B371" i="1"/>
  <c r="A371" i="1"/>
  <c r="D370" i="1"/>
  <c r="C370" i="1"/>
  <c r="B370" i="1"/>
  <c r="A370" i="1"/>
  <c r="D369" i="1"/>
  <c r="C369" i="1"/>
  <c r="B369" i="1"/>
  <c r="A369" i="1"/>
  <c r="D368" i="1"/>
  <c r="C368" i="1"/>
  <c r="B368" i="1"/>
  <c r="A368" i="1"/>
  <c r="D367" i="1"/>
  <c r="C367" i="1"/>
  <c r="B367" i="1"/>
  <c r="A367" i="1"/>
  <c r="D366" i="1"/>
  <c r="C366" i="1"/>
  <c r="B366" i="1"/>
  <c r="A366" i="1"/>
  <c r="D365" i="1"/>
  <c r="C365" i="1"/>
  <c r="B365" i="1"/>
  <c r="A365" i="1"/>
  <c r="D364" i="1"/>
  <c r="C364" i="1"/>
  <c r="B364" i="1"/>
  <c r="A364" i="1"/>
  <c r="D363" i="1"/>
  <c r="C363" i="1"/>
  <c r="B363" i="1"/>
  <c r="A363" i="1"/>
  <c r="D362" i="1"/>
  <c r="C362" i="1"/>
  <c r="B362" i="1"/>
  <c r="A362" i="1"/>
  <c r="D361" i="1"/>
  <c r="C361" i="1"/>
  <c r="B361" i="1"/>
  <c r="A361" i="1"/>
  <c r="D360" i="1"/>
  <c r="C360" i="1"/>
  <c r="B360" i="1"/>
  <c r="A360" i="1"/>
  <c r="D359" i="1"/>
  <c r="C359" i="1"/>
  <c r="B359" i="1"/>
  <c r="A359" i="1"/>
  <c r="D358" i="1"/>
  <c r="C358" i="1"/>
  <c r="B358" i="1"/>
  <c r="A358" i="1"/>
  <c r="D357" i="1"/>
  <c r="C357" i="1"/>
  <c r="B357" i="1"/>
  <c r="A357" i="1"/>
  <c r="D356" i="1"/>
  <c r="C356" i="1"/>
  <c r="B356" i="1"/>
  <c r="A356" i="1"/>
  <c r="D355" i="1"/>
  <c r="C355" i="1"/>
  <c r="B355" i="1"/>
  <c r="A355" i="1"/>
  <c r="D354" i="1"/>
  <c r="C354" i="1"/>
  <c r="B354" i="1"/>
  <c r="A354" i="1"/>
  <c r="D353" i="1"/>
  <c r="C353" i="1"/>
  <c r="B353" i="1"/>
  <c r="A353" i="1"/>
  <c r="D352" i="1"/>
  <c r="C352" i="1"/>
  <c r="B352" i="1"/>
  <c r="A352" i="1"/>
  <c r="D351" i="1"/>
  <c r="C351" i="1"/>
  <c r="B351" i="1"/>
  <c r="A351" i="1"/>
  <c r="D350" i="1"/>
  <c r="C350" i="1"/>
  <c r="B350" i="1"/>
  <c r="A350" i="1"/>
  <c r="D349" i="1"/>
  <c r="C349" i="1"/>
  <c r="B349" i="1"/>
  <c r="A349" i="1"/>
  <c r="D348" i="1"/>
  <c r="C348" i="1"/>
  <c r="B348" i="1"/>
  <c r="A348" i="1"/>
  <c r="D347" i="1"/>
  <c r="C347" i="1"/>
  <c r="B347" i="1"/>
  <c r="A347" i="1"/>
  <c r="D346" i="1"/>
  <c r="C346" i="1"/>
  <c r="B346" i="1"/>
  <c r="A346" i="1"/>
  <c r="D345" i="1"/>
  <c r="C345" i="1"/>
  <c r="B345" i="1"/>
  <c r="A345" i="1"/>
  <c r="D344" i="1"/>
  <c r="C344" i="1"/>
  <c r="B344" i="1"/>
  <c r="A344" i="1"/>
  <c r="D343" i="1"/>
  <c r="C343" i="1"/>
  <c r="B343" i="1"/>
  <c r="A343" i="1"/>
  <c r="D342" i="1"/>
  <c r="C342" i="1"/>
  <c r="B342" i="1"/>
  <c r="A342" i="1"/>
  <c r="D341" i="1"/>
  <c r="C341" i="1"/>
  <c r="B341" i="1"/>
  <c r="A341" i="1"/>
  <c r="D340" i="1"/>
  <c r="C340" i="1"/>
  <c r="B340" i="1"/>
  <c r="A340" i="1"/>
  <c r="D339" i="1"/>
  <c r="C339" i="1"/>
  <c r="B339" i="1"/>
  <c r="A339" i="1"/>
  <c r="D338" i="1"/>
  <c r="C338" i="1"/>
  <c r="B338" i="1"/>
  <c r="A338" i="1"/>
  <c r="D337" i="1"/>
  <c r="C337" i="1"/>
  <c r="B337" i="1"/>
  <c r="A337" i="1"/>
  <c r="D336" i="1"/>
  <c r="C336" i="1"/>
  <c r="B336" i="1"/>
  <c r="A336" i="1"/>
  <c r="D335" i="1"/>
  <c r="C335" i="1"/>
  <c r="B335" i="1"/>
  <c r="A335" i="1"/>
  <c r="D334" i="1"/>
  <c r="C334" i="1"/>
  <c r="B334" i="1"/>
  <c r="A334" i="1"/>
  <c r="D333" i="1"/>
  <c r="C333" i="1"/>
  <c r="B333" i="1"/>
  <c r="A333" i="1"/>
  <c r="D332" i="1"/>
  <c r="C332" i="1"/>
  <c r="B332" i="1"/>
  <c r="A332" i="1"/>
  <c r="D331" i="1"/>
  <c r="C331" i="1"/>
  <c r="B331" i="1"/>
  <c r="A331" i="1"/>
  <c r="D330" i="1"/>
  <c r="C330" i="1"/>
  <c r="B330" i="1"/>
  <c r="A330" i="1"/>
  <c r="D329" i="1"/>
  <c r="C329" i="1"/>
  <c r="B329" i="1"/>
  <c r="A329" i="1"/>
  <c r="D328" i="1"/>
  <c r="C328" i="1"/>
  <c r="B328" i="1"/>
  <c r="A328" i="1"/>
  <c r="D327" i="1"/>
  <c r="C327" i="1"/>
  <c r="B327" i="1"/>
  <c r="A327" i="1"/>
  <c r="D326" i="1"/>
  <c r="C326" i="1"/>
  <c r="B326" i="1"/>
  <c r="A326" i="1"/>
  <c r="D325" i="1"/>
  <c r="C325" i="1"/>
  <c r="B325" i="1"/>
  <c r="A325" i="1"/>
  <c r="D324" i="1"/>
  <c r="C324" i="1"/>
  <c r="B324" i="1"/>
  <c r="A324" i="1"/>
  <c r="D323" i="1"/>
  <c r="C323" i="1"/>
  <c r="B323" i="1"/>
  <c r="A323" i="1"/>
  <c r="D322" i="1"/>
  <c r="C322" i="1"/>
  <c r="B322" i="1"/>
  <c r="A322" i="1"/>
  <c r="D321" i="1"/>
  <c r="C321" i="1"/>
  <c r="B321" i="1"/>
  <c r="A321" i="1"/>
  <c r="D320" i="1"/>
  <c r="C320" i="1"/>
  <c r="B320" i="1"/>
  <c r="A320" i="1"/>
  <c r="D319" i="1"/>
  <c r="C319" i="1"/>
  <c r="B319" i="1"/>
  <c r="A319" i="1"/>
  <c r="D318" i="1"/>
  <c r="C318" i="1"/>
  <c r="B318" i="1"/>
  <c r="A318" i="1"/>
  <c r="D317" i="1"/>
  <c r="C317" i="1"/>
  <c r="B317" i="1"/>
  <c r="A317" i="1"/>
  <c r="D316" i="1"/>
  <c r="C316" i="1"/>
  <c r="B316" i="1"/>
  <c r="A316" i="1"/>
  <c r="D315" i="1"/>
  <c r="C315" i="1"/>
  <c r="B315" i="1"/>
  <c r="A315" i="1"/>
  <c r="D314" i="1"/>
  <c r="C314" i="1"/>
  <c r="B314" i="1"/>
  <c r="A314" i="1"/>
  <c r="D313" i="1"/>
  <c r="C313" i="1"/>
  <c r="B313" i="1"/>
  <c r="A313" i="1"/>
  <c r="D312" i="1"/>
  <c r="C312" i="1"/>
  <c r="B312" i="1"/>
  <c r="A312" i="1"/>
  <c r="D311" i="1"/>
  <c r="C311" i="1"/>
  <c r="B311" i="1"/>
  <c r="A311" i="1"/>
  <c r="D310" i="1"/>
  <c r="C310" i="1"/>
  <c r="B310" i="1"/>
  <c r="A310" i="1"/>
  <c r="D309" i="1"/>
  <c r="C309" i="1"/>
  <c r="B309" i="1"/>
  <c r="A309" i="1"/>
  <c r="D308" i="1"/>
  <c r="C308" i="1"/>
  <c r="B308" i="1"/>
  <c r="A308" i="1"/>
  <c r="D307" i="1"/>
  <c r="C307" i="1"/>
  <c r="B307" i="1"/>
  <c r="A307" i="1"/>
  <c r="D306" i="1"/>
  <c r="C306" i="1"/>
  <c r="B306" i="1"/>
  <c r="A306" i="1"/>
  <c r="D305" i="1"/>
  <c r="C305" i="1"/>
  <c r="B305" i="1"/>
  <c r="A305" i="1"/>
  <c r="D304" i="1"/>
  <c r="C304" i="1"/>
  <c r="B304" i="1"/>
  <c r="A304" i="1"/>
  <c r="D303" i="1"/>
  <c r="C303" i="1"/>
  <c r="B303" i="1"/>
  <c r="A303" i="1"/>
  <c r="D302" i="1"/>
  <c r="C302" i="1"/>
  <c r="B302" i="1"/>
  <c r="A302" i="1"/>
  <c r="D301" i="1"/>
  <c r="C301" i="1"/>
  <c r="B301" i="1"/>
  <c r="A301" i="1"/>
  <c r="D300" i="1"/>
  <c r="C300" i="1"/>
  <c r="B300" i="1"/>
  <c r="A300" i="1"/>
  <c r="D299" i="1"/>
  <c r="C299" i="1"/>
  <c r="B299" i="1"/>
  <c r="A299" i="1"/>
  <c r="D298" i="1"/>
  <c r="C298" i="1"/>
  <c r="B298" i="1"/>
  <c r="A298" i="1"/>
  <c r="D297" i="1"/>
  <c r="C297" i="1"/>
  <c r="B297" i="1"/>
  <c r="A297" i="1"/>
  <c r="D296" i="1"/>
  <c r="C296" i="1"/>
  <c r="B296" i="1"/>
  <c r="A296" i="1"/>
  <c r="D295" i="1"/>
  <c r="C295" i="1"/>
  <c r="B295" i="1"/>
  <c r="A295" i="1"/>
  <c r="D294" i="1"/>
  <c r="C294" i="1"/>
  <c r="B294" i="1"/>
  <c r="A294" i="1"/>
  <c r="D293" i="1"/>
  <c r="C293" i="1"/>
  <c r="B293" i="1"/>
  <c r="A293" i="1"/>
  <c r="D292" i="1"/>
  <c r="C292" i="1"/>
  <c r="B292" i="1"/>
  <c r="A292" i="1"/>
  <c r="D291" i="1"/>
  <c r="C291" i="1"/>
  <c r="B291" i="1"/>
  <c r="A291" i="1"/>
  <c r="D290" i="1"/>
  <c r="C290" i="1"/>
  <c r="B290" i="1"/>
  <c r="A290" i="1"/>
  <c r="D289" i="1"/>
  <c r="C289" i="1"/>
  <c r="B289" i="1"/>
  <c r="A289" i="1"/>
  <c r="D288" i="1"/>
  <c r="C288" i="1"/>
  <c r="B288" i="1"/>
  <c r="A288" i="1"/>
  <c r="D287" i="1"/>
  <c r="C287" i="1"/>
  <c r="B287" i="1"/>
  <c r="A287" i="1"/>
  <c r="D286" i="1"/>
  <c r="C286" i="1"/>
  <c r="B286" i="1"/>
  <c r="A286" i="1"/>
  <c r="D285" i="1"/>
  <c r="C285" i="1"/>
  <c r="B285" i="1"/>
  <c r="A285" i="1"/>
  <c r="D284" i="1"/>
  <c r="C284" i="1"/>
  <c r="B284" i="1"/>
  <c r="A284" i="1"/>
  <c r="D283" i="1"/>
  <c r="C283" i="1"/>
  <c r="B283" i="1"/>
  <c r="A283" i="1"/>
  <c r="D282" i="1"/>
  <c r="C282" i="1"/>
  <c r="B282" i="1"/>
  <c r="A282" i="1"/>
  <c r="D281" i="1"/>
  <c r="C281" i="1"/>
  <c r="B281" i="1"/>
  <c r="A281" i="1"/>
  <c r="D280" i="1"/>
  <c r="C280" i="1"/>
  <c r="B280" i="1"/>
  <c r="A280" i="1"/>
  <c r="D279" i="1"/>
  <c r="C279" i="1"/>
  <c r="B279" i="1"/>
  <c r="A279" i="1"/>
  <c r="D278" i="1"/>
  <c r="C278" i="1"/>
  <c r="B278" i="1"/>
  <c r="A278" i="1"/>
  <c r="D277" i="1"/>
  <c r="C277" i="1"/>
  <c r="B277" i="1"/>
  <c r="A277" i="1"/>
  <c r="D276" i="1"/>
  <c r="C276" i="1"/>
  <c r="B276" i="1"/>
  <c r="A276" i="1"/>
  <c r="D275" i="1"/>
  <c r="C275" i="1"/>
  <c r="B275" i="1"/>
  <c r="A275" i="1"/>
  <c r="D274" i="1"/>
  <c r="C274" i="1"/>
  <c r="B274" i="1"/>
  <c r="A274" i="1"/>
  <c r="D273" i="1"/>
  <c r="C273" i="1"/>
  <c r="B273" i="1"/>
  <c r="A273" i="1"/>
  <c r="D272" i="1"/>
  <c r="C272" i="1"/>
  <c r="B272" i="1"/>
  <c r="A272" i="1"/>
  <c r="D271" i="1"/>
  <c r="C271" i="1"/>
  <c r="B271" i="1"/>
  <c r="A271" i="1"/>
  <c r="D270" i="1"/>
  <c r="C270" i="1"/>
  <c r="B270" i="1"/>
  <c r="A270" i="1"/>
  <c r="D269" i="1"/>
  <c r="C269" i="1"/>
  <c r="B269" i="1"/>
  <c r="A269" i="1"/>
  <c r="D268" i="1"/>
  <c r="C268" i="1"/>
  <c r="B268" i="1"/>
  <c r="A268" i="1"/>
  <c r="D267" i="1"/>
  <c r="C267" i="1"/>
  <c r="B267" i="1"/>
  <c r="A267" i="1"/>
  <c r="D266" i="1"/>
  <c r="B266" i="1"/>
  <c r="A266" i="1"/>
  <c r="D265" i="1"/>
  <c r="C265" i="1"/>
  <c r="B265" i="1"/>
  <c r="A265" i="1"/>
  <c r="D264" i="1"/>
  <c r="C264" i="1"/>
  <c r="B264" i="1"/>
  <c r="A264" i="1"/>
  <c r="D263" i="1"/>
  <c r="C263" i="1"/>
  <c r="B263" i="1"/>
  <c r="A263" i="1"/>
  <c r="D262" i="1"/>
  <c r="C262" i="1"/>
  <c r="B262" i="1"/>
  <c r="A262" i="1"/>
  <c r="D261" i="1"/>
  <c r="C261" i="1"/>
  <c r="B261" i="1"/>
  <c r="A261" i="1"/>
  <c r="D260" i="1"/>
  <c r="C260" i="1"/>
  <c r="B260" i="1"/>
  <c r="A260" i="1"/>
  <c r="D259" i="1"/>
  <c r="C259" i="1"/>
  <c r="B259" i="1"/>
  <c r="A259" i="1"/>
  <c r="D258" i="1"/>
  <c r="C258" i="1"/>
  <c r="B258" i="1"/>
  <c r="A258" i="1"/>
  <c r="D257" i="1"/>
  <c r="C257" i="1"/>
  <c r="B257" i="1"/>
  <c r="A257" i="1"/>
  <c r="D256" i="1"/>
  <c r="C256" i="1"/>
  <c r="B256" i="1"/>
  <c r="A256" i="1"/>
  <c r="D255" i="1"/>
  <c r="C255" i="1"/>
  <c r="B255" i="1"/>
  <c r="A255" i="1"/>
  <c r="D254" i="1"/>
  <c r="C254" i="1"/>
  <c r="B254" i="1"/>
  <c r="A254" i="1"/>
  <c r="D253" i="1"/>
  <c r="C253" i="1"/>
  <c r="B253" i="1"/>
  <c r="A253" i="1"/>
  <c r="D252" i="1"/>
  <c r="C252" i="1"/>
  <c r="B252" i="1"/>
  <c r="A252" i="1"/>
  <c r="D251" i="1"/>
  <c r="C251" i="1"/>
  <c r="B251" i="1"/>
  <c r="A251" i="1"/>
  <c r="D250" i="1"/>
  <c r="C250" i="1"/>
  <c r="B250" i="1"/>
  <c r="A250" i="1"/>
  <c r="D249" i="1"/>
  <c r="C249" i="1"/>
  <c r="B249" i="1"/>
  <c r="A249" i="1"/>
  <c r="D248" i="1"/>
  <c r="C248" i="1"/>
  <c r="B248" i="1"/>
  <c r="A248" i="1"/>
  <c r="D247" i="1"/>
  <c r="C247" i="1"/>
  <c r="B247" i="1"/>
  <c r="A247" i="1"/>
  <c r="D246" i="1"/>
  <c r="C246" i="1"/>
  <c r="B246" i="1"/>
  <c r="A246" i="1"/>
  <c r="D245" i="1"/>
  <c r="C245" i="1"/>
  <c r="B245" i="1"/>
  <c r="A245" i="1"/>
  <c r="D244" i="1"/>
  <c r="C244" i="1"/>
  <c r="B244" i="1"/>
  <c r="A244" i="1"/>
  <c r="D243" i="1"/>
  <c r="C243" i="1"/>
  <c r="B243" i="1"/>
  <c r="A243" i="1"/>
  <c r="D242" i="1"/>
  <c r="C242" i="1"/>
  <c r="B242" i="1"/>
  <c r="A242" i="1"/>
  <c r="D241" i="1"/>
  <c r="C241" i="1"/>
  <c r="B241" i="1"/>
  <c r="A241" i="1"/>
  <c r="D240" i="1"/>
  <c r="C240" i="1"/>
  <c r="B240" i="1"/>
  <c r="A240" i="1"/>
  <c r="D239" i="1"/>
  <c r="C239" i="1"/>
  <c r="B239" i="1"/>
  <c r="A239" i="1"/>
  <c r="D238" i="1"/>
  <c r="C238" i="1"/>
  <c r="B238" i="1"/>
  <c r="A238" i="1"/>
  <c r="D237" i="1"/>
  <c r="C237" i="1"/>
  <c r="B237" i="1"/>
  <c r="A237" i="1"/>
  <c r="D236" i="1"/>
  <c r="C236" i="1"/>
  <c r="B236" i="1"/>
  <c r="A236" i="1"/>
  <c r="D235" i="1"/>
  <c r="C235" i="1"/>
  <c r="B235" i="1"/>
  <c r="A235" i="1"/>
  <c r="D234" i="1"/>
  <c r="C234" i="1"/>
  <c r="B234" i="1"/>
  <c r="A234" i="1"/>
  <c r="D233" i="1"/>
  <c r="C233" i="1"/>
  <c r="B233" i="1"/>
  <c r="A233" i="1"/>
  <c r="D232" i="1"/>
  <c r="C232" i="1"/>
  <c r="B232" i="1"/>
  <c r="A232" i="1"/>
  <c r="D231" i="1"/>
  <c r="C231" i="1"/>
  <c r="B231" i="1"/>
  <c r="A231" i="1"/>
  <c r="D230" i="1"/>
  <c r="C230" i="1"/>
  <c r="B230" i="1"/>
  <c r="A230" i="1"/>
  <c r="D229" i="1"/>
  <c r="C229" i="1"/>
  <c r="B229" i="1"/>
  <c r="A229" i="1"/>
  <c r="D228" i="1"/>
  <c r="C228" i="1"/>
  <c r="B228" i="1"/>
  <c r="A228" i="1"/>
  <c r="D227" i="1"/>
  <c r="C227" i="1"/>
  <c r="B227" i="1"/>
  <c r="A227" i="1"/>
  <c r="D226" i="1"/>
  <c r="C226" i="1"/>
  <c r="B226" i="1"/>
  <c r="A226" i="1"/>
  <c r="D225" i="1"/>
  <c r="C225" i="1"/>
  <c r="B225" i="1"/>
  <c r="A225" i="1"/>
  <c r="D224" i="1"/>
  <c r="C224" i="1"/>
  <c r="B224" i="1"/>
  <c r="A224" i="1"/>
  <c r="D223" i="1"/>
  <c r="C223" i="1"/>
  <c r="B223" i="1"/>
  <c r="A223" i="1"/>
  <c r="D222" i="1"/>
  <c r="C222" i="1"/>
  <c r="B222" i="1"/>
  <c r="A222" i="1"/>
  <c r="D221" i="1"/>
  <c r="C221" i="1"/>
  <c r="B221" i="1"/>
  <c r="A221" i="1"/>
  <c r="D220" i="1"/>
  <c r="C220" i="1"/>
  <c r="B220" i="1"/>
  <c r="A220" i="1"/>
  <c r="D219" i="1"/>
  <c r="C219" i="1"/>
  <c r="B219" i="1"/>
  <c r="A219" i="1"/>
  <c r="D218" i="1"/>
  <c r="C218" i="1"/>
  <c r="B218" i="1"/>
  <c r="A218" i="1"/>
  <c r="D217" i="1"/>
  <c r="C217" i="1"/>
  <c r="B217" i="1"/>
  <c r="A217" i="1"/>
  <c r="D216" i="1"/>
  <c r="C216" i="1"/>
  <c r="B216" i="1"/>
  <c r="A216" i="1"/>
  <c r="D215" i="1"/>
  <c r="C215" i="1"/>
  <c r="B215" i="1"/>
  <c r="A215" i="1"/>
  <c r="D214" i="1"/>
  <c r="C214" i="1"/>
  <c r="B214" i="1"/>
  <c r="A214" i="1"/>
  <c r="D213" i="1"/>
  <c r="C213" i="1"/>
  <c r="B213" i="1"/>
  <c r="A213" i="1"/>
  <c r="D212" i="1"/>
  <c r="C212" i="1"/>
  <c r="B212" i="1"/>
  <c r="A212" i="1"/>
  <c r="D211" i="1"/>
  <c r="C211" i="1"/>
  <c r="B211" i="1"/>
  <c r="A211" i="1"/>
  <c r="D210" i="1"/>
  <c r="C210" i="1"/>
  <c r="B210" i="1"/>
  <c r="A210" i="1"/>
  <c r="D209" i="1"/>
  <c r="C209" i="1"/>
  <c r="B209" i="1"/>
  <c r="A209" i="1"/>
  <c r="D208" i="1"/>
  <c r="C208" i="1"/>
  <c r="B208" i="1"/>
  <c r="A208" i="1"/>
  <c r="D207" i="1"/>
  <c r="C207" i="1"/>
  <c r="B207" i="1"/>
  <c r="A207" i="1"/>
  <c r="D206" i="1"/>
  <c r="C206" i="1"/>
  <c r="B206" i="1"/>
  <c r="A206" i="1"/>
  <c r="D205" i="1"/>
  <c r="C205" i="1"/>
  <c r="B205" i="1"/>
  <c r="A205" i="1"/>
  <c r="D204" i="1"/>
  <c r="C204" i="1"/>
  <c r="B204" i="1"/>
  <c r="A204" i="1"/>
  <c r="D203" i="1"/>
  <c r="C203" i="1"/>
  <c r="B203" i="1"/>
  <c r="A203" i="1"/>
  <c r="D202" i="1"/>
  <c r="C202" i="1"/>
  <c r="B202" i="1"/>
  <c r="A202" i="1"/>
  <c r="D201" i="1"/>
  <c r="C201" i="1"/>
  <c r="B201" i="1"/>
  <c r="A201" i="1"/>
  <c r="D200" i="1"/>
  <c r="C200" i="1"/>
  <c r="B200" i="1"/>
  <c r="A200" i="1"/>
  <c r="D199" i="1"/>
  <c r="C199" i="1"/>
  <c r="B199" i="1"/>
  <c r="A199" i="1"/>
  <c r="D198" i="1"/>
  <c r="C198" i="1"/>
  <c r="B198" i="1"/>
  <c r="A198" i="1"/>
  <c r="D197" i="1"/>
  <c r="C197" i="1"/>
  <c r="B197" i="1"/>
  <c r="A197" i="1"/>
  <c r="D196" i="1"/>
  <c r="C196" i="1"/>
  <c r="B196" i="1"/>
  <c r="A196" i="1"/>
  <c r="D195" i="1"/>
  <c r="C195" i="1"/>
  <c r="B195" i="1"/>
  <c r="A195" i="1"/>
  <c r="D194" i="1"/>
  <c r="C194" i="1"/>
  <c r="B194" i="1"/>
  <c r="A194" i="1"/>
  <c r="D193" i="1"/>
  <c r="C193" i="1"/>
  <c r="B193" i="1"/>
  <c r="A193" i="1"/>
  <c r="D192" i="1"/>
  <c r="C192" i="1"/>
  <c r="B192" i="1"/>
  <c r="A192" i="1"/>
  <c r="D191" i="1"/>
  <c r="C191" i="1"/>
  <c r="B191" i="1"/>
  <c r="A191" i="1"/>
  <c r="D190" i="1"/>
  <c r="C190" i="1"/>
  <c r="B190" i="1"/>
  <c r="A190" i="1"/>
  <c r="D189" i="1"/>
  <c r="C189" i="1"/>
  <c r="B189" i="1"/>
  <c r="A189" i="1"/>
  <c r="D188" i="1"/>
  <c r="C188" i="1"/>
  <c r="B188" i="1"/>
  <c r="A188" i="1"/>
  <c r="D187" i="1"/>
  <c r="C187" i="1"/>
  <c r="B187" i="1"/>
  <c r="A187" i="1"/>
  <c r="D186" i="1"/>
  <c r="C186" i="1"/>
  <c r="B186" i="1"/>
  <c r="A186" i="1"/>
  <c r="D185" i="1"/>
  <c r="C185" i="1"/>
  <c r="B185" i="1"/>
  <c r="A185" i="1"/>
  <c r="D184" i="1"/>
  <c r="C184" i="1"/>
  <c r="B184" i="1"/>
  <c r="A184" i="1"/>
  <c r="D183" i="1"/>
  <c r="C183" i="1"/>
  <c r="B183" i="1"/>
  <c r="A183" i="1"/>
  <c r="D182" i="1"/>
  <c r="C182" i="1"/>
  <c r="B182" i="1"/>
  <c r="A182" i="1"/>
  <c r="D181" i="1"/>
  <c r="C181" i="1"/>
  <c r="B181" i="1"/>
  <c r="A181" i="1"/>
  <c r="D180" i="1"/>
  <c r="C180" i="1"/>
  <c r="B180" i="1"/>
  <c r="A180" i="1"/>
  <c r="D179" i="1"/>
  <c r="C179" i="1"/>
  <c r="B179" i="1"/>
  <c r="A179" i="1"/>
  <c r="D178" i="1"/>
  <c r="C178" i="1"/>
  <c r="B178" i="1"/>
  <c r="A178" i="1"/>
  <c r="D177" i="1"/>
  <c r="C177" i="1"/>
  <c r="B177" i="1"/>
  <c r="A177" i="1"/>
  <c r="D176" i="1"/>
  <c r="C176" i="1"/>
  <c r="B176" i="1"/>
  <c r="A176" i="1"/>
  <c r="D175" i="1"/>
  <c r="C175" i="1"/>
  <c r="B175" i="1"/>
  <c r="A175" i="1"/>
  <c r="D174" i="1"/>
  <c r="C174" i="1"/>
  <c r="B174" i="1"/>
  <c r="A174" i="1"/>
  <c r="D173" i="1"/>
  <c r="C173" i="1"/>
  <c r="B173" i="1"/>
  <c r="A173" i="1"/>
  <c r="D172" i="1"/>
  <c r="C172" i="1"/>
  <c r="B172" i="1"/>
  <c r="A172" i="1"/>
  <c r="D171" i="1"/>
  <c r="C171" i="1"/>
  <c r="B171" i="1"/>
  <c r="A171" i="1"/>
  <c r="D170" i="1"/>
  <c r="C170" i="1"/>
  <c r="B170" i="1"/>
  <c r="A170" i="1"/>
  <c r="D169" i="1"/>
  <c r="C169" i="1"/>
  <c r="B169" i="1"/>
  <c r="A169" i="1"/>
  <c r="D168" i="1"/>
  <c r="C168" i="1"/>
  <c r="B168" i="1"/>
  <c r="A168" i="1"/>
  <c r="D167" i="1"/>
  <c r="C167" i="1"/>
  <c r="B167" i="1"/>
  <c r="A167" i="1"/>
  <c r="D166" i="1"/>
  <c r="C166" i="1"/>
  <c r="B166" i="1"/>
  <c r="A166" i="1"/>
  <c r="D165" i="1"/>
  <c r="C165" i="1"/>
  <c r="B165" i="1"/>
  <c r="A165" i="1"/>
  <c r="D164" i="1"/>
  <c r="C164" i="1"/>
  <c r="B164" i="1"/>
  <c r="A164" i="1"/>
  <c r="D163" i="1"/>
  <c r="C163" i="1"/>
  <c r="B163" i="1"/>
  <c r="A163" i="1"/>
  <c r="D162" i="1"/>
  <c r="C162" i="1"/>
  <c r="B162" i="1"/>
  <c r="A162" i="1"/>
  <c r="D161" i="1"/>
  <c r="C161" i="1"/>
  <c r="B161" i="1"/>
  <c r="A161" i="1"/>
  <c r="D160" i="1"/>
  <c r="C160" i="1"/>
  <c r="B160" i="1"/>
  <c r="A160" i="1"/>
  <c r="D159" i="1"/>
  <c r="C159" i="1"/>
  <c r="B159" i="1"/>
  <c r="A159" i="1"/>
  <c r="D158" i="1"/>
  <c r="C158" i="1"/>
  <c r="B158" i="1"/>
  <c r="A158" i="1"/>
  <c r="D157" i="1"/>
  <c r="C157" i="1"/>
  <c r="B157" i="1"/>
  <c r="A157" i="1"/>
  <c r="D156" i="1"/>
  <c r="C156" i="1"/>
  <c r="B156" i="1"/>
  <c r="A156" i="1"/>
  <c r="D155" i="1"/>
  <c r="C155" i="1"/>
  <c r="B155" i="1"/>
  <c r="A155" i="1"/>
  <c r="D154" i="1"/>
  <c r="C154" i="1"/>
  <c r="B154" i="1"/>
  <c r="A154" i="1"/>
  <c r="D153" i="1"/>
  <c r="C153" i="1"/>
  <c r="B153" i="1"/>
  <c r="A153" i="1"/>
  <c r="D152" i="1"/>
  <c r="C152" i="1"/>
  <c r="B152" i="1"/>
  <c r="A152" i="1"/>
  <c r="D151" i="1"/>
  <c r="C151" i="1"/>
  <c r="B151" i="1"/>
  <c r="A151" i="1"/>
  <c r="D150" i="1"/>
  <c r="C150" i="1"/>
  <c r="B150" i="1"/>
  <c r="A150" i="1"/>
  <c r="D149" i="1"/>
  <c r="C149" i="1"/>
  <c r="B149" i="1"/>
  <c r="A149" i="1"/>
  <c r="D148" i="1"/>
  <c r="C148" i="1"/>
  <c r="B148" i="1"/>
  <c r="A148" i="1"/>
  <c r="D147" i="1"/>
  <c r="C147" i="1"/>
  <c r="B147" i="1"/>
  <c r="A147" i="1"/>
  <c r="D146" i="1"/>
  <c r="C146" i="1"/>
  <c r="B146" i="1"/>
  <c r="A146" i="1"/>
  <c r="D145" i="1"/>
  <c r="C145" i="1"/>
  <c r="B145" i="1"/>
  <c r="A145" i="1"/>
  <c r="D144" i="1"/>
  <c r="C144" i="1"/>
  <c r="B144" i="1"/>
  <c r="A144" i="1"/>
  <c r="D143" i="1"/>
  <c r="C143" i="1"/>
  <c r="B143" i="1"/>
  <c r="A143" i="1"/>
  <c r="D142" i="1"/>
  <c r="C142" i="1"/>
  <c r="B142" i="1"/>
  <c r="A142" i="1"/>
  <c r="D141" i="1"/>
  <c r="C141" i="1"/>
  <c r="B141" i="1"/>
  <c r="A141" i="1"/>
  <c r="D140" i="1"/>
  <c r="C140" i="1"/>
  <c r="B140" i="1"/>
  <c r="A140" i="1"/>
  <c r="D139" i="1"/>
  <c r="C139" i="1"/>
  <c r="B139" i="1"/>
  <c r="A139" i="1"/>
  <c r="D138" i="1"/>
  <c r="C138" i="1"/>
  <c r="B138" i="1"/>
  <c r="A138" i="1"/>
  <c r="D137" i="1"/>
  <c r="C137" i="1"/>
  <c r="B137" i="1"/>
  <c r="A137" i="1"/>
  <c r="D136" i="1"/>
  <c r="C136" i="1"/>
  <c r="B136" i="1"/>
  <c r="A136" i="1"/>
  <c r="D135" i="1"/>
  <c r="C135" i="1"/>
  <c r="B135" i="1"/>
  <c r="A135" i="1"/>
  <c r="D134" i="1"/>
  <c r="C134" i="1"/>
  <c r="B134" i="1"/>
  <c r="A134" i="1"/>
  <c r="D133" i="1"/>
  <c r="C133" i="1"/>
  <c r="B133" i="1"/>
  <c r="A133" i="1"/>
  <c r="D132" i="1"/>
  <c r="C132" i="1"/>
  <c r="B132" i="1"/>
  <c r="A132" i="1"/>
  <c r="D131" i="1"/>
  <c r="C131" i="1"/>
  <c r="B131" i="1"/>
  <c r="A131" i="1"/>
  <c r="D130" i="1"/>
  <c r="C130" i="1"/>
  <c r="B130" i="1"/>
  <c r="A130" i="1"/>
  <c r="D129" i="1"/>
  <c r="C129" i="1"/>
  <c r="B129" i="1"/>
  <c r="A129" i="1"/>
  <c r="D128" i="1"/>
  <c r="C128" i="1"/>
  <c r="B128" i="1"/>
  <c r="A128" i="1"/>
  <c r="D127" i="1"/>
  <c r="C127" i="1"/>
  <c r="B127" i="1"/>
  <c r="A127" i="1"/>
  <c r="D126" i="1"/>
  <c r="C126" i="1"/>
  <c r="B126" i="1"/>
  <c r="A126" i="1"/>
  <c r="D125" i="1"/>
  <c r="C125" i="1"/>
  <c r="B125" i="1"/>
  <c r="A125" i="1"/>
  <c r="D124" i="1"/>
  <c r="C124" i="1"/>
  <c r="B124" i="1"/>
  <c r="A124" i="1"/>
  <c r="D123" i="1"/>
  <c r="C123" i="1"/>
  <c r="B123" i="1"/>
  <c r="A123" i="1"/>
  <c r="D122" i="1"/>
  <c r="C122" i="1"/>
  <c r="B122" i="1"/>
  <c r="A122" i="1"/>
  <c r="D121" i="1"/>
  <c r="C121" i="1"/>
  <c r="B121" i="1"/>
  <c r="A121" i="1"/>
  <c r="D120" i="1"/>
  <c r="C120" i="1"/>
  <c r="B120" i="1"/>
  <c r="A120" i="1"/>
  <c r="D119" i="1"/>
  <c r="C119" i="1"/>
  <c r="B119" i="1"/>
  <c r="A119" i="1"/>
  <c r="D118" i="1"/>
  <c r="C118" i="1"/>
  <c r="B118" i="1"/>
  <c r="A118" i="1"/>
  <c r="D117" i="1"/>
  <c r="C117" i="1"/>
  <c r="B117" i="1"/>
  <c r="A117" i="1"/>
  <c r="D116" i="1"/>
  <c r="C116" i="1"/>
  <c r="B116" i="1"/>
  <c r="A116" i="1"/>
  <c r="D115" i="1"/>
  <c r="C115" i="1"/>
  <c r="B115" i="1"/>
  <c r="A115" i="1"/>
  <c r="D114" i="1"/>
  <c r="C114" i="1"/>
  <c r="B114" i="1"/>
  <c r="A114" i="1"/>
  <c r="D113" i="1"/>
  <c r="C113" i="1"/>
  <c r="B113" i="1"/>
  <c r="A113" i="1"/>
  <c r="D112" i="1"/>
  <c r="C112" i="1"/>
  <c r="B112" i="1"/>
  <c r="A112" i="1"/>
  <c r="D111" i="1"/>
  <c r="C111" i="1"/>
  <c r="B111" i="1"/>
  <c r="A111" i="1"/>
  <c r="D110" i="1"/>
  <c r="C110" i="1"/>
  <c r="B110" i="1"/>
  <c r="A110" i="1"/>
  <c r="D109" i="1"/>
  <c r="C109" i="1"/>
  <c r="B109" i="1"/>
  <c r="A109" i="1"/>
  <c r="D108" i="1"/>
  <c r="C108" i="1"/>
  <c r="B108" i="1"/>
  <c r="A108" i="1"/>
  <c r="D107" i="1"/>
  <c r="C107" i="1"/>
  <c r="B107" i="1"/>
  <c r="A107" i="1"/>
  <c r="D106" i="1"/>
  <c r="C106" i="1"/>
  <c r="B106" i="1"/>
  <c r="A106" i="1"/>
  <c r="D105" i="1"/>
  <c r="C105" i="1"/>
  <c r="B105" i="1"/>
  <c r="A105" i="1"/>
  <c r="D104" i="1"/>
  <c r="C104" i="1"/>
  <c r="B104" i="1"/>
  <c r="A104" i="1"/>
  <c r="D103" i="1"/>
  <c r="C103" i="1"/>
  <c r="B103" i="1"/>
  <c r="A103" i="1"/>
  <c r="D102" i="1"/>
  <c r="C102" i="1"/>
  <c r="B102" i="1"/>
  <c r="A102" i="1"/>
  <c r="D101" i="1"/>
  <c r="C101" i="1"/>
  <c r="B101" i="1"/>
  <c r="A101" i="1"/>
  <c r="D100" i="1"/>
  <c r="C100" i="1"/>
  <c r="B100" i="1"/>
  <c r="A100" i="1"/>
  <c r="D99" i="1"/>
  <c r="C99" i="1"/>
  <c r="B99" i="1"/>
  <c r="A99" i="1"/>
  <c r="D98" i="1"/>
  <c r="C98" i="1"/>
  <c r="B98" i="1"/>
  <c r="A98" i="1"/>
  <c r="D97" i="1"/>
  <c r="C97" i="1"/>
  <c r="B97" i="1"/>
  <c r="A97" i="1"/>
  <c r="D96" i="1"/>
  <c r="C96" i="1"/>
  <c r="B96" i="1"/>
  <c r="A96" i="1"/>
  <c r="D95" i="1"/>
  <c r="C95" i="1"/>
  <c r="B95" i="1"/>
  <c r="A95" i="1"/>
  <c r="D94" i="1"/>
  <c r="C94" i="1"/>
  <c r="B94" i="1"/>
  <c r="A94" i="1"/>
  <c r="D93" i="1"/>
  <c r="C93" i="1"/>
  <c r="B93" i="1"/>
  <c r="A93" i="1"/>
  <c r="D92" i="1"/>
  <c r="C92" i="1"/>
  <c r="B92" i="1"/>
  <c r="A92" i="1"/>
  <c r="D91" i="1"/>
  <c r="C91" i="1"/>
  <c r="B91" i="1"/>
  <c r="A91" i="1"/>
  <c r="D90" i="1"/>
  <c r="C90" i="1"/>
  <c r="B90" i="1"/>
  <c r="A90" i="1"/>
  <c r="D89" i="1"/>
  <c r="C89" i="1"/>
  <c r="B89" i="1"/>
  <c r="A89" i="1"/>
  <c r="D88" i="1"/>
  <c r="C88" i="1"/>
  <c r="B88" i="1"/>
  <c r="A88" i="1"/>
  <c r="D87" i="1"/>
  <c r="C87" i="1"/>
  <c r="B87" i="1"/>
  <c r="A87" i="1"/>
  <c r="D86" i="1"/>
  <c r="C86" i="1"/>
  <c r="B86" i="1"/>
  <c r="A86" i="1"/>
  <c r="D85" i="1"/>
  <c r="C85" i="1"/>
  <c r="B85" i="1"/>
  <c r="A85" i="1"/>
  <c r="D84" i="1"/>
  <c r="C84" i="1"/>
  <c r="B84" i="1"/>
  <c r="A84" i="1"/>
  <c r="D83" i="1"/>
  <c r="C83" i="1"/>
  <c r="B83" i="1"/>
  <c r="A83" i="1"/>
  <c r="D82" i="1"/>
  <c r="C82" i="1"/>
  <c r="B82" i="1"/>
  <c r="A82" i="1"/>
  <c r="D81" i="1"/>
  <c r="C81" i="1"/>
  <c r="B81" i="1"/>
  <c r="A81" i="1"/>
  <c r="D80" i="1"/>
  <c r="C80" i="1"/>
  <c r="B80" i="1"/>
  <c r="A80" i="1"/>
  <c r="D79" i="1"/>
  <c r="C79" i="1"/>
  <c r="B79" i="1"/>
  <c r="A79" i="1"/>
  <c r="D78" i="1"/>
  <c r="C78" i="1"/>
  <c r="B78" i="1"/>
  <c r="A78" i="1"/>
  <c r="D77" i="1"/>
  <c r="C77" i="1"/>
  <c r="B77" i="1"/>
  <c r="A77" i="1"/>
  <c r="D76" i="1"/>
  <c r="C76" i="1"/>
  <c r="B76" i="1"/>
  <c r="A76" i="1"/>
  <c r="D75" i="1"/>
  <c r="C75" i="1"/>
  <c r="B75" i="1"/>
  <c r="A75" i="1"/>
  <c r="D74" i="1"/>
  <c r="C74" i="1"/>
  <c r="B74" i="1"/>
  <c r="A74" i="1"/>
  <c r="D73" i="1"/>
  <c r="C73" i="1"/>
  <c r="B73" i="1"/>
  <c r="A73" i="1"/>
  <c r="D72" i="1"/>
  <c r="C72" i="1"/>
  <c r="B72" i="1"/>
  <c r="A72" i="1"/>
  <c r="D71" i="1"/>
  <c r="C71" i="1"/>
  <c r="B71" i="1"/>
  <c r="A71" i="1"/>
  <c r="D70" i="1"/>
  <c r="C70" i="1"/>
  <c r="B70" i="1"/>
  <c r="A70" i="1"/>
  <c r="D69" i="1"/>
  <c r="C69" i="1"/>
  <c r="B69" i="1"/>
  <c r="A69" i="1"/>
  <c r="D68" i="1"/>
  <c r="C68" i="1"/>
  <c r="B68" i="1"/>
  <c r="A68" i="1"/>
  <c r="D67" i="1"/>
  <c r="C67" i="1"/>
  <c r="B67" i="1"/>
  <c r="A67" i="1"/>
  <c r="D66" i="1"/>
  <c r="C66" i="1"/>
  <c r="B66" i="1"/>
  <c r="A66" i="1"/>
  <c r="D65" i="1"/>
  <c r="C65" i="1"/>
  <c r="B65" i="1"/>
  <c r="A65" i="1"/>
  <c r="D64" i="1"/>
  <c r="C64" i="1"/>
  <c r="B64" i="1"/>
  <c r="A64" i="1"/>
  <c r="D63" i="1"/>
  <c r="C63" i="1"/>
  <c r="B63" i="1"/>
  <c r="A63" i="1"/>
  <c r="D62" i="1"/>
  <c r="C62" i="1"/>
  <c r="B62" i="1"/>
  <c r="A62" i="1"/>
  <c r="D61" i="1"/>
  <c r="C61" i="1"/>
  <c r="B61" i="1"/>
  <c r="A61" i="1"/>
  <c r="D60" i="1"/>
  <c r="C60" i="1"/>
  <c r="B60" i="1"/>
  <c r="A60" i="1"/>
  <c r="D59" i="1"/>
  <c r="C59" i="1"/>
  <c r="B59" i="1"/>
  <c r="A59" i="1"/>
  <c r="D58" i="1"/>
  <c r="C58" i="1"/>
  <c r="B58" i="1"/>
  <c r="A58" i="1"/>
  <c r="D57" i="1"/>
  <c r="C57" i="1"/>
  <c r="B57" i="1"/>
  <c r="A57" i="1"/>
  <c r="D56" i="1"/>
  <c r="C56" i="1"/>
  <c r="B56" i="1"/>
  <c r="A56" i="1"/>
  <c r="D55" i="1"/>
  <c r="C55" i="1"/>
  <c r="B55" i="1"/>
  <c r="A55" i="1"/>
  <c r="D54" i="1"/>
  <c r="C54" i="1"/>
  <c r="B54" i="1"/>
  <c r="A54" i="1"/>
  <c r="D53" i="1"/>
  <c r="C53" i="1"/>
  <c r="B53" i="1"/>
  <c r="A53" i="1"/>
  <c r="D52" i="1"/>
  <c r="C52" i="1"/>
  <c r="B52" i="1"/>
  <c r="A52" i="1"/>
  <c r="D51" i="1"/>
  <c r="C51" i="1"/>
  <c r="B51" i="1"/>
  <c r="A51" i="1"/>
  <c r="D50" i="1"/>
  <c r="C50" i="1"/>
  <c r="B50" i="1"/>
  <c r="A50" i="1"/>
  <c r="D49" i="1"/>
  <c r="C49" i="1"/>
  <c r="B49" i="1"/>
  <c r="A49" i="1"/>
  <c r="D48" i="1"/>
  <c r="C48" i="1"/>
  <c r="B48" i="1"/>
  <c r="A48" i="1"/>
  <c r="D47" i="1"/>
  <c r="C47" i="1"/>
  <c r="B47" i="1"/>
  <c r="A47" i="1"/>
  <c r="D46" i="1"/>
  <c r="C46" i="1"/>
  <c r="B46" i="1"/>
  <c r="A46" i="1"/>
  <c r="D45" i="1"/>
  <c r="C45" i="1"/>
  <c r="B45" i="1"/>
  <c r="A45" i="1"/>
  <c r="D44" i="1"/>
  <c r="C44" i="1"/>
  <c r="B44" i="1"/>
  <c r="A44" i="1"/>
  <c r="D43" i="1"/>
  <c r="C43" i="1"/>
  <c r="B43" i="1"/>
  <c r="A43" i="1"/>
  <c r="D42" i="1"/>
  <c r="C42" i="1"/>
  <c r="B42" i="1"/>
  <c r="A42" i="1"/>
  <c r="D41" i="1"/>
  <c r="C41" i="1"/>
  <c r="B41" i="1"/>
  <c r="A41" i="1"/>
  <c r="D40" i="1"/>
  <c r="C40" i="1"/>
  <c r="B40" i="1"/>
  <c r="A40" i="1"/>
  <c r="D39" i="1"/>
  <c r="C39" i="1"/>
  <c r="B39" i="1"/>
  <c r="A39" i="1"/>
  <c r="D38" i="1"/>
  <c r="C38" i="1"/>
  <c r="B38" i="1"/>
  <c r="A38" i="1"/>
  <c r="D37" i="1"/>
  <c r="C37" i="1"/>
  <c r="B37" i="1"/>
  <c r="A37" i="1"/>
  <c r="D36" i="1"/>
  <c r="C36" i="1"/>
  <c r="B36" i="1"/>
  <c r="A36" i="1"/>
  <c r="D35" i="1"/>
  <c r="C35" i="1"/>
  <c r="B35" i="1"/>
  <c r="A35" i="1"/>
  <c r="D34" i="1"/>
  <c r="C34" i="1"/>
  <c r="B34" i="1"/>
  <c r="A34" i="1"/>
  <c r="D33" i="1"/>
  <c r="C33" i="1"/>
  <c r="B33" i="1"/>
  <c r="A33" i="1"/>
  <c r="D32" i="1"/>
  <c r="C32" i="1"/>
  <c r="B32" i="1"/>
  <c r="A32" i="1"/>
  <c r="D31" i="1"/>
  <c r="C31" i="1"/>
  <c r="B31" i="1"/>
  <c r="A31" i="1"/>
  <c r="D30" i="1"/>
  <c r="C30" i="1"/>
  <c r="B30" i="1"/>
  <c r="A30" i="1"/>
  <c r="D29" i="1"/>
  <c r="C29" i="1"/>
  <c r="B29" i="1"/>
  <c r="A29" i="1"/>
  <c r="D28" i="1"/>
  <c r="C28" i="1"/>
  <c r="B28" i="1"/>
  <c r="A28" i="1"/>
  <c r="D27" i="1"/>
  <c r="C27" i="1"/>
  <c r="B27" i="1"/>
  <c r="A27" i="1"/>
  <c r="D26" i="1"/>
  <c r="C26" i="1"/>
  <c r="B26" i="1"/>
  <c r="A26" i="1"/>
  <c r="D25" i="1"/>
  <c r="C25" i="1"/>
  <c r="B25" i="1"/>
  <c r="A25" i="1"/>
  <c r="D24" i="1"/>
  <c r="C24" i="1"/>
  <c r="B24" i="1"/>
  <c r="A24" i="1"/>
  <c r="D23" i="1"/>
  <c r="C23" i="1"/>
  <c r="B23" i="1"/>
  <c r="A23" i="1"/>
  <c r="D22" i="1"/>
  <c r="C22" i="1"/>
  <c r="B22" i="1"/>
  <c r="A22" i="1"/>
  <c r="D21" i="1"/>
  <c r="C21" i="1"/>
  <c r="B21" i="1"/>
  <c r="A21" i="1"/>
  <c r="D20" i="1"/>
  <c r="C20" i="1"/>
  <c r="B20" i="1"/>
  <c r="A20" i="1"/>
  <c r="D19" i="1"/>
  <c r="C19" i="1"/>
  <c r="B19" i="1"/>
  <c r="A19" i="1"/>
  <c r="D18" i="1"/>
  <c r="C18" i="1"/>
  <c r="B18" i="1"/>
  <c r="A18" i="1"/>
  <c r="D17" i="1"/>
  <c r="C17" i="1"/>
  <c r="B17" i="1"/>
  <c r="A17" i="1"/>
  <c r="D16" i="1"/>
  <c r="C16" i="1"/>
  <c r="B16" i="1"/>
  <c r="A16" i="1"/>
  <c r="D15" i="1"/>
  <c r="C15" i="1"/>
  <c r="B15" i="1"/>
  <c r="A15" i="1"/>
  <c r="D14" i="1"/>
  <c r="C14" i="1"/>
  <c r="B14" i="1"/>
  <c r="A14" i="1"/>
  <c r="D13" i="1"/>
  <c r="C13" i="1"/>
  <c r="B13" i="1"/>
  <c r="A13" i="1"/>
  <c r="D12" i="1"/>
  <c r="C12" i="1"/>
  <c r="B12" i="1"/>
  <c r="A12" i="1"/>
  <c r="D11" i="1"/>
  <c r="C11" i="1"/>
  <c r="B11" i="1"/>
  <c r="A11" i="1"/>
  <c r="D10" i="1"/>
  <c r="C10" i="1"/>
  <c r="B10" i="1"/>
  <c r="A10" i="1"/>
  <c r="D9" i="1"/>
  <c r="C9" i="1"/>
  <c r="B9" i="1"/>
  <c r="A9" i="1"/>
  <c r="D8" i="1"/>
  <c r="C8" i="1"/>
  <c r="B8" i="1"/>
  <c r="A8" i="1"/>
  <c r="D7" i="1"/>
  <c r="C7" i="1"/>
  <c r="B7" i="1"/>
  <c r="A7" i="1"/>
  <c r="D6" i="1"/>
  <c r="C6" i="1"/>
  <c r="B6" i="1"/>
  <c r="A6" i="1"/>
  <c r="D5" i="1"/>
  <c r="C5" i="1"/>
  <c r="B5" i="1"/>
  <c r="A5" i="1"/>
  <c r="D4" i="1"/>
  <c r="C4" i="1"/>
  <c r="B4" i="1"/>
  <c r="A4" i="1"/>
  <c r="C3" i="1"/>
  <c r="D3" i="1"/>
  <c r="B3" i="1"/>
  <c r="A3" i="1"/>
  <c r="EF639" i="2"/>
  <c r="EF351" i="2"/>
  <c r="EF400" i="2"/>
  <c r="EF368" i="2" l="1"/>
  <c r="EF642" i="2"/>
  <c r="EF821" i="2"/>
  <c r="EF354" i="2"/>
  <c r="EF378" i="2"/>
  <c r="ED80" i="2"/>
  <c r="ED149" i="2"/>
  <c r="ED394" i="2"/>
  <c r="EF394" i="2" s="1"/>
  <c r="EF339" i="2"/>
  <c r="ED342" i="2"/>
  <c r="ED343" i="2"/>
  <c r="EF343" i="2" s="1"/>
  <c r="EF189" i="2"/>
  <c r="EF261" i="2"/>
  <c r="EF817" i="2"/>
  <c r="EF281" i="2"/>
  <c r="EF545" i="2"/>
  <c r="EF684" i="2"/>
  <c r="ED409" i="2"/>
  <c r="EF409" i="2" s="1"/>
  <c r="EE28" i="2"/>
  <c r="EF366" i="2"/>
  <c r="EF370" i="2"/>
  <c r="EF542" i="2"/>
  <c r="EF737" i="2"/>
  <c r="EF815" i="2"/>
  <c r="EF631" i="2"/>
  <c r="EF211" i="2"/>
  <c r="EF306" i="2"/>
  <c r="EF144" i="2"/>
  <c r="EF221" i="2"/>
  <c r="EF153" i="2"/>
  <c r="ED350" i="2"/>
  <c r="EF350" i="2" s="1"/>
  <c r="ED266" i="2"/>
  <c r="EF266" i="2" s="1"/>
  <c r="EF541" i="2"/>
  <c r="EF148" i="2"/>
  <c r="EF152" i="2"/>
  <c r="EF263" i="2"/>
  <c r="EF635" i="2"/>
  <c r="EF640" i="2"/>
  <c r="EF662" i="2"/>
  <c r="EF703" i="2"/>
  <c r="EF706" i="2"/>
  <c r="EF270" i="2"/>
  <c r="EF276" i="2"/>
  <c r="EF279" i="2"/>
  <c r="EF86" i="2"/>
  <c r="EF399" i="2"/>
  <c r="EF615" i="2"/>
  <c r="EF230" i="2"/>
  <c r="EF96" i="2"/>
  <c r="EF108" i="2"/>
  <c r="EF238" i="2"/>
  <c r="EF388" i="2"/>
  <c r="EF128" i="2"/>
  <c r="EF146" i="2"/>
  <c r="EF188" i="2"/>
  <c r="EF213" i="2"/>
  <c r="EF308" i="2"/>
  <c r="EF367" i="2"/>
  <c r="EF371" i="2"/>
  <c r="EF352" i="2"/>
  <c r="EF382" i="2"/>
  <c r="EF664" i="2"/>
  <c r="EF687" i="2"/>
  <c r="EF411" i="2"/>
  <c r="ED682" i="2"/>
  <c r="EF682" i="2" s="1"/>
  <c r="EF115" i="2"/>
  <c r="EF150" i="2"/>
  <c r="EF215" i="2"/>
  <c r="EF307" i="2"/>
  <c r="EF111" i="2"/>
  <c r="ED683" i="2"/>
  <c r="EF683" i="2" s="1"/>
  <c r="ED85" i="2"/>
  <c r="EF85" i="2" s="1"/>
  <c r="EF123" i="2"/>
  <c r="EF151" i="2"/>
  <c r="EF255" i="2"/>
  <c r="EF264" i="2"/>
  <c r="EF704" i="2"/>
  <c r="EF236" i="2"/>
  <c r="EF369" i="2"/>
  <c r="EF164" i="2"/>
  <c r="EF294" i="2"/>
  <c r="EF331" i="2"/>
  <c r="EF342" i="2"/>
  <c r="EF347" i="2"/>
  <c r="EF686" i="2"/>
  <c r="EF691" i="2"/>
  <c r="EF719" i="2"/>
  <c r="EF212" i="2"/>
  <c r="EF242" i="2"/>
  <c r="EF641" i="2"/>
  <c r="EF349" i="2"/>
  <c r="EF633" i="2"/>
  <c r="EF125" i="2"/>
  <c r="EF312" i="2"/>
  <c r="AZ832" i="2"/>
  <c r="ED268" i="2"/>
  <c r="EF268" i="2" s="1"/>
  <c r="EF685" i="2"/>
  <c r="EH595" i="2"/>
  <c r="EF12" i="2"/>
  <c r="EF823" i="2"/>
  <c r="EF337" i="2"/>
  <c r="EF191" i="2"/>
  <c r="EF172" i="2"/>
  <c r="EF197" i="2"/>
  <c r="EF338" i="2"/>
  <c r="EF475" i="2"/>
  <c r="EF99" i="2"/>
  <c r="EF129" i="2"/>
  <c r="EF329" i="2"/>
  <c r="EF353" i="2"/>
  <c r="EF415" i="2"/>
  <c r="EF650" i="2"/>
  <c r="EF830" i="2"/>
  <c r="ED590" i="2"/>
  <c r="EF590" i="2" s="1"/>
  <c r="EF390" i="2"/>
  <c r="ED667" i="2"/>
  <c r="EF667" i="2" s="1"/>
  <c r="ED207" i="2"/>
  <c r="EF80" i="2"/>
  <c r="EF109" i="2"/>
  <c r="EF271" i="2"/>
  <c r="EF277" i="2"/>
  <c r="EF280" i="2"/>
  <c r="EF302" i="2"/>
  <c r="ED357" i="2"/>
  <c r="EF357" i="2" s="1"/>
  <c r="EF696" i="2"/>
  <c r="EF114" i="2"/>
  <c r="ED328" i="2"/>
  <c r="EF328" i="2" s="1"/>
  <c r="ED793" i="2"/>
  <c r="EF793" i="2" s="1"/>
  <c r="ED309" i="2"/>
  <c r="EF309" i="2" s="1"/>
  <c r="ED677" i="2"/>
  <c r="EF677" i="2" s="1"/>
  <c r="ED91" i="2"/>
  <c r="EF91" i="2" s="1"/>
  <c r="EF145" i="2"/>
  <c r="ED77" i="2"/>
  <c r="EF77" i="2" s="1"/>
  <c r="ED73" i="2"/>
  <c r="EF73" i="2" s="1"/>
  <c r="ED386" i="2"/>
  <c r="EF386" i="2" s="1"/>
  <c r="ED30" i="2"/>
  <c r="EF30" i="2" s="1"/>
  <c r="EF78" i="2"/>
  <c r="EF100" i="2"/>
  <c r="EE348" i="2"/>
  <c r="ED348" i="2"/>
  <c r="EF51" i="2"/>
  <c r="ED101" i="2"/>
  <c r="EF101" i="2" s="1"/>
  <c r="ED414" i="2"/>
  <c r="EF414" i="2" s="1"/>
  <c r="ED192" i="2"/>
  <c r="EF192" i="2" s="1"/>
  <c r="ED345" i="2"/>
  <c r="EF345" i="2" s="1"/>
  <c r="ED433" i="2"/>
  <c r="EF433" i="2" s="1"/>
  <c r="ED736" i="2"/>
  <c r="EF736" i="2" s="1"/>
  <c r="ED797" i="2"/>
  <c r="EF797" i="2" s="1"/>
  <c r="EF149" i="2"/>
  <c r="ED228" i="2"/>
  <c r="EF228" i="2" s="1"/>
  <c r="ED249" i="2"/>
  <c r="EF249" i="2" s="1"/>
  <c r="ED269" i="2"/>
  <c r="EF269" i="2" s="1"/>
  <c r="ED310" i="2"/>
  <c r="EF310" i="2" s="1"/>
  <c r="EF381" i="2"/>
  <c r="ED412" i="2"/>
  <c r="EF412" i="2" s="1"/>
  <c r="ED551" i="2"/>
  <c r="EF551" i="2" s="1"/>
  <c r="ED678" i="2"/>
  <c r="EF678" i="2" s="1"/>
  <c r="ED225" i="2"/>
  <c r="EF225" i="2" s="1"/>
  <c r="ED825" i="2"/>
  <c r="EF825" i="2" s="1"/>
  <c r="ED183" i="2"/>
  <c r="EF183" i="2" s="1"/>
  <c r="ED405" i="2"/>
  <c r="EF405" i="2" s="1"/>
  <c r="ED794" i="2"/>
  <c r="EF794" i="2" s="1"/>
  <c r="ED147" i="2"/>
  <c r="EF147" i="2" s="1"/>
  <c r="ED355" i="2"/>
  <c r="EF355" i="2" s="1"/>
  <c r="EF410" i="2"/>
  <c r="ED262" i="2"/>
  <c r="EF262" i="2" s="1"/>
  <c r="ED674" i="2"/>
  <c r="EF674" i="2" s="1"/>
  <c r="ED764" i="2"/>
  <c r="EF764" i="2" s="1"/>
  <c r="EF120" i="2"/>
  <c r="ED214" i="2"/>
  <c r="EF214" i="2" s="1"/>
  <c r="ED226" i="2"/>
  <c r="EF226" i="2" s="1"/>
  <c r="ED301" i="2"/>
  <c r="EF301" i="2" s="1"/>
  <c r="EF358" i="2"/>
  <c r="EF396" i="2"/>
  <c r="CD832" i="2"/>
  <c r="ED256" i="2"/>
  <c r="EF256" i="2" s="1"/>
  <c r="ED439" i="2"/>
  <c r="EF439" i="2" s="1"/>
  <c r="ED458" i="2"/>
  <c r="EF458" i="2" s="1"/>
  <c r="ED122" i="2"/>
  <c r="EF122" i="2" s="1"/>
  <c r="ED17" i="2"/>
  <c r="EF17" i="2" s="1"/>
  <c r="ED65" i="2"/>
  <c r="EF65" i="2" s="1"/>
  <c r="ED72" i="2"/>
  <c r="EF72" i="2" s="1"/>
  <c r="ED76" i="2"/>
  <c r="EF76" i="2" s="1"/>
  <c r="ED103" i="2"/>
  <c r="EF103" i="2" s="1"/>
  <c r="ED116" i="2"/>
  <c r="EF116" i="2" s="1"/>
  <c r="ED143" i="2"/>
  <c r="EF143" i="2" s="1"/>
  <c r="ED177" i="2"/>
  <c r="EF177" i="2" s="1"/>
  <c r="ED314" i="2"/>
  <c r="EF314" i="2" s="1"/>
  <c r="ED435" i="2"/>
  <c r="EF435" i="2" s="1"/>
  <c r="ED437" i="2"/>
  <c r="EF437" i="2" s="1"/>
  <c r="ED671" i="2"/>
  <c r="EF671" i="2" s="1"/>
  <c r="ED807" i="2"/>
  <c r="EF807" i="2" s="1"/>
  <c r="ED20" i="2"/>
  <c r="EF20" i="2" s="1"/>
  <c r="ED137" i="2"/>
  <c r="EF137" i="2" s="1"/>
  <c r="ED173" i="2"/>
  <c r="EF173" i="2" s="1"/>
  <c r="ED313" i="2"/>
  <c r="EF313" i="2" s="1"/>
  <c r="ED362" i="2"/>
  <c r="EF362" i="2" s="1"/>
  <c r="ED372" i="2"/>
  <c r="EF372" i="2" s="1"/>
  <c r="ED374" i="2"/>
  <c r="EF374" i="2" s="1"/>
  <c r="ED376" i="2"/>
  <c r="EF376" i="2" s="1"/>
  <c r="ED393" i="2"/>
  <c r="EF393" i="2" s="1"/>
  <c r="ED406" i="2"/>
  <c r="EF406" i="2" s="1"/>
  <c r="ED408" i="2"/>
  <c r="EF408" i="2" s="1"/>
  <c r="ED429" i="2"/>
  <c r="EF429" i="2" s="1"/>
  <c r="ED434" i="2"/>
  <c r="EF434" i="2" s="1"/>
  <c r="ED440" i="2"/>
  <c r="EF440" i="2" s="1"/>
  <c r="ED463" i="2"/>
  <c r="EF463" i="2" s="1"/>
  <c r="ED488" i="2"/>
  <c r="EF488" i="2" s="1"/>
  <c r="ED87" i="2"/>
  <c r="EF87" i="2" s="1"/>
  <c r="ED438" i="2"/>
  <c r="EF438" i="2" s="1"/>
  <c r="ED471" i="2"/>
  <c r="EF471" i="2" s="1"/>
  <c r="ED41" i="2"/>
  <c r="EF41" i="2" s="1"/>
  <c r="ED227" i="2"/>
  <c r="EF227" i="2" s="1"/>
  <c r="ED385" i="2"/>
  <c r="EF385" i="2" s="1"/>
  <c r="ED442" i="2"/>
  <c r="EF442" i="2" s="1"/>
  <c r="ED459" i="2"/>
  <c r="EF459" i="2" s="1"/>
  <c r="ED483" i="2"/>
  <c r="EF483" i="2" s="1"/>
  <c r="ED107" i="2"/>
  <c r="EF107" i="2" s="1"/>
  <c r="ED139" i="2"/>
  <c r="EF139" i="2" s="1"/>
  <c r="ED163" i="2"/>
  <c r="EF163" i="2" s="1"/>
  <c r="ED248" i="2"/>
  <c r="EF248" i="2" s="1"/>
  <c r="ED346" i="2"/>
  <c r="EF346" i="2" s="1"/>
  <c r="ED373" i="2"/>
  <c r="EF373" i="2" s="1"/>
  <c r="ED398" i="2"/>
  <c r="EF398" i="2" s="1"/>
  <c r="ED499" i="2"/>
  <c r="EF499" i="2" s="1"/>
  <c r="ED824" i="2"/>
  <c r="EF824" i="2" s="1"/>
  <c r="ED32" i="2"/>
  <c r="EF32" i="2" s="1"/>
  <c r="ED56" i="2"/>
  <c r="EF56" i="2" s="1"/>
  <c r="ED58" i="2"/>
  <c r="EF58" i="2" s="1"/>
  <c r="ED81" i="2"/>
  <c r="EF81" i="2" s="1"/>
  <c r="ED88" i="2"/>
  <c r="EF88" i="2" s="1"/>
  <c r="ED97" i="2"/>
  <c r="EF97" i="2" s="1"/>
  <c r="ED288" i="2"/>
  <c r="EF288" i="2" s="1"/>
  <c r="ED327" i="2"/>
  <c r="EF327" i="2" s="1"/>
  <c r="ED564" i="2"/>
  <c r="EF564" i="2" s="1"/>
  <c r="ED524" i="2"/>
  <c r="EF524" i="2" s="1"/>
  <c r="ED539" i="2"/>
  <c r="EF539" i="2" s="1"/>
  <c r="ED597" i="2"/>
  <c r="EF597" i="2" s="1"/>
  <c r="ED676" i="2"/>
  <c r="EF676" i="2" s="1"/>
  <c r="ED735" i="2"/>
  <c r="EF735" i="2" s="1"/>
  <c r="ED798" i="2"/>
  <c r="EF798" i="2" s="1"/>
  <c r="ED527" i="2"/>
  <c r="EF527" i="2" s="1"/>
  <c r="ED634" i="2"/>
  <c r="EF634" i="2" s="1"/>
  <c r="ED795" i="2"/>
  <c r="EF795" i="2" s="1"/>
  <c r="ED505" i="2"/>
  <c r="EF505" i="2" s="1"/>
  <c r="ED566" i="2"/>
  <c r="EF566" i="2" s="1"/>
  <c r="ED643" i="2"/>
  <c r="EF643" i="2" s="1"/>
  <c r="ED673" i="2"/>
  <c r="EF673" i="2" s="1"/>
  <c r="ED812" i="2"/>
  <c r="EF812" i="2" s="1"/>
  <c r="ED620" i="2"/>
  <c r="EF620" i="2" s="1"/>
  <c r="ED783" i="2"/>
  <c r="EF783" i="2" s="1"/>
  <c r="ED799" i="2"/>
  <c r="EF799" i="2" s="1"/>
  <c r="ED560" i="2"/>
  <c r="EF560" i="2" s="1"/>
  <c r="ED602" i="2"/>
  <c r="EF602" i="2" s="1"/>
  <c r="ED652" i="2"/>
  <c r="EF652" i="2" s="1"/>
  <c r="ED718" i="2"/>
  <c r="EF718" i="2" s="1"/>
  <c r="ED581" i="2"/>
  <c r="EF581" i="2" s="1"/>
  <c r="ED592" i="2"/>
  <c r="EF592" i="2" s="1"/>
  <c r="ED714" i="2"/>
  <c r="EF714" i="2" s="1"/>
  <c r="ED490" i="2"/>
  <c r="EF490" i="2" s="1"/>
  <c r="ED549" i="2"/>
  <c r="EF549" i="2" s="1"/>
  <c r="FJ460" i="1"/>
  <c r="FJ724" i="1"/>
  <c r="FJ524" i="1"/>
  <c r="FJ376" i="1"/>
  <c r="FJ388" i="1"/>
  <c r="FJ383" i="1"/>
  <c r="FJ559" i="1"/>
  <c r="FJ644" i="1"/>
  <c r="FJ667" i="1"/>
  <c r="FJ676" i="1"/>
  <c r="FJ736" i="1"/>
  <c r="FJ750" i="1"/>
  <c r="FJ755" i="1"/>
  <c r="FJ794" i="1"/>
  <c r="FJ323" i="1"/>
  <c r="FJ380" i="1"/>
  <c r="FJ384" i="1"/>
  <c r="FJ392" i="1"/>
  <c r="FJ506" i="1"/>
  <c r="FJ574" i="1"/>
  <c r="FJ585" i="1"/>
  <c r="FJ626" i="1"/>
  <c r="FJ256" i="1"/>
  <c r="FH158" i="1"/>
  <c r="FJ158" i="1" s="1"/>
  <c r="FJ389" i="1"/>
  <c r="FH593" i="1"/>
  <c r="FJ593" i="1" s="1"/>
  <c r="FJ601" i="1"/>
  <c r="FJ621" i="1"/>
  <c r="FJ725" i="1"/>
  <c r="FH223" i="1"/>
  <c r="FJ223" i="1" s="1"/>
  <c r="FH260" i="1"/>
  <c r="FJ260" i="1" s="1"/>
  <c r="FJ402" i="1"/>
  <c r="FJ453" i="1"/>
  <c r="FJ456" i="1"/>
  <c r="FJ576" i="1"/>
  <c r="ED31" i="2"/>
  <c r="EF31" i="2" s="1"/>
  <c r="ED45" i="2"/>
  <c r="EF45" i="2" s="1"/>
  <c r="ED57" i="2"/>
  <c r="EF57" i="2" s="1"/>
  <c r="ED93" i="2"/>
  <c r="EF93" i="2" s="1"/>
  <c r="ED40" i="2"/>
  <c r="EF40" i="2" s="1"/>
  <c r="ED49" i="2"/>
  <c r="EF49" i="2" s="1"/>
  <c r="ED63" i="2"/>
  <c r="EF63" i="2" s="1"/>
  <c r="ED113" i="2"/>
  <c r="EF113" i="2" s="1"/>
  <c r="ED23" i="2"/>
  <c r="EF23" i="2" s="1"/>
  <c r="ED25" i="2"/>
  <c r="EF25" i="2" s="1"/>
  <c r="ED44" i="2"/>
  <c r="EF44" i="2" s="1"/>
  <c r="ED48" i="2"/>
  <c r="EF48" i="2" s="1"/>
  <c r="ED59" i="2"/>
  <c r="EF59" i="2" s="1"/>
  <c r="ED79" i="2"/>
  <c r="EF79" i="2" s="1"/>
  <c r="ED89" i="2"/>
  <c r="EF89" i="2" s="1"/>
  <c r="ED95" i="2"/>
  <c r="EF95" i="2" s="1"/>
  <c r="ED105" i="2"/>
  <c r="ED174" i="2"/>
  <c r="BE484" i="2"/>
  <c r="BF484" i="2" s="1"/>
  <c r="ED484" i="2" s="1"/>
  <c r="EE484" i="2"/>
  <c r="EE767" i="2"/>
  <c r="BK767" i="2"/>
  <c r="BL767" i="2" s="1"/>
  <c r="ED767" i="2" s="1"/>
  <c r="EE653" i="2"/>
  <c r="BQ653" i="2"/>
  <c r="BR653" i="2" s="1"/>
  <c r="EE816" i="2"/>
  <c r="BQ816" i="2"/>
  <c r="BR816" i="2" s="1"/>
  <c r="ED816" i="2" s="1"/>
  <c r="EE323" i="2"/>
  <c r="U323" i="2"/>
  <c r="V323" i="2" s="1"/>
  <c r="ED323" i="2" s="1"/>
  <c r="U705" i="2"/>
  <c r="V705" i="2" s="1"/>
  <c r="ED705" i="2" s="1"/>
  <c r="EE705" i="2"/>
  <c r="U750" i="2"/>
  <c r="V750" i="2" s="1"/>
  <c r="ED750" i="2" s="1"/>
  <c r="EE274" i="2"/>
  <c r="AA274" i="2"/>
  <c r="AB274" i="2" s="1"/>
  <c r="AA710" i="2"/>
  <c r="AB710" i="2" s="1"/>
  <c r="ED710" i="2" s="1"/>
  <c r="EE710" i="2"/>
  <c r="EE768" i="2"/>
  <c r="AA768" i="2"/>
  <c r="AB768" i="2" s="1"/>
  <c r="ED768" i="2" s="1"/>
  <c r="EE727" i="2"/>
  <c r="BE727" i="2"/>
  <c r="BF727" i="2" s="1"/>
  <c r="ED727" i="2" s="1"/>
  <c r="EE205" i="2"/>
  <c r="BK298" i="2"/>
  <c r="BL298" i="2" s="1"/>
  <c r="EE298" i="2"/>
  <c r="EE447" i="2"/>
  <c r="BK447" i="2"/>
  <c r="BL447" i="2" s="1"/>
  <c r="EE456" i="2"/>
  <c r="BK456" i="2"/>
  <c r="BL456" i="2" s="1"/>
  <c r="ED456" i="2" s="1"/>
  <c r="EE610" i="2"/>
  <c r="BK610" i="2"/>
  <c r="BL610" i="2" s="1"/>
  <c r="BK713" i="2"/>
  <c r="BL713" i="2" s="1"/>
  <c r="EE713" i="2"/>
  <c r="EE781" i="2"/>
  <c r="BK781" i="2"/>
  <c r="BL781" i="2" s="1"/>
  <c r="BW417" i="2"/>
  <c r="BX417" i="2" s="1"/>
  <c r="BW494" i="2"/>
  <c r="BX494" i="2" s="1"/>
  <c r="BW610" i="2"/>
  <c r="BX610" i="2" s="1"/>
  <c r="ED610" i="2" s="1"/>
  <c r="BW632" i="2"/>
  <c r="BX632" i="2" s="1"/>
  <c r="BW780" i="2"/>
  <c r="BX780" i="2" s="1"/>
  <c r="BW809" i="2"/>
  <c r="BX809" i="2" s="1"/>
  <c r="ED7" i="2"/>
  <c r="EF7" i="2" s="1"/>
  <c r="ED19" i="2"/>
  <c r="EF19" i="2" s="1"/>
  <c r="ED21" i="2"/>
  <c r="EF21" i="2" s="1"/>
  <c r="BK24" i="2"/>
  <c r="BL24" i="2" s="1"/>
  <c r="BK66" i="2"/>
  <c r="BL66" i="2" s="1"/>
  <c r="EE69" i="2"/>
  <c r="AM70" i="2"/>
  <c r="AN70" i="2" s="1"/>
  <c r="ED70" i="2" s="1"/>
  <c r="EF70" i="2" s="1"/>
  <c r="ED75" i="2"/>
  <c r="EF75" i="2" s="1"/>
  <c r="EE105" i="2"/>
  <c r="ED121" i="2"/>
  <c r="EF121" i="2" s="1"/>
  <c r="EE168" i="2"/>
  <c r="EE170" i="2"/>
  <c r="ED186" i="2"/>
  <c r="EF186" i="2" s="1"/>
  <c r="ED194" i="2"/>
  <c r="EF194" i="2" s="1"/>
  <c r="ED195" i="2"/>
  <c r="EF195" i="2" s="1"/>
  <c r="ED196" i="2"/>
  <c r="EF196" i="2" s="1"/>
  <c r="ED202" i="2"/>
  <c r="EF202" i="2" s="1"/>
  <c r="EE206" i="2"/>
  <c r="EE207" i="2"/>
  <c r="ED224" i="2"/>
  <c r="EF224" i="2" s="1"/>
  <c r="ED344" i="2"/>
  <c r="EF344" i="2" s="1"/>
  <c r="ED361" i="2"/>
  <c r="EF361" i="2" s="1"/>
  <c r="ED363" i="2"/>
  <c r="EF363" i="2" s="1"/>
  <c r="ED397" i="2"/>
  <c r="EF397" i="2" s="1"/>
  <c r="ED403" i="2"/>
  <c r="EF403" i="2" s="1"/>
  <c r="ED449" i="2"/>
  <c r="EF449" i="2" s="1"/>
  <c r="BK626" i="2"/>
  <c r="BL626" i="2" s="1"/>
  <c r="EE626" i="2"/>
  <c r="BK769" i="2"/>
  <c r="BL769" i="2" s="1"/>
  <c r="ED769" i="2" s="1"/>
  <c r="EE769" i="2"/>
  <c r="BQ305" i="2"/>
  <c r="BR305" i="2" s="1"/>
  <c r="ED305" i="2" s="1"/>
  <c r="EE305" i="2"/>
  <c r="U452" i="2"/>
  <c r="V452" i="2" s="1"/>
  <c r="ED452" i="2" s="1"/>
  <c r="EE452" i="2"/>
  <c r="EE709" i="2"/>
  <c r="U709" i="2"/>
  <c r="V709" i="2" s="1"/>
  <c r="ED709" i="2" s="1"/>
  <c r="EE201" i="2"/>
  <c r="AB201" i="2"/>
  <c r="AA284" i="2"/>
  <c r="AB284" i="2" s="1"/>
  <c r="ED284" i="2" s="1"/>
  <c r="EE284" i="2"/>
  <c r="AA730" i="2"/>
  <c r="AB730" i="2" s="1"/>
  <c r="ED730" i="2" s="1"/>
  <c r="EE730" i="2"/>
  <c r="AM476" i="2"/>
  <c r="AN476" i="2" s="1"/>
  <c r="ED476" i="2" s="1"/>
  <c r="EE476" i="2"/>
  <c r="BE731" i="2"/>
  <c r="BF731" i="2" s="1"/>
  <c r="BK209" i="2"/>
  <c r="BL209" i="2" s="1"/>
  <c r="BK299" i="2"/>
  <c r="BL299" i="2" s="1"/>
  <c r="ED299" i="2" s="1"/>
  <c r="EE299" i="2"/>
  <c r="EE448" i="2"/>
  <c r="BK448" i="2"/>
  <c r="BL448" i="2" s="1"/>
  <c r="ED448" i="2" s="1"/>
  <c r="EE492" i="2"/>
  <c r="BK492" i="2"/>
  <c r="BL492" i="2" s="1"/>
  <c r="EE611" i="2"/>
  <c r="BK611" i="2"/>
  <c r="BL611" i="2" s="1"/>
  <c r="BK715" i="2"/>
  <c r="BL715" i="2" s="1"/>
  <c r="BK782" i="2"/>
  <c r="BL782" i="2" s="1"/>
  <c r="EE782" i="2"/>
  <c r="BW447" i="2"/>
  <c r="BX447" i="2" s="1"/>
  <c r="BW605" i="2"/>
  <c r="BX605" i="2" s="1"/>
  <c r="BW611" i="2"/>
  <c r="BX611" i="2" s="1"/>
  <c r="BW712" i="2"/>
  <c r="BX712" i="2" s="1"/>
  <c r="BW781" i="2"/>
  <c r="BX781" i="2" s="1"/>
  <c r="ED3" i="2"/>
  <c r="EF3" i="2" s="1"/>
  <c r="BL26" i="2"/>
  <c r="ED26" i="2" s="1"/>
  <c r="EE26" i="2"/>
  <c r="BX28" i="2"/>
  <c r="AN66" i="2"/>
  <c r="EE66" i="2"/>
  <c r="EE106" i="2"/>
  <c r="BX110" i="2"/>
  <c r="BL110" i="2"/>
  <c r="EE110" i="2"/>
  <c r="ED124" i="2"/>
  <c r="EF124" i="2" s="1"/>
  <c r="ED130" i="2"/>
  <c r="EF130" i="2" s="1"/>
  <c r="ED134" i="2"/>
  <c r="EF134" i="2" s="1"/>
  <c r="ED136" i="2"/>
  <c r="EF136" i="2" s="1"/>
  <c r="EE167" i="2"/>
  <c r="V169" i="2"/>
  <c r="ED169" i="2" s="1"/>
  <c r="EE169" i="2"/>
  <c r="EE171" i="2"/>
  <c r="ED193" i="2"/>
  <c r="EF193" i="2" s="1"/>
  <c r="ED199" i="2"/>
  <c r="EF199" i="2" s="1"/>
  <c r="BK205" i="2"/>
  <c r="BL205" i="2" s="1"/>
  <c r="ED205" i="2" s="1"/>
  <c r="ED210" i="2"/>
  <c r="EF210" i="2" s="1"/>
  <c r="ED424" i="2"/>
  <c r="EF424" i="2" s="1"/>
  <c r="ED443" i="2"/>
  <c r="EF443" i="2" s="1"/>
  <c r="ED444" i="2"/>
  <c r="EF444" i="2" s="1"/>
  <c r="ED445" i="2"/>
  <c r="EF445" i="2" s="1"/>
  <c r="ED446" i="2"/>
  <c r="EF446" i="2" s="1"/>
  <c r="FI372" i="1"/>
  <c r="BQ372" i="1"/>
  <c r="BR372" i="1" s="1"/>
  <c r="EE627" i="2"/>
  <c r="BK627" i="2"/>
  <c r="BL627" i="2" s="1"/>
  <c r="EE771" i="2"/>
  <c r="BK771" i="2"/>
  <c r="BL771" i="2" s="1"/>
  <c r="ED771" i="2" s="1"/>
  <c r="BQ752" i="2"/>
  <c r="BR752" i="2" s="1"/>
  <c r="ED752" i="2" s="1"/>
  <c r="EE752" i="2"/>
  <c r="U570" i="2"/>
  <c r="V570" i="2" s="1"/>
  <c r="ED570" i="2" s="1"/>
  <c r="EE570" i="2"/>
  <c r="U720" i="2"/>
  <c r="V720" i="2" s="1"/>
  <c r="ED720" i="2" s="1"/>
  <c r="EE720" i="2"/>
  <c r="AA209" i="2"/>
  <c r="AB209" i="2" s="1"/>
  <c r="EE209" i="2"/>
  <c r="AA285" i="2"/>
  <c r="AB285" i="2" s="1"/>
  <c r="ED285" i="2" s="1"/>
  <c r="EE285" i="2"/>
  <c r="EE731" i="2"/>
  <c r="AA731" i="2"/>
  <c r="AB731" i="2" s="1"/>
  <c r="BE274" i="2"/>
  <c r="BF274" i="2" s="1"/>
  <c r="BE742" i="2"/>
  <c r="BF742" i="2" s="1"/>
  <c r="EE258" i="2"/>
  <c r="BK258" i="2"/>
  <c r="BL258" i="2" s="1"/>
  <c r="BK315" i="2"/>
  <c r="BL315" i="2" s="1"/>
  <c r="EE315" i="2"/>
  <c r="EE451" i="2"/>
  <c r="BK451" i="2"/>
  <c r="BL451" i="2" s="1"/>
  <c r="ED451" i="2" s="1"/>
  <c r="EE494" i="2"/>
  <c r="BK494" i="2"/>
  <c r="BL494" i="2" s="1"/>
  <c r="BK616" i="2"/>
  <c r="BL616" i="2" s="1"/>
  <c r="ED616" i="2" s="1"/>
  <c r="EE616" i="2"/>
  <c r="BK775" i="2"/>
  <c r="BL775" i="2" s="1"/>
  <c r="ED775" i="2" s="1"/>
  <c r="EE775" i="2"/>
  <c r="BK808" i="2"/>
  <c r="BL808" i="2" s="1"/>
  <c r="EE808" i="2"/>
  <c r="BW258" i="2"/>
  <c r="BX258" i="2" s="1"/>
  <c r="BW315" i="2"/>
  <c r="BX315" i="2" s="1"/>
  <c r="BW604" i="2"/>
  <c r="BX604" i="2" s="1"/>
  <c r="BW626" i="2"/>
  <c r="BX626" i="2" s="1"/>
  <c r="BW713" i="2"/>
  <c r="BX713" i="2" s="1"/>
  <c r="BW782" i="2"/>
  <c r="BX782" i="2" s="1"/>
  <c r="FI302" i="1"/>
  <c r="CO302" i="1"/>
  <c r="CP302" i="1" s="1"/>
  <c r="FH302" i="1" s="1"/>
  <c r="ED15" i="2"/>
  <c r="EF15" i="2" s="1"/>
  <c r="BK28" i="2"/>
  <c r="BL28" i="2" s="1"/>
  <c r="ED33" i="2"/>
  <c r="EF33" i="2" s="1"/>
  <c r="AN69" i="2"/>
  <c r="ED69" i="2" s="1"/>
  <c r="AN71" i="2"/>
  <c r="ED71" i="2" s="1"/>
  <c r="EE71" i="2"/>
  <c r="ED117" i="2"/>
  <c r="EF117" i="2" s="1"/>
  <c r="ED135" i="2"/>
  <c r="EF135" i="2" s="1"/>
  <c r="V167" i="2"/>
  <c r="ED167" i="2" s="1"/>
  <c r="EE174" i="2"/>
  <c r="ED185" i="2"/>
  <c r="EF185" i="2" s="1"/>
  <c r="EE204" i="2"/>
  <c r="FI515" i="1"/>
  <c r="U515" i="1"/>
  <c r="V515" i="1" s="1"/>
  <c r="FH515" i="1" s="1"/>
  <c r="EE632" i="2"/>
  <c r="BK632" i="2"/>
  <c r="BL632" i="2" s="1"/>
  <c r="BQ478" i="2"/>
  <c r="BR478" i="2" s="1"/>
  <c r="ED478" i="2" s="1"/>
  <c r="EE478" i="2"/>
  <c r="EE766" i="2"/>
  <c r="BQ766" i="2"/>
  <c r="BR766" i="2" s="1"/>
  <c r="ED766" i="2" s="1"/>
  <c r="U575" i="2"/>
  <c r="V575" i="2" s="1"/>
  <c r="ED575" i="2" s="1"/>
  <c r="EE575" i="2"/>
  <c r="EE748" i="2"/>
  <c r="U748" i="2"/>
  <c r="V748" i="2" s="1"/>
  <c r="ED748" i="2" s="1"/>
  <c r="AA273" i="2"/>
  <c r="AB273" i="2" s="1"/>
  <c r="EE273" i="2"/>
  <c r="AA708" i="2"/>
  <c r="AB708" i="2" s="1"/>
  <c r="ED708" i="2" s="1"/>
  <c r="EE708" i="2"/>
  <c r="EE742" i="2"/>
  <c r="AA742" i="2"/>
  <c r="AB742" i="2" s="1"/>
  <c r="EE208" i="2"/>
  <c r="BE208" i="2"/>
  <c r="BF208" i="2" s="1"/>
  <c r="ED208" i="2" s="1"/>
  <c r="BE531" i="2"/>
  <c r="BF531" i="2" s="1"/>
  <c r="ED531" i="2" s="1"/>
  <c r="EE531" i="2"/>
  <c r="BK282" i="2"/>
  <c r="BL282" i="2" s="1"/>
  <c r="EE282" i="2"/>
  <c r="EE417" i="2"/>
  <c r="BK417" i="2"/>
  <c r="BL417" i="2" s="1"/>
  <c r="EE453" i="2"/>
  <c r="BK453" i="2"/>
  <c r="BL453" i="2" s="1"/>
  <c r="ED453" i="2" s="1"/>
  <c r="BK605" i="2"/>
  <c r="BL605" i="2" s="1"/>
  <c r="EE605" i="2"/>
  <c r="EE712" i="2"/>
  <c r="BK712" i="2"/>
  <c r="BL712" i="2" s="1"/>
  <c r="BK780" i="2"/>
  <c r="BL780" i="2" s="1"/>
  <c r="EE780" i="2"/>
  <c r="EE809" i="2"/>
  <c r="BK809" i="2"/>
  <c r="BL809" i="2" s="1"/>
  <c r="BX204" i="2"/>
  <c r="BW413" i="2"/>
  <c r="BX413" i="2" s="1"/>
  <c r="ED413" i="2" s="1"/>
  <c r="EE413" i="2"/>
  <c r="BW492" i="2"/>
  <c r="BX492" i="2" s="1"/>
  <c r="EE604" i="2"/>
  <c r="BK604" i="2"/>
  <c r="BL604" i="2" s="1"/>
  <c r="BW715" i="2"/>
  <c r="BX715" i="2" s="1"/>
  <c r="BW808" i="2"/>
  <c r="BX808" i="2" s="1"/>
  <c r="ED36" i="2"/>
  <c r="EF36" i="2" s="1"/>
  <c r="ED42" i="2"/>
  <c r="EF42" i="2" s="1"/>
  <c r="ED46" i="2"/>
  <c r="EF46" i="2" s="1"/>
  <c r="ED50" i="2"/>
  <c r="EF50" i="2" s="1"/>
  <c r="ED64" i="2"/>
  <c r="EF64" i="2" s="1"/>
  <c r="ED74" i="2"/>
  <c r="EF74" i="2" s="1"/>
  <c r="ED82" i="2"/>
  <c r="EF82" i="2" s="1"/>
  <c r="ED90" i="2"/>
  <c r="EF90" i="2" s="1"/>
  <c r="ED92" i="2"/>
  <c r="EF92" i="2" s="1"/>
  <c r="ED98" i="2"/>
  <c r="EF98" i="2" s="1"/>
  <c r="ED102" i="2"/>
  <c r="EF102" i="2" s="1"/>
  <c r="ED104" i="2"/>
  <c r="EF104" i="2" s="1"/>
  <c r="ED106" i="2"/>
  <c r="ED119" i="2"/>
  <c r="EF119" i="2" s="1"/>
  <c r="ED156" i="2"/>
  <c r="EF156" i="2" s="1"/>
  <c r="ED157" i="2"/>
  <c r="EF157" i="2" s="1"/>
  <c r="ED184" i="2"/>
  <c r="EF184" i="2" s="1"/>
  <c r="BE201" i="2"/>
  <c r="BF201" i="2" s="1"/>
  <c r="BL204" i="2"/>
  <c r="BX206" i="2"/>
  <c r="ED206" i="2" s="1"/>
  <c r="ED428" i="2"/>
  <c r="EF428" i="2" s="1"/>
  <c r="ED231" i="2"/>
  <c r="EF231" i="2" s="1"/>
  <c r="ED235" i="2"/>
  <c r="EF235" i="2" s="1"/>
  <c r="ED240" i="2"/>
  <c r="EF240" i="2" s="1"/>
  <c r="ED259" i="2"/>
  <c r="EF259" i="2" s="1"/>
  <c r="ED286" i="2"/>
  <c r="EF286" i="2" s="1"/>
  <c r="ED304" i="2"/>
  <c r="EF304" i="2" s="1"/>
  <c r="ED317" i="2"/>
  <c r="EF317" i="2" s="1"/>
  <c r="ED359" i="2"/>
  <c r="EF359" i="2" s="1"/>
  <c r="ED384" i="2"/>
  <c r="EF384" i="2" s="1"/>
  <c r="ED457" i="2"/>
  <c r="EF457" i="2" s="1"/>
  <c r="ED529" i="2"/>
  <c r="EF529" i="2" s="1"/>
  <c r="ED216" i="2"/>
  <c r="EF216" i="2" s="1"/>
  <c r="ED217" i="2"/>
  <c r="EF217" i="2" s="1"/>
  <c r="ED244" i="2"/>
  <c r="EF244" i="2" s="1"/>
  <c r="ED245" i="2"/>
  <c r="EF245" i="2" s="1"/>
  <c r="ED297" i="2"/>
  <c r="EF297" i="2" s="1"/>
  <c r="ED322" i="2"/>
  <c r="EF322" i="2" s="1"/>
  <c r="ED364" i="2"/>
  <c r="EF364" i="2" s="1"/>
  <c r="ED423" i="2"/>
  <c r="EF423" i="2" s="1"/>
  <c r="ED425" i="2"/>
  <c r="EF425" i="2" s="1"/>
  <c r="ED430" i="2"/>
  <c r="EF430" i="2" s="1"/>
  <c r="ED431" i="2"/>
  <c r="EF431" i="2" s="1"/>
  <c r="ED441" i="2"/>
  <c r="EF441" i="2" s="1"/>
  <c r="ED491" i="2"/>
  <c r="EF491" i="2" s="1"/>
  <c r="ED198" i="2"/>
  <c r="EF198" i="2" s="1"/>
  <c r="ED234" i="2"/>
  <c r="EF234" i="2" s="1"/>
  <c r="ED267" i="2"/>
  <c r="EF267" i="2" s="1"/>
  <c r="ED300" i="2"/>
  <c r="EF300" i="2" s="1"/>
  <c r="ED324" i="2"/>
  <c r="EF324" i="2" s="1"/>
  <c r="ED383" i="2"/>
  <c r="EF383" i="2" s="1"/>
  <c r="ED391" i="2"/>
  <c r="EF391" i="2" s="1"/>
  <c r="ED402" i="2"/>
  <c r="EF402" i="2" s="1"/>
  <c r="ED432" i="2"/>
  <c r="EF432" i="2" s="1"/>
  <c r="ED454" i="2"/>
  <c r="EF454" i="2" s="1"/>
  <c r="ED232" i="2"/>
  <c r="EF232" i="2" s="1"/>
  <c r="ED233" i="2"/>
  <c r="EF233" i="2" s="1"/>
  <c r="ED283" i="2"/>
  <c r="EF283" i="2" s="1"/>
  <c r="ED291" i="2"/>
  <c r="EF291" i="2" s="1"/>
  <c r="ED295" i="2"/>
  <c r="EF295" i="2" s="1"/>
  <c r="ED303" i="2"/>
  <c r="EF303" i="2" s="1"/>
  <c r="ED320" i="2"/>
  <c r="EF320" i="2" s="1"/>
  <c r="ED334" i="2"/>
  <c r="EF334" i="2" s="1"/>
  <c r="ED340" i="2"/>
  <c r="EF340" i="2" s="1"/>
  <c r="ED404" i="2"/>
  <c r="EF404" i="2" s="1"/>
  <c r="ED427" i="2"/>
  <c r="EF427" i="2" s="1"/>
  <c r="ED466" i="2"/>
  <c r="EF466" i="2" s="1"/>
  <c r="ED472" i="2"/>
  <c r="EF472" i="2" s="1"/>
  <c r="ED533" i="2"/>
  <c r="EF533" i="2" s="1"/>
  <c r="ED572" i="2"/>
  <c r="EF572" i="2" s="1"/>
  <c r="ED586" i="2"/>
  <c r="EF586" i="2" s="1"/>
  <c r="ED587" i="2"/>
  <c r="EF587" i="2" s="1"/>
  <c r="ED591" i="2"/>
  <c r="EF591" i="2" s="1"/>
  <c r="ED599" i="2"/>
  <c r="EF599" i="2" s="1"/>
  <c r="ED612" i="2"/>
  <c r="EF612" i="2" s="1"/>
  <c r="ED613" i="2"/>
  <c r="EF613" i="2" s="1"/>
  <c r="ED629" i="2"/>
  <c r="EF629" i="2" s="1"/>
  <c r="ED655" i="2"/>
  <c r="EF655" i="2" s="1"/>
  <c r="ED660" i="2"/>
  <c r="EF660" i="2" s="1"/>
  <c r="ED663" i="2"/>
  <c r="EF663" i="2" s="1"/>
  <c r="ED681" i="2"/>
  <c r="EF681" i="2" s="1"/>
  <c r="ED702" i="2"/>
  <c r="EF702" i="2" s="1"/>
  <c r="ED486" i="2"/>
  <c r="EF486" i="2" s="1"/>
  <c r="ED500" i="2"/>
  <c r="EF500" i="2" s="1"/>
  <c r="ED502" i="2"/>
  <c r="EF502" i="2" s="1"/>
  <c r="ED504" i="2"/>
  <c r="EF504" i="2" s="1"/>
  <c r="ED528" i="2"/>
  <c r="EF528" i="2" s="1"/>
  <c r="ED540" i="2"/>
  <c r="EF540" i="2" s="1"/>
  <c r="ED544" i="2"/>
  <c r="EF544" i="2" s="1"/>
  <c r="ED548" i="2"/>
  <c r="EF548" i="2" s="1"/>
  <c r="ED552" i="2"/>
  <c r="EF552" i="2" s="1"/>
  <c r="ED559" i="2"/>
  <c r="EF559" i="2" s="1"/>
  <c r="ED561" i="2"/>
  <c r="EF561" i="2" s="1"/>
  <c r="ED563" i="2"/>
  <c r="EF563" i="2" s="1"/>
  <c r="ED565" i="2"/>
  <c r="EF565" i="2" s="1"/>
  <c r="ED573" i="2"/>
  <c r="EF573" i="2" s="1"/>
  <c r="ED580" i="2"/>
  <c r="EF580" i="2" s="1"/>
  <c r="ED582" i="2"/>
  <c r="EF582" i="2" s="1"/>
  <c r="ED600" i="2"/>
  <c r="EF600" i="2" s="1"/>
  <c r="ED601" i="2"/>
  <c r="EF601" i="2" s="1"/>
  <c r="ED619" i="2"/>
  <c r="EF619" i="2" s="1"/>
  <c r="ED637" i="2"/>
  <c r="EF637" i="2" s="1"/>
  <c r="ED647" i="2"/>
  <c r="EF647" i="2" s="1"/>
  <c r="ED654" i="2"/>
  <c r="EF654" i="2" s="1"/>
  <c r="ED656" i="2"/>
  <c r="EF656" i="2" s="1"/>
  <c r="ED659" i="2"/>
  <c r="EF659" i="2" s="1"/>
  <c r="ED670" i="2"/>
  <c r="EF670" i="2" s="1"/>
  <c r="ED465" i="2"/>
  <c r="EF465" i="2" s="1"/>
  <c r="ED482" i="2"/>
  <c r="EF482" i="2" s="1"/>
  <c r="ED493" i="2"/>
  <c r="EF493" i="2" s="1"/>
  <c r="ED497" i="2"/>
  <c r="EF497" i="2" s="1"/>
  <c r="ED618" i="2"/>
  <c r="EF618" i="2" s="1"/>
  <c r="ED622" i="2"/>
  <c r="EF622" i="2" s="1"/>
  <c r="ED625" i="2"/>
  <c r="EF625" i="2" s="1"/>
  <c r="ED651" i="2"/>
  <c r="EF651" i="2" s="1"/>
  <c r="ED653" i="2"/>
  <c r="ED724" i="2"/>
  <c r="EF724" i="2" s="1"/>
  <c r="ED734" i="2"/>
  <c r="EF734" i="2" s="1"/>
  <c r="ED467" i="2"/>
  <c r="EF467" i="2" s="1"/>
  <c r="ED473" i="2"/>
  <c r="EF473" i="2" s="1"/>
  <c r="ED481" i="2"/>
  <c r="EF481" i="2" s="1"/>
  <c r="ED485" i="2"/>
  <c r="EF485" i="2" s="1"/>
  <c r="ED557" i="2"/>
  <c r="EF557" i="2" s="1"/>
  <c r="ED621" i="2"/>
  <c r="EF621" i="2" s="1"/>
  <c r="ED636" i="2"/>
  <c r="EF636" i="2" s="1"/>
  <c r="ED644" i="2"/>
  <c r="EF644" i="2" s="1"/>
  <c r="ED645" i="2"/>
  <c r="EF645" i="2" s="1"/>
  <c r="ED722" i="2"/>
  <c r="EF722" i="2" s="1"/>
  <c r="ED743" i="2"/>
  <c r="EF743" i="2" s="1"/>
  <c r="ED689" i="2"/>
  <c r="EF689" i="2" s="1"/>
  <c r="ED721" i="2"/>
  <c r="EF721" i="2" s="1"/>
  <c r="ED729" i="2"/>
  <c r="EF729" i="2" s="1"/>
  <c r="ED758" i="2"/>
  <c r="EF758" i="2" s="1"/>
  <c r="ED765" i="2"/>
  <c r="EF765" i="2" s="1"/>
  <c r="ED802" i="2"/>
  <c r="EF802" i="2" s="1"/>
  <c r="ED630" i="2"/>
  <c r="EF630" i="2" s="1"/>
  <c r="ED697" i="2"/>
  <c r="EF697" i="2" s="1"/>
  <c r="ED698" i="2"/>
  <c r="EF698" i="2" s="1"/>
  <c r="ED700" i="2"/>
  <c r="EF700" i="2" s="1"/>
  <c r="ED707" i="2"/>
  <c r="EF707" i="2" s="1"/>
  <c r="ED711" i="2"/>
  <c r="EF711" i="2" s="1"/>
  <c r="ED716" i="2"/>
  <c r="EF716" i="2" s="1"/>
  <c r="ED725" i="2"/>
  <c r="EF725" i="2" s="1"/>
  <c r="ED728" i="2"/>
  <c r="EF728" i="2" s="1"/>
  <c r="ED738" i="2"/>
  <c r="EF738" i="2" s="1"/>
  <c r="ED741" i="2"/>
  <c r="EF741" i="2" s="1"/>
  <c r="ED746" i="2"/>
  <c r="EF746" i="2" s="1"/>
  <c r="ED747" i="2"/>
  <c r="EF747" i="2" s="1"/>
  <c r="ED749" i="2"/>
  <c r="EF749" i="2" s="1"/>
  <c r="ED757" i="2"/>
  <c r="EF757" i="2" s="1"/>
  <c r="ED762" i="2"/>
  <c r="EF762" i="2" s="1"/>
  <c r="ED665" i="2"/>
  <c r="EF665" i="2" s="1"/>
  <c r="ED668" i="2"/>
  <c r="EF668" i="2" s="1"/>
  <c r="ED675" i="2"/>
  <c r="EF675" i="2" s="1"/>
  <c r="ED701" i="2"/>
  <c r="EF701" i="2" s="1"/>
  <c r="ED717" i="2"/>
  <c r="EF717" i="2" s="1"/>
  <c r="ED733" i="2"/>
  <c r="EF733" i="2" s="1"/>
  <c r="ED754" i="2"/>
  <c r="EF754" i="2" s="1"/>
  <c r="ED755" i="2"/>
  <c r="EF755" i="2" s="1"/>
  <c r="ED756" i="2"/>
  <c r="EF756" i="2" s="1"/>
  <c r="ED810" i="2"/>
  <c r="EF810" i="2" s="1"/>
  <c r="ED818" i="2"/>
  <c r="EF818" i="2" s="1"/>
  <c r="ED534" i="2"/>
  <c r="EF534" i="2" s="1"/>
  <c r="ED669" i="2"/>
  <c r="EF669" i="2" s="1"/>
  <c r="ED772" i="2"/>
  <c r="EF772" i="2" s="1"/>
  <c r="ED785" i="2"/>
  <c r="EF785" i="2" s="1"/>
  <c r="ED827" i="2"/>
  <c r="EF827" i="2" s="1"/>
  <c r="ED753" i="2"/>
  <c r="EF753" i="2" s="1"/>
  <c r="ED760" i="2"/>
  <c r="EF760" i="2" s="1"/>
  <c r="ED776" i="2"/>
  <c r="EF776" i="2" s="1"/>
  <c r="ED820" i="2"/>
  <c r="EF820" i="2" s="1"/>
  <c r="ED826" i="2"/>
  <c r="EF826" i="2" s="1"/>
  <c r="ED803" i="2"/>
  <c r="EF803" i="2" s="1"/>
  <c r="FI284" i="1"/>
  <c r="ED763" i="2"/>
  <c r="EF763" i="2" s="1"/>
  <c r="ED773" i="2"/>
  <c r="EF773" i="2" s="1"/>
  <c r="ED786" i="2"/>
  <c r="EF786" i="2" s="1"/>
  <c r="ED788" i="2"/>
  <c r="EF788" i="2" s="1"/>
  <c r="ED796" i="2"/>
  <c r="EF796" i="2" s="1"/>
  <c r="ED804" i="2"/>
  <c r="EF804" i="2" s="1"/>
  <c r="ED811" i="2"/>
  <c r="EF811" i="2" s="1"/>
  <c r="ED813" i="2"/>
  <c r="EF813" i="2" s="1"/>
  <c r="ED829" i="2"/>
  <c r="EF829" i="2" s="1"/>
  <c r="ED831" i="2"/>
  <c r="EF831" i="2" s="1"/>
  <c r="FI301" i="1"/>
  <c r="FI543" i="1"/>
  <c r="FJ374" i="1"/>
  <c r="FJ378" i="1"/>
  <c r="FJ382" i="1"/>
  <c r="FJ386" i="1"/>
  <c r="FJ390" i="1"/>
  <c r="FH133" i="1"/>
  <c r="FJ133" i="1" s="1"/>
  <c r="FJ553" i="1"/>
  <c r="FJ338" i="1"/>
  <c r="FJ308" i="1"/>
  <c r="FJ499" i="1"/>
  <c r="FJ538" i="1"/>
  <c r="FJ708" i="1"/>
  <c r="FJ718" i="1"/>
  <c r="FJ738" i="1"/>
  <c r="FJ759" i="1"/>
  <c r="FJ459" i="1"/>
  <c r="FJ341" i="1"/>
  <c r="FJ584" i="1"/>
  <c r="FJ588" i="1"/>
  <c r="FJ602" i="1"/>
  <c r="FJ605" i="1"/>
  <c r="FJ542" i="1"/>
  <c r="FJ461" i="1"/>
  <c r="FJ758" i="1"/>
  <c r="FJ434" i="1"/>
  <c r="FJ458" i="1"/>
  <c r="FJ84" i="1"/>
  <c r="FJ88" i="1"/>
  <c r="FJ428" i="1"/>
  <c r="FH81" i="1"/>
  <c r="FJ81" i="1" s="1"/>
  <c r="FJ404" i="1"/>
  <c r="FH487" i="1"/>
  <c r="FJ487" i="1" s="1"/>
  <c r="FJ655" i="1"/>
  <c r="FH549" i="1"/>
  <c r="FJ549" i="1" s="1"/>
  <c r="FJ668" i="1"/>
  <c r="FJ757" i="1"/>
  <c r="FJ128" i="1"/>
  <c r="FJ344" i="1"/>
  <c r="FJ373" i="1"/>
  <c r="FJ381" i="1"/>
  <c r="FJ110" i="1"/>
  <c r="FJ137" i="1"/>
  <c r="ED4" i="2"/>
  <c r="EF4" i="2" s="1"/>
  <c r="AT832" i="2"/>
  <c r="ED29" i="2"/>
  <c r="EF29" i="2" s="1"/>
  <c r="ED35" i="2"/>
  <c r="EF35" i="2" s="1"/>
  <c r="ED37" i="2"/>
  <c r="EF37" i="2" s="1"/>
  <c r="ED43" i="2"/>
  <c r="EF43" i="2" s="1"/>
  <c r="ED53" i="2"/>
  <c r="EF53" i="2" s="1"/>
  <c r="ED127" i="2"/>
  <c r="EF127" i="2" s="1"/>
  <c r="ED155" i="2"/>
  <c r="EF155" i="2" s="1"/>
  <c r="ED178" i="2"/>
  <c r="EF178" i="2" s="1"/>
  <c r="ED179" i="2"/>
  <c r="EF179" i="2" s="1"/>
  <c r="ED181" i="2"/>
  <c r="EF181" i="2" s="1"/>
  <c r="ED239" i="2"/>
  <c r="EF239" i="2" s="1"/>
  <c r="ED247" i="2"/>
  <c r="EF247" i="2" s="1"/>
  <c r="P832" i="2"/>
  <c r="ED6" i="2"/>
  <c r="EF6" i="2" s="1"/>
  <c r="ED8" i="2"/>
  <c r="EF8" i="2" s="1"/>
  <c r="ED10" i="2"/>
  <c r="EF10" i="2" s="1"/>
  <c r="ED14" i="2"/>
  <c r="EF14" i="2" s="1"/>
  <c r="ED62" i="2"/>
  <c r="EF62" i="2" s="1"/>
  <c r="ED94" i="2"/>
  <c r="EF94" i="2" s="1"/>
  <c r="ED126" i="2"/>
  <c r="EF126" i="2" s="1"/>
  <c r="ED162" i="2"/>
  <c r="EF162" i="2" s="1"/>
  <c r="ED180" i="2"/>
  <c r="EF180" i="2" s="1"/>
  <c r="ED290" i="2"/>
  <c r="EF290" i="2" s="1"/>
  <c r="ED27" i="2"/>
  <c r="EF27" i="2" s="1"/>
  <c r="ED132" i="2"/>
  <c r="EF132" i="2" s="1"/>
  <c r="ED138" i="2"/>
  <c r="EF138" i="2" s="1"/>
  <c r="ED142" i="2"/>
  <c r="EF142" i="2" s="1"/>
  <c r="ED13" i="2"/>
  <c r="EF13" i="2" s="1"/>
  <c r="ED18" i="2"/>
  <c r="EF18" i="2" s="1"/>
  <c r="ED38" i="2"/>
  <c r="EF38" i="2" s="1"/>
  <c r="ED52" i="2"/>
  <c r="EF52" i="2" s="1"/>
  <c r="ED54" i="2"/>
  <c r="EF54" i="2" s="1"/>
  <c r="ED60" i="2"/>
  <c r="EF60" i="2" s="1"/>
  <c r="ED84" i="2"/>
  <c r="EF84" i="2" s="1"/>
  <c r="ED118" i="2"/>
  <c r="EF118" i="2" s="1"/>
  <c r="ED154" i="2"/>
  <c r="EF154" i="2" s="1"/>
  <c r="ED160" i="2"/>
  <c r="EF160" i="2" s="1"/>
  <c r="ED161" i="2"/>
  <c r="EF161" i="2" s="1"/>
  <c r="ED166" i="2"/>
  <c r="EF166" i="2" s="1"/>
  <c r="ED168" i="2"/>
  <c r="ED170" i="2"/>
  <c r="ED171" i="2"/>
  <c r="ED176" i="2"/>
  <c r="EF176" i="2" s="1"/>
  <c r="ED220" i="2"/>
  <c r="EF220" i="2" s="1"/>
  <c r="ED243" i="2"/>
  <c r="EF243" i="2" s="1"/>
  <c r="AH832" i="2"/>
  <c r="ED47" i="2"/>
  <c r="EF47" i="2" s="1"/>
  <c r="ED55" i="2"/>
  <c r="EF55" i="2" s="1"/>
  <c r="ED61" i="2"/>
  <c r="EF61" i="2" s="1"/>
  <c r="ED67" i="2"/>
  <c r="EF67" i="2" s="1"/>
  <c r="ED112" i="2"/>
  <c r="EF112" i="2" s="1"/>
  <c r="ED131" i="2"/>
  <c r="EF131" i="2" s="1"/>
  <c r="ED133" i="2"/>
  <c r="EF133" i="2" s="1"/>
  <c r="ED141" i="2"/>
  <c r="EF141" i="2" s="1"/>
  <c r="ED159" i="2"/>
  <c r="EF159" i="2" s="1"/>
  <c r="ED175" i="2"/>
  <c r="EF175" i="2" s="1"/>
  <c r="ED182" i="2"/>
  <c r="EF182" i="2" s="1"/>
  <c r="ED200" i="2"/>
  <c r="EF200" i="2" s="1"/>
  <c r="ED311" i="2"/>
  <c r="EF311" i="2" s="1"/>
  <c r="ED5" i="2"/>
  <c r="EF5" i="2" s="1"/>
  <c r="ED9" i="2"/>
  <c r="EF9" i="2" s="1"/>
  <c r="ED11" i="2"/>
  <c r="EF11" i="2" s="1"/>
  <c r="ED22" i="2"/>
  <c r="EF22" i="2" s="1"/>
  <c r="ED34" i="2"/>
  <c r="EF34" i="2" s="1"/>
  <c r="ED68" i="2"/>
  <c r="EF68" i="2" s="1"/>
  <c r="ED140" i="2"/>
  <c r="EF140" i="2" s="1"/>
  <c r="ED165" i="2"/>
  <c r="EF165" i="2" s="1"/>
  <c r="ED16" i="2"/>
  <c r="EF16" i="2" s="1"/>
  <c r="ED39" i="2"/>
  <c r="EF39" i="2" s="1"/>
  <c r="ED83" i="2"/>
  <c r="EF83" i="2" s="1"/>
  <c r="ED158" i="2"/>
  <c r="EF158" i="2" s="1"/>
  <c r="ED187" i="2"/>
  <c r="EF187" i="2" s="1"/>
  <c r="CJ832" i="2"/>
  <c r="ED218" i="2"/>
  <c r="EF218" i="2" s="1"/>
  <c r="ED246" i="2"/>
  <c r="EF246" i="2" s="1"/>
  <c r="ED251" i="2"/>
  <c r="EF251" i="2" s="1"/>
  <c r="ED254" i="2"/>
  <c r="EF254" i="2" s="1"/>
  <c r="ED257" i="2"/>
  <c r="EF257" i="2" s="1"/>
  <c r="ED278" i="2"/>
  <c r="EF278" i="2" s="1"/>
  <c r="ED289" i="2"/>
  <c r="EF289" i="2" s="1"/>
  <c r="ED360" i="2"/>
  <c r="EF360" i="2" s="1"/>
  <c r="ED219" i="2"/>
  <c r="EF219" i="2" s="1"/>
  <c r="ED250" i="2"/>
  <c r="EF250" i="2" s="1"/>
  <c r="ED265" i="2"/>
  <c r="EF265" i="2" s="1"/>
  <c r="ED296" i="2"/>
  <c r="EF296" i="2" s="1"/>
  <c r="ED335" i="2"/>
  <c r="EF335" i="2" s="1"/>
  <c r="ED287" i="2"/>
  <c r="EF287" i="2" s="1"/>
  <c r="ED223" i="2"/>
  <c r="EF223" i="2" s="1"/>
  <c r="ED253" i="2"/>
  <c r="EF253" i="2" s="1"/>
  <c r="ED260" i="2"/>
  <c r="EF260" i="2" s="1"/>
  <c r="ED356" i="2"/>
  <c r="EF356" i="2" s="1"/>
  <c r="ED203" i="2"/>
  <c r="EF203" i="2" s="1"/>
  <c r="ED229" i="2"/>
  <c r="EF229" i="2" s="1"/>
  <c r="ED252" i="2"/>
  <c r="EF252" i="2" s="1"/>
  <c r="ED272" i="2"/>
  <c r="EF272" i="2" s="1"/>
  <c r="ED293" i="2"/>
  <c r="EF293" i="2" s="1"/>
  <c r="ED379" i="2"/>
  <c r="EF379" i="2" s="1"/>
  <c r="ED241" i="2"/>
  <c r="EF241" i="2" s="1"/>
  <c r="ED282" i="2"/>
  <c r="EF282" i="2" s="1"/>
  <c r="ED321" i="2"/>
  <c r="EF321" i="2" s="1"/>
  <c r="ED330" i="2"/>
  <c r="EF330" i="2" s="1"/>
  <c r="ED222" i="2"/>
  <c r="EF222" i="2" s="1"/>
  <c r="ED275" i="2"/>
  <c r="EF275" i="2" s="1"/>
  <c r="ED292" i="2"/>
  <c r="EF292" i="2" s="1"/>
  <c r="ED421" i="2"/>
  <c r="EF421" i="2" s="1"/>
  <c r="ED387" i="2"/>
  <c r="EF387" i="2" s="1"/>
  <c r="ED436" i="2"/>
  <c r="EF436" i="2" s="1"/>
  <c r="ED470" i="2"/>
  <c r="EF470" i="2" s="1"/>
  <c r="ED512" i="2"/>
  <c r="EF512" i="2" s="1"/>
  <c r="ED518" i="2"/>
  <c r="EF518" i="2" s="1"/>
  <c r="ED593" i="2"/>
  <c r="EF593" i="2" s="1"/>
  <c r="ED325" i="2"/>
  <c r="EF325" i="2" s="1"/>
  <c r="ED333" i="2"/>
  <c r="EF333" i="2" s="1"/>
  <c r="ED375" i="2"/>
  <c r="EF375" i="2" s="1"/>
  <c r="ED395" i="2"/>
  <c r="EF395" i="2" s="1"/>
  <c r="ED416" i="2"/>
  <c r="EF416" i="2" s="1"/>
  <c r="ED426" i="2"/>
  <c r="EF426" i="2" s="1"/>
  <c r="ED450" i="2"/>
  <c r="EF450" i="2" s="1"/>
  <c r="ED462" i="2"/>
  <c r="EF462" i="2" s="1"/>
  <c r="ED464" i="2"/>
  <c r="EF464" i="2" s="1"/>
  <c r="ED487" i="2"/>
  <c r="EF487" i="2" s="1"/>
  <c r="ED489" i="2"/>
  <c r="EF489" i="2" s="1"/>
  <c r="ED332" i="2"/>
  <c r="EF332" i="2" s="1"/>
  <c r="ED365" i="2"/>
  <c r="EF365" i="2" s="1"/>
  <c r="ED401" i="2"/>
  <c r="EF401" i="2" s="1"/>
  <c r="ED407" i="2"/>
  <c r="EF407" i="2" s="1"/>
  <c r="ED418" i="2"/>
  <c r="EF418" i="2" s="1"/>
  <c r="ED420" i="2"/>
  <c r="EF420" i="2" s="1"/>
  <c r="ED422" i="2"/>
  <c r="EF422" i="2" s="1"/>
  <c r="ED461" i="2"/>
  <c r="EF461" i="2" s="1"/>
  <c r="ED468" i="2"/>
  <c r="EF468" i="2" s="1"/>
  <c r="ED479" i="2"/>
  <c r="EF479" i="2" s="1"/>
  <c r="ED319" i="2"/>
  <c r="EF319" i="2" s="1"/>
  <c r="ED341" i="2"/>
  <c r="EF341" i="2" s="1"/>
  <c r="ED460" i="2"/>
  <c r="EF460" i="2" s="1"/>
  <c r="ED469" i="2"/>
  <c r="EF469" i="2" s="1"/>
  <c r="ED480" i="2"/>
  <c r="EF480" i="2" s="1"/>
  <c r="ED318" i="2"/>
  <c r="EF318" i="2" s="1"/>
  <c r="ED377" i="2"/>
  <c r="EF377" i="2" s="1"/>
  <c r="ED389" i="2"/>
  <c r="EF389" i="2" s="1"/>
  <c r="ED498" i="2"/>
  <c r="EF498" i="2" s="1"/>
  <c r="ED419" i="2"/>
  <c r="EF419" i="2" s="1"/>
  <c r="ED477" i="2"/>
  <c r="EF477" i="2" s="1"/>
  <c r="ED316" i="2"/>
  <c r="EF316" i="2" s="1"/>
  <c r="ED326" i="2"/>
  <c r="EF326" i="2" s="1"/>
  <c r="ED336" i="2"/>
  <c r="EF336" i="2" s="1"/>
  <c r="ED380" i="2"/>
  <c r="EF380" i="2" s="1"/>
  <c r="ED392" i="2"/>
  <c r="EF392" i="2" s="1"/>
  <c r="ED455" i="2"/>
  <c r="EF455" i="2" s="1"/>
  <c r="ED474" i="2"/>
  <c r="EF474" i="2" s="1"/>
  <c r="ED495" i="2"/>
  <c r="EF495" i="2" s="1"/>
  <c r="ED496" i="2"/>
  <c r="EF496" i="2" s="1"/>
  <c r="ED509" i="2"/>
  <c r="EF509" i="2" s="1"/>
  <c r="ED567" i="2"/>
  <c r="EF567" i="2" s="1"/>
  <c r="ED695" i="2"/>
  <c r="EF695" i="2" s="1"/>
  <c r="ED778" i="2"/>
  <c r="EF778" i="2" s="1"/>
  <c r="ED801" i="2"/>
  <c r="EF801" i="2" s="1"/>
  <c r="ED503" i="2"/>
  <c r="EF503" i="2" s="1"/>
  <c r="ED507" i="2"/>
  <c r="EF507" i="2" s="1"/>
  <c r="ED515" i="2"/>
  <c r="EF515" i="2" s="1"/>
  <c r="ED521" i="2"/>
  <c r="EF521" i="2" s="1"/>
  <c r="ED532" i="2"/>
  <c r="EF532" i="2" s="1"/>
  <c r="ED538" i="2"/>
  <c r="EF538" i="2" s="1"/>
  <c r="ED550" i="2"/>
  <c r="EF550" i="2" s="1"/>
  <c r="ED577" i="2"/>
  <c r="EF577" i="2" s="1"/>
  <c r="ED579" i="2"/>
  <c r="EF579" i="2" s="1"/>
  <c r="ED588" i="2"/>
  <c r="EF588" i="2" s="1"/>
  <c r="ED609" i="2"/>
  <c r="EF609" i="2" s="1"/>
  <c r="ED646" i="2"/>
  <c r="EF646" i="2" s="1"/>
  <c r="ED657" i="2"/>
  <c r="EF657" i="2" s="1"/>
  <c r="ED661" i="2"/>
  <c r="EF661" i="2" s="1"/>
  <c r="ED692" i="2"/>
  <c r="EF692" i="2" s="1"/>
  <c r="ED699" i="2"/>
  <c r="EF699" i="2" s="1"/>
  <c r="ED723" i="2"/>
  <c r="EF723" i="2" s="1"/>
  <c r="ED740" i="2"/>
  <c r="EF740" i="2" s="1"/>
  <c r="ED510" i="2"/>
  <c r="EF510" i="2" s="1"/>
  <c r="ED520" i="2"/>
  <c r="EF520" i="2" s="1"/>
  <c r="ED522" i="2"/>
  <c r="EF522" i="2" s="1"/>
  <c r="ED571" i="2"/>
  <c r="EF571" i="2" s="1"/>
  <c r="ED578" i="2"/>
  <c r="EF578" i="2" s="1"/>
  <c r="ED606" i="2"/>
  <c r="EF606" i="2" s="1"/>
  <c r="ED680" i="2"/>
  <c r="EF680" i="2" s="1"/>
  <c r="ED690" i="2"/>
  <c r="EF690" i="2" s="1"/>
  <c r="ED739" i="2"/>
  <c r="EF739" i="2" s="1"/>
  <c r="ED761" i="2"/>
  <c r="EF761" i="2" s="1"/>
  <c r="ED784" i="2"/>
  <c r="EF784" i="2" s="1"/>
  <c r="ED792" i="2"/>
  <c r="EF792" i="2" s="1"/>
  <c r="ED519" i="2"/>
  <c r="EF519" i="2" s="1"/>
  <c r="ED523" i="2"/>
  <c r="EF523" i="2" s="1"/>
  <c r="ED530" i="2"/>
  <c r="EF530" i="2" s="1"/>
  <c r="ED536" i="2"/>
  <c r="EF536" i="2" s="1"/>
  <c r="ED501" i="2"/>
  <c r="EF501" i="2" s="1"/>
  <c r="ED513" i="2"/>
  <c r="EF513" i="2" s="1"/>
  <c r="ED526" i="2"/>
  <c r="EE526" i="2"/>
  <c r="EE553" i="2"/>
  <c r="ED553" i="2"/>
  <c r="ED568" i="2"/>
  <c r="EE568" i="2"/>
  <c r="EE576" i="2"/>
  <c r="ED576" i="2"/>
  <c r="ED584" i="2"/>
  <c r="EE584" i="2"/>
  <c r="ED594" i="2"/>
  <c r="EE594" i="2"/>
  <c r="ED607" i="2"/>
  <c r="EF607" i="2" s="1"/>
  <c r="EE623" i="2"/>
  <c r="ED623" i="2"/>
  <c r="EE648" i="2"/>
  <c r="ED648" i="2"/>
  <c r="EE693" i="2"/>
  <c r="ED693" i="2"/>
  <c r="EE715" i="2"/>
  <c r="ED726" i="2"/>
  <c r="EF726" i="2" s="1"/>
  <c r="EE750" i="2"/>
  <c r="EE759" i="2"/>
  <c r="ED759" i="2"/>
  <c r="EE779" i="2"/>
  <c r="ED779" i="2"/>
  <c r="ED508" i="2"/>
  <c r="EF508" i="2" s="1"/>
  <c r="ED516" i="2"/>
  <c r="EF516" i="2" s="1"/>
  <c r="ED535" i="2"/>
  <c r="EF535" i="2" s="1"/>
  <c r="ED546" i="2"/>
  <c r="EF546" i="2" s="1"/>
  <c r="ED554" i="2"/>
  <c r="EF554" i="2" s="1"/>
  <c r="ED569" i="2"/>
  <c r="EF569" i="2" s="1"/>
  <c r="ED596" i="2"/>
  <c r="EF596" i="2" s="1"/>
  <c r="ED608" i="2"/>
  <c r="EF608" i="2" s="1"/>
  <c r="ED614" i="2"/>
  <c r="EF614" i="2" s="1"/>
  <c r="ED617" i="2"/>
  <c r="EF617" i="2" s="1"/>
  <c r="ED624" i="2"/>
  <c r="EF624" i="2" s="1"/>
  <c r="ED628" i="2"/>
  <c r="EF628" i="2" s="1"/>
  <c r="ED658" i="2"/>
  <c r="EF658" i="2" s="1"/>
  <c r="ED666" i="2"/>
  <c r="EF666" i="2" s="1"/>
  <c r="ED672" i="2"/>
  <c r="EF672" i="2" s="1"/>
  <c r="ED688" i="2"/>
  <c r="EF688" i="2" s="1"/>
  <c r="ED694" i="2"/>
  <c r="EF694" i="2" s="1"/>
  <c r="ED732" i="2"/>
  <c r="EF732" i="2" s="1"/>
  <c r="ED777" i="2"/>
  <c r="EF777" i="2" s="1"/>
  <c r="ED800" i="2"/>
  <c r="EF800" i="2" s="1"/>
  <c r="ED511" i="2"/>
  <c r="EF511" i="2" s="1"/>
  <c r="ED517" i="2"/>
  <c r="EF517" i="2" s="1"/>
  <c r="ED525" i="2"/>
  <c r="EF525" i="2" s="1"/>
  <c r="ED555" i="2"/>
  <c r="EF555" i="2" s="1"/>
  <c r="ED574" i="2"/>
  <c r="EF574" i="2" s="1"/>
  <c r="ED583" i="2"/>
  <c r="EF583" i="2" s="1"/>
  <c r="ED595" i="2"/>
  <c r="EF595" i="2" s="1"/>
  <c r="ED603" i="2"/>
  <c r="EF603" i="2" s="1"/>
  <c r="ED649" i="2"/>
  <c r="EF649" i="2" s="1"/>
  <c r="ED679" i="2"/>
  <c r="EF679" i="2" s="1"/>
  <c r="ED744" i="2"/>
  <c r="EF744" i="2" s="1"/>
  <c r="ED751" i="2"/>
  <c r="EF751" i="2" s="1"/>
  <c r="ED770" i="2"/>
  <c r="EF770" i="2" s="1"/>
  <c r="ED774" i="2"/>
  <c r="EF774" i="2" s="1"/>
  <c r="ED789" i="2"/>
  <c r="EF789" i="2" s="1"/>
  <c r="ED791" i="2"/>
  <c r="EF791" i="2" s="1"/>
  <c r="ED805" i="2"/>
  <c r="EF805" i="2" s="1"/>
  <c r="ED506" i="2"/>
  <c r="EF506" i="2" s="1"/>
  <c r="ED514" i="2"/>
  <c r="EF514" i="2" s="1"/>
  <c r="ED537" i="2"/>
  <c r="EF537" i="2" s="1"/>
  <c r="ED543" i="2"/>
  <c r="EF543" i="2" s="1"/>
  <c r="ED556" i="2"/>
  <c r="EF556" i="2" s="1"/>
  <c r="ED558" i="2"/>
  <c r="EF558" i="2" s="1"/>
  <c r="ED562" i="2"/>
  <c r="EF562" i="2" s="1"/>
  <c r="ED585" i="2"/>
  <c r="EF585" i="2" s="1"/>
  <c r="ED589" i="2"/>
  <c r="EF589" i="2" s="1"/>
  <c r="ED598" i="2"/>
  <c r="EF598" i="2" s="1"/>
  <c r="ED638" i="2"/>
  <c r="EF638" i="2" s="1"/>
  <c r="ED745" i="2"/>
  <c r="EF745" i="2" s="1"/>
  <c r="ED790" i="2"/>
  <c r="EF790" i="2" s="1"/>
  <c r="ED806" i="2"/>
  <c r="EF806" i="2" s="1"/>
  <c r="ED819" i="2"/>
  <c r="EF819" i="2" s="1"/>
  <c r="FJ121" i="1"/>
  <c r="FJ162" i="1"/>
  <c r="FJ442" i="1"/>
  <c r="FJ92" i="1"/>
  <c r="FJ427" i="1"/>
  <c r="FJ90" i="1"/>
  <c r="FJ237" i="1"/>
  <c r="FJ375" i="1"/>
  <c r="FJ379" i="1"/>
  <c r="FJ387" i="1"/>
  <c r="FJ391" i="1"/>
  <c r="FJ407" i="1"/>
  <c r="FJ413" i="1"/>
  <c r="FJ670" i="1"/>
  <c r="FJ377" i="1"/>
  <c r="FJ385" i="1"/>
  <c r="FJ726" i="1"/>
  <c r="FH795" i="1"/>
  <c r="FJ795" i="1" s="1"/>
  <c r="FH134" i="1"/>
  <c r="FJ134" i="1" s="1"/>
  <c r="FJ150" i="1"/>
  <c r="FJ168" i="1"/>
  <c r="FJ172" i="1"/>
  <c r="FJ213" i="1"/>
  <c r="FI592" i="1"/>
  <c r="FJ592" i="1" s="1"/>
  <c r="FJ169" i="1"/>
  <c r="FJ173" i="1"/>
  <c r="FJ537" i="1"/>
  <c r="FJ560" i="1"/>
  <c r="FJ577" i="1"/>
  <c r="FJ586" i="1"/>
  <c r="FJ603" i="1"/>
  <c r="FJ337" i="1"/>
  <c r="FJ346" i="1"/>
  <c r="FJ600" i="1"/>
  <c r="FJ130" i="1"/>
  <c r="FJ229" i="1"/>
  <c r="FJ232" i="1"/>
  <c r="FJ339" i="1"/>
  <c r="FJ645" i="1"/>
  <c r="FH371" i="1"/>
  <c r="FJ371" i="1" s="1"/>
  <c r="FJ87" i="1"/>
  <c r="FJ91" i="1"/>
  <c r="FJ723" i="1"/>
  <c r="FJ752" i="1"/>
  <c r="FJ120" i="1"/>
  <c r="FJ171" i="1"/>
  <c r="FJ181" i="1"/>
  <c r="FJ192" i="1"/>
  <c r="FJ257" i="1"/>
  <c r="FJ659" i="1"/>
  <c r="FJ539" i="1"/>
  <c r="FJ575" i="1"/>
  <c r="FJ583" i="1"/>
  <c r="FJ625" i="1"/>
  <c r="FJ193" i="1"/>
  <c r="FJ210" i="1"/>
  <c r="FJ214" i="1"/>
  <c r="FJ367" i="1"/>
  <c r="FH802" i="1"/>
  <c r="FJ802" i="1" s="1"/>
  <c r="FH268" i="1"/>
  <c r="FJ268" i="1" s="1"/>
  <c r="FJ149" i="1"/>
  <c r="FH417" i="1"/>
  <c r="FJ417" i="1" s="1"/>
  <c r="FJ170" i="1"/>
  <c r="FJ174" i="1"/>
  <c r="FH250" i="1"/>
  <c r="FJ250" i="1" s="1"/>
  <c r="BF806" i="1"/>
  <c r="FJ135" i="1"/>
  <c r="FJ98" i="1"/>
  <c r="FJ83" i="1"/>
  <c r="FJ230" i="1"/>
  <c r="FH437" i="1"/>
  <c r="FJ437" i="1" s="1"/>
  <c r="FJ132" i="1"/>
  <c r="FJ136" i="1"/>
  <c r="FH546" i="1"/>
  <c r="FJ546" i="1" s="1"/>
  <c r="FJ99" i="1"/>
  <c r="FJ238" i="1"/>
  <c r="FJ215" i="1"/>
  <c r="FH312" i="1"/>
  <c r="FJ312" i="1" s="1"/>
  <c r="FJ361" i="1"/>
  <c r="FJ261" i="1"/>
  <c r="FH619" i="1"/>
  <c r="FJ619" i="1" s="1"/>
  <c r="FJ86" i="1"/>
  <c r="FJ94" i="1"/>
  <c r="FJ97" i="1"/>
  <c r="FH202" i="1"/>
  <c r="FJ202" i="1" s="1"/>
  <c r="FH497" i="1"/>
  <c r="FJ497" i="1" s="1"/>
  <c r="FH254" i="1"/>
  <c r="FJ254" i="1" s="1"/>
  <c r="FH799" i="1"/>
  <c r="FJ799" i="1" s="1"/>
  <c r="FJ147" i="1"/>
  <c r="FH522" i="1"/>
  <c r="FJ522" i="1" s="1"/>
  <c r="FJ569" i="1"/>
  <c r="FH789" i="1"/>
  <c r="FJ789" i="1" s="1"/>
  <c r="FJ212" i="1"/>
  <c r="FJ216" i="1"/>
  <c r="FJ269" i="1"/>
  <c r="FH656" i="1"/>
  <c r="FJ656" i="1" s="1"/>
  <c r="FH479" i="1"/>
  <c r="FJ479" i="1" s="1"/>
  <c r="FH699" i="1"/>
  <c r="FJ699" i="1" s="1"/>
  <c r="FH703" i="1"/>
  <c r="FJ703" i="1" s="1"/>
  <c r="FH729" i="1"/>
  <c r="FJ729" i="1" s="1"/>
  <c r="FH777" i="1"/>
  <c r="FJ777" i="1" s="1"/>
  <c r="FH785" i="1"/>
  <c r="FJ785" i="1" s="1"/>
  <c r="FJ188" i="1"/>
  <c r="FH660" i="1"/>
  <c r="FJ660" i="1" s="1"/>
  <c r="FH705" i="1"/>
  <c r="FJ705" i="1" s="1"/>
  <c r="FH748" i="1"/>
  <c r="FJ748" i="1" s="1"/>
  <c r="FJ122" i="1"/>
  <c r="FH159" i="1"/>
  <c r="FJ159" i="1" s="1"/>
  <c r="FH350" i="1"/>
  <c r="FJ350" i="1" s="1"/>
  <c r="FJ706" i="1"/>
  <c r="FH457" i="1"/>
  <c r="FJ457" i="1" s="1"/>
  <c r="FH496" i="1"/>
  <c r="FJ496" i="1" s="1"/>
  <c r="FJ96" i="1"/>
  <c r="FH156" i="1"/>
  <c r="FJ156" i="1" s="1"/>
  <c r="FJ178" i="1"/>
  <c r="FJ211" i="1"/>
  <c r="FJ707" i="1"/>
  <c r="FJ82" i="1"/>
  <c r="FJ85" i="1"/>
  <c r="FJ89" i="1"/>
  <c r="FJ93" i="1"/>
  <c r="FH240" i="1"/>
  <c r="FJ240" i="1" s="1"/>
  <c r="FH290" i="1"/>
  <c r="FJ290" i="1" s="1"/>
  <c r="FH154" i="1"/>
  <c r="FJ154" i="1" s="1"/>
  <c r="BL806" i="1"/>
  <c r="FH356" i="1"/>
  <c r="FJ356" i="1" s="1"/>
  <c r="FH369" i="1"/>
  <c r="FJ369" i="1" s="1"/>
  <c r="FH424" i="1"/>
  <c r="FJ424" i="1" s="1"/>
  <c r="FH438" i="1"/>
  <c r="FJ438" i="1" s="1"/>
  <c r="FH704" i="1"/>
  <c r="FJ704" i="1" s="1"/>
  <c r="FH255" i="1"/>
  <c r="FJ255" i="1" s="1"/>
  <c r="FH662" i="1"/>
  <c r="FJ662" i="1" s="1"/>
  <c r="FH679" i="1"/>
  <c r="FJ679" i="1" s="1"/>
  <c r="FH710" i="1"/>
  <c r="FJ710" i="1" s="1"/>
  <c r="FH719" i="1"/>
  <c r="FJ719" i="1" s="1"/>
  <c r="FH651" i="1"/>
  <c r="FJ651" i="1" s="1"/>
  <c r="FH666" i="1"/>
  <c r="FJ666" i="1" s="1"/>
  <c r="FH675" i="1"/>
  <c r="FJ675" i="1" s="1"/>
  <c r="FH686" i="1"/>
  <c r="FJ686" i="1" s="1"/>
  <c r="FH741" i="1"/>
  <c r="FJ741" i="1" s="1"/>
  <c r="FH658" i="1"/>
  <c r="FJ658" i="1" s="1"/>
  <c r="FH713" i="1"/>
  <c r="FJ713" i="1" s="1"/>
  <c r="FH118" i="1"/>
  <c r="FJ118" i="1" s="1"/>
  <c r="FH328" i="1"/>
  <c r="FJ328" i="1" s="1"/>
  <c r="AZ806" i="1"/>
  <c r="FH489" i="1"/>
  <c r="FJ489" i="1" s="1"/>
  <c r="FH572" i="1"/>
  <c r="FJ572" i="1" s="1"/>
  <c r="FH782" i="1"/>
  <c r="FJ782" i="1" s="1"/>
  <c r="FH148" i="1"/>
  <c r="FJ148" i="1" s="1"/>
  <c r="FH365" i="1"/>
  <c r="FJ365" i="1" s="1"/>
  <c r="FH639" i="1"/>
  <c r="FJ639" i="1" s="1"/>
  <c r="AT806" i="1"/>
  <c r="FJ20" i="1"/>
  <c r="FH251" i="1"/>
  <c r="FJ251" i="1" s="1"/>
  <c r="FH784" i="1"/>
  <c r="FJ784" i="1" s="1"/>
  <c r="AB806" i="1"/>
  <c r="FH599" i="1"/>
  <c r="FJ599" i="1" s="1"/>
  <c r="FH663" i="1"/>
  <c r="FJ663" i="1" s="1"/>
  <c r="FH781" i="1"/>
  <c r="FJ781" i="1" s="1"/>
  <c r="FH797" i="1"/>
  <c r="FJ797" i="1" s="1"/>
  <c r="FH60" i="1"/>
  <c r="FJ60" i="1" s="1"/>
  <c r="FH72" i="1"/>
  <c r="FJ72" i="1" s="1"/>
  <c r="FH176" i="1"/>
  <c r="FJ176" i="1" s="1"/>
  <c r="FH245" i="1"/>
  <c r="FJ245" i="1" s="1"/>
  <c r="FH264" i="1"/>
  <c r="FJ264" i="1" s="1"/>
  <c r="FH267" i="1"/>
  <c r="FJ267" i="1" s="1"/>
  <c r="FH681" i="1"/>
  <c r="FJ681" i="1" s="1"/>
  <c r="FH117" i="1"/>
  <c r="FJ117" i="1" s="1"/>
  <c r="FH165" i="1"/>
  <c r="FJ165" i="1" s="1"/>
  <c r="FH334" i="1"/>
  <c r="FJ334" i="1" s="1"/>
  <c r="FH406" i="1"/>
  <c r="FJ406" i="1" s="1"/>
  <c r="FH570" i="1"/>
  <c r="FJ570" i="1" s="1"/>
  <c r="FH582" i="1"/>
  <c r="FJ582" i="1" s="1"/>
  <c r="FH730" i="1"/>
  <c r="FJ730" i="1" s="1"/>
  <c r="FH746" i="1"/>
  <c r="FJ746" i="1" s="1"/>
  <c r="FH78" i="1"/>
  <c r="FJ78" i="1" s="1"/>
  <c r="FH138" i="1"/>
  <c r="FJ138" i="1" s="1"/>
  <c r="FH253" i="1"/>
  <c r="FJ253" i="1" s="1"/>
  <c r="FH523" i="1"/>
  <c r="FJ523" i="1" s="1"/>
  <c r="FH622" i="1"/>
  <c r="FJ622" i="1" s="1"/>
  <c r="FH630" i="1"/>
  <c r="FJ630" i="1" s="1"/>
  <c r="FH640" i="1"/>
  <c r="FJ640" i="1" s="1"/>
  <c r="FH680" i="1"/>
  <c r="FJ680" i="1" s="1"/>
  <c r="FH692" i="1"/>
  <c r="FJ692" i="1" s="1"/>
  <c r="FH714" i="1"/>
  <c r="FJ714" i="1" s="1"/>
  <c r="FH720" i="1"/>
  <c r="FJ720" i="1" s="1"/>
  <c r="FH804" i="1"/>
  <c r="FJ804" i="1" s="1"/>
  <c r="FH288" i="1"/>
  <c r="FJ288" i="1" s="1"/>
  <c r="FH366" i="1"/>
  <c r="FJ366" i="1" s="1"/>
  <c r="FH423" i="1"/>
  <c r="FJ423" i="1" s="1"/>
  <c r="P806" i="1"/>
  <c r="FH183" i="1"/>
  <c r="FJ183" i="1" s="1"/>
  <c r="FH465" i="1"/>
  <c r="FJ465" i="1" s="1"/>
  <c r="FH669" i="1"/>
  <c r="FJ669" i="1" s="1"/>
  <c r="FH689" i="1"/>
  <c r="FJ689" i="1" s="1"/>
  <c r="FH694" i="1"/>
  <c r="FJ694" i="1" s="1"/>
  <c r="FH696" i="1"/>
  <c r="FJ696" i="1" s="1"/>
  <c r="FH749" i="1"/>
  <c r="FJ749" i="1" s="1"/>
  <c r="FH754" i="1"/>
  <c r="FJ754" i="1" s="1"/>
  <c r="FH780" i="1"/>
  <c r="FJ780" i="1" s="1"/>
  <c r="FH140" i="1"/>
  <c r="FJ140" i="1" s="1"/>
  <c r="FH326" i="1"/>
  <c r="FJ326" i="1" s="1"/>
  <c r="FH401" i="1"/>
  <c r="FJ401" i="1" s="1"/>
  <c r="FH412" i="1"/>
  <c r="FJ412" i="1" s="1"/>
  <c r="FH435" i="1"/>
  <c r="FJ435" i="1" s="1"/>
  <c r="FH517" i="1"/>
  <c r="FJ517" i="1" s="1"/>
  <c r="FH541" i="1"/>
  <c r="FJ541" i="1" s="1"/>
  <c r="FH624" i="1"/>
  <c r="FJ624" i="1" s="1"/>
  <c r="FH743" i="1"/>
  <c r="FJ743" i="1" s="1"/>
  <c r="FH774" i="1"/>
  <c r="FJ774" i="1" s="1"/>
  <c r="FH778" i="1"/>
  <c r="FJ778" i="1" s="1"/>
  <c r="FH800" i="1"/>
  <c r="FJ800" i="1" s="1"/>
  <c r="FH182" i="1"/>
  <c r="FJ182" i="1" s="1"/>
  <c r="FH342" i="1"/>
  <c r="FJ342" i="1" s="1"/>
  <c r="FH498" i="1"/>
  <c r="FJ498" i="1" s="1"/>
  <c r="FH688" i="1"/>
  <c r="FJ688" i="1" s="1"/>
  <c r="FH700" i="1"/>
  <c r="FJ700" i="1" s="1"/>
  <c r="FH773" i="1"/>
  <c r="FJ773" i="1" s="1"/>
  <c r="FH11" i="1"/>
  <c r="FJ11" i="1" s="1"/>
  <c r="FH73" i="1"/>
  <c r="FJ73" i="1" s="1"/>
  <c r="FH129" i="1"/>
  <c r="FJ129" i="1" s="1"/>
  <c r="AN806" i="1"/>
  <c r="FH10" i="1"/>
  <c r="FJ10" i="1" s="1"/>
  <c r="FH57" i="1"/>
  <c r="FJ57" i="1" s="1"/>
  <c r="FH3" i="1"/>
  <c r="FJ3" i="1" s="1"/>
  <c r="FH46" i="1"/>
  <c r="FJ46" i="1" s="1"/>
  <c r="CD806" i="1"/>
  <c r="FH8" i="1"/>
  <c r="FJ8" i="1" s="1"/>
  <c r="FH9" i="1"/>
  <c r="FJ9" i="1" s="1"/>
  <c r="FH40" i="1"/>
  <c r="FJ40" i="1" s="1"/>
  <c r="FH49" i="1"/>
  <c r="FJ49" i="1" s="1"/>
  <c r="FH51" i="1"/>
  <c r="FJ51" i="1" s="1"/>
  <c r="FH59" i="1"/>
  <c r="FJ59" i="1" s="1"/>
  <c r="FH95" i="1"/>
  <c r="FJ95" i="1" s="1"/>
  <c r="FH248" i="1"/>
  <c r="FJ248" i="1" s="1"/>
  <c r="FH329" i="1"/>
  <c r="FJ329" i="1" s="1"/>
  <c r="FH420" i="1"/>
  <c r="FJ420" i="1" s="1"/>
  <c r="FH64" i="1"/>
  <c r="FJ64" i="1" s="1"/>
  <c r="FH155" i="1"/>
  <c r="FJ155" i="1" s="1"/>
  <c r="FH205" i="1"/>
  <c r="FJ205" i="1" s="1"/>
  <c r="FH284" i="1"/>
  <c r="FH418" i="1"/>
  <c r="FJ418" i="1" s="1"/>
  <c r="FH30" i="1"/>
  <c r="FJ30" i="1" s="1"/>
  <c r="FH35" i="1"/>
  <c r="FJ35" i="1" s="1"/>
  <c r="FH75" i="1"/>
  <c r="FJ75" i="1" s="1"/>
  <c r="FH104" i="1"/>
  <c r="FJ104" i="1" s="1"/>
  <c r="FH108" i="1"/>
  <c r="FJ108" i="1" s="1"/>
  <c r="FH119" i="1"/>
  <c r="FJ119" i="1" s="1"/>
  <c r="FH127" i="1"/>
  <c r="FJ127" i="1" s="1"/>
  <c r="FH142" i="1"/>
  <c r="FJ142" i="1" s="1"/>
  <c r="FH143" i="1"/>
  <c r="FJ143" i="1" s="1"/>
  <c r="FH208" i="1"/>
  <c r="FJ208" i="1" s="1"/>
  <c r="FH244" i="1"/>
  <c r="FJ244" i="1" s="1"/>
  <c r="FH28" i="1"/>
  <c r="FJ28" i="1" s="1"/>
  <c r="FH29" i="1"/>
  <c r="FJ29" i="1" s="1"/>
  <c r="FH36" i="1"/>
  <c r="FJ36" i="1" s="1"/>
  <c r="FH50" i="1"/>
  <c r="FJ50" i="1" s="1"/>
  <c r="FH65" i="1"/>
  <c r="FJ65" i="1" s="1"/>
  <c r="FH80" i="1"/>
  <c r="FJ80" i="1" s="1"/>
  <c r="FH106" i="1"/>
  <c r="FJ106" i="1" s="1"/>
  <c r="FH112" i="1"/>
  <c r="FJ112" i="1" s="1"/>
  <c r="FH115" i="1"/>
  <c r="FJ115" i="1" s="1"/>
  <c r="FH124" i="1"/>
  <c r="FJ124" i="1" s="1"/>
  <c r="FH347" i="1"/>
  <c r="FJ347" i="1" s="1"/>
  <c r="FH416" i="1"/>
  <c r="FJ416" i="1" s="1"/>
  <c r="FH430" i="1"/>
  <c r="FJ430" i="1" s="1"/>
  <c r="FH48" i="1"/>
  <c r="FJ48" i="1" s="1"/>
  <c r="FH77" i="1"/>
  <c r="FJ77" i="1" s="1"/>
  <c r="FH103" i="1"/>
  <c r="FJ103" i="1" s="1"/>
  <c r="FH141" i="1"/>
  <c r="FJ141" i="1" s="1"/>
  <c r="FH287" i="1"/>
  <c r="FJ287" i="1" s="1"/>
  <c r="FH16" i="1"/>
  <c r="FJ16" i="1" s="1"/>
  <c r="FH24" i="1"/>
  <c r="FJ24" i="1" s="1"/>
  <c r="FH25" i="1"/>
  <c r="FJ25" i="1" s="1"/>
  <c r="FH32" i="1"/>
  <c r="FJ32" i="1" s="1"/>
  <c r="FH45" i="1"/>
  <c r="FJ45" i="1" s="1"/>
  <c r="FH47" i="1"/>
  <c r="FJ47" i="1" s="1"/>
  <c r="FH109" i="1"/>
  <c r="FJ109" i="1" s="1"/>
  <c r="FH145" i="1"/>
  <c r="FJ145" i="1" s="1"/>
  <c r="FH151" i="1"/>
  <c r="FJ151" i="1" s="1"/>
  <c r="FH207" i="1"/>
  <c r="FJ207" i="1" s="1"/>
  <c r="FH241" i="1"/>
  <c r="FJ241" i="1" s="1"/>
  <c r="FH12" i="1"/>
  <c r="FJ12" i="1" s="1"/>
  <c r="FH41" i="1"/>
  <c r="FJ41" i="1" s="1"/>
  <c r="FH116" i="1"/>
  <c r="FJ116" i="1" s="1"/>
  <c r="FH131" i="1"/>
  <c r="FJ131" i="1" s="1"/>
  <c r="FH160" i="1"/>
  <c r="FJ160" i="1" s="1"/>
  <c r="FH180" i="1"/>
  <c r="FJ180" i="1" s="1"/>
  <c r="FH185" i="1"/>
  <c r="FJ185" i="1" s="1"/>
  <c r="FH166" i="1"/>
  <c r="FJ166" i="1" s="1"/>
  <c r="FH186" i="1"/>
  <c r="FJ186" i="1" s="1"/>
  <c r="FH194" i="1"/>
  <c r="FJ194" i="1" s="1"/>
  <c r="FH209" i="1"/>
  <c r="FJ209" i="1" s="1"/>
  <c r="FH246" i="1"/>
  <c r="FJ246" i="1" s="1"/>
  <c r="FH277" i="1"/>
  <c r="FJ277" i="1" s="1"/>
  <c r="CV806" i="1"/>
  <c r="FH301" i="1"/>
  <c r="FH327" i="1"/>
  <c r="FJ327" i="1" s="1"/>
  <c r="FH332" i="1"/>
  <c r="FJ332" i="1" s="1"/>
  <c r="FH335" i="1"/>
  <c r="FJ335" i="1" s="1"/>
  <c r="FH336" i="1"/>
  <c r="FJ336" i="1" s="1"/>
  <c r="FH343" i="1"/>
  <c r="FJ343" i="1" s="1"/>
  <c r="FH360" i="1"/>
  <c r="FJ360" i="1" s="1"/>
  <c r="FH399" i="1"/>
  <c r="FJ399" i="1" s="1"/>
  <c r="FH409" i="1"/>
  <c r="FJ409" i="1" s="1"/>
  <c r="FH414" i="1"/>
  <c r="FJ414" i="1" s="1"/>
  <c r="FH426" i="1"/>
  <c r="FJ426" i="1" s="1"/>
  <c r="FH455" i="1"/>
  <c r="FJ455" i="1" s="1"/>
  <c r="FH641" i="1"/>
  <c r="FJ641" i="1" s="1"/>
  <c r="FH684" i="1"/>
  <c r="FJ684" i="1" s="1"/>
  <c r="FH687" i="1"/>
  <c r="FJ687" i="1" s="1"/>
  <c r="FH697" i="1"/>
  <c r="FJ697" i="1" s="1"/>
  <c r="FH733" i="1"/>
  <c r="FJ733" i="1" s="1"/>
  <c r="FH163" i="1"/>
  <c r="FJ163" i="1" s="1"/>
  <c r="FH236" i="1"/>
  <c r="FJ236" i="1" s="1"/>
  <c r="FH242" i="1"/>
  <c r="FJ242" i="1" s="1"/>
  <c r="FH283" i="1"/>
  <c r="FJ283" i="1" s="1"/>
  <c r="FH298" i="1"/>
  <c r="FJ298" i="1" s="1"/>
  <c r="FH307" i="1"/>
  <c r="FJ307" i="1" s="1"/>
  <c r="FH313" i="1"/>
  <c r="FJ313" i="1" s="1"/>
  <c r="FH319" i="1"/>
  <c r="FJ319" i="1" s="1"/>
  <c r="FH320" i="1"/>
  <c r="FJ320" i="1" s="1"/>
  <c r="FH358" i="1"/>
  <c r="FJ358" i="1" s="1"/>
  <c r="FH495" i="1"/>
  <c r="FJ495" i="1" s="1"/>
  <c r="FH540" i="1"/>
  <c r="FJ540" i="1" s="1"/>
  <c r="FH712" i="1"/>
  <c r="FJ712" i="1" s="1"/>
  <c r="FH125" i="1"/>
  <c r="FJ125" i="1" s="1"/>
  <c r="FH146" i="1"/>
  <c r="FJ146" i="1" s="1"/>
  <c r="FH152" i="1"/>
  <c r="FJ152" i="1" s="1"/>
  <c r="FH197" i="1"/>
  <c r="FJ197" i="1" s="1"/>
  <c r="FH394" i="1"/>
  <c r="FJ394" i="1" s="1"/>
  <c r="FH529" i="1"/>
  <c r="FJ529" i="1" s="1"/>
  <c r="FH606" i="1"/>
  <c r="FJ606" i="1" s="1"/>
  <c r="FH617" i="1"/>
  <c r="FJ617" i="1" s="1"/>
  <c r="FH126" i="1"/>
  <c r="FJ126" i="1" s="1"/>
  <c r="FH144" i="1"/>
  <c r="FJ144" i="1" s="1"/>
  <c r="FH198" i="1"/>
  <c r="FJ198" i="1" s="1"/>
  <c r="FH218" i="1"/>
  <c r="FJ218" i="1" s="1"/>
  <c r="FH222" i="1"/>
  <c r="FJ222" i="1" s="1"/>
  <c r="FH315" i="1"/>
  <c r="FJ315" i="1" s="1"/>
  <c r="FH370" i="1"/>
  <c r="FJ370" i="1" s="1"/>
  <c r="FH614" i="1"/>
  <c r="FJ614" i="1" s="1"/>
  <c r="FH184" i="1"/>
  <c r="FJ184" i="1" s="1"/>
  <c r="FH501" i="1"/>
  <c r="FJ501" i="1" s="1"/>
  <c r="FH484" i="1"/>
  <c r="FI484" i="1"/>
  <c r="FI534" i="1"/>
  <c r="FH534" i="1"/>
  <c r="FH634" i="1"/>
  <c r="FI634" i="1"/>
  <c r="FI760" i="1"/>
  <c r="FH760" i="1"/>
  <c r="FH221" i="1"/>
  <c r="FJ221" i="1" s="1"/>
  <c r="FH231" i="1"/>
  <c r="FJ231" i="1" s="1"/>
  <c r="FH239" i="1"/>
  <c r="FJ239" i="1" s="1"/>
  <c r="FH259" i="1"/>
  <c r="FJ259" i="1" s="1"/>
  <c r="FH266" i="1"/>
  <c r="FJ266" i="1" s="1"/>
  <c r="FH294" i="1"/>
  <c r="FJ294" i="1" s="1"/>
  <c r="FH321" i="1"/>
  <c r="FJ321" i="1" s="1"/>
  <c r="FH330" i="1"/>
  <c r="FJ330" i="1" s="1"/>
  <c r="FH450" i="1"/>
  <c r="FJ450" i="1" s="1"/>
  <c r="FH528" i="1"/>
  <c r="FJ528" i="1" s="1"/>
  <c r="FH596" i="1"/>
  <c r="FJ596" i="1" s="1"/>
  <c r="FH647" i="1"/>
  <c r="FJ647" i="1" s="1"/>
  <c r="FH711" i="1"/>
  <c r="FJ711" i="1" s="1"/>
  <c r="FH715" i="1"/>
  <c r="FJ715" i="1" s="1"/>
  <c r="FH793" i="1"/>
  <c r="FJ793" i="1" s="1"/>
  <c r="FH796" i="1"/>
  <c r="FJ796" i="1" s="1"/>
  <c r="FH225" i="1"/>
  <c r="FJ225" i="1" s="1"/>
  <c r="FH270" i="1"/>
  <c r="FJ270" i="1" s="1"/>
  <c r="FH280" i="1"/>
  <c r="FJ280" i="1" s="1"/>
  <c r="FH281" i="1"/>
  <c r="FJ281" i="1" s="1"/>
  <c r="FH299" i="1"/>
  <c r="FJ299" i="1" s="1"/>
  <c r="FH324" i="1"/>
  <c r="FJ324" i="1" s="1"/>
  <c r="FH357" i="1"/>
  <c r="FJ357" i="1" s="1"/>
  <c r="FH395" i="1"/>
  <c r="FJ395" i="1" s="1"/>
  <c r="FH400" i="1"/>
  <c r="FJ400" i="1" s="1"/>
  <c r="FH410" i="1"/>
  <c r="FJ410" i="1" s="1"/>
  <c r="FH422" i="1"/>
  <c r="FJ422" i="1" s="1"/>
  <c r="FH433" i="1"/>
  <c r="FJ433" i="1" s="1"/>
  <c r="BX806" i="1"/>
  <c r="FH635" i="1"/>
  <c r="FJ635" i="1" s="1"/>
  <c r="FH671" i="1"/>
  <c r="FJ671" i="1" s="1"/>
  <c r="FH674" i="1"/>
  <c r="FJ674" i="1" s="1"/>
  <c r="FH678" i="1"/>
  <c r="FJ678" i="1" s="1"/>
  <c r="FH695" i="1"/>
  <c r="FJ695" i="1" s="1"/>
  <c r="FH709" i="1"/>
  <c r="FJ709" i="1" s="1"/>
  <c r="FH717" i="1"/>
  <c r="FJ717" i="1" s="1"/>
  <c r="FH463" i="1"/>
  <c r="FJ463" i="1" s="1"/>
  <c r="FH473" i="1"/>
  <c r="FJ473" i="1" s="1"/>
  <c r="FH508" i="1"/>
  <c r="FJ508" i="1" s="1"/>
  <c r="FH514" i="1"/>
  <c r="FJ514" i="1" s="1"/>
  <c r="FH527" i="1"/>
  <c r="FJ527" i="1" s="1"/>
  <c r="FH595" i="1"/>
  <c r="FJ595" i="1" s="1"/>
  <c r="FH638" i="1"/>
  <c r="FJ638" i="1" s="1"/>
  <c r="FH653" i="1"/>
  <c r="FJ653" i="1" s="1"/>
  <c r="FH677" i="1"/>
  <c r="FJ677" i="1" s="1"/>
  <c r="FH685" i="1"/>
  <c r="FJ685" i="1" s="1"/>
  <c r="FH691" i="1"/>
  <c r="FJ691" i="1" s="1"/>
  <c r="FH740" i="1"/>
  <c r="FJ740" i="1" s="1"/>
  <c r="FH756" i="1"/>
  <c r="FJ756" i="1" s="1"/>
  <c r="FH768" i="1"/>
  <c r="FJ768" i="1" s="1"/>
  <c r="FH771" i="1"/>
  <c r="FJ771" i="1" s="1"/>
  <c r="FH779" i="1"/>
  <c r="FJ779" i="1" s="1"/>
  <c r="FH801" i="1"/>
  <c r="FJ801" i="1" s="1"/>
  <c r="FH803" i="1"/>
  <c r="FJ803" i="1" s="1"/>
  <c r="FH447" i="1"/>
  <c r="FJ447" i="1" s="1"/>
  <c r="FH472" i="1"/>
  <c r="FJ472" i="1" s="1"/>
  <c r="FH481" i="1"/>
  <c r="FJ481" i="1" s="1"/>
  <c r="FH483" i="1"/>
  <c r="FJ483" i="1" s="1"/>
  <c r="FH492" i="1"/>
  <c r="FJ492" i="1" s="1"/>
  <c r="FH494" i="1"/>
  <c r="FJ494" i="1" s="1"/>
  <c r="FH503" i="1"/>
  <c r="FJ503" i="1" s="1"/>
  <c r="FH512" i="1"/>
  <c r="FJ512" i="1" s="1"/>
  <c r="FH535" i="1"/>
  <c r="FJ535" i="1" s="1"/>
  <c r="FH616" i="1"/>
  <c r="FJ616" i="1" s="1"/>
  <c r="FH628" i="1"/>
  <c r="FJ628" i="1" s="1"/>
  <c r="FH728" i="1"/>
  <c r="FJ728" i="1" s="1"/>
  <c r="FH737" i="1"/>
  <c r="FJ737" i="1" s="1"/>
  <c r="FH776" i="1"/>
  <c r="FJ776" i="1" s="1"/>
  <c r="FH791" i="1"/>
  <c r="FJ791" i="1" s="1"/>
  <c r="FH441" i="1"/>
  <c r="FJ441" i="1" s="1"/>
  <c r="FH478" i="1"/>
  <c r="FJ478" i="1" s="1"/>
  <c r="FH480" i="1"/>
  <c r="FJ480" i="1" s="1"/>
  <c r="FH485" i="1"/>
  <c r="FJ485" i="1" s="1"/>
  <c r="FH555" i="1"/>
  <c r="FJ555" i="1" s="1"/>
  <c r="FH618" i="1"/>
  <c r="FJ618" i="1" s="1"/>
  <c r="FH637" i="1"/>
  <c r="FJ637" i="1" s="1"/>
  <c r="FH646" i="1"/>
  <c r="FJ646" i="1" s="1"/>
  <c r="FH650" i="1"/>
  <c r="FJ650" i="1" s="1"/>
  <c r="FH652" i="1"/>
  <c r="FJ652" i="1" s="1"/>
  <c r="FH683" i="1"/>
  <c r="FJ683" i="1" s="1"/>
  <c r="FH732" i="1"/>
  <c r="FJ732" i="1" s="1"/>
  <c r="FH788" i="1"/>
  <c r="FJ788" i="1" s="1"/>
  <c r="FH798" i="1"/>
  <c r="FJ798" i="1" s="1"/>
  <c r="FH493" i="1"/>
  <c r="FJ493" i="1" s="1"/>
  <c r="FH548" i="1"/>
  <c r="FJ548" i="1" s="1"/>
  <c r="FH551" i="1"/>
  <c r="FJ551" i="1" s="1"/>
  <c r="FH571" i="1"/>
  <c r="FJ571" i="1" s="1"/>
  <c r="FH578" i="1"/>
  <c r="FJ578" i="1" s="1"/>
  <c r="FH581" i="1"/>
  <c r="FJ581" i="1" s="1"/>
  <c r="FH591" i="1"/>
  <c r="FJ591" i="1" s="1"/>
  <c r="FH597" i="1"/>
  <c r="FJ597" i="1" s="1"/>
  <c r="FH604" i="1"/>
  <c r="FJ604" i="1" s="1"/>
  <c r="FH607" i="1"/>
  <c r="FJ607" i="1" s="1"/>
  <c r="FH627" i="1"/>
  <c r="FJ627" i="1" s="1"/>
  <c r="FH642" i="1"/>
  <c r="FJ642" i="1" s="1"/>
  <c r="FH682" i="1"/>
  <c r="FJ682" i="1" s="1"/>
  <c r="FH690" i="1"/>
  <c r="FJ690" i="1" s="1"/>
  <c r="FH698" i="1"/>
  <c r="FJ698" i="1" s="1"/>
  <c r="FH702" i="1"/>
  <c r="FJ702" i="1" s="1"/>
  <c r="FH716" i="1"/>
  <c r="FJ716" i="1" s="1"/>
  <c r="FH727" i="1"/>
  <c r="FJ727" i="1" s="1"/>
  <c r="FH735" i="1"/>
  <c r="FJ735" i="1" s="1"/>
  <c r="FH783" i="1"/>
  <c r="FJ783" i="1" s="1"/>
  <c r="FH790" i="1"/>
  <c r="FJ790" i="1" s="1"/>
  <c r="FH440" i="1"/>
  <c r="FJ440" i="1" s="1"/>
  <c r="FH477" i="1"/>
  <c r="FJ477" i="1" s="1"/>
  <c r="FH526" i="1"/>
  <c r="FJ526" i="1" s="1"/>
  <c r="FH561" i="1"/>
  <c r="FJ561" i="1" s="1"/>
  <c r="FH562" i="1"/>
  <c r="FJ562" i="1" s="1"/>
  <c r="FH563" i="1"/>
  <c r="FJ563" i="1" s="1"/>
  <c r="FH564" i="1"/>
  <c r="FJ564" i="1" s="1"/>
  <c r="FH565" i="1"/>
  <c r="FJ565" i="1" s="1"/>
  <c r="FH566" i="1"/>
  <c r="FJ566" i="1" s="1"/>
  <c r="FH567" i="1"/>
  <c r="FJ567" i="1" s="1"/>
  <c r="FH573" i="1"/>
  <c r="FJ573" i="1" s="1"/>
  <c r="FH594" i="1"/>
  <c r="FJ594" i="1" s="1"/>
  <c r="FH608" i="1"/>
  <c r="FJ608" i="1" s="1"/>
  <c r="FH769" i="1"/>
  <c r="FJ769" i="1" s="1"/>
  <c r="FH466" i="1"/>
  <c r="FJ466" i="1" s="1"/>
  <c r="FH470" i="1"/>
  <c r="FJ470" i="1" s="1"/>
  <c r="FH471" i="1"/>
  <c r="FJ471" i="1" s="1"/>
  <c r="FH505" i="1"/>
  <c r="FJ505" i="1" s="1"/>
  <c r="FH509" i="1"/>
  <c r="FJ509" i="1" s="1"/>
  <c r="FH513" i="1"/>
  <c r="FJ513" i="1" s="1"/>
  <c r="FH530" i="1"/>
  <c r="FJ530" i="1" s="1"/>
  <c r="FH532" i="1"/>
  <c r="FJ532" i="1" s="1"/>
  <c r="FH550" i="1"/>
  <c r="FJ550" i="1" s="1"/>
  <c r="FH623" i="1"/>
  <c r="FJ623" i="1" s="1"/>
  <c r="FH761" i="1"/>
  <c r="FJ761" i="1" s="1"/>
  <c r="FH772" i="1"/>
  <c r="FJ772" i="1" s="1"/>
  <c r="FH792" i="1"/>
  <c r="FJ792" i="1" s="1"/>
  <c r="FH448" i="1"/>
  <c r="FJ448" i="1" s="1"/>
  <c r="FH476" i="1"/>
  <c r="FJ476" i="1" s="1"/>
  <c r="FH632" i="1"/>
  <c r="FJ632" i="1" s="1"/>
  <c r="FH657" i="1"/>
  <c r="FJ657" i="1" s="1"/>
  <c r="FH722" i="1"/>
  <c r="FJ722" i="1" s="1"/>
  <c r="FH766" i="1"/>
  <c r="FJ766" i="1" s="1"/>
  <c r="FH787" i="1"/>
  <c r="FJ787" i="1" s="1"/>
  <c r="FH7" i="1"/>
  <c r="FJ7" i="1" s="1"/>
  <c r="FH18" i="1"/>
  <c r="FJ18" i="1" s="1"/>
  <c r="FH27" i="1"/>
  <c r="FJ27" i="1" s="1"/>
  <c r="FH31" i="1"/>
  <c r="FJ31" i="1" s="1"/>
  <c r="FH102" i="1"/>
  <c r="FJ102" i="1" s="1"/>
  <c r="AH806" i="1"/>
  <c r="FH6" i="1"/>
  <c r="FJ6" i="1" s="1"/>
  <c r="FH23" i="1"/>
  <c r="FJ23" i="1" s="1"/>
  <c r="FH14" i="1"/>
  <c r="FJ14" i="1" s="1"/>
  <c r="FH33" i="1"/>
  <c r="FJ33" i="1" s="1"/>
  <c r="FH38" i="1"/>
  <c r="FJ38" i="1" s="1"/>
  <c r="FH15" i="1"/>
  <c r="FJ15" i="1" s="1"/>
  <c r="FH21" i="1"/>
  <c r="FJ21" i="1" s="1"/>
  <c r="FH39" i="1"/>
  <c r="FJ39" i="1" s="1"/>
  <c r="FH5" i="1"/>
  <c r="FJ5" i="1" s="1"/>
  <c r="FH13" i="1"/>
  <c r="FJ13" i="1" s="1"/>
  <c r="FH17" i="1"/>
  <c r="FJ17" i="1" s="1"/>
  <c r="FH19" i="1"/>
  <c r="FJ19" i="1" s="1"/>
  <c r="FH34" i="1"/>
  <c r="FJ34" i="1" s="1"/>
  <c r="FH37" i="1"/>
  <c r="FJ37" i="1" s="1"/>
  <c r="FH43" i="1"/>
  <c r="FJ43" i="1" s="1"/>
  <c r="FH44" i="1"/>
  <c r="FJ44" i="1" s="1"/>
  <c r="FH22" i="1"/>
  <c r="FJ22" i="1" s="1"/>
  <c r="FH26" i="1"/>
  <c r="FJ26" i="1" s="1"/>
  <c r="FH42" i="1"/>
  <c r="FJ42" i="1" s="1"/>
  <c r="FH101" i="1"/>
  <c r="FJ101" i="1" s="1"/>
  <c r="FH224" i="1"/>
  <c r="FJ224" i="1" s="1"/>
  <c r="FH228" i="1"/>
  <c r="FJ228" i="1" s="1"/>
  <c r="FH234" i="1"/>
  <c r="FJ234" i="1" s="1"/>
  <c r="FH275" i="1"/>
  <c r="FJ275" i="1" s="1"/>
  <c r="FH52" i="1"/>
  <c r="FJ52" i="1" s="1"/>
  <c r="FH71" i="1"/>
  <c r="FJ71" i="1" s="1"/>
  <c r="FH74" i="1"/>
  <c r="FJ74" i="1" s="1"/>
  <c r="FH111" i="1"/>
  <c r="FJ111" i="1" s="1"/>
  <c r="FH175" i="1"/>
  <c r="FJ175" i="1" s="1"/>
  <c r="FH187" i="1"/>
  <c r="FJ187" i="1" s="1"/>
  <c r="FH189" i="1"/>
  <c r="FJ189" i="1" s="1"/>
  <c r="FH203" i="1"/>
  <c r="FJ203" i="1" s="1"/>
  <c r="FH226" i="1"/>
  <c r="FJ226" i="1" s="1"/>
  <c r="FH273" i="1"/>
  <c r="FJ273" i="1" s="1"/>
  <c r="FH56" i="1"/>
  <c r="FJ56" i="1" s="1"/>
  <c r="FH58" i="1"/>
  <c r="FJ58" i="1" s="1"/>
  <c r="FH62" i="1"/>
  <c r="FJ62" i="1" s="1"/>
  <c r="FH67" i="1"/>
  <c r="FJ67" i="1" s="1"/>
  <c r="FH70" i="1"/>
  <c r="FJ70" i="1" s="1"/>
  <c r="FH114" i="1"/>
  <c r="FJ114" i="1" s="1"/>
  <c r="FH157" i="1"/>
  <c r="FJ157" i="1" s="1"/>
  <c r="FH164" i="1"/>
  <c r="FJ164" i="1" s="1"/>
  <c r="FH191" i="1"/>
  <c r="FJ191" i="1" s="1"/>
  <c r="FH233" i="1"/>
  <c r="FJ233" i="1" s="1"/>
  <c r="FH235" i="1"/>
  <c r="FJ235" i="1" s="1"/>
  <c r="FH271" i="1"/>
  <c r="FJ271" i="1" s="1"/>
  <c r="FH304" i="1"/>
  <c r="FJ304" i="1" s="1"/>
  <c r="FH53" i="1"/>
  <c r="FJ53" i="1" s="1"/>
  <c r="FH66" i="1"/>
  <c r="FJ66" i="1" s="1"/>
  <c r="FH68" i="1"/>
  <c r="FJ68" i="1" s="1"/>
  <c r="FH69" i="1"/>
  <c r="FJ69" i="1" s="1"/>
  <c r="FH167" i="1"/>
  <c r="FJ167" i="1" s="1"/>
  <c r="FH179" i="1"/>
  <c r="FJ179" i="1" s="1"/>
  <c r="FH190" i="1"/>
  <c r="FJ190" i="1" s="1"/>
  <c r="FH199" i="1"/>
  <c r="FJ199" i="1" s="1"/>
  <c r="FH200" i="1"/>
  <c r="FJ200" i="1" s="1"/>
  <c r="FH201" i="1"/>
  <c r="FJ201" i="1" s="1"/>
  <c r="FH227" i="1"/>
  <c r="FJ227" i="1" s="1"/>
  <c r="FH243" i="1"/>
  <c r="FJ243" i="1" s="1"/>
  <c r="FH54" i="1"/>
  <c r="FJ54" i="1" s="1"/>
  <c r="FH55" i="1"/>
  <c r="FJ55" i="1" s="1"/>
  <c r="FH61" i="1"/>
  <c r="FJ61" i="1" s="1"/>
  <c r="FH63" i="1"/>
  <c r="FJ63" i="1" s="1"/>
  <c r="FH113" i="1"/>
  <c r="FJ113" i="1" s="1"/>
  <c r="FH220" i="1"/>
  <c r="FJ220" i="1" s="1"/>
  <c r="FH76" i="1"/>
  <c r="FJ76" i="1" s="1"/>
  <c r="FH100" i="1"/>
  <c r="FJ100" i="1" s="1"/>
  <c r="FH105" i="1"/>
  <c r="FJ105" i="1" s="1"/>
  <c r="FH107" i="1"/>
  <c r="FJ107" i="1" s="1"/>
  <c r="FH123" i="1"/>
  <c r="FJ123" i="1" s="1"/>
  <c r="FH206" i="1"/>
  <c r="FJ206" i="1" s="1"/>
  <c r="FH262" i="1"/>
  <c r="FJ262" i="1" s="1"/>
  <c r="FH79" i="1"/>
  <c r="FJ79" i="1" s="1"/>
  <c r="FH139" i="1"/>
  <c r="FJ139" i="1" s="1"/>
  <c r="FH153" i="1"/>
  <c r="FJ153" i="1" s="1"/>
  <c r="FH161" i="1"/>
  <c r="FJ161" i="1" s="1"/>
  <c r="FH177" i="1"/>
  <c r="FJ177" i="1" s="1"/>
  <c r="FH195" i="1"/>
  <c r="FJ195" i="1" s="1"/>
  <c r="FH196" i="1"/>
  <c r="FJ196" i="1" s="1"/>
  <c r="FH204" i="1"/>
  <c r="FJ204" i="1" s="1"/>
  <c r="FH217" i="1"/>
  <c r="FJ217" i="1" s="1"/>
  <c r="FH219" i="1"/>
  <c r="FJ219" i="1" s="1"/>
  <c r="FH276" i="1"/>
  <c r="FJ276" i="1" s="1"/>
  <c r="FH279" i="1"/>
  <c r="FJ279" i="1" s="1"/>
  <c r="FH286" i="1"/>
  <c r="FJ286" i="1" s="1"/>
  <c r="FH293" i="1"/>
  <c r="FJ293" i="1" s="1"/>
  <c r="FH295" i="1"/>
  <c r="FJ295" i="1" s="1"/>
  <c r="FH296" i="1"/>
  <c r="FJ296" i="1" s="1"/>
  <c r="FH306" i="1"/>
  <c r="FJ306" i="1" s="1"/>
  <c r="FH316" i="1"/>
  <c r="FJ316" i="1" s="1"/>
  <c r="FH345" i="1"/>
  <c r="FJ345" i="1" s="1"/>
  <c r="FH536" i="1"/>
  <c r="FJ536" i="1" s="1"/>
  <c r="FH258" i="1"/>
  <c r="FJ258" i="1" s="1"/>
  <c r="FH305" i="1"/>
  <c r="FJ305" i="1" s="1"/>
  <c r="FH272" i="1"/>
  <c r="FJ272" i="1" s="1"/>
  <c r="FH274" i="1"/>
  <c r="FJ274" i="1" s="1"/>
  <c r="FH282" i="1"/>
  <c r="FJ282" i="1" s="1"/>
  <c r="FH303" i="1"/>
  <c r="FJ303" i="1" s="1"/>
  <c r="FH309" i="1"/>
  <c r="FJ309" i="1" s="1"/>
  <c r="FH331" i="1"/>
  <c r="FJ331" i="1" s="1"/>
  <c r="FH333" i="1"/>
  <c r="FJ333" i="1" s="1"/>
  <c r="FH340" i="1"/>
  <c r="FJ340" i="1" s="1"/>
  <c r="FH263" i="1"/>
  <c r="FJ263" i="1" s="1"/>
  <c r="FH265" i="1"/>
  <c r="FJ265" i="1" s="1"/>
  <c r="FH285" i="1"/>
  <c r="FJ285" i="1" s="1"/>
  <c r="FH291" i="1"/>
  <c r="FJ291" i="1" s="1"/>
  <c r="FH292" i="1"/>
  <c r="FJ292" i="1" s="1"/>
  <c r="FH311" i="1"/>
  <c r="FJ311" i="1" s="1"/>
  <c r="FH314" i="1"/>
  <c r="FJ314" i="1" s="1"/>
  <c r="FH278" i="1"/>
  <c r="FJ278" i="1" s="1"/>
  <c r="FH289" i="1"/>
  <c r="FJ289" i="1" s="1"/>
  <c r="FH310" i="1"/>
  <c r="FJ310" i="1" s="1"/>
  <c r="FH317" i="1"/>
  <c r="FJ317" i="1" s="1"/>
  <c r="FH318" i="1"/>
  <c r="FJ318" i="1" s="1"/>
  <c r="FH322" i="1"/>
  <c r="FJ322" i="1" s="1"/>
  <c r="FH325" i="1"/>
  <c r="FJ325" i="1" s="1"/>
  <c r="FH247" i="1"/>
  <c r="FJ247" i="1" s="1"/>
  <c r="FH249" i="1"/>
  <c r="FJ249" i="1" s="1"/>
  <c r="FH252" i="1"/>
  <c r="FJ252" i="1" s="1"/>
  <c r="FH297" i="1"/>
  <c r="FJ297" i="1" s="1"/>
  <c r="FH300" i="1"/>
  <c r="FJ300" i="1" s="1"/>
  <c r="FH351" i="1"/>
  <c r="FJ351" i="1" s="1"/>
  <c r="FH353" i="1"/>
  <c r="FJ353" i="1" s="1"/>
  <c r="FH469" i="1"/>
  <c r="FJ469" i="1" s="1"/>
  <c r="FH474" i="1"/>
  <c r="FJ474" i="1" s="1"/>
  <c r="FH355" i="1"/>
  <c r="FJ355" i="1" s="1"/>
  <c r="FH359" i="1"/>
  <c r="FJ359" i="1" s="1"/>
  <c r="FH419" i="1"/>
  <c r="FJ419" i="1" s="1"/>
  <c r="FH436" i="1"/>
  <c r="FJ436" i="1" s="1"/>
  <c r="FH439" i="1"/>
  <c r="FJ439" i="1" s="1"/>
  <c r="FH502" i="1"/>
  <c r="FJ502" i="1" s="1"/>
  <c r="FH507" i="1"/>
  <c r="FJ507" i="1" s="1"/>
  <c r="FH521" i="1"/>
  <c r="FJ521" i="1" s="1"/>
  <c r="FH544" i="1"/>
  <c r="FJ544" i="1" s="1"/>
  <c r="FH547" i="1"/>
  <c r="FJ547" i="1" s="1"/>
  <c r="FH421" i="1"/>
  <c r="FJ421" i="1" s="1"/>
  <c r="FH429" i="1"/>
  <c r="FJ429" i="1" s="1"/>
  <c r="FH432" i="1"/>
  <c r="FJ432" i="1" s="1"/>
  <c r="FH451" i="1"/>
  <c r="FJ451" i="1" s="1"/>
  <c r="FH488" i="1"/>
  <c r="FJ488" i="1" s="1"/>
  <c r="FH490" i="1"/>
  <c r="FJ490" i="1" s="1"/>
  <c r="FH491" i="1"/>
  <c r="FJ491" i="1" s="1"/>
  <c r="FH518" i="1"/>
  <c r="FJ518" i="1" s="1"/>
  <c r="FH352" i="1"/>
  <c r="FJ352" i="1" s="1"/>
  <c r="FH364" i="1"/>
  <c r="FJ364" i="1" s="1"/>
  <c r="FH464" i="1"/>
  <c r="FJ464" i="1" s="1"/>
  <c r="FH511" i="1"/>
  <c r="FJ511" i="1" s="1"/>
  <c r="FH516" i="1"/>
  <c r="FJ516" i="1" s="1"/>
  <c r="FH664" i="1"/>
  <c r="FJ664" i="1" s="1"/>
  <c r="FH348" i="1"/>
  <c r="FJ348" i="1" s="1"/>
  <c r="FH368" i="1"/>
  <c r="FJ368" i="1" s="1"/>
  <c r="FH393" i="1"/>
  <c r="FJ393" i="1" s="1"/>
  <c r="FH398" i="1"/>
  <c r="FJ398" i="1" s="1"/>
  <c r="FH403" i="1"/>
  <c r="FJ403" i="1" s="1"/>
  <c r="FH408" i="1"/>
  <c r="FJ408" i="1" s="1"/>
  <c r="FH425" i="1"/>
  <c r="FJ425" i="1" s="1"/>
  <c r="FH446" i="1"/>
  <c r="FJ446" i="1" s="1"/>
  <c r="FH449" i="1"/>
  <c r="FJ449" i="1" s="1"/>
  <c r="FH482" i="1"/>
  <c r="FJ482" i="1" s="1"/>
  <c r="FH531" i="1"/>
  <c r="FJ531" i="1" s="1"/>
  <c r="FH543" i="1"/>
  <c r="FH349" i="1"/>
  <c r="FJ349" i="1" s="1"/>
  <c r="FH354" i="1"/>
  <c r="FJ354" i="1" s="1"/>
  <c r="FH363" i="1"/>
  <c r="FJ363" i="1" s="1"/>
  <c r="FH397" i="1"/>
  <c r="FJ397" i="1" s="1"/>
  <c r="FH405" i="1"/>
  <c r="FJ405" i="1" s="1"/>
  <c r="FH415" i="1"/>
  <c r="FJ415" i="1" s="1"/>
  <c r="FH443" i="1"/>
  <c r="FJ443" i="1" s="1"/>
  <c r="FH444" i="1"/>
  <c r="FJ444" i="1" s="1"/>
  <c r="FH454" i="1"/>
  <c r="FJ454" i="1" s="1"/>
  <c r="FH462" i="1"/>
  <c r="FJ462" i="1" s="1"/>
  <c r="FH467" i="1"/>
  <c r="FJ467" i="1" s="1"/>
  <c r="FH475" i="1"/>
  <c r="FJ475" i="1" s="1"/>
  <c r="FH486" i="1"/>
  <c r="FJ486" i="1" s="1"/>
  <c r="FH500" i="1"/>
  <c r="FJ500" i="1" s="1"/>
  <c r="FH504" i="1"/>
  <c r="FJ504" i="1" s="1"/>
  <c r="FH520" i="1"/>
  <c r="FJ520" i="1" s="1"/>
  <c r="FH525" i="1"/>
  <c r="FJ525" i="1" s="1"/>
  <c r="FH362" i="1"/>
  <c r="FJ362" i="1" s="1"/>
  <c r="FH396" i="1"/>
  <c r="FJ396" i="1" s="1"/>
  <c r="FH411" i="1"/>
  <c r="FJ411" i="1" s="1"/>
  <c r="FH431" i="1"/>
  <c r="FJ431" i="1" s="1"/>
  <c r="FH445" i="1"/>
  <c r="FJ445" i="1" s="1"/>
  <c r="FH452" i="1"/>
  <c r="FJ452" i="1" s="1"/>
  <c r="FH468" i="1"/>
  <c r="FJ468" i="1" s="1"/>
  <c r="FH510" i="1"/>
  <c r="FJ510" i="1" s="1"/>
  <c r="FH519" i="1"/>
  <c r="FJ519" i="1" s="1"/>
  <c r="FH533" i="1"/>
  <c r="FJ533" i="1" s="1"/>
  <c r="FH554" i="1"/>
  <c r="FJ554" i="1" s="1"/>
  <c r="FH557" i="1"/>
  <c r="FJ557" i="1" s="1"/>
  <c r="FH579" i="1"/>
  <c r="FJ579" i="1" s="1"/>
  <c r="FH589" i="1"/>
  <c r="FJ589" i="1" s="1"/>
  <c r="FH609" i="1"/>
  <c r="FJ609" i="1" s="1"/>
  <c r="FH731" i="1"/>
  <c r="FJ731" i="1" s="1"/>
  <c r="FH753" i="1"/>
  <c r="FJ753" i="1" s="1"/>
  <c r="FH763" i="1"/>
  <c r="FJ763" i="1" s="1"/>
  <c r="FH552" i="1"/>
  <c r="FJ552" i="1" s="1"/>
  <c r="FH612" i="1"/>
  <c r="FJ612" i="1" s="1"/>
  <c r="FH615" i="1"/>
  <c r="FJ615" i="1" s="1"/>
  <c r="FH631" i="1"/>
  <c r="FJ631" i="1" s="1"/>
  <c r="FH636" i="1"/>
  <c r="FJ636" i="1" s="1"/>
  <c r="FH661" i="1"/>
  <c r="FJ661" i="1" s="1"/>
  <c r="FH721" i="1"/>
  <c r="FJ721" i="1" s="1"/>
  <c r="FH745" i="1"/>
  <c r="FJ745" i="1" s="1"/>
  <c r="FH751" i="1"/>
  <c r="FJ751" i="1" s="1"/>
  <c r="FH765" i="1"/>
  <c r="FJ765" i="1" s="1"/>
  <c r="FH786" i="1"/>
  <c r="FJ786" i="1" s="1"/>
  <c r="FH805" i="1"/>
  <c r="FJ805" i="1" s="1"/>
  <c r="FH611" i="1"/>
  <c r="FJ611" i="1" s="1"/>
  <c r="FH643" i="1"/>
  <c r="FJ643" i="1" s="1"/>
  <c r="FH654" i="1"/>
  <c r="FJ654" i="1" s="1"/>
  <c r="FH693" i="1"/>
  <c r="FJ693" i="1" s="1"/>
  <c r="FH734" i="1"/>
  <c r="FJ734" i="1" s="1"/>
  <c r="FH739" i="1"/>
  <c r="FJ739" i="1" s="1"/>
  <c r="FH747" i="1"/>
  <c r="FJ747" i="1" s="1"/>
  <c r="FH762" i="1"/>
  <c r="FJ762" i="1" s="1"/>
  <c r="FH613" i="1"/>
  <c r="FJ613" i="1" s="1"/>
  <c r="FH629" i="1"/>
  <c r="FJ629" i="1" s="1"/>
  <c r="FH649" i="1"/>
  <c r="FJ649" i="1" s="1"/>
  <c r="FH767" i="1"/>
  <c r="FJ767" i="1" s="1"/>
  <c r="FH770" i="1"/>
  <c r="FJ770" i="1" s="1"/>
  <c r="FH558" i="1"/>
  <c r="FJ558" i="1" s="1"/>
  <c r="FH580" i="1"/>
  <c r="FJ580" i="1" s="1"/>
  <c r="FH590" i="1"/>
  <c r="FJ590" i="1" s="1"/>
  <c r="FH673" i="1"/>
  <c r="FJ673" i="1" s="1"/>
  <c r="FH701" i="1"/>
  <c r="FJ701" i="1" s="1"/>
  <c r="FH742" i="1"/>
  <c r="FJ742" i="1" s="1"/>
  <c r="FH764" i="1"/>
  <c r="FJ764" i="1" s="1"/>
  <c r="FH598" i="1"/>
  <c r="FJ598" i="1" s="1"/>
  <c r="FH620" i="1"/>
  <c r="FJ620" i="1" s="1"/>
  <c r="FH672" i="1"/>
  <c r="FJ672" i="1" s="1"/>
  <c r="FH744" i="1"/>
  <c r="FJ744" i="1" s="1"/>
  <c r="FH775" i="1"/>
  <c r="FJ775" i="1" s="1"/>
  <c r="FH545" i="1"/>
  <c r="FJ545" i="1" s="1"/>
  <c r="FH568" i="1"/>
  <c r="FJ568" i="1" s="1"/>
  <c r="FH556" i="1"/>
  <c r="FJ556" i="1" s="1"/>
  <c r="FH587" i="1"/>
  <c r="FI587" i="1"/>
  <c r="FH610" i="1"/>
  <c r="FJ610" i="1" s="1"/>
  <c r="FI633" i="1"/>
  <c r="FH633" i="1"/>
  <c r="FH648" i="1"/>
  <c r="FI648" i="1"/>
  <c r="FI665" i="1"/>
  <c r="FH665" i="1"/>
  <c r="FH4" i="1"/>
  <c r="FJ4" i="1" s="1"/>
  <c r="CJ806" i="1"/>
  <c r="EF69" i="2" l="1"/>
  <c r="EF169" i="2"/>
  <c r="EF752" i="2"/>
  <c r="EF653" i="2"/>
  <c r="EF206" i="2"/>
  <c r="EF168" i="2"/>
  <c r="ED24" i="2"/>
  <c r="EF24" i="2" s="1"/>
  <c r="EF170" i="2"/>
  <c r="EF71" i="2"/>
  <c r="EF775" i="2"/>
  <c r="EF205" i="2"/>
  <c r="EF709" i="2"/>
  <c r="EF348" i="2"/>
  <c r="EF207" i="2"/>
  <c r="EF708" i="2"/>
  <c r="EF730" i="2"/>
  <c r="EF456" i="2"/>
  <c r="EF299" i="2"/>
  <c r="EF284" i="2"/>
  <c r="EF305" i="2"/>
  <c r="EF705" i="2"/>
  <c r="EF748" i="2"/>
  <c r="EF478" i="2"/>
  <c r="EF710" i="2"/>
  <c r="EF484" i="2"/>
  <c r="EF476" i="2"/>
  <c r="EF167" i="2"/>
  <c r="EF448" i="2"/>
  <c r="BR832" i="2"/>
  <c r="EF106" i="2"/>
  <c r="EF208" i="2"/>
  <c r="ED780" i="2"/>
  <c r="EF780" i="2" s="1"/>
  <c r="EF285" i="2"/>
  <c r="EF616" i="2"/>
  <c r="EF771" i="2"/>
  <c r="EF769" i="2"/>
  <c r="EF767" i="2"/>
  <c r="EF413" i="2"/>
  <c r="EF720" i="2"/>
  <c r="EF610" i="2"/>
  <c r="ED627" i="2"/>
  <c r="EF627" i="2" s="1"/>
  <c r="EF570" i="2"/>
  <c r="ED712" i="2"/>
  <c r="EF712" i="2" s="1"/>
  <c r="AB832" i="2"/>
  <c r="ED713" i="2"/>
  <c r="EF713" i="2" s="1"/>
  <c r="EF451" i="2"/>
  <c r="ED66" i="2"/>
  <c r="EF66" i="2" s="1"/>
  <c r="EF323" i="2"/>
  <c r="ED742" i="2"/>
  <c r="EF742" i="2" s="1"/>
  <c r="V832" i="2"/>
  <c r="ED605" i="2"/>
  <c r="EF605" i="2" s="1"/>
  <c r="EF693" i="2"/>
  <c r="EF531" i="2"/>
  <c r="ED315" i="2"/>
  <c r="EF315" i="2" s="1"/>
  <c r="ED731" i="2"/>
  <c r="EF731" i="2" s="1"/>
  <c r="ED110" i="2"/>
  <c r="EF110" i="2" s="1"/>
  <c r="EF452" i="2"/>
  <c r="EF759" i="2"/>
  <c r="EF768" i="2"/>
  <c r="ED204" i="2"/>
  <c r="EF204" i="2" s="1"/>
  <c r="ED715" i="2"/>
  <c r="EF715" i="2" s="1"/>
  <c r="ED494" i="2"/>
  <c r="EF494" i="2" s="1"/>
  <c r="EF576" i="2"/>
  <c r="EF766" i="2"/>
  <c r="ED258" i="2"/>
  <c r="EF258" i="2" s="1"/>
  <c r="ED782" i="2"/>
  <c r="EF782" i="2" s="1"/>
  <c r="ED808" i="2"/>
  <c r="EF808" i="2" s="1"/>
  <c r="ED604" i="2"/>
  <c r="EF604" i="2" s="1"/>
  <c r="ED611" i="2"/>
  <c r="EF611" i="2" s="1"/>
  <c r="V806" i="1"/>
  <c r="FJ301" i="1"/>
  <c r="FJ543" i="1"/>
  <c r="FJ302" i="1"/>
  <c r="FH372" i="1"/>
  <c r="FJ372" i="1" s="1"/>
  <c r="BR806" i="1"/>
  <c r="CP806" i="1"/>
  <c r="FJ284" i="1"/>
  <c r="FJ515" i="1"/>
  <c r="BF832" i="2"/>
  <c r="ED201" i="2"/>
  <c r="EF201" i="2" s="1"/>
  <c r="BX832" i="2"/>
  <c r="ED298" i="2"/>
  <c r="EF298" i="2" s="1"/>
  <c r="ED781" i="2"/>
  <c r="EF781" i="2" s="1"/>
  <c r="BL832" i="2"/>
  <c r="ED28" i="2"/>
  <c r="EF28" i="2" s="1"/>
  <c r="ED626" i="2"/>
  <c r="EF626" i="2" s="1"/>
  <c r="ED809" i="2"/>
  <c r="EF809" i="2" s="1"/>
  <c r="ED417" i="2"/>
  <c r="EF417" i="2" s="1"/>
  <c r="ED632" i="2"/>
  <c r="EF632" i="2" s="1"/>
  <c r="ED447" i="2"/>
  <c r="EF447" i="2" s="1"/>
  <c r="ED274" i="2"/>
  <c r="EF274" i="2" s="1"/>
  <c r="EF594" i="2"/>
  <c r="ED273" i="2"/>
  <c r="EF273" i="2" s="1"/>
  <c r="EF26" i="2"/>
  <c r="EF453" i="2"/>
  <c r="ED209" i="2"/>
  <c r="EF209" i="2" s="1"/>
  <c r="AN832" i="2"/>
  <c r="EF575" i="2"/>
  <c r="ED492" i="2"/>
  <c r="EF492" i="2" s="1"/>
  <c r="EF174" i="2"/>
  <c r="EF779" i="2"/>
  <c r="EF648" i="2"/>
  <c r="EF584" i="2"/>
  <c r="EF568" i="2"/>
  <c r="EF526" i="2"/>
  <c r="EF816" i="2"/>
  <c r="EF727" i="2"/>
  <c r="EF171" i="2"/>
  <c r="EF105" i="2"/>
  <c r="C8" i="7"/>
  <c r="D8" i="7" s="1"/>
  <c r="C7" i="7"/>
  <c r="C9" i="7"/>
  <c r="D9" i="7" s="1"/>
  <c r="EF750" i="2"/>
  <c r="EF623" i="2"/>
  <c r="EF553" i="2"/>
  <c r="FJ484" i="1"/>
  <c r="FJ760" i="1"/>
  <c r="FJ634" i="1"/>
  <c r="FJ534" i="1"/>
  <c r="G7" i="7"/>
  <c r="G8" i="7"/>
  <c r="G9" i="7"/>
  <c r="H9" i="7" s="1"/>
  <c r="FJ665" i="1"/>
  <c r="FJ587" i="1"/>
  <c r="FJ648" i="1"/>
  <c r="FJ633" i="1"/>
  <c r="C10" i="7" l="1"/>
  <c r="D7" i="7"/>
  <c r="H8" i="7"/>
  <c r="H7" i="7"/>
  <c r="G10" i="7"/>
  <c r="H10" i="7" s="1"/>
  <c r="C11" i="7" l="1"/>
  <c r="C12" i="7" s="1"/>
  <c r="D10" i="7"/>
  <c r="D11" i="7" s="1"/>
  <c r="H11" i="7"/>
  <c r="G11" i="7"/>
  <c r="G12" i="7" s="1"/>
</calcChain>
</file>

<file path=xl/comments1.xml><?xml version="1.0" encoding="utf-8"?>
<comments xmlns="http://schemas.openxmlformats.org/spreadsheetml/2006/main">
  <authors>
    <author>ICA LNDV</author>
  </authors>
  <commentList>
    <comment ref="BP372" authorId="0" shapeId="0">
      <text>
        <r>
          <rPr>
            <b/>
            <sz val="9"/>
            <color indexed="81"/>
            <rFont val="Tahoma"/>
            <family val="2"/>
          </rPr>
          <t>ICA LNDV:</t>
        </r>
        <r>
          <rPr>
            <sz val="9"/>
            <color indexed="81"/>
            <rFont val="Tahoma"/>
            <family val="2"/>
          </rPr>
          <t xml:space="preserve">
Se multiplica x 4</t>
        </r>
      </text>
    </comment>
    <comment ref="BP543" authorId="0" shapeId="0">
      <text>
        <r>
          <rPr>
            <b/>
            <sz val="9"/>
            <color indexed="81"/>
            <rFont val="Tahoma"/>
            <family val="2"/>
          </rPr>
          <t>ICA LNDV:</t>
        </r>
        <r>
          <rPr>
            <sz val="9"/>
            <color indexed="81"/>
            <rFont val="Tahoma"/>
            <family val="2"/>
          </rPr>
          <t xml:space="preserve">
Se multiplica x 5 de acuerdo a la presentación presentada por el oferente</t>
        </r>
      </text>
    </comment>
  </commentList>
</comments>
</file>

<file path=xl/comments2.xml><?xml version="1.0" encoding="utf-8"?>
<comments xmlns="http://schemas.openxmlformats.org/spreadsheetml/2006/main">
  <authors>
    <author>David Ghetgheny Esquivel Valderrama</author>
    <author>tc={1AC32A4D-9A6E-409F-A5FC-0388CCAA53E2}</author>
    <author>Daniel David Romero Jara</author>
    <author>PAOLA RIAÑO</author>
    <author>ICA LNDV</author>
    <author>tc={CC5829F0-DC6F-411C-8E46-97F53106D316}</author>
  </authors>
  <commentList>
    <comment ref="B13" authorId="0" shapeId="0">
      <text>
        <r>
          <rPr>
            <sz val="11"/>
            <color theme="1"/>
            <rFont val="Calibri"/>
            <family val="2"/>
            <scheme val="minor"/>
          </rPr>
          <t>David Ghetgheny Esquivel Valderrama:
sustancia controlada</t>
        </r>
      </text>
    </comment>
    <comment ref="B14" authorId="0" shapeId="0">
      <text>
        <r>
          <rPr>
            <sz val="11"/>
            <color theme="1"/>
            <rFont val="Calibri"/>
            <family val="2"/>
            <scheme val="minor"/>
          </rPr>
          <t>David Ghetgheny Esquivel Valderrama:
sustancia controlada</t>
        </r>
      </text>
    </comment>
    <comment ref="B17" authorId="0" shapeId="0">
      <text>
        <r>
          <rPr>
            <sz val="11"/>
            <color theme="1"/>
            <rFont val="Calibri"/>
            <family val="2"/>
            <scheme val="minor"/>
          </rPr>
          <t>David Ghetgheny Esquivel Valderrama:
Sustancia controlada</t>
        </r>
      </text>
    </comment>
    <comment ref="B27"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Sustancia controlada</t>
        </r>
      </text>
    </comment>
    <comment ref="D29" authorId="2" shapeId="0">
      <text>
        <r>
          <rPr>
            <b/>
            <sz val="9"/>
            <color indexed="81"/>
            <rFont val="Tahoma"/>
            <family val="2"/>
          </rPr>
          <t>Daniel David Romero Jara:</t>
        </r>
        <r>
          <rPr>
            <sz val="9"/>
            <color indexed="81"/>
            <rFont val="Tahoma"/>
            <family val="2"/>
          </rPr>
          <t xml:space="preserve">
Revisar presentación </t>
        </r>
      </text>
    </comment>
    <comment ref="B34" authorId="0" shapeId="0">
      <text>
        <r>
          <rPr>
            <sz val="11"/>
            <color theme="1"/>
            <rFont val="Calibri"/>
            <family val="2"/>
            <scheme val="minor"/>
          </rPr>
          <t>David Ghetgheny Esquivel Valderrama:</t>
        </r>
      </text>
    </comment>
    <comment ref="B38" authorId="0" shapeId="0">
      <text>
        <r>
          <rPr>
            <sz val="11"/>
            <color theme="1"/>
            <rFont val="Calibri"/>
            <family val="2"/>
            <scheme val="minor"/>
          </rPr>
          <t>David Ghetgheny Esquivel Valderrama:
sustancia controlada</t>
        </r>
      </text>
    </comment>
    <comment ref="AO89" authorId="3" shapeId="0">
      <text>
        <r>
          <rPr>
            <b/>
            <sz val="9"/>
            <color indexed="81"/>
            <rFont val="Tahoma"/>
            <family val="2"/>
          </rPr>
          <t xml:space="preserve">LAURA GUEVARA:
</t>
        </r>
        <r>
          <rPr>
            <sz val="9"/>
            <color indexed="81"/>
            <rFont val="Tahoma"/>
            <family val="2"/>
          </rPr>
          <t xml:space="preserve">EL PRODUCTO TIENE UNA TEMPERATURA DE 0 A -20 CADENA DE FRIO DIFICIL DE MANTENER
</t>
        </r>
      </text>
    </comment>
    <comment ref="AO98" authorId="3" shapeId="0">
      <text>
        <r>
          <rPr>
            <b/>
            <sz val="9"/>
            <color indexed="81"/>
            <rFont val="Tahoma"/>
            <family val="2"/>
          </rPr>
          <t xml:space="preserve">LAURA GUEVARA:
</t>
        </r>
        <r>
          <rPr>
            <sz val="9"/>
            <color indexed="81"/>
            <rFont val="Tahoma"/>
            <family val="2"/>
          </rPr>
          <t>EL PRODUCTO TIENE UNA TEMPERATURA DE 0 A -20 CADENA DE FRIO DIFICIL DE MANTENER</t>
        </r>
      </text>
    </comment>
    <comment ref="AO133" authorId="3" shapeId="0">
      <text>
        <r>
          <rPr>
            <b/>
            <sz val="9"/>
            <color indexed="81"/>
            <rFont val="Tahoma"/>
            <family val="2"/>
          </rPr>
          <t xml:space="preserve">LAURA GUEVARA:
</t>
        </r>
        <r>
          <rPr>
            <sz val="9"/>
            <color indexed="81"/>
            <rFont val="Tahoma"/>
            <family val="2"/>
          </rPr>
          <t xml:space="preserve">EL PRODUCTO TIENE UNA TEMPERATURA DE 0 A -20 CADENA DE FRIO DIFICIL DE MANTENER
</t>
        </r>
      </text>
    </comment>
    <comment ref="AO152" authorId="3" shapeId="0">
      <text>
        <r>
          <rPr>
            <b/>
            <sz val="9"/>
            <color indexed="81"/>
            <rFont val="Tahoma"/>
            <family val="2"/>
          </rPr>
          <t xml:space="preserve">LAURA GUEVARA:
</t>
        </r>
        <r>
          <rPr>
            <sz val="9"/>
            <color indexed="81"/>
            <rFont val="Tahoma"/>
            <family val="2"/>
          </rPr>
          <t xml:space="preserve">SE COTIZA OPCION MARCA SIGMA
</t>
        </r>
      </text>
    </comment>
    <comment ref="AO166" authorId="3" shapeId="0">
      <text>
        <r>
          <rPr>
            <b/>
            <sz val="9"/>
            <color indexed="81"/>
            <rFont val="Tahoma"/>
            <family val="2"/>
          </rPr>
          <t xml:space="preserve">LAURA GUEVARA:
</t>
        </r>
        <r>
          <rPr>
            <sz val="9"/>
            <color indexed="81"/>
            <rFont val="Tahoma"/>
            <family val="2"/>
          </rPr>
          <t>SE OFERTA MARCA MERCK CON LA UNICA PRESENTACION QUE MANEJA EL PRODUCTO</t>
        </r>
      </text>
    </comment>
    <comment ref="AO201" authorId="3" shapeId="0">
      <text>
        <r>
          <rPr>
            <b/>
            <sz val="9"/>
            <color indexed="81"/>
            <rFont val="Tahoma"/>
            <family val="2"/>
          </rPr>
          <t xml:space="preserve">LAURA GUEVARA:
</t>
        </r>
        <r>
          <rPr>
            <sz val="9"/>
            <color indexed="81"/>
            <rFont val="Tahoma"/>
            <family val="2"/>
          </rPr>
          <t>EL PRODUCTO TIENE UNA TEMPERATURA DE 0 -20°C CADENA DE FRIO DIFICIL DE MANTENER</t>
        </r>
      </text>
    </comment>
    <comment ref="D335" authorId="4" shapeId="0">
      <text>
        <r>
          <rPr>
            <b/>
            <sz val="9"/>
            <color indexed="81"/>
            <rFont val="Tahoma"/>
            <family val="2"/>
          </rPr>
          <t>ICA LNDV:</t>
        </r>
        <r>
          <rPr>
            <sz val="9"/>
            <color indexed="81"/>
            <rFont val="Tahoma"/>
            <family val="2"/>
          </rPr>
          <t xml:space="preserve">
Cotizado x 100gr</t>
        </r>
      </text>
    </comment>
    <comment ref="B368" authorId="5"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Reactivo controlado</t>
        </r>
      </text>
    </comment>
    <comment ref="B445" authorId="0" shapeId="0">
      <text>
        <r>
          <rPr>
            <sz val="11"/>
            <color theme="1"/>
            <rFont val="Calibri"/>
            <family val="2"/>
            <scheme val="minor"/>
          </rPr>
          <t>David Ghetgheny Esquivel Valderrama:
sustancia controlada</t>
        </r>
      </text>
    </comment>
    <comment ref="B463" authorId="0" shapeId="0">
      <text>
        <r>
          <rPr>
            <sz val="11"/>
            <color theme="1"/>
            <rFont val="Calibri"/>
            <family val="2"/>
            <scheme val="minor"/>
          </rPr>
          <t xml:space="preserve">David Ghetgheny Esquivel Valderrama: sustancia controlada
</t>
        </r>
      </text>
    </comment>
    <comment ref="D464" authorId="4" shapeId="0">
      <text>
        <r>
          <rPr>
            <b/>
            <sz val="9"/>
            <color indexed="81"/>
            <rFont val="Tahoma"/>
            <family val="2"/>
          </rPr>
          <t>ICA LNDV:</t>
        </r>
        <r>
          <rPr>
            <sz val="9"/>
            <color indexed="81"/>
            <rFont val="Tahoma"/>
            <family val="2"/>
          </rPr>
          <t xml:space="preserve">
Cotizado en el MU
</t>
        </r>
      </text>
    </comment>
    <comment ref="AO464" authorId="3" shapeId="0">
      <text>
        <r>
          <rPr>
            <b/>
            <sz val="9"/>
            <color indexed="81"/>
            <rFont val="Tahoma"/>
            <family val="2"/>
          </rPr>
          <t>LAURA GUEVARA:</t>
        </r>
        <r>
          <rPr>
            <sz val="9"/>
            <color indexed="81"/>
            <rFont val="Tahoma"/>
            <family val="2"/>
          </rPr>
          <t xml:space="preserve">
TEMPERATURA DE -20°C CADENA DE FRIO DIFICIL DE MANTENER</t>
        </r>
      </text>
    </comment>
    <comment ref="AO470" authorId="3" shapeId="0">
      <text>
        <r>
          <rPr>
            <b/>
            <sz val="9"/>
            <color indexed="81"/>
            <rFont val="Tahoma"/>
            <family val="2"/>
          </rPr>
          <t>LAURA GUEVARA:</t>
        </r>
        <r>
          <rPr>
            <sz val="9"/>
            <color indexed="81"/>
            <rFont val="Tahoma"/>
            <family val="2"/>
          </rPr>
          <t xml:space="preserve">
TEMPERATURA DE 0 A -20°C CADENA DE FRIO DIFICIL DE MANTENER</t>
        </r>
      </text>
    </comment>
    <comment ref="D488" authorId="4" shapeId="0">
      <text>
        <r>
          <rPr>
            <b/>
            <sz val="9"/>
            <color indexed="81"/>
            <rFont val="Tahoma"/>
            <family val="2"/>
          </rPr>
          <t>ICA LNDV:</t>
        </r>
        <r>
          <rPr>
            <sz val="9"/>
            <color indexed="81"/>
            <rFont val="Tahoma"/>
            <family val="2"/>
          </rPr>
          <t xml:space="preserve">
cotizado en MU
</t>
        </r>
      </text>
    </comment>
    <comment ref="AO572" authorId="3" shapeId="0">
      <text>
        <r>
          <rPr>
            <b/>
            <sz val="9"/>
            <color indexed="81"/>
            <rFont val="Tahoma"/>
            <family val="2"/>
          </rPr>
          <t>LAURA GUEVARA:</t>
        </r>
        <r>
          <rPr>
            <sz val="9"/>
            <color indexed="81"/>
            <rFont val="Tahoma"/>
            <family val="2"/>
          </rPr>
          <t xml:space="preserve">
TEMPERATURA DE 0 A -20°C CADENA DE FRIO DIFICIL DE MANTENER</t>
        </r>
      </text>
    </comment>
  </commentList>
</comments>
</file>

<file path=xl/comments3.xml><?xml version="1.0" encoding="utf-8"?>
<comments xmlns="http://schemas.openxmlformats.org/spreadsheetml/2006/main">
  <authors>
    <author>David Ghetgheny Esquivel Valderrama</author>
    <author>tc={1AC32A4D-9A6E-409F-A5FC-0388CCAA53E2}</author>
    <author>tc={CC5829F0-DC6F-411C-8E46-97F53106D316}</author>
  </authors>
  <commentList>
    <comment ref="C13" authorId="0" shapeId="0">
      <text>
        <r>
          <rPr>
            <sz val="11"/>
            <color theme="1"/>
            <rFont val="Calibri"/>
            <family val="2"/>
            <scheme val="minor"/>
          </rPr>
          <t>David Ghetgheny Esquivel Valderrama:
sustancia controlada</t>
        </r>
      </text>
    </comment>
    <comment ref="C14" authorId="0" shapeId="0">
      <text>
        <r>
          <rPr>
            <sz val="11"/>
            <color theme="1"/>
            <rFont val="Calibri"/>
            <family val="2"/>
            <scheme val="minor"/>
          </rPr>
          <t>David Ghetgheny Esquivel Valderrama:
sustancia controlada</t>
        </r>
      </text>
    </comment>
    <comment ref="C17" authorId="0" shapeId="0">
      <text>
        <r>
          <rPr>
            <sz val="11"/>
            <color theme="1"/>
            <rFont val="Calibri"/>
            <family val="2"/>
            <scheme val="minor"/>
          </rPr>
          <t>David Ghetgheny Esquivel Valderrama:
Sustancia controlada</t>
        </r>
      </text>
    </comment>
    <comment ref="C27"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Sustancia controlada</t>
        </r>
      </text>
    </comment>
    <comment ref="C34" authorId="0" shapeId="0">
      <text>
        <r>
          <rPr>
            <sz val="11"/>
            <color theme="1"/>
            <rFont val="Calibri"/>
            <family val="2"/>
            <scheme val="minor"/>
          </rPr>
          <t>David Ghetgheny Esquivel Valderrama:</t>
        </r>
      </text>
    </comment>
    <comment ref="C38" authorId="0" shapeId="0">
      <text>
        <r>
          <rPr>
            <sz val="11"/>
            <color theme="1"/>
            <rFont val="Calibri"/>
            <family val="2"/>
            <scheme val="minor"/>
          </rPr>
          <t>David Ghetgheny Esquivel Valderrama:
sustancia controlada</t>
        </r>
      </text>
    </comment>
    <comment ref="C368"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Reactivo controlado</t>
        </r>
      </text>
    </comment>
    <comment ref="C445" authorId="0" shapeId="0">
      <text>
        <r>
          <rPr>
            <sz val="11"/>
            <color theme="1"/>
            <rFont val="Calibri"/>
            <family val="2"/>
            <scheme val="minor"/>
          </rPr>
          <t>David Ghetgheny Esquivel Valderrama:
sustancia controlada</t>
        </r>
      </text>
    </comment>
    <comment ref="C463" authorId="0" shapeId="0">
      <text>
        <r>
          <rPr>
            <sz val="11"/>
            <color theme="1"/>
            <rFont val="Calibri"/>
            <family val="2"/>
            <scheme val="minor"/>
          </rPr>
          <t xml:space="preserve">David Ghetgheny Esquivel Valderrama: sustancia controlada
</t>
        </r>
      </text>
    </comment>
  </commentList>
</comments>
</file>

<file path=xl/comments4.xml><?xml version="1.0" encoding="utf-8"?>
<comments xmlns="http://schemas.openxmlformats.org/spreadsheetml/2006/main">
  <authors>
    <author>tc={1C82B825-DD9C-4A3C-BA88-AEDBE53F1BCD}</author>
    <author>tc={B2AFC753-03EE-4029-BFC0-C9D25AF9986E}</author>
    <author>tc={7051CFD3-6A8B-4C06-B503-FE528D0B56C4}</author>
    <author>tc={4CA9A548-8BD3-41CF-B02A-43A84B6B7FD3}</author>
    <author>tc={EC0CCF90-3E14-4AD5-9860-C01CB1588E86}</author>
    <author>tc={FF40E096-4A5F-4E00-8E99-CF00C1919B35}</author>
    <author>tc={3C0B2B00-11B1-404B-84BC-13413B032887}</author>
    <author>Daniel David Romero Jara</author>
  </authors>
  <commentList>
    <comment ref="B60"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La referencia debe ser de 20 litros o 5 galones</t>
        </r>
      </text>
    </comment>
    <comment ref="B66" authorId="1"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se acepta la observación </t>
        </r>
      </text>
    </comment>
    <comment ref="B72"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79" authorId="3"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80" authorId="4"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81" authorId="5"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88" authorId="6"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518" authorId="7" shapeId="0">
      <text>
        <r>
          <rPr>
            <b/>
            <sz val="9"/>
            <color indexed="81"/>
            <rFont val="Tahoma"/>
            <family val="2"/>
          </rPr>
          <t>Daniel David Romero Jara:</t>
        </r>
        <r>
          <rPr>
            <sz val="9"/>
            <color indexed="81"/>
            <rFont val="Tahoma"/>
            <family val="2"/>
          </rPr>
          <t xml:space="preserve">
Es un reactivo</t>
        </r>
      </text>
    </comment>
  </commentList>
</comments>
</file>

<file path=xl/comments5.xml><?xml version="1.0" encoding="utf-8"?>
<comments xmlns="http://schemas.openxmlformats.org/spreadsheetml/2006/main">
  <authors>
    <author>tc={1C82B825-DD9C-4A3C-BA88-AEDBE53F1BCD}</author>
    <author>tc={B2AFC753-03EE-4029-BFC0-C9D25AF9986E}</author>
    <author>tc={7051CFD3-6A8B-4C06-B503-FE528D0B56C4}</author>
    <author>tc={4CA9A548-8BD3-41CF-B02A-43A84B6B7FD3}</author>
    <author>tc={EC0CCF90-3E14-4AD5-9860-C01CB1588E86}</author>
    <author>tc={FF40E096-4A5F-4E00-8E99-CF00C1919B35}</author>
    <author>tc={3C0B2B00-11B1-404B-84BC-13413B032887}</author>
    <author>Daniel David Romero Jara</author>
  </authors>
  <commentList>
    <comment ref="C60"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La referencia debe ser de 20 litros o 5 galones</t>
        </r>
      </text>
    </comment>
    <comment ref="C66" authorId="1"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se acepta la observación </t>
        </r>
      </text>
    </comment>
    <comment ref="C72"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C79" authorId="3"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C80" authorId="4"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C81" authorId="5"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C88" authorId="6"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C518" authorId="7" shapeId="0">
      <text>
        <r>
          <rPr>
            <b/>
            <sz val="9"/>
            <color indexed="81"/>
            <rFont val="Tahoma"/>
            <family val="2"/>
          </rPr>
          <t>Daniel David Romero Jara:</t>
        </r>
        <r>
          <rPr>
            <sz val="9"/>
            <color indexed="81"/>
            <rFont val="Tahoma"/>
            <family val="2"/>
          </rPr>
          <t xml:space="preserve">
Es un reactivo</t>
        </r>
      </text>
    </comment>
  </commentList>
</comments>
</file>

<file path=xl/comments6.xml><?xml version="1.0" encoding="utf-8"?>
<comments xmlns="http://schemas.openxmlformats.org/spreadsheetml/2006/main">
  <authors>
    <author>ICA LNDV</author>
  </authors>
  <commentList>
    <comment ref="BD201" authorId="0" shapeId="0">
      <text>
        <r>
          <rPr>
            <b/>
            <sz val="9"/>
            <color indexed="81"/>
            <rFont val="Tahoma"/>
            <family val="2"/>
          </rPr>
          <t>ICA LNDV:</t>
        </r>
        <r>
          <rPr>
            <sz val="9"/>
            <color indexed="81"/>
            <rFont val="Tahoma"/>
            <family val="2"/>
          </rPr>
          <t xml:space="preserve">
Multiplicar x 24
</t>
        </r>
      </text>
    </comment>
    <comment ref="BV473" authorId="0" shapeId="0">
      <text>
        <r>
          <rPr>
            <b/>
            <sz val="9"/>
            <color indexed="81"/>
            <rFont val="Tahoma"/>
            <family val="2"/>
          </rPr>
          <t>ICA LNDV:</t>
        </r>
        <r>
          <rPr>
            <sz val="9"/>
            <color indexed="81"/>
            <rFont val="Tahoma"/>
            <family val="2"/>
          </rPr>
          <t xml:space="preserve">
El rollo que dimensiones tiene?
</t>
        </r>
      </text>
    </comment>
  </commentList>
</comments>
</file>

<file path=xl/sharedStrings.xml><?xml version="1.0" encoding="utf-8"?>
<sst xmlns="http://schemas.openxmlformats.org/spreadsheetml/2006/main" count="17628" uniqueCount="5106">
  <si>
    <t>Ítem</t>
  </si>
  <si>
    <t>Descripción técnica</t>
  </si>
  <si>
    <t>Marca</t>
  </si>
  <si>
    <t>Presentación</t>
  </si>
  <si>
    <t>Información 2018</t>
  </si>
  <si>
    <t>Información 2019</t>
  </si>
  <si>
    <t>Información 2020</t>
  </si>
  <si>
    <t>PROMEDIO 2018 - 2020 + IPC</t>
  </si>
  <si>
    <t>Quimicos y Reactivos S.A.S</t>
  </si>
  <si>
    <t>ARC ANÁLISIS</t>
  </si>
  <si>
    <t>LMV S.A.S</t>
  </si>
  <si>
    <t>DISPROQUILAB LIMITADA</t>
  </si>
  <si>
    <t>Elementos Quimicos</t>
  </si>
  <si>
    <t>Clinicos Isla S.A.S</t>
  </si>
  <si>
    <t>LABBRANDS</t>
  </si>
  <si>
    <t>QUIMIOLAB</t>
  </si>
  <si>
    <t>DISTRIBUIDORA Y COMERCIALIZADORA DIZAR LTDA</t>
  </si>
  <si>
    <t>SANITAS S.A.S</t>
  </si>
  <si>
    <t xml:space="preserve">AVANTIKA COLOMBIA SAS </t>
  </si>
  <si>
    <t>Inversiones Jimsa Ltda</t>
  </si>
  <si>
    <t>MYC LAB S.A.S</t>
  </si>
  <si>
    <t>INSOLAB</t>
  </si>
  <si>
    <t>QUIMITRÓNICA</t>
  </si>
  <si>
    <t>Purificación y Análisis PAF</t>
  </si>
  <si>
    <t>SUMA TOTAL</t>
  </si>
  <si>
    <t>Cantidad de cotizaciones</t>
  </si>
  <si>
    <t>PROMEDIO</t>
  </si>
  <si>
    <t>Cantidad TOTAL</t>
  </si>
  <si>
    <t>Valor unitario con IVA</t>
  </si>
  <si>
    <t>ADJUDICACIÓN VR. UNIT.</t>
  </si>
  <si>
    <t>Valor unitario promedio</t>
  </si>
  <si>
    <t>Vlr. Unitario Sin IVA</t>
  </si>
  <si>
    <t>IVA</t>
  </si>
  <si>
    <t>Observaciones</t>
  </si>
  <si>
    <t>Frasco x 25g</t>
  </si>
  <si>
    <t>Santa Cruz Biotechnology</t>
  </si>
  <si>
    <t>frasco x 2 gr</t>
  </si>
  <si>
    <t>SIGMA</t>
  </si>
  <si>
    <t>frasco x 25und</t>
  </si>
  <si>
    <t>Frasco x 100 ml</t>
  </si>
  <si>
    <t>frasco x 250 ml</t>
  </si>
  <si>
    <t>ENTHOS</t>
  </si>
  <si>
    <t>Frasco x 100 ml.</t>
  </si>
  <si>
    <t>CARLO ERBA</t>
  </si>
  <si>
    <t>Frasco x 100ml</t>
  </si>
  <si>
    <t>PANREAC</t>
  </si>
  <si>
    <t>Panreac</t>
  </si>
  <si>
    <t>frasco x 100 ml</t>
  </si>
  <si>
    <t>BIOQUIGEN</t>
  </si>
  <si>
    <t>Frasco x 1 litro</t>
  </si>
  <si>
    <t>CHEMI</t>
  </si>
  <si>
    <t>Frasco x 5 ml</t>
  </si>
  <si>
    <t>frasco x 50 ml</t>
  </si>
  <si>
    <t>JULIAO</t>
  </si>
  <si>
    <t>Frasco x 100g</t>
  </si>
  <si>
    <t>sc-203818</t>
  </si>
  <si>
    <t>frasco x 100 gr</t>
  </si>
  <si>
    <t>100g</t>
  </si>
  <si>
    <t>Merck</t>
  </si>
  <si>
    <t>73594100GF</t>
  </si>
  <si>
    <t>Frasco x 500g</t>
  </si>
  <si>
    <t>sc-203818A</t>
  </si>
  <si>
    <t>frasco x 500 gr</t>
  </si>
  <si>
    <t>JT BAKER</t>
  </si>
  <si>
    <t>500 GR</t>
  </si>
  <si>
    <t>frasco x 1 litro</t>
  </si>
  <si>
    <t xml:space="preserve">JT BAKER </t>
  </si>
  <si>
    <t>1 LT</t>
  </si>
  <si>
    <t>CTRM1008681000</t>
  </si>
  <si>
    <t>Frasco x 4 litros</t>
  </si>
  <si>
    <t>JT Baker</t>
  </si>
  <si>
    <t>frasco x 4 litros</t>
  </si>
  <si>
    <t>ACROS ORGANICS</t>
  </si>
  <si>
    <t>4 LT</t>
  </si>
  <si>
    <t>CTR1096234000</t>
  </si>
  <si>
    <t xml:space="preserve">PANREAC </t>
  </si>
  <si>
    <t xml:space="preserve">500g </t>
  </si>
  <si>
    <t>P236497500G</t>
  </si>
  <si>
    <t>Frasco x 250g</t>
  </si>
  <si>
    <t>frasco x 250 gr</t>
  </si>
  <si>
    <t>250 G</t>
  </si>
  <si>
    <t>Frasco x 5 litro</t>
  </si>
  <si>
    <t>4LT</t>
  </si>
  <si>
    <t>CTRM1000144000</t>
  </si>
  <si>
    <t>Frasco x 4 litro</t>
  </si>
  <si>
    <t>4 Lts</t>
  </si>
  <si>
    <t>CTRM1000204000</t>
  </si>
  <si>
    <t>frasco x 2.5 litros</t>
  </si>
  <si>
    <t>MERCK</t>
  </si>
  <si>
    <t>2.5 L</t>
  </si>
  <si>
    <t>Frasco x 2,5 litro</t>
  </si>
  <si>
    <t>Frasco x 2,5 litros</t>
  </si>
  <si>
    <t>MACRON</t>
  </si>
  <si>
    <t>Frasco x 1Kg</t>
  </si>
  <si>
    <t>frasco x 1kg</t>
  </si>
  <si>
    <t>Frasco x 1kg</t>
  </si>
  <si>
    <t>1 Kg</t>
  </si>
  <si>
    <t>2.5 l</t>
  </si>
  <si>
    <t>CTR1003172500</t>
  </si>
  <si>
    <t>Frasco x 100mg</t>
  </si>
  <si>
    <t>frasco x 25 gr</t>
  </si>
  <si>
    <t xml:space="preserve"> SIGMA  </t>
  </si>
  <si>
    <t>25g</t>
  </si>
  <si>
    <t>Sigma aldrich</t>
  </si>
  <si>
    <t>31811625G</t>
  </si>
  <si>
    <t>Frasco x  2,5 litros</t>
  </si>
  <si>
    <t>frasco 50 ml</t>
  </si>
  <si>
    <t>BOTELLA/25g</t>
  </si>
  <si>
    <t>frasco x 25gr</t>
  </si>
  <si>
    <t>Frasco x 5g</t>
  </si>
  <si>
    <t>frasco x 5 gr</t>
  </si>
  <si>
    <t xml:space="preserve"> PANREAC </t>
  </si>
  <si>
    <t xml:space="preserve"> SIGMA </t>
  </si>
  <si>
    <t>Sigma</t>
  </si>
  <si>
    <t>49449100G</t>
  </si>
  <si>
    <t xml:space="preserve"> PANREAC  </t>
  </si>
  <si>
    <t>Frasco x 2.5  litros</t>
  </si>
  <si>
    <t>frasco x 2.5  litros</t>
  </si>
  <si>
    <t>2.5 LTS.</t>
  </si>
  <si>
    <t>CTRM1120802500</t>
  </si>
  <si>
    <t>pack x 2 kwik stik</t>
  </si>
  <si>
    <t>MICROBIOLOGICS</t>
  </si>
  <si>
    <t>Frasco x 125ml</t>
  </si>
  <si>
    <t>Abcam</t>
  </si>
  <si>
    <t>frasco x 110 ml</t>
  </si>
  <si>
    <t>LIOFILCHEM</t>
  </si>
  <si>
    <t>SCHARLAU</t>
  </si>
  <si>
    <t>Frasco x 500 Gr</t>
  </si>
  <si>
    <t>OXOID</t>
  </si>
  <si>
    <t>Frasco 500g</t>
  </si>
  <si>
    <t>1 KG</t>
  </si>
  <si>
    <t>BD</t>
  </si>
  <si>
    <t>Frasco x 500 g</t>
  </si>
  <si>
    <t>GENEON Ref. CE169</t>
  </si>
  <si>
    <t>Yeast extract powder (Molecular Biology Grade)  500 g</t>
  </si>
  <si>
    <t xml:space="preserve"> MERCK  </t>
  </si>
  <si>
    <t>Presentación ofrecida superior a la requerida</t>
  </si>
  <si>
    <t>Bolsa x 500g</t>
  </si>
  <si>
    <t>Invitrogen</t>
  </si>
  <si>
    <t>MP Biomedicals</t>
  </si>
  <si>
    <t>GENEON ref. 604-005</t>
  </si>
  <si>
    <t>Agarose Standard 50bp - 50.000 bp   1x500g</t>
  </si>
  <si>
    <t>500 G</t>
  </si>
  <si>
    <t>US1121853500GM</t>
  </si>
  <si>
    <t>kit x 100rxn</t>
  </si>
  <si>
    <t>Ambion</t>
  </si>
  <si>
    <t>kit x 200rxn</t>
  </si>
  <si>
    <t>New England Biolabs</t>
  </si>
  <si>
    <t>AGILENT ref. 600809</t>
  </si>
  <si>
    <t>Brilliant II QRT-PCR 1-Step Master Mix 25 µL/reaction.</t>
  </si>
  <si>
    <t>Frasco x 500ml</t>
  </si>
  <si>
    <t>Frasco x 1000 ml</t>
  </si>
  <si>
    <r>
      <t xml:space="preserve">HYCLONE ref. SH30538.03 </t>
    </r>
    <r>
      <rPr>
        <b/>
        <sz val="8"/>
        <color theme="0"/>
        <rFont val="Arial Narrow"/>
        <family val="2"/>
      </rPr>
      <t>COTIZAR LA DE 500 ML  SH30538.02</t>
    </r>
  </si>
  <si>
    <t>Water, Molecular Biology Grade, DNase, RNase, Protease free (no activity within assay detectability limits), Deionized, Distilled, 0.1 µm Sterile Filtered-1000 mL</t>
  </si>
  <si>
    <t>AMRESCO</t>
  </si>
  <si>
    <t>botella x 500ml</t>
  </si>
  <si>
    <t>MOL LABS</t>
  </si>
  <si>
    <t>Frasco x 500 ml</t>
  </si>
  <si>
    <t>frasco x 500 ml</t>
  </si>
  <si>
    <t>GROWCELLS</t>
  </si>
  <si>
    <t>Frasco x 700ml</t>
  </si>
  <si>
    <t>OSA</t>
  </si>
  <si>
    <t>frasco x 700 o 750 ml</t>
  </si>
  <si>
    <t>frasco x  1 l</t>
  </si>
  <si>
    <t>NACIONAL</t>
  </si>
  <si>
    <t xml:space="preserve">100g </t>
  </si>
  <si>
    <t>Gibco</t>
  </si>
  <si>
    <t>CTRM1054281000</t>
  </si>
  <si>
    <t>5 g</t>
  </si>
  <si>
    <t>A95185G</t>
  </si>
  <si>
    <t>Caja x 10 Sobres</t>
  </si>
  <si>
    <t>Ofrecen otra marca</t>
  </si>
  <si>
    <t>caja x 10</t>
  </si>
  <si>
    <t>PAQUETE/10</t>
  </si>
  <si>
    <t>Ofrecen otra marca/ Presentación superior</t>
  </si>
  <si>
    <t>caja x 5</t>
  </si>
  <si>
    <t>25 TESTS</t>
  </si>
  <si>
    <t>Caja x 100 Sobres</t>
  </si>
  <si>
    <t>N/A</t>
  </si>
  <si>
    <t>CAJA/50</t>
  </si>
  <si>
    <t>Frasco x 20ml</t>
  </si>
  <si>
    <t>Frasco x 50ml</t>
  </si>
  <si>
    <t>HYCLONE Ref. SV30078.01</t>
  </si>
  <si>
    <t>Amphotericin B (Fungizone) Solution, 250 µg/mL-50 mL</t>
  </si>
  <si>
    <t>100 Mg</t>
  </si>
  <si>
    <t>US1171375100MG</t>
  </si>
  <si>
    <t>100ML</t>
  </si>
  <si>
    <t>A5955100ML</t>
  </si>
  <si>
    <t>5 gramos</t>
  </si>
  <si>
    <t>N88785G</t>
  </si>
  <si>
    <t>frasco x 25 mg</t>
  </si>
  <si>
    <t>Frasco x 500mg</t>
  </si>
  <si>
    <t>frasco x 500 mg o 1mu</t>
  </si>
  <si>
    <t>P49321MU</t>
  </si>
  <si>
    <t>frascos x 1 ml</t>
  </si>
  <si>
    <t>Frasco x 1mg</t>
  </si>
  <si>
    <t>unidad</t>
  </si>
  <si>
    <t>Frasco x 100ml / 40000 rxn</t>
  </si>
  <si>
    <t>ID VET</t>
  </si>
  <si>
    <t>Kit x 20 Pruebas</t>
  </si>
  <si>
    <t>REMEL</t>
  </si>
  <si>
    <t>Incluye reactivos reveladores, Se ofertan 2 Kits teniendo en cuenta que la presentacion es de 20 pruebas</t>
  </si>
  <si>
    <t>caja x 25 galerías</t>
  </si>
  <si>
    <t xml:space="preserve">BIOMERIEUX </t>
  </si>
  <si>
    <t>Frasco x 10g</t>
  </si>
  <si>
    <t>frasco x 10 gr</t>
  </si>
  <si>
    <t>bolsa x 25 lbs</t>
  </si>
  <si>
    <t>INCAUCA</t>
  </si>
  <si>
    <t xml:space="preserve">5g </t>
  </si>
  <si>
    <t xml:space="preserve">Frasco x 25g </t>
  </si>
  <si>
    <t>Macron</t>
  </si>
  <si>
    <t>Frasco x 1000ml</t>
  </si>
  <si>
    <t>Albor</t>
  </si>
  <si>
    <t xml:space="preserve">BIOQUIGEN </t>
  </si>
  <si>
    <t/>
  </si>
  <si>
    <t>ALFA AESAR</t>
  </si>
  <si>
    <t>Otra marca</t>
  </si>
  <si>
    <t>DIFCO</t>
  </si>
  <si>
    <t>escala 200nM</t>
  </si>
  <si>
    <t>200nM</t>
  </si>
  <si>
    <t>MACROGEN</t>
  </si>
  <si>
    <t>Incluye reactivos reveladores</t>
  </si>
  <si>
    <t>kit x 20 pruebas</t>
  </si>
  <si>
    <t xml:space="preserve">BD </t>
  </si>
  <si>
    <t>caja x 20</t>
  </si>
  <si>
    <t>10 KU</t>
  </si>
  <si>
    <t>frasco x 10 ml </t>
  </si>
  <si>
    <t> frasco  x 2 ml</t>
  </si>
  <si>
    <t>Frasco x 50g</t>
  </si>
  <si>
    <t>frasco x 1 kl</t>
  </si>
  <si>
    <t>MERK</t>
  </si>
  <si>
    <t>500 gr</t>
  </si>
  <si>
    <t>Cell Signaling</t>
  </si>
  <si>
    <t>Frasco x 50 g</t>
  </si>
  <si>
    <t>GENEON ref. CE100</t>
  </si>
  <si>
    <t>Albumin fraction V (pH7,0)  (Molecular Biology Grade) 50 g</t>
  </si>
  <si>
    <t>50 gr</t>
  </si>
  <si>
    <t>SIGMA ALDRICH</t>
  </si>
  <si>
    <t>set x 5 x 1ml</t>
  </si>
  <si>
    <t>Frasco x 4 ml</t>
  </si>
  <si>
    <t>set x 5 x 1 ml</t>
  </si>
  <si>
    <t>GENEON ref. 306-205</t>
  </si>
  <si>
    <t>DNA Loading (6X) Buffer for Agarose and Acrylamide Gels 5x1 ml</t>
  </si>
  <si>
    <t>set x 5 viales x 1 ml</t>
  </si>
  <si>
    <t>LONZA</t>
  </si>
  <si>
    <t>caja x 10 sobres</t>
  </si>
  <si>
    <t>P381310PAK</t>
  </si>
  <si>
    <t>frasco x  1 litro</t>
  </si>
  <si>
    <t>1 LITRO</t>
  </si>
  <si>
    <t>PROMEGA ref. V4251</t>
  </si>
  <si>
    <t>TBE Buffer, 10X Molecular Biology Grade, 1000ml</t>
  </si>
  <si>
    <t>frasco x 17g (para 1 l)</t>
  </si>
  <si>
    <t>40 litros</t>
  </si>
  <si>
    <t>BBL</t>
  </si>
  <si>
    <t>No informa</t>
  </si>
  <si>
    <t>Incluye suplemento</t>
  </si>
  <si>
    <t>frasco x  500 gr</t>
  </si>
  <si>
    <t>frasco x 1 kg</t>
  </si>
  <si>
    <t>5 Loops</t>
  </si>
  <si>
    <t>vial</t>
  </si>
  <si>
    <t xml:space="preserve">MICROBIOLOGIC </t>
  </si>
  <si>
    <t>paquete de 2 kwik-stik ™</t>
  </si>
  <si>
    <t>frasco x 150 mg</t>
  </si>
  <si>
    <t>SIGMA-ALDRICH</t>
  </si>
  <si>
    <t>Frasco x 1g</t>
  </si>
  <si>
    <t>frasco x 5gr</t>
  </si>
  <si>
    <t>CTRM1024454000</t>
  </si>
  <si>
    <t>500 M</t>
  </si>
  <si>
    <t>CTRMC2432500ML</t>
  </si>
  <si>
    <t>250 g</t>
  </si>
  <si>
    <t>CTR1023820250</t>
  </si>
  <si>
    <t>250 GR</t>
  </si>
  <si>
    <t>Frasco x 2kg</t>
  </si>
  <si>
    <t>Frasco x 250ml</t>
  </si>
  <si>
    <t xml:space="preserve"> 6x5 ml</t>
  </si>
  <si>
    <t xml:space="preserve">caja x 6 x 3 ml </t>
  </si>
  <si>
    <t>HARDY DIAGNOSTICS</t>
  </si>
  <si>
    <t>ALBOR</t>
  </si>
  <si>
    <t>Frasco 1 litro</t>
  </si>
  <si>
    <t>2x5ml</t>
  </si>
  <si>
    <t>IDVET</t>
  </si>
  <si>
    <t>Frasco x 5ml</t>
  </si>
  <si>
    <t>2 frascos x 5 ml</t>
  </si>
  <si>
    <t>frasco x 1 ml</t>
  </si>
  <si>
    <t>frasco x 50 gr</t>
  </si>
  <si>
    <t>Frasco x 250mg</t>
  </si>
  <si>
    <t>Frasco x 25ml</t>
  </si>
  <si>
    <t>frasco x 25 ml</t>
  </si>
  <si>
    <t>25 ML</t>
  </si>
  <si>
    <t>4071825ML</t>
  </si>
  <si>
    <t xml:space="preserve"> frasco x 500 ml </t>
  </si>
  <si>
    <t xml:space="preserve"> ALFA AESAR </t>
  </si>
  <si>
    <t>GENEON ref. CE121</t>
  </si>
  <si>
    <t>Dimethylsulfoxide  (Molecular Biology Grade)  500 ml</t>
  </si>
  <si>
    <t>MERKC</t>
  </si>
  <si>
    <t>GENEON ref. CE120</t>
  </si>
  <si>
    <t>Dimethylsulfoxide  (Molecular Biology Grade)  100 ml</t>
  </si>
  <si>
    <t>frasco de 5g</t>
  </si>
  <si>
    <t>S1876500G</t>
  </si>
  <si>
    <t>X3877100G</t>
  </si>
  <si>
    <t>Frasco x 250 g</t>
  </si>
  <si>
    <t>GENEON ref. CE135</t>
  </si>
  <si>
    <t>EDTA - Dinatriumsalz - Dihydrat  (Molecular Biology Grade) 250 g</t>
  </si>
  <si>
    <t>E6760500G</t>
  </si>
  <si>
    <t>Frasco x 475ml</t>
  </si>
  <si>
    <t>Thermo</t>
  </si>
  <si>
    <t>1000 units</t>
  </si>
  <si>
    <t>Frasco 25g</t>
  </si>
  <si>
    <t>Frasco x 10mg</t>
  </si>
  <si>
    <t>100 mg</t>
  </si>
  <si>
    <t>DR EHRENSTORFER</t>
  </si>
  <si>
    <t xml:space="preserve">100 ml </t>
  </si>
  <si>
    <t>250 mg</t>
  </si>
  <si>
    <t>DR. EHRENSTORFER</t>
  </si>
  <si>
    <t>100 ml</t>
  </si>
  <si>
    <t>100mL</t>
  </si>
  <si>
    <t>ACCUSTAND</t>
  </si>
  <si>
    <t>25 mg</t>
  </si>
  <si>
    <t>DR EHRENSTOFER</t>
  </si>
  <si>
    <t>Frasco x 5mg</t>
  </si>
  <si>
    <t>10 mg</t>
  </si>
  <si>
    <t>10 x 0.5 gr</t>
  </si>
  <si>
    <t>USP</t>
  </si>
  <si>
    <t>500 mg</t>
  </si>
  <si>
    <t>LGC</t>
  </si>
  <si>
    <t>50 mg</t>
  </si>
  <si>
    <t>250 gr</t>
  </si>
  <si>
    <t>4 litros</t>
  </si>
  <si>
    <t>2.5-l</t>
  </si>
  <si>
    <t>1 litro</t>
  </si>
  <si>
    <t>20 ml</t>
  </si>
  <si>
    <t>BIOQUIP PRODUCTS INC</t>
  </si>
  <si>
    <t>2,5 litros</t>
  </si>
  <si>
    <t>Frasco x 5 litros</t>
  </si>
  <si>
    <t>5 litros</t>
  </si>
  <si>
    <t>5 L</t>
  </si>
  <si>
    <t>US1516724500GM</t>
  </si>
  <si>
    <t>500 ml</t>
  </si>
  <si>
    <t>VWR</t>
  </si>
  <si>
    <t>400 ml</t>
  </si>
  <si>
    <t>25 gr</t>
  </si>
  <si>
    <t>25 g</t>
  </si>
  <si>
    <t>100 gr</t>
  </si>
  <si>
    <t>SUPELCO</t>
  </si>
  <si>
    <t xml:space="preserve"> 500 gr </t>
  </si>
  <si>
    <t xml:space="preserve"> MERCK </t>
  </si>
  <si>
    <t>10 gr</t>
  </si>
  <si>
    <t>1000 cc</t>
  </si>
  <si>
    <t>10ml</t>
  </si>
  <si>
    <t>250cc</t>
  </si>
  <si>
    <t>PANREAAC</t>
  </si>
  <si>
    <t>CTRM1043744000</t>
  </si>
  <si>
    <t>1 kg</t>
  </si>
  <si>
    <t>CTRM1091411000</t>
  </si>
  <si>
    <t>1kg</t>
  </si>
  <si>
    <t>CTRM1064621000</t>
  </si>
  <si>
    <t>Galón</t>
  </si>
  <si>
    <t>Frasco x 50mg</t>
  </si>
  <si>
    <t>100Rxn</t>
  </si>
  <si>
    <t xml:space="preserve"> 100 rxn </t>
  </si>
  <si>
    <t xml:space="preserve"> ID VET </t>
  </si>
  <si>
    <t xml:space="preserve"> 100 reacciones </t>
  </si>
  <si>
    <t>caja 100</t>
  </si>
  <si>
    <t>3M</t>
  </si>
  <si>
    <t>3,78 litros</t>
  </si>
  <si>
    <t>5 ml</t>
  </si>
  <si>
    <t>BIOMERIEUX</t>
  </si>
  <si>
    <t>Frasco x 200ml</t>
  </si>
  <si>
    <t>4 componentes</t>
  </si>
  <si>
    <t>250 ml</t>
  </si>
  <si>
    <t>Kit x 96</t>
  </si>
  <si>
    <t>CYTIVA ref. 29506009</t>
  </si>
  <si>
    <t xml:space="preserve"> Sera-Xtracta Virus/Pathogen Kit x 96</t>
  </si>
  <si>
    <t xml:space="preserve"> kit/384 pruebas </t>
  </si>
  <si>
    <t xml:space="preserve"> APPLIED BIOSYSTEMS </t>
  </si>
  <si>
    <t>und</t>
  </si>
  <si>
    <t>FISHER - ACROS</t>
  </si>
  <si>
    <t>ALFA (USA)</t>
  </si>
  <si>
    <t>Frasco  1 litro</t>
  </si>
  <si>
    <t>10 ml</t>
  </si>
  <si>
    <t>DRRR</t>
  </si>
  <si>
    <t>230 ml</t>
  </si>
  <si>
    <t>25 ml</t>
  </si>
  <si>
    <t>FAPAS</t>
  </si>
  <si>
    <t>ERM</t>
  </si>
  <si>
    <t>TRILOGY</t>
  </si>
  <si>
    <t>1 gr</t>
  </si>
  <si>
    <t>10 sobres x 1 litro</t>
  </si>
  <si>
    <t>Gibco/invitrogen</t>
  </si>
  <si>
    <t>10 x 1 l</t>
  </si>
  <si>
    <t>GENEON ref. CE182</t>
  </si>
  <si>
    <t>LB-Medium - Powder according to Lennox  (Molecular Biology Grade) 500 g</t>
  </si>
  <si>
    <t xml:space="preserve">500G </t>
  </si>
  <si>
    <t>caja x 100 ampollas</t>
  </si>
  <si>
    <t>50 unidades</t>
  </si>
  <si>
    <t>COPAN DIAGNOSTICS</t>
  </si>
  <si>
    <t>HYCLONE ref. SH30243.01</t>
  </si>
  <si>
    <t>DMEM with High Glucose, with 4.0 mM L-Glutamine, with Sodium Pyruvate-500 mL</t>
  </si>
  <si>
    <t>Caja 20 frascos x 100ml</t>
  </si>
  <si>
    <t xml:space="preserve">20 X 100 ml </t>
  </si>
  <si>
    <t xml:space="preserve"> GIBCO/INVITROGEN </t>
  </si>
  <si>
    <t>1 l</t>
  </si>
  <si>
    <t>CTRM1060121000</t>
  </si>
  <si>
    <t>2.5 litros</t>
  </si>
  <si>
    <t>2.5L</t>
  </si>
  <si>
    <t>CTRM1060352500</t>
  </si>
  <si>
    <t>4 L</t>
  </si>
  <si>
    <t>CTRM1060184000</t>
  </si>
  <si>
    <t>caja x 25 pruebas</t>
  </si>
  <si>
    <t>NVSL</t>
  </si>
  <si>
    <t>5 gr</t>
  </si>
  <si>
    <t>Frasco x 5MU</t>
  </si>
  <si>
    <t>5 mu</t>
  </si>
  <si>
    <t>Frasco x 1 kg</t>
  </si>
  <si>
    <t>CTRI1050631000</t>
  </si>
  <si>
    <t>500g</t>
  </si>
  <si>
    <t>CTRI1065370500</t>
  </si>
  <si>
    <t>25 tabletas</t>
  </si>
  <si>
    <t>x 2 ml</t>
  </si>
  <si>
    <t>3 ml</t>
  </si>
  <si>
    <t>2 ml</t>
  </si>
  <si>
    <t>100 tabletas</t>
  </si>
  <si>
    <t>1 kl</t>
  </si>
  <si>
    <t>caja x 25</t>
  </si>
  <si>
    <t>THERMO SCIENTIFIC</t>
  </si>
  <si>
    <t>10 x 500ml</t>
  </si>
  <si>
    <t>100 g</t>
  </si>
  <si>
    <t>Frasco x 1MU</t>
  </si>
  <si>
    <t>10 mu</t>
  </si>
  <si>
    <t>FRASCO X 10MU</t>
  </si>
  <si>
    <t>P779410MU</t>
  </si>
  <si>
    <t>BIOWEST</t>
  </si>
  <si>
    <t>400 gr</t>
  </si>
  <si>
    <t xml:space="preserve">250g </t>
  </si>
  <si>
    <t>CTRM1050820250</t>
  </si>
  <si>
    <t>1 L</t>
  </si>
  <si>
    <t>10 paneles</t>
  </si>
  <si>
    <t>1 mu</t>
  </si>
  <si>
    <t>500 g</t>
  </si>
  <si>
    <t>30 x 30 ml</t>
  </si>
  <si>
    <t>Base x 200nM</t>
  </si>
  <si>
    <t>200 Nm</t>
  </si>
  <si>
    <t>Fasco x 1 litro</t>
  </si>
  <si>
    <t>Frasco x 2ml</t>
  </si>
  <si>
    <t>NEW ENGLAND BIOLABS</t>
  </si>
  <si>
    <t>Unidad</t>
  </si>
  <si>
    <t>GENEON ref. 405-001</t>
  </si>
  <si>
    <t>Proteinase K (Bestseller) Activity:  &gt; 30 units/mg protein (hemoglobin, pH 7.5, 37°C) 5x1ml (20 mg/ml)</t>
  </si>
  <si>
    <t>CYTIVA ref. 27955701</t>
  </si>
  <si>
    <t>PURETAQ RTG PCR 0.2ML-MWP 96RX</t>
  </si>
  <si>
    <t>GE HEALTHCARE BIO-SCIENCES</t>
  </si>
  <si>
    <t>3 viales x 6 ml</t>
  </si>
  <si>
    <t>TEST VERITAS</t>
  </si>
  <si>
    <t>1 vial</t>
  </si>
  <si>
    <t>500 ML</t>
  </si>
  <si>
    <t>500 ul</t>
  </si>
  <si>
    <t>BIOTIUM</t>
  </si>
  <si>
    <t>475 ml</t>
  </si>
  <si>
    <t>MBP</t>
  </si>
  <si>
    <r>
      <t>40U/µ</t>
    </r>
    <r>
      <rPr>
        <sz val="6.8"/>
        <color theme="1"/>
        <rFont val="Arial Narrow"/>
        <family val="2"/>
      </rPr>
      <t xml:space="preserve"> vial</t>
    </r>
  </si>
  <si>
    <t>Invitrogen - Ambion</t>
  </si>
  <si>
    <t>3000 units</t>
  </si>
  <si>
    <t>10000 unidades</t>
  </si>
  <si>
    <t>INVITROGEN</t>
  </si>
  <si>
    <t>Frasco x 10ml</t>
  </si>
  <si>
    <t>Frasco x 1ml</t>
  </si>
  <si>
    <t>GENEON ref. 409-050</t>
  </si>
  <si>
    <t>RNase A (MBG) 50 mg</t>
  </si>
  <si>
    <t>25GM</t>
  </si>
  <si>
    <t>VWR INTERNACIONAL</t>
  </si>
  <si>
    <t>25G</t>
  </si>
  <si>
    <t>250 tab</t>
  </si>
  <si>
    <t>CYTIVA ref. 17131301</t>
  </si>
  <si>
    <t>SDS 100 G</t>
  </si>
  <si>
    <t xml:space="preserve">SIGMA </t>
  </si>
  <si>
    <t>Caja x 5 tubos x 50 discos</t>
  </si>
  <si>
    <t>Caja x 50 discos</t>
  </si>
  <si>
    <t>SIGMA - ALDRICH</t>
  </si>
  <si>
    <t>15 ampollas</t>
  </si>
  <si>
    <t xml:space="preserve">CAJA 15 </t>
  </si>
  <si>
    <t>2 kwik stick</t>
  </si>
  <si>
    <t>MBL</t>
  </si>
  <si>
    <t>Frasco x 2,5mg</t>
  </si>
  <si>
    <t>EKI CHEM (USA)</t>
  </si>
  <si>
    <t>Biowest</t>
  </si>
  <si>
    <t>4 ml</t>
  </si>
  <si>
    <t>0.6 ml</t>
  </si>
  <si>
    <t>NSVL</t>
  </si>
  <si>
    <t>HYCLONE ref. SH30910.03IR</t>
  </si>
  <si>
    <t>FETAL BOVINE SERUM  500 mL  IRRADIATED-500 mL</t>
  </si>
  <si>
    <t>Vial x 1ml</t>
  </si>
  <si>
    <t>1 ml</t>
  </si>
  <si>
    <t>IDT</t>
  </si>
  <si>
    <t>GENEON ref. CE169</t>
  </si>
  <si>
    <t>0.05 ml</t>
  </si>
  <si>
    <t>Thermo Scientific</t>
  </si>
  <si>
    <t>200 rxns</t>
  </si>
  <si>
    <t>Kit</t>
  </si>
  <si>
    <t>AGILENT ref. 600882</t>
  </si>
  <si>
    <t>SYBR Green PCR Master Mix® marca Agilent  600882  Brilliant III Ultra-Fast SYBR QPCR MM.</t>
  </si>
  <si>
    <r>
      <t xml:space="preserve">Vial 400 </t>
    </r>
    <r>
      <rPr>
        <sz val="8"/>
        <color theme="1"/>
        <rFont val="Arial"/>
        <family val="2"/>
      </rPr>
      <t>µ</t>
    </r>
    <r>
      <rPr>
        <sz val="6.8"/>
        <color theme="1"/>
        <rFont val="Arial Narrow"/>
        <family val="2"/>
      </rPr>
      <t>l</t>
    </r>
  </si>
  <si>
    <t>ACTGene</t>
  </si>
  <si>
    <t>Vial</t>
  </si>
  <si>
    <t>GENEON ref.  S420</t>
  </si>
  <si>
    <t>GelRED(TM) for Agarose or Page Gels (10000X in water) 0,5 ml</t>
  </si>
  <si>
    <t>2 x 500 gr</t>
  </si>
  <si>
    <t>200 test</t>
  </si>
  <si>
    <t>CAJA X 1</t>
  </si>
  <si>
    <t>kit x 200 rxn</t>
  </si>
  <si>
    <t>300 test</t>
  </si>
  <si>
    <t>UNIDAD</t>
  </si>
  <si>
    <t>50 Test</t>
  </si>
  <si>
    <t>50 test</t>
  </si>
  <si>
    <t>PAQUETE/50</t>
  </si>
  <si>
    <t>100 x 5 g</t>
  </si>
  <si>
    <t>Frasco x 1 Kg</t>
  </si>
  <si>
    <t>GENEON ref. CE236</t>
  </si>
  <si>
    <t>Tris - Hydrochloride  (Molecular Biology Grade)  1 kg</t>
  </si>
  <si>
    <t>GENEON ref. CE237</t>
  </si>
  <si>
    <t>Tris  (Molecular Biology Grade)  500 g</t>
  </si>
  <si>
    <t>HYCLONE ref. SV30084.01</t>
  </si>
  <si>
    <t>Trypan Blue Solution, 0.4% in Phosphate Buffered Saline-100 mL</t>
  </si>
  <si>
    <t>/100ML</t>
  </si>
  <si>
    <t>T8154100ML</t>
  </si>
  <si>
    <t>HYCLONE ref. SH30042.01</t>
  </si>
  <si>
    <t>Trypsin, 0.25% (1X), with 2.5 g porcine trypsin (1:250/L gamma irradiated) in HBSS with 0.2 g/L EDTA, without calcium, magnesium (liquid)-100 mL</t>
  </si>
  <si>
    <t>Frasco x 1 L</t>
  </si>
  <si>
    <t>GENEON ref. CE242</t>
  </si>
  <si>
    <t>Tween® 20  (Molecular Biology Grade)  1 l</t>
  </si>
  <si>
    <t>P1379100ML</t>
  </si>
  <si>
    <t>Frasco x1kg</t>
  </si>
  <si>
    <t>CYTIVA ref. 17131901</t>
  </si>
  <si>
    <t>UREA_ 500 G</t>
  </si>
  <si>
    <t>Frasco 5 Galones</t>
  </si>
  <si>
    <t>4 x 50ml</t>
  </si>
  <si>
    <t>4 vial x 50 ml</t>
  </si>
  <si>
    <t>50 ul</t>
  </si>
  <si>
    <t>5 kg</t>
  </si>
  <si>
    <t>VIRKONS</t>
  </si>
  <si>
    <t>2 amp x 5 ml</t>
  </si>
  <si>
    <t>5 lb</t>
  </si>
  <si>
    <t>5 libras</t>
  </si>
  <si>
    <t>MP BIOMEDICALS</t>
  </si>
  <si>
    <t>6 libras</t>
  </si>
  <si>
    <t>1 mg</t>
  </si>
  <si>
    <t>1MG</t>
  </si>
  <si>
    <t>S98891MG</t>
  </si>
  <si>
    <t xml:space="preserve"> 2 ml</t>
  </si>
  <si>
    <t>DR. ERHENSTORFER</t>
  </si>
  <si>
    <t>frasco x 10 mg</t>
  </si>
  <si>
    <t>2 vial x 3 ml</t>
  </si>
  <si>
    <t>PROMEGA ref. M7805</t>
  </si>
  <si>
    <t>GOTAQ G2 FLEXI DNA POLYMERASE, 500 U GoTaq® G2 Flexi es una DNA polimerasa, contene GoTaq® G2 Flexi DNA Polymerase, 5X Green GoTaq® Flexi Bufer, 5X Colorless GoTaq® Flexi Bufer y 25 mM MgCl2. Contene 50% de glicerol con bufers diseñados para una amplifcación m ejorada.MARCA PROMEGA referencia M7805</t>
  </si>
  <si>
    <t>ALCOHOL ISOPROPILICO (2- PROPANOL) 99.5%. 'SNE'</t>
  </si>
  <si>
    <t>caja x 100</t>
  </si>
  <si>
    <t>MICROKIT</t>
  </si>
  <si>
    <t>CONDA</t>
  </si>
  <si>
    <t xml:space="preserve"> Merck</t>
  </si>
  <si>
    <t>Frasco x 25000 Unidades</t>
  </si>
  <si>
    <t>5 x 10 mg</t>
  </si>
  <si>
    <t>10 x 5 mg</t>
  </si>
  <si>
    <t>Frasco  x 10 mg</t>
  </si>
  <si>
    <t xml:space="preserve">OXOID </t>
  </si>
  <si>
    <t>500 g / 10 viales</t>
  </si>
  <si>
    <t>200 mg</t>
  </si>
  <si>
    <t>1 g</t>
  </si>
  <si>
    <t>300 mg</t>
  </si>
  <si>
    <t>Frasco x100mg</t>
  </si>
  <si>
    <t>20 x 10 mg</t>
  </si>
  <si>
    <t>TRC</t>
  </si>
  <si>
    <t>1. ELEMENTOS QUIMICOS LTDA</t>
  </si>
  <si>
    <t>2. MOLECULAR ENGINEERING SAS NIT: 800.122.987-1</t>
  </si>
  <si>
    <t>3. LABORATORIO MEDICO VETERINARIO - LMV SAS</t>
  </si>
  <si>
    <t>4. INSOLAB</t>
  </si>
  <si>
    <t>6. QUIMIOLAB</t>
  </si>
  <si>
    <t>8. ANNAR DIAGNOSTICA IMPORT</t>
  </si>
  <si>
    <t>9. ARTILAB SA</t>
  </si>
  <si>
    <t>10. LABBRANDS</t>
  </si>
  <si>
    <t>11. PAF</t>
  </si>
  <si>
    <t>13. EXOGENA LTDA</t>
  </si>
  <si>
    <t>14. AVANTIKA COLOMBIA S.A.S</t>
  </si>
  <si>
    <t>15. Thermo Fisher Scientific</t>
  </si>
  <si>
    <t>16. SANITAS S.A.S</t>
  </si>
  <si>
    <t>17. AQUALAB</t>
  </si>
  <si>
    <t>18. Tecnologías Orozco Torres - TOT</t>
  </si>
  <si>
    <t>19. BIOCELL</t>
  </si>
  <si>
    <t>20. ADEQUIM S.A.S.</t>
  </si>
  <si>
    <t>21. IDC</t>
  </si>
  <si>
    <t>22. COMFANDI</t>
  </si>
  <si>
    <t>23. MERCALDAS</t>
  </si>
  <si>
    <t>24. ASESORÍA AGRÍCOLA Y APICULTURA</t>
  </si>
  <si>
    <t>25. AGROINSUMOS EL CONTADO</t>
  </si>
  <si>
    <t>28. CASA MATRIZ LTDA</t>
  </si>
  <si>
    <t>29. MERCK</t>
  </si>
  <si>
    <t>31. G&amp;G SUCESORES</t>
  </si>
  <si>
    <t>31. MAQUETING NET SAS</t>
  </si>
  <si>
    <t>Cantidad</t>
  </si>
  <si>
    <t>Historico 2021 + IPC</t>
  </si>
  <si>
    <t xml:space="preserve">Valor unitario </t>
  </si>
  <si>
    <t>Valor IVA</t>
  </si>
  <si>
    <t>Valor Unitario con IVA</t>
  </si>
  <si>
    <t>MARCA</t>
  </si>
  <si>
    <t>Referencia</t>
  </si>
  <si>
    <t>1-Methylimidazole</t>
  </si>
  <si>
    <t xml:space="preserve">Aldrich M50834 </t>
  </si>
  <si>
    <t xml:space="preserve">99% de puereza-Frasco de 100g </t>
  </si>
  <si>
    <t>M50834-100G</t>
  </si>
  <si>
    <t>MERCK - SIGMA - SUPELCO</t>
  </si>
  <si>
    <t xml:space="preserve">2-Mercaptoetanol (1.000X), 55mM en  D-PBS. Frasco x50ml. Marca GIBCO /INVITROGEN Ref 21985023 </t>
  </si>
  <si>
    <t>Unidad </t>
  </si>
  <si>
    <t>ABM</t>
  </si>
  <si>
    <t>CH044</t>
  </si>
  <si>
    <t>GIBCO</t>
  </si>
  <si>
    <t>2-Nitrobenzaldehido</t>
  </si>
  <si>
    <t xml:space="preserve">Sigma N10802 </t>
  </si>
  <si>
    <t>Frasco x 2g</t>
  </si>
  <si>
    <t>N10802-2G</t>
  </si>
  <si>
    <t>5,6-dimetyl-2-thiouracil 97.5%</t>
  </si>
  <si>
    <t>Sigma-aldrich o equivalente</t>
  </si>
  <si>
    <t>Frasco x25 mg</t>
  </si>
  <si>
    <t>574554-1G</t>
  </si>
  <si>
    <t>Aceite de clavo</t>
  </si>
  <si>
    <t>Cualquier marca</t>
  </si>
  <si>
    <t>C8392-100ML</t>
  </si>
  <si>
    <t>C8392-500ML</t>
  </si>
  <si>
    <t>SA10800000</t>
  </si>
  <si>
    <t>Aceite de inmersión</t>
  </si>
  <si>
    <t>A0699.0100</t>
  </si>
  <si>
    <t>SCHARLAU Q</t>
  </si>
  <si>
    <t>AC00310100</t>
  </si>
  <si>
    <t>VA010001</t>
  </si>
  <si>
    <t>Aceite mineral</t>
  </si>
  <si>
    <t>AMIN-1000</t>
  </si>
  <si>
    <t>M8410-100ML</t>
  </si>
  <si>
    <t>VA040002</t>
  </si>
  <si>
    <t>Aces buffer</t>
  </si>
  <si>
    <t>Sigma/A-3594</t>
  </si>
  <si>
    <t>Frasco x 100 g</t>
  </si>
  <si>
    <t>A3594-500G</t>
  </si>
  <si>
    <t>A3594-100G</t>
  </si>
  <si>
    <t>A3594-500</t>
  </si>
  <si>
    <t>Acetato de amonio grado masas o equivalente</t>
  </si>
  <si>
    <t>Sigma Aldrich / Merck / JT Baker o equivalente</t>
  </si>
  <si>
    <t>Frasco x 100g
 (se aceptan presentaciones diferentes a frasco de 100 g siempre y cuando se cumpla con la cantidad solicitada por la entidad)</t>
  </si>
  <si>
    <t>AM02590050</t>
  </si>
  <si>
    <t>73594-100G-F</t>
  </si>
  <si>
    <t>Acetato de amonio grado RA</t>
  </si>
  <si>
    <t>Merck o equivalente</t>
  </si>
  <si>
    <t>frasco x 500g</t>
  </si>
  <si>
    <t>131114.1210</t>
  </si>
  <si>
    <t>AM02540500</t>
  </si>
  <si>
    <t>0596-01-M</t>
  </si>
  <si>
    <t xml:space="preserve">Acetato de etilo grado masas </t>
  </si>
  <si>
    <t>Frasco x 2.5 litros
(Se aceptan presentaciones diferentes a 2.5 l siempre y cuando se cumpla con la cantidad solicitada por la entidad)</t>
  </si>
  <si>
    <t>AC01581000</t>
  </si>
  <si>
    <t>Acetato de etilo para análisis de residuos</t>
  </si>
  <si>
    <t>Frasco x 4 litros
(Se aceptan presentaciones diferentes a 4 l siempre y cuando se cumpla con la cantidad solicitada por la entidad)</t>
  </si>
  <si>
    <t>AC01482500</t>
  </si>
  <si>
    <t>9260-03-U</t>
  </si>
  <si>
    <t>Acetato de potasio</t>
  </si>
  <si>
    <t>Merck o Scharlau</t>
  </si>
  <si>
    <t>141479.1211</t>
  </si>
  <si>
    <t>PO01091000</t>
  </si>
  <si>
    <t>236497-500G</t>
  </si>
  <si>
    <t>Acetato de sodio anhidro</t>
  </si>
  <si>
    <t>50 a 100g ó 500g</t>
  </si>
  <si>
    <t>131633.1210</t>
  </si>
  <si>
    <t>SO00350500</t>
  </si>
  <si>
    <t>3470-01-M</t>
  </si>
  <si>
    <t xml:space="preserve">Acetona grado reactivo </t>
  </si>
  <si>
    <t>Merck, JT Baker, Mallinckrodt, Scharlau o equivalente</t>
  </si>
  <si>
    <t>Frasco x 4 litros
 (Se aceptan presentaciones diferentes a 4 l siempre y cuando se cumpla con la cantidad solicitada por la entidad)</t>
  </si>
  <si>
    <t>131007.1214</t>
  </si>
  <si>
    <t>AC03142500</t>
  </si>
  <si>
    <t>9006-03-M</t>
  </si>
  <si>
    <t>Acetonitrilo grado gradiente</t>
  </si>
  <si>
    <t>Merck, JT Baker, Sigma o equivalente</t>
  </si>
  <si>
    <t>4 Litros</t>
  </si>
  <si>
    <t>AC03294000</t>
  </si>
  <si>
    <t>Acetonitrilo grado HPLC con certificado de analisis y ficha de seguridad. Grado gradiente</t>
  </si>
  <si>
    <t>221881.16153</t>
  </si>
  <si>
    <t>AC03334000</t>
  </si>
  <si>
    <t>9012-03-M</t>
  </si>
  <si>
    <t>Acetonitrilo grado isocrático</t>
  </si>
  <si>
    <t>Acetonitrilo LC/MS con certificado de análisis  y ficha de seguridad.</t>
  </si>
  <si>
    <t>Merck o JT Baker o equivalente</t>
  </si>
  <si>
    <t>Frasco x 2.5 litros</t>
  </si>
  <si>
    <t>AC03712500</t>
  </si>
  <si>
    <t>Ácido acético glacial minimo 96% PA con certificado análisis y ficha de seguridad</t>
  </si>
  <si>
    <t>141008.1612</t>
  </si>
  <si>
    <t>AC03532500</t>
  </si>
  <si>
    <t>9508-05-M</t>
  </si>
  <si>
    <t>Ácido ascórbico</t>
  </si>
  <si>
    <t>131013.1208</t>
  </si>
  <si>
    <t>100769 - 1kg</t>
  </si>
  <si>
    <t>AC05150100</t>
  </si>
  <si>
    <t>33034-100G</t>
  </si>
  <si>
    <t xml:space="preserve">Ácido bórico granular  grado ACS,ISO,Reag. Ph Eur </t>
  </si>
  <si>
    <t>JT BAKER, MERCK, SIGMA ALDRICH o equivalente</t>
  </si>
  <si>
    <t>131015.1211</t>
  </si>
  <si>
    <t>195074 - 1kg</t>
  </si>
  <si>
    <t>AC05781000</t>
  </si>
  <si>
    <t>0084-19-M</t>
  </si>
  <si>
    <t>Ácido cítrico monohidratado</t>
  </si>
  <si>
    <t xml:space="preserve">Merck, Carlo Erba, Scharlau, JT Baker </t>
  </si>
  <si>
    <t>131018.1211</t>
  </si>
  <si>
    <t>AC07251000</t>
  </si>
  <si>
    <t>0110-19-M</t>
  </si>
  <si>
    <t>Acido clorhidrico 0.25M</t>
  </si>
  <si>
    <t>ampolla y/  Frasco x 1Litro</t>
  </si>
  <si>
    <t>AC07551000</t>
  </si>
  <si>
    <t>Ácido clorhídrico 37 - 38%</t>
  </si>
  <si>
    <t>Merck,  JT Baker, Scharlau o equivalente.</t>
  </si>
  <si>
    <t>131020.1212</t>
  </si>
  <si>
    <t>AC07412500</t>
  </si>
  <si>
    <t>9535-05-M</t>
  </si>
  <si>
    <t>Ácido fórmico 98-100 % pureza, con certificado de análisis y ficha de seguridad</t>
  </si>
  <si>
    <t>131030.1612</t>
  </si>
  <si>
    <t>AC10852500</t>
  </si>
  <si>
    <t>Acido fórmico para LC-MS certificado de análisis y ficha de seguridad</t>
  </si>
  <si>
    <t>Frasco 50 mL</t>
  </si>
  <si>
    <t>AC10760050</t>
  </si>
  <si>
    <t>Ácido fosfomolibdico solución 2%</t>
  </si>
  <si>
    <t>Sigma Aldrich / Merck / JT Baker</t>
  </si>
  <si>
    <t>131031.1608</t>
  </si>
  <si>
    <t>A1005320025</t>
  </si>
  <si>
    <t>Ácido fosfotúngstico monohidratado</t>
  </si>
  <si>
    <t>Sigma Aldrich / Merck / JT Baker o marcas equivalentes</t>
  </si>
  <si>
    <t>AC11300025</t>
  </si>
  <si>
    <t>P4006-25G</t>
  </si>
  <si>
    <t>Ácido nítrico ACS 69-70% certificado de análisis y ficha de seguridad</t>
  </si>
  <si>
    <t>131037.1612</t>
  </si>
  <si>
    <t>AC16002500</t>
  </si>
  <si>
    <t>9601-05-M</t>
  </si>
  <si>
    <t>Acido Oxálico Grado reactivo con certificado de análisis y fecha de vencimiento no inferior a un año a partir de la fecha de entrega</t>
  </si>
  <si>
    <t>Merck, JT Baker, Scharlau o equivalente</t>
  </si>
  <si>
    <t>141041.1211</t>
  </si>
  <si>
    <t>AC17201000</t>
  </si>
  <si>
    <t>Acido perclórico, reactivo analítico 70%</t>
  </si>
  <si>
    <t>Merck,  JT Baker, Scharlau, Panreac o equivalente.</t>
  </si>
  <si>
    <t>142175.1612</t>
  </si>
  <si>
    <t>AC17602500</t>
  </si>
  <si>
    <t>244252-2.5L</t>
  </si>
  <si>
    <t>M3999-46-U</t>
  </si>
  <si>
    <t>Ácido peryódico</t>
  </si>
  <si>
    <t>Merck / JT Baker</t>
  </si>
  <si>
    <t>142320.1608</t>
  </si>
  <si>
    <t>T146-03-U</t>
  </si>
  <si>
    <t>Acido Pícrico</t>
  </si>
  <si>
    <t>141048.1610</t>
  </si>
  <si>
    <t>AC17700250</t>
  </si>
  <si>
    <t>197378-100G</t>
  </si>
  <si>
    <t>Ácido sulfamico</t>
  </si>
  <si>
    <t>Sigma - Merkc u otro</t>
  </si>
  <si>
    <t>50g a 100 g o 1Kg</t>
  </si>
  <si>
    <t>A18836-22</t>
  </si>
  <si>
    <t>AC20501000</t>
  </si>
  <si>
    <t>383120-100G</t>
  </si>
  <si>
    <t>242772-100G</t>
  </si>
  <si>
    <t>Ácido sulfúrico 97-98% analítico  con certificado de análisis y ficha de seguridad</t>
  </si>
  <si>
    <t>131058.1612</t>
  </si>
  <si>
    <t>AC20692500</t>
  </si>
  <si>
    <t>9681-05-M</t>
  </si>
  <si>
    <t>Agar agar</t>
  </si>
  <si>
    <t>Merck,  BBL, Difco, Acumedia, Scharlau, Sigma-Aldrich, Oxoid</t>
  </si>
  <si>
    <t>A0949.0500</t>
  </si>
  <si>
    <t>BIOLOG</t>
  </si>
  <si>
    <t>Neogen</t>
  </si>
  <si>
    <t>NCM205/NCM0238/NCM0203</t>
  </si>
  <si>
    <t>Agar antibiotico #1</t>
  </si>
  <si>
    <t>Scharlau M</t>
  </si>
  <si>
    <t>01-009-500</t>
  </si>
  <si>
    <t>Liofilchem</t>
  </si>
  <si>
    <t>Agar antibiotico #11</t>
  </si>
  <si>
    <t>01-017-500</t>
  </si>
  <si>
    <t>Agar avena</t>
  </si>
  <si>
    <t>Frasco x 500gr</t>
  </si>
  <si>
    <t>O35061KG</t>
  </si>
  <si>
    <t>NCM0093A</t>
  </si>
  <si>
    <t>Agar base Bacillus cereus</t>
  </si>
  <si>
    <t>01-262-500</t>
  </si>
  <si>
    <t>NCM0062A</t>
  </si>
  <si>
    <t xml:space="preserve">agar Bordetgengou </t>
  </si>
  <si>
    <t>50g a 100 g</t>
  </si>
  <si>
    <t>Agar casman</t>
  </si>
  <si>
    <t>BBL BD 211106, Oxoid</t>
  </si>
  <si>
    <t>NCM0141A</t>
  </si>
  <si>
    <t>Agar Caso o Tripticasa de Soya</t>
  </si>
  <si>
    <t>Merck, JT Baker, Sigma, Oxoid o equivalente</t>
  </si>
  <si>
    <t>01-200-500</t>
  </si>
  <si>
    <t>NCM0002A</t>
  </si>
  <si>
    <t xml:space="preserve">Agar EMB </t>
  </si>
  <si>
    <t>MERCK., oxoid, BD, Scharlau</t>
  </si>
  <si>
    <t>01-068-500</t>
  </si>
  <si>
    <t>NCM0105A</t>
  </si>
  <si>
    <t>Agar enterocococel</t>
  </si>
  <si>
    <t>NCM0166A</t>
  </si>
  <si>
    <t xml:space="preserve">Agar Extracto de levadura </t>
  </si>
  <si>
    <t>Sigma, oxoid o equivalente</t>
  </si>
  <si>
    <t>01-111-500</t>
  </si>
  <si>
    <t>NCM0069A</t>
  </si>
  <si>
    <t>Agar Hugh- Leifson (OF)</t>
  </si>
  <si>
    <t>Pronadisa o  equivalente</t>
  </si>
  <si>
    <t>Agar leche descremada</t>
  </si>
  <si>
    <t>Agar Listeria</t>
  </si>
  <si>
    <t xml:space="preserve">Oxoid  o equivalente </t>
  </si>
  <si>
    <t>CM-856</t>
  </si>
  <si>
    <t>NCM1004A</t>
  </si>
  <si>
    <t xml:space="preserve">Agar MacConkey  </t>
  </si>
  <si>
    <t>413779.1210</t>
  </si>
  <si>
    <t>01-118-500</t>
  </si>
  <si>
    <t>NCM0017A</t>
  </si>
  <si>
    <t xml:space="preserve">Agar MacConkey con sorbitol + BCGI. Frasco x 500g. </t>
  </si>
  <si>
    <t>Merk o equivalente</t>
  </si>
  <si>
    <t>NCM1007A</t>
  </si>
  <si>
    <t>Agar Manitol</t>
  </si>
  <si>
    <t>MICROKIT, Oxoid o equivalente</t>
  </si>
  <si>
    <t>413783.1210</t>
  </si>
  <si>
    <t>01-116-500</t>
  </si>
  <si>
    <t>NCM0078A</t>
  </si>
  <si>
    <t>Agar Muller Hinton</t>
  </si>
  <si>
    <t>MERCK, oxoid o equivalente</t>
  </si>
  <si>
    <t>413787.1210</t>
  </si>
  <si>
    <t>01-136-500</t>
  </si>
  <si>
    <t>NCM0036A</t>
  </si>
  <si>
    <t>Agar Noble</t>
  </si>
  <si>
    <t>A5431-250G</t>
  </si>
  <si>
    <t xml:space="preserve">Agar ROSA de  Bengala  y Cloranfenicol </t>
  </si>
  <si>
    <t xml:space="preserve">Condalab  o  equivalente </t>
  </si>
  <si>
    <t xml:space="preserve">Frasco  x 500 g </t>
  </si>
  <si>
    <t>01-301-500</t>
  </si>
  <si>
    <t>NCM0135A</t>
  </si>
  <si>
    <t>Agar Sabouraud Dextrosa</t>
  </si>
  <si>
    <t>BD o equivalente</t>
  </si>
  <si>
    <t>413802.1210</t>
  </si>
  <si>
    <t>01-165-500</t>
  </si>
  <si>
    <t>CM-041</t>
  </si>
  <si>
    <t>NCM0008A</t>
  </si>
  <si>
    <t>Agar Saboureaud con Cloranfenicol</t>
  </si>
  <si>
    <t xml:space="preserve">merck  o  equivalente </t>
  </si>
  <si>
    <t>01-166-500</t>
  </si>
  <si>
    <t>89579500GF</t>
  </si>
  <si>
    <t>NCM0068A</t>
  </si>
  <si>
    <t>Agar SPS</t>
  </si>
  <si>
    <t>01-050-500</t>
  </si>
  <si>
    <t>Agar TBX cromogenico para recuento de E. coli. Frasco x 500g. (OXOID)</t>
  </si>
  <si>
    <t>NCM1001A</t>
  </si>
  <si>
    <t>Agar triple azúcar hierro (TSI)</t>
  </si>
  <si>
    <t>Scharlau, Dibico, Sigma-Aldrich, oxoid o equivalente</t>
  </si>
  <si>
    <t>01-192-500</t>
  </si>
  <si>
    <t>Agar TSN</t>
  </si>
  <si>
    <t>01-195-500</t>
  </si>
  <si>
    <t>93735-500G</t>
  </si>
  <si>
    <t>NCM0077A</t>
  </si>
  <si>
    <t>Agar VRB G</t>
  </si>
  <si>
    <t>01-295-500</t>
  </si>
  <si>
    <t>NCM0041A</t>
  </si>
  <si>
    <t>Agar YGC</t>
  </si>
  <si>
    <t>01-366-500</t>
  </si>
  <si>
    <t>Agarosa grado biología molecular</t>
  </si>
  <si>
    <t xml:space="preserve">Merck, Acumedia, BBL, Sharlau, Sigma, VWR., AMRESCO o equivalentes </t>
  </si>
  <si>
    <t xml:space="preserve">Frasco x 500g o presentaciones menores hasta completen los 500g requeridos defindios como Presentación. </t>
  </si>
  <si>
    <t>APPLIED BIOLOGICAL MATERIALS</t>
  </si>
  <si>
    <t>G060-2</t>
  </si>
  <si>
    <t>A9539-500G</t>
  </si>
  <si>
    <t>V3125</t>
  </si>
  <si>
    <t>PROMEGA</t>
  </si>
  <si>
    <t>AgPath-ID(TM) One-step RT-PCR Kit; (100 rxn);</t>
  </si>
  <si>
    <t>Thermo Fisher Ref. AM1005</t>
  </si>
  <si>
    <t>Kit x 100 rxn</t>
  </si>
  <si>
    <t>QR0100-1KT</t>
  </si>
  <si>
    <t>Applied Biosystems</t>
  </si>
  <si>
    <t>AM1005</t>
  </si>
  <si>
    <t>Agua estéril libre de nucleasas</t>
  </si>
  <si>
    <t xml:space="preserve">Thermo Fisher, Invitrogen, VRW o Equibvalentes </t>
  </si>
  <si>
    <t>Caja x 5  x100ml o frasco x 500 ml</t>
  </si>
  <si>
    <t>AM9939</t>
  </si>
  <si>
    <t>SH30538.01</t>
  </si>
  <si>
    <t>GENERAL ELECTRIC - HYCLONE</t>
  </si>
  <si>
    <t>Agua oxigenada Concentracion 3.5 %</t>
  </si>
  <si>
    <t>JGB</t>
  </si>
  <si>
    <t>Botella x 500ml</t>
  </si>
  <si>
    <t>Agua peptonada buferada</t>
  </si>
  <si>
    <t>NCM0015A</t>
  </si>
  <si>
    <t xml:space="preserve">AGUA tratada con DEPC, para uso con RNA, es Incubada con 0.1% de DEPC, autoclavada y luego filtrada. Caja x 4 Frascos de 100ml. Ref 750024 </t>
  </si>
  <si>
    <t>Alcohol ácido Ziehl Neelsen</t>
  </si>
  <si>
    <t>OR040005</t>
  </si>
  <si>
    <t>Alcohol antiséptico al 70%</t>
  </si>
  <si>
    <t>Frasco x 700 o 750 ml</t>
  </si>
  <si>
    <t>JGB SA</t>
  </si>
  <si>
    <t>COCV_98991</t>
  </si>
  <si>
    <t>Alcohol bencílico</t>
  </si>
  <si>
    <t>Frasco x  1 L</t>
  </si>
  <si>
    <t>141081.1611</t>
  </si>
  <si>
    <t>AL01611000</t>
  </si>
  <si>
    <t>Alcohol Etilico grado técnico al 96 %</t>
  </si>
  <si>
    <t>OR0410606</t>
  </si>
  <si>
    <t>Alcohol industrial para mechero</t>
  </si>
  <si>
    <t>AEI-5000</t>
  </si>
  <si>
    <t xml:space="preserve">Almidón                                                               </t>
  </si>
  <si>
    <t>Frasco x 100 g o 250 g</t>
  </si>
  <si>
    <t>121096.1210</t>
  </si>
  <si>
    <t>AL07150250</t>
  </si>
  <si>
    <t>Almidón soluble para análisis con certificado de análisis trazable por lote y descargable mediante el website del fabricante</t>
  </si>
  <si>
    <t>Aminoácidos NO esenciales</t>
  </si>
  <si>
    <t>Gibco 11140-050</t>
  </si>
  <si>
    <t>CAPRICORN SCIENTIFIC</t>
  </si>
  <si>
    <t>NEAA-B</t>
  </si>
  <si>
    <t>M7145-100ML</t>
  </si>
  <si>
    <t>L4461</t>
  </si>
  <si>
    <t>Ammonium Phosphate, Monobasic,(Fosfato de amonio monobasico)  analytical standard, for nitrogen determination according to Kjeldahl method, ≥99.5% (referencia 88431-25G) sinonimos mono-Ammonium phosphate, prim-Ammonium phosphate, Ammonium dihydrogenphosphate</t>
  </si>
  <si>
    <t>Frasco x25 g</t>
  </si>
  <si>
    <t xml:space="preserve">Frasco x25 g </t>
  </si>
  <si>
    <t>88431-25G</t>
  </si>
  <si>
    <t>Amoniaco 25 % para análisis   con certificado de análisis y ficha de seguridad</t>
  </si>
  <si>
    <t>141129.1611</t>
  </si>
  <si>
    <t>AM02491000</t>
  </si>
  <si>
    <t>IB042550</t>
  </si>
  <si>
    <t>Amonio y hierro(II) sulfato hexahidrato  p.a. ISO (referencia merck 103792)</t>
  </si>
  <si>
    <t>Merck o marca equivalente</t>
  </si>
  <si>
    <t>Fasco x 1000gr</t>
  </si>
  <si>
    <t>131368.1211</t>
  </si>
  <si>
    <t>HI03161000</t>
  </si>
  <si>
    <t>Ampicilina</t>
  </si>
  <si>
    <t>Sigma A9518-5G, Scharlau o equivalente</t>
  </si>
  <si>
    <t>Frasco x 5 g</t>
  </si>
  <si>
    <t>AM04680005</t>
  </si>
  <si>
    <t>A9518-5G</t>
  </si>
  <si>
    <r>
      <rPr>
        <sz val="8"/>
        <color rgb="FFFF0000"/>
        <rFont val="Arial Narrow"/>
        <family val="2"/>
      </rPr>
      <t>Sigma</t>
    </r>
    <r>
      <rPr>
        <sz val="8"/>
        <rFont val="Arial Narrow"/>
        <family val="2"/>
      </rPr>
      <t xml:space="preserve"> </t>
    </r>
    <r>
      <rPr>
        <sz val="8"/>
        <color rgb="FFFF0000"/>
        <rFont val="Arial Narrow"/>
        <family val="2"/>
      </rPr>
      <t>A9518-5G</t>
    </r>
  </si>
  <si>
    <t>Anaerocult A</t>
  </si>
  <si>
    <t>Caja x 10</t>
  </si>
  <si>
    <t xml:space="preserve">Anaerocult C </t>
  </si>
  <si>
    <t>Merck 16275</t>
  </si>
  <si>
    <t>Caja x 5</t>
  </si>
  <si>
    <t>Anaerotest indicador anaerobiosis</t>
  </si>
  <si>
    <t xml:space="preserve">Merck </t>
  </si>
  <si>
    <t>Frasco x 50 tiras</t>
  </si>
  <si>
    <t>Anfotericina B solución para cultivo celular</t>
  </si>
  <si>
    <t>Frasco x 50 ml</t>
  </si>
  <si>
    <t>AMP-B</t>
  </si>
  <si>
    <t>A2942-50ML</t>
  </si>
  <si>
    <t>Antibiotic Antimycotic Solution (100×), Stabilized . with 10,000 units penicillin, 10 mg streptomycin and 25 μg amphotericin B per mL, sterile-filtered, BioReagent, suitable for cell culture</t>
  </si>
  <si>
    <t>Sigma A5955; Gibco 15240062</t>
  </si>
  <si>
    <t>AAS-B</t>
  </si>
  <si>
    <t>A5955-100ML</t>
  </si>
  <si>
    <t>Antibiótico acido Nalidixico</t>
  </si>
  <si>
    <t xml:space="preserve">Oxoid, Santa cruz o Sigma.  Cas 389-08-2.  N8878. </t>
  </si>
  <si>
    <t>5g</t>
  </si>
  <si>
    <t>N8878-5G</t>
  </si>
  <si>
    <t>Antibiótico ácido Nalidíxico Cas 389-08-2  N8878. 5g</t>
  </si>
  <si>
    <t>Santa cruz o Sigma</t>
  </si>
  <si>
    <t>Antibiotico polimixina B Cas 1405-20-5 P4932-1MU</t>
  </si>
  <si>
    <t>Sigma o equivalente</t>
  </si>
  <si>
    <t>P4932-1MU</t>
  </si>
  <si>
    <t>Sigma P4932</t>
  </si>
  <si>
    <t>Anticuerpo antiratón biotinado</t>
  </si>
  <si>
    <t>Antigeno H5N9 Influenza Aviar</t>
  </si>
  <si>
    <t>INSTITUTO ZOOPROFILACTICO DE VENEZIA</t>
  </si>
  <si>
    <t>Frasco liofilizado  x 1 ml</t>
  </si>
  <si>
    <t xml:space="preserve">IZV </t>
  </si>
  <si>
    <t>H5N9</t>
  </si>
  <si>
    <t>Antigeno H6N2  Influenza Aviar</t>
  </si>
  <si>
    <t>H6N2</t>
  </si>
  <si>
    <t>Antigeno H7N3  Influenza Aviar</t>
  </si>
  <si>
    <t>H7N3</t>
  </si>
  <si>
    <t>Antigeno H9N2  Influenza Aviar</t>
  </si>
  <si>
    <t>H9N2</t>
  </si>
  <si>
    <t>Anti-Pig FITC</t>
  </si>
  <si>
    <t>SIGMA F1638</t>
  </si>
  <si>
    <t>F1638-2ML</t>
  </si>
  <si>
    <t>Antisuero de tipificación Salmonella y Shigella, Salmonella O Grupo B Factor. 1, 4, 5, 12 Liofilizado</t>
  </si>
  <si>
    <t>FRASCO X 3 ML</t>
  </si>
  <si>
    <t>IZV</t>
  </si>
  <si>
    <t>Antisuero Factor 5 (O)</t>
  </si>
  <si>
    <t>Vial 2 ml</t>
  </si>
  <si>
    <t>Antisuero flagelar Salmonella Z37</t>
  </si>
  <si>
    <t>Difco, Remel o equivalente</t>
  </si>
  <si>
    <t>Frasco x 3 ml</t>
  </si>
  <si>
    <t>Antisuero flagelar Salmonella Z42</t>
  </si>
  <si>
    <t>Antisuero IA</t>
  </si>
  <si>
    <t>NSVL,Oxoid</t>
  </si>
  <si>
    <t>Frasco X 5 ml</t>
  </si>
  <si>
    <t xml:space="preserve">Antisuero Salmonella  somático  O Grupo  B ( Factor 4) </t>
  </si>
  <si>
    <t xml:space="preserve">3 ml </t>
  </si>
  <si>
    <t>Antisuero Salmonella  somático O  Factor 9</t>
  </si>
  <si>
    <t>Antisuero Salmonella Factor 12 (O)</t>
  </si>
  <si>
    <t>FRASCO X 2 ML</t>
  </si>
  <si>
    <t>Antisuero Salmonella Factor 46 (O)</t>
  </si>
  <si>
    <t xml:space="preserve">VIAL 2ML </t>
  </si>
  <si>
    <t>Antisuero Salmonella Factor 7 (H)</t>
  </si>
  <si>
    <t>Antisuero Salmonella Factor D (H)</t>
  </si>
  <si>
    <t>API 20 E con reactivos reveladores (James, TDA, VP1,VP2, Solución salina 0,85%)</t>
  </si>
  <si>
    <t>Biomerieux, REMEL o equivalente.</t>
  </si>
  <si>
    <t>Caja x 25 galerías</t>
  </si>
  <si>
    <t>KIT-00619  + 20100 + 70542 +  70402+ 70572 +  20070</t>
  </si>
  <si>
    <t>Armored RNA Enterovirus x 250 ult Asuragen. Ref 42050</t>
  </si>
  <si>
    <t>Asuragen Ref 42050</t>
  </si>
  <si>
    <t>Vial x 250ul</t>
  </si>
  <si>
    <t>Asuragen</t>
  </si>
  <si>
    <t>Atrazina D6, estandar deuterado con certificado de análisis y fecha de vencimiento superior a 6 meses</t>
  </si>
  <si>
    <t xml:space="preserve">Dr Ehrenstorfer, HPC Standars, Sigma o equivalentes </t>
  </si>
  <si>
    <t>34053-10MG-R</t>
  </si>
  <si>
    <t>Supelco</t>
  </si>
  <si>
    <t xml:space="preserve">Avian antiserum infectious Bronchitis </t>
  </si>
  <si>
    <t xml:space="preserve">Charles River  Código del reactivo 10100442 </t>
  </si>
  <si>
    <t>Frasco x 1.0ml</t>
  </si>
  <si>
    <t xml:space="preserve">Charles River </t>
  </si>
  <si>
    <t xml:space="preserve">Avian antiserum infectious bursa disease </t>
  </si>
  <si>
    <t xml:space="preserve"> Charles River Código del reactivo 10100462</t>
  </si>
  <si>
    <t>Azometina H (Reactivo del Boro)  con certificado de análisis y ficha de seguridad</t>
  </si>
  <si>
    <t>Merck 111962 o equivalente</t>
  </si>
  <si>
    <t>Frasco x 10 g</t>
  </si>
  <si>
    <t>Azúcar</t>
  </si>
  <si>
    <t>Bolsa x 25 Lbs</t>
  </si>
  <si>
    <t>MANUELITA</t>
  </si>
  <si>
    <t>KIT-01145 (21986)</t>
  </si>
  <si>
    <t>Azul de Algodón</t>
  </si>
  <si>
    <t>Azul de anilina soluble en agua, de alta pureza, C32H25N3Na2O9S3  F.W.737.72 [28631-66-5]</t>
  </si>
  <si>
    <t>Frasco x 100 g o 4 frascos por 25 gramos</t>
  </si>
  <si>
    <t>AZ01000025</t>
  </si>
  <si>
    <t>Azul de bromotimol</t>
  </si>
  <si>
    <t>Frasco X 25 g o Frasco X 5 g</t>
  </si>
  <si>
    <t>131167.1604</t>
  </si>
  <si>
    <t>AZ01300025</t>
  </si>
  <si>
    <t>D470-01-M</t>
  </si>
  <si>
    <t>Azul de lactofenol  con certificado de análisis y ficha de seguridad</t>
  </si>
  <si>
    <t>AZ0175G100</t>
  </si>
  <si>
    <t>IN021003</t>
  </si>
  <si>
    <t>Azul de Metileno</t>
  </si>
  <si>
    <t>Frasco X 25 g</t>
  </si>
  <si>
    <t>A1402.0100</t>
  </si>
  <si>
    <t>AZ02030025</t>
  </si>
  <si>
    <t>Q473-03-U</t>
  </si>
  <si>
    <t>Azul de metileno Ziehl Neelsen</t>
  </si>
  <si>
    <t>IN040003</t>
  </si>
  <si>
    <t>Azure II eosin</t>
  </si>
  <si>
    <t>200220-25G</t>
  </si>
  <si>
    <t>Bacto peptona</t>
  </si>
  <si>
    <t>Difco 21677, Oxoid. Merc, BD, Scharlau</t>
  </si>
  <si>
    <t>NCM0213A</t>
  </si>
  <si>
    <t>Base para Primers 200mM</t>
  </si>
  <si>
    <t>Invitrogen o marca equivalente</t>
  </si>
  <si>
    <t>unidad Base</t>
  </si>
  <si>
    <t>PR0025Desalt</t>
  </si>
  <si>
    <t>BBL Crystal ANR</t>
  </si>
  <si>
    <t>245010 BBL</t>
  </si>
  <si>
    <t>Kit x 20 pruebas</t>
  </si>
  <si>
    <t xml:space="preserve">BBL Crystal Entericos / No Fermentadores  </t>
  </si>
  <si>
    <t>BD 245000</t>
  </si>
  <si>
    <t>Caja x 20</t>
  </si>
  <si>
    <t>BBL Crystal gram positivos</t>
  </si>
  <si>
    <t>245140 BBL</t>
  </si>
  <si>
    <t>BBL FTA hemagglutination Buffer</t>
  </si>
  <si>
    <t>Becton Dickinson, Oxoid</t>
  </si>
  <si>
    <t xml:space="preserve">Benlate o benomyl polvo fungicida </t>
  </si>
  <si>
    <t>Bolsa x 1 Kg</t>
  </si>
  <si>
    <t>Beta - glucoronidasa tipo HP-2s de helix Pomatia, Type HP-2S, aqueous solution, ≥100,000 units/ml con fecha de vencimiento no menor a Diciembre de 2021</t>
  </si>
  <si>
    <t>Sigma G7770</t>
  </si>
  <si>
    <t xml:space="preserve">Frasco x 10 ml </t>
  </si>
  <si>
    <t>G7770-10ML</t>
  </si>
  <si>
    <t>Beta-glucuronidasa</t>
  </si>
  <si>
    <t>Merck REF1.04114.0002</t>
  </si>
  <si>
    <t xml:space="preserve"> Frasco  x 2 ml</t>
  </si>
  <si>
    <t>Beta-glucuronidasa de E Coli.</t>
  </si>
  <si>
    <t>SIGMA ALDRICH  REF:G7646</t>
  </si>
  <si>
    <t>G7646-25KU</t>
  </si>
  <si>
    <t>Bicarbonato de sodio anhidro con certificado de análisis</t>
  </si>
  <si>
    <t>Merck 106329,1000 o equivalente</t>
  </si>
  <si>
    <t>Frasco x 1 k</t>
  </si>
  <si>
    <t>131638.1211</t>
  </si>
  <si>
    <t>SO01311000</t>
  </si>
  <si>
    <t>Bigdye Terminator Cycle Sequencing ready reaction Kit Versión 3.1</t>
  </si>
  <si>
    <t xml:space="preserve">Unidad   </t>
  </si>
  <si>
    <t>Bolsa para sangría  con anticoagulante  EDTA</t>
  </si>
  <si>
    <t>Baxter o similar</t>
  </si>
  <si>
    <t>Caja x 64</t>
  </si>
  <si>
    <t>Bondesil C18 bulk sorbent, 40 μm, 100 g Ref.
12213012</t>
  </si>
  <si>
    <t>Agilent o equivalente</t>
  </si>
  <si>
    <t xml:space="preserve"> Frasco 100 g</t>
  </si>
  <si>
    <t>97727-U</t>
  </si>
  <si>
    <t>AGILENT</t>
  </si>
  <si>
    <t>Bondesil-PSA, 40 µm</t>
  </si>
  <si>
    <t>Agilent / Merck o equivalente</t>
  </si>
  <si>
    <t>Brucella abortus control serum-Brucella abortus complement fixation (CF) low positive control serum 12-L</t>
  </si>
  <si>
    <t>12-L</t>
  </si>
  <si>
    <t>Brucella abortus FPA control serum 612-IHC</t>
  </si>
  <si>
    <t>Vial x 1 ml</t>
  </si>
  <si>
    <t>612-IHC</t>
  </si>
  <si>
    <t>Brucella control serum- Brucella suis negative control serum 712 N</t>
  </si>
  <si>
    <t>712-N</t>
  </si>
  <si>
    <t>Brucella control serum- Brucella suis positive control serum 712</t>
  </si>
  <si>
    <t>Brucella proficiency test- Brucella abortus check tests serum</t>
  </si>
  <si>
    <t xml:space="preserve">Panel </t>
  </si>
  <si>
    <t>Brucella species DNA</t>
  </si>
  <si>
    <t>NVSL. BRU-DNA NVSL</t>
  </si>
  <si>
    <t>BRU-DNA</t>
  </si>
  <si>
    <t>BSA</t>
  </si>
  <si>
    <t xml:space="preserve">Fracción de albúmina, bovina V 99%  Frasco  50 gramos  </t>
  </si>
  <si>
    <t>BSA-1U</t>
  </si>
  <si>
    <t>A7638-25G</t>
  </si>
  <si>
    <t>209-005W</t>
  </si>
  <si>
    <t>GENEON</t>
  </si>
  <si>
    <t xml:space="preserve">Buffer fosfato salino. polvo. pH 7.4 con fecha vencimiento no menor a 2 años con certificado trazables a NIST valorado por norma DIN 19268 </t>
  </si>
  <si>
    <t>Caja x 10 sobres</t>
  </si>
  <si>
    <t>P3813-1PAK</t>
  </si>
  <si>
    <t xml:space="preserve">Buffer pH 10 con fecha vencimiento no menor a 2 años con certificado trazables a NIST valorado por norma DIN 19268 </t>
  </si>
  <si>
    <t>Frasco x  1 litro</t>
  </si>
  <si>
    <t>272584.1211</t>
  </si>
  <si>
    <t>SO20101000</t>
  </si>
  <si>
    <t xml:space="preserve">Buffer pH 2 con vigencia superior a 2 años con certificado de análisis trazable  NIST valorado por norma DIN 19268 (ácido cítrico/hidróxido sódico/ácido clorhídrico), trazable a SRM de NIST y PTB pH 2.00 (20°C) </t>
  </si>
  <si>
    <t>SO10221000</t>
  </si>
  <si>
    <t>Buffer pH 4 con fecha vencimiento no menor a 2 años con certificado trazables a NIST valorado por norma DIN 19268 (ácido cítrico/sodio hidróxido/ácido clorhídrico o potasio hidrogeno ftalato ), trazable a SRM de NIST y PTB pH 4.00 (20°C -25°C)</t>
  </si>
  <si>
    <t>273616.1211</t>
  </si>
  <si>
    <t>SO30041000</t>
  </si>
  <si>
    <t xml:space="preserve">Buffer pH 7 con fecha vencimiento no menor a 2 años con certificado trazables a NIST valorado por norma DIN 19268 (potasio dihidrógeno fosfato/di-sodio hidrogeno fosfato)trazable a SRM de NIST y PTB pH 7.00 (25°C) </t>
  </si>
  <si>
    <t>SO30071000</t>
  </si>
  <si>
    <t>Buffer TBE dry Tris-Borate-Edta en sales para diluir</t>
  </si>
  <si>
    <t xml:space="preserve">Amresco </t>
  </si>
  <si>
    <t>Frasco x 17g (para 1 L)</t>
  </si>
  <si>
    <t xml:space="preserve">Buffer TBE Tampon 10X (Tris– Borato -EDTA) para Electroforesis </t>
  </si>
  <si>
    <t>VWR 0478-40L. Concentrado paquete para prepatrar 40 L</t>
  </si>
  <si>
    <t>TB00111000</t>
  </si>
  <si>
    <t>T4415-1L</t>
  </si>
  <si>
    <t>T4415-20L</t>
  </si>
  <si>
    <t>97061-754 (0478-40L)</t>
  </si>
  <si>
    <t>Caldo BHI</t>
  </si>
  <si>
    <t>Merck 110493, Oxoid o equivalente</t>
  </si>
  <si>
    <t>Frasco x 500 gr</t>
  </si>
  <si>
    <t>413777.1210</t>
  </si>
  <si>
    <t>02-599-500</t>
  </si>
  <si>
    <t>NCM0016A</t>
  </si>
  <si>
    <t>Caldo Caso o Tripticasa de Soya</t>
  </si>
  <si>
    <t>MERCK., oxoid</t>
  </si>
  <si>
    <t>02-200-500</t>
  </si>
  <si>
    <t>NCM0004A</t>
  </si>
  <si>
    <t xml:space="preserve">Caldo Muller Hinton ajustado con cationes </t>
  </si>
  <si>
    <t>BD 212322. Merck 5712, oxoid, Scharlau</t>
  </si>
  <si>
    <t>70192500G</t>
  </si>
  <si>
    <t>Caldo Rojo de metilo Vogues Proskauver</t>
  </si>
  <si>
    <t>Merck 5712, oxoid o equivalente</t>
  </si>
  <si>
    <t>02-207-500</t>
  </si>
  <si>
    <t>A1057120500</t>
  </si>
  <si>
    <t>Caldo Tertrationate</t>
  </si>
  <si>
    <t xml:space="preserve">Oxoid  Merck o equivalente </t>
  </si>
  <si>
    <t>02-335-500</t>
  </si>
  <si>
    <t>NCM0092A</t>
  </si>
  <si>
    <t>Caldo tioglicolato + extracto de carne. Fecha de vencimiento no inferior a 2 años</t>
  </si>
  <si>
    <t>Merck, Acumedia, BBL, Sharlau, Sigma, oxoid</t>
  </si>
  <si>
    <t xml:space="preserve">Frasco x 500 g </t>
  </si>
  <si>
    <t>1081900500 + 1039790500</t>
  </si>
  <si>
    <t>NCM0108A-NCM0279A-NCM2001A</t>
  </si>
  <si>
    <t>Caldo Trichomonas</t>
  </si>
  <si>
    <t>Merck, Acumedia, BBL, Sharlau, Sigma</t>
  </si>
  <si>
    <t>Caldo tripticasa soya  modificado E.coli O:157</t>
  </si>
  <si>
    <t>Oxoid  o Equivalente</t>
  </si>
  <si>
    <t>NCM0196A</t>
  </si>
  <si>
    <t>Caldo urea</t>
  </si>
  <si>
    <t>Scharlau, Dibico o equivante</t>
  </si>
  <si>
    <t>02-202-500</t>
  </si>
  <si>
    <t>Caldo/Medio Nitrato</t>
  </si>
  <si>
    <t>02-138-500</t>
  </si>
  <si>
    <t>Carbón activado para análisis granular</t>
  </si>
  <si>
    <t>Merck. Sigma, JT Baker, Sharlau o equivalentes</t>
  </si>
  <si>
    <t>242241-250G</t>
  </si>
  <si>
    <t>Carbon disulfuro, densidad 1260 mg/ml a 25 ° C</t>
  </si>
  <si>
    <t>161244.1611</t>
  </si>
  <si>
    <t>180173-1L</t>
  </si>
  <si>
    <t>Carbonato de Calcio (CaCO3) para analisis ACS reagent, ≥99.0%, powder</t>
  </si>
  <si>
    <t>Merck o Cualquier marca</t>
  </si>
  <si>
    <t>141212.1211</t>
  </si>
  <si>
    <t>CA01841000</t>
  </si>
  <si>
    <t>1288-01-M</t>
  </si>
  <si>
    <t>Carbonato de sodio, Anhydro, granular. Especificaciones ACS. Na2CO3. PM 105,99. 3604-01</t>
  </si>
  <si>
    <t>J.T BAKER o equivalente</t>
  </si>
  <si>
    <t>Frasco x 500g o 1 kg</t>
  </si>
  <si>
    <t>131648.1211</t>
  </si>
  <si>
    <t>3604-01-M</t>
  </si>
  <si>
    <t>Cartuchos de extracción de 6 ml, Octadecyl C18, 40µm, 60A°  (Se requiere 1g de la fase requerida, lecho es de 1000 mg por columna.).</t>
  </si>
  <si>
    <t>J.T Baker / Avantor o equivalente</t>
  </si>
  <si>
    <t>Caja x 30 cartuchos</t>
  </si>
  <si>
    <t>7020-07-U</t>
  </si>
  <si>
    <t>Caseína</t>
  </si>
  <si>
    <t>J.T Baker o Acros</t>
  </si>
  <si>
    <t>Frasco 500 g</t>
  </si>
  <si>
    <t>Cepa  Lecanicillium lecanni sp. Fecha  de vencimiento  no  inferior  a 2023 con certificado  de acreditación con 17034 pase 2 o 3.</t>
  </si>
  <si>
    <t xml:space="preserve">ATCC o  Colección Equivalente </t>
  </si>
  <si>
    <t>KWIK STIK, Criovial, Vial Liofilizado, Loop</t>
  </si>
  <si>
    <t>Cepa  Metarhizium  sp. Fecha  de vencimiento  no  inferior  a 2023, con certificado  de acreditación con 17034 pase 2 o 3.</t>
  </si>
  <si>
    <t>ATCC o Equivalente</t>
  </si>
  <si>
    <t>Cepa  Paecylomyces sp. Fecha  de vencimiento  no  inferior  a 2023 con certificado  de acreditación con 17034 pase 2 o 3</t>
  </si>
  <si>
    <t>Cepa Azotobacter croococcum Fecha  de vencimiento  no  inferior  a 2023, con certificado  de acreditación con 17034 pase 2 o 3</t>
  </si>
  <si>
    <t>Cepa Beauveria  bassiana Fecha  de vencimiento  no  inferior  a 2023, con certificado  de acreditación con 17034 pase 2 o 3</t>
  </si>
  <si>
    <t>ATCC 10231 o equivalente</t>
  </si>
  <si>
    <t>MicroBioLogics</t>
  </si>
  <si>
    <t>0443-CRM</t>
  </si>
  <si>
    <t>Cepa Clostridum sporogenes</t>
  </si>
  <si>
    <t>ATCC 19404 o ATCC 11437 o equivalente</t>
  </si>
  <si>
    <t>0317-CRM</t>
  </si>
  <si>
    <t>Cepa de aspergillus brasiliensis</t>
  </si>
  <si>
    <t>ATCC 16404 o equivalente</t>
  </si>
  <si>
    <t>0392-CRM</t>
  </si>
  <si>
    <t>Cepa de Bacillus subtilis</t>
  </si>
  <si>
    <t>ATCC 6633 o equivalente</t>
  </si>
  <si>
    <t>0486-CRM</t>
  </si>
  <si>
    <t>Cepa de referencia Brucella abortus RB51, 2 o 3 pases</t>
  </si>
  <si>
    <t>NVSL  u otro</t>
  </si>
  <si>
    <t>Vial, loops</t>
  </si>
  <si>
    <t>Cepa E. coli  ATCC 25922  con certificado  de acreditación con 17034</t>
  </si>
  <si>
    <t>Vial Liofilizado/ Criovial</t>
  </si>
  <si>
    <t>0335-CRM</t>
  </si>
  <si>
    <t>Cepa E. coli ATCC 35218, 2 o 3 pases</t>
  </si>
  <si>
    <t>ATCC o equivalente</t>
  </si>
  <si>
    <t>Culti loop, loops</t>
  </si>
  <si>
    <t>0495P</t>
  </si>
  <si>
    <t xml:space="preserve">Cepa Salmonella ATCC 14028  Fecha  de vencimiento no inferior  a 2024 con certificado  de acreditación en 17034 segundo o tercer pase de la colección </t>
  </si>
  <si>
    <t>0363-CRM</t>
  </si>
  <si>
    <t>ATCC 6538 o equivalente</t>
  </si>
  <si>
    <t>0485-CRM</t>
  </si>
  <si>
    <t xml:space="preserve">Material o polvo adsorbente inerte para derrame de sustancias químicas, con certificado de análisis y ficha de seguridad. </t>
  </si>
  <si>
    <t>212520.1210</t>
  </si>
  <si>
    <t>AB00020400</t>
  </si>
  <si>
    <t>A1020510500</t>
  </si>
  <si>
    <t xml:space="preserve">Citrato de sodio (Citrato trisodico) </t>
  </si>
  <si>
    <t>Sigma, S-4641 o equivalente</t>
  </si>
  <si>
    <t>Frasco X 25 o Frasco x 250g</t>
  </si>
  <si>
    <t>131633.1211</t>
  </si>
  <si>
    <t>SO02000250</t>
  </si>
  <si>
    <t>S4641-25G</t>
  </si>
  <si>
    <t>3646-01-M</t>
  </si>
  <si>
    <t>Citrato disodico sesquihidratado Número CAS 6132-05</t>
  </si>
  <si>
    <t>Sigma Aldrich, JT Baker, Sharlau o equivalente</t>
  </si>
  <si>
    <t>SO03491000</t>
  </si>
  <si>
    <t>AAAA14001-0B</t>
  </si>
  <si>
    <t>Cloroformo 99% Grado Biología Molecular</t>
  </si>
  <si>
    <t>Sigma C2432-500</t>
  </si>
  <si>
    <t>C2432-500ML</t>
  </si>
  <si>
    <t>C2432-500</t>
  </si>
  <si>
    <t>Cloroformo grado reactivo</t>
  </si>
  <si>
    <t>JT Baker / Merck</t>
  </si>
  <si>
    <t>Frasco x 4 litros o 2 frascos x 2,5 litros</t>
  </si>
  <si>
    <t>141252.1612</t>
  </si>
  <si>
    <t>CL02032500</t>
  </si>
  <si>
    <t>9180-03-M</t>
  </si>
  <si>
    <t>Clorpirifos deuterado  con certificado de análisis y ficha de seguridad.Fecha  de vencimiento  no  inferior  a 6 meses.</t>
  </si>
  <si>
    <t>Sigma Aldrich, Dr Erhenstorfer o similares</t>
  </si>
  <si>
    <t>Frasco x 25mg</t>
  </si>
  <si>
    <t>90047-5MG</t>
  </si>
  <si>
    <t>DRE-C11600100</t>
  </si>
  <si>
    <t>Cloruro de 2,3,5 Trifenil tetrazolio</t>
  </si>
  <si>
    <t>T8877-100G</t>
  </si>
  <si>
    <t>Cloruro de bario. BaCl2 (H2O)2</t>
  </si>
  <si>
    <t>50g a 100 g o 500g</t>
  </si>
  <si>
    <t>131182.1210</t>
  </si>
  <si>
    <t>BA00550500</t>
  </si>
  <si>
    <t>B0750-100G</t>
  </si>
  <si>
    <t>0974-01-M</t>
  </si>
  <si>
    <t>Cloruro de calcio dihidratado PA con certificado de análisis trazable por lote
(Se aceptan otras presentaciones diferentes a 250g siempre y cuando se garantice la cantidad total requerida por la insitución)</t>
  </si>
  <si>
    <t>Frasco x 250 g o frasco x 500 g</t>
  </si>
  <si>
    <t>131232.1210</t>
  </si>
  <si>
    <t>CA01940500</t>
  </si>
  <si>
    <t>1332-01-M</t>
  </si>
  <si>
    <t>Cloruro de estaño  dihidratado CAS 10025-89-1</t>
  </si>
  <si>
    <t>Merck o equvalentes</t>
  </si>
  <si>
    <t>Frasco X 250 g</t>
  </si>
  <si>
    <t>141303.1609</t>
  </si>
  <si>
    <t>ES00640250</t>
  </si>
  <si>
    <t>3980-01-M</t>
  </si>
  <si>
    <t>Cloruro de magnesio 6-hidratado (MgCl2.6H2O) con certificado de análisis trazable por lote</t>
  </si>
  <si>
    <t>JT Baker, Merck o equivalente</t>
  </si>
  <si>
    <t>131396.1210</t>
  </si>
  <si>
    <t>MA00360500</t>
  </si>
  <si>
    <t>2444-01-M</t>
  </si>
  <si>
    <t>Cloruro de potasio (KCl)  con certificado de análisis y ficha de seguridad</t>
  </si>
  <si>
    <t>Merck  o equivalente</t>
  </si>
  <si>
    <t>131493.1210</t>
  </si>
  <si>
    <t>PO02000500</t>
  </si>
  <si>
    <t>3040-01-M</t>
  </si>
  <si>
    <t>Cloruro de Potasio 3M para electrodos, Con certificado de análisis e incertidumbre. Fecha de vencimiento no inferior a 2 años</t>
  </si>
  <si>
    <t>3M o equivalente</t>
  </si>
  <si>
    <t xml:space="preserve">Frasco x 250 o 300 mL </t>
  </si>
  <si>
    <t>282775.1209</t>
  </si>
  <si>
    <t>PO02050250</t>
  </si>
  <si>
    <t>Cloruro de sodio (NaCl)</t>
  </si>
  <si>
    <t>Merck, Sigma, Sharlau,JT Baker o equivalentes</t>
  </si>
  <si>
    <t>SO02271000</t>
  </si>
  <si>
    <t>J.T. BAKER</t>
  </si>
  <si>
    <t>3624-01</t>
  </si>
  <si>
    <t>3624-19-M</t>
  </si>
  <si>
    <t>CoaguStaph™, Coagulasa plasma de conejo con EDTA , Test de coagulasa para Staphylococcus aureus</t>
  </si>
  <si>
    <t>Hardy diagnostics</t>
  </si>
  <si>
    <t xml:space="preserve">Caja x 6 x 3 ml </t>
  </si>
  <si>
    <t>Colorante fuschina fenicada Ziehl Neelsen</t>
  </si>
  <si>
    <t>Albor o equivalente</t>
  </si>
  <si>
    <t>Frasco x 1 litro  (Se aceptan presentaciones diferentes a 1 l siempre y cuando se cumpla con la cantidad solicitada por la entidad)</t>
  </si>
  <si>
    <t>064-PLA-CO</t>
  </si>
  <si>
    <t>CO040008</t>
  </si>
  <si>
    <t>Colorante Giemsa</t>
  </si>
  <si>
    <t>Frasco x 25 g</t>
  </si>
  <si>
    <t>Colorante violeta de gram</t>
  </si>
  <si>
    <t>CO040004</t>
  </si>
  <si>
    <t xml:space="preserve">Conjugado - antiguinea pig Ig G whole molecule </t>
  </si>
  <si>
    <t>Sigma A7289</t>
  </si>
  <si>
    <t>Frasco x 1 ml</t>
  </si>
  <si>
    <t>A7289-1ML</t>
  </si>
  <si>
    <t xml:space="preserve">Control de ensayo POSITIVO para Ivermectina en leche de bovino. </t>
  </si>
  <si>
    <t>FAPAS o Equivalente</t>
  </si>
  <si>
    <t>Frasco x 25 mL</t>
  </si>
  <si>
    <t>NA</t>
  </si>
  <si>
    <t>Vial cepa ATCC</t>
  </si>
  <si>
    <t>Cristal Violeta</t>
  </si>
  <si>
    <t>VI00250025</t>
  </si>
  <si>
    <t>97061-850</t>
  </si>
  <si>
    <t>CTAB (Bromuro de hexadeciltrimetilamonio o Bromuro de cetiltrimetilamonio)</t>
  </si>
  <si>
    <t>97062-432</t>
  </si>
  <si>
    <t>Desinfectante bactericida a base de yodo</t>
  </si>
  <si>
    <t>Frasco x 3.78 litros</t>
  </si>
  <si>
    <t>Detection Enhancer, for real-time PCR</t>
  </si>
  <si>
    <t>Applied Biosystem A44810</t>
  </si>
  <si>
    <t>Applied Biosystem</t>
  </si>
  <si>
    <t>A44810</t>
  </si>
  <si>
    <t>Dextrosa anhidro</t>
  </si>
  <si>
    <t>141341.1211</t>
  </si>
  <si>
    <t>901521 - 1kg</t>
  </si>
  <si>
    <t>NCM0216A</t>
  </si>
  <si>
    <t xml:space="preserve">D-Glucosa (Dextrosa) </t>
  </si>
  <si>
    <t>Merck, Acumedia, BBL, Sharlau, Sigma o equivalente</t>
  </si>
  <si>
    <t>152527 - 500g</t>
  </si>
  <si>
    <t>GL01250500</t>
  </si>
  <si>
    <t>M4912-12</t>
  </si>
  <si>
    <t>NCM0241A</t>
  </si>
  <si>
    <t>Diamonio hidrogeno fosfato (NH₄)₂HPO₄ grado ACS,ISO,Reag. Ph Eur</t>
  </si>
  <si>
    <t>Panreac, Sigma-Aldrich, referencia MERCK  101207)Equivalente</t>
  </si>
  <si>
    <t>131127.1211</t>
  </si>
  <si>
    <t>AM03120500</t>
  </si>
  <si>
    <t>di-Amonio hidrogenocitrato p.a.  ACS,Reag.  &gt; 98%</t>
  </si>
  <si>
    <t>Merck (referencia 1011540500) o similar</t>
  </si>
  <si>
    <t>AM03320500</t>
  </si>
  <si>
    <t xml:space="preserve">Diciclohexilftalato pureza mayor a 99% para GC </t>
  </si>
  <si>
    <t>JTBaker, merck o equivalentes</t>
  </si>
  <si>
    <t>Dicromato de potasio reactivo analítico con certificado de análisis. Estandar primario</t>
  </si>
  <si>
    <t>cualquier marca</t>
  </si>
  <si>
    <t>PO02350100</t>
  </si>
  <si>
    <t>Dihidrogeno Fosfato Disodico Na2HPO4</t>
  </si>
  <si>
    <t>Frasco x 500 g o 1000g</t>
  </si>
  <si>
    <t>131679.1210</t>
  </si>
  <si>
    <t>Dimetil sulfoxido: DMSO Grado Biología Molecular</t>
  </si>
  <si>
    <t>Frasco x 250 ml</t>
  </si>
  <si>
    <t>194819 - 250ml</t>
  </si>
  <si>
    <t>SU01590250</t>
  </si>
  <si>
    <t>CE121</t>
  </si>
  <si>
    <t>Dimetilformamida</t>
  </si>
  <si>
    <t>DI10724000</t>
  </si>
  <si>
    <t>Dimetilsulfóxido</t>
  </si>
  <si>
    <t>191954.1612</t>
  </si>
  <si>
    <t>SU01532500</t>
  </si>
  <si>
    <t>Dimetoato D6, estandar deuterado con certificado de análisis y fecha de vencimiento superior a 6 meses</t>
  </si>
  <si>
    <t>59824-5MG</t>
  </si>
  <si>
    <t>DRE-C12700000</t>
  </si>
  <si>
    <t xml:space="preserve">DNA Ladder 1 Kb Plus X 1000 ug Ref 10787026 </t>
  </si>
  <si>
    <t>G106</t>
  </si>
  <si>
    <t>G248</t>
  </si>
  <si>
    <t>G5711</t>
  </si>
  <si>
    <t>DNase I (RNase-free) x 2000Und.  Ref AM2222</t>
  </si>
  <si>
    <t>E091</t>
  </si>
  <si>
    <t>AM2222</t>
  </si>
  <si>
    <t>M6101</t>
  </si>
  <si>
    <t>D-Xilosa</t>
  </si>
  <si>
    <t>Merck A1.08689.0100</t>
  </si>
  <si>
    <t>142080.1208</t>
  </si>
  <si>
    <t>XI00800100</t>
  </si>
  <si>
    <t>EDTA  CAS 6381-92-6</t>
  </si>
  <si>
    <t>Merck o equivalentes</t>
  </si>
  <si>
    <t>131669.1209</t>
  </si>
  <si>
    <t>AC09650100</t>
  </si>
  <si>
    <t>US1324503-100GM</t>
  </si>
  <si>
    <t>Sigma E4884</t>
  </si>
  <si>
    <t>EDTA de hierro sodio Fe3Na EDTA E6760-500G</t>
  </si>
  <si>
    <t>Sigma/Merck</t>
  </si>
  <si>
    <t>Unidad x 500 g</t>
  </si>
  <si>
    <t>E6760-500G</t>
  </si>
  <si>
    <t>EDTA sal disódica dihidrato</t>
  </si>
  <si>
    <t>131669.1210</t>
  </si>
  <si>
    <t>CH032</t>
  </si>
  <si>
    <t>195173 - 500g</t>
  </si>
  <si>
    <t>AC09650500</t>
  </si>
  <si>
    <t>H5032</t>
  </si>
  <si>
    <t xml:space="preserve">Electrode solution storage-para almacenar o guardar electrodos de pH </t>
  </si>
  <si>
    <t>Orion/ Scharlau</t>
  </si>
  <si>
    <t>Frasco x 100ml o 250 ml</t>
  </si>
  <si>
    <t>Eliminador de nucleasas</t>
  </si>
  <si>
    <t>Spray x 475 mL</t>
  </si>
  <si>
    <t>83931-250ML</t>
  </si>
  <si>
    <t>97063-076</t>
  </si>
  <si>
    <t>EMJH enriquecimiento</t>
  </si>
  <si>
    <t xml:space="preserve">Difco </t>
  </si>
  <si>
    <t>Caja x 6 frascos x 100 ml</t>
  </si>
  <si>
    <t>Emulsion Yema de Huevo Con Telurito x 100 ml</t>
  </si>
  <si>
    <t>Frasco X 100 ml</t>
  </si>
  <si>
    <t>CO1C1037850001</t>
  </si>
  <si>
    <t>NCM4010-100</t>
  </si>
  <si>
    <t>Entellan</t>
  </si>
  <si>
    <t>Eosina Y</t>
  </si>
  <si>
    <t>131299.1606</t>
  </si>
  <si>
    <t>157922 - 25g</t>
  </si>
  <si>
    <t>EO00250025</t>
  </si>
  <si>
    <t>230251-25G</t>
  </si>
  <si>
    <t>E4009-25G</t>
  </si>
  <si>
    <t>Escala de Mac Farland Completa</t>
  </si>
  <si>
    <t>Tubos escala 0,5 a 10</t>
  </si>
  <si>
    <t>MDM</t>
  </si>
  <si>
    <t>AV04241</t>
  </si>
  <si>
    <t>Esmalte Transparente para Uñas</t>
  </si>
  <si>
    <t>Checo</t>
  </si>
  <si>
    <t>Estandar 4,4-DDD con certificado de análisis y fecha de vencimiento inferior a 6 meses</t>
  </si>
  <si>
    <t>35486-250MG</t>
  </si>
  <si>
    <t>DRE-C12031000</t>
  </si>
  <si>
    <t>Estandar 4,4-DDE con certificado de análisis y fecha de vencimiento inferior a 6 meses</t>
  </si>
  <si>
    <t>35487-100MG</t>
  </si>
  <si>
    <t>DRE-C12041000</t>
  </si>
  <si>
    <t>Estandar 4,4-DDT con certificado de análisis y fecha de vencimiento inferior a 6 meses</t>
  </si>
  <si>
    <t>31041-100MG</t>
  </si>
  <si>
    <t>DRE-C12082000</t>
  </si>
  <si>
    <t>Estándar Albendazole 
fecha de vigencia ó con fecha no menor a 2 años</t>
  </si>
  <si>
    <t xml:space="preserve">
Dr. Ehrenstorfer
Sigma Aldrich (Estándar Secundario Farmacéutico)</t>
  </si>
  <si>
    <t>La presentación depende del proveedor (Cantidad requerida: 200 mg)</t>
  </si>
  <si>
    <t>PHR1281-1G</t>
  </si>
  <si>
    <t>PHR12811G</t>
  </si>
  <si>
    <t>DRE-C10065000</t>
  </si>
  <si>
    <t>A4673-10G</t>
  </si>
  <si>
    <t>Estandar Aldrin con certificado de análisis y fecha de vencimiento inferior a 6 meses</t>
  </si>
  <si>
    <t>36666-25MG</t>
  </si>
  <si>
    <t>DRE-C10090000</t>
  </si>
  <si>
    <t xml:space="preserve">Estandar Amitraz
fecha de vigencia ó con fecha no menor a 2 años </t>
  </si>
  <si>
    <t>1028000-200MG</t>
  </si>
  <si>
    <t>45323-250MG</t>
  </si>
  <si>
    <t>DRE-C10230000</t>
  </si>
  <si>
    <t>Estandar Amoxicilina Trihydrate 
fecha de vigencia ó con fecha no menor a 2 años</t>
  </si>
  <si>
    <t>Frasco por 250 mg</t>
  </si>
  <si>
    <t>1031503-200MG</t>
  </si>
  <si>
    <t>31586250MG</t>
  </si>
  <si>
    <t>DRE-C10242500</t>
  </si>
  <si>
    <t>PHR1127-1G</t>
  </si>
  <si>
    <t>Estandar Ampicillin Trihydrate
fecha de vigencia ó con fecha no menor a 2 años</t>
  </si>
  <si>
    <t>31591-250MG</t>
  </si>
  <si>
    <t>PHR13931G</t>
  </si>
  <si>
    <t>DRE-C10243080</t>
  </si>
  <si>
    <t>PHR1393-1G</t>
  </si>
  <si>
    <t>Estándar Amprolium Hydrochloride
fecha de vigencia ó con fecha no menor a 2 años</t>
  </si>
  <si>
    <t>PHR2345-500MG</t>
  </si>
  <si>
    <t>1034002-200MG</t>
  </si>
  <si>
    <t>31592250MG</t>
  </si>
  <si>
    <t>DRE-C10243100</t>
  </si>
  <si>
    <t>Estandar Betamethasone Sodium Phosphate  
fecha de vigencia ó con fecha no menor a 2 años</t>
  </si>
  <si>
    <t xml:space="preserve">
Dr. Ehrenstorfer
Sigma Aldrich </t>
  </si>
  <si>
    <t>1068004-500MG</t>
  </si>
  <si>
    <t>DRE-C10575000</t>
  </si>
  <si>
    <t>Estandar Boldenona Undecilenato
fecha de vigencia ó con fecha no menor a 2 años</t>
  </si>
  <si>
    <t>PHR9197-100MG</t>
  </si>
  <si>
    <t>DRE-C10662200</t>
  </si>
  <si>
    <t>Estandar Carbadox</t>
  </si>
  <si>
    <t>USP
Dr. Ehrenstorfer
Sigma Aldrich (Estándar primario o secundario).</t>
  </si>
  <si>
    <t>La presentación depende del proveedor (Cantidad requerida: 100 mg)</t>
  </si>
  <si>
    <t>DRE-C10968300</t>
  </si>
  <si>
    <t>Estandar Ceftiofur Hydrochloride
fecha de vigencia ó con fecha no menor a 2 años</t>
  </si>
  <si>
    <t>1098071-100MG</t>
  </si>
  <si>
    <t>32422-100MG</t>
  </si>
  <si>
    <t>DRE-C11065020</t>
  </si>
  <si>
    <t>PHR1848-1G</t>
  </si>
  <si>
    <t xml:space="preserve">Estandar Ceftiofur Sodium </t>
  </si>
  <si>
    <t>PHR1521-1G</t>
  </si>
  <si>
    <t>PHR15211G</t>
  </si>
  <si>
    <t>DRE-C11065000</t>
  </si>
  <si>
    <t>Estandar Clotrimazole 
fecha de vigencia ó con fecha no menor a 2 años</t>
  </si>
  <si>
    <t>PHR1058-1G</t>
  </si>
  <si>
    <t>1141002-200MG</t>
  </si>
  <si>
    <t>1141002200MG</t>
  </si>
  <si>
    <t>DRE-C11692000</t>
  </si>
  <si>
    <t>Estandar Cloxacillin Sodium 
fecha de vigencia ó con fecha no menor a 2 años</t>
  </si>
  <si>
    <t>PHR1922-500MG</t>
  </si>
  <si>
    <t>1142005-200MG</t>
  </si>
  <si>
    <t>PHR1922500MG</t>
  </si>
  <si>
    <t>DRE-C11692100</t>
  </si>
  <si>
    <t>BP088</t>
  </si>
  <si>
    <t>Estándar de  2-NP-AHD trazable, con certificado con método de análisis e incertidumbre, fecha de vigencia ó con fecha no menor a 2 años</t>
  </si>
  <si>
    <t>Dr Ehrenstorfer C15654450 o equivalente</t>
  </si>
  <si>
    <t>Frasco x 10 mg</t>
  </si>
  <si>
    <t>33870-10MG-R</t>
  </si>
  <si>
    <t>DRE-C15654450</t>
  </si>
  <si>
    <t>Estándar de  2-NP-AMOZ trazable, con certificado con método de análisis e incertidumbre,fecha de vigencia ó con fecha no menor a 2 años</t>
  </si>
  <si>
    <t>Dr Ehrenstorfer C15654480 o equivalente</t>
  </si>
  <si>
    <t>33869-10MG-R</t>
  </si>
  <si>
    <t>DRE-C15654480</t>
  </si>
  <si>
    <t>Estándar de  2-NP-AOZ trazable, con certificado con método de análisis e incertidumbre, fecha de vigencia ó con fecha no menor a 2 años</t>
  </si>
  <si>
    <t>Dr Ehrenstorfer C15654500 o equivalente</t>
  </si>
  <si>
    <t>33868-10MG-R</t>
  </si>
  <si>
    <t>DRE-C15654500</t>
  </si>
  <si>
    <t>Estándar de  2-NP-SCA trazable, con certificado con método de análisis e incertidumbre, fecha de vigencia ó con fecha no menor a 2 años</t>
  </si>
  <si>
    <t>Dr Ehrenstorfer C15654520 o equivalente</t>
  </si>
  <si>
    <t>DRE-C15654520</t>
  </si>
  <si>
    <t>Estándar de  2-Thiouracil trazable, con certificado con método de análisis e incertidumbre, fecha de vigencia ó con fecha no menor a 2 años</t>
  </si>
  <si>
    <t>Dr Ehrenstorfer C17561500</t>
  </si>
  <si>
    <t>Frasco x 250 mg</t>
  </si>
  <si>
    <t>DRE-C17561500</t>
  </si>
  <si>
    <t>Estándar de  6-Methyl-2-thiouracil trazable, con certificado con método de análisis e incertidumbre, fecha de vigencia ó con fecha no menor a 2 años</t>
  </si>
  <si>
    <t>Dr Ehrenstorfer C15144300</t>
  </si>
  <si>
    <t>Frasco x 100 mg</t>
  </si>
  <si>
    <t>DRE-C15144300</t>
  </si>
  <si>
    <t>Estandar de  alfa- Boldenona trazable,
Número CAS 27833-18-7 con certificado con método de análisis e incertidumbre,fecha de vigencia ó con fecha no menor a 2 años</t>
  </si>
  <si>
    <t>LCG o equivalente</t>
  </si>
  <si>
    <t>DRE-C10662000</t>
  </si>
  <si>
    <t>Estándar de  Boldenona CAS 846-48-0 trazable. Con certificado de análisis e incertidumbre. Fecha de vencimiento no inferior a 2 años</t>
  </si>
  <si>
    <t>Dr Ehrenstorfer C10662000</t>
  </si>
  <si>
    <t>Frasco x  10mg</t>
  </si>
  <si>
    <t>Estándar de  Clenbuterol Clorhidrato trazable, con certificado con método de análisis e incertidumbre, vigencia no menor a Diciembre de 2022</t>
  </si>
  <si>
    <t>Dr Ehrenstorfer o equivalente</t>
  </si>
  <si>
    <t>1134674-100MG</t>
  </si>
  <si>
    <t>DRE-C11668550</t>
  </si>
  <si>
    <t>Estándar de  SEMICARBAZIDE. HCl trazable, con certificado con método de análisis e incertidumbre, vigencia no menor a a dos años</t>
  </si>
  <si>
    <t>Dr Ehenstorfer. DRE-C16933500</t>
  </si>
  <si>
    <t>Frasco  x 100 mg</t>
  </si>
  <si>
    <t>33656-100MG-R</t>
  </si>
  <si>
    <t>DRE-C16933500</t>
  </si>
  <si>
    <t>Estándar de  zinc 1000 mg/l certificada con trazabilidad e incertidumbre y fecha de vencimiento no inferior a 2 años</t>
  </si>
  <si>
    <t>Merck (referencia 1198060100) o equivalente</t>
  </si>
  <si>
    <t>AA70N-1</t>
  </si>
  <si>
    <t>Estándar de 17a-androlone</t>
  </si>
  <si>
    <t>LGC MM0660.00 o equivalente</t>
  </si>
  <si>
    <t>MIKROMOL</t>
  </si>
  <si>
    <t>MM0660.00</t>
  </si>
  <si>
    <t>Estándar de 6-Propyl-2-thiouracil</t>
  </si>
  <si>
    <t>Dr EhrenstorferDRE-C16530500</t>
  </si>
  <si>
    <t>46698-250MG</t>
  </si>
  <si>
    <t>DRE-C16530500</t>
  </si>
  <si>
    <t>Estandar de AHD trazable, certificado con método de análisis e incertidumbre, fecha de vencimiento no inferior a 2 años</t>
  </si>
  <si>
    <t>Frasco x 50 mg</t>
  </si>
  <si>
    <t>Estandar deTrenbolona Número CAS
10161-33-8, trazable, con certificado de análisis, fecha de vencimiento no inferior a 2 años</t>
  </si>
  <si>
    <t xml:space="preserve">
Dr. Ehrenstorfer
Sigma Aldrich (Estándar Secundario Farmacéutico) o equivalente</t>
  </si>
  <si>
    <t>Estandar de AMOZ trazable, certificado con método de análisis e incertidumbre, fecha de vencimiento no inferior a 2 años</t>
  </si>
  <si>
    <t>DRE-C10206300</t>
  </si>
  <si>
    <t>Estandar de AOZ trazable, certificado con método de análisis e incertidumbre, fecha de vencimiento no inferior a 2 años</t>
  </si>
  <si>
    <t>DRE-C10209000</t>
  </si>
  <si>
    <t>Estándar de cadmio de 1000 mg/L solución certificada con trazabilidad e incertidumbre y con Fecha de vencimiento no inferior a 2 años</t>
  </si>
  <si>
    <t>Merck (referencia 1197770100) o equivalente</t>
  </si>
  <si>
    <t>AA08N-1</t>
  </si>
  <si>
    <t>Estándar de calcio 1000 mg/L solución certificada con trazabilidad e incertidumbre y con fecha de vencimiento no anterior a noviembre de 2022</t>
  </si>
  <si>
    <t>Merck (referencia 1197780100) o equivalente</t>
  </si>
  <si>
    <t>AA09N-1</t>
  </si>
  <si>
    <t xml:space="preserve">Estandar de carbonato de sodio anhidro certificado con trazabilidad e incertidumbre </t>
  </si>
  <si>
    <t>Frasco x100 g</t>
  </si>
  <si>
    <t>SO01190080</t>
  </si>
  <si>
    <t>1613757-1G</t>
  </si>
  <si>
    <t>Estándar de chlortetracycline hydrochloride de mímino de 92,9% pureza</t>
  </si>
  <si>
    <t xml:space="preserve">
Dr. Ehrenstorfer C11509100 X25 mg o equivalente</t>
  </si>
  <si>
    <t>PHR1520-500MG</t>
  </si>
  <si>
    <t>DRE-C11509100</t>
  </si>
  <si>
    <t>Estándar de Ciprofloxacina trazable, certificado con método de análisis e incertidumbre, fecha de vencimiento no inferior a 2 años</t>
  </si>
  <si>
    <t>Dr Ehrenstorfer C11668500</t>
  </si>
  <si>
    <t>PHR1044-1G</t>
  </si>
  <si>
    <t>DRE-C11668500</t>
  </si>
  <si>
    <t>Estandar de Cloranfenicol  trazable, certificado con método de análisis e incertidumbre, fecha de vencimiento no inferior a 2 años</t>
  </si>
  <si>
    <t>LCG o equivalente Ref C11120000X250mg</t>
  </si>
  <si>
    <t>PHR1412-1G</t>
  </si>
  <si>
    <t>DRE-C11120000</t>
  </si>
  <si>
    <t>Estándar de cobalto 1000 mg/L solución certificada con trazabilidad e incertidumbre y fecha de vencimiento no inferior a 2 años</t>
  </si>
  <si>
    <t>CO00120100</t>
  </si>
  <si>
    <t>Estándar de cobre 1000 mg/L solución trazable a SRM de NIST certificada con trazabilidad e incertidumbre y fecha de vencimiento no inferior a 2 años</t>
  </si>
  <si>
    <t>Merck (referencia 1197860100) o equivalente</t>
  </si>
  <si>
    <t>CO00850100</t>
  </si>
  <si>
    <t>Estandar de dienestrol trazable, con certificado con método de análisis e incertidumbre, vigencia no menor a Diciembre de 2022</t>
  </si>
  <si>
    <t xml:space="preserve">Dr Ehrenstorfer 
 REF:
DRE‐C12598000 </t>
  </si>
  <si>
    <t>Frasco  x 25 mg</t>
  </si>
  <si>
    <t>D1200000</t>
  </si>
  <si>
    <t>DRE-C12598000</t>
  </si>
  <si>
    <t>Estandar de Dietilestilbestrol trazable, con certificado con método de análisis e incertidumbre, vigencia no menor a Diciembre de 2022</t>
  </si>
  <si>
    <t xml:space="preserve">        Dr Ehrenstorfer  REF:
DRE‐C12607000 </t>
  </si>
  <si>
    <t>46207-250MG</t>
  </si>
  <si>
    <t>DRE-C12607000</t>
  </si>
  <si>
    <t>Estándar de Doramectina trazable, certificado con método de análisis e incertidumbre, fecha de vencimiento no inferior a 2 años</t>
  </si>
  <si>
    <t>Dr Ehrenstorfer CA13083000</t>
  </si>
  <si>
    <t>33993-100MG-R</t>
  </si>
  <si>
    <t>DRE-C13083000</t>
  </si>
  <si>
    <t>Estándar de fósforo 1000 mg/L trazable a SRM de NIST H3PO4 en H2O , solución  con certificado  fecha de vencimiento no inferior a 2 años</t>
  </si>
  <si>
    <t>Merck (referencia 1703400100) o equivalente</t>
  </si>
  <si>
    <t>AA41W-1</t>
  </si>
  <si>
    <t>FO00340100</t>
  </si>
  <si>
    <t>Estandar de Hexestrol trazable, con certificado con método de análisis e incertidumbre,  fecha de vencimiento no inferior a 2 años</t>
  </si>
  <si>
    <t>Dr Ehrenstorfer
 REF:
DRE‐14202800</t>
  </si>
  <si>
    <t>DRE-C14202800</t>
  </si>
  <si>
    <t>Estándar de magnesio 1000 mg/L solución certificada con trazabilidad e incertidumbre  fecha de vencimiento no inferior a 2 años</t>
  </si>
  <si>
    <t>Merck (referencia 1197880100) o equivalente</t>
  </si>
  <si>
    <t>313184.1208</t>
  </si>
  <si>
    <t>MA00110100</t>
  </si>
  <si>
    <t xml:space="preserve">Estándar de Manganeso 1000 mg/l Mn en solución, trazable a SRM de NIST </t>
  </si>
  <si>
    <t>Merck (referencia 1197890100) o equivalente</t>
  </si>
  <si>
    <t>313185.1208</t>
  </si>
  <si>
    <t>MA01110100</t>
  </si>
  <si>
    <t>Estándar de methimazol ( Tapazol)</t>
  </si>
  <si>
    <t>DrDr Ehrenstorfer.  DRE-C15020200</t>
  </si>
  <si>
    <t>46429-250MG</t>
  </si>
  <si>
    <t>DRE-C15020200</t>
  </si>
  <si>
    <t>Estándar de penicilina G benzatínica o Penicilina G procaínica o Penicilina G potásica,  fecha de vencimiento no inferior a 2 años</t>
  </si>
  <si>
    <t xml:space="preserve"> Dr Ehrenstorfer</t>
  </si>
  <si>
    <t>31735-250MG</t>
  </si>
  <si>
    <t>DRE-C15935000</t>
  </si>
  <si>
    <t>Estándar de Ractopamina HCl CAS 90-274-24-1 trazable, con certificado de análisis e incertidumbre, fecha de vencimiento no inferior a 2 años</t>
  </si>
  <si>
    <t>Dr Ehrenstorfer C16805000</t>
  </si>
  <si>
    <t>34198-100MG</t>
  </si>
  <si>
    <t>DRE-C16805000</t>
  </si>
  <si>
    <t>Estandar de Taleranol             ( Beta-zearalanol) trazable, certificado con método de análisis e incertidumbre, fecha de vencimiento no inferior a 2 años</t>
  </si>
  <si>
    <t>35407-1ML</t>
  </si>
  <si>
    <t>DRE-C17947330</t>
  </si>
  <si>
    <t>Estándar de Thiamphenicol 100 mg.Trazable, con certificado con método de análisis e incertidumbre,  fecha de vencimiento no inferior a 2 años</t>
  </si>
  <si>
    <t>Dr Ehrenstorfer DRE‐C17457000</t>
  </si>
  <si>
    <t>16715-100MG</t>
  </si>
  <si>
    <t>DRE-C17457000</t>
  </si>
  <si>
    <t>Estándar de Vitamina A trazable, con certificado de método de análisis e incertidumbre, fecha de vencimiento no menor a 2 años</t>
  </si>
  <si>
    <t>USP 1716002, Dr. Ehrenstorfer, Sigma</t>
  </si>
  <si>
    <t>Caja x 10 Ampollas, frascoX100mg</t>
  </si>
  <si>
    <t>1716002-10X0.5G</t>
  </si>
  <si>
    <t>DRE-CA17923820</t>
  </si>
  <si>
    <t>Estándar de Vitamina E Trazable, con certificado de método de análisis e incertidumbre y con fecha vigencia no menor a 2 años</t>
  </si>
  <si>
    <t>USP 1667701 o Dr. Ehrenstorfer, o Sigma</t>
  </si>
  <si>
    <t>1667701-250MG</t>
  </si>
  <si>
    <t>DRE-CA17924300</t>
  </si>
  <si>
    <t>Estandar de Zeranol trazable, certificado con método de análisis e incertidumbre, fecha de vencimiento no inferior a 2 años</t>
  </si>
  <si>
    <t>35405-1ML</t>
  </si>
  <si>
    <t>DRE-C17948010</t>
  </si>
  <si>
    <t>Z0292-5MG</t>
  </si>
  <si>
    <t>Estandar deFlorfenicol 250 mg. Trazable, con certificado con método de análisis e incertidumbre,  fecha de vencimiento no inferior a 2 años</t>
  </si>
  <si>
    <t>Dr Ehrenstorfer. DRE‐C13665000</t>
  </si>
  <si>
    <t>F1427-500MG</t>
  </si>
  <si>
    <t>DRE‐C13665000</t>
  </si>
  <si>
    <t xml:space="preserve">Estandar Dexamethasone Acetate </t>
  </si>
  <si>
    <t>PHR1527-1G</t>
  </si>
  <si>
    <t>1176506-200MG</t>
  </si>
  <si>
    <t>PHR15271G</t>
  </si>
  <si>
    <t>DRE-C12170410</t>
  </si>
  <si>
    <t>Estandar Dexamethasone Sodium Phosphate 
fecha de vigencia ó con fecha no menor a 2 años</t>
  </si>
  <si>
    <t>PHR1768-1G</t>
  </si>
  <si>
    <t>1177032-500MG</t>
  </si>
  <si>
    <t>DRE-C12170400</t>
  </si>
  <si>
    <t>Estandar Dieldrin con certificado de análisis y fecha de vencimiento inferior a 6 meses</t>
  </si>
  <si>
    <t>33491-100MG-R</t>
  </si>
  <si>
    <t>DRE-C12590000</t>
  </si>
  <si>
    <t>Estandar Endrin con certificado de análisis y fecha de vencimiento inferior a 6 meses</t>
  </si>
  <si>
    <t>32014-100MG</t>
  </si>
  <si>
    <t>DRE-C13160000</t>
  </si>
  <si>
    <t>Estandar Enrofloxacin mínimo de 99,24% de pureza, con fecha de vigencia ó con fecha no menor a 2 años</t>
  </si>
  <si>
    <t xml:space="preserve">
Dr. Ehrenstorfer REF C13170000
Sigma Aldrich (Estándar Secundario Farmacéutico)</t>
  </si>
  <si>
    <t>PHR1513-500MG</t>
  </si>
  <si>
    <t>DRE-C13170000</t>
  </si>
  <si>
    <t>17849-5G-F</t>
  </si>
  <si>
    <t>Estandar Fenbendazole fecha de vigencia ó con fecha no menor a 1 años</t>
  </si>
  <si>
    <t>PHR1832-200MG</t>
  </si>
  <si>
    <t>DRE-C13446000</t>
  </si>
  <si>
    <t>F5396-5G</t>
  </si>
  <si>
    <t>Estandar Furazolidona</t>
  </si>
  <si>
    <t>1286800-200MG</t>
  </si>
  <si>
    <t>DRE-C13970200</t>
  </si>
  <si>
    <t>Estandar Heptaclor con certificado de análisis y fecha de vencimiento inferior a 6 meses</t>
  </si>
  <si>
    <t>32349-100MG</t>
  </si>
  <si>
    <t>DRE-C14090000</t>
  </si>
  <si>
    <t>Estandar Hexacloro benceno con certificado de análisis y fecha de vencimiento inferior a 6 meses</t>
  </si>
  <si>
    <t>45522-250MG</t>
  </si>
  <si>
    <t>DRE-C14160000</t>
  </si>
  <si>
    <t>Estándar Ipronidazole 50 mg. Trazable, con certificado con método de análisis e incertidumbre, v fecha de vencimiento no inferior a 2 años</t>
  </si>
  <si>
    <t>Dr Ehrenstorfer DRE‐C14370700</t>
  </si>
  <si>
    <t>32173-10MG</t>
  </si>
  <si>
    <t>DRE-C14370700</t>
  </si>
  <si>
    <t>Estandar Ivermectin fecha de vigencia no menor a 2 años</t>
  </si>
  <si>
    <t>USP, Dr. Ehrenstorfer, Sigma Aldrich</t>
  </si>
  <si>
    <t>Frasco x 200 mg</t>
  </si>
  <si>
    <t>PHR13801G</t>
  </si>
  <si>
    <t>DRE-CA14488000</t>
  </si>
  <si>
    <t>Estandar ketamina hydrochloride
fecha de vigencia ó con fecha no menor a 2 años</t>
  </si>
  <si>
    <t>1356009-250MG</t>
  </si>
  <si>
    <t>Estandar ketoprofeno
fecha de vigencia ó con fecha no menor a 2 años</t>
  </si>
  <si>
    <t>PHR1375-500MG</t>
  </si>
  <si>
    <t>PHR1375500MG</t>
  </si>
  <si>
    <t>DRE-C14532100</t>
  </si>
  <si>
    <t>Estandar Levamisole Hydrochloride
fecha de vigencia ó con fecha no menor a 2 años</t>
  </si>
  <si>
    <t>PHR1798-250MG</t>
  </si>
  <si>
    <t>PHR1798250MG</t>
  </si>
  <si>
    <t>DRE-C14629700</t>
  </si>
  <si>
    <t>Estandar Mebendazole
fecha de vigencia ó con fecha no menor a 2 años</t>
  </si>
  <si>
    <t>PHR2448-300MG</t>
  </si>
  <si>
    <t>1375502-200MG</t>
  </si>
  <si>
    <t>1375502200MG</t>
  </si>
  <si>
    <t>DRE-C14798000</t>
  </si>
  <si>
    <t>Estandar Meloxicam 
fecha de vigencia ó con fecha no menor a 2 años</t>
  </si>
  <si>
    <t>PHR1799-500MG</t>
  </si>
  <si>
    <t>1379401400MG</t>
  </si>
  <si>
    <t>DRE-C14862500</t>
  </si>
  <si>
    <t>Estandar Mirex con certificado de análisis y fecha de vencimiento inferior a 6 meses</t>
  </si>
  <si>
    <t>36170-100MG</t>
  </si>
  <si>
    <t>DRE-C15270000</t>
  </si>
  <si>
    <t>Estandar Nitrofurantoina</t>
  </si>
  <si>
    <t>PHR1191-1G</t>
  </si>
  <si>
    <t>DRE-C15570900</t>
  </si>
  <si>
    <t>Estandar Nitrofurazona</t>
  </si>
  <si>
    <t>PHR1196-1G</t>
  </si>
  <si>
    <t>DRE-C15571000</t>
  </si>
  <si>
    <t>Estandar Olaquindox</t>
  </si>
  <si>
    <t>33987-100MG-R</t>
  </si>
  <si>
    <t>DRE-C15724000</t>
  </si>
  <si>
    <t>Estandar Oxytetracycline fecha de vigencia no menor a 2 años</t>
  </si>
  <si>
    <t>mínimo 200 mg</t>
  </si>
  <si>
    <t>PHR1325-500MG</t>
  </si>
  <si>
    <t>1491004-200MG</t>
  </si>
  <si>
    <t>1491015200MG</t>
  </si>
  <si>
    <t>DRE-C15819990</t>
  </si>
  <si>
    <t>Estandar Oxytetracycline Hydrochloride 
fecha de vigencia ó con fecha no menor a 2 años</t>
  </si>
  <si>
    <t>1491015-200MG</t>
  </si>
  <si>
    <t>PHR1325500MG</t>
  </si>
  <si>
    <t xml:space="preserve"> DRE-C15820000</t>
  </si>
  <si>
    <t>Estandar PCB 101 con certificado de análisis y fecha de vencimiento inferior a 6 meses</t>
  </si>
  <si>
    <t>31094-10MG</t>
  </si>
  <si>
    <t>DRE-C20010100</t>
  </si>
  <si>
    <t>Estandar PCB 138 con certificado de análisis y fecha de vencimiento inferior a 6 meses</t>
  </si>
  <si>
    <t>35494-10MG</t>
  </si>
  <si>
    <t>DRE-C20013800</t>
  </si>
  <si>
    <t>Estandar PCB 153 con certificado de análisis y fecha de vencimiento inferior a 6 meses</t>
  </si>
  <si>
    <t>DRE-C20015300</t>
  </si>
  <si>
    <t>Estandar PCB 180 con certificado de análisis y fecha de vencimiento inferior a 6 meses</t>
  </si>
  <si>
    <t>Recuperando datos. Espere unos segundos e intente cortar o copiar de nuevo.</t>
  </si>
  <si>
    <t>35495-10MG</t>
  </si>
  <si>
    <t>DRE-C20018000</t>
  </si>
  <si>
    <t>Estandar PCB 28 con certificado de análisis y fecha de vencimiento inferior a 6 meses</t>
  </si>
  <si>
    <t>35601-10MG</t>
  </si>
  <si>
    <t>DRE-C20002800</t>
  </si>
  <si>
    <t>Estandar Phosphated 5 Riboflavin Sodium
fecha de vigencia ó con fecha no menor a 2 años</t>
  </si>
  <si>
    <t>PHR1297-1G</t>
  </si>
  <si>
    <t>1535700-100MG</t>
  </si>
  <si>
    <t>DRE-C16813610</t>
  </si>
  <si>
    <t>Estandar Praziquantel
fecha de vigencia ó con fecha no menor a 2 años</t>
  </si>
  <si>
    <t>PHR1391-1G</t>
  </si>
  <si>
    <t>PHR13911G</t>
  </si>
  <si>
    <t>DRE-C16286300</t>
  </si>
  <si>
    <t>Estandar Pyrantel Pamoate</t>
  </si>
  <si>
    <t>PHR2080-1G</t>
  </si>
  <si>
    <t>PHR20801G</t>
  </si>
  <si>
    <t>DRE-C16600100</t>
  </si>
  <si>
    <t xml:space="preserve">Estandar Pyridoxine Hydrochloride </t>
  </si>
  <si>
    <t>PHR1036-500MG</t>
  </si>
  <si>
    <t>1587001-200MG</t>
  </si>
  <si>
    <t>1587001200MG</t>
  </si>
  <si>
    <t>DRE-C16652000</t>
  </si>
  <si>
    <t xml:space="preserve">Estandar Retinyl Acetate (Vitamin A) </t>
  </si>
  <si>
    <t>PHR1236-1G</t>
  </si>
  <si>
    <t>171600210X05G</t>
  </si>
  <si>
    <t>Estandar Retinyl Palmitate 
fecha de vigencia ó con fecha no menor a 2 años</t>
  </si>
  <si>
    <t>PHR1235-1G</t>
  </si>
  <si>
    <t>1602502-4X50MG</t>
  </si>
  <si>
    <t>PHR12361G</t>
  </si>
  <si>
    <t>DRE-CA17923840</t>
  </si>
  <si>
    <t>Estandar de Zearalanona trazable, certificado con método de análisis e incertidumbre, fecha de vencimiento no inferior a 2 años</t>
  </si>
  <si>
    <t xml:space="preserve">Frasco x 5 mg </t>
  </si>
  <si>
    <t>32193-1.2ML</t>
  </si>
  <si>
    <t>DRE-C17947350</t>
  </si>
  <si>
    <t>Etanol absoluto  anhidro</t>
  </si>
  <si>
    <t>JT Baker, Merck, Mallinkrodt, Scharlau</t>
  </si>
  <si>
    <t>131086.1212</t>
  </si>
  <si>
    <t>ET00052500</t>
  </si>
  <si>
    <t>9000-03-M</t>
  </si>
  <si>
    <t>Etanol al 99.5% para biología molecular</t>
  </si>
  <si>
    <t>Panreac A8075.1000PE</t>
  </si>
  <si>
    <t>A8075.1000PE</t>
  </si>
  <si>
    <t>ET00111000</t>
  </si>
  <si>
    <t>SCHARLAC</t>
  </si>
  <si>
    <t>Etanol cetona gram</t>
  </si>
  <si>
    <t>ACG-1000</t>
  </si>
  <si>
    <t>DE00100500</t>
  </si>
  <si>
    <t xml:space="preserve"> OR040004 </t>
  </si>
  <si>
    <t xml:space="preserve">Eter de petroleo  para análisis </t>
  </si>
  <si>
    <t xml:space="preserve">Frasco x 4 litros y/o Frasco x 5 litros </t>
  </si>
  <si>
    <t>131315.0314</t>
  </si>
  <si>
    <t>ET0092005M</t>
  </si>
  <si>
    <t>9268-03-M</t>
  </si>
  <si>
    <t xml:space="preserve">ExtraBond Bulk GCB </t>
  </si>
  <si>
    <t>Scharlau o similares</t>
  </si>
  <si>
    <t>CA03530100</t>
  </si>
  <si>
    <t xml:space="preserve">Extran libre de fosfatos </t>
  </si>
  <si>
    <t>Merck 1400002500 o equivalente.</t>
  </si>
  <si>
    <t>DAEF-5000</t>
  </si>
  <si>
    <t>PQ102113</t>
  </si>
  <si>
    <t>Extran neutro</t>
  </si>
  <si>
    <t>DNEF-5000</t>
  </si>
  <si>
    <t>CO175535000</t>
  </si>
  <si>
    <t>PQ100118</t>
  </si>
  <si>
    <t>EZ-Vision® Three DNA Dye as Loading Buffer, 6X</t>
  </si>
  <si>
    <t>VWR N313-Q-SAMPLE</t>
  </si>
  <si>
    <t>G030</t>
  </si>
  <si>
    <t>97063-166 (N313-KIT)</t>
  </si>
  <si>
    <t>VWR-AMRESCO</t>
  </si>
  <si>
    <t>N313-KIT</t>
  </si>
  <si>
    <t>Fenolftaleina para análisis indicado ACS</t>
  </si>
  <si>
    <t>Merck 1072330025 o equivalente</t>
  </si>
  <si>
    <t>131325.1208</t>
  </si>
  <si>
    <t>FE04950025</t>
  </si>
  <si>
    <t>89399-826</t>
  </si>
  <si>
    <t>Fenthion D6, estandar deuterado con certificado de análisis y fecha de vencimiento superior a 6 meses</t>
  </si>
  <si>
    <t>08973-5MG</t>
  </si>
  <si>
    <t>DRE-C13580100</t>
  </si>
  <si>
    <t>Formaldehido al 37%</t>
  </si>
  <si>
    <t xml:space="preserve">J.T. Baker o equivalente </t>
  </si>
  <si>
    <t xml:space="preserve">FRASCO X 4LT </t>
  </si>
  <si>
    <t>141328.1212</t>
  </si>
  <si>
    <t>FO0011005P</t>
  </si>
  <si>
    <t>2106-03-M</t>
  </si>
  <si>
    <t>Formiato de amonio grado masas</t>
  </si>
  <si>
    <t>Sigma aldrich o equivalente</t>
  </si>
  <si>
    <t>Frasco x 25 a 100 g</t>
  </si>
  <si>
    <t>70221-100G-F</t>
  </si>
  <si>
    <t>Formiato de amonio grado reactivo</t>
  </si>
  <si>
    <t>A10699-250</t>
  </si>
  <si>
    <t>156264-100G</t>
  </si>
  <si>
    <t>Fosfato bibásico de sodio anhidro</t>
  </si>
  <si>
    <t>SO03370500</t>
  </si>
  <si>
    <t>Fosfato de Amonio (NH4H2PO4) o amonio dihidrogeno fosfato (referencia MERCK 101126) grado ACS,ISO,Reag. Ph Eur</t>
  </si>
  <si>
    <t>131126.1211</t>
  </si>
  <si>
    <t>AM03350500</t>
  </si>
  <si>
    <t>Merck, JT. Baker o equivalente</t>
  </si>
  <si>
    <t>122507.1210</t>
  </si>
  <si>
    <t>SO03390500</t>
  </si>
  <si>
    <t>SIGMA 30435</t>
  </si>
  <si>
    <t>Fosfato de Sodio CAS 7601-54-9</t>
  </si>
  <si>
    <t>122018.1210</t>
  </si>
  <si>
    <t>SO03420500</t>
  </si>
  <si>
    <t xml:space="preserve">Fosfato monobásico de potasio (kH2PO4)  &gt;99% Para analisis </t>
  </si>
  <si>
    <t>Merck 1048730250 o equivalente</t>
  </si>
  <si>
    <t>131509.1211</t>
  </si>
  <si>
    <t>PO02600250</t>
  </si>
  <si>
    <t>3246-01</t>
  </si>
  <si>
    <t>3246-01-M</t>
  </si>
  <si>
    <t xml:space="preserve">Fosfato monobásico de sodio Monohidratado con certificado de análisis trazable por lote </t>
  </si>
  <si>
    <t>SO03310500</t>
  </si>
  <si>
    <t>97061-942</t>
  </si>
  <si>
    <t>S0751-500G</t>
  </si>
  <si>
    <t>Fucsina de gram</t>
  </si>
  <si>
    <t>FGS-1000</t>
  </si>
  <si>
    <t>CO040007</t>
  </si>
  <si>
    <t xml:space="preserve">CO040007 </t>
  </si>
  <si>
    <t>Fucsina de Ziehl Neelsen</t>
  </si>
  <si>
    <t>FU00650500</t>
  </si>
  <si>
    <t>Fuschina ácida en polvo</t>
  </si>
  <si>
    <t>Fisher, Scharlau o equivalente</t>
  </si>
  <si>
    <t>251331.1605</t>
  </si>
  <si>
    <t>FU00550025</t>
  </si>
  <si>
    <t>Fuschina Basica</t>
  </si>
  <si>
    <t>Merck, JT. Baker, sigma o equivalente</t>
  </si>
  <si>
    <t>251332.1608</t>
  </si>
  <si>
    <t>FU00600025</t>
  </si>
  <si>
    <t>97062-738</t>
  </si>
  <si>
    <t>GA 3500s, Anode Buffer Container (ABC); (Caja 4 Unds)</t>
  </si>
  <si>
    <t>GA 3500s, Cathode Buffer Container (CBC); (Caja 4 Unds)</t>
  </si>
  <si>
    <t xml:space="preserve">GA 3500s, Conditioning Reagent; (Bolsa 1 Unds); </t>
  </si>
  <si>
    <t>GA 3500s, Performance Optimized Polymer POP7; (Bolsa 384 mxs)</t>
  </si>
  <si>
    <t>Gel antibacterial para manos</t>
  </si>
  <si>
    <t>EUFAR</t>
  </si>
  <si>
    <t>AV03128 (Farben 500ml)</t>
  </si>
  <si>
    <t>Gelatin, Powder</t>
  </si>
  <si>
    <t>GE00201000</t>
  </si>
  <si>
    <t>NCM0243A</t>
  </si>
  <si>
    <t>Gelatina</t>
  </si>
  <si>
    <t xml:space="preserve">Merck, Acumedia, BBL, Sharlau, Sigma o equivalente </t>
  </si>
  <si>
    <t>GE00200250</t>
  </si>
  <si>
    <t>NCM0204A</t>
  </si>
  <si>
    <t>Gelrite gellan gum</t>
  </si>
  <si>
    <t>GelzamTM CM; Sigma G 1910</t>
  </si>
  <si>
    <t>G1910-250G</t>
  </si>
  <si>
    <t>Gentamicina en solución 50 mg/ml</t>
  </si>
  <si>
    <t>Frasco x 10 ml</t>
  </si>
  <si>
    <t>GEN-10B</t>
  </si>
  <si>
    <t>G1397-10ML</t>
  </si>
  <si>
    <t>Germen de trigo (no requiere carta de dsitribución)</t>
  </si>
  <si>
    <t>Toning</t>
  </si>
  <si>
    <t>Bolsa x 300 g</t>
  </si>
  <si>
    <t>TONING</t>
  </si>
  <si>
    <t>Bolsa x 300g</t>
  </si>
  <si>
    <t xml:space="preserve">Glicerina al 87 - 99% </t>
  </si>
  <si>
    <t xml:space="preserve">Merck , Jt Baker, Sigma  o equivalente </t>
  </si>
  <si>
    <t>142329.1211</t>
  </si>
  <si>
    <t>GL00261000</t>
  </si>
  <si>
    <t>Glicerol al 99% puro</t>
  </si>
  <si>
    <t xml:space="preserve">Fisher, JT Baker, Scharlau  </t>
  </si>
  <si>
    <t>151339.1211</t>
  </si>
  <si>
    <t>2136-02-M</t>
  </si>
  <si>
    <t>H5433</t>
  </si>
  <si>
    <t>Glicolato CAS367-51-1</t>
  </si>
  <si>
    <t>Merck / Thermo</t>
  </si>
  <si>
    <t>Glifosato isotópicamente marcado Fecha  de vencimiento  no  inferior  a 6 meses.</t>
  </si>
  <si>
    <t>Frasco X 10 mg</t>
  </si>
  <si>
    <t>90007-5MG</t>
  </si>
  <si>
    <t>Glutamato monosodico</t>
  </si>
  <si>
    <t>SIGMA/MERCK</t>
  </si>
  <si>
    <t>Frasco de 5 g</t>
  </si>
  <si>
    <t>SGM-500</t>
  </si>
  <si>
    <t>Glutamax</t>
  </si>
  <si>
    <t>GIBCO 35050061</t>
  </si>
  <si>
    <t>STA-B</t>
  </si>
  <si>
    <t xml:space="preserve">GIBCO </t>
  </si>
  <si>
    <t xml:space="preserve">Graphitized Carbon Black (GCB) </t>
  </si>
  <si>
    <t>Shalau, Agilent, Waters o equivalentes</t>
  </si>
  <si>
    <t xml:space="preserve">Guanidina </t>
  </si>
  <si>
    <t>Frasco X  250 g</t>
  </si>
  <si>
    <t>H5381</t>
  </si>
  <si>
    <t>Hemacolor</t>
  </si>
  <si>
    <t>Merk o cualquier marca</t>
  </si>
  <si>
    <t xml:space="preserve">Kit 3 x 500 ml </t>
  </si>
  <si>
    <t>Hemin chloride</t>
  </si>
  <si>
    <t>Sigma, H-5533</t>
  </si>
  <si>
    <t>H9039-10G</t>
  </si>
  <si>
    <t>Hemina</t>
  </si>
  <si>
    <t>H9039-100G</t>
  </si>
  <si>
    <t>Hexano para analisis de residuos</t>
  </si>
  <si>
    <t>HE02344000</t>
  </si>
  <si>
    <t>9262-03-U</t>
  </si>
  <si>
    <t>Hidrato cloral-IV CAS 302-17-0</t>
  </si>
  <si>
    <t>Frasco  x 1 litro</t>
  </si>
  <si>
    <t>Hidrocloruro de cisteina</t>
  </si>
  <si>
    <t>Sigma Aldrich C-7880</t>
  </si>
  <si>
    <t>C7880-100G</t>
  </si>
  <si>
    <t>Hidroquinona (pyrocatechol)</t>
  </si>
  <si>
    <t>Sigma Aldrich / Merck / JT Baker/ o marca equivalente</t>
  </si>
  <si>
    <t>FISHER</t>
  </si>
  <si>
    <t>H329-500</t>
  </si>
  <si>
    <t>Hidróxido de amonio del 25-30% con certificado de análisis trazable por lote y descargable mediante el website del fabricante</t>
  </si>
  <si>
    <t>Merck, JT Baker o Cualquier marca</t>
  </si>
  <si>
    <t>131130.1611</t>
  </si>
  <si>
    <t>338818-1L</t>
  </si>
  <si>
    <t>BDH3016-2.5LG</t>
  </si>
  <si>
    <t>Hidróxido de potasio (KOH)</t>
  </si>
  <si>
    <t>100g o 1000g</t>
  </si>
  <si>
    <t>121515.1211</t>
  </si>
  <si>
    <t>PO02751000</t>
  </si>
  <si>
    <t>M6984-04</t>
  </si>
  <si>
    <t>Hidróxido de potasio 85- 99%</t>
  </si>
  <si>
    <t>M6984-12-M</t>
  </si>
  <si>
    <t>Hidróxido de sodio anhidro 99% en lentejas</t>
  </si>
  <si>
    <t>141687.1211</t>
  </si>
  <si>
    <t>SO04251000</t>
  </si>
  <si>
    <t>M7708-12-M</t>
  </si>
  <si>
    <t>Hipoclorito de sodio al 5.25%, con certificado de análisis y ficha de seguridad</t>
  </si>
  <si>
    <t>Frasco x 5 L</t>
  </si>
  <si>
    <t>IA090630</t>
  </si>
  <si>
    <t>HPC (cloruro de hexadecilpiridinio)</t>
  </si>
  <si>
    <t>Hymexazol</t>
  </si>
  <si>
    <t>H3275-50MG</t>
  </si>
  <si>
    <t>ID Gene™ Brucella spp triplex</t>
  </si>
  <si>
    <t>ID VET. IDBRU-100</t>
  </si>
  <si>
    <t>Kit x 100</t>
  </si>
  <si>
    <t>Kit por 100 Reacciones</t>
  </si>
  <si>
    <t>IDBRU-100</t>
  </si>
  <si>
    <t>ID Gene™ BVD/BD Triplex</t>
  </si>
  <si>
    <t>ID VET.IDBVD-100</t>
  </si>
  <si>
    <t>IDBVD-100</t>
  </si>
  <si>
    <t>ID Gene™ Mycobacterium tuberculosis complex Duplex</t>
  </si>
  <si>
    <t>ID VET. IDTUB-100</t>
  </si>
  <si>
    <t>IDTUB-100</t>
  </si>
  <si>
    <t>ID Gene™ Paratuberculosis Duplex</t>
  </si>
  <si>
    <t>ID VET.IDMAP-100</t>
  </si>
  <si>
    <t>IDMAP-100</t>
  </si>
  <si>
    <t>Indicador biológico para esterilización a vapor</t>
  </si>
  <si>
    <t>Caja x 100 viales</t>
  </si>
  <si>
    <t>Inositol</t>
  </si>
  <si>
    <t>A13586-22</t>
  </si>
  <si>
    <t>Inulina</t>
  </si>
  <si>
    <t>I2255-100G</t>
  </si>
  <si>
    <t>Invitrogen Platinum Quantitative RT-PCR Thermoscript One step System. Marca: Cat 11731-015</t>
  </si>
  <si>
    <t>A6020</t>
  </si>
  <si>
    <t xml:space="preserve">Isooctano PA de residuos (vencimiento mayor 14 meses) con certificado de análisis y ficha de seguridad </t>
  </si>
  <si>
    <t>Merck, Supelco, J.T. Baker o equivalente</t>
  </si>
  <si>
    <t>Frasco x 2,5 L</t>
  </si>
  <si>
    <t>IS01542500</t>
  </si>
  <si>
    <t>9335-03-U</t>
  </si>
  <si>
    <t>Isopropanol Grado biología molecular</t>
  </si>
  <si>
    <t>Frasco x 1 Litro</t>
  </si>
  <si>
    <t>A3928.1000GL</t>
  </si>
  <si>
    <t>59304-1L-F</t>
  </si>
  <si>
    <t>I9516-500ML</t>
  </si>
  <si>
    <t xml:space="preserve">Isopropanol grado espectrometria de masas con certificado de análisis y ficha de seguridad </t>
  </si>
  <si>
    <t xml:space="preserve">Frasco x 4 L </t>
  </si>
  <si>
    <t>AL03262500</t>
  </si>
  <si>
    <t xml:space="preserve">Isopropanol grado HPLC </t>
  </si>
  <si>
    <t>Frasco x 4 L</t>
  </si>
  <si>
    <t>361090.16153</t>
  </si>
  <si>
    <t>AL03154000</t>
  </si>
  <si>
    <t>34863-2.5L</t>
  </si>
  <si>
    <t>9095-03-M</t>
  </si>
  <si>
    <t>Jabón líquido bactericida, viricida y fungicida</t>
  </si>
  <si>
    <t>Frasco x 3.78 L</t>
  </si>
  <si>
    <t>CO175555000</t>
  </si>
  <si>
    <t>AV03343 (Benziral 5Litros)</t>
  </si>
  <si>
    <t>Soft Care Plus Free</t>
  </si>
  <si>
    <t>Jabón líquido para manos</t>
  </si>
  <si>
    <t>DLM-5000</t>
  </si>
  <si>
    <t>FRESH IDEA</t>
  </si>
  <si>
    <t>James revelador API 20E</t>
  </si>
  <si>
    <t xml:space="preserve">Biomerieux 70542 </t>
  </si>
  <si>
    <t>2 Amp x 5 ml</t>
  </si>
  <si>
    <t>Jugo de verduras V8</t>
  </si>
  <si>
    <t>Campell Soup Company</t>
  </si>
  <si>
    <t>Frasco x 200 ml</t>
  </si>
  <si>
    <t>V8</t>
  </si>
  <si>
    <t xml:space="preserve">Kit Bactec MGIT 960 suplemento  </t>
  </si>
  <si>
    <t>Caja x 100</t>
  </si>
  <si>
    <t>Kit coloración de Gram</t>
  </si>
  <si>
    <t>BBL, Fisher o equivalente</t>
  </si>
  <si>
    <t>CO040007 + CO040004 + CO030011 + OR030004</t>
  </si>
  <si>
    <t>Kit compuesto por: BU030001 Buffer solución PH 4,00 / BU030002 Buffer solución PH 7,00 / BU030003 Buffer solución PH10,00 / IS030908 Potasio cloruro 3,0 Molar, con certificado</t>
  </si>
  <si>
    <t>Kit x 4 botellas x 100 ml</t>
  </si>
  <si>
    <t>BU030002 BU030001 BU030003 IS030908 NO SE VENDEN EN KIT</t>
  </si>
  <si>
    <t>KIT-BUFFER+  BU030001  +  BU030002  + BU030003  +   IS030908</t>
  </si>
  <si>
    <t>K457502</t>
  </si>
  <si>
    <t>Kit de clonación TOPO® TA 2.1 Marca: Ref. K457502</t>
  </si>
  <si>
    <t>Kit de Reveal for Ruminant in Feed 8100</t>
  </si>
  <si>
    <t>Reveal</t>
  </si>
  <si>
    <t>kits</t>
  </si>
  <si>
    <t>Kit ELISA por  5 placas INGEZIM  Corona  Diferencial 2.0 </t>
  </si>
  <si>
    <t>(INGENASA)</t>
  </si>
  <si>
    <t>Kit x 5 placas</t>
  </si>
  <si>
    <t>Kit Mycoprep 75 ML</t>
  </si>
  <si>
    <t>BD 240862</t>
  </si>
  <si>
    <t>CAJA X 100</t>
  </si>
  <si>
    <t>Kit para análisis fisicoquímico de aguas ( para medir Oxígeno, CO2, nitritos, amonio, cloruro, dureza, alcalinidad y pH)</t>
  </si>
  <si>
    <t>Hanna</t>
  </si>
  <si>
    <t>Lonchera/Plástica</t>
  </si>
  <si>
    <t>Kit para detección de antigenos de la rabia en cultivo y en tejidos cerebrales y submaxilares de animales infectados. Cantidad 5ml, marca Millipore.                    Catálogo: 5100.                                   Laboratorio: LNDV</t>
  </si>
  <si>
    <t xml:space="preserve">Millipore Catálogo: 5100.    </t>
  </si>
  <si>
    <t xml:space="preserve"> $ -   </t>
  </si>
  <si>
    <t>MILLIPORE</t>
  </si>
  <si>
    <t>Kit reactivos para equipo de Hematologia MINDRAY Ref: BC-2800-VET que incluya soluciones  Lyse, Rinse, Diluyente, Probe y EZ</t>
  </si>
  <si>
    <t>MINDRAY</t>
  </si>
  <si>
    <t>Para 250 ciclos</t>
  </si>
  <si>
    <t>250 CICLOS</t>
  </si>
  <si>
    <t xml:space="preserve">Kit Transcripción Reversa MMLV  Marca:Invitrogen 28025013 </t>
  </si>
  <si>
    <t>G593</t>
  </si>
  <si>
    <t>Lactosa</t>
  </si>
  <si>
    <t>Sigma 17814</t>
  </si>
  <si>
    <t>50 a 100g</t>
  </si>
  <si>
    <t>141375.1210</t>
  </si>
  <si>
    <t>199677.1</t>
  </si>
  <si>
    <t>17814-1KG</t>
  </si>
  <si>
    <t>L-Arabinosa</t>
  </si>
  <si>
    <t>FISHER-ACROS</t>
  </si>
  <si>
    <t>365180250</t>
  </si>
  <si>
    <t>100706 - 100g</t>
  </si>
  <si>
    <t>A3256-100G</t>
  </si>
  <si>
    <t>A91906-100G-A</t>
  </si>
  <si>
    <t>L-arabitol</t>
  </si>
  <si>
    <t>A3506-100G</t>
  </si>
  <si>
    <t>L-Arginina</t>
  </si>
  <si>
    <t>A3675.0100</t>
  </si>
  <si>
    <t>A5006-100G</t>
  </si>
  <si>
    <t>L-Asparagina</t>
  </si>
  <si>
    <t>A8381-100G</t>
  </si>
  <si>
    <t>A0884-100G</t>
  </si>
  <si>
    <t>L-Cisteína</t>
  </si>
  <si>
    <t>A1703.0100</t>
  </si>
  <si>
    <t>168149-500G</t>
  </si>
  <si>
    <t>L-glutamina</t>
  </si>
  <si>
    <t>Sigma, S-4641</t>
  </si>
  <si>
    <t>G3126-100G</t>
  </si>
  <si>
    <t>Light Green</t>
  </si>
  <si>
    <t>VE01600025</t>
  </si>
  <si>
    <t>L1886-25G</t>
  </si>
  <si>
    <t>Listeria innocua ATCC  33090 con certificado en 17034 pase 2 o 3</t>
  </si>
  <si>
    <t>ATCC, Microbiologics o Equivalente</t>
  </si>
  <si>
    <t>Listeria ivanovii subsp. ivanovii ATCC 19119  con certificado en 17034 pase 2 o 3</t>
  </si>
  <si>
    <t>Listeria monocytogenes ATCC 19115 con certificado en 17034 pase 2 o 3 de la colección</t>
  </si>
  <si>
    <t>Lugol de gram</t>
  </si>
  <si>
    <t>LG-1000</t>
  </si>
  <si>
    <t>LU00101000</t>
  </si>
  <si>
    <t>CO040011</t>
  </si>
  <si>
    <t>Lúgol Parasitológica </t>
  </si>
  <si>
    <t>Albor o Cualquier marca </t>
  </si>
  <si>
    <t>Frasco de  500ml </t>
  </si>
  <si>
    <t>LU00100500</t>
  </si>
  <si>
    <t>MagMAX-96 AI/ND Viral RNA Isolation Kit, 4x96; (384 rxn);Ref AM1835</t>
  </si>
  <si>
    <t>Applied Biosystem. Ref AM1835</t>
  </si>
  <si>
    <t>Kit 4 x 96</t>
  </si>
  <si>
    <t>AX4820</t>
  </si>
  <si>
    <t>MagMAX™ Pathogen RNA/DNA Kit 4462359</t>
  </si>
  <si>
    <t>MACHEREYNAGEL GmbH &amp;
Co. KG</t>
  </si>
  <si>
    <t>744210.4</t>
  </si>
  <si>
    <t>MagMAX™ Total Nucleic Acid Isolation Kit AM1840</t>
  </si>
  <si>
    <t>Malonato</t>
  </si>
  <si>
    <t>M1875-100G</t>
  </si>
  <si>
    <t>42412-100ML</t>
  </si>
  <si>
    <t>Manosa</t>
  </si>
  <si>
    <t xml:space="preserve">Merck/VWR o equivalente </t>
  </si>
  <si>
    <t>M8574-100G</t>
  </si>
  <si>
    <t>Material  de referencia certificado  para  conteo de huevos  de helmintos. Fecha  de vencimiento  no  inferior  a 2022</t>
  </si>
  <si>
    <t>Material de control de calidad
para residuos de plaguicidas en frutas, hortalizas y cereales
T09139QCsale</t>
  </si>
  <si>
    <t>Fapas o Test  Veritas o equivalente</t>
  </si>
  <si>
    <t>50-100 g</t>
  </si>
  <si>
    <t>FCPM2-CCP14QC</t>
  </si>
  <si>
    <t>Material de control de calidad
para residuos de plaguicidas en frutas, hortalizas y cereales
T19321QC</t>
  </si>
  <si>
    <t>FCPM2-FRU55QC</t>
  </si>
  <si>
    <t xml:space="preserve">Material de referencia certificado (CRM) fertilizante
que contenga P, K, Cd,  Ca, Cu, Fe, Mg, Mn, N. Con certificado que incluya los valores certificados y sus respectivas incertidumbres. </t>
  </si>
  <si>
    <t>NIST Standard Reference Material® 695 o equivalente</t>
  </si>
  <si>
    <t>Frasco o empaque con 70 g o más</t>
  </si>
  <si>
    <t>NIST695</t>
  </si>
  <si>
    <t xml:space="preserve">Material de Referencia Poultry Feed. Con certificado de análisis e incertidumbre. </t>
  </si>
  <si>
    <t>LGC 7173</t>
  </si>
  <si>
    <t xml:space="preserve">Frasco x 45 g </t>
  </si>
  <si>
    <t>LGC7173</t>
  </si>
  <si>
    <t>May-Grunwald Stain</t>
  </si>
  <si>
    <t>205435-25G</t>
  </si>
  <si>
    <t>Medio 199</t>
  </si>
  <si>
    <t>Gibco, Sigma-Aldrich</t>
  </si>
  <si>
    <t>Caja x 10 frascos x 1 litro</t>
  </si>
  <si>
    <t>Medio de cultivo PDA Fecha de vencimiento no inferior a dos años</t>
  </si>
  <si>
    <t>01-483-500</t>
  </si>
  <si>
    <t>D2902-10X1L</t>
  </si>
  <si>
    <t>NCM0018A</t>
  </si>
  <si>
    <t xml:space="preserve">Medio de suspensión para API </t>
  </si>
  <si>
    <t>Biomerieux 20150</t>
  </si>
  <si>
    <t>Caja x ampollas de 5ml</t>
  </si>
  <si>
    <t>Medio de transporte Stuart</t>
  </si>
  <si>
    <t>Kit x 50 tubos</t>
  </si>
  <si>
    <t>COPAN</t>
  </si>
  <si>
    <t>111C.USE</t>
  </si>
  <si>
    <t>Medio Dulbecco´s MEM</t>
  </si>
  <si>
    <t xml:space="preserve">Gibco, Sigma-Aldrich </t>
  </si>
  <si>
    <t>DMEM-HA</t>
  </si>
  <si>
    <t>D6429-500ML</t>
  </si>
  <si>
    <t>Medio extracto de carne Fecha de vencimiento no inferior a dos año</t>
  </si>
  <si>
    <t>Merck, oxoid.</t>
  </si>
  <si>
    <t>NCM0208A</t>
  </si>
  <si>
    <t>Medio King B</t>
  </si>
  <si>
    <t>Merck o cualquier marca</t>
  </si>
  <si>
    <t>01-029-500</t>
  </si>
  <si>
    <t>NCM0109A</t>
  </si>
  <si>
    <t>Medio MEM en polvo</t>
  </si>
  <si>
    <t>Gibco 41500-034, Sigma-Aldrich</t>
  </si>
  <si>
    <t>10 x 1 litro</t>
  </si>
  <si>
    <t>Medio Motilidad (Medio de cultivo para detectar motilidad bacteriana)</t>
  </si>
  <si>
    <t>Merck, Sharlau, BD, Oxoid o equivalente</t>
  </si>
  <si>
    <t>NCM0277A</t>
  </si>
  <si>
    <t>Medio RPMI</t>
  </si>
  <si>
    <t>GIBCO 11875093</t>
  </si>
  <si>
    <t>RPMI-A</t>
  </si>
  <si>
    <t>SH30096.01</t>
  </si>
  <si>
    <t>GENERAL ELECTRIC - HYCLONE.</t>
  </si>
  <si>
    <t>Agar  Simmons Citrato</t>
  </si>
  <si>
    <t>01-177-500</t>
  </si>
  <si>
    <t>NCM0168A</t>
  </si>
  <si>
    <t>Medio YDC ( levadura-dextrosa-carbonato)</t>
  </si>
  <si>
    <t>MEM Non-Essential Amino Acids Solution (100X)</t>
  </si>
  <si>
    <t>Gibco 11140076</t>
  </si>
  <si>
    <t xml:space="preserve">Metabanadato de amonio </t>
  </si>
  <si>
    <t xml:space="preserve">Frasco x 50 g y/o Frasco x 100 g </t>
  </si>
  <si>
    <t>AM04670100</t>
  </si>
  <si>
    <t>0715-50</t>
  </si>
  <si>
    <t>10028-25G</t>
  </si>
  <si>
    <t>Metanol anhidro absoluto</t>
  </si>
  <si>
    <t>Mallinkcrodt o equivalente</t>
  </si>
  <si>
    <t>131091.1211</t>
  </si>
  <si>
    <t>ME03141000</t>
  </si>
  <si>
    <t>9070-03-M</t>
  </si>
  <si>
    <t xml:space="preserve">Metanol grado espectrometría de masas Lichrosolv hipergrade LC/MS con certificado de análisis y ficha de seguridad </t>
  </si>
  <si>
    <t>Merck Lichrosolv hipergrade LC/MS o equivalente</t>
  </si>
  <si>
    <t xml:space="preserve">Frasco x 2.5 litros </t>
  </si>
  <si>
    <t>701091.1612</t>
  </si>
  <si>
    <t>ME03262500</t>
  </si>
  <si>
    <t xml:space="preserve">Metanol HPLC con certificado de análisis y ficha de seguridad </t>
  </si>
  <si>
    <t>221091.16153</t>
  </si>
  <si>
    <t>ME03154000</t>
  </si>
  <si>
    <t>9093-03-M</t>
  </si>
  <si>
    <t>MGIT TBC identification test</t>
  </si>
  <si>
    <t>Caja x 25</t>
  </si>
  <si>
    <t>Molibdato de amonio tetrahidratado, reactivo analítico</t>
  </si>
  <si>
    <t>JTBaker o similar</t>
  </si>
  <si>
    <t>A2246.0500</t>
  </si>
  <si>
    <t>AM03500250</t>
  </si>
  <si>
    <t>0716-01-M</t>
  </si>
  <si>
    <t>Mycobacterium - Mycobacterium
avium ssp. Paratuberculosis
(Johne's) fecal sample</t>
  </si>
  <si>
    <t>NVSL. MAP-POS</t>
  </si>
  <si>
    <t xml:space="preserve">vial  x 5.0 ml </t>
  </si>
  <si>
    <t>MAP-POS</t>
  </si>
  <si>
    <t xml:space="preserve">Mycobacterium avium subsp. paratuberculosis (Bergey et al.) Thorel et al. (ATCC® BAA-968D-5™) pase 2 </t>
  </si>
  <si>
    <t>ATCC pase 2</t>
  </si>
  <si>
    <t>culturette o liofilizada</t>
  </si>
  <si>
    <t>Mycobacterium bovis direct PCR
control, positive, bovine tissue with
BCG</t>
  </si>
  <si>
    <t>NVSL. MBD-POS</t>
  </si>
  <si>
    <t>vial x 10.0 ml</t>
  </si>
  <si>
    <t>MBD-POS</t>
  </si>
  <si>
    <t>Mycobacterium bovis direct PCR
control, positive, bovine tissue with
Mtb H37a</t>
  </si>
  <si>
    <t>NVSL. TBD-POS</t>
  </si>
  <si>
    <t>TBD-POS</t>
  </si>
  <si>
    <t>Mycobacterium species DNA</t>
  </si>
  <si>
    <t>NVSL. MYC-DNA</t>
  </si>
  <si>
    <t> </t>
  </si>
  <si>
    <t>MYC-DNA</t>
  </si>
  <si>
    <t>Mycoplasma gallisepticum Edward and Kanarek (ATCC® qCRM-19610D™) pase 2 o 3</t>
  </si>
  <si>
    <t>ATCC</t>
  </si>
  <si>
    <t>Loops</t>
  </si>
  <si>
    <t>Mycoplasma hyopneumoniae Mare and Switzer (ATCC® 25934D ) pase 2 o 3</t>
  </si>
  <si>
    <t>Mycoplasma hyopneumoniae Mare and Switzer (ATCC® 25934D™) pase 2 o 3</t>
  </si>
  <si>
    <t xml:space="preserve">Mycoplasma synoviae Olson et al. emend. Jordan et al. (ATCC® qCRM-25204D™) pase 2 o 3 </t>
  </si>
  <si>
    <t>Na2HPO4 H20</t>
  </si>
  <si>
    <t>SIGMA O JTBAKER</t>
  </si>
  <si>
    <t>Frasco x 250 gr o frasco X 500g</t>
  </si>
  <si>
    <t>NADH, DPNH, β-NADH, β-Nicotinamide adenine dinucleotide, reduced disodium salt hydrate, β-DPNH, Diphosphopyridine nucleotide</t>
  </si>
  <si>
    <t>25g o 50g o 100 g</t>
  </si>
  <si>
    <t>N6005-25G</t>
  </si>
  <si>
    <t>Negro de Clorazol</t>
  </si>
  <si>
    <t>C1144-25G</t>
  </si>
  <si>
    <t>Negro de eriocromo T</t>
  </si>
  <si>
    <t>Frasco X  25 g</t>
  </si>
  <si>
    <t>131439.1606</t>
  </si>
  <si>
    <t>NE00450025</t>
  </si>
  <si>
    <t>Negro de Sudán</t>
  </si>
  <si>
    <t>Cualquier  marca</t>
  </si>
  <si>
    <t>9330-25G</t>
  </si>
  <si>
    <t>NE00500025</t>
  </si>
  <si>
    <t>199664-25G</t>
  </si>
  <si>
    <t xml:space="preserve">N-Hexano RA </t>
  </si>
  <si>
    <t>Merck, JT Baker, Mallinckrodt</t>
  </si>
  <si>
    <t>121347.0314</t>
  </si>
  <si>
    <t>9309-03-M</t>
  </si>
  <si>
    <t>Nistatina N6261</t>
  </si>
  <si>
    <t xml:space="preserve">N6261-5MU </t>
  </si>
  <si>
    <t>N6261-25MU</t>
  </si>
  <si>
    <t>Nitrato de Plata</t>
  </si>
  <si>
    <t>131459.1606</t>
  </si>
  <si>
    <t>PL00500050</t>
  </si>
  <si>
    <t>3426-03-M</t>
  </si>
  <si>
    <t>Nitrato de Potasio (kNO3)</t>
  </si>
  <si>
    <t>Merck 1050631000</t>
  </si>
  <si>
    <t>Frasco x 1000 g</t>
  </si>
  <si>
    <t>131524.1211</t>
  </si>
  <si>
    <t>Panreac, Merck(1065370500) o equivalente</t>
  </si>
  <si>
    <t>N-naftil etilendiamina dihidrocloruro</t>
  </si>
  <si>
    <t>222488-100G</t>
  </si>
  <si>
    <t>Normal specific pathogen free
chicken serum</t>
  </si>
  <si>
    <t>NVSL, Código del reactivo 907-ADV</t>
  </si>
  <si>
    <t>907-ADV</t>
  </si>
  <si>
    <t>Nystatin suspensión 10,000 units/ml nystatin en DPBS, aseptically processed, BioReagent, para cultivo celular</t>
  </si>
  <si>
    <t>Sigma, Merck</t>
  </si>
  <si>
    <t>N1638-100ML</t>
  </si>
  <si>
    <t>O Antiserum Salmonella Poly A-I and VI</t>
  </si>
  <si>
    <t>Bacto 2264-47-2, Difco 222641 o equivalente</t>
  </si>
  <si>
    <t xml:space="preserve">O Antisuero Salmonella somático Factor 5 </t>
  </si>
  <si>
    <t xml:space="preserve">Oligo (dt) 12-18 PRIMER. Esta listo para usar como un primer en la sintesis de cDNA con transcriptasa reversa. Vial
x25ug. Ref 18418012 </t>
  </si>
  <si>
    <t>G140</t>
  </si>
  <si>
    <t>O-Phenylene diamine 5 mg (Peligroso)</t>
  </si>
  <si>
    <t>Sigma P3804-100</t>
  </si>
  <si>
    <t>Caja x 100 tabletas</t>
  </si>
  <si>
    <t>P3804-100</t>
  </si>
  <si>
    <t>P3804-100TAB</t>
  </si>
  <si>
    <t>O-Phenylene diaminehydrochloride 10 mg (Peligroso)</t>
  </si>
  <si>
    <t>Sigma P8287-100</t>
  </si>
  <si>
    <t>P8287-100</t>
  </si>
  <si>
    <t>P8287-100TAB</t>
  </si>
  <si>
    <t>Ornitina</t>
  </si>
  <si>
    <t>O2375-100G</t>
  </si>
  <si>
    <t>Ovoalbúmina Grado II</t>
  </si>
  <si>
    <t>Sigma  A5253</t>
  </si>
  <si>
    <t>A5253-250G</t>
  </si>
  <si>
    <t>Ovoalbúmina Grado V</t>
  </si>
  <si>
    <t>Sigma  A5503</t>
  </si>
  <si>
    <t>A5503-50G</t>
  </si>
  <si>
    <t>CE100</t>
  </si>
  <si>
    <t>GENONE</t>
  </si>
  <si>
    <t xml:space="preserve">Oxalato de amonio </t>
  </si>
  <si>
    <t>131136.1211</t>
  </si>
  <si>
    <t>AM03650500</t>
  </si>
  <si>
    <t>32304-500G</t>
  </si>
  <si>
    <t>Óxido de lantano (III) &gt;98%</t>
  </si>
  <si>
    <t xml:space="preserve">MERCK , SIGMA ALDRICH o Equivalente  </t>
  </si>
  <si>
    <t>Frasco 1 kg</t>
  </si>
  <si>
    <t>122705.1609</t>
  </si>
  <si>
    <t xml:space="preserve">Óxido de Titanio </t>
  </si>
  <si>
    <t>Merck, JT Baker, Sigma</t>
  </si>
  <si>
    <t>TI03670500</t>
  </si>
  <si>
    <t>Parafina</t>
  </si>
  <si>
    <t>143209.1211</t>
  </si>
  <si>
    <t>LEICA BIOSYSTEMS</t>
  </si>
  <si>
    <t>Patron de conductividad para 1413 microsiemens X cm con certificado</t>
  </si>
  <si>
    <t>394659.1209</t>
  </si>
  <si>
    <t>PA01010250</t>
  </si>
  <si>
    <t>Patron de MacFarland.Caja x 7 ampolletas</t>
  </si>
  <si>
    <t>ThermoScientific, BD o equivalente</t>
  </si>
  <si>
    <t>Caja x 7 ampolletas</t>
  </si>
  <si>
    <t>PBS pH 7,4 1x líquido</t>
  </si>
  <si>
    <t>Caja x 10 (500 ml)</t>
  </si>
  <si>
    <t>PBS-1A</t>
  </si>
  <si>
    <t>11PBS10X02 -1L</t>
  </si>
  <si>
    <t>SH30258.01</t>
  </si>
  <si>
    <t>PCB 103</t>
  </si>
  <si>
    <t>Dr. Ehrenstorfer o equivalente</t>
  </si>
  <si>
    <t>DRE-C20010300</t>
  </si>
  <si>
    <t>PCB 52</t>
  </si>
  <si>
    <t>DRE-C20005200</t>
  </si>
  <si>
    <t>Penicilina cristalina 1.000.000 U</t>
  </si>
  <si>
    <t xml:space="preserve">Frasco x 5 ml </t>
  </si>
  <si>
    <t xml:space="preserve">Penicilina-streptomicina </t>
  </si>
  <si>
    <t>GIBCO 15140</t>
  </si>
  <si>
    <t>PS-B</t>
  </si>
  <si>
    <t>G255</t>
  </si>
  <si>
    <t>SV30010</t>
  </si>
  <si>
    <t>CYTIVA- HYCLONE.</t>
  </si>
  <si>
    <t>Peptona de Caseina</t>
  </si>
  <si>
    <t>Sharlau 07-489-500, Oxoid o equivalentes.</t>
  </si>
  <si>
    <t>A2210.0500</t>
  </si>
  <si>
    <t>07-489-500</t>
  </si>
  <si>
    <t>NCM0120A</t>
  </si>
  <si>
    <t>Peptone de soya</t>
  </si>
  <si>
    <t>BD DifcoTM, 0436-01, Oxoid o equivalentes.</t>
  </si>
  <si>
    <t>NCM0229A</t>
  </si>
  <si>
    <t>Peróxido de hidrógeno 30%  for analysis</t>
  </si>
  <si>
    <t>Merck, Sigma Aldrich o equivalente</t>
  </si>
  <si>
    <t>141076.1211</t>
  </si>
  <si>
    <t>HI01361000</t>
  </si>
  <si>
    <t>2186-01-M</t>
  </si>
  <si>
    <t>Phloxine B</t>
  </si>
  <si>
    <t>P2759-25G</t>
  </si>
  <si>
    <t>P4030-25G</t>
  </si>
  <si>
    <t>Pimaricin</t>
  </si>
  <si>
    <t>215625420-20ml</t>
  </si>
  <si>
    <t>P9703-100MG</t>
  </si>
  <si>
    <t>Sigma, o cualquier marca</t>
  </si>
  <si>
    <t>Frasco</t>
  </si>
  <si>
    <t>A4859.0100</t>
  </si>
  <si>
    <t>NPY-B</t>
  </si>
  <si>
    <t>SO05900100</t>
  </si>
  <si>
    <t>P5280-100G</t>
  </si>
  <si>
    <t>Placas  de Fosfuro de Magnesio</t>
  </si>
  <si>
    <t>Fumicel placa</t>
  </si>
  <si>
    <t>Sobre  de aluminio X 117 g</t>
  </si>
  <si>
    <t>ANASAC</t>
  </si>
  <si>
    <t xml:space="preserve">Plasmocin Mycoplasma Elimination Reagent </t>
  </si>
  <si>
    <t>INVIVOGEN  ant-mpt-1</t>
  </si>
  <si>
    <t>Vial x 25 mg</t>
  </si>
  <si>
    <t>INVIVOGEN</t>
  </si>
  <si>
    <t>ant-mpt-1</t>
  </si>
  <si>
    <t>Polivinilpirrolidona (PVP) 40</t>
  </si>
  <si>
    <t>US15295-100GM</t>
  </si>
  <si>
    <t>SIGMA PVP40-100G</t>
  </si>
  <si>
    <t>Primers desalados, desprotegidos, escala 50nM</t>
  </si>
  <si>
    <t>Base nitrogenada</t>
  </si>
  <si>
    <t>C133</t>
  </si>
  <si>
    <t>PR005Desalt</t>
  </si>
  <si>
    <t>Proteinase K, lista para usar</t>
  </si>
  <si>
    <t xml:space="preserve">S3020 Merck (124568) </t>
  </si>
  <si>
    <t>A3830.0100</t>
  </si>
  <si>
    <t>G029</t>
  </si>
  <si>
    <t>V3021</t>
  </si>
  <si>
    <t>Pseudomonas aeruginosa ATCC 9027 con certificado en 17034. minimo pase 1 maximo pase 3</t>
  </si>
  <si>
    <t>ATCC, Microbiologics o Equivalente pase del microrganismopase  1 a maximo pase 3</t>
  </si>
  <si>
    <t>KWIK STIK, Criovial, Vial Liofilizado</t>
  </si>
  <si>
    <t>0484-CRM</t>
  </si>
  <si>
    <t>PSTEUR0200 Solución mix para análisis de plaguicidas, usada en métodos multiresiduos- 200 componentes 
Componentes Vial 1: 170 componentes
Componentes Vial 2 :30 componentes</t>
  </si>
  <si>
    <t>Scharlau</t>
  </si>
  <si>
    <t xml:space="preserve">Viales </t>
  </si>
  <si>
    <t>Puretaq ready to go PCR beads. Premezcla para optimizar amplificaciones de PCR</t>
  </si>
  <si>
    <t xml:space="preserve">Cytiva  27-9559-01 </t>
  </si>
  <si>
    <t>CYTIVA</t>
  </si>
  <si>
    <t>27-9559-01</t>
  </si>
  <si>
    <t>Qubit 1X ds DNA HS Assay Kit X 500 assays.Ref Q33231</t>
  </si>
  <si>
    <t>Q33231</t>
  </si>
  <si>
    <t>E2670</t>
  </si>
  <si>
    <t>Qubit Assay Tubes. Tubos de pared delagada de 0.5 ml, tipo PCR. Paquete x 500Und. Ref Q32856</t>
  </si>
  <si>
    <t>Q32856</t>
  </si>
  <si>
    <t>Rammnosa</t>
  </si>
  <si>
    <t>W373011-100G-K</t>
  </si>
  <si>
    <t xml:space="preserve">Random Primers 1.5mM, [~297ug/100ul].
Kit 100ul. Ref 48190011 </t>
  </si>
  <si>
    <t>G139</t>
  </si>
  <si>
    <t>C1181</t>
  </si>
  <si>
    <t xml:space="preserve">RDE (Cholera filtrate lyophylized of Vibrio culture fluid) </t>
  </si>
  <si>
    <t>SIGMA C8772-1VL</t>
  </si>
  <si>
    <t>C8772-1VL</t>
  </si>
  <si>
    <t>Reactivo de kovacs para revelación de indol</t>
  </si>
  <si>
    <t>Merck 1092930100, Sigma-Aldrich o equivalente</t>
  </si>
  <si>
    <t>252908.1608</t>
  </si>
  <si>
    <t>RE0007G100</t>
  </si>
  <si>
    <t>Reactivo TDA para kits API.Caja x 2 Ampolletas x 5 ml</t>
  </si>
  <si>
    <t>Caja x 2 Ampolletas x 5 ml</t>
  </si>
  <si>
    <t>Reactivos VPA-VPB para kits API.Caja x 4 Ampolletas x 5 ml</t>
  </si>
  <si>
    <t>Caja x 4 Ampolletas x 5 ml</t>
  </si>
  <si>
    <t>Red Gel  Nucleic Acid  Gel Stain.</t>
  </si>
  <si>
    <t>Biotum. 41003</t>
  </si>
  <si>
    <t>G926</t>
  </si>
  <si>
    <t>G108-R</t>
  </si>
  <si>
    <t>89139-138 (41003)</t>
  </si>
  <si>
    <t>H1181</t>
  </si>
  <si>
    <t>Rhodococcus equi ATCC  6939 con certificado en 17034 pase 2 o 3.</t>
  </si>
  <si>
    <t>0697-CRM</t>
  </si>
  <si>
    <t>RNA Later Solution Tissue collection RNA stabilization solution AM 7021</t>
  </si>
  <si>
    <t>VAZYME
BIOTECH</t>
  </si>
  <si>
    <t>DC112-02</t>
  </si>
  <si>
    <t>AM7021</t>
  </si>
  <si>
    <t xml:space="preserve">RNase AWAY en Spray solucion para descontaminar material de laboratorio como mesas y micropipetas de RNAsas. </t>
  </si>
  <si>
    <t xml:space="preserve">MBP o equivalentes </t>
  </si>
  <si>
    <t>Frasco x 475 ml</t>
  </si>
  <si>
    <t>1236B61 (7002)</t>
  </si>
  <si>
    <t>RNase Inhibitor. Proteína recombinante con inhibidor de rnasa neutro, 40U/µl</t>
  </si>
  <si>
    <t>Invitrogen AM 2684</t>
  </si>
  <si>
    <t>G138</t>
  </si>
  <si>
    <t>AM2684</t>
  </si>
  <si>
    <t>N2611</t>
  </si>
  <si>
    <t xml:space="preserve">RNase OUT. Kit x 5.000Und. INVITROGEN Es un potente inhibibor de ribonucleasas
de tipo pancreático tales como la Rnase A, RNasa B, Rnasa C Ref 10777019 </t>
  </si>
  <si>
    <t>RNaseA (SigmaAldrich Cat #R4642) (20mg/ml)</t>
  </si>
  <si>
    <t>SigmaAldrich Cat #R4642 o invitrogen</t>
  </si>
  <si>
    <t>frasco X 10mg</t>
  </si>
  <si>
    <t>G117</t>
  </si>
  <si>
    <t>R4642-10MG</t>
  </si>
  <si>
    <t>R4642</t>
  </si>
  <si>
    <t>A7973</t>
  </si>
  <si>
    <t>Rojo de metilo</t>
  </si>
  <si>
    <t>Frasco x 25g o Frasco x 100 g</t>
  </si>
  <si>
    <t>131617.1606</t>
  </si>
  <si>
    <t>RO01500100</t>
  </si>
  <si>
    <t>R086-03-U</t>
  </si>
  <si>
    <t>Rojo Fenol</t>
  </si>
  <si>
    <t>Merck, Sigma o equivalente</t>
  </si>
  <si>
    <t>131615.1604</t>
  </si>
  <si>
    <t>RO01300005</t>
  </si>
  <si>
    <t>T254-01-U</t>
  </si>
  <si>
    <t>Safranina</t>
  </si>
  <si>
    <t>Frasco x 25 g o Frasco x 50 g</t>
  </si>
  <si>
    <t>251622.1607</t>
  </si>
  <si>
    <t>SA00400050</t>
  </si>
  <si>
    <t>U926-03-M</t>
  </si>
  <si>
    <t>Salbutamol free base 100 mg. Trazable, con certificado con método de análisis e incertidumbre, vigencia no menor a 2 años</t>
  </si>
  <si>
    <t xml:space="preserve"> Dr Ehrenstorfer
DRE‐C16903000</t>
  </si>
  <si>
    <t>DRE-C16903000</t>
  </si>
  <si>
    <t>salicina</t>
  </si>
  <si>
    <t>S0625-100G</t>
  </si>
  <si>
    <t>Salmonella As POLY O (A~G)</t>
  </si>
  <si>
    <t xml:space="preserve">Salmonella enterica subsp. enterica (ex Kauffmann and Edwards) Le Minor and Popoff serovar enteritidis (ATCC® 13076™) </t>
  </si>
  <si>
    <t>ATCC (minimo pase 2)</t>
  </si>
  <si>
    <t>Liofilizada</t>
  </si>
  <si>
    <t>0345-CRM</t>
  </si>
  <si>
    <t xml:space="preserve">Salmonella enterica subsp. enterica (ex Kauffmann and Edwards) Le Minor and Popoff serovar Infantis (ATCC® BAA-1675D-5™) pase 2 </t>
  </si>
  <si>
    <t>Salmonella enterica subsp. enterica (ex Kauffmann and Edwards) Le Minor and Popoff serovar Paratyphi B (ATCC® BAA-1250D-5™) pase 2</t>
  </si>
  <si>
    <t xml:space="preserve">Salmonella enterica subsp. enterica (ex Kauffmann and Edwards) Le Minor and Popoff serovar Pullorum (ATCC® 13036™) pase 2 </t>
  </si>
  <si>
    <t>0604-CRM</t>
  </si>
  <si>
    <t>Salmonella enterica subsp. enterica (ex Kauffmann and Edwards) Le Minor and Popoff serovar Typhimurium (ATCC® 13311D-5™) pase 2</t>
  </si>
  <si>
    <t>0421-CRM</t>
  </si>
  <si>
    <t xml:space="preserve">Salmonella enterica subsp. enterica (ex Kauffmann and Edwards) Le Minor and Popoff serovar Typhimurium (ATCC® 14028™) pase 2 </t>
  </si>
  <si>
    <t>Difco  REF 222641</t>
  </si>
  <si>
    <t>Sanivec </t>
  </si>
  <si>
    <t>Vecol</t>
  </si>
  <si>
    <t>Garrafa plástica por 4 litros</t>
  </si>
  <si>
    <t>Sensidiscos de ácido nalidíxico x 30µg</t>
  </si>
  <si>
    <t>Merck, Acumedia, BBL, Sharlau, Sigma, Oxoid</t>
  </si>
  <si>
    <t>Sensidiscos de amikacina x 30µg</t>
  </si>
  <si>
    <t>Sensidiscos de Amoxycillin x 10 µg</t>
  </si>
  <si>
    <t>Sensidiscos de ampicilina x 10µg</t>
  </si>
  <si>
    <t>Sensidiscos de Ampicillin/sulbactam 2:1</t>
  </si>
  <si>
    <t>Sensidiscos de bacitracina 0.04 ug</t>
  </si>
  <si>
    <t>Tubo x 50 discos</t>
  </si>
  <si>
    <t>Sensidiscos de colistin x 10 µg</t>
  </si>
  <si>
    <t>Sensidiscos de estreptomicina x 10µg</t>
  </si>
  <si>
    <t>Sensidiscos de linezolid x 30µg</t>
  </si>
  <si>
    <t>Sensidiscos de Penicilina/novobiocina 10unidades/30 ug</t>
  </si>
  <si>
    <t>Sensidiscos de Rifampicina x 5µg</t>
  </si>
  <si>
    <t>Caja x 5 tubos x 5 ug</t>
  </si>
  <si>
    <t>Sensidiscos de Sulfametoxasol 15 ug</t>
  </si>
  <si>
    <t>Sensidiscos de tetraciclina x 30µg</t>
  </si>
  <si>
    <t>Sistema de identificación Api 20E Caja x 25 galerias</t>
  </si>
  <si>
    <t>Caja x 25 pbas</t>
  </si>
  <si>
    <t>20100+20230+70402+70542+70442+70380+55635+70100</t>
  </si>
  <si>
    <t>Sistema de identificación API Listeria. Caja x 10 galerías</t>
  </si>
  <si>
    <t>Caja x 10 pbas</t>
  </si>
  <si>
    <t>10300+70900</t>
  </si>
  <si>
    <t>Skim Milk</t>
  </si>
  <si>
    <t>BD, Oxoid</t>
  </si>
  <si>
    <t>NCM0249A</t>
  </si>
  <si>
    <t xml:space="preserve">Sodio citrato tribasico dihidratado </t>
  </si>
  <si>
    <t>Merck, Emsure o similares</t>
  </si>
  <si>
    <t>Frasco X 500g</t>
  </si>
  <si>
    <t>SO02000500</t>
  </si>
  <si>
    <t>Sodio fosfato bibásico 12 Hidrato</t>
  </si>
  <si>
    <t>SO03430500</t>
  </si>
  <si>
    <t>Sodio Fosfato Bibasico 12 hidrato Na2HPO4 12H2O</t>
  </si>
  <si>
    <t>Solución de Hanks</t>
  </si>
  <si>
    <t>Thermofisher 88284</t>
  </si>
  <si>
    <t>Solución Hoyer</t>
  </si>
  <si>
    <t>Solucion Mix de estandares de plagucidas Smart Solutions v700 PestiMix Kit 1</t>
  </si>
  <si>
    <t>Dr Ehrenstorfer DRE-K50000087AL</t>
  </si>
  <si>
    <t>Frasco x 1mL (5 unidades)</t>
  </si>
  <si>
    <t>48858-U</t>
  </si>
  <si>
    <t>DRE-K50000087AL</t>
  </si>
  <si>
    <t>Solución Patrón de Cromo 1000 mg Cr/L trazable a SRM de NIST Cr(NO₃)₂ en HNO₃ 0,5 mol/l 1000 mg/L Cr Certipur®(referencia  Merck 119779 )</t>
  </si>
  <si>
    <t>Frasco x 100 mL</t>
  </si>
  <si>
    <t>AA13N-1</t>
  </si>
  <si>
    <t>CR02220100</t>
  </si>
  <si>
    <t>Solución Patrón de Hierro 1000 mg Fe/L</t>
  </si>
  <si>
    <t>313182.1208</t>
  </si>
  <si>
    <t>HI03020100</t>
  </si>
  <si>
    <t>Solución Patrón de Mercurio 1000 mg Hg/L , trazable a SRM de NIST Hg(NO₃)₂ en HNO₃ 2 mol/l  Certipur® (referencia  Merck 119773 )</t>
  </si>
  <si>
    <t>AA34N-1</t>
  </si>
  <si>
    <t>ME01110100</t>
  </si>
  <si>
    <t>Solución Patrón de Plomo 1000 mg Pb/L</t>
  </si>
  <si>
    <t>Merck (1197760100) o equivalente</t>
  </si>
  <si>
    <t>AA53N-1</t>
  </si>
  <si>
    <t>PL01050100</t>
  </si>
  <si>
    <t>Solución Patrón de Potasio 1000 mg K/L</t>
  </si>
  <si>
    <t>Merck (1702300100) o equivalente</t>
  </si>
  <si>
    <t>313190.1210</t>
  </si>
  <si>
    <t>PO01050100</t>
  </si>
  <si>
    <t xml:space="preserve">Sonda Custom TaqMan Probe, diseñada por usted mismo purificacada con HPLC
X20,000 pmol (20nm), marcada con 6FAM/ VIC/ TET/ NED como reportero y MGBNFQ como atenuador. NO Incluye primers Ref 4316033 </t>
  </si>
  <si>
    <t>Sonda dual de hasta 35 bases en escala de 250nM (garantizados 25nM) con BHQ como atenuador</t>
  </si>
  <si>
    <t>GENELNK</t>
  </si>
  <si>
    <t>Probe</t>
  </si>
  <si>
    <t>Sonda para PCR en tiempo real de rango 15-35pb en escala de 200nM marcación dual Marca:18064071</t>
  </si>
  <si>
    <t xml:space="preserve">Sonda Taqman de Marcaje dual purificada.  Longitud: Hasta 30 bases. Escala de síntesis:  25nmol a 100nmol . Marcada con FAM/ VIC/ TET/ HEX/NED como reportero y TAMRA como atenuador. </t>
  </si>
  <si>
    <t>SONDACOMBAOD5</t>
  </si>
  <si>
    <t>Sorbitol</t>
  </si>
  <si>
    <t>Sigma-Aldrich S1876</t>
  </si>
  <si>
    <t xml:space="preserve">Staphylococcus aureus subsp. aureus ATCC 49444 con certificado en 17034 </t>
  </si>
  <si>
    <t>0907P</t>
  </si>
  <si>
    <t>Sterikon plus bioindicador</t>
  </si>
  <si>
    <t>Caja x 15 ampollas</t>
  </si>
  <si>
    <t>0577P</t>
  </si>
  <si>
    <t xml:space="preserve">Duo Stick </t>
  </si>
  <si>
    <t>0241P</t>
  </si>
  <si>
    <t>Streptavidina - HRP</t>
  </si>
  <si>
    <t>Vial 6 ul - 600ul</t>
  </si>
  <si>
    <t>BIOLEGEND</t>
  </si>
  <si>
    <t xml:space="preserve">Substrato TMB (Enhanced K Blue TMB Substrate) </t>
  </si>
  <si>
    <t>Neogen 308175</t>
  </si>
  <si>
    <t>Frasco x 200 mL</t>
  </si>
  <si>
    <t>Succinato Disodico</t>
  </si>
  <si>
    <t>Sigma, S-2378</t>
  </si>
  <si>
    <t>S2378-500G</t>
  </si>
  <si>
    <t>Suero bovino adulto esteril</t>
  </si>
  <si>
    <t>Sigma B9433</t>
  </si>
  <si>
    <t>ABS-1A</t>
  </si>
  <si>
    <t>B9433-500ML</t>
  </si>
  <si>
    <t xml:space="preserve">Suero control positivo fuerte de referencia internacional para Brucella abortus. Con certtificado </t>
  </si>
  <si>
    <t xml:space="preserve">NVSL , SVANOVA o  otro de otro laborarorio  de referencia </t>
  </si>
  <si>
    <t>Suero control positivo moderado de referencia internacional para Brucella abortus. Con certificado</t>
  </si>
  <si>
    <t>NVSL, SVANOCA o otro laboratorio  de referencia</t>
  </si>
  <si>
    <t xml:space="preserve">Suero de referencia negativo AIID Inmunodifusion Influenza Aviar </t>
  </si>
  <si>
    <t>NVSL AMES</t>
  </si>
  <si>
    <t>Frasco liofilizado  x 0,6 ml</t>
  </si>
  <si>
    <t>905-ADV</t>
  </si>
  <si>
    <t>Suero de Referencia Negativo para Diarrea Viral Bovina (antígeno)</t>
  </si>
  <si>
    <t>NVSL Ref 546 BDV</t>
  </si>
  <si>
    <t>546-BDV</t>
  </si>
  <si>
    <t>Suero de Referencia Negativo para Mycobacterium paratuberculoso</t>
  </si>
  <si>
    <t>133-N</t>
  </si>
  <si>
    <t xml:space="preserve">Suero de referencia positivo debil AIID Inmunodifusion Influenza Aviar </t>
  </si>
  <si>
    <t>903-EXP</t>
  </si>
  <si>
    <t xml:space="preserve">Suero de referencia positivo fuerte AIID Inmunodifusion Influenza Aviar </t>
  </si>
  <si>
    <t>Frasco liofilizado x 0,6 ml</t>
  </si>
  <si>
    <t xml:space="preserve">902-EXP </t>
  </si>
  <si>
    <t>Suero de Referencia Positivo Fuerte para Leucosis Enzoótica Bovina</t>
  </si>
  <si>
    <t>902-BDV</t>
  </si>
  <si>
    <t>Suero de Referencia Positivo para Diarrea Viral Bovina (antígeno) tipo 2 Ref: 546 BDV</t>
  </si>
  <si>
    <t>Suero de Referencia Positivo para Mycobacterium paratuberculoso</t>
  </si>
  <si>
    <t>133-P</t>
  </si>
  <si>
    <t>Suero de Referencia Positivo para Rinotraqueitis Infecciosa Bovina</t>
  </si>
  <si>
    <t>355-BDV</t>
  </si>
  <si>
    <t>Suero Equino Estéril</t>
  </si>
  <si>
    <t>HOS-1A</t>
  </si>
  <si>
    <t>H1270-500ML</t>
  </si>
  <si>
    <t>Suero fetal bovino gamma irradiado</t>
  </si>
  <si>
    <t>FBS-GI-12A</t>
  </si>
  <si>
    <t>12107C-500ML</t>
  </si>
  <si>
    <t>Suero H5N9 Influenza Aviar</t>
  </si>
  <si>
    <t>GD Animal Health</t>
  </si>
  <si>
    <t>VLDIA257</t>
  </si>
  <si>
    <t>Suero H6N2  Influenza Aviar</t>
  </si>
  <si>
    <t>VLDIA148</t>
  </si>
  <si>
    <t>Suero H7N3  Influenza Aviar</t>
  </si>
  <si>
    <t>Suero H9N2  Influenza Aviar</t>
  </si>
  <si>
    <t>VLDIA150</t>
  </si>
  <si>
    <t>Suero negativo para Newcastle</t>
  </si>
  <si>
    <t>Suero porcino</t>
  </si>
  <si>
    <t>GIBCO 11500646</t>
  </si>
  <si>
    <t>POR-1A</t>
  </si>
  <si>
    <t>Sulfato de cobre pentahidratado 98-102%</t>
  </si>
  <si>
    <t>panreac, JT Baker, Merck o equivalente</t>
  </si>
  <si>
    <t>CO01010500</t>
  </si>
  <si>
    <t>M4844-04</t>
  </si>
  <si>
    <t>BDH9312-500G</t>
  </si>
  <si>
    <t>Sulfato de magnesio anhidro</t>
  </si>
  <si>
    <t>Sigma Aldrich o equivalente</t>
  </si>
  <si>
    <t>MA00801000</t>
  </si>
  <si>
    <t>M7506-1KG</t>
  </si>
  <si>
    <t>2506-19-M</t>
  </si>
  <si>
    <t>Sulfato de magnesio heptahidratado (MgSO4.7H2O) &gt; 99%</t>
  </si>
  <si>
    <t>Cualquier marca Panreac, sigma Aldrich o equivalente</t>
  </si>
  <si>
    <t>131404.1211</t>
  </si>
  <si>
    <t>MA00850500</t>
  </si>
  <si>
    <t>2500-01-M</t>
  </si>
  <si>
    <t xml:space="preserve">Sulfato de Potasio </t>
  </si>
  <si>
    <t>PO03651000</t>
  </si>
  <si>
    <t>M7140-61-M</t>
  </si>
  <si>
    <t>Sulfato de sodio anhidro granulado PA con certificado de análisis trazable por lote y descargable mediante el website del fabricante</t>
  </si>
  <si>
    <t>131716.1211</t>
  </si>
  <si>
    <t>SO06640500</t>
  </si>
  <si>
    <t>3891-01-M</t>
  </si>
  <si>
    <t>Sulfito de sodio (Na2SO3)</t>
  </si>
  <si>
    <t>Sigma-Aldrich o equivalente</t>
  </si>
  <si>
    <t>131717.1211</t>
  </si>
  <si>
    <t>SO06690500</t>
  </si>
  <si>
    <t>SuperScript II, en concentración [200Und/μl], Transcriptasa reversa. con una mutación que elimino la actividad de RNAsa H, por lo cual el RNA molde sirve para muchas copias optimizando el rendimiento de la enzima. Marca INVITROGEN 4 X 10.000Und son 40.000und 200 rxns Aprox. 18064071</t>
  </si>
  <si>
    <t>M1302-40KU</t>
  </si>
  <si>
    <t>M3681</t>
  </si>
  <si>
    <t>SuperScript™ III One-Step RT-PCR System with Platinum™ Taq High Fidelity DNA Polymerase. 12574035</t>
  </si>
  <si>
    <t>G597</t>
  </si>
  <si>
    <t xml:space="preserve">SuperScript™ III Platinum™ One-Step qRT-PCR Kit. Ref 11732-020 </t>
  </si>
  <si>
    <t>G592</t>
  </si>
  <si>
    <t>SuperScript™ III RT- First strand syntesis system for RT-PCR 18080051</t>
  </si>
  <si>
    <t>G895</t>
  </si>
  <si>
    <t>Suplemento CTS™ GlutaMAX™-I</t>
  </si>
  <si>
    <t>Gibco A1286001</t>
  </si>
  <si>
    <t>A1286001</t>
  </si>
  <si>
    <t>Suplemento Extracto de malta</t>
  </si>
  <si>
    <t xml:space="preserve">Merck, Oxoid  </t>
  </si>
  <si>
    <t>NCM0207A</t>
  </si>
  <si>
    <t>Swine influenza 2009 H1N1 positive
control RNA for N1 PCR</t>
  </si>
  <si>
    <t>NVSL. 305-IDV</t>
  </si>
  <si>
    <t>vial 0.05 ml</t>
  </si>
  <si>
    <t>305-IDV</t>
  </si>
  <si>
    <t>SYBR Green PCR Master Mix. Set 2x5 mL. Ref 4364344</t>
  </si>
  <si>
    <t>G891</t>
  </si>
  <si>
    <t>G108-G</t>
  </si>
  <si>
    <t>S5193-400RXN</t>
  </si>
  <si>
    <t>A6001</t>
  </si>
  <si>
    <t xml:space="preserve">SYBR Safe (10.000X), para tinción de ácidos nucleicos en gel. Vial x400µl. Ref S33102 </t>
  </si>
  <si>
    <t>G108</t>
  </si>
  <si>
    <t>S9430-.5ML</t>
  </si>
  <si>
    <t xml:space="preserve">S33102 </t>
  </si>
  <si>
    <t xml:space="preserve">TAQ DNA Polimerasa Recombinante, origen Brasil, en concentración 5Und/µl.Incluye un vial de MgCl2 y un vial de Buffer 10X. Kit x500und. Ref 11615010 </t>
  </si>
  <si>
    <t>G009</t>
  </si>
  <si>
    <t>G894</t>
  </si>
  <si>
    <t>D4545-1.5KU</t>
  </si>
  <si>
    <t>M7132</t>
  </si>
  <si>
    <t xml:space="preserve">TaqMan Fasta virus 1-Step Master Mix, 1- pack, 200 rxn / 20 µl eachm Presentación: Vial 1 ml </t>
  </si>
  <si>
    <t>A6120</t>
  </si>
  <si>
    <t>Tego 51</t>
  </si>
  <si>
    <t>DIVERSEY</t>
  </si>
  <si>
    <t>Test de inmunodifusión en Gel de Agar para la detección de anticuerpos contra el virus de Anemia Infecciosa Equina</t>
  </si>
  <si>
    <t>IDVET/IDEXX</t>
  </si>
  <si>
    <t>200 reacciones</t>
  </si>
  <si>
    <t>Kit por 200 Reacciones</t>
  </si>
  <si>
    <t xml:space="preserve"> EIA-AGID </t>
  </si>
  <si>
    <t>Tetrabutilamonio hidrógeno sufato para HPLC</t>
  </si>
  <si>
    <t>Panreac, Merck o equivalente</t>
  </si>
  <si>
    <t>TE01200100</t>
  </si>
  <si>
    <t>Tiocianato de guanidina</t>
  </si>
  <si>
    <t>Sigma Aldrich</t>
  </si>
  <si>
    <t>GU00650250</t>
  </si>
  <si>
    <t>G9277-250G</t>
  </si>
  <si>
    <t xml:space="preserve">Tiosulfato de sodio pentahidratado PA con certificado de análisis trazable por lote </t>
  </si>
  <si>
    <t>SO07270500</t>
  </si>
  <si>
    <t>3946-01-M</t>
  </si>
  <si>
    <t>Tiras para prueba de oxidasa</t>
  </si>
  <si>
    <t>Merck, Oxoid o equivalentes</t>
  </si>
  <si>
    <t xml:space="preserve">Frasco x 50 tiras </t>
  </si>
  <si>
    <t>88029N</t>
  </si>
  <si>
    <t>Tracklt 100bp DNA Ladder, consiste en la adición de 2 colorantes de corrida, uno que va con la muestra y otro que corre delante de la muestra indicando el momento de mejor visualización. Listo para usar. Invitrogen X 100 Aplicaciones. Marca: Ref 10488058</t>
  </si>
  <si>
    <t>G473</t>
  </si>
  <si>
    <t>G2101</t>
  </si>
  <si>
    <t>Trehalosa</t>
  </si>
  <si>
    <t>PHR1344-500MG</t>
  </si>
  <si>
    <t>Triphenyl Phosphate (Trifenilo fosfato) para síntesis, pureza ≥ 99%,  CAS 115-86-6</t>
  </si>
  <si>
    <t>Frasco de vidrio x 50g/ Frasco plástico X 100g/250g</t>
  </si>
  <si>
    <t>Tris - HCL (Listo para usar en Polvo)</t>
  </si>
  <si>
    <t>Amresco o equivalente</t>
  </si>
  <si>
    <t>Frasco X 1 Kg</t>
  </si>
  <si>
    <t>A1086.1000</t>
  </si>
  <si>
    <t>TR04231000</t>
  </si>
  <si>
    <t>T3253-1KG</t>
  </si>
  <si>
    <t>97061-258</t>
  </si>
  <si>
    <t>SIGMA T6666</t>
  </si>
  <si>
    <t>Trizol LS Reagent  Ref 10296028</t>
  </si>
  <si>
    <t>Ambion Ref 10296028</t>
  </si>
  <si>
    <t>Frasco x 200mL</t>
  </si>
  <si>
    <t>Trizol Reagent  Ref 15596018</t>
  </si>
  <si>
    <t>Ambion o Invitrogen 15596018</t>
  </si>
  <si>
    <t xml:space="preserve"> Invitrogen</t>
  </si>
  <si>
    <t>TrypLE™ Express Enzyme (1X), no phenol red</t>
  </si>
  <si>
    <t>GIBCO  12604013</t>
  </si>
  <si>
    <t xml:space="preserve">GIBCO  </t>
  </si>
  <si>
    <t>Trypsin 1:250</t>
  </si>
  <si>
    <t>Gibco 27250-018</t>
  </si>
  <si>
    <t xml:space="preserve">Gibco </t>
  </si>
  <si>
    <t>SH30042.01</t>
  </si>
  <si>
    <t>Trypsina EDTA 0.05%</t>
  </si>
  <si>
    <t>GIBCO 25300-54</t>
  </si>
  <si>
    <t xml:space="preserve">Frasco x 100 ml </t>
  </si>
  <si>
    <t>TRY-4B</t>
  </si>
  <si>
    <t>T3924-100ML</t>
  </si>
  <si>
    <t>SH30236.01</t>
  </si>
  <si>
    <t xml:space="preserve">Trysina TPCK tratada </t>
  </si>
  <si>
    <t>Thermofisher  4370285</t>
  </si>
  <si>
    <t>Frasco x  50 mg</t>
  </si>
  <si>
    <t xml:space="preserve">Thermofisher  </t>
  </si>
  <si>
    <t>Tube Lowenstein- Jensen Gruft 100EA</t>
  </si>
  <si>
    <t>BD 297653</t>
  </si>
  <si>
    <t>Tween 20</t>
  </si>
  <si>
    <t>Sigma P-1379</t>
  </si>
  <si>
    <t>Frasco x 500 ml o (5 frascos x 100 ml)</t>
  </si>
  <si>
    <t>A4974.0500</t>
  </si>
  <si>
    <t>TW00211000</t>
  </si>
  <si>
    <t>P1379-500ML</t>
  </si>
  <si>
    <t>X251-07</t>
  </si>
  <si>
    <t>H5151</t>
  </si>
  <si>
    <r>
      <t xml:space="preserve">Sigma </t>
    </r>
    <r>
      <rPr>
        <sz val="8"/>
        <color rgb="FFFF0000"/>
        <rFont val="Arial Narrow"/>
        <family val="2"/>
      </rPr>
      <t>P1379</t>
    </r>
  </si>
  <si>
    <t>Tween 80</t>
  </si>
  <si>
    <t>Merck, Sigma-Aldrich</t>
  </si>
  <si>
    <t>Frasco x 500 ml o Frasco por 1000 ml</t>
  </si>
  <si>
    <t>142050.1611</t>
  </si>
  <si>
    <t>TW00801000</t>
  </si>
  <si>
    <t>X257-07</t>
  </si>
  <si>
    <t>Sigma-Aldrich P1754</t>
  </si>
  <si>
    <t>UltraPure Agarose; (500 g);  Ref 16500-500</t>
  </si>
  <si>
    <t>Invitrogen o equivalente</t>
  </si>
  <si>
    <t>Urea</t>
  </si>
  <si>
    <t>J.T Baker, panreac o equivalente</t>
  </si>
  <si>
    <t>131754.1211</t>
  </si>
  <si>
    <t>UR01310500</t>
  </si>
  <si>
    <t>U5128-500G</t>
  </si>
  <si>
    <t>4204-01-U</t>
  </si>
  <si>
    <t>GENERAL ELECTRIC – CYTIVA</t>
  </si>
  <si>
    <t>Varsol</t>
  </si>
  <si>
    <t>Bioequipos</t>
  </si>
  <si>
    <t>Vaselina</t>
  </si>
  <si>
    <t>Frasco x 500 g o 1 kg</t>
  </si>
  <si>
    <t>VA01501000</t>
  </si>
  <si>
    <t>16415-1KG</t>
  </si>
  <si>
    <t>QUIMIBEN</t>
  </si>
  <si>
    <t>COCV_21214</t>
  </si>
  <si>
    <t>Verde malaquita oxalato</t>
  </si>
  <si>
    <t>Frasco x 10g o 25 g</t>
  </si>
  <si>
    <t>A16186-14</t>
  </si>
  <si>
    <t>VE01000025</t>
  </si>
  <si>
    <t>Vesicular stomatitis (VS) PCR
positive amplification control RNA (Extracted RNA from vesicular stomatitis (VS) virus
New Jersey (073-VDV-1501) and vesicular
stomatitis (VS) virus Indiana-1 (070-VDV-1501).)</t>
  </si>
  <si>
    <t>NVSL. 305-VDV</t>
  </si>
  <si>
    <t>Vial 50.0 uL</t>
  </si>
  <si>
    <t>305-VDV</t>
  </si>
  <si>
    <t>Virkons</t>
  </si>
  <si>
    <t>Lanxess</t>
  </si>
  <si>
    <t>Tarro x 5 kg</t>
  </si>
  <si>
    <t>LANXESS</t>
  </si>
  <si>
    <t>VIRKON S</t>
  </si>
  <si>
    <t xml:space="preserve">Zotal </t>
  </si>
  <si>
    <t>Virkon S</t>
  </si>
  <si>
    <t>Vitamina K</t>
  </si>
  <si>
    <t>M5625-100G</t>
  </si>
  <si>
    <t>Xylenes (Xilol)</t>
  </si>
  <si>
    <t>JT baker o equivalente</t>
  </si>
  <si>
    <t>Frasco x 500 ml o 1 L</t>
  </si>
  <si>
    <t>XI00551000</t>
  </si>
  <si>
    <t>9490-01-U</t>
  </si>
  <si>
    <t>Yeast hydrolysate enzymatic</t>
  </si>
  <si>
    <t xml:space="preserve">MP Biomedicals </t>
  </si>
  <si>
    <t>Caneca x 5 libras</t>
  </si>
  <si>
    <t xml:space="preserve">Yeast Torula </t>
  </si>
  <si>
    <t>Yodo con certificado de análisis del lote, ficha de seguridad y fecha de vencimiento no inferior a 3 años</t>
  </si>
  <si>
    <t>Frasco x 125 g o Frasco X 100g</t>
  </si>
  <si>
    <t>YO00210100</t>
  </si>
  <si>
    <t>Yodo-bencil-Bromuro</t>
  </si>
  <si>
    <t xml:space="preserve">REF  427691.  Frasco  por 25 g
</t>
  </si>
  <si>
    <t>427691-5G</t>
  </si>
  <si>
    <t xml:space="preserve">yoduro de potasio </t>
  </si>
  <si>
    <t>131542.1209</t>
  </si>
  <si>
    <t>PO04100250</t>
  </si>
  <si>
    <t>3162-01-M</t>
  </si>
  <si>
    <t>Kit ELISA Indirecta para la Detección de Anticuerpos Frente a la Brucelosis. IDEXX Brucelosis SUERO
Presentación: Kit x 10 placas para 460 muestras.</t>
  </si>
  <si>
    <t>Marca con Registro ICA</t>
  </si>
  <si>
    <t>IDEXX</t>
  </si>
  <si>
    <t>PO4130-10</t>
  </si>
  <si>
    <t>Kit ELISA Indirecta para la Detección de Anticuerpos frente a la Brucelosis. 
Presentación: Kit x 10 placa</t>
  </si>
  <si>
    <t>Bionnote</t>
  </si>
  <si>
    <t>BIONOTE</t>
  </si>
  <si>
    <t>EB4301PP</t>
  </si>
  <si>
    <t>Ácido láctico Cas 79-33-4</t>
  </si>
  <si>
    <t>Aeros ,  JT Baker, VWR</t>
  </si>
  <si>
    <t>Agua ultrapura destilada para uso en Biología Molecular con certificado de libre de RNAsas y DNAsas</t>
  </si>
  <si>
    <t>Gibco o equivalente</t>
  </si>
  <si>
    <t>Alcohol isoamilico</t>
  </si>
  <si>
    <t>Frasco x 500 ml o 1000ml</t>
  </si>
  <si>
    <t xml:space="preserve">Alcohol polivinílico </t>
  </si>
  <si>
    <t xml:space="preserve">Bacitracina </t>
  </si>
  <si>
    <t>Bálsamo de Canadá (Reactivo para entomología). Resina espesa derivada del Abeto, con índice de refracción 90% admisible con el vidrio usado en  microscopia para el montaje permanente y observación de estructuras de moscas de la fruta y de insectos en general</t>
  </si>
  <si>
    <t>Biopack o equivalente</t>
  </si>
  <si>
    <t>Carboxileno</t>
  </si>
  <si>
    <t>Cualquier</t>
  </si>
  <si>
    <t>Casamino Acids</t>
  </si>
  <si>
    <t>Cephalexine</t>
  </si>
  <si>
    <t>PHR18481G</t>
  </si>
  <si>
    <t>33989-100MG-R</t>
  </si>
  <si>
    <t>Cloranfenicol</t>
  </si>
  <si>
    <t>Amresco Gentech 0230 o equivalente</t>
  </si>
  <si>
    <t>Cloruro de Litio (LiCl) grado biología molecular</t>
  </si>
  <si>
    <t xml:space="preserve">Frasco x 250 g </t>
  </si>
  <si>
    <t>DEPC Diethyl pyrocarbonate (DEPC)</t>
  </si>
  <si>
    <t>sigma, merck</t>
  </si>
  <si>
    <t>Frasco x 100 gr</t>
  </si>
  <si>
    <t>D-Manitol microbiología ,≥98%</t>
  </si>
  <si>
    <t>D-Sacarosa</t>
  </si>
  <si>
    <t>Merck 1.07687.0250</t>
  </si>
  <si>
    <t>Euparal mounting medium</t>
  </si>
  <si>
    <t>Enthos o equivalente</t>
  </si>
  <si>
    <t>Frasco de 100 a 500 ml</t>
  </si>
  <si>
    <t>Fenol en cristales grado biología molecular</t>
  </si>
  <si>
    <t>Fenol-cloroformo-alcohol isoamilico 25:24:1.</t>
  </si>
  <si>
    <t>Frasco x 400 ml o superior</t>
  </si>
  <si>
    <t>Naftalina</t>
  </si>
  <si>
    <t>Polipectato de sodio (sal sódica del ácido poligalacturónico)</t>
  </si>
  <si>
    <t>Proteasa pectona</t>
  </si>
  <si>
    <t>SDS</t>
  </si>
  <si>
    <t>Sigma-Aldrich L5750</t>
  </si>
  <si>
    <t>Sulfato de amonio, pureza ≥99,5%, trazable a NIST</t>
  </si>
  <si>
    <t>Sigma Flujka 59845</t>
  </si>
  <si>
    <t>Sulfato de estreptomicina</t>
  </si>
  <si>
    <t>Sulfato de manganeso II R.A. &gt;= 99%</t>
  </si>
  <si>
    <t>Sigma-Aldrich M7634</t>
  </si>
  <si>
    <t>Timsen</t>
  </si>
  <si>
    <t>Triptona</t>
  </si>
  <si>
    <t xml:space="preserve">Tris base. Grado ACS </t>
  </si>
  <si>
    <t>Sigma T6791</t>
  </si>
  <si>
    <t>Estandar Diclofenaco sodico estandar de referencia de la farmacopea de los Estados Unidos (USP)
fecha de vigencia ó con fecha no menor a 2 años</t>
  </si>
  <si>
    <t>SUPELCO o equivalente</t>
  </si>
  <si>
    <t>PHR1144-1G</t>
  </si>
  <si>
    <t>1188800200MG</t>
  </si>
  <si>
    <t>Estandar Triclosan
fecha de vigencia ó con fecha no menor a 2 años</t>
  </si>
  <si>
    <t>PHR1338-1G</t>
  </si>
  <si>
    <t>PHR13381G</t>
  </si>
  <si>
    <t>Estandar Niacinamide
fecha de vigencia ó con fecha no menor a 2 años</t>
  </si>
  <si>
    <t>PHR1033-1G</t>
  </si>
  <si>
    <t>Estandar Piroxicam
fecha de vigencia ó con fecha no menor a 2 años</t>
  </si>
  <si>
    <t>Frasco  x200 mg</t>
  </si>
  <si>
    <t>PHR1588-200MG</t>
  </si>
  <si>
    <t>PHR1588200MG</t>
  </si>
  <si>
    <t>Estandar Sulfadiazine
fecha de vigencia ó con fecha no menor a 2 años</t>
  </si>
  <si>
    <t>Frasco x 500 mg</t>
  </si>
  <si>
    <t>PHR1343-500MG</t>
  </si>
  <si>
    <t>PHR1343500MG</t>
  </si>
  <si>
    <t>Estandar Thiamine Hydrochloride
fecha de vigencia ó con fecha no menor a 2 años</t>
  </si>
  <si>
    <t>PHR1037-1G</t>
  </si>
  <si>
    <t>PHR10371G</t>
  </si>
  <si>
    <t>Estandar Tilosina
fecha de vigencia ó con fecha no menor a 2 años</t>
  </si>
  <si>
    <t>PHR1508-500MG</t>
  </si>
  <si>
    <t>PHR1508500MG</t>
  </si>
  <si>
    <t xml:space="preserve">ANALISIS DE LOS DIFERENTES CRITERIOS ESTADISTICOS </t>
  </si>
  <si>
    <t>ÍTEM</t>
  </si>
  <si>
    <t xml:space="preserve">Descripción </t>
  </si>
  <si>
    <t>MENOR VALOR</t>
  </si>
  <si>
    <t>MEDIANA</t>
  </si>
  <si>
    <t>MEDIA GEOMÉTRICA</t>
  </si>
  <si>
    <t>DESVIACIÓN ESTANDAR</t>
  </si>
  <si>
    <t>% DISPERSIÓN</t>
  </si>
  <si>
    <t xml:space="preserve">VALOR DE REFERENCIA </t>
  </si>
  <si>
    <t xml:space="preserve">CRITERIO </t>
  </si>
  <si>
    <t>No. De cotizaciones</t>
  </si>
  <si>
    <r>
      <t xml:space="preserve">Cepa </t>
    </r>
    <r>
      <rPr>
        <i/>
        <sz val="9"/>
        <rFont val="Arial Narrow"/>
        <family val="2"/>
      </rPr>
      <t>Candida albicans</t>
    </r>
  </si>
  <si>
    <r>
      <t xml:space="preserve">Cepa </t>
    </r>
    <r>
      <rPr>
        <i/>
        <sz val="9"/>
        <rFont val="Arial Narrow"/>
        <family val="2"/>
      </rPr>
      <t xml:space="preserve">Staphylococcus aureus </t>
    </r>
  </si>
  <si>
    <r>
      <t xml:space="preserve">Control positivo </t>
    </r>
    <r>
      <rPr>
        <i/>
        <sz val="9"/>
        <rFont val="Arial Narrow"/>
        <family val="2"/>
      </rPr>
      <t>Pseudomonas syringae pv syringae</t>
    </r>
  </si>
  <si>
    <r>
      <t>Fosfato de di-sodio 2-hidrato (Na</t>
    </r>
    <r>
      <rPr>
        <vertAlign val="subscript"/>
        <sz val="9"/>
        <rFont val="Arial Narrow"/>
        <family val="2"/>
      </rPr>
      <t>2</t>
    </r>
    <r>
      <rPr>
        <sz val="9"/>
        <rFont val="Arial Narrow"/>
        <family val="2"/>
      </rPr>
      <t>HPO</t>
    </r>
    <r>
      <rPr>
        <vertAlign val="subscript"/>
        <sz val="9"/>
        <rFont val="Arial Narrow"/>
        <family val="2"/>
      </rPr>
      <t>4.</t>
    </r>
    <r>
      <rPr>
        <sz val="9"/>
        <rFont val="Arial Narrow"/>
        <family val="2"/>
      </rPr>
      <t>2H</t>
    </r>
    <r>
      <rPr>
        <vertAlign val="subscript"/>
        <sz val="9"/>
        <rFont val="Arial Narrow"/>
        <family val="2"/>
      </rPr>
      <t>2</t>
    </r>
    <r>
      <rPr>
        <sz val="9"/>
        <rFont val="Arial Narrow"/>
        <family val="2"/>
      </rPr>
      <t>O) para análisis</t>
    </r>
  </si>
  <si>
    <r>
      <t>Nitrato de sodio (NaNO</t>
    </r>
    <r>
      <rPr>
        <vertAlign val="subscript"/>
        <sz val="9"/>
        <rFont val="Arial Narrow"/>
        <family val="2"/>
      </rPr>
      <t>3</t>
    </r>
    <r>
      <rPr>
        <sz val="9"/>
        <rFont val="Arial Narrow"/>
        <family val="2"/>
      </rPr>
      <t>)</t>
    </r>
  </si>
  <si>
    <r>
      <t>Piruvato de sodio (C</t>
    </r>
    <r>
      <rPr>
        <vertAlign val="subscript"/>
        <sz val="9"/>
        <rFont val="Arial Narrow"/>
        <family val="2"/>
      </rPr>
      <t>3</t>
    </r>
    <r>
      <rPr>
        <sz val="9"/>
        <rFont val="Arial Narrow"/>
        <family val="2"/>
      </rPr>
      <t>H</t>
    </r>
    <r>
      <rPr>
        <vertAlign val="subscript"/>
        <sz val="9"/>
        <rFont val="Arial Narrow"/>
        <family val="2"/>
      </rPr>
      <t>3</t>
    </r>
    <r>
      <rPr>
        <sz val="9"/>
        <rFont val="Arial Narrow"/>
        <family val="2"/>
      </rPr>
      <t>NaO</t>
    </r>
    <r>
      <rPr>
        <vertAlign val="subscript"/>
        <sz val="9"/>
        <rFont val="Arial Narrow"/>
        <family val="2"/>
      </rPr>
      <t>3</t>
    </r>
    <r>
      <rPr>
        <sz val="9"/>
        <rFont val="Arial Narrow"/>
        <family val="2"/>
      </rPr>
      <t>) para microbiología</t>
    </r>
  </si>
  <si>
    <r>
      <t xml:space="preserve">Stick de </t>
    </r>
    <r>
      <rPr>
        <i/>
        <sz val="9"/>
        <rFont val="Arial Narrow"/>
        <family val="2"/>
      </rPr>
      <t>Bacillus pumilus</t>
    </r>
    <r>
      <rPr>
        <sz val="9"/>
        <rFont val="Arial Narrow"/>
        <family val="2"/>
      </rPr>
      <t xml:space="preserve"> derivada ATCC® 700814</t>
    </r>
  </si>
  <si>
    <r>
      <t>Stick de</t>
    </r>
    <r>
      <rPr>
        <i/>
        <sz val="9"/>
        <rFont val="Arial Narrow"/>
        <family val="2"/>
      </rPr>
      <t xml:space="preserve"> Pseudomonas fluorescens</t>
    </r>
    <r>
      <rPr>
        <sz val="9"/>
        <rFont val="Arial Narrow"/>
        <family val="2"/>
      </rPr>
      <t xml:space="preserve"> derivada ATCC® 13526</t>
    </r>
  </si>
  <si>
    <t>5. CASA CIENTIFICA</t>
  </si>
  <si>
    <t xml:space="preserve">7. MUNDIAL DE EQUIPOS SAS </t>
  </si>
  <si>
    <t>12. SADIREP</t>
  </si>
  <si>
    <t>26. CASA DEL CIENTIFICO SAS</t>
  </si>
  <si>
    <t>27. INSTRUMENTALIA</t>
  </si>
  <si>
    <t>30. QUIMITRONICA</t>
  </si>
  <si>
    <t>32. ACEQ LABORATORIOS EQUIPOS Y ACCESORIOS</t>
  </si>
  <si>
    <t>33. KASALAB</t>
  </si>
  <si>
    <t>34. BLAMIS</t>
  </si>
  <si>
    <t>35. EQUIPOS Y LABORATORIO</t>
  </si>
  <si>
    <t>1/4" Ceramic Sphere (esferas de ceramica)</t>
  </si>
  <si>
    <t>MP BIOMEDICALS ref 116540424 o equivalente</t>
  </si>
  <si>
    <t>100 each</t>
  </si>
  <si>
    <t xml:space="preserve"> </t>
  </si>
  <si>
    <t xml:space="preserve">MP BIOMEDICALS </t>
  </si>
  <si>
    <t>1169K85 (116540424)</t>
  </si>
  <si>
    <t>15ml Conical Tubes(50) Estériles</t>
  </si>
  <si>
    <t>MP BIOMEDICALS  116930000 o equivalente</t>
  </si>
  <si>
    <t>Bolsa x 50</t>
  </si>
  <si>
    <t>BIOLOGIX</t>
  </si>
  <si>
    <t xml:space="preserve"> 10-9815</t>
  </si>
  <si>
    <t xml:space="preserve">WHEATON   </t>
  </si>
  <si>
    <t>1169K89 (116930000)</t>
  </si>
  <si>
    <t>CAPP</t>
  </si>
  <si>
    <t>5100014C</t>
  </si>
  <si>
    <t>Adaptador de celular para lentes microscópicos</t>
  </si>
  <si>
    <t>SOLOMARK, Swift, CitoHelper o equivalente</t>
  </si>
  <si>
    <t xml:space="preserve">unidad </t>
  </si>
  <si>
    <t>Adhesivos para microplacas</t>
  </si>
  <si>
    <t>Whatman 7704-0001 o equivalente</t>
  </si>
  <si>
    <t xml:space="preserve">Caja X 100 </t>
  </si>
  <si>
    <t xml:space="preserve">WHATMAN </t>
  </si>
  <si>
    <t>7704-0001</t>
  </si>
  <si>
    <t>Aguja desechable 16 G x 1½" (tribicelada)</t>
  </si>
  <si>
    <t>BD, Vacutest o equivalente</t>
  </si>
  <si>
    <t>01000032</t>
  </si>
  <si>
    <t>Aguja desechable 20 G X 1½" (tribicelada)</t>
  </si>
  <si>
    <t xml:space="preserve">Caja x 100 </t>
  </si>
  <si>
    <t>04400064</t>
  </si>
  <si>
    <t>Aguja desechable para toma de muestras sanguíneas para tubo al vacío 21 G x 1½" (tribicelada)</t>
  </si>
  <si>
    <t>04400066</t>
  </si>
  <si>
    <t>Aguja para disección con mango metálico con punta curva</t>
  </si>
  <si>
    <t>03300012</t>
  </si>
  <si>
    <t>Aguja para disección con mango metálico con punta recta</t>
  </si>
  <si>
    <t>03300010</t>
  </si>
  <si>
    <t xml:space="preserve">Agujas desechables No 27 x ½" </t>
  </si>
  <si>
    <t>Agujas vacutainer 18G</t>
  </si>
  <si>
    <t>CAJA X 100UN</t>
  </si>
  <si>
    <t>01000038</t>
  </si>
  <si>
    <t xml:space="preserve">Agujas vacutainer 20 ó 21G x 1" </t>
  </si>
  <si>
    <t>01000044</t>
  </si>
  <si>
    <t xml:space="preserve">Algodón dental </t>
  </si>
  <si>
    <t xml:space="preserve">Bolsa de 1000 tacos, 50  paquetes /de 20 Unidades  o 20 paquetes/de 50 Unidades </t>
  </si>
  <si>
    <t>O5050</t>
  </si>
  <si>
    <t>Algodón quirúrgico 100% Natural (Con fecha de vencimiento superior a un año)</t>
  </si>
  <si>
    <t>Rollo x 500 gm</t>
  </si>
  <si>
    <t>HIGIETEX</t>
  </si>
  <si>
    <t>0615</t>
  </si>
  <si>
    <t>Anillo de hierro para soporte universal Diametro de 75 milímetros</t>
  </si>
  <si>
    <t>Anillo de vertido azul tapa GL 32</t>
  </si>
  <si>
    <t>Paquete x 10</t>
  </si>
  <si>
    <t>BRAND</t>
  </si>
  <si>
    <t>122662-B</t>
  </si>
  <si>
    <t>Nacional</t>
  </si>
  <si>
    <t>AN-5</t>
  </si>
  <si>
    <t>Anillo de vertido azul tapa GL 45</t>
  </si>
  <si>
    <t>SIMAX</t>
  </si>
  <si>
    <t>122664-B</t>
  </si>
  <si>
    <t>AN-12</t>
  </si>
  <si>
    <t>Anillo plástico para inclusión de parafina</t>
  </si>
  <si>
    <t>SIMPORT</t>
  </si>
  <si>
    <t>87002-372</t>
  </si>
  <si>
    <t>Aplicadores en empaque individual  independiente estériles</t>
  </si>
  <si>
    <t>Aplicadores sin punta de algodón</t>
  </si>
  <si>
    <t>Bolsa x 100</t>
  </si>
  <si>
    <t>PRODEMA</t>
  </si>
  <si>
    <t xml:space="preserve">PRODEMA </t>
  </si>
  <si>
    <t>0100751</t>
  </si>
  <si>
    <t>Asa bacteriológica curva en ferroniquel</t>
  </si>
  <si>
    <t>500101</t>
  </si>
  <si>
    <t>LABSCIENT</t>
  </si>
  <si>
    <t>AS-15</t>
  </si>
  <si>
    <t>Asa bacteriológica estéril desechable de 10 µl con asa de siembra en un extremo y aguja en el otro</t>
  </si>
  <si>
    <t>Paquete x 20 ó Paquete x 50</t>
  </si>
  <si>
    <t>KARTELL</t>
  </si>
  <si>
    <t>2651</t>
  </si>
  <si>
    <t>ROLL ITALIA</t>
  </si>
  <si>
    <t>8177CS20H</t>
  </si>
  <si>
    <t>12000-812</t>
  </si>
  <si>
    <t>Asa bacteriológica recta en niquel-cromo</t>
  </si>
  <si>
    <t>Asa bacteriológica redonda en acero inoxidable</t>
  </si>
  <si>
    <t>500202</t>
  </si>
  <si>
    <t>BOECO</t>
  </si>
  <si>
    <t>USB 5462</t>
  </si>
  <si>
    <t>Asa desechables de 1µl</t>
  </si>
  <si>
    <t>Marienfield o equivalente</t>
  </si>
  <si>
    <t xml:space="preserve">Caja x 1000 </t>
  </si>
  <si>
    <t>8175CS20H</t>
  </si>
  <si>
    <t>THOMAS SCIENTIFIC</t>
  </si>
  <si>
    <t>1216K60
(HS81121A)</t>
  </si>
  <si>
    <t>Asa o espatula en forma de L (Drigalski) desechable.</t>
  </si>
  <si>
    <t>VWR o equivalente</t>
  </si>
  <si>
    <t>Caja x 500</t>
  </si>
  <si>
    <t>174CS01</t>
  </si>
  <si>
    <t>1230H34</t>
  </si>
  <si>
    <t>Atomizador plástico (PP) con dispersión tipo spray de 250 ml</t>
  </si>
  <si>
    <t xml:space="preserve">NACIONAL </t>
  </si>
  <si>
    <t>ATOMI-250ML</t>
  </si>
  <si>
    <t>Atomizador plástico (PP) con dispersión tipo Spray de 400 - 500 ml</t>
  </si>
  <si>
    <t>ATOMI-500ML</t>
  </si>
  <si>
    <t xml:space="preserve">Balón aforado de 10 ml clase A no ámbar, con certificado de fábrica (calidad y rastreabilidad mediante link del fabricante), borosilicato 3.3 que cumpla con los estándares DIN en ISO 1042 </t>
  </si>
  <si>
    <t>Brand, Pyrex, Corning, Kymax o equivalente</t>
  </si>
  <si>
    <t>LMS (ALE)</t>
  </si>
  <si>
    <t>61319521</t>
  </si>
  <si>
    <t>273-001630</t>
  </si>
  <si>
    <t>MARIENFELD</t>
  </si>
  <si>
    <t>DURAN</t>
  </si>
  <si>
    <t>37243-B</t>
  </si>
  <si>
    <t>Balón aforado de 100 ml clase A, con tapa esmerilada o en polietileno, certificado de fábrica (calidad y rastreabilidad), borosilicato 3.3 que cumpla con los estándares DIN en ISO 1042, e impresion en ceramica que cumpla con norma iso 12600. Control y garantia NCA ( o equivalente)  menor o igual  a 0,4 y certificación del fabricante que resiste temperaturas hasta 250°C, sibn perder la volumetria  Unidad. Cumplimiento DIN ISO 12600</t>
  </si>
  <si>
    <t>61319524</t>
  </si>
  <si>
    <t>273-201633</t>
  </si>
  <si>
    <t>37260-B</t>
  </si>
  <si>
    <t>Balon aforado de 1000 ml clase B ó Clase A en vidrio con tapa de vidrio o polietileno, normatividad ASTM E-438 ó DIN EN ISO 1042 Certificado por lote</t>
  </si>
  <si>
    <t>LABGILLS (ESP)</t>
  </si>
  <si>
    <t>MALG1000</t>
  </si>
  <si>
    <t>273-201637</t>
  </si>
  <si>
    <t xml:space="preserve">37253-B </t>
  </si>
  <si>
    <t>Balon aforado de 200 ml clase A ó B en vidrio con tapa de vidrio o polietileno, normatividad ASTM E-438 o DIN EN ISO 1042 Certificado por lote.</t>
  </si>
  <si>
    <t>61319525</t>
  </si>
  <si>
    <t>273-201634</t>
  </si>
  <si>
    <t xml:space="preserve">37250-B </t>
  </si>
  <si>
    <t>Balón aforado de 25 ml clase A Antiactínico, borosilicato 3.3 que cumpla con los estándares DIN en ISO 1042, impresión en cerámica que cumpla con la norma. NCA ( o equivalente) menor o igual a 0,4 y certificación del fabricante que resiste temperaturas hasta de 250°C sin perder la volumetria.</t>
  </si>
  <si>
    <t>61319522</t>
  </si>
  <si>
    <t>273-201631</t>
  </si>
  <si>
    <t>37404-B</t>
  </si>
  <si>
    <t xml:space="preserve">Balón aforado de 25 ml clase A no ámbar, con certificado de fábrica (calidad y rastreabilidad), borosilicato 3.3 que cumpla con los estándares DIN en ISO 1042 </t>
  </si>
  <si>
    <t>37247-B</t>
  </si>
  <si>
    <t>Balón aforado de 5 ml clase A Antiactínico, borosilicato 3.3 que cumpla con los estándares DIN en ISO 1042, impresión en cerámica que cumpla con la norma ISO4796-1:2000. NCA ( o equivalente) menor o igual a 0,4 y certificación del fabricante que resiste temperaturas hasta de 250°C sin perder la volumetria.</t>
  </si>
  <si>
    <t>61319520</t>
  </si>
  <si>
    <t>37438-B</t>
  </si>
  <si>
    <t>Balón aforado de 50 ml clase A, con certificado de fábrica (calidad y rastreabilidad), borosilicato 3.3 que cumpla con los estándares DIN en ISO 1042  certificado por lote</t>
  </si>
  <si>
    <t>61319523</t>
  </si>
  <si>
    <t>273-201632</t>
  </si>
  <si>
    <t>37248-B</t>
  </si>
  <si>
    <t>Balón volumétrico clase A certificado de lote 200ml con tapa esmerilada o tapa plastica en polietileno</t>
  </si>
  <si>
    <t>37261-B</t>
  </si>
  <si>
    <t>Balón volumétrico clase A certificado de lote 250ml con tapa esmerilada o tapa plastica en polietileno</t>
  </si>
  <si>
    <t>61319526</t>
  </si>
  <si>
    <t>273-201635</t>
  </si>
  <si>
    <t>37262-B</t>
  </si>
  <si>
    <t>Balón volumetrico clase A de 1000 ml que cumpla con el estandar ASTM ó DIN en ISO 1042. Certificado por lote verificado por link del fabricante. Trazables con Nist. Con aforo bien marcado con tapón y boca esmerilada.</t>
  </si>
  <si>
    <t>61319528</t>
  </si>
  <si>
    <t>937253-B</t>
  </si>
  <si>
    <t>Balón volumetrico clase A de 2000 ml que cumpla con el estandar ASTM ó DIN en ISO 1042. Certificado ipor lote verificado por link del fabriucante. Trazables con Nist o equivalente. Con aforo bien marcado con tapa esmerilada o plastica en polietileno</t>
  </si>
  <si>
    <t>61319529</t>
  </si>
  <si>
    <t>937254-B</t>
  </si>
  <si>
    <t>Balones de fondo redondo de 250 mL con cabeza de vidrio esmerilado boca 24/40, material vidrio borosilicato 3.3, resistentes al calor y a casi todos los productos químicos según DIN en ISO 4797</t>
  </si>
  <si>
    <t>Bandeja en acero inoxidable, resistente a ácidos y bases 26 a  30 (largo) x 17  a 20 (ancho) x 5 a 6 cm (profundidad)</t>
  </si>
  <si>
    <t>Bandeja en acero inoxidable, resistente a ácidos y bases 48 a 52 (largo) x 38 a 42 (ancho) x 18 a 22 cm (profundidad)</t>
  </si>
  <si>
    <t>Bandeja en polipropileno con tapa ajustable de 28 a 30 X 14 a 16  X 7 a 9cm (LxWxD) resistente a esterilización por autoclave</t>
  </si>
  <si>
    <t>Bandeja Plastica de polipropileno  31 a 33 (Largo) x 46 a 48 (Ancho)  x 6 a 8 cm (Profundidad)</t>
  </si>
  <si>
    <t>Vaniplast o Equvalente</t>
  </si>
  <si>
    <t>Bandeja profunda 31 a 33 x16 a 18 x 6 a 7</t>
  </si>
  <si>
    <t>Cole -parmer o equivalente</t>
  </si>
  <si>
    <t>Barra agitadora magnética forma cilíndrica con anillo central 20 mm x 6 mm (longitud x diámetro) medidas aproximadas</t>
  </si>
  <si>
    <t>Fischer Scientific o equivalente</t>
  </si>
  <si>
    <t>137415-B</t>
  </si>
  <si>
    <t>Barra agitadora magnética forma cilíndrica con anillo central 40 mm x 8mm (longitud x diámetro) medidas aproximadas</t>
  </si>
  <si>
    <t>AZLON</t>
  </si>
  <si>
    <t>SWN507</t>
  </si>
  <si>
    <t>137430-B</t>
  </si>
  <si>
    <t>110840A</t>
  </si>
  <si>
    <t>Barra agitadora magnética forma cilíndrica con anillo central de 70 a 80 mm x 8,5 a 9 mm (longitud x diámetro) medidas aproximadas</t>
  </si>
  <si>
    <t>Barra magnética para agitación de 1 cm de longitud cubierta de teflon</t>
  </si>
  <si>
    <t>137108-B</t>
  </si>
  <si>
    <t>Barra magnética para agitación de 3 cm de longitud cubierta de teflon</t>
  </si>
  <si>
    <t>110730</t>
  </si>
  <si>
    <t>SWN664</t>
  </si>
  <si>
    <t>137125-B</t>
  </si>
  <si>
    <t>Batas de laboratorio antifluidos con puño resortado, manga larga  y botones a presión o tipo snaps. Largas hasta rodillas.  Talla L</t>
  </si>
  <si>
    <t>Cualquier Marca</t>
  </si>
  <si>
    <t>AV02718</t>
  </si>
  <si>
    <t>Batas de laboratorio antifluidos con puño resortado, manga larga y botones a presión o tipo snaps. Largas hasta rodillas.  Talla M</t>
  </si>
  <si>
    <t>AV02682</t>
  </si>
  <si>
    <t>Batas desechables con cremallera o botones  desechables en tela quirúrgica color azul. Talla M.</t>
  </si>
  <si>
    <t>AV04238</t>
  </si>
  <si>
    <t>Batas desechables con cremallera o botones desechables en tela quirúrgica color azul. Talla L.</t>
  </si>
  <si>
    <t>AV04239</t>
  </si>
  <si>
    <t>Bayetilla blanca</t>
  </si>
  <si>
    <t>Rollo 1,5 m</t>
  </si>
  <si>
    <t>Metros</t>
  </si>
  <si>
    <t xml:space="preserve">CALYPSO </t>
  </si>
  <si>
    <t>Bidón 60L Metálico (Aro y Tapa)</t>
  </si>
  <si>
    <t>Bidones de 20 litros doble tapa (tapón y rosca) plástico alta densidad opaco para residuos</t>
  </si>
  <si>
    <t>Unidades</t>
  </si>
  <si>
    <t>10755-110</t>
  </si>
  <si>
    <t>Bisturí industrial para trabajo pesado con 5 cuchillas de acero SK4</t>
  </si>
  <si>
    <t>DISCOVER TOOLS</t>
  </si>
  <si>
    <t>Bolsa autoclavable roja con logo de riesgo biológico 14 X 19" (36 x 48 cm)</t>
  </si>
  <si>
    <t>Fisher 01-828B o equivalente</t>
  </si>
  <si>
    <t xml:space="preserve">Caja x 200 </t>
  </si>
  <si>
    <t>14220-028</t>
  </si>
  <si>
    <t>Bolsa autoclavable roja con logo de riesgo biológico 8 x 12" (20x30 cm)</t>
  </si>
  <si>
    <t>Fisher 01-828A o equivalente</t>
  </si>
  <si>
    <t>14230-910</t>
  </si>
  <si>
    <t>Bolsa autoclavable roja en polipropileno de  37 a 38 x 48" (94 x 122 cm)</t>
  </si>
  <si>
    <t>Fisher 01-828E o equivalente</t>
  </si>
  <si>
    <t>14220-098</t>
  </si>
  <si>
    <t>Bolsa autoclavable roja en polipropileno tamaño 19 x 23" (48 x 58 cm)</t>
  </si>
  <si>
    <t>Fisher 01-814B o equivalente</t>
  </si>
  <si>
    <t>14220-030</t>
  </si>
  <si>
    <t>Bolsa de cierre hermetico 30*45 cm.  y/o 30 * 40 a 45 cm</t>
  </si>
  <si>
    <t>ziploc o marca equivalente</t>
  </si>
  <si>
    <t>Paquete x 100</t>
  </si>
  <si>
    <t>Bolsa estéril para stomacher  de 3500 ml</t>
  </si>
  <si>
    <t>Whirlpack, Seward o equivalente</t>
  </si>
  <si>
    <t>paquete x 200 bolsas</t>
  </si>
  <si>
    <t>58976-945</t>
  </si>
  <si>
    <t>Bolsa estéril para stomacher con filtro de 400 ml</t>
  </si>
  <si>
    <t>58976-930</t>
  </si>
  <si>
    <t xml:space="preserve">Bolsa Hermética de 18x20 o 22  Cm </t>
  </si>
  <si>
    <t xml:space="preserve">Bolsa x 100 </t>
  </si>
  <si>
    <t>AV04232</t>
  </si>
  <si>
    <t>Bolsa plástica cierre hermético 14 cm x 10 cm</t>
  </si>
  <si>
    <t>AV01427</t>
  </si>
  <si>
    <t xml:space="preserve">Bolsa plástica cierre hermético 17 X 18 a 22 cm Calibre 2. </t>
  </si>
  <si>
    <t>Paquete x 30</t>
  </si>
  <si>
    <t>Bolsa plástica cierre hermético 20 cm x 20 o 24 cm</t>
  </si>
  <si>
    <t>AV01428</t>
  </si>
  <si>
    <t>Bolsa plástica cierre hermético 22 cm x 18 cm</t>
  </si>
  <si>
    <t xml:space="preserve">Paquete x 50 </t>
  </si>
  <si>
    <t>BOLSA22X18</t>
  </si>
  <si>
    <t>Bolsa plástica cierre hermético 40 cm x 40 cm</t>
  </si>
  <si>
    <t>AV01429</t>
  </si>
  <si>
    <t>Bolsa plástica cierre hermético 40 cm x 48 cm</t>
  </si>
  <si>
    <t>Bolsa plástica cierre hermético 5 cm x 5 cm</t>
  </si>
  <si>
    <t>BOLSA5X5</t>
  </si>
  <si>
    <t>Bolsa plástica de 1 Kg en polipropileno de 5" X 10 calibre 2</t>
  </si>
  <si>
    <t xml:space="preserve">Paquete x 1000 </t>
  </si>
  <si>
    <t>AV04233</t>
  </si>
  <si>
    <t>Bolsa Plastica de 2kg. Fondo cuadrado o base fija.</t>
  </si>
  <si>
    <t>AV04234</t>
  </si>
  <si>
    <t>Bolsa roja con logo de riesgo biológico tipo hospitalaria en polipropileno o polietileno. Calibre 5, de 40 cm x 60 cm</t>
  </si>
  <si>
    <t>Paquete por 100 unidades</t>
  </si>
  <si>
    <t>Bolsa roja con logo de riesgo biológico tipo hospitalaria en polipropileno o polietileno. Calibre 5, de 60 cm x 90-100 cm</t>
  </si>
  <si>
    <t>Bolsa roja con logo de riesgo biológico tipo hospitalaria en polipropileno o polietileno. Calibre 5  de 20 cm x 30 cm</t>
  </si>
  <si>
    <t>Bolsa Whirl-Pak Nasco fondo redondo para stomacher</t>
  </si>
  <si>
    <t>BO1239WA o equivalente</t>
  </si>
  <si>
    <t>SOCOREX</t>
  </si>
  <si>
    <t>NASCO</t>
  </si>
  <si>
    <t>B01239WA (	58976-929)</t>
  </si>
  <si>
    <t>Bolsa Whirl-Pak Nasco stand up white write-on strip 12,7 x 30,5 cm; capacidad 27 oz (798 ml)</t>
  </si>
  <si>
    <t>BO1448WA o equivalente</t>
  </si>
  <si>
    <t>Caja X 250</t>
  </si>
  <si>
    <t>WARDS</t>
  </si>
  <si>
    <t>470236-308</t>
  </si>
  <si>
    <t>Bolsa Whirl-Pak Nasco stand up white write-on strip 15 x 23 cm; capacidad 24 oz (710 ml)</t>
  </si>
  <si>
    <t>BO1401WA o equivalente</t>
  </si>
  <si>
    <t>Caja X 500</t>
  </si>
  <si>
    <t xml:space="preserve">BO1401WA </t>
  </si>
  <si>
    <t>B01401WA (	11216-9209</t>
  </si>
  <si>
    <t>Bolsa Whirl-Pak Nasco stand up white write-on strip 7.5X18.5 cm; capacidad 4 oz (118 ml)</t>
  </si>
  <si>
    <t>BO1364WA o equivalente</t>
  </si>
  <si>
    <t>B01364WA</t>
  </si>
  <si>
    <t>B01364WA  (	13500-390)</t>
  </si>
  <si>
    <t>Bolsa Whirl-Pak Nasco write-on strip 11,5 X 23 cm; capacidad 18 oz (532 ml)</t>
  </si>
  <si>
    <t>BO1065WA o equivalente</t>
  </si>
  <si>
    <t xml:space="preserve">Caja x 500 </t>
  </si>
  <si>
    <t>BO1065WA</t>
  </si>
  <si>
    <t>B01065WA (82007-706)</t>
  </si>
  <si>
    <t>Bolsa Whirl-Pak Nasco write-on strip 9.5 x 18 cm; capacidad 7 oz (207 ml), estéril</t>
  </si>
  <si>
    <t>BO1489WA o equivalente</t>
  </si>
  <si>
    <t>B01489WA</t>
  </si>
  <si>
    <t>B01489WA ( B01489WA)</t>
  </si>
  <si>
    <t>Bolsas de cierre hermético  25 a 27 X  28 a 30 cm</t>
  </si>
  <si>
    <t>Caja 25 Unidades</t>
  </si>
  <si>
    <t xml:space="preserve">Bolsas para vivero 40 x 40 negra </t>
  </si>
  <si>
    <t>caja x 100 Unidades</t>
  </si>
  <si>
    <t>Bolsas plasticas con cierre hermetico de 300 mm x 400 mm</t>
  </si>
  <si>
    <t>Caja x 20 Unidades</t>
  </si>
  <si>
    <t>Bombillo EKE halógeno para lámpara de Luz Fría Nikon NI-150 150W, 21V.</t>
  </si>
  <si>
    <t>Nikon/ OSRAM o equivalente</t>
  </si>
  <si>
    <t xml:space="preserve">OSRAM </t>
  </si>
  <si>
    <t>B01HZOVUU2 (93638)</t>
  </si>
  <si>
    <t>Bombillo halógeno tipo lanceta 6V 20W</t>
  </si>
  <si>
    <t>Osram, philips o equivalente</t>
  </si>
  <si>
    <t xml:space="preserve">Generico </t>
  </si>
  <si>
    <t>B-1</t>
  </si>
  <si>
    <t>Bombillo ovoscopio 8V - 20W</t>
  </si>
  <si>
    <t>Botellón en policarbonato o polietileno de alta densidad dosificador capacidad de 10 litros</t>
  </si>
  <si>
    <t xml:space="preserve">  </t>
  </si>
  <si>
    <t>10755-088</t>
  </si>
  <si>
    <t xml:space="preserve">Brocha largo 21 cm y ancho 2.5 cm </t>
  </si>
  <si>
    <t>MILL ROSE</t>
  </si>
  <si>
    <t>17210-008</t>
  </si>
  <si>
    <t>Caja de aluminio (para contenido humedad) 6 cm diámetro * 2 cm alto</t>
  </si>
  <si>
    <t xml:space="preserve">HOFFMAN </t>
  </si>
  <si>
    <t>CONT-A2</t>
  </si>
  <si>
    <t>Caja de Petri  desechable estéril 150 x 25 mm</t>
  </si>
  <si>
    <t>25384-326</t>
  </si>
  <si>
    <t>Caja de Petri desechable estéril 35 x 10  - 35 x 15 mm</t>
  </si>
  <si>
    <t>Costar 3035 o equivalente</t>
  </si>
  <si>
    <t>CORNING</t>
  </si>
  <si>
    <t>25382-348</t>
  </si>
  <si>
    <t>Caja de Petri desechable estéril 60 x 15 mm</t>
  </si>
  <si>
    <t xml:space="preserve">Caja X 500 </t>
  </si>
  <si>
    <t>PHOENIX</t>
  </si>
  <si>
    <t>CITOTEST</t>
  </si>
  <si>
    <t>2303-1060</t>
  </si>
  <si>
    <t>25384-168</t>
  </si>
  <si>
    <t>Caja de Petri desechable estéril 90 x 15 mm – 100 x 15 mm</t>
  </si>
  <si>
    <t>BP93B-102</t>
  </si>
  <si>
    <t>2303-1090</t>
  </si>
  <si>
    <t>25384-088</t>
  </si>
  <si>
    <t>Caja de Petri en vidrio 100 mm x 15 mm</t>
  </si>
  <si>
    <t>Caja x 72</t>
  </si>
  <si>
    <t>PETRIQ</t>
  </si>
  <si>
    <t>4010015</t>
  </si>
  <si>
    <t xml:space="preserve">	25354-047</t>
  </si>
  <si>
    <t>Caja de Petri en vidrio 9 mm de diámetro</t>
  </si>
  <si>
    <t>Caja X 20</t>
  </si>
  <si>
    <t>Caja organizadora 3 niveles (3 en 1) 26X16,8X6 cm</t>
  </si>
  <si>
    <t>REDLINE</t>
  </si>
  <si>
    <t>Caja organizadora de plástico con tapa y cierre hermetico 49 x 37x 21 cm</t>
  </si>
  <si>
    <t>ESTRA</t>
  </si>
  <si>
    <t>Caja para almacenamiento de puntas de 10 ml Tip box</t>
  </si>
  <si>
    <t>Brand Ref 7026 08 o equivalente</t>
  </si>
  <si>
    <t>702608-B</t>
  </si>
  <si>
    <t>5030015C</t>
  </si>
  <si>
    <t xml:space="preserve">Caja para almacenamiento de puntas de 100 a 200 ul (pipeta Brand) con plataforma, vacía </t>
  </si>
  <si>
    <t>Brand  ref. 732992 o equivalente</t>
  </si>
  <si>
    <t>Rainin by Mettler-Toledo</t>
  </si>
  <si>
    <t xml:space="preserve">30389353 - Empty Hinged Rack for Tip Refills, 250 µL universal-fit tips; (10  Racks); </t>
  </si>
  <si>
    <t>732992-B</t>
  </si>
  <si>
    <t>5130066C</t>
  </si>
  <si>
    <t xml:space="preserve">Caja para almacenamiento de puntas de 1000 ul (pipeta Brand) con plataforma, vacía </t>
  </si>
  <si>
    <t>Brand o equivalente</t>
  </si>
  <si>
    <t>30389351 - Empty Hinged Rack for Tip Refills, 1000 µL universal-fit tips; (8  Racks)</t>
  </si>
  <si>
    <t>732996-B</t>
  </si>
  <si>
    <t>5130135C</t>
  </si>
  <si>
    <t>Caja para almacenamiento de puntas de 5 ml Tip box (con o sin puntas )</t>
  </si>
  <si>
    <t>Brand Ref 7026 05 o equivalente</t>
  </si>
  <si>
    <t>702605-B</t>
  </si>
  <si>
    <t>Caja plástica 59-60 cm de largo x 37-40 cm de ancho x 11-13 cm de alto, color gris, para uso de alta resistencia</t>
  </si>
  <si>
    <t>Caja plástica con tapa con empaque y cierre a presión de 30 x 12 cm</t>
  </si>
  <si>
    <t xml:space="preserve">Unidad </t>
  </si>
  <si>
    <t>PERSAL</t>
  </si>
  <si>
    <t>Caja plastica organizadora largo 44 a 46 X 29 a 31 X 16 a 18 cm</t>
  </si>
  <si>
    <t>Estra o equivalente</t>
  </si>
  <si>
    <t>Caja plastica organizadora largo 60 a 62 X46 a 48 X 30 a 32 cm.</t>
  </si>
  <si>
    <t>Caja plastica organizadora largo con broche par cierre, de 20 L de capacidad,  medidas: 29-30 cm ancho x 36-47 cm  largo x 23-24 cm alto</t>
  </si>
  <si>
    <t>Caja porta láminas para micropreparados, capacidad 50 láminas. Cierre plástico con pestaña a presión.</t>
  </si>
  <si>
    <t>Enthos, Bioequipos, Heathrow Scientific o equivalente</t>
  </si>
  <si>
    <t>Calentador de Ambiente, con mínimo dos niveles de Calefacción y ventilador para usar sin resistencia de calentamiento. Termostato Ajustable: Para elegir la temperatura ideal. 1000W o 1600W de potencia. 2 años de garantía. Función de ventilación. Filtro lavable.  110 - 120 V</t>
  </si>
  <si>
    <t>Clark o equivalente</t>
  </si>
  <si>
    <t>CLARK</t>
  </si>
  <si>
    <t>0818</t>
  </si>
  <si>
    <t xml:space="preserve">Cámara Mac Master para recuento de huevos de nemátodos </t>
  </si>
  <si>
    <t>Eggzamin</t>
  </si>
  <si>
    <t>EggzMcM1</t>
  </si>
  <si>
    <t>Electron Microscopy Sciences</t>
  </si>
  <si>
    <t>50-278-21</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</si>
  <si>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1mm2: 0,1 Ml. Bordes redondeados anticorte, textura esmerilada, evita desplazamiento al manipularla.</t>
  </si>
  <si>
    <t>Boeco o equivalente</t>
  </si>
  <si>
    <t xml:space="preserve">BOECO </t>
  </si>
  <si>
    <t>04401052</t>
  </si>
  <si>
    <t>BOE 14</t>
  </si>
  <si>
    <t>Campana de Durham 6x35 mm a 6 x 40  mm Bolsa por 100 unidades</t>
  </si>
  <si>
    <t>Bolsa x 100 unidades</t>
  </si>
  <si>
    <t>124-00640C</t>
  </si>
  <si>
    <t>Canasta Plastica Multiusos 53-55 cm largo* 30-35 cm ancho / 30-35 cm alto</t>
  </si>
  <si>
    <t>RIMAX</t>
  </si>
  <si>
    <t>Canastilla de 25 x 15 x 15cm en acero inxidable</t>
  </si>
  <si>
    <t>KA.22-78</t>
  </si>
  <si>
    <t>CAI25X15X15</t>
  </si>
  <si>
    <t>Caneca de bioseguridad con tapa pedal médica pedal para 10 litros blanca para vidrio</t>
  </si>
  <si>
    <t>Caneca de bioseguridad con tapa pedal médica pedal para 10 litros roja riesgo biològico</t>
  </si>
  <si>
    <t>Caneca de bioseguridad con tapa pedal médica pedal para 20 litros roja riesgo biològico</t>
  </si>
  <si>
    <t>Carro de carga, de tres posiciones, 4 ruedas, soporta hasta 450 kg, Fabricado en aluminio y acero, puede ser usado como carretilla de 2 ruedas o carro de 4 ruedas de caucho macisas.</t>
  </si>
  <si>
    <t>Labconco o equivalente</t>
  </si>
  <si>
    <t>IMPORTADO</t>
  </si>
  <si>
    <t>Labscient</t>
  </si>
  <si>
    <t>KA44-28B</t>
  </si>
  <si>
    <t>Carro plataforma plegable 4 ruedas 150 kg</t>
  </si>
  <si>
    <t xml:space="preserve">NAXCIONAL </t>
  </si>
  <si>
    <t>CPC1269</t>
  </si>
  <si>
    <t>Cartucho químico contra amoníaco plástico de forma circular (cinta verde brillante) debe estar certificado por NIOSH 42CFR84, colocación tipo bayoneta sin guías 100% PVC y metales</t>
  </si>
  <si>
    <t>Moldex 7400 o equivalente</t>
  </si>
  <si>
    <t>Bolsa x 2</t>
  </si>
  <si>
    <t>MOLDEX</t>
  </si>
  <si>
    <t xml:space="preserve">	10065-418</t>
  </si>
  <si>
    <t>Cartucho químico contra gases ácidos plástico de forma circular (cinta blanca) debe estar certificado por NIOSH 42CFR84, colocación tipo bayoneta sin guías 100 % libre de PVC y metales</t>
  </si>
  <si>
    <t>Moldex 7200 o equivalente</t>
  </si>
  <si>
    <t>10065-344</t>
  </si>
  <si>
    <t>Cartucho químico contra vapores orgánicos y gases ácidos plástico  de forma circular (cinta amarilla), con certificado que cumpla norma NIOSH 42CFR84, colocación tipo bayoneta sin guias 100% libre de PVC y metales</t>
  </si>
  <si>
    <t>Moldex 7300 o equivalente</t>
  </si>
  <si>
    <t>10065-416</t>
  </si>
  <si>
    <t>Casette de inclusión para histología con tapa desmontable</t>
  </si>
  <si>
    <t>Citoplus o equivalente</t>
  </si>
  <si>
    <t>BIOPLAS</t>
  </si>
  <si>
    <t>1212L76</t>
  </si>
  <si>
    <t>Cava de icopor 15 Litros para envio de muestras, para entregar en las 32 seccionales del ICA</t>
  </si>
  <si>
    <t>NEVERA-ICOPOR-15LTS</t>
  </si>
  <si>
    <t>Cava de icopor 5 Litros para envio de muestras, para entregar en las 32 seccionales del ICA</t>
  </si>
  <si>
    <t>NEVERA-ICOPOR-5LTS</t>
  </si>
  <si>
    <t>Cava de icopor de 10 litros  para envio de muestras, para entregar en las 32 seccionales del ICA</t>
  </si>
  <si>
    <t>NEVERA-ICOPOR-10LTS</t>
  </si>
  <si>
    <t>Cava de icopor de 3 litros  para envio de muestras, para entregar en las 32 seccionales del ICA</t>
  </si>
  <si>
    <t>NEVERA-ICOPOR-3LTS</t>
  </si>
  <si>
    <t>Cava de icopor de 40 litros  para envio de muestras, para entregar en las 32 seccionales del ICA</t>
  </si>
  <si>
    <t>NEVERA-ICOPOR-40LTS</t>
  </si>
  <si>
    <t xml:space="preserve">Cava de icopor de 60 litros  para envio de muestras, para entregar en las 32 seccionales del ICA </t>
  </si>
  <si>
    <t>AV00847</t>
  </si>
  <si>
    <t xml:space="preserve">Celdas de quarzo  de 10 mm x 10 mm </t>
  </si>
  <si>
    <t>Agilent</t>
  </si>
  <si>
    <t>5061-3387</t>
  </si>
  <si>
    <t>FIREFLY</t>
  </si>
  <si>
    <t>Type 1 Macro Cuvette with PTFE Cover (Material: UV Quartz) (Lightpath:10mm)
Presentación: Unidad
Marca: Firefly</t>
  </si>
  <si>
    <t xml:space="preserve">Cepillo  mango plastico 24,3x11,5x7,52 </t>
  </si>
  <si>
    <t>17145-020</t>
  </si>
  <si>
    <t>Cepillo de mango flexible para frascos volumétricos de 250 ml</t>
  </si>
  <si>
    <t>Fisher Scientific 03-570A o equivalente</t>
  </si>
  <si>
    <t xml:space="preserve">MILL - ROSE </t>
  </si>
  <si>
    <t>70230-014</t>
  </si>
  <si>
    <t>Cepillo para probetas longitud 520 mm ribete de cerda con cabeza de lana 100x40mm, alambre galvanizado con anillo</t>
  </si>
  <si>
    <t>marca marienfeld o equivalente</t>
  </si>
  <si>
    <t xml:space="preserve">	470124-004</t>
  </si>
  <si>
    <t>Churrusco con mechón extremo largo de 15 cms</t>
  </si>
  <si>
    <t>Cualquier marca o equivalente</t>
  </si>
  <si>
    <t>17181-001</t>
  </si>
  <si>
    <t>CHUR-1-100X60MM</t>
  </si>
  <si>
    <t>E-26</t>
  </si>
  <si>
    <t>Churrusco con mechón extremo largo de 20 cms</t>
  </si>
  <si>
    <t>17130-069</t>
  </si>
  <si>
    <t>CHUR-1-100X10MM</t>
  </si>
  <si>
    <t>E-31</t>
  </si>
  <si>
    <t>Churrusco para lavar erlenmeyer cabeza 10 cm, longitud 40.6 cm</t>
  </si>
  <si>
    <t>VWR 17155-001 o equivalente</t>
  </si>
  <si>
    <t xml:space="preserve">Paquete x 5 </t>
  </si>
  <si>
    <t xml:space="preserve">JUSTMAN </t>
  </si>
  <si>
    <t xml:space="preserve"> 17155-001</t>
  </si>
  <si>
    <t>CITOPLUS</t>
  </si>
  <si>
    <t>Churrusco para limpiar pipetas de 5mL - 25mL</t>
  </si>
  <si>
    <t>CHUR-2-70X40MM</t>
  </si>
  <si>
    <t>E-28</t>
  </si>
  <si>
    <t>BRIXCO</t>
  </si>
  <si>
    <t>Churrusco para material de vidrio 25-30cm</t>
  </si>
  <si>
    <t>Fisherbrand, Cole Palmer 03-565, RZ-84550-89 o equivalente</t>
  </si>
  <si>
    <t>E-32</t>
  </si>
  <si>
    <t>Churrusco pequeños para lavado de viales de 2 ml de medidas aproximadas de 10 cm de longitud por 1cm de diametro</t>
  </si>
  <si>
    <t>17130-022</t>
  </si>
  <si>
    <t>E-25</t>
  </si>
  <si>
    <t xml:space="preserve">Cinta aislante 48Mn X55 M x 14 Mil metalizado </t>
  </si>
  <si>
    <t xml:space="preserve">Rollo </t>
  </si>
  <si>
    <t>Cinta de colores para etiquetar 13mm, resistente al agua, al ácido y al aceite</t>
  </si>
  <si>
    <t>Fisherbrand 15-901R o equivalente</t>
  </si>
  <si>
    <t xml:space="preserve">Caja x 24 </t>
  </si>
  <si>
    <t>89097-920</t>
  </si>
  <si>
    <t xml:space="preserve">Cinta de enmascarar de 10 a 12 mm </t>
  </si>
  <si>
    <t xml:space="preserve">Cualquier marca </t>
  </si>
  <si>
    <t>Rollo</t>
  </si>
  <si>
    <t>TOPEX</t>
  </si>
  <si>
    <t xml:space="preserve">Cinta de enmascarar de 20  A 24 mm </t>
  </si>
  <si>
    <t>Rollo x 25 M</t>
  </si>
  <si>
    <t>Cinta de enmascarar de 48 a 50 mm</t>
  </si>
  <si>
    <t>TESA</t>
  </si>
  <si>
    <t>Cinta indicadora de esterilidad</t>
  </si>
  <si>
    <t>1052</t>
  </si>
  <si>
    <t>01001924</t>
  </si>
  <si>
    <t>Cinta indicadora de pH 0-14</t>
  </si>
  <si>
    <t>Rollo o tira</t>
  </si>
  <si>
    <t>524164.1826</t>
  </si>
  <si>
    <t>WHATMAN</t>
  </si>
  <si>
    <t>2613-991</t>
  </si>
  <si>
    <t>Cinta indicadora de pH 6.4 - 8.0</t>
  </si>
  <si>
    <t>2600-103A</t>
  </si>
  <si>
    <t>cinta transparente 48 a 50 mm</t>
  </si>
  <si>
    <t>Unidad x 300 yardas</t>
  </si>
  <si>
    <t>Cinta transparente mágica 12,7 x 32,9 m</t>
  </si>
  <si>
    <t>3M 301 o equivalente</t>
  </si>
  <si>
    <t>Coladera pequeña Coladera de malla plástica ; Descripción : Diámetro de 8-10 cm</t>
  </si>
  <si>
    <t>METALTEX</t>
  </si>
  <si>
    <t xml:space="preserve">Colador grande diámetro mayor o igual a 22 cm </t>
  </si>
  <si>
    <t xml:space="preserve">JUST HOME COLECTION </t>
  </si>
  <si>
    <t>Colador plástico mediano diámetro aproximado 15 cm</t>
  </si>
  <si>
    <t xml:space="preserve">Columna SPE Lichrolut RP 18 (40-63 um) 500 mg, 6ml standard PP-tubes. Merck 2023 </t>
  </si>
  <si>
    <t>Merck  REF: Referencia A1.19687.0001  o equivalente</t>
  </si>
  <si>
    <t>Caja x 30 Unidades</t>
  </si>
  <si>
    <t>12102052</t>
  </si>
  <si>
    <t>LiChrolut® RP-18 (40-63 µm) 500 mg 6ml standard PP-tubes 
Presentación: 30 tubos
Marca. SUPELCO</t>
  </si>
  <si>
    <t>Columnas C18  para extracción en fase sólida,  adsorbente octadecyl, 100 mg end capped sorbent. De capacidad de 1 ml.</t>
  </si>
  <si>
    <t>RIDA C18 REF R2002  o equivalente</t>
  </si>
  <si>
    <t>LiChrolut® RP-18 (40 - 63 µm) 100 mg 1 ml standard PP-tubes 
Presentación: 100 tubos
Marca. SUPELCO</t>
  </si>
  <si>
    <t>C18100-01C</t>
  </si>
  <si>
    <t>Contenedor con cuatro ruedas que sean resistentes para 25 Kg, color rojo, Dimensiones: 50x41x68 cm aprox.</t>
  </si>
  <si>
    <t xml:space="preserve">COLEMPAQUES </t>
  </si>
  <si>
    <t>Cooler para tubos de 1.5 a 2.0 mL -20 °C para 12 tubos</t>
  </si>
  <si>
    <t>114935-B</t>
  </si>
  <si>
    <t>Cooler para tubos de 1.5 a 2.0 mL -20 °C para 32 tubos</t>
  </si>
  <si>
    <t>HEATHROW SCIENTIFIC SE</t>
  </si>
  <si>
    <t>470306-952 (HS120074W)</t>
  </si>
  <si>
    <t>Coolers con tapa para tubos de PCR de 0,2 ml de 96 pozos</t>
  </si>
  <si>
    <t>781260-B</t>
  </si>
  <si>
    <t>R4015</t>
  </si>
  <si>
    <t>Criocaja en policarbonato o polipropileno para almacenamiento de tubos 0,5 ml capacidad 81 tubos o superior</t>
  </si>
  <si>
    <t xml:space="preserve">Biologix  </t>
  </si>
  <si>
    <t>90-9009</t>
  </si>
  <si>
    <t>76333-294</t>
  </si>
  <si>
    <t>5040510C</t>
  </si>
  <si>
    <t>Criocaja para almacenamiento de tubos de 0.2 ml, Para 81 o superior tubos</t>
  </si>
  <si>
    <t>Nalgene  o equivalente</t>
  </si>
  <si>
    <t>5440-2101</t>
  </si>
  <si>
    <t>82007-160</t>
  </si>
  <si>
    <t>Criocaja para crioviales de 2 ml, color natural. Numero de lugares para colocar tubos: 100. Es una caja durable, fabricada en polipropileno que son diseñadas para almacenar en congeladores de –80°C (–112°F)— y no absorben agua. Se pueden colocar 100 tubos de capacidades entre 1.5 y 2.0mL. viene con marcación en la tapa alfa numérica para fácil identificación de las muestras. Son Autoclavables a 121°C (249.8°F). Dimensiones maximas permitidas : 142Lx142Wx55Hmm.</t>
  </si>
  <si>
    <t xml:space="preserve">Biologix </t>
  </si>
  <si>
    <t xml:space="preserve"> 90-9210</t>
  </si>
  <si>
    <t>5042010C</t>
  </si>
  <si>
    <t>THOMAS</t>
  </si>
  <si>
    <t>2591G95</t>
  </si>
  <si>
    <t xml:space="preserve">Criomarcador indeleble punta fina color negro </t>
  </si>
  <si>
    <t>GA</t>
  </si>
  <si>
    <t>76276-064</t>
  </si>
  <si>
    <t>Criomarcador punta fina, que escribe sobre cerámica, metal, vidrio, papel y plástico. La tinta resiste lavado, calentamiento, ácidos álcalis suaves y temperaturas -20°- color azul oscuro</t>
  </si>
  <si>
    <t>76276-066 (807656002798)</t>
  </si>
  <si>
    <t>Criomarcador punta gruesa, que escribe sobre cerámica, metal, vidrio, papel y plástico. La tinta resiste lavado, calentamiento, ácidos álcalis suaves y temperaturas -20°- color azul</t>
  </si>
  <si>
    <t xml:space="preserve">GA </t>
  </si>
  <si>
    <t>76276-090</t>
  </si>
  <si>
    <t>Criomarcador punta gruesa, que escribe sobre cerámica, metal, vidrio, papel y plástico. La tinta resiste lavado, calentamiento, ácidos álcalis suaves y temperaturas -20°- color negro</t>
  </si>
  <si>
    <t>76276-082</t>
  </si>
  <si>
    <t xml:space="preserve">Criomarcador punta ultrafina, que escribe sobre cerámica, metal, vidrio, papel y plástico. La tinta resiste lavado, calentamiento, ácidos álcalis suaves y temperaturas -20°- color negro </t>
  </si>
  <si>
    <t>76276-064 (807656002781)</t>
  </si>
  <si>
    <t>Criovial 1 ml cónico estéril tapa rosca con base plana. Rosca interna, fondo redondo con base, libres de tóxicos y de pirógenos</t>
  </si>
  <si>
    <t>Fisher o equivalente</t>
  </si>
  <si>
    <t>114840-B</t>
  </si>
  <si>
    <t>Criovial 2 ml estéril, tapa rosca en polipropileno base plana. Rosca interna, fondo redondo con base, estériles de 12.5 x 49 mm libres de tóxicos y de pirógenos</t>
  </si>
  <si>
    <t>Fisher 12-567-501 o equivalente</t>
  </si>
  <si>
    <t>Caja x 1000</t>
  </si>
  <si>
    <t>81-8204</t>
  </si>
  <si>
    <t>4004-1705</t>
  </si>
  <si>
    <t>10018-750</t>
  </si>
  <si>
    <t>Criovial 5 ml estéril, tapa rosca en polipropileno base plana. Medidas 12.5 a 13.5 x 90 a 92 mm. Rosca interna, fondo redondo con base, estériles de 12.5 a 13.5 x 90 a 92 mm libres de tóxicos y de pirógenos</t>
  </si>
  <si>
    <t xml:space="preserve">Caja x 250 </t>
  </si>
  <si>
    <t>10018-782</t>
  </si>
  <si>
    <t>Crisoles en porcelana para ceniza de 30mL</t>
  </si>
  <si>
    <t>JIPO (ALE)</t>
  </si>
  <si>
    <t>200451</t>
  </si>
  <si>
    <t xml:space="preserve">89037-994 </t>
  </si>
  <si>
    <t>Cuarteador en acero inoxidable Dimensiones cuarteador (8x6x3/4) pulgadas, Cantidad de celdas 14 de 3/8 de pulgada cada una, Cantidad de bandejas 4 con capacidad de 1000 gr cada una, recogedor y cepillo.</t>
  </si>
  <si>
    <t>HUMBOLDT</t>
  </si>
  <si>
    <t>1196Y49 (H-3987)</t>
  </si>
  <si>
    <t>Cubeta plastica rectangular  de laboratorio  534X634X140 mm</t>
  </si>
  <si>
    <t>Cubetas plásticas para 30 huevos</t>
  </si>
  <si>
    <t>Cuchilla minora con platino para uso con navaja de barbero</t>
  </si>
  <si>
    <t>Carton x 60 Unidades (Caja x 5 Unidades)</t>
  </si>
  <si>
    <t>Cuchilla para bisturí quirúrgico desechable y estéril No. 11 para mango No. 3</t>
  </si>
  <si>
    <t>PARAMOUNT</t>
  </si>
  <si>
    <t>01002001</t>
  </si>
  <si>
    <t>Cuchilla para bisturí quirúrgico desechable y estéril No. 15</t>
  </si>
  <si>
    <t>01002003</t>
  </si>
  <si>
    <t>Cuchilla para bisturí quirúrgico desechable y estéril No. 21</t>
  </si>
  <si>
    <t>01002005</t>
  </si>
  <si>
    <t>Cuchilla para bisturí quirúrgico desechable y estéril No. 22</t>
  </si>
  <si>
    <t>01002006</t>
  </si>
  <si>
    <t>Cuchilla para bisturí quirúrgico desechable y estéril No. 24</t>
  </si>
  <si>
    <t>01002008</t>
  </si>
  <si>
    <t>Cuchillas desechables para micrótomo High Profile</t>
  </si>
  <si>
    <t>Macroedge 818 High Profile o equivalente</t>
  </si>
  <si>
    <t>Caja x 50</t>
  </si>
  <si>
    <t>95057-834</t>
  </si>
  <si>
    <t>Cuchillo para disección cacha blanca en polipropileno en acero inoxidable de 12"</t>
  </si>
  <si>
    <t>Tramontina o equivalente</t>
  </si>
  <si>
    <t>Cuchillo para disección con cacha blanca en polipropileno en acero inoxidable de 10"</t>
  </si>
  <si>
    <t xml:space="preserve">TRAMONTINA </t>
  </si>
  <si>
    <t>Cuchillo pequeño (130 mm) cacha de plástico</t>
  </si>
  <si>
    <t>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certificado de calibración por laboratorio acreditado en ISO 17025:2017
 CON CALIBRACION DATALOGGER DE TEMPERATURA EN 3 PUNTOS por laboratorio acreditado</t>
  </si>
  <si>
    <t>CEM o equivalente</t>
  </si>
  <si>
    <t>EXTECH</t>
  </si>
  <si>
    <t>89370-166</t>
  </si>
  <si>
    <t xml:space="preserve">Dispensador  de 5-50 mL, volumen variable, graduación de 1 mL, exactitud +/- 0,5%, reproducibilidad ≤0,1%; vidrio borosilicato. Cerámica, platino-iridio, ETFE, FEP, PFA, YPP (caperuza de cierre de la canula);  apto para bases, acidos, soluciones acuosas y solventes organicos. Rango de volumen 5*/- 5 ml a 50 ml +/- 10 ml </t>
  </si>
  <si>
    <t>Brand 4700 161 o equivalente</t>
  </si>
  <si>
    <t>DOFM0060</t>
  </si>
  <si>
    <t xml:space="preserve">Socorex </t>
  </si>
  <si>
    <t xml:space="preserve">7032111004          </t>
  </si>
  <si>
    <t>30373750 - Disp-X Bottle-Top Dispenser (5-50 mL); (1 Unds)</t>
  </si>
  <si>
    <t>4600161-B</t>
  </si>
  <si>
    <t>Doble nuez para aro soporte universal Metálica</t>
  </si>
  <si>
    <t>NZ-71</t>
  </si>
  <si>
    <t>NMSF16MM</t>
  </si>
  <si>
    <t>MULLER</t>
  </si>
  <si>
    <t>AV</t>
  </si>
  <si>
    <t>BDLNZ71</t>
  </si>
  <si>
    <t>Electrodo de medición de pH ACCUMET</t>
  </si>
  <si>
    <t>Accumet 13-620-285 serie 8267113P o equivalente</t>
  </si>
  <si>
    <t xml:space="preserve">THERMO ORION </t>
  </si>
  <si>
    <t>9810BN</t>
  </si>
  <si>
    <t>Erlenmeyer cuello estrecho de 1 L para equipo de filtracion HPLC: Erlenmeyer esm. macho 40/35</t>
  </si>
  <si>
    <t>Pyrex , Corning, Kymax, Brand, Duran, Brand o equivalente</t>
  </si>
  <si>
    <t>92854-B</t>
  </si>
  <si>
    <t xml:space="preserve">Erlenmeyer de 5000 o 6000 mL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menor o igual a 0,4  o norma equivalente y certificación del fabricante que resiste temperaturas hasta de 250°C sin perder la volumetria. </t>
  </si>
  <si>
    <t>Pyrex , Corning, Kymax, Brand, Duran o equivalente</t>
  </si>
  <si>
    <t>92773-B</t>
  </si>
  <si>
    <t>Embudo de polipropileno. Diámetro externo 80 mm. en Borosilicato.</t>
  </si>
  <si>
    <t>Nalgene®, Iso-Lab, Brand 1482 25 o equivalente</t>
  </si>
  <si>
    <t>150</t>
  </si>
  <si>
    <t>148225-B</t>
  </si>
  <si>
    <t xml:space="preserve">Embudo de vidrio por 10 cm X 0.6 cm </t>
  </si>
  <si>
    <t>Embudo de vidrio. Diámetro externo 70 mm</t>
  </si>
  <si>
    <t>11246110</t>
  </si>
  <si>
    <t>145530-B</t>
  </si>
  <si>
    <t>Embudo en Polipropileno diametro exterior 45 mm</t>
  </si>
  <si>
    <t xml:space="preserve">Erlenmeyer cuello ancho de 250 ml, con tapa de rosca en PP </t>
  </si>
  <si>
    <t>Nalgene®, Iso-Lab, Brand 931 75 o equivalente</t>
  </si>
  <si>
    <t>93175-B</t>
  </si>
  <si>
    <t>Erlenmeyer cuello ancho de 300 ml. Diámetro externo cuello 50 mm. Borosilicato 3.3, impresión en cerámica, DIN12331:1998/ISO3819:1985 e ISO12 600 o ASTM E1404 tipo I y ASTM E438 Tipo I.</t>
  </si>
  <si>
    <t xml:space="preserve">92839-B </t>
  </si>
  <si>
    <t>Erlenmeyer cuello estrecho con reborde y graduación para 1000 ml en vidrio. Con certificado de fábrica (Calidad y rastreabilidad mrdiante el link del fabricante). Borosilicato 3.3 que cumpla con los estándares DIN en ISO 1773, impresión en cerámica que cumpla con la norma ISO 12 600 o ASTM E1404, tipo I y ASTM ASTM E438 Tipo I. Control y garantía de calidad NCA ( o equivalente) menor o igual a 0,4 y certificación del fabricante que resiste temperaturas hasta de 250°C sin perder la volumetria.</t>
  </si>
  <si>
    <t>5021654</t>
  </si>
  <si>
    <t>4903G65</t>
  </si>
  <si>
    <t>Erlenmeyer cuello estrecho con reborde y graduación para 125 ml en vidrio.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 o equivalente)  menor o igual a 0,4 y certificación del fabricante que resiste temperaturas hasta de 250°C sin perder la volumetria.</t>
  </si>
  <si>
    <t>KYMAX</t>
  </si>
  <si>
    <t>26500-125</t>
  </si>
  <si>
    <t>Erlenmeyer cuello estrecho con reborde y graduación para 2000 ml.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 o equivalente) menor o igual a 0,4 y certificación del fabricante que resiste temperaturas hasta de 250°C sin perder la volumetria.</t>
  </si>
  <si>
    <t>26500-2000</t>
  </si>
  <si>
    <t xml:space="preserve">Erlenmeyer cuello estrecho con reborde y graduación para 250 ml en vidrio.Con certificado de fábrica (Calidad y rastreabilidad mediante el link del gfabricante). Borosilicato 3.3 que cumpla con los estándares DIN en ISO 1773, impresión en cerámica que cumpla con la norma ISO 12 600  o ASTM E1404, tipo I y ASTM ASTM E438 Tipo . Certificación del fabricante que resiste temperaturas hasta de 250°C sin perder la volumetria. Opcional Control y garantía de calidad NCA ( o equivalente) menor o igual a 0,4 </t>
  </si>
  <si>
    <t>5021636</t>
  </si>
  <si>
    <t>26500-250</t>
  </si>
  <si>
    <t>Erlenmeyer cuello estrecho con reborde y graduación para 4000 ml.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(o equivalente)menor o igual a 0,4 y certificación del fabricante que resiste temperaturas hasta de 250°C sin perder la volumetria.</t>
  </si>
  <si>
    <t>Erlenmeyer cuello estrecho con reborde y graduación para 500 ml. Con certificado de fábrica (Calidad y rastreabilidad mediante el link del fabricante). Borosilicato 3.3 que cumpla con los estándares DIN en ISO 1773, impresión en cerámica que cumpla con la norma ISO 12 600 o ASTM E1404, tipo I y ASTM ASTM E438 Tipo I. certificación del fabricante que resiste temperaturas hasta de 250°C sin perder la volumetria. y opcional control y garantía de calidad NCA menor o igual a 0,4.</t>
  </si>
  <si>
    <t>26500-500</t>
  </si>
  <si>
    <t>Escalera de tres pasos en tubo plegable pintada en blanco, altura 61 cm, capacidad 100 kilogramos, con protección del paso en caucho</t>
  </si>
  <si>
    <t>life products inc modelo SA-00802 o equivalente</t>
  </si>
  <si>
    <t>Espátula acanalada, cuchara plana, en acero inoxidable AISI 304.  Largo total: 190 mm aproximadamente, para extraer sustancias residuales en frascos y botellas</t>
  </si>
  <si>
    <t>Espatula azul autoclavable de polipropileno resistente para diluir ácidos y bases y 210 mm  longitud y 7 mm ancho en la cuchara</t>
  </si>
  <si>
    <t>VWR catologo 231-0103 o equivalente</t>
  </si>
  <si>
    <t>Bolsa x 300</t>
  </si>
  <si>
    <t>80081-188</t>
  </si>
  <si>
    <t>Espatula combinada cuchara-plana 340 180 mm</t>
  </si>
  <si>
    <t>marca boeco(3347) o equivalente</t>
  </si>
  <si>
    <t>3347</t>
  </si>
  <si>
    <t>Espatula combinada cuchara-plana longitud entre 17 mm hasta 19mm (acanalada-plana en acero inoxidable 18/10 o 304  longitud 185mm)</t>
  </si>
  <si>
    <t>marca boeco(3283) o equivalente</t>
  </si>
  <si>
    <t>89259-968</t>
  </si>
  <si>
    <t>Espatula cuchara en acero inoxidable 18/10 210X12mm hoja longitud 25mm y cuchara 12mm</t>
  </si>
  <si>
    <t>BOCHEM 3214 o equivalente</t>
  </si>
  <si>
    <t>EISCO</t>
  </si>
  <si>
    <t>CH0635C</t>
  </si>
  <si>
    <t>Espátula doble cuchara en acero inoxidable de 21 cm aproximadamente</t>
  </si>
  <si>
    <t xml:space="preserve">WALTER STERN </t>
  </si>
  <si>
    <t>66270-010</t>
  </si>
  <si>
    <t>AC</t>
  </si>
  <si>
    <t>KA.11-64</t>
  </si>
  <si>
    <t>5386-0022</t>
  </si>
  <si>
    <t>BURKLE</t>
  </si>
  <si>
    <t>Espátula en acero inoxidable mango plástico, hoja de 10 cm x 2 cm</t>
  </si>
  <si>
    <t xml:space="preserve">Espátula en acero inoxidable mango plástico, longitud 20 cm </t>
  </si>
  <si>
    <t>56830304</t>
  </si>
  <si>
    <t xml:space="preserve">Labscient </t>
  </si>
  <si>
    <t>374.303.03</t>
  </si>
  <si>
    <t>5383-1000</t>
  </si>
  <si>
    <t>Espátula en acero inoxidable, Glazed finish, al final de la espátula micro cuchara aguda con 0,35 cm (1/8”) de ancho, y 16,8 cm (6 5/8”) de longitud</t>
  </si>
  <si>
    <t>Espátula estéril para pesaje con canal en forma de V de 15,24 cm (6 in), estériles</t>
  </si>
  <si>
    <t>Fischer Scientific, Bel Art 8339N110/369300000 o equivalente</t>
  </si>
  <si>
    <t>FISHER SCIENTIFIC</t>
  </si>
  <si>
    <t>14-357Q</t>
  </si>
  <si>
    <t>Esponja de Celulosa</t>
  </si>
  <si>
    <t>Paquete X 4 Unidades</t>
  </si>
  <si>
    <t>Estibas plásticas 100x120x15 Capacidad 1000 kg</t>
  </si>
  <si>
    <t>NTLIFCOL</t>
  </si>
  <si>
    <t>Etiqueta térmica 1" 0,375 Serie TLS220</t>
  </si>
  <si>
    <t>Brady PTL -98-499 o equivalente</t>
  </si>
  <si>
    <t>Rollo x 500</t>
  </si>
  <si>
    <t>BRADY</t>
  </si>
  <si>
    <t>1149F76</t>
  </si>
  <si>
    <t>Etiquetas para identificar viales.  PLT-30-499</t>
  </si>
  <si>
    <t>Brady PLT-30-499 o equivalente</t>
  </si>
  <si>
    <t>Rollo x 250</t>
  </si>
  <si>
    <t>1149F40</t>
  </si>
  <si>
    <t>Etiquetas termicas freezer para impresora Zebra GC4201 32 X 15 mm Rollo x 3 etiquetas por fila</t>
  </si>
  <si>
    <t>Zebra o equivalente</t>
  </si>
  <si>
    <t>Rollo x 10000</t>
  </si>
  <si>
    <t>Etiquetas termicas freezer para impresora Zebra GC4201 50 X 20 mm Rollo x 2 etiquetas por fila</t>
  </si>
  <si>
    <t>Filtro de membrana millipore tipo durapore hidrofílica, 0,22 micras de tamaño de poro, 47 mm de diámetro, material PVDF</t>
  </si>
  <si>
    <t>Merck, sigma, CNW o equivalente</t>
  </si>
  <si>
    <t>HAWACH</t>
  </si>
  <si>
    <t>PTFE Membrane Filter (Hydrophilic),0.22(μm), 47(mm)
Presentación: 100 Unidades 
Marca. Hawach</t>
  </si>
  <si>
    <t xml:space="preserve"> GVWP04700 </t>
  </si>
  <si>
    <t>Filtro para jeringa 0.22 µm estéril (Ø=25mm) PTFE Hidrofílica</t>
  </si>
  <si>
    <t>5191-5918</t>
  </si>
  <si>
    <t>PTFE Membrane Filter (Hydrophilic),0.22(μm), 25(mm)
Presentación: 100 Unidades 
Marca. Hawach</t>
  </si>
  <si>
    <t>TF30020200</t>
  </si>
  <si>
    <t>Filtro para jeringa 0.22 µm estéril (Ø=25mm) PVDF Hidrofílica</t>
  </si>
  <si>
    <t>Merck, sigma o equivalentes</t>
  </si>
  <si>
    <t>5191-5926</t>
  </si>
  <si>
    <t>PVDF Membrane Filter,0.22(μm), 25(mm)
Presentación: 100 Unidades 
Marca. Hawach</t>
  </si>
  <si>
    <t>9909-2502</t>
  </si>
  <si>
    <t xml:space="preserve">Filtro para jeringa 0.45 µm estéril de 33 mm diámetro, material  PVDF </t>
  </si>
  <si>
    <t>Millipore SLHV033RS o equivalente</t>
  </si>
  <si>
    <t>AIJIREN</t>
  </si>
  <si>
    <t>Filtro para Transferpette Brand monocanal 0,5 - 5 mL</t>
  </si>
  <si>
    <t>Brand 7046 52 o equivalente</t>
  </si>
  <si>
    <t>Bolsa x 25</t>
  </si>
  <si>
    <t>704652-B</t>
  </si>
  <si>
    <t>Filtros de conexión roscada estándar de acuerdo a la norma "EN148-1" para mascara X-plore 6300, protección respiratoria contra gas fosfina (PH3)  VLA-ED 0,05ppm y VLA-EC 0,2ppm</t>
  </si>
  <si>
    <t>Dräger o equivalente</t>
  </si>
  <si>
    <t xml:space="preserve">Filtros de jeringa no estériles  de 0.22 um y 25-33 mm: membrana de PVDF   No esteriles </t>
  </si>
  <si>
    <t>Hydrophilic PVDF Syringe Filter 33mm , 0.22μm 
Presentación: 100 Unidades
 Marca: Aijiren</t>
  </si>
  <si>
    <t>Frasco boca ancha con rosca para tapa plástica con ajuste hermético. Capacidad 30 ml</t>
  </si>
  <si>
    <t>ED2625BR140C/ED2625BL38-400 o equivalente</t>
  </si>
  <si>
    <t>Caja x 140</t>
  </si>
  <si>
    <t>Frasco de cultivo celular con tapa sin filtro, plug seal,  estéril, cuello inclinado  y no pirogénica de 75 cm²</t>
  </si>
  <si>
    <t>Corning, Costar, Falcon o equivalente</t>
  </si>
  <si>
    <t>10062-862</t>
  </si>
  <si>
    <t>Frasco de cultivo celular con tapa sin filtro, plug seal, estéril, cuello inclinado y no pirogénica de 150 cm²</t>
  </si>
  <si>
    <t>Frasco de vidrio ámbar de 100 ml tapa rosca con graduación, resistente a esterilización con autoclave y anillo de vertido en PP. Vidrio borosilicato 3.3, impresión en cerámica, que cumpla con las normas DIN12331:1998/ISO 3819:1985 e ISO4796-1:2000 (Se aceptasn normas equivalentes )</t>
  </si>
  <si>
    <t>Pyrex , Corning, Kymax, Brand, Duran, Schott o equivalente</t>
  </si>
  <si>
    <t>5086245</t>
  </si>
  <si>
    <t>14399-100</t>
  </si>
  <si>
    <t xml:space="preserve">Frasco de vidrio ambar de 1000 ml tapa rosca con graduación, resistente a esterilización con autoclave y anillo de vertido en PP. </t>
  </si>
  <si>
    <t xml:space="preserve">Pyrex , Corning, Kymax, Brand, Duran, Schott o equivalente </t>
  </si>
  <si>
    <t>5086545</t>
  </si>
  <si>
    <t>704018-B</t>
  </si>
  <si>
    <t>Frasco de vidrio ámbar de 25 ml tapa rosca con graduación,  resistente a esterilización con autoclave y anillo de vertido en PP. Vidrio borosilicato 3.3, impresión en cerámica, que cumpla con las normas DIN12331:1998/ISO 3819:1985 e ISO4796-1:2000 o USP Tipo I y ASTM E438, Tipo I.</t>
  </si>
  <si>
    <t>275.202.00</t>
  </si>
  <si>
    <t>Frasco de vidrio ámbar de 500 ml tapa rosca con graduación, resistente a esterilización con autoclave y anillo de vertido en PP. Vidrio borosilicato 3.3, impresión en cerámica, que cumpla con las normas DIN12331:1998/ISO 3819:1985 e ISO4796-1:2000 o USP Tipo I y ASTM E438, Tipo I.</t>
  </si>
  <si>
    <t>5086445</t>
  </si>
  <si>
    <t>14399-500</t>
  </si>
  <si>
    <t>Frasco de vidrio borosilicato ambar  tapa rosca 2000mL</t>
  </si>
  <si>
    <t>5086635</t>
  </si>
  <si>
    <t>14399-2000</t>
  </si>
  <si>
    <t>Frasco de vidrio transparente de 100 ml tapa rosca con graduación, resistente a esterilización con autoclave y anillo de vertido en PP. Vidrio borosilicato 3.3, impresión en cerámica, que cumpla con las normas DIN12331:1998/ISO 3819:1985 e ISO4796-1:2000  o USP Tipo I y ASTM E438, Tipo I.</t>
  </si>
  <si>
    <t>5080245</t>
  </si>
  <si>
    <t>14395-100</t>
  </si>
  <si>
    <t>Frasco de vidrio transparente de 1000 ml tapa rosca con graduación, resistente a esterilización con autoclave y anillo de vertido en PP. Vidrio borosilicato 3.3, impresión en cerámica, que cumpla con las normas DIN12331:1998/ISO 3819:1985 e ISO4796-1:2000 ó USP Tipo I y ASTM E438, Tipo I.</t>
  </si>
  <si>
    <t>5080545</t>
  </si>
  <si>
    <t>14395-1000</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</si>
  <si>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</si>
  <si>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5080635</t>
  </si>
  <si>
    <t>14395-2000</t>
  </si>
  <si>
    <t>Frasco de vidrio transparente de 25 ml tapa rosca con graduación, resistente a esterilización con autoclave y anillo de vertido en PP. Vidrio borosilicato 3.3, impresión en cerámica, que cumpla con las normas  ISO4796-1:2000 Retrace Code o USP Tipo I y ASTM E438, Tipo I.</t>
  </si>
  <si>
    <t>122520-B</t>
  </si>
  <si>
    <t>Frasco de vidrio transparente de 250 ml tapa rosca con graduación, resistente a esterilización con autoclave y anillo de vertido en PP. Vidrio borosilicato 3.3, impresión en cerámica, que cumpla con las normas DIN12331:1998/ISO 3819:1985 e ISO4796-1:2000 o USP Tipo I y ASTM E438, Tipo I.</t>
  </si>
  <si>
    <t>5080365</t>
  </si>
  <si>
    <t>14395-250</t>
  </si>
  <si>
    <t>JSW - Simax</t>
  </si>
  <si>
    <t>275.202.02</t>
  </si>
  <si>
    <t>Frasco de vidrio transparente de 50 ml tapa rosca con graduación, resistente a esterilización con autoclave y anillo de vertido en PP. Vidrio borosilicato 3.3, impresión en cerámica, que cumpla con las normas DIN12331:1998/ISO 3819:1985 e ISO4796-1:2000 o USP Tipo I y ASTM E438, Tipo I.</t>
  </si>
  <si>
    <t>5080175</t>
  </si>
  <si>
    <t>122528-B</t>
  </si>
  <si>
    <t>Frasco de vidrio transparente de 500 ml tapa rosca con graduación, resistente a esterilización con autoclave y anillo de vertido en PP. Vidrio borosilicato 3.3, impresión en cerámica, que cumpla con las normas DIN12331:1998/ISO 3819:1985 e ISO4796-1:2000  o USP Tipo I y ASTM E438, Tipo I.</t>
  </si>
  <si>
    <t>5080445</t>
  </si>
  <si>
    <t>14395-500</t>
  </si>
  <si>
    <t>Frasco goteros en vidrio ambar para colorantes de Gram de 30 ml</t>
  </si>
  <si>
    <t>Frasco lavador de cuello ancho de 500 ml de capacidad  de polietileno de baja densidad</t>
  </si>
  <si>
    <t>Nalgene o equivalente</t>
  </si>
  <si>
    <t>Paquete x 5</t>
  </si>
  <si>
    <t>WGW236P</t>
  </si>
  <si>
    <t>16650-537</t>
  </si>
  <si>
    <t>POLYLAB</t>
  </si>
  <si>
    <t>109.303.03</t>
  </si>
  <si>
    <t>Frasco lavador de cuello ancho de 500 ml de capacidad (Para pruebas de Elisa)</t>
  </si>
  <si>
    <t>Frasco lavador en polietileno para ojos. Capacidad 500 ml, con cloruro de sodio al 0.9%</t>
  </si>
  <si>
    <t>Frasco plástico con tapa de cierre hermético para toma de muestra de orina estéril 50 – 60 ml.</t>
  </si>
  <si>
    <t>FL-MEDICAL</t>
  </si>
  <si>
    <t>BK-25182</t>
  </si>
  <si>
    <t>Frasco plástico de 250 ml en polipropileno, con tapa rosca de cierre hermético. Diametro 60 ± 5 mm, altura 141 ± 5 mm, diametro del cuello interior 34 ±5 mm Boca de 32 ±5 mm</t>
  </si>
  <si>
    <t>Brand 1286 48 o equivalente</t>
  </si>
  <si>
    <t>Paquete X 10</t>
  </si>
  <si>
    <t>128648-B</t>
  </si>
  <si>
    <t>Frasco plástico de 500 ml boca ancha con tapa rosca de cierre hermético para toma de muestras de tejidos en formol</t>
  </si>
  <si>
    <t>Frasco plástico para muestras boca ancha PS con tapa  rosca x 120mL (68x53mm)</t>
  </si>
  <si>
    <t>16087-160 + 89210-130</t>
  </si>
  <si>
    <t>Frasco tipo inyectable para agrafe de 20mm de 50 ml</t>
  </si>
  <si>
    <t>Moulded injection vial 20-2710 crimp clear 50 cc ED2139BA847 o equivalente</t>
  </si>
  <si>
    <t xml:space="preserve">Caja x 84 </t>
  </si>
  <si>
    <t>Frascos de vidrio boca ancha de 30 ml para Glicerina con tapa hermetica</t>
  </si>
  <si>
    <t>Frascos de vidrio de 500 ml con tapa rosca de cierre hermético.</t>
  </si>
  <si>
    <t>Caja x 12 Unidades
+ tapas</t>
  </si>
  <si>
    <t>Frascos de vidrio Especificación : Frasco compotero de vidrio; altura 6,5 diametro 5,5</t>
  </si>
  <si>
    <t>Caja con 24 piezas</t>
  </si>
  <si>
    <t>Funda para vacutainer</t>
  </si>
  <si>
    <t>Vacutest-169018 o equivalente</t>
  </si>
  <si>
    <t>04401068</t>
  </si>
  <si>
    <t>Gafas con protección lateral con protección a agentes biológicos</t>
  </si>
  <si>
    <t>3M, Arseg o equivalente</t>
  </si>
  <si>
    <t>MCR SEC.</t>
  </si>
  <si>
    <t>11000-398</t>
  </si>
  <si>
    <t>Gafas con sello facial, canales con ventilación que minimicen el empañamiento y mantengan fuera las partículas. Tratamiento antiempañante y antiralladuras.  Banda elástica ajustable. Lentes claros de policarbonato que absorba el 99,9% UV. Cumplimiento normativo explícito en el producto:   CSA Z94.3-2007 y los requisitos de alto impacto de la norma ANSI Z87.1-2003.</t>
  </si>
  <si>
    <t>FisherBrand 19-181-502 o equivalente.</t>
  </si>
  <si>
    <t>75982-628</t>
  </si>
  <si>
    <t>Gancho carnicero con mango plástico antibacteriano 15 cm de largo</t>
  </si>
  <si>
    <t>Gasa tipo hospitalario</t>
  </si>
  <si>
    <t>Rollo x 100 yardas</t>
  </si>
  <si>
    <t xml:space="preserve">KRAMER </t>
  </si>
  <si>
    <t>01003080</t>
  </si>
  <si>
    <t>Gel refrigerante de 250 g. Durabilidad 24 horas, para ser entregado en las 32 seccionales</t>
  </si>
  <si>
    <t>Caja x 48</t>
  </si>
  <si>
    <t>Gel refrigerante en pilas de 250gr.
para ser entregado en las 32 seccionales</t>
  </si>
  <si>
    <t>Caja x 100 und</t>
  </si>
  <si>
    <t>Gorro para cabello de polipropileno color blanco con banda elástica,diámetro 61 cm</t>
  </si>
  <si>
    <t>AV01335</t>
  </si>
  <si>
    <t xml:space="preserve">Goteros pláticos para colorantes de Gram de un volumen de 120ml. </t>
  </si>
  <si>
    <t xml:space="preserve">NACIOANL </t>
  </si>
  <si>
    <t>Gradilla Compact PCR Tube Rack para 96 tubos de 0,2 ml.</t>
  </si>
  <si>
    <t>Usa Scientific o equivalente</t>
  </si>
  <si>
    <t xml:space="preserve">Empaque x 5 unds.   </t>
  </si>
  <si>
    <t>Gradilla para 24 tubos de 50 ml, fabricada en polipropileno o policetona en formato 3x8</t>
  </si>
  <si>
    <t xml:space="preserve">VWR </t>
  </si>
  <si>
    <t>10026-308</t>
  </si>
  <si>
    <t>ACEQ</t>
  </si>
  <si>
    <t>GR-3010</t>
  </si>
  <si>
    <t>Gradilla para 60 tubos de ensayo de 16 mm de diámetro formato 5x12 color blanco ó azul. Medidas aprox. 110 x 250 x 70</t>
  </si>
  <si>
    <t>RPW018P</t>
  </si>
  <si>
    <t xml:space="preserve">THOMAS </t>
  </si>
  <si>
    <t>9259L70</t>
  </si>
  <si>
    <t>Gradilla para 72 tubos de 16mm de diametro en polipropileno.</t>
  </si>
  <si>
    <t>Catalogo VWR REF 82024-436 o equivalente</t>
  </si>
  <si>
    <t>89215-828</t>
  </si>
  <si>
    <t xml:space="preserve">Gradilla para 80 viales de 1.5 - 2.0 ml en polipropileno, autoclavable </t>
  </si>
  <si>
    <t>Paquete x 20</t>
  </si>
  <si>
    <t>RPW001P</t>
  </si>
  <si>
    <t>82024-479</t>
  </si>
  <si>
    <t>Gradilla para 9 tubos de 50 ml Ø=32 mm. Medidas: 110 x 110 x 85mm (L x W x H)</t>
  </si>
  <si>
    <t>Gradilla para 96 tubos de  0.5 ml, 1.7 ml, 2.0 ml. Autoclavable y congelable</t>
  </si>
  <si>
    <t>1141P34</t>
  </si>
  <si>
    <t xml:space="preserve">Polylab </t>
  </si>
  <si>
    <t xml:space="preserve">Gradilla para pipeta de vidrio </t>
  </si>
  <si>
    <t xml:space="preserve">Gradilla plástica de polipropileno capacidad para 50 tubos de 15 ml formato 10x5 </t>
  </si>
  <si>
    <t>90-1550</t>
  </si>
  <si>
    <t>Gradilla plástica para tubos de ensayo de 20 mm. Capacidad 40 tubos</t>
  </si>
  <si>
    <t>RPW021P</t>
  </si>
  <si>
    <t>Grasa lubricante para micropipetas Frasco de 20 Grs</t>
  </si>
  <si>
    <t>Eppendorf o equivalente</t>
  </si>
  <si>
    <t>Guantes de examen de latex natural, sin talco, con borde enrrollado, longitud según norma EN 455-2 de 240 mm no estéril. Fuerza de rotura mediana 6 K  Talla S</t>
  </si>
  <si>
    <t>Dermagrip o equivalente</t>
  </si>
  <si>
    <t>Guantes de examen de latex natural, sin talco, con borde enrrollado, longitud según norma EN 455-2 de 240 mm no estéril. Fuerza de rotura mediana 6 K  TallaM</t>
  </si>
  <si>
    <t>Guantes de latex Estériles libre de polvo Talla 6 1/2.</t>
  </si>
  <si>
    <t>Caja x  100</t>
  </si>
  <si>
    <t>Guantes desechable en nitrilo, revestimiento completo, borde con ribete, longitud mínima de 19 pulgadas, espesor mínimo 22 milésimas de pulgada. Debe cumplir norma EN374-2-2003; EN374-3-2003 Talla L</t>
  </si>
  <si>
    <t>Guantes desechable en nitrilo, revestimiento completo, borde con ribete, longitud mínima de 19 pulgadas, espesor mínimo 22 milésimas de pulgada. Debe cumplir norma EN374-2-2003; EN374-3-2003 Talla M</t>
  </si>
  <si>
    <t>Cajas x 100</t>
  </si>
  <si>
    <t>Guantes desechable en nitrilo, revestimiento completo, borde con ribete, longitud mínima de 19 pulgadas, espesor mínimo 22 milésimas de pulgada. Debe cumplir norma EN374-2-2003; EN374-3-2003 Talla S</t>
  </si>
  <si>
    <t>Guantes desechables de nitrilo y neopreno de 3 capas de seguridad. Que cumplan las normas EN 420, 388 &amp; 374 Categoría III. Talla L</t>
  </si>
  <si>
    <t>Microflex 93-262 o equivalente</t>
  </si>
  <si>
    <t>cajax100</t>
  </si>
  <si>
    <t>ANSELL</t>
  </si>
  <si>
    <t>93-260-L</t>
  </si>
  <si>
    <t>Microflex Ansell</t>
  </si>
  <si>
    <t>93-260 L</t>
  </si>
  <si>
    <t xml:space="preserve">Guantes desechables de nitrilo y neopreno. Que cumplan las normas EN 420, 388 &amp; 374 Categoría III. Talla M
</t>
  </si>
  <si>
    <t>Microflex 93-261 o equivalente</t>
  </si>
  <si>
    <t>93-260-M</t>
  </si>
  <si>
    <t>93-260 M</t>
  </si>
  <si>
    <t xml:space="preserve">Guantes desechables de nitrilo y neopreno. Que cumplan las normas EN 420, 388 &amp; 374 Categoría III. Talla S
</t>
  </si>
  <si>
    <t>Microflex 93-260 o equivalente</t>
  </si>
  <si>
    <t>93-260-S</t>
  </si>
  <si>
    <t>93-260 S</t>
  </si>
  <si>
    <t>Guantes industrial calibre 35 talla 7 1/2</t>
  </si>
  <si>
    <t>Par</t>
  </si>
  <si>
    <t xml:space="preserve">ETERNA </t>
  </si>
  <si>
    <t>Guantes industrial calibre 35 talla 9</t>
  </si>
  <si>
    <t xml:space="preserve">Guantes Libres de Talco Para usar en Espectrometría de Masas debe cumpluir con CE89/686/CEE cat I Talla 7 </t>
  </si>
  <si>
    <t>Fisher 191301597C o equivalente</t>
  </si>
  <si>
    <t>Guantes Libres de Talco Para usar en Espectrometría de Masas debe cumpluir con CE89/686/CEE cat I Talla 8</t>
  </si>
  <si>
    <t xml:space="preserve">REDLINE </t>
  </si>
  <si>
    <t>Hisopo estéril de dacrón, rayón o poliéster con palillo plástico</t>
  </si>
  <si>
    <t>Daigger 22116D o equivalente</t>
  </si>
  <si>
    <t>91000150DE</t>
  </si>
  <si>
    <t>Hisopo estéril de rayón o de algodón estéril</t>
  </si>
  <si>
    <t>Bolsa x 1000</t>
  </si>
  <si>
    <t>167KS01-US-1000</t>
  </si>
  <si>
    <t>Hisopo punta de algodón de 15 cm de longitud (Estériles)</t>
  </si>
  <si>
    <t>CITOPLUSS</t>
  </si>
  <si>
    <t>2122-0021</t>
  </si>
  <si>
    <t>Citoplus</t>
  </si>
  <si>
    <t>Hisopo Quick Swab para muestreo de superficies (Cabina)</t>
  </si>
  <si>
    <t xml:space="preserve">Caja x 50 </t>
  </si>
  <si>
    <t>1185Y13 (6432)</t>
  </si>
  <si>
    <t>TEXWIPE</t>
  </si>
  <si>
    <t>TX761</t>
  </si>
  <si>
    <t>ITW Texwipe</t>
  </si>
  <si>
    <t>3M MICROBIOL OGIA</t>
  </si>
  <si>
    <t>Hisopos con medio de transporte AMIES, sin carbono </t>
  </si>
  <si>
    <t>Cualquier hirca</t>
  </si>
  <si>
    <t xml:space="preserve">Caja X 50 </t>
  </si>
  <si>
    <t>108C.USE</t>
  </si>
  <si>
    <t>Inserto para vial de cromatografia. (viales de 2 ml con tapa rosca de 9mm. )</t>
  </si>
  <si>
    <t>Vial insert (5.6x30mm)l 100 pk</t>
  </si>
  <si>
    <t>ALWSCI</t>
  </si>
  <si>
    <t>2ML-N2002</t>
  </si>
  <si>
    <t>Inserto para vial de cromatografía  300 µL, polypropylene, polymer feet.   Insert size: 5.6 x 30 mm aproximadamente</t>
  </si>
  <si>
    <t>THERMO</t>
  </si>
  <si>
    <t xml:space="preserve">Jabón en polvo </t>
  </si>
  <si>
    <t>Kilo</t>
  </si>
  <si>
    <t xml:space="preserve">FAB </t>
  </si>
  <si>
    <t>Jarra de medición con asa Nalgene HDPE o PMP Trasparente capacidad 1000-2000 ml  graduada</t>
  </si>
  <si>
    <t>NALGENE</t>
  </si>
  <si>
    <t>Polylab</t>
  </si>
  <si>
    <t>Jeringa desechable de 1 ml de insulina estéril, dos partes. Libre de pirógenos</t>
  </si>
  <si>
    <t>01003576</t>
  </si>
  <si>
    <t>Jeringa desechable de 10 ml sin caucho en el émbolo con aguja tribicelada de 21 G x 1½ estéril, dos partes, libre de pirógenos</t>
  </si>
  <si>
    <t>BD301001 o equivalente</t>
  </si>
  <si>
    <t>Jeringa desechable de 2 ml con aguja 21G X 1½" tribicelada, sin émbolo de caucho</t>
  </si>
  <si>
    <t>BD 300318 o equivalente</t>
  </si>
  <si>
    <t>01003565</t>
  </si>
  <si>
    <t xml:space="preserve">Jeringa desechable de 2 ml sin aguja </t>
  </si>
  <si>
    <t>Jeringa desechable de 3 ml desechable con aguja 21G x 1½ tribicelada</t>
  </si>
  <si>
    <t>01003583</t>
  </si>
  <si>
    <t>Jeringa desechable de 5 ml con aguja de 21 G x 1½" tribicelada. Estéril. Dos partes. Libre de pirógenos. Con empate Luer Slip</t>
  </si>
  <si>
    <t>01003568</t>
  </si>
  <si>
    <t>Jeringas de vidrio de 1 ml de capacidad.</t>
  </si>
  <si>
    <t>CATALOGO VWR 80089-544 o equivalente</t>
  </si>
  <si>
    <t>Paquete/ 12 unidades</t>
  </si>
  <si>
    <t xml:space="preserve">AIR TITE </t>
  </si>
  <si>
    <t>80089-544</t>
  </si>
  <si>
    <t>Jeringas desechable de 20 ml (Sin aguja)</t>
  </si>
  <si>
    <t>Caja x 80</t>
  </si>
  <si>
    <t>01003572</t>
  </si>
  <si>
    <t xml:space="preserve">Juego de bateria acero inoxidable para coloración de hematoxilina </t>
  </si>
  <si>
    <t>Juego x 16 cajas</t>
  </si>
  <si>
    <t>Juego de masas patrón E2 de 1mg, 2mg, 5mg, 10 mg, 20mg, 50mg, 100mg, 500mg con certificado de calibración de Laboratorio de acreditado nacional o internacional, trazable al SI con declaración de incertidumbre. En Acero inoxidable antimagnéticas</t>
  </si>
  <si>
    <t>Kern o equivalente</t>
  </si>
  <si>
    <t xml:space="preserve">Kit </t>
  </si>
  <si>
    <t>IMPORTADA</t>
  </si>
  <si>
    <t>20111.06</t>
  </si>
  <si>
    <t>Juego de tamices (250 um, 106 um, 38 um</t>
  </si>
  <si>
    <t>Paquete x 3</t>
  </si>
  <si>
    <t>TAM-AC8-1”TAM-AC8-3/4”TAM-AC81-1/2”</t>
  </si>
  <si>
    <t>ENDECOTTS</t>
  </si>
  <si>
    <t>TAM250-106-38</t>
  </si>
  <si>
    <t>Kit de Emergencia - Equipo de emergencia vesiculares compuesto por: 4 narigueras automaticas para bovino;  2  manilas de 1/2" X 10 metros cada una;  2 aciales largos para cerdos en acero inoxidable tipo guaya de 30 cm, sin freno mango y sujetador antideslizante;  2 abrebocas para bovino; 4 cepillos de cerda dura;  2 pinzas con garra de 14,5 cm en acero inoxidable;  2 pinzas sin garra de 14,5 cm en acero inoxidable; 2 tijeras  de mayo una  recta punta roma y una recta  punta fina de 14 cm en acero inoxidable;  2 tijeras de mayo curva punta roma de 14 cm en acero inoxidable; 1 cepillo lavado instrumental de cerda dura plastica; 1 juego de copas probang de 3 tamaños diferentes en acero inoxidable; caja organizadora en plastico donde los anteriores elementos se puedan guardar con dimensiones mínimo de largo 60 cm, ancho 26 cm, alto 24 cm con bandeja siempre que cuente con espacio suficiente para almecenas los anteriores elementos.  Se requiere anexar muestras de copas probang.</t>
  </si>
  <si>
    <t>KIT de Necropsia Aviar, conformado por: Caja plástica Rimax con capacidad para almacenar: 1 mango de bisturí #2,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costótomo 22 a 34 cm.</t>
  </si>
  <si>
    <t>Kit para necropsia de peces que contenga: Caja Rimax plástica pequeña con capacidad para almacenar los materioales listados a continuación; dos mangos de bisturí No 4; 100 Unidades de Hojas de bisturi;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una piedra de afilar.</t>
  </si>
  <si>
    <t xml:space="preserve">Lámina microscope slide Probe On Plus Precleaned 25 x 75 x1.0 mm. Diapositivas de medida 1 x 3 pulgadas (25 x 75 mm) y 1 mm de espesor </t>
  </si>
  <si>
    <t>Fisher 22-230-900 o equivalente</t>
  </si>
  <si>
    <t>Caja x 144</t>
  </si>
  <si>
    <t>16004-406</t>
  </si>
  <si>
    <t>Lámina portaobjetos de 76 x 26 cm (3" x 1") de vidrio liso (no esmerilada Unground edges)</t>
  </si>
  <si>
    <t>02701</t>
  </si>
  <si>
    <t>0303-2104</t>
  </si>
  <si>
    <t>474701-B</t>
  </si>
  <si>
    <t>Lámina portaobjetos de 76 x 26 mm (3 x 1) Esmerilada</t>
  </si>
  <si>
    <t>474743-B</t>
  </si>
  <si>
    <t>Lámina portaobjetos excavada de una cavidad de 76 x 26 (aprox)</t>
  </si>
  <si>
    <t>0317-3101-16</t>
  </si>
  <si>
    <t>Láminilla circular 22 mm</t>
  </si>
  <si>
    <t xml:space="preserve">	16004-338</t>
  </si>
  <si>
    <t>Laminilla cubre objeto 22 x 22 mm</t>
  </si>
  <si>
    <t>2770</t>
  </si>
  <si>
    <t>0341-1120</t>
  </si>
  <si>
    <t xml:space="preserve">GLASS LAB </t>
  </si>
  <si>
    <t>04402784</t>
  </si>
  <si>
    <t>CITOGLASS</t>
  </si>
  <si>
    <t>10212222CE</t>
  </si>
  <si>
    <t>Laminilla cubre objeto 22 x 44 mm</t>
  </si>
  <si>
    <t>10212240CE</t>
  </si>
  <si>
    <t>Laminilla cubre objeto 22 x 60 mm</t>
  </si>
  <si>
    <t>Laminilla cubre objeto circular 15 mm</t>
  </si>
  <si>
    <t xml:space="preserve">laminillas  de quarzo  de 10 mmx 10 mm </t>
  </si>
  <si>
    <t>SUPERIOR</t>
  </si>
  <si>
    <t>Laminillas de Cuarzo para camara de Newbauer</t>
  </si>
  <si>
    <t>OSSALUD o equivalente</t>
  </si>
  <si>
    <t xml:space="preserve">Caja x 10 Unidades   </t>
  </si>
  <si>
    <t>Lapiz marcador de vidrio con punta de diamante, especial para marcaciones finas, con repuestos para trabajo continuo de dos años Longitud total 152 mm (6 ")</t>
  </si>
  <si>
    <t>Musco Sports Lightining o su equivalente</t>
  </si>
  <si>
    <t xml:space="preserve">MUSCO SPORTS </t>
  </si>
  <si>
    <t xml:space="preserve">	52865-005</t>
  </si>
  <si>
    <t>Linterna de cabeza led</t>
  </si>
  <si>
    <t>VARTA</t>
  </si>
  <si>
    <t xml:space="preserve">Lupa 20X. Lente 21mm cuerpo metálico, cromo </t>
  </si>
  <si>
    <t xml:space="preserve">BIOLOGIKA </t>
  </si>
  <si>
    <t>S17C</t>
  </si>
  <si>
    <t>Lysing Matrix A Bulk (Garnet)</t>
  </si>
  <si>
    <t>MP BIOMEDICALS  116540423 o equivalente</t>
  </si>
  <si>
    <t>Frasco x 200 g</t>
  </si>
  <si>
    <t>1171T70 (116540423)</t>
  </si>
  <si>
    <t>LYSING MATRIX A, 4,5 mL Tube</t>
  </si>
  <si>
    <t>MP BIOMEDICALS 116970050 o equivalente</t>
  </si>
  <si>
    <t>Bolsa x 51</t>
  </si>
  <si>
    <t>75856-142
(116970050)</t>
  </si>
  <si>
    <t>Maceradores en PP para viales de 1.5</t>
  </si>
  <si>
    <t>SSI Plastic o equivalente</t>
  </si>
  <si>
    <t>Mangas desechables para área molecular</t>
  </si>
  <si>
    <t>AV01636</t>
  </si>
  <si>
    <t>Mango para bisturí en acero inoxidable No. 3</t>
  </si>
  <si>
    <t>Hospital o equivalente</t>
  </si>
  <si>
    <t xml:space="preserve">HOSPITAL </t>
  </si>
  <si>
    <t>03301422</t>
  </si>
  <si>
    <t>Mango para bisturí en acero inoxidable No. 4</t>
  </si>
  <si>
    <t>DIMEDA</t>
  </si>
  <si>
    <t>02201687</t>
  </si>
  <si>
    <t>Manguera de Silicona para Bomba de Filtración . Diámetro : diámetro interno ¼ (6,32 mm) con diámetro externo 9/16 (14,28 mm)</t>
  </si>
  <si>
    <t xml:space="preserve">5 Metros </t>
  </si>
  <si>
    <t>Máscara de media cara 3M</t>
  </si>
  <si>
    <t>3M 7502 o equivalente</t>
  </si>
  <si>
    <t>Máscara Full face en silicona y filtros</t>
  </si>
  <si>
    <t>3M 7800 o equivalente</t>
  </si>
  <si>
    <t xml:space="preserve">	10065-316</t>
  </si>
  <si>
    <t>Máscara media pieza facial, protección respiratoria para productos químicos en material elastómero para uso prolongado,  tallas pequeña, mediana  y grande. Cartuchos con sistema de bayoneta, arnés de cabeza, dos cartuchos multipropósito incluidos para cada Unidad, los cartuchos deben ser tipo ABEK1 para protección contra combinaciones de vapores orgánicos (Punto de ebullición &gt;65ºC), inorgánicos, gases ácidos y amoniaco vapores orgánicos, partículas P3,  gases ácidos, formaldehído y amoniaco. Cumplimiento normativo explícito en el producto: EN 14387:2004+A1:2008 </t>
  </si>
  <si>
    <t>3M, Niosh o equivalente</t>
  </si>
  <si>
    <t>6000 + 2097</t>
  </si>
  <si>
    <t>Mascarilla quirúrgica y respirador contra partículas para el cuidado de la salud</t>
  </si>
  <si>
    <t>3M, o equivalente</t>
  </si>
  <si>
    <t xml:space="preserve">	KN95-I</t>
  </si>
  <si>
    <t>Mechas para mechero de alcohol</t>
  </si>
  <si>
    <t>Paquete</t>
  </si>
  <si>
    <t>Membranas de filtración para solventes de 0,45 µm, de PVDF o PTFE de 47 mm de diámetro hidrofílicas</t>
  </si>
  <si>
    <t>Sartorius MINISART SRP 15 O EQUIVALENTES</t>
  </si>
  <si>
    <t>Bolsa X 50 Unidades</t>
  </si>
  <si>
    <t>5191-4336</t>
  </si>
  <si>
    <t>PVDF Membrane Filter,0.45(μm), 47(mm)
Presentación: 100 Unidades 
Marca. Hawach</t>
  </si>
  <si>
    <t>Membranas millipore en esteres de celulosa, 0,45 micras de poro absoluto, 47 mm de diámetro, estériles en sobres individuales.</t>
  </si>
  <si>
    <t>Millipore HAWG047S6 0 equivalentes</t>
  </si>
  <si>
    <t>Caja x 150</t>
  </si>
  <si>
    <t>5191-4337</t>
  </si>
  <si>
    <t>MCE Membrane Filter, 0.45(μm), 47(mm)
Presentación: 100 Unidades 
Marca. Hawach</t>
  </si>
  <si>
    <t>Microespatula de metal, con cucharita</t>
  </si>
  <si>
    <t>ISOLAB o equivalente</t>
  </si>
  <si>
    <t xml:space="preserve">UNITED SCIENTIFIC </t>
  </si>
  <si>
    <t xml:space="preserve">	76263-362 (	SSFS09)</t>
  </si>
  <si>
    <t>Microespatula En Acero Inoxidable,Doble (Espátula -Cuchara) de 150 mm de Longitud X 5 mm de Anch</t>
  </si>
  <si>
    <t>boeco(3302) o equivalente</t>
  </si>
  <si>
    <t>3302</t>
  </si>
  <si>
    <t>E-38</t>
  </si>
  <si>
    <t>Micropipeta de 1000-10000 ul con certificado de calibración y trazabilidad expedida por laboratorio acreditado ante el ONAC</t>
  </si>
  <si>
    <t>Transferpette Brand 7047 84 o equivalente</t>
  </si>
  <si>
    <t>7047-84</t>
  </si>
  <si>
    <t>B10000-1</t>
  </si>
  <si>
    <t>17011795 - Pipet-Lite XLS+ Manual Pipette, use universal Tips, (1 to 10 mL); (1 Unds)</t>
  </si>
  <si>
    <t>KIT-01131 + 705884-B                                   +                                            ST02722</t>
  </si>
  <si>
    <t>Micropipeta de 100-1000 µL autoclavable  con certificado de calibración y trazabilidad expedida por laboratorio acreditado ante el ONAC</t>
  </si>
  <si>
    <t>Fisherbrand 14-386-320 o equivalente</t>
  </si>
  <si>
    <t>13220</t>
  </si>
  <si>
    <t>17014407 - Pipet-Lite XLS+ Manual Pipette, use universal Tips, (100 to 1.000 µL); (1 Unds)</t>
  </si>
  <si>
    <t xml:space="preserve">BRAND </t>
  </si>
  <si>
    <t>705326-B</t>
  </si>
  <si>
    <t>C10000-1</t>
  </si>
  <si>
    <t>Micropipeta de 100-1000µl  con certificado de calibración y trazabilidad expedida por laboratorio acreditado ante el ONAC.</t>
  </si>
  <si>
    <t>Transferpette Brand 704180 o equivalente</t>
  </si>
  <si>
    <t>7047-80</t>
  </si>
  <si>
    <t>C1000-1</t>
  </si>
  <si>
    <t>Micropipeta de 10-100 µl autoclavable  con certificado de calibración y trazabilidad expedida por laboratorio acreditado ante el ONAC</t>
  </si>
  <si>
    <t>Finnpipette o equivalente</t>
  </si>
  <si>
    <t>7047-74</t>
  </si>
  <si>
    <t>17014408 - Pipet-Lite XLS+ Manual Pipette, use universal Tips, (10 to 100 µL); (1 Unds)</t>
  </si>
  <si>
    <t>705874-B</t>
  </si>
  <si>
    <t>C100-1</t>
  </si>
  <si>
    <t>Micropipeta de 0,5ul a 1 ul -10 µl autoclavable con certificado de calibración y trazabilidad expedida por laboratorio acreditado ante el ONAC</t>
  </si>
  <si>
    <t>13190</t>
  </si>
  <si>
    <t>826,0010Y</t>
  </si>
  <si>
    <t>B10-1</t>
  </si>
  <si>
    <t>17014409 - Pipet-Lite XLS+ Manual Pipette, use universal Tips, (0.5 to 10 µL); (1 Unds)</t>
  </si>
  <si>
    <t>705319-B</t>
  </si>
  <si>
    <t>C10-1</t>
  </si>
  <si>
    <t>Micropipeta de 2- 20 µl  autoclavable con certificado de calibración y trazabilidad expedida por laboratorio acreditado ante el ONAC</t>
  </si>
  <si>
    <t>13000</t>
  </si>
  <si>
    <t>17014412 - Pipet-Lite XLS+ Manual Pipette, use universal Tips, (2 to 20 µL); (1 Unds)</t>
  </si>
  <si>
    <t>705320-B</t>
  </si>
  <si>
    <t>C20-1</t>
  </si>
  <si>
    <t xml:space="preserve">Micropipeta Monocanal 
Capacidad: 0,5µl  a 1 µl - 10 µl
Con puntas de la misma marca de las pipetas, incluir bolsa de 1000 puntas.                                                                                                                                                                                Con certificado de calibración y trazabilidad expedida por laboratorio acreditado ante el ONAC                                                                                                                      </t>
  </si>
  <si>
    <t>Finnpipette, brand, o equivalente</t>
  </si>
  <si>
    <t>Micropipeta monocanal 10-300uL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Marca Integra
Con certificado de calibración y trazabilidad expedida por laboratorio acreditado ante el ONAC</t>
  </si>
  <si>
    <t>Integra o equivalente</t>
  </si>
  <si>
    <t>17014414 - Pipet-Lite XLS+ Manual Pipette, use universal Tips, (20 to 300 µL); (1 Unds)</t>
  </si>
  <si>
    <t>Micropipeta MONOCANAL de 20-200 µl  con certificado de calibración y trazabilidad expedida por laboratorio acreditado ante el ONAC</t>
  </si>
  <si>
    <t>Finnpipette Labsystem o equivalente</t>
  </si>
  <si>
    <t>17014411 - Pipet-Lite XLS+ Manual Pipette, use universal Tips, (20 to 200 µL); (1 Unds)</t>
  </si>
  <si>
    <t>705323-B</t>
  </si>
  <si>
    <t xml:space="preserve">Micropipeta monocanal electrónica 0,5 a 1 - 12,5 a 20uL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Marca Integra
Con certificado de calibración y trazabilidad expedida por laboratorio acreditado ante el ONAC  </t>
  </si>
  <si>
    <t>926,0010U</t>
  </si>
  <si>
    <t>DLAB</t>
  </si>
  <si>
    <t>17014491 - Pipet-Lite XLS+ Electronic Pipette, use universal Tips, (0.5 to 10 µL); (1 Unds)</t>
  </si>
  <si>
    <t>M10-1</t>
  </si>
  <si>
    <t xml:space="preserve">Micropipeta monocanal electrónica 5 a 10 - 125 a 200 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Marca Integra
Con certificado de calibración emitido por un laboratorio acreditado ante el ONAC      </t>
  </si>
  <si>
    <t>926,0200U</t>
  </si>
  <si>
    <t>M100-1</t>
  </si>
  <si>
    <t>Micropipeta S tipo digital de volumen variable de 500-5000uL, Error menor o igual a 0,6%, coeficiente de variacion menor o igual a 0,2%, division de uL 5,con certificado de conformidad según norma DIN 12600
Con certificado de calibración y trazabilidad expedida por laboratorio acreditado ante el ONAC</t>
  </si>
  <si>
    <t>Brand cat 7047 82 o equivalente</t>
  </si>
  <si>
    <t>B5000-1</t>
  </si>
  <si>
    <t>17011801 - Pipet-Lite XLS+ Manual Pipette, use universal Tips, (500 to 5.000 µL); (1 Unds)</t>
  </si>
  <si>
    <t>705882-B</t>
  </si>
  <si>
    <t>Microplaca de 6 pozos para cultivo celular</t>
  </si>
  <si>
    <t>10062-892</t>
  </si>
  <si>
    <t>Microplaca de 96 pozos fondo plano Inmunol 1B</t>
  </si>
  <si>
    <t>Thermo 3355 o equivalente</t>
  </si>
  <si>
    <t>781610-B</t>
  </si>
  <si>
    <t>Microplaca de predilución fondo plano de 96 pozos estéril</t>
  </si>
  <si>
    <t>Costar, brand, thermo  o equivalente</t>
  </si>
  <si>
    <t>Cajax 50</t>
  </si>
  <si>
    <t>781662-B</t>
  </si>
  <si>
    <t>Microplaca flexible de 96 pozos, fondo en U sin tapa no estériles, 250 ul. Sin tapa. (No son para cultivo celular)</t>
  </si>
  <si>
    <t>Falcon 353911, Costar 2797 o equivalente</t>
  </si>
  <si>
    <t>COSTAR</t>
  </si>
  <si>
    <t>29442-384</t>
  </si>
  <si>
    <t>Microplaca fondo en V sin tapa, poliestireno, claro; no tratada; no estériles, volumen de 40 a 200 ul  (No son para cultivo celular)</t>
  </si>
  <si>
    <t>781601-B</t>
  </si>
  <si>
    <t>Microplaca maxisorp (Certificada)</t>
  </si>
  <si>
    <t>Nunc 439454, Fisher 12-565-135 o equivalente</t>
  </si>
  <si>
    <t>Caja x 60</t>
  </si>
  <si>
    <t xml:space="preserve">THERMO SCIENTIFIC </t>
  </si>
  <si>
    <t>6925A00</t>
  </si>
  <si>
    <t>Microplaca negra plana en poliestireno con superficie no tratada,  de  96 pozos con volumen por pozo de 320 a 360 ul ( Fluorescencia Polarizada</t>
  </si>
  <si>
    <t>781614-B</t>
  </si>
  <si>
    <t>Microplaca para cultivo celular de 96 pozos fondo plano, esteril con tapa. En empaque individual, transparente , en poliestireno. Area de cultivo 0,32  cm2.</t>
  </si>
  <si>
    <t>Corning  3595 o equivalente</t>
  </si>
  <si>
    <t>caja x 50</t>
  </si>
  <si>
    <t>781962-B</t>
  </si>
  <si>
    <t>Microplacas de 96 pozos para fijar anticuerpos  ptimizado para la inmovilización de IgG
Alta capacidad de adherencia para moléculas con mezcla hidrófoba e hidrófila regiones
Diseñado para minimizar la contaminación cruzada
Relieve alfanumérico azul para una fácil identificación de los pocillos en placas estándar
No estéril</t>
  </si>
  <si>
    <t>Brand</t>
  </si>
  <si>
    <t>Caja * 100 unidades</t>
  </si>
  <si>
    <t>781720-B</t>
  </si>
  <si>
    <t>Mortero 50 - 65 ml  de porcelana  con pistilo autoclavable para el macerado de tejido vegetal, barnizado Ø=80 mm y 41 mm de alto (aprox.)</t>
  </si>
  <si>
    <t>211111</t>
  </si>
  <si>
    <t>Mortero de cerámica con pistilo. De buena calidad y sin rugocidades</t>
  </si>
  <si>
    <t xml:space="preserve">Cualquier marca. </t>
  </si>
  <si>
    <t>GSC</t>
  </si>
  <si>
    <t>1201G14
(4-13022-12)</t>
  </si>
  <si>
    <t>CH0540B</t>
  </si>
  <si>
    <t>Organizador de Herramientas alto 260 ml x ancho 248 ml x largo 489 ml</t>
  </si>
  <si>
    <t>BAKER</t>
  </si>
  <si>
    <t xml:space="preserve">Overoles enterizos Kleen Guard antifluidos A35  talla XL </t>
  </si>
  <si>
    <t>Tyvek</t>
  </si>
  <si>
    <t>Overoles enterizos Kleen Guard antifluidos A35 contra sustancias quimicas y agentes infecciosos talla L</t>
  </si>
  <si>
    <t>Duppond o equivalente</t>
  </si>
  <si>
    <t>KLEENGUARD</t>
  </si>
  <si>
    <t>10124-772</t>
  </si>
  <si>
    <t>Overoles enterizos Kleen Guard antifluidos A35 contra sustancias quimicas y agentes infecciosos talla M</t>
  </si>
  <si>
    <t>10124-770</t>
  </si>
  <si>
    <t>Ovoscopio</t>
  </si>
  <si>
    <t>Tech o equivalente</t>
  </si>
  <si>
    <t>Palillos plásticos depolipropileno (PP),  termoplástico ligero, resistente a la tensión y compresión y con un bajo coeficiente de absorción de humedad. (tipo moldadientes, no huecos )</t>
  </si>
  <si>
    <t>BOLSA x 1000</t>
  </si>
  <si>
    <t>Paño absorbente Fisher 74050</t>
  </si>
  <si>
    <t>Fisher 74050 Versi dry o equivalente</t>
  </si>
  <si>
    <t>Caja x 4 rollos</t>
  </si>
  <si>
    <t>Paño absorbente para control de derrames. Dimensiones 23"  - 29"  x 24 a 36 ". Capacidad de absorción mínima de 570  a ml</t>
  </si>
  <si>
    <t>Versi dry o equivalente</t>
  </si>
  <si>
    <t xml:space="preserve">Paquete x 200 </t>
  </si>
  <si>
    <t>7310W48 (62080-00)</t>
  </si>
  <si>
    <t xml:space="preserve">Paño para limpieza de superficies delicadas antiestatico </t>
  </si>
  <si>
    <t>Kimwipes o equivalente</t>
  </si>
  <si>
    <t>Caja X 280</t>
  </si>
  <si>
    <t>KIMBERLY CLARK</t>
  </si>
  <si>
    <t>2904F24 (34155)</t>
  </si>
  <si>
    <t>Papel aluminio</t>
  </si>
  <si>
    <t>Rollo x 40 m</t>
  </si>
  <si>
    <t>Papel crepado</t>
  </si>
  <si>
    <t>Rollo x 100 metros</t>
  </si>
  <si>
    <t xml:space="preserve">AHLSTROM </t>
  </si>
  <si>
    <t>S2250100</t>
  </si>
  <si>
    <t xml:space="preserve">Papel de arroz para limpiar lentes </t>
  </si>
  <si>
    <t>Paquete x 12 libros x 50 hojas</t>
  </si>
  <si>
    <t>52845-009</t>
  </si>
  <si>
    <t>Papel de filtro grado 1 whatman Ø125 mm cualitativo  (n°1001 125)</t>
  </si>
  <si>
    <t>Whatman o equivalente</t>
  </si>
  <si>
    <t>Qualitative Filter Papers, Grade 1, Medium , 11um, 125mm, 100pcs/pk
Presentación: 100 Unidades 
Marca. Hawach</t>
  </si>
  <si>
    <t>Papel de filtro grado 5 whatman Ø110 mm cualitativo (n°1005 110)</t>
  </si>
  <si>
    <t>Qualitative Filter Papers, Grade 5, Slow, 2.5um, 110mm, 100pcs/pk
Presentación: 100 Unidades 
Marca. Hawach</t>
  </si>
  <si>
    <t>Papel de filtro grado 5 whatman Ø150 mm cualitativo  (n°1005 150)</t>
  </si>
  <si>
    <t>Qualitative Filter Papers, Grade 5, Slow, 2.5um, 150mm, 100pcs/pk
Presentación: 100 Unidades 
Marca. Hawach</t>
  </si>
  <si>
    <t>Papel de filtro No. 1. Ø = 185 mm</t>
  </si>
  <si>
    <t>Qualitative Filter Papers, Grade 1, Medium , 11um, 180mm, 100pcs/pk
Presentación: 100 Unidades 
Marca. Hawach</t>
  </si>
  <si>
    <t>1001-185</t>
  </si>
  <si>
    <t>Papel de filtro No. 1. Ø = 90 mm</t>
  </si>
  <si>
    <t>Qualitative Filter Papers, Grade 1, Medium , 11um, 90mm, 100pcs/pk
Presentación: 100 Unidades 
Marca. Hawach</t>
  </si>
  <si>
    <t>1001-090</t>
  </si>
  <si>
    <t>Papel de filtro No. 2 Ø = 110 mm</t>
  </si>
  <si>
    <t>Qualitative Filter Papers, Grade 2, Medium, 8um, 110mm, 100pcs/pk
Presentación: 100 Unidades 
Marca. Hawach</t>
  </si>
  <si>
    <t>1002-110</t>
  </si>
  <si>
    <t>Qualitative Filter Papers, Grade 1, Medium , 11um, 150mm, 100pcs/pk
Presentación: 100 Unidades 
Marca. Hawach</t>
  </si>
  <si>
    <t>1001-150</t>
  </si>
  <si>
    <t>Papel de germinación de semillas No. 76 (12" x 18")</t>
  </si>
  <si>
    <t>Anchor o equivalente</t>
  </si>
  <si>
    <t xml:space="preserve">ANCHOR </t>
  </si>
  <si>
    <t>SD1218</t>
  </si>
  <si>
    <t>Papel filtro blanco 24.0 cm</t>
  </si>
  <si>
    <t>Caja X 100</t>
  </si>
  <si>
    <t>Papel Filtro blanco de 110 a 120 mm cualitativo</t>
  </si>
  <si>
    <t xml:space="preserve"> Whatman, Grado 1 o equivalente</t>
  </si>
  <si>
    <t>1001-110</t>
  </si>
  <si>
    <t xml:space="preserve">Papel Kraft </t>
  </si>
  <si>
    <t>Rollox 50 cm de ancho x 200 M largo</t>
  </si>
  <si>
    <t>Papel libre de ácido tamaño carta</t>
  </si>
  <si>
    <t>Resma</t>
  </si>
  <si>
    <t>Papel parafilm de 2” x 250 pies (38 m x 100 mm)</t>
  </si>
  <si>
    <t>Rollo x 38 m</t>
  </si>
  <si>
    <t>701620-B</t>
  </si>
  <si>
    <t xml:space="preserve">Perlas de vidrio de 4 mm </t>
  </si>
  <si>
    <t>POBEL (ESP)</t>
  </si>
  <si>
    <t>PERL0004</t>
  </si>
  <si>
    <t>Lab Scient</t>
  </si>
  <si>
    <t>Perlas metalicas en Acero inoxidable 5mm de diametro</t>
  </si>
  <si>
    <t>bolsa x 1000</t>
  </si>
  <si>
    <t>Peto de PVC para lavado de material Calibre 16. Color negro.</t>
  </si>
  <si>
    <t>PILA 3,6 Voltios litio Ref. LS14250</t>
  </si>
  <si>
    <t>SAFT</t>
  </si>
  <si>
    <t>LS14250</t>
  </si>
  <si>
    <t>Pila Cuadrada alkalina 9 v</t>
  </si>
  <si>
    <t>DURACELL</t>
  </si>
  <si>
    <t>Pila Cuadrada alkalina 9 v recargable</t>
  </si>
  <si>
    <t>Pilas AA recargables</t>
  </si>
  <si>
    <t>ENERGIZER</t>
  </si>
  <si>
    <t>Pilas AAA recargables</t>
  </si>
  <si>
    <t>AV04246</t>
  </si>
  <si>
    <t>Pilas de reloj para timers</t>
  </si>
  <si>
    <t>GPA76 o equivalente</t>
  </si>
  <si>
    <t>GP</t>
  </si>
  <si>
    <t>Pincel No. 000</t>
  </si>
  <si>
    <t>Pincel No. 0000</t>
  </si>
  <si>
    <t>Pincel No. 00000</t>
  </si>
  <si>
    <t>Pincel pelo de marta No. 0</t>
  </si>
  <si>
    <t>Pinza de disección con garra en acero inoxidable de 11,5 cm</t>
  </si>
  <si>
    <t>03-021140</t>
  </si>
  <si>
    <t>Pinza de disección con garra en acero inoxidable de 14,5 cm</t>
  </si>
  <si>
    <t>03301730</t>
  </si>
  <si>
    <t>Pinza de disección sin garra en acero inoxidable de 14,5 cm</t>
  </si>
  <si>
    <t>03301732</t>
  </si>
  <si>
    <t>Pinza de disección sin garra en acero inoxidable de 16-20 cm</t>
  </si>
  <si>
    <t>03301742</t>
  </si>
  <si>
    <t>Pinza de disección sin garra recta de 12,1 cm de longitud</t>
  </si>
  <si>
    <t>02202059</t>
  </si>
  <si>
    <t>Pinza de punta fina</t>
  </si>
  <si>
    <t>AV03335</t>
  </si>
  <si>
    <t>Pinza Entomológica punta aguda de acero. Pinza punta fina de 120 mm.</t>
  </si>
  <si>
    <t xml:space="preserve">Pinza entomológica punta fina curva en acero inoxidable </t>
  </si>
  <si>
    <t>Pinza entomológica punta fina para relojería en acero inoxidable No. 00</t>
  </si>
  <si>
    <t>Pinza Entomológica punta roma de acero de 120 mm.</t>
  </si>
  <si>
    <t xml:space="preserve">Pinza entomológica suave de puntas anchas para montaje de alas en acero inoxidable </t>
  </si>
  <si>
    <t>Pinza entomológica suave en acero inoxidable Featherweigh punta redonda</t>
  </si>
  <si>
    <t>Pinza para crisoles en acero inoxidable longitud  50 cm</t>
  </si>
  <si>
    <t>4033</t>
  </si>
  <si>
    <t>Pinza punta pala para mariposas en acero inoxidable</t>
  </si>
  <si>
    <t>Pinzas de presión tipo Mohr</t>
  </si>
  <si>
    <t>LabScient</t>
  </si>
  <si>
    <t>BDLPM83</t>
  </si>
  <si>
    <t>Pipeta aforada de 2 ml Clase A/AS, impresión en cerámica cumpliendo norma ISO 12 600 donde se indique: volumen nominal, fabricante, símbolo de Unidad, temperatura de referencia, clase y que cumpla con la norma DIN en ISO 648. Con certificado de fábrica.</t>
  </si>
  <si>
    <t>Pyrex , Corning, Kymax, Brand, Duran.o marcas equivalentes</t>
  </si>
  <si>
    <t>63331123</t>
  </si>
  <si>
    <t>273-991677</t>
  </si>
  <si>
    <t>29703-B</t>
  </si>
  <si>
    <t>Pipeta aforada de 20 ml Clase A/AS, impresión en cerámica cumpliendo norma ISO 12 600 donde se indique: volumen nominal, fabricante, símbolo de Unidad, temperatura de referencia, clase y que cumpla con la norma DIN en ISO 648. Con certificado de fábrica.</t>
  </si>
  <si>
    <t>63331126</t>
  </si>
  <si>
    <t>273-991681</t>
  </si>
  <si>
    <t>Pipeta aforada de 25 ml Clase A/AS, impresión en cerámica cumpliendo norma ISO 12 600 donde se indique: volumen nominal, fabricante, símbolo de Unidad, temperatura de referencia, clase y que cumpla con la norma DIN en ISO 648. Con certificado de fábrica.</t>
  </si>
  <si>
    <t>63331127</t>
  </si>
  <si>
    <t>273-991682</t>
  </si>
  <si>
    <t>29715-B</t>
  </si>
  <si>
    <t>Pipeta graduada de vidrio de 10 ml con certificado. Clase A/AS, impresión en cerámica cumpliendo norma ISO 12 600 donde se indique: volumen nominal, fabricante, símbolo de Unidad, temperatura de referencia, clase y que cumpla con la norma DIN en ISO 835. Con certificado de fábrica.</t>
  </si>
  <si>
    <t>63336168</t>
  </si>
  <si>
    <t>273-991720</t>
  </si>
  <si>
    <t>27823-B</t>
  </si>
  <si>
    <t xml:space="preserve">Pipeta graduadas con émbolo de aspiración, de vidrio al sodio y a la cal, vaciado completo de 5 ml </t>
  </si>
  <si>
    <t>273-991719</t>
  </si>
  <si>
    <t>Pipeta Pasteur de borosilicato ISO 7712. Punta fina, tubo de aspiración con estrechamiento para tapón de algodón volumen 2mL,  longitud 22,9 cm</t>
  </si>
  <si>
    <t>VWR 14673-043 o equivalente</t>
  </si>
  <si>
    <t>Caja X 1000</t>
  </si>
  <si>
    <t>Pipeta pasteur desechable plastico Pe-Ld de 1 ml  REFERENCIA 747755</t>
  </si>
  <si>
    <t>cajaX500</t>
  </si>
  <si>
    <t xml:space="preserve">Roll </t>
  </si>
  <si>
    <t>4320-0211</t>
  </si>
  <si>
    <t>Pipeta pasteur desechable plastico Pe-Ld de 3 ml  REFERENCIA 747760</t>
  </si>
  <si>
    <t>88337</t>
  </si>
  <si>
    <t>4320-0511</t>
  </si>
  <si>
    <t xml:space="preserve">Pipeta Pasteur en polietileno desechable estéril 3 ml de capacidad, longitud 15,2 cm </t>
  </si>
  <si>
    <t xml:space="preserve"> VWR 52947-970
o equivalente</t>
  </si>
  <si>
    <t xml:space="preserve">Pipeta Pasteur plastica de 1,0 ml de volumen </t>
  </si>
  <si>
    <t>Pipeta plástica poliestireno volumetrica, graduada para 10 ml, estériles y en empaque individual</t>
  </si>
  <si>
    <t>Pipeta plástica poliestireno graduada para 25 ml, estériles y en empaque individual</t>
  </si>
  <si>
    <t>Pipeta plástica poliestireno graduada para 5 ml, estériles y en empaque individual</t>
  </si>
  <si>
    <t>Pipetas pasteur en polietileno desechables estériles  de 7 ml de capacidad, graduadas hasta 3 ml de 5,3 cm de largo.</t>
  </si>
  <si>
    <t>Pipeteador de caucho Bulb-Type Safety Pipet Fillers</t>
  </si>
  <si>
    <t>Fisherbrand 13-681-51 o equivalente</t>
  </si>
  <si>
    <t>DYN</t>
  </si>
  <si>
    <t>D&amp;N</t>
  </si>
  <si>
    <t>Pipeteador tipo cremallera de 0-10 ml</t>
  </si>
  <si>
    <t>121</t>
  </si>
  <si>
    <t xml:space="preserve">Deltalab </t>
  </si>
  <si>
    <t>902,002-03 VERDE</t>
  </si>
  <si>
    <t>17013008 - AutoRep S Manual Repeater Pipettes, 2 µL -50 mL; (1 Unds)</t>
  </si>
  <si>
    <t xml:space="preserve">Pistilo de porcelana para mortero </t>
  </si>
  <si>
    <t>Fisher Scientific 12-949-4 o equivalente</t>
  </si>
  <si>
    <t>Placa de porcelana (Placa para tinción por nueve o seis cavidades de largo 8-9 cm ancho 5- 6 cm alto 1-2  cm). No requiere certificado de distribución</t>
  </si>
  <si>
    <t>Caja por 24 und</t>
  </si>
  <si>
    <t>C-161</t>
  </si>
  <si>
    <t xml:space="preserve">Plato de poliestireno para pesar reactivos antiestático, desechable, resistente a ácidos, alcoholes y bases, fondo plano, tamaño Longitud 41-45 mm x Anchura 41-45 mm x altura 7-8 mm . Fondo ID 1.4 in. </t>
  </si>
  <si>
    <t>Brand o Equivalente</t>
  </si>
  <si>
    <t xml:space="preserve">Paquete x 500 </t>
  </si>
  <si>
    <t>Portacajas para cajas petri. En acero inoxidable, con canastilla teambién en acero inoxidable, diámetro para cajas petri de 100 mm y capacidad de mínimo 14 cajas</t>
  </si>
  <si>
    <t>Probeta  de vidrio de 25 ml base hexagonal con certificado. Borosilicato 3.3 DIN en ISO 4788, impresión en cerámica, que cumpla con las normas DIN12 600 Opcional: Control y garantía de calidad NCA menor o igual a 0,4 y certificación del fabricante que resiste temperaturas hasta de 250°C sin perder la volumetria.</t>
  </si>
  <si>
    <t>Pyrex , Corning, Kymax, Brand, Duran. o equivalente</t>
  </si>
  <si>
    <t>61321033</t>
  </si>
  <si>
    <t>273-201751</t>
  </si>
  <si>
    <t>Probeta  de vidrio de 500  ml clase B base hexagonal con certificado. Borosilicato 3.3 DIN en ISO 4788,.Control y garantía de calidad NCA (o equivalente)  menor o igual a 0,4 y certificación del fabricante que resiste temperaturas hasta de 250°C sin perder la volumetria.</t>
  </si>
  <si>
    <t>61321237</t>
  </si>
  <si>
    <t>273-001755</t>
  </si>
  <si>
    <t>32154-B</t>
  </si>
  <si>
    <t>Probeta  de vidrio graduada de 100 ml base hexagonal con certificado. Borosilicato 3.3 DIN en ISO 4788, impresión en cerámica, con boca esmerilada y tapón</t>
  </si>
  <si>
    <t>61321035</t>
  </si>
  <si>
    <t>073-201768</t>
  </si>
  <si>
    <t>32438-B</t>
  </si>
  <si>
    <t>Probeta  de vidrio graduada de 250 ml base hexagonal con certificado. Borosilicato 3.3 DIN en ISO 4788, impresión en cerámica, con boca esmerilada y tapón</t>
  </si>
  <si>
    <t>61321036</t>
  </si>
  <si>
    <t>073-201769</t>
  </si>
  <si>
    <t>32448-B</t>
  </si>
  <si>
    <t>Probeta de 100ml  clase B</t>
  </si>
  <si>
    <t>Pyrex , Corning, Kymax, Brand, Duran, Schott o equvalente</t>
  </si>
  <si>
    <t>61321235</t>
  </si>
  <si>
    <t>32138-B</t>
  </si>
  <si>
    <t>Probeta de 25 ml clase B</t>
  </si>
  <si>
    <t>61321233</t>
  </si>
  <si>
    <t>32120-B</t>
  </si>
  <si>
    <t>Probeta de 250 ml clase B</t>
  </si>
  <si>
    <t>61321236</t>
  </si>
  <si>
    <t>32148-B</t>
  </si>
  <si>
    <t>Probeta de 50 ml clase B</t>
  </si>
  <si>
    <t>61321234</t>
  </si>
  <si>
    <t>32128-B</t>
  </si>
  <si>
    <t>Probeta de vidrio con base hexagonal de vidrio clase A de 10 ml con pico. Borosilicato 3.3  DIN en ISO 4788, Borosilicato 3.3 DIN en ISO 4788, impresión en cerámica, que cumpla con las normas DIN12 600 Control y garantía de calidad NCA ( o equivalente) menor o igual a 0,4 (opcional) y certificación del fabricante que resiste temperaturas hasta de 250°C sin perder la volumetria.</t>
  </si>
  <si>
    <t>61321032</t>
  </si>
  <si>
    <t>273-201750</t>
  </si>
  <si>
    <t>32108-B</t>
  </si>
  <si>
    <t>Probeta de vidrio con base hexagonal de vidrio clase A de 100 ml intervalo de graduación de 1 ml. Borosilicato 3.3 DIN en ISO 4788, impresión en cerámica, que cumpla con las normas DIN12 600 Control y garantía de calidad NCA ( o equivalente menor o igual a 0,4 y certificación del fabricante que resiste temperaturas hasta de 250°C sin perder la volumetria.</t>
  </si>
  <si>
    <t>273-201753</t>
  </si>
  <si>
    <t>Probeta de vidrio con base hexagonal de vidrio clase A de 2000 ml con pico. Borosilicato 3.3  DIN en ISO 4788, Borosilicato 3.3 DIN en ISO 4788, impresión en cerámica, que cumpla con las normas DIN12 600 Control y garantía de calidad NCA ( o equivalente) menor o igual a 0,4 (opcional) y certificación del fabricante que resiste temperaturas hasta de 250°C sin perder la volumetria.</t>
  </si>
  <si>
    <t>61321039</t>
  </si>
  <si>
    <t>32764-B</t>
  </si>
  <si>
    <t>Probeta de vidrio con base hexagonal de vidrio clase A de 5 ml con pico. Borosilicato 3.3  DIN en ISO 4788,</t>
  </si>
  <si>
    <t>32705-B</t>
  </si>
  <si>
    <t>Probeta de vidrio con base hexagonal de Vidrio clase A. de 1000 ml. Borosilicato 3.3 DIN en ISO 4788, impresión en cerámica, que cumpla con las normas DIN12 600 Control y garantía de calidad NCA ( o equivalente)  menor o igual a 0,4 y certificación del fabricante que resiste temperaturas hasta de 250°C sin perder la volumetria.</t>
  </si>
  <si>
    <t>61321038</t>
  </si>
  <si>
    <t>273-001756</t>
  </si>
  <si>
    <t>32162-B</t>
  </si>
  <si>
    <t>Probeta de vidrio con base hexagonal de Vidrio clase A. de 250 ml. Borosilicato 3.3 DIN en ISO 4788, impresión en cerámica, que cumpla con las normas DIN12 600 Control y garantía de calidad NCA ( o equivalente) menor o igual a 0,4  y certificación del fabricante que resiste temperaturas hasta de 250°C sin perder la volumetria.</t>
  </si>
  <si>
    <t>273-201754</t>
  </si>
  <si>
    <t>Probeta de vidrio con base hexagonal de Vidrio clase A. de 500 ml. Borosilicato 3.3 DIN en ISO 4788, impresión en cerámica, que cumpla con las normas DIN12 600 Control y garantía de calidad NCA ( o equivalente)  menor o igual a 0,4   y certificación del fabricante que resiste temperaturas hasta de 250°C sin perder la volumetria.</t>
  </si>
  <si>
    <t>61321037</t>
  </si>
  <si>
    <t>Probeta de vidrio graduada por 50 ml con tapa con certificado de graduación. Borosilicato 3.3 DIN en ISO 4788, impresión en cerámica, que cumpla con las normas DIN12 600 certificación del fabricante que resiste temperaturas hasta de 250°C sin perder la volumetria. Opcional Control y garantía de calidad NCA ( o equivalente)  menor o igual a 0,4</t>
  </si>
  <si>
    <t>073-201767</t>
  </si>
  <si>
    <t>32428-B</t>
  </si>
  <si>
    <t>Probeta Plástica graduada 10 mL</t>
  </si>
  <si>
    <t>Marca: Nalgene / Brixco o equivalente</t>
  </si>
  <si>
    <t>1075</t>
  </si>
  <si>
    <t>CP0010P</t>
  </si>
  <si>
    <t>35008-B</t>
  </si>
  <si>
    <t>Probeta Plástica graduada 1000 mL</t>
  </si>
  <si>
    <t>1082</t>
  </si>
  <si>
    <t>CP1000P</t>
  </si>
  <si>
    <t>35038-B</t>
  </si>
  <si>
    <t>Probeta Plástica graduada 25 mL</t>
  </si>
  <si>
    <t>1077</t>
  </si>
  <si>
    <t>CP0025P</t>
  </si>
  <si>
    <t>35020-B</t>
  </si>
  <si>
    <t>Probeta Plástica graduada 50 mL</t>
  </si>
  <si>
    <t>Marca: Nalgene / Brixco  o equivalente</t>
  </si>
  <si>
    <t>1078</t>
  </si>
  <si>
    <t>CP0050P</t>
  </si>
  <si>
    <t>34828-B</t>
  </si>
  <si>
    <t>Protector Auditivo Tipo Copa Samurai Steelpro NRR 23 dB </t>
  </si>
  <si>
    <t>Steelpro NRR 23 dB o equivalente</t>
  </si>
  <si>
    <t>Punta 0,1-10 µl con filtro larga libre de RNAsa, DNAsa y pirógenos. Compatible con pipetas Eppendorf, Jencons y Boeco</t>
  </si>
  <si>
    <t>Eppendorf 47745-086 o equivalente</t>
  </si>
  <si>
    <t>Caja x 10 racks x 96</t>
  </si>
  <si>
    <t>23-0011S</t>
  </si>
  <si>
    <t>5130030C</t>
  </si>
  <si>
    <t>30389172 - Rainin Universal Tips, sterilized, filter, 10 µL, 10 racks; (960 Unds)</t>
  </si>
  <si>
    <t>Punta 0,1-10 µl resistentes a autoclavado ( con o sin filtro para micropipetas marca soxorex  )</t>
  </si>
  <si>
    <t>Socorex R3090010R o equivalente .</t>
  </si>
  <si>
    <t>3090.0010R</t>
  </si>
  <si>
    <t>30389163 - Rainin Universal Tips, 10 µL, 10 racks; (960 Unds)</t>
  </si>
  <si>
    <t>Punta 0,5-20 µl</t>
  </si>
  <si>
    <t>Brand 702345 o equivalente</t>
  </si>
  <si>
    <t>30389189 - Rainin Universal Tips, sterilized, filter, 30 µL, 10 racks; (960 Unds)</t>
  </si>
  <si>
    <t>732204-B</t>
  </si>
  <si>
    <t>5030062C</t>
  </si>
  <si>
    <t xml:space="preserve">Punta 0,5-5 ml </t>
  </si>
  <si>
    <t>Brand 702595 o equivalente</t>
  </si>
  <si>
    <t>Bolsa x 200</t>
  </si>
  <si>
    <t>312,05B</t>
  </si>
  <si>
    <t>702595-B</t>
  </si>
  <si>
    <t xml:space="preserve">Punta 1,25 ml combitip para pipeta repetidora </t>
  </si>
  <si>
    <t>Thermo Scientific 9404180 o equivalente</t>
  </si>
  <si>
    <t>705736-B</t>
  </si>
  <si>
    <t>Punta 10 µl blanca</t>
  </si>
  <si>
    <t>Extragene o equivalente</t>
  </si>
  <si>
    <t>Bolsa X 1000</t>
  </si>
  <si>
    <t xml:space="preserve">Biopointe </t>
  </si>
  <si>
    <t>310-2000</t>
  </si>
  <si>
    <t>5130010C</t>
  </si>
  <si>
    <t>17001124 - Rainin Universal Tips, 10 µL, Bulk; (1000 Unds)</t>
  </si>
  <si>
    <t xml:space="preserve">Punta 10 ml </t>
  </si>
  <si>
    <t>Fisher Scientific 21-377-146, Labsystems 9402150 o equivalente</t>
  </si>
  <si>
    <t xml:space="preserve">Caja x 40 </t>
  </si>
  <si>
    <t>732704-B</t>
  </si>
  <si>
    <t>Punta 100 µl sin filtro libre de RNAsa, DNAsa y pirógenos. Compatible con pipetas Eppendorf, Jencons y Boeco</t>
  </si>
  <si>
    <t>Axygen o equivalente</t>
  </si>
  <si>
    <t>732610-B</t>
  </si>
  <si>
    <t>Punta 50  ó 100  - 1000 µl con filtro libres de RNAsa, DNAsa y pirógenos. Compatibles con micropipetas Eppendorf, Jencons y Boeco, NICHIRYO</t>
  </si>
  <si>
    <t>TipOne o equivalente</t>
  </si>
  <si>
    <t>23-1001S</t>
  </si>
  <si>
    <t>TF-1000-R-S</t>
  </si>
  <si>
    <t>5130150C</t>
  </si>
  <si>
    <t>30389165 - Rainin Universal Tips, sterilized, filter, 1.000 µL, 8 racks; (768 Unds)</t>
  </si>
  <si>
    <t>732252-B</t>
  </si>
  <si>
    <t xml:space="preserve">Punta 100-1000 µl </t>
  </si>
  <si>
    <t>Labsystems 9401100 o Finntip 1000 o equivalente</t>
  </si>
  <si>
    <t>Caja x 10 racks x 60</t>
  </si>
  <si>
    <t>30389168 - Rainin Universal Tips, sterilized, 1000 µL, 8 racks; (768 Unds)</t>
  </si>
  <si>
    <t>Punta 10-100 µl sin filtro</t>
  </si>
  <si>
    <t>TF-300</t>
  </si>
  <si>
    <t xml:space="preserve">Punta 1-10 µl con filtro de libres de RNasas y Dnasas </t>
  </si>
  <si>
    <t xml:space="preserve">23-0011S </t>
  </si>
  <si>
    <t>732604-B</t>
  </si>
  <si>
    <t xml:space="preserve">Punta 1-10 ml para transferpipeta H de longitud 156,5 mm, Ø aproximado 15mm. </t>
  </si>
  <si>
    <t>Brand 702603 o equivalente</t>
  </si>
  <si>
    <t>702603-B</t>
  </si>
  <si>
    <t xml:space="preserve">Punta 1-100 µl con filtro de libres de RNasas y Dnasas </t>
  </si>
  <si>
    <t xml:space="preserve">347-4050 </t>
  </si>
  <si>
    <t>30389170 - Rainin Universal Tips, sterilized, filter, 100 µL, 10 racks; (960 Unds)</t>
  </si>
  <si>
    <t>Punta 1-20 µl con filtro de  libre de Dnasa y Rnasa</t>
  </si>
  <si>
    <t xml:space="preserve">TipOne o equivalente </t>
  </si>
  <si>
    <t>341-4050</t>
  </si>
  <si>
    <t>5130062C</t>
  </si>
  <si>
    <t>732606-B</t>
  </si>
  <si>
    <t>Punta 20 µl Finntip 20</t>
  </si>
  <si>
    <t>Labsystems 9400610 o equivalente</t>
  </si>
  <si>
    <t xml:space="preserve">Caja x 10 racks x 384 </t>
  </si>
  <si>
    <t>732104-B</t>
  </si>
  <si>
    <t xml:space="preserve">Punta 20 µl Finntip con filtro </t>
  </si>
  <si>
    <t>Labsystems 94052020 o equivalente</t>
  </si>
  <si>
    <t>Punta 200 µl, transparente  compatibles con micropipetas de las marcas (Socorex , axygen, labsystem, capp bravo) resistentes a autoclavado</t>
  </si>
  <si>
    <t xml:space="preserve">Socorex, Axygen, Cap Bravo o equivalentes </t>
  </si>
  <si>
    <t>3290.0200B</t>
  </si>
  <si>
    <t>4130075C</t>
  </si>
  <si>
    <t>17001116 - Rainin Universal Tips, 250 µL, Bulk; (1000 Unds)</t>
  </si>
  <si>
    <t>732008-B</t>
  </si>
  <si>
    <t>Punta 200 µl con filtro libre de Dnasa y Rnasa</t>
  </si>
  <si>
    <t>5130090C</t>
  </si>
  <si>
    <t>30389186 - Rainin Universal Tips, sterilized, filter, 200 µL, 10 racks; (960 Unds)</t>
  </si>
  <si>
    <t>732612-B</t>
  </si>
  <si>
    <t>Punta 2-100 µl blanca con filtro</t>
  </si>
  <si>
    <t>Eppendorf 0030 077.547 o equivalente</t>
  </si>
  <si>
    <t>Punta 2-20 µl blanca con filtro</t>
  </si>
  <si>
    <t>Eppendorf 0030 077.539 o equivalente</t>
  </si>
  <si>
    <t>Punta 250 µl Universal</t>
  </si>
  <si>
    <t>Thermo Fisher Scientific Finnitip 9400-260 o equivalente</t>
  </si>
  <si>
    <t xml:space="preserve">Punta 250 µl universal, autoclavables finntip </t>
  </si>
  <si>
    <t>Finnitip 9400-230, Fisher 21-377-45 o equivalente</t>
  </si>
  <si>
    <t xml:space="preserve">Punta 300 µl color transparente </t>
  </si>
  <si>
    <t>Labsystems 9401260 o Finntip 300 o  equivalente</t>
  </si>
  <si>
    <t xml:space="preserve">350-2000 </t>
  </si>
  <si>
    <t>30389058 - Rainin Universal Tips, 300 µL, 8 racks; (768 Unds)</t>
  </si>
  <si>
    <t>732010-B</t>
  </si>
  <si>
    <t xml:space="preserve">Punta 300 µl con filtro </t>
  </si>
  <si>
    <t>Labsystems 94052350 o equivalente</t>
  </si>
  <si>
    <t>30389136 - Rainin Universal Tips, filter, presterilized, 300 µL, 10 racks; (768 Unds)</t>
  </si>
  <si>
    <t>732110-B</t>
  </si>
  <si>
    <t>Punta 50-1000 µl azul sin esterilizar libre de Dnasas y Rnasas</t>
  </si>
  <si>
    <t>Brand 7320 12  o equivalente</t>
  </si>
  <si>
    <t>17001121 - Rainin Universal Tips, 1.000 µL, Bulk; (1000 Unds)</t>
  </si>
  <si>
    <t>732012-B</t>
  </si>
  <si>
    <t xml:space="preserve">Punta Brand 10 µl o 20ul sin filtro </t>
  </si>
  <si>
    <t>Caja x  5 racks x 96</t>
  </si>
  <si>
    <t>310-4000</t>
  </si>
  <si>
    <t>732202-B</t>
  </si>
  <si>
    <t>Punta Brand 100 µl sin filtro</t>
  </si>
  <si>
    <t>732710-B</t>
  </si>
  <si>
    <t>Punta Brand 1000 µl sin filtro</t>
  </si>
  <si>
    <t>732212-B</t>
  </si>
  <si>
    <t>Punta combitip 12,5 mL para finnpipette thermo</t>
  </si>
  <si>
    <t>Thermo Scientific  9404210 o equivalente</t>
  </si>
  <si>
    <t>Paquete x 50</t>
  </si>
  <si>
    <t>705744-B</t>
  </si>
  <si>
    <t>Punta de micropipeta de 10-200µl</t>
  </si>
  <si>
    <t>Bolsa x 1000 puntas</t>
  </si>
  <si>
    <t xml:space="preserve">ROLL </t>
  </si>
  <si>
    <t xml:space="preserve">Punta PD, capacidad 25 ml, sin esterilizar, de desplazamiento directo para dispensador manual Brand </t>
  </si>
  <si>
    <t>Brand 7023 80 o equivalente</t>
  </si>
  <si>
    <t>705716-B</t>
  </si>
  <si>
    <t xml:space="preserve">Punta PD, Capacidad 50 ml, sin esterilizar, desplazamiento directo, para dispensador manual Brand </t>
  </si>
  <si>
    <t>Brand 7023 82 o equivalente</t>
  </si>
  <si>
    <t>705718-B</t>
  </si>
  <si>
    <t>Puntas con filtro 0,5-10µL</t>
  </si>
  <si>
    <t>Socorex, Axygen, Cap Bravo o equivalentes</t>
  </si>
  <si>
    <t>Caja x 10 Rack x 96 und</t>
  </si>
  <si>
    <t>3090.0010FRS</t>
  </si>
  <si>
    <t>Puntas de 0.5 – 10 µl en polipropileno transparente, estériles, certificado de  libres de Rnasas, Dnasa y Pirogenos, compatibles con micropipetas de marcas Brand y Capp, Axygen, Boeco</t>
  </si>
  <si>
    <t>Axigen o equivalente</t>
  </si>
  <si>
    <t>732724-B</t>
  </si>
  <si>
    <t>Puntas de 2 – 200 µl en polipropileno, estériles, certificado de  libres de Rnasas, Dnasa y Pirogenos,  compatibles con micropipetas de marcas Capp bravo, Brand</t>
  </si>
  <si>
    <t>Brand, Cap Bravo o equivalentes o equivalente</t>
  </si>
  <si>
    <t>732228-B</t>
  </si>
  <si>
    <t>Puntas de 20 – 100 µl en polipropileno, estériles, certificado de  libres de Rnasas, Dnasa y Pirogenos,  compatibles con micropipetas de marcas Capp, Microlit, Socorex.</t>
  </si>
  <si>
    <t>Brand, Cap Bravo, Axygen, Socorex, Microlit o equivalentes</t>
  </si>
  <si>
    <t>732730-B</t>
  </si>
  <si>
    <t>Puntas de 200 µl sin filtro</t>
  </si>
  <si>
    <t>Axygen, Eppendorf, Neogen, Finnpipette, Brand o equivalente</t>
  </si>
  <si>
    <t xml:space="preserve">Puntas estériles con filtro para micropipeta (100 - 1000ul). Caja de 10 racks x 96 puntas (960). Scientific </t>
  </si>
  <si>
    <t xml:space="preserve">Caja de 10 racks x 96 puntas (960). Scientific </t>
  </si>
  <si>
    <t>732734-B</t>
  </si>
  <si>
    <t>Paquete X 1000</t>
  </si>
  <si>
    <t xml:space="preserve">Rack para puntas de pipeta.Especificaciones : Rack vacío para puntas de pipeta  de 1 a 5 mL; </t>
  </si>
  <si>
    <t>Gilson  Referencia : F161360 o equivalente</t>
  </si>
  <si>
    <t>34396100C</t>
  </si>
  <si>
    <t>Racks para tubos de PCR. Material: polipropileno ; Especificación: para 96 pozos, con tapa, dimensiones (12,5 * 8,6 * 3,3)</t>
  </si>
  <si>
    <t>Paquetes de 5 Unidades</t>
  </si>
  <si>
    <t>781362-B</t>
  </si>
  <si>
    <t>Rastrillo  bacteriologico autoclavable  vidrio, para sembrar bacterias en medio de cultivo.</t>
  </si>
  <si>
    <t>Recipiente básico rectangular 3L de 19X30X10 cm.</t>
  </si>
  <si>
    <t>Recolector de elementos punzocortantes. Colector desechable para uso con el sistema "guardián" Capacidad: 1.0 litros. Resistente al impacto. Fabricado en polipropileno original</t>
  </si>
  <si>
    <t>01004992-04</t>
  </si>
  <si>
    <t>Recolector guardián de corto punzantes x 0.5 L</t>
  </si>
  <si>
    <t>01004992-01</t>
  </si>
  <si>
    <t>Recolector guardián de punzocortantes 1.4 lt</t>
  </si>
  <si>
    <t xml:space="preserve"> DICPOPLAST</t>
  </si>
  <si>
    <t>01004992-06</t>
  </si>
  <si>
    <t>Recolector guardián de punzocortantes 3 lt</t>
  </si>
  <si>
    <t>Reservorio para reactivos capacidad de 50ml autoclavable</t>
  </si>
  <si>
    <t xml:space="preserve">Paquete x 10 </t>
  </si>
  <si>
    <t xml:space="preserve">VISTALB </t>
  </si>
  <si>
    <t>1226Y93 (3054-1007)</t>
  </si>
  <si>
    <t>Reservorio para reactivos capacidad de 50ml desechable</t>
  </si>
  <si>
    <t>330,01L</t>
  </si>
  <si>
    <t>89094-674</t>
  </si>
  <si>
    <t>Respirador (KIT) media cara con cartucho contra vapores organicos y gases ácidos plástico circular, colocación de cartuchos y filtros tipo bayoneta sin guías, certificado por NIOSH 42CFR84. El respirador con arnes de cabeza ajustable de 3 puntos, cubierta de válvula de exhalación de fácil apertua. 100%  libre de PVC y metales.</t>
  </si>
  <si>
    <t>Moldex 7002+7300 (2)+8910 (2) +7020 (2); 3M o equivalente</t>
  </si>
  <si>
    <t>Pieza facial + un par de cartuchos + un par de prefiltros + un par de retenedores</t>
  </si>
  <si>
    <t xml:space="preserve">	10065-316 + 10065-416 + 56219-167 + 10065-322</t>
  </si>
  <si>
    <t>Respirador de libre mantenimiento N95, preformado para mejor ajuste, diseño de ondas que permite expandirse y contraerse a través de pliegues que se encuentran en toda la estructura del respirador, con carbon activado contra vapores orgánicos. Malla retardante al calor y la flama, debe estar certificado por NIOSH 42CFR84. Bandas textiles con ajuste de broche sobre la nuca para mayor comodidad. 100% libre de PVC y metales.</t>
  </si>
  <si>
    <t>Moldex 4800 N95 o equivalente</t>
  </si>
  <si>
    <t>10040-388</t>
  </si>
  <si>
    <t>Rollo de papel para esterilizacion sin fuelle indicadores para vapor, gas y formaldehido. 10 cm * 200m</t>
  </si>
  <si>
    <t>rollo x 200m</t>
  </si>
  <si>
    <t>Rótulo adhesivo para control de inventarios 4 cm x 6 cm</t>
  </si>
  <si>
    <t>Sílica gel indicador</t>
  </si>
  <si>
    <t>GE00421000</t>
  </si>
  <si>
    <t xml:space="preserve">Silicona autobrillante </t>
  </si>
  <si>
    <t>Frasco x 3800mL</t>
  </si>
  <si>
    <t>Sistema filtración por membrana con erlenmeyer ( Embudo, base y tapón tubulado de vidrio de borosilicato; abrazadera de resorte de aluminio anodizado; soporte de filtro de vidrio fritado.
Embudo, 300 ml +/- 50 ml
Diámetro del filtro, 47 mm
Área de filtración, 9,6 cm2
Abrazadera, 47mm
Erlenmeyer, 1 Lt.
Conexión de salida 6 mm (1/4 pulg.) D.E. brazo lateral con tapa tubulada para aspirar.</t>
  </si>
  <si>
    <t>5191-6776</t>
  </si>
  <si>
    <t>073-001119</t>
  </si>
  <si>
    <t>Soporte de mesa para 6 micropipetas  transferpette S o digital tipo carrusel</t>
  </si>
  <si>
    <t>Brand 704805 o equivalente</t>
  </si>
  <si>
    <t>Socorex</t>
  </si>
  <si>
    <t>17001255 - Universal Carousel Stand for Seven Manual Pipettes; (1 Unds)</t>
  </si>
  <si>
    <t>704807-B</t>
  </si>
  <si>
    <t>Soporte de mesa para pipetas multicanal de 12 canales</t>
  </si>
  <si>
    <t>17004992 - Rainin, Shelf Hang-Ups, for three pipettes; (1 Unds)</t>
  </si>
  <si>
    <t>Soporte lineal para 4 micropipetas</t>
  </si>
  <si>
    <t>E&amp;Q</t>
  </si>
  <si>
    <t>SLIM</t>
  </si>
  <si>
    <t>C-04</t>
  </si>
  <si>
    <t>Soporte universal con varilla 50 cm</t>
  </si>
  <si>
    <t>SU</t>
  </si>
  <si>
    <t>Tamices metálicos con luz de malla de 4, 2, 1, y 0,5 mm; más tapa y base</t>
  </si>
  <si>
    <t>Pinzuar o equivalente</t>
  </si>
  <si>
    <t xml:space="preserve">Tamiz malla No. 60 con marco de acero inoxidable de 8 pulgadas de diámetro por 2 Pulgadas de altura con malla de acero inoxidable que cumple con la norma ASTM E11. </t>
  </si>
  <si>
    <t>TAM-AC8-60</t>
  </si>
  <si>
    <t>60.TMZ8.INOX</t>
  </si>
  <si>
    <t>Tamiz metálico (angeo de cobre) con poros de diámetro 100</t>
  </si>
  <si>
    <t>Tapa para vial con septa PFTE preperforada 9mm JGF ROY CAP T/S SLIT</t>
  </si>
  <si>
    <t xml:space="preserve">Bolsa  x 100 tapas </t>
  </si>
  <si>
    <t>5190-9067</t>
  </si>
  <si>
    <t>BASRBBLPRE</t>
  </si>
  <si>
    <t>Tapabocas quirúrgico con ajuste en resorte y pinza de tabique nasal, elaborados en 100% polipropileno y 3 capas, Capa externa: 27 g/m2 (±2%), Capa interna: 18 g/m2 (±2%), Elemento filtrante: 20 g/m2 (±2%). Caja por 50 Unidades.</t>
  </si>
  <si>
    <t>RYMCO</t>
  </si>
  <si>
    <t>Termohigrómetro  para máximas y mínimas con rango de temperatura entre 0 y 50 grados centígrados y humedad relativa menor a 95% con sonda
Con certificado de calibración emitido por un laboratorio certificado por el ONAC.</t>
  </si>
  <si>
    <t>Minipa MT 241 o equivalente</t>
  </si>
  <si>
    <t>21800-066</t>
  </si>
  <si>
    <t xml:space="preserve">Termohigrómetro con datalogger digital de lectura simultánea. Rangos: 0 a 50°C y 20 a 90% de humedad relativa, resolución de 0.1°C y de 1%.Trazable a  NIST. Calibrado y Con certificado de calibración emitido por un laboratorio certificado por el ONAC.
</t>
  </si>
  <si>
    <t>Fisher 06-662-4 o marca equivalente.</t>
  </si>
  <si>
    <t>62344-734</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</si>
  <si>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</si>
  <si>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RHT20</t>
  </si>
  <si>
    <t>Termohigrometro Digital, con Sensor Rango Temperatura: -40°C to +70°C.Resolución: 0,1°C;  Rango Humedad Relativa: 0-1 to 99-100%HR. Resolución: 0,1%HR. Con certificado de calibración de ente acreditado o laboratorio nacional reconocido. 
Con certificado de calibración emitido por un laboratorio certificado por el ONAC.</t>
  </si>
  <si>
    <t>Termómetro con datalogger digital. Rango: 0-50°C, resolución de 0.1°C.
Con certificado de calibración emitido por un laboratorio certificado por el ONAC.</t>
  </si>
  <si>
    <t>Termómetro Datalogger con display USB. TI-5433.  4 Dígitos indicador bateria, memoria, alarma, horario. Rango de medición -20°C ~ 85°C, Resolución: 0.1 °C. Exactitud ± 1.0°C (0°C ~ 50 °C, ± 2.0°C (-20°C ~ 85 °C). Alta Capacidad de lecturas: 64,000. Muestreo: Ajustable, desde 2 segundos, 24 horas. Vida de batería 1 año, reemplazable por el usuario. Alarma Min / Max LED visible programable. Display con lectura en tiempo real. Dimensiones: 89 mm X 19 mm X 29 mm.  Software GRATIS para Windows XP,Vista y Windows 7
Con certificado de calibracion emitido por el ONAC</t>
  </si>
  <si>
    <t xml:space="preserve">EXTECH </t>
  </si>
  <si>
    <t>RHT35</t>
  </si>
  <si>
    <t>Termometro de mercurio 0 a 100°C</t>
  </si>
  <si>
    <t>341110</t>
  </si>
  <si>
    <t>Termómetro digital datalogger
Resolución: 0,01 °C;
Rango de medición: -50 a 160 °C
Exactitud: 0,05 °C
Sensor tipo PT100 de 4 hilos
Diámetro: 5 mm
Longitud de la sonda: 100  mm
Datalogger 
Con 3 juegos de baterías, adaptador y estuche                                                                             
Con certificado de calibración emitido por un laboratorio acreditado. 
Calibración en 8 puntos de temperatura (-25 °C, 0 °C, 8 °C, 20 °C, 37 °C, 42 °C, 60°C,  80°C)</t>
  </si>
  <si>
    <t xml:space="preserve">SPER SCIENTIFIC </t>
  </si>
  <si>
    <t>97035-806 +  97035-808</t>
  </si>
  <si>
    <t>Termometro Digital para toma de temperatura en grandes animales</t>
  </si>
  <si>
    <t>AV03359</t>
  </si>
  <si>
    <t>Termómetro in/out con alarma calibrado.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
Con certificado de calibracion emitido por un laboratorio acreditado por el ONAC.</t>
  </si>
  <si>
    <t>Termometro Trazable con probe para ultracongelador
Con certificado de calibración emitido por un laboratorio acreditado por el ONAC.</t>
  </si>
  <si>
    <t>Fisher Scientific 15-081-108 o equivalente</t>
  </si>
  <si>
    <t>89369-150</t>
  </si>
  <si>
    <t xml:space="preserve">Termómetros digital con rango de -50 a 70°C con una exactitud de +-1° C con dos variables. Con dos sondas. 
Con certificado de calibración emitido por un laboratorio acreditado por el ONAC. </t>
  </si>
  <si>
    <t>Fridge-Freezer o equivalente</t>
  </si>
  <si>
    <t>89094-748</t>
  </si>
  <si>
    <t>Tijera de 13 - 15  cm en acero inoxidable rectas</t>
  </si>
  <si>
    <t>03303102</t>
  </si>
  <si>
    <t>Tijera de 13 - 15 cm en acero inoxidable punta curva</t>
  </si>
  <si>
    <t>03302940</t>
  </si>
  <si>
    <t xml:space="preserve">Tijera de disección micro tijera tipo pinza 7.5cm </t>
  </si>
  <si>
    <t>Tijera mayo recta 15.2 cm</t>
  </si>
  <si>
    <t>02203390-02</t>
  </si>
  <si>
    <t>Tijera para tejidos curva Metzembaum  de 15 cm </t>
  </si>
  <si>
    <t>02203422</t>
  </si>
  <si>
    <t>Tijera trincha aves en acero inoxidable de 9.5 "</t>
  </si>
  <si>
    <t>Timer digital 4 canales</t>
  </si>
  <si>
    <t>89203-042</t>
  </si>
  <si>
    <t xml:space="preserve">Toalla absorbente multiusos reutilizable, presentación en rollo por mínimo 64 toallas  </t>
  </si>
  <si>
    <t>Scott, familia o equivalente</t>
  </si>
  <si>
    <t>SCOTT</t>
  </si>
  <si>
    <t>30174614                            (20076)</t>
  </si>
  <si>
    <t>Toalla de manos doblada en Z Natural Hoja Triple</t>
  </si>
  <si>
    <t>Familia 73547 o equivalente</t>
  </si>
  <si>
    <t>Caja x 24 paquetes</t>
  </si>
  <si>
    <t>FAMILIA</t>
  </si>
  <si>
    <t>54136 (73547)</t>
  </si>
  <si>
    <t>Tubo 2.0 ml fondo cónico</t>
  </si>
  <si>
    <t>Bolsa X 500</t>
  </si>
  <si>
    <t>80-0020</t>
  </si>
  <si>
    <t>20170-170</t>
  </si>
  <si>
    <t>Tubo de centrífuga de 15 ml en polipropileno, estéril, tapa rosca, fondo cónico, velocidad de centrífugación 12000 RPM, autoclavable (sin la tapa), rango de temperatura de -40 a +80º C, con graduación impresa.</t>
  </si>
  <si>
    <t>Falcon 352095 Fisher 11889640
MP BIOMEDICALS  
Corning
o equivalente</t>
  </si>
  <si>
    <t xml:space="preserve">  10-9151</t>
  </si>
  <si>
    <t xml:space="preserve">380220              </t>
  </si>
  <si>
    <t>89039-664</t>
  </si>
  <si>
    <t>5100015C</t>
  </si>
  <si>
    <t>Tubo de centrífuga de 50 ml en polipropileno con tapa rosca, Stand up</t>
  </si>
  <si>
    <t>Thomas Scientific 2602A42 Corning 430921 o equivalente</t>
  </si>
  <si>
    <t xml:space="preserve">LABCON </t>
  </si>
  <si>
    <t>3094-870-008-9</t>
  </si>
  <si>
    <t>89039-656</t>
  </si>
  <si>
    <t>5100060C</t>
  </si>
  <si>
    <t>Tubo de centrífuga de 50 ml en polipropileno con tapa y sello de tapón, fondo cónico, estéril, graduado, velocidad de centrífugación 12000 RPM, autoclavable (sin la tapa), rango de temperatura de -40 a +80º C, con graduación impresa.</t>
  </si>
  <si>
    <t>Corning 430290 o equivalente</t>
  </si>
  <si>
    <t>3181-345-008-9</t>
  </si>
  <si>
    <t xml:space="preserve">380100              </t>
  </si>
  <si>
    <t>89039-660</t>
  </si>
  <si>
    <t>5100050C</t>
  </si>
  <si>
    <t>Tubo de microdilución de 1.1 ml</t>
  </si>
  <si>
    <t>Thermo o equivalente</t>
  </si>
  <si>
    <t>Bolsa x 960</t>
  </si>
  <si>
    <t>PI15086</t>
  </si>
  <si>
    <t xml:space="preserve">Tubo de vidrio de 15 mL liso sin tapa rosca de capacidad fondo redondo, 100 mm x 16 mm, vidrio boro silicato. </t>
  </si>
  <si>
    <t>Brand, duran, fisher scientific o equivalentes</t>
  </si>
  <si>
    <t>Citoglass</t>
  </si>
  <si>
    <t xml:space="preserve">Tubo de vidrio refractario tapa rosca 16x150 mm capacidad 20 ml </t>
  </si>
  <si>
    <t xml:space="preserve">Tubo de vidrio en cal soda  con tapa rosca 13x100 mm. </t>
  </si>
  <si>
    <t>Pyrex Plus, Sigma o equivalente</t>
  </si>
  <si>
    <t>Tubo de vidrio en cal soda con tapa rosca Rango de capacidad ente  9 a 12  ml</t>
  </si>
  <si>
    <t>Enthos o Bioequipos o equivalente</t>
  </si>
  <si>
    <t>155030</t>
  </si>
  <si>
    <t xml:space="preserve">Tubo de vidrio en cal soda con  tapa rosca base plana de 100mm de longitud por 15 mm de diámetro </t>
  </si>
  <si>
    <t>14210010RD</t>
  </si>
  <si>
    <t>Tubo de vidrio en cal soda tapa rosca desde 20  a 24 ml</t>
  </si>
  <si>
    <t>Fisherbrand 03-339-25F  o equivalente</t>
  </si>
  <si>
    <t xml:space="preserve">Caja x 144 </t>
  </si>
  <si>
    <t>155062</t>
  </si>
  <si>
    <t>66011-143</t>
  </si>
  <si>
    <t>Tubo de vidrio en cal soda tapa rosca x 10 ml</t>
  </si>
  <si>
    <t>Pyrex, Cole Parmer, Brand PZ-06324-60 o equivalente</t>
  </si>
  <si>
    <t>Tubo en polipropileno tapa roja de 6ml con fecha de vencimiento superior a 12 meses a partir de la fecha de entrega</t>
  </si>
  <si>
    <t>Vacutest o equivalente</t>
  </si>
  <si>
    <t>Caja x 100 unidades</t>
  </si>
  <si>
    <t>Tubo Eppendorf de 2 ml, tapa plana de borde largo, libres de Rnasas, Dnasa y pirógenos, color Natural, Ultra Transparentes, rótulo esmerilado, graduados,</t>
  </si>
  <si>
    <t>Eppendorf  o equivalente</t>
  </si>
  <si>
    <t>02.043.0100</t>
  </si>
  <si>
    <t>Tubo microhematocrito sin heparina</t>
  </si>
  <si>
    <t>Marienfeld o equivalente</t>
  </si>
  <si>
    <t>Frasco x 100</t>
  </si>
  <si>
    <t>160215</t>
  </si>
  <si>
    <t>749321-B</t>
  </si>
  <si>
    <t>Tubo para microcentrífuga de 1,7 con tapa ,libres de Rnasas ,Dnasas y pirógenos</t>
  </si>
  <si>
    <t>Sorenson o equivalente</t>
  </si>
  <si>
    <t>SCN1700-BP</t>
  </si>
  <si>
    <t>87003-294</t>
  </si>
  <si>
    <t>Tubo para microcentrífuga plásticos de 2.0 ml</t>
  </si>
  <si>
    <t>Axygen CATMCT-200-C o equivalente</t>
  </si>
  <si>
    <t>Bolsa x 500</t>
  </si>
  <si>
    <t>4610-1815</t>
  </si>
  <si>
    <t xml:space="preserve">Tubo para PCR 0.2 ml con tapa plana libres de Dnasas y RNAsas </t>
  </si>
  <si>
    <t>Thermo Scientific, VWR, Brand, Axygen o equivalente</t>
  </si>
  <si>
    <t>60-0082</t>
  </si>
  <si>
    <t>5460-0001</t>
  </si>
  <si>
    <t>781305-B</t>
  </si>
  <si>
    <t>GENON</t>
  </si>
  <si>
    <t>A22203</t>
  </si>
  <si>
    <t>Tubo para toma de sangre al vacío tapón lila. Plástico, tapón hemogard de 6.0 ml. Aditivo siliconizado, con fecha de vencimiento minimo de un año a partir de la fecha de entrega.</t>
  </si>
  <si>
    <t>Tubo para toma de sangre en polipropileno al vacío tapa roja, sin anticoagulante mínimo para 7 ml. con fecha de vencimiento minimo de un año a partir de la fecha de entrega.</t>
  </si>
  <si>
    <t>Tubo plástico tapa rosca 2 ml</t>
  </si>
  <si>
    <t>81-7204</t>
  </si>
  <si>
    <t>780550-B</t>
  </si>
  <si>
    <t>5042000C</t>
  </si>
  <si>
    <t xml:space="preserve">Tubo cónico (tipo Eppendorf)  0,5 ml  (500 ul)  en polipropileno grado médico, libre de RNasas y DNasas, Resistentes fuerza centrífuga hasta x  30000g autoclavables, libres de pirógenos, resistentes a temperaturas de -80 hasta 121 °C </t>
  </si>
  <si>
    <t>10025-718</t>
  </si>
  <si>
    <t>5100500C</t>
  </si>
  <si>
    <t xml:space="preserve">Tubo tipo Eppendorf de 1,5 ml en polipropileno grado médico, libre de RNasas y DNasas, estériles o no estériles. Resistentes fuerza centrífuga 20000 a  30000g. lautoclavables, libres de pirógenos, resistentes a temperaturas de -80 hasta 121 °C </t>
  </si>
  <si>
    <t>Fisher 05-408-129, Axygen o equivalente</t>
  </si>
  <si>
    <t>4610-1844</t>
  </si>
  <si>
    <t xml:space="preserve">	20170-038</t>
  </si>
  <si>
    <t>5101501C</t>
  </si>
  <si>
    <t>Tubo Vacutainer SSTTM Suero con Gel Separador 8.5 ml. con fecha de vencimiento minimo de un año a partir de la fecha de entrega.</t>
  </si>
  <si>
    <t xml:space="preserve">Bolsa X 100 </t>
  </si>
  <si>
    <t>Tubo vacuteiner. tapa roja de  9 ml, sin Anticuagulante.
con fecha de vencimiento minimo de un año a partir de la fecha de entrega.</t>
  </si>
  <si>
    <t>Paquete X 100</t>
  </si>
  <si>
    <t>VACUETTE</t>
  </si>
  <si>
    <t>TC-455092H</t>
  </si>
  <si>
    <t>Tubo vacutest 9 ml con Activador de coagulación
con fecha de vencimiento minimo de un año a partir de la fecha de entrega.</t>
  </si>
  <si>
    <t>Vacutest Kima 11030 o equivalente</t>
  </si>
  <si>
    <t>Tubos colorimétricos de 0,1 -100 ppm</t>
  </si>
  <si>
    <t>Drager, MSA AUER ó equivalente</t>
  </si>
  <si>
    <t>Caja x 10 Unidades</t>
  </si>
  <si>
    <t>Tubos colorimétricos de 50-2000 ppm</t>
  </si>
  <si>
    <t>Tubos de ensayo para destilación Ø42x300 mm, 250 mL 3 Unid, vidrio, VELP® para destilación equipo VELP UDK 169  REFERENCIA CODIGO A00001080</t>
  </si>
  <si>
    <t>Velp o  tecator de las dimensiones requeridas</t>
  </si>
  <si>
    <t>kit x 3 unidades</t>
  </si>
  <si>
    <t>VELP</t>
  </si>
  <si>
    <t>A00000144</t>
  </si>
  <si>
    <t xml:space="preserve">Unidades de Filtración para jeringa 0.22 µm estériles. (Ø=25mm), SFCA (Surfactant-free cellulose acetate) o similar acorde para filtración de aditivos de medios de cultivo microbiológicos </t>
  </si>
  <si>
    <t>Sterile Millex Millipore o equivalente</t>
  </si>
  <si>
    <t>Vara para retirar varillas magnéticas, con núcleo magnético completamente encapsulado en PTFE. Longitud 300 - 350 mm. Ø: 8 mm</t>
  </si>
  <si>
    <t>Brand 137720 o equivalente</t>
  </si>
  <si>
    <t>137720-B</t>
  </si>
  <si>
    <t>Varilla de vidrio 7 mm</t>
  </si>
  <si>
    <t>varlla por 100 cm</t>
  </si>
  <si>
    <t>SIMAX (ALE)</t>
  </si>
  <si>
    <t>271070000</t>
  </si>
  <si>
    <t>varilla para agitación de vidrio 300mm</t>
  </si>
  <si>
    <t>135825-B</t>
  </si>
  <si>
    <t>Vaso copplin con 4 o 5 divisiones</t>
  </si>
  <si>
    <t>Vaso de precipitado de 5000 ml vidrio borosilicato forma baja con escala boro silicato 3.3</t>
  </si>
  <si>
    <t>schott, pirex, glassco</t>
  </si>
  <si>
    <t>91273-B</t>
  </si>
  <si>
    <t>Vaso de precipitado de 5ml de vidrio de borosilicato 3,3</t>
  </si>
  <si>
    <t>Schott, duran o equivalente</t>
  </si>
  <si>
    <t>87626-B</t>
  </si>
  <si>
    <t xml:space="preserve">Vaso de precipitado en polipropileno de 250 ml </t>
  </si>
  <si>
    <t>Paquete x 6</t>
  </si>
  <si>
    <t>1805</t>
  </si>
  <si>
    <t>87612-B</t>
  </si>
  <si>
    <t xml:space="preserve">Vaso de precipitado en polipropileno de 30 ml </t>
  </si>
  <si>
    <t>Vaso de precipitado en polipropileno de 400 ml</t>
  </si>
  <si>
    <t>12010400</t>
  </si>
  <si>
    <t>87614-B</t>
  </si>
  <si>
    <t>Vaso de precipitado en polipropileno de 5000 ml Rigido traslucido o traslucido trasparente con escala</t>
  </si>
  <si>
    <t>kartell, corning, vitlab, nalgene o equivalente</t>
  </si>
  <si>
    <t>Vaso de precipitado en polipropileno de 600 ml</t>
  </si>
  <si>
    <t xml:space="preserve">Paquete x 4 </t>
  </si>
  <si>
    <t>87618-B</t>
  </si>
  <si>
    <t>Vaso de precipitado en vidrio claro de 1000 ml, en borosilicato 3.3, forma alta con graduación y pico. Diámetro x Altura 95 x 180 mm, impresión en cerámica, DIN12331/ISO3819 e ISO12 600 o ASTM E960, requisitos Tipo I y USP Tipo I y ASTM E438, Tipo I.</t>
  </si>
  <si>
    <t>5010654</t>
  </si>
  <si>
    <t>14000-1000</t>
  </si>
  <si>
    <t>Vaso de precipitado en vidrio claro de 2000 ml. Borosilicato 3.3, impresión en cerámica, DIN12331/ISO3819 e ISO12 600 o ASTM E960, requisitos Tipo I y USP Tipo I y ASTM E438, Tipo I.</t>
  </si>
  <si>
    <t>5010663</t>
  </si>
  <si>
    <t>14000-2000</t>
  </si>
  <si>
    <t>Vaso de precipitado en vidrio claro de 4000  a 5000 ml. Borosilicato 3.3, impresión en cerámica</t>
  </si>
  <si>
    <t>Vaso de precipitado vidrio claro de 10 ml. Borosilicato 3.3, impresión en cerámica, que cumpla con las normas DIN12331/ISO3819 e ISO12 600 o ASTM E960, requisitos Tipo I y USP Tipo I y ASTM E438, Tipo I.</t>
  </si>
  <si>
    <t>14000-10</t>
  </si>
  <si>
    <t>Vaso de precipitado vidrio claro de 100 ml. Borosilicato 3.3, impresión en cerámica, que cumpla con las normas DIN12331/ISO3819 e ISO12 600 o ASTM E960, requisitos Tipo I y USP Tipo I y ASTM E438, Tipo I.</t>
  </si>
  <si>
    <t>5010624</t>
  </si>
  <si>
    <t>14000-100</t>
  </si>
  <si>
    <t>Vaso de precipitado vidrio claro de 25 ml. Borosilicato 3.3, impresión en cerámica, que cumpla con las normas DIN12331/ISO3819 e ISO12 600 o ASTM E960, requisitos Tipo I y USP Tipo I y ASTM E438, Tipo I.</t>
  </si>
  <si>
    <t>5010614</t>
  </si>
  <si>
    <t>91214-B</t>
  </si>
  <si>
    <t>Vaso de precipitado vidrio claro de 250 ml. Borosilicato 3.3, impresión en cerámica, que cumpla con las normas DIN12331/ISO3819 e ISO12 600 o ASTM E960, requisitos Tipo I y USP Tipo I y ASTM E438, Tipo I.
 Reforzado Heavy Duty Forma Baja</t>
  </si>
  <si>
    <t>5010636</t>
  </si>
  <si>
    <t>14000-250</t>
  </si>
  <si>
    <t>Vaso de precipitado vidrio claro de 400 ml. Borosilicato 3.3, impresión en cerámica, que cumpla con las normas DIN12331/ISO3819 e ISO12 600 o ASTM E960, requisitos Tipo I y USP Tipo I y ASTM E438, Tipo I.</t>
  </si>
  <si>
    <t>5010641</t>
  </si>
  <si>
    <t>14000-400</t>
  </si>
  <si>
    <t>Vaso de precipitado vidrio claro de 50 ml. Borosilicato 3.3, impresión en cerámica, que cumpla con las normas DIN12331/ISO3819 e ISO12 600 o ASTM E960, requisitos Tipo I y USP Tipo I y ASTM E438, Tipo I.</t>
  </si>
  <si>
    <t>5010617</t>
  </si>
  <si>
    <t>14000-50</t>
  </si>
  <si>
    <t>Vaso de precipitado vidrio claro de 500 - 600 ml. Borosilicato 3.3, impresión en cerámica, con pico que cumpla con las normas
 Reforzado Heavy Duty Forma Baja</t>
  </si>
  <si>
    <t>5010648</t>
  </si>
  <si>
    <t>14000-600</t>
  </si>
  <si>
    <t>Vaso de precipitado vidrio claro de 600 ml. Borosilicato 3.3, impresión en cerámica, que cumpla con las normas DIN12331/ISO3819 e ISO12 600 o ASTM E960, requisitos Tipo I y USP Tipo I y ASTM E438, Tipo I.</t>
  </si>
  <si>
    <t>Vaso plástico desechable capacidad 500 ml</t>
  </si>
  <si>
    <t>Paquete x 25</t>
  </si>
  <si>
    <t>Vial ámbar entre 40 ml y 50 ml</t>
  </si>
  <si>
    <t>C0000066UG</t>
  </si>
  <si>
    <t>Vial ámbar con zona de escritura de 2.0 ml, díamtetro de la tapa rosca 9mm libres de nucleasas</t>
  </si>
  <si>
    <t>5190-9063</t>
  </si>
  <si>
    <t>Viales Ambar : 2mL Amber Short Thread Vial w/Write-on Spot, 9mm Thread, 11.6*32mm, USP type 1
Presentación: 100 Unidades
 Marca: Aijiren</t>
  </si>
  <si>
    <t>Vial ámbar de entre 1.7 ml y 2 ml con tapa y septa, volumen de llenado 1,7 diámetro de la tapa rosca de 9mm</t>
  </si>
  <si>
    <t>5190-9063 / 5190-9068</t>
  </si>
  <si>
    <t>Viales Ambar: 2mL Amber Short Thread Vial w/Write-on Spot, 9mm Thread, 11.6*32mm, USP type 1 + Tapas con Septa: White PTFE/Red Silicone Septa, 9mm Blue Short Screw Polypropylene Cap, 6mm Centre Hole.
Presentación: 100 Unidades
 Marca: Aijiren</t>
  </si>
  <si>
    <t>VIAL9MMCOMPL</t>
  </si>
  <si>
    <t>Vial ámbar entre 20 - 25 ml, tapa rosca con tapón plástico</t>
  </si>
  <si>
    <t>Referencia 1225MLTR o equivalente</t>
  </si>
  <si>
    <t xml:space="preserve">Caja x 50
</t>
  </si>
  <si>
    <t>5183-4323</t>
  </si>
  <si>
    <t>Vial ámbar de 4ml, Tapa rosca con tapón plástico</t>
  </si>
  <si>
    <t xml:space="preserve">Caja x 100
</t>
  </si>
  <si>
    <t>5183-4321</t>
  </si>
  <si>
    <t xml:space="preserve">Vial ámbar de 40 - 50 ml, tapa rosca con tapón plástico (tapa sólida)
</t>
  </si>
  <si>
    <t>5183-4324</t>
  </si>
  <si>
    <t>Vial ámbar de 4-5ml, Tapa rosca con tapón plástico (tapa sólida)</t>
  </si>
  <si>
    <t>Referencia 1205MLTR o equivalente</t>
  </si>
  <si>
    <t xml:space="preserve">Caja x 200
</t>
  </si>
  <si>
    <t>Vial de vidrio transparente con tapa plástica blanca de cierre tipo agrafe de 10ml. Dimensiones 20mm diametro X 50 mm alto</t>
  </si>
  <si>
    <t>C0000053UG</t>
  </si>
  <si>
    <t>Vial para cromatografia de 2 mL, plastico, 9 mm</t>
  </si>
  <si>
    <t>2mL Clear PP Short Screw Micro-Vial, 9mm Thread, 11.6*32mm
Presentación: 100 Unidades
 Marca: Aijiren</t>
  </si>
  <si>
    <t>Viales para cromatografía con inserto de 250 µl incluido, preferiblemente cónico. Tapa rosca de 9 mm.</t>
  </si>
  <si>
    <t>Waters o equivalente</t>
  </si>
  <si>
    <t>Paquete por 100</t>
  </si>
  <si>
    <t>5182-0549</t>
  </si>
  <si>
    <t xml:space="preserve"> Viales con Inserto de 0.3mL Clear PP Short Screw Micro-Vial, 9mm Thread 11.6*32mm
Presentación: 100 Unidades
 Marca: Aijiren</t>
  </si>
  <si>
    <t xml:space="preserve">Viales de cromatografia en vidrio claro. Con tapa tipo rosca, de volumen de 2 ml,  con Septum PTFE/silicone. </t>
  </si>
  <si>
    <t>REF: 5182-0553 de Agilent Technologies o equivalente</t>
  </si>
  <si>
    <t>Caja x 100/Unidades</t>
  </si>
  <si>
    <t>5190-9062</t>
  </si>
  <si>
    <t>Viales Claros: 2mL Clear Short Thread Vial w/Write-on Spot, 9mm Thread, 11.6*32mm, USP type 1 + Tapas con Septa: White PTFE/Red Silicone Septa, 9mm Blue Short Screw Polypropylene Cap, 6mm Centre Hole.
Presentación: 100 Unidades
 Marca: Aijiren</t>
  </si>
  <si>
    <t>DWK</t>
  </si>
  <si>
    <t>97046-396</t>
  </si>
  <si>
    <t xml:space="preserve">Viales de cromatografia en vidrio claro. Con tapa tipo rosca, de volumen de 2 ml, Certificado para LCMS,  con Septum con hendidura y PTFE/silicone. </t>
  </si>
  <si>
    <t>REF:60000C68CV de WATERS o equivalente</t>
  </si>
  <si>
    <t>5190-2278</t>
  </si>
  <si>
    <t>Viales Claros: 2mL Clear Short Thread Vial w/Write-on Spot, 9mm Thread, 11.6*32mm, USP type 1 + Tapas con Septa Precortada: Pre-slit White PTFE/Red Silicone Septa, 9mm Blue Short Screw Polypropylene Cap, 6mm Centre Hole
Presentación: 100 Unidades
 Marca: Aijiren</t>
  </si>
  <si>
    <t>VIAL9MMPRECOMPL</t>
  </si>
  <si>
    <t>Viales transparentes 12 x 32 mm , 9 mm/425 Thd Finish ; con tapa 9 mm</t>
  </si>
  <si>
    <t>5190-9062 / 5190-9068</t>
  </si>
  <si>
    <t>Vidrio Reloj 50 mm de diámetro en borosilicato</t>
  </si>
  <si>
    <t>3008060</t>
  </si>
  <si>
    <t>Vinipel</t>
  </si>
  <si>
    <t>Rollo x 300 m</t>
  </si>
  <si>
    <t>AV01314</t>
  </si>
  <si>
    <t>Ion injector, 180 mm, 0.6 mm id, dielectric Ref. G7604-60000</t>
  </si>
  <si>
    <t>G7604-60000</t>
  </si>
  <si>
    <t>Tungsten VIS lamp. For Agilent G1315A/B/C/D and G1365A/B/C/D diode array detectors, and 8453A diode array spectrophotometer ref. G1103-60001</t>
  </si>
  <si>
    <t>G1103-60001</t>
  </si>
  <si>
    <t xml:space="preserve">Caffeine standards kit, for LC/MS. Includes caffeine at 0.5, 1, 5, 25, 50 µg/mL in water, 5 ampoules Ref. 8500-6917 </t>
  </si>
  <si>
    <t>paquete</t>
  </si>
  <si>
    <t>Ref. 8500-
6917</t>
  </si>
  <si>
    <t>Alfiler entomológico No. 000 (en acero inoxidable)</t>
  </si>
  <si>
    <t xml:space="preserve">Paquete x 100 </t>
  </si>
  <si>
    <t>CAB000</t>
  </si>
  <si>
    <t>Alfiler entomológico No. 1 (en acero inoxidable)</t>
  </si>
  <si>
    <t>CAB001</t>
  </si>
  <si>
    <t>Alfiler entomológico No. 2 (en acero inoxidable)</t>
  </si>
  <si>
    <t>CAB002</t>
  </si>
  <si>
    <t>Alfiler entomológico No. 3 (en acero inoxidable)</t>
  </si>
  <si>
    <t>CAB003</t>
  </si>
  <si>
    <t>Alfiler entomológico No. 4 (en acero inoxidable)</t>
  </si>
  <si>
    <t>CAB004</t>
  </si>
  <si>
    <t>Caja entomológica 19 x 11 cm (Cartón blanco, base para alfileres)</t>
  </si>
  <si>
    <t>AV02862</t>
  </si>
  <si>
    <t>Caja entomológica 38 x 11 cm (Cartón blanco, base para alfileres)</t>
  </si>
  <si>
    <t>Caja entomológica 4.6 x 11 cm (Cartón blanco, base para alfileres)</t>
  </si>
  <si>
    <t>AV02864</t>
  </si>
  <si>
    <t>Millex-HV Syringe Filter Unit, 0.45 µm, PVDF, 13 mm</t>
  </si>
  <si>
    <t>SLHVR13SL Millipore o equivalente</t>
  </si>
  <si>
    <t>caja / 100 Unidades</t>
  </si>
  <si>
    <t>9909-1304</t>
  </si>
  <si>
    <t>Millex-HV Syringe Filter Unit,GV; 0,2-0,22 µm, PVDF, 13 mm.</t>
  </si>
  <si>
    <t>SLGVX13NK Millipore o equivalente</t>
  </si>
  <si>
    <t>9909-1302</t>
  </si>
  <si>
    <t>Minuten Entomológico en Acero Inoxidable 0,15mm x 12 mm</t>
  </si>
  <si>
    <t>E01K</t>
  </si>
  <si>
    <t>Tijera iris para microcirugía en acero inoxidable de 11 cm de longitud, con punta extradelgada y hoja inferior aserrada</t>
  </si>
  <si>
    <t>Westcott o equivalente</t>
  </si>
  <si>
    <t>76457-350</t>
  </si>
  <si>
    <t xml:space="preserve">Tubos tipo eppendorf 600 ul en polipropileno grado médico, libre de RNasas y DNasas,  Resistentes fuerza centrífuga hasta x  30000g autoclavables, libres de pirógenos, resistentes a temperaturas de -80 hasta 121 °C </t>
  </si>
  <si>
    <t>87003-290</t>
  </si>
  <si>
    <t xml:space="preserve">Tanque de almacenamiento de nitrógeno criogénico de 30L o superior, con dispositivo de extracción para tanque criogénico, con carro ajustable con ruedas para tanque criogénico </t>
  </si>
  <si>
    <t xml:space="preserve"> 0853G51</t>
  </si>
  <si>
    <t>ELEMENTOS QUIMICOS</t>
  </si>
  <si>
    <t>SUMINISTROS CLÍNICOS ISLA S.A.S.</t>
  </si>
  <si>
    <t>PURIFICACIÓN Y ANÁLISIS</t>
  </si>
  <si>
    <t>SADIREP</t>
  </si>
  <si>
    <t>CASA CIENTIFICA BLANCO Y COMPAÑÍA S.A.S</t>
  </si>
  <si>
    <t>Consosorcio CC</t>
  </si>
  <si>
    <t xml:space="preserve">100 por bolsas </t>
  </si>
  <si>
    <t>RACK X 50</t>
  </si>
  <si>
    <t>1 bag</t>
  </si>
  <si>
    <t>Kasvi</t>
  </si>
  <si>
    <t>WHATMAN REF. 7704-0001</t>
  </si>
  <si>
    <t>UNISEAL CPE COLD FILM 100/PK</t>
  </si>
  <si>
    <t>paq x 100</t>
  </si>
  <si>
    <t xml:space="preserve">GE </t>
  </si>
  <si>
    <t>HOSPITAL</t>
  </si>
  <si>
    <t xml:space="preserve">paq  x 100  </t>
  </si>
  <si>
    <t>paq  x 1000</t>
  </si>
  <si>
    <t xml:space="preserve">HIGIETEX </t>
  </si>
  <si>
    <t>rollo 500 g</t>
  </si>
  <si>
    <t>MK</t>
  </si>
  <si>
    <t>Bolsa x 10</t>
  </si>
  <si>
    <t>paq  x 10</t>
  </si>
  <si>
    <t>SIMPORT SCIENTIFIC</t>
  </si>
  <si>
    <t xml:space="preserve">GOOD CARE </t>
  </si>
  <si>
    <t xml:space="preserve">UNITED </t>
  </si>
  <si>
    <t>PAQX20</t>
  </si>
  <si>
    <t>YSI</t>
  </si>
  <si>
    <t>Caja x 40 x 25 und</t>
  </si>
  <si>
    <t>paq x 500</t>
  </si>
  <si>
    <t>RUBBERMAID</t>
  </si>
  <si>
    <t xml:space="preserve">BELT ART </t>
  </si>
  <si>
    <t>paq x 200</t>
  </si>
  <si>
    <t>Nasco.</t>
  </si>
  <si>
    <t>paq x 400</t>
  </si>
  <si>
    <t>CAJA/500</t>
  </si>
  <si>
    <t>Caja x 500 und</t>
  </si>
  <si>
    <t>BULBTRONICS</t>
  </si>
  <si>
    <t xml:space="preserve">MILL-ROSE </t>
  </si>
  <si>
    <t>Caja x 480 und</t>
  </si>
  <si>
    <t xml:space="preserve">ENTHOS </t>
  </si>
  <si>
    <t xml:space="preserve">ESTRA </t>
  </si>
  <si>
    <t xml:space="preserve">HOME COLLETION </t>
  </si>
  <si>
    <t>Biologix</t>
  </si>
  <si>
    <t>RECCO</t>
  </si>
  <si>
    <t>UND</t>
  </si>
  <si>
    <t>MILLIQ</t>
  </si>
  <si>
    <t>paq x 1</t>
  </si>
  <si>
    <t xml:space="preserve">3 M </t>
  </si>
  <si>
    <t xml:space="preserve">NORTH SAFETY </t>
  </si>
  <si>
    <t>COLGEL</t>
  </si>
  <si>
    <t>BEL-ART</t>
  </si>
  <si>
    <t>PAQ X 16</t>
  </si>
  <si>
    <t>caja x 24</t>
  </si>
  <si>
    <t>PAQ X 100</t>
  </si>
  <si>
    <t>ILKO</t>
  </si>
  <si>
    <t>CIENCIAS DE MICROSCOPIA ELECTRONICA</t>
  </si>
  <si>
    <t>Paquete x 2 unidades</t>
  </si>
  <si>
    <t>Simport</t>
  </si>
  <si>
    <t>T328-96</t>
  </si>
  <si>
    <t>CAPP ref. 5042010C</t>
  </si>
  <si>
    <t>Plastic cryobox, 130 x 130 x 50 mm, grid 10 x 10 for 2,0mL cryovials</t>
  </si>
  <si>
    <t>caja x 36</t>
  </si>
  <si>
    <t>SHARPIE</t>
  </si>
  <si>
    <t>caja x 12</t>
  </si>
  <si>
    <t>CAPP  ref. 5041000C</t>
  </si>
  <si>
    <t>Expell cryo tube 1,0mL, pre-sterile, bag, x 100 pcs</t>
  </si>
  <si>
    <t>paq x 1000</t>
  </si>
  <si>
    <t>CAPP ref. 5042000C</t>
  </si>
  <si>
    <t>Expell cryo tube 2,0mL, pre-sterile, bag, x 100 pcs</t>
  </si>
  <si>
    <t>Usa Scientific</t>
  </si>
  <si>
    <t>CAPP ref. 5045000C</t>
  </si>
  <si>
    <t>Expell cryo tube 5,0mL, pre-sterile, bag, 5x100 pcs</t>
  </si>
  <si>
    <t>Caja  x 100</t>
  </si>
  <si>
    <t>caja x 300</t>
  </si>
  <si>
    <t>PARAMAOUNT</t>
  </si>
  <si>
    <t>CEM</t>
  </si>
  <si>
    <t>CAPP ref. CF10-1</t>
  </si>
  <si>
    <t>Dispensador  de 1-10 mL, volumen variable, graduación de 1 mL, exactitud +/- 0,5%, reproducibilidad ≤0,1%; vidrio borosilicato. Cerámica, platino-iridio, ETFE, FEP, PFA, YPP (caperuza de cierre de la canula);  apto para bases, acidos, soluciones acuosas y solventes organicos. Marca CAPP CF10-1  Capp bottle top dispenser, 1-10mL.</t>
  </si>
  <si>
    <t>CAPP ref. CF50-1</t>
  </si>
  <si>
    <t xml:space="preserve">Dispensador  de 5-50 mL, volumen variable, graduación de 1 mL, exactitud +/- 0,5%, reproducibilidad ≤0,1%; vidrio borosilicato. Cerámica, platino-iridio, ETFE, FEP, PFA, YPP (caperuza de cierre de la canula);  apto para bases, acidos, soluciones acuosas y solventes organicos. Marca CAPP CF50-1  Capp bottle top dispenser, 5-50mL. </t>
  </si>
  <si>
    <t>CAPP ref. CF25-1</t>
  </si>
  <si>
    <t>Dispensadores de disolvente de 25ml. Marca CAPP CF25-1  Capp bottle top dispenser, 2,5-25mL.</t>
  </si>
  <si>
    <t>THERMO ORION</t>
  </si>
  <si>
    <t>KIMAX</t>
  </si>
  <si>
    <t>paq x 300</t>
  </si>
  <si>
    <t>paq x 2</t>
  </si>
  <si>
    <t>SCIENCEWARE  BEL-ART</t>
  </si>
  <si>
    <t>SPECTRONIC</t>
  </si>
  <si>
    <t>CAJA/100</t>
  </si>
  <si>
    <t>MIÇ</t>
  </si>
  <si>
    <t>Caja x 30</t>
  </si>
  <si>
    <t>Paquete x 45</t>
  </si>
  <si>
    <t>CYTIVA ref. 9913-2502</t>
  </si>
  <si>
    <t>Whatman Uniflo 25mm 0.22 PVDF S 45/PK</t>
  </si>
  <si>
    <t>Caja x 75</t>
  </si>
  <si>
    <t>CYTIVA 9913-2504</t>
  </si>
  <si>
    <t>Whatman Uniflo 25mm 0.45 PVDF S 45/PK</t>
  </si>
  <si>
    <t>paq X 25</t>
  </si>
  <si>
    <t xml:space="preserve">paq X 50 </t>
  </si>
  <si>
    <t>paq X 100</t>
  </si>
  <si>
    <t>Caja x 300</t>
  </si>
  <si>
    <t>paq X 500</t>
  </si>
  <si>
    <t>Caja x 40</t>
  </si>
  <si>
    <t>paq X 50</t>
  </si>
  <si>
    <t>paq X  6</t>
  </si>
  <si>
    <t>paq x 50</t>
  </si>
  <si>
    <t>PUTH</t>
  </si>
  <si>
    <t>VACUTAINER</t>
  </si>
  <si>
    <t>SAFETY &amp; INDUSTRIAL SUPPLES</t>
  </si>
  <si>
    <t>CREWS</t>
  </si>
  <si>
    <t>rollo 100 yardas</t>
  </si>
  <si>
    <t>KRAMER</t>
  </si>
  <si>
    <t>300 gr / caja 50</t>
  </si>
  <si>
    <t>400 gr / caja 50</t>
  </si>
  <si>
    <t>CAP MEDICAL</t>
  </si>
  <si>
    <t>PAQ x 5</t>
  </si>
  <si>
    <t>Kartell</t>
  </si>
  <si>
    <t>paq x 5</t>
  </si>
  <si>
    <t>MICROFLEX</t>
  </si>
  <si>
    <t>ETERNA</t>
  </si>
  <si>
    <t>WELL LEMONT</t>
  </si>
  <si>
    <t>TRAMOTINA</t>
  </si>
  <si>
    <t>NIPRO</t>
  </si>
  <si>
    <t>caja 80</t>
  </si>
  <si>
    <t>importado</t>
  </si>
  <si>
    <t>Importado</t>
  </si>
  <si>
    <t>Fasco x 200 g</t>
  </si>
  <si>
    <t>MP biomedicals</t>
  </si>
  <si>
    <t>200 gr</t>
  </si>
  <si>
    <t>4.5 ml</t>
  </si>
  <si>
    <t>RDV</t>
  </si>
  <si>
    <t>Caja x 12</t>
  </si>
  <si>
    <t>M.F.S</t>
  </si>
  <si>
    <t>Boeco</t>
  </si>
  <si>
    <t>CAPP ref. C10000-1</t>
  </si>
  <si>
    <t>Micropipeta de 1000-10000 ul con certificado de calibración y trazabilidad expedida por laboratorio acreditado ante el ONAC. Marca CAPP C10000-1 Capp Aero Ecopipette, variable vol. 100-10000 µl, ecopipette</t>
  </si>
  <si>
    <t>CAPP ref. C1000-1</t>
  </si>
  <si>
    <t>Micropipeta de 1000-1000 ul con certificado de calibración y trazabilidad expedida por laboratorio acreditado ante el ONAC. Marca CAPP C1000-1 Capp Ecopipette, variable vol. 100-1000 µl, ecopipette</t>
  </si>
  <si>
    <t>CAPP ref. C100-1</t>
  </si>
  <si>
    <t>Micropipeta de 10-100 ul con certificado de calibración y trazabilidad expedida por laboratorio acreditado ante el ONAC. Marca CAPP C100-1 Capp Ecopipette, variable vol. 10-100 µl, ecopipette</t>
  </si>
  <si>
    <t>CAPP ref. C10-1</t>
  </si>
  <si>
    <t>Micropipeta de 1-10 ul con certificado de calibración y trazabilidad expedida por laboratorio acreditado ante el ONAC. Marca CAPP C10-1 Capp Ecopipette, variable vol. 1-10 µl, ecopipette</t>
  </si>
  <si>
    <t>CAPP ref. C5000-1</t>
  </si>
  <si>
    <t>Micropipeta de 1-5 ml con certificado de calibración y trazabilidad expedida por laboratorio acreditado ante el ONAC. Marca CAPP C5000-1 Capp Aero Ecopipette, variable vol. 1-5 ml, ecopipette</t>
  </si>
  <si>
    <t>CAPP ref. C20-1</t>
  </si>
  <si>
    <t>Micropipeta de 2-20 ul con certificado de calibración y trazabilidad expedida por laboratorio acreditado ante el ONAC. Marca CAPP C20-1 Capp Ecopipette, variable vol. 2-20 µl, ecopipette</t>
  </si>
  <si>
    <t>CAPP ref. C200-1</t>
  </si>
  <si>
    <t>Micropipeta de 20-200 ul con certificado de calibración y trazabilidad expedida por laboratorio acreditado ante el ONAC. Marca CAPP C200-1 Capp Ecopipette, variable vol. 20-200 µl, ecopipette</t>
  </si>
  <si>
    <t>CAPP ref. C50-1</t>
  </si>
  <si>
    <t>Micropipeta de 5-50 ul con certificado de calibración y trazabilidad expedida por laboratorio acreditado ante el ONAC. Marca CAPP C50-1 Capp Ecopipette, variable vol. 5-50 µl, ecopipette</t>
  </si>
  <si>
    <t>Micropipeta de 1-10 ul con certificado de calibración y trazabilidad expedida por laboratorio acreditado ante el ONAC. Marca CAPP C10-1 Capp Ecopipette, variable vol. 1-10 µl, ecopipette incluye paquete x 1000 puntas</t>
  </si>
  <si>
    <t>Micropipeta de 100-1000 ul con certificado de calibración y trazabilidad expedida por laboratorio acreditado ante el ONAC. Marca CAPP C1000-1 Capp Ecopipette, variable vol. 1-10 µl, ecopipette incluye paquete x 1000 puntas</t>
  </si>
  <si>
    <t>CAPP ref. C200-12</t>
  </si>
  <si>
    <t>Micropipeta Multicanal 12 canales 20-200 ul con certificado de calibración y trazabilidad expedida por laboratorio acreditado ante el ONAC. Marca CAPP C200-12  Capp mµlti pipettes, 12-channel, 20-200 µl.</t>
  </si>
  <si>
    <t>CAPP ref. C100-12</t>
  </si>
  <si>
    <t>Micropipeta Multicanal 12 canales 10-100 ul con certificado de calibración y trazabilidad expedida por laboratorio acreditado ante el ONAC. Marca CAPP C100-12  Capp mµlti pipettes, 12-channel, 10-100 µl.</t>
  </si>
  <si>
    <t>CAPP ref. C50-12</t>
  </si>
  <si>
    <t>Micropipeta Multicanal 12 canales 5-50 ul con certificado de calibración y trazabilidad expedida por laboratorio acreditado ante el ONAC. Marca CAPP C50-12  Capp mµlti pipettes, 12-channel, 5-50 µl.</t>
  </si>
  <si>
    <t>CAPP C200-8</t>
  </si>
  <si>
    <t>Micropipeta Multicanal 8 canales 20-200 ul  con certificado de calibración y trazabilidad expedida por laboratorio acreditado ante el ONAC. Marca CAPP  C200-8 Capp mµlti pipettes, 8-channel, 20-200 µl.</t>
  </si>
  <si>
    <t>CAPP C50-8</t>
  </si>
  <si>
    <t>Micropipeta Multicanal 8 canales 5-50 ul  con certificado de calibración y trazabilidad expedida por laboratorio acreditado ante el ONAC. Marca CAPP  C50-8 Capp mµlti pipettes, 8-channel, 5-50 µl.</t>
  </si>
  <si>
    <t>Ref 2623</t>
  </si>
  <si>
    <t>paq x 60</t>
  </si>
  <si>
    <t>NUNC INC</t>
  </si>
  <si>
    <t>Bolsa x 25 unidades</t>
  </si>
  <si>
    <t>BIORAD</t>
  </si>
  <si>
    <t>BIOLOGIKA</t>
  </si>
  <si>
    <t>Paquete x 12</t>
  </si>
  <si>
    <t>LEICA</t>
  </si>
  <si>
    <t>Moldes de base metalico para inclusion 15X15 Leica</t>
  </si>
  <si>
    <t>paq x 12</t>
  </si>
  <si>
    <t>Moldes de base metalico para inclusion 24X24 Leica</t>
  </si>
  <si>
    <t>Moldes de base metalico para inclusion 30X24 Leica</t>
  </si>
  <si>
    <t>Moldes de base metalico para inclusion 7X7 Leica</t>
  </si>
  <si>
    <t>JIPO</t>
  </si>
  <si>
    <t>paq x 120</t>
  </si>
  <si>
    <t>BAUKER</t>
  </si>
  <si>
    <t>STREAMLIGHT</t>
  </si>
  <si>
    <t>paq x 4</t>
  </si>
  <si>
    <t>rollo</t>
  </si>
  <si>
    <t>paq x 280</t>
  </si>
  <si>
    <t>KIMBERLY-CLARK</t>
  </si>
  <si>
    <t>CAJA/25</t>
  </si>
  <si>
    <t>AHLSTROM</t>
  </si>
  <si>
    <t>WHATMAN ref. 1001-185</t>
  </si>
  <si>
    <t>Papel de filtro No. 1. Ø = 185 mm. Marca Whatman GE 1001-185  GR 1 18.5CM 100/PK.</t>
  </si>
  <si>
    <t>WHATMAN ref. 1001-090</t>
  </si>
  <si>
    <t>Papel de filtro No. 1. Ø = 90 mm. Marca Whatman GE 1001-090  GR 1 9.0CM 100/PK.</t>
  </si>
  <si>
    <t>WHATMAN ref. 1002-110</t>
  </si>
  <si>
    <t>Papel de filtro No. 2 Ø = 110 mm. MARCA Whatman GE 1002-110  GR 2 11.0CM 100/PK.</t>
  </si>
  <si>
    <t>WHATMAN ref. 1442-110</t>
  </si>
  <si>
    <t>Papel de filtro No. 42 Ø = 110 mm. Marca Whatman GE 1442-110  GR 42 11CM 100/PK.</t>
  </si>
  <si>
    <t>WHATMAN ref. 1001-150</t>
  </si>
  <si>
    <t>Papel de filtro Whatman No. 1 qualitative. Ø = 150 mm. Marca Whatman GE 1001-150  GR 1 15.0CM 100/PK.</t>
  </si>
  <si>
    <t>WHATMAN ref. 10342594</t>
  </si>
  <si>
    <t>Papel de germinación de semillas No. 76 (12" x 18") marca Whatman GE 10342594  3645 110x170MM 1000/PK.</t>
  </si>
  <si>
    <t>Cja x 1000</t>
  </si>
  <si>
    <t>ARCHOR</t>
  </si>
  <si>
    <t>Paquete x 1000</t>
  </si>
  <si>
    <t>WHATMAN ref. 10345576</t>
  </si>
  <si>
    <t>Papel de germinación plisado 110 x 20 mm ref 10345576. Marca Whatman GE 10345576  3236 110x20MM 1000/PK PLS W.</t>
  </si>
  <si>
    <t>WHATMAN ref. 99-192-125</t>
  </si>
  <si>
    <t>Papel Filtro blanco 12 cm cualitativo marca Whatman GE 99-192-125  DR EXP QUAL 12.5CM 100/PK MED.</t>
  </si>
  <si>
    <t>WHATMAN ref. 1001-240</t>
  </si>
  <si>
    <t>Papel filtro blanco 24.0 cm marca Whatman GE 1001-240  GR 1 24.0CM 100/PK.</t>
  </si>
  <si>
    <t>WHATMAN ref. 10406870</t>
  </si>
  <si>
    <t>Papel filtro para filtración de aguas con cuadrícula. Poro de 45 micras, 47 mm diámetro. Marca Whatman GE 10406870  ME25/21 ST 0.45uM 47MM 100/PK.</t>
  </si>
  <si>
    <t>AXYGEN</t>
  </si>
  <si>
    <t>POBEL (Esp)</t>
  </si>
  <si>
    <t>1 libra</t>
  </si>
  <si>
    <t>WALTER STERN</t>
  </si>
  <si>
    <t>SCIENTIFIC INDUSTRIES</t>
  </si>
  <si>
    <t>par</t>
  </si>
  <si>
    <t>GIOTO</t>
  </si>
  <si>
    <t>HUMBOLDT MANUFACTURING</t>
  </si>
  <si>
    <t>PAQ x 500</t>
  </si>
  <si>
    <t>Caja x 200</t>
  </si>
  <si>
    <t>CAPP ref. SP-10-C</t>
  </si>
  <si>
    <t>Pipeta plástica poliestireno graduada para 10 ml, estériles y en empaque individual marca CAPP SP-10-C Serological pipette 10mL, orange, 200 pcs. Empacadas individual.</t>
  </si>
  <si>
    <t>CAPP ref. SP-25-C</t>
  </si>
  <si>
    <t>Pipeta plástica poliestireno graduada para 25 ml, estériles y en empaque individual marca CAPP SP-25-C  Serological pipette 25mL, red, 150 pcs. Empacadas individual.</t>
  </si>
  <si>
    <t>CAPP ref. SP-5-C</t>
  </si>
  <si>
    <t>Pipeta plástica poliestireno graduada para 5 ml, estériles y en empaque individual marca CAPP SP-5-C  Serological pipette 5mL, blue, 200 pcs.</t>
  </si>
  <si>
    <t>CAPP ref. PA-100</t>
  </si>
  <si>
    <t>Pipeteador manual, Profiller manual 435 marca CAPP PA-100 Capp Controller, pipette controller, 0.1-100mL.</t>
  </si>
  <si>
    <t>COORS</t>
  </si>
  <si>
    <t>caja x 24 und</t>
  </si>
  <si>
    <t>Caja x 10 x 96</t>
  </si>
  <si>
    <t>LABSELECT ref. FT-10L-R-S</t>
  </si>
  <si>
    <t>FT-10L-R-S 10μl Long Filter Tips, Sterile, RNase-/DNase-free, rack pack (10 racks x 96 tips) marca LABGIC - LABSELECT</t>
  </si>
  <si>
    <t>caja x  10 racks x 96</t>
  </si>
  <si>
    <t>LABSELECT ref. FT-20-R-S</t>
  </si>
  <si>
    <t>FT-20-R-S 20μl Filter Tips, Sterile, RNase-/DNase-free, rack pack (96pcs/rack, 10racks/unit, 5units/case) marca LABGIC - LABSELECT</t>
  </si>
  <si>
    <t>PAQ X 1000</t>
  </si>
  <si>
    <t>CAPP ref. 5130010C</t>
  </si>
  <si>
    <t xml:space="preserve">Punta 10 µl blanca marca CAPP 5130010C  Expell 10µl, clear, bag, x 1000 pcs. </t>
  </si>
  <si>
    <t>Bolsa X 2000</t>
  </si>
  <si>
    <t>PAQ X 96</t>
  </si>
  <si>
    <t>LABSELECT ref. FT-1000-R-S</t>
  </si>
  <si>
    <t>FT-1000-R-S 1000μl Filter Tips, Sterile, RNase-/DNase-free, rack pack (96pcs/rack, 10racks/unit, 5units/case) marca LABGIC - LABSELECT</t>
  </si>
  <si>
    <t>LABSELECT ref. FT-100-R-S</t>
  </si>
  <si>
    <t>FT-100-R-S 100μl Filter Tips, Sterile, RNase-/DNase-free, rack pack (96pcs/rack, 10racks/unit, 5units/case) marca LABGIC - LABSELECT</t>
  </si>
  <si>
    <t>CAPP ref. 4130075C</t>
  </si>
  <si>
    <t xml:space="preserve">Punta 200 µl amarilla para micropipetas Socorex , axygen, capp bravo resistentes a autoclavado. Marca 4130075C  Expell 200µl, yellow, bag, x 1000 pcs. </t>
  </si>
  <si>
    <t>LABSELECT ref. FT-200-R-S</t>
  </si>
  <si>
    <t>FT-200-R-S 200μl Filter Tips, Sterile, RNase-/DNase-free, rack pack (96pcs/rack, 10racks/unit, 5units/case) marca LABGIC - LABSELECT</t>
  </si>
  <si>
    <t>CAPP ref.4130135C</t>
  </si>
  <si>
    <t xml:space="preserve">Punta 50-1000 µl azul sin esterilizar libre de Dnasas y Rnasas marca CAPP 4130135C Expell 1000µl (1250µl), blue, bag, x 1000 pcs. </t>
  </si>
  <si>
    <t>paq x 480</t>
  </si>
  <si>
    <t>Paq x 50</t>
  </si>
  <si>
    <t>Bolsa x 200 puntas</t>
  </si>
  <si>
    <t xml:space="preserve">Paq X 2000 </t>
  </si>
  <si>
    <t xml:space="preserve">Paq X 1000 </t>
  </si>
  <si>
    <t>Paquete x 250</t>
  </si>
  <si>
    <t>CAPP ref. 5000-1</t>
  </si>
  <si>
    <t>Puntas para micropipeta Carpbravo. Modelo B5000-1. Volumen 1-5 ml. Marca CAPP 5130165C Expell 5000µl, pre-sterile, racks for ecopipette, Capp Bravo and Gilson pipettes.</t>
  </si>
  <si>
    <t xml:space="preserve">Paq x 400 Unidades </t>
  </si>
  <si>
    <t>pk/10</t>
  </si>
  <si>
    <t>CHEMGLASS</t>
  </si>
  <si>
    <t>RN COLLECTOR</t>
  </si>
  <si>
    <t>DICOPLAST</t>
  </si>
  <si>
    <t>Paq x 100</t>
  </si>
  <si>
    <t>paq x 900</t>
  </si>
  <si>
    <t>Paquete x 50 Und</t>
  </si>
  <si>
    <t>BIOWEB</t>
  </si>
  <si>
    <t>Paquete x 16</t>
  </si>
  <si>
    <t>RICHARD- ALLAN SCIENTIFIC</t>
  </si>
  <si>
    <t>WS TYLER</t>
  </si>
  <si>
    <t>WHEATON</t>
  </si>
  <si>
    <t>TRAMONTINA</t>
  </si>
  <si>
    <t>3 CLAVELES</t>
  </si>
  <si>
    <t>rollo 120 unidades</t>
  </si>
  <si>
    <t>Paq x 1000</t>
  </si>
  <si>
    <t>CAPP ref. 5102001C</t>
  </si>
  <si>
    <t>Tubo 2.0 ml fondo cónico marca 5102001C  Expell Secure microcentrifuge tubes 2.0 mL, bag, x500 pcs.  </t>
  </si>
  <si>
    <t>100 unidades</t>
  </si>
  <si>
    <t>Rack x 50</t>
  </si>
  <si>
    <t>CAPP ref. 5100015C</t>
  </si>
  <si>
    <t>Tubo de centrífuga de 15 ml en polipropileno, estéril, tapa rosca, fondo cónico, velocidad de centrífugación 12000 RPM, autoclavable (sin la tapa), rango de temperatura de -40 a +80º C, con graduación impresa. Marca CAPP 5100015C  BluCapp centrifuge tubes 15mL, bulk, pre-sterile, 20 x 25 pcs.</t>
  </si>
  <si>
    <t>CAPP ref. 5100060C</t>
  </si>
  <si>
    <t>Tubo de centrífuga de 50 ml en polipropileno con tapa rosca, Stand up. Marca CAPP 5100060C  BluCapp centrifuge tubes 50mL, self-standing, pre-sterile, 20x25pcs.</t>
  </si>
  <si>
    <t>Rack x 25</t>
  </si>
  <si>
    <t xml:space="preserve">CAPP ref. 5100050C  </t>
  </si>
  <si>
    <t>Tubo de centrífuga de 50 ml en polipropileno con tapa y sello de tapón, fondo cónico, estéril, graduado, velocidad de centrífugación 12000 RPM, autoclavable (sin la tapa), rango de temperatura de -40 a +80º C, con graduación impresa. Marca CAPP 5100050C  BluCapp centrifuge tubes 50mL, bulk, pre-sterile,20  x 25 pcs.</t>
  </si>
  <si>
    <t xml:space="preserve">Bolsa  X 10 </t>
  </si>
  <si>
    <t>1000 unidades</t>
  </si>
  <si>
    <t>GLOBA SCIENTIFIC</t>
  </si>
  <si>
    <t>576 unidades</t>
  </si>
  <si>
    <t>960 unidades</t>
  </si>
  <si>
    <t>WVR</t>
  </si>
  <si>
    <t>paq x 144</t>
  </si>
  <si>
    <t>paq x 10</t>
  </si>
  <si>
    <t>PYREX</t>
  </si>
  <si>
    <t>CAPP ref. 5102005C</t>
  </si>
  <si>
    <t>Tubo Eppendorf de 2 ml, tapa plana de borde largo, libres de Rnasas, Dnasa y pirógenos, color Natural, Ultra Transparentes, rótulo esmerilado, graduados. Marca CAPP 5102000C  Expell Secure microcentrifuge tubes 2.0 mL, bag, x500 pcs.    </t>
  </si>
  <si>
    <t>VITRAX</t>
  </si>
  <si>
    <t>Bolsa  x 500</t>
  </si>
  <si>
    <t xml:space="preserve">CAPP ref. 5102005C </t>
  </si>
  <si>
    <t>2 Paquetes x 1000</t>
  </si>
  <si>
    <t>AHN ref. A22203</t>
  </si>
  <si>
    <t>Tubo para PCR 0.2 ml con tapa plana libres de Dnasas y RNAsas marca AHN A22203  PCR-Tubes 0,2 ml flat cap (transparent, thin walled, free of PCR-inhibitors) 2x1000 pcs.</t>
  </si>
  <si>
    <t xml:space="preserve">paq x 100 </t>
  </si>
  <si>
    <t>Paq x 200</t>
  </si>
  <si>
    <t>Tubo plástico tapa rosca 2 ml marca CAPP 5042000C  Expell cryo tube 2,0mL, pre-sterile, bag, x 100 pcs.</t>
  </si>
  <si>
    <t>1000 Tubos</t>
  </si>
  <si>
    <t>CAPP ref. 5100500C</t>
  </si>
  <si>
    <t>Tubo tipo Eppendorf 0,5ml  en polipropileno grado médico, libre de RNasas y DNasas, estériles. Resistentes fuerza centrífuga hasta x  30000g autoclavables, libres de pirógenos, resistentes a temperaturas de -80 hasta 121 °C. Marca CAPP 5100500C Expell microcentrifuge tubes 0.5 mL, bag, x1000 pcs.</t>
  </si>
  <si>
    <t>bolsa x 500</t>
  </si>
  <si>
    <t>EPPENDORF</t>
  </si>
  <si>
    <t>Paquete x 500</t>
  </si>
  <si>
    <t>CAPP ref. 5001500C</t>
  </si>
  <si>
    <t>Tubo tipo Eppendorf de 1,5 ml en polipropileno grado médico, libre de RNasas y DNasas, estériles. Resistentes fuerza centrífuga hasta x  30000g autoclavables, libres de pirógenos, resistentes a temperaturas de -80 hasta 121 °C. Marca CAPP 5001500C  ExpellPlus microcentrifuge tubes 1.5 mL, bag, x 500 pcs. (low retention), sterile.</t>
  </si>
  <si>
    <t>EPPENDOR</t>
  </si>
  <si>
    <t>bolsa x 100</t>
  </si>
  <si>
    <t>IMPROVE</t>
  </si>
  <si>
    <t>paquete x 100</t>
  </si>
  <si>
    <t>caja x 10 unidades</t>
  </si>
  <si>
    <t>DRAEGER</t>
  </si>
  <si>
    <t>caja x 1000</t>
  </si>
  <si>
    <t>CAJA/24</t>
  </si>
  <si>
    <t>Paq x 30</t>
  </si>
  <si>
    <t xml:space="preserve">WHATMAN ref. 9912-2502 </t>
  </si>
  <si>
    <t>Unidades de Filtración para jeringa 0.22 µm estériles. (Ø=25mm). Marca Whatman GE  9912-2502  Whatman Uniflo 25mm 0.22 PES 500/PK.</t>
  </si>
  <si>
    <t>paq x 6</t>
  </si>
  <si>
    <t>Nalgene</t>
  </si>
  <si>
    <t>WARING</t>
  </si>
  <si>
    <t>paq x 25</t>
  </si>
  <si>
    <t>paq x 72</t>
  </si>
  <si>
    <t>Paq x 500</t>
  </si>
  <si>
    <t xml:space="preserve">paq x 288 </t>
  </si>
  <si>
    <t>paq x 145</t>
  </si>
  <si>
    <t>pq x 100</t>
  </si>
  <si>
    <t xml:space="preserve">DWK LIFE SCIENCES (KIMBLE®) </t>
  </si>
  <si>
    <t>rollo x 300 m</t>
  </si>
  <si>
    <t>pq x 400</t>
  </si>
  <si>
    <t>pq x 200</t>
  </si>
  <si>
    <t>ELGA</t>
  </si>
  <si>
    <t>PURELAB</t>
  </si>
  <si>
    <t>PALL</t>
  </si>
  <si>
    <t>Juego de 4 piezas</t>
  </si>
  <si>
    <t xml:space="preserve">paq x 6 </t>
  </si>
  <si>
    <t>paq x 45</t>
  </si>
  <si>
    <t xml:space="preserve">CHEMGLASS </t>
  </si>
  <si>
    <t>SOLOMARK</t>
  </si>
  <si>
    <t>PAQUETE/100</t>
  </si>
  <si>
    <t xml:space="preserve">paq x 50 </t>
  </si>
  <si>
    <t>MACHEREY NAGEL</t>
  </si>
  <si>
    <t xml:space="preserve">paq x 300 </t>
  </si>
  <si>
    <t>BD VACUTAINER</t>
  </si>
  <si>
    <t>ELEMENTOS</t>
  </si>
  <si>
    <t>REACTIVOS</t>
  </si>
  <si>
    <t>CANTIDAD DE ITEMS</t>
  </si>
  <si>
    <t>Porcentaje</t>
  </si>
  <si>
    <t>SIN COTIZACION</t>
  </si>
  <si>
    <t>1 COTIZACION</t>
  </si>
  <si>
    <t>2 COTIZACIONES</t>
  </si>
  <si>
    <t>3 O MAS</t>
  </si>
  <si>
    <t>No.</t>
  </si>
  <si>
    <t>Empresas cotizantes</t>
  </si>
  <si>
    <t>Disproquilab</t>
  </si>
  <si>
    <t>RENTABILIDAD DEL PATRIMONIO MAYOR A 20% Y RENTABILIDAD DEL ACTIVO MAYOR AL 5%</t>
  </si>
  <si>
    <t>Quimirel</t>
  </si>
  <si>
    <t>Elementos quimicos</t>
  </si>
  <si>
    <t>ARC</t>
  </si>
  <si>
    <t>PAF</t>
  </si>
  <si>
    <t>Sadirep</t>
  </si>
  <si>
    <t>Quimiolab</t>
  </si>
  <si>
    <t>Sanitas S.A.S</t>
  </si>
  <si>
    <t>Avantika</t>
  </si>
  <si>
    <t>Dizzar Ltda</t>
  </si>
  <si>
    <t>Inversiones Jimsa</t>
  </si>
  <si>
    <t>Casa cientifica</t>
  </si>
  <si>
    <t>comercializadora CC</t>
  </si>
  <si>
    <t>Insolab</t>
  </si>
  <si>
    <r>
      <t xml:space="preserve">Guantes resistentes al calor (Guantes Industriales en Carnaza y tela • Cosido con Kevlar®) </t>
    </r>
    <r>
      <rPr>
        <sz val="9"/>
        <color rgb="FFFF0000"/>
        <rFont val="Arial Narrow"/>
        <family val="2"/>
      </rPr>
      <t>tallas M y L</t>
    </r>
  </si>
  <si>
    <r>
      <t xml:space="preserve">Papel de filtro Whatman </t>
    </r>
    <r>
      <rPr>
        <b/>
        <sz val="9"/>
        <rFont val="Arial Narrow"/>
        <family val="2"/>
      </rPr>
      <t>No. 1 qualitative</t>
    </r>
    <r>
      <rPr>
        <sz val="9"/>
        <rFont val="Arial Narrow"/>
        <family val="2"/>
      </rPr>
      <t>. Ø = 150 mm</t>
    </r>
  </si>
  <si>
    <r>
      <t xml:space="preserve">Puntas para pipetas de 300 </t>
    </r>
    <r>
      <rPr>
        <sz val="9"/>
        <color rgb="FF000000"/>
        <rFont val="Arial Narrow"/>
        <family val="2"/>
      </rPr>
      <t xml:space="preserve">µL  </t>
    </r>
  </si>
  <si>
    <r>
      <rPr>
        <i/>
        <sz val="9"/>
        <rFont val="Arial Narrow"/>
        <family val="2"/>
      </rPr>
      <t>Salmonella</t>
    </r>
    <r>
      <rPr>
        <sz val="9"/>
        <rFont val="Arial Narrow"/>
        <family val="2"/>
      </rPr>
      <t xml:space="preserve"> O Antiserum Poly A-I &amp; Vi</t>
    </r>
  </si>
  <si>
    <r>
      <t xml:space="preserve">Sigma 3810-74-0, </t>
    </r>
    <r>
      <rPr>
        <b/>
        <sz val="9"/>
        <rFont val="Arial Narrow"/>
        <family val="2"/>
      </rPr>
      <t>S9137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</si>
</sst>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_-&quot;$&quot;* #,##0_-;\-&quot;$&quot;* #,##0_-;_-&quot;$&quot;* &quot;-&quot;_-;_-@_-"/>
    <numFmt numFmtId="169" formatCode="_-&quot;$&quot;* #,##0.00_-;\-&quot;$&quot;* #,##0.00_-;_-&quot;$&quot;* &quot;-&quot;??_-;_-@_-"/>
    <numFmt numFmtId="170" formatCode="_(&quot;$&quot;* #,##0.00_);_(&quot;$&quot;* \(#,##0.00\);_(&quot;$&quot;* &quot;-&quot;??_);_(@_)"/>
    <numFmt numFmtId="171" formatCode="[$-409]General"/>
    <numFmt numFmtId="172" formatCode="_(&quot;$&quot;\ * #,##0_);_(&quot;$&quot;\ * \(#,##0\);_(&quot;$&quot;\ * &quot;-&quot;_);_(@_)"/>
    <numFmt numFmtId="173" formatCode="_-* #,##0_-;\-* #,##0_-;_-* &quot;-&quot;??_-;_-@_-"/>
    <numFmt numFmtId="174" formatCode="_-[$$-240A]\ * #,##0_-;\-[$$-240A]\ * #,##0_-;_-[$$-240A]\ * &quot;-&quot;??_-;_-@_-"/>
    <numFmt numFmtId="175" formatCode="_-* #,##0\ _€_-;\-* #,##0\ _€_-;_-* &quot;-&quot;??\ _€_-;_-@_-"/>
    <numFmt numFmtId="176" formatCode="&quot;$&quot;#,##0"/>
    <numFmt numFmtId="177" formatCode="_ &quot;$&quot;\ * #,##0.00_ ;_ &quot;$&quot;\ * \-#,##0.00_ ;_ &quot;$&quot;\ * &quot;-&quot;??_ ;_ @_ "/>
    <numFmt numFmtId="178" formatCode="&quot;$&quot;\ #,##0"/>
    <numFmt numFmtId="179" formatCode="_-[$$-240A]\ * #,##0.00_-;\-[$$-240A]\ * #,##0.00_-;_-[$$-240A]\ * &quot;-&quot;??_-;_-@_-"/>
    <numFmt numFmtId="180" formatCode="0.0%"/>
    <numFmt numFmtId="181" formatCode="_-* #,##0.0\ _€_-;\-* #,##0.0\ _€_-;_-* &quot;-&quot;??\ _€_-;_-@_-"/>
  </numFmts>
  <fonts count="42" x14ac:knownFonts="1">
    <font>
      <sz val="11"/>
      <color theme="1"/>
      <name val="Calibri"/>
      <family val="2"/>
      <scheme val="minor"/>
    </font>
    <font>
      <sz val="10"/>
      <color theme="1"/>
      <name val="Arial"/>
      <family val="2"/>
    </font>
    <font>
      <sz val="11"/>
      <color theme="1"/>
      <name val="Calibri"/>
      <family val="2"/>
      <scheme val="minor"/>
    </font>
    <font>
      <sz val="10"/>
      <color rgb="FF000000"/>
      <name val="Times New Roman"/>
      <family val="1"/>
    </font>
    <font>
      <sz val="11"/>
      <color rgb="FF000000"/>
      <name val="Calibri"/>
      <family val="2"/>
    </font>
    <font>
      <b/>
      <sz val="11"/>
      <color theme="1"/>
      <name val="Calibri"/>
      <family val="2"/>
      <scheme val="minor"/>
    </font>
    <font>
      <sz val="10"/>
      <color theme="1"/>
      <name val="Arial"/>
      <family val="2"/>
    </font>
    <font>
      <sz val="10"/>
      <name val="Arial"/>
      <family val="2"/>
    </font>
    <font>
      <sz val="8"/>
      <name val="Arial Narrow"/>
      <family val="2"/>
    </font>
    <font>
      <sz val="8"/>
      <color theme="1"/>
      <name val="Arial Narrow"/>
      <family val="2"/>
    </font>
    <font>
      <b/>
      <sz val="8"/>
      <name val="Arial Narrow"/>
      <family val="2"/>
    </font>
    <font>
      <b/>
      <sz val="8"/>
      <color theme="1"/>
      <name val="Arial Narrow"/>
      <family val="2"/>
    </font>
    <font>
      <b/>
      <sz val="8"/>
      <color rgb="FFFF0000"/>
      <name val="Arial Narrow"/>
      <family val="2"/>
    </font>
    <font>
      <sz val="8"/>
      <color rgb="FFFFFFFF"/>
      <name val="Arial Narrow"/>
      <family val="2"/>
    </font>
    <font>
      <sz val="8"/>
      <color theme="1"/>
      <name val="Arial"/>
      <family val="2"/>
    </font>
    <font>
      <sz val="6.8"/>
      <color theme="1"/>
      <name val="Arial Narrow"/>
      <family val="2"/>
    </font>
    <font>
      <b/>
      <sz val="9"/>
      <name val="Arial Narrow"/>
      <family val="2"/>
    </font>
    <font>
      <sz val="9"/>
      <color theme="1"/>
      <name val="Arial Narrow"/>
      <family val="2"/>
    </font>
    <font>
      <b/>
      <sz val="9"/>
      <color theme="1"/>
      <name val="Arial Narrow"/>
      <family val="2"/>
    </font>
    <font>
      <sz val="8"/>
      <color theme="1"/>
      <name val="Calibri"/>
      <family val="2"/>
      <scheme val="minor"/>
    </font>
    <font>
      <u/>
      <sz val="11"/>
      <color theme="10"/>
      <name val="Calibri"/>
      <family val="2"/>
      <scheme val="minor"/>
    </font>
    <font>
      <sz val="10"/>
      <color indexed="8"/>
      <name val="Arial"/>
      <family val="2"/>
    </font>
    <font>
      <u/>
      <sz val="7.5"/>
      <color indexed="12"/>
      <name val="Arial"/>
      <family val="2"/>
    </font>
    <font>
      <u/>
      <sz val="10"/>
      <color indexed="12"/>
      <name val="Arial"/>
      <family val="2"/>
    </font>
    <font>
      <sz val="11"/>
      <name val="Bookman Old Style"/>
      <family val="1"/>
    </font>
    <font>
      <u/>
      <sz val="10"/>
      <color theme="10"/>
      <name val="Arial"/>
      <family val="2"/>
    </font>
    <font>
      <sz val="11"/>
      <color rgb="FF000000"/>
      <name val="Calibri"/>
      <family val="2"/>
      <charset val="204"/>
    </font>
    <font>
      <sz val="9"/>
      <color indexed="81"/>
      <name val="Tahoma"/>
      <family val="2"/>
    </font>
    <font>
      <b/>
      <sz val="9"/>
      <color indexed="81"/>
      <name val="Tahoma"/>
      <family val="2"/>
    </font>
    <font>
      <sz val="9"/>
      <color rgb="FF000000"/>
      <name val="Arial Narrow"/>
      <family val="2"/>
    </font>
    <font>
      <b/>
      <sz val="8"/>
      <color theme="0"/>
      <name val="Arial Narrow"/>
      <family val="2"/>
    </font>
    <font>
      <sz val="9"/>
      <color theme="1"/>
      <name val="Calibri"/>
      <family val="2"/>
      <scheme val="minor"/>
    </font>
    <font>
      <sz val="9"/>
      <name val="Calibri"/>
      <family val="2"/>
      <scheme val="minor"/>
    </font>
    <font>
      <sz val="8"/>
      <color rgb="FF000000"/>
      <name val="Bookman Old Style"/>
      <family val="1"/>
    </font>
    <font>
      <sz val="8"/>
      <color rgb="FF000000"/>
      <name val="Arial Narrow"/>
      <family val="2"/>
    </font>
    <font>
      <sz val="10"/>
      <name val="Arial"/>
      <family val="2"/>
    </font>
    <font>
      <b/>
      <sz val="9"/>
      <color rgb="FF000000"/>
      <name val="Arial Narrow"/>
      <family val="2"/>
    </font>
    <font>
      <sz val="8"/>
      <color rgb="FFFF0000"/>
      <name val="Arial Narrow"/>
      <family val="2"/>
    </font>
    <font>
      <sz val="9"/>
      <name val="Arial Narrow"/>
      <family val="2"/>
    </font>
    <font>
      <i/>
      <sz val="9"/>
      <name val="Arial Narrow"/>
      <family val="2"/>
    </font>
    <font>
      <vertAlign val="subscript"/>
      <sz val="9"/>
      <name val="Arial Narrow"/>
      <family val="2"/>
    </font>
    <font>
      <sz val="9"/>
      <color rgb="FFFF0000"/>
      <name val="Arial Narrow"/>
      <family val="2"/>
    </font>
  </fonts>
  <fills count="4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9"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bgColor theme="4" tint="0.79998168889431442"/>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indexed="31"/>
        <bgColor indexed="64"/>
      </patternFill>
    </fill>
    <fill>
      <patternFill patternType="solid">
        <fgColor theme="0" tint="-0.249977111117893"/>
        <bgColor indexed="64"/>
      </patternFill>
    </fill>
    <fill>
      <patternFill patternType="solid">
        <fgColor rgb="FFD9D9D9"/>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rgb="FFFFF2CC"/>
        <bgColor rgb="FF000000"/>
      </patternFill>
    </fill>
    <fill>
      <patternFill patternType="solid">
        <fgColor rgb="FFD0CECE"/>
        <bgColor rgb="FF000000"/>
      </patternFill>
    </fill>
    <fill>
      <patternFill patternType="solid">
        <fgColor rgb="FF70AD47"/>
        <bgColor rgb="FF000000"/>
      </patternFill>
    </fill>
    <fill>
      <patternFill patternType="solid">
        <fgColor rgb="FFDDEBF7"/>
        <bgColor rgb="FF000000"/>
      </patternFill>
    </fill>
    <fill>
      <patternFill patternType="solid">
        <fgColor rgb="FFB4C6E7"/>
        <bgColor rgb="FF000000"/>
      </patternFill>
    </fill>
    <fill>
      <patternFill patternType="solid">
        <fgColor rgb="FFF8CBAD"/>
        <bgColor rgb="FF000000"/>
      </patternFill>
    </fill>
    <fill>
      <patternFill patternType="solid">
        <fgColor rgb="FFC6E0B4"/>
        <bgColor rgb="FF000000"/>
      </patternFill>
    </fill>
    <fill>
      <patternFill patternType="solid">
        <fgColor theme="9" tint="0.39997558519241921"/>
        <bgColor indexed="64"/>
      </patternFill>
    </fill>
    <fill>
      <patternFill patternType="solid">
        <fgColor theme="3" tint="0.399975585192419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indexed="64"/>
      </left>
      <right/>
      <top style="thin">
        <color indexed="64"/>
      </top>
      <bottom/>
      <diagonal/>
    </border>
  </borders>
  <cellStyleXfs count="101">
    <xf numFmtId="0" fontId="0"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3" fillId="0" borderId="0"/>
    <xf numFmtId="171" fontId="4" fillId="0" borderId="0" applyBorder="0" applyProtection="0"/>
    <xf numFmtId="0" fontId="2" fillId="0" borderId="0"/>
    <xf numFmtId="171" fontId="3" fillId="0" borderId="0" applyBorder="0" applyProtection="0"/>
    <xf numFmtId="0" fontId="7" fillId="0" borderId="0"/>
    <xf numFmtId="41" fontId="7" fillId="0" borderId="0" applyFont="0" applyFill="0" applyBorder="0" applyAlignment="0" applyProtection="0"/>
    <xf numFmtId="168" fontId="7" fillId="0" borderId="0" applyFont="0" applyFill="0" applyBorder="0" applyAlignment="0" applyProtection="0"/>
    <xf numFmtId="41" fontId="6" fillId="0" borderId="0" applyFont="0" applyFill="0" applyBorder="0" applyAlignment="0" applyProtection="0"/>
    <xf numFmtId="9" fontId="2" fillId="0" borderId="0" applyFont="0" applyFill="0" applyBorder="0" applyAlignment="0" applyProtection="0"/>
    <xf numFmtId="41"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0" fontId="25" fillId="0" borderId="0" applyNumberFormat="0" applyFill="0" applyBorder="0" applyAlignment="0" applyProtection="0">
      <alignment vertical="top"/>
      <protection locked="0"/>
    </xf>
    <xf numFmtId="0" fontId="20" fillId="0" borderId="0" applyNumberFormat="0" applyFill="0" applyBorder="0" applyAlignment="0" applyProtection="0"/>
    <xf numFmtId="0" fontId="25"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 fillId="0" borderId="0" applyNumberFormat="0"/>
    <xf numFmtId="43" fontId="2" fillId="0" borderId="0" applyFont="0" applyFill="0" applyBorder="0" applyAlignment="0" applyProtection="0"/>
    <xf numFmtId="43" fontId="2" fillId="0" borderId="0" applyFont="0" applyFill="0" applyBorder="0" applyAlignment="0" applyProtection="0"/>
    <xf numFmtId="177" fontId="7" fillId="0" borderId="0" applyFont="0" applyFill="0" applyBorder="0" applyAlignment="0" applyProtection="0"/>
    <xf numFmtId="169" fontId="7" fillId="0" borderId="0" applyFont="0" applyFill="0" applyBorder="0" applyAlignment="0" applyProtection="0"/>
    <xf numFmtId="0" fontId="24" fillId="0" borderId="0"/>
    <xf numFmtId="0" fontId="21" fillId="0" borderId="0">
      <alignment vertical="top"/>
    </xf>
    <xf numFmtId="0" fontId="21" fillId="0" borderId="0"/>
    <xf numFmtId="0" fontId="7" fillId="0" borderId="0"/>
    <xf numFmtId="0" fontId="7" fillId="0" borderId="0"/>
    <xf numFmtId="0" fontId="21" fillId="0" borderId="0">
      <alignment vertical="top"/>
    </xf>
    <xf numFmtId="0" fontId="2" fillId="0" borderId="0"/>
    <xf numFmtId="0" fontId="26" fillId="0" borderId="0"/>
    <xf numFmtId="0" fontId="7" fillId="0" borderId="0"/>
    <xf numFmtId="0" fontId="2" fillId="0" borderId="0"/>
    <xf numFmtId="0" fontId="7" fillId="0" borderId="0"/>
    <xf numFmtId="0" fontId="7" fillId="0" borderId="0" applyNumberFormat="0" applyFont="0" applyFill="0" applyBorder="0" applyAlignment="0" applyProtection="0"/>
    <xf numFmtId="0" fontId="2"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26" borderId="8" applyNumberFormat="0" applyProtection="0">
      <alignment horizontal="left" vertical="center"/>
    </xf>
    <xf numFmtId="0" fontId="7" fillId="0" borderId="0"/>
    <xf numFmtId="41" fontId="7" fillId="0" borderId="0" applyFont="0" applyFill="0" applyBorder="0" applyAlignment="0" applyProtection="0"/>
    <xf numFmtId="168" fontId="7" fillId="0" borderId="0" applyFont="0" applyFill="0" applyBorder="0" applyAlignment="0" applyProtection="0"/>
    <xf numFmtId="41"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41" fontId="7" fillId="0" borderId="0" applyFont="0" applyFill="0" applyBorder="0" applyAlignment="0" applyProtection="0"/>
    <xf numFmtId="168" fontId="7" fillId="0" borderId="0" applyFont="0" applyFill="0" applyBorder="0" applyAlignment="0" applyProtection="0"/>
    <xf numFmtId="41"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44" fontId="1" fillId="0" borderId="0" applyFont="0" applyFill="0" applyBorder="0" applyAlignment="0" applyProtection="0"/>
    <xf numFmtId="41" fontId="7"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3" fillId="0" borderId="0" applyNumberFormat="0" applyFill="0" applyBorder="0" applyAlignment="0" applyProtection="0">
      <alignment vertical="top"/>
      <protection locked="0"/>
    </xf>
    <xf numFmtId="0" fontId="35" fillId="0" borderId="0"/>
    <xf numFmtId="41" fontId="7" fillId="0" borderId="0" applyFont="0" applyFill="0" applyBorder="0" applyAlignment="0" applyProtection="0"/>
    <xf numFmtId="41" fontId="1" fillId="0" borderId="0" applyFont="0" applyFill="0" applyBorder="0" applyAlignment="0" applyProtection="0"/>
    <xf numFmtId="41" fontId="7" fillId="0" borderId="0" applyFont="0" applyFill="0" applyBorder="0" applyAlignment="0" applyProtection="0"/>
    <xf numFmtId="41" fontId="1" fillId="0" borderId="0" applyFont="0" applyFill="0" applyBorder="0" applyAlignment="0" applyProtection="0"/>
    <xf numFmtId="0" fontId="7" fillId="0" borderId="0"/>
    <xf numFmtId="0" fontId="7" fillId="0" borderId="0"/>
    <xf numFmtId="44" fontId="1" fillId="0" borderId="0" applyFont="0" applyFill="0" applyBorder="0" applyAlignment="0" applyProtection="0"/>
    <xf numFmtId="169" fontId="2" fillId="0" borderId="0" applyFont="0" applyFill="0" applyBorder="0" applyAlignment="0" applyProtection="0"/>
    <xf numFmtId="0" fontId="20" fillId="0" borderId="0" applyNumberFormat="0" applyFill="0" applyBorder="0" applyAlignment="0" applyProtection="0"/>
  </cellStyleXfs>
  <cellXfs count="590">
    <xf numFmtId="0" fontId="0" fillId="0" borderId="0" xfId="0"/>
    <xf numFmtId="0" fontId="0" fillId="0" borderId="1" xfId="0" applyBorder="1"/>
    <xf numFmtId="0" fontId="0" fillId="0" borderId="1" xfId="0" applyBorder="1" applyAlignment="1">
      <alignment vertical="center" wrapText="1"/>
    </xf>
    <xf numFmtId="0" fontId="0" fillId="0" borderId="1" xfId="0" applyBorder="1" applyAlignment="1">
      <alignment wrapText="1"/>
    </xf>
    <xf numFmtId="0" fontId="9" fillId="0" borderId="1" xfId="0" applyFont="1" applyBorder="1" applyAlignment="1">
      <alignment horizontal="left" vertical="center"/>
    </xf>
    <xf numFmtId="0" fontId="9" fillId="0" borderId="1" xfId="0" applyFont="1" applyBorder="1" applyAlignment="1">
      <alignment vertical="center" wrapText="1"/>
    </xf>
    <xf numFmtId="173" fontId="9" fillId="0" borderId="1" xfId="1" applyNumberFormat="1" applyFont="1" applyBorder="1"/>
    <xf numFmtId="0" fontId="8" fillId="2" borderId="1" xfId="8" applyFont="1" applyFill="1" applyBorder="1" applyAlignment="1">
      <alignment horizontal="center" vertical="center" wrapText="1"/>
    </xf>
    <xf numFmtId="0" fontId="8" fillId="0" borderId="1" xfId="8" quotePrefix="1" applyFont="1" applyBorder="1" applyAlignment="1">
      <alignment horizontal="center" vertical="center" wrapText="1"/>
    </xf>
    <xf numFmtId="173" fontId="9" fillId="0" borderId="1" xfId="1" applyNumberFormat="1" applyFont="1" applyFill="1" applyBorder="1"/>
    <xf numFmtId="173" fontId="9" fillId="0" borderId="1" xfId="0" applyNumberFormat="1" applyFont="1" applyBorder="1"/>
    <xf numFmtId="0" fontId="9" fillId="0" borderId="1" xfId="0" applyFont="1" applyBorder="1"/>
    <xf numFmtId="41" fontId="9" fillId="0" borderId="1" xfId="11" applyFont="1" applyFill="1" applyBorder="1" applyAlignment="1">
      <alignment vertical="center"/>
    </xf>
    <xf numFmtId="174" fontId="9" fillId="0" borderId="1" xfId="1" applyNumberFormat="1" applyFont="1" applyFill="1" applyBorder="1"/>
    <xf numFmtId="0" fontId="9" fillId="2" borderId="1" xfId="0" applyFont="1" applyFill="1" applyBorder="1" applyAlignment="1">
      <alignment wrapText="1"/>
    </xf>
    <xf numFmtId="0" fontId="8" fillId="0" borderId="1" xfId="4" applyFont="1" applyBorder="1" applyAlignment="1">
      <alignment horizontal="left" wrapText="1"/>
    </xf>
    <xf numFmtId="3" fontId="9" fillId="0" borderId="1" xfId="0" applyNumberFormat="1" applyFont="1" applyBorder="1"/>
    <xf numFmtId="174" fontId="9" fillId="0" borderId="1" xfId="1" applyNumberFormat="1" applyFont="1" applyBorder="1"/>
    <xf numFmtId="9" fontId="0" fillId="0" borderId="1" xfId="12" applyFont="1" applyBorder="1" applyAlignment="1">
      <alignment vertical="center"/>
    </xf>
    <xf numFmtId="9" fontId="0" fillId="0" borderId="0" xfId="12" applyFont="1"/>
    <xf numFmtId="9" fontId="0" fillId="0" borderId="1" xfId="12" applyFont="1" applyBorder="1"/>
    <xf numFmtId="9" fontId="0" fillId="0" borderId="0" xfId="0" applyNumberFormat="1"/>
    <xf numFmtId="0" fontId="9" fillId="0" borderId="1" xfId="0" applyFont="1" applyBorder="1" applyAlignment="1">
      <alignment horizontal="left" vertical="center" wrapText="1"/>
    </xf>
    <xf numFmtId="0" fontId="9"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protection locked="0"/>
    </xf>
    <xf numFmtId="0" fontId="9" fillId="0" borderId="1" xfId="0" applyFont="1" applyBorder="1" applyAlignment="1">
      <alignment horizontal="center" vertical="center" wrapText="1"/>
    </xf>
    <xf numFmtId="49" fontId="8" fillId="0" borderId="1" xfId="4" applyNumberFormat="1" applyFont="1" applyBorder="1" applyAlignment="1">
      <alignment horizontal="left" vertical="center" wrapText="1"/>
    </xf>
    <xf numFmtId="1" fontId="9" fillId="0" borderId="1" xfId="0" applyNumberFormat="1" applyFont="1" applyBorder="1" applyAlignment="1" applyProtection="1">
      <alignment horizontal="center" vertical="center"/>
      <protection locked="0"/>
    </xf>
    <xf numFmtId="0" fontId="9" fillId="0" borderId="0" xfId="0" applyFont="1"/>
    <xf numFmtId="1" fontId="10" fillId="4" borderId="1" xfId="4" applyNumberFormat="1" applyFont="1" applyFill="1" applyBorder="1" applyAlignment="1">
      <alignment horizontal="center" vertical="center" wrapText="1"/>
    </xf>
    <xf numFmtId="0" fontId="9" fillId="0" borderId="1" xfId="0" applyFont="1" applyBorder="1" applyAlignment="1">
      <alignment horizontal="center"/>
    </xf>
    <xf numFmtId="174" fontId="9" fillId="0" borderId="1" xfId="1" applyNumberFormat="1" applyFont="1" applyFill="1" applyBorder="1" applyAlignment="1">
      <alignment horizontal="center"/>
    </xf>
    <xf numFmtId="0" fontId="9" fillId="0" borderId="1" xfId="0" applyFont="1" applyBorder="1" applyAlignment="1">
      <alignment horizontal="left"/>
    </xf>
    <xf numFmtId="0" fontId="9" fillId="0" borderId="1" xfId="0" applyFont="1" applyBorder="1" applyAlignment="1">
      <alignment horizontal="center" vertical="center"/>
    </xf>
    <xf numFmtId="174" fontId="9" fillId="0" borderId="1" xfId="2" applyNumberFormat="1" applyFont="1" applyBorder="1"/>
    <xf numFmtId="165" fontId="9" fillId="0" borderId="1" xfId="2" applyFont="1" applyBorder="1"/>
    <xf numFmtId="174" fontId="9" fillId="0" borderId="1" xfId="0" applyNumberFormat="1" applyFont="1" applyBorder="1" applyAlignment="1">
      <alignment horizontal="center" vertical="center" wrapText="1"/>
    </xf>
    <xf numFmtId="174" fontId="9" fillId="0" borderId="1" xfId="0" applyNumberFormat="1" applyFont="1" applyBorder="1" applyAlignment="1">
      <alignment horizontal="center"/>
    </xf>
    <xf numFmtId="174" fontId="9" fillId="2" borderId="1" xfId="2" applyNumberFormat="1" applyFont="1" applyFill="1" applyBorder="1" applyAlignment="1"/>
    <xf numFmtId="174" fontId="9" fillId="0" borderId="1" xfId="0" applyNumberFormat="1" applyFont="1" applyBorder="1"/>
    <xf numFmtId="174" fontId="9" fillId="0" borderId="1" xfId="2" applyNumberFormat="1" applyFont="1" applyBorder="1" applyAlignment="1">
      <alignment horizontal="center"/>
    </xf>
    <xf numFmtId="174" fontId="9" fillId="0" borderId="1" xfId="3" quotePrefix="1" applyNumberFormat="1" applyFont="1" applyFill="1" applyBorder="1" applyAlignment="1">
      <alignment horizontal="center" vertical="center"/>
    </xf>
    <xf numFmtId="174" fontId="9" fillId="2" borderId="1" xfId="2" applyNumberFormat="1" applyFont="1" applyFill="1" applyBorder="1"/>
    <xf numFmtId="0" fontId="9" fillId="0" borderId="1" xfId="0" applyFont="1" applyBorder="1" applyAlignment="1">
      <alignment horizontal="left" wrapText="1"/>
    </xf>
    <xf numFmtId="174" fontId="9" fillId="0" borderId="1" xfId="2" applyNumberFormat="1" applyFont="1" applyFill="1" applyBorder="1"/>
    <xf numFmtId="49" fontId="9" fillId="0" borderId="1" xfId="0" applyNumberFormat="1" applyFont="1" applyBorder="1" applyAlignment="1">
      <alignment horizontal="center" vertical="center"/>
    </xf>
    <xf numFmtId="0" fontId="9" fillId="0" borderId="1" xfId="0" applyFont="1" applyBorder="1" applyAlignment="1">
      <alignment horizontal="center" wrapText="1"/>
    </xf>
    <xf numFmtId="174" fontId="8" fillId="0" borderId="1" xfId="3" applyNumberFormat="1" applyFont="1" applyFill="1" applyBorder="1" applyAlignment="1">
      <alignment horizontal="center" vertical="center"/>
    </xf>
    <xf numFmtId="0" fontId="9" fillId="0" borderId="1" xfId="0" applyFont="1" applyBorder="1" applyAlignment="1">
      <alignment wrapText="1"/>
    </xf>
    <xf numFmtId="0" fontId="9" fillId="0" borderId="0" xfId="0" applyFont="1" applyAlignment="1">
      <alignment horizontal="center" vertical="center"/>
    </xf>
    <xf numFmtId="0" fontId="9" fillId="2" borderId="1" xfId="0" applyFont="1" applyFill="1" applyBorder="1" applyAlignment="1">
      <alignment vertical="top" wrapText="1"/>
    </xf>
    <xf numFmtId="0" fontId="9" fillId="0" borderId="1" xfId="0" applyFont="1" applyBorder="1" applyAlignment="1" applyProtection="1">
      <alignment vertical="center" wrapText="1"/>
      <protection locked="0"/>
    </xf>
    <xf numFmtId="0" fontId="9" fillId="0" borderId="1" xfId="0" applyFont="1" applyBorder="1" applyAlignment="1">
      <alignment vertical="center"/>
    </xf>
    <xf numFmtId="0" fontId="9" fillId="0" borderId="1" xfId="6" applyFont="1" applyBorder="1" applyAlignment="1">
      <alignment horizontal="left" vertical="center" wrapText="1"/>
    </xf>
    <xf numFmtId="0" fontId="9" fillId="0" borderId="1" xfId="0" applyFont="1" applyBorder="1" applyAlignment="1" applyProtection="1">
      <alignment vertical="center"/>
      <protection locked="0"/>
    </xf>
    <xf numFmtId="0" fontId="9" fillId="0" borderId="1" xfId="6" applyFont="1" applyBorder="1" applyAlignment="1">
      <alignment horizontal="left" vertical="center"/>
    </xf>
    <xf numFmtId="171" fontId="8" fillId="0" borderId="1" xfId="5" applyFont="1" applyBorder="1" applyAlignment="1" applyProtection="1">
      <alignment horizontal="left" vertical="center"/>
    </xf>
    <xf numFmtId="171" fontId="8" fillId="0" borderId="1" xfId="5" applyFont="1" applyBorder="1" applyAlignment="1" applyProtection="1">
      <alignment horizontal="left" vertical="center" wrapText="1"/>
    </xf>
    <xf numFmtId="172" fontId="9" fillId="0" borderId="1" xfId="0" applyNumberFormat="1" applyFont="1" applyBorder="1" applyAlignment="1" applyProtection="1">
      <alignment horizontal="left" vertical="center"/>
      <protection locked="0"/>
    </xf>
    <xf numFmtId="49" fontId="8" fillId="0" borderId="1" xfId="4" applyNumberFormat="1" applyFont="1" applyBorder="1" applyAlignment="1">
      <alignment horizontal="left" vertical="center"/>
    </xf>
    <xf numFmtId="0" fontId="13" fillId="0" borderId="1" xfId="0" applyFont="1" applyBorder="1" applyAlignment="1">
      <alignment vertical="center"/>
    </xf>
    <xf numFmtId="175" fontId="9" fillId="0" borderId="1" xfId="1" applyNumberFormat="1" applyFont="1" applyBorder="1" applyAlignment="1">
      <alignment horizontal="center"/>
    </xf>
    <xf numFmtId="174" fontId="9" fillId="0" borderId="1" xfId="0" applyNumberFormat="1" applyFont="1" applyBorder="1" applyAlignment="1">
      <alignment wrapText="1"/>
    </xf>
    <xf numFmtId="172" fontId="9" fillId="0" borderId="1" xfId="0" applyNumberFormat="1" applyFont="1" applyBorder="1" applyAlignment="1" applyProtection="1">
      <alignment horizontal="left" vertical="center" wrapText="1"/>
      <protection locked="0"/>
    </xf>
    <xf numFmtId="174" fontId="9" fillId="0" borderId="1" xfId="0" applyNumberFormat="1" applyFont="1" applyBorder="1" applyAlignment="1">
      <alignment vertical="center" wrapText="1"/>
    </xf>
    <xf numFmtId="165" fontId="9" fillId="0" borderId="1" xfId="2" applyFont="1" applyBorder="1" applyAlignment="1">
      <alignment horizontal="center"/>
    </xf>
    <xf numFmtId="174" fontId="9" fillId="0" borderId="1" xfId="2" applyNumberFormat="1" applyFont="1" applyBorder="1" applyAlignment="1">
      <alignment horizontal="center" vertical="center"/>
    </xf>
    <xf numFmtId="165" fontId="9" fillId="0" borderId="1" xfId="2" applyFont="1" applyBorder="1" applyAlignment="1"/>
    <xf numFmtId="0" fontId="9" fillId="0" borderId="1" xfId="0" applyFont="1" applyBorder="1" applyProtection="1">
      <protection locked="0"/>
    </xf>
    <xf numFmtId="0" fontId="9" fillId="0" borderId="0" xfId="0" applyFont="1" applyAlignment="1">
      <alignment horizontal="center"/>
    </xf>
    <xf numFmtId="0" fontId="9" fillId="0" borderId="0" xfId="0" applyFont="1" applyAlignment="1">
      <alignment wrapText="1"/>
    </xf>
    <xf numFmtId="3" fontId="8" fillId="0" borderId="1" xfId="0" applyNumberFormat="1" applyFont="1" applyBorder="1"/>
    <xf numFmtId="175" fontId="9" fillId="0" borderId="0" xfId="1" applyNumberFormat="1" applyFont="1" applyBorder="1"/>
    <xf numFmtId="174" fontId="11" fillId="0" borderId="1" xfId="1" applyNumberFormat="1" applyFont="1" applyFill="1" applyBorder="1" applyAlignment="1">
      <alignment horizontal="center"/>
    </xf>
    <xf numFmtId="175" fontId="9" fillId="0" borderId="1" xfId="1" applyNumberFormat="1" applyFont="1" applyBorder="1" applyAlignment="1"/>
    <xf numFmtId="0" fontId="8" fillId="0" borderId="1" xfId="4" applyFont="1" applyBorder="1" applyAlignment="1">
      <alignment horizontal="justify" vertical="center" wrapText="1"/>
    </xf>
    <xf numFmtId="0" fontId="8" fillId="0" borderId="1" xfId="4" applyFont="1" applyBorder="1" applyAlignment="1">
      <alignment horizontal="left" vertical="center" wrapText="1"/>
    </xf>
    <xf numFmtId="175" fontId="9" fillId="0" borderId="1" xfId="0" applyNumberFormat="1" applyFont="1" applyBorder="1"/>
    <xf numFmtId="0" fontId="9" fillId="3" borderId="1" xfId="0" applyFont="1" applyFill="1" applyBorder="1"/>
    <xf numFmtId="0" fontId="8" fillId="0" borderId="1" xfId="4"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xf>
    <xf numFmtId="1" fontId="10" fillId="17" borderId="1" xfId="4" applyNumberFormat="1" applyFont="1" applyFill="1" applyBorder="1" applyAlignment="1">
      <alignment horizontal="center" vertical="center" wrapText="1"/>
    </xf>
    <xf numFmtId="1" fontId="10" fillId="4" borderId="5" xfId="4" applyNumberFormat="1" applyFont="1" applyFill="1" applyBorder="1" applyAlignment="1">
      <alignment horizontal="center" vertical="center" wrapText="1"/>
    </xf>
    <xf numFmtId="174" fontId="9" fillId="0" borderId="2" xfId="0" applyNumberFormat="1" applyFont="1" applyBorder="1"/>
    <xf numFmtId="1" fontId="10" fillId="3" borderId="1" xfId="4" applyNumberFormat="1" applyFont="1" applyFill="1" applyBorder="1" applyAlignment="1">
      <alignment horizontal="center" vertical="center" wrapText="1"/>
    </xf>
    <xf numFmtId="0" fontId="10" fillId="3" borderId="1" xfId="4" applyFont="1" applyFill="1" applyBorder="1" applyAlignment="1">
      <alignment horizontal="center" vertical="center" wrapText="1"/>
    </xf>
    <xf numFmtId="1" fontId="10" fillId="18" borderId="1" xfId="4" applyNumberFormat="1" applyFont="1" applyFill="1" applyBorder="1" applyAlignment="1">
      <alignment horizontal="center" vertical="center" wrapText="1"/>
    </xf>
    <xf numFmtId="0" fontId="10" fillId="18" borderId="1" xfId="4" applyFont="1" applyFill="1" applyBorder="1" applyAlignment="1">
      <alignment horizontal="center" vertical="center" wrapText="1"/>
    </xf>
    <xf numFmtId="1" fontId="10" fillId="19" borderId="1" xfId="4" applyNumberFormat="1" applyFont="1" applyFill="1" applyBorder="1" applyAlignment="1">
      <alignment horizontal="center" vertical="center" wrapText="1"/>
    </xf>
    <xf numFmtId="0" fontId="10" fillId="19" borderId="1" xfId="4" applyFont="1" applyFill="1" applyBorder="1" applyAlignment="1">
      <alignment horizontal="center" vertical="center" wrapText="1"/>
    </xf>
    <xf numFmtId="1" fontId="10" fillId="12" borderId="1" xfId="4" applyNumberFormat="1" applyFont="1" applyFill="1" applyBorder="1" applyAlignment="1">
      <alignment horizontal="center" vertical="center" wrapText="1"/>
    </xf>
    <xf numFmtId="0" fontId="10" fillId="12" borderId="1" xfId="4" applyFont="1" applyFill="1" applyBorder="1" applyAlignment="1">
      <alignment horizontal="center" vertical="center" wrapText="1"/>
    </xf>
    <xf numFmtId="0" fontId="10" fillId="14" borderId="1" xfId="4" applyFont="1" applyFill="1" applyBorder="1" applyAlignment="1">
      <alignment horizontal="center" vertical="center" wrapText="1"/>
    </xf>
    <xf numFmtId="1" fontId="10" fillId="13" borderId="1" xfId="4" applyNumberFormat="1" applyFont="1" applyFill="1" applyBorder="1" applyAlignment="1">
      <alignment horizontal="center" vertical="center" wrapText="1"/>
    </xf>
    <xf numFmtId="0" fontId="10" fillId="13" borderId="1" xfId="4" applyFont="1" applyFill="1" applyBorder="1" applyAlignment="1">
      <alignment horizontal="center" vertical="center" wrapText="1"/>
    </xf>
    <xf numFmtId="0" fontId="10" fillId="11" borderId="1" xfId="4" applyFont="1" applyFill="1" applyBorder="1" applyAlignment="1">
      <alignment horizontal="center" vertical="center" wrapText="1"/>
    </xf>
    <xf numFmtId="1" fontId="10" fillId="20" borderId="1" xfId="4" applyNumberFormat="1" applyFont="1" applyFill="1" applyBorder="1" applyAlignment="1">
      <alignment horizontal="center" vertical="center" wrapText="1"/>
    </xf>
    <xf numFmtId="0" fontId="10" fillId="20" borderId="1" xfId="4" applyFont="1" applyFill="1" applyBorder="1" applyAlignment="1">
      <alignment horizontal="center" vertical="center" wrapText="1"/>
    </xf>
    <xf numFmtId="0" fontId="10" fillId="21" borderId="1" xfId="4" applyFont="1" applyFill="1" applyBorder="1" applyAlignment="1">
      <alignment horizontal="center" vertical="center" wrapText="1"/>
    </xf>
    <xf numFmtId="1" fontId="10" fillId="22" borderId="1" xfId="4" applyNumberFormat="1" applyFont="1" applyFill="1" applyBorder="1" applyAlignment="1">
      <alignment horizontal="center" vertical="center" wrapText="1"/>
    </xf>
    <xf numFmtId="0" fontId="10" fillId="22" borderId="1" xfId="4" applyFont="1" applyFill="1" applyBorder="1" applyAlignment="1">
      <alignment horizontal="center" vertical="center" wrapText="1"/>
    </xf>
    <xf numFmtId="0" fontId="10" fillId="23" borderId="1" xfId="4" applyFont="1" applyFill="1" applyBorder="1" applyAlignment="1">
      <alignment horizontal="center" vertical="center" wrapText="1"/>
    </xf>
    <xf numFmtId="1" fontId="10" fillId="15" borderId="1" xfId="4" applyNumberFormat="1" applyFont="1" applyFill="1" applyBorder="1" applyAlignment="1">
      <alignment horizontal="center" vertical="center" wrapText="1"/>
    </xf>
    <xf numFmtId="0" fontId="10" fillId="15" borderId="1" xfId="4" applyFont="1" applyFill="1" applyBorder="1" applyAlignment="1">
      <alignment horizontal="center" vertical="center" wrapText="1"/>
    </xf>
    <xf numFmtId="1" fontId="10" fillId="6" borderId="1" xfId="4" applyNumberFormat="1" applyFont="1" applyFill="1" applyBorder="1" applyAlignment="1">
      <alignment horizontal="center" vertical="center" wrapText="1"/>
    </xf>
    <xf numFmtId="0" fontId="10" fillId="6" borderId="1" xfId="4" applyFont="1" applyFill="1" applyBorder="1" applyAlignment="1">
      <alignment horizontal="center" vertical="center" wrapText="1"/>
    </xf>
    <xf numFmtId="1" fontId="10" fillId="24" borderId="1" xfId="4" applyNumberFormat="1" applyFont="1" applyFill="1" applyBorder="1" applyAlignment="1">
      <alignment horizontal="center" vertical="center" wrapText="1"/>
    </xf>
    <xf numFmtId="0" fontId="10" fillId="24" borderId="1" xfId="4" applyFont="1" applyFill="1" applyBorder="1" applyAlignment="1">
      <alignment horizontal="center" vertical="center" wrapText="1"/>
    </xf>
    <xf numFmtId="0" fontId="10" fillId="10" borderId="1" xfId="4" applyFont="1" applyFill="1" applyBorder="1" applyAlignment="1">
      <alignment horizontal="center" vertical="center" wrapText="1"/>
    </xf>
    <xf numFmtId="0" fontId="10" fillId="25" borderId="1" xfId="4" applyFont="1" applyFill="1" applyBorder="1" applyAlignment="1">
      <alignment horizontal="center" vertical="center" wrapText="1"/>
    </xf>
    <xf numFmtId="0" fontId="9" fillId="0" borderId="1" xfId="0" applyFont="1" applyBorder="1" applyAlignment="1" applyProtection="1">
      <alignment horizontal="left"/>
      <protection locked="0"/>
    </xf>
    <xf numFmtId="0" fontId="8" fillId="0" borderId="1" xfId="4" applyFont="1" applyBorder="1" applyAlignment="1">
      <alignment horizontal="left" vertical="top" wrapText="1"/>
    </xf>
    <xf numFmtId="175" fontId="9" fillId="0" borderId="1" xfId="1" applyNumberFormat="1" applyFont="1" applyFill="1" applyBorder="1" applyAlignment="1">
      <alignment vertical="center"/>
    </xf>
    <xf numFmtId="173" fontId="9" fillId="0" borderId="1" xfId="1" applyNumberFormat="1" applyFont="1" applyFill="1" applyBorder="1" applyAlignment="1">
      <alignment vertical="center"/>
    </xf>
    <xf numFmtId="0" fontId="9" fillId="0" borderId="0" xfId="0" applyFont="1" applyAlignment="1">
      <alignment vertical="center"/>
    </xf>
    <xf numFmtId="175" fontId="9" fillId="0" borderId="1" xfId="1" applyNumberFormat="1" applyFont="1" applyFill="1" applyBorder="1" applyAlignment="1">
      <alignment horizontal="center" vertical="center" wrapText="1"/>
    </xf>
    <xf numFmtId="175" fontId="8" fillId="0" borderId="1" xfId="1" applyNumberFormat="1" applyFont="1" applyFill="1" applyBorder="1" applyAlignment="1" applyProtection="1">
      <alignment horizontal="left" vertical="center" wrapText="1"/>
    </xf>
    <xf numFmtId="175" fontId="9" fillId="0" borderId="1" xfId="1" applyNumberFormat="1" applyFont="1" applyBorder="1" applyAlignment="1">
      <alignment vertical="center"/>
    </xf>
    <xf numFmtId="175" fontId="9" fillId="0" borderId="1" xfId="1" applyNumberFormat="1" applyFont="1" applyFill="1" applyBorder="1" applyAlignment="1">
      <alignment horizontal="left" vertical="center" wrapText="1"/>
    </xf>
    <xf numFmtId="175" fontId="10" fillId="17" borderId="1" xfId="1" applyNumberFormat="1" applyFont="1" applyFill="1" applyBorder="1" applyAlignment="1" applyProtection="1">
      <alignment horizontal="center" vertical="center" wrapText="1"/>
    </xf>
    <xf numFmtId="175" fontId="9" fillId="0" borderId="1" xfId="1" applyNumberFormat="1" applyFont="1" applyFill="1" applyBorder="1" applyAlignment="1">
      <alignment horizontal="left" vertical="center"/>
    </xf>
    <xf numFmtId="175" fontId="9" fillId="0" borderId="1" xfId="1" applyNumberFormat="1" applyFont="1" applyFill="1" applyBorder="1" applyAlignment="1" applyProtection="1">
      <alignment horizontal="left" vertical="center"/>
      <protection locked="0"/>
    </xf>
    <xf numFmtId="175" fontId="9" fillId="0" borderId="0" xfId="1" applyNumberFormat="1" applyFont="1" applyBorder="1" applyAlignment="1">
      <alignment vertical="center"/>
    </xf>
    <xf numFmtId="0" fontId="9" fillId="3" borderId="1" xfId="0" applyFont="1" applyFill="1" applyBorder="1" applyAlignment="1">
      <alignment wrapText="1"/>
    </xf>
    <xf numFmtId="175" fontId="9" fillId="0" borderId="1" xfId="1" applyNumberFormat="1" applyFont="1" applyFill="1" applyBorder="1" applyAlignment="1">
      <alignment vertical="center" wrapText="1"/>
    </xf>
    <xf numFmtId="173" fontId="9" fillId="0" borderId="1" xfId="1" applyNumberFormat="1" applyFont="1" applyFill="1" applyBorder="1" applyAlignment="1">
      <alignment vertical="center" wrapText="1"/>
    </xf>
    <xf numFmtId="175" fontId="10" fillId="13" borderId="1" xfId="1" applyNumberFormat="1" applyFont="1" applyFill="1" applyBorder="1" applyAlignment="1" applyProtection="1">
      <alignment horizontal="center" vertical="center" wrapText="1"/>
    </xf>
    <xf numFmtId="0" fontId="9" fillId="0" borderId="0" xfId="0" applyFont="1" applyAlignment="1">
      <alignment vertical="center" wrapText="1"/>
    </xf>
    <xf numFmtId="0" fontId="10" fillId="17" borderId="1" xfId="4" applyFont="1" applyFill="1" applyBorder="1" applyAlignment="1">
      <alignment horizontal="center" vertical="center" wrapText="1"/>
    </xf>
    <xf numFmtId="174" fontId="9" fillId="3" borderId="1" xfId="0" applyNumberFormat="1" applyFont="1" applyFill="1" applyBorder="1" applyAlignment="1">
      <alignment vertical="center"/>
    </xf>
    <xf numFmtId="174" fontId="9" fillId="0" borderId="1" xfId="0" applyNumberFormat="1" applyFont="1" applyBorder="1" applyAlignment="1">
      <alignment vertical="center"/>
    </xf>
    <xf numFmtId="174" fontId="9" fillId="0" borderId="1" xfId="0" applyNumberFormat="1" applyFont="1" applyBorder="1" applyAlignment="1">
      <alignment horizontal="center" vertical="center"/>
    </xf>
    <xf numFmtId="175" fontId="10" fillId="14" borderId="1" xfId="1" applyNumberFormat="1" applyFont="1" applyFill="1" applyBorder="1" applyAlignment="1" applyProtection="1">
      <alignment horizontal="center" vertical="center" wrapText="1"/>
    </xf>
    <xf numFmtId="175" fontId="16" fillId="17" borderId="1" xfId="1" applyNumberFormat="1" applyFont="1" applyFill="1" applyBorder="1" applyAlignment="1" applyProtection="1">
      <alignment horizontal="right" vertical="center" wrapText="1"/>
    </xf>
    <xf numFmtId="175" fontId="17" fillId="0" borderId="1" xfId="1" applyNumberFormat="1" applyFont="1" applyBorder="1" applyAlignment="1">
      <alignment horizontal="right" vertical="center"/>
    </xf>
    <xf numFmtId="175" fontId="17" fillId="0" borderId="1" xfId="1" applyNumberFormat="1" applyFont="1" applyFill="1" applyBorder="1" applyAlignment="1" applyProtection="1">
      <alignment horizontal="right" vertical="center" wrapText="1"/>
    </xf>
    <xf numFmtId="175" fontId="17" fillId="0" borderId="1" xfId="1" applyNumberFormat="1" applyFont="1" applyFill="1" applyBorder="1" applyAlignment="1" applyProtection="1">
      <alignment horizontal="right" vertical="center"/>
    </xf>
    <xf numFmtId="175" fontId="17" fillId="0" borderId="1" xfId="1" applyNumberFormat="1" applyFont="1" applyFill="1" applyBorder="1" applyAlignment="1" applyProtection="1">
      <alignment horizontal="right" vertical="center" wrapText="1"/>
      <protection locked="0"/>
    </xf>
    <xf numFmtId="0" fontId="17" fillId="0" borderId="0" xfId="0" applyFont="1" applyAlignment="1">
      <alignment horizontal="right" vertical="center"/>
    </xf>
    <xf numFmtId="175" fontId="17" fillId="0" borderId="0" xfId="1" applyNumberFormat="1" applyFont="1" applyBorder="1" applyAlignment="1">
      <alignment horizontal="right" vertical="center"/>
    </xf>
    <xf numFmtId="175" fontId="18" fillId="0" borderId="1" xfId="1" applyNumberFormat="1" applyFont="1" applyBorder="1" applyAlignment="1">
      <alignment horizontal="right" vertical="center"/>
    </xf>
    <xf numFmtId="175" fontId="11" fillId="0" borderId="1" xfId="1" applyNumberFormat="1" applyFont="1" applyBorder="1" applyAlignment="1">
      <alignment vertical="center"/>
    </xf>
    <xf numFmtId="175" fontId="9" fillId="0" borderId="1" xfId="1" applyNumberFormat="1" applyFont="1" applyFill="1" applyBorder="1" applyAlignment="1">
      <alignment horizontal="center" vertical="center"/>
    </xf>
    <xf numFmtId="175" fontId="9" fillId="0" borderId="1" xfId="1" applyNumberFormat="1" applyFont="1" applyBorder="1" applyAlignment="1">
      <alignment horizontal="center" vertical="center"/>
    </xf>
    <xf numFmtId="175" fontId="19" fillId="0" borderId="1" xfId="1" applyNumberFormat="1" applyFont="1" applyBorder="1" applyAlignment="1">
      <alignment horizontal="center" vertical="center" wrapText="1"/>
    </xf>
    <xf numFmtId="175" fontId="10" fillId="25" borderId="1" xfId="1" applyNumberFormat="1" applyFont="1" applyFill="1" applyBorder="1" applyAlignment="1" applyProtection="1">
      <alignment horizontal="center" vertical="center" wrapText="1"/>
    </xf>
    <xf numFmtId="175" fontId="9" fillId="0" borderId="1" xfId="1" applyNumberFormat="1" applyFont="1" applyFill="1" applyBorder="1" applyAlignment="1" applyProtection="1">
      <alignment horizontal="left" vertical="center" wrapText="1"/>
      <protection locked="0"/>
    </xf>
    <xf numFmtId="175" fontId="9" fillId="0" borderId="1" xfId="1" applyNumberFormat="1" applyFont="1" applyFill="1" applyBorder="1" applyAlignment="1" applyProtection="1">
      <alignment horizontal="center" vertical="center" wrapText="1"/>
    </xf>
    <xf numFmtId="175" fontId="10" fillId="15" borderId="1" xfId="1" applyNumberFormat="1" applyFont="1" applyFill="1" applyBorder="1" applyAlignment="1" applyProtection="1">
      <alignment horizontal="center" vertical="center" wrapText="1"/>
    </xf>
    <xf numFmtId="175" fontId="9" fillId="0" borderId="1" xfId="1" applyNumberFormat="1" applyFont="1" applyFill="1" applyBorder="1" applyAlignment="1" applyProtection="1">
      <alignment horizontal="center" vertical="center"/>
    </xf>
    <xf numFmtId="175" fontId="10" fillId="10" borderId="1" xfId="1" applyNumberFormat="1" applyFont="1" applyFill="1" applyBorder="1" applyAlignment="1" applyProtection="1">
      <alignment horizontal="center" vertical="center" wrapText="1"/>
    </xf>
    <xf numFmtId="175" fontId="8" fillId="2" borderId="1" xfId="1" applyNumberFormat="1" applyFont="1" applyFill="1" applyBorder="1" applyAlignment="1">
      <alignment horizontal="center" vertical="center" wrapText="1"/>
    </xf>
    <xf numFmtId="0" fontId="9" fillId="3" borderId="1" xfId="0" applyFont="1" applyFill="1" applyBorder="1" applyAlignment="1">
      <alignment vertical="center"/>
    </xf>
    <xf numFmtId="175" fontId="10" fillId="12" borderId="1" xfId="1" applyNumberFormat="1" applyFont="1" applyFill="1" applyBorder="1" applyAlignment="1" applyProtection="1">
      <alignment horizontal="center" vertical="center" wrapText="1"/>
    </xf>
    <xf numFmtId="175" fontId="9" fillId="0" borderId="1" xfId="1" applyNumberFormat="1" applyFont="1" applyFill="1" applyBorder="1" applyAlignment="1">
      <alignment horizontal="left"/>
    </xf>
    <xf numFmtId="175" fontId="8" fillId="0" borderId="1" xfId="1" applyNumberFormat="1" applyFont="1" applyFill="1" applyBorder="1" applyAlignment="1" applyProtection="1">
      <alignment horizontal="left" vertical="top" wrapText="1"/>
    </xf>
    <xf numFmtId="175" fontId="8" fillId="0" borderId="1" xfId="1" applyNumberFormat="1" applyFont="1" applyFill="1" applyBorder="1" applyAlignment="1" applyProtection="1">
      <alignment horizontal="center" vertical="center" wrapText="1"/>
    </xf>
    <xf numFmtId="175" fontId="9" fillId="0" borderId="1" xfId="1" applyNumberFormat="1" applyFont="1" applyFill="1" applyBorder="1" applyAlignment="1" applyProtection="1">
      <alignment horizontal="left" vertical="top"/>
      <protection locked="0"/>
    </xf>
    <xf numFmtId="175" fontId="9" fillId="0" borderId="1" xfId="1" applyNumberFormat="1" applyFont="1" applyFill="1" applyBorder="1" applyAlignment="1" applyProtection="1">
      <alignment horizontal="center" vertical="center"/>
      <protection locked="0"/>
    </xf>
    <xf numFmtId="175" fontId="9" fillId="0" borderId="1" xfId="1" applyNumberFormat="1" applyFont="1" applyFill="1" applyBorder="1" applyAlignment="1" applyProtection="1">
      <alignment horizontal="left" vertical="top" wrapText="1"/>
      <protection locked="0"/>
    </xf>
    <xf numFmtId="175" fontId="9" fillId="0" borderId="1" xfId="1" applyNumberFormat="1" applyFont="1" applyFill="1" applyBorder="1" applyAlignment="1">
      <alignment horizontal="left" wrapText="1"/>
    </xf>
    <xf numFmtId="41" fontId="7" fillId="2" borderId="1" xfId="9" applyFont="1" applyFill="1" applyBorder="1" applyAlignment="1">
      <alignment horizontal="center" vertical="center" wrapText="1"/>
    </xf>
    <xf numFmtId="174" fontId="9" fillId="3" borderId="1" xfId="0" applyNumberFormat="1" applyFont="1" applyFill="1" applyBorder="1" applyAlignment="1">
      <alignment wrapText="1"/>
    </xf>
    <xf numFmtId="175" fontId="9" fillId="3" borderId="1" xfId="1" applyNumberFormat="1" applyFont="1" applyFill="1" applyBorder="1"/>
    <xf numFmtId="0" fontId="0" fillId="0" borderId="1" xfId="0" applyBorder="1" applyAlignment="1">
      <alignment horizontal="center"/>
    </xf>
    <xf numFmtId="0" fontId="0" fillId="0" borderId="1" xfId="0" applyBorder="1" applyAlignment="1">
      <alignment horizontal="center" vertical="center"/>
    </xf>
    <xf numFmtId="9" fontId="0" fillId="0" borderId="1" xfId="12" applyFont="1" applyBorder="1" applyAlignment="1">
      <alignment horizontal="center"/>
    </xf>
    <xf numFmtId="174" fontId="9" fillId="0" borderId="1" xfId="3" applyNumberFormat="1" applyFont="1" applyFill="1" applyBorder="1" applyAlignment="1">
      <alignment horizontal="center" vertical="center" wrapText="1"/>
    </xf>
    <xf numFmtId="175" fontId="9" fillId="0" borderId="1" xfId="1" applyNumberFormat="1" applyFont="1" applyFill="1" applyBorder="1" applyAlignment="1" applyProtection="1">
      <alignment vertical="center" wrapText="1"/>
    </xf>
    <xf numFmtId="175" fontId="9" fillId="0" borderId="1" xfId="1" applyNumberFormat="1" applyFont="1" applyFill="1" applyBorder="1" applyAlignment="1" applyProtection="1">
      <alignment vertical="center" wrapText="1"/>
      <protection locked="0"/>
    </xf>
    <xf numFmtId="175" fontId="9" fillId="0" borderId="1" xfId="1" applyNumberFormat="1" applyFont="1" applyFill="1" applyBorder="1" applyAlignment="1" applyProtection="1">
      <alignment vertical="center"/>
    </xf>
    <xf numFmtId="175" fontId="9" fillId="0" borderId="1" xfId="1" applyNumberFormat="1" applyFont="1" applyFill="1" applyBorder="1" applyAlignment="1" applyProtection="1">
      <alignment vertical="center"/>
      <protection locked="0"/>
    </xf>
    <xf numFmtId="175" fontId="9" fillId="0" borderId="1" xfId="1" applyNumberFormat="1" applyFont="1" applyFill="1" applyBorder="1" applyAlignment="1" applyProtection="1">
      <alignment horizontal="left" vertical="center"/>
    </xf>
    <xf numFmtId="175" fontId="8" fillId="0" borderId="1" xfId="1" applyNumberFormat="1" applyFont="1" applyFill="1" applyBorder="1" applyAlignment="1" applyProtection="1">
      <alignment horizontal="left" vertical="center"/>
    </xf>
    <xf numFmtId="175" fontId="9" fillId="0" borderId="1" xfId="1" applyNumberFormat="1" applyFont="1" applyFill="1" applyBorder="1" applyAlignment="1">
      <alignment horizontal="center" wrapText="1"/>
    </xf>
    <xf numFmtId="175" fontId="8" fillId="0" borderId="1" xfId="1" applyNumberFormat="1" applyFont="1" applyFill="1" applyBorder="1" applyAlignment="1">
      <alignment horizontal="center" vertical="center" wrapText="1"/>
    </xf>
    <xf numFmtId="175" fontId="9" fillId="0" borderId="1" xfId="1" applyNumberFormat="1" applyFont="1" applyBorder="1" applyAlignment="1" applyProtection="1">
      <alignment vertical="center"/>
      <protection locked="0"/>
    </xf>
    <xf numFmtId="175" fontId="8" fillId="0" borderId="1" xfId="1" applyNumberFormat="1" applyFont="1" applyFill="1" applyBorder="1" applyAlignment="1">
      <alignment vertical="center"/>
    </xf>
    <xf numFmtId="175" fontId="13" fillId="0" borderId="1" xfId="1" applyNumberFormat="1" applyFont="1" applyFill="1" applyBorder="1" applyAlignment="1">
      <alignment vertical="center"/>
    </xf>
    <xf numFmtId="175" fontId="10" fillId="5" borderId="1" xfId="1" applyNumberFormat="1" applyFont="1" applyFill="1" applyBorder="1" applyAlignment="1" applyProtection="1">
      <alignment horizontal="center" vertical="center" wrapText="1"/>
    </xf>
    <xf numFmtId="175" fontId="10" fillId="2" borderId="1" xfId="1" applyNumberFormat="1" applyFont="1" applyFill="1" applyBorder="1" applyAlignment="1">
      <alignment horizontal="center" vertical="center" wrapText="1"/>
    </xf>
    <xf numFmtId="175" fontId="9" fillId="2" borderId="1" xfId="1" applyNumberFormat="1" applyFont="1" applyFill="1" applyBorder="1" applyAlignment="1" applyProtection="1">
      <protection locked="0"/>
    </xf>
    <xf numFmtId="175" fontId="9" fillId="2" borderId="1" xfId="1" applyNumberFormat="1" applyFont="1" applyFill="1" applyBorder="1" applyAlignment="1">
      <alignment horizontal="center"/>
    </xf>
    <xf numFmtId="175" fontId="9" fillId="2" borderId="1" xfId="1" applyNumberFormat="1" applyFont="1" applyFill="1" applyBorder="1" applyAlignment="1">
      <alignment horizontal="center" wrapText="1"/>
    </xf>
    <xf numFmtId="0" fontId="9" fillId="2" borderId="1" xfId="0" applyFont="1" applyFill="1" applyBorder="1" applyAlignment="1">
      <alignment vertical="center"/>
    </xf>
    <xf numFmtId="175" fontId="9" fillId="2" borderId="1" xfId="1" applyNumberFormat="1" applyFont="1" applyFill="1" applyBorder="1" applyAlignment="1" applyProtection="1">
      <alignment vertical="center"/>
      <protection locked="0"/>
    </xf>
    <xf numFmtId="175" fontId="9" fillId="2" borderId="1" xfId="1" applyNumberFormat="1" applyFont="1" applyFill="1" applyBorder="1" applyAlignment="1">
      <alignment horizontal="center" vertical="center" wrapText="1"/>
    </xf>
    <xf numFmtId="175" fontId="9" fillId="2" borderId="1" xfId="1" applyNumberFormat="1" applyFont="1" applyFill="1" applyBorder="1" applyAlignment="1" applyProtection="1">
      <alignment vertical="center"/>
    </xf>
    <xf numFmtId="175" fontId="9" fillId="2" borderId="1" xfId="1" applyNumberFormat="1" applyFont="1" applyFill="1" applyBorder="1" applyAlignment="1">
      <alignment horizontal="center" vertical="center"/>
    </xf>
    <xf numFmtId="0" fontId="10" fillId="5" borderId="1" xfId="4" applyFont="1" applyFill="1" applyBorder="1" applyAlignment="1">
      <alignment horizontal="center" vertical="center" wrapText="1"/>
    </xf>
    <xf numFmtId="174" fontId="9" fillId="0" borderId="1" xfId="3" applyNumberFormat="1" applyFont="1" applyFill="1" applyBorder="1" applyAlignment="1">
      <alignment horizontal="center" vertical="center"/>
    </xf>
    <xf numFmtId="175" fontId="9" fillId="0" borderId="1" xfId="1" applyNumberFormat="1" applyFont="1" applyBorder="1" applyAlignment="1">
      <alignment vertical="center" wrapText="1"/>
    </xf>
    <xf numFmtId="175" fontId="10" fillId="11" borderId="1" xfId="1" applyNumberFormat="1" applyFont="1" applyFill="1" applyBorder="1" applyAlignment="1" applyProtection="1">
      <alignment horizontal="center" vertical="center" wrapText="1"/>
    </xf>
    <xf numFmtId="175" fontId="12" fillId="0" borderId="1" xfId="1" applyNumberFormat="1" applyFont="1" applyFill="1" applyBorder="1" applyAlignment="1">
      <alignment horizontal="center" vertical="center" wrapText="1"/>
    </xf>
    <xf numFmtId="175" fontId="8" fillId="0" borderId="1" xfId="1" applyNumberFormat="1" applyFont="1" applyFill="1" applyBorder="1" applyAlignment="1">
      <alignment horizontal="center" vertical="center"/>
    </xf>
    <xf numFmtId="175" fontId="10" fillId="0" borderId="1" xfId="1" applyNumberFormat="1" applyFont="1" applyFill="1" applyBorder="1" applyAlignment="1">
      <alignment horizontal="center" vertical="center" wrapText="1"/>
    </xf>
    <xf numFmtId="175" fontId="9" fillId="0" borderId="1" xfId="1" quotePrefix="1" applyNumberFormat="1" applyFont="1" applyFill="1" applyBorder="1" applyAlignment="1">
      <alignment horizontal="center" vertical="center"/>
    </xf>
    <xf numFmtId="175" fontId="8" fillId="16" borderId="1" xfId="1" applyNumberFormat="1" applyFont="1" applyFill="1" applyBorder="1" applyAlignment="1">
      <alignment horizontal="center" vertical="center" wrapText="1"/>
    </xf>
    <xf numFmtId="175" fontId="8" fillId="16" borderId="1" xfId="1" applyNumberFormat="1" applyFont="1" applyFill="1" applyBorder="1" applyAlignment="1">
      <alignment horizontal="center" vertical="center"/>
    </xf>
    <xf numFmtId="175" fontId="10" fillId="23" borderId="1" xfId="1" applyNumberFormat="1" applyFont="1" applyFill="1" applyBorder="1" applyAlignment="1" applyProtection="1">
      <alignment horizontal="center" vertical="center" wrapText="1"/>
    </xf>
    <xf numFmtId="175" fontId="9" fillId="2" borderId="1" xfId="1" applyNumberFormat="1" applyFont="1" applyFill="1" applyBorder="1" applyAlignment="1"/>
    <xf numFmtId="175" fontId="9" fillId="0" borderId="1" xfId="1" applyNumberFormat="1" applyFont="1" applyFill="1" applyBorder="1" applyAlignment="1" applyProtection="1">
      <alignment vertical="top"/>
      <protection locked="0"/>
    </xf>
    <xf numFmtId="175" fontId="10" fillId="22" borderId="1" xfId="1" applyNumberFormat="1" applyFont="1" applyFill="1" applyBorder="1" applyAlignment="1" applyProtection="1">
      <alignment horizontal="center" vertical="center" wrapText="1"/>
    </xf>
    <xf numFmtId="174"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175" fontId="10" fillId="18" borderId="1" xfId="1" applyNumberFormat="1"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175" fontId="31" fillId="0" borderId="1" xfId="1" applyNumberFormat="1" applyFont="1" applyBorder="1" applyAlignment="1">
      <alignment vertical="center" wrapText="1"/>
    </xf>
    <xf numFmtId="175" fontId="31" fillId="0" borderId="1" xfId="1" applyNumberFormat="1" applyFont="1" applyFill="1" applyBorder="1" applyAlignment="1">
      <alignment vertical="center" wrapText="1"/>
    </xf>
    <xf numFmtId="175" fontId="31" fillId="0" borderId="1" xfId="1" applyNumberFormat="1" applyFont="1" applyFill="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49" fontId="32" fillId="0" borderId="1" xfId="4" applyNumberFormat="1" applyFont="1" applyBorder="1" applyAlignment="1">
      <alignment horizontal="center" vertical="center" wrapText="1"/>
    </xf>
    <xf numFmtId="175" fontId="9" fillId="19" borderId="1" xfId="1" applyNumberFormat="1" applyFont="1" applyFill="1" applyBorder="1"/>
    <xf numFmtId="175" fontId="10" fillId="20" borderId="1" xfId="1" applyNumberFormat="1" applyFont="1" applyFill="1" applyBorder="1" applyAlignment="1" applyProtection="1">
      <alignment horizontal="center" vertical="center" wrapText="1"/>
    </xf>
    <xf numFmtId="175" fontId="31" fillId="0" borderId="1" xfId="1" applyNumberFormat="1" applyFont="1" applyBorder="1" applyAlignment="1">
      <alignment horizontal="center" vertical="center" wrapText="1"/>
    </xf>
    <xf numFmtId="9" fontId="31" fillId="0" borderId="1" xfId="12" applyFont="1" applyBorder="1" applyAlignment="1">
      <alignment horizontal="center" vertical="center" wrapText="1"/>
    </xf>
    <xf numFmtId="9" fontId="31" fillId="0" borderId="1" xfId="0" applyNumberFormat="1" applyFont="1" applyBorder="1" applyAlignment="1">
      <alignment horizontal="center" vertical="center" wrapText="1"/>
    </xf>
    <xf numFmtId="167" fontId="31" fillId="0" borderId="1" xfId="1" applyFont="1" applyBorder="1" applyAlignment="1">
      <alignment horizontal="center" vertical="center" wrapText="1"/>
    </xf>
    <xf numFmtId="175" fontId="31" fillId="19" borderId="1" xfId="1" applyNumberFormat="1" applyFont="1" applyFill="1" applyBorder="1" applyAlignment="1">
      <alignment horizontal="center" vertical="center" wrapText="1"/>
    </xf>
    <xf numFmtId="175" fontId="31" fillId="12" borderId="1" xfId="1" applyNumberFormat="1" applyFont="1" applyFill="1" applyBorder="1" applyAlignment="1">
      <alignment horizontal="center" vertical="center" wrapText="1"/>
    </xf>
    <xf numFmtId="0" fontId="9" fillId="3" borderId="1" xfId="0" applyFont="1" applyFill="1" applyBorder="1" applyAlignment="1">
      <alignment vertical="center" wrapText="1"/>
    </xf>
    <xf numFmtId="175" fontId="9" fillId="12" borderId="1" xfId="1" applyNumberFormat="1" applyFont="1" applyFill="1" applyBorder="1"/>
    <xf numFmtId="175" fontId="9" fillId="12" borderId="1" xfId="1" applyNumberFormat="1" applyFont="1" applyFill="1" applyBorder="1" applyAlignment="1">
      <alignment vertical="center"/>
    </xf>
    <xf numFmtId="175" fontId="9" fillId="19" borderId="1" xfId="1" applyNumberFormat="1" applyFont="1" applyFill="1" applyBorder="1" applyAlignment="1">
      <alignment vertical="center"/>
    </xf>
    <xf numFmtId="175" fontId="9" fillId="0" borderId="1" xfId="1" applyNumberFormat="1" applyFont="1" applyFill="1" applyBorder="1" applyAlignment="1">
      <alignment horizontal="center"/>
    </xf>
    <xf numFmtId="175" fontId="11" fillId="0" borderId="1" xfId="1" applyNumberFormat="1" applyFont="1" applyFill="1" applyBorder="1" applyAlignment="1">
      <alignment horizontal="center"/>
    </xf>
    <xf numFmtId="175" fontId="9" fillId="2" borderId="1" xfId="1" applyNumberFormat="1" applyFont="1" applyFill="1" applyBorder="1" applyAlignment="1">
      <alignment vertical="center"/>
    </xf>
    <xf numFmtId="175" fontId="9" fillId="2" borderId="1" xfId="1" applyNumberFormat="1" applyFont="1" applyFill="1" applyBorder="1"/>
    <xf numFmtId="175" fontId="10" fillId="21" borderId="1" xfId="1" applyNumberFormat="1" applyFont="1" applyFill="1" applyBorder="1" applyAlignment="1" applyProtection="1">
      <alignment horizontal="center" vertical="center" wrapText="1"/>
    </xf>
    <xf numFmtId="0" fontId="10" fillId="17" borderId="1" xfId="4" applyFont="1" applyFill="1" applyBorder="1" applyAlignment="1">
      <alignment horizontal="left" vertical="center" wrapText="1"/>
    </xf>
    <xf numFmtId="0" fontId="9" fillId="0" borderId="0" xfId="0" applyFont="1" applyAlignment="1">
      <alignment horizontal="left"/>
    </xf>
    <xf numFmtId="1" fontId="10" fillId="27" borderId="10" xfId="4" applyNumberFormat="1" applyFont="1" applyFill="1" applyBorder="1" applyAlignment="1">
      <alignment horizontal="center" vertical="center" wrapText="1"/>
    </xf>
    <xf numFmtId="176" fontId="9" fillId="0" borderId="11" xfId="3" applyNumberFormat="1" applyFont="1" applyBorder="1"/>
    <xf numFmtId="176" fontId="9" fillId="0" borderId="12" xfId="3" applyNumberFormat="1" applyFont="1" applyBorder="1"/>
    <xf numFmtId="176" fontId="9" fillId="0" borderId="13" xfId="3" applyNumberFormat="1" applyFont="1" applyBorder="1"/>
    <xf numFmtId="176" fontId="9" fillId="0" borderId="6" xfId="3" applyNumberFormat="1" applyFont="1" applyBorder="1"/>
    <xf numFmtId="176" fontId="9" fillId="0" borderId="2" xfId="3" applyNumberFormat="1" applyFont="1" applyBorder="1"/>
    <xf numFmtId="1" fontId="10" fillId="27" borderId="15" xfId="4" applyNumberFormat="1" applyFont="1" applyFill="1" applyBorder="1" applyAlignment="1">
      <alignment horizontal="center" vertical="center" wrapText="1"/>
    </xf>
    <xf numFmtId="176" fontId="9" fillId="0" borderId="16" xfId="3" applyNumberFormat="1" applyFont="1" applyBorder="1"/>
    <xf numFmtId="175" fontId="10" fillId="17" borderId="17" xfId="1" applyNumberFormat="1" applyFont="1" applyFill="1" applyBorder="1" applyAlignment="1" applyProtection="1">
      <alignment horizontal="center" vertical="center" wrapText="1"/>
    </xf>
    <xf numFmtId="175" fontId="9" fillId="0" borderId="17" xfId="1" applyNumberFormat="1" applyFont="1" applyFill="1" applyBorder="1" applyAlignment="1">
      <alignment vertical="center"/>
    </xf>
    <xf numFmtId="175" fontId="9" fillId="0" borderId="17" xfId="1" applyNumberFormat="1" applyFont="1" applyBorder="1" applyAlignment="1">
      <alignment vertical="center"/>
    </xf>
    <xf numFmtId="174" fontId="9" fillId="0" borderId="17" xfId="0" applyNumberFormat="1" applyFont="1" applyBorder="1" applyAlignment="1">
      <alignment vertical="center"/>
    </xf>
    <xf numFmtId="1" fontId="10" fillId="27" borderId="1" xfId="4" applyNumberFormat="1" applyFont="1" applyFill="1" applyBorder="1" applyAlignment="1">
      <alignment horizontal="center" vertical="center" wrapText="1"/>
    </xf>
    <xf numFmtId="176" fontId="9" fillId="0" borderId="1" xfId="3" applyNumberFormat="1" applyFont="1" applyBorder="1"/>
    <xf numFmtId="1" fontId="9" fillId="0" borderId="2" xfId="0" applyNumberFormat="1" applyFont="1" applyBorder="1" applyAlignment="1" applyProtection="1">
      <alignment horizontal="center" vertical="center"/>
      <protection locked="0"/>
    </xf>
    <xf numFmtId="1" fontId="10" fillId="4" borderId="2" xfId="4" applyNumberFormat="1" applyFont="1" applyFill="1" applyBorder="1" applyAlignment="1">
      <alignment horizontal="center" vertical="center" wrapText="1"/>
    </xf>
    <xf numFmtId="0" fontId="9" fillId="0" borderId="2" xfId="0" applyFont="1" applyBorder="1" applyAlignment="1">
      <alignment horizontal="center" vertical="center"/>
    </xf>
    <xf numFmtId="1" fontId="16" fillId="17" borderId="17" xfId="4" applyNumberFormat="1" applyFont="1" applyFill="1" applyBorder="1" applyAlignment="1">
      <alignment horizontal="right" vertical="center" wrapText="1"/>
    </xf>
    <xf numFmtId="176" fontId="17" fillId="0" borderId="17" xfId="3" applyNumberFormat="1" applyFont="1" applyBorder="1" applyAlignment="1">
      <alignment horizontal="right" vertical="center"/>
    </xf>
    <xf numFmtId="175" fontId="17" fillId="0" borderId="17" xfId="1" applyNumberFormat="1" applyFont="1" applyBorder="1" applyAlignment="1">
      <alignment horizontal="right" vertical="center"/>
    </xf>
    <xf numFmtId="175" fontId="17" fillId="0" borderId="17" xfId="1" applyNumberFormat="1" applyFont="1" applyFill="1" applyBorder="1" applyAlignment="1">
      <alignment horizontal="right" vertical="center"/>
    </xf>
    <xf numFmtId="175" fontId="10" fillId="27" borderId="1" xfId="1" applyNumberFormat="1" applyFont="1" applyFill="1" applyBorder="1" applyAlignment="1" applyProtection="1">
      <alignment horizontal="center" vertical="center" wrapText="1"/>
    </xf>
    <xf numFmtId="175" fontId="10" fillId="4" borderId="1" xfId="1" applyNumberFormat="1" applyFont="1" applyFill="1" applyBorder="1" applyAlignment="1" applyProtection="1">
      <alignment horizontal="center" vertical="center" wrapText="1"/>
    </xf>
    <xf numFmtId="175" fontId="11" fillId="0" borderId="1" xfId="1" applyNumberFormat="1" applyFont="1" applyFill="1" applyBorder="1" applyAlignment="1">
      <alignment horizontal="center" vertical="center"/>
    </xf>
    <xf numFmtId="175" fontId="9" fillId="19" borderId="1" xfId="1" applyNumberFormat="1" applyFont="1" applyFill="1" applyBorder="1" applyAlignment="1">
      <alignment horizontal="center" vertical="center"/>
    </xf>
    <xf numFmtId="0" fontId="10" fillId="25" borderId="1" xfId="4" applyFont="1" applyFill="1" applyBorder="1" applyAlignment="1">
      <alignment vertical="center" wrapText="1"/>
    </xf>
    <xf numFmtId="0" fontId="33" fillId="0" borderId="1" xfId="0" applyFont="1" applyBorder="1" applyAlignment="1">
      <alignment vertical="center" wrapText="1"/>
    </xf>
    <xf numFmtId="175" fontId="17" fillId="0" borderId="1" xfId="1" applyNumberFormat="1" applyFont="1" applyBorder="1" applyAlignment="1">
      <alignment vertical="center" wrapText="1"/>
    </xf>
    <xf numFmtId="174" fontId="17" fillId="0" borderId="1" xfId="0" applyNumberFormat="1" applyFont="1" applyBorder="1" applyAlignment="1">
      <alignment horizontal="center" vertical="center" wrapText="1"/>
    </xf>
    <xf numFmtId="175" fontId="17" fillId="0" borderId="1" xfId="1" applyNumberFormat="1" applyFont="1" applyBorder="1" applyAlignment="1">
      <alignment horizontal="center" vertical="center" wrapText="1"/>
    </xf>
    <xf numFmtId="0" fontId="34" fillId="0" borderId="1" xfId="0" applyFont="1" applyBorder="1" applyAlignment="1">
      <alignment vertical="center" wrapText="1"/>
    </xf>
    <xf numFmtId="175" fontId="17" fillId="0" borderId="1" xfId="1" applyNumberFormat="1" applyFont="1" applyFill="1" applyBorder="1" applyAlignment="1">
      <alignment vertical="center" wrapText="1"/>
    </xf>
    <xf numFmtId="175" fontId="17" fillId="19" borderId="1" xfId="1" applyNumberFormat="1" applyFont="1" applyFill="1" applyBorder="1" applyAlignment="1">
      <alignment vertical="center" wrapText="1"/>
    </xf>
    <xf numFmtId="175" fontId="9" fillId="0" borderId="1" xfId="1" applyNumberFormat="1" applyFont="1" applyBorder="1" applyAlignment="1">
      <alignment horizontal="center" vertical="center" wrapText="1"/>
    </xf>
    <xf numFmtId="175" fontId="17" fillId="0" borderId="1" xfId="1" applyNumberFormat="1" applyFont="1" applyFill="1" applyBorder="1" applyAlignment="1">
      <alignment horizontal="center" vertical="center" wrapText="1"/>
    </xf>
    <xf numFmtId="174" fontId="17" fillId="0" borderId="1" xfId="1" applyNumberFormat="1" applyFont="1" applyFill="1" applyBorder="1" applyAlignment="1">
      <alignment horizontal="center" vertical="center" wrapText="1"/>
    </xf>
    <xf numFmtId="0" fontId="17" fillId="0" borderId="1" xfId="0" applyFont="1" applyBorder="1" applyAlignment="1">
      <alignment horizontal="center" vertical="center" wrapText="1"/>
    </xf>
    <xf numFmtId="174" fontId="31" fillId="0" borderId="1" xfId="0" applyNumberFormat="1" applyFont="1" applyBorder="1" applyAlignment="1">
      <alignment horizontal="center" vertical="center" wrapText="1"/>
    </xf>
    <xf numFmtId="175" fontId="9" fillId="0" borderId="1" xfId="1" applyNumberFormat="1" applyFont="1" applyBorder="1"/>
    <xf numFmtId="175" fontId="9" fillId="0" borderId="1" xfId="1" applyNumberFormat="1" applyFont="1" applyFill="1" applyBorder="1"/>
    <xf numFmtId="0" fontId="8" fillId="0" borderId="1" xfId="0" applyFont="1" applyBorder="1" applyAlignment="1">
      <alignment horizontal="left"/>
    </xf>
    <xf numFmtId="0" fontId="8" fillId="0" borderId="1" xfId="0" applyFont="1" applyBorder="1" applyAlignment="1">
      <alignment horizontal="center" vertical="center"/>
    </xf>
    <xf numFmtId="175" fontId="10" fillId="20" borderId="1" xfId="1" applyNumberFormat="1" applyFont="1" applyFill="1" applyBorder="1" applyAlignment="1">
      <alignment horizontal="center" vertical="center" wrapText="1"/>
    </xf>
    <xf numFmtId="175" fontId="9" fillId="0" borderId="0" xfId="1" applyNumberFormat="1" applyFont="1"/>
    <xf numFmtId="175" fontId="10" fillId="3" borderId="1" xfId="1" applyNumberFormat="1" applyFont="1" applyFill="1" applyBorder="1" applyAlignment="1">
      <alignment horizontal="center" vertical="center" wrapText="1"/>
    </xf>
    <xf numFmtId="175" fontId="10" fillId="15" borderId="1" xfId="1" applyNumberFormat="1" applyFont="1" applyFill="1" applyBorder="1" applyAlignment="1">
      <alignment horizontal="center" vertical="center" wrapText="1"/>
    </xf>
    <xf numFmtId="1" fontId="10" fillId="28" borderId="1" xfId="4" applyNumberFormat="1"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wrapText="1"/>
    </xf>
    <xf numFmtId="0" fontId="34" fillId="0" borderId="1" xfId="0" applyFont="1" applyBorder="1"/>
    <xf numFmtId="0" fontId="8" fillId="0" borderId="1" xfId="0" applyFont="1" applyBorder="1" applyAlignment="1">
      <alignment horizontal="left" vertical="center" wrapText="1"/>
    </xf>
    <xf numFmtId="0" fontId="8" fillId="0" borderId="0" xfId="0" applyFont="1" applyAlignment="1">
      <alignment horizontal="left"/>
    </xf>
    <xf numFmtId="0" fontId="8" fillId="0" borderId="0" xfId="0" applyFont="1"/>
    <xf numFmtId="1" fontId="10" fillId="28" borderId="2" xfId="4" applyNumberFormat="1" applyFont="1" applyFill="1" applyBorder="1" applyAlignment="1">
      <alignment horizontal="center" vertical="center" wrapText="1"/>
    </xf>
    <xf numFmtId="175" fontId="10" fillId="12" borderId="1" xfId="1" applyNumberFormat="1" applyFont="1" applyFill="1" applyBorder="1" applyAlignment="1">
      <alignment horizontal="center" vertical="center" wrapText="1"/>
    </xf>
    <xf numFmtId="175" fontId="9" fillId="0" borderId="0" xfId="1" applyNumberFormat="1" applyFont="1" applyAlignment="1">
      <alignment vertical="center"/>
    </xf>
    <xf numFmtId="3" fontId="9" fillId="22" borderId="1" xfId="0" applyNumberFormat="1" applyFont="1" applyFill="1" applyBorder="1" applyAlignment="1">
      <alignment vertical="center"/>
    </xf>
    <xf numFmtId="3" fontId="9" fillId="0" borderId="1" xfId="0" applyNumberFormat="1" applyFont="1" applyBorder="1" applyAlignment="1">
      <alignment vertical="center"/>
    </xf>
    <xf numFmtId="167" fontId="9" fillId="0" borderId="1" xfId="1" applyFont="1" applyBorder="1" applyAlignment="1">
      <alignment vertical="center"/>
    </xf>
    <xf numFmtId="175" fontId="10" fillId="17" borderId="1" xfId="1" applyNumberFormat="1" applyFont="1" applyFill="1" applyBorder="1" applyAlignment="1">
      <alignment horizontal="center" vertical="center" wrapText="1"/>
    </xf>
    <xf numFmtId="0" fontId="9" fillId="0" borderId="23" xfId="0" applyFont="1" applyBorder="1" applyAlignment="1">
      <alignment horizontal="center" vertical="center"/>
    </xf>
    <xf numFmtId="175" fontId="10" fillId="29" borderId="1" xfId="1" applyNumberFormat="1" applyFont="1" applyFill="1" applyBorder="1" applyAlignment="1">
      <alignment horizontal="center" vertical="center" wrapText="1"/>
    </xf>
    <xf numFmtId="1" fontId="10" fillId="29" borderId="1" xfId="4" applyNumberFormat="1" applyFont="1" applyFill="1" applyBorder="1" applyAlignment="1">
      <alignment horizontal="center" vertical="center" wrapText="1"/>
    </xf>
    <xf numFmtId="179" fontId="0" fillId="0" borderId="1" xfId="3" applyNumberFormat="1" applyFont="1" applyBorder="1" applyAlignment="1">
      <alignment horizontal="center"/>
    </xf>
    <xf numFmtId="175" fontId="11" fillId="0" borderId="18" xfId="1" applyNumberFormat="1" applyFont="1" applyBorder="1"/>
    <xf numFmtId="42" fontId="9" fillId="0" borderId="1" xfId="3" applyNumberFormat="1" applyFont="1" applyBorder="1" applyAlignment="1">
      <alignment horizontal="center" vertical="center" wrapText="1"/>
    </xf>
    <xf numFmtId="1" fontId="9" fillId="0" borderId="1" xfId="3" applyNumberFormat="1" applyFont="1" applyBorder="1" applyAlignment="1">
      <alignment horizontal="center" vertical="center" wrapText="1"/>
    </xf>
    <xf numFmtId="42" fontId="9" fillId="2" borderId="1" xfId="3" applyNumberFormat="1" applyFont="1" applyFill="1" applyBorder="1" applyAlignment="1">
      <alignment horizontal="center" vertical="center" wrapText="1"/>
    </xf>
    <xf numFmtId="1" fontId="9" fillId="2" borderId="1" xfId="3" applyNumberFormat="1" applyFont="1" applyFill="1" applyBorder="1" applyAlignment="1">
      <alignment horizontal="center" vertical="center" wrapText="1"/>
    </xf>
    <xf numFmtId="42" fontId="9" fillId="0" borderId="1" xfId="3" applyNumberFormat="1" applyFont="1" applyFill="1" applyBorder="1" applyAlignment="1">
      <alignment horizontal="center" vertical="center" wrapText="1"/>
    </xf>
    <xf numFmtId="1" fontId="9" fillId="0" borderId="1" xfId="3" applyNumberFormat="1" applyFont="1" applyFill="1" applyBorder="1" applyAlignment="1">
      <alignment horizontal="center" vertical="center" wrapText="1"/>
    </xf>
    <xf numFmtId="0" fontId="9" fillId="0" borderId="1" xfId="3" applyNumberFormat="1" applyFont="1" applyBorder="1" applyAlignment="1">
      <alignment horizontal="center" vertical="center" wrapText="1"/>
    </xf>
    <xf numFmtId="1" fontId="10" fillId="11" borderId="1" xfId="4" applyNumberFormat="1" applyFont="1" applyFill="1" applyBorder="1" applyAlignment="1">
      <alignment horizontal="center" vertical="center" wrapText="1"/>
    </xf>
    <xf numFmtId="1" fontId="10" fillId="30" borderId="1" xfId="4" applyNumberFormat="1" applyFont="1" applyFill="1" applyBorder="1" applyAlignment="1">
      <alignment horizontal="center" vertical="center" wrapText="1"/>
    </xf>
    <xf numFmtId="175" fontId="10" fillId="18" borderId="1" xfId="1" applyNumberFormat="1" applyFont="1" applyFill="1" applyBorder="1" applyAlignment="1">
      <alignment horizontal="center" vertical="center" wrapText="1"/>
    </xf>
    <xf numFmtId="175" fontId="9" fillId="0" borderId="1" xfId="1" applyNumberFormat="1" applyFont="1" applyBorder="1" applyAlignment="1">
      <alignment horizontal="right" vertical="center"/>
    </xf>
    <xf numFmtId="175" fontId="9" fillId="0" borderId="0" xfId="1" applyNumberFormat="1" applyFont="1" applyAlignment="1">
      <alignment vertical="center" wrapText="1"/>
    </xf>
    <xf numFmtId="1" fontId="10" fillId="10" borderId="1" xfId="4" applyNumberFormat="1" applyFont="1" applyFill="1" applyBorder="1" applyAlignment="1">
      <alignment horizontal="center" vertical="center" wrapText="1"/>
    </xf>
    <xf numFmtId="175" fontId="10" fillId="30" borderId="1" xfId="1" applyNumberFormat="1" applyFont="1" applyFill="1" applyBorder="1" applyAlignment="1">
      <alignment horizontal="center" vertical="center" wrapText="1"/>
    </xf>
    <xf numFmtId="1" fontId="10" fillId="8" borderId="1" xfId="4" applyNumberFormat="1" applyFont="1" applyFill="1" applyBorder="1" applyAlignment="1">
      <alignment horizontal="center" vertical="center" wrapText="1"/>
    </xf>
    <xf numFmtId="175" fontId="10" fillId="8" borderId="1" xfId="1" applyNumberFormat="1" applyFont="1" applyFill="1" applyBorder="1" applyAlignment="1">
      <alignment horizontal="center" vertical="center" wrapText="1"/>
    </xf>
    <xf numFmtId="44" fontId="14" fillId="0" borderId="1" xfId="74" applyFont="1" applyBorder="1" applyAlignment="1">
      <alignment horizontal="right" vertical="center"/>
    </xf>
    <xf numFmtId="175" fontId="9" fillId="0" borderId="1" xfId="1" applyNumberFormat="1" applyFont="1" applyFill="1" applyBorder="1" applyAlignment="1">
      <alignment horizontal="right" vertical="center"/>
    </xf>
    <xf numFmtId="175" fontId="9" fillId="0" borderId="0" xfId="1" applyNumberFormat="1" applyFont="1" applyAlignment="1">
      <alignment horizontal="right" vertical="center"/>
    </xf>
    <xf numFmtId="175" fontId="9" fillId="0" borderId="1" xfId="1" applyNumberFormat="1" applyFont="1" applyBorder="1" applyAlignment="1">
      <alignment horizontal="left" vertical="center"/>
    </xf>
    <xf numFmtId="175" fontId="17" fillId="0" borderId="1" xfId="1" applyNumberFormat="1" applyFont="1" applyBorder="1" applyAlignment="1">
      <alignment horizontal="center"/>
    </xf>
    <xf numFmtId="1" fontId="10" fillId="38" borderId="1" xfId="4" applyNumberFormat="1" applyFont="1" applyFill="1" applyBorder="1" applyAlignment="1">
      <alignment horizontal="center" vertical="center" wrapText="1"/>
    </xf>
    <xf numFmtId="1" fontId="10" fillId="39" borderId="1" xfId="4" applyNumberFormat="1" applyFont="1" applyFill="1" applyBorder="1" applyAlignment="1">
      <alignment horizontal="center" vertical="center" wrapText="1"/>
    </xf>
    <xf numFmtId="0" fontId="17" fillId="0" borderId="0" xfId="0" applyFont="1"/>
    <xf numFmtId="0" fontId="36" fillId="32" borderId="1" xfId="0" applyFont="1" applyFill="1" applyBorder="1" applyAlignment="1">
      <alignment horizontal="center" vertical="center" wrapText="1"/>
    </xf>
    <xf numFmtId="0" fontId="17" fillId="0" borderId="1" xfId="0" applyFont="1" applyBorder="1" applyAlignment="1">
      <alignment horizontal="center" vertical="center"/>
    </xf>
    <xf numFmtId="0" fontId="16" fillId="36" borderId="1" xfId="0" applyFont="1" applyFill="1" applyBorder="1" applyAlignment="1">
      <alignment horizontal="center" vertical="center" wrapText="1"/>
    </xf>
    <xf numFmtId="0" fontId="16" fillId="37" borderId="1" xfId="0" applyFont="1" applyFill="1" applyBorder="1" applyAlignment="1">
      <alignment horizontal="center" vertical="center" wrapText="1"/>
    </xf>
    <xf numFmtId="0" fontId="16" fillId="37" borderId="1" xfId="0" applyFont="1" applyFill="1" applyBorder="1" applyAlignment="1">
      <alignment vertical="center" wrapText="1"/>
    </xf>
    <xf numFmtId="175" fontId="36" fillId="33" borderId="1" xfId="1" applyNumberFormat="1" applyFont="1" applyFill="1" applyBorder="1" applyAlignment="1">
      <alignment horizontal="center" vertical="center" wrapText="1"/>
    </xf>
    <xf numFmtId="175" fontId="16" fillId="34" borderId="1" xfId="1" applyNumberFormat="1" applyFont="1" applyFill="1" applyBorder="1" applyAlignment="1">
      <alignment horizontal="center" vertical="center" wrapText="1"/>
    </xf>
    <xf numFmtId="175" fontId="16" fillId="31" borderId="1" xfId="1" applyNumberFormat="1" applyFont="1" applyFill="1" applyBorder="1" applyAlignment="1">
      <alignment horizontal="center" vertical="center" wrapText="1"/>
    </xf>
    <xf numFmtId="175" fontId="16" fillId="35" borderId="1" xfId="1" applyNumberFormat="1" applyFont="1" applyFill="1" applyBorder="1" applyAlignment="1">
      <alignment horizontal="center" vertical="center" wrapText="1"/>
    </xf>
    <xf numFmtId="0" fontId="29" fillId="0" borderId="0" xfId="0" applyFont="1" applyAlignment="1">
      <alignment horizontal="center" vertical="center"/>
    </xf>
    <xf numFmtId="0" fontId="17" fillId="0" borderId="0" xfId="0" applyFont="1" applyAlignment="1">
      <alignment horizontal="center" vertical="center"/>
    </xf>
    <xf numFmtId="0" fontId="29" fillId="0" borderId="0" xfId="0" applyFont="1"/>
    <xf numFmtId="0" fontId="36" fillId="33" borderId="1" xfId="0" applyFont="1" applyFill="1" applyBorder="1" applyAlignment="1">
      <alignment horizontal="center" vertical="center" wrapText="1"/>
    </xf>
    <xf numFmtId="0" fontId="16" fillId="34" borderId="1" xfId="0" applyFont="1" applyFill="1" applyBorder="1" applyAlignment="1">
      <alignment horizontal="center" vertical="center" wrapText="1"/>
    </xf>
    <xf numFmtId="0" fontId="16" fillId="31" borderId="1" xfId="0" applyFont="1" applyFill="1" applyBorder="1" applyAlignment="1">
      <alignment horizontal="center" vertical="center" wrapText="1"/>
    </xf>
    <xf numFmtId="0" fontId="16" fillId="35" borderId="1" xfId="0" applyFont="1" applyFill="1" applyBorder="1" applyAlignment="1">
      <alignment horizontal="center" vertical="center" wrapText="1"/>
    </xf>
    <xf numFmtId="175" fontId="17" fillId="0" borderId="1" xfId="1" applyNumberFormat="1" applyFont="1" applyBorder="1" applyAlignment="1">
      <alignment horizontal="center" vertical="center"/>
    </xf>
    <xf numFmtId="9" fontId="17" fillId="0" borderId="1" xfId="12" applyFont="1" applyBorder="1" applyAlignment="1">
      <alignment horizontal="center" vertical="center"/>
    </xf>
    <xf numFmtId="175" fontId="17" fillId="0" borderId="0" xfId="1" applyNumberFormat="1" applyFont="1" applyAlignment="1">
      <alignment horizontal="center" vertical="center"/>
    </xf>
    <xf numFmtId="0" fontId="17" fillId="0" borderId="1" xfId="0" applyFont="1" applyBorder="1" applyAlignment="1">
      <alignment vertical="center"/>
    </xf>
    <xf numFmtId="175" fontId="17" fillId="0" borderId="1" xfId="1" applyNumberFormat="1" applyFont="1" applyBorder="1" applyAlignment="1">
      <alignment vertical="center"/>
    </xf>
    <xf numFmtId="180" fontId="17" fillId="0" borderId="1" xfId="12" applyNumberFormat="1" applyFont="1" applyBorder="1" applyAlignment="1">
      <alignment horizontal="center" vertical="center"/>
    </xf>
    <xf numFmtId="0" fontId="17" fillId="0" borderId="0" xfId="0" applyFont="1" applyAlignment="1">
      <alignment vertical="center"/>
    </xf>
    <xf numFmtId="0" fontId="9" fillId="2" borderId="1" xfId="0" applyFont="1" applyFill="1" applyBorder="1"/>
    <xf numFmtId="3" fontId="9" fillId="2" borderId="1" xfId="0" applyNumberFormat="1" applyFont="1" applyFill="1" applyBorder="1"/>
    <xf numFmtId="175" fontId="9" fillId="2" borderId="1" xfId="0" applyNumberFormat="1" applyFont="1" applyFill="1" applyBorder="1"/>
    <xf numFmtId="0" fontId="9" fillId="2" borderId="1" xfId="0" applyFont="1" applyFill="1" applyBorder="1" applyAlignment="1">
      <alignment horizontal="right"/>
    </xf>
    <xf numFmtId="1" fontId="10" fillId="13" borderId="2" xfId="4" applyNumberFormat="1" applyFont="1" applyFill="1" applyBorder="1" applyAlignment="1">
      <alignment horizontal="center" vertical="center" wrapText="1"/>
    </xf>
    <xf numFmtId="3" fontId="34" fillId="0" borderId="1" xfId="0" applyNumberFormat="1" applyFont="1" applyBorder="1"/>
    <xf numFmtId="0" fontId="34" fillId="0" borderId="1" xfId="0" applyFont="1" applyBorder="1" applyAlignment="1">
      <alignment horizontal="right" vertical="center"/>
    </xf>
    <xf numFmtId="3" fontId="34" fillId="0" borderId="1" xfId="0" applyNumberFormat="1" applyFont="1" applyBorder="1" applyAlignment="1">
      <alignment horizontal="right" vertical="center"/>
    </xf>
    <xf numFmtId="3" fontId="34" fillId="0" borderId="1" xfId="0" applyNumberFormat="1" applyFont="1" applyBorder="1" applyAlignment="1">
      <alignment vertical="center"/>
    </xf>
    <xf numFmtId="175" fontId="9" fillId="0" borderId="2" xfId="1" applyNumberFormat="1" applyFont="1" applyFill="1" applyBorder="1" applyAlignment="1">
      <alignment vertical="center"/>
    </xf>
    <xf numFmtId="167" fontId="9" fillId="0" borderId="1" xfId="1" applyFont="1" applyFill="1" applyBorder="1" applyAlignment="1">
      <alignment vertical="center"/>
    </xf>
    <xf numFmtId="178" fontId="9" fillId="0" borderId="1" xfId="3" applyNumberFormat="1" applyFont="1" applyFill="1" applyBorder="1" applyAlignment="1">
      <alignment horizontal="center" vertical="center"/>
    </xf>
    <xf numFmtId="179" fontId="9" fillId="0" borderId="1" xfId="3" applyNumberFormat="1" applyFont="1" applyFill="1" applyBorder="1" applyAlignment="1">
      <alignment horizontal="center" vertical="center"/>
    </xf>
    <xf numFmtId="178" fontId="9" fillId="0" borderId="1" xfId="0" applyNumberFormat="1" applyFont="1" applyBorder="1" applyAlignment="1">
      <alignment horizontal="center" vertical="center"/>
    </xf>
    <xf numFmtId="178" fontId="9" fillId="0" borderId="1" xfId="0" applyNumberFormat="1" applyFont="1" applyBorder="1" applyAlignment="1">
      <alignment vertical="center" wrapText="1"/>
    </xf>
    <xf numFmtId="175" fontId="9" fillId="0" borderId="2" xfId="1" applyNumberFormat="1" applyFont="1" applyBorder="1" applyAlignment="1">
      <alignment vertical="center"/>
    </xf>
    <xf numFmtId="175" fontId="9" fillId="0" borderId="1" xfId="0" applyNumberFormat="1" applyFont="1" applyBorder="1" applyAlignment="1">
      <alignment vertical="center"/>
    </xf>
    <xf numFmtId="175" fontId="9" fillId="0" borderId="2" xfId="1" applyNumberFormat="1" applyFont="1" applyFill="1" applyBorder="1" applyAlignment="1">
      <alignment horizontal="right" vertical="center"/>
    </xf>
    <xf numFmtId="178" fontId="9" fillId="0" borderId="1" xfId="3" applyNumberFormat="1" applyFont="1" applyBorder="1" applyAlignment="1">
      <alignment horizontal="center" vertical="center"/>
    </xf>
    <xf numFmtId="0" fontId="9" fillId="0" borderId="2" xfId="0" applyFont="1" applyBorder="1" applyAlignment="1">
      <alignment vertical="center" wrapText="1"/>
    </xf>
    <xf numFmtId="0" fontId="9" fillId="0" borderId="2" xfId="0" applyFont="1" applyBorder="1" applyAlignment="1">
      <alignment vertical="center"/>
    </xf>
    <xf numFmtId="175" fontId="9" fillId="0" borderId="5" xfId="1" applyNumberFormat="1" applyFont="1" applyFill="1" applyBorder="1" applyAlignment="1">
      <alignment vertical="center"/>
    </xf>
    <xf numFmtId="0" fontId="9" fillId="0" borderId="5" xfId="0" applyFont="1" applyBorder="1" applyAlignment="1">
      <alignment vertical="center"/>
    </xf>
    <xf numFmtId="0" fontId="9" fillId="0" borderId="23" xfId="0" applyFont="1" applyBorder="1" applyAlignment="1">
      <alignment vertical="center" wrapText="1"/>
    </xf>
    <xf numFmtId="0" fontId="9" fillId="0" borderId="23" xfId="0" applyFont="1" applyBorder="1" applyAlignment="1">
      <alignment vertical="center"/>
    </xf>
    <xf numFmtId="167" fontId="11" fillId="0" borderId="0" xfId="1" applyFont="1" applyAlignment="1">
      <alignment vertical="center"/>
    </xf>
    <xf numFmtId="175" fontId="10" fillId="24" borderId="1" xfId="1" applyNumberFormat="1" applyFont="1" applyFill="1" applyBorder="1" applyAlignment="1">
      <alignment horizontal="center" vertical="center" wrapText="1"/>
    </xf>
    <xf numFmtId="1" fontId="10" fillId="14" borderId="1" xfId="4" applyNumberFormat="1" applyFont="1" applyFill="1" applyBorder="1" applyAlignment="1">
      <alignment horizontal="center" vertical="center" wrapText="1"/>
    </xf>
    <xf numFmtId="1" fontId="10" fillId="23" borderId="1" xfId="4" applyNumberFormat="1" applyFont="1" applyFill="1" applyBorder="1" applyAlignment="1">
      <alignment horizontal="center" vertical="center" wrapText="1"/>
    </xf>
    <xf numFmtId="175" fontId="9" fillId="0" borderId="0" xfId="0" applyNumberFormat="1" applyFont="1"/>
    <xf numFmtId="175" fontId="10" fillId="3" borderId="1" xfId="4" applyNumberFormat="1" applyFont="1" applyFill="1" applyBorder="1" applyAlignment="1">
      <alignment horizontal="center" vertical="center" wrapText="1"/>
    </xf>
    <xf numFmtId="181" fontId="9" fillId="0" borderId="1" xfId="1" applyNumberFormat="1" applyFont="1" applyBorder="1" applyAlignment="1">
      <alignment vertical="center"/>
    </xf>
    <xf numFmtId="175" fontId="10" fillId="23" borderId="1" xfId="1" applyNumberFormat="1" applyFont="1" applyFill="1" applyBorder="1" applyAlignment="1">
      <alignment horizontal="center" vertical="center" wrapText="1"/>
    </xf>
    <xf numFmtId="175" fontId="10" fillId="15" borderId="1" xfId="4" applyNumberFormat="1" applyFont="1" applyFill="1" applyBorder="1" applyAlignment="1">
      <alignment horizontal="center" vertical="center" wrapText="1"/>
    </xf>
    <xf numFmtId="0" fontId="37" fillId="0" borderId="1" xfId="0" applyFont="1" applyBorder="1" applyAlignment="1">
      <alignment horizontal="left" vertical="center" wrapText="1"/>
    </xf>
    <xf numFmtId="0" fontId="37" fillId="0" borderId="1" xfId="0" applyFont="1" applyBorder="1" applyAlignment="1">
      <alignment wrapText="1"/>
    </xf>
    <xf numFmtId="167" fontId="9" fillId="0" borderId="1" xfId="1" applyFont="1" applyBorder="1"/>
    <xf numFmtId="0" fontId="37" fillId="0" borderId="1" xfId="0" applyFont="1" applyBorder="1" applyAlignment="1">
      <alignment vertical="center" wrapText="1"/>
    </xf>
    <xf numFmtId="175" fontId="9" fillId="0" borderId="18" xfId="1" applyNumberFormat="1" applyFont="1" applyBorder="1" applyAlignment="1">
      <alignment vertical="center"/>
    </xf>
    <xf numFmtId="175" fontId="8" fillId="0" borderId="1" xfId="1" applyNumberFormat="1" applyFont="1" applyBorder="1" applyAlignment="1">
      <alignment horizontal="left" vertical="center" wrapText="1"/>
    </xf>
    <xf numFmtId="0" fontId="37" fillId="0" borderId="1" xfId="4" applyFont="1" applyBorder="1" applyAlignment="1">
      <alignment horizontal="left" vertical="center" wrapText="1"/>
    </xf>
    <xf numFmtId="175" fontId="11" fillId="0" borderId="1" xfId="1" applyNumberFormat="1" applyFont="1" applyBorder="1"/>
    <xf numFmtId="0" fontId="9" fillId="0" borderId="7" xfId="0" applyFont="1" applyBorder="1" applyAlignment="1">
      <alignment vertical="center"/>
    </xf>
    <xf numFmtId="0" fontId="9" fillId="0" borderId="18" xfId="0" applyFont="1" applyBorder="1" applyAlignment="1">
      <alignment vertical="center"/>
    </xf>
    <xf numFmtId="175" fontId="9" fillId="0" borderId="18" xfId="1" applyNumberFormat="1" applyFont="1" applyBorder="1" applyAlignment="1">
      <alignment vertical="center" wrapText="1"/>
    </xf>
    <xf numFmtId="0" fontId="9" fillId="0" borderId="18" xfId="0" applyFont="1" applyBorder="1" applyAlignment="1">
      <alignment vertical="center" wrapText="1"/>
    </xf>
    <xf numFmtId="3" fontId="9" fillId="0" borderId="1" xfId="0" applyNumberFormat="1" applyFont="1" applyBorder="1" applyAlignment="1">
      <alignment wrapText="1"/>
    </xf>
    <xf numFmtId="8" fontId="9" fillId="0" borderId="1" xfId="0" applyNumberFormat="1" applyFont="1" applyBorder="1" applyAlignment="1">
      <alignment vertical="center"/>
    </xf>
    <xf numFmtId="175" fontId="10" fillId="39" borderId="1" xfId="1" applyNumberFormat="1" applyFont="1" applyFill="1" applyBorder="1" applyAlignment="1">
      <alignment horizontal="center" vertical="center" wrapText="1"/>
    </xf>
    <xf numFmtId="4" fontId="9" fillId="0" borderId="1" xfId="0" applyNumberFormat="1" applyFont="1" applyBorder="1" applyAlignment="1">
      <alignment vertical="center"/>
    </xf>
    <xf numFmtId="175" fontId="11" fillId="0" borderId="0" xfId="1" applyNumberFormat="1" applyFont="1" applyAlignment="1">
      <alignment vertical="center"/>
    </xf>
    <xf numFmtId="6" fontId="9" fillId="0" borderId="1" xfId="0" applyNumberFormat="1" applyFont="1" applyBorder="1" applyAlignment="1">
      <alignment vertical="center"/>
    </xf>
    <xf numFmtId="175" fontId="10" fillId="17" borderId="1" xfId="4" applyNumberFormat="1" applyFont="1" applyFill="1" applyBorder="1" applyAlignment="1">
      <alignment horizontal="center" vertical="center" wrapText="1"/>
    </xf>
    <xf numFmtId="3" fontId="8" fillId="0" borderId="0" xfId="0" applyNumberFormat="1" applyFont="1"/>
    <xf numFmtId="3" fontId="10" fillId="0" borderId="1" xfId="4" applyNumberFormat="1" applyFont="1" applyBorder="1" applyAlignment="1">
      <alignment vertical="center" wrapText="1"/>
    </xf>
    <xf numFmtId="3" fontId="9" fillId="0" borderId="1" xfId="1" applyNumberFormat="1" applyFont="1" applyFill="1" applyBorder="1" applyAlignment="1"/>
    <xf numFmtId="3" fontId="8" fillId="0" borderId="1" xfId="0" applyNumberFormat="1" applyFont="1" applyBorder="1" applyAlignment="1">
      <alignment vertical="center" wrapText="1"/>
    </xf>
    <xf numFmtId="3" fontId="8" fillId="0" borderId="1" xfId="4" applyNumberFormat="1" applyFont="1" applyBorder="1" applyAlignment="1">
      <alignment vertical="center" wrapText="1"/>
    </xf>
    <xf numFmtId="3" fontId="8" fillId="0" borderId="1" xfId="0" applyNumberFormat="1" applyFont="1" applyBorder="1" applyAlignment="1">
      <alignment wrapText="1"/>
    </xf>
    <xf numFmtId="3" fontId="8" fillId="0" borderId="1" xfId="0" applyNumberFormat="1" applyFont="1" applyBorder="1" applyAlignment="1">
      <alignment horizontal="left" vertical="center" wrapText="1"/>
    </xf>
    <xf numFmtId="175" fontId="17" fillId="0" borderId="1" xfId="1" applyNumberFormat="1" applyFont="1" applyFill="1" applyBorder="1" applyAlignment="1">
      <alignment horizontal="center" vertical="center"/>
    </xf>
    <xf numFmtId="0" fontId="38" fillId="0" borderId="1" xfId="0" applyFont="1" applyFill="1" applyBorder="1" applyAlignment="1">
      <alignment wrapText="1"/>
    </xf>
    <xf numFmtId="0" fontId="38" fillId="0" borderId="18" xfId="0" applyFont="1" applyFill="1" applyBorder="1" applyAlignment="1">
      <alignment wrapText="1"/>
    </xf>
    <xf numFmtId="0" fontId="8" fillId="0" borderId="1" xfId="0" applyFont="1" applyFill="1" applyBorder="1" applyAlignment="1">
      <alignment horizontal="center" vertical="center" wrapText="1"/>
    </xf>
    <xf numFmtId="0" fontId="38" fillId="0" borderId="1" xfId="0" applyFont="1" applyFill="1" applyBorder="1" applyAlignment="1">
      <alignment vertical="top" wrapText="1"/>
    </xf>
    <xf numFmtId="0" fontId="38" fillId="0" borderId="1" xfId="0" applyFont="1" applyFill="1" applyBorder="1" applyAlignment="1">
      <alignment vertical="center" wrapText="1"/>
    </xf>
    <xf numFmtId="0" fontId="17" fillId="0" borderId="1" xfId="0" applyFont="1" applyFill="1" applyBorder="1" applyAlignment="1">
      <alignment wrapText="1"/>
    </xf>
    <xf numFmtId="0" fontId="38" fillId="0" borderId="1" xfId="0" applyFont="1" applyFill="1" applyBorder="1" applyAlignment="1" applyProtection="1">
      <alignment vertical="top" wrapText="1"/>
      <protection locked="0"/>
    </xf>
    <xf numFmtId="0" fontId="29" fillId="0" borderId="1" xfId="0" applyFont="1" applyFill="1" applyBorder="1" applyAlignment="1">
      <alignment wrapText="1"/>
    </xf>
    <xf numFmtId="0" fontId="38" fillId="0" borderId="1" xfId="4" applyFont="1" applyFill="1" applyBorder="1" applyAlignment="1">
      <alignment horizontal="justify" vertical="center" wrapText="1"/>
    </xf>
    <xf numFmtId="0" fontId="17" fillId="0" borderId="1" xfId="0" applyFont="1" applyFill="1" applyBorder="1" applyAlignment="1">
      <alignment horizontal="left" vertical="center" wrapText="1"/>
    </xf>
    <xf numFmtId="0" fontId="38" fillId="0" borderId="1" xfId="0" applyFont="1" applyFill="1" applyBorder="1" applyAlignment="1">
      <alignment vertical="top"/>
    </xf>
    <xf numFmtId="0" fontId="38" fillId="0" borderId="1" xfId="0" applyFont="1" applyFill="1" applyBorder="1" applyAlignment="1" applyProtection="1">
      <alignment wrapText="1"/>
      <protection locked="0"/>
    </xf>
    <xf numFmtId="0" fontId="38" fillId="0" borderId="18" xfId="0" applyFont="1" applyFill="1" applyBorder="1" applyAlignment="1">
      <alignment vertical="top" wrapText="1"/>
    </xf>
    <xf numFmtId="0" fontId="38" fillId="0" borderId="18" xfId="0" applyFont="1" applyFill="1" applyBorder="1" applyAlignment="1" applyProtection="1">
      <alignment vertical="top" wrapText="1"/>
      <protection locked="0"/>
    </xf>
    <xf numFmtId="0" fontId="38" fillId="0" borderId="19" xfId="0" applyFont="1" applyFill="1" applyBorder="1" applyAlignment="1">
      <alignment vertical="top" wrapText="1"/>
    </xf>
    <xf numFmtId="0" fontId="38" fillId="0" borderId="5" xfId="0" applyFont="1" applyFill="1" applyBorder="1" applyAlignment="1">
      <alignment vertical="top" wrapText="1"/>
    </xf>
    <xf numFmtId="0" fontId="8" fillId="0" borderId="1" xfId="4" applyFont="1" applyFill="1" applyBorder="1" applyAlignment="1">
      <alignment horizontal="center" vertical="center" wrapText="1"/>
    </xf>
    <xf numFmtId="0" fontId="38" fillId="0" borderId="1" xfId="0" applyFont="1" applyFill="1" applyBorder="1" applyAlignment="1">
      <alignment horizontal="left" vertical="center" wrapText="1"/>
    </xf>
    <xf numFmtId="0" fontId="38" fillId="0" borderId="1" xfId="4" applyFont="1" applyFill="1" applyBorder="1" applyAlignment="1">
      <alignment horizontal="left" vertical="center" wrapText="1"/>
    </xf>
    <xf numFmtId="0" fontId="38" fillId="0" borderId="1" xfId="0" applyFont="1" applyFill="1" applyBorder="1" applyAlignment="1">
      <alignment vertical="center"/>
    </xf>
    <xf numFmtId="175" fontId="17" fillId="0" borderId="1" xfId="1" applyNumberFormat="1" applyFont="1" applyFill="1" applyBorder="1" applyAlignment="1">
      <alignment vertical="center"/>
    </xf>
    <xf numFmtId="1" fontId="10" fillId="3" borderId="4" xfId="4" applyNumberFormat="1" applyFont="1" applyFill="1" applyBorder="1" applyAlignment="1">
      <alignment horizontal="center" vertical="center" wrapText="1"/>
    </xf>
    <xf numFmtId="1" fontId="10" fillId="3" borderId="0" xfId="4" applyNumberFormat="1" applyFont="1" applyFill="1" applyAlignment="1">
      <alignment horizontal="center" vertical="center" wrapText="1"/>
    </xf>
    <xf numFmtId="1" fontId="10" fillId="15" borderId="4" xfId="4" applyNumberFormat="1" applyFont="1" applyFill="1" applyBorder="1" applyAlignment="1">
      <alignment horizontal="center" vertical="center" wrapText="1"/>
    </xf>
    <xf numFmtId="1" fontId="10" fillId="15" borderId="0" xfId="4" applyNumberFormat="1" applyFont="1" applyFill="1" applyAlignment="1">
      <alignment horizontal="center" vertical="center" wrapText="1"/>
    </xf>
    <xf numFmtId="1" fontId="10" fillId="18" borderId="4" xfId="4" applyNumberFormat="1" applyFont="1" applyFill="1" applyBorder="1" applyAlignment="1">
      <alignment horizontal="center" vertical="center" wrapText="1"/>
    </xf>
    <xf numFmtId="1" fontId="10" fillId="18" borderId="0" xfId="4" applyNumberFormat="1" applyFont="1" applyFill="1" applyAlignment="1">
      <alignment horizontal="center" vertical="center" wrapText="1"/>
    </xf>
    <xf numFmtId="1" fontId="10" fillId="12" borderId="4" xfId="4" applyNumberFormat="1" applyFont="1" applyFill="1" applyBorder="1" applyAlignment="1">
      <alignment horizontal="center" vertical="center" wrapText="1"/>
    </xf>
    <xf numFmtId="1" fontId="10" fillId="12" borderId="0" xfId="4" applyNumberFormat="1" applyFont="1" applyFill="1" applyAlignment="1">
      <alignment horizontal="center" vertical="center" wrapText="1"/>
    </xf>
    <xf numFmtId="1" fontId="10" fillId="20" borderId="4" xfId="4" applyNumberFormat="1" applyFont="1" applyFill="1" applyBorder="1" applyAlignment="1">
      <alignment horizontal="center" vertical="center" wrapText="1"/>
    </xf>
    <xf numFmtId="1" fontId="10" fillId="20" borderId="0" xfId="4" applyNumberFormat="1" applyFont="1" applyFill="1" applyAlignment="1">
      <alignment horizontal="center" vertical="center" wrapText="1"/>
    </xf>
    <xf numFmtId="1" fontId="10" fillId="13" borderId="4" xfId="4" applyNumberFormat="1" applyFont="1" applyFill="1" applyBorder="1" applyAlignment="1">
      <alignment horizontal="center" vertical="center" wrapText="1"/>
    </xf>
    <xf numFmtId="1" fontId="10" fillId="13" borderId="0" xfId="4" applyNumberFormat="1" applyFont="1" applyFill="1" applyAlignment="1">
      <alignment horizontal="center" vertical="center" wrapText="1"/>
    </xf>
    <xf numFmtId="1" fontId="10" fillId="24" borderId="4" xfId="4" applyNumberFormat="1" applyFont="1" applyFill="1" applyBorder="1" applyAlignment="1">
      <alignment horizontal="center" vertical="center" wrapText="1"/>
    </xf>
    <xf numFmtId="1" fontId="10" fillId="24" borderId="0" xfId="4" applyNumberFormat="1" applyFont="1" applyFill="1" applyAlignment="1">
      <alignment horizontal="center" vertical="center" wrapText="1"/>
    </xf>
    <xf numFmtId="1" fontId="10" fillId="17" borderId="4" xfId="4" applyNumberFormat="1" applyFont="1" applyFill="1" applyBorder="1" applyAlignment="1">
      <alignment horizontal="center" vertical="center" wrapText="1"/>
    </xf>
    <xf numFmtId="1" fontId="10" fillId="17" borderId="0" xfId="4" applyNumberFormat="1" applyFont="1" applyFill="1" applyAlignment="1">
      <alignment horizontal="center" vertical="center" wrapText="1"/>
    </xf>
    <xf numFmtId="1" fontId="10" fillId="19" borderId="4" xfId="4" applyNumberFormat="1" applyFont="1" applyFill="1" applyBorder="1" applyAlignment="1">
      <alignment horizontal="center" vertical="center" wrapText="1"/>
    </xf>
    <xf numFmtId="1" fontId="10" fillId="19" borderId="0" xfId="4" applyNumberFormat="1" applyFont="1" applyFill="1" applyAlignment="1">
      <alignment horizontal="center" vertical="center" wrapText="1"/>
    </xf>
    <xf numFmtId="0" fontId="10" fillId="0" borderId="1" xfId="4" applyFont="1" applyBorder="1" applyAlignment="1">
      <alignment horizontal="center" vertical="center" wrapText="1"/>
    </xf>
    <xf numFmtId="0" fontId="10" fillId="0" borderId="1" xfId="4" applyFont="1" applyBorder="1" applyAlignment="1">
      <alignment horizontal="left" vertical="center" wrapText="1"/>
    </xf>
    <xf numFmtId="0" fontId="10" fillId="0" borderId="1" xfId="4" applyFont="1" applyBorder="1" applyAlignment="1">
      <alignment vertical="center" wrapText="1"/>
    </xf>
    <xf numFmtId="0" fontId="11" fillId="27" borderId="9" xfId="0" applyFont="1" applyFill="1" applyBorder="1" applyAlignment="1">
      <alignment horizontal="center"/>
    </xf>
    <xf numFmtId="0" fontId="11" fillId="27" borderId="14" xfId="0" applyFont="1" applyFill="1" applyBorder="1" applyAlignment="1">
      <alignment horizontal="center"/>
    </xf>
    <xf numFmtId="0" fontId="11" fillId="27" borderId="1" xfId="0" applyFont="1" applyFill="1" applyBorder="1" applyAlignment="1">
      <alignment horizontal="center"/>
    </xf>
    <xf numFmtId="175" fontId="11" fillId="27" borderId="1" xfId="1" applyNumberFormat="1" applyFont="1" applyFill="1" applyBorder="1" applyAlignment="1">
      <alignment horizontal="center"/>
    </xf>
    <xf numFmtId="0" fontId="11" fillId="7" borderId="2" xfId="0" applyFont="1" applyFill="1" applyBorder="1" applyAlignment="1" applyProtection="1">
      <alignment horizontal="center" vertical="center"/>
      <protection locked="0"/>
    </xf>
    <xf numFmtId="0" fontId="11" fillId="7" borderId="1" xfId="0" applyFont="1" applyFill="1" applyBorder="1" applyAlignment="1" applyProtection="1">
      <alignment horizontal="center" vertical="center"/>
      <protection locked="0"/>
    </xf>
    <xf numFmtId="165" fontId="10" fillId="8" borderId="1" xfId="2" applyFont="1" applyFill="1" applyBorder="1" applyAlignment="1" applyProtection="1">
      <alignment horizontal="center" vertical="center" wrapText="1"/>
    </xf>
    <xf numFmtId="1" fontId="10" fillId="14" borderId="4" xfId="4" applyNumberFormat="1" applyFont="1" applyFill="1" applyBorder="1" applyAlignment="1">
      <alignment horizontal="center" vertical="center" wrapText="1"/>
    </xf>
    <xf numFmtId="1" fontId="10" fillId="14" borderId="0" xfId="4" applyNumberFormat="1" applyFont="1" applyFill="1" applyAlignment="1">
      <alignment horizontal="center" vertical="center" wrapText="1"/>
    </xf>
    <xf numFmtId="1" fontId="10" fillId="17" borderId="6" xfId="4" applyNumberFormat="1" applyFont="1" applyFill="1" applyBorder="1" applyAlignment="1">
      <alignment horizontal="center" vertical="center" wrapText="1"/>
    </xf>
    <xf numFmtId="1" fontId="10" fillId="17" borderId="3" xfId="4" applyNumberFormat="1" applyFont="1" applyFill="1" applyBorder="1" applyAlignment="1">
      <alignment horizontal="center" vertical="center" wrapText="1"/>
    </xf>
    <xf numFmtId="1" fontId="10" fillId="17" borderId="7" xfId="4" applyNumberFormat="1" applyFont="1" applyFill="1" applyBorder="1" applyAlignment="1">
      <alignment horizontal="center" vertical="center" wrapText="1"/>
    </xf>
    <xf numFmtId="1" fontId="10" fillId="25" borderId="4" xfId="4" applyNumberFormat="1" applyFont="1" applyFill="1" applyBorder="1" applyAlignment="1">
      <alignment horizontal="center" vertical="center" wrapText="1"/>
    </xf>
    <xf numFmtId="1" fontId="10" fillId="25" borderId="0" xfId="4" applyNumberFormat="1" applyFont="1" applyFill="1" applyAlignment="1">
      <alignment horizontal="center" vertical="center" wrapText="1"/>
    </xf>
    <xf numFmtId="1" fontId="10" fillId="25" borderId="0" xfId="4" applyNumberFormat="1" applyFont="1" applyFill="1" applyAlignment="1">
      <alignment vertical="center" wrapText="1"/>
    </xf>
    <xf numFmtId="1" fontId="10" fillId="11" borderId="4" xfId="4" applyNumberFormat="1" applyFont="1" applyFill="1" applyBorder="1" applyAlignment="1">
      <alignment horizontal="center" vertical="center" wrapText="1"/>
    </xf>
    <xf numFmtId="1" fontId="10" fillId="11" borderId="0" xfId="4" applyNumberFormat="1" applyFont="1" applyFill="1" applyAlignment="1">
      <alignment horizontal="center" vertical="center" wrapText="1"/>
    </xf>
    <xf numFmtId="1" fontId="10" fillId="23" borderId="6" xfId="4" applyNumberFormat="1" applyFont="1" applyFill="1" applyBorder="1" applyAlignment="1">
      <alignment horizontal="center" vertical="center" wrapText="1"/>
    </xf>
    <xf numFmtId="1" fontId="10" fillId="23" borderId="3" xfId="4" applyNumberFormat="1" applyFont="1" applyFill="1" applyBorder="1" applyAlignment="1">
      <alignment horizontal="center" vertical="center" wrapText="1"/>
    </xf>
    <xf numFmtId="1" fontId="10" fillId="23" borderId="7" xfId="4" applyNumberFormat="1" applyFont="1" applyFill="1" applyBorder="1" applyAlignment="1">
      <alignment horizontal="center" vertical="center" wrapText="1"/>
    </xf>
    <xf numFmtId="1" fontId="10" fillId="22" borderId="4" xfId="4" applyNumberFormat="1" applyFont="1" applyFill="1" applyBorder="1" applyAlignment="1">
      <alignment horizontal="center" vertical="center" wrapText="1"/>
    </xf>
    <xf numFmtId="1" fontId="10" fillId="22" borderId="0" xfId="4" applyNumberFormat="1" applyFont="1" applyFill="1" applyAlignment="1">
      <alignment horizontal="center" vertical="center" wrapText="1"/>
    </xf>
    <xf numFmtId="1" fontId="10" fillId="3" borderId="6" xfId="4" applyNumberFormat="1" applyFont="1" applyFill="1" applyBorder="1" applyAlignment="1">
      <alignment horizontal="center" vertical="center" wrapText="1"/>
    </xf>
    <xf numFmtId="1" fontId="10" fillId="3" borderId="3" xfId="4" applyNumberFormat="1" applyFont="1" applyFill="1" applyBorder="1" applyAlignment="1">
      <alignment horizontal="center" vertical="center" wrapText="1"/>
    </xf>
    <xf numFmtId="1" fontId="10" fillId="3" borderId="7" xfId="4" applyNumberFormat="1" applyFont="1" applyFill="1" applyBorder="1" applyAlignment="1">
      <alignment horizontal="center" vertical="center" wrapText="1"/>
    </xf>
    <xf numFmtId="175" fontId="10" fillId="12" borderId="4" xfId="1" applyNumberFormat="1" applyFont="1" applyFill="1" applyBorder="1" applyAlignment="1" applyProtection="1">
      <alignment horizontal="center" vertical="center" wrapText="1"/>
    </xf>
    <xf numFmtId="175" fontId="10" fillId="12" borderId="0" xfId="1" applyNumberFormat="1" applyFont="1" applyFill="1" applyBorder="1" applyAlignment="1" applyProtection="1">
      <alignment horizontal="center" vertical="center" wrapText="1"/>
    </xf>
    <xf numFmtId="1" fontId="10" fillId="17" borderId="1" xfId="4" applyNumberFormat="1" applyFont="1" applyFill="1" applyBorder="1" applyAlignment="1">
      <alignment horizontal="center" vertical="center" wrapText="1"/>
    </xf>
    <xf numFmtId="1" fontId="10" fillId="12" borderId="2" xfId="4" applyNumberFormat="1" applyFont="1" applyFill="1" applyBorder="1" applyAlignment="1">
      <alignment horizontal="center" vertical="center" wrapText="1"/>
    </xf>
    <xf numFmtId="1" fontId="10" fillId="12" borderId="20" xfId="4" applyNumberFormat="1" applyFont="1" applyFill="1" applyBorder="1" applyAlignment="1">
      <alignment horizontal="center" vertical="center" wrapText="1"/>
    </xf>
    <xf numFmtId="1" fontId="10" fillId="12" borderId="17" xfId="4" applyNumberFormat="1" applyFont="1" applyFill="1" applyBorder="1" applyAlignment="1">
      <alignment horizontal="center" vertical="center" wrapText="1"/>
    </xf>
    <xf numFmtId="1" fontId="10" fillId="18" borderId="2" xfId="4" applyNumberFormat="1" applyFont="1" applyFill="1" applyBorder="1" applyAlignment="1">
      <alignment horizontal="center" vertical="center" wrapText="1"/>
    </xf>
    <xf numFmtId="1" fontId="10" fillId="18" borderId="20" xfId="4" applyNumberFormat="1" applyFont="1" applyFill="1" applyBorder="1" applyAlignment="1">
      <alignment horizontal="center" vertical="center" wrapText="1"/>
    </xf>
    <xf numFmtId="1" fontId="10" fillId="18" borderId="17" xfId="4" applyNumberFormat="1" applyFont="1" applyFill="1" applyBorder="1" applyAlignment="1">
      <alignment horizontal="center" vertical="center" wrapText="1"/>
    </xf>
    <xf numFmtId="1" fontId="10" fillId="10" borderId="2" xfId="4" applyNumberFormat="1" applyFont="1" applyFill="1" applyBorder="1" applyAlignment="1">
      <alignment horizontal="center" vertical="center" wrapText="1"/>
    </xf>
    <xf numFmtId="1" fontId="10" fillId="10" borderId="20" xfId="4" applyNumberFormat="1" applyFont="1" applyFill="1" applyBorder="1" applyAlignment="1">
      <alignment horizontal="center" vertical="center" wrapText="1"/>
    </xf>
    <xf numFmtId="1" fontId="10" fillId="10" borderId="17" xfId="4" applyNumberFormat="1" applyFont="1" applyFill="1" applyBorder="1" applyAlignment="1">
      <alignment horizontal="center" vertical="center" wrapText="1"/>
    </xf>
    <xf numFmtId="1" fontId="10" fillId="30" borderId="2" xfId="4" applyNumberFormat="1" applyFont="1" applyFill="1" applyBorder="1" applyAlignment="1">
      <alignment horizontal="center" vertical="center" wrapText="1"/>
    </xf>
    <xf numFmtId="1" fontId="10" fillId="30" borderId="20" xfId="4" applyNumberFormat="1" applyFont="1" applyFill="1" applyBorder="1" applyAlignment="1">
      <alignment horizontal="center" vertical="center" wrapText="1"/>
    </xf>
    <xf numFmtId="1" fontId="10" fillId="30" borderId="17" xfId="4" applyNumberFormat="1" applyFont="1" applyFill="1" applyBorder="1" applyAlignment="1">
      <alignment horizontal="center" vertical="center" wrapText="1"/>
    </xf>
    <xf numFmtId="1" fontId="10" fillId="15" borderId="1" xfId="4" applyNumberFormat="1" applyFont="1" applyFill="1" applyBorder="1" applyAlignment="1">
      <alignment horizontal="center" vertical="center" wrapText="1"/>
    </xf>
    <xf numFmtId="1" fontId="10" fillId="3" borderId="1" xfId="4" applyNumberFormat="1" applyFont="1" applyFill="1" applyBorder="1" applyAlignment="1">
      <alignment horizontal="center" vertical="center" wrapText="1"/>
    </xf>
    <xf numFmtId="1" fontId="10" fillId="23" borderId="1" xfId="4" applyNumberFormat="1" applyFont="1" applyFill="1" applyBorder="1" applyAlignment="1">
      <alignment horizontal="center" vertical="center" wrapText="1"/>
    </xf>
    <xf numFmtId="1" fontId="10" fillId="38" borderId="2" xfId="4" applyNumberFormat="1" applyFont="1" applyFill="1" applyBorder="1" applyAlignment="1">
      <alignment horizontal="center" vertical="center" wrapText="1"/>
    </xf>
    <xf numFmtId="1" fontId="10" fillId="38" borderId="20" xfId="4" applyNumberFormat="1" applyFont="1" applyFill="1" applyBorder="1" applyAlignment="1">
      <alignment horizontal="center" vertical="center" wrapText="1"/>
    </xf>
    <xf numFmtId="1" fontId="10" fillId="38" borderId="17" xfId="4" applyNumberFormat="1" applyFont="1" applyFill="1" applyBorder="1" applyAlignment="1">
      <alignment horizontal="center" vertical="center" wrapText="1"/>
    </xf>
    <xf numFmtId="1" fontId="10" fillId="24" borderId="2" xfId="4" applyNumberFormat="1" applyFont="1" applyFill="1" applyBorder="1" applyAlignment="1">
      <alignment horizontal="center" vertical="center" wrapText="1"/>
    </xf>
    <xf numFmtId="1" fontId="10" fillId="24" borderId="20" xfId="4" applyNumberFormat="1" applyFont="1" applyFill="1" applyBorder="1" applyAlignment="1">
      <alignment horizontal="center" vertical="center" wrapText="1"/>
    </xf>
    <xf numFmtId="1" fontId="10" fillId="24" borderId="17" xfId="4" applyNumberFormat="1" applyFont="1" applyFill="1" applyBorder="1" applyAlignment="1">
      <alignment horizontal="center" vertical="center" wrapText="1"/>
    </xf>
    <xf numFmtId="1" fontId="10" fillId="8" borderId="2" xfId="4" applyNumberFormat="1" applyFont="1" applyFill="1" applyBorder="1" applyAlignment="1">
      <alignment horizontal="center" vertical="center" wrapText="1"/>
    </xf>
    <xf numFmtId="1" fontId="10" fillId="8" borderId="20" xfId="4" applyNumberFormat="1" applyFont="1" applyFill="1" applyBorder="1" applyAlignment="1">
      <alignment horizontal="center" vertical="center" wrapText="1"/>
    </xf>
    <xf numFmtId="1" fontId="10" fillId="8" borderId="17" xfId="4" applyNumberFormat="1" applyFont="1" applyFill="1" applyBorder="1" applyAlignment="1">
      <alignment horizontal="center" vertical="center" wrapText="1"/>
    </xf>
    <xf numFmtId="1" fontId="10" fillId="29" borderId="2" xfId="4" applyNumberFormat="1" applyFont="1" applyFill="1" applyBorder="1" applyAlignment="1">
      <alignment horizontal="center" vertical="center" wrapText="1"/>
    </xf>
    <xf numFmtId="1" fontId="10" fillId="29" borderId="20" xfId="4" applyNumberFormat="1" applyFont="1" applyFill="1" applyBorder="1" applyAlignment="1">
      <alignment horizontal="center" vertical="center" wrapText="1"/>
    </xf>
    <xf numFmtId="1" fontId="10" fillId="29" borderId="17" xfId="4" applyNumberFormat="1" applyFont="1" applyFill="1" applyBorder="1" applyAlignment="1">
      <alignment horizontal="center" vertical="center" wrapText="1"/>
    </xf>
    <xf numFmtId="1" fontId="10" fillId="3" borderId="2" xfId="4" applyNumberFormat="1" applyFont="1" applyFill="1" applyBorder="1" applyAlignment="1">
      <alignment horizontal="center" vertical="center" wrapText="1"/>
    </xf>
    <xf numFmtId="1" fontId="10" fillId="3" borderId="20" xfId="4" applyNumberFormat="1" applyFont="1" applyFill="1" applyBorder="1" applyAlignment="1">
      <alignment horizontal="center" vertical="center" wrapText="1"/>
    </xf>
    <xf numFmtId="1" fontId="10" fillId="3" borderId="17" xfId="4" applyNumberFormat="1" applyFont="1" applyFill="1" applyBorder="1" applyAlignment="1">
      <alignment horizontal="center" vertical="center" wrapText="1"/>
    </xf>
    <xf numFmtId="1" fontId="10" fillId="15" borderId="2" xfId="4" applyNumberFormat="1" applyFont="1" applyFill="1" applyBorder="1" applyAlignment="1">
      <alignment horizontal="center" vertical="center" wrapText="1"/>
    </xf>
    <xf numFmtId="1" fontId="10" fillId="15" borderId="20" xfId="4" applyNumberFormat="1" applyFont="1" applyFill="1" applyBorder="1" applyAlignment="1">
      <alignment horizontal="center" vertical="center" wrapText="1"/>
    </xf>
    <xf numFmtId="1" fontId="10" fillId="15" borderId="17" xfId="4" applyNumberFormat="1" applyFont="1" applyFill="1" applyBorder="1" applyAlignment="1">
      <alignment horizontal="center" vertical="center" wrapText="1"/>
    </xf>
    <xf numFmtId="1" fontId="10" fillId="20" borderId="2" xfId="4" applyNumberFormat="1" applyFont="1" applyFill="1" applyBorder="1" applyAlignment="1">
      <alignment horizontal="center" vertical="center" wrapText="1"/>
    </xf>
    <xf numFmtId="1" fontId="10" fillId="20" borderId="20" xfId="4" applyNumberFormat="1" applyFont="1" applyFill="1" applyBorder="1" applyAlignment="1">
      <alignment horizontal="center" vertical="center" wrapText="1"/>
    </xf>
    <xf numFmtId="1" fontId="10" fillId="20" borderId="17" xfId="4" applyNumberFormat="1" applyFont="1" applyFill="1" applyBorder="1" applyAlignment="1">
      <alignment horizontal="center" vertical="center" wrapText="1"/>
    </xf>
    <xf numFmtId="0" fontId="29" fillId="0" borderId="3" xfId="0" applyFont="1" applyBorder="1" applyAlignment="1"/>
    <xf numFmtId="0" fontId="29" fillId="0" borderId="7" xfId="0" applyFont="1" applyBorder="1" applyAlignment="1"/>
    <xf numFmtId="0" fontId="16" fillId="31" borderId="1" xfId="0" applyFont="1" applyFill="1" applyBorder="1" applyAlignment="1">
      <alignment horizontal="center" vertical="center"/>
    </xf>
    <xf numFmtId="1" fontId="10" fillId="17" borderId="2" xfId="4" applyNumberFormat="1" applyFont="1" applyFill="1" applyBorder="1" applyAlignment="1">
      <alignment horizontal="center" vertical="center" wrapText="1"/>
    </xf>
    <xf numFmtId="1" fontId="10" fillId="17" borderId="20" xfId="4" applyNumberFormat="1" applyFont="1" applyFill="1" applyBorder="1" applyAlignment="1">
      <alignment horizontal="center" vertical="center" wrapText="1"/>
    </xf>
    <xf numFmtId="1" fontId="10" fillId="17" borderId="17" xfId="4" applyNumberFormat="1" applyFont="1" applyFill="1" applyBorder="1" applyAlignment="1">
      <alignment horizontal="center" vertical="center" wrapText="1"/>
    </xf>
    <xf numFmtId="1" fontId="10" fillId="13" borderId="2" xfId="4" applyNumberFormat="1" applyFont="1" applyFill="1" applyBorder="1" applyAlignment="1">
      <alignment horizontal="center" vertical="center" wrapText="1"/>
    </xf>
    <xf numFmtId="1" fontId="10" fillId="13" borderId="20" xfId="4" applyNumberFormat="1" applyFont="1" applyFill="1" applyBorder="1" applyAlignment="1">
      <alignment horizontal="center" vertical="center" wrapText="1"/>
    </xf>
    <xf numFmtId="1" fontId="10" fillId="13" borderId="17" xfId="4" applyNumberFormat="1" applyFont="1" applyFill="1" applyBorder="1" applyAlignment="1">
      <alignment horizontal="center" vertical="center" wrapText="1"/>
    </xf>
    <xf numFmtId="1" fontId="10" fillId="11" borderId="2" xfId="4" applyNumberFormat="1" applyFont="1" applyFill="1" applyBorder="1" applyAlignment="1">
      <alignment horizontal="center" vertical="center" wrapText="1"/>
    </xf>
    <xf numFmtId="1" fontId="10" fillId="11" borderId="20" xfId="4" applyNumberFormat="1" applyFont="1" applyFill="1" applyBorder="1" applyAlignment="1">
      <alignment horizontal="center" vertical="center" wrapText="1"/>
    </xf>
    <xf numFmtId="1" fontId="10" fillId="11" borderId="17" xfId="4" applyNumberFormat="1" applyFont="1" applyFill="1" applyBorder="1" applyAlignment="1">
      <alignment horizontal="center" vertical="center" wrapText="1"/>
    </xf>
    <xf numFmtId="175" fontId="10" fillId="12" borderId="2" xfId="1" applyNumberFormat="1" applyFont="1" applyFill="1" applyBorder="1" applyAlignment="1">
      <alignment horizontal="center" vertical="center" wrapText="1"/>
    </xf>
    <xf numFmtId="175" fontId="10" fillId="12" borderId="20" xfId="1" applyNumberFormat="1" applyFont="1" applyFill="1" applyBorder="1" applyAlignment="1">
      <alignment horizontal="center" vertical="center" wrapText="1"/>
    </xf>
    <xf numFmtId="175" fontId="10" fillId="12" borderId="17" xfId="1" applyNumberFormat="1" applyFont="1" applyFill="1" applyBorder="1" applyAlignment="1">
      <alignment horizontal="center" vertical="center" wrapText="1"/>
    </xf>
    <xf numFmtId="1" fontId="10" fillId="14" borderId="2" xfId="4" applyNumberFormat="1" applyFont="1" applyFill="1" applyBorder="1" applyAlignment="1">
      <alignment horizontal="center" vertical="center" wrapText="1"/>
    </xf>
    <xf numFmtId="1" fontId="10" fillId="14" borderId="20" xfId="4" applyNumberFormat="1" applyFont="1" applyFill="1" applyBorder="1" applyAlignment="1">
      <alignment horizontal="center" vertical="center" wrapText="1"/>
    </xf>
    <xf numFmtId="1" fontId="10" fillId="14" borderId="17" xfId="4" applyNumberFormat="1" applyFont="1" applyFill="1" applyBorder="1" applyAlignment="1">
      <alignment horizontal="center" vertical="center" wrapText="1"/>
    </xf>
    <xf numFmtId="1" fontId="10" fillId="39" borderId="2" xfId="4" applyNumberFormat="1" applyFont="1" applyFill="1" applyBorder="1" applyAlignment="1">
      <alignment horizontal="center" vertical="center" wrapText="1"/>
    </xf>
    <xf numFmtId="1" fontId="10" fillId="39" borderId="20" xfId="4" applyNumberFormat="1" applyFont="1" applyFill="1" applyBorder="1" applyAlignment="1">
      <alignment horizontal="center" vertical="center" wrapText="1"/>
    </xf>
    <xf numFmtId="1" fontId="10" fillId="39" borderId="17" xfId="4" applyNumberFormat="1" applyFont="1" applyFill="1" applyBorder="1" applyAlignment="1">
      <alignment horizontal="center" vertical="center" wrapText="1"/>
    </xf>
    <xf numFmtId="0" fontId="10" fillId="4" borderId="0" xfId="4" applyFont="1" applyFill="1" applyAlignment="1">
      <alignment horizontal="center" vertical="center" wrapText="1"/>
    </xf>
    <xf numFmtId="0" fontId="10" fillId="4" borderId="3" xfId="4" applyFont="1" applyFill="1" applyBorder="1" applyAlignment="1">
      <alignment horizontal="center" vertical="center" wrapText="1"/>
    </xf>
    <xf numFmtId="0" fontId="10" fillId="4" borderId="0" xfId="4" applyFont="1" applyFill="1" applyAlignment="1">
      <alignment horizontal="center" vertical="center"/>
    </xf>
    <xf numFmtId="0" fontId="10" fillId="4" borderId="3" xfId="4" applyFont="1" applyFill="1" applyBorder="1" applyAlignment="1">
      <alignment horizontal="center" vertical="center"/>
    </xf>
    <xf numFmtId="1" fontId="10" fillId="10" borderId="4" xfId="4" applyNumberFormat="1" applyFont="1" applyFill="1" applyBorder="1" applyAlignment="1">
      <alignment horizontal="center" vertical="center" wrapText="1"/>
    </xf>
    <xf numFmtId="1" fontId="10" fillId="10" borderId="0" xfId="4" applyNumberFormat="1" applyFont="1" applyFill="1" applyAlignment="1">
      <alignment horizontal="center" vertical="center" wrapText="1"/>
    </xf>
    <xf numFmtId="1" fontId="10" fillId="5" borderId="4" xfId="4" applyNumberFormat="1" applyFont="1" applyFill="1" applyBorder="1" applyAlignment="1">
      <alignment horizontal="center" vertical="center" wrapText="1"/>
    </xf>
    <xf numFmtId="1" fontId="10" fillId="5" borderId="0" xfId="4" applyNumberFormat="1" applyFont="1" applyFill="1" applyAlignment="1">
      <alignment horizontal="center" vertical="center" wrapText="1"/>
    </xf>
    <xf numFmtId="1" fontId="10" fillId="23" borderId="4" xfId="4" applyNumberFormat="1" applyFont="1" applyFill="1" applyBorder="1" applyAlignment="1">
      <alignment horizontal="center" vertical="center" wrapText="1"/>
    </xf>
    <xf numFmtId="1" fontId="10" fillId="23" borderId="0" xfId="4" applyNumberFormat="1" applyFont="1" applyFill="1" applyAlignment="1">
      <alignment horizontal="center" vertical="center" wrapText="1"/>
    </xf>
    <xf numFmtId="1" fontId="10" fillId="15" borderId="6" xfId="4" applyNumberFormat="1" applyFont="1" applyFill="1" applyBorder="1" applyAlignment="1">
      <alignment horizontal="center" vertical="center" wrapText="1"/>
    </xf>
    <xf numFmtId="1" fontId="10" fillId="15" borderId="3" xfId="4" applyNumberFormat="1" applyFont="1" applyFill="1" applyBorder="1" applyAlignment="1">
      <alignment horizontal="center" vertical="center" wrapText="1"/>
    </xf>
    <xf numFmtId="1" fontId="10" fillId="15" borderId="7" xfId="4" applyNumberFormat="1" applyFont="1" applyFill="1" applyBorder="1" applyAlignment="1">
      <alignment horizontal="center" vertical="center" wrapText="1"/>
    </xf>
    <xf numFmtId="1" fontId="10" fillId="10" borderId="6" xfId="4" applyNumberFormat="1" applyFont="1" applyFill="1" applyBorder="1" applyAlignment="1">
      <alignment horizontal="center" vertical="center" wrapText="1"/>
    </xf>
    <xf numFmtId="1" fontId="10" fillId="10" borderId="3" xfId="4" applyNumberFormat="1" applyFont="1" applyFill="1" applyBorder="1" applyAlignment="1">
      <alignment horizontal="center" vertical="center" wrapText="1"/>
    </xf>
    <xf numFmtId="1" fontId="10" fillId="10" borderId="7" xfId="4" applyNumberFormat="1" applyFont="1" applyFill="1" applyBorder="1" applyAlignment="1">
      <alignment horizontal="center" vertical="center" wrapText="1"/>
    </xf>
    <xf numFmtId="175" fontId="10" fillId="17" borderId="0" xfId="1" applyNumberFormat="1" applyFont="1" applyFill="1" applyBorder="1" applyAlignment="1" applyProtection="1">
      <alignment horizontal="center" vertical="center" wrapText="1"/>
    </xf>
    <xf numFmtId="1" fontId="10" fillId="21" borderId="6" xfId="4" applyNumberFormat="1" applyFont="1" applyFill="1" applyBorder="1" applyAlignment="1">
      <alignment horizontal="center" vertical="center" wrapText="1"/>
    </xf>
    <xf numFmtId="1" fontId="10" fillId="21" borderId="3" xfId="4" applyNumberFormat="1" applyFont="1" applyFill="1" applyBorder="1" applyAlignment="1">
      <alignment horizontal="center" vertical="center" wrapText="1"/>
    </xf>
    <xf numFmtId="1" fontId="10" fillId="21" borderId="7" xfId="4" applyNumberFormat="1" applyFont="1" applyFill="1" applyBorder="1" applyAlignment="1">
      <alignment horizontal="center" vertical="center" wrapText="1"/>
    </xf>
    <xf numFmtId="1" fontId="10" fillId="6" borderId="4" xfId="4" applyNumberFormat="1" applyFont="1" applyFill="1" applyBorder="1" applyAlignment="1">
      <alignment horizontal="center" vertical="center" wrapText="1"/>
    </xf>
    <xf numFmtId="1" fontId="10" fillId="6" borderId="0" xfId="4" applyNumberFormat="1" applyFont="1" applyFill="1" applyAlignment="1">
      <alignment horizontal="center" vertical="center" wrapText="1"/>
    </xf>
    <xf numFmtId="0" fontId="5" fillId="9" borderId="1" xfId="0" applyFont="1" applyFill="1" applyBorder="1" applyAlignment="1">
      <alignment horizontal="center"/>
    </xf>
    <xf numFmtId="0" fontId="29" fillId="0" borderId="0" xfId="0" applyFont="1" applyAlignment="1">
      <alignment horizontal="center" vertical="center" wrapText="1"/>
    </xf>
    <xf numFmtId="0" fontId="17" fillId="0" borderId="1" xfId="0" applyFont="1" applyFill="1" applyBorder="1" applyAlignment="1">
      <alignment vertical="center" wrapText="1"/>
    </xf>
    <xf numFmtId="0" fontId="38" fillId="0" borderId="1" xfId="0" applyFont="1" applyFill="1" applyBorder="1" applyAlignment="1" applyProtection="1">
      <alignment vertical="center" wrapText="1"/>
      <protection locked="0"/>
    </xf>
    <xf numFmtId="0" fontId="38" fillId="0" borderId="1" xfId="0" applyFont="1" applyFill="1" applyBorder="1" applyAlignment="1" applyProtection="1">
      <alignment horizontal="left" vertical="center" wrapText="1"/>
      <protection locked="0"/>
    </xf>
    <xf numFmtId="0" fontId="29" fillId="0" borderId="1" xfId="0" applyFont="1" applyFill="1" applyBorder="1" applyAlignment="1">
      <alignment vertical="center" wrapText="1"/>
    </xf>
    <xf numFmtId="0" fontId="38" fillId="0" borderId="1" xfId="6" applyFont="1" applyFill="1" applyBorder="1" applyAlignment="1">
      <alignment horizontal="left" vertical="center" wrapText="1"/>
    </xf>
    <xf numFmtId="0" fontId="38" fillId="0" borderId="17" xfId="0" applyFont="1" applyFill="1" applyBorder="1" applyAlignment="1">
      <alignment vertical="center" wrapText="1"/>
    </xf>
    <xf numFmtId="0" fontId="38" fillId="0" borderId="1" xfId="0" applyFont="1" applyFill="1" applyBorder="1" applyAlignment="1">
      <alignment horizontal="center" vertical="center" wrapText="1"/>
    </xf>
    <xf numFmtId="171" fontId="38" fillId="0" borderId="1" xfId="5" applyFont="1" applyFill="1" applyBorder="1" applyAlignment="1" applyProtection="1">
      <alignment horizontal="left" vertical="center" wrapText="1"/>
    </xf>
    <xf numFmtId="0" fontId="38" fillId="0" borderId="17" xfId="0" applyFont="1" applyFill="1" applyBorder="1" applyAlignment="1" applyProtection="1">
      <alignment vertical="center" wrapText="1"/>
      <protection locked="0"/>
    </xf>
    <xf numFmtId="0" fontId="17" fillId="0" borderId="2" xfId="0" applyFont="1" applyFill="1" applyBorder="1" applyAlignment="1">
      <alignment wrapText="1"/>
    </xf>
    <xf numFmtId="0" fontId="38" fillId="0" borderId="2" xfId="0" applyFont="1" applyFill="1" applyBorder="1" applyAlignment="1">
      <alignment horizontal="left" vertical="center" wrapText="1"/>
    </xf>
    <xf numFmtId="0" fontId="38" fillId="0" borderId="17" xfId="0" applyFont="1" applyFill="1" applyBorder="1" applyAlignment="1">
      <alignment horizontal="left" vertical="center" wrapText="1"/>
    </xf>
    <xf numFmtId="0" fontId="38" fillId="0" borderId="20" xfId="0" applyFont="1" applyFill="1" applyBorder="1" applyAlignment="1">
      <alignment horizontal="left" vertical="center" wrapText="1"/>
    </xf>
    <xf numFmtId="0" fontId="38" fillId="0" borderId="7" xfId="0" applyFont="1" applyFill="1" applyBorder="1" applyAlignment="1">
      <alignment vertical="center" wrapText="1"/>
    </xf>
    <xf numFmtId="0" fontId="38" fillId="0" borderId="3" xfId="0" applyFont="1" applyFill="1" applyBorder="1" applyAlignment="1">
      <alignment horizontal="left" vertical="center" wrapText="1"/>
    </xf>
    <xf numFmtId="0" fontId="38" fillId="0" borderId="3" xfId="0" applyFont="1" applyFill="1" applyBorder="1" applyAlignment="1">
      <alignment wrapText="1"/>
    </xf>
    <xf numFmtId="0" fontId="38" fillId="0" borderId="3" xfId="0" applyFont="1" applyFill="1" applyBorder="1" applyAlignment="1" applyProtection="1">
      <alignment horizontal="left" vertical="center" wrapText="1"/>
      <protection locked="0"/>
    </xf>
    <xf numFmtId="0" fontId="38" fillId="0" borderId="22" xfId="0" applyFont="1" applyFill="1" applyBorder="1" applyAlignment="1">
      <alignment vertical="center" wrapText="1"/>
    </xf>
    <xf numFmtId="0" fontId="38" fillId="0" borderId="21" xfId="0" applyFont="1" applyFill="1" applyBorder="1" applyAlignment="1">
      <alignment horizontal="left" vertical="center" wrapText="1"/>
    </xf>
    <xf numFmtId="0" fontId="38" fillId="0" borderId="19" xfId="0" applyFont="1" applyFill="1" applyBorder="1" applyAlignment="1">
      <alignment vertical="center" wrapText="1"/>
    </xf>
    <xf numFmtId="0" fontId="38" fillId="0" borderId="0" xfId="0" applyFont="1" applyFill="1" applyAlignment="1">
      <alignment vertical="center" wrapText="1"/>
    </xf>
    <xf numFmtId="0" fontId="38" fillId="0" borderId="23" xfId="0" applyFont="1" applyFill="1" applyBorder="1" applyAlignment="1">
      <alignment horizontal="left" vertical="center" wrapText="1"/>
    </xf>
    <xf numFmtId="0" fontId="38" fillId="0" borderId="2" xfId="0" applyFont="1" applyFill="1" applyBorder="1" applyAlignment="1">
      <alignment wrapText="1"/>
    </xf>
    <xf numFmtId="0" fontId="38" fillId="0" borderId="2" xfId="0" applyFont="1" applyFill="1" applyBorder="1" applyAlignment="1">
      <alignment horizontal="left" vertical="top" wrapText="1"/>
    </xf>
    <xf numFmtId="0" fontId="29" fillId="0" borderId="2" xfId="0" applyFont="1" applyFill="1" applyBorder="1" applyAlignment="1">
      <alignment wrapText="1"/>
    </xf>
    <xf numFmtId="0" fontId="38" fillId="0" borderId="2" xfId="0" applyFont="1" applyFill="1" applyBorder="1" applyAlignment="1" applyProtection="1">
      <alignment horizontal="left" vertical="center" wrapText="1"/>
      <protection locked="0"/>
    </xf>
    <xf numFmtId="0" fontId="38" fillId="0" borderId="1" xfId="0" applyFont="1" applyFill="1" applyBorder="1" applyAlignment="1">
      <alignment horizontal="left" vertical="center"/>
    </xf>
    <xf numFmtId="0" fontId="38" fillId="0" borderId="1" xfId="0" applyFont="1" applyFill="1" applyBorder="1" applyAlignment="1">
      <alignment horizontal="center" vertical="center"/>
    </xf>
    <xf numFmtId="0" fontId="38" fillId="0" borderId="1" xfId="4" applyFont="1" applyFill="1" applyBorder="1" applyAlignment="1">
      <alignment horizontal="center" vertical="center" wrapText="1"/>
    </xf>
    <xf numFmtId="0" fontId="38" fillId="0" borderId="1" xfId="0" applyFont="1" applyFill="1" applyBorder="1" applyAlignment="1">
      <alignment horizontal="left" vertical="center" wrapText="1" indent="1"/>
    </xf>
  </cellXfs>
  <cellStyles count="101">
    <cellStyle name="Comma 2" xfId="14"/>
    <cellStyle name="Comma 2 2" xfId="15"/>
    <cellStyle name="Comma 2 2 2" xfId="79"/>
    <cellStyle name="Comma 2 3" xfId="78"/>
    <cellStyle name="Comma 3" xfId="16"/>
    <cellStyle name="Comma 3 2" xfId="17"/>
    <cellStyle name="Comma 3 2 2" xfId="81"/>
    <cellStyle name="Comma 3 3" xfId="80"/>
    <cellStyle name="Comma 4" xfId="18"/>
    <cellStyle name="Comma 4 2" xfId="19"/>
    <cellStyle name="Comma 4 2 2" xfId="83"/>
    <cellStyle name="Comma 4 3" xfId="82"/>
    <cellStyle name="Comma 5" xfId="20"/>
    <cellStyle name="Comma 5 2" xfId="21"/>
    <cellStyle name="Comma 5 2 2" xfId="85"/>
    <cellStyle name="Comma 5 3" xfId="84"/>
    <cellStyle name="Comma 6" xfId="22"/>
    <cellStyle name="Comma 6 2" xfId="86"/>
    <cellStyle name="Currency" xfId="74"/>
    <cellStyle name="Currency 2" xfId="23"/>
    <cellStyle name="Currency 2 2" xfId="87"/>
    <cellStyle name="Currency 3" xfId="98"/>
    <cellStyle name="Excel Built-in Normal" xfId="5"/>
    <cellStyle name="Hipervínculo 2" xfId="25"/>
    <cellStyle name="Hipervínculo 2 2" xfId="90"/>
    <cellStyle name="Hipervínculo 3" xfId="26"/>
    <cellStyle name="Hipervínculo 4" xfId="27"/>
    <cellStyle name="Hipervínculo 5" xfId="24"/>
    <cellStyle name="Hyperlink" xfId="100"/>
    <cellStyle name="Hyperlink 2" xfId="28"/>
    <cellStyle name="MDSNormal" xfId="29"/>
    <cellStyle name="Millares" xfId="1" builtinId="3"/>
    <cellStyle name="Millares [0]" xfId="2" builtinId="6"/>
    <cellStyle name="Millares [0] 2" xfId="9"/>
    <cellStyle name="Millares [0] 2 2" xfId="55"/>
    <cellStyle name="Millares [0] 2 2 2" xfId="92"/>
    <cellStyle name="Millares [0] 2 3" xfId="63"/>
    <cellStyle name="Millares [0] 2 3 2" xfId="94"/>
    <cellStyle name="Millares [0] 2 4" xfId="75"/>
    <cellStyle name="Millares [0] 4" xfId="11"/>
    <cellStyle name="Millares [0] 4 2" xfId="13"/>
    <cellStyle name="Millares [0] 4 2 2" xfId="77"/>
    <cellStyle name="Millares [0] 4 3" xfId="57"/>
    <cellStyle name="Millares [0] 4 3 2" xfId="93"/>
    <cellStyle name="Millares [0] 4 4" xfId="65"/>
    <cellStyle name="Millares [0] 4 4 2" xfId="95"/>
    <cellStyle name="Millares [0] 4 5" xfId="76"/>
    <cellStyle name="Millares 2" xfId="30"/>
    <cellStyle name="Millares 2 2" xfId="31"/>
    <cellStyle name="Millares 2 2 2" xfId="89"/>
    <cellStyle name="Millares 2 3" xfId="88"/>
    <cellStyle name="Moneda [0]" xfId="3" builtinId="7"/>
    <cellStyle name="Moneda [0] 2" xfId="10"/>
    <cellStyle name="Moneda [0] 2 2" xfId="56"/>
    <cellStyle name="Moneda [0] 2 3" xfId="64"/>
    <cellStyle name="Moneda 10" xfId="70"/>
    <cellStyle name="Moneda 11" xfId="71"/>
    <cellStyle name="Moneda 12" xfId="72"/>
    <cellStyle name="Moneda 13" xfId="73"/>
    <cellStyle name="Moneda 14" xfId="62"/>
    <cellStyle name="Moneda 15" xfId="60"/>
    <cellStyle name="Moneda 16" xfId="99"/>
    <cellStyle name="Moneda 2" xfId="32"/>
    <cellStyle name="Moneda 2 2" xfId="33"/>
    <cellStyle name="Moneda 3" xfId="59"/>
    <cellStyle name="Moneda 4" xfId="61"/>
    <cellStyle name="Moneda 5" xfId="58"/>
    <cellStyle name="Moneda 6" xfId="66"/>
    <cellStyle name="Moneda 7" xfId="67"/>
    <cellStyle name="Moneda 8" xfId="68"/>
    <cellStyle name="Moneda 9" xfId="69"/>
    <cellStyle name="Normal" xfId="0" builtinId="0"/>
    <cellStyle name="Normal 2" xfId="8"/>
    <cellStyle name="Normal 2 11" xfId="34"/>
    <cellStyle name="Normal 2 2" xfId="35"/>
    <cellStyle name="Normal 2 2 2" xfId="36"/>
    <cellStyle name="Normal 2 2 2 2" xfId="97"/>
    <cellStyle name="Normal 2 2 3" xfId="37"/>
    <cellStyle name="Normal 2 3" xfId="38"/>
    <cellStyle name="Normal 2 4" xfId="39"/>
    <cellStyle name="Normal 2 5" xfId="40"/>
    <cellStyle name="Normal 2 6" xfId="41"/>
    <cellStyle name="Normal 3" xfId="4"/>
    <cellStyle name="Normal 3 2" xfId="43"/>
    <cellStyle name="Normal 3 2 2" xfId="96"/>
    <cellStyle name="Normal 3 3" xfId="7"/>
    <cellStyle name="Normal 3 4" xfId="42"/>
    <cellStyle name="Normal 4" xfId="6"/>
    <cellStyle name="Normal 4 2" xfId="44"/>
    <cellStyle name="Normal 5" xfId="45"/>
    <cellStyle name="Normal 5 2" xfId="46"/>
    <cellStyle name="Normal 6" xfId="47"/>
    <cellStyle name="Normal 7" xfId="48"/>
    <cellStyle name="Normal 8" xfId="91"/>
    <cellStyle name="Percent 2" xfId="49"/>
    <cellStyle name="Porcentaje" xfId="12" builtinId="5"/>
    <cellStyle name="Porcentaje 2" xfId="51"/>
    <cellStyle name="Porcentaje 3" xfId="52"/>
    <cellStyle name="Porcentaje 4" xfId="50"/>
    <cellStyle name="SAPBEXstdItem" xfId="53"/>
    <cellStyle name="Style 1" xfId="54"/>
  </cellStyles>
  <dxfs count="23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772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oxoid.com/UK/blue/prod_detail/prod_detail.asp?pr=CT0060&amp;cat=&amp;sec=2&amp;c=UK&amp;lang=EN" TargetMode="External"/><Relationship Id="rId1" Type="http://schemas.openxmlformats.org/officeDocument/2006/relationships/hyperlink" Target="http://www.oxoid.com/UK/blue/prod_detail/prod_detail.asp?pr=CT1653&amp;cat=&amp;sec=2&amp;c=UK&amp;lang=EN"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oxoid.com/UK/blue/prod_detail/prod_detail.asp?pr=CT0060&amp;cat=&amp;sec=2&amp;c=UK&amp;lang=EN" TargetMode="External"/><Relationship Id="rId1" Type="http://schemas.openxmlformats.org/officeDocument/2006/relationships/hyperlink" Target="http://www.oxoid.com/UK/blue/prod_detail/prod_detail.asp?pr=CT1653&amp;cat=&amp;sec=2&amp;c=UK&amp;lang=EN"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FJ806"/>
  <sheetViews>
    <sheetView zoomScale="130" zoomScaleNormal="130" workbookViewId="0">
      <pane xSplit="5" ySplit="2" topLeftCell="AB802" activePane="bottomRight" state="frozen"/>
      <selection pane="topRight" activeCell="F1" sqref="F1"/>
      <selection pane="bottomLeft" activeCell="A3" sqref="A3"/>
      <selection pane="bottomRight" activeCell="AB806" sqref="AB806"/>
    </sheetView>
  </sheetViews>
  <sheetFormatPr baseColWidth="10" defaultColWidth="11.42578125" defaultRowHeight="12.75" x14ac:dyDescent="0.25"/>
  <cols>
    <col min="1" max="1" width="3.85546875" style="28" bestFit="1" customWidth="1"/>
    <col min="2" max="2" width="25.7109375" style="70" customWidth="1"/>
    <col min="3" max="3" width="11.42578125" style="28"/>
    <col min="4" max="4" width="13.7109375" style="28" customWidth="1"/>
    <col min="5" max="5" width="11.42578125" style="28" bestFit="1" customWidth="1"/>
    <col min="6" max="11" width="11.42578125" style="28" customWidth="1"/>
    <col min="12" max="12" width="11.42578125" style="72" customWidth="1"/>
    <col min="13" max="13" width="13.140625" style="72" customWidth="1"/>
    <col min="14" max="14" width="10.140625" style="123" customWidth="1"/>
    <col min="15" max="15" width="11.140625" style="123" customWidth="1"/>
    <col min="16" max="16" width="15.85546875" style="123" customWidth="1"/>
    <col min="17" max="17" width="13.7109375" style="115" customWidth="1"/>
    <col min="18" max="18" width="12.42578125" style="115" bestFit="1" customWidth="1"/>
    <col min="19" max="19" width="18.7109375" style="128" customWidth="1"/>
    <col min="20" max="20" width="10.42578125" style="123" customWidth="1"/>
    <col min="21" max="21" width="10.42578125" style="123" bestFit="1" customWidth="1"/>
    <col min="22" max="22" width="13.28515625" style="123" customWidth="1"/>
    <col min="23" max="23" width="10.28515625" style="28" customWidth="1"/>
    <col min="24" max="24" width="12.7109375" style="28" customWidth="1"/>
    <col min="25" max="25" width="16.28515625" style="28" customWidth="1"/>
    <col min="26" max="26" width="12.42578125" style="123" customWidth="1"/>
    <col min="27" max="27" width="10.42578125" style="123" bestFit="1" customWidth="1"/>
    <col min="28" max="28" width="12.42578125" style="123" customWidth="1"/>
    <col min="29" max="29" width="12.7109375" style="115" customWidth="1"/>
    <col min="30" max="30" width="6.42578125" style="115" customWidth="1"/>
    <col min="31" max="31" width="16.42578125" style="28" bestFit="1" customWidth="1"/>
    <col min="32" max="32" width="11.7109375" style="123" customWidth="1"/>
    <col min="33" max="33" width="11.42578125" style="123" customWidth="1"/>
    <col min="34" max="34" width="12.7109375" style="123" bestFit="1" customWidth="1"/>
    <col min="35" max="35" width="14" style="28" customWidth="1"/>
    <col min="36" max="36" width="9.42578125" style="28" customWidth="1"/>
    <col min="37" max="37" width="14.42578125" style="28" customWidth="1"/>
    <col min="38" max="38" width="17.42578125" style="123" bestFit="1" customWidth="1"/>
    <col min="39" max="39" width="12.28515625" style="123" customWidth="1"/>
    <col min="40" max="40" width="14.42578125" style="123" customWidth="1"/>
    <col min="41" max="41" width="14" style="28" customWidth="1"/>
    <col min="42" max="42" width="10.42578125" style="28" customWidth="1"/>
    <col min="43" max="43" width="13.85546875" style="28" bestFit="1" customWidth="1"/>
    <col min="44" max="44" width="12.7109375" style="72" customWidth="1"/>
    <col min="45" max="45" width="12.28515625" style="72" customWidth="1"/>
    <col min="46" max="46" width="10.85546875" style="72" customWidth="1"/>
    <col min="47" max="48" width="11.140625" style="70" customWidth="1"/>
    <col min="49" max="49" width="19.42578125" style="28" bestFit="1" customWidth="1"/>
    <col min="50" max="50" width="12.28515625" style="72" customWidth="1"/>
    <col min="51" max="51" width="10.42578125" style="72" customWidth="1"/>
    <col min="52" max="52" width="10" style="72" customWidth="1"/>
    <col min="53" max="53" width="8.42578125" style="28" customWidth="1"/>
    <col min="54" max="54" width="12.28515625" style="28" customWidth="1"/>
    <col min="55" max="55" width="17.42578125" style="28" bestFit="1" customWidth="1"/>
    <col min="56" max="56" width="9.42578125" style="72" customWidth="1"/>
    <col min="57" max="57" width="10" style="72" customWidth="1"/>
    <col min="58" max="58" width="12.140625" style="72" customWidth="1"/>
    <col min="59" max="59" width="14.140625" style="28" customWidth="1"/>
    <col min="60" max="60" width="8.85546875" style="28" customWidth="1"/>
    <col min="61" max="61" width="19.42578125" style="28" bestFit="1" customWidth="1"/>
    <col min="62" max="62" width="10" style="72" customWidth="1"/>
    <col min="63" max="63" width="7.7109375" style="72" customWidth="1"/>
    <col min="64" max="64" width="12.28515625" style="72" customWidth="1"/>
    <col min="65" max="65" width="7.28515625" style="28" customWidth="1"/>
    <col min="66" max="66" width="11.7109375" style="28" customWidth="1"/>
    <col min="67" max="67" width="16.42578125" style="28" bestFit="1" customWidth="1"/>
    <col min="68" max="68" width="8.42578125" style="72" customWidth="1"/>
    <col min="69" max="69" width="7.85546875" style="28" bestFit="1" customWidth="1"/>
    <col min="70" max="70" width="10.85546875" style="28" customWidth="1"/>
    <col min="71" max="72" width="10" style="28" customWidth="1"/>
    <col min="73" max="73" width="17.42578125" style="28" bestFit="1" customWidth="1"/>
    <col min="74" max="74" width="12.28515625" style="28" customWidth="1"/>
    <col min="75" max="75" width="10.42578125" style="28" customWidth="1"/>
    <col min="76" max="76" width="11.7109375" style="28" customWidth="1"/>
    <col min="77" max="77" width="10" style="28" customWidth="1"/>
    <col min="78" max="78" width="7.7109375" style="28" customWidth="1"/>
    <col min="79" max="79" width="19.42578125" style="28" bestFit="1" customWidth="1"/>
    <col min="80" max="80" width="8.42578125" style="72" customWidth="1"/>
    <col min="81" max="81" width="10.140625" style="72" customWidth="1"/>
    <col min="82" max="82" width="10.42578125" style="72" customWidth="1"/>
    <col min="83" max="83" width="9.42578125" style="28" customWidth="1"/>
    <col min="84" max="84" width="12.28515625" style="28" customWidth="1"/>
    <col min="85" max="85" width="19.42578125" style="28" bestFit="1" customWidth="1"/>
    <col min="86" max="88" width="12.28515625" style="72" customWidth="1"/>
    <col min="89" max="89" width="18.140625" style="28" bestFit="1" customWidth="1"/>
    <col min="90" max="90" width="11.28515625" style="28" bestFit="1" customWidth="1"/>
    <col min="91" max="91" width="16.42578125" style="28" bestFit="1" customWidth="1"/>
    <col min="92" max="92" width="10" style="72" customWidth="1"/>
    <col min="93" max="93" width="7.7109375" style="72" customWidth="1"/>
    <col min="94" max="94" width="12.28515625" style="72" customWidth="1"/>
    <col min="95" max="95" width="14.7109375" style="28" customWidth="1"/>
    <col min="96" max="96" width="9.42578125" style="28" customWidth="1"/>
    <col min="97" max="97" width="16.42578125" style="28" bestFit="1" customWidth="1"/>
    <col min="98" max="98" width="7.7109375" style="28" customWidth="1"/>
    <col min="99" max="99" width="12.28515625" style="28" customWidth="1"/>
    <col min="100" max="100" width="9" style="28" customWidth="1"/>
    <col min="101" max="101" width="14" style="28" bestFit="1" customWidth="1"/>
    <col min="102" max="102" width="9.42578125" style="28" bestFit="1" customWidth="1"/>
    <col min="103" max="103" width="15.140625" style="28" bestFit="1" customWidth="1"/>
    <col min="104" max="104" width="12.28515625" style="123" customWidth="1"/>
    <col min="105" max="105" width="7.42578125" style="123" customWidth="1"/>
    <col min="106" max="106" width="9.42578125" style="123" customWidth="1"/>
    <col min="107" max="107" width="17.140625" style="28" bestFit="1" customWidth="1"/>
    <col min="108" max="108" width="7.7109375" style="28" customWidth="1"/>
    <col min="109" max="109" width="12.85546875" style="235" bestFit="1" customWidth="1"/>
    <col min="110" max="110" width="10.42578125" style="28" hidden="1" customWidth="1"/>
    <col min="111" max="111" width="9.42578125" style="28" hidden="1" customWidth="1"/>
    <col min="112" max="112" width="10" style="28" hidden="1" customWidth="1"/>
    <col min="113" max="113" width="14.42578125" style="28" hidden="1" customWidth="1"/>
    <col min="114" max="114" width="12.28515625" style="28" hidden="1" customWidth="1"/>
    <col min="115" max="115" width="18.42578125" style="28" hidden="1" customWidth="1"/>
    <col min="116" max="116" width="9.42578125" style="28" hidden="1" customWidth="1"/>
    <col min="117" max="117" width="10" style="28" hidden="1" customWidth="1"/>
    <col min="118" max="118" width="7.7109375" style="28" hidden="1" customWidth="1"/>
    <col min="119" max="119" width="18.140625" style="28" hidden="1" customWidth="1"/>
    <col min="120" max="120" width="11.28515625" style="28" hidden="1" customWidth="1"/>
    <col min="121" max="121" width="16.42578125" style="28" hidden="1" customWidth="1"/>
    <col min="122" max="122" width="10" style="28" hidden="1" customWidth="1"/>
    <col min="123" max="123" width="7.7109375" style="28" hidden="1" customWidth="1"/>
    <col min="124" max="124" width="12.28515625" style="28" hidden="1" customWidth="1"/>
    <col min="125" max="125" width="13.42578125" style="28" hidden="1" customWidth="1"/>
    <col min="126" max="126" width="9.42578125" style="28" hidden="1" customWidth="1"/>
    <col min="127" max="127" width="16.42578125" style="28" hidden="1" customWidth="1"/>
    <col min="128" max="128" width="12.42578125" style="28" hidden="1" customWidth="1"/>
    <col min="129" max="129" width="12.28515625" style="28" hidden="1" customWidth="1"/>
    <col min="130" max="130" width="11.42578125" style="28" hidden="1" customWidth="1"/>
    <col min="131" max="131" width="16.140625" style="28" hidden="1" customWidth="1"/>
    <col min="132" max="132" width="10" style="28" hidden="1" customWidth="1"/>
    <col min="133" max="133" width="13.85546875" style="28" hidden="1" customWidth="1"/>
    <col min="134" max="134" width="12.28515625" style="28" hidden="1" customWidth="1"/>
    <col min="135" max="135" width="4.85546875" style="28" hidden="1" customWidth="1"/>
    <col min="136" max="136" width="9.42578125" style="28" hidden="1" customWidth="1"/>
    <col min="137" max="137" width="17.140625" style="28" hidden="1" customWidth="1"/>
    <col min="138" max="138" width="7.7109375" style="28" hidden="1" customWidth="1"/>
    <col min="139" max="139" width="19.42578125" style="28" hidden="1" customWidth="1"/>
    <col min="140" max="141" width="9.42578125" style="28" hidden="1" customWidth="1"/>
    <col min="142" max="142" width="10" style="28" hidden="1" customWidth="1"/>
    <col min="143" max="143" width="14.42578125" style="28" hidden="1" customWidth="1"/>
    <col min="144" max="144" width="12.28515625" style="28" hidden="1" customWidth="1"/>
    <col min="145" max="145" width="16.42578125" style="28" hidden="1" customWidth="1"/>
    <col min="146" max="146" width="9.42578125" style="28" hidden="1" customWidth="1"/>
    <col min="147" max="147" width="10" style="28" hidden="1" customWidth="1"/>
    <col min="148" max="148" width="7.7109375" style="28" hidden="1" customWidth="1"/>
    <col min="149" max="149" width="18.140625" style="28" hidden="1" customWidth="1"/>
    <col min="150" max="150" width="13.7109375" style="28" hidden="1" customWidth="1"/>
    <col min="151" max="151" width="13.85546875" style="28" hidden="1" customWidth="1"/>
    <col min="152" max="152" width="10.42578125" style="28" hidden="1" customWidth="1"/>
    <col min="153" max="153" width="11.28515625" style="28" hidden="1" customWidth="1"/>
    <col min="154" max="154" width="11" style="28" hidden="1" customWidth="1"/>
    <col min="155" max="155" width="17.140625" style="28" hidden="1" customWidth="1"/>
    <col min="156" max="156" width="7.85546875" style="28" hidden="1" customWidth="1"/>
    <col min="157" max="157" width="17.42578125" style="28" hidden="1" customWidth="1"/>
    <col min="158" max="158" width="14.28515625" style="28" hidden="1" customWidth="1"/>
    <col min="159" max="160" width="11" style="28" hidden="1" customWidth="1"/>
    <col min="161" max="161" width="18.140625" style="28" hidden="1" customWidth="1"/>
    <col min="162" max="162" width="10" style="28" hidden="1" customWidth="1"/>
    <col min="163" max="163" width="16.42578125" style="28" hidden="1" customWidth="1"/>
    <col min="164" max="164" width="14.28515625" style="28" bestFit="1" customWidth="1"/>
    <col min="165" max="165" width="9.140625" style="49" customWidth="1"/>
    <col min="166" max="166" width="12.85546875" style="28" bestFit="1" customWidth="1"/>
    <col min="167" max="16384" width="11.42578125" style="28"/>
  </cols>
  <sheetData>
    <row r="1" spans="1:166" ht="12.75" customHeight="1" thickBot="1" x14ac:dyDescent="0.3">
      <c r="A1" s="448" t="s">
        <v>0</v>
      </c>
      <c r="B1" s="448" t="s">
        <v>1</v>
      </c>
      <c r="C1" s="449" t="s">
        <v>2</v>
      </c>
      <c r="D1" s="450" t="s">
        <v>3</v>
      </c>
      <c r="E1" s="27">
        <v>1.03</v>
      </c>
      <c r="F1" s="451" t="s">
        <v>4</v>
      </c>
      <c r="G1" s="452"/>
      <c r="H1" s="453" t="s">
        <v>5</v>
      </c>
      <c r="I1" s="453"/>
      <c r="J1" s="453" t="s">
        <v>6</v>
      </c>
      <c r="K1" s="453"/>
      <c r="L1" s="454" t="s">
        <v>7</v>
      </c>
      <c r="M1" s="454"/>
      <c r="N1" s="445" t="s">
        <v>8</v>
      </c>
      <c r="O1" s="445"/>
      <c r="P1" s="445"/>
      <c r="Q1" s="445"/>
      <c r="R1" s="445"/>
      <c r="S1" s="445"/>
      <c r="T1" s="440" t="s">
        <v>9</v>
      </c>
      <c r="U1" s="441"/>
      <c r="V1" s="441"/>
      <c r="W1" s="441"/>
      <c r="X1" s="441"/>
      <c r="Y1" s="441"/>
      <c r="Z1" s="458" t="s">
        <v>10</v>
      </c>
      <c r="AA1" s="459"/>
      <c r="AB1" s="459"/>
      <c r="AC1" s="459"/>
      <c r="AD1" s="459"/>
      <c r="AE1" s="459"/>
      <c r="AF1" s="460" t="s">
        <v>11</v>
      </c>
      <c r="AG1" s="461"/>
      <c r="AH1" s="461"/>
      <c r="AI1" s="461"/>
      <c r="AJ1" s="461"/>
      <c r="AK1" s="462"/>
      <c r="AL1" s="463" t="s">
        <v>12</v>
      </c>
      <c r="AM1" s="464"/>
      <c r="AN1" s="464"/>
      <c r="AO1" s="464"/>
      <c r="AP1" s="465"/>
      <c r="AQ1" s="464"/>
      <c r="AR1" s="436" t="s">
        <v>13</v>
      </c>
      <c r="AS1" s="437"/>
      <c r="AT1" s="437"/>
      <c r="AU1" s="437"/>
      <c r="AV1" s="437"/>
      <c r="AW1" s="437"/>
      <c r="AX1" s="466" t="s">
        <v>14</v>
      </c>
      <c r="AY1" s="467"/>
      <c r="AZ1" s="467"/>
      <c r="BA1" s="467"/>
      <c r="BB1" s="467"/>
      <c r="BC1" s="467"/>
      <c r="BD1" s="468" t="s">
        <v>15</v>
      </c>
      <c r="BE1" s="469"/>
      <c r="BF1" s="469"/>
      <c r="BG1" s="469"/>
      <c r="BH1" s="469"/>
      <c r="BI1" s="470"/>
      <c r="BJ1" s="471" t="s">
        <v>16</v>
      </c>
      <c r="BK1" s="472"/>
      <c r="BL1" s="472"/>
      <c r="BM1" s="472"/>
      <c r="BN1" s="472"/>
      <c r="BO1" s="472"/>
      <c r="BP1" s="440" t="s">
        <v>17</v>
      </c>
      <c r="BQ1" s="441"/>
      <c r="BR1" s="441"/>
      <c r="BS1" s="441"/>
      <c r="BT1" s="441"/>
      <c r="BU1" s="441"/>
      <c r="BV1" s="473" t="s">
        <v>18</v>
      </c>
      <c r="BW1" s="474"/>
      <c r="BX1" s="474"/>
      <c r="BY1" s="474"/>
      <c r="BZ1" s="474"/>
      <c r="CA1" s="475"/>
      <c r="CB1" s="444" t="s">
        <v>19</v>
      </c>
      <c r="CC1" s="445"/>
      <c r="CD1" s="445"/>
      <c r="CE1" s="445"/>
      <c r="CF1" s="445"/>
      <c r="CG1" s="445"/>
      <c r="CH1" s="438" t="s">
        <v>20</v>
      </c>
      <c r="CI1" s="439"/>
      <c r="CJ1" s="439"/>
      <c r="CK1" s="439"/>
      <c r="CL1" s="439"/>
      <c r="CM1" s="439"/>
      <c r="CN1" s="476" t="s">
        <v>21</v>
      </c>
      <c r="CO1" s="477"/>
      <c r="CP1" s="477"/>
      <c r="CQ1" s="437"/>
      <c r="CR1" s="437"/>
      <c r="CS1" s="437"/>
      <c r="CT1" s="442" t="s">
        <v>22</v>
      </c>
      <c r="CU1" s="443"/>
      <c r="CV1" s="443"/>
      <c r="CW1" s="443"/>
      <c r="CX1" s="443"/>
      <c r="CY1" s="443"/>
      <c r="CZ1" s="444" t="s">
        <v>23</v>
      </c>
      <c r="DA1" s="445"/>
      <c r="DB1" s="445"/>
      <c r="DC1" s="445"/>
      <c r="DD1" s="445"/>
      <c r="DE1" s="445"/>
      <c r="DF1" s="432"/>
      <c r="DG1" s="433"/>
      <c r="DH1" s="433"/>
      <c r="DI1" s="433"/>
      <c r="DJ1" s="433"/>
      <c r="DK1" s="433"/>
      <c r="DL1" s="434"/>
      <c r="DM1" s="435"/>
      <c r="DN1" s="435"/>
      <c r="DO1" s="435"/>
      <c r="DP1" s="435"/>
      <c r="DQ1" s="435"/>
      <c r="DR1" s="436"/>
      <c r="DS1" s="437"/>
      <c r="DT1" s="437"/>
      <c r="DU1" s="437"/>
      <c r="DV1" s="437"/>
      <c r="DW1" s="437"/>
      <c r="DX1" s="438"/>
      <c r="DY1" s="439"/>
      <c r="DZ1" s="439"/>
      <c r="EA1" s="439"/>
      <c r="EB1" s="439"/>
      <c r="EC1" s="439"/>
      <c r="ED1" s="440"/>
      <c r="EE1" s="441"/>
      <c r="EF1" s="441"/>
      <c r="EG1" s="441"/>
      <c r="EH1" s="441"/>
      <c r="EI1" s="441"/>
      <c r="EJ1" s="446"/>
      <c r="EK1" s="447"/>
      <c r="EL1" s="447"/>
      <c r="EM1" s="447"/>
      <c r="EN1" s="447"/>
      <c r="EO1" s="447"/>
      <c r="EP1" s="434"/>
      <c r="EQ1" s="435"/>
      <c r="ER1" s="435"/>
      <c r="ES1" s="435"/>
      <c r="ET1" s="435"/>
      <c r="EU1" s="435"/>
      <c r="EV1" s="444"/>
      <c r="EW1" s="445"/>
      <c r="EX1" s="445"/>
      <c r="EY1" s="445"/>
      <c r="EZ1" s="445"/>
      <c r="FA1" s="445"/>
      <c r="FB1" s="430"/>
      <c r="FC1" s="431"/>
      <c r="FD1" s="431"/>
      <c r="FE1" s="431"/>
      <c r="FF1" s="431"/>
      <c r="FG1" s="431"/>
      <c r="FH1" s="456" t="s">
        <v>24</v>
      </c>
      <c r="FI1" s="457" t="s">
        <v>25</v>
      </c>
      <c r="FJ1" s="455" t="s">
        <v>26</v>
      </c>
    </row>
    <row r="2" spans="1:166" ht="39" thickBot="1" x14ac:dyDescent="0.3">
      <c r="A2" s="448"/>
      <c r="B2" s="448"/>
      <c r="C2" s="449"/>
      <c r="D2" s="450"/>
      <c r="E2" s="83" t="s">
        <v>27</v>
      </c>
      <c r="F2" s="236" t="s">
        <v>28</v>
      </c>
      <c r="G2" s="242" t="s">
        <v>29</v>
      </c>
      <c r="H2" s="248" t="s">
        <v>30</v>
      </c>
      <c r="I2" s="248" t="s">
        <v>29</v>
      </c>
      <c r="J2" s="248" t="s">
        <v>28</v>
      </c>
      <c r="K2" s="248" t="s">
        <v>29</v>
      </c>
      <c r="L2" s="257" t="s">
        <v>28</v>
      </c>
      <c r="M2" s="257" t="s">
        <v>29</v>
      </c>
      <c r="N2" s="244" t="s">
        <v>31</v>
      </c>
      <c r="O2" s="120" t="s">
        <v>32</v>
      </c>
      <c r="P2" s="120" t="s">
        <v>28</v>
      </c>
      <c r="Q2" s="129" t="s">
        <v>3</v>
      </c>
      <c r="R2" s="129" t="s">
        <v>2</v>
      </c>
      <c r="S2" s="129" t="s">
        <v>33</v>
      </c>
      <c r="T2" s="127" t="s">
        <v>31</v>
      </c>
      <c r="U2" s="127" t="s">
        <v>32</v>
      </c>
      <c r="V2" s="127" t="s">
        <v>28</v>
      </c>
      <c r="W2" s="95" t="s">
        <v>3</v>
      </c>
      <c r="X2" s="95" t="s">
        <v>2</v>
      </c>
      <c r="Y2" s="95" t="s">
        <v>33</v>
      </c>
      <c r="Z2" s="133" t="s">
        <v>31</v>
      </c>
      <c r="AA2" s="133" t="s">
        <v>32</v>
      </c>
      <c r="AB2" s="133" t="s">
        <v>28</v>
      </c>
      <c r="AC2" s="93" t="s">
        <v>3</v>
      </c>
      <c r="AD2" s="93" t="s">
        <v>2</v>
      </c>
      <c r="AE2" s="93" t="s">
        <v>33</v>
      </c>
      <c r="AF2" s="120" t="s">
        <v>31</v>
      </c>
      <c r="AG2" s="120" t="s">
        <v>32</v>
      </c>
      <c r="AH2" s="120" t="s">
        <v>28</v>
      </c>
      <c r="AI2" s="129" t="s">
        <v>3</v>
      </c>
      <c r="AJ2" s="129" t="s">
        <v>2</v>
      </c>
      <c r="AK2" s="129" t="s">
        <v>33</v>
      </c>
      <c r="AL2" s="146" t="s">
        <v>31</v>
      </c>
      <c r="AM2" s="146" t="s">
        <v>32</v>
      </c>
      <c r="AN2" s="146" t="s">
        <v>28</v>
      </c>
      <c r="AO2" s="110" t="s">
        <v>3</v>
      </c>
      <c r="AP2" s="261" t="s">
        <v>2</v>
      </c>
      <c r="AQ2" s="110" t="s">
        <v>33</v>
      </c>
      <c r="AR2" s="154" t="s">
        <v>31</v>
      </c>
      <c r="AS2" s="154" t="s">
        <v>32</v>
      </c>
      <c r="AT2" s="154" t="s">
        <v>28</v>
      </c>
      <c r="AU2" s="92" t="s">
        <v>3</v>
      </c>
      <c r="AV2" s="92" t="s">
        <v>2</v>
      </c>
      <c r="AW2" s="92" t="s">
        <v>33</v>
      </c>
      <c r="AX2" s="193" t="s">
        <v>31</v>
      </c>
      <c r="AY2" s="193" t="s">
        <v>32</v>
      </c>
      <c r="AZ2" s="193" t="s">
        <v>28</v>
      </c>
      <c r="BA2" s="96" t="s">
        <v>3</v>
      </c>
      <c r="BB2" s="96" t="s">
        <v>2</v>
      </c>
      <c r="BC2" s="96" t="s">
        <v>33</v>
      </c>
      <c r="BD2" s="200" t="s">
        <v>31</v>
      </c>
      <c r="BE2" s="200" t="s">
        <v>32</v>
      </c>
      <c r="BF2" s="200" t="s">
        <v>28</v>
      </c>
      <c r="BG2" s="102" t="s">
        <v>3</v>
      </c>
      <c r="BH2" s="102" t="s">
        <v>2</v>
      </c>
      <c r="BI2" s="102" t="s">
        <v>33</v>
      </c>
      <c r="BJ2" s="203" t="s">
        <v>31</v>
      </c>
      <c r="BK2" s="203" t="s">
        <v>32</v>
      </c>
      <c r="BL2" s="203" t="s">
        <v>28</v>
      </c>
      <c r="BM2" s="101" t="s">
        <v>3</v>
      </c>
      <c r="BN2" s="101" t="s">
        <v>2</v>
      </c>
      <c r="BO2" s="101" t="s">
        <v>33</v>
      </c>
      <c r="BP2" s="127" t="s">
        <v>31</v>
      </c>
      <c r="BQ2" s="94" t="s">
        <v>32</v>
      </c>
      <c r="BR2" s="94" t="s">
        <v>28</v>
      </c>
      <c r="BS2" s="95" t="s">
        <v>3</v>
      </c>
      <c r="BT2" s="95" t="s">
        <v>2</v>
      </c>
      <c r="BU2" s="95" t="s">
        <v>33</v>
      </c>
      <c r="BV2" s="85" t="s">
        <v>31</v>
      </c>
      <c r="BW2" s="85" t="s">
        <v>32</v>
      </c>
      <c r="BX2" s="85" t="s">
        <v>28</v>
      </c>
      <c r="BY2" s="86" t="s">
        <v>3</v>
      </c>
      <c r="BZ2" s="86" t="s">
        <v>2</v>
      </c>
      <c r="CA2" s="86" t="s">
        <v>33</v>
      </c>
      <c r="CB2" s="120" t="s">
        <v>31</v>
      </c>
      <c r="CC2" s="120" t="s">
        <v>32</v>
      </c>
      <c r="CD2" s="120" t="s">
        <v>28</v>
      </c>
      <c r="CE2" s="129" t="s">
        <v>3</v>
      </c>
      <c r="CF2" s="129" t="s">
        <v>2</v>
      </c>
      <c r="CG2" s="129" t="s">
        <v>33</v>
      </c>
      <c r="CH2" s="218" t="s">
        <v>31</v>
      </c>
      <c r="CI2" s="218" t="s">
        <v>32</v>
      </c>
      <c r="CJ2" s="218" t="s">
        <v>28</v>
      </c>
      <c r="CK2" s="98" t="s">
        <v>3</v>
      </c>
      <c r="CL2" s="98" t="s">
        <v>2</v>
      </c>
      <c r="CM2" s="98" t="s">
        <v>33</v>
      </c>
      <c r="CN2" s="154" t="s">
        <v>31</v>
      </c>
      <c r="CO2" s="154" t="s">
        <v>32</v>
      </c>
      <c r="CP2" s="154" t="s">
        <v>28</v>
      </c>
      <c r="CQ2" s="92" t="s">
        <v>3</v>
      </c>
      <c r="CR2" s="92" t="s">
        <v>2</v>
      </c>
      <c r="CS2" s="92" t="s">
        <v>33</v>
      </c>
      <c r="CT2" s="107" t="s">
        <v>31</v>
      </c>
      <c r="CU2" s="107" t="s">
        <v>32</v>
      </c>
      <c r="CV2" s="107" t="s">
        <v>28</v>
      </c>
      <c r="CW2" s="108" t="s">
        <v>3</v>
      </c>
      <c r="CX2" s="108" t="s">
        <v>2</v>
      </c>
      <c r="CY2" s="108" t="s">
        <v>33</v>
      </c>
      <c r="CZ2" s="120" t="s">
        <v>31</v>
      </c>
      <c r="DA2" s="120" t="s">
        <v>32</v>
      </c>
      <c r="DB2" s="120" t="s">
        <v>28</v>
      </c>
      <c r="DC2" s="129" t="s">
        <v>3</v>
      </c>
      <c r="DD2" s="129" t="s">
        <v>2</v>
      </c>
      <c r="DE2" s="234" t="s">
        <v>33</v>
      </c>
      <c r="DF2" s="103" t="s">
        <v>31</v>
      </c>
      <c r="DG2" s="103" t="s">
        <v>32</v>
      </c>
      <c r="DH2" s="103" t="s">
        <v>28</v>
      </c>
      <c r="DI2" s="104" t="s">
        <v>3</v>
      </c>
      <c r="DJ2" s="104" t="s">
        <v>2</v>
      </c>
      <c r="DK2" s="104" t="s">
        <v>33</v>
      </c>
      <c r="DL2" s="87" t="s">
        <v>31</v>
      </c>
      <c r="DM2" s="87" t="s">
        <v>32</v>
      </c>
      <c r="DN2" s="87" t="s">
        <v>28</v>
      </c>
      <c r="DO2" s="88" t="s">
        <v>3</v>
      </c>
      <c r="DP2" s="88" t="s">
        <v>2</v>
      </c>
      <c r="DQ2" s="88" t="s">
        <v>33</v>
      </c>
      <c r="DR2" s="91" t="s">
        <v>31</v>
      </c>
      <c r="DS2" s="91" t="s">
        <v>32</v>
      </c>
      <c r="DT2" s="91" t="s">
        <v>28</v>
      </c>
      <c r="DU2" s="92" t="s">
        <v>3</v>
      </c>
      <c r="DV2" s="92" t="s">
        <v>2</v>
      </c>
      <c r="DW2" s="92" t="s">
        <v>33</v>
      </c>
      <c r="DX2" s="97" t="s">
        <v>31</v>
      </c>
      <c r="DY2" s="97" t="s">
        <v>32</v>
      </c>
      <c r="DZ2" s="97" t="s">
        <v>28</v>
      </c>
      <c r="EA2" s="98" t="s">
        <v>3</v>
      </c>
      <c r="EB2" s="98" t="s">
        <v>2</v>
      </c>
      <c r="EC2" s="98" t="s">
        <v>33</v>
      </c>
      <c r="ED2" s="94" t="s">
        <v>31</v>
      </c>
      <c r="EE2" s="94" t="s">
        <v>32</v>
      </c>
      <c r="EF2" s="94" t="s">
        <v>28</v>
      </c>
      <c r="EG2" s="95" t="s">
        <v>3</v>
      </c>
      <c r="EH2" s="95" t="s">
        <v>2</v>
      </c>
      <c r="EI2" s="95" t="s">
        <v>33</v>
      </c>
      <c r="EJ2" s="89" t="s">
        <v>31</v>
      </c>
      <c r="EK2" s="89" t="s">
        <v>32</v>
      </c>
      <c r="EL2" s="89" t="s">
        <v>28</v>
      </c>
      <c r="EM2" s="90" t="s">
        <v>3</v>
      </c>
      <c r="EN2" s="90" t="s">
        <v>2</v>
      </c>
      <c r="EO2" s="90" t="s">
        <v>33</v>
      </c>
      <c r="EP2" s="87" t="s">
        <v>31</v>
      </c>
      <c r="EQ2" s="87" t="s">
        <v>32</v>
      </c>
      <c r="ER2" s="87" t="s">
        <v>28</v>
      </c>
      <c r="ES2" s="88" t="s">
        <v>3</v>
      </c>
      <c r="ET2" s="88" t="s">
        <v>2</v>
      </c>
      <c r="EU2" s="88" t="s">
        <v>33</v>
      </c>
      <c r="EV2" s="82" t="s">
        <v>31</v>
      </c>
      <c r="EW2" s="82" t="s">
        <v>32</v>
      </c>
      <c r="EX2" s="82" t="s">
        <v>28</v>
      </c>
      <c r="EY2" s="129" t="s">
        <v>3</v>
      </c>
      <c r="EZ2" s="129" t="s">
        <v>2</v>
      </c>
      <c r="FA2" s="129" t="s">
        <v>33</v>
      </c>
      <c r="FB2" s="85" t="s">
        <v>31</v>
      </c>
      <c r="FC2" s="85" t="s">
        <v>32</v>
      </c>
      <c r="FD2" s="85" t="s">
        <v>28</v>
      </c>
      <c r="FE2" s="86" t="s">
        <v>3</v>
      </c>
      <c r="FF2" s="86" t="s">
        <v>2</v>
      </c>
      <c r="FG2" s="86" t="s">
        <v>33</v>
      </c>
      <c r="FH2" s="456"/>
      <c r="FI2" s="457"/>
      <c r="FJ2" s="455"/>
    </row>
    <row r="3" spans="1:166" ht="25.5" x14ac:dyDescent="0.25">
      <c r="A3" s="79" t="e">
        <f>#REF!</f>
        <v>#REF!</v>
      </c>
      <c r="B3" s="75" t="e">
        <f>#REF!</f>
        <v>#REF!</v>
      </c>
      <c r="C3" s="75" t="e">
        <f>#REF!</f>
        <v>#REF!</v>
      </c>
      <c r="D3" s="75" t="e">
        <f>#REF!</f>
        <v>#REF!</v>
      </c>
      <c r="E3" s="30">
        <v>1</v>
      </c>
      <c r="F3" s="237">
        <v>148298.0975</v>
      </c>
      <c r="G3" s="240">
        <v>148274</v>
      </c>
      <c r="H3" s="249">
        <v>174809.95370737501</v>
      </c>
      <c r="I3" s="249">
        <v>0</v>
      </c>
      <c r="J3" s="249">
        <v>225477.23333333331</v>
      </c>
      <c r="K3" s="249">
        <v>195160</v>
      </c>
      <c r="L3" s="274">
        <f>AVERAGE(F3,H3,J3)</f>
        <v>182861.76151356942</v>
      </c>
      <c r="M3" s="274">
        <f>AVERAGE(G3,K3)*1.03</f>
        <v>176868.51</v>
      </c>
      <c r="N3" s="245"/>
      <c r="O3" s="113"/>
      <c r="P3" s="113"/>
      <c r="Q3" s="131"/>
      <c r="R3" s="131"/>
      <c r="S3" s="64"/>
      <c r="T3" s="113"/>
      <c r="U3" s="113"/>
      <c r="V3" s="113"/>
      <c r="W3" s="131"/>
      <c r="X3" s="131"/>
      <c r="Y3" s="11"/>
      <c r="Z3" s="113"/>
      <c r="AA3" s="113"/>
      <c r="AB3" s="113"/>
      <c r="AC3" s="52"/>
      <c r="AD3" s="52"/>
      <c r="AE3" s="11"/>
      <c r="AF3" s="118"/>
      <c r="AG3" s="144"/>
      <c r="AH3" s="113"/>
      <c r="AI3" s="11"/>
      <c r="AJ3" s="11"/>
      <c r="AK3" s="39"/>
      <c r="AL3" s="113"/>
      <c r="AM3" s="113"/>
      <c r="AN3" s="117"/>
      <c r="AO3" s="76"/>
      <c r="AP3" s="39"/>
      <c r="AQ3" s="39"/>
      <c r="AR3" s="275">
        <v>345600</v>
      </c>
      <c r="AS3" s="113">
        <f>+AR3*0.19</f>
        <v>65664</v>
      </c>
      <c r="AT3" s="119">
        <f>+AR3+AS3</f>
        <v>411264</v>
      </c>
      <c r="AU3" s="48" t="s">
        <v>34</v>
      </c>
      <c r="AV3" s="48" t="s">
        <v>35</v>
      </c>
      <c r="AW3" s="31"/>
      <c r="AX3" s="116"/>
      <c r="AY3" s="194"/>
      <c r="AZ3" s="143"/>
      <c r="BA3" s="191"/>
      <c r="BB3" s="132"/>
      <c r="BC3" s="132"/>
      <c r="BD3" s="274"/>
      <c r="BE3" s="143"/>
      <c r="BF3" s="143"/>
      <c r="BG3" s="132"/>
      <c r="BH3" s="132"/>
      <c r="BI3" s="132"/>
      <c r="BJ3" s="143"/>
      <c r="BK3" s="143"/>
      <c r="BL3" s="143"/>
      <c r="BM3" s="132"/>
      <c r="BN3" s="132"/>
      <c r="BO3" s="132"/>
      <c r="BP3" s="143"/>
      <c r="BQ3" s="132"/>
      <c r="BR3" s="132"/>
      <c r="BS3" s="132"/>
      <c r="BT3" s="132"/>
      <c r="BU3" s="132"/>
      <c r="BV3" s="263">
        <v>394800</v>
      </c>
      <c r="BW3" s="144">
        <f t="shared" ref="BW3:BW19" si="0">BV3*19%</f>
        <v>75012</v>
      </c>
      <c r="BX3" s="113">
        <f t="shared" ref="BX3:BX19" si="1">+BV3+BW3</f>
        <v>469812</v>
      </c>
      <c r="BY3" s="264" t="s">
        <v>36</v>
      </c>
      <c r="BZ3" s="264" t="s">
        <v>37</v>
      </c>
      <c r="CA3" s="132"/>
      <c r="CB3" s="274"/>
      <c r="CC3" s="144"/>
      <c r="CD3" s="274"/>
      <c r="CE3" s="132"/>
      <c r="CF3" s="132"/>
      <c r="CG3" s="132"/>
      <c r="CH3" s="263">
        <v>402696</v>
      </c>
      <c r="CI3" s="265">
        <f>+CH3*0.19</f>
        <v>76512.240000000005</v>
      </c>
      <c r="CJ3" s="263">
        <f>+CH3+CI3</f>
        <v>479208.24</v>
      </c>
      <c r="CK3" s="264" t="s">
        <v>36</v>
      </c>
      <c r="CL3" s="264" t="s">
        <v>37</v>
      </c>
      <c r="CM3" s="132"/>
      <c r="CN3" s="274"/>
      <c r="CO3" s="144"/>
      <c r="CP3" s="274"/>
      <c r="CQ3" s="132"/>
      <c r="CR3" s="132"/>
      <c r="CS3" s="132"/>
      <c r="CT3" s="144">
        <v>117500</v>
      </c>
      <c r="CU3" s="144">
        <v>22325</v>
      </c>
      <c r="CV3" s="144">
        <f>+CT3+CU3</f>
        <v>139825</v>
      </c>
      <c r="CW3" s="132"/>
      <c r="CX3" s="132"/>
      <c r="CY3" s="132"/>
      <c r="CZ3" s="118"/>
      <c r="DA3" s="144"/>
      <c r="DB3" s="118"/>
      <c r="DC3" s="33"/>
      <c r="DD3" s="39"/>
      <c r="DE3" s="11"/>
      <c r="DF3" s="132"/>
      <c r="DG3" s="132"/>
      <c r="DH3" s="132"/>
      <c r="DI3" s="132"/>
      <c r="DJ3" s="132"/>
      <c r="DK3" s="132"/>
      <c r="DL3" s="132"/>
      <c r="DM3" s="132"/>
      <c r="DN3" s="132"/>
      <c r="DO3" s="132"/>
      <c r="DP3" s="132"/>
      <c r="DQ3" s="132"/>
      <c r="DR3" s="132"/>
      <c r="DS3" s="132"/>
      <c r="DT3" s="132"/>
      <c r="DU3" s="132"/>
      <c r="DV3" s="132"/>
      <c r="DW3" s="132"/>
      <c r="DX3" s="132"/>
      <c r="DY3" s="132"/>
      <c r="DZ3" s="132"/>
      <c r="EA3" s="132"/>
      <c r="EB3" s="132"/>
      <c r="EC3" s="132"/>
      <c r="ED3" s="132"/>
      <c r="EE3" s="132"/>
      <c r="EF3" s="132"/>
      <c r="EG3" s="132"/>
      <c r="EH3" s="132"/>
      <c r="EI3" s="132"/>
      <c r="EJ3" s="132"/>
      <c r="EK3" s="132"/>
      <c r="EL3" s="132"/>
      <c r="EM3" s="132"/>
      <c r="EN3" s="132"/>
      <c r="EO3" s="132"/>
      <c r="EP3" s="132"/>
      <c r="EQ3" s="132"/>
      <c r="ER3" s="132"/>
      <c r="ES3" s="132"/>
      <c r="ET3" s="11"/>
      <c r="EU3" s="11"/>
      <c r="EV3" s="11"/>
      <c r="EW3" s="11"/>
      <c r="EX3" s="11"/>
      <c r="EY3" s="11"/>
      <c r="EZ3" s="11"/>
      <c r="FA3" s="11"/>
      <c r="FB3" s="11"/>
      <c r="FC3" s="11"/>
      <c r="FD3" s="11"/>
      <c r="FE3" s="11"/>
      <c r="FF3" s="11"/>
      <c r="FG3" s="11"/>
      <c r="FH3" s="39">
        <f t="shared" ref="FH3:FH66" si="2">SUM(M3,P3,V3,AB3,AH3,AN3,AT3,AZ3,BF3,BL3,BR3,BX3,CD3,CJ3,CP3,CV3,DB3,DH3,DN3,DT3,DZ3,EF3,EL3,ER3,EX3,FD3)</f>
        <v>1676977.75</v>
      </c>
      <c r="FI3" s="33">
        <f t="shared" ref="FI3:FI66" si="3">COUNTA(M3,N3,T3,Z3,AF3,AL3,AR3,AX3,BD3,BJ3,BP3,BV3,CB3,CH3,CN3,CT3,CZ3,DF3,DL3,DR3,DX3,ED3,EJ3,EP3,EV3,FB3)</f>
        <v>5</v>
      </c>
      <c r="FJ3" s="84">
        <f t="shared" ref="FJ3:FJ66" si="4">IFERROR(FH3/FI3," ")</f>
        <v>335395.55</v>
      </c>
    </row>
    <row r="4" spans="1:166" ht="45.75" customHeight="1" x14ac:dyDescent="0.25">
      <c r="A4" s="79" t="e">
        <f>#REF!</f>
        <v>#REF!</v>
      </c>
      <c r="B4" s="75" t="e">
        <f>#REF!</f>
        <v>#REF!</v>
      </c>
      <c r="C4" s="75" t="e">
        <f>#REF!</f>
        <v>#REF!</v>
      </c>
      <c r="D4" s="75" t="e">
        <f>#REF!</f>
        <v>#REF!</v>
      </c>
      <c r="E4" s="30">
        <v>1</v>
      </c>
      <c r="F4" s="238">
        <v>0</v>
      </c>
      <c r="G4" s="241">
        <v>0</v>
      </c>
      <c r="H4" s="249">
        <v>0</v>
      </c>
      <c r="I4" s="249">
        <v>0</v>
      </c>
      <c r="J4" s="249">
        <v>514080</v>
      </c>
      <c r="K4" s="249">
        <v>0</v>
      </c>
      <c r="L4" s="274">
        <f>J4</f>
        <v>514080</v>
      </c>
      <c r="M4" s="274"/>
      <c r="N4" s="245"/>
      <c r="O4" s="113"/>
      <c r="P4" s="113"/>
      <c r="Q4" s="52"/>
      <c r="R4" s="52"/>
      <c r="S4" s="5"/>
      <c r="T4" s="113"/>
      <c r="U4" s="113"/>
      <c r="V4" s="113"/>
      <c r="W4" s="11"/>
      <c r="X4" s="11"/>
      <c r="Y4" s="11"/>
      <c r="Z4" s="113"/>
      <c r="AA4" s="113"/>
      <c r="AB4" s="113"/>
      <c r="AC4" s="52"/>
      <c r="AD4" s="52"/>
      <c r="AE4" s="11"/>
      <c r="AF4" s="118"/>
      <c r="AG4" s="144"/>
      <c r="AH4" s="113"/>
      <c r="AI4" s="11"/>
      <c r="AJ4" s="11"/>
      <c r="AK4" s="11"/>
      <c r="AL4" s="113"/>
      <c r="AM4" s="113"/>
      <c r="AN4" s="113"/>
      <c r="AO4" s="11"/>
      <c r="AP4" s="11"/>
      <c r="AQ4" s="11"/>
      <c r="AR4" s="275"/>
      <c r="AS4" s="275"/>
      <c r="AT4" s="275"/>
      <c r="AU4" s="48"/>
      <c r="AV4" s="48"/>
      <c r="AW4" s="11"/>
      <c r="AX4" s="176"/>
      <c r="AY4" s="176"/>
      <c r="AZ4" s="195"/>
      <c r="BA4" s="9"/>
      <c r="BB4" s="10"/>
      <c r="BC4" s="10"/>
      <c r="BD4" s="274"/>
      <c r="BE4" s="143"/>
      <c r="BF4" s="143"/>
      <c r="BG4" s="132"/>
      <c r="BH4" s="10"/>
      <c r="BI4" s="132"/>
      <c r="BJ4" s="143"/>
      <c r="BK4" s="143"/>
      <c r="BL4" s="143"/>
      <c r="BM4" s="132"/>
      <c r="BN4" s="132"/>
      <c r="BO4" s="132"/>
      <c r="BP4" s="143"/>
      <c r="BQ4" s="132"/>
      <c r="BR4" s="132"/>
      <c r="BS4" s="132"/>
      <c r="BT4" s="132"/>
      <c r="BU4" s="132"/>
      <c r="BV4" s="263">
        <v>5019000</v>
      </c>
      <c r="BW4" s="144">
        <f t="shared" si="0"/>
        <v>953610</v>
      </c>
      <c r="BX4" s="113">
        <f t="shared" si="1"/>
        <v>5972610</v>
      </c>
      <c r="BY4" s="264" t="s">
        <v>38</v>
      </c>
      <c r="BZ4" s="264" t="s">
        <v>37</v>
      </c>
      <c r="CA4" s="132"/>
      <c r="CB4" s="274"/>
      <c r="CC4" s="144"/>
      <c r="CD4" s="274"/>
      <c r="CE4" s="132"/>
      <c r="CF4" s="132"/>
      <c r="CG4" s="132"/>
      <c r="CH4" s="263"/>
      <c r="CI4" s="265">
        <f>+CH4*0.19</f>
        <v>0</v>
      </c>
      <c r="CJ4" s="263">
        <f>+CH4+CI4</f>
        <v>0</v>
      </c>
      <c r="CK4" s="264"/>
      <c r="CL4" s="264"/>
      <c r="CM4" s="132"/>
      <c r="CN4" s="274"/>
      <c r="CO4" s="144"/>
      <c r="CP4" s="274"/>
      <c r="CQ4" s="132"/>
      <c r="CR4" s="132"/>
      <c r="CS4" s="132"/>
      <c r="CT4" s="144">
        <v>2688750</v>
      </c>
      <c r="CU4" s="144">
        <v>510862.5</v>
      </c>
      <c r="CV4" s="144">
        <f>+CT4+CU4</f>
        <v>3199612.5</v>
      </c>
      <c r="CW4" s="132"/>
      <c r="CX4" s="132"/>
      <c r="CY4" s="132"/>
      <c r="CZ4" s="118"/>
      <c r="DA4" s="144"/>
      <c r="DB4" s="118"/>
      <c r="DC4" s="33"/>
      <c r="DD4" s="39"/>
      <c r="DE4" s="11"/>
      <c r="DF4" s="132"/>
      <c r="DG4" s="132"/>
      <c r="DH4" s="132"/>
      <c r="DI4" s="132"/>
      <c r="DJ4" s="132"/>
      <c r="DK4" s="132"/>
      <c r="DL4" s="132"/>
      <c r="DM4" s="132"/>
      <c r="DN4" s="132"/>
      <c r="DO4" s="132"/>
      <c r="DP4" s="132"/>
      <c r="DQ4" s="132"/>
      <c r="DR4" s="132"/>
      <c r="DS4" s="132"/>
      <c r="DT4" s="132"/>
      <c r="DU4" s="132"/>
      <c r="DV4" s="132"/>
      <c r="DW4" s="132"/>
      <c r="DX4" s="132"/>
      <c r="DY4" s="132"/>
      <c r="DZ4" s="132"/>
      <c r="EA4" s="132"/>
      <c r="EB4" s="132"/>
      <c r="EC4" s="132"/>
      <c r="ED4" s="132"/>
      <c r="EE4" s="132"/>
      <c r="EF4" s="132"/>
      <c r="EG4" s="132"/>
      <c r="EH4" s="132"/>
      <c r="EI4" s="132"/>
      <c r="EJ4" s="132"/>
      <c r="EK4" s="132"/>
      <c r="EL4" s="132"/>
      <c r="EM4" s="132"/>
      <c r="EN4" s="132"/>
      <c r="EO4" s="132"/>
      <c r="EP4" s="132"/>
      <c r="EQ4" s="132"/>
      <c r="ER4" s="132"/>
      <c r="ES4" s="132"/>
      <c r="ET4" s="11"/>
      <c r="EU4" s="11"/>
      <c r="EV4" s="11"/>
      <c r="EW4" s="11"/>
      <c r="EX4" s="11"/>
      <c r="EY4" s="11"/>
      <c r="EZ4" s="11"/>
      <c r="FA4" s="11"/>
      <c r="FB4" s="11"/>
      <c r="FC4" s="11"/>
      <c r="FD4" s="11"/>
      <c r="FE4" s="11"/>
      <c r="FF4" s="11"/>
      <c r="FG4" s="11"/>
      <c r="FH4" s="39">
        <f t="shared" si="2"/>
        <v>9172222.5</v>
      </c>
      <c r="FI4" s="33">
        <f t="shared" si="3"/>
        <v>2</v>
      </c>
      <c r="FJ4" s="84">
        <f t="shared" si="4"/>
        <v>4586111.25</v>
      </c>
    </row>
    <row r="5" spans="1:166" ht="27" x14ac:dyDescent="0.25">
      <c r="A5" s="79" t="e">
        <f>#REF!</f>
        <v>#REF!</v>
      </c>
      <c r="B5" s="75" t="e">
        <f>#REF!</f>
        <v>#REF!</v>
      </c>
      <c r="C5" s="75" t="e">
        <f>#REF!</f>
        <v>#REF!</v>
      </c>
      <c r="D5" s="75" t="e">
        <f>#REF!</f>
        <v>#REF!</v>
      </c>
      <c r="E5" s="30">
        <v>1</v>
      </c>
      <c r="F5" s="238">
        <v>205513</v>
      </c>
      <c r="G5" s="241">
        <v>202419</v>
      </c>
      <c r="H5" s="249">
        <v>292987.3653</v>
      </c>
      <c r="I5" s="249">
        <v>0</v>
      </c>
      <c r="J5" s="249">
        <v>406149.97499999998</v>
      </c>
      <c r="K5" s="249">
        <v>0</v>
      </c>
      <c r="L5" s="274">
        <f>AVERAGE(F5,H5,J5)</f>
        <v>301550.11343333335</v>
      </c>
      <c r="M5" s="274">
        <f>G5*1.03</f>
        <v>208491.57</v>
      </c>
      <c r="N5" s="245"/>
      <c r="O5" s="113"/>
      <c r="P5" s="113"/>
      <c r="Q5" s="131"/>
      <c r="R5" s="131"/>
      <c r="S5" s="64"/>
      <c r="T5" s="113"/>
      <c r="U5" s="113"/>
      <c r="V5" s="113"/>
      <c r="W5" s="131"/>
      <c r="X5" s="131"/>
      <c r="Y5" s="11"/>
      <c r="Z5" s="113"/>
      <c r="AA5" s="113"/>
      <c r="AB5" s="113"/>
      <c r="AC5" s="52"/>
      <c r="AD5" s="52"/>
      <c r="AE5" s="11"/>
      <c r="AF5" s="118">
        <v>250000</v>
      </c>
      <c r="AG5" s="144">
        <f>AF5*19%</f>
        <v>47500</v>
      </c>
      <c r="AH5" s="113">
        <f>+AF5+AG5</f>
        <v>297500</v>
      </c>
      <c r="AI5" s="11"/>
      <c r="AJ5" s="11"/>
      <c r="AK5" s="39"/>
      <c r="AL5" s="113"/>
      <c r="AM5" s="113"/>
      <c r="AN5" s="119"/>
      <c r="AO5" s="76"/>
      <c r="AP5" s="39"/>
      <c r="AQ5" s="39"/>
      <c r="AR5" s="275">
        <v>504000</v>
      </c>
      <c r="AS5" s="113">
        <f t="shared" ref="AS5:AS10" si="5">+AR5*0.19</f>
        <v>95760</v>
      </c>
      <c r="AT5" s="119">
        <f t="shared" ref="AT5:AT10" si="6">+AR5+AS5</f>
        <v>599760</v>
      </c>
      <c r="AU5" s="48" t="s">
        <v>39</v>
      </c>
      <c r="AV5" s="48" t="s">
        <v>35</v>
      </c>
      <c r="AW5" s="31"/>
      <c r="AX5" s="116"/>
      <c r="AY5" s="194"/>
      <c r="AZ5" s="143"/>
      <c r="BA5" s="191"/>
      <c r="BB5" s="132"/>
      <c r="BC5" s="132"/>
      <c r="BD5" s="274"/>
      <c r="BE5" s="143"/>
      <c r="BF5" s="143"/>
      <c r="BG5" s="132"/>
      <c r="BH5" s="132"/>
      <c r="BI5" s="132"/>
      <c r="BJ5" s="143"/>
      <c r="BK5" s="143"/>
      <c r="BL5" s="143"/>
      <c r="BM5" s="132"/>
      <c r="BN5" s="132"/>
      <c r="BO5" s="132"/>
      <c r="BP5" s="143"/>
      <c r="BQ5" s="132"/>
      <c r="BR5" s="132"/>
      <c r="BS5" s="132"/>
      <c r="BT5" s="132"/>
      <c r="BU5" s="132"/>
      <c r="BV5" s="263">
        <v>311100</v>
      </c>
      <c r="BW5" s="144">
        <f t="shared" si="0"/>
        <v>59109</v>
      </c>
      <c r="BX5" s="113">
        <f t="shared" si="1"/>
        <v>370209</v>
      </c>
      <c r="BY5" s="264" t="s">
        <v>40</v>
      </c>
      <c r="BZ5" s="264" t="s">
        <v>41</v>
      </c>
      <c r="CA5" s="132"/>
      <c r="CB5" s="274">
        <v>365000</v>
      </c>
      <c r="CC5" s="144">
        <f>+CB5*19%</f>
        <v>69350</v>
      </c>
      <c r="CD5" s="274">
        <f>+CC5+CB5</f>
        <v>434350</v>
      </c>
      <c r="CE5" s="132"/>
      <c r="CF5" s="132"/>
      <c r="CG5" s="132"/>
      <c r="CH5" s="263">
        <v>329766</v>
      </c>
      <c r="CI5" s="265">
        <f>+CH5*0.19</f>
        <v>62655.54</v>
      </c>
      <c r="CJ5" s="263">
        <f>+CH5+CI5</f>
        <v>392421.54</v>
      </c>
      <c r="CK5" s="264" t="s">
        <v>40</v>
      </c>
      <c r="CL5" s="264" t="s">
        <v>41</v>
      </c>
      <c r="CM5" s="132"/>
      <c r="CN5" s="274"/>
      <c r="CO5" s="144"/>
      <c r="CP5" s="274"/>
      <c r="CQ5" s="132"/>
      <c r="CR5" s="132"/>
      <c r="CS5" s="132"/>
      <c r="CT5" s="274"/>
      <c r="CU5" s="144"/>
      <c r="CV5" s="144"/>
      <c r="CW5" s="132"/>
      <c r="CX5" s="132"/>
      <c r="CY5" s="14"/>
      <c r="CZ5" s="118"/>
      <c r="DA5" s="144"/>
      <c r="DB5" s="118"/>
      <c r="DC5" s="33"/>
      <c r="DD5" s="39"/>
      <c r="DE5" s="11"/>
      <c r="DF5" s="132"/>
      <c r="DG5" s="132"/>
      <c r="DH5" s="132"/>
      <c r="DI5" s="132"/>
      <c r="DJ5" s="132"/>
      <c r="DK5" s="132"/>
      <c r="DL5" s="132"/>
      <c r="DM5" s="132"/>
      <c r="DN5" s="132"/>
      <c r="DO5" s="132"/>
      <c r="DP5" s="132"/>
      <c r="DQ5" s="132"/>
      <c r="DR5" s="132"/>
      <c r="DS5" s="132"/>
      <c r="DT5" s="132"/>
      <c r="DU5" s="132"/>
      <c r="DV5" s="132"/>
      <c r="DW5" s="132"/>
      <c r="DX5" s="132"/>
      <c r="DY5" s="132"/>
      <c r="DZ5" s="132"/>
      <c r="EA5" s="132"/>
      <c r="EB5" s="132"/>
      <c r="EC5" s="132"/>
      <c r="ED5" s="132"/>
      <c r="EE5" s="132"/>
      <c r="EF5" s="132"/>
      <c r="EG5" s="132"/>
      <c r="EH5" s="132"/>
      <c r="EI5" s="132"/>
      <c r="EJ5" s="132"/>
      <c r="EK5" s="132"/>
      <c r="EL5" s="132"/>
      <c r="EM5" s="132"/>
      <c r="EN5" s="132"/>
      <c r="EO5" s="132"/>
      <c r="EP5" s="132"/>
      <c r="EQ5" s="132"/>
      <c r="ER5" s="132"/>
      <c r="ES5" s="132"/>
      <c r="ET5" s="11"/>
      <c r="EU5" s="11"/>
      <c r="EV5" s="11"/>
      <c r="EW5" s="11"/>
      <c r="EX5" s="11"/>
      <c r="EY5" s="11"/>
      <c r="EZ5" s="11"/>
      <c r="FA5" s="11"/>
      <c r="FB5" s="11"/>
      <c r="FC5" s="11"/>
      <c r="FD5" s="11"/>
      <c r="FE5" s="11"/>
      <c r="FF5" s="11"/>
      <c r="FG5" s="11"/>
      <c r="FH5" s="39">
        <f t="shared" si="2"/>
        <v>2302732.11</v>
      </c>
      <c r="FI5" s="33">
        <f t="shared" si="3"/>
        <v>6</v>
      </c>
      <c r="FJ5" s="84">
        <f t="shared" si="4"/>
        <v>383788.685</v>
      </c>
    </row>
    <row r="6" spans="1:166" ht="40.5" x14ac:dyDescent="0.25">
      <c r="A6" s="79" t="e">
        <f>#REF!</f>
        <v>#REF!</v>
      </c>
      <c r="B6" s="75" t="e">
        <f>#REF!</f>
        <v>#REF!</v>
      </c>
      <c r="C6" s="75" t="e">
        <f>#REF!</f>
        <v>#REF!</v>
      </c>
      <c r="D6" s="75" t="e">
        <f>#REF!</f>
        <v>#REF!</v>
      </c>
      <c r="E6" s="30">
        <v>1</v>
      </c>
      <c r="F6" s="238">
        <v>173504.38</v>
      </c>
      <c r="G6" s="241">
        <v>37485</v>
      </c>
      <c r="H6" s="249">
        <v>105576.91280500001</v>
      </c>
      <c r="I6" s="249">
        <v>80325</v>
      </c>
      <c r="J6" s="249">
        <v>111045.19000000002</v>
      </c>
      <c r="K6" s="249">
        <v>114716</v>
      </c>
      <c r="L6" s="274">
        <f>AVERAGE(F6,H6,J6)</f>
        <v>130042.16093500001</v>
      </c>
      <c r="M6" s="274">
        <f>AVERAGE(G6,I6,K6)*1.03</f>
        <v>79833.926666666681</v>
      </c>
      <c r="N6" s="245">
        <v>100500</v>
      </c>
      <c r="O6" s="117">
        <f>+N6*0.19</f>
        <v>19095</v>
      </c>
      <c r="P6" s="113">
        <f>+N6+O6</f>
        <v>119595</v>
      </c>
      <c r="Q6" s="36" t="s">
        <v>42</v>
      </c>
      <c r="R6" s="132" t="s">
        <v>43</v>
      </c>
      <c r="S6" s="64"/>
      <c r="T6" s="113"/>
      <c r="U6" s="117"/>
      <c r="V6" s="113"/>
      <c r="W6" s="131"/>
      <c r="X6" s="131"/>
      <c r="Y6" s="11"/>
      <c r="Z6" s="113"/>
      <c r="AA6" s="113"/>
      <c r="AB6" s="113"/>
      <c r="AC6" s="52"/>
      <c r="AD6" s="52"/>
      <c r="AE6" s="11"/>
      <c r="AF6" s="118">
        <v>120000</v>
      </c>
      <c r="AG6" s="144">
        <f>AF6*19%</f>
        <v>22800</v>
      </c>
      <c r="AH6" s="113">
        <f>+AF6+AG6</f>
        <v>142800</v>
      </c>
      <c r="AI6" s="11"/>
      <c r="AJ6" s="11"/>
      <c r="AK6" s="39"/>
      <c r="AL6" s="113">
        <v>124000</v>
      </c>
      <c r="AM6" s="113">
        <f>+AL6*0.19</f>
        <v>23560</v>
      </c>
      <c r="AN6" s="119">
        <f>+AL6+AM6</f>
        <v>147560</v>
      </c>
      <c r="AO6" s="39" t="s">
        <v>44</v>
      </c>
      <c r="AP6" s="266" t="s">
        <v>45</v>
      </c>
      <c r="AQ6" s="39"/>
      <c r="AR6" s="275">
        <v>122668</v>
      </c>
      <c r="AS6" s="113">
        <f t="shared" si="5"/>
        <v>23306.920000000002</v>
      </c>
      <c r="AT6" s="119">
        <f t="shared" si="6"/>
        <v>145974.92000000001</v>
      </c>
      <c r="AU6" s="48" t="s">
        <v>39</v>
      </c>
      <c r="AV6" s="62" t="s">
        <v>46</v>
      </c>
      <c r="AW6" s="39"/>
      <c r="AX6" s="116"/>
      <c r="AY6" s="116"/>
      <c r="AZ6" s="143"/>
      <c r="BA6" s="191"/>
      <c r="BB6" s="132"/>
      <c r="BC6" s="132"/>
      <c r="BD6" s="274"/>
      <c r="BE6" s="143"/>
      <c r="BF6" s="143"/>
      <c r="BG6" s="132"/>
      <c r="BH6" s="132"/>
      <c r="BI6" s="132"/>
      <c r="BJ6" s="143"/>
      <c r="BK6" s="143"/>
      <c r="BL6" s="143"/>
      <c r="BM6" s="132"/>
      <c r="BN6" s="132"/>
      <c r="BO6" s="132"/>
      <c r="BP6" s="143"/>
      <c r="BQ6" s="132"/>
      <c r="BR6" s="132"/>
      <c r="BS6" s="132"/>
      <c r="BT6" s="132"/>
      <c r="BU6" s="132"/>
      <c r="BV6" s="263">
        <v>85700</v>
      </c>
      <c r="BW6" s="144">
        <f t="shared" si="0"/>
        <v>16283</v>
      </c>
      <c r="BX6" s="113">
        <f t="shared" si="1"/>
        <v>101983</v>
      </c>
      <c r="BY6" s="264" t="s">
        <v>47</v>
      </c>
      <c r="BZ6" s="264" t="s">
        <v>48</v>
      </c>
      <c r="CA6" s="132"/>
      <c r="CB6" s="274">
        <v>45200</v>
      </c>
      <c r="CC6" s="144">
        <f>+CB6*19%</f>
        <v>8588</v>
      </c>
      <c r="CD6" s="274">
        <f>+CC6+CB6</f>
        <v>53788</v>
      </c>
      <c r="CE6" s="132"/>
      <c r="CF6" s="132"/>
      <c r="CG6" s="132"/>
      <c r="CH6" s="263">
        <v>86557</v>
      </c>
      <c r="CI6" s="265">
        <f>+CH6*0.19</f>
        <v>16445.830000000002</v>
      </c>
      <c r="CJ6" s="263">
        <f>+CH6+CI6</f>
        <v>103002.83</v>
      </c>
      <c r="CK6" s="264" t="s">
        <v>47</v>
      </c>
      <c r="CL6" s="264" t="s">
        <v>48</v>
      </c>
      <c r="CM6" s="132"/>
      <c r="CN6" s="274"/>
      <c r="CO6" s="144"/>
      <c r="CP6" s="274"/>
      <c r="CQ6" s="132"/>
      <c r="CR6" s="132"/>
      <c r="CS6" s="132"/>
      <c r="CT6" s="274"/>
      <c r="CU6" s="144"/>
      <c r="CV6" s="144"/>
      <c r="CW6" s="132"/>
      <c r="CX6" s="132"/>
      <c r="CY6" s="132"/>
      <c r="CZ6" s="118"/>
      <c r="DA6" s="144"/>
      <c r="DB6" s="118"/>
      <c r="DC6" s="33"/>
      <c r="DD6" s="39"/>
      <c r="DE6" s="11"/>
      <c r="DF6" s="132"/>
      <c r="DG6" s="132"/>
      <c r="DH6" s="132"/>
      <c r="DI6" s="132"/>
      <c r="DJ6" s="132"/>
      <c r="DK6" s="132"/>
      <c r="DL6" s="132"/>
      <c r="DM6" s="132"/>
      <c r="DN6" s="132"/>
      <c r="DO6" s="132"/>
      <c r="DP6" s="132"/>
      <c r="DQ6" s="132"/>
      <c r="DR6" s="132"/>
      <c r="DS6" s="132"/>
      <c r="DT6" s="132"/>
      <c r="DU6" s="132"/>
      <c r="DV6" s="132"/>
      <c r="DW6" s="132"/>
      <c r="DX6" s="132"/>
      <c r="DY6" s="132"/>
      <c r="DZ6" s="132"/>
      <c r="EA6" s="132"/>
      <c r="EB6" s="132"/>
      <c r="EC6" s="132"/>
      <c r="ED6" s="132"/>
      <c r="EE6" s="132"/>
      <c r="EF6" s="132"/>
      <c r="EG6" s="132"/>
      <c r="EH6" s="132"/>
      <c r="EI6" s="132"/>
      <c r="EJ6" s="132"/>
      <c r="EK6" s="132"/>
      <c r="EL6" s="132"/>
      <c r="EM6" s="132"/>
      <c r="EN6" s="132"/>
      <c r="EO6" s="132"/>
      <c r="EP6" s="132"/>
      <c r="EQ6" s="132"/>
      <c r="ER6" s="132"/>
      <c r="ES6" s="132"/>
      <c r="ET6" s="11"/>
      <c r="EU6" s="11"/>
      <c r="EV6" s="11"/>
      <c r="EW6" s="11"/>
      <c r="EX6" s="11"/>
      <c r="EY6" s="11"/>
      <c r="EZ6" s="11"/>
      <c r="FA6" s="11"/>
      <c r="FB6" s="11"/>
      <c r="FC6" s="11"/>
      <c r="FD6" s="11"/>
      <c r="FE6" s="11"/>
      <c r="FF6" s="11"/>
      <c r="FG6" s="11"/>
      <c r="FH6" s="39">
        <f t="shared" si="2"/>
        <v>894537.67666666664</v>
      </c>
      <c r="FI6" s="33">
        <f t="shared" si="3"/>
        <v>8</v>
      </c>
      <c r="FJ6" s="84">
        <f t="shared" si="4"/>
        <v>111817.20958333333</v>
      </c>
    </row>
    <row r="7" spans="1:166" ht="25.5" x14ac:dyDescent="0.25">
      <c r="A7" s="79" t="e">
        <f>#REF!</f>
        <v>#REF!</v>
      </c>
      <c r="B7" s="75" t="e">
        <f>#REF!</f>
        <v>#REF!</v>
      </c>
      <c r="C7" s="75" t="e">
        <f>#REF!</f>
        <v>#REF!</v>
      </c>
      <c r="D7" s="75" t="e">
        <f>#REF!</f>
        <v>#REF!</v>
      </c>
      <c r="E7" s="30">
        <v>1</v>
      </c>
      <c r="F7" s="238">
        <v>0</v>
      </c>
      <c r="G7" s="241">
        <v>0</v>
      </c>
      <c r="H7" s="249">
        <v>24253.39</v>
      </c>
      <c r="I7" s="249">
        <v>0</v>
      </c>
      <c r="J7" s="249">
        <v>26775</v>
      </c>
      <c r="K7" s="249">
        <v>26180</v>
      </c>
      <c r="L7" s="274">
        <f>AVERAGE(H7,J7)</f>
        <v>25514.195</v>
      </c>
      <c r="M7" s="274">
        <f>K7*1.03</f>
        <v>26965.4</v>
      </c>
      <c r="N7" s="245"/>
      <c r="O7" s="113"/>
      <c r="P7" s="113"/>
      <c r="Q7" s="131"/>
      <c r="R7" s="131"/>
      <c r="S7" s="64"/>
      <c r="T7" s="113"/>
      <c r="U7" s="117"/>
      <c r="V7" s="113"/>
      <c r="W7" s="131"/>
      <c r="X7" s="131"/>
      <c r="Y7" s="11"/>
      <c r="Z7" s="113"/>
      <c r="AA7" s="113"/>
      <c r="AB7" s="113"/>
      <c r="AC7" s="52"/>
      <c r="AD7" s="52"/>
      <c r="AE7" s="11"/>
      <c r="AF7" s="118">
        <v>22000</v>
      </c>
      <c r="AG7" s="144">
        <f>AF7*19%</f>
        <v>4180</v>
      </c>
      <c r="AH7" s="113">
        <f>+AF7+AG7</f>
        <v>26180</v>
      </c>
      <c r="AI7" s="11"/>
      <c r="AJ7" s="11"/>
      <c r="AK7" s="39"/>
      <c r="AL7" s="113">
        <f>35000/20</f>
        <v>1750</v>
      </c>
      <c r="AM7" s="113">
        <f>+AL7*0.19</f>
        <v>332.5</v>
      </c>
      <c r="AN7" s="119">
        <f>+AL7+AM7</f>
        <v>2082.5</v>
      </c>
      <c r="AO7" s="76" t="s">
        <v>49</v>
      </c>
      <c r="AP7" s="266" t="s">
        <v>50</v>
      </c>
      <c r="AQ7" s="39"/>
      <c r="AR7" s="275">
        <v>144000</v>
      </c>
      <c r="AS7" s="113">
        <f t="shared" si="5"/>
        <v>27360</v>
      </c>
      <c r="AT7" s="119">
        <f t="shared" si="6"/>
        <v>171360</v>
      </c>
      <c r="AU7" s="62" t="s">
        <v>51</v>
      </c>
      <c r="AV7" s="48" t="s">
        <v>35</v>
      </c>
      <c r="AW7" s="31"/>
      <c r="AX7" s="116"/>
      <c r="AY7" s="194"/>
      <c r="AZ7" s="143"/>
      <c r="BA7" s="191"/>
      <c r="BB7" s="132"/>
      <c r="BC7" s="132"/>
      <c r="BD7" s="274"/>
      <c r="BE7" s="143"/>
      <c r="BF7" s="143"/>
      <c r="BG7" s="132"/>
      <c r="BH7" s="132"/>
      <c r="BI7" s="132"/>
      <c r="BJ7" s="143"/>
      <c r="BK7" s="143"/>
      <c r="BL7" s="143"/>
      <c r="BM7" s="132"/>
      <c r="BN7" s="132"/>
      <c r="BO7" s="132"/>
      <c r="BP7" s="143"/>
      <c r="BQ7" s="132"/>
      <c r="BR7" s="132"/>
      <c r="BS7" s="132"/>
      <c r="BT7" s="132"/>
      <c r="BU7" s="132"/>
      <c r="BV7" s="263">
        <v>21800</v>
      </c>
      <c r="BW7" s="144">
        <f t="shared" si="0"/>
        <v>4142</v>
      </c>
      <c r="BX7" s="113">
        <f t="shared" si="1"/>
        <v>25942</v>
      </c>
      <c r="BY7" s="264" t="s">
        <v>52</v>
      </c>
      <c r="BZ7" s="264" t="s">
        <v>53</v>
      </c>
      <c r="CA7" s="132"/>
      <c r="CB7" s="274">
        <v>15500</v>
      </c>
      <c r="CC7" s="144">
        <f>+CB7*19%</f>
        <v>2945</v>
      </c>
      <c r="CD7" s="274">
        <f>+CC7+CB7</f>
        <v>18445</v>
      </c>
      <c r="CE7" s="132"/>
      <c r="CF7" s="132"/>
      <c r="CG7" s="132"/>
      <c r="CH7" s="263">
        <v>23108</v>
      </c>
      <c r="CI7" s="265">
        <f>+CH7*0.19</f>
        <v>4390.5200000000004</v>
      </c>
      <c r="CJ7" s="263">
        <f>+CH7+CI7</f>
        <v>27498.52</v>
      </c>
      <c r="CK7" s="264" t="s">
        <v>52</v>
      </c>
      <c r="CL7" s="264" t="s">
        <v>53</v>
      </c>
      <c r="CM7" s="132"/>
      <c r="CN7" s="274"/>
      <c r="CO7" s="144"/>
      <c r="CP7" s="274"/>
      <c r="CQ7" s="132"/>
      <c r="CR7" s="132"/>
      <c r="CS7" s="132"/>
      <c r="CT7" s="274">
        <v>288750</v>
      </c>
      <c r="CU7" s="144">
        <f>+CT7*0</f>
        <v>0</v>
      </c>
      <c r="CV7" s="144">
        <f>+CT7+CU7</f>
        <v>288750</v>
      </c>
      <c r="CW7" s="132"/>
      <c r="CX7" s="132"/>
      <c r="CY7" s="132"/>
      <c r="CZ7" s="118"/>
      <c r="DA7" s="144"/>
      <c r="DB7" s="118"/>
      <c r="DC7" s="33"/>
      <c r="DD7" s="39"/>
      <c r="DE7" s="11"/>
      <c r="DF7" s="132"/>
      <c r="DG7" s="132"/>
      <c r="DH7" s="132"/>
      <c r="DI7" s="132"/>
      <c r="DJ7" s="132"/>
      <c r="DK7" s="132"/>
      <c r="DL7" s="132"/>
      <c r="DM7" s="132"/>
      <c r="DN7" s="132"/>
      <c r="DO7" s="132"/>
      <c r="DP7" s="132"/>
      <c r="DQ7" s="132"/>
      <c r="DR7" s="132"/>
      <c r="DS7" s="132"/>
      <c r="DT7" s="132"/>
      <c r="DU7" s="132"/>
      <c r="DV7" s="132"/>
      <c r="DW7" s="132"/>
      <c r="DX7" s="132"/>
      <c r="DY7" s="132"/>
      <c r="DZ7" s="132"/>
      <c r="EA7" s="132"/>
      <c r="EB7" s="132"/>
      <c r="EC7" s="132"/>
      <c r="ED7" s="132"/>
      <c r="EE7" s="132"/>
      <c r="EF7" s="132"/>
      <c r="EG7" s="132"/>
      <c r="EH7" s="132"/>
      <c r="EI7" s="132"/>
      <c r="EJ7" s="132"/>
      <c r="EK7" s="132"/>
      <c r="EL7" s="132"/>
      <c r="EM7" s="132"/>
      <c r="EN7" s="132"/>
      <c r="EO7" s="132"/>
      <c r="EP7" s="132"/>
      <c r="EQ7" s="132"/>
      <c r="ER7" s="132"/>
      <c r="ES7" s="132"/>
      <c r="ET7" s="11"/>
      <c r="EU7" s="11"/>
      <c r="EV7" s="11"/>
      <c r="EW7" s="11"/>
      <c r="EX7" s="11"/>
      <c r="EY7" s="11"/>
      <c r="EZ7" s="11"/>
      <c r="FA7" s="11"/>
      <c r="FB7" s="11"/>
      <c r="FC7" s="11"/>
      <c r="FD7" s="11"/>
      <c r="FE7" s="11"/>
      <c r="FF7" s="11"/>
      <c r="FG7" s="11"/>
      <c r="FH7" s="39">
        <f t="shared" si="2"/>
        <v>587223.42000000004</v>
      </c>
      <c r="FI7" s="33">
        <f t="shared" si="3"/>
        <v>8</v>
      </c>
      <c r="FJ7" s="84">
        <f t="shared" si="4"/>
        <v>73402.927500000005</v>
      </c>
    </row>
    <row r="8" spans="1:166" ht="27" x14ac:dyDescent="0.25">
      <c r="A8" s="79" t="e">
        <f>#REF!</f>
        <v>#REF!</v>
      </c>
      <c r="B8" s="75" t="e">
        <f>#REF!</f>
        <v>#REF!</v>
      </c>
      <c r="C8" s="75" t="e">
        <f>#REF!</f>
        <v>#REF!</v>
      </c>
      <c r="D8" s="75" t="e">
        <f>#REF!</f>
        <v>#REF!</v>
      </c>
      <c r="E8" s="30">
        <v>1</v>
      </c>
      <c r="F8" s="238">
        <v>2006533.375</v>
      </c>
      <c r="G8" s="241">
        <v>2006459</v>
      </c>
      <c r="H8" s="249">
        <v>1361631.6385375001</v>
      </c>
      <c r="I8" s="249">
        <v>0</v>
      </c>
      <c r="J8" s="249">
        <v>1338434.6500000001</v>
      </c>
      <c r="K8" s="249">
        <v>0</v>
      </c>
      <c r="L8" s="274">
        <f>AVERAGE(F8,H8,J8)</f>
        <v>1568866.5545125001</v>
      </c>
      <c r="M8" s="274">
        <f>G8*1.03</f>
        <v>2066652.77</v>
      </c>
      <c r="N8" s="245"/>
      <c r="O8" s="113"/>
      <c r="P8" s="113"/>
      <c r="Q8" s="131"/>
      <c r="R8" s="131"/>
      <c r="S8" s="64"/>
      <c r="T8" s="113"/>
      <c r="U8" s="113"/>
      <c r="V8" s="113"/>
      <c r="W8" s="131"/>
      <c r="X8" s="131"/>
      <c r="Y8" s="11"/>
      <c r="Z8" s="113"/>
      <c r="AA8" s="113"/>
      <c r="AB8" s="113"/>
      <c r="AC8" s="52"/>
      <c r="AD8" s="52"/>
      <c r="AE8" s="11"/>
      <c r="AF8" s="118"/>
      <c r="AG8" s="144"/>
      <c r="AH8" s="113"/>
      <c r="AI8" s="11"/>
      <c r="AJ8" s="11"/>
      <c r="AK8" s="39"/>
      <c r="AL8" s="113"/>
      <c r="AM8" s="113"/>
      <c r="AN8" s="117"/>
      <c r="AO8" s="76"/>
      <c r="AP8" s="39"/>
      <c r="AQ8" s="39"/>
      <c r="AR8" s="275">
        <v>136800</v>
      </c>
      <c r="AS8" s="113">
        <f t="shared" si="5"/>
        <v>25992</v>
      </c>
      <c r="AT8" s="119">
        <f t="shared" si="6"/>
        <v>162792</v>
      </c>
      <c r="AU8" s="62" t="s">
        <v>54</v>
      </c>
      <c r="AV8" s="48" t="s">
        <v>35</v>
      </c>
      <c r="AW8" s="11" t="s">
        <v>55</v>
      </c>
      <c r="AX8" s="116"/>
      <c r="AY8" s="116"/>
      <c r="AZ8" s="143"/>
      <c r="BA8" s="191"/>
      <c r="BB8" s="132"/>
      <c r="BC8" s="132"/>
      <c r="BD8" s="274"/>
      <c r="BE8" s="143"/>
      <c r="BF8" s="143"/>
      <c r="BG8" s="132"/>
      <c r="BH8" s="132"/>
      <c r="BI8" s="132"/>
      <c r="BJ8" s="143"/>
      <c r="BK8" s="143"/>
      <c r="BL8" s="143"/>
      <c r="BM8" s="132"/>
      <c r="BN8" s="132"/>
      <c r="BO8" s="132"/>
      <c r="BP8" s="143"/>
      <c r="BQ8" s="132"/>
      <c r="BR8" s="132"/>
      <c r="BS8" s="132"/>
      <c r="BT8" s="132"/>
      <c r="BU8" s="132"/>
      <c r="BV8" s="263">
        <v>3507000</v>
      </c>
      <c r="BW8" s="144">
        <f t="shared" si="0"/>
        <v>666330</v>
      </c>
      <c r="BX8" s="113">
        <f t="shared" si="1"/>
        <v>4173330</v>
      </c>
      <c r="BY8" s="264" t="s">
        <v>56</v>
      </c>
      <c r="BZ8" s="264" t="s">
        <v>37</v>
      </c>
      <c r="CA8" s="132"/>
      <c r="CB8" s="274"/>
      <c r="CC8" s="144"/>
      <c r="CD8" s="274"/>
      <c r="CE8" s="132"/>
      <c r="CF8" s="132"/>
      <c r="CG8" s="132"/>
      <c r="CH8" s="263"/>
      <c r="CI8" s="265"/>
      <c r="CJ8" s="263"/>
      <c r="CK8" s="264"/>
      <c r="CL8" s="264"/>
      <c r="CM8" s="132"/>
      <c r="CN8" s="274"/>
      <c r="CO8" s="144"/>
      <c r="CP8" s="274"/>
      <c r="CQ8" s="132"/>
      <c r="CR8" s="132"/>
      <c r="CS8" s="132"/>
      <c r="CT8" s="144">
        <v>175000</v>
      </c>
      <c r="CU8" s="144">
        <v>33250</v>
      </c>
      <c r="CV8" s="144">
        <f>+CT8+CU8</f>
        <v>208250</v>
      </c>
      <c r="CW8" s="132"/>
      <c r="CX8" s="132"/>
      <c r="CY8" s="132"/>
      <c r="CZ8" s="118">
        <v>2928300</v>
      </c>
      <c r="DA8" s="144">
        <f>+CZ8*0.19</f>
        <v>556377</v>
      </c>
      <c r="DB8" s="118">
        <f>+CZ8+DA8</f>
        <v>3484677</v>
      </c>
      <c r="DC8" s="33" t="s">
        <v>57</v>
      </c>
      <c r="DD8" s="39" t="s">
        <v>58</v>
      </c>
      <c r="DE8" s="11" t="s">
        <v>59</v>
      </c>
      <c r="DF8" s="132"/>
      <c r="DG8" s="132"/>
      <c r="DH8" s="132"/>
      <c r="DI8" s="132"/>
      <c r="DJ8" s="132"/>
      <c r="DK8" s="132"/>
      <c r="DL8" s="132"/>
      <c r="DM8" s="132"/>
      <c r="DN8" s="132"/>
      <c r="DO8" s="132"/>
      <c r="DP8" s="132"/>
      <c r="DQ8" s="132"/>
      <c r="DR8" s="132"/>
      <c r="DS8" s="132"/>
      <c r="DT8" s="132"/>
      <c r="DU8" s="132"/>
      <c r="DV8" s="132"/>
      <c r="DW8" s="132"/>
      <c r="DX8" s="132"/>
      <c r="DY8" s="132"/>
      <c r="DZ8" s="132"/>
      <c r="EA8" s="132"/>
      <c r="EB8" s="132"/>
      <c r="EC8" s="132"/>
      <c r="ED8" s="132"/>
      <c r="EE8" s="132"/>
      <c r="EF8" s="132"/>
      <c r="EG8" s="132"/>
      <c r="EH8" s="132"/>
      <c r="EI8" s="132"/>
      <c r="EJ8" s="132"/>
      <c r="EK8" s="132"/>
      <c r="EL8" s="132"/>
      <c r="EM8" s="132"/>
      <c r="EN8" s="132"/>
      <c r="EO8" s="132"/>
      <c r="EP8" s="132"/>
      <c r="EQ8" s="132"/>
      <c r="ER8" s="132"/>
      <c r="ES8" s="132"/>
      <c r="ET8" s="11"/>
      <c r="EU8" s="11"/>
      <c r="EV8" s="11"/>
      <c r="EW8" s="11"/>
      <c r="EX8" s="11"/>
      <c r="EY8" s="11"/>
      <c r="EZ8" s="11"/>
      <c r="FA8" s="11"/>
      <c r="FB8" s="11"/>
      <c r="FC8" s="11"/>
      <c r="FD8" s="11"/>
      <c r="FE8" s="11"/>
      <c r="FF8" s="11"/>
      <c r="FG8" s="11"/>
      <c r="FH8" s="39">
        <f t="shared" si="2"/>
        <v>10095701.77</v>
      </c>
      <c r="FI8" s="33">
        <f t="shared" si="3"/>
        <v>5</v>
      </c>
      <c r="FJ8" s="84">
        <f t="shared" si="4"/>
        <v>2019140.3539999998</v>
      </c>
    </row>
    <row r="9" spans="1:166" ht="27" x14ac:dyDescent="0.25">
      <c r="A9" s="79" t="e">
        <f>#REF!</f>
        <v>#REF!</v>
      </c>
      <c r="B9" s="75" t="e">
        <f>#REF!</f>
        <v>#REF!</v>
      </c>
      <c r="C9" s="75" t="e">
        <f>#REF!</f>
        <v>#REF!</v>
      </c>
      <c r="D9" s="75" t="e">
        <f>#REF!</f>
        <v>#REF!</v>
      </c>
      <c r="E9" s="30">
        <v>1</v>
      </c>
      <c r="F9" s="238">
        <v>0</v>
      </c>
      <c r="G9" s="241">
        <v>0</v>
      </c>
      <c r="H9" s="249">
        <v>214053.70749999999</v>
      </c>
      <c r="I9" s="249">
        <v>75565</v>
      </c>
      <c r="J9" s="249">
        <v>0</v>
      </c>
      <c r="K9" s="249">
        <v>0</v>
      </c>
      <c r="L9" s="274">
        <f>H9</f>
        <v>214053.70749999999</v>
      </c>
      <c r="M9" s="274">
        <f>I9*1.03</f>
        <v>77831.95</v>
      </c>
      <c r="N9" s="245"/>
      <c r="O9" s="113"/>
      <c r="P9" s="113"/>
      <c r="Q9" s="131"/>
      <c r="R9" s="131"/>
      <c r="S9" s="64"/>
      <c r="T9" s="113"/>
      <c r="U9" s="121"/>
      <c r="V9" s="113"/>
      <c r="W9" s="131"/>
      <c r="X9" s="131"/>
      <c r="Y9" s="11"/>
      <c r="Z9" s="113"/>
      <c r="AA9" s="113"/>
      <c r="AB9" s="113"/>
      <c r="AC9" s="52"/>
      <c r="AD9" s="52"/>
      <c r="AE9" s="11"/>
      <c r="AF9" s="118"/>
      <c r="AG9" s="144"/>
      <c r="AH9" s="113"/>
      <c r="AI9" s="11"/>
      <c r="AJ9" s="11"/>
      <c r="AK9" s="39"/>
      <c r="AL9" s="113">
        <v>205000</v>
      </c>
      <c r="AM9" s="113">
        <f>+AL9*0.19</f>
        <v>38950</v>
      </c>
      <c r="AN9" s="119">
        <f>+AL9+AM9</f>
        <v>243950</v>
      </c>
      <c r="AO9" s="4" t="s">
        <v>60</v>
      </c>
      <c r="AP9" s="266" t="s">
        <v>45</v>
      </c>
      <c r="AQ9" s="39"/>
      <c r="AR9" s="275">
        <v>259200</v>
      </c>
      <c r="AS9" s="113">
        <f t="shared" si="5"/>
        <v>49248</v>
      </c>
      <c r="AT9" s="119">
        <f t="shared" si="6"/>
        <v>308448</v>
      </c>
      <c r="AU9" s="62" t="s">
        <v>60</v>
      </c>
      <c r="AV9" s="48" t="s">
        <v>35</v>
      </c>
      <c r="AW9" s="11" t="s">
        <v>61</v>
      </c>
      <c r="AX9" s="116"/>
      <c r="AY9" s="116"/>
      <c r="AZ9" s="143"/>
      <c r="BA9" s="191"/>
      <c r="BB9" s="132"/>
      <c r="BC9" s="132"/>
      <c r="BD9" s="274"/>
      <c r="BE9" s="143"/>
      <c r="BF9" s="143"/>
      <c r="BG9" s="132"/>
      <c r="BH9" s="132"/>
      <c r="BI9" s="132"/>
      <c r="BJ9" s="143"/>
      <c r="BK9" s="143"/>
      <c r="BL9" s="143"/>
      <c r="BM9" s="132"/>
      <c r="BN9" s="132"/>
      <c r="BO9" s="132"/>
      <c r="BP9" s="143"/>
      <c r="BQ9" s="132"/>
      <c r="BR9" s="132"/>
      <c r="BS9" s="132"/>
      <c r="BT9" s="132"/>
      <c r="BU9" s="132"/>
      <c r="BV9" s="263">
        <v>262100</v>
      </c>
      <c r="BW9" s="144">
        <f t="shared" si="0"/>
        <v>49799</v>
      </c>
      <c r="BX9" s="113">
        <f t="shared" si="1"/>
        <v>311899</v>
      </c>
      <c r="BY9" s="264" t="s">
        <v>62</v>
      </c>
      <c r="BZ9" s="264" t="s">
        <v>63</v>
      </c>
      <c r="CA9" s="132"/>
      <c r="CB9" s="274"/>
      <c r="CC9" s="144"/>
      <c r="CD9" s="274"/>
      <c r="CE9" s="132"/>
      <c r="CF9" s="132"/>
      <c r="CG9" s="132"/>
      <c r="CH9" s="263">
        <v>275205</v>
      </c>
      <c r="CI9" s="265">
        <f t="shared" ref="CI9:CI17" si="7">+CH9*0.19</f>
        <v>52288.95</v>
      </c>
      <c r="CJ9" s="263">
        <f t="shared" ref="CJ9:CJ17" si="8">+CH9+CI9</f>
        <v>327493.95</v>
      </c>
      <c r="CK9" s="264" t="s">
        <v>62</v>
      </c>
      <c r="CL9" s="264" t="s">
        <v>63</v>
      </c>
      <c r="CM9" s="132"/>
      <c r="CN9" s="274"/>
      <c r="CO9" s="144"/>
      <c r="CP9" s="274"/>
      <c r="CQ9" s="132"/>
      <c r="CR9" s="132"/>
      <c r="CS9" s="132"/>
      <c r="CT9" s="274"/>
      <c r="CU9" s="144"/>
      <c r="CV9" s="144"/>
      <c r="CW9" s="132"/>
      <c r="CX9" s="132"/>
      <c r="CY9" s="132"/>
      <c r="CZ9" s="118">
        <v>145655</v>
      </c>
      <c r="DA9" s="144">
        <f>+CZ9*0.19</f>
        <v>27674.45</v>
      </c>
      <c r="DB9" s="118">
        <f>+CZ9+DA9</f>
        <v>173329.45</v>
      </c>
      <c r="DC9" s="33" t="s">
        <v>64</v>
      </c>
      <c r="DD9" s="39" t="s">
        <v>58</v>
      </c>
      <c r="DE9" s="11">
        <v>1011160500</v>
      </c>
      <c r="DF9" s="132"/>
      <c r="DG9" s="132"/>
      <c r="DH9" s="132"/>
      <c r="DI9" s="132"/>
      <c r="DJ9" s="132"/>
      <c r="DK9" s="132"/>
      <c r="DL9" s="132"/>
      <c r="DM9" s="132"/>
      <c r="DN9" s="132"/>
      <c r="DO9" s="132"/>
      <c r="DP9" s="132"/>
      <c r="DQ9" s="132"/>
      <c r="DR9" s="132"/>
      <c r="DS9" s="132"/>
      <c r="DT9" s="132"/>
      <c r="DU9" s="132"/>
      <c r="DV9" s="132"/>
      <c r="DW9" s="132"/>
      <c r="DX9" s="132"/>
      <c r="DY9" s="132"/>
      <c r="DZ9" s="132"/>
      <c r="EA9" s="132"/>
      <c r="EB9" s="132"/>
      <c r="EC9" s="132"/>
      <c r="ED9" s="132"/>
      <c r="EE9" s="132"/>
      <c r="EF9" s="132"/>
      <c r="EG9" s="132"/>
      <c r="EH9" s="132"/>
      <c r="EI9" s="132"/>
      <c r="EJ9" s="132"/>
      <c r="EK9" s="132"/>
      <c r="EL9" s="132"/>
      <c r="EM9" s="132"/>
      <c r="EN9" s="132"/>
      <c r="EO9" s="132"/>
      <c r="EP9" s="132"/>
      <c r="EQ9" s="132"/>
      <c r="ER9" s="132"/>
      <c r="ES9" s="132"/>
      <c r="ET9" s="11"/>
      <c r="EU9" s="11"/>
      <c r="EV9" s="11"/>
      <c r="EW9" s="11"/>
      <c r="EX9" s="11"/>
      <c r="EY9" s="11"/>
      <c r="EZ9" s="11"/>
      <c r="FA9" s="11"/>
      <c r="FB9" s="11"/>
      <c r="FC9" s="11"/>
      <c r="FD9" s="11"/>
      <c r="FE9" s="11"/>
      <c r="FF9" s="11"/>
      <c r="FG9" s="11"/>
      <c r="FH9" s="39">
        <f t="shared" si="2"/>
        <v>1442952.3499999999</v>
      </c>
      <c r="FI9" s="33">
        <f t="shared" si="3"/>
        <v>6</v>
      </c>
      <c r="FJ9" s="84">
        <f t="shared" si="4"/>
        <v>240492.05833333332</v>
      </c>
    </row>
    <row r="10" spans="1:166" ht="27" x14ac:dyDescent="0.25">
      <c r="A10" s="79" t="e">
        <f>#REF!</f>
        <v>#REF!</v>
      </c>
      <c r="B10" s="75" t="e">
        <f>#REF!</f>
        <v>#REF!</v>
      </c>
      <c r="C10" s="75" t="e">
        <f>#REF!</f>
        <v>#REF!</v>
      </c>
      <c r="D10" s="75" t="e">
        <f>#REF!</f>
        <v>#REF!</v>
      </c>
      <c r="E10" s="30">
        <v>1</v>
      </c>
      <c r="F10" s="238">
        <v>0</v>
      </c>
      <c r="G10" s="241">
        <v>0</v>
      </c>
      <c r="H10" s="249">
        <v>351635.20000000001</v>
      </c>
      <c r="I10" s="249">
        <v>0</v>
      </c>
      <c r="J10" s="249">
        <v>608328</v>
      </c>
      <c r="K10" s="249">
        <v>0</v>
      </c>
      <c r="L10" s="274">
        <f>AVERAGE(H10,J10)</f>
        <v>479981.6</v>
      </c>
      <c r="M10" s="274"/>
      <c r="N10" s="245"/>
      <c r="O10" s="113"/>
      <c r="P10" s="113"/>
      <c r="Q10" s="131"/>
      <c r="R10" s="131"/>
      <c r="S10" s="64"/>
      <c r="T10" s="113"/>
      <c r="U10" s="113"/>
      <c r="V10" s="113"/>
      <c r="W10" s="131"/>
      <c r="X10" s="131"/>
      <c r="Y10" s="11"/>
      <c r="Z10" s="113"/>
      <c r="AA10" s="113"/>
      <c r="AB10" s="113"/>
      <c r="AC10" s="52"/>
      <c r="AD10" s="52"/>
      <c r="AE10" s="11"/>
      <c r="AF10" s="118"/>
      <c r="AG10" s="144"/>
      <c r="AH10" s="113"/>
      <c r="AI10" s="11"/>
      <c r="AJ10" s="11"/>
      <c r="AK10" s="39"/>
      <c r="AL10" s="113"/>
      <c r="AM10" s="113"/>
      <c r="AN10" s="117"/>
      <c r="AO10" s="76"/>
      <c r="AP10" s="39"/>
      <c r="AQ10" s="39"/>
      <c r="AR10" s="275">
        <v>511200</v>
      </c>
      <c r="AS10" s="113">
        <f t="shared" si="5"/>
        <v>97128</v>
      </c>
      <c r="AT10" s="119">
        <f t="shared" si="6"/>
        <v>608328</v>
      </c>
      <c r="AU10" s="62" t="s">
        <v>49</v>
      </c>
      <c r="AV10" s="48" t="s">
        <v>35</v>
      </c>
      <c r="AW10" s="31"/>
      <c r="AX10" s="116"/>
      <c r="AY10" s="116"/>
      <c r="AZ10" s="143"/>
      <c r="BA10" s="191"/>
      <c r="BB10" s="132"/>
      <c r="BC10" s="132"/>
      <c r="BD10" s="274"/>
      <c r="BE10" s="143"/>
      <c r="BF10" s="143"/>
      <c r="BG10" s="132"/>
      <c r="BH10" s="132"/>
      <c r="BI10" s="132"/>
      <c r="BJ10" s="143"/>
      <c r="BK10" s="143"/>
      <c r="BL10" s="143"/>
      <c r="BM10" s="132"/>
      <c r="BN10" s="132"/>
      <c r="BO10" s="132"/>
      <c r="BP10" s="143"/>
      <c r="BQ10" s="132"/>
      <c r="BR10" s="132"/>
      <c r="BS10" s="132"/>
      <c r="BT10" s="132"/>
      <c r="BU10" s="132"/>
      <c r="BV10" s="263">
        <v>400300</v>
      </c>
      <c r="BW10" s="144">
        <f t="shared" si="0"/>
        <v>76057</v>
      </c>
      <c r="BX10" s="113">
        <f t="shared" si="1"/>
        <v>476357</v>
      </c>
      <c r="BY10" s="264" t="s">
        <v>65</v>
      </c>
      <c r="BZ10" s="264" t="s">
        <v>66</v>
      </c>
      <c r="CA10" s="132"/>
      <c r="CB10" s="274"/>
      <c r="CC10" s="144"/>
      <c r="CD10" s="274"/>
      <c r="CE10" s="132"/>
      <c r="CF10" s="132"/>
      <c r="CG10" s="132"/>
      <c r="CH10" s="263">
        <v>428321</v>
      </c>
      <c r="CI10" s="265">
        <f t="shared" si="7"/>
        <v>81380.990000000005</v>
      </c>
      <c r="CJ10" s="263">
        <f t="shared" si="8"/>
        <v>509701.99</v>
      </c>
      <c r="CK10" s="264" t="s">
        <v>65</v>
      </c>
      <c r="CL10" s="264" t="s">
        <v>66</v>
      </c>
      <c r="CM10" s="132"/>
      <c r="CN10" s="274"/>
      <c r="CO10" s="144"/>
      <c r="CP10" s="274"/>
      <c r="CQ10" s="132"/>
      <c r="CR10" s="132"/>
      <c r="CS10" s="132"/>
      <c r="CT10" s="274"/>
      <c r="CU10" s="144"/>
      <c r="CV10" s="144"/>
      <c r="CW10" s="132"/>
      <c r="CX10" s="132"/>
      <c r="CY10" s="132"/>
      <c r="CZ10" s="118">
        <v>168276</v>
      </c>
      <c r="DA10" s="144">
        <f>+CZ10*0.19</f>
        <v>31972.44</v>
      </c>
      <c r="DB10" s="118">
        <f>+CZ10+DA10</f>
        <v>200248.44</v>
      </c>
      <c r="DC10" s="33" t="s">
        <v>67</v>
      </c>
      <c r="DD10" s="39" t="s">
        <v>58</v>
      </c>
      <c r="DE10" s="11" t="s">
        <v>68</v>
      </c>
      <c r="DF10" s="132"/>
      <c r="DG10" s="132"/>
      <c r="DH10" s="132"/>
      <c r="DI10" s="132"/>
      <c r="DJ10" s="132"/>
      <c r="DK10" s="132"/>
      <c r="DL10" s="132"/>
      <c r="DM10" s="132"/>
      <c r="DN10" s="132"/>
      <c r="DO10" s="132"/>
      <c r="DP10" s="132"/>
      <c r="DQ10" s="132"/>
      <c r="DR10" s="132"/>
      <c r="DS10" s="132"/>
      <c r="DT10" s="132"/>
      <c r="DU10" s="132"/>
      <c r="DV10" s="132"/>
      <c r="DW10" s="132"/>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1"/>
      <c r="EU10" s="11"/>
      <c r="EV10" s="11"/>
      <c r="EW10" s="11"/>
      <c r="EX10" s="11"/>
      <c r="EY10" s="11"/>
      <c r="EZ10" s="11"/>
      <c r="FA10" s="11"/>
      <c r="FB10" s="11"/>
      <c r="FC10" s="11"/>
      <c r="FD10" s="11"/>
      <c r="FE10" s="11"/>
      <c r="FF10" s="11"/>
      <c r="FG10" s="11"/>
      <c r="FH10" s="39">
        <f t="shared" si="2"/>
        <v>1794635.43</v>
      </c>
      <c r="FI10" s="33">
        <f t="shared" si="3"/>
        <v>4</v>
      </c>
      <c r="FJ10" s="84">
        <f t="shared" si="4"/>
        <v>448658.85749999998</v>
      </c>
    </row>
    <row r="11" spans="1:166" ht="40.5" x14ac:dyDescent="0.25">
      <c r="A11" s="79" t="e">
        <f>#REF!</f>
        <v>#REF!</v>
      </c>
      <c r="B11" s="75" t="e">
        <f>#REF!</f>
        <v>#REF!</v>
      </c>
      <c r="C11" s="75" t="e">
        <f>#REF!</f>
        <v>#REF!</v>
      </c>
      <c r="D11" s="75" t="e">
        <f>#REF!</f>
        <v>#REF!</v>
      </c>
      <c r="E11" s="30">
        <v>1</v>
      </c>
      <c r="F11" s="238">
        <v>542283</v>
      </c>
      <c r="G11" s="241">
        <v>525980</v>
      </c>
      <c r="H11" s="249">
        <v>550966.13448333333</v>
      </c>
      <c r="I11" s="249">
        <v>550851</v>
      </c>
      <c r="J11" s="249">
        <v>484389.5</v>
      </c>
      <c r="K11" s="249">
        <v>490875</v>
      </c>
      <c r="L11" s="274">
        <f>AVERAGE(F11,H11,J11)</f>
        <v>525879.54482777778</v>
      </c>
      <c r="M11" s="274">
        <f>AVERAGE(G11,I11,K11)*1.03</f>
        <v>538245.72666666668</v>
      </c>
      <c r="N11" s="245"/>
      <c r="O11" s="113"/>
      <c r="P11" s="113"/>
      <c r="Q11" s="131"/>
      <c r="R11" s="131"/>
      <c r="S11" s="64"/>
      <c r="T11" s="113"/>
      <c r="U11" s="113"/>
      <c r="V11" s="113"/>
      <c r="W11" s="131"/>
      <c r="X11" s="131"/>
      <c r="Y11" s="11"/>
      <c r="Z11" s="113"/>
      <c r="AA11" s="113"/>
      <c r="AB11" s="113"/>
      <c r="AC11" s="52"/>
      <c r="AD11" s="52"/>
      <c r="AE11" s="11"/>
      <c r="AF11" s="118"/>
      <c r="AG11" s="144"/>
      <c r="AH11" s="113"/>
      <c r="AI11" s="11"/>
      <c r="AJ11" s="11"/>
      <c r="AK11" s="39"/>
      <c r="AL11" s="113"/>
      <c r="AM11" s="113"/>
      <c r="AN11" s="119"/>
      <c r="AO11" s="76"/>
      <c r="AP11" s="39"/>
      <c r="AQ11" s="39"/>
      <c r="AR11" s="275"/>
      <c r="AS11" s="113"/>
      <c r="AT11" s="119"/>
      <c r="AU11" s="62"/>
      <c r="AV11" s="48"/>
      <c r="AW11" s="31"/>
      <c r="AX11" s="116">
        <v>438013.42799999996</v>
      </c>
      <c r="AY11" s="116">
        <f>+AX11*0.19</f>
        <v>83222.551319999999</v>
      </c>
      <c r="AZ11" s="143">
        <f>+AX11+AY11</f>
        <v>521235.97931999993</v>
      </c>
      <c r="BA11" s="191" t="s">
        <v>69</v>
      </c>
      <c r="BB11" s="132" t="s">
        <v>70</v>
      </c>
      <c r="BC11" s="132"/>
      <c r="BD11" s="274"/>
      <c r="BE11" s="143"/>
      <c r="BF11" s="143"/>
      <c r="BG11" s="132"/>
      <c r="BH11" s="132"/>
      <c r="BI11" s="132"/>
      <c r="BJ11" s="143"/>
      <c r="BK11" s="143"/>
      <c r="BL11" s="143"/>
      <c r="BM11" s="132"/>
      <c r="BN11" s="132"/>
      <c r="BO11" s="132"/>
      <c r="BP11" s="143"/>
      <c r="BQ11" s="132"/>
      <c r="BR11" s="132"/>
      <c r="BS11" s="132"/>
      <c r="BT11" s="132"/>
      <c r="BU11" s="132"/>
      <c r="BV11" s="263">
        <v>1068000</v>
      </c>
      <c r="BW11" s="144">
        <f t="shared" si="0"/>
        <v>202920</v>
      </c>
      <c r="BX11" s="113">
        <f t="shared" si="1"/>
        <v>1270920</v>
      </c>
      <c r="BY11" s="264" t="s">
        <v>71</v>
      </c>
      <c r="BZ11" s="264" t="s">
        <v>72</v>
      </c>
      <c r="CA11" s="132"/>
      <c r="CB11" s="274"/>
      <c r="CC11" s="144"/>
      <c r="CD11" s="274"/>
      <c r="CE11" s="132"/>
      <c r="CF11" s="132"/>
      <c r="CG11" s="132"/>
      <c r="CH11" s="263">
        <v>1100040</v>
      </c>
      <c r="CI11" s="265">
        <f t="shared" si="7"/>
        <v>209007.6</v>
      </c>
      <c r="CJ11" s="263">
        <f t="shared" si="8"/>
        <v>1309047.6000000001</v>
      </c>
      <c r="CK11" s="264" t="s">
        <v>71</v>
      </c>
      <c r="CL11" s="264" t="s">
        <v>72</v>
      </c>
      <c r="CM11" s="132"/>
      <c r="CN11" s="274"/>
      <c r="CO11" s="144"/>
      <c r="CP11" s="274"/>
      <c r="CQ11" s="132"/>
      <c r="CR11" s="132"/>
      <c r="CS11" s="132"/>
      <c r="CT11" s="274"/>
      <c r="CU11" s="144"/>
      <c r="CV11" s="144"/>
      <c r="CW11" s="132"/>
      <c r="CX11" s="132"/>
      <c r="CY11" s="132"/>
      <c r="CZ11" s="118">
        <v>444690</v>
      </c>
      <c r="DA11" s="144">
        <f>+CZ11*0.19</f>
        <v>84491.1</v>
      </c>
      <c r="DB11" s="118">
        <f>+CZ11+DA11</f>
        <v>529181.1</v>
      </c>
      <c r="DC11" s="33" t="s">
        <v>73</v>
      </c>
      <c r="DD11" s="39" t="s">
        <v>58</v>
      </c>
      <c r="DE11" s="11" t="s">
        <v>74</v>
      </c>
      <c r="DF11" s="132"/>
      <c r="DG11" s="132"/>
      <c r="DH11" s="132"/>
      <c r="DI11" s="132"/>
      <c r="DJ11" s="132"/>
      <c r="DK11" s="132"/>
      <c r="DL11" s="132"/>
      <c r="DM11" s="132"/>
      <c r="DN11" s="132"/>
      <c r="DO11" s="132"/>
      <c r="DP11" s="132"/>
      <c r="DQ11" s="132"/>
      <c r="DR11" s="132"/>
      <c r="DS11" s="132"/>
      <c r="DT11" s="132"/>
      <c r="DU11" s="132"/>
      <c r="DV11" s="132"/>
      <c r="DW11" s="132"/>
      <c r="DX11" s="132"/>
      <c r="DY11" s="132"/>
      <c r="DZ11" s="132"/>
      <c r="EA11" s="132"/>
      <c r="EB11" s="132"/>
      <c r="EC11" s="132"/>
      <c r="ED11" s="132"/>
      <c r="EE11" s="132"/>
      <c r="EF11" s="132"/>
      <c r="EG11" s="132"/>
      <c r="EH11" s="132"/>
      <c r="EI11" s="132"/>
      <c r="EJ11" s="132"/>
      <c r="EK11" s="132"/>
      <c r="EL11" s="132"/>
      <c r="EM11" s="132"/>
      <c r="EN11" s="132"/>
      <c r="EO11" s="132"/>
      <c r="EP11" s="132"/>
      <c r="EQ11" s="132"/>
      <c r="ER11" s="132"/>
      <c r="ES11" s="132"/>
      <c r="ET11" s="11"/>
      <c r="EU11" s="11"/>
      <c r="EV11" s="11"/>
      <c r="EW11" s="11"/>
      <c r="EX11" s="11"/>
      <c r="EY11" s="11"/>
      <c r="EZ11" s="11"/>
      <c r="FA11" s="11"/>
      <c r="FB11" s="11"/>
      <c r="FC11" s="11"/>
      <c r="FD11" s="11"/>
      <c r="FE11" s="11"/>
      <c r="FF11" s="11"/>
      <c r="FG11" s="11"/>
      <c r="FH11" s="39">
        <f t="shared" si="2"/>
        <v>4168630.4059866667</v>
      </c>
      <c r="FI11" s="33">
        <f t="shared" si="3"/>
        <v>5</v>
      </c>
      <c r="FJ11" s="84">
        <f t="shared" si="4"/>
        <v>833726.08119733329</v>
      </c>
    </row>
    <row r="12" spans="1:166" ht="40.5" x14ac:dyDescent="0.25">
      <c r="A12" s="79" t="e">
        <f>#REF!</f>
        <v>#REF!</v>
      </c>
      <c r="B12" s="75" t="e">
        <f>#REF!</f>
        <v>#REF!</v>
      </c>
      <c r="C12" s="75" t="e">
        <f>#REF!</f>
        <v>#REF!</v>
      </c>
      <c r="D12" s="75" t="e">
        <f>#REF!</f>
        <v>#REF!</v>
      </c>
      <c r="E12" s="30">
        <v>1</v>
      </c>
      <c r="F12" s="238">
        <v>247573.55</v>
      </c>
      <c r="G12" s="241">
        <v>0</v>
      </c>
      <c r="H12" s="249">
        <v>509377.14697388891</v>
      </c>
      <c r="I12" s="249">
        <v>0</v>
      </c>
      <c r="J12" s="249">
        <v>0</v>
      </c>
      <c r="K12" s="249">
        <v>0</v>
      </c>
      <c r="L12" s="274">
        <f>AVERAGE(F12,H12)</f>
        <v>378475.34848694445</v>
      </c>
      <c r="M12" s="274"/>
      <c r="N12" s="245"/>
      <c r="O12" s="113"/>
      <c r="P12" s="113"/>
      <c r="Q12" s="131"/>
      <c r="R12" s="131"/>
      <c r="S12" s="64"/>
      <c r="T12" s="113"/>
      <c r="U12" s="121"/>
      <c r="V12" s="113"/>
      <c r="W12" s="131"/>
      <c r="X12" s="131"/>
      <c r="Y12" s="11"/>
      <c r="Z12" s="113"/>
      <c r="AA12" s="113"/>
      <c r="AB12" s="113"/>
      <c r="AC12" s="52"/>
      <c r="AD12" s="52"/>
      <c r="AE12" s="11"/>
      <c r="AF12" s="118"/>
      <c r="AG12" s="144"/>
      <c r="AH12" s="113"/>
      <c r="AI12" s="11"/>
      <c r="AJ12" s="11"/>
      <c r="AK12" s="39"/>
      <c r="AL12" s="113">
        <v>230000</v>
      </c>
      <c r="AM12" s="113">
        <f t="shared" ref="AM12:AM17" si="9">+AL12*0.19</f>
        <v>43700</v>
      </c>
      <c r="AN12" s="119">
        <f t="shared" ref="AN12:AN17" si="10">+AL12+AM12</f>
        <v>273700</v>
      </c>
      <c r="AO12" s="4" t="s">
        <v>60</v>
      </c>
      <c r="AP12" s="266" t="s">
        <v>45</v>
      </c>
      <c r="AQ12" s="39"/>
      <c r="AR12" s="275">
        <v>288000</v>
      </c>
      <c r="AS12" s="113">
        <f>+AR12*0.19</f>
        <v>54720</v>
      </c>
      <c r="AT12" s="119">
        <f>+AR12+AS12</f>
        <v>342720</v>
      </c>
      <c r="AU12" s="62" t="s">
        <v>60</v>
      </c>
      <c r="AV12" s="48" t="s">
        <v>35</v>
      </c>
      <c r="AW12" s="31"/>
      <c r="AX12" s="116"/>
      <c r="AY12" s="116"/>
      <c r="AZ12" s="143"/>
      <c r="BA12" s="191"/>
      <c r="BB12" s="132"/>
      <c r="BC12" s="132"/>
      <c r="BD12" s="274"/>
      <c r="BE12" s="143"/>
      <c r="BF12" s="143"/>
      <c r="BG12" s="132"/>
      <c r="BH12" s="132"/>
      <c r="BI12" s="132"/>
      <c r="BJ12" s="143"/>
      <c r="BK12" s="143"/>
      <c r="BL12" s="143"/>
      <c r="BM12" s="132"/>
      <c r="BN12" s="132"/>
      <c r="BO12" s="132"/>
      <c r="BP12" s="143"/>
      <c r="BQ12" s="132"/>
      <c r="BR12" s="132"/>
      <c r="BS12" s="132"/>
      <c r="BT12" s="132"/>
      <c r="BU12" s="132"/>
      <c r="BV12" s="263">
        <v>644000</v>
      </c>
      <c r="BW12" s="144">
        <f t="shared" si="0"/>
        <v>122360</v>
      </c>
      <c r="BX12" s="113">
        <f t="shared" si="1"/>
        <v>766360</v>
      </c>
      <c r="BY12" s="264" t="s">
        <v>62</v>
      </c>
      <c r="BZ12" s="264" t="s">
        <v>75</v>
      </c>
      <c r="CA12" s="132"/>
      <c r="CB12" s="274"/>
      <c r="CC12" s="144"/>
      <c r="CD12" s="274"/>
      <c r="CE12" s="132"/>
      <c r="CF12" s="132"/>
      <c r="CG12" s="132"/>
      <c r="CH12" s="263">
        <v>676200</v>
      </c>
      <c r="CI12" s="265">
        <f t="shared" si="7"/>
        <v>128478</v>
      </c>
      <c r="CJ12" s="263">
        <f t="shared" si="8"/>
        <v>804678</v>
      </c>
      <c r="CK12" s="264" t="s">
        <v>62</v>
      </c>
      <c r="CL12" s="264" t="s">
        <v>75</v>
      </c>
      <c r="CM12" s="132"/>
      <c r="CN12" s="274"/>
      <c r="CO12" s="144"/>
      <c r="CP12" s="274"/>
      <c r="CQ12" s="132"/>
      <c r="CR12" s="132"/>
      <c r="CS12" s="132"/>
      <c r="CT12" s="274">
        <v>678333.33333333337</v>
      </c>
      <c r="CU12" s="144">
        <v>128883.33333333334</v>
      </c>
      <c r="CV12" s="144">
        <f t="shared" ref="CV12:CV55" si="11">+CT12+CU12</f>
        <v>807216.66666666674</v>
      </c>
      <c r="CW12" s="132"/>
      <c r="CX12" s="132"/>
      <c r="CY12" s="132"/>
      <c r="CZ12" s="118">
        <v>255172</v>
      </c>
      <c r="DA12" s="144">
        <f>+CZ12*0.19</f>
        <v>48482.68</v>
      </c>
      <c r="DB12" s="118">
        <f>+CZ12+DA12</f>
        <v>303654.68</v>
      </c>
      <c r="DC12" s="33" t="s">
        <v>76</v>
      </c>
      <c r="DD12" s="39" t="s">
        <v>58</v>
      </c>
      <c r="DE12" s="11" t="s">
        <v>77</v>
      </c>
      <c r="DF12" s="132"/>
      <c r="DG12" s="132"/>
      <c r="DH12" s="132"/>
      <c r="DI12" s="132"/>
      <c r="DJ12" s="132"/>
      <c r="DK12" s="132"/>
      <c r="DL12" s="132"/>
      <c r="DM12" s="132"/>
      <c r="DN12" s="132"/>
      <c r="DO12" s="132"/>
      <c r="DP12" s="132"/>
      <c r="DQ12" s="132"/>
      <c r="DR12" s="132"/>
      <c r="DS12" s="132"/>
      <c r="DT12" s="132"/>
      <c r="DU12" s="132"/>
      <c r="DV12" s="132"/>
      <c r="DW12" s="132"/>
      <c r="DX12" s="132"/>
      <c r="DY12" s="132"/>
      <c r="DZ12" s="132"/>
      <c r="EA12" s="132"/>
      <c r="EB12" s="132"/>
      <c r="EC12" s="132"/>
      <c r="ED12" s="132"/>
      <c r="EE12" s="132"/>
      <c r="EF12" s="132"/>
      <c r="EG12" s="132"/>
      <c r="EH12" s="132"/>
      <c r="EI12" s="132"/>
      <c r="EJ12" s="132"/>
      <c r="EK12" s="132"/>
      <c r="EL12" s="132"/>
      <c r="EM12" s="132"/>
      <c r="EN12" s="132"/>
      <c r="EO12" s="132"/>
      <c r="EP12" s="132"/>
      <c r="EQ12" s="132"/>
      <c r="ER12" s="132"/>
      <c r="ES12" s="132"/>
      <c r="ET12" s="11"/>
      <c r="EU12" s="11"/>
      <c r="EV12" s="11"/>
      <c r="EW12" s="11"/>
      <c r="EX12" s="11"/>
      <c r="EY12" s="11"/>
      <c r="EZ12" s="11"/>
      <c r="FA12" s="11"/>
      <c r="FB12" s="11"/>
      <c r="FC12" s="11"/>
      <c r="FD12" s="11"/>
      <c r="FE12" s="11"/>
      <c r="FF12" s="11"/>
      <c r="FG12" s="11"/>
      <c r="FH12" s="39">
        <f t="shared" si="2"/>
        <v>3298329.3466666671</v>
      </c>
      <c r="FI12" s="33">
        <f t="shared" si="3"/>
        <v>6</v>
      </c>
      <c r="FJ12" s="84">
        <f t="shared" si="4"/>
        <v>549721.5577777779</v>
      </c>
    </row>
    <row r="13" spans="1:166" ht="27" x14ac:dyDescent="0.25">
      <c r="A13" s="79" t="e">
        <f>#REF!</f>
        <v>#REF!</v>
      </c>
      <c r="B13" s="75" t="e">
        <f>#REF!</f>
        <v>#REF!</v>
      </c>
      <c r="C13" s="75" t="e">
        <f>#REF!</f>
        <v>#REF!</v>
      </c>
      <c r="D13" s="75" t="e">
        <f>#REF!</f>
        <v>#REF!</v>
      </c>
      <c r="E13" s="30">
        <v>1</v>
      </c>
      <c r="F13" s="238">
        <v>275083.29000000004</v>
      </c>
      <c r="G13" s="241">
        <v>261324</v>
      </c>
      <c r="H13" s="249">
        <v>288452.06789518183</v>
      </c>
      <c r="I13" s="249">
        <v>128520</v>
      </c>
      <c r="J13" s="249">
        <v>326718.26833333331</v>
      </c>
      <c r="K13" s="249">
        <v>329511</v>
      </c>
      <c r="L13" s="274">
        <f>AVERAGE(F13,H13,J13)</f>
        <v>296751.20874283841</v>
      </c>
      <c r="M13" s="274">
        <f>AVERAGE(G13,I13,K13)*1.03</f>
        <v>246978.55000000002</v>
      </c>
      <c r="N13" s="245"/>
      <c r="O13" s="113"/>
      <c r="P13" s="113"/>
      <c r="Q13" s="131"/>
      <c r="R13" s="131"/>
      <c r="S13" s="64"/>
      <c r="T13" s="113"/>
      <c r="U13" s="121"/>
      <c r="V13" s="113"/>
      <c r="W13" s="131"/>
      <c r="X13" s="131"/>
      <c r="Y13" s="11"/>
      <c r="Z13" s="113"/>
      <c r="AA13" s="113"/>
      <c r="AB13" s="113"/>
      <c r="AC13" s="52"/>
      <c r="AD13" s="52"/>
      <c r="AE13" s="11"/>
      <c r="AF13" s="118">
        <v>300000</v>
      </c>
      <c r="AG13" s="144">
        <f>AF13*19%</f>
        <v>57000</v>
      </c>
      <c r="AH13" s="113">
        <f>+AF13+AG13</f>
        <v>357000</v>
      </c>
      <c r="AI13" s="11"/>
      <c r="AJ13" s="11"/>
      <c r="AK13" s="39"/>
      <c r="AL13" s="113">
        <v>254000</v>
      </c>
      <c r="AM13" s="113">
        <f t="shared" si="9"/>
        <v>48260</v>
      </c>
      <c r="AN13" s="119">
        <f t="shared" si="10"/>
        <v>302260</v>
      </c>
      <c r="AO13" s="4" t="s">
        <v>60</v>
      </c>
      <c r="AP13" s="266" t="s">
        <v>45</v>
      </c>
      <c r="AQ13" s="39"/>
      <c r="AR13" s="275">
        <f>201600*2</f>
        <v>403200</v>
      </c>
      <c r="AS13" s="113">
        <f>+AR13*0.19</f>
        <v>76608</v>
      </c>
      <c r="AT13" s="119">
        <f>+AR13+AS13</f>
        <v>479808</v>
      </c>
      <c r="AU13" s="62" t="s">
        <v>78</v>
      </c>
      <c r="AV13" s="48" t="s">
        <v>35</v>
      </c>
      <c r="AW13" s="31"/>
      <c r="AX13" s="116">
        <v>153293.76000000001</v>
      </c>
      <c r="AY13" s="116">
        <f>+AX13*0.19</f>
        <v>29125.814400000003</v>
      </c>
      <c r="AZ13" s="143">
        <f>+AX13+AY13</f>
        <v>182419.57440000001</v>
      </c>
      <c r="BA13" s="191" t="s">
        <v>60</v>
      </c>
      <c r="BB13" s="132" t="s">
        <v>70</v>
      </c>
      <c r="BC13" s="132"/>
      <c r="BD13" s="274"/>
      <c r="BE13" s="143"/>
      <c r="BF13" s="143"/>
      <c r="BG13" s="132"/>
      <c r="BH13" s="132"/>
      <c r="BI13" s="132"/>
      <c r="BJ13" s="143"/>
      <c r="BK13" s="143"/>
      <c r="BL13" s="143"/>
      <c r="BM13" s="132"/>
      <c r="BN13" s="132"/>
      <c r="BO13" s="132"/>
      <c r="BP13" s="143"/>
      <c r="BQ13" s="132"/>
      <c r="BR13" s="132"/>
      <c r="BS13" s="132"/>
      <c r="BT13" s="132"/>
      <c r="BU13" s="132"/>
      <c r="BV13" s="263">
        <v>347600</v>
      </c>
      <c r="BW13" s="144">
        <f t="shared" si="0"/>
        <v>66044</v>
      </c>
      <c r="BX13" s="113">
        <f t="shared" si="1"/>
        <v>413644</v>
      </c>
      <c r="BY13" s="264" t="s">
        <v>62</v>
      </c>
      <c r="BZ13" s="264" t="s">
        <v>63</v>
      </c>
      <c r="CA13" s="132"/>
      <c r="CB13" s="274">
        <v>206000</v>
      </c>
      <c r="CC13" s="144">
        <f>+CB13*19%</f>
        <v>39140</v>
      </c>
      <c r="CD13" s="274">
        <f>+CC13+CB13</f>
        <v>245140</v>
      </c>
      <c r="CE13" s="132"/>
      <c r="CF13" s="132"/>
      <c r="CG13" s="132"/>
      <c r="CH13" s="263">
        <v>364980</v>
      </c>
      <c r="CI13" s="265">
        <f t="shared" si="7"/>
        <v>69346.2</v>
      </c>
      <c r="CJ13" s="263">
        <f t="shared" si="8"/>
        <v>434326.2</v>
      </c>
      <c r="CK13" s="264" t="s">
        <v>62</v>
      </c>
      <c r="CL13" s="264" t="s">
        <v>63</v>
      </c>
      <c r="CM13" s="132"/>
      <c r="CN13" s="274"/>
      <c r="CO13" s="144"/>
      <c r="CP13" s="274"/>
      <c r="CQ13" s="132"/>
      <c r="CR13" s="132"/>
      <c r="CS13" s="132"/>
      <c r="CT13" s="274">
        <v>136000</v>
      </c>
      <c r="CU13" s="144">
        <v>25840</v>
      </c>
      <c r="CV13" s="144">
        <f t="shared" si="11"/>
        <v>161840</v>
      </c>
      <c r="CW13" s="132"/>
      <c r="CX13" s="132"/>
      <c r="CY13" s="132"/>
      <c r="CZ13" s="118"/>
      <c r="DA13" s="144"/>
      <c r="DB13" s="118"/>
      <c r="DC13" s="33"/>
      <c r="DD13" s="39"/>
      <c r="DE13" s="11"/>
      <c r="DF13" s="132"/>
      <c r="DG13" s="132"/>
      <c r="DH13" s="132"/>
      <c r="DI13" s="132"/>
      <c r="DJ13" s="132"/>
      <c r="DK13" s="132"/>
      <c r="DL13" s="132"/>
      <c r="DM13" s="132"/>
      <c r="DN13" s="132"/>
      <c r="DO13" s="132"/>
      <c r="DP13" s="132"/>
      <c r="DQ13" s="132"/>
      <c r="DR13" s="132"/>
      <c r="DS13" s="132"/>
      <c r="DT13" s="132"/>
      <c r="DU13" s="132"/>
      <c r="DV13" s="132"/>
      <c r="DW13" s="132"/>
      <c r="DX13" s="132"/>
      <c r="DY13" s="132"/>
      <c r="DZ13" s="132"/>
      <c r="EA13" s="132"/>
      <c r="EB13" s="132"/>
      <c r="EC13" s="132"/>
      <c r="ED13" s="132"/>
      <c r="EE13" s="132"/>
      <c r="EF13" s="132"/>
      <c r="EG13" s="132"/>
      <c r="EH13" s="132"/>
      <c r="EI13" s="132"/>
      <c r="EJ13" s="132"/>
      <c r="EK13" s="132"/>
      <c r="EL13" s="132"/>
      <c r="EM13" s="132"/>
      <c r="EN13" s="132"/>
      <c r="EO13" s="132"/>
      <c r="EP13" s="132"/>
      <c r="EQ13" s="132"/>
      <c r="ER13" s="132"/>
      <c r="ES13" s="132"/>
      <c r="ET13" s="11"/>
      <c r="EU13" s="11"/>
      <c r="EV13" s="11"/>
      <c r="EW13" s="11"/>
      <c r="EX13" s="11"/>
      <c r="EY13" s="11"/>
      <c r="EZ13" s="11"/>
      <c r="FA13" s="11"/>
      <c r="FB13" s="11"/>
      <c r="FC13" s="11"/>
      <c r="FD13" s="11"/>
      <c r="FE13" s="11"/>
      <c r="FF13" s="11"/>
      <c r="FG13" s="11"/>
      <c r="FH13" s="39">
        <f t="shared" si="2"/>
        <v>2823416.3244000003</v>
      </c>
      <c r="FI13" s="33">
        <f t="shared" si="3"/>
        <v>9</v>
      </c>
      <c r="FJ13" s="84">
        <f t="shared" si="4"/>
        <v>313712.92493333336</v>
      </c>
    </row>
    <row r="14" spans="1:166" ht="27" x14ac:dyDescent="0.25">
      <c r="A14" s="79" t="e">
        <f>#REF!</f>
        <v>#REF!</v>
      </c>
      <c r="B14" s="75" t="e">
        <f>#REF!</f>
        <v>#REF!</v>
      </c>
      <c r="C14" s="75" t="e">
        <f>#REF!</f>
        <v>#REF!</v>
      </c>
      <c r="D14" s="75" t="e">
        <f>#REF!</f>
        <v>#REF!</v>
      </c>
      <c r="E14" s="30">
        <v>1</v>
      </c>
      <c r="F14" s="238">
        <v>0</v>
      </c>
      <c r="G14" s="241">
        <v>0</v>
      </c>
      <c r="H14" s="249">
        <v>0</v>
      </c>
      <c r="I14" s="249">
        <v>0</v>
      </c>
      <c r="J14" s="249">
        <v>359383.96666666662</v>
      </c>
      <c r="K14" s="249">
        <v>335342</v>
      </c>
      <c r="L14" s="274">
        <f>J14</f>
        <v>359383.96666666662</v>
      </c>
      <c r="M14" s="274">
        <f>K14*1.03</f>
        <v>345402.26</v>
      </c>
      <c r="N14" s="246"/>
      <c r="O14" s="118"/>
      <c r="P14" s="118"/>
      <c r="Q14" s="52"/>
      <c r="R14" s="52"/>
      <c r="S14" s="5"/>
      <c r="T14" s="118"/>
      <c r="U14" s="118"/>
      <c r="V14" s="118"/>
      <c r="W14" s="11"/>
      <c r="X14" s="11"/>
      <c r="Y14" s="11"/>
      <c r="Z14" s="118"/>
      <c r="AA14" s="118"/>
      <c r="AB14" s="118"/>
      <c r="AC14" s="52"/>
      <c r="AD14" s="52"/>
      <c r="AE14" s="11"/>
      <c r="AF14" s="118"/>
      <c r="AG14" s="144"/>
      <c r="AH14" s="118"/>
      <c r="AI14" s="11"/>
      <c r="AJ14" s="11"/>
      <c r="AK14" s="11"/>
      <c r="AL14" s="118">
        <f>298000/2</f>
        <v>149000</v>
      </c>
      <c r="AM14" s="113">
        <f t="shared" si="9"/>
        <v>28310</v>
      </c>
      <c r="AN14" s="119">
        <f t="shared" si="10"/>
        <v>177310</v>
      </c>
      <c r="AO14" s="4" t="s">
        <v>60</v>
      </c>
      <c r="AP14" s="266" t="s">
        <v>45</v>
      </c>
      <c r="AQ14" s="11"/>
      <c r="AR14" s="274"/>
      <c r="AS14" s="274"/>
      <c r="AT14" s="274"/>
      <c r="AU14" s="62"/>
      <c r="AV14" s="48"/>
      <c r="AW14" s="11"/>
      <c r="AX14" s="274"/>
      <c r="AY14" s="274"/>
      <c r="AZ14" s="274"/>
      <c r="BA14" s="11"/>
      <c r="BB14" s="11"/>
      <c r="BC14" s="11"/>
      <c r="BD14" s="274"/>
      <c r="BE14" s="274"/>
      <c r="BF14" s="274"/>
      <c r="BG14" s="11"/>
      <c r="BH14" s="11"/>
      <c r="BI14" s="11"/>
      <c r="BJ14" s="274"/>
      <c r="BK14" s="274"/>
      <c r="BL14" s="274"/>
      <c r="BM14" s="11"/>
      <c r="BN14" s="11"/>
      <c r="BO14" s="11"/>
      <c r="BP14" s="275"/>
      <c r="BQ14" s="11"/>
      <c r="BR14" s="11"/>
      <c r="BS14" s="11"/>
      <c r="BT14" s="11"/>
      <c r="BU14" s="11"/>
      <c r="BV14" s="263">
        <v>382600</v>
      </c>
      <c r="BW14" s="144">
        <f t="shared" si="0"/>
        <v>72694</v>
      </c>
      <c r="BX14" s="113">
        <f t="shared" si="1"/>
        <v>455294</v>
      </c>
      <c r="BY14" s="264" t="s">
        <v>79</v>
      </c>
      <c r="BZ14" s="264" t="s">
        <v>63</v>
      </c>
      <c r="CA14" s="11"/>
      <c r="CB14" s="274">
        <v>236000</v>
      </c>
      <c r="CC14" s="144">
        <f>+CB14*19%</f>
        <v>44840</v>
      </c>
      <c r="CD14" s="274">
        <f>+CC14+CB14</f>
        <v>280840</v>
      </c>
      <c r="CE14" s="11"/>
      <c r="CF14" s="11"/>
      <c r="CG14" s="11"/>
      <c r="CH14" s="263">
        <v>401730</v>
      </c>
      <c r="CI14" s="265">
        <f t="shared" si="7"/>
        <v>76328.7</v>
      </c>
      <c r="CJ14" s="263">
        <f t="shared" si="8"/>
        <v>478058.7</v>
      </c>
      <c r="CK14" s="264" t="s">
        <v>79</v>
      </c>
      <c r="CL14" s="264" t="s">
        <v>63</v>
      </c>
      <c r="CM14" s="11"/>
      <c r="CN14" s="274"/>
      <c r="CO14" s="144"/>
      <c r="CP14" s="274"/>
      <c r="CQ14" s="11"/>
      <c r="CR14" s="11"/>
      <c r="CS14" s="11"/>
      <c r="CT14" s="274">
        <v>338000</v>
      </c>
      <c r="CU14" s="144">
        <v>64220</v>
      </c>
      <c r="CV14" s="144">
        <f t="shared" si="11"/>
        <v>402220</v>
      </c>
      <c r="CW14" s="11"/>
      <c r="CX14" s="11"/>
      <c r="CY14" s="11"/>
      <c r="CZ14" s="118">
        <v>110897</v>
      </c>
      <c r="DA14" s="144">
        <f t="shared" ref="DA14:DA19" si="12">+CZ14*0.19</f>
        <v>21070.43</v>
      </c>
      <c r="DB14" s="118">
        <f t="shared" ref="DB14:DB19" si="13">+CZ14+DA14</f>
        <v>131967.43</v>
      </c>
      <c r="DC14" s="33" t="s">
        <v>80</v>
      </c>
      <c r="DD14" s="39" t="s">
        <v>58</v>
      </c>
      <c r="DE14" s="11">
        <v>1088020250</v>
      </c>
      <c r="DF14" s="11"/>
      <c r="DG14" s="11"/>
      <c r="DH14" s="11"/>
      <c r="DI14" s="11"/>
      <c r="DJ14" s="11"/>
      <c r="DK14" s="11"/>
      <c r="DL14" s="11"/>
      <c r="DM14" s="11"/>
      <c r="DN14" s="11"/>
      <c r="DO14" s="11"/>
      <c r="DP14" s="11"/>
      <c r="DQ14" s="11"/>
      <c r="DR14" s="11"/>
      <c r="DS14" s="11"/>
      <c r="DT14" s="11"/>
      <c r="DU14" s="11"/>
      <c r="DV14" s="11"/>
      <c r="DW14" s="11"/>
      <c r="DX14" s="11"/>
      <c r="DY14" s="11"/>
      <c r="DZ14" s="11"/>
      <c r="EA14" s="11"/>
      <c r="EB14" s="39"/>
      <c r="EC14" s="39"/>
      <c r="ED14" s="39"/>
      <c r="EE14" s="11"/>
      <c r="EF14" s="11"/>
      <c r="EG14" s="39"/>
      <c r="EH14" s="39"/>
      <c r="EI14" s="34"/>
      <c r="EJ14" s="11"/>
      <c r="EK14" s="11"/>
      <c r="EL14" s="11"/>
      <c r="EM14" s="11"/>
      <c r="EN14" s="11"/>
      <c r="EO14" s="11"/>
      <c r="EP14" s="11"/>
      <c r="EQ14" s="39"/>
      <c r="ER14" s="39"/>
      <c r="ES14" s="34"/>
      <c r="ET14" s="11"/>
      <c r="EU14" s="11"/>
      <c r="EV14" s="11"/>
      <c r="EW14" s="11"/>
      <c r="EX14" s="11"/>
      <c r="EY14" s="11"/>
      <c r="EZ14" s="11"/>
      <c r="FA14" s="11"/>
      <c r="FB14" s="11"/>
      <c r="FC14" s="11"/>
      <c r="FD14" s="11"/>
      <c r="FE14" s="11"/>
      <c r="FF14" s="11"/>
      <c r="FG14" s="11"/>
      <c r="FH14" s="39">
        <f t="shared" si="2"/>
        <v>2271092.39</v>
      </c>
      <c r="FI14" s="33">
        <f t="shared" si="3"/>
        <v>7</v>
      </c>
      <c r="FJ14" s="84">
        <f t="shared" si="4"/>
        <v>324441.77</v>
      </c>
    </row>
    <row r="15" spans="1:166" ht="27" x14ac:dyDescent="0.25">
      <c r="A15" s="79" t="e">
        <f>#REF!</f>
        <v>#REF!</v>
      </c>
      <c r="B15" s="75" t="e">
        <f>#REF!</f>
        <v>#REF!</v>
      </c>
      <c r="C15" s="75" t="e">
        <f>#REF!</f>
        <v>#REF!</v>
      </c>
      <c r="D15" s="75" t="e">
        <f>#REF!</f>
        <v>#REF!</v>
      </c>
      <c r="E15" s="30">
        <v>1</v>
      </c>
      <c r="F15" s="238">
        <v>248276.5</v>
      </c>
      <c r="G15" s="241">
        <v>239547</v>
      </c>
      <c r="H15" s="249">
        <v>292904.20932777779</v>
      </c>
      <c r="I15" s="249">
        <v>292859</v>
      </c>
      <c r="J15" s="249">
        <v>294171.97690322582</v>
      </c>
      <c r="K15" s="249">
        <v>325465</v>
      </c>
      <c r="L15" s="274">
        <f>AVERAGE(F15,H15,J15)</f>
        <v>278450.89541033452</v>
      </c>
      <c r="M15" s="274">
        <f>AVERAGE(G15,I15,K15)*1.03</f>
        <v>294535.71000000002</v>
      </c>
      <c r="N15" s="245"/>
      <c r="O15" s="113"/>
      <c r="P15" s="113"/>
      <c r="Q15" s="131"/>
      <c r="R15" s="131"/>
      <c r="S15" s="64"/>
      <c r="T15" s="113"/>
      <c r="U15" s="121"/>
      <c r="V15" s="113"/>
      <c r="W15" s="131"/>
      <c r="X15" s="131"/>
      <c r="Y15" s="11"/>
      <c r="Z15" s="113"/>
      <c r="AA15" s="113"/>
      <c r="AB15" s="113"/>
      <c r="AC15" s="52"/>
      <c r="AD15" s="52"/>
      <c r="AE15" s="11"/>
      <c r="AF15" s="118"/>
      <c r="AG15" s="144"/>
      <c r="AH15" s="113"/>
      <c r="AI15" s="11"/>
      <c r="AJ15" s="11"/>
      <c r="AK15" s="39"/>
      <c r="AL15" s="113">
        <v>265000</v>
      </c>
      <c r="AM15" s="113">
        <f t="shared" si="9"/>
        <v>50350</v>
      </c>
      <c r="AN15" s="119">
        <f t="shared" si="10"/>
        <v>315350</v>
      </c>
      <c r="AO15" s="4" t="s">
        <v>81</v>
      </c>
      <c r="AP15" s="266" t="s">
        <v>45</v>
      </c>
      <c r="AQ15" s="39"/>
      <c r="AR15" s="275"/>
      <c r="AS15" s="156"/>
      <c r="AT15" s="157"/>
      <c r="AU15" s="62"/>
      <c r="AV15" s="62"/>
      <c r="AW15" s="31"/>
      <c r="AX15" s="116">
        <v>373837.68</v>
      </c>
      <c r="AY15" s="116">
        <f>+AX15*0.19</f>
        <v>71029.159199999995</v>
      </c>
      <c r="AZ15" s="143">
        <f>+AX15+AY15</f>
        <v>444866.83919999999</v>
      </c>
      <c r="BA15" s="191" t="s">
        <v>69</v>
      </c>
      <c r="BB15" s="132" t="s">
        <v>70</v>
      </c>
      <c r="BC15" s="132"/>
      <c r="BD15" s="274"/>
      <c r="BE15" s="143"/>
      <c r="BF15" s="143"/>
      <c r="BG15" s="132"/>
      <c r="BH15" s="132"/>
      <c r="BI15" s="132"/>
      <c r="BJ15" s="143"/>
      <c r="BK15" s="143"/>
      <c r="BL15" s="143"/>
      <c r="BM15" s="132"/>
      <c r="BN15" s="132"/>
      <c r="BO15" s="132"/>
      <c r="BP15" s="143"/>
      <c r="BQ15" s="132"/>
      <c r="BR15" s="132"/>
      <c r="BS15" s="132"/>
      <c r="BT15" s="132"/>
      <c r="BU15" s="132"/>
      <c r="BV15" s="263">
        <v>281400</v>
      </c>
      <c r="BW15" s="144">
        <f t="shared" si="0"/>
        <v>53466</v>
      </c>
      <c r="BX15" s="113">
        <f t="shared" si="1"/>
        <v>334866</v>
      </c>
      <c r="BY15" s="264" t="s">
        <v>71</v>
      </c>
      <c r="BZ15" s="264" t="s">
        <v>63</v>
      </c>
      <c r="CA15" s="132"/>
      <c r="CB15" s="274"/>
      <c r="CC15" s="144"/>
      <c r="CD15" s="274"/>
      <c r="CE15" s="132"/>
      <c r="CF15" s="132"/>
      <c r="CG15" s="132"/>
      <c r="CH15" s="263">
        <v>295470</v>
      </c>
      <c r="CI15" s="265">
        <f t="shared" si="7"/>
        <v>56139.3</v>
      </c>
      <c r="CJ15" s="263">
        <f t="shared" si="8"/>
        <v>351609.3</v>
      </c>
      <c r="CK15" s="264" t="s">
        <v>71</v>
      </c>
      <c r="CL15" s="264" t="s">
        <v>63</v>
      </c>
      <c r="CM15" s="132"/>
      <c r="CN15" s="274"/>
      <c r="CO15" s="144"/>
      <c r="CP15" s="274"/>
      <c r="CQ15" s="132"/>
      <c r="CR15" s="132"/>
      <c r="CS15" s="132"/>
      <c r="CT15" s="274">
        <v>538000</v>
      </c>
      <c r="CU15" s="144">
        <v>102220</v>
      </c>
      <c r="CV15" s="144">
        <f t="shared" si="11"/>
        <v>640220</v>
      </c>
      <c r="CW15" s="132"/>
      <c r="CX15" s="132"/>
      <c r="CY15" s="132"/>
      <c r="CZ15" s="118">
        <v>153931</v>
      </c>
      <c r="DA15" s="144">
        <f t="shared" si="12"/>
        <v>29246.89</v>
      </c>
      <c r="DB15" s="118">
        <f t="shared" si="13"/>
        <v>183177.89</v>
      </c>
      <c r="DC15" s="33" t="s">
        <v>82</v>
      </c>
      <c r="DD15" s="39" t="s">
        <v>58</v>
      </c>
      <c r="DE15" s="11" t="s">
        <v>83</v>
      </c>
      <c r="DF15" s="132"/>
      <c r="DG15" s="132"/>
      <c r="DH15" s="132"/>
      <c r="DI15" s="132"/>
      <c r="DJ15" s="132"/>
      <c r="DK15" s="132"/>
      <c r="DL15" s="132"/>
      <c r="DM15" s="132"/>
      <c r="DN15" s="132"/>
      <c r="DO15" s="132"/>
      <c r="DP15" s="132"/>
      <c r="DQ15" s="132"/>
      <c r="DR15" s="132"/>
      <c r="DS15" s="132"/>
      <c r="DT15" s="132"/>
      <c r="DU15" s="132"/>
      <c r="DV15" s="132"/>
      <c r="DW15" s="132"/>
      <c r="DX15" s="132"/>
      <c r="DY15" s="132"/>
      <c r="DZ15" s="132"/>
      <c r="EA15" s="132"/>
      <c r="EB15" s="132"/>
      <c r="EC15" s="132"/>
      <c r="ED15" s="132"/>
      <c r="EE15" s="132"/>
      <c r="EF15" s="132"/>
      <c r="EG15" s="132"/>
      <c r="EH15" s="132"/>
      <c r="EI15" s="132"/>
      <c r="EJ15" s="132"/>
      <c r="EK15" s="132"/>
      <c r="EL15" s="132"/>
      <c r="EM15" s="132"/>
      <c r="EN15" s="132"/>
      <c r="EO15" s="132"/>
      <c r="EP15" s="132"/>
      <c r="EQ15" s="132"/>
      <c r="ER15" s="132"/>
      <c r="ES15" s="132"/>
      <c r="ET15" s="11"/>
      <c r="EU15" s="11"/>
      <c r="EV15" s="11"/>
      <c r="EW15" s="11"/>
      <c r="EX15" s="11"/>
      <c r="EY15" s="11"/>
      <c r="EZ15" s="11"/>
      <c r="FA15" s="11"/>
      <c r="FB15" s="11"/>
      <c r="FC15" s="11"/>
      <c r="FD15" s="11"/>
      <c r="FE15" s="11"/>
      <c r="FF15" s="11"/>
      <c r="FG15" s="11"/>
      <c r="FH15" s="39">
        <f t="shared" si="2"/>
        <v>2564625.7392000002</v>
      </c>
      <c r="FI15" s="33">
        <f t="shared" si="3"/>
        <v>7</v>
      </c>
      <c r="FJ15" s="84">
        <f t="shared" si="4"/>
        <v>366375.10560000001</v>
      </c>
    </row>
    <row r="16" spans="1:166" ht="27" x14ac:dyDescent="0.25">
      <c r="A16" s="79" t="e">
        <f>#REF!</f>
        <v>#REF!</v>
      </c>
      <c r="B16" s="75" t="e">
        <f>#REF!</f>
        <v>#REF!</v>
      </c>
      <c r="C16" s="75" t="e">
        <f>#REF!</f>
        <v>#REF!</v>
      </c>
      <c r="D16" s="75" t="e">
        <f>#REF!</f>
        <v>#REF!</v>
      </c>
      <c r="E16" s="30">
        <v>1</v>
      </c>
      <c r="F16" s="238">
        <v>0</v>
      </c>
      <c r="G16" s="241">
        <v>0</v>
      </c>
      <c r="H16" s="249">
        <v>0</v>
      </c>
      <c r="I16" s="249">
        <v>0</v>
      </c>
      <c r="J16" s="249">
        <v>0</v>
      </c>
      <c r="K16" s="249">
        <v>0</v>
      </c>
      <c r="L16" s="274"/>
      <c r="M16" s="274"/>
      <c r="N16" s="245"/>
      <c r="O16" s="113"/>
      <c r="P16" s="113"/>
      <c r="Q16" s="131"/>
      <c r="R16" s="131"/>
      <c r="S16" s="64"/>
      <c r="T16" s="113"/>
      <c r="U16" s="121"/>
      <c r="V16" s="113"/>
      <c r="W16" s="131"/>
      <c r="X16" s="131"/>
      <c r="Y16" s="11"/>
      <c r="Z16" s="113"/>
      <c r="AA16" s="113"/>
      <c r="AB16" s="113"/>
      <c r="AC16" s="52"/>
      <c r="AD16" s="52"/>
      <c r="AE16" s="11"/>
      <c r="AF16" s="118">
        <v>725000</v>
      </c>
      <c r="AG16" s="144">
        <f>AF16*19%</f>
        <v>137750</v>
      </c>
      <c r="AH16" s="113">
        <f>+AF16+AG16</f>
        <v>862750</v>
      </c>
      <c r="AI16" s="11"/>
      <c r="AJ16" s="11"/>
      <c r="AK16" s="39"/>
      <c r="AL16" s="113">
        <v>590000</v>
      </c>
      <c r="AM16" s="113">
        <f t="shared" si="9"/>
        <v>112100</v>
      </c>
      <c r="AN16" s="119">
        <f t="shared" si="10"/>
        <v>702100</v>
      </c>
      <c r="AO16" s="76" t="s">
        <v>84</v>
      </c>
      <c r="AP16" s="266" t="s">
        <v>45</v>
      </c>
      <c r="AQ16" s="39"/>
      <c r="AR16" s="275"/>
      <c r="AS16" s="113"/>
      <c r="AT16" s="119"/>
      <c r="AU16" s="62"/>
      <c r="AV16" s="62"/>
      <c r="AW16" s="31"/>
      <c r="AX16" s="116">
        <v>823237.47</v>
      </c>
      <c r="AY16" s="116">
        <f>+AX16*0.19</f>
        <v>156415.11929999999</v>
      </c>
      <c r="AZ16" s="143">
        <f>+AX16+AY16</f>
        <v>979652.58929999999</v>
      </c>
      <c r="BA16" s="191" t="s">
        <v>69</v>
      </c>
      <c r="BB16" s="132" t="s">
        <v>70</v>
      </c>
      <c r="BC16" s="132"/>
      <c r="BD16" s="274"/>
      <c r="BE16" s="143"/>
      <c r="BF16" s="143"/>
      <c r="BG16" s="132"/>
      <c r="BH16" s="132"/>
      <c r="BI16" s="132"/>
      <c r="BJ16" s="143"/>
      <c r="BK16" s="143"/>
      <c r="BL16" s="143"/>
      <c r="BM16" s="132"/>
      <c r="BN16" s="132"/>
      <c r="BO16" s="132"/>
      <c r="BP16" s="143"/>
      <c r="BQ16" s="132"/>
      <c r="BR16" s="132"/>
      <c r="BS16" s="132"/>
      <c r="BT16" s="132"/>
      <c r="BU16" s="132"/>
      <c r="BV16" s="263">
        <v>726600</v>
      </c>
      <c r="BW16" s="144">
        <f t="shared" si="0"/>
        <v>138054</v>
      </c>
      <c r="BX16" s="113">
        <f t="shared" si="1"/>
        <v>864654</v>
      </c>
      <c r="BY16" s="264" t="s">
        <v>71</v>
      </c>
      <c r="BZ16" s="264" t="s">
        <v>63</v>
      </c>
      <c r="CA16" s="132"/>
      <c r="CB16" s="274"/>
      <c r="CC16" s="144"/>
      <c r="CD16" s="274"/>
      <c r="CE16" s="132"/>
      <c r="CF16" s="132"/>
      <c r="CG16" s="132"/>
      <c r="CH16" s="263">
        <v>733866</v>
      </c>
      <c r="CI16" s="265">
        <f t="shared" si="7"/>
        <v>139434.54</v>
      </c>
      <c r="CJ16" s="263">
        <f t="shared" si="8"/>
        <v>873300.54</v>
      </c>
      <c r="CK16" s="264" t="s">
        <v>71</v>
      </c>
      <c r="CL16" s="264" t="s">
        <v>63</v>
      </c>
      <c r="CM16" s="132"/>
      <c r="CN16" s="274"/>
      <c r="CO16" s="144"/>
      <c r="CP16" s="274"/>
      <c r="CQ16" s="132"/>
      <c r="CR16" s="132"/>
      <c r="CS16" s="132"/>
      <c r="CT16" s="274">
        <v>305000</v>
      </c>
      <c r="CU16" s="144">
        <v>57950</v>
      </c>
      <c r="CV16" s="144">
        <f t="shared" si="11"/>
        <v>362950</v>
      </c>
      <c r="CW16" s="132"/>
      <c r="CX16" s="132"/>
      <c r="CY16" s="132"/>
      <c r="CZ16" s="118">
        <v>414344</v>
      </c>
      <c r="DA16" s="144">
        <f t="shared" si="12"/>
        <v>78725.36</v>
      </c>
      <c r="DB16" s="118">
        <f t="shared" si="13"/>
        <v>493069.36</v>
      </c>
      <c r="DC16" s="33" t="s">
        <v>85</v>
      </c>
      <c r="DD16" s="39" t="s">
        <v>58</v>
      </c>
      <c r="DE16" s="11" t="s">
        <v>86</v>
      </c>
      <c r="DF16" s="132"/>
      <c r="DG16" s="132"/>
      <c r="DH16" s="132"/>
      <c r="DI16" s="132"/>
      <c r="DJ16" s="132"/>
      <c r="DK16" s="132"/>
      <c r="DL16" s="132"/>
      <c r="DM16" s="132"/>
      <c r="DN16" s="132"/>
      <c r="DO16" s="132"/>
      <c r="DP16" s="132"/>
      <c r="DQ16" s="132"/>
      <c r="DR16" s="132"/>
      <c r="DS16" s="132"/>
      <c r="DT16" s="132"/>
      <c r="DU16" s="132"/>
      <c r="DV16" s="132"/>
      <c r="DW16" s="132"/>
      <c r="DX16" s="132"/>
      <c r="DY16" s="132"/>
      <c r="DZ16" s="132"/>
      <c r="EA16" s="132"/>
      <c r="EB16" s="132"/>
      <c r="EC16" s="132"/>
      <c r="ED16" s="132"/>
      <c r="EE16" s="132"/>
      <c r="EF16" s="132"/>
      <c r="EG16" s="132"/>
      <c r="EH16" s="132"/>
      <c r="EI16" s="132"/>
      <c r="EJ16" s="132"/>
      <c r="EK16" s="132"/>
      <c r="EL16" s="132"/>
      <c r="EM16" s="132"/>
      <c r="EN16" s="132"/>
      <c r="EO16" s="132"/>
      <c r="EP16" s="132"/>
      <c r="EQ16" s="132"/>
      <c r="ER16" s="132"/>
      <c r="ES16" s="132"/>
      <c r="ET16" s="11"/>
      <c r="EU16" s="11"/>
      <c r="EV16" s="11"/>
      <c r="EW16" s="11"/>
      <c r="EX16" s="11"/>
      <c r="EY16" s="11"/>
      <c r="EZ16" s="11"/>
      <c r="FA16" s="11"/>
      <c r="FB16" s="11"/>
      <c r="FC16" s="11"/>
      <c r="FD16" s="11"/>
      <c r="FE16" s="11"/>
      <c r="FF16" s="11"/>
      <c r="FG16" s="11"/>
      <c r="FH16" s="39">
        <f t="shared" si="2"/>
        <v>5138476.4893000005</v>
      </c>
      <c r="FI16" s="33">
        <f t="shared" si="3"/>
        <v>7</v>
      </c>
      <c r="FJ16" s="84">
        <f t="shared" si="4"/>
        <v>734068.06990000012</v>
      </c>
    </row>
    <row r="17" spans="1:166" ht="42" customHeight="1" x14ac:dyDescent="0.25">
      <c r="A17" s="79" t="e">
        <f>#REF!</f>
        <v>#REF!</v>
      </c>
      <c r="B17" s="75" t="e">
        <f>#REF!</f>
        <v>#REF!</v>
      </c>
      <c r="C17" s="75" t="e">
        <f>#REF!</f>
        <v>#REF!</v>
      </c>
      <c r="D17" s="75" t="e">
        <f>#REF!</f>
        <v>#REF!</v>
      </c>
      <c r="E17" s="30">
        <v>1</v>
      </c>
      <c r="F17" s="238">
        <v>0</v>
      </c>
      <c r="G17" s="241">
        <v>0</v>
      </c>
      <c r="H17" s="249">
        <v>0</v>
      </c>
      <c r="I17" s="249">
        <v>0</v>
      </c>
      <c r="J17" s="249">
        <v>0</v>
      </c>
      <c r="K17" s="249">
        <v>0</v>
      </c>
      <c r="L17" s="274"/>
      <c r="M17" s="274"/>
      <c r="N17" s="245"/>
      <c r="O17" s="113"/>
      <c r="P17" s="113"/>
      <c r="Q17" s="131"/>
      <c r="R17" s="131"/>
      <c r="S17" s="64"/>
      <c r="T17" s="113"/>
      <c r="U17" s="121"/>
      <c r="V17" s="113"/>
      <c r="W17" s="131"/>
      <c r="X17" s="131"/>
      <c r="Y17" s="11"/>
      <c r="Z17" s="113"/>
      <c r="AA17" s="113"/>
      <c r="AB17" s="113"/>
      <c r="AC17" s="52"/>
      <c r="AD17" s="52"/>
      <c r="AE17" s="11"/>
      <c r="AF17" s="118">
        <v>290000</v>
      </c>
      <c r="AG17" s="144">
        <f>AF17*19%</f>
        <v>55100</v>
      </c>
      <c r="AH17" s="113">
        <f>+AF17+AG17</f>
        <v>345100</v>
      </c>
      <c r="AI17" s="11"/>
      <c r="AJ17" s="11"/>
      <c r="AK17" s="39"/>
      <c r="AL17" s="113">
        <v>297000</v>
      </c>
      <c r="AM17" s="113">
        <f t="shared" si="9"/>
        <v>56430</v>
      </c>
      <c r="AN17" s="119">
        <f t="shared" si="10"/>
        <v>353430</v>
      </c>
      <c r="AO17" s="76" t="s">
        <v>84</v>
      </c>
      <c r="AP17" s="266" t="s">
        <v>45</v>
      </c>
      <c r="AQ17" s="39"/>
      <c r="AR17" s="275">
        <v>281534</v>
      </c>
      <c r="AS17" s="113">
        <f>+AR17*0.19</f>
        <v>53491.46</v>
      </c>
      <c r="AT17" s="119">
        <f>+AR17+AS17</f>
        <v>335025.46000000002</v>
      </c>
      <c r="AU17" s="62" t="s">
        <v>69</v>
      </c>
      <c r="AV17" s="62" t="s">
        <v>45</v>
      </c>
      <c r="AW17" s="31"/>
      <c r="AX17" s="116"/>
      <c r="AY17" s="116"/>
      <c r="AZ17" s="143"/>
      <c r="BA17" s="191"/>
      <c r="BB17" s="132"/>
      <c r="BC17" s="132"/>
      <c r="BD17" s="274"/>
      <c r="BE17" s="143"/>
      <c r="BF17" s="143"/>
      <c r="BG17" s="132"/>
      <c r="BH17" s="132"/>
      <c r="BI17" s="132"/>
      <c r="BJ17" s="143"/>
      <c r="BK17" s="143"/>
      <c r="BL17" s="143"/>
      <c r="BM17" s="132"/>
      <c r="BN17" s="132"/>
      <c r="BO17" s="132"/>
      <c r="BP17" s="143"/>
      <c r="BQ17" s="132"/>
      <c r="BR17" s="132"/>
      <c r="BS17" s="132"/>
      <c r="BT17" s="132"/>
      <c r="BU17" s="132"/>
      <c r="BV17" s="263">
        <v>349400</v>
      </c>
      <c r="BW17" s="144">
        <f t="shared" si="0"/>
        <v>66386</v>
      </c>
      <c r="BX17" s="113">
        <f t="shared" si="1"/>
        <v>415786</v>
      </c>
      <c r="BY17" s="264" t="s">
        <v>71</v>
      </c>
      <c r="BZ17" s="264" t="s">
        <v>63</v>
      </c>
      <c r="CA17" s="132"/>
      <c r="CB17" s="274">
        <v>199800</v>
      </c>
      <c r="CC17" s="144">
        <f>+CB17*19%</f>
        <v>37962</v>
      </c>
      <c r="CD17" s="274">
        <f>+CC17+CB17</f>
        <v>237762</v>
      </c>
      <c r="CE17" s="132"/>
      <c r="CF17" s="132"/>
      <c r="CG17" s="132"/>
      <c r="CH17" s="263">
        <v>370364</v>
      </c>
      <c r="CI17" s="265">
        <f t="shared" si="7"/>
        <v>70369.16</v>
      </c>
      <c r="CJ17" s="263">
        <f t="shared" si="8"/>
        <v>440733.16000000003</v>
      </c>
      <c r="CK17" s="264" t="s">
        <v>71</v>
      </c>
      <c r="CL17" s="264" t="s">
        <v>63</v>
      </c>
      <c r="CM17" s="132"/>
      <c r="CN17" s="274"/>
      <c r="CO17" s="144"/>
      <c r="CP17" s="274"/>
      <c r="CQ17" s="132"/>
      <c r="CR17" s="132"/>
      <c r="CS17" s="132"/>
      <c r="CT17" s="274">
        <v>444000</v>
      </c>
      <c r="CU17" s="144">
        <f>+CT17*0</f>
        <v>0</v>
      </c>
      <c r="CV17" s="144">
        <f t="shared" si="11"/>
        <v>444000</v>
      </c>
      <c r="CW17" s="132"/>
      <c r="CX17" s="132"/>
      <c r="CY17" s="132"/>
      <c r="CZ17" s="118">
        <v>312828</v>
      </c>
      <c r="DA17" s="144">
        <f t="shared" si="12"/>
        <v>59437.32</v>
      </c>
      <c r="DB17" s="118">
        <f t="shared" si="13"/>
        <v>372265.32</v>
      </c>
      <c r="DC17" s="33" t="s">
        <v>73</v>
      </c>
      <c r="DD17" s="39" t="s">
        <v>58</v>
      </c>
      <c r="DE17" s="11">
        <v>1000304000</v>
      </c>
      <c r="DF17" s="132"/>
      <c r="DG17" s="132"/>
      <c r="DH17" s="132"/>
      <c r="DI17" s="132"/>
      <c r="DJ17" s="132"/>
      <c r="DK17" s="132"/>
      <c r="DL17" s="132"/>
      <c r="DM17" s="132"/>
      <c r="DN17" s="132"/>
      <c r="DO17" s="132"/>
      <c r="DP17" s="132"/>
      <c r="DQ17" s="132"/>
      <c r="DR17" s="132"/>
      <c r="DS17" s="132"/>
      <c r="DT17" s="132"/>
      <c r="DU17" s="132"/>
      <c r="DV17" s="132"/>
      <c r="DW17" s="132"/>
      <c r="DX17" s="132"/>
      <c r="DY17" s="132"/>
      <c r="DZ17" s="132"/>
      <c r="EA17" s="132"/>
      <c r="EB17" s="132"/>
      <c r="EC17" s="132"/>
      <c r="ED17" s="132"/>
      <c r="EE17" s="132"/>
      <c r="EF17" s="132"/>
      <c r="EG17" s="132"/>
      <c r="EH17" s="132"/>
      <c r="EI17" s="132"/>
      <c r="EJ17" s="132"/>
      <c r="EK17" s="132"/>
      <c r="EL17" s="132"/>
      <c r="EM17" s="132"/>
      <c r="EN17" s="132"/>
      <c r="EO17" s="132"/>
      <c r="EP17" s="132"/>
      <c r="EQ17" s="132"/>
      <c r="ER17" s="132"/>
      <c r="ES17" s="132"/>
      <c r="ET17" s="11"/>
      <c r="EU17" s="11"/>
      <c r="EV17" s="11"/>
      <c r="EW17" s="11"/>
      <c r="EX17" s="11"/>
      <c r="EY17" s="11"/>
      <c r="EZ17" s="11"/>
      <c r="FA17" s="11"/>
      <c r="FB17" s="11"/>
      <c r="FC17" s="11"/>
      <c r="FD17" s="11"/>
      <c r="FE17" s="11"/>
      <c r="FF17" s="11"/>
      <c r="FG17" s="11"/>
      <c r="FH17" s="39">
        <f t="shared" si="2"/>
        <v>2944101.94</v>
      </c>
      <c r="FI17" s="33">
        <f t="shared" si="3"/>
        <v>8</v>
      </c>
      <c r="FJ17" s="84">
        <f t="shared" si="4"/>
        <v>368012.74249999999</v>
      </c>
    </row>
    <row r="18" spans="1:166" ht="36" customHeight="1" x14ac:dyDescent="0.25">
      <c r="A18" s="79" t="e">
        <f>#REF!</f>
        <v>#REF!</v>
      </c>
      <c r="B18" s="75" t="e">
        <f>#REF!</f>
        <v>#REF!</v>
      </c>
      <c r="C18" s="75" t="e">
        <f>#REF!</f>
        <v>#REF!</v>
      </c>
      <c r="D18" s="75" t="e">
        <f>#REF!</f>
        <v>#REF!</v>
      </c>
      <c r="E18" s="30">
        <v>1</v>
      </c>
      <c r="F18" s="238">
        <v>0</v>
      </c>
      <c r="G18" s="241">
        <v>0</v>
      </c>
      <c r="H18" s="249">
        <v>0</v>
      </c>
      <c r="I18" s="249">
        <v>0</v>
      </c>
      <c r="J18" s="249">
        <v>0</v>
      </c>
      <c r="K18" s="249">
        <v>0</v>
      </c>
      <c r="L18" s="274"/>
      <c r="M18" s="274"/>
      <c r="N18" s="245"/>
      <c r="O18" s="113"/>
      <c r="P18" s="113"/>
      <c r="Q18" s="131"/>
      <c r="R18" s="131"/>
      <c r="S18" s="64"/>
      <c r="T18" s="113"/>
      <c r="U18" s="113"/>
      <c r="V18" s="113"/>
      <c r="W18" s="131"/>
      <c r="X18" s="131"/>
      <c r="Y18" s="11"/>
      <c r="Z18" s="113"/>
      <c r="AA18" s="113"/>
      <c r="AB18" s="113"/>
      <c r="AC18" s="52"/>
      <c r="AD18" s="52"/>
      <c r="AE18" s="11"/>
      <c r="AF18" s="118">
        <v>398000</v>
      </c>
      <c r="AG18" s="144">
        <f>AF18*19%</f>
        <v>75620</v>
      </c>
      <c r="AH18" s="113">
        <f>+AF18+AG18</f>
        <v>473620</v>
      </c>
      <c r="AI18" s="11"/>
      <c r="AJ18" s="11"/>
      <c r="AK18" s="39"/>
      <c r="AL18" s="113"/>
      <c r="AM18" s="113"/>
      <c r="AN18" s="117"/>
      <c r="AO18" s="76"/>
      <c r="AP18" s="39"/>
      <c r="AQ18" s="39"/>
      <c r="AR18" s="275"/>
      <c r="AS18" s="156"/>
      <c r="AT18" s="157"/>
      <c r="AU18" s="62"/>
      <c r="AV18" s="62"/>
      <c r="AW18" s="31"/>
      <c r="AX18" s="116"/>
      <c r="AY18" s="116"/>
      <c r="AZ18" s="143"/>
      <c r="BA18" s="191"/>
      <c r="BB18" s="132"/>
      <c r="BC18" s="132"/>
      <c r="BD18" s="274"/>
      <c r="BE18" s="143"/>
      <c r="BF18" s="143"/>
      <c r="BG18" s="132"/>
      <c r="BH18" s="132"/>
      <c r="BI18" s="132"/>
      <c r="BJ18" s="143"/>
      <c r="BK18" s="143"/>
      <c r="BL18" s="143"/>
      <c r="BM18" s="132"/>
      <c r="BN18" s="132"/>
      <c r="BO18" s="132"/>
      <c r="BP18" s="143"/>
      <c r="BQ18" s="132"/>
      <c r="BR18" s="132"/>
      <c r="BS18" s="132"/>
      <c r="BT18" s="132"/>
      <c r="BU18" s="132"/>
      <c r="BV18" s="263">
        <v>800500</v>
      </c>
      <c r="BW18" s="144">
        <f t="shared" si="0"/>
        <v>152095</v>
      </c>
      <c r="BX18" s="113">
        <f t="shared" si="1"/>
        <v>952595</v>
      </c>
      <c r="BY18" s="264" t="s">
        <v>71</v>
      </c>
      <c r="BZ18" s="264" t="s">
        <v>63</v>
      </c>
      <c r="CA18" s="132"/>
      <c r="CB18" s="274"/>
      <c r="CC18" s="144"/>
      <c r="CD18" s="274"/>
      <c r="CE18" s="132"/>
      <c r="CF18" s="132"/>
      <c r="CG18" s="132"/>
      <c r="CH18" s="263"/>
      <c r="CI18" s="265"/>
      <c r="CJ18" s="263"/>
      <c r="CK18" s="264"/>
      <c r="CL18" s="264"/>
      <c r="CM18" s="132"/>
      <c r="CN18" s="274"/>
      <c r="CO18" s="144"/>
      <c r="CP18" s="274"/>
      <c r="CQ18" s="132"/>
      <c r="CR18" s="132"/>
      <c r="CS18" s="132"/>
      <c r="CT18" s="274">
        <v>842500</v>
      </c>
      <c r="CU18" s="144">
        <f>+CT18*0</f>
        <v>0</v>
      </c>
      <c r="CV18" s="144">
        <f t="shared" si="11"/>
        <v>842500</v>
      </c>
      <c r="CW18" s="132"/>
      <c r="CX18" s="132"/>
      <c r="CY18" s="132"/>
      <c r="CZ18" s="118">
        <v>228966</v>
      </c>
      <c r="DA18" s="144">
        <f t="shared" si="12"/>
        <v>43503.54</v>
      </c>
      <c r="DB18" s="118">
        <f t="shared" si="13"/>
        <v>272469.53999999998</v>
      </c>
      <c r="DC18" s="33" t="s">
        <v>82</v>
      </c>
      <c r="DD18" s="39" t="s">
        <v>58</v>
      </c>
      <c r="DE18" s="11">
        <v>1000034000</v>
      </c>
      <c r="DF18" s="132"/>
      <c r="DG18" s="132"/>
      <c r="DH18" s="132"/>
      <c r="DI18" s="132"/>
      <c r="DJ18" s="132"/>
      <c r="DK18" s="132"/>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1"/>
      <c r="EU18" s="11"/>
      <c r="EV18" s="11"/>
      <c r="EW18" s="11"/>
      <c r="EX18" s="11"/>
      <c r="EY18" s="11"/>
      <c r="EZ18" s="11"/>
      <c r="FA18" s="11"/>
      <c r="FB18" s="11"/>
      <c r="FC18" s="11"/>
      <c r="FD18" s="11"/>
      <c r="FE18" s="11"/>
      <c r="FF18" s="11"/>
      <c r="FG18" s="11"/>
      <c r="FH18" s="39">
        <f t="shared" si="2"/>
        <v>2541184.54</v>
      </c>
      <c r="FI18" s="33">
        <f t="shared" si="3"/>
        <v>4</v>
      </c>
      <c r="FJ18" s="84">
        <f t="shared" si="4"/>
        <v>635296.13500000001</v>
      </c>
    </row>
    <row r="19" spans="1:166" ht="27" x14ac:dyDescent="0.25">
      <c r="A19" s="79" t="e">
        <f>#REF!</f>
        <v>#REF!</v>
      </c>
      <c r="B19" s="75" t="e">
        <f>#REF!</f>
        <v>#REF!</v>
      </c>
      <c r="C19" s="75" t="e">
        <f>#REF!</f>
        <v>#REF!</v>
      </c>
      <c r="D19" s="75" t="e">
        <f>#REF!</f>
        <v>#REF!</v>
      </c>
      <c r="E19" s="30">
        <v>1</v>
      </c>
      <c r="F19" s="238">
        <v>0</v>
      </c>
      <c r="G19" s="241">
        <v>0</v>
      </c>
      <c r="H19" s="249">
        <v>0</v>
      </c>
      <c r="I19" s="249">
        <v>0</v>
      </c>
      <c r="J19" s="249">
        <v>0</v>
      </c>
      <c r="K19" s="249">
        <v>0</v>
      </c>
      <c r="L19" s="274"/>
      <c r="M19" s="274"/>
      <c r="N19" s="245"/>
      <c r="O19" s="113"/>
      <c r="P19" s="113"/>
      <c r="Q19" s="131"/>
      <c r="R19" s="131"/>
      <c r="S19" s="64"/>
      <c r="T19" s="113"/>
      <c r="U19" s="113"/>
      <c r="V19" s="113"/>
      <c r="W19" s="131"/>
      <c r="X19" s="131"/>
      <c r="Y19" s="11"/>
      <c r="Z19" s="113"/>
      <c r="AA19" s="113"/>
      <c r="AB19" s="113"/>
      <c r="AC19" s="52"/>
      <c r="AD19" s="52"/>
      <c r="AE19" s="11"/>
      <c r="AF19" s="118"/>
      <c r="AG19" s="144"/>
      <c r="AH19" s="113"/>
      <c r="AI19" s="11"/>
      <c r="AJ19" s="11"/>
      <c r="AK19" s="39"/>
      <c r="AL19" s="113"/>
      <c r="AM19" s="113"/>
      <c r="AN19" s="119"/>
      <c r="AO19" s="4"/>
      <c r="AP19" s="39"/>
      <c r="AQ19" s="39"/>
      <c r="AR19" s="275"/>
      <c r="AS19" s="155"/>
      <c r="AT19" s="143"/>
      <c r="AU19" s="62"/>
      <c r="AV19" s="62"/>
      <c r="AW19" s="31"/>
      <c r="AX19" s="116"/>
      <c r="AY19" s="196"/>
      <c r="AZ19" s="143"/>
      <c r="BA19" s="191"/>
      <c r="BB19" s="132"/>
      <c r="BC19" s="132"/>
      <c r="BD19" s="274"/>
      <c r="BE19" s="143"/>
      <c r="BF19" s="143"/>
      <c r="BG19" s="132"/>
      <c r="BH19" s="132"/>
      <c r="BI19" s="132"/>
      <c r="BJ19" s="143"/>
      <c r="BK19" s="143"/>
      <c r="BL19" s="143"/>
      <c r="BM19" s="132"/>
      <c r="BN19" s="132"/>
      <c r="BO19" s="132"/>
      <c r="BP19" s="143"/>
      <c r="BQ19" s="132"/>
      <c r="BR19" s="132"/>
      <c r="BS19" s="132"/>
      <c r="BT19" s="132"/>
      <c r="BU19" s="132"/>
      <c r="BV19" s="263">
        <v>1920000</v>
      </c>
      <c r="BW19" s="144">
        <f t="shared" si="0"/>
        <v>364800</v>
      </c>
      <c r="BX19" s="113">
        <f t="shared" si="1"/>
        <v>2284800</v>
      </c>
      <c r="BY19" s="264" t="s">
        <v>87</v>
      </c>
      <c r="BZ19" s="264" t="s">
        <v>88</v>
      </c>
      <c r="CA19" s="132"/>
      <c r="CB19" s="274"/>
      <c r="CC19" s="144"/>
      <c r="CD19" s="274"/>
      <c r="CE19" s="132"/>
      <c r="CF19" s="132"/>
      <c r="CG19" s="132"/>
      <c r="CH19" s="263"/>
      <c r="CI19" s="265"/>
      <c r="CJ19" s="263"/>
      <c r="CK19" s="264"/>
      <c r="CL19" s="264"/>
      <c r="CM19" s="132"/>
      <c r="CN19" s="274"/>
      <c r="CO19" s="144"/>
      <c r="CP19" s="274"/>
      <c r="CQ19" s="132"/>
      <c r="CR19" s="132"/>
      <c r="CS19" s="132"/>
      <c r="CT19" s="274">
        <v>175000</v>
      </c>
      <c r="CU19" s="144">
        <v>8750</v>
      </c>
      <c r="CV19" s="144">
        <f t="shared" si="11"/>
        <v>183750</v>
      </c>
      <c r="CW19" s="132"/>
      <c r="CX19" s="132"/>
      <c r="CY19" s="132"/>
      <c r="CZ19" s="118">
        <v>410483</v>
      </c>
      <c r="DA19" s="144">
        <f t="shared" si="12"/>
        <v>77991.77</v>
      </c>
      <c r="DB19" s="118">
        <f t="shared" si="13"/>
        <v>488474.77</v>
      </c>
      <c r="DC19" s="33" t="s">
        <v>89</v>
      </c>
      <c r="DD19" s="39" t="s">
        <v>58</v>
      </c>
      <c r="DE19" s="11">
        <v>1000292500</v>
      </c>
      <c r="DF19" s="132"/>
      <c r="DG19" s="132"/>
      <c r="DH19" s="132"/>
      <c r="DI19" s="132"/>
      <c r="DJ19" s="132"/>
      <c r="DK19" s="132"/>
      <c r="DL19" s="132"/>
      <c r="DM19" s="132"/>
      <c r="DN19" s="132"/>
      <c r="DO19" s="132"/>
      <c r="DP19" s="132"/>
      <c r="DQ19" s="132"/>
      <c r="DR19" s="132"/>
      <c r="DS19" s="132"/>
      <c r="DT19" s="132"/>
      <c r="DU19" s="132"/>
      <c r="DV19" s="132"/>
      <c r="DW19" s="132"/>
      <c r="DX19" s="132"/>
      <c r="DY19" s="132"/>
      <c r="DZ19" s="132"/>
      <c r="EA19" s="132"/>
      <c r="EB19" s="132"/>
      <c r="EC19" s="132"/>
      <c r="ED19" s="132"/>
      <c r="EE19" s="132"/>
      <c r="EF19" s="132"/>
      <c r="EG19" s="132"/>
      <c r="EH19" s="132"/>
      <c r="EI19" s="132"/>
      <c r="EJ19" s="132"/>
      <c r="EK19" s="132"/>
      <c r="EL19" s="132"/>
      <c r="EM19" s="132"/>
      <c r="EN19" s="132"/>
      <c r="EO19" s="132"/>
      <c r="EP19" s="132"/>
      <c r="EQ19" s="132"/>
      <c r="ER19" s="132"/>
      <c r="ES19" s="132"/>
      <c r="ET19" s="11"/>
      <c r="EU19" s="11"/>
      <c r="EV19" s="11"/>
      <c r="EW19" s="11"/>
      <c r="EX19" s="11"/>
      <c r="EY19" s="11"/>
      <c r="EZ19" s="11"/>
      <c r="FA19" s="11"/>
      <c r="FB19" s="11"/>
      <c r="FC19" s="11"/>
      <c r="FD19" s="11"/>
      <c r="FE19" s="11"/>
      <c r="FF19" s="11"/>
      <c r="FG19" s="11"/>
      <c r="FH19" s="39">
        <f t="shared" si="2"/>
        <v>2957024.77</v>
      </c>
      <c r="FI19" s="33">
        <f t="shared" si="3"/>
        <v>3</v>
      </c>
      <c r="FJ19" s="84">
        <f t="shared" si="4"/>
        <v>985674.92333333334</v>
      </c>
    </row>
    <row r="20" spans="1:166" x14ac:dyDescent="0.25">
      <c r="A20" s="79" t="e">
        <f>#REF!</f>
        <v>#REF!</v>
      </c>
      <c r="B20" s="75" t="e">
        <f>#REF!</f>
        <v>#REF!</v>
      </c>
      <c r="C20" s="75" t="e">
        <f>#REF!</f>
        <v>#REF!</v>
      </c>
      <c r="D20" s="75" t="e">
        <f>#REF!</f>
        <v>#REF!</v>
      </c>
      <c r="E20" s="30">
        <v>1</v>
      </c>
      <c r="F20" s="238">
        <v>0</v>
      </c>
      <c r="G20" s="241">
        <v>0</v>
      </c>
      <c r="H20" s="249">
        <v>0</v>
      </c>
      <c r="I20" s="249">
        <v>0</v>
      </c>
      <c r="J20" s="249">
        <v>0</v>
      </c>
      <c r="K20" s="249">
        <v>0</v>
      </c>
      <c r="L20" s="274"/>
      <c r="M20" s="274"/>
      <c r="N20" s="245"/>
      <c r="O20" s="113"/>
      <c r="P20" s="113"/>
      <c r="Q20" s="131"/>
      <c r="R20" s="131"/>
      <c r="S20" s="64"/>
      <c r="T20" s="113"/>
      <c r="U20" s="113"/>
      <c r="V20" s="113"/>
      <c r="W20" s="131"/>
      <c r="X20" s="131"/>
      <c r="Y20" s="11"/>
      <c r="Z20" s="113"/>
      <c r="AA20" s="113"/>
      <c r="AB20" s="113"/>
      <c r="AC20" s="52"/>
      <c r="AD20" s="52"/>
      <c r="AE20" s="11"/>
      <c r="AF20" s="118"/>
      <c r="AG20" s="144"/>
      <c r="AH20" s="113"/>
      <c r="AI20" s="11"/>
      <c r="AJ20" s="11"/>
      <c r="AK20" s="39"/>
      <c r="AL20" s="113"/>
      <c r="AM20" s="113"/>
      <c r="AN20" s="117"/>
      <c r="AO20" s="76"/>
      <c r="AP20" s="39"/>
      <c r="AQ20" s="39"/>
      <c r="AR20" s="275"/>
      <c r="AS20" s="156"/>
      <c r="AT20" s="157"/>
      <c r="AU20" s="62"/>
      <c r="AV20" s="62"/>
      <c r="AW20" s="31"/>
      <c r="AX20" s="116"/>
      <c r="AY20" s="196"/>
      <c r="AZ20" s="143"/>
      <c r="BA20" s="191"/>
      <c r="BB20" s="132"/>
      <c r="BC20" s="132"/>
      <c r="BD20" s="274"/>
      <c r="BE20" s="143"/>
      <c r="BF20" s="143"/>
      <c r="BG20" s="132"/>
      <c r="BH20" s="132"/>
      <c r="BI20" s="132"/>
      <c r="BJ20" s="143"/>
      <c r="BK20" s="143"/>
      <c r="BL20" s="143"/>
      <c r="BM20" s="132"/>
      <c r="BN20" s="132"/>
      <c r="BO20" s="132"/>
      <c r="BP20" s="143"/>
      <c r="BQ20" s="132"/>
      <c r="BR20" s="132"/>
      <c r="BS20" s="132"/>
      <c r="BT20" s="132"/>
      <c r="BU20" s="132"/>
      <c r="BV20" s="210"/>
      <c r="BW20" s="144"/>
      <c r="BX20" s="113"/>
      <c r="BY20" s="273"/>
      <c r="BZ20" s="273"/>
      <c r="CA20" s="132"/>
      <c r="CB20" s="274"/>
      <c r="CC20" s="144"/>
      <c r="CD20" s="274"/>
      <c r="CE20" s="132"/>
      <c r="CF20" s="132"/>
      <c r="CG20" s="132"/>
      <c r="CH20" s="210"/>
      <c r="CI20" s="219"/>
      <c r="CJ20" s="210"/>
      <c r="CK20" s="273"/>
      <c r="CL20" s="273"/>
      <c r="CM20" s="132"/>
      <c r="CN20" s="274"/>
      <c r="CO20" s="144"/>
      <c r="CP20" s="274"/>
      <c r="CQ20" s="132"/>
      <c r="CR20" s="132"/>
      <c r="CS20" s="132"/>
      <c r="CT20" s="144">
        <v>112500</v>
      </c>
      <c r="CU20" s="144">
        <v>21375</v>
      </c>
      <c r="CV20" s="144">
        <f t="shared" si="11"/>
        <v>133875</v>
      </c>
      <c r="CW20" s="132"/>
      <c r="CX20" s="132"/>
      <c r="CY20" s="132"/>
      <c r="CZ20" s="118"/>
      <c r="DA20" s="144"/>
      <c r="DB20" s="118"/>
      <c r="DC20" s="33"/>
      <c r="DD20" s="39"/>
      <c r="DE20" s="11"/>
      <c r="DF20" s="132"/>
      <c r="DG20" s="132"/>
      <c r="DH20" s="132"/>
      <c r="DI20" s="132"/>
      <c r="DJ20" s="132"/>
      <c r="DK20" s="132"/>
      <c r="DL20" s="132"/>
      <c r="DM20" s="132"/>
      <c r="DN20" s="132"/>
      <c r="DO20" s="132"/>
      <c r="DP20" s="132"/>
      <c r="DQ20" s="132"/>
      <c r="DR20" s="132"/>
      <c r="DS20" s="132"/>
      <c r="DT20" s="132"/>
      <c r="DU20" s="132"/>
      <c r="DV20" s="132"/>
      <c r="DW20" s="132"/>
      <c r="DX20" s="132"/>
      <c r="DY20" s="132"/>
      <c r="DZ20" s="132"/>
      <c r="EA20" s="132"/>
      <c r="EB20" s="132"/>
      <c r="EC20" s="132"/>
      <c r="ED20" s="132"/>
      <c r="EE20" s="132"/>
      <c r="EF20" s="132"/>
      <c r="EG20" s="132"/>
      <c r="EH20" s="132"/>
      <c r="EI20" s="132"/>
      <c r="EJ20" s="132"/>
      <c r="EK20" s="132"/>
      <c r="EL20" s="132"/>
      <c r="EM20" s="132"/>
      <c r="EN20" s="132"/>
      <c r="EO20" s="132"/>
      <c r="EP20" s="132"/>
      <c r="EQ20" s="132"/>
      <c r="ER20" s="132"/>
      <c r="ES20" s="132"/>
      <c r="ET20" s="11"/>
      <c r="EU20" s="11"/>
      <c r="EV20" s="11"/>
      <c r="EW20" s="11"/>
      <c r="EX20" s="11"/>
      <c r="EY20" s="11"/>
      <c r="EZ20" s="11"/>
      <c r="FA20" s="11"/>
      <c r="FB20" s="11"/>
      <c r="FC20" s="11"/>
      <c r="FD20" s="11"/>
      <c r="FE20" s="11"/>
      <c r="FF20" s="11"/>
      <c r="FG20" s="11"/>
      <c r="FH20" s="39">
        <f t="shared" si="2"/>
        <v>133875</v>
      </c>
      <c r="FI20" s="33">
        <f t="shared" si="3"/>
        <v>1</v>
      </c>
      <c r="FJ20" s="84">
        <f t="shared" si="4"/>
        <v>133875</v>
      </c>
    </row>
    <row r="21" spans="1:166" ht="27" x14ac:dyDescent="0.25">
      <c r="A21" s="79" t="e">
        <f>#REF!</f>
        <v>#REF!</v>
      </c>
      <c r="B21" s="75" t="e">
        <f>#REF!</f>
        <v>#REF!</v>
      </c>
      <c r="C21" s="75" t="e">
        <f>#REF!</f>
        <v>#REF!</v>
      </c>
      <c r="D21" s="75" t="e">
        <f>#REF!</f>
        <v>#REF!</v>
      </c>
      <c r="E21" s="30">
        <v>1</v>
      </c>
      <c r="F21" s="238">
        <v>191114</v>
      </c>
      <c r="G21" s="241">
        <v>183379</v>
      </c>
      <c r="H21" s="249">
        <v>277191.14251666667</v>
      </c>
      <c r="I21" s="249">
        <v>277151</v>
      </c>
      <c r="J21" s="249">
        <v>203348.41741935484</v>
      </c>
      <c r="K21" s="249">
        <v>198254</v>
      </c>
      <c r="L21" s="274">
        <f>AVERAGE(F21,H21,J21)</f>
        <v>223884.51997867381</v>
      </c>
      <c r="M21" s="274">
        <f>AVERAGE(G21,I21,K21)*1.03</f>
        <v>226182.50666666665</v>
      </c>
      <c r="N21" s="245"/>
      <c r="O21" s="113"/>
      <c r="P21" s="113"/>
      <c r="Q21" s="131"/>
      <c r="R21" s="131"/>
      <c r="S21" s="64"/>
      <c r="T21" s="113"/>
      <c r="U21" s="117"/>
      <c r="V21" s="113"/>
      <c r="W21" s="131"/>
      <c r="X21" s="131"/>
      <c r="Y21" s="11"/>
      <c r="Z21" s="113"/>
      <c r="AA21" s="113"/>
      <c r="AB21" s="113"/>
      <c r="AC21" s="52"/>
      <c r="AD21" s="52"/>
      <c r="AE21" s="11"/>
      <c r="AF21" s="118">
        <v>190000</v>
      </c>
      <c r="AG21" s="144">
        <f>AF21*19%</f>
        <v>36100</v>
      </c>
      <c r="AH21" s="113">
        <f>+AF21+AG21</f>
        <v>226100</v>
      </c>
      <c r="AI21" s="11"/>
      <c r="AJ21" s="11"/>
      <c r="AK21" s="39"/>
      <c r="AL21" s="113">
        <v>189000</v>
      </c>
      <c r="AM21" s="113">
        <f>+AL21*0.19</f>
        <v>35910</v>
      </c>
      <c r="AN21" s="119">
        <f>+AL21+AM21</f>
        <v>224910</v>
      </c>
      <c r="AO21" s="76" t="s">
        <v>90</v>
      </c>
      <c r="AP21" s="266" t="s">
        <v>45</v>
      </c>
      <c r="AQ21" s="39"/>
      <c r="AR21" s="275">
        <v>179980</v>
      </c>
      <c r="AS21" s="113">
        <f>+AR21*0.19</f>
        <v>34196.199999999997</v>
      </c>
      <c r="AT21" s="119">
        <f>+AR21+AS21</f>
        <v>214176.2</v>
      </c>
      <c r="AU21" s="62" t="s">
        <v>90</v>
      </c>
      <c r="AV21" s="62" t="s">
        <v>45</v>
      </c>
      <c r="AW21" s="31"/>
      <c r="AX21" s="116">
        <v>260576.73</v>
      </c>
      <c r="AY21" s="116">
        <f>+AX21*0.19</f>
        <v>49509.578700000005</v>
      </c>
      <c r="AZ21" s="143">
        <f>+AX21+AY21</f>
        <v>310086.30869999999</v>
      </c>
      <c r="BA21" s="191" t="s">
        <v>91</v>
      </c>
      <c r="BB21" s="132" t="s">
        <v>70</v>
      </c>
      <c r="BC21" s="132"/>
      <c r="BD21" s="274"/>
      <c r="BE21" s="143"/>
      <c r="BF21" s="143"/>
      <c r="BG21" s="132"/>
      <c r="BH21" s="132"/>
      <c r="BI21" s="132"/>
      <c r="BJ21" s="143"/>
      <c r="BK21" s="143"/>
      <c r="BL21" s="143"/>
      <c r="BM21" s="132"/>
      <c r="BN21" s="132"/>
      <c r="BO21" s="132"/>
      <c r="BP21" s="143"/>
      <c r="BQ21" s="132"/>
      <c r="BR21" s="132"/>
      <c r="BS21" s="132"/>
      <c r="BT21" s="132"/>
      <c r="BU21" s="132"/>
      <c r="BV21" s="263">
        <v>296800</v>
      </c>
      <c r="BW21" s="144">
        <f t="shared" ref="BW21:BW40" si="14">BV21*19%</f>
        <v>56392</v>
      </c>
      <c r="BX21" s="113">
        <f t="shared" ref="BX21:BX52" si="15">+BV21+BW21</f>
        <v>353192</v>
      </c>
      <c r="BY21" s="264" t="s">
        <v>87</v>
      </c>
      <c r="BZ21" s="264" t="s">
        <v>88</v>
      </c>
      <c r="CA21" s="132"/>
      <c r="CB21" s="274">
        <v>128250</v>
      </c>
      <c r="CC21" s="144">
        <f>+CB21*19%</f>
        <v>24367.5</v>
      </c>
      <c r="CD21" s="274">
        <f>+CC21+CB21</f>
        <v>152617.5</v>
      </c>
      <c r="CE21" s="132"/>
      <c r="CF21" s="132"/>
      <c r="CG21" s="132"/>
      <c r="CH21" s="263">
        <v>317576</v>
      </c>
      <c r="CI21" s="265">
        <f t="shared" ref="CI21:CI28" si="16">+CH21*0.19</f>
        <v>60339.44</v>
      </c>
      <c r="CJ21" s="263">
        <f t="shared" ref="CJ21:CJ28" si="17">+CH21+CI21</f>
        <v>377915.44</v>
      </c>
      <c r="CK21" s="264" t="s">
        <v>87</v>
      </c>
      <c r="CL21" s="264" t="s">
        <v>88</v>
      </c>
      <c r="CM21" s="132"/>
      <c r="CN21" s="274"/>
      <c r="CO21" s="144"/>
      <c r="CP21" s="274"/>
      <c r="CQ21" s="132"/>
      <c r="CR21" s="132"/>
      <c r="CS21" s="132"/>
      <c r="CT21" s="274">
        <v>416666.66666666669</v>
      </c>
      <c r="CU21" s="144">
        <v>79166.666666666672</v>
      </c>
      <c r="CV21" s="144">
        <f t="shared" si="11"/>
        <v>495833.33333333337</v>
      </c>
      <c r="CW21" s="132"/>
      <c r="CX21" s="132"/>
      <c r="CY21" s="132"/>
      <c r="CZ21" s="118">
        <v>142345</v>
      </c>
      <c r="DA21" s="144">
        <f>+CZ21*0.19</f>
        <v>27045.55</v>
      </c>
      <c r="DB21" s="118">
        <f>+CZ21+DA21</f>
        <v>169390.55</v>
      </c>
      <c r="DC21" s="33" t="s">
        <v>89</v>
      </c>
      <c r="DD21" s="39" t="s">
        <v>58</v>
      </c>
      <c r="DE21" s="11">
        <v>1000622500</v>
      </c>
      <c r="DF21" s="132"/>
      <c r="DG21" s="132"/>
      <c r="DH21" s="132"/>
      <c r="DI21" s="132"/>
      <c r="DJ21" s="132"/>
      <c r="DK21" s="132"/>
      <c r="DL21" s="132"/>
      <c r="DM21" s="132"/>
      <c r="DN21" s="132"/>
      <c r="DO21" s="132"/>
      <c r="DP21" s="132"/>
      <c r="DQ21" s="132"/>
      <c r="DR21" s="132"/>
      <c r="DS21" s="132"/>
      <c r="DT21" s="132"/>
      <c r="DU21" s="132"/>
      <c r="DV21" s="132"/>
      <c r="DW21" s="132"/>
      <c r="DX21" s="132"/>
      <c r="DY21" s="132"/>
      <c r="DZ21" s="132"/>
      <c r="EA21" s="132"/>
      <c r="EB21" s="132"/>
      <c r="EC21" s="132"/>
      <c r="ED21" s="132"/>
      <c r="EE21" s="132"/>
      <c r="EF21" s="132"/>
      <c r="EG21" s="132"/>
      <c r="EH21" s="132"/>
      <c r="EI21" s="132"/>
      <c r="EJ21" s="132"/>
      <c r="EK21" s="132"/>
      <c r="EL21" s="132"/>
      <c r="EM21" s="132"/>
      <c r="EN21" s="132"/>
      <c r="EO21" s="132"/>
      <c r="EP21" s="132"/>
      <c r="EQ21" s="132"/>
      <c r="ER21" s="132"/>
      <c r="ES21" s="132"/>
      <c r="ET21" s="11"/>
      <c r="EU21" s="11"/>
      <c r="EV21" s="11"/>
      <c r="EW21" s="11"/>
      <c r="EX21" s="11"/>
      <c r="EY21" s="11"/>
      <c r="EZ21" s="11"/>
      <c r="FA21" s="11"/>
      <c r="FB21" s="11"/>
      <c r="FC21" s="11"/>
      <c r="FD21" s="11"/>
      <c r="FE21" s="11"/>
      <c r="FF21" s="11"/>
      <c r="FG21" s="11"/>
      <c r="FH21" s="39">
        <f t="shared" si="2"/>
        <v>2750403.8386999997</v>
      </c>
      <c r="FI21" s="33">
        <f t="shared" si="3"/>
        <v>10</v>
      </c>
      <c r="FJ21" s="84">
        <f t="shared" si="4"/>
        <v>275040.38386999996</v>
      </c>
    </row>
    <row r="22" spans="1:166" ht="27" x14ac:dyDescent="0.25">
      <c r="A22" s="79" t="e">
        <f>#REF!</f>
        <v>#REF!</v>
      </c>
      <c r="B22" s="75" t="e">
        <f>#REF!</f>
        <v>#REF!</v>
      </c>
      <c r="C22" s="75" t="e">
        <f>#REF!</f>
        <v>#REF!</v>
      </c>
      <c r="D22" s="75" t="e">
        <f>#REF!</f>
        <v>#REF!</v>
      </c>
      <c r="E22" s="30">
        <v>1</v>
      </c>
      <c r="F22" s="238">
        <v>288646.42857142858</v>
      </c>
      <c r="G22" s="241">
        <v>75300</v>
      </c>
      <c r="H22" s="249">
        <v>228376.63819090909</v>
      </c>
      <c r="I22" s="249">
        <v>228361</v>
      </c>
      <c r="J22" s="249">
        <v>0</v>
      </c>
      <c r="K22" s="249">
        <v>0</v>
      </c>
      <c r="L22" s="274">
        <f>AVERAGE(F22,H22)</f>
        <v>258511.53338116885</v>
      </c>
      <c r="M22" s="274">
        <f>AVERAGE(G22,I22)*1.03</f>
        <v>156385.41500000001</v>
      </c>
      <c r="N22" s="245"/>
      <c r="O22" s="113"/>
      <c r="P22" s="113"/>
      <c r="Q22" s="131"/>
      <c r="R22" s="131"/>
      <c r="S22" s="64"/>
      <c r="T22" s="113"/>
      <c r="U22" s="117"/>
      <c r="V22" s="113"/>
      <c r="W22" s="131"/>
      <c r="X22" s="131"/>
      <c r="Y22" s="11"/>
      <c r="Z22" s="113"/>
      <c r="AA22" s="113"/>
      <c r="AB22" s="113"/>
      <c r="AC22" s="52"/>
      <c r="AD22" s="52"/>
      <c r="AE22" s="11"/>
      <c r="AF22" s="118">
        <v>130000</v>
      </c>
      <c r="AG22" s="144">
        <f>AF22*19%</f>
        <v>24700</v>
      </c>
      <c r="AH22" s="113">
        <f>+AF22+AG22</f>
        <v>154700</v>
      </c>
      <c r="AI22" s="11"/>
      <c r="AJ22" s="11"/>
      <c r="AK22" s="39"/>
      <c r="AL22" s="113">
        <v>121000</v>
      </c>
      <c r="AM22" s="113">
        <f>+AL22*0</f>
        <v>0</v>
      </c>
      <c r="AN22" s="119">
        <f>+AL22+AM22</f>
        <v>121000</v>
      </c>
      <c r="AO22" s="76" t="s">
        <v>54</v>
      </c>
      <c r="AP22" s="266" t="s">
        <v>45</v>
      </c>
      <c r="AQ22" s="39"/>
      <c r="AR22" s="275">
        <v>273600</v>
      </c>
      <c r="AS22" s="113">
        <f>+AR22*0.19</f>
        <v>51984</v>
      </c>
      <c r="AT22" s="119">
        <f>+AR22+AS22</f>
        <v>325584</v>
      </c>
      <c r="AU22" s="62" t="s">
        <v>54</v>
      </c>
      <c r="AV22" s="48" t="s">
        <v>35</v>
      </c>
      <c r="AW22" s="31"/>
      <c r="AX22" s="116">
        <f>711203.61/5</f>
        <v>142240.72200000001</v>
      </c>
      <c r="AY22" s="116">
        <f>+AX22*0.19</f>
        <v>27025.737180000004</v>
      </c>
      <c r="AZ22" s="143">
        <f>+AX22+AY22</f>
        <v>169266.45918000001</v>
      </c>
      <c r="BA22" s="191" t="s">
        <v>60</v>
      </c>
      <c r="BB22" s="132" t="s">
        <v>70</v>
      </c>
      <c r="BC22" s="132"/>
      <c r="BD22" s="274"/>
      <c r="BE22" s="143"/>
      <c r="BF22" s="143"/>
      <c r="BG22" s="132"/>
      <c r="BH22" s="132"/>
      <c r="BI22" s="132"/>
      <c r="BJ22" s="143"/>
      <c r="BK22" s="143"/>
      <c r="BL22" s="143"/>
      <c r="BM22" s="132"/>
      <c r="BN22" s="132"/>
      <c r="BO22" s="132"/>
      <c r="BP22" s="143"/>
      <c r="BQ22" s="132"/>
      <c r="BR22" s="132"/>
      <c r="BS22" s="132"/>
      <c r="BT22" s="132"/>
      <c r="BU22" s="132"/>
      <c r="BV22" s="263">
        <v>1135200</v>
      </c>
      <c r="BW22" s="144">
        <f t="shared" si="14"/>
        <v>215688</v>
      </c>
      <c r="BX22" s="113">
        <f t="shared" si="15"/>
        <v>1350888</v>
      </c>
      <c r="BY22" s="264" t="s">
        <v>56</v>
      </c>
      <c r="BZ22" s="264" t="s">
        <v>92</v>
      </c>
      <c r="CA22" s="132"/>
      <c r="CB22" s="274"/>
      <c r="CC22" s="144"/>
      <c r="CD22" s="274"/>
      <c r="CE22" s="132"/>
      <c r="CF22" s="132"/>
      <c r="CG22" s="132"/>
      <c r="CH22" s="263">
        <v>1146552</v>
      </c>
      <c r="CI22" s="265">
        <f t="shared" si="16"/>
        <v>217844.88</v>
      </c>
      <c r="CJ22" s="263">
        <f t="shared" si="17"/>
        <v>1364396.88</v>
      </c>
      <c r="CK22" s="264" t="s">
        <v>56</v>
      </c>
      <c r="CL22" s="264" t="s">
        <v>92</v>
      </c>
      <c r="CM22" s="132"/>
      <c r="CN22" s="274"/>
      <c r="CO22" s="144"/>
      <c r="CP22" s="274"/>
      <c r="CQ22" s="132"/>
      <c r="CR22" s="132"/>
      <c r="CS22" s="132"/>
      <c r="CT22" s="274">
        <v>1049920</v>
      </c>
      <c r="CU22" s="144">
        <v>199484.79999999999</v>
      </c>
      <c r="CV22" s="144">
        <f t="shared" si="11"/>
        <v>1249404.8</v>
      </c>
      <c r="CW22" s="132"/>
      <c r="CX22" s="132"/>
      <c r="CY22" s="132"/>
      <c r="CZ22" s="118">
        <v>83862</v>
      </c>
      <c r="DA22" s="144">
        <v>0</v>
      </c>
      <c r="DB22" s="118">
        <v>83862</v>
      </c>
      <c r="DC22" s="33" t="s">
        <v>57</v>
      </c>
      <c r="DD22" s="39" t="s">
        <v>58</v>
      </c>
      <c r="DE22" s="11">
        <v>1004680100</v>
      </c>
      <c r="DF22" s="132"/>
      <c r="DG22" s="132"/>
      <c r="DH22" s="132"/>
      <c r="DI22" s="132"/>
      <c r="DJ22" s="132"/>
      <c r="DK22" s="132"/>
      <c r="DL22" s="132"/>
      <c r="DM22" s="132"/>
      <c r="DN22" s="132"/>
      <c r="DO22" s="132"/>
      <c r="DP22" s="132"/>
      <c r="DQ22" s="132"/>
      <c r="DR22" s="132"/>
      <c r="DS22" s="132"/>
      <c r="DT22" s="132"/>
      <c r="DU22" s="132"/>
      <c r="DV22" s="132"/>
      <c r="DW22" s="132"/>
      <c r="DX22" s="132"/>
      <c r="DY22" s="132"/>
      <c r="DZ22" s="132"/>
      <c r="EA22" s="132"/>
      <c r="EB22" s="132"/>
      <c r="EC22" s="132"/>
      <c r="ED22" s="132"/>
      <c r="EE22" s="132"/>
      <c r="EF22" s="132"/>
      <c r="EG22" s="132"/>
      <c r="EH22" s="132"/>
      <c r="EI22" s="132"/>
      <c r="EJ22" s="132"/>
      <c r="EK22" s="132"/>
      <c r="EL22" s="132"/>
      <c r="EM22" s="132"/>
      <c r="EN22" s="132"/>
      <c r="EO22" s="132"/>
      <c r="EP22" s="132"/>
      <c r="EQ22" s="132"/>
      <c r="ER22" s="132"/>
      <c r="ES22" s="132"/>
      <c r="ET22" s="11"/>
      <c r="EU22" s="11"/>
      <c r="EV22" s="11"/>
      <c r="EW22" s="11"/>
      <c r="EX22" s="11"/>
      <c r="EY22" s="11"/>
      <c r="EZ22" s="11"/>
      <c r="FA22" s="11"/>
      <c r="FB22" s="11"/>
      <c r="FC22" s="11"/>
      <c r="FD22" s="11"/>
      <c r="FE22" s="11"/>
      <c r="FF22" s="11"/>
      <c r="FG22" s="11"/>
      <c r="FH22" s="39">
        <f t="shared" si="2"/>
        <v>4975487.55418</v>
      </c>
      <c r="FI22" s="33">
        <f t="shared" si="3"/>
        <v>9</v>
      </c>
      <c r="FJ22" s="84">
        <f t="shared" si="4"/>
        <v>552831.95046444447</v>
      </c>
    </row>
    <row r="23" spans="1:166" ht="27" x14ac:dyDescent="0.25">
      <c r="A23" s="79" t="e">
        <f>#REF!</f>
        <v>#REF!</v>
      </c>
      <c r="B23" s="75" t="e">
        <f>#REF!</f>
        <v>#REF!</v>
      </c>
      <c r="C23" s="75" t="e">
        <f>#REF!</f>
        <v>#REF!</v>
      </c>
      <c r="D23" s="75" t="e">
        <f>#REF!</f>
        <v>#REF!</v>
      </c>
      <c r="E23" s="30">
        <v>1</v>
      </c>
      <c r="F23" s="238">
        <v>277448.5</v>
      </c>
      <c r="G23" s="241">
        <v>273224</v>
      </c>
      <c r="H23" s="249">
        <v>265023.19486818183</v>
      </c>
      <c r="I23" s="249">
        <v>265013</v>
      </c>
      <c r="J23" s="249">
        <v>324258.8774193548</v>
      </c>
      <c r="K23" s="249">
        <v>311780</v>
      </c>
      <c r="L23" s="274">
        <f>AVERAGE(F23,H23,J23)</f>
        <v>288910.19076251221</v>
      </c>
      <c r="M23" s="274">
        <f>AVERAGE(G23,I23,K23)*1.03</f>
        <v>291839.17</v>
      </c>
      <c r="N23" s="245"/>
      <c r="O23" s="113"/>
      <c r="P23" s="113"/>
      <c r="Q23" s="131"/>
      <c r="R23" s="131"/>
      <c r="S23" s="64"/>
      <c r="T23" s="113"/>
      <c r="U23" s="117"/>
      <c r="V23" s="113"/>
      <c r="W23" s="131"/>
      <c r="X23" s="131"/>
      <c r="Y23" s="11"/>
      <c r="Z23" s="113"/>
      <c r="AA23" s="113"/>
      <c r="AB23" s="113"/>
      <c r="AC23" s="52"/>
      <c r="AD23" s="52"/>
      <c r="AE23" s="11"/>
      <c r="AF23" s="118">
        <v>250000</v>
      </c>
      <c r="AG23" s="144">
        <f>AF23*19%</f>
        <v>47500</v>
      </c>
      <c r="AH23" s="113">
        <f>+AF23+AG23</f>
        <v>297500</v>
      </c>
      <c r="AI23" s="11"/>
      <c r="AJ23" s="11"/>
      <c r="AK23" s="39"/>
      <c r="AL23" s="113">
        <v>260000</v>
      </c>
      <c r="AM23" s="113">
        <f>+AL23*0.19</f>
        <v>49400</v>
      </c>
      <c r="AN23" s="119">
        <f>+AL23+AM23</f>
        <v>309400</v>
      </c>
      <c r="AO23" s="76" t="s">
        <v>93</v>
      </c>
      <c r="AP23" s="266" t="s">
        <v>45</v>
      </c>
      <c r="AQ23" s="39"/>
      <c r="AR23" s="275">
        <v>468000</v>
      </c>
      <c r="AS23" s="113">
        <f>+AR23*0.19</f>
        <v>88920</v>
      </c>
      <c r="AT23" s="119">
        <f>+AR23+AS23</f>
        <v>556920</v>
      </c>
      <c r="AU23" s="62" t="s">
        <v>60</v>
      </c>
      <c r="AV23" s="48" t="s">
        <v>35</v>
      </c>
      <c r="AW23" s="31"/>
      <c r="AX23" s="116"/>
      <c r="AY23" s="116"/>
      <c r="AZ23" s="143"/>
      <c r="BA23" s="191"/>
      <c r="BB23" s="132"/>
      <c r="BC23" s="132"/>
      <c r="BD23" s="274"/>
      <c r="BE23" s="143"/>
      <c r="BF23" s="143"/>
      <c r="BG23" s="132"/>
      <c r="BH23" s="132"/>
      <c r="BI23" s="132"/>
      <c r="BJ23" s="143"/>
      <c r="BK23" s="143"/>
      <c r="BL23" s="143"/>
      <c r="BM23" s="132"/>
      <c r="BN23" s="132"/>
      <c r="BO23" s="132"/>
      <c r="BP23" s="143"/>
      <c r="BQ23" s="132"/>
      <c r="BR23" s="132"/>
      <c r="BS23" s="132"/>
      <c r="BT23" s="132"/>
      <c r="BU23" s="132"/>
      <c r="BV23" s="263">
        <v>297600</v>
      </c>
      <c r="BW23" s="144">
        <f t="shared" si="14"/>
        <v>56544</v>
      </c>
      <c r="BX23" s="113">
        <f t="shared" si="15"/>
        <v>354144</v>
      </c>
      <c r="BY23" s="264" t="s">
        <v>94</v>
      </c>
      <c r="BZ23" s="264" t="s">
        <v>63</v>
      </c>
      <c r="CA23" s="132"/>
      <c r="CB23" s="274">
        <v>188000</v>
      </c>
      <c r="CC23" s="144">
        <f>+CB23*19%</f>
        <v>35720</v>
      </c>
      <c r="CD23" s="274">
        <f>+CC23+CB23</f>
        <v>223720</v>
      </c>
      <c r="CE23" s="132"/>
      <c r="CF23" s="132"/>
      <c r="CG23" s="132"/>
      <c r="CH23" s="263">
        <v>300576</v>
      </c>
      <c r="CI23" s="265">
        <f t="shared" si="16"/>
        <v>57109.440000000002</v>
      </c>
      <c r="CJ23" s="263">
        <f t="shared" si="17"/>
        <v>357685.44</v>
      </c>
      <c r="CK23" s="264" t="s">
        <v>94</v>
      </c>
      <c r="CL23" s="264" t="s">
        <v>63</v>
      </c>
      <c r="CM23" s="132"/>
      <c r="CN23" s="274"/>
      <c r="CO23" s="144"/>
      <c r="CP23" s="274"/>
      <c r="CQ23" s="132"/>
      <c r="CR23" s="132"/>
      <c r="CS23" s="132"/>
      <c r="CT23" s="274">
        <v>995520</v>
      </c>
      <c r="CU23" s="144">
        <v>189148.79999999999</v>
      </c>
      <c r="CV23" s="144">
        <f t="shared" si="11"/>
        <v>1184668.8</v>
      </c>
      <c r="CW23" s="132"/>
      <c r="CX23" s="132"/>
      <c r="CY23" s="132"/>
      <c r="CZ23" s="118">
        <v>179310</v>
      </c>
      <c r="DA23" s="144">
        <f>+CZ23*0.19</f>
        <v>34068.9</v>
      </c>
      <c r="DB23" s="118">
        <f>+CZ23+DA23</f>
        <v>213378.9</v>
      </c>
      <c r="DC23" s="33" t="s">
        <v>57</v>
      </c>
      <c r="DD23" s="39" t="s">
        <v>58</v>
      </c>
      <c r="DE23" s="11">
        <v>1004680100</v>
      </c>
      <c r="DF23" s="132"/>
      <c r="DG23" s="132"/>
      <c r="DH23" s="132"/>
      <c r="DI23" s="132"/>
      <c r="DJ23" s="132"/>
      <c r="DK23" s="132"/>
      <c r="DL23" s="132"/>
      <c r="DM23" s="132"/>
      <c r="DN23" s="132"/>
      <c r="DO23" s="132"/>
      <c r="DP23" s="132"/>
      <c r="DQ23" s="132"/>
      <c r="DR23" s="132"/>
      <c r="DS23" s="132"/>
      <c r="DT23" s="132"/>
      <c r="DU23" s="132"/>
      <c r="DV23" s="132"/>
      <c r="DW23" s="132"/>
      <c r="DX23" s="132"/>
      <c r="DY23" s="132"/>
      <c r="DZ23" s="132"/>
      <c r="EA23" s="132"/>
      <c r="EB23" s="132"/>
      <c r="EC23" s="132"/>
      <c r="ED23" s="132"/>
      <c r="EE23" s="132"/>
      <c r="EF23" s="132"/>
      <c r="EG23" s="132"/>
      <c r="EH23" s="132"/>
      <c r="EI23" s="132"/>
      <c r="EJ23" s="132"/>
      <c r="EK23" s="132"/>
      <c r="EL23" s="132"/>
      <c r="EM23" s="132"/>
      <c r="EN23" s="132"/>
      <c r="EO23" s="132"/>
      <c r="EP23" s="132"/>
      <c r="EQ23" s="132"/>
      <c r="ER23" s="132"/>
      <c r="ES23" s="132"/>
      <c r="ET23" s="11"/>
      <c r="EU23" s="11"/>
      <c r="EV23" s="11"/>
      <c r="EW23" s="11"/>
      <c r="EX23" s="11"/>
      <c r="EY23" s="11"/>
      <c r="EZ23" s="11"/>
      <c r="FA23" s="11"/>
      <c r="FB23" s="11"/>
      <c r="FC23" s="11"/>
      <c r="FD23" s="11"/>
      <c r="FE23" s="11"/>
      <c r="FF23" s="11"/>
      <c r="FG23" s="11"/>
      <c r="FH23" s="39">
        <f t="shared" si="2"/>
        <v>3789256.31</v>
      </c>
      <c r="FI23" s="33">
        <f t="shared" si="3"/>
        <v>9</v>
      </c>
      <c r="FJ23" s="84">
        <f t="shared" si="4"/>
        <v>421028.4788888889</v>
      </c>
    </row>
    <row r="24" spans="1:166" ht="25.5" x14ac:dyDescent="0.25">
      <c r="A24" s="79" t="e">
        <f>#REF!</f>
        <v>#REF!</v>
      </c>
      <c r="B24" s="75" t="e">
        <f>#REF!</f>
        <v>#REF!</v>
      </c>
      <c r="C24" s="75" t="e">
        <f>#REF!</f>
        <v>#REF!</v>
      </c>
      <c r="D24" s="75" t="e">
        <f>#REF!</f>
        <v>#REF!</v>
      </c>
      <c r="E24" s="30">
        <v>1</v>
      </c>
      <c r="F24" s="238">
        <v>384951.91000000003</v>
      </c>
      <c r="G24" s="241">
        <v>371399</v>
      </c>
      <c r="H24" s="249">
        <v>374396.30170941661</v>
      </c>
      <c r="I24" s="249">
        <v>374374</v>
      </c>
      <c r="J24" s="249">
        <v>307766.34112903225</v>
      </c>
      <c r="K24" s="249">
        <v>357000</v>
      </c>
      <c r="L24" s="274">
        <f>AVERAGE(F24,H24,J24)</f>
        <v>355704.85094614961</v>
      </c>
      <c r="M24" s="274">
        <f>AVERAGE(G24,I24,K24)*1.03</f>
        <v>378618.73</v>
      </c>
      <c r="N24" s="245"/>
      <c r="O24" s="113"/>
      <c r="P24" s="113"/>
      <c r="Q24" s="131"/>
      <c r="R24" s="131"/>
      <c r="S24" s="64"/>
      <c r="T24" s="113"/>
      <c r="U24" s="117"/>
      <c r="V24" s="113"/>
      <c r="W24" s="131"/>
      <c r="X24" s="131"/>
      <c r="Y24" s="11"/>
      <c r="Z24" s="113"/>
      <c r="AA24" s="113"/>
      <c r="AB24" s="113"/>
      <c r="AC24" s="52"/>
      <c r="AD24" s="52"/>
      <c r="AE24" s="11"/>
      <c r="AF24" s="118">
        <v>400000</v>
      </c>
      <c r="AG24" s="144">
        <f>AF24*19%</f>
        <v>76000</v>
      </c>
      <c r="AH24" s="113">
        <f>+AF24+AG24</f>
        <v>476000</v>
      </c>
      <c r="AI24" s="11"/>
      <c r="AJ24" s="11"/>
      <c r="AK24" s="39"/>
      <c r="AL24" s="113">
        <v>321000</v>
      </c>
      <c r="AM24" s="113">
        <f>+AL24*0.19</f>
        <v>60990</v>
      </c>
      <c r="AN24" s="119">
        <f>+AL24+AM24</f>
        <v>381990</v>
      </c>
      <c r="AO24" s="76" t="s">
        <v>93</v>
      </c>
      <c r="AP24" s="266" t="s">
        <v>45</v>
      </c>
      <c r="AQ24" s="39"/>
      <c r="AR24" s="275">
        <v>273600</v>
      </c>
      <c r="AS24" s="113">
        <f>+AR24*0.19</f>
        <v>51984</v>
      </c>
      <c r="AT24" s="119">
        <f>+AR24+AS24</f>
        <v>325584</v>
      </c>
      <c r="AU24" s="62" t="s">
        <v>60</v>
      </c>
      <c r="AV24" s="48" t="s">
        <v>35</v>
      </c>
      <c r="AW24" s="31"/>
      <c r="AX24" s="116">
        <v>184944.69</v>
      </c>
      <c r="AY24" s="116">
        <f>+AX24*0.19</f>
        <v>35139.491099999999</v>
      </c>
      <c r="AZ24" s="143">
        <f>+AX24+AY24</f>
        <v>220084.18109999999</v>
      </c>
      <c r="BA24" s="191" t="s">
        <v>95</v>
      </c>
      <c r="BB24" s="132" t="s">
        <v>70</v>
      </c>
      <c r="BC24" s="132"/>
      <c r="BD24" s="274"/>
      <c r="BE24" s="143"/>
      <c r="BF24" s="143"/>
      <c r="BG24" s="132"/>
      <c r="BH24" s="132"/>
      <c r="BI24" s="132"/>
      <c r="BJ24" s="143"/>
      <c r="BK24" s="143"/>
      <c r="BL24" s="143"/>
      <c r="BM24" s="132"/>
      <c r="BN24" s="132"/>
      <c r="BO24" s="132"/>
      <c r="BP24" s="143"/>
      <c r="BQ24" s="132"/>
      <c r="BR24" s="132"/>
      <c r="BS24" s="132"/>
      <c r="BT24" s="132"/>
      <c r="BU24" s="132"/>
      <c r="BV24" s="263">
        <v>480000</v>
      </c>
      <c r="BW24" s="144">
        <f t="shared" si="14"/>
        <v>91200</v>
      </c>
      <c r="BX24" s="113">
        <f t="shared" si="15"/>
        <v>571200</v>
      </c>
      <c r="BY24" s="264" t="s">
        <v>94</v>
      </c>
      <c r="BZ24" s="264" t="s">
        <v>88</v>
      </c>
      <c r="CA24" s="132"/>
      <c r="CB24" s="274"/>
      <c r="CC24" s="144"/>
      <c r="CD24" s="274"/>
      <c r="CE24" s="132"/>
      <c r="CF24" s="132"/>
      <c r="CG24" s="132"/>
      <c r="CH24" s="263">
        <v>508800</v>
      </c>
      <c r="CI24" s="265">
        <f t="shared" si="16"/>
        <v>96672</v>
      </c>
      <c r="CJ24" s="263">
        <f t="shared" si="17"/>
        <v>605472</v>
      </c>
      <c r="CK24" s="264" t="s">
        <v>94</v>
      </c>
      <c r="CL24" s="264" t="s">
        <v>88</v>
      </c>
      <c r="CM24" s="132"/>
      <c r="CN24" s="274"/>
      <c r="CO24" s="144"/>
      <c r="CP24" s="274"/>
      <c r="CQ24" s="132"/>
      <c r="CR24" s="132"/>
      <c r="CS24" s="132"/>
      <c r="CT24" s="274">
        <v>995520</v>
      </c>
      <c r="CU24" s="144">
        <v>189148.79999999999</v>
      </c>
      <c r="CV24" s="144">
        <f t="shared" si="11"/>
        <v>1184668.8</v>
      </c>
      <c r="CW24" s="132"/>
      <c r="CX24" s="132"/>
      <c r="CY24" s="132"/>
      <c r="CZ24" s="118">
        <v>229517</v>
      </c>
      <c r="DA24" s="144">
        <f>+CZ24*0.19</f>
        <v>43608.23</v>
      </c>
      <c r="DB24" s="118">
        <f>+CZ24+DA24</f>
        <v>273125.23</v>
      </c>
      <c r="DC24" s="33" t="s">
        <v>96</v>
      </c>
      <c r="DD24" s="39" t="s">
        <v>58</v>
      </c>
      <c r="DE24" s="11">
        <v>1002441000</v>
      </c>
      <c r="DF24" s="132"/>
      <c r="DG24" s="132"/>
      <c r="DH24" s="132"/>
      <c r="DI24" s="132"/>
      <c r="DJ24" s="132"/>
      <c r="DK24" s="132"/>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1"/>
      <c r="EU24" s="11"/>
      <c r="EV24" s="11"/>
      <c r="EW24" s="11"/>
      <c r="EX24" s="11"/>
      <c r="EY24" s="11"/>
      <c r="EZ24" s="11"/>
      <c r="FA24" s="11"/>
      <c r="FB24" s="11"/>
      <c r="FC24" s="11"/>
      <c r="FD24" s="11"/>
      <c r="FE24" s="11"/>
      <c r="FF24" s="11"/>
      <c r="FG24" s="11"/>
      <c r="FH24" s="39">
        <f t="shared" si="2"/>
        <v>4416742.9410999995</v>
      </c>
      <c r="FI24" s="33">
        <f t="shared" si="3"/>
        <v>9</v>
      </c>
      <c r="FJ24" s="84">
        <f t="shared" si="4"/>
        <v>490749.21567777771</v>
      </c>
    </row>
    <row r="25" spans="1:166" ht="27" x14ac:dyDescent="0.25">
      <c r="A25" s="79" t="e">
        <f>#REF!</f>
        <v>#REF!</v>
      </c>
      <c r="B25" s="75" t="e">
        <f>#REF!</f>
        <v>#REF!</v>
      </c>
      <c r="C25" s="75" t="e">
        <f>#REF!</f>
        <v>#REF!</v>
      </c>
      <c r="D25" s="75" t="e">
        <f>#REF!</f>
        <v>#REF!</v>
      </c>
      <c r="E25" s="30">
        <v>1</v>
      </c>
      <c r="F25" s="238">
        <v>175229.2</v>
      </c>
      <c r="G25" s="241">
        <v>174930</v>
      </c>
      <c r="H25" s="249">
        <v>159205.2846177778</v>
      </c>
      <c r="I25" s="249">
        <v>0</v>
      </c>
      <c r="J25" s="249">
        <v>211073.67166666666</v>
      </c>
      <c r="K25" s="249">
        <v>190876</v>
      </c>
      <c r="L25" s="274">
        <f>AVERAGE(F25,H25,J25)</f>
        <v>181836.05209481483</v>
      </c>
      <c r="M25" s="274">
        <f>AVERAGE(G25,K25)*1.03</f>
        <v>188390.09</v>
      </c>
      <c r="N25" s="245"/>
      <c r="O25" s="113"/>
      <c r="P25" s="113"/>
      <c r="Q25" s="131"/>
      <c r="R25" s="131"/>
      <c r="S25" s="64"/>
      <c r="T25" s="113"/>
      <c r="U25" s="117"/>
      <c r="V25" s="113"/>
      <c r="W25" s="131"/>
      <c r="X25" s="131"/>
      <c r="Y25" s="11"/>
      <c r="Z25" s="113"/>
      <c r="AA25" s="113"/>
      <c r="AB25" s="113"/>
      <c r="AC25" s="52"/>
      <c r="AD25" s="52"/>
      <c r="AE25" s="11"/>
      <c r="AF25" s="118">
        <v>138000</v>
      </c>
      <c r="AG25" s="144">
        <f>AF25*19%</f>
        <v>26220</v>
      </c>
      <c r="AH25" s="113">
        <f>+AF25+AG25</f>
        <v>164220</v>
      </c>
      <c r="AI25" s="11"/>
      <c r="AJ25" s="11"/>
      <c r="AK25" s="39"/>
      <c r="AL25" s="113">
        <v>149000</v>
      </c>
      <c r="AM25" s="113">
        <f>+AL25*0.19</f>
        <v>28310</v>
      </c>
      <c r="AN25" s="119">
        <f>+AL25+AM25</f>
        <v>177310</v>
      </c>
      <c r="AO25" s="76" t="s">
        <v>90</v>
      </c>
      <c r="AP25" s="266" t="s">
        <v>45</v>
      </c>
      <c r="AQ25" s="39"/>
      <c r="AR25" s="275"/>
      <c r="AS25" s="156"/>
      <c r="AT25" s="157"/>
      <c r="AU25" s="62"/>
      <c r="AV25" s="62"/>
      <c r="AW25" s="31"/>
      <c r="AX25" s="116"/>
      <c r="AY25" s="196"/>
      <c r="AZ25" s="143"/>
      <c r="BA25" s="191"/>
      <c r="BB25" s="132"/>
      <c r="BC25" s="132"/>
      <c r="BD25" s="274"/>
      <c r="BE25" s="143"/>
      <c r="BF25" s="143"/>
      <c r="BG25" s="132"/>
      <c r="BH25" s="132"/>
      <c r="BI25" s="132"/>
      <c r="BJ25" s="143"/>
      <c r="BK25" s="143"/>
      <c r="BL25" s="143"/>
      <c r="BM25" s="132"/>
      <c r="BN25" s="132"/>
      <c r="BO25" s="132"/>
      <c r="BP25" s="143"/>
      <c r="BQ25" s="132"/>
      <c r="BR25" s="132"/>
      <c r="BS25" s="132"/>
      <c r="BT25" s="132"/>
      <c r="BU25" s="132"/>
      <c r="BV25" s="263">
        <v>130500</v>
      </c>
      <c r="BW25" s="144">
        <f t="shared" si="14"/>
        <v>24795</v>
      </c>
      <c r="BX25" s="113">
        <f t="shared" si="15"/>
        <v>155295</v>
      </c>
      <c r="BY25" s="264" t="s">
        <v>87</v>
      </c>
      <c r="BZ25" s="264" t="s">
        <v>63</v>
      </c>
      <c r="CA25" s="132"/>
      <c r="CB25" s="274"/>
      <c r="CC25" s="144"/>
      <c r="CD25" s="274"/>
      <c r="CE25" s="132"/>
      <c r="CF25" s="132"/>
      <c r="CG25" s="132"/>
      <c r="CH25" s="263">
        <v>138330</v>
      </c>
      <c r="CI25" s="265">
        <f t="shared" si="16"/>
        <v>26282.7</v>
      </c>
      <c r="CJ25" s="263">
        <f t="shared" si="17"/>
        <v>164612.70000000001</v>
      </c>
      <c r="CK25" s="264" t="s">
        <v>87</v>
      </c>
      <c r="CL25" s="264" t="s">
        <v>63</v>
      </c>
      <c r="CM25" s="132"/>
      <c r="CN25" s="274"/>
      <c r="CO25" s="144"/>
      <c r="CP25" s="274"/>
      <c r="CQ25" s="132"/>
      <c r="CR25" s="132"/>
      <c r="CS25" s="132"/>
      <c r="CT25" s="274">
        <v>250239.99999999997</v>
      </c>
      <c r="CU25" s="144">
        <v>47545.599999999999</v>
      </c>
      <c r="CV25" s="144">
        <f t="shared" si="11"/>
        <v>297785.59999999998</v>
      </c>
      <c r="CW25" s="132"/>
      <c r="CX25" s="132"/>
      <c r="CY25" s="132"/>
      <c r="CZ25" s="118">
        <v>99862</v>
      </c>
      <c r="DA25" s="144">
        <f>+CZ25*0.19</f>
        <v>18973.78</v>
      </c>
      <c r="DB25" s="118">
        <f>+CZ25+DA25</f>
        <v>118835.78</v>
      </c>
      <c r="DC25" s="33" t="s">
        <v>97</v>
      </c>
      <c r="DD25" s="39" t="s">
        <v>58</v>
      </c>
      <c r="DE25" s="11" t="s">
        <v>98</v>
      </c>
      <c r="DF25" s="132"/>
      <c r="DG25" s="132"/>
      <c r="DH25" s="132"/>
      <c r="DI25" s="132"/>
      <c r="DJ25" s="132"/>
      <c r="DK25" s="132"/>
      <c r="DL25" s="132"/>
      <c r="DM25" s="132"/>
      <c r="DN25" s="132"/>
      <c r="DO25" s="132"/>
      <c r="DP25" s="132"/>
      <c r="DQ25" s="132"/>
      <c r="DR25" s="132"/>
      <c r="DS25" s="132"/>
      <c r="DT25" s="132"/>
      <c r="DU25" s="132"/>
      <c r="DV25" s="132"/>
      <c r="DW25" s="132"/>
      <c r="DX25" s="132"/>
      <c r="DY25" s="132"/>
      <c r="DZ25" s="132"/>
      <c r="EA25" s="132"/>
      <c r="EB25" s="132"/>
      <c r="EC25" s="132"/>
      <c r="ED25" s="132"/>
      <c r="EE25" s="132"/>
      <c r="EF25" s="132"/>
      <c r="EG25" s="132"/>
      <c r="EH25" s="132"/>
      <c r="EI25" s="132"/>
      <c r="EJ25" s="132"/>
      <c r="EK25" s="132"/>
      <c r="EL25" s="132"/>
      <c r="EM25" s="132"/>
      <c r="EN25" s="132"/>
      <c r="EO25" s="132"/>
      <c r="EP25" s="132"/>
      <c r="EQ25" s="132"/>
      <c r="ER25" s="132"/>
      <c r="ES25" s="132"/>
      <c r="ET25" s="11"/>
      <c r="EU25" s="11"/>
      <c r="EV25" s="11"/>
      <c r="EW25" s="11"/>
      <c r="EX25" s="11"/>
      <c r="EY25" s="11"/>
      <c r="EZ25" s="11"/>
      <c r="FA25" s="11"/>
      <c r="FB25" s="11"/>
      <c r="FC25" s="11"/>
      <c r="FD25" s="11"/>
      <c r="FE25" s="11"/>
      <c r="FF25" s="11"/>
      <c r="FG25" s="11"/>
      <c r="FH25" s="39">
        <f t="shared" si="2"/>
        <v>1266449.1700000002</v>
      </c>
      <c r="FI25" s="33">
        <f t="shared" si="3"/>
        <v>7</v>
      </c>
      <c r="FJ25" s="84">
        <f t="shared" si="4"/>
        <v>180921.31000000003</v>
      </c>
    </row>
    <row r="26" spans="1:166" ht="35.25" customHeight="1" x14ac:dyDescent="0.25">
      <c r="A26" s="79" t="e">
        <f>#REF!</f>
        <v>#REF!</v>
      </c>
      <c r="B26" s="75" t="e">
        <f>#REF!</f>
        <v>#REF!</v>
      </c>
      <c r="C26" s="75" t="e">
        <f>#REF!</f>
        <v>#REF!</v>
      </c>
      <c r="D26" s="75" t="e">
        <f>#REF!</f>
        <v>#REF!</v>
      </c>
      <c r="E26" s="30">
        <v>1</v>
      </c>
      <c r="F26" s="238">
        <v>0</v>
      </c>
      <c r="G26" s="241">
        <v>0</v>
      </c>
      <c r="H26" s="249">
        <v>812403</v>
      </c>
      <c r="I26" s="249">
        <v>0</v>
      </c>
      <c r="J26" s="249">
        <v>0</v>
      </c>
      <c r="K26" s="249">
        <v>0</v>
      </c>
      <c r="L26" s="274">
        <f>H26</f>
        <v>812403</v>
      </c>
      <c r="M26" s="274"/>
      <c r="N26" s="245"/>
      <c r="O26" s="113"/>
      <c r="P26" s="113"/>
      <c r="Q26" s="131"/>
      <c r="R26" s="131"/>
      <c r="S26" s="64"/>
      <c r="T26" s="113"/>
      <c r="U26" s="113"/>
      <c r="V26" s="113"/>
      <c r="W26" s="131"/>
      <c r="X26" s="131"/>
      <c r="Y26" s="11"/>
      <c r="Z26" s="113"/>
      <c r="AA26" s="113"/>
      <c r="AB26" s="113"/>
      <c r="AC26" s="52"/>
      <c r="AD26" s="52"/>
      <c r="AE26" s="11"/>
      <c r="AF26" s="118"/>
      <c r="AG26" s="144"/>
      <c r="AH26" s="113"/>
      <c r="AI26" s="11"/>
      <c r="AJ26" s="11"/>
      <c r="AK26" s="39"/>
      <c r="AL26" s="113"/>
      <c r="AM26" s="113"/>
      <c r="AN26" s="119"/>
      <c r="AO26" s="76"/>
      <c r="AP26" s="39"/>
      <c r="AQ26" s="39"/>
      <c r="AR26" s="275">
        <f>1728000/4</f>
        <v>432000</v>
      </c>
      <c r="AS26" s="113">
        <f>+AR26*0.19</f>
        <v>82080</v>
      </c>
      <c r="AT26" s="119">
        <f>+AR26+AS26</f>
        <v>514080</v>
      </c>
      <c r="AU26" s="163" t="s">
        <v>99</v>
      </c>
      <c r="AV26" s="48" t="s">
        <v>35</v>
      </c>
      <c r="AW26" s="31"/>
      <c r="AX26" s="116"/>
      <c r="AY26" s="194"/>
      <c r="AZ26" s="143"/>
      <c r="BA26" s="191"/>
      <c r="BB26" s="132"/>
      <c r="BC26" s="132"/>
      <c r="BD26" s="274"/>
      <c r="BE26" s="143"/>
      <c r="BF26" s="143"/>
      <c r="BG26" s="132"/>
      <c r="BH26" s="132"/>
      <c r="BI26" s="132"/>
      <c r="BJ26" s="143"/>
      <c r="BK26" s="143"/>
      <c r="BL26" s="143"/>
      <c r="BM26" s="132"/>
      <c r="BN26" s="132"/>
      <c r="BO26" s="132"/>
      <c r="BP26" s="143"/>
      <c r="BQ26" s="132"/>
      <c r="BR26" s="132"/>
      <c r="BS26" s="132"/>
      <c r="BT26" s="132"/>
      <c r="BU26" s="132"/>
      <c r="BV26" s="263">
        <v>1414000</v>
      </c>
      <c r="BW26" s="144">
        <f t="shared" si="14"/>
        <v>268660</v>
      </c>
      <c r="BX26" s="113">
        <f t="shared" si="15"/>
        <v>1682660</v>
      </c>
      <c r="BY26" s="264" t="s">
        <v>100</v>
      </c>
      <c r="BZ26" s="264" t="s">
        <v>101</v>
      </c>
      <c r="CA26" s="132"/>
      <c r="CB26" s="274"/>
      <c r="CC26" s="144"/>
      <c r="CD26" s="274"/>
      <c r="CE26" s="132"/>
      <c r="CF26" s="132"/>
      <c r="CG26" s="132"/>
      <c r="CH26" s="263">
        <v>1470560</v>
      </c>
      <c r="CI26" s="265">
        <f t="shared" si="16"/>
        <v>279406.40000000002</v>
      </c>
      <c r="CJ26" s="263">
        <f t="shared" si="17"/>
        <v>1749966.4</v>
      </c>
      <c r="CK26" s="264" t="s">
        <v>100</v>
      </c>
      <c r="CL26" s="264" t="s">
        <v>101</v>
      </c>
      <c r="CM26" s="132"/>
      <c r="CN26" s="274"/>
      <c r="CO26" s="144"/>
      <c r="CP26" s="274"/>
      <c r="CQ26" s="132"/>
      <c r="CR26" s="132"/>
      <c r="CS26" s="132"/>
      <c r="CT26" s="274">
        <v>233920</v>
      </c>
      <c r="CU26" s="144">
        <v>44444.800000000003</v>
      </c>
      <c r="CV26" s="144">
        <f t="shared" si="11"/>
        <v>278364.79999999999</v>
      </c>
      <c r="CW26" s="132"/>
      <c r="CX26" s="132"/>
      <c r="CY26" s="132"/>
      <c r="CZ26" s="118">
        <v>1123762</v>
      </c>
      <c r="DA26" s="144">
        <f>+CZ26*0.19</f>
        <v>213514.78</v>
      </c>
      <c r="DB26" s="118">
        <f>+CZ26+DA26</f>
        <v>1337276.78</v>
      </c>
      <c r="DC26" s="33" t="s">
        <v>102</v>
      </c>
      <c r="DD26" s="76" t="s">
        <v>103</v>
      </c>
      <c r="DE26" s="11" t="s">
        <v>104</v>
      </c>
      <c r="DF26" s="132"/>
      <c r="DG26" s="132"/>
      <c r="DH26" s="132"/>
      <c r="DI26" s="132"/>
      <c r="DJ26" s="132"/>
      <c r="DK26" s="132"/>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1"/>
      <c r="EU26" s="11"/>
      <c r="EV26" s="11"/>
      <c r="EW26" s="11"/>
      <c r="EX26" s="11"/>
      <c r="EY26" s="11"/>
      <c r="EZ26" s="11"/>
      <c r="FA26" s="11"/>
      <c r="FB26" s="11"/>
      <c r="FC26" s="11"/>
      <c r="FD26" s="11"/>
      <c r="FE26" s="11"/>
      <c r="FF26" s="11"/>
      <c r="FG26" s="11"/>
      <c r="FH26" s="39">
        <f t="shared" si="2"/>
        <v>5562347.9800000004</v>
      </c>
      <c r="FI26" s="33">
        <f t="shared" si="3"/>
        <v>5</v>
      </c>
      <c r="FJ26" s="84">
        <f t="shared" si="4"/>
        <v>1112469.5960000001</v>
      </c>
    </row>
    <row r="27" spans="1:166" ht="35.25" customHeight="1" x14ac:dyDescent="0.25">
      <c r="A27" s="79" t="e">
        <f>#REF!</f>
        <v>#REF!</v>
      </c>
      <c r="B27" s="75" t="e">
        <f>#REF!</f>
        <v>#REF!</v>
      </c>
      <c r="C27" s="75" t="e">
        <f>#REF!</f>
        <v>#REF!</v>
      </c>
      <c r="D27" s="75" t="e">
        <f>#REF!</f>
        <v>#REF!</v>
      </c>
      <c r="E27" s="30">
        <v>1</v>
      </c>
      <c r="F27" s="238">
        <v>0</v>
      </c>
      <c r="G27" s="241">
        <v>0</v>
      </c>
      <c r="H27" s="249">
        <v>1120997.55</v>
      </c>
      <c r="I27" s="249">
        <v>197540</v>
      </c>
      <c r="J27" s="249">
        <v>333332.90572580649</v>
      </c>
      <c r="K27" s="249">
        <v>315350</v>
      </c>
      <c r="L27" s="274">
        <f>AVERAGE(H27,J27)</f>
        <v>727165.22786290327</v>
      </c>
      <c r="M27" s="274">
        <f>AVERAGE(I27,K27)*1.03</f>
        <v>264138.35000000003</v>
      </c>
      <c r="N27" s="245"/>
      <c r="O27" s="113"/>
      <c r="P27" s="113"/>
      <c r="Q27" s="131"/>
      <c r="R27" s="131"/>
      <c r="S27" s="64"/>
      <c r="T27" s="121"/>
      <c r="U27" s="117"/>
      <c r="V27" s="113"/>
      <c r="W27" s="131"/>
      <c r="X27" s="131"/>
      <c r="Y27" s="11"/>
      <c r="Z27" s="113"/>
      <c r="AA27" s="113"/>
      <c r="AB27" s="113"/>
      <c r="AC27" s="52"/>
      <c r="AD27" s="52"/>
      <c r="AE27" s="11"/>
      <c r="AF27" s="118">
        <v>260000</v>
      </c>
      <c r="AG27" s="144">
        <f>AF27*19%</f>
        <v>49400</v>
      </c>
      <c r="AH27" s="113">
        <f>+AF27+AG27</f>
        <v>309400</v>
      </c>
      <c r="AI27" s="11"/>
      <c r="AJ27" s="11"/>
      <c r="AK27" s="39"/>
      <c r="AL27" s="113">
        <v>276000</v>
      </c>
      <c r="AM27" s="113">
        <f>+AL27*0.19</f>
        <v>52440</v>
      </c>
      <c r="AN27" s="119">
        <f>+AL27+AM27</f>
        <v>328440</v>
      </c>
      <c r="AO27" s="76" t="s">
        <v>90</v>
      </c>
      <c r="AP27" s="266" t="s">
        <v>45</v>
      </c>
      <c r="AQ27" s="39"/>
      <c r="AR27" s="275">
        <v>271479</v>
      </c>
      <c r="AS27" s="113">
        <f>+AR27*0.19</f>
        <v>51581.01</v>
      </c>
      <c r="AT27" s="119">
        <f>+AR27+AS27</f>
        <v>323060.01</v>
      </c>
      <c r="AU27" s="62" t="s">
        <v>91</v>
      </c>
      <c r="AV27" s="48" t="s">
        <v>45</v>
      </c>
      <c r="AW27" s="31"/>
      <c r="AX27" s="116"/>
      <c r="AY27" s="116"/>
      <c r="AZ27" s="143"/>
      <c r="BA27" s="191"/>
      <c r="BB27" s="132"/>
      <c r="BC27" s="132"/>
      <c r="BD27" s="274"/>
      <c r="BE27" s="143"/>
      <c r="BF27" s="143"/>
      <c r="BG27" s="132"/>
      <c r="BH27" s="132"/>
      <c r="BI27" s="132"/>
      <c r="BJ27" s="143"/>
      <c r="BK27" s="143"/>
      <c r="BL27" s="143"/>
      <c r="BM27" s="132"/>
      <c r="BN27" s="132"/>
      <c r="BO27" s="132"/>
      <c r="BP27" s="143"/>
      <c r="BQ27" s="132"/>
      <c r="BR27" s="132"/>
      <c r="BS27" s="132"/>
      <c r="BT27" s="132"/>
      <c r="BU27" s="132"/>
      <c r="BV27" s="263">
        <v>404200</v>
      </c>
      <c r="BW27" s="144">
        <f t="shared" si="14"/>
        <v>76798</v>
      </c>
      <c r="BX27" s="113">
        <f t="shared" si="15"/>
        <v>480998</v>
      </c>
      <c r="BY27" s="264" t="s">
        <v>87</v>
      </c>
      <c r="BZ27" s="264" t="s">
        <v>88</v>
      </c>
      <c r="CA27" s="132"/>
      <c r="CB27" s="274"/>
      <c r="CC27" s="144"/>
      <c r="CD27" s="274"/>
      <c r="CE27" s="132"/>
      <c r="CF27" s="132"/>
      <c r="CG27" s="132"/>
      <c r="CH27" s="263">
        <v>416326</v>
      </c>
      <c r="CI27" s="265">
        <f t="shared" si="16"/>
        <v>79101.94</v>
      </c>
      <c r="CJ27" s="263">
        <f t="shared" si="17"/>
        <v>495427.94</v>
      </c>
      <c r="CK27" s="264" t="s">
        <v>87</v>
      </c>
      <c r="CL27" s="264" t="s">
        <v>88</v>
      </c>
      <c r="CM27" s="132"/>
      <c r="CN27" s="274"/>
      <c r="CO27" s="144"/>
      <c r="CP27" s="274"/>
      <c r="CQ27" s="132"/>
      <c r="CR27" s="132"/>
      <c r="CS27" s="132"/>
      <c r="CT27" s="274">
        <v>244800</v>
      </c>
      <c r="CU27" s="144">
        <v>46512</v>
      </c>
      <c r="CV27" s="144">
        <f t="shared" si="11"/>
        <v>291312</v>
      </c>
      <c r="CW27" s="132"/>
      <c r="CX27" s="132"/>
      <c r="CY27" s="132"/>
      <c r="CZ27" s="118"/>
      <c r="DA27" s="144"/>
      <c r="DB27" s="118"/>
      <c r="DC27" s="33"/>
      <c r="DD27" s="39"/>
      <c r="DE27" s="11"/>
      <c r="DF27" s="132"/>
      <c r="DG27" s="132"/>
      <c r="DH27" s="132"/>
      <c r="DI27" s="132"/>
      <c r="DJ27" s="132"/>
      <c r="DK27" s="132"/>
      <c r="DL27" s="132"/>
      <c r="DM27" s="132"/>
      <c r="DN27" s="132"/>
      <c r="DO27" s="132"/>
      <c r="DP27" s="132"/>
      <c r="DQ27" s="132"/>
      <c r="DR27" s="132"/>
      <c r="DS27" s="132"/>
      <c r="DT27" s="132"/>
      <c r="DU27" s="132"/>
      <c r="DV27" s="132"/>
      <c r="DW27" s="132"/>
      <c r="DX27" s="132"/>
      <c r="DY27" s="132"/>
      <c r="DZ27" s="132"/>
      <c r="EA27" s="132"/>
      <c r="EB27" s="132"/>
      <c r="EC27" s="132"/>
      <c r="ED27" s="132"/>
      <c r="EE27" s="132"/>
      <c r="EF27" s="132"/>
      <c r="EG27" s="132"/>
      <c r="EH27" s="132"/>
      <c r="EI27" s="132"/>
      <c r="EJ27" s="132"/>
      <c r="EK27" s="132"/>
      <c r="EL27" s="132"/>
      <c r="EM27" s="132"/>
      <c r="EN27" s="132"/>
      <c r="EO27" s="132"/>
      <c r="EP27" s="132"/>
      <c r="EQ27" s="132"/>
      <c r="ER27" s="132"/>
      <c r="ES27" s="132"/>
      <c r="ET27" s="11"/>
      <c r="EU27" s="11"/>
      <c r="EV27" s="11"/>
      <c r="EW27" s="11"/>
      <c r="EX27" s="11"/>
      <c r="EY27" s="11"/>
      <c r="EZ27" s="11"/>
      <c r="FA27" s="11"/>
      <c r="FB27" s="11"/>
      <c r="FC27" s="11"/>
      <c r="FD27" s="11"/>
      <c r="FE27" s="11"/>
      <c r="FF27" s="11"/>
      <c r="FG27" s="11"/>
      <c r="FH27" s="39">
        <f t="shared" si="2"/>
        <v>2492776.3000000003</v>
      </c>
      <c r="FI27" s="33">
        <f t="shared" si="3"/>
        <v>7</v>
      </c>
      <c r="FJ27" s="84">
        <f t="shared" si="4"/>
        <v>356110.9</v>
      </c>
    </row>
    <row r="28" spans="1:166" ht="35.25" customHeight="1" x14ac:dyDescent="0.25">
      <c r="A28" s="79" t="e">
        <f>#REF!</f>
        <v>#REF!</v>
      </c>
      <c r="B28" s="75" t="e">
        <f>#REF!</f>
        <v>#REF!</v>
      </c>
      <c r="C28" s="75" t="e">
        <f>#REF!</f>
        <v>#REF!</v>
      </c>
      <c r="D28" s="75" t="e">
        <f>#REF!</f>
        <v>#REF!</v>
      </c>
      <c r="E28" s="30">
        <v>1</v>
      </c>
      <c r="F28" s="238">
        <v>0</v>
      </c>
      <c r="G28" s="241">
        <v>0</v>
      </c>
      <c r="H28" s="249">
        <v>0</v>
      </c>
      <c r="I28" s="249">
        <v>0</v>
      </c>
      <c r="J28" s="249">
        <v>0</v>
      </c>
      <c r="K28" s="249">
        <v>0</v>
      </c>
      <c r="L28" s="274"/>
      <c r="M28" s="274"/>
      <c r="N28" s="245"/>
      <c r="O28" s="113"/>
      <c r="P28" s="113"/>
      <c r="Q28" s="131"/>
      <c r="R28" s="131"/>
      <c r="S28" s="64"/>
      <c r="T28" s="113"/>
      <c r="U28" s="113"/>
      <c r="V28" s="113"/>
      <c r="W28" s="131"/>
      <c r="X28" s="131"/>
      <c r="Y28" s="11"/>
      <c r="Z28" s="113"/>
      <c r="AA28" s="113"/>
      <c r="AB28" s="113"/>
      <c r="AC28" s="52"/>
      <c r="AD28" s="52"/>
      <c r="AE28" s="11"/>
      <c r="AF28" s="118"/>
      <c r="AG28" s="144"/>
      <c r="AH28" s="113"/>
      <c r="AI28" s="11"/>
      <c r="AJ28" s="11"/>
      <c r="AK28" s="39"/>
      <c r="AL28" s="113"/>
      <c r="AM28" s="113"/>
      <c r="AN28" s="117"/>
      <c r="AO28" s="76"/>
      <c r="AP28" s="39"/>
      <c r="AQ28" s="39"/>
      <c r="AR28" s="275"/>
      <c r="AS28" s="156"/>
      <c r="AT28" s="157"/>
      <c r="AU28" s="62"/>
      <c r="AV28" s="62"/>
      <c r="AW28" s="31"/>
      <c r="AX28" s="176">
        <v>553735.82437499997</v>
      </c>
      <c r="AY28" s="116">
        <f>+AX28*0.19</f>
        <v>105209.80663125</v>
      </c>
      <c r="AZ28" s="143">
        <f>+AX28+AY28</f>
        <v>658945.63100624993</v>
      </c>
      <c r="BA28" s="168" t="s">
        <v>105</v>
      </c>
      <c r="BB28" s="132" t="s">
        <v>70</v>
      </c>
      <c r="BC28" s="132"/>
      <c r="BD28" s="274"/>
      <c r="BE28" s="143"/>
      <c r="BF28" s="143"/>
      <c r="BG28" s="132"/>
      <c r="BH28" s="132"/>
      <c r="BI28" s="132"/>
      <c r="BJ28" s="143"/>
      <c r="BK28" s="143"/>
      <c r="BL28" s="143"/>
      <c r="BM28" s="132"/>
      <c r="BN28" s="132"/>
      <c r="BO28" s="132"/>
      <c r="BP28" s="143"/>
      <c r="BQ28" s="132"/>
      <c r="BR28" s="132"/>
      <c r="BS28" s="132"/>
      <c r="BT28" s="132"/>
      <c r="BU28" s="132"/>
      <c r="BV28" s="263">
        <v>454100</v>
      </c>
      <c r="BW28" s="144">
        <f t="shared" si="14"/>
        <v>86279</v>
      </c>
      <c r="BX28" s="113">
        <f t="shared" si="15"/>
        <v>540379</v>
      </c>
      <c r="BY28" s="264" t="s">
        <v>106</v>
      </c>
      <c r="BZ28" s="264" t="s">
        <v>88</v>
      </c>
      <c r="CA28" s="132"/>
      <c r="CB28" s="274"/>
      <c r="CC28" s="144"/>
      <c r="CD28" s="274"/>
      <c r="CE28" s="132"/>
      <c r="CF28" s="132"/>
      <c r="CG28" s="132"/>
      <c r="CH28" s="263">
        <v>463182</v>
      </c>
      <c r="CI28" s="265">
        <f t="shared" si="16"/>
        <v>88004.58</v>
      </c>
      <c r="CJ28" s="263">
        <f t="shared" si="17"/>
        <v>551186.57999999996</v>
      </c>
      <c r="CK28" s="264" t="s">
        <v>106</v>
      </c>
      <c r="CL28" s="264" t="s">
        <v>88</v>
      </c>
      <c r="CM28" s="132"/>
      <c r="CN28" s="274"/>
      <c r="CO28" s="144"/>
      <c r="CP28" s="274"/>
      <c r="CQ28" s="132"/>
      <c r="CR28" s="132"/>
      <c r="CS28" s="132"/>
      <c r="CT28" s="274">
        <v>342720</v>
      </c>
      <c r="CU28" s="144">
        <v>65116.800000000003</v>
      </c>
      <c r="CV28" s="144">
        <f t="shared" si="11"/>
        <v>407836.8</v>
      </c>
      <c r="CW28" s="132"/>
      <c r="CX28" s="132"/>
      <c r="CY28" s="132"/>
      <c r="CZ28" s="118"/>
      <c r="DA28" s="144"/>
      <c r="DB28" s="118"/>
      <c r="DC28" s="33"/>
      <c r="DD28" s="39"/>
      <c r="DE28" s="11"/>
      <c r="DF28" s="132"/>
      <c r="DG28" s="132"/>
      <c r="DH28" s="132"/>
      <c r="DI28" s="132"/>
      <c r="DJ28" s="132"/>
      <c r="DK28" s="132"/>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35"/>
      <c r="EJ28" s="132"/>
      <c r="EK28" s="132"/>
      <c r="EL28" s="132"/>
      <c r="EM28" s="132"/>
      <c r="EN28" s="132"/>
      <c r="EO28" s="132"/>
      <c r="EP28" s="132"/>
      <c r="EQ28" s="132"/>
      <c r="ER28" s="132"/>
      <c r="ES28" s="132"/>
      <c r="ET28" s="11"/>
      <c r="EU28" s="11"/>
      <c r="EV28" s="11"/>
      <c r="EW28" s="11"/>
      <c r="EX28" s="11"/>
      <c r="EY28" s="11"/>
      <c r="EZ28" s="11"/>
      <c r="FA28" s="11"/>
      <c r="FB28" s="11"/>
      <c r="FC28" s="11"/>
      <c r="FD28" s="11"/>
      <c r="FE28" s="11"/>
      <c r="FF28" s="11"/>
      <c r="FG28" s="11"/>
      <c r="FH28" s="39">
        <f t="shared" si="2"/>
        <v>2158348.0110062496</v>
      </c>
      <c r="FI28" s="33">
        <f t="shared" si="3"/>
        <v>4</v>
      </c>
      <c r="FJ28" s="84">
        <f t="shared" si="4"/>
        <v>539587.0027515624</v>
      </c>
    </row>
    <row r="29" spans="1:166" ht="27" x14ac:dyDescent="0.25">
      <c r="A29" s="79" t="e">
        <f>#REF!</f>
        <v>#REF!</v>
      </c>
      <c r="B29" s="75" t="e">
        <f>#REF!</f>
        <v>#REF!</v>
      </c>
      <c r="C29" s="75" t="e">
        <f>#REF!</f>
        <v>#REF!</v>
      </c>
      <c r="D29" s="75" t="e">
        <f>#REF!</f>
        <v>#REF!</v>
      </c>
      <c r="E29" s="30">
        <v>1</v>
      </c>
      <c r="F29" s="238">
        <v>0</v>
      </c>
      <c r="G29" s="241">
        <v>0</v>
      </c>
      <c r="H29" s="249">
        <v>1372129.5</v>
      </c>
      <c r="I29" s="249">
        <v>0</v>
      </c>
      <c r="J29" s="249">
        <v>1374436.9100000001</v>
      </c>
      <c r="K29" s="249">
        <v>0</v>
      </c>
      <c r="L29" s="274">
        <f>AVERAGE(H29,J29)</f>
        <v>1373283.2050000001</v>
      </c>
      <c r="M29" s="274"/>
      <c r="N29" s="245"/>
      <c r="O29" s="113"/>
      <c r="P29" s="113"/>
      <c r="Q29" s="131"/>
      <c r="R29" s="131"/>
      <c r="S29" s="64"/>
      <c r="T29" s="121"/>
      <c r="U29" s="113"/>
      <c r="V29" s="113"/>
      <c r="W29" s="131"/>
      <c r="X29" s="131"/>
      <c r="Y29" s="11"/>
      <c r="Z29" s="113"/>
      <c r="AA29" s="113"/>
      <c r="AB29" s="113"/>
      <c r="AC29" s="52"/>
      <c r="AD29" s="52"/>
      <c r="AE29" s="11"/>
      <c r="AF29" s="118"/>
      <c r="AG29" s="144"/>
      <c r="AH29" s="113"/>
      <c r="AI29" s="11"/>
      <c r="AJ29" s="11"/>
      <c r="AK29" s="39"/>
      <c r="AL29" s="113">
        <v>1250000</v>
      </c>
      <c r="AM29" s="113">
        <f>+AL29*0.19</f>
        <v>237500</v>
      </c>
      <c r="AN29" s="119">
        <f>+AL29+AM29</f>
        <v>1487500</v>
      </c>
      <c r="AO29" s="76" t="s">
        <v>54</v>
      </c>
      <c r="AP29" s="266" t="s">
        <v>45</v>
      </c>
      <c r="AQ29" s="39"/>
      <c r="AR29" s="275">
        <f>893871/4</f>
        <v>223467.75</v>
      </c>
      <c r="AS29" s="113">
        <f>+AR29*0.19</f>
        <v>42458.872499999998</v>
      </c>
      <c r="AT29" s="119">
        <f>+AR29+AS29</f>
        <v>265926.6225</v>
      </c>
      <c r="AU29" s="62" t="s">
        <v>54</v>
      </c>
      <c r="AV29" s="48" t="s">
        <v>45</v>
      </c>
      <c r="AW29" s="31"/>
      <c r="AX29" s="116"/>
      <c r="AY29" s="194"/>
      <c r="AZ29" s="143"/>
      <c r="BA29" s="191"/>
      <c r="BB29" s="132"/>
      <c r="BC29" s="132"/>
      <c r="BD29" s="274"/>
      <c r="BE29" s="143"/>
      <c r="BF29" s="143"/>
      <c r="BG29" s="132"/>
      <c r="BH29" s="132"/>
      <c r="BI29" s="132"/>
      <c r="BJ29" s="143"/>
      <c r="BK29" s="143"/>
      <c r="BL29" s="143"/>
      <c r="BM29" s="132"/>
      <c r="BN29" s="132"/>
      <c r="BO29" s="132"/>
      <c r="BP29" s="143"/>
      <c r="BQ29" s="132"/>
      <c r="BR29" s="132"/>
      <c r="BS29" s="132"/>
      <c r="BT29" s="132"/>
      <c r="BU29" s="132"/>
      <c r="BV29" s="263">
        <v>3194800</v>
      </c>
      <c r="BW29" s="144">
        <f t="shared" si="14"/>
        <v>607012</v>
      </c>
      <c r="BX29" s="113">
        <f t="shared" si="15"/>
        <v>3801812</v>
      </c>
      <c r="BY29" s="264" t="s">
        <v>100</v>
      </c>
      <c r="BZ29" s="264" t="s">
        <v>63</v>
      </c>
      <c r="CA29" s="132"/>
      <c r="CB29" s="274"/>
      <c r="CC29" s="144"/>
      <c r="CD29" s="274"/>
      <c r="CE29" s="132"/>
      <c r="CF29" s="132"/>
      <c r="CG29" s="132"/>
      <c r="CH29" s="263"/>
      <c r="CI29" s="265"/>
      <c r="CJ29" s="263"/>
      <c r="CK29" s="264"/>
      <c r="CL29" s="264"/>
      <c r="CM29" s="132"/>
      <c r="CN29" s="274"/>
      <c r="CO29" s="144"/>
      <c r="CP29" s="274"/>
      <c r="CQ29" s="132"/>
      <c r="CR29" s="132"/>
      <c r="CS29" s="132"/>
      <c r="CT29" s="274">
        <v>369920</v>
      </c>
      <c r="CU29" s="144">
        <v>70284.800000000003</v>
      </c>
      <c r="CV29" s="144">
        <f t="shared" si="11"/>
        <v>440204.79999999999</v>
      </c>
      <c r="CW29" s="132"/>
      <c r="CX29" s="132"/>
      <c r="CY29" s="132"/>
      <c r="CZ29" s="118">
        <v>342621</v>
      </c>
      <c r="DA29" s="144">
        <f>+CZ29*0.19</f>
        <v>65097.99</v>
      </c>
      <c r="DB29" s="118">
        <f>+CZ29+DA29</f>
        <v>407718.99</v>
      </c>
      <c r="DC29" s="33" t="s">
        <v>107</v>
      </c>
      <c r="DD29" s="39" t="s">
        <v>58</v>
      </c>
      <c r="DE29" s="11">
        <v>1005320025</v>
      </c>
      <c r="DF29" s="132"/>
      <c r="DG29" s="132"/>
      <c r="DH29" s="132"/>
      <c r="DI29" s="132"/>
      <c r="DJ29" s="132"/>
      <c r="DK29" s="132"/>
      <c r="DL29" s="132"/>
      <c r="DM29" s="132"/>
      <c r="DN29" s="132"/>
      <c r="DO29" s="132"/>
      <c r="DP29" s="132"/>
      <c r="DQ29" s="132"/>
      <c r="DR29" s="132"/>
      <c r="DS29" s="132"/>
      <c r="DT29" s="132"/>
      <c r="DU29" s="132"/>
      <c r="DV29" s="132"/>
      <c r="DW29" s="132"/>
      <c r="DX29" s="132"/>
      <c r="DY29" s="132"/>
      <c r="DZ29" s="132"/>
      <c r="EA29" s="132"/>
      <c r="EB29" s="132"/>
      <c r="EC29" s="132"/>
      <c r="ED29" s="132"/>
      <c r="EE29" s="132"/>
      <c r="EF29" s="132"/>
      <c r="EG29" s="132"/>
      <c r="EH29" s="132"/>
      <c r="EI29" s="132"/>
      <c r="EJ29" s="132"/>
      <c r="EK29" s="132"/>
      <c r="EL29" s="132"/>
      <c r="EM29" s="132"/>
      <c r="EN29" s="132"/>
      <c r="EO29" s="132"/>
      <c r="EP29" s="132"/>
      <c r="EQ29" s="132"/>
      <c r="ER29" s="132"/>
      <c r="ES29" s="132"/>
      <c r="ET29" s="11"/>
      <c r="EU29" s="11"/>
      <c r="EV29" s="11"/>
      <c r="EW29" s="11"/>
      <c r="EX29" s="11"/>
      <c r="EY29" s="11"/>
      <c r="EZ29" s="11"/>
      <c r="FA29" s="11"/>
      <c r="FB29" s="11"/>
      <c r="FC29" s="11"/>
      <c r="FD29" s="11"/>
      <c r="FE29" s="11"/>
      <c r="FF29" s="11"/>
      <c r="FG29" s="11"/>
      <c r="FH29" s="39">
        <f t="shared" si="2"/>
        <v>6403162.4125000006</v>
      </c>
      <c r="FI29" s="33">
        <f t="shared" si="3"/>
        <v>5</v>
      </c>
      <c r="FJ29" s="84">
        <f t="shared" si="4"/>
        <v>1280632.4825000002</v>
      </c>
    </row>
    <row r="30" spans="1:166" ht="27" x14ac:dyDescent="0.25">
      <c r="A30" s="79" t="e">
        <f>#REF!</f>
        <v>#REF!</v>
      </c>
      <c r="B30" s="75" t="e">
        <f>#REF!</f>
        <v>#REF!</v>
      </c>
      <c r="C30" s="75" t="e">
        <f>#REF!</f>
        <v>#REF!</v>
      </c>
      <c r="D30" s="75" t="e">
        <f>#REF!</f>
        <v>#REF!</v>
      </c>
      <c r="E30" s="30">
        <v>1</v>
      </c>
      <c r="F30" s="238">
        <v>0</v>
      </c>
      <c r="G30" s="241">
        <v>0</v>
      </c>
      <c r="H30" s="249">
        <v>661045</v>
      </c>
      <c r="I30" s="249">
        <v>0</v>
      </c>
      <c r="J30" s="249">
        <v>0</v>
      </c>
      <c r="K30" s="249">
        <v>0</v>
      </c>
      <c r="L30" s="274">
        <f>H30</f>
        <v>661045</v>
      </c>
      <c r="M30" s="274"/>
      <c r="N30" s="245"/>
      <c r="O30" s="113"/>
      <c r="P30" s="113"/>
      <c r="Q30" s="131"/>
      <c r="R30" s="131"/>
      <c r="S30" s="64"/>
      <c r="T30" s="113"/>
      <c r="U30" s="113"/>
      <c r="V30" s="113"/>
      <c r="W30" s="131"/>
      <c r="X30" s="131"/>
      <c r="Y30" s="11"/>
      <c r="Z30" s="113"/>
      <c r="AA30" s="113"/>
      <c r="AB30" s="113"/>
      <c r="AC30" s="52"/>
      <c r="AD30" s="52"/>
      <c r="AE30" s="11"/>
      <c r="AF30" s="113"/>
      <c r="AG30" s="144"/>
      <c r="AH30" s="113"/>
      <c r="AI30" s="11"/>
      <c r="AJ30" s="11"/>
      <c r="AK30" s="39"/>
      <c r="AL30" s="113"/>
      <c r="AM30" s="113"/>
      <c r="AN30" s="147"/>
      <c r="AO30" s="76"/>
      <c r="AP30" s="39"/>
      <c r="AQ30" s="39"/>
      <c r="AR30" s="275"/>
      <c r="AS30" s="158"/>
      <c r="AT30" s="159"/>
      <c r="AU30" s="62"/>
      <c r="AV30" s="62"/>
      <c r="AW30" s="31"/>
      <c r="AX30" s="116"/>
      <c r="AY30" s="196"/>
      <c r="AZ30" s="143"/>
      <c r="BA30" s="191"/>
      <c r="BB30" s="132"/>
      <c r="BC30" s="132"/>
      <c r="BD30" s="275"/>
      <c r="BE30" s="143"/>
      <c r="BF30" s="143"/>
      <c r="BG30" s="132"/>
      <c r="BH30" s="132"/>
      <c r="BI30" s="132"/>
      <c r="BJ30" s="143"/>
      <c r="BK30" s="143"/>
      <c r="BL30" s="143"/>
      <c r="BM30" s="132"/>
      <c r="BN30" s="132"/>
      <c r="BO30" s="132"/>
      <c r="BP30" s="143"/>
      <c r="BQ30" s="132"/>
      <c r="BR30" s="132"/>
      <c r="BS30" s="132"/>
      <c r="BT30" s="132"/>
      <c r="BU30" s="132"/>
      <c r="BV30" s="267">
        <v>1151600</v>
      </c>
      <c r="BW30" s="144">
        <f t="shared" si="14"/>
        <v>218804</v>
      </c>
      <c r="BX30" s="113">
        <f t="shared" si="15"/>
        <v>1370404</v>
      </c>
      <c r="BY30" s="264" t="s">
        <v>108</v>
      </c>
      <c r="BZ30" s="264" t="s">
        <v>63</v>
      </c>
      <c r="CA30" s="132"/>
      <c r="CB30" s="275"/>
      <c r="CC30" s="143"/>
      <c r="CD30" s="275"/>
      <c r="CE30" s="132"/>
      <c r="CF30" s="132"/>
      <c r="CG30" s="132"/>
      <c r="CH30" s="267">
        <v>1220696</v>
      </c>
      <c r="CI30" s="265">
        <f>+CH30*0.19</f>
        <v>231932.24</v>
      </c>
      <c r="CJ30" s="263">
        <f>+CH30+CI30</f>
        <v>1452628.24</v>
      </c>
      <c r="CK30" s="264" t="s">
        <v>108</v>
      </c>
      <c r="CL30" s="264" t="s">
        <v>63</v>
      </c>
      <c r="CM30" s="132"/>
      <c r="CN30" s="275"/>
      <c r="CO30" s="143"/>
      <c r="CP30" s="275"/>
      <c r="CQ30" s="132"/>
      <c r="CR30" s="132"/>
      <c r="CS30" s="132"/>
      <c r="CT30" s="275">
        <v>183000</v>
      </c>
      <c r="CU30" s="143">
        <v>34770</v>
      </c>
      <c r="CV30" s="144">
        <f t="shared" si="11"/>
        <v>217770</v>
      </c>
      <c r="CW30" s="132"/>
      <c r="CX30" s="132"/>
      <c r="CY30" s="132"/>
      <c r="CZ30" s="113"/>
      <c r="DA30" s="143"/>
      <c r="DB30" s="113"/>
      <c r="DC30" s="33"/>
      <c r="DD30" s="39"/>
      <c r="DE30" s="11"/>
      <c r="DF30" s="132"/>
      <c r="DG30" s="132"/>
      <c r="DH30" s="132"/>
      <c r="DI30" s="132"/>
      <c r="DJ30" s="132"/>
      <c r="DK30" s="132"/>
      <c r="DL30" s="132"/>
      <c r="DM30" s="132"/>
      <c r="DN30" s="132"/>
      <c r="DO30" s="132"/>
      <c r="DP30" s="132"/>
      <c r="DQ30" s="132"/>
      <c r="DR30" s="132"/>
      <c r="DS30" s="132"/>
      <c r="DT30" s="132"/>
      <c r="DU30" s="132"/>
      <c r="DV30" s="132"/>
      <c r="DW30" s="132"/>
      <c r="DX30" s="132"/>
      <c r="DY30" s="132"/>
      <c r="DZ30" s="132"/>
      <c r="EA30" s="132"/>
      <c r="EB30" s="132"/>
      <c r="EC30" s="132"/>
      <c r="ED30" s="132"/>
      <c r="EE30" s="132"/>
      <c r="EF30" s="132"/>
      <c r="EG30" s="132"/>
      <c r="EH30" s="132"/>
      <c r="EI30" s="132"/>
      <c r="EJ30" s="132"/>
      <c r="EK30" s="132"/>
      <c r="EL30" s="132"/>
      <c r="EM30" s="132"/>
      <c r="EN30" s="132"/>
      <c r="EO30" s="132"/>
      <c r="EP30" s="132"/>
      <c r="EQ30" s="132"/>
      <c r="ER30" s="132"/>
      <c r="ES30" s="132"/>
      <c r="ET30" s="11"/>
      <c r="EU30" s="11"/>
      <c r="EV30" s="11"/>
      <c r="EW30" s="11"/>
      <c r="EX30" s="11"/>
      <c r="EY30" s="11"/>
      <c r="EZ30" s="11"/>
      <c r="FA30" s="11"/>
      <c r="FB30" s="11"/>
      <c r="FC30" s="11"/>
      <c r="FD30" s="11"/>
      <c r="FE30" s="11"/>
      <c r="FF30" s="11"/>
      <c r="FG30" s="11"/>
      <c r="FH30" s="39">
        <f t="shared" si="2"/>
        <v>3040802.24</v>
      </c>
      <c r="FI30" s="33">
        <f t="shared" si="3"/>
        <v>3</v>
      </c>
      <c r="FJ30" s="84">
        <f t="shared" si="4"/>
        <v>1013600.7466666667</v>
      </c>
    </row>
    <row r="31" spans="1:166" ht="40.5" x14ac:dyDescent="0.25">
      <c r="A31" s="79" t="e">
        <f>#REF!</f>
        <v>#REF!</v>
      </c>
      <c r="B31" s="75" t="e">
        <f>#REF!</f>
        <v>#REF!</v>
      </c>
      <c r="C31" s="75" t="e">
        <f>#REF!</f>
        <v>#REF!</v>
      </c>
      <c r="D31" s="75" t="e">
        <f>#REF!</f>
        <v>#REF!</v>
      </c>
      <c r="E31" s="30">
        <v>1</v>
      </c>
      <c r="F31" s="238">
        <v>1375838.2540000002</v>
      </c>
      <c r="G31" s="241">
        <v>1341368</v>
      </c>
      <c r="H31" s="249">
        <v>682189.0625</v>
      </c>
      <c r="I31" s="249">
        <v>514080</v>
      </c>
      <c r="J31" s="249">
        <v>0</v>
      </c>
      <c r="K31" s="249">
        <v>0</v>
      </c>
      <c r="L31" s="274">
        <f>AVERAGE(F31,H31)</f>
        <v>1029013.6582500001</v>
      </c>
      <c r="M31" s="274">
        <f>AVERAGE(G31,I31)*1.03</f>
        <v>955555.72</v>
      </c>
      <c r="N31" s="245"/>
      <c r="O31" s="113"/>
      <c r="P31" s="113"/>
      <c r="Q31" s="131"/>
      <c r="R31" s="131"/>
      <c r="S31" s="64"/>
      <c r="T31" s="121"/>
      <c r="U31" s="117"/>
      <c r="V31" s="113"/>
      <c r="W31" s="131"/>
      <c r="X31" s="131"/>
      <c r="Y31" s="11"/>
      <c r="Z31" s="113"/>
      <c r="AA31" s="113"/>
      <c r="AB31" s="113"/>
      <c r="AC31" s="52"/>
      <c r="AD31" s="52"/>
      <c r="AE31" s="11"/>
      <c r="AF31" s="118">
        <v>950000</v>
      </c>
      <c r="AG31" s="144">
        <f>AF31*19%</f>
        <v>180500</v>
      </c>
      <c r="AH31" s="113">
        <f>+AF31+AG31</f>
        <v>1130500</v>
      </c>
      <c r="AI31" s="11"/>
      <c r="AJ31" s="11"/>
      <c r="AK31" s="39"/>
      <c r="AL31" s="113">
        <v>759000</v>
      </c>
      <c r="AM31" s="113">
        <f t="shared" ref="AM31:AM40" si="18">+AL31*0.19</f>
        <v>144210</v>
      </c>
      <c r="AN31" s="119">
        <f t="shared" ref="AN31:AN40" si="19">+AL31+AM31</f>
        <v>903210</v>
      </c>
      <c r="AO31" s="76" t="s">
        <v>109</v>
      </c>
      <c r="AP31" s="266" t="s">
        <v>45</v>
      </c>
      <c r="AQ31" s="39"/>
      <c r="AR31" s="275">
        <v>964800</v>
      </c>
      <c r="AS31" s="113">
        <f t="shared" ref="AS31:AS38" si="20">+AR31*0.19</f>
        <v>183312</v>
      </c>
      <c r="AT31" s="119">
        <f t="shared" ref="AT31:AT38" si="21">+AR31+AS31</f>
        <v>1148112</v>
      </c>
      <c r="AU31" s="62" t="s">
        <v>109</v>
      </c>
      <c r="AV31" s="48" t="s">
        <v>35</v>
      </c>
      <c r="AW31" s="31"/>
      <c r="AX31" s="116"/>
      <c r="AY31" s="116"/>
      <c r="AZ31" s="143"/>
      <c r="BA31" s="191"/>
      <c r="BB31" s="132"/>
      <c r="BC31" s="132"/>
      <c r="BD31" s="274"/>
      <c r="BE31" s="143"/>
      <c r="BF31" s="143"/>
      <c r="BG31" s="132"/>
      <c r="BH31" s="132"/>
      <c r="BI31" s="132"/>
      <c r="BJ31" s="143"/>
      <c r="BK31" s="143"/>
      <c r="BL31" s="143"/>
      <c r="BM31" s="132"/>
      <c r="BN31" s="132"/>
      <c r="BO31" s="132"/>
      <c r="BP31" s="143"/>
      <c r="BQ31" s="132"/>
      <c r="BR31" s="132"/>
      <c r="BS31" s="132"/>
      <c r="BT31" s="132"/>
      <c r="BU31" s="132"/>
      <c r="BV31" s="263">
        <v>4452000</v>
      </c>
      <c r="BW31" s="144">
        <f t="shared" si="14"/>
        <v>845880</v>
      </c>
      <c r="BX31" s="113">
        <f t="shared" si="15"/>
        <v>5297880</v>
      </c>
      <c r="BY31" s="264" t="s">
        <v>110</v>
      </c>
      <c r="BZ31" s="264" t="s">
        <v>111</v>
      </c>
      <c r="CA31" s="132"/>
      <c r="CB31" s="274"/>
      <c r="CC31" s="144"/>
      <c r="CD31" s="274"/>
      <c r="CE31" s="132"/>
      <c r="CF31" s="132"/>
      <c r="CG31" s="132"/>
      <c r="CH31" s="263"/>
      <c r="CI31" s="265"/>
      <c r="CJ31" s="263"/>
      <c r="CK31" s="264"/>
      <c r="CL31" s="264"/>
      <c r="CM31" s="132"/>
      <c r="CN31" s="274"/>
      <c r="CO31" s="144"/>
      <c r="CP31" s="274"/>
      <c r="CQ31" s="132"/>
      <c r="CR31" s="132"/>
      <c r="CS31" s="132"/>
      <c r="CT31" s="274">
        <v>250239.99999999997</v>
      </c>
      <c r="CU31" s="144">
        <v>47545.599999999999</v>
      </c>
      <c r="CV31" s="144">
        <f t="shared" si="11"/>
        <v>297785.59999999998</v>
      </c>
      <c r="CW31" s="132"/>
      <c r="CX31" s="132"/>
      <c r="CY31" s="132"/>
      <c r="CZ31" s="118"/>
      <c r="DA31" s="144"/>
      <c r="DB31" s="118"/>
      <c r="DC31" s="33"/>
      <c r="DD31" s="39"/>
      <c r="DE31" s="11"/>
      <c r="DF31" s="132"/>
      <c r="DG31" s="132"/>
      <c r="DH31" s="132"/>
      <c r="DI31" s="132"/>
      <c r="DJ31" s="132"/>
      <c r="DK31" s="132"/>
      <c r="DL31" s="132"/>
      <c r="DM31" s="132"/>
      <c r="DN31" s="132"/>
      <c r="DO31" s="132"/>
      <c r="DP31" s="132"/>
      <c r="DQ31" s="132"/>
      <c r="DR31" s="132"/>
      <c r="DS31" s="132"/>
      <c r="DT31" s="132"/>
      <c r="DU31" s="132"/>
      <c r="DV31" s="132"/>
      <c r="DW31" s="132"/>
      <c r="DX31" s="132"/>
      <c r="DY31" s="132"/>
      <c r="DZ31" s="132"/>
      <c r="EA31" s="132"/>
      <c r="EB31" s="132"/>
      <c r="EC31" s="132"/>
      <c r="ED31" s="132"/>
      <c r="EE31" s="132"/>
      <c r="EF31" s="132"/>
      <c r="EG31" s="132"/>
      <c r="EH31" s="132"/>
      <c r="EI31" s="132"/>
      <c r="EJ31" s="132"/>
      <c r="EK31" s="132"/>
      <c r="EL31" s="132"/>
      <c r="EM31" s="132"/>
      <c r="EN31" s="132"/>
      <c r="EO31" s="132"/>
      <c r="EP31" s="132"/>
      <c r="EQ31" s="132"/>
      <c r="ER31" s="132"/>
      <c r="ES31" s="132"/>
      <c r="ET31" s="11"/>
      <c r="EU31" s="11"/>
      <c r="EV31" s="11"/>
      <c r="EW31" s="11"/>
      <c r="EX31" s="11"/>
      <c r="EY31" s="11"/>
      <c r="EZ31" s="11"/>
      <c r="FA31" s="11"/>
      <c r="FB31" s="11"/>
      <c r="FC31" s="11"/>
      <c r="FD31" s="11"/>
      <c r="FE31" s="11"/>
      <c r="FF31" s="11"/>
      <c r="FG31" s="11"/>
      <c r="FH31" s="39">
        <f t="shared" si="2"/>
        <v>9733043.3199999984</v>
      </c>
      <c r="FI31" s="33">
        <f t="shared" si="3"/>
        <v>6</v>
      </c>
      <c r="FJ31" s="84">
        <f t="shared" si="4"/>
        <v>1622173.8866666665</v>
      </c>
    </row>
    <row r="32" spans="1:166" ht="27" x14ac:dyDescent="0.25">
      <c r="A32" s="79" t="e">
        <f>#REF!</f>
        <v>#REF!</v>
      </c>
      <c r="B32" s="75" t="e">
        <f>#REF!</f>
        <v>#REF!</v>
      </c>
      <c r="C32" s="75" t="e">
        <f>#REF!</f>
        <v>#REF!</v>
      </c>
      <c r="D32" s="75" t="e">
        <f>#REF!</f>
        <v>#REF!</v>
      </c>
      <c r="E32" s="30">
        <v>1</v>
      </c>
      <c r="F32" s="238">
        <v>0</v>
      </c>
      <c r="G32" s="241">
        <v>0</v>
      </c>
      <c r="H32" s="249">
        <v>0</v>
      </c>
      <c r="I32" s="249">
        <v>0</v>
      </c>
      <c r="J32" s="249">
        <v>0</v>
      </c>
      <c r="K32" s="249">
        <v>0</v>
      </c>
      <c r="L32" s="274"/>
      <c r="M32" s="274"/>
      <c r="N32" s="245"/>
      <c r="O32" s="113"/>
      <c r="P32" s="113"/>
      <c r="Q32" s="131"/>
      <c r="R32" s="131"/>
      <c r="S32" s="64"/>
      <c r="T32" s="121"/>
      <c r="U32" s="121"/>
      <c r="V32" s="113"/>
      <c r="W32" s="131"/>
      <c r="X32" s="131"/>
      <c r="Y32" s="11"/>
      <c r="Z32" s="113"/>
      <c r="AA32" s="113"/>
      <c r="AB32" s="113"/>
      <c r="AC32" s="52"/>
      <c r="AD32" s="52"/>
      <c r="AE32" s="11"/>
      <c r="AF32" s="118"/>
      <c r="AG32" s="144"/>
      <c r="AH32" s="113"/>
      <c r="AI32" s="11"/>
      <c r="AJ32" s="11"/>
      <c r="AK32" s="39"/>
      <c r="AL32" s="113">
        <v>146000</v>
      </c>
      <c r="AM32" s="113">
        <f t="shared" si="18"/>
        <v>27740</v>
      </c>
      <c r="AN32" s="119">
        <f t="shared" si="19"/>
        <v>173740</v>
      </c>
      <c r="AO32" s="76" t="s">
        <v>78</v>
      </c>
      <c r="AP32" s="266" t="s">
        <v>45</v>
      </c>
      <c r="AQ32" s="39"/>
      <c r="AR32" s="275">
        <v>3960000</v>
      </c>
      <c r="AS32" s="113">
        <f t="shared" si="20"/>
        <v>752400</v>
      </c>
      <c r="AT32" s="119">
        <f t="shared" si="21"/>
        <v>4712400</v>
      </c>
      <c r="AU32" s="62" t="s">
        <v>54</v>
      </c>
      <c r="AV32" s="124" t="s">
        <v>35</v>
      </c>
      <c r="AW32" s="31"/>
      <c r="AX32" s="116"/>
      <c r="AY32" s="116"/>
      <c r="AZ32" s="143"/>
      <c r="BA32" s="191"/>
      <c r="BB32" s="132"/>
      <c r="BC32" s="132"/>
      <c r="BD32" s="274"/>
      <c r="BE32" s="143"/>
      <c r="BF32" s="143"/>
      <c r="BG32" s="132"/>
      <c r="BH32" s="132"/>
      <c r="BI32" s="132"/>
      <c r="BJ32" s="143"/>
      <c r="BK32" s="143"/>
      <c r="BL32" s="143"/>
      <c r="BM32" s="132"/>
      <c r="BN32" s="132"/>
      <c r="BO32" s="132"/>
      <c r="BP32" s="143"/>
      <c r="BQ32" s="132"/>
      <c r="BR32" s="132"/>
      <c r="BS32" s="132"/>
      <c r="BT32" s="132"/>
      <c r="BU32" s="132"/>
      <c r="BV32" s="263">
        <v>354700</v>
      </c>
      <c r="BW32" s="144">
        <f t="shared" si="14"/>
        <v>67393</v>
      </c>
      <c r="BX32" s="113">
        <f t="shared" si="15"/>
        <v>422093</v>
      </c>
      <c r="BY32" s="264" t="s">
        <v>56</v>
      </c>
      <c r="BZ32" s="264" t="s">
        <v>112</v>
      </c>
      <c r="CA32" s="132"/>
      <c r="CB32" s="274"/>
      <c r="CC32" s="144"/>
      <c r="CD32" s="274"/>
      <c r="CE32" s="132"/>
      <c r="CF32" s="132"/>
      <c r="CG32" s="132"/>
      <c r="CH32" s="263">
        <v>358247</v>
      </c>
      <c r="CI32" s="265">
        <f>+CH32*0.19</f>
        <v>68066.930000000008</v>
      </c>
      <c r="CJ32" s="263">
        <f>+CH32+CI32</f>
        <v>426313.93</v>
      </c>
      <c r="CK32" s="264" t="s">
        <v>56</v>
      </c>
      <c r="CL32" s="264" t="s">
        <v>112</v>
      </c>
      <c r="CM32" s="132"/>
      <c r="CN32" s="274"/>
      <c r="CO32" s="144"/>
      <c r="CP32" s="274"/>
      <c r="CQ32" s="132"/>
      <c r="CR32" s="132"/>
      <c r="CS32" s="132"/>
      <c r="CT32" s="274">
        <v>168000</v>
      </c>
      <c r="CU32" s="144">
        <v>31920</v>
      </c>
      <c r="CV32" s="144">
        <f t="shared" si="11"/>
        <v>199920</v>
      </c>
      <c r="CW32" s="132"/>
      <c r="CX32" s="132"/>
      <c r="CY32" s="132"/>
      <c r="CZ32" s="118">
        <v>184571</v>
      </c>
      <c r="DA32" s="144">
        <f>+CZ32*0.19</f>
        <v>35068.49</v>
      </c>
      <c r="DB32" s="118">
        <f>+CZ32+DA32</f>
        <v>219639.49</v>
      </c>
      <c r="DC32" s="33" t="s">
        <v>57</v>
      </c>
      <c r="DD32" s="39" t="s">
        <v>113</v>
      </c>
      <c r="DE32" s="11" t="s">
        <v>114</v>
      </c>
      <c r="DF32" s="132"/>
      <c r="DG32" s="132"/>
      <c r="DH32" s="132"/>
      <c r="DI32" s="132"/>
      <c r="DJ32" s="132"/>
      <c r="DK32" s="132"/>
      <c r="DL32" s="132"/>
      <c r="DM32" s="132"/>
      <c r="DN32" s="132"/>
      <c r="DO32" s="132"/>
      <c r="DP32" s="132"/>
      <c r="DQ32" s="132"/>
      <c r="DR32" s="132"/>
      <c r="DS32" s="132"/>
      <c r="DT32" s="132"/>
      <c r="DU32" s="132"/>
      <c r="DV32" s="132"/>
      <c r="DW32" s="132"/>
      <c r="DX32" s="132"/>
      <c r="DY32" s="132"/>
      <c r="DZ32" s="132"/>
      <c r="EA32" s="132"/>
      <c r="EB32" s="132"/>
      <c r="EC32" s="132"/>
      <c r="ED32" s="132"/>
      <c r="EE32" s="132"/>
      <c r="EF32" s="132"/>
      <c r="EG32" s="132"/>
      <c r="EH32" s="132"/>
      <c r="EI32" s="132"/>
      <c r="EJ32" s="132"/>
      <c r="EK32" s="132"/>
      <c r="EL32" s="132"/>
      <c r="EM32" s="132"/>
      <c r="EN32" s="132"/>
      <c r="EO32" s="132"/>
      <c r="EP32" s="132"/>
      <c r="EQ32" s="132"/>
      <c r="ER32" s="132"/>
      <c r="ES32" s="132"/>
      <c r="ET32" s="11"/>
      <c r="EU32" s="11"/>
      <c r="EV32" s="11"/>
      <c r="EW32" s="11"/>
      <c r="EX32" s="11"/>
      <c r="EY32" s="11"/>
      <c r="EZ32" s="11"/>
      <c r="FA32" s="11"/>
      <c r="FB32" s="11"/>
      <c r="FC32" s="11"/>
      <c r="FD32" s="11"/>
      <c r="FE32" s="11"/>
      <c r="FF32" s="11"/>
      <c r="FG32" s="11"/>
      <c r="FH32" s="39">
        <f t="shared" si="2"/>
        <v>6154106.4199999999</v>
      </c>
      <c r="FI32" s="33">
        <f t="shared" si="3"/>
        <v>6</v>
      </c>
      <c r="FJ32" s="84">
        <f t="shared" si="4"/>
        <v>1025684.4033333333</v>
      </c>
    </row>
    <row r="33" spans="1:166" ht="40.5" x14ac:dyDescent="0.25">
      <c r="A33" s="79" t="e">
        <f>#REF!</f>
        <v>#REF!</v>
      </c>
      <c r="B33" s="75" t="e">
        <f>#REF!</f>
        <v>#REF!</v>
      </c>
      <c r="C33" s="75" t="e">
        <f>#REF!</f>
        <v>#REF!</v>
      </c>
      <c r="D33" s="75" t="e">
        <f>#REF!</f>
        <v>#REF!</v>
      </c>
      <c r="E33" s="30">
        <v>1</v>
      </c>
      <c r="F33" s="238">
        <v>331752.16666666663</v>
      </c>
      <c r="G33" s="241">
        <v>185521</v>
      </c>
      <c r="H33" s="249">
        <v>489978.87766388891</v>
      </c>
      <c r="I33" s="249">
        <v>0</v>
      </c>
      <c r="J33" s="249">
        <v>404479.01666666666</v>
      </c>
      <c r="K33" s="249">
        <v>0</v>
      </c>
      <c r="L33" s="274">
        <f>AVERAGE(F33,H33,J33)</f>
        <v>408736.68699907401</v>
      </c>
      <c r="M33" s="274">
        <f>G33*1.03</f>
        <v>191086.63</v>
      </c>
      <c r="N33" s="245"/>
      <c r="O33" s="113"/>
      <c r="P33" s="113"/>
      <c r="Q33" s="131"/>
      <c r="R33" s="131"/>
      <c r="S33" s="64"/>
      <c r="T33" s="121"/>
      <c r="U33" s="117"/>
      <c r="V33" s="113"/>
      <c r="W33" s="131"/>
      <c r="X33" s="131"/>
      <c r="Y33" s="11"/>
      <c r="Z33" s="113"/>
      <c r="AA33" s="113"/>
      <c r="AB33" s="113"/>
      <c r="AC33" s="52"/>
      <c r="AD33" s="52"/>
      <c r="AE33" s="11"/>
      <c r="AF33" s="118"/>
      <c r="AG33" s="144"/>
      <c r="AH33" s="113"/>
      <c r="AI33" s="11"/>
      <c r="AJ33" s="11"/>
      <c r="AK33" s="39"/>
      <c r="AL33" s="113">
        <f>280000/4</f>
        <v>70000</v>
      </c>
      <c r="AM33" s="113">
        <f t="shared" si="18"/>
        <v>13300</v>
      </c>
      <c r="AN33" s="119">
        <f t="shared" si="19"/>
        <v>83300</v>
      </c>
      <c r="AO33" s="76" t="s">
        <v>49</v>
      </c>
      <c r="AP33" s="266" t="s">
        <v>45</v>
      </c>
      <c r="AQ33" s="39"/>
      <c r="AR33" s="275">
        <f>576000/4</f>
        <v>144000</v>
      </c>
      <c r="AS33" s="113">
        <f t="shared" si="20"/>
        <v>27360</v>
      </c>
      <c r="AT33" s="119">
        <f t="shared" si="21"/>
        <v>171360</v>
      </c>
      <c r="AU33" s="163" t="s">
        <v>49</v>
      </c>
      <c r="AV33" s="48" t="s">
        <v>35</v>
      </c>
      <c r="AW33" s="31"/>
      <c r="AX33" s="116"/>
      <c r="AY33" s="194"/>
      <c r="AZ33" s="143"/>
      <c r="BA33" s="191"/>
      <c r="BB33" s="132"/>
      <c r="BC33" s="132"/>
      <c r="BD33" s="274"/>
      <c r="BE33" s="143"/>
      <c r="BF33" s="143"/>
      <c r="BG33" s="132"/>
      <c r="BH33" s="132"/>
      <c r="BI33" s="132"/>
      <c r="BJ33" s="143"/>
      <c r="BK33" s="143"/>
      <c r="BL33" s="143"/>
      <c r="BM33" s="132"/>
      <c r="BN33" s="132"/>
      <c r="BO33" s="132"/>
      <c r="BP33" s="143"/>
      <c r="BQ33" s="132"/>
      <c r="BR33" s="132"/>
      <c r="BS33" s="132"/>
      <c r="BT33" s="132"/>
      <c r="BU33" s="132"/>
      <c r="BV33" s="263">
        <v>784000</v>
      </c>
      <c r="BW33" s="144">
        <f t="shared" si="14"/>
        <v>148960</v>
      </c>
      <c r="BX33" s="113">
        <f t="shared" si="15"/>
        <v>932960</v>
      </c>
      <c r="BY33" s="264" t="s">
        <v>40</v>
      </c>
      <c r="BZ33" s="264" t="s">
        <v>115</v>
      </c>
      <c r="CA33" s="132"/>
      <c r="CB33" s="274"/>
      <c r="CC33" s="144"/>
      <c r="CD33" s="274"/>
      <c r="CE33" s="132"/>
      <c r="CF33" s="132"/>
      <c r="CG33" s="132"/>
      <c r="CH33" s="263">
        <v>791840</v>
      </c>
      <c r="CI33" s="265">
        <f>+CH33*0.19</f>
        <v>150449.60000000001</v>
      </c>
      <c r="CJ33" s="263">
        <f>+CH33+CI33</f>
        <v>942289.6</v>
      </c>
      <c r="CK33" s="264" t="s">
        <v>40</v>
      </c>
      <c r="CL33" s="264" t="s">
        <v>115</v>
      </c>
      <c r="CM33" s="132"/>
      <c r="CN33" s="274"/>
      <c r="CO33" s="144"/>
      <c r="CP33" s="274"/>
      <c r="CQ33" s="132"/>
      <c r="CR33" s="132"/>
      <c r="CS33" s="132"/>
      <c r="CT33" s="274">
        <v>209000</v>
      </c>
      <c r="CU33" s="144">
        <v>39710</v>
      </c>
      <c r="CV33" s="144">
        <f t="shared" si="11"/>
        <v>248710</v>
      </c>
      <c r="CW33" s="132"/>
      <c r="CX33" s="132"/>
      <c r="CY33" s="132"/>
      <c r="CZ33" s="118"/>
      <c r="DA33" s="144"/>
      <c r="DB33" s="118"/>
      <c r="DC33" s="33"/>
      <c r="DD33" s="39"/>
      <c r="DE33" s="11"/>
      <c r="DF33" s="132"/>
      <c r="DG33" s="132"/>
      <c r="DH33" s="132"/>
      <c r="DI33" s="132"/>
      <c r="DJ33" s="132"/>
      <c r="DK33" s="132"/>
      <c r="DL33" s="132"/>
      <c r="DM33" s="132"/>
      <c r="DN33" s="132"/>
      <c r="DO33" s="132"/>
      <c r="DP33" s="132"/>
      <c r="DQ33" s="132"/>
      <c r="DR33" s="132"/>
      <c r="DS33" s="132"/>
      <c r="DT33" s="132"/>
      <c r="DU33" s="132"/>
      <c r="DV33" s="132"/>
      <c r="DW33" s="132"/>
      <c r="DX33" s="132"/>
      <c r="DY33" s="132"/>
      <c r="DZ33" s="132"/>
      <c r="EA33" s="132"/>
      <c r="EB33" s="132"/>
      <c r="EC33" s="132"/>
      <c r="ED33" s="132"/>
      <c r="EE33" s="132"/>
      <c r="EF33" s="132"/>
      <c r="EG33" s="132"/>
      <c r="EH33" s="132"/>
      <c r="EI33" s="132"/>
      <c r="EJ33" s="132"/>
      <c r="EK33" s="132"/>
      <c r="EL33" s="132"/>
      <c r="EM33" s="132"/>
      <c r="EN33" s="132"/>
      <c r="EO33" s="132"/>
      <c r="EP33" s="132"/>
      <c r="EQ33" s="132"/>
      <c r="ER33" s="132"/>
      <c r="ES33" s="132"/>
      <c r="ET33" s="11"/>
      <c r="EU33" s="11"/>
      <c r="EV33" s="11"/>
      <c r="EW33" s="11"/>
      <c r="EX33" s="11"/>
      <c r="EY33" s="11"/>
      <c r="EZ33" s="11"/>
      <c r="FA33" s="11"/>
      <c r="FB33" s="11"/>
      <c r="FC33" s="11"/>
      <c r="FD33" s="11"/>
      <c r="FE33" s="11"/>
      <c r="FF33" s="11"/>
      <c r="FG33" s="11"/>
      <c r="FH33" s="39">
        <f t="shared" si="2"/>
        <v>2569706.23</v>
      </c>
      <c r="FI33" s="33">
        <f t="shared" si="3"/>
        <v>6</v>
      </c>
      <c r="FJ33" s="84">
        <f t="shared" si="4"/>
        <v>428284.37166666664</v>
      </c>
    </row>
    <row r="34" spans="1:166" ht="27" x14ac:dyDescent="0.25">
      <c r="A34" s="79" t="e">
        <f>#REF!</f>
        <v>#REF!</v>
      </c>
      <c r="B34" s="75" t="e">
        <f>#REF!</f>
        <v>#REF!</v>
      </c>
      <c r="C34" s="75" t="e">
        <f>#REF!</f>
        <v>#REF!</v>
      </c>
      <c r="D34" s="75" t="e">
        <f>#REF!</f>
        <v>#REF!</v>
      </c>
      <c r="E34" s="30">
        <v>1</v>
      </c>
      <c r="F34" s="238">
        <v>0</v>
      </c>
      <c r="G34" s="241">
        <v>0</v>
      </c>
      <c r="H34" s="249">
        <v>0</v>
      </c>
      <c r="I34" s="249">
        <v>0</v>
      </c>
      <c r="J34" s="249">
        <v>0</v>
      </c>
      <c r="K34" s="249">
        <v>0</v>
      </c>
      <c r="L34" s="274"/>
      <c r="M34" s="274"/>
      <c r="N34" s="245"/>
      <c r="O34" s="113"/>
      <c r="P34" s="113"/>
      <c r="Q34" s="131"/>
      <c r="R34" s="131"/>
      <c r="S34" s="64"/>
      <c r="T34" s="121"/>
      <c r="U34" s="117"/>
      <c r="V34" s="113"/>
      <c r="W34" s="131"/>
      <c r="X34" s="131"/>
      <c r="Y34" s="11"/>
      <c r="Z34" s="113"/>
      <c r="AA34" s="113"/>
      <c r="AB34" s="113"/>
      <c r="AC34" s="52"/>
      <c r="AD34" s="52"/>
      <c r="AE34" s="11"/>
      <c r="AF34" s="118">
        <v>296000</v>
      </c>
      <c r="AG34" s="144">
        <f>AF34*19%</f>
        <v>56240</v>
      </c>
      <c r="AH34" s="113">
        <f>+AF34+AG34</f>
        <v>352240</v>
      </c>
      <c r="AI34" s="11"/>
      <c r="AJ34" s="11"/>
      <c r="AK34" s="39"/>
      <c r="AL34" s="113">
        <v>359000</v>
      </c>
      <c r="AM34" s="113">
        <f t="shared" si="18"/>
        <v>68210</v>
      </c>
      <c r="AN34" s="119">
        <f t="shared" si="19"/>
        <v>427210</v>
      </c>
      <c r="AO34" s="76" t="s">
        <v>116</v>
      </c>
      <c r="AP34" s="266" t="s">
        <v>45</v>
      </c>
      <c r="AQ34" s="39"/>
      <c r="AR34" s="275">
        <f>+(179980/1000)*2500</f>
        <v>449950</v>
      </c>
      <c r="AS34" s="113">
        <f t="shared" si="20"/>
        <v>85490.5</v>
      </c>
      <c r="AT34" s="119">
        <f t="shared" si="21"/>
        <v>535440.5</v>
      </c>
      <c r="AU34" s="62" t="s">
        <v>49</v>
      </c>
      <c r="AV34" s="48" t="s">
        <v>45</v>
      </c>
      <c r="AW34" s="31"/>
      <c r="AX34" s="116"/>
      <c r="AY34" s="116"/>
      <c r="AZ34" s="143"/>
      <c r="BA34" s="191"/>
      <c r="BB34" s="132"/>
      <c r="BC34" s="132"/>
      <c r="BD34" s="274"/>
      <c r="BE34" s="143"/>
      <c r="BF34" s="143"/>
      <c r="BG34" s="132"/>
      <c r="BH34" s="132"/>
      <c r="BI34" s="132"/>
      <c r="BJ34" s="143"/>
      <c r="BK34" s="143"/>
      <c r="BL34" s="143"/>
      <c r="BM34" s="132"/>
      <c r="BN34" s="132"/>
      <c r="BO34" s="132"/>
      <c r="BP34" s="143"/>
      <c r="BQ34" s="132"/>
      <c r="BR34" s="132"/>
      <c r="BS34" s="132"/>
      <c r="BT34" s="132"/>
      <c r="BU34" s="132"/>
      <c r="BV34" s="263">
        <v>347800</v>
      </c>
      <c r="BW34" s="144">
        <f t="shared" si="14"/>
        <v>66082</v>
      </c>
      <c r="BX34" s="113">
        <f t="shared" si="15"/>
        <v>413882</v>
      </c>
      <c r="BY34" s="264" t="s">
        <v>117</v>
      </c>
      <c r="BZ34" s="264" t="s">
        <v>63</v>
      </c>
      <c r="CA34" s="132"/>
      <c r="CB34" s="274"/>
      <c r="CC34" s="144"/>
      <c r="CD34" s="274"/>
      <c r="CE34" s="132"/>
      <c r="CF34" s="132"/>
      <c r="CG34" s="132"/>
      <c r="CH34" s="263">
        <v>372146</v>
      </c>
      <c r="CI34" s="265">
        <f>+CH34*0.19</f>
        <v>70707.740000000005</v>
      </c>
      <c r="CJ34" s="263">
        <f>+CH34+CI34</f>
        <v>442853.74</v>
      </c>
      <c r="CK34" s="264" t="s">
        <v>117</v>
      </c>
      <c r="CL34" s="264" t="s">
        <v>63</v>
      </c>
      <c r="CM34" s="132"/>
      <c r="CN34" s="274"/>
      <c r="CO34" s="144"/>
      <c r="CP34" s="274"/>
      <c r="CQ34" s="132"/>
      <c r="CR34" s="132"/>
      <c r="CS34" s="132"/>
      <c r="CT34" s="274">
        <v>527680</v>
      </c>
      <c r="CU34" s="144">
        <v>100259.2</v>
      </c>
      <c r="CV34" s="144">
        <f t="shared" si="11"/>
        <v>627939.19999999995</v>
      </c>
      <c r="CW34" s="132"/>
      <c r="CX34" s="132"/>
      <c r="CY34" s="132"/>
      <c r="CZ34" s="118">
        <v>311172</v>
      </c>
      <c r="DA34" s="144">
        <f>+CZ34*0.19</f>
        <v>59122.68</v>
      </c>
      <c r="DB34" s="118">
        <f>+CZ34+DA34</f>
        <v>370294.68</v>
      </c>
      <c r="DC34" s="33" t="s">
        <v>89</v>
      </c>
      <c r="DD34" s="39" t="s">
        <v>58</v>
      </c>
      <c r="DE34" s="11">
        <v>1017992500</v>
      </c>
      <c r="DF34" s="132"/>
      <c r="DG34" s="132"/>
      <c r="DH34" s="132"/>
      <c r="DI34" s="132"/>
      <c r="DJ34" s="132"/>
      <c r="DK34" s="132"/>
      <c r="DL34" s="132"/>
      <c r="DM34" s="132"/>
      <c r="DN34" s="132"/>
      <c r="DO34" s="132"/>
      <c r="DP34" s="132"/>
      <c r="DQ34" s="132"/>
      <c r="DR34" s="132"/>
      <c r="DS34" s="132"/>
      <c r="DT34" s="132"/>
      <c r="DU34" s="132"/>
      <c r="DV34" s="132"/>
      <c r="DW34" s="132"/>
      <c r="DX34" s="132"/>
      <c r="DY34" s="132"/>
      <c r="DZ34" s="132"/>
      <c r="EA34" s="132"/>
      <c r="EB34" s="132"/>
      <c r="EC34" s="132"/>
      <c r="ED34" s="132"/>
      <c r="EE34" s="132"/>
      <c r="EF34" s="132"/>
      <c r="EG34" s="132"/>
      <c r="EH34" s="132"/>
      <c r="EI34" s="132"/>
      <c r="EJ34" s="132"/>
      <c r="EK34" s="132"/>
      <c r="EL34" s="132"/>
      <c r="EM34" s="132"/>
      <c r="EN34" s="132"/>
      <c r="EO34" s="132"/>
      <c r="EP34" s="132"/>
      <c r="EQ34" s="132"/>
      <c r="ER34" s="132"/>
      <c r="ES34" s="132"/>
      <c r="ET34" s="11"/>
      <c r="EU34" s="11"/>
      <c r="EV34" s="11"/>
      <c r="EW34" s="11"/>
      <c r="EX34" s="11"/>
      <c r="EY34" s="11"/>
      <c r="EZ34" s="11"/>
      <c r="FA34" s="11"/>
      <c r="FB34" s="11"/>
      <c r="FC34" s="11"/>
      <c r="FD34" s="11"/>
      <c r="FE34" s="11"/>
      <c r="FF34" s="11"/>
      <c r="FG34" s="11"/>
      <c r="FH34" s="39">
        <f t="shared" si="2"/>
        <v>3169860.1200000006</v>
      </c>
      <c r="FI34" s="33">
        <f t="shared" si="3"/>
        <v>7</v>
      </c>
      <c r="FJ34" s="84">
        <f t="shared" si="4"/>
        <v>452837.16000000009</v>
      </c>
    </row>
    <row r="35" spans="1:166" ht="27" x14ac:dyDescent="0.25">
      <c r="A35" s="79" t="e">
        <f>#REF!</f>
        <v>#REF!</v>
      </c>
      <c r="B35" s="75" t="e">
        <f>#REF!</f>
        <v>#REF!</v>
      </c>
      <c r="C35" s="75" t="e">
        <f>#REF!</f>
        <v>#REF!</v>
      </c>
      <c r="D35" s="75" t="e">
        <f>#REF!</f>
        <v>#REF!</v>
      </c>
      <c r="E35" s="30">
        <v>1</v>
      </c>
      <c r="F35" s="238">
        <v>0</v>
      </c>
      <c r="G35" s="241">
        <v>0</v>
      </c>
      <c r="H35" s="249">
        <v>0</v>
      </c>
      <c r="I35" s="249">
        <v>0</v>
      </c>
      <c r="J35" s="249">
        <v>0</v>
      </c>
      <c r="K35" s="249">
        <v>0</v>
      </c>
      <c r="L35" s="274"/>
      <c r="M35" s="274"/>
      <c r="N35" s="245"/>
      <c r="O35" s="113"/>
      <c r="P35" s="113"/>
      <c r="Q35" s="131"/>
      <c r="R35" s="131"/>
      <c r="S35" s="64"/>
      <c r="T35" s="121"/>
      <c r="U35" s="117"/>
      <c r="V35" s="113"/>
      <c r="W35" s="131"/>
      <c r="X35" s="131"/>
      <c r="Y35" s="11"/>
      <c r="Z35" s="113"/>
      <c r="AA35" s="113"/>
      <c r="AB35" s="113"/>
      <c r="AC35" s="52"/>
      <c r="AD35" s="52"/>
      <c r="AE35" s="11"/>
      <c r="AF35" s="118">
        <v>190000</v>
      </c>
      <c r="AG35" s="144">
        <f>AF35*19%</f>
        <v>36100</v>
      </c>
      <c r="AH35" s="113">
        <f>+AF35+AG35</f>
        <v>226100</v>
      </c>
      <c r="AI35" s="11"/>
      <c r="AJ35" s="11"/>
      <c r="AK35" s="39"/>
      <c r="AL35" s="113">
        <v>340000</v>
      </c>
      <c r="AM35" s="113">
        <f t="shared" si="18"/>
        <v>64600</v>
      </c>
      <c r="AN35" s="119">
        <f t="shared" si="19"/>
        <v>404600</v>
      </c>
      <c r="AO35" s="76" t="s">
        <v>95</v>
      </c>
      <c r="AP35" s="266" t="s">
        <v>45</v>
      </c>
      <c r="AQ35" s="39"/>
      <c r="AR35" s="275">
        <v>341863</v>
      </c>
      <c r="AS35" s="113">
        <f t="shared" si="20"/>
        <v>64953.97</v>
      </c>
      <c r="AT35" s="119">
        <f t="shared" si="21"/>
        <v>406816.97</v>
      </c>
      <c r="AU35" s="62" t="s">
        <v>95</v>
      </c>
      <c r="AV35" s="48" t="s">
        <v>45</v>
      </c>
      <c r="AW35" s="31"/>
      <c r="AX35" s="116"/>
      <c r="AY35" s="116"/>
      <c r="AZ35" s="143"/>
      <c r="BA35" s="191"/>
      <c r="BB35" s="132"/>
      <c r="BC35" s="132"/>
      <c r="BD35" s="274"/>
      <c r="BE35" s="143"/>
      <c r="BF35" s="143"/>
      <c r="BG35" s="132"/>
      <c r="BH35" s="132"/>
      <c r="BI35" s="132"/>
      <c r="BJ35" s="143"/>
      <c r="BK35" s="143"/>
      <c r="BL35" s="143"/>
      <c r="BM35" s="132"/>
      <c r="BN35" s="132"/>
      <c r="BO35" s="132"/>
      <c r="BP35" s="143"/>
      <c r="BQ35" s="132"/>
      <c r="BR35" s="132"/>
      <c r="BS35" s="132"/>
      <c r="BT35" s="132"/>
      <c r="BU35" s="132"/>
      <c r="BV35" s="267">
        <v>1687400</v>
      </c>
      <c r="BW35" s="143">
        <f t="shared" si="14"/>
        <v>320606</v>
      </c>
      <c r="BX35" s="113">
        <f t="shared" si="15"/>
        <v>2008006</v>
      </c>
      <c r="BY35" s="264" t="s">
        <v>94</v>
      </c>
      <c r="BZ35" s="264" t="s">
        <v>63</v>
      </c>
      <c r="CA35" s="132"/>
      <c r="CB35" s="274"/>
      <c r="CC35" s="144"/>
      <c r="CD35" s="274"/>
      <c r="CE35" s="132"/>
      <c r="CF35" s="132"/>
      <c r="CG35" s="132"/>
      <c r="CH35" s="263"/>
      <c r="CI35" s="265"/>
      <c r="CJ35" s="263"/>
      <c r="CK35" s="264"/>
      <c r="CL35" s="264"/>
      <c r="CM35" s="132"/>
      <c r="CN35" s="274"/>
      <c r="CO35" s="144"/>
      <c r="CP35" s="274"/>
      <c r="CQ35" s="132"/>
      <c r="CR35" s="132"/>
      <c r="CS35" s="132"/>
      <c r="CT35" s="274">
        <v>209000</v>
      </c>
      <c r="CU35" s="144">
        <v>39710</v>
      </c>
      <c r="CV35" s="144">
        <f t="shared" si="11"/>
        <v>248710</v>
      </c>
      <c r="CW35" s="132"/>
      <c r="CX35" s="132"/>
      <c r="CY35" s="132"/>
      <c r="CZ35" s="118"/>
      <c r="DA35" s="144"/>
      <c r="DB35" s="118"/>
      <c r="DC35" s="33"/>
      <c r="DD35" s="39"/>
      <c r="DE35" s="11"/>
      <c r="DF35" s="132"/>
      <c r="DG35" s="132"/>
      <c r="DH35" s="132"/>
      <c r="DI35" s="132"/>
      <c r="DJ35" s="132"/>
      <c r="DK35" s="132"/>
      <c r="DL35" s="132"/>
      <c r="DM35" s="132"/>
      <c r="DN35" s="132"/>
      <c r="DO35" s="132"/>
      <c r="DP35" s="132"/>
      <c r="DQ35" s="132"/>
      <c r="DR35" s="132"/>
      <c r="DS35" s="132"/>
      <c r="DT35" s="132"/>
      <c r="DU35" s="132"/>
      <c r="DV35" s="132"/>
      <c r="DW35" s="132"/>
      <c r="DX35" s="132"/>
      <c r="DY35" s="132"/>
      <c r="DZ35" s="132"/>
      <c r="EA35" s="132"/>
      <c r="EB35" s="132"/>
      <c r="EC35" s="132"/>
      <c r="ED35" s="132"/>
      <c r="EE35" s="132"/>
      <c r="EF35" s="132"/>
      <c r="EG35" s="132"/>
      <c r="EH35" s="132"/>
      <c r="EI35" s="132"/>
      <c r="EJ35" s="132"/>
      <c r="EK35" s="132"/>
      <c r="EL35" s="132"/>
      <c r="EM35" s="132"/>
      <c r="EN35" s="132"/>
      <c r="EO35" s="132"/>
      <c r="EP35" s="132"/>
      <c r="EQ35" s="132"/>
      <c r="ER35" s="132"/>
      <c r="ES35" s="132"/>
      <c r="ET35" s="11"/>
      <c r="EU35" s="11"/>
      <c r="EV35" s="11"/>
      <c r="EW35" s="11"/>
      <c r="EX35" s="11"/>
      <c r="EY35" s="11"/>
      <c r="EZ35" s="11"/>
      <c r="FA35" s="11"/>
      <c r="FB35" s="11"/>
      <c r="FC35" s="11"/>
      <c r="FD35" s="11"/>
      <c r="FE35" s="11"/>
      <c r="FF35" s="11"/>
      <c r="FG35" s="11"/>
      <c r="FH35" s="39">
        <f t="shared" si="2"/>
        <v>3294232.9699999997</v>
      </c>
      <c r="FI35" s="33">
        <f t="shared" si="3"/>
        <v>5</v>
      </c>
      <c r="FJ35" s="84">
        <f t="shared" si="4"/>
        <v>658846.59399999992</v>
      </c>
    </row>
    <row r="36" spans="1:166" ht="27" x14ac:dyDescent="0.25">
      <c r="A36" s="79" t="e">
        <f>#REF!</f>
        <v>#REF!</v>
      </c>
      <c r="B36" s="75" t="e">
        <f>#REF!</f>
        <v>#REF!</v>
      </c>
      <c r="C36" s="75" t="e">
        <f>#REF!</f>
        <v>#REF!</v>
      </c>
      <c r="D36" s="75" t="e">
        <f>#REF!</f>
        <v>#REF!</v>
      </c>
      <c r="E36" s="30">
        <v>1</v>
      </c>
      <c r="F36" s="238">
        <v>0</v>
      </c>
      <c r="G36" s="241">
        <v>0</v>
      </c>
      <c r="H36" s="249">
        <v>1561698.42935425</v>
      </c>
      <c r="I36" s="249">
        <v>1561637</v>
      </c>
      <c r="J36" s="249">
        <v>1676184.4166666667</v>
      </c>
      <c r="K36" s="249">
        <v>1634227</v>
      </c>
      <c r="L36" s="274">
        <f>AVERAGE(H36,J36)</f>
        <v>1618941.4230104582</v>
      </c>
      <c r="M36" s="274">
        <f>AVERAGE(I36,K36)*1.03</f>
        <v>1645869.96</v>
      </c>
      <c r="N36" s="245"/>
      <c r="O36" s="113"/>
      <c r="P36" s="113"/>
      <c r="Q36" s="131"/>
      <c r="R36" s="131"/>
      <c r="S36" s="64"/>
      <c r="T36" s="121"/>
      <c r="U36" s="117"/>
      <c r="V36" s="113"/>
      <c r="W36" s="131"/>
      <c r="X36" s="131"/>
      <c r="Y36" s="11"/>
      <c r="Z36" s="113"/>
      <c r="AA36" s="113"/>
      <c r="AB36" s="113"/>
      <c r="AC36" s="52"/>
      <c r="AD36" s="52"/>
      <c r="AE36" s="11"/>
      <c r="AF36" s="118">
        <v>1800000</v>
      </c>
      <c r="AG36" s="144">
        <f>AF36*19%</f>
        <v>342000</v>
      </c>
      <c r="AH36" s="113">
        <f>+AF36+AG36</f>
        <v>2142000</v>
      </c>
      <c r="AI36" s="11"/>
      <c r="AJ36" s="11"/>
      <c r="AK36" s="39"/>
      <c r="AL36" s="113">
        <v>1330000</v>
      </c>
      <c r="AM36" s="113">
        <f t="shared" si="18"/>
        <v>252700</v>
      </c>
      <c r="AN36" s="119">
        <f t="shared" si="19"/>
        <v>1582700</v>
      </c>
      <c r="AO36" s="76" t="s">
        <v>90</v>
      </c>
      <c r="AP36" s="266" t="s">
        <v>45</v>
      </c>
      <c r="AQ36" s="39"/>
      <c r="AR36" s="275">
        <v>1322206</v>
      </c>
      <c r="AS36" s="113">
        <f t="shared" si="20"/>
        <v>251219.14</v>
      </c>
      <c r="AT36" s="119">
        <f t="shared" si="21"/>
        <v>1573425.1400000001</v>
      </c>
      <c r="AU36" s="62" t="s">
        <v>91</v>
      </c>
      <c r="AV36" s="48" t="s">
        <v>45</v>
      </c>
      <c r="AW36" s="31"/>
      <c r="AX36" s="116"/>
      <c r="AY36" s="116"/>
      <c r="AZ36" s="143"/>
      <c r="BA36" s="191"/>
      <c r="BB36" s="132"/>
      <c r="BC36" s="132"/>
      <c r="BD36" s="274"/>
      <c r="BE36" s="143"/>
      <c r="BF36" s="143"/>
      <c r="BG36" s="132"/>
      <c r="BH36" s="132"/>
      <c r="BI36" s="132"/>
      <c r="BJ36" s="143"/>
      <c r="BK36" s="143"/>
      <c r="BL36" s="143"/>
      <c r="BM36" s="132"/>
      <c r="BN36" s="132"/>
      <c r="BO36" s="132"/>
      <c r="BP36" s="143"/>
      <c r="BQ36" s="132"/>
      <c r="BR36" s="132"/>
      <c r="BS36" s="132"/>
      <c r="BT36" s="132"/>
      <c r="BU36" s="132"/>
      <c r="BV36" s="267">
        <v>1411900</v>
      </c>
      <c r="BW36" s="143">
        <f t="shared" si="14"/>
        <v>268261</v>
      </c>
      <c r="BX36" s="113">
        <f t="shared" si="15"/>
        <v>1680161</v>
      </c>
      <c r="BY36" s="264" t="s">
        <v>87</v>
      </c>
      <c r="BZ36" s="264" t="s">
        <v>92</v>
      </c>
      <c r="CA36" s="132"/>
      <c r="CB36" s="274"/>
      <c r="CC36" s="144"/>
      <c r="CD36" s="274"/>
      <c r="CE36" s="132"/>
      <c r="CF36" s="132"/>
      <c r="CG36" s="132"/>
      <c r="CH36" s="263"/>
      <c r="CI36" s="265"/>
      <c r="CJ36" s="263"/>
      <c r="CK36" s="264"/>
      <c r="CL36" s="264"/>
      <c r="CM36" s="132"/>
      <c r="CN36" s="274"/>
      <c r="CO36" s="144"/>
      <c r="CP36" s="274"/>
      <c r="CQ36" s="132"/>
      <c r="CR36" s="132"/>
      <c r="CS36" s="132"/>
      <c r="CT36" s="274">
        <v>209000</v>
      </c>
      <c r="CU36" s="144">
        <v>39710</v>
      </c>
      <c r="CV36" s="144">
        <f t="shared" si="11"/>
        <v>248710</v>
      </c>
      <c r="CW36" s="132"/>
      <c r="CX36" s="132"/>
      <c r="CY36" s="132"/>
      <c r="CZ36" s="118"/>
      <c r="DA36" s="144"/>
      <c r="DB36" s="118"/>
      <c r="DC36" s="33"/>
      <c r="DD36" s="39"/>
      <c r="DE36" s="11"/>
      <c r="DF36" s="132"/>
      <c r="DG36" s="132"/>
      <c r="DH36" s="132"/>
      <c r="DI36" s="132"/>
      <c r="DJ36" s="132"/>
      <c r="DK36" s="132"/>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1"/>
      <c r="EU36" s="11"/>
      <c r="EV36" s="11"/>
      <c r="EW36" s="11"/>
      <c r="EX36" s="11"/>
      <c r="EY36" s="11"/>
      <c r="EZ36" s="11"/>
      <c r="FA36" s="11"/>
      <c r="FB36" s="11"/>
      <c r="FC36" s="11"/>
      <c r="FD36" s="11"/>
      <c r="FE36" s="11"/>
      <c r="FF36" s="11"/>
      <c r="FG36" s="11"/>
      <c r="FH36" s="39">
        <f t="shared" si="2"/>
        <v>8872866.0999999996</v>
      </c>
      <c r="FI36" s="33">
        <f t="shared" si="3"/>
        <v>6</v>
      </c>
      <c r="FJ36" s="84">
        <f t="shared" si="4"/>
        <v>1478811.0166666666</v>
      </c>
    </row>
    <row r="37" spans="1:166" ht="13.5" x14ac:dyDescent="0.25">
      <c r="A37" s="79" t="e">
        <f>#REF!</f>
        <v>#REF!</v>
      </c>
      <c r="B37" s="75" t="e">
        <f>#REF!</f>
        <v>#REF!</v>
      </c>
      <c r="C37" s="75" t="e">
        <f>#REF!</f>
        <v>#REF!</v>
      </c>
      <c r="D37" s="75" t="e">
        <f>#REF!</f>
        <v>#REF!</v>
      </c>
      <c r="E37" s="30">
        <v>1</v>
      </c>
      <c r="F37" s="238">
        <v>0</v>
      </c>
      <c r="G37" s="241">
        <v>0</v>
      </c>
      <c r="H37" s="249">
        <v>776234.83333333337</v>
      </c>
      <c r="I37" s="249">
        <v>0</v>
      </c>
      <c r="J37" s="249">
        <v>0</v>
      </c>
      <c r="K37" s="249">
        <v>0</v>
      </c>
      <c r="L37" s="274">
        <f>H37</f>
        <v>776234.83333333337</v>
      </c>
      <c r="M37" s="274"/>
      <c r="N37" s="245"/>
      <c r="O37" s="113"/>
      <c r="P37" s="113"/>
      <c r="Q37" s="131"/>
      <c r="R37" s="131"/>
      <c r="S37" s="64"/>
      <c r="T37" s="121"/>
      <c r="U37" s="121"/>
      <c r="V37" s="113"/>
      <c r="W37" s="131"/>
      <c r="X37" s="131"/>
      <c r="Y37" s="11"/>
      <c r="Z37" s="113"/>
      <c r="AA37" s="113"/>
      <c r="AB37" s="113"/>
      <c r="AC37" s="52"/>
      <c r="AD37" s="52"/>
      <c r="AE37" s="11"/>
      <c r="AF37" s="118">
        <v>850000</v>
      </c>
      <c r="AG37" s="144">
        <f>AF37*19%</f>
        <v>161500</v>
      </c>
      <c r="AH37" s="113">
        <f>+AF37+AG37</f>
        <v>1011500</v>
      </c>
      <c r="AI37" s="11"/>
      <c r="AJ37" s="11"/>
      <c r="AK37" s="39"/>
      <c r="AL37" s="113">
        <v>543000</v>
      </c>
      <c r="AM37" s="113">
        <f t="shared" si="18"/>
        <v>103170</v>
      </c>
      <c r="AN37" s="119">
        <f t="shared" si="19"/>
        <v>646170</v>
      </c>
      <c r="AO37" s="76" t="s">
        <v>54</v>
      </c>
      <c r="AP37" s="266" t="s">
        <v>45</v>
      </c>
      <c r="AQ37" s="39"/>
      <c r="AR37" s="275">
        <f>573123/4</f>
        <v>143280.75</v>
      </c>
      <c r="AS37" s="113">
        <f t="shared" si="20"/>
        <v>27223.342499999999</v>
      </c>
      <c r="AT37" s="119">
        <f t="shared" si="21"/>
        <v>170504.0925</v>
      </c>
      <c r="AU37" s="62" t="s">
        <v>54</v>
      </c>
      <c r="AV37" s="48" t="s">
        <v>45</v>
      </c>
      <c r="AW37" s="31"/>
      <c r="AX37" s="116"/>
      <c r="AY37" s="194"/>
      <c r="AZ37" s="143"/>
      <c r="BA37" s="191"/>
      <c r="BB37" s="132"/>
      <c r="BC37" s="132"/>
      <c r="BD37" s="274"/>
      <c r="BE37" s="143"/>
      <c r="BF37" s="143"/>
      <c r="BG37" s="132"/>
      <c r="BH37" s="132"/>
      <c r="BI37" s="132"/>
      <c r="BJ37" s="143"/>
      <c r="BK37" s="143"/>
      <c r="BL37" s="143"/>
      <c r="BM37" s="132"/>
      <c r="BN37" s="132"/>
      <c r="BO37" s="132"/>
      <c r="BP37" s="143"/>
      <c r="BQ37" s="132"/>
      <c r="BR37" s="132"/>
      <c r="BS37" s="132"/>
      <c r="BT37" s="132"/>
      <c r="BU37" s="132"/>
      <c r="BV37" s="267">
        <v>1874100</v>
      </c>
      <c r="BW37" s="143">
        <f t="shared" si="14"/>
        <v>356079</v>
      </c>
      <c r="BX37" s="113">
        <f t="shared" si="15"/>
        <v>2230179</v>
      </c>
      <c r="BY37" s="264" t="s">
        <v>100</v>
      </c>
      <c r="BZ37" s="264" t="s">
        <v>88</v>
      </c>
      <c r="CA37" s="132"/>
      <c r="CB37" s="274"/>
      <c r="CC37" s="144"/>
      <c r="CD37" s="274"/>
      <c r="CE37" s="132"/>
      <c r="CF37" s="132"/>
      <c r="CG37" s="132"/>
      <c r="CH37" s="263"/>
      <c r="CI37" s="265"/>
      <c r="CJ37" s="263"/>
      <c r="CK37" s="264"/>
      <c r="CL37" s="264"/>
      <c r="CM37" s="132"/>
      <c r="CN37" s="274"/>
      <c r="CO37" s="144"/>
      <c r="CP37" s="274"/>
      <c r="CQ37" s="132"/>
      <c r="CR37" s="132"/>
      <c r="CS37" s="132"/>
      <c r="CT37" s="274">
        <v>331840</v>
      </c>
      <c r="CU37" s="144">
        <v>63049.599999999999</v>
      </c>
      <c r="CV37" s="144">
        <f t="shared" si="11"/>
        <v>394889.6</v>
      </c>
      <c r="CW37" s="132"/>
      <c r="CX37" s="132"/>
      <c r="CY37" s="132"/>
      <c r="CZ37" s="118"/>
      <c r="DA37" s="144"/>
      <c r="DB37" s="118"/>
      <c r="DC37" s="33"/>
      <c r="DD37" s="39"/>
      <c r="DE37" s="11"/>
      <c r="DF37" s="132"/>
      <c r="DG37" s="132"/>
      <c r="DH37" s="132"/>
      <c r="DI37" s="132"/>
      <c r="DJ37" s="132"/>
      <c r="DK37" s="132"/>
      <c r="DL37" s="132"/>
      <c r="DM37" s="132"/>
      <c r="DN37" s="132"/>
      <c r="DO37" s="132"/>
      <c r="DP37" s="132"/>
      <c r="DQ37" s="132"/>
      <c r="DR37" s="132"/>
      <c r="DS37" s="132"/>
      <c r="DT37" s="132"/>
      <c r="DU37" s="132"/>
      <c r="DV37" s="132"/>
      <c r="DW37" s="132"/>
      <c r="DX37" s="132"/>
      <c r="DY37" s="132"/>
      <c r="DZ37" s="132"/>
      <c r="EA37" s="132"/>
      <c r="EB37" s="132"/>
      <c r="EC37" s="132"/>
      <c r="ED37" s="132"/>
      <c r="EE37" s="132"/>
      <c r="EF37" s="132"/>
      <c r="EG37" s="132"/>
      <c r="EH37" s="132"/>
      <c r="EI37" s="132"/>
      <c r="EJ37" s="132"/>
      <c r="EK37" s="132"/>
      <c r="EL37" s="132"/>
      <c r="EM37" s="132"/>
      <c r="EN37" s="132"/>
      <c r="EO37" s="132"/>
      <c r="EP37" s="132"/>
      <c r="EQ37" s="132"/>
      <c r="ER37" s="132"/>
      <c r="ES37" s="132"/>
      <c r="ET37" s="11"/>
      <c r="EU37" s="11"/>
      <c r="EV37" s="11"/>
      <c r="EW37" s="11"/>
      <c r="EX37" s="11"/>
      <c r="EY37" s="11"/>
      <c r="EZ37" s="11"/>
      <c r="FA37" s="11"/>
      <c r="FB37" s="11"/>
      <c r="FC37" s="11"/>
      <c r="FD37" s="11"/>
      <c r="FE37" s="11"/>
      <c r="FF37" s="11"/>
      <c r="FG37" s="11"/>
      <c r="FH37" s="39">
        <f t="shared" si="2"/>
        <v>4453242.6924999999</v>
      </c>
      <c r="FI37" s="33">
        <f t="shared" si="3"/>
        <v>5</v>
      </c>
      <c r="FJ37" s="84">
        <f t="shared" si="4"/>
        <v>890648.53850000002</v>
      </c>
    </row>
    <row r="38" spans="1:166" ht="13.5" x14ac:dyDescent="0.25">
      <c r="A38" s="79" t="e">
        <f>#REF!</f>
        <v>#REF!</v>
      </c>
      <c r="B38" s="75" t="e">
        <f>#REF!</f>
        <v>#REF!</v>
      </c>
      <c r="C38" s="75" t="e">
        <f>#REF!</f>
        <v>#REF!</v>
      </c>
      <c r="D38" s="75" t="e">
        <f>#REF!</f>
        <v>#REF!</v>
      </c>
      <c r="E38" s="30">
        <v>1</v>
      </c>
      <c r="F38" s="238">
        <v>0</v>
      </c>
      <c r="G38" s="241">
        <v>0</v>
      </c>
      <c r="H38" s="249">
        <v>775007.33333333337</v>
      </c>
      <c r="I38" s="249">
        <v>0</v>
      </c>
      <c r="J38" s="249">
        <v>952221.93500000006</v>
      </c>
      <c r="K38" s="249">
        <v>0</v>
      </c>
      <c r="L38" s="274">
        <f>AVERAGE(H38,J38)</f>
        <v>863614.63416666677</v>
      </c>
      <c r="M38" s="274"/>
      <c r="N38" s="245"/>
      <c r="O38" s="113"/>
      <c r="P38" s="113"/>
      <c r="Q38" s="131"/>
      <c r="R38" s="131"/>
      <c r="S38" s="64"/>
      <c r="T38" s="121"/>
      <c r="U38" s="121"/>
      <c r="V38" s="113"/>
      <c r="W38" s="131"/>
      <c r="X38" s="131"/>
      <c r="Y38" s="11"/>
      <c r="Z38" s="113"/>
      <c r="AA38" s="113"/>
      <c r="AB38" s="113"/>
      <c r="AC38" s="52"/>
      <c r="AD38" s="52"/>
      <c r="AE38" s="11"/>
      <c r="AF38" s="118"/>
      <c r="AG38" s="144"/>
      <c r="AH38" s="113"/>
      <c r="AI38" s="11"/>
      <c r="AJ38" s="11"/>
      <c r="AK38" s="39"/>
      <c r="AL38" s="113">
        <v>798000</v>
      </c>
      <c r="AM38" s="113">
        <f t="shared" si="18"/>
        <v>151620</v>
      </c>
      <c r="AN38" s="119">
        <f t="shared" si="19"/>
        <v>949620</v>
      </c>
      <c r="AO38" s="76" t="s">
        <v>60</v>
      </c>
      <c r="AP38" s="266" t="s">
        <v>45</v>
      </c>
      <c r="AQ38" s="39"/>
      <c r="AR38" s="275">
        <v>802373</v>
      </c>
      <c r="AS38" s="113">
        <f t="shared" si="20"/>
        <v>152450.87</v>
      </c>
      <c r="AT38" s="119">
        <f t="shared" si="21"/>
        <v>954823.87</v>
      </c>
      <c r="AU38" s="62" t="s">
        <v>60</v>
      </c>
      <c r="AV38" s="48" t="s">
        <v>45</v>
      </c>
      <c r="AW38" s="31"/>
      <c r="AX38" s="116"/>
      <c r="AY38" s="194"/>
      <c r="AZ38" s="143"/>
      <c r="BA38" s="191"/>
      <c r="BB38" s="132"/>
      <c r="BC38" s="132"/>
      <c r="BD38" s="274"/>
      <c r="BE38" s="143"/>
      <c r="BF38" s="143"/>
      <c r="BG38" s="132"/>
      <c r="BH38" s="132"/>
      <c r="BI38" s="132"/>
      <c r="BJ38" s="143"/>
      <c r="BK38" s="143"/>
      <c r="BL38" s="143"/>
      <c r="BM38" s="132"/>
      <c r="BN38" s="132"/>
      <c r="BO38" s="132"/>
      <c r="BP38" s="143"/>
      <c r="BQ38" s="132"/>
      <c r="BR38" s="132"/>
      <c r="BS38" s="132"/>
      <c r="BT38" s="132"/>
      <c r="BU38" s="132"/>
      <c r="BV38" s="267">
        <v>1345500</v>
      </c>
      <c r="BW38" s="143">
        <f t="shared" si="14"/>
        <v>255645</v>
      </c>
      <c r="BX38" s="113">
        <f t="shared" si="15"/>
        <v>1601145</v>
      </c>
      <c r="BY38" s="264" t="s">
        <v>100</v>
      </c>
      <c r="BZ38" s="264" t="s">
        <v>37</v>
      </c>
      <c r="CA38" s="132"/>
      <c r="CB38" s="274"/>
      <c r="CC38" s="144"/>
      <c r="CD38" s="274"/>
      <c r="CE38" s="132"/>
      <c r="CF38" s="132"/>
      <c r="CG38" s="132"/>
      <c r="CH38" s="263"/>
      <c r="CI38" s="265"/>
      <c r="CJ38" s="263"/>
      <c r="CK38" s="264"/>
      <c r="CL38" s="264"/>
      <c r="CM38" s="132"/>
      <c r="CN38" s="274"/>
      <c r="CO38" s="144"/>
      <c r="CP38" s="274"/>
      <c r="CQ38" s="132"/>
      <c r="CR38" s="132"/>
      <c r="CS38" s="132"/>
      <c r="CT38" s="274">
        <v>212160</v>
      </c>
      <c r="CU38" s="144">
        <v>40310.400000000001</v>
      </c>
      <c r="CV38" s="144">
        <f t="shared" si="11"/>
        <v>252470.39999999999</v>
      </c>
      <c r="CW38" s="132"/>
      <c r="CX38" s="132"/>
      <c r="CY38" s="132"/>
      <c r="CZ38" s="118"/>
      <c r="DA38" s="144"/>
      <c r="DB38" s="118"/>
      <c r="DC38" s="33"/>
      <c r="DD38" s="39"/>
      <c r="DE38" s="11"/>
      <c r="DF38" s="132"/>
      <c r="DG38" s="132"/>
      <c r="DH38" s="132"/>
      <c r="DI38" s="132"/>
      <c r="DJ38" s="132"/>
      <c r="DK38" s="132"/>
      <c r="DL38" s="132"/>
      <c r="DM38" s="132"/>
      <c r="DN38" s="132"/>
      <c r="DO38" s="132"/>
      <c r="DP38" s="132"/>
      <c r="DQ38" s="132"/>
      <c r="DR38" s="132"/>
      <c r="DS38" s="132"/>
      <c r="DT38" s="132"/>
      <c r="DU38" s="132"/>
      <c r="DV38" s="132"/>
      <c r="DW38" s="132"/>
      <c r="DX38" s="132"/>
      <c r="DY38" s="132"/>
      <c r="DZ38" s="132"/>
      <c r="EA38" s="132"/>
      <c r="EB38" s="132"/>
      <c r="EC38" s="132"/>
      <c r="ED38" s="132"/>
      <c r="EE38" s="132"/>
      <c r="EF38" s="132"/>
      <c r="EG38" s="132"/>
      <c r="EH38" s="132"/>
      <c r="EI38" s="132"/>
      <c r="EJ38" s="132"/>
      <c r="EK38" s="132"/>
      <c r="EL38" s="132"/>
      <c r="EM38" s="132"/>
      <c r="EN38" s="132"/>
      <c r="EO38" s="132"/>
      <c r="EP38" s="132"/>
      <c r="EQ38" s="132"/>
      <c r="ER38" s="132"/>
      <c r="ES38" s="132"/>
      <c r="ET38" s="11"/>
      <c r="EU38" s="11"/>
      <c r="EV38" s="11"/>
      <c r="EW38" s="11"/>
      <c r="EX38" s="11"/>
      <c r="EY38" s="11"/>
      <c r="EZ38" s="11"/>
      <c r="FA38" s="11"/>
      <c r="FB38" s="11"/>
      <c r="FC38" s="11"/>
      <c r="FD38" s="11"/>
      <c r="FE38" s="11"/>
      <c r="FF38" s="11"/>
      <c r="FG38" s="11"/>
      <c r="FH38" s="39">
        <f t="shared" si="2"/>
        <v>3758059.27</v>
      </c>
      <c r="FI38" s="33">
        <f t="shared" si="3"/>
        <v>4</v>
      </c>
      <c r="FJ38" s="84">
        <f t="shared" si="4"/>
        <v>939514.8175</v>
      </c>
    </row>
    <row r="39" spans="1:166" ht="27" x14ac:dyDescent="0.25">
      <c r="A39" s="79" t="e">
        <f>#REF!</f>
        <v>#REF!</v>
      </c>
      <c r="B39" s="75" t="e">
        <f>#REF!</f>
        <v>#REF!</v>
      </c>
      <c r="C39" s="75" t="e">
        <f>#REF!</f>
        <v>#REF!</v>
      </c>
      <c r="D39" s="75" t="e">
        <f>#REF!</f>
        <v>#REF!</v>
      </c>
      <c r="E39" s="30">
        <v>1</v>
      </c>
      <c r="F39" s="238">
        <v>0</v>
      </c>
      <c r="G39" s="241">
        <v>0</v>
      </c>
      <c r="H39" s="249">
        <v>0</v>
      </c>
      <c r="I39" s="249">
        <v>0</v>
      </c>
      <c r="J39" s="249">
        <v>0</v>
      </c>
      <c r="K39" s="249">
        <v>0</v>
      </c>
      <c r="L39" s="274"/>
      <c r="M39" s="274"/>
      <c r="N39" s="245"/>
      <c r="O39" s="113"/>
      <c r="P39" s="113"/>
      <c r="Q39" s="131"/>
      <c r="R39" s="131"/>
      <c r="S39" s="64"/>
      <c r="T39" s="121"/>
      <c r="U39" s="117"/>
      <c r="V39" s="113"/>
      <c r="W39" s="131"/>
      <c r="X39" s="131"/>
      <c r="Y39" s="11"/>
      <c r="Z39" s="113"/>
      <c r="AA39" s="113"/>
      <c r="AB39" s="113"/>
      <c r="AC39" s="52"/>
      <c r="AD39" s="52"/>
      <c r="AE39" s="11"/>
      <c r="AF39" s="118">
        <v>175000</v>
      </c>
      <c r="AG39" s="144">
        <f>AF39*19%</f>
        <v>33250</v>
      </c>
      <c r="AH39" s="113">
        <f>+AF39+AG39</f>
        <v>208250</v>
      </c>
      <c r="AI39" s="11"/>
      <c r="AJ39" s="11"/>
      <c r="AK39" s="39"/>
      <c r="AL39" s="113">
        <v>192000</v>
      </c>
      <c r="AM39" s="113">
        <f t="shared" si="18"/>
        <v>36480</v>
      </c>
      <c r="AN39" s="119">
        <f t="shared" si="19"/>
        <v>228480</v>
      </c>
      <c r="AO39" s="76" t="s">
        <v>91</v>
      </c>
      <c r="AP39" s="266" t="s">
        <v>45</v>
      </c>
      <c r="AQ39" s="39"/>
      <c r="AR39" s="275"/>
      <c r="AS39" s="155"/>
      <c r="AT39" s="157"/>
      <c r="AU39" s="62"/>
      <c r="AV39" s="62"/>
      <c r="AW39" s="31"/>
      <c r="AX39" s="116"/>
      <c r="AY39" s="196"/>
      <c r="AZ39" s="143"/>
      <c r="BA39" s="191"/>
      <c r="BB39" s="132"/>
      <c r="BC39" s="132"/>
      <c r="BD39" s="274"/>
      <c r="BE39" s="143"/>
      <c r="BF39" s="143"/>
      <c r="BG39" s="132"/>
      <c r="BH39" s="132"/>
      <c r="BI39" s="132"/>
      <c r="BJ39" s="143"/>
      <c r="BK39" s="143"/>
      <c r="BL39" s="143"/>
      <c r="BM39" s="132"/>
      <c r="BN39" s="132"/>
      <c r="BO39" s="132"/>
      <c r="BP39" s="143"/>
      <c r="BQ39" s="132"/>
      <c r="BR39" s="132"/>
      <c r="BS39" s="132"/>
      <c r="BT39" s="132"/>
      <c r="BU39" s="132"/>
      <c r="BV39" s="267">
        <v>202500</v>
      </c>
      <c r="BW39" s="143">
        <f t="shared" si="14"/>
        <v>38475</v>
      </c>
      <c r="BX39" s="113">
        <f t="shared" si="15"/>
        <v>240975</v>
      </c>
      <c r="BY39" s="264" t="s">
        <v>87</v>
      </c>
      <c r="BZ39" s="264" t="s">
        <v>63</v>
      </c>
      <c r="CA39" s="132"/>
      <c r="CB39" s="274"/>
      <c r="CC39" s="144"/>
      <c r="CD39" s="274"/>
      <c r="CE39" s="132"/>
      <c r="CF39" s="132"/>
      <c r="CG39" s="132"/>
      <c r="CH39" s="263">
        <v>206550</v>
      </c>
      <c r="CI39" s="265">
        <f>+CH39*0.19</f>
        <v>39244.5</v>
      </c>
      <c r="CJ39" s="263">
        <f>+CH39+CI39</f>
        <v>245794.5</v>
      </c>
      <c r="CK39" s="264" t="s">
        <v>87</v>
      </c>
      <c r="CL39" s="264" t="s">
        <v>63</v>
      </c>
      <c r="CM39" s="132"/>
      <c r="CN39" s="274"/>
      <c r="CO39" s="144"/>
      <c r="CP39" s="274"/>
      <c r="CQ39" s="132"/>
      <c r="CR39" s="132"/>
      <c r="CS39" s="132"/>
      <c r="CT39" s="274">
        <v>250239.99999999997</v>
      </c>
      <c r="CU39" s="144">
        <v>47545.599999999999</v>
      </c>
      <c r="CV39" s="144">
        <f t="shared" si="11"/>
        <v>297785.59999999998</v>
      </c>
      <c r="CW39" s="132"/>
      <c r="CX39" s="132"/>
      <c r="CY39" s="132"/>
      <c r="CZ39" s="118">
        <v>208000</v>
      </c>
      <c r="DA39" s="144">
        <f>+CZ39*0.19</f>
        <v>39520</v>
      </c>
      <c r="DB39" s="118">
        <f>+CZ39+DA39</f>
        <v>247520</v>
      </c>
      <c r="DC39" s="33" t="s">
        <v>118</v>
      </c>
      <c r="DD39" s="39" t="s">
        <v>58</v>
      </c>
      <c r="DE39" s="11" t="s">
        <v>119</v>
      </c>
      <c r="DF39" s="132"/>
      <c r="DG39" s="132"/>
      <c r="DH39" s="132"/>
      <c r="DI39" s="132"/>
      <c r="DJ39" s="132"/>
      <c r="DK39" s="132"/>
      <c r="DL39" s="132"/>
      <c r="DM39" s="132"/>
      <c r="DN39" s="132"/>
      <c r="DO39" s="132"/>
      <c r="DP39" s="132"/>
      <c r="DQ39" s="132"/>
      <c r="DR39" s="132"/>
      <c r="DS39" s="132"/>
      <c r="DT39" s="132"/>
      <c r="DU39" s="132"/>
      <c r="DV39" s="132"/>
      <c r="DW39" s="132"/>
      <c r="DX39" s="132"/>
      <c r="DY39" s="132"/>
      <c r="DZ39" s="132"/>
      <c r="EA39" s="132"/>
      <c r="EB39" s="132"/>
      <c r="EC39" s="132"/>
      <c r="ED39" s="132"/>
      <c r="EE39" s="132"/>
      <c r="EF39" s="132"/>
      <c r="EG39" s="132"/>
      <c r="EH39" s="132"/>
      <c r="EI39" s="132"/>
      <c r="EJ39" s="132"/>
      <c r="EK39" s="132"/>
      <c r="EL39" s="132"/>
      <c r="EM39" s="132"/>
      <c r="EN39" s="132"/>
      <c r="EO39" s="132"/>
      <c r="EP39" s="132"/>
      <c r="EQ39" s="132"/>
      <c r="ER39" s="132"/>
      <c r="ES39" s="132"/>
      <c r="ET39" s="11"/>
      <c r="EU39" s="11"/>
      <c r="EV39" s="11"/>
      <c r="EW39" s="11"/>
      <c r="EX39" s="11"/>
      <c r="EY39" s="11"/>
      <c r="EZ39" s="11"/>
      <c r="FA39" s="11"/>
      <c r="FB39" s="11"/>
      <c r="FC39" s="11"/>
      <c r="FD39" s="11"/>
      <c r="FE39" s="11"/>
      <c r="FF39" s="11"/>
      <c r="FG39" s="11"/>
      <c r="FH39" s="39">
        <f t="shared" si="2"/>
        <v>1468805.1</v>
      </c>
      <c r="FI39" s="33">
        <f t="shared" si="3"/>
        <v>6</v>
      </c>
      <c r="FJ39" s="84">
        <f t="shared" si="4"/>
        <v>244800.85</v>
      </c>
    </row>
    <row r="40" spans="1:166" ht="55.5" customHeight="1" x14ac:dyDescent="0.25">
      <c r="A40" s="79" t="e">
        <f>#REF!</f>
        <v>#REF!</v>
      </c>
      <c r="B40" s="75" t="e">
        <f>#REF!</f>
        <v>#REF!</v>
      </c>
      <c r="C40" s="75" t="e">
        <f>#REF!</f>
        <v>#REF!</v>
      </c>
      <c r="D40" s="75" t="e">
        <f>#REF!</f>
        <v>#REF!</v>
      </c>
      <c r="E40" s="30">
        <v>1</v>
      </c>
      <c r="F40" s="238">
        <v>329630</v>
      </c>
      <c r="G40" s="241">
        <v>321300</v>
      </c>
      <c r="H40" s="249">
        <v>284563.18699999998</v>
      </c>
      <c r="I40" s="249">
        <v>0</v>
      </c>
      <c r="J40" s="249">
        <v>252869.44666666666</v>
      </c>
      <c r="K40" s="249">
        <v>247758</v>
      </c>
      <c r="L40" s="274">
        <f>AVERAGE(F40,H40,J40)</f>
        <v>289020.87788888888</v>
      </c>
      <c r="M40" s="274">
        <f>AVERAGE(G40,K40)*1.03</f>
        <v>293064.87</v>
      </c>
      <c r="N40" s="245"/>
      <c r="O40" s="113"/>
      <c r="P40" s="113"/>
      <c r="Q40" s="131"/>
      <c r="R40" s="131"/>
      <c r="S40" s="64"/>
      <c r="T40" s="121"/>
      <c r="U40" s="117"/>
      <c r="V40" s="113"/>
      <c r="W40" s="131"/>
      <c r="X40" s="131"/>
      <c r="Y40" s="11"/>
      <c r="Z40" s="113"/>
      <c r="AA40" s="113"/>
      <c r="AB40" s="113"/>
      <c r="AC40" s="52"/>
      <c r="AD40" s="52"/>
      <c r="AE40" s="11"/>
      <c r="AF40" s="118">
        <v>300000</v>
      </c>
      <c r="AG40" s="144">
        <f>AF40*19%</f>
        <v>57000</v>
      </c>
      <c r="AH40" s="113">
        <f>+AF40+AG40</f>
        <v>357000</v>
      </c>
      <c r="AI40" s="11"/>
      <c r="AJ40" s="11"/>
      <c r="AK40" s="39"/>
      <c r="AL40" s="113">
        <v>173000</v>
      </c>
      <c r="AM40" s="113">
        <f t="shared" si="18"/>
        <v>32870</v>
      </c>
      <c r="AN40" s="119">
        <f t="shared" si="19"/>
        <v>205870</v>
      </c>
      <c r="AO40" s="76" t="s">
        <v>78</v>
      </c>
      <c r="AP40" s="266" t="s">
        <v>45</v>
      </c>
      <c r="AQ40" s="39"/>
      <c r="AR40" s="275">
        <v>180986</v>
      </c>
      <c r="AS40" s="113">
        <f>+AR40*0.19</f>
        <v>34387.340000000004</v>
      </c>
      <c r="AT40" s="119">
        <f>+AR40+AS40</f>
        <v>215373.34</v>
      </c>
      <c r="AU40" s="62" t="s">
        <v>60</v>
      </c>
      <c r="AV40" s="48" t="s">
        <v>45</v>
      </c>
      <c r="AW40" s="31"/>
      <c r="AX40" s="116"/>
      <c r="AY40" s="116"/>
      <c r="AZ40" s="143"/>
      <c r="BA40" s="191"/>
      <c r="BB40" s="132"/>
      <c r="BC40" s="132"/>
      <c r="BD40" s="274"/>
      <c r="BE40" s="143"/>
      <c r="BF40" s="143"/>
      <c r="BG40" s="132"/>
      <c r="BH40" s="132"/>
      <c r="BI40" s="132"/>
      <c r="BJ40" s="143"/>
      <c r="BK40" s="143"/>
      <c r="BL40" s="143"/>
      <c r="BM40" s="132"/>
      <c r="BN40" s="132"/>
      <c r="BO40" s="132"/>
      <c r="BP40" s="143"/>
      <c r="BQ40" s="132"/>
      <c r="BR40" s="132"/>
      <c r="BS40" s="132"/>
      <c r="BT40" s="132"/>
      <c r="BU40" s="132"/>
      <c r="BV40" s="267">
        <v>349200</v>
      </c>
      <c r="BW40" s="143">
        <f t="shared" si="14"/>
        <v>66348</v>
      </c>
      <c r="BX40" s="113">
        <f t="shared" si="15"/>
        <v>415548</v>
      </c>
      <c r="BY40" s="264" t="s">
        <v>79</v>
      </c>
      <c r="BZ40" s="264" t="s">
        <v>88</v>
      </c>
      <c r="CA40" s="132"/>
      <c r="CB40" s="274"/>
      <c r="CC40" s="144"/>
      <c r="CD40" s="274"/>
      <c r="CE40" s="132"/>
      <c r="CF40" s="132"/>
      <c r="CG40" s="132"/>
      <c r="CH40" s="263">
        <v>356184</v>
      </c>
      <c r="CI40" s="265">
        <f>+CH40*0.19</f>
        <v>67674.960000000006</v>
      </c>
      <c r="CJ40" s="263">
        <f>+CH40+CI40</f>
        <v>423858.96</v>
      </c>
      <c r="CK40" s="264" t="s">
        <v>79</v>
      </c>
      <c r="CL40" s="264" t="s">
        <v>88</v>
      </c>
      <c r="CM40" s="132"/>
      <c r="CN40" s="274"/>
      <c r="CO40" s="144"/>
      <c r="CP40" s="274"/>
      <c r="CQ40" s="132"/>
      <c r="CR40" s="132"/>
      <c r="CS40" s="132"/>
      <c r="CT40" s="274">
        <v>1408960</v>
      </c>
      <c r="CU40" s="144">
        <v>267702.40000000002</v>
      </c>
      <c r="CV40" s="144">
        <f t="shared" si="11"/>
        <v>1676662.4</v>
      </c>
      <c r="CW40" s="132"/>
      <c r="CX40" s="132"/>
      <c r="CY40" s="132"/>
      <c r="CZ40" s="118">
        <v>172690</v>
      </c>
      <c r="DA40" s="144">
        <f>+CZ40*0.19</f>
        <v>32811.1</v>
      </c>
      <c r="DB40" s="118">
        <f>+CZ40+DA40</f>
        <v>205501.1</v>
      </c>
      <c r="DC40" s="33" t="s">
        <v>80</v>
      </c>
      <c r="DD40" s="39" t="s">
        <v>58</v>
      </c>
      <c r="DE40" s="11">
        <v>1008070250</v>
      </c>
      <c r="DF40" s="132"/>
      <c r="DG40" s="132"/>
      <c r="DH40" s="132"/>
      <c r="DI40" s="132"/>
      <c r="DJ40" s="132"/>
      <c r="DK40" s="132"/>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1"/>
      <c r="EU40" s="11"/>
      <c r="EV40" s="11"/>
      <c r="EW40" s="11"/>
      <c r="EX40" s="11"/>
      <c r="EY40" s="11"/>
      <c r="EZ40" s="11"/>
      <c r="FA40" s="11"/>
      <c r="FB40" s="11"/>
      <c r="FC40" s="11"/>
      <c r="FD40" s="11"/>
      <c r="FE40" s="11"/>
      <c r="FF40" s="11"/>
      <c r="FG40" s="11"/>
      <c r="FH40" s="39">
        <f t="shared" si="2"/>
        <v>3792878.67</v>
      </c>
      <c r="FI40" s="33">
        <f t="shared" si="3"/>
        <v>8</v>
      </c>
      <c r="FJ40" s="84">
        <f t="shared" si="4"/>
        <v>474109.83374999999</v>
      </c>
    </row>
    <row r="41" spans="1:166" ht="55.5" customHeight="1" x14ac:dyDescent="0.25">
      <c r="A41" s="79" t="e">
        <f>#REF!</f>
        <v>#REF!</v>
      </c>
      <c r="B41" s="75" t="e">
        <f>#REF!</f>
        <v>#REF!</v>
      </c>
      <c r="C41" s="75" t="e">
        <f>#REF!</f>
        <v>#REF!</v>
      </c>
      <c r="D41" s="75" t="e">
        <f>#REF!</f>
        <v>#REF!</v>
      </c>
      <c r="E41" s="30">
        <v>1</v>
      </c>
      <c r="F41" s="238">
        <v>0</v>
      </c>
      <c r="G41" s="241">
        <v>0</v>
      </c>
      <c r="H41" s="249">
        <v>0</v>
      </c>
      <c r="I41" s="249">
        <v>0</v>
      </c>
      <c r="J41" s="249">
        <v>0</v>
      </c>
      <c r="K41" s="249">
        <v>0</v>
      </c>
      <c r="L41" s="274"/>
      <c r="M41" s="274"/>
      <c r="N41" s="245"/>
      <c r="O41" s="113"/>
      <c r="P41" s="113"/>
      <c r="Q41" s="52"/>
      <c r="R41" s="52"/>
      <c r="S41" s="5"/>
      <c r="T41" s="113"/>
      <c r="U41" s="113"/>
      <c r="V41" s="113"/>
      <c r="W41" s="11"/>
      <c r="X41" s="11"/>
      <c r="Y41" s="11"/>
      <c r="Z41" s="113"/>
      <c r="AA41" s="113"/>
      <c r="AB41" s="113"/>
      <c r="AC41" s="52"/>
      <c r="AD41" s="52"/>
      <c r="AE41" s="11"/>
      <c r="AF41" s="113"/>
      <c r="AG41" s="144"/>
      <c r="AH41" s="113"/>
      <c r="AI41" s="11"/>
      <c r="AJ41" s="11"/>
      <c r="AK41" s="11"/>
      <c r="AL41" s="113"/>
      <c r="AM41" s="113"/>
      <c r="AN41" s="113"/>
      <c r="AO41" s="76"/>
      <c r="AP41" s="11"/>
      <c r="AQ41" s="11"/>
      <c r="AR41" s="275"/>
      <c r="AS41" s="275"/>
      <c r="AT41" s="275"/>
      <c r="AU41" s="48"/>
      <c r="AV41" s="48"/>
      <c r="AW41" s="11"/>
      <c r="AX41" s="275"/>
      <c r="AY41" s="275"/>
      <c r="AZ41" s="275"/>
      <c r="BA41" s="11"/>
      <c r="BB41" s="11"/>
      <c r="BC41" s="11"/>
      <c r="BD41" s="275"/>
      <c r="BE41" s="143"/>
      <c r="BF41" s="143"/>
      <c r="BG41" s="132"/>
      <c r="BH41" s="11"/>
      <c r="BI41" s="132"/>
      <c r="BJ41" s="275">
        <v>3297000</v>
      </c>
      <c r="BK41" s="118">
        <f>+BJ41*0.19</f>
        <v>626430</v>
      </c>
      <c r="BL41" s="113">
        <f>+BK41+BJ41</f>
        <v>3923430</v>
      </c>
      <c r="BM41" s="132"/>
      <c r="BN41" s="132"/>
      <c r="BO41" s="132"/>
      <c r="BP41" s="143"/>
      <c r="BQ41" s="132"/>
      <c r="BR41" s="132"/>
      <c r="BS41" s="132"/>
      <c r="BT41" s="132"/>
      <c r="BU41" s="132"/>
      <c r="BV41" s="267">
        <v>1100000</v>
      </c>
      <c r="BW41" s="143">
        <v>0</v>
      </c>
      <c r="BX41" s="113">
        <f t="shared" si="15"/>
        <v>1100000</v>
      </c>
      <c r="BY41" s="264" t="s">
        <v>120</v>
      </c>
      <c r="BZ41" s="264" t="s">
        <v>121</v>
      </c>
      <c r="CA41" s="132"/>
      <c r="CB41" s="275"/>
      <c r="CC41" s="143"/>
      <c r="CD41" s="275"/>
      <c r="CE41" s="132"/>
      <c r="CF41" s="132"/>
      <c r="CG41" s="132"/>
      <c r="CH41" s="267">
        <v>1166000</v>
      </c>
      <c r="CI41" s="265">
        <f>+CH41*0</f>
        <v>0</v>
      </c>
      <c r="CJ41" s="263">
        <f>+CH41+CI41</f>
        <v>1166000</v>
      </c>
      <c r="CK41" s="264" t="s">
        <v>120</v>
      </c>
      <c r="CL41" s="264" t="s">
        <v>121</v>
      </c>
      <c r="CM41" s="132"/>
      <c r="CN41" s="275"/>
      <c r="CO41" s="143"/>
      <c r="CP41" s="275"/>
      <c r="CQ41" s="132"/>
      <c r="CR41" s="132"/>
      <c r="CS41" s="132"/>
      <c r="CT41" s="275">
        <v>3410880</v>
      </c>
      <c r="CU41" s="143">
        <v>648067.19999999995</v>
      </c>
      <c r="CV41" s="144">
        <f t="shared" si="11"/>
        <v>4058947.2</v>
      </c>
      <c r="CW41" s="132"/>
      <c r="CX41" s="132"/>
      <c r="CY41" s="132"/>
      <c r="CZ41" s="113"/>
      <c r="DA41" s="143"/>
      <c r="DB41" s="113"/>
      <c r="DC41" s="33"/>
      <c r="DD41" s="39"/>
      <c r="DE41" s="11"/>
      <c r="DF41" s="132"/>
      <c r="DG41" s="132"/>
      <c r="DH41" s="132"/>
      <c r="DI41" s="132"/>
      <c r="DJ41" s="132"/>
      <c r="DK41" s="132"/>
      <c r="DL41" s="132"/>
      <c r="DM41" s="132"/>
      <c r="DN41" s="132"/>
      <c r="DO41" s="132"/>
      <c r="DP41" s="132"/>
      <c r="DQ41" s="132"/>
      <c r="DR41" s="132"/>
      <c r="DS41" s="132"/>
      <c r="DT41" s="132"/>
      <c r="DU41" s="132"/>
      <c r="DV41" s="132"/>
      <c r="DW41" s="132"/>
      <c r="DX41" s="132"/>
      <c r="DY41" s="132"/>
      <c r="DZ41" s="132"/>
      <c r="EA41" s="132"/>
      <c r="EB41" s="132"/>
      <c r="EC41" s="132"/>
      <c r="ED41" s="132"/>
      <c r="EE41" s="132"/>
      <c r="EF41" s="132"/>
      <c r="EG41" s="132"/>
      <c r="EH41" s="132"/>
      <c r="EI41" s="132"/>
      <c r="EJ41" s="132"/>
      <c r="EK41" s="132"/>
      <c r="EL41" s="132"/>
      <c r="EM41" s="132"/>
      <c r="EN41" s="132"/>
      <c r="EO41" s="132"/>
      <c r="EP41" s="132"/>
      <c r="EQ41" s="132"/>
      <c r="ER41" s="132"/>
      <c r="ES41" s="132"/>
      <c r="ET41" s="11"/>
      <c r="EU41" s="11"/>
      <c r="EV41" s="11"/>
      <c r="EW41" s="11"/>
      <c r="EX41" s="11"/>
      <c r="EY41" s="11"/>
      <c r="EZ41" s="11"/>
      <c r="FA41" s="11"/>
      <c r="FB41" s="11"/>
      <c r="FC41" s="11"/>
      <c r="FD41" s="11"/>
      <c r="FE41" s="11"/>
      <c r="FF41" s="11"/>
      <c r="FG41" s="11"/>
      <c r="FH41" s="39">
        <f t="shared" si="2"/>
        <v>10248377.199999999</v>
      </c>
      <c r="FI41" s="33">
        <f t="shared" si="3"/>
        <v>4</v>
      </c>
      <c r="FJ41" s="84">
        <f t="shared" si="4"/>
        <v>2562094.2999999998</v>
      </c>
    </row>
    <row r="42" spans="1:166" ht="25.5" x14ac:dyDescent="0.25">
      <c r="A42" s="79" t="e">
        <f>#REF!</f>
        <v>#REF!</v>
      </c>
      <c r="B42" s="75" t="e">
        <f>#REF!</f>
        <v>#REF!</v>
      </c>
      <c r="C42" s="75" t="e">
        <f>#REF!</f>
        <v>#REF!</v>
      </c>
      <c r="D42" s="75" t="e">
        <f>#REF!</f>
        <v>#REF!</v>
      </c>
      <c r="E42" s="30">
        <v>1</v>
      </c>
      <c r="F42" s="238">
        <v>0</v>
      </c>
      <c r="G42" s="241">
        <v>0</v>
      </c>
      <c r="H42" s="249">
        <v>0</v>
      </c>
      <c r="I42" s="249">
        <v>0</v>
      </c>
      <c r="J42" s="249">
        <v>0</v>
      </c>
      <c r="K42" s="249">
        <v>0</v>
      </c>
      <c r="L42" s="274"/>
      <c r="M42" s="274"/>
      <c r="N42" s="245"/>
      <c r="O42" s="113"/>
      <c r="P42" s="113"/>
      <c r="Q42" s="131"/>
      <c r="R42" s="131"/>
      <c r="S42" s="64"/>
      <c r="T42" s="113"/>
      <c r="U42" s="113"/>
      <c r="V42" s="113"/>
      <c r="W42" s="131"/>
      <c r="X42" s="131"/>
      <c r="Y42" s="11"/>
      <c r="Z42" s="113"/>
      <c r="AA42" s="113"/>
      <c r="AB42" s="113"/>
      <c r="AC42" s="52"/>
      <c r="AD42" s="52"/>
      <c r="AE42" s="11"/>
      <c r="AF42" s="118"/>
      <c r="AG42" s="144"/>
      <c r="AH42" s="113"/>
      <c r="AI42" s="11"/>
      <c r="AJ42" s="11"/>
      <c r="AK42" s="39"/>
      <c r="AL42" s="113"/>
      <c r="AM42" s="113"/>
      <c r="AN42" s="119"/>
      <c r="AO42" s="76"/>
      <c r="AP42" s="39"/>
      <c r="AQ42" s="39"/>
      <c r="AR42" s="275">
        <v>194400</v>
      </c>
      <c r="AS42" s="113">
        <f>+AR42*0.19</f>
        <v>36936</v>
      </c>
      <c r="AT42" s="119">
        <f>+AR42+AS42</f>
        <v>231336</v>
      </c>
      <c r="AU42" s="62" t="s">
        <v>109</v>
      </c>
      <c r="AV42" s="48" t="s">
        <v>35</v>
      </c>
      <c r="AW42" s="31"/>
      <c r="AX42" s="116"/>
      <c r="AY42" s="116"/>
      <c r="AZ42" s="143"/>
      <c r="BA42" s="191"/>
      <c r="BB42" s="132"/>
      <c r="BC42" s="132"/>
      <c r="BD42" s="274"/>
      <c r="BE42" s="143"/>
      <c r="BF42" s="143"/>
      <c r="BG42" s="132"/>
      <c r="BH42" s="132"/>
      <c r="BI42" s="132"/>
      <c r="BJ42" s="143"/>
      <c r="BK42" s="143"/>
      <c r="BL42" s="143"/>
      <c r="BM42" s="132"/>
      <c r="BN42" s="132"/>
      <c r="BO42" s="132"/>
      <c r="BP42" s="143"/>
      <c r="BQ42" s="132"/>
      <c r="BR42" s="132"/>
      <c r="BS42" s="132"/>
      <c r="BT42" s="132"/>
      <c r="BU42" s="132"/>
      <c r="BV42" s="267">
        <v>287000</v>
      </c>
      <c r="BW42" s="143">
        <f t="shared" ref="BW42:BW52" si="22">BV42*19%</f>
        <v>54530</v>
      </c>
      <c r="BX42" s="113">
        <f t="shared" si="15"/>
        <v>341530</v>
      </c>
      <c r="BY42" s="264" t="s">
        <v>110</v>
      </c>
      <c r="BZ42" s="264" t="s">
        <v>112</v>
      </c>
      <c r="CA42" s="132"/>
      <c r="CB42" s="274"/>
      <c r="CC42" s="144"/>
      <c r="CD42" s="274"/>
      <c r="CE42" s="132"/>
      <c r="CF42" s="132"/>
      <c r="CG42" s="132"/>
      <c r="CH42" s="263">
        <v>304220</v>
      </c>
      <c r="CI42" s="265">
        <f>+CH42*0.19</f>
        <v>57801.8</v>
      </c>
      <c r="CJ42" s="263">
        <f>+CH42+CI42</f>
        <v>362021.8</v>
      </c>
      <c r="CK42" s="264" t="s">
        <v>110</v>
      </c>
      <c r="CL42" s="264" t="s">
        <v>112</v>
      </c>
      <c r="CM42" s="132"/>
      <c r="CN42" s="274"/>
      <c r="CO42" s="144"/>
      <c r="CP42" s="274"/>
      <c r="CQ42" s="132"/>
      <c r="CR42" s="132"/>
      <c r="CS42" s="132"/>
      <c r="CT42" s="274">
        <v>3323840</v>
      </c>
      <c r="CU42" s="144">
        <v>631529.6</v>
      </c>
      <c r="CV42" s="144">
        <f t="shared" si="11"/>
        <v>3955369.6</v>
      </c>
      <c r="CW42" s="132"/>
      <c r="CX42" s="132"/>
      <c r="CY42" s="132"/>
      <c r="CZ42" s="118"/>
      <c r="DA42" s="144"/>
      <c r="DB42" s="118"/>
      <c r="DC42" s="33"/>
      <c r="DD42" s="39"/>
      <c r="DE42" s="11"/>
      <c r="DF42" s="132"/>
      <c r="DG42" s="132"/>
      <c r="DH42" s="132"/>
      <c r="DI42" s="132"/>
      <c r="DJ42" s="132"/>
      <c r="DK42" s="132"/>
      <c r="DL42" s="132"/>
      <c r="DM42" s="132"/>
      <c r="DN42" s="132"/>
      <c r="DO42" s="132"/>
      <c r="DP42" s="132"/>
      <c r="DQ42" s="132"/>
      <c r="DR42" s="132"/>
      <c r="DS42" s="132"/>
      <c r="DT42" s="132"/>
      <c r="DU42" s="132"/>
      <c r="DV42" s="132"/>
      <c r="DW42" s="132"/>
      <c r="DX42" s="132"/>
      <c r="DY42" s="132"/>
      <c r="DZ42" s="132"/>
      <c r="EA42" s="132"/>
      <c r="EB42" s="132"/>
      <c r="EC42" s="132"/>
      <c r="ED42" s="132"/>
      <c r="EE42" s="132"/>
      <c r="EF42" s="132"/>
      <c r="EG42" s="132"/>
      <c r="EH42" s="132"/>
      <c r="EI42" s="132"/>
      <c r="EJ42" s="132"/>
      <c r="EK42" s="132"/>
      <c r="EL42" s="132"/>
      <c r="EM42" s="132"/>
      <c r="EN42" s="132"/>
      <c r="EO42" s="132"/>
      <c r="EP42" s="132"/>
      <c r="EQ42" s="132"/>
      <c r="ER42" s="132"/>
      <c r="ES42" s="132"/>
      <c r="ET42" s="11"/>
      <c r="EU42" s="11"/>
      <c r="EV42" s="11"/>
      <c r="EW42" s="11"/>
      <c r="EX42" s="11"/>
      <c r="EY42" s="11"/>
      <c r="EZ42" s="11"/>
      <c r="FA42" s="11"/>
      <c r="FB42" s="11"/>
      <c r="FC42" s="11"/>
      <c r="FD42" s="11"/>
      <c r="FE42" s="11"/>
      <c r="FF42" s="11"/>
      <c r="FG42" s="11"/>
      <c r="FH42" s="39">
        <f t="shared" si="2"/>
        <v>4890257.4000000004</v>
      </c>
      <c r="FI42" s="33">
        <f t="shared" si="3"/>
        <v>4</v>
      </c>
      <c r="FJ42" s="84">
        <f t="shared" si="4"/>
        <v>1222564.3500000001</v>
      </c>
    </row>
    <row r="43" spans="1:166" ht="27" x14ac:dyDescent="0.25">
      <c r="A43" s="79" t="e">
        <f>#REF!</f>
        <v>#REF!</v>
      </c>
      <c r="B43" s="75" t="e">
        <f>#REF!</f>
        <v>#REF!</v>
      </c>
      <c r="C43" s="75" t="e">
        <f>#REF!</f>
        <v>#REF!</v>
      </c>
      <c r="D43" s="75" t="e">
        <f>#REF!</f>
        <v>#REF!</v>
      </c>
      <c r="E43" s="30">
        <v>1</v>
      </c>
      <c r="F43" s="238">
        <v>532855.82000000007</v>
      </c>
      <c r="G43" s="241">
        <v>0</v>
      </c>
      <c r="H43" s="249">
        <v>551132.77462600009</v>
      </c>
      <c r="I43" s="249">
        <v>0</v>
      </c>
      <c r="J43" s="249">
        <v>0</v>
      </c>
      <c r="K43" s="249">
        <v>0</v>
      </c>
      <c r="L43" s="274">
        <f>AVERAGE(F43,H43)</f>
        <v>541994.29731300008</v>
      </c>
      <c r="M43" s="274"/>
      <c r="N43" s="245"/>
      <c r="O43" s="113"/>
      <c r="P43" s="113"/>
      <c r="Q43" s="131"/>
      <c r="R43" s="131"/>
      <c r="S43" s="64"/>
      <c r="T43" s="113"/>
      <c r="U43" s="113"/>
      <c r="V43" s="113"/>
      <c r="W43" s="131"/>
      <c r="X43" s="131"/>
      <c r="Y43" s="11"/>
      <c r="Z43" s="113"/>
      <c r="AA43" s="113"/>
      <c r="AB43" s="113"/>
      <c r="AC43" s="52"/>
      <c r="AD43" s="52"/>
      <c r="AE43" s="11"/>
      <c r="AF43" s="118"/>
      <c r="AG43" s="144"/>
      <c r="AH43" s="113"/>
      <c r="AI43" s="11"/>
      <c r="AJ43" s="11"/>
      <c r="AK43" s="39"/>
      <c r="AL43" s="113"/>
      <c r="AM43" s="113"/>
      <c r="AN43" s="117"/>
      <c r="AO43" s="76"/>
      <c r="AP43" s="39"/>
      <c r="AQ43" s="39"/>
      <c r="AR43" s="275">
        <v>1645000</v>
      </c>
      <c r="AS43" s="113">
        <f>+AR43*0.19</f>
        <v>312550</v>
      </c>
      <c r="AT43" s="119">
        <f>+AR43+AS43</f>
        <v>1957550</v>
      </c>
      <c r="AU43" s="62" t="s">
        <v>122</v>
      </c>
      <c r="AV43" s="62" t="s">
        <v>123</v>
      </c>
      <c r="AW43" s="31"/>
      <c r="AX43" s="116"/>
      <c r="AY43" s="116"/>
      <c r="AZ43" s="143"/>
      <c r="BA43" s="191"/>
      <c r="BB43" s="132"/>
      <c r="BC43" s="132"/>
      <c r="BD43" s="274"/>
      <c r="BE43" s="143"/>
      <c r="BF43" s="143"/>
      <c r="BG43" s="132"/>
      <c r="BH43" s="132"/>
      <c r="BI43" s="132"/>
      <c r="BJ43" s="275"/>
      <c r="BK43" s="118"/>
      <c r="BL43" s="113"/>
      <c r="BM43" s="132"/>
      <c r="BN43" s="132"/>
      <c r="BO43" s="132"/>
      <c r="BP43" s="143"/>
      <c r="BQ43" s="132"/>
      <c r="BR43" s="132"/>
      <c r="BS43" s="132"/>
      <c r="BT43" s="132"/>
      <c r="BU43" s="132"/>
      <c r="BV43" s="267">
        <v>1045300</v>
      </c>
      <c r="BW43" s="143">
        <f t="shared" si="22"/>
        <v>198607</v>
      </c>
      <c r="BX43" s="113">
        <f t="shared" si="15"/>
        <v>1243907</v>
      </c>
      <c r="BY43" s="264" t="s">
        <v>124</v>
      </c>
      <c r="BZ43" s="264" t="s">
        <v>112</v>
      </c>
      <c r="CA43" s="132"/>
      <c r="CB43" s="274"/>
      <c r="CC43" s="144"/>
      <c r="CD43" s="274"/>
      <c r="CE43" s="132"/>
      <c r="CF43" s="132"/>
      <c r="CG43" s="132"/>
      <c r="CH43" s="263">
        <v>1055753</v>
      </c>
      <c r="CI43" s="265">
        <f>+CH43*0.19</f>
        <v>200593.07</v>
      </c>
      <c r="CJ43" s="263">
        <f>+CH43+CI43</f>
        <v>1256346.07</v>
      </c>
      <c r="CK43" s="264" t="s">
        <v>124</v>
      </c>
      <c r="CL43" s="264" t="s">
        <v>112</v>
      </c>
      <c r="CM43" s="132"/>
      <c r="CN43" s="274"/>
      <c r="CO43" s="144"/>
      <c r="CP43" s="274"/>
      <c r="CQ43" s="132"/>
      <c r="CR43" s="132"/>
      <c r="CS43" s="132"/>
      <c r="CT43" s="274">
        <v>326400</v>
      </c>
      <c r="CU43" s="144">
        <v>62016</v>
      </c>
      <c r="CV43" s="144">
        <f t="shared" si="11"/>
        <v>388416</v>
      </c>
      <c r="CW43" s="132"/>
      <c r="CX43" s="132"/>
      <c r="CY43" s="132"/>
      <c r="CZ43" s="118"/>
      <c r="DA43" s="144"/>
      <c r="DB43" s="118"/>
      <c r="DC43" s="33"/>
      <c r="DD43" s="39"/>
      <c r="DE43" s="11"/>
      <c r="DF43" s="132"/>
      <c r="DG43" s="132"/>
      <c r="DH43" s="132"/>
      <c r="DI43" s="132"/>
      <c r="DJ43" s="132"/>
      <c r="DK43" s="132"/>
      <c r="DL43" s="132"/>
      <c r="DM43" s="132"/>
      <c r="DN43" s="132"/>
      <c r="DO43" s="132"/>
      <c r="DP43" s="132"/>
      <c r="DQ43" s="132"/>
      <c r="DR43" s="132"/>
      <c r="DS43" s="132"/>
      <c r="DT43" s="132"/>
      <c r="DU43" s="132"/>
      <c r="DV43" s="132"/>
      <c r="DW43" s="132"/>
      <c r="DX43" s="132"/>
      <c r="DY43" s="132"/>
      <c r="DZ43" s="132"/>
      <c r="EA43" s="132"/>
      <c r="EB43" s="132"/>
      <c r="EC43" s="132"/>
      <c r="ED43" s="132"/>
      <c r="EE43" s="132"/>
      <c r="EF43" s="132"/>
      <c r="EG43" s="132"/>
      <c r="EH43" s="132"/>
      <c r="EI43" s="132"/>
      <c r="EJ43" s="132"/>
      <c r="EK43" s="132"/>
      <c r="EL43" s="132"/>
      <c r="EM43" s="132"/>
      <c r="EN43" s="132"/>
      <c r="EO43" s="132"/>
      <c r="EP43" s="132"/>
      <c r="EQ43" s="132"/>
      <c r="ER43" s="132"/>
      <c r="ES43" s="132"/>
      <c r="ET43" s="11"/>
      <c r="EU43" s="11"/>
      <c r="EV43" s="11"/>
      <c r="EW43" s="11"/>
      <c r="EX43" s="11"/>
      <c r="EY43" s="11"/>
      <c r="EZ43" s="11"/>
      <c r="FA43" s="11"/>
      <c r="FB43" s="11"/>
      <c r="FC43" s="11"/>
      <c r="FD43" s="11"/>
      <c r="FE43" s="11"/>
      <c r="FF43" s="11"/>
      <c r="FG43" s="11"/>
      <c r="FH43" s="39">
        <f t="shared" si="2"/>
        <v>4846219.07</v>
      </c>
      <c r="FI43" s="33">
        <f t="shared" si="3"/>
        <v>4</v>
      </c>
      <c r="FJ43" s="84">
        <f t="shared" si="4"/>
        <v>1211554.7675000001</v>
      </c>
    </row>
    <row r="44" spans="1:166" ht="40.5" x14ac:dyDescent="0.25">
      <c r="A44" s="79" t="e">
        <f>#REF!</f>
        <v>#REF!</v>
      </c>
      <c r="B44" s="75" t="e">
        <f>#REF!</f>
        <v>#REF!</v>
      </c>
      <c r="C44" s="75" t="e">
        <f>#REF!</f>
        <v>#REF!</v>
      </c>
      <c r="D44" s="75" t="e">
        <f>#REF!</f>
        <v>#REF!</v>
      </c>
      <c r="E44" s="30">
        <v>1</v>
      </c>
      <c r="F44" s="238">
        <v>0</v>
      </c>
      <c r="G44" s="241">
        <v>0</v>
      </c>
      <c r="H44" s="249">
        <v>0</v>
      </c>
      <c r="I44" s="249">
        <v>0</v>
      </c>
      <c r="J44" s="249">
        <v>0</v>
      </c>
      <c r="K44" s="249">
        <v>0</v>
      </c>
      <c r="L44" s="274"/>
      <c r="M44" s="274"/>
      <c r="N44" s="245"/>
      <c r="O44" s="113"/>
      <c r="P44" s="113"/>
      <c r="Q44" s="131"/>
      <c r="R44" s="131"/>
      <c r="S44" s="64"/>
      <c r="T44" s="113"/>
      <c r="U44" s="113"/>
      <c r="V44" s="113"/>
      <c r="W44" s="131"/>
      <c r="X44" s="131"/>
      <c r="Y44" s="11"/>
      <c r="Z44" s="113"/>
      <c r="AA44" s="113"/>
      <c r="AB44" s="113"/>
      <c r="AC44" s="52"/>
      <c r="AD44" s="52"/>
      <c r="AE44" s="11"/>
      <c r="AF44" s="113"/>
      <c r="AG44" s="144"/>
      <c r="AH44" s="113"/>
      <c r="AI44" s="11"/>
      <c r="AJ44" s="11"/>
      <c r="AK44" s="39"/>
      <c r="AL44" s="113"/>
      <c r="AM44" s="113"/>
      <c r="AN44" s="119"/>
      <c r="AO44" s="76"/>
      <c r="AP44" s="39"/>
      <c r="AQ44" s="39"/>
      <c r="AR44" s="275"/>
      <c r="AS44" s="155"/>
      <c r="AT44" s="143"/>
      <c r="AU44" s="62"/>
      <c r="AV44" s="62"/>
      <c r="AW44" s="31"/>
      <c r="AX44" s="116"/>
      <c r="AY44" s="196"/>
      <c r="AZ44" s="143"/>
      <c r="BA44" s="191"/>
      <c r="BB44" s="132"/>
      <c r="BC44" s="132"/>
      <c r="BD44" s="275"/>
      <c r="BE44" s="143"/>
      <c r="BF44" s="143"/>
      <c r="BG44" s="132"/>
      <c r="BH44" s="132"/>
      <c r="BI44" s="132"/>
      <c r="BJ44" s="275">
        <v>425000</v>
      </c>
      <c r="BK44" s="118">
        <f>+BJ44*0.19</f>
        <v>80750</v>
      </c>
      <c r="BL44" s="113">
        <f>+BK44+BJ44</f>
        <v>505750</v>
      </c>
      <c r="BM44" s="11" t="s">
        <v>125</v>
      </c>
      <c r="BN44" s="132"/>
      <c r="BO44" s="132"/>
      <c r="BP44" s="143"/>
      <c r="BQ44" s="132"/>
      <c r="BR44" s="132"/>
      <c r="BS44" s="132"/>
      <c r="BT44" s="132"/>
      <c r="BU44" s="132"/>
      <c r="BV44" s="267">
        <v>1038000</v>
      </c>
      <c r="BW44" s="143">
        <f t="shared" si="22"/>
        <v>197220</v>
      </c>
      <c r="BX44" s="113">
        <f t="shared" si="15"/>
        <v>1235220</v>
      </c>
      <c r="BY44" s="264" t="s">
        <v>62</v>
      </c>
      <c r="BZ44" s="264" t="s">
        <v>126</v>
      </c>
      <c r="CA44" s="132"/>
      <c r="CB44" s="275">
        <v>506144</v>
      </c>
      <c r="CC44" s="144">
        <f>+CB44*19%</f>
        <v>96167.360000000001</v>
      </c>
      <c r="CD44" s="274">
        <f>+CC44+CB44</f>
        <v>602311.36</v>
      </c>
      <c r="CE44" s="132"/>
      <c r="CF44" s="132"/>
      <c r="CG44" s="132"/>
      <c r="CH44" s="267"/>
      <c r="CI44" s="265"/>
      <c r="CJ44" s="263"/>
      <c r="CK44" s="264"/>
      <c r="CL44" s="264"/>
      <c r="CM44" s="132"/>
      <c r="CN44" s="275"/>
      <c r="CO44" s="143"/>
      <c r="CP44" s="275"/>
      <c r="CQ44" s="132"/>
      <c r="CR44" s="132"/>
      <c r="CS44" s="132"/>
      <c r="CT44" s="275">
        <v>326400</v>
      </c>
      <c r="CU44" s="143">
        <v>62016</v>
      </c>
      <c r="CV44" s="144">
        <f t="shared" si="11"/>
        <v>388416</v>
      </c>
      <c r="CW44" s="132"/>
      <c r="CX44" s="132"/>
      <c r="CY44" s="132"/>
      <c r="CZ44" s="113"/>
      <c r="DA44" s="143"/>
      <c r="DB44" s="113"/>
      <c r="DC44" s="33"/>
      <c r="DD44" s="39"/>
      <c r="DE44" s="11"/>
      <c r="DF44" s="132"/>
      <c r="DG44" s="132"/>
      <c r="DH44" s="132"/>
      <c r="DI44" s="132"/>
      <c r="DJ44" s="132"/>
      <c r="DK44" s="132"/>
      <c r="DL44" s="132"/>
      <c r="DM44" s="132"/>
      <c r="DN44" s="132"/>
      <c r="DO44" s="132"/>
      <c r="DP44" s="132"/>
      <c r="DQ44" s="132"/>
      <c r="DR44" s="132"/>
      <c r="DS44" s="132"/>
      <c r="DT44" s="132"/>
      <c r="DU44" s="132"/>
      <c r="DV44" s="132"/>
      <c r="DW44" s="132"/>
      <c r="DX44" s="132"/>
      <c r="DY44" s="132"/>
      <c r="DZ44" s="132"/>
      <c r="EA44" s="132"/>
      <c r="EB44" s="132"/>
      <c r="EC44" s="132"/>
      <c r="ED44" s="132"/>
      <c r="EE44" s="132"/>
      <c r="EF44" s="132"/>
      <c r="EG44" s="132"/>
      <c r="EH44" s="132"/>
      <c r="EI44" s="132"/>
      <c r="EJ44" s="132"/>
      <c r="EK44" s="132"/>
      <c r="EL44" s="132"/>
      <c r="EM44" s="132"/>
      <c r="EN44" s="132"/>
      <c r="EO44" s="132"/>
      <c r="EP44" s="132"/>
      <c r="EQ44" s="132"/>
      <c r="ER44" s="132"/>
      <c r="ES44" s="132"/>
      <c r="ET44" s="11"/>
      <c r="EU44" s="11"/>
      <c r="EV44" s="11"/>
      <c r="EW44" s="11"/>
      <c r="EX44" s="11"/>
      <c r="EY44" s="11"/>
      <c r="EZ44" s="11"/>
      <c r="FA44" s="11"/>
      <c r="FB44" s="11"/>
      <c r="FC44" s="11"/>
      <c r="FD44" s="11"/>
      <c r="FE44" s="11"/>
      <c r="FF44" s="11"/>
      <c r="FG44" s="11"/>
      <c r="FH44" s="39">
        <f t="shared" si="2"/>
        <v>2731697.36</v>
      </c>
      <c r="FI44" s="33">
        <f t="shared" si="3"/>
        <v>4</v>
      </c>
      <c r="FJ44" s="84">
        <f t="shared" si="4"/>
        <v>682924.34</v>
      </c>
    </row>
    <row r="45" spans="1:166" ht="27" x14ac:dyDescent="0.25">
      <c r="A45" s="79" t="e">
        <f>#REF!</f>
        <v>#REF!</v>
      </c>
      <c r="B45" s="75" t="e">
        <f>#REF!</f>
        <v>#REF!</v>
      </c>
      <c r="C45" s="75" t="e">
        <f>#REF!</f>
        <v>#REF!</v>
      </c>
      <c r="D45" s="75" t="e">
        <f>#REF!</f>
        <v>#REF!</v>
      </c>
      <c r="E45" s="30">
        <v>1</v>
      </c>
      <c r="F45" s="238">
        <v>0</v>
      </c>
      <c r="G45" s="241">
        <v>0</v>
      </c>
      <c r="H45" s="249">
        <v>0</v>
      </c>
      <c r="I45" s="249">
        <v>0</v>
      </c>
      <c r="J45" s="249">
        <v>797300</v>
      </c>
      <c r="K45" s="249">
        <v>773500</v>
      </c>
      <c r="L45" s="274">
        <f>J45</f>
        <v>797300</v>
      </c>
      <c r="M45" s="274">
        <f>K45*1.03</f>
        <v>796705</v>
      </c>
      <c r="N45" s="246">
        <v>795000</v>
      </c>
      <c r="O45" s="118">
        <f>+N45*0.19</f>
        <v>151050</v>
      </c>
      <c r="P45" s="113">
        <f>+O45+N45</f>
        <v>946050</v>
      </c>
      <c r="Q45" s="36" t="s">
        <v>127</v>
      </c>
      <c r="R45" s="132" t="s">
        <v>128</v>
      </c>
      <c r="S45" s="64"/>
      <c r="T45" s="113"/>
      <c r="U45" s="113"/>
      <c r="V45" s="113"/>
      <c r="W45" s="131"/>
      <c r="X45" s="131"/>
      <c r="Y45" s="11"/>
      <c r="Z45" s="113"/>
      <c r="AA45" s="113"/>
      <c r="AB45" s="113"/>
      <c r="AC45" s="52"/>
      <c r="AD45" s="52"/>
      <c r="AE45" s="11"/>
      <c r="AF45" s="118"/>
      <c r="AG45" s="144"/>
      <c r="AH45" s="113"/>
      <c r="AI45" s="11"/>
      <c r="AJ45" s="11"/>
      <c r="AK45" s="39"/>
      <c r="AL45" s="113">
        <v>498000</v>
      </c>
      <c r="AM45" s="113">
        <f>+AL45*0.19</f>
        <v>94620</v>
      </c>
      <c r="AN45" s="119">
        <f>+AL45+AM45</f>
        <v>592620</v>
      </c>
      <c r="AO45" s="76" t="s">
        <v>129</v>
      </c>
      <c r="AP45" s="266" t="s">
        <v>45</v>
      </c>
      <c r="AQ45" s="39"/>
      <c r="AR45" s="275">
        <v>648000</v>
      </c>
      <c r="AS45" s="113">
        <f>+AR45*0.19</f>
        <v>123120</v>
      </c>
      <c r="AT45" s="119">
        <f>+AR45+AS45</f>
        <v>771120</v>
      </c>
      <c r="AU45" s="62" t="s">
        <v>60</v>
      </c>
      <c r="AV45" s="48" t="s">
        <v>35</v>
      </c>
      <c r="AW45" s="31"/>
      <c r="AX45" s="116"/>
      <c r="AY45" s="116"/>
      <c r="AZ45" s="143"/>
      <c r="BA45" s="191"/>
      <c r="BB45" s="132"/>
      <c r="BC45" s="132"/>
      <c r="BD45" s="274"/>
      <c r="BE45" s="143"/>
      <c r="BF45" s="143"/>
      <c r="BG45" s="132"/>
      <c r="BH45" s="132"/>
      <c r="BI45" s="132"/>
      <c r="BJ45" s="143"/>
      <c r="BK45" s="143"/>
      <c r="BL45" s="143"/>
      <c r="BM45" s="132"/>
      <c r="BN45" s="132"/>
      <c r="BO45" s="132"/>
      <c r="BP45" s="143"/>
      <c r="BQ45" s="132"/>
      <c r="BR45" s="132"/>
      <c r="BS45" s="132"/>
      <c r="BT45" s="132"/>
      <c r="BU45" s="132"/>
      <c r="BV45" s="267">
        <v>1872300</v>
      </c>
      <c r="BW45" s="143">
        <f t="shared" si="22"/>
        <v>355737</v>
      </c>
      <c r="BX45" s="113">
        <f t="shared" si="15"/>
        <v>2228037</v>
      </c>
      <c r="BY45" s="264" t="s">
        <v>62</v>
      </c>
      <c r="BZ45" s="264" t="s">
        <v>88</v>
      </c>
      <c r="CA45" s="132"/>
      <c r="CB45" s="274">
        <v>678500</v>
      </c>
      <c r="CC45" s="144">
        <f>+CB45*19%</f>
        <v>128915</v>
      </c>
      <c r="CD45" s="274">
        <f>+CC45+CB45</f>
        <v>807415</v>
      </c>
      <c r="CE45" s="132"/>
      <c r="CF45" s="132"/>
      <c r="CG45" s="132"/>
      <c r="CH45" s="263"/>
      <c r="CI45" s="265"/>
      <c r="CJ45" s="263"/>
      <c r="CK45" s="264"/>
      <c r="CL45" s="264"/>
      <c r="CM45" s="132"/>
      <c r="CN45" s="274"/>
      <c r="CO45" s="144"/>
      <c r="CP45" s="274"/>
      <c r="CQ45" s="132"/>
      <c r="CR45" s="132"/>
      <c r="CS45" s="132"/>
      <c r="CT45" s="274">
        <v>225000</v>
      </c>
      <c r="CU45" s="144">
        <v>42750</v>
      </c>
      <c r="CV45" s="144">
        <f t="shared" si="11"/>
        <v>267750</v>
      </c>
      <c r="CW45" s="132"/>
      <c r="CX45" s="132"/>
      <c r="CY45" s="132"/>
      <c r="CZ45" s="118">
        <v>1135359</v>
      </c>
      <c r="DA45" s="144">
        <f>+CZ45*0.19</f>
        <v>215718.21</v>
      </c>
      <c r="DB45" s="118">
        <f>+CZ45+DA45</f>
        <v>1351077.21</v>
      </c>
      <c r="DC45" s="39" t="s">
        <v>130</v>
      </c>
      <c r="DD45" s="28" t="s">
        <v>58</v>
      </c>
      <c r="DE45" s="11">
        <v>1016141000</v>
      </c>
      <c r="DF45" s="132"/>
      <c r="DG45" s="132"/>
      <c r="DH45" s="132"/>
      <c r="DI45" s="132"/>
      <c r="DJ45" s="132"/>
      <c r="DK45" s="132"/>
      <c r="DL45" s="132"/>
      <c r="DM45" s="132"/>
      <c r="DN45" s="132"/>
      <c r="DO45" s="132"/>
      <c r="DP45" s="132"/>
      <c r="DQ45" s="132"/>
      <c r="DR45" s="132"/>
      <c r="DS45" s="132"/>
      <c r="DT45" s="132"/>
      <c r="DU45" s="132"/>
      <c r="DV45" s="132"/>
      <c r="DW45" s="132"/>
      <c r="DX45" s="132"/>
      <c r="DY45" s="132"/>
      <c r="DZ45" s="132"/>
      <c r="EA45" s="132"/>
      <c r="EB45" s="132"/>
      <c r="EC45" s="132"/>
      <c r="ED45" s="132"/>
      <c r="EE45" s="132"/>
      <c r="EF45" s="132"/>
      <c r="EG45" s="132"/>
      <c r="EH45" s="132"/>
      <c r="EI45" s="132"/>
      <c r="EJ45" s="132"/>
      <c r="EK45" s="132"/>
      <c r="EL45" s="132"/>
      <c r="EM45" s="132"/>
      <c r="EN45" s="132"/>
      <c r="EO45" s="132"/>
      <c r="EP45" s="132"/>
      <c r="EQ45" s="132"/>
      <c r="ER45" s="132"/>
      <c r="ES45" s="132"/>
      <c r="ET45" s="11"/>
      <c r="EU45" s="11"/>
      <c r="EV45" s="11"/>
      <c r="EW45" s="11"/>
      <c r="EX45" s="11"/>
      <c r="EY45" s="11"/>
      <c r="EZ45" s="11"/>
      <c r="FA45" s="11"/>
      <c r="FB45" s="11"/>
      <c r="FC45" s="11"/>
      <c r="FD45" s="11"/>
      <c r="FE45" s="11"/>
      <c r="FF45" s="11"/>
      <c r="FG45" s="11"/>
      <c r="FH45" s="39">
        <f t="shared" si="2"/>
        <v>7760774.21</v>
      </c>
      <c r="FI45" s="33">
        <f t="shared" si="3"/>
        <v>8</v>
      </c>
      <c r="FJ45" s="84">
        <f t="shared" si="4"/>
        <v>970096.77625</v>
      </c>
    </row>
    <row r="46" spans="1:166" ht="27" x14ac:dyDescent="0.25">
      <c r="A46" s="79" t="e">
        <f>#REF!</f>
        <v>#REF!</v>
      </c>
      <c r="B46" s="75" t="e">
        <f>#REF!</f>
        <v>#REF!</v>
      </c>
      <c r="C46" s="75" t="e">
        <f>#REF!</f>
        <v>#REF!</v>
      </c>
      <c r="D46" s="75" t="e">
        <f>#REF!</f>
        <v>#REF!</v>
      </c>
      <c r="E46" s="30">
        <v>1</v>
      </c>
      <c r="F46" s="238">
        <v>757137.5</v>
      </c>
      <c r="G46" s="241">
        <v>0</v>
      </c>
      <c r="H46" s="249">
        <v>783107.31625000003</v>
      </c>
      <c r="I46" s="249">
        <v>0</v>
      </c>
      <c r="J46" s="249">
        <v>1606500</v>
      </c>
      <c r="K46" s="249">
        <v>1583890</v>
      </c>
      <c r="L46" s="274">
        <f>AVERAGE(F46,H46,J46)</f>
        <v>1048914.93875</v>
      </c>
      <c r="M46" s="274">
        <f>K46*1.03</f>
        <v>1631406.7</v>
      </c>
      <c r="N46" s="245"/>
      <c r="O46" s="113"/>
      <c r="P46" s="113"/>
      <c r="Q46" s="131"/>
      <c r="R46" s="131"/>
      <c r="S46" s="64"/>
      <c r="T46" s="113"/>
      <c r="U46" s="113"/>
      <c r="V46" s="113"/>
      <c r="W46" s="131"/>
      <c r="X46" s="131"/>
      <c r="Y46" s="11"/>
      <c r="Z46" s="113"/>
      <c r="AA46" s="113"/>
      <c r="AB46" s="113"/>
      <c r="AC46" s="52"/>
      <c r="AD46" s="52"/>
      <c r="AE46" s="11"/>
      <c r="AF46" s="118"/>
      <c r="AG46" s="144"/>
      <c r="AH46" s="113"/>
      <c r="AI46" s="11"/>
      <c r="AJ46" s="11"/>
      <c r="AK46" s="39"/>
      <c r="AL46" s="113"/>
      <c r="AM46" s="113"/>
      <c r="AN46" s="117"/>
      <c r="AO46" s="76"/>
      <c r="AP46" s="39"/>
      <c r="AQ46" s="39"/>
      <c r="AR46" s="275"/>
      <c r="AS46" s="156"/>
      <c r="AT46" s="157"/>
      <c r="AU46" s="62"/>
      <c r="AV46" s="62"/>
      <c r="AW46" s="31"/>
      <c r="AX46" s="116"/>
      <c r="AY46" s="196"/>
      <c r="AZ46" s="143"/>
      <c r="BA46" s="191"/>
      <c r="BB46" s="132"/>
      <c r="BC46" s="132"/>
      <c r="BD46" s="274"/>
      <c r="BE46" s="143"/>
      <c r="BF46" s="143"/>
      <c r="BG46" s="132"/>
      <c r="BH46" s="132"/>
      <c r="BI46" s="132"/>
      <c r="BJ46" s="143"/>
      <c r="BK46" s="143"/>
      <c r="BL46" s="143"/>
      <c r="BM46" s="132"/>
      <c r="BN46" s="132"/>
      <c r="BO46" s="132"/>
      <c r="BP46" s="143"/>
      <c r="BQ46" s="132"/>
      <c r="BR46" s="132"/>
      <c r="BS46" s="132"/>
      <c r="BT46" s="132"/>
      <c r="BU46" s="132"/>
      <c r="BV46" s="267">
        <v>2540000</v>
      </c>
      <c r="BW46" s="143">
        <f t="shared" si="22"/>
        <v>482600</v>
      </c>
      <c r="BX46" s="113">
        <f t="shared" si="15"/>
        <v>3022600</v>
      </c>
      <c r="BY46" s="264" t="s">
        <v>62</v>
      </c>
      <c r="BZ46" s="264" t="s">
        <v>131</v>
      </c>
      <c r="CA46" s="132"/>
      <c r="CB46" s="274"/>
      <c r="CC46" s="144"/>
      <c r="CD46" s="274"/>
      <c r="CE46" s="132"/>
      <c r="CF46" s="132"/>
      <c r="CG46" s="132"/>
      <c r="CH46" s="263"/>
      <c r="CI46" s="265"/>
      <c r="CJ46" s="263"/>
      <c r="CK46" s="264"/>
      <c r="CL46" s="264"/>
      <c r="CM46" s="132"/>
      <c r="CN46" s="274"/>
      <c r="CO46" s="144"/>
      <c r="CP46" s="274"/>
      <c r="CQ46" s="132"/>
      <c r="CR46" s="132"/>
      <c r="CS46" s="132"/>
      <c r="CT46" s="274">
        <v>238000</v>
      </c>
      <c r="CU46" s="144">
        <v>45220</v>
      </c>
      <c r="CV46" s="144">
        <f t="shared" si="11"/>
        <v>283220</v>
      </c>
      <c r="CW46" s="132"/>
      <c r="CX46" s="132"/>
      <c r="CY46" s="132"/>
      <c r="CZ46" s="118">
        <v>734358</v>
      </c>
      <c r="DA46" s="144">
        <f>+CZ46*0.19</f>
        <v>139528.01999999999</v>
      </c>
      <c r="DB46" s="118">
        <f>+CZ46+DA46</f>
        <v>873886.02</v>
      </c>
      <c r="DC46" s="39" t="s">
        <v>64</v>
      </c>
      <c r="DD46" s="28" t="s">
        <v>58</v>
      </c>
      <c r="DE46" s="11">
        <v>1039150500</v>
      </c>
      <c r="DF46" s="132"/>
      <c r="DG46" s="132"/>
      <c r="DH46" s="132"/>
      <c r="DI46" s="132"/>
      <c r="DJ46" s="132"/>
      <c r="DK46" s="132"/>
      <c r="DL46" s="132"/>
      <c r="DM46" s="132"/>
      <c r="DN46" s="132"/>
      <c r="DO46" s="132"/>
      <c r="DP46" s="132"/>
      <c r="DQ46" s="132"/>
      <c r="DR46" s="132"/>
      <c r="DS46" s="132"/>
      <c r="DT46" s="132"/>
      <c r="DU46" s="132"/>
      <c r="DV46" s="132"/>
      <c r="DW46" s="132"/>
      <c r="DX46" s="132"/>
      <c r="DY46" s="132"/>
      <c r="DZ46" s="132"/>
      <c r="EA46" s="132"/>
      <c r="EB46" s="132"/>
      <c r="EC46" s="132"/>
      <c r="ED46" s="132"/>
      <c r="EE46" s="132"/>
      <c r="EF46" s="132"/>
      <c r="EG46" s="132"/>
      <c r="EH46" s="132"/>
      <c r="EI46" s="132"/>
      <c r="EJ46" s="132"/>
      <c r="EK46" s="132"/>
      <c r="EL46" s="132"/>
      <c r="EM46" s="132"/>
      <c r="EN46" s="132"/>
      <c r="EO46" s="132"/>
      <c r="EP46" s="132"/>
      <c r="EQ46" s="132"/>
      <c r="ER46" s="132"/>
      <c r="ES46" s="132"/>
      <c r="ET46" s="11"/>
      <c r="EU46" s="11"/>
      <c r="EV46" s="11"/>
      <c r="EW46" s="11"/>
      <c r="EX46" s="11"/>
      <c r="EY46" s="11"/>
      <c r="EZ46" s="11"/>
      <c r="FA46" s="11"/>
      <c r="FB46" s="11"/>
      <c r="FC46" s="11"/>
      <c r="FD46" s="11"/>
      <c r="FE46" s="11"/>
      <c r="FF46" s="11"/>
      <c r="FG46" s="11"/>
      <c r="FH46" s="39">
        <f t="shared" si="2"/>
        <v>5811112.7200000007</v>
      </c>
      <c r="FI46" s="33">
        <f t="shared" si="3"/>
        <v>4</v>
      </c>
      <c r="FJ46" s="84">
        <f t="shared" si="4"/>
        <v>1452778.1800000002</v>
      </c>
    </row>
    <row r="47" spans="1:166" ht="38.25" x14ac:dyDescent="0.25">
      <c r="A47" s="79" t="e">
        <f>#REF!</f>
        <v>#REF!</v>
      </c>
      <c r="B47" s="75" t="e">
        <f>#REF!</f>
        <v>#REF!</v>
      </c>
      <c r="C47" s="75" t="e">
        <f>#REF!</f>
        <v>#REF!</v>
      </c>
      <c r="D47" s="75" t="e">
        <f>#REF!</f>
        <v>#REF!</v>
      </c>
      <c r="E47" s="30">
        <v>1</v>
      </c>
      <c r="F47" s="238">
        <v>0</v>
      </c>
      <c r="G47" s="241">
        <v>0</v>
      </c>
      <c r="H47" s="249">
        <v>776701.1</v>
      </c>
      <c r="I47" s="249">
        <v>0</v>
      </c>
      <c r="J47" s="249">
        <v>869890</v>
      </c>
      <c r="K47" s="249">
        <v>0</v>
      </c>
      <c r="L47" s="274">
        <f>AVERAGE(H47,J47)</f>
        <v>823295.55</v>
      </c>
      <c r="M47" s="274"/>
      <c r="N47" s="246">
        <v>1413000</v>
      </c>
      <c r="O47" s="118">
        <f>+N47*0.19</f>
        <v>268470</v>
      </c>
      <c r="P47" s="113">
        <f>+O47+N47</f>
        <v>1681470</v>
      </c>
      <c r="Q47" s="36" t="s">
        <v>127</v>
      </c>
      <c r="R47" s="132" t="s">
        <v>128</v>
      </c>
      <c r="S47" s="64"/>
      <c r="T47" s="113"/>
      <c r="U47" s="121"/>
      <c r="V47" s="113"/>
      <c r="W47" s="131"/>
      <c r="X47" s="131"/>
      <c r="Y47" s="11"/>
      <c r="Z47" s="113"/>
      <c r="AA47" s="113"/>
      <c r="AB47" s="113"/>
      <c r="AC47" s="52"/>
      <c r="AD47" s="52"/>
      <c r="AE47" s="11"/>
      <c r="AF47" s="118"/>
      <c r="AG47" s="144"/>
      <c r="AH47" s="113"/>
      <c r="AI47" s="11"/>
      <c r="AJ47" s="11"/>
      <c r="AK47" s="39"/>
      <c r="AL47" s="113"/>
      <c r="AM47" s="113"/>
      <c r="AN47" s="119"/>
      <c r="AO47" s="76"/>
      <c r="AP47" s="39"/>
      <c r="AQ47" s="39"/>
      <c r="AR47" s="275"/>
      <c r="AS47" s="155"/>
      <c r="AT47" s="143"/>
      <c r="AU47" s="62"/>
      <c r="AV47" s="62"/>
      <c r="AW47" s="31"/>
      <c r="AX47" s="116"/>
      <c r="AY47" s="196"/>
      <c r="AZ47" s="143"/>
      <c r="BA47" s="191"/>
      <c r="BB47" s="132"/>
      <c r="BC47" s="132"/>
      <c r="BD47" s="274"/>
      <c r="BE47" s="143"/>
      <c r="BF47" s="143"/>
      <c r="BG47" s="132"/>
      <c r="BH47" s="132"/>
      <c r="BI47" s="132"/>
      <c r="BJ47" s="143"/>
      <c r="BK47" s="143"/>
      <c r="BL47" s="143"/>
      <c r="BM47" s="132"/>
      <c r="BN47" s="132"/>
      <c r="BO47" s="132"/>
      <c r="BP47" s="118">
        <v>556235</v>
      </c>
      <c r="BQ47" s="144">
        <f>BP47*19%</f>
        <v>105684.65</v>
      </c>
      <c r="BR47" s="113">
        <f>+BP47+BQ47</f>
        <v>661919.65</v>
      </c>
      <c r="BS47" s="33" t="s">
        <v>132</v>
      </c>
      <c r="BT47" s="36" t="s">
        <v>133</v>
      </c>
      <c r="BU47" s="5" t="s">
        <v>134</v>
      </c>
      <c r="BV47" s="267">
        <v>1997700</v>
      </c>
      <c r="BW47" s="143">
        <f t="shared" si="22"/>
        <v>379563</v>
      </c>
      <c r="BX47" s="113">
        <f t="shared" si="15"/>
        <v>2377263</v>
      </c>
      <c r="BY47" s="264" t="s">
        <v>62</v>
      </c>
      <c r="BZ47" s="264" t="s">
        <v>135</v>
      </c>
      <c r="CA47" s="132"/>
      <c r="CB47" s="274"/>
      <c r="CC47" s="144"/>
      <c r="CD47" s="274"/>
      <c r="CE47" s="132"/>
      <c r="CF47" s="132"/>
      <c r="CG47" s="132"/>
      <c r="CH47" s="263"/>
      <c r="CI47" s="265"/>
      <c r="CJ47" s="263"/>
      <c r="CK47" s="264"/>
      <c r="CL47" s="264"/>
      <c r="CM47" s="132"/>
      <c r="CN47" s="274"/>
      <c r="CO47" s="144"/>
      <c r="CP47" s="274"/>
      <c r="CQ47" s="132"/>
      <c r="CR47" s="132"/>
      <c r="CS47" s="132"/>
      <c r="CT47" s="274">
        <v>315520</v>
      </c>
      <c r="CU47" s="144">
        <v>59948.800000000003</v>
      </c>
      <c r="CV47" s="144">
        <f t="shared" si="11"/>
        <v>375468.79999999999</v>
      </c>
      <c r="CW47" s="132"/>
      <c r="CX47" s="132"/>
      <c r="CY47" s="132"/>
      <c r="CZ47" s="118"/>
      <c r="DA47" s="144"/>
      <c r="DB47" s="118"/>
      <c r="DC47" s="33"/>
      <c r="DD47" s="39"/>
      <c r="DE47" s="11"/>
      <c r="DF47" s="132"/>
      <c r="DG47" s="132"/>
      <c r="DH47" s="132"/>
      <c r="DI47" s="132"/>
      <c r="DJ47" s="132"/>
      <c r="DK47" s="132"/>
      <c r="DL47" s="132"/>
      <c r="DM47" s="132"/>
      <c r="DN47" s="132"/>
      <c r="DO47" s="132"/>
      <c r="DP47" s="132"/>
      <c r="DQ47" s="132"/>
      <c r="DR47" s="132"/>
      <c r="DS47" s="132"/>
      <c r="DT47" s="132"/>
      <c r="DU47" s="132"/>
      <c r="DV47" s="132"/>
      <c r="DW47" s="132"/>
      <c r="DX47" s="132"/>
      <c r="DY47" s="132"/>
      <c r="DZ47" s="132"/>
      <c r="EA47" s="132"/>
      <c r="EB47" s="132"/>
      <c r="EC47" s="132"/>
      <c r="ED47" s="132"/>
      <c r="EE47" s="132"/>
      <c r="EF47" s="132"/>
      <c r="EG47" s="132"/>
      <c r="EH47" s="132"/>
      <c r="EI47" s="132"/>
      <c r="EJ47" s="132"/>
      <c r="EK47" s="132"/>
      <c r="EL47" s="132"/>
      <c r="EM47" s="132"/>
      <c r="EN47" s="132"/>
      <c r="EO47" s="132"/>
      <c r="EP47" s="132"/>
      <c r="EQ47" s="132"/>
      <c r="ER47" s="132"/>
      <c r="ES47" s="132"/>
      <c r="ET47" s="11"/>
      <c r="EU47" s="11"/>
      <c r="EV47" s="11"/>
      <c r="EW47" s="11"/>
      <c r="EX47" s="11"/>
      <c r="EY47" s="11"/>
      <c r="EZ47" s="11"/>
      <c r="FA47" s="11"/>
      <c r="FB47" s="11"/>
      <c r="FC47" s="11"/>
      <c r="FD47" s="276"/>
      <c r="FE47" s="276"/>
      <c r="FF47" s="71"/>
      <c r="FG47" s="71"/>
      <c r="FH47" s="39">
        <f t="shared" si="2"/>
        <v>5096121.45</v>
      </c>
      <c r="FI47" s="33">
        <f t="shared" si="3"/>
        <v>4</v>
      </c>
      <c r="FJ47" s="84">
        <f t="shared" si="4"/>
        <v>1274030.3625</v>
      </c>
    </row>
    <row r="48" spans="1:166" ht="27" x14ac:dyDescent="0.25">
      <c r="A48" s="79" t="e">
        <f>#REF!</f>
        <v>#REF!</v>
      </c>
      <c r="B48" s="75" t="e">
        <f>#REF!</f>
        <v>#REF!</v>
      </c>
      <c r="C48" s="75" t="e">
        <f>#REF!</f>
        <v>#REF!</v>
      </c>
      <c r="D48" s="75" t="e">
        <f>#REF!</f>
        <v>#REF!</v>
      </c>
      <c r="E48" s="30">
        <v>1</v>
      </c>
      <c r="F48" s="238">
        <v>0</v>
      </c>
      <c r="G48" s="241">
        <v>0</v>
      </c>
      <c r="H48" s="249">
        <v>0</v>
      </c>
      <c r="I48" s="249">
        <v>0</v>
      </c>
      <c r="J48" s="249">
        <v>0</v>
      </c>
      <c r="K48" s="249">
        <v>0</v>
      </c>
      <c r="L48" s="274"/>
      <c r="M48" s="274"/>
      <c r="N48" s="245"/>
      <c r="O48" s="113"/>
      <c r="P48" s="113"/>
      <c r="Q48" s="131"/>
      <c r="R48" s="131"/>
      <c r="S48" s="64"/>
      <c r="T48" s="113"/>
      <c r="U48" s="121"/>
      <c r="V48" s="113"/>
      <c r="W48" s="131"/>
      <c r="X48" s="131"/>
      <c r="Y48" s="11"/>
      <c r="Z48" s="113"/>
      <c r="AA48" s="113"/>
      <c r="AB48" s="113"/>
      <c r="AC48" s="52"/>
      <c r="AD48" s="52"/>
      <c r="AE48" s="11"/>
      <c r="AF48" s="113"/>
      <c r="AG48" s="144"/>
      <c r="AH48" s="113"/>
      <c r="AI48" s="11"/>
      <c r="AJ48" s="11"/>
      <c r="AK48" s="39"/>
      <c r="AL48" s="113"/>
      <c r="AM48" s="113"/>
      <c r="AN48" s="119"/>
      <c r="AO48" s="76"/>
      <c r="AP48" s="39"/>
      <c r="AQ48" s="39"/>
      <c r="AR48" s="275"/>
      <c r="AS48" s="155"/>
      <c r="AT48" s="143"/>
      <c r="AU48" s="62"/>
      <c r="AV48" s="62"/>
      <c r="AW48" s="31"/>
      <c r="AX48" s="116"/>
      <c r="AY48" s="196"/>
      <c r="AZ48" s="143"/>
      <c r="BA48" s="191"/>
      <c r="BB48" s="132"/>
      <c r="BC48" s="132"/>
      <c r="BD48" s="275"/>
      <c r="BE48" s="143"/>
      <c r="BF48" s="143"/>
      <c r="BG48" s="132"/>
      <c r="BH48" s="132"/>
      <c r="BI48" s="132"/>
      <c r="BJ48" s="143"/>
      <c r="BK48" s="143"/>
      <c r="BL48" s="143"/>
      <c r="BM48" s="132"/>
      <c r="BN48" s="132"/>
      <c r="BO48" s="132"/>
      <c r="BP48" s="143"/>
      <c r="BQ48" s="132"/>
      <c r="BR48" s="132"/>
      <c r="BS48" s="132"/>
      <c r="BT48" s="132"/>
      <c r="BU48" s="132"/>
      <c r="BV48" s="267">
        <v>2046900</v>
      </c>
      <c r="BW48" s="143">
        <f t="shared" si="22"/>
        <v>388911</v>
      </c>
      <c r="BX48" s="113">
        <f t="shared" si="15"/>
        <v>2435811</v>
      </c>
      <c r="BY48" s="264" t="s">
        <v>62</v>
      </c>
      <c r="BZ48" s="264" t="s">
        <v>135</v>
      </c>
      <c r="CA48" s="132"/>
      <c r="CB48" s="275"/>
      <c r="CC48" s="143"/>
      <c r="CD48" s="275"/>
      <c r="CE48" s="132"/>
      <c r="CF48" s="132"/>
      <c r="CG48" s="132"/>
      <c r="CH48" s="267"/>
      <c r="CI48" s="265"/>
      <c r="CJ48" s="263"/>
      <c r="CK48" s="264"/>
      <c r="CL48" s="264"/>
      <c r="CM48" s="132"/>
      <c r="CN48" s="275"/>
      <c r="CO48" s="143"/>
      <c r="CP48" s="275"/>
      <c r="CQ48" s="132"/>
      <c r="CR48" s="132"/>
      <c r="CS48" s="132"/>
      <c r="CT48" s="275">
        <v>293760</v>
      </c>
      <c r="CU48" s="143">
        <v>55814.400000000001</v>
      </c>
      <c r="CV48" s="144">
        <f t="shared" si="11"/>
        <v>349574.40000000002</v>
      </c>
      <c r="CW48" s="132"/>
      <c r="CX48" s="132"/>
      <c r="CY48" s="132"/>
      <c r="CZ48" s="113"/>
      <c r="DA48" s="143"/>
      <c r="DB48" s="113"/>
      <c r="DC48" s="33"/>
      <c r="DD48" s="39"/>
      <c r="DE48" s="11"/>
      <c r="DF48" s="132"/>
      <c r="DG48" s="132"/>
      <c r="DH48" s="132"/>
      <c r="DI48" s="132"/>
      <c r="DJ48" s="132"/>
      <c r="DK48" s="132"/>
      <c r="DL48" s="132"/>
      <c r="DM48" s="132"/>
      <c r="DN48" s="132"/>
      <c r="DO48" s="132"/>
      <c r="DP48" s="132"/>
      <c r="DQ48" s="132"/>
      <c r="DR48" s="132"/>
      <c r="DS48" s="132"/>
      <c r="DT48" s="132"/>
      <c r="DU48" s="132"/>
      <c r="DV48" s="132"/>
      <c r="DW48" s="132"/>
      <c r="DX48" s="132"/>
      <c r="DY48" s="132"/>
      <c r="DZ48" s="132"/>
      <c r="EA48" s="132"/>
      <c r="EB48" s="132"/>
      <c r="EC48" s="132"/>
      <c r="ED48" s="132"/>
      <c r="EE48" s="132"/>
      <c r="EF48" s="132"/>
      <c r="EG48" s="132"/>
      <c r="EH48" s="132"/>
      <c r="EI48" s="132"/>
      <c r="EJ48" s="132"/>
      <c r="EK48" s="132"/>
      <c r="EL48" s="132"/>
      <c r="EM48" s="132"/>
      <c r="EN48" s="132"/>
      <c r="EO48" s="132"/>
      <c r="EP48" s="132"/>
      <c r="EQ48" s="132"/>
      <c r="ER48" s="132"/>
      <c r="ES48" s="132"/>
      <c r="ET48" s="11"/>
      <c r="EU48" s="11"/>
      <c r="EV48" s="11"/>
      <c r="EW48" s="11"/>
      <c r="EX48" s="11"/>
      <c r="EY48" s="11"/>
      <c r="EZ48" s="11"/>
      <c r="FA48" s="11"/>
      <c r="FB48" s="11"/>
      <c r="FC48" s="11"/>
      <c r="FD48" s="11"/>
      <c r="FE48" s="11"/>
      <c r="FF48" s="11"/>
      <c r="FG48" s="11"/>
      <c r="FH48" s="39">
        <f t="shared" si="2"/>
        <v>2785385.4</v>
      </c>
      <c r="FI48" s="33">
        <f t="shared" si="3"/>
        <v>2</v>
      </c>
      <c r="FJ48" s="84">
        <f t="shared" si="4"/>
        <v>1392692.7</v>
      </c>
    </row>
    <row r="49" spans="1:166" ht="27" x14ac:dyDescent="0.25">
      <c r="A49" s="79" t="e">
        <f>#REF!</f>
        <v>#REF!</v>
      </c>
      <c r="B49" s="75" t="e">
        <f>#REF!</f>
        <v>#REF!</v>
      </c>
      <c r="C49" s="75" t="e">
        <f>#REF!</f>
        <v>#REF!</v>
      </c>
      <c r="D49" s="75" t="e">
        <f>#REF!</f>
        <v>#REF!</v>
      </c>
      <c r="E49" s="30">
        <v>1</v>
      </c>
      <c r="F49" s="238">
        <v>0</v>
      </c>
      <c r="G49" s="241">
        <v>0</v>
      </c>
      <c r="H49" s="249">
        <v>0</v>
      </c>
      <c r="I49" s="249">
        <v>0</v>
      </c>
      <c r="J49" s="249">
        <v>587860</v>
      </c>
      <c r="K49" s="249">
        <v>493850</v>
      </c>
      <c r="L49" s="274">
        <f>J49</f>
        <v>587860</v>
      </c>
      <c r="M49" s="274">
        <f>K49*1.03</f>
        <v>508665.5</v>
      </c>
      <c r="N49" s="245"/>
      <c r="O49" s="113"/>
      <c r="P49" s="113"/>
      <c r="Q49" s="131"/>
      <c r="R49" s="131"/>
      <c r="S49" s="64"/>
      <c r="T49" s="113"/>
      <c r="U49" s="117"/>
      <c r="V49" s="113"/>
      <c r="W49" s="131"/>
      <c r="X49" s="131"/>
      <c r="Y49" s="11"/>
      <c r="Z49" s="113"/>
      <c r="AA49" s="113"/>
      <c r="AB49" s="113"/>
      <c r="AC49" s="52"/>
      <c r="AD49" s="52"/>
      <c r="AE49" s="11"/>
      <c r="AF49" s="118"/>
      <c r="AG49" s="144"/>
      <c r="AH49" s="113"/>
      <c r="AI49" s="11"/>
      <c r="AJ49" s="11"/>
      <c r="AK49" s="39"/>
      <c r="AL49" s="113">
        <v>340000</v>
      </c>
      <c r="AM49" s="113">
        <f>+AL49*0.19</f>
        <v>64600</v>
      </c>
      <c r="AN49" s="119">
        <f>+AL49+AM49</f>
        <v>404600</v>
      </c>
      <c r="AO49" s="76" t="s">
        <v>129</v>
      </c>
      <c r="AP49" s="266" t="s">
        <v>45</v>
      </c>
      <c r="AQ49" s="39"/>
      <c r="AR49" s="275"/>
      <c r="AS49" s="156"/>
      <c r="AT49" s="157"/>
      <c r="AU49" s="62"/>
      <c r="AV49" s="62"/>
      <c r="AW49" s="31"/>
      <c r="AX49" s="116"/>
      <c r="AY49" s="116"/>
      <c r="AZ49" s="143"/>
      <c r="BA49" s="191"/>
      <c r="BB49" s="132"/>
      <c r="BC49" s="132"/>
      <c r="BD49" s="274"/>
      <c r="BE49" s="143"/>
      <c r="BF49" s="143"/>
      <c r="BG49" s="132"/>
      <c r="BH49" s="132"/>
      <c r="BI49" s="132"/>
      <c r="BJ49" s="143"/>
      <c r="BK49" s="143"/>
      <c r="BL49" s="143"/>
      <c r="BM49" s="132"/>
      <c r="BN49" s="132"/>
      <c r="BO49" s="132"/>
      <c r="BP49" s="143"/>
      <c r="BQ49" s="132"/>
      <c r="BR49" s="132"/>
      <c r="BS49" s="132"/>
      <c r="BT49" s="132"/>
      <c r="BU49" s="132"/>
      <c r="BV49" s="267">
        <v>545200</v>
      </c>
      <c r="BW49" s="143">
        <f t="shared" si="22"/>
        <v>103588</v>
      </c>
      <c r="BX49" s="113">
        <f t="shared" si="15"/>
        <v>648788</v>
      </c>
      <c r="BY49" s="264" t="s">
        <v>62</v>
      </c>
      <c r="BZ49" s="264" t="s">
        <v>135</v>
      </c>
      <c r="CA49" s="132"/>
      <c r="CB49" s="274">
        <v>315000</v>
      </c>
      <c r="CC49" s="144">
        <f>+CB49*19%</f>
        <v>59850</v>
      </c>
      <c r="CD49" s="274">
        <f>+CC49+CB49</f>
        <v>374850</v>
      </c>
      <c r="CE49" s="132"/>
      <c r="CF49" s="132"/>
      <c r="CG49" s="132"/>
      <c r="CH49" s="263">
        <v>556104</v>
      </c>
      <c r="CI49" s="265">
        <f>+CH49*0.19</f>
        <v>105659.76</v>
      </c>
      <c r="CJ49" s="263">
        <f>+CH49+CI49</f>
        <v>661763.76</v>
      </c>
      <c r="CK49" s="264" t="s">
        <v>62</v>
      </c>
      <c r="CL49" s="264" t="s">
        <v>135</v>
      </c>
      <c r="CM49" s="132"/>
      <c r="CN49" s="274"/>
      <c r="CO49" s="144"/>
      <c r="CP49" s="274"/>
      <c r="CQ49" s="132"/>
      <c r="CR49" s="132"/>
      <c r="CS49" s="132"/>
      <c r="CT49" s="274">
        <v>505920.00000000006</v>
      </c>
      <c r="CU49" s="144">
        <v>96124.800000000017</v>
      </c>
      <c r="CV49" s="144">
        <f t="shared" si="11"/>
        <v>602044.80000000005</v>
      </c>
      <c r="CW49" s="132"/>
      <c r="CX49" s="132"/>
      <c r="CY49" s="132"/>
      <c r="CZ49" s="118">
        <v>305707</v>
      </c>
      <c r="DA49" s="144">
        <f>+CZ49*0.19</f>
        <v>58084.33</v>
      </c>
      <c r="DB49" s="118">
        <f>+CZ49+DA49</f>
        <v>363791.33</v>
      </c>
      <c r="DC49" s="33" t="s">
        <v>64</v>
      </c>
      <c r="DD49" s="39" t="s">
        <v>58</v>
      </c>
      <c r="DE49" s="11">
        <v>1054650500</v>
      </c>
      <c r="DF49" s="132"/>
      <c r="DG49" s="132"/>
      <c r="DH49" s="132"/>
      <c r="DI49" s="132"/>
      <c r="DJ49" s="132"/>
      <c r="DK49" s="132"/>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1"/>
      <c r="EU49" s="11"/>
      <c r="EV49" s="11"/>
      <c r="EW49" s="11"/>
      <c r="EX49" s="11"/>
      <c r="EY49" s="11"/>
      <c r="EZ49" s="11"/>
      <c r="FA49" s="11"/>
      <c r="FB49" s="11"/>
      <c r="FC49" s="11"/>
      <c r="FD49" s="11"/>
      <c r="FE49" s="11"/>
      <c r="FF49" s="11"/>
      <c r="FG49" s="11"/>
      <c r="FH49" s="39">
        <f t="shared" si="2"/>
        <v>3564503.3899999997</v>
      </c>
      <c r="FI49" s="33">
        <f t="shared" si="3"/>
        <v>7</v>
      </c>
      <c r="FJ49" s="84">
        <f t="shared" si="4"/>
        <v>509214.76999999996</v>
      </c>
    </row>
    <row r="50" spans="1:166" ht="40.5" x14ac:dyDescent="0.25">
      <c r="A50" s="79" t="e">
        <f>#REF!</f>
        <v>#REF!</v>
      </c>
      <c r="B50" s="75" t="e">
        <f>#REF!</f>
        <v>#REF!</v>
      </c>
      <c r="C50" s="75" t="e">
        <f>#REF!</f>
        <v>#REF!</v>
      </c>
      <c r="D50" s="75" t="e">
        <f>#REF!</f>
        <v>#REF!</v>
      </c>
      <c r="E50" s="30">
        <v>1</v>
      </c>
      <c r="F50" s="238">
        <v>710787</v>
      </c>
      <c r="G50" s="241">
        <v>685797</v>
      </c>
      <c r="H50" s="249">
        <v>0</v>
      </c>
      <c r="I50" s="249">
        <v>0</v>
      </c>
      <c r="J50" s="249">
        <v>522171.10750000004</v>
      </c>
      <c r="K50" s="249">
        <v>515270</v>
      </c>
      <c r="L50" s="274">
        <f>AVERAGE(F50,J50)</f>
        <v>616479.05374999996</v>
      </c>
      <c r="M50" s="274">
        <f>AVERAGE(G50,K50)*1.03</f>
        <v>618549.505</v>
      </c>
      <c r="N50" s="245"/>
      <c r="O50" s="116"/>
      <c r="P50" s="113"/>
      <c r="Q50" s="131"/>
      <c r="R50" s="131"/>
      <c r="S50" s="64"/>
      <c r="T50" s="113"/>
      <c r="U50" s="117"/>
      <c r="V50" s="113"/>
      <c r="W50" s="131"/>
      <c r="X50" s="131"/>
      <c r="Y50" s="11"/>
      <c r="Z50" s="113"/>
      <c r="AA50" s="113"/>
      <c r="AB50" s="113"/>
      <c r="AC50" s="52"/>
      <c r="AD50" s="52"/>
      <c r="AE50" s="11"/>
      <c r="AF50" s="118"/>
      <c r="AG50" s="144"/>
      <c r="AH50" s="113"/>
      <c r="AI50" s="11"/>
      <c r="AJ50" s="11"/>
      <c r="AK50" s="39"/>
      <c r="AL50" s="113">
        <v>398000</v>
      </c>
      <c r="AM50" s="113">
        <f>+AL50*0.19</f>
        <v>75620</v>
      </c>
      <c r="AN50" s="119">
        <f>+AL50+AM50</f>
        <v>473620</v>
      </c>
      <c r="AO50" s="76" t="s">
        <v>129</v>
      </c>
      <c r="AP50" s="266" t="s">
        <v>45</v>
      </c>
      <c r="AQ50" s="39"/>
      <c r="AR50" s="275">
        <v>382082</v>
      </c>
      <c r="AS50" s="113">
        <f>+AR50*0.19</f>
        <v>72595.58</v>
      </c>
      <c r="AT50" s="119">
        <f>+AR50+AS50</f>
        <v>454677.58</v>
      </c>
      <c r="AU50" s="62" t="s">
        <v>60</v>
      </c>
      <c r="AV50" s="62" t="s">
        <v>45</v>
      </c>
      <c r="AW50" s="31"/>
      <c r="AX50" s="116"/>
      <c r="AY50" s="116"/>
      <c r="AZ50" s="143"/>
      <c r="BA50" s="191"/>
      <c r="BB50" s="132"/>
      <c r="BC50" s="132"/>
      <c r="BD50" s="274"/>
      <c r="BE50" s="143"/>
      <c r="BF50" s="143"/>
      <c r="BG50" s="132"/>
      <c r="BH50" s="132"/>
      <c r="BI50" s="132"/>
      <c r="BJ50" s="143"/>
      <c r="BK50" s="143"/>
      <c r="BL50" s="143"/>
      <c r="BM50" s="132"/>
      <c r="BN50" s="132"/>
      <c r="BO50" s="132"/>
      <c r="BP50" s="143"/>
      <c r="BQ50" s="132"/>
      <c r="BR50" s="132"/>
      <c r="BS50" s="132"/>
      <c r="BT50" s="132"/>
      <c r="BU50" s="132"/>
      <c r="BV50" s="267">
        <v>576000</v>
      </c>
      <c r="BW50" s="143">
        <f t="shared" si="22"/>
        <v>109440</v>
      </c>
      <c r="BX50" s="113">
        <f t="shared" si="15"/>
        <v>685440</v>
      </c>
      <c r="BY50" s="264" t="s">
        <v>62</v>
      </c>
      <c r="BZ50" s="264" t="s">
        <v>126</v>
      </c>
      <c r="CA50" s="132"/>
      <c r="CB50" s="274"/>
      <c r="CC50" s="144"/>
      <c r="CD50" s="274"/>
      <c r="CE50" s="132"/>
      <c r="CF50" s="132"/>
      <c r="CG50" s="132"/>
      <c r="CH50" s="263">
        <v>593280</v>
      </c>
      <c r="CI50" s="265">
        <f>+CH50*0.19</f>
        <v>112723.2</v>
      </c>
      <c r="CJ50" s="263">
        <f>+CH50+CI50</f>
        <v>706003.2</v>
      </c>
      <c r="CK50" s="264" t="s">
        <v>62</v>
      </c>
      <c r="CL50" s="264" t="s">
        <v>126</v>
      </c>
      <c r="CM50" s="132"/>
      <c r="CN50" s="274"/>
      <c r="CO50" s="144"/>
      <c r="CP50" s="274"/>
      <c r="CQ50" s="132"/>
      <c r="CR50" s="132"/>
      <c r="CS50" s="132"/>
      <c r="CT50" s="274">
        <v>320960</v>
      </c>
      <c r="CU50" s="144">
        <v>60982.400000000001</v>
      </c>
      <c r="CV50" s="144">
        <f t="shared" si="11"/>
        <v>381942.4</v>
      </c>
      <c r="CW50" s="132"/>
      <c r="CX50" s="132"/>
      <c r="CY50" s="132"/>
      <c r="CZ50" s="118">
        <v>446033</v>
      </c>
      <c r="DA50" s="144">
        <f>+CZ50*0.19</f>
        <v>84746.27</v>
      </c>
      <c r="DB50" s="118">
        <f>+CZ50+DA50</f>
        <v>530779.27</v>
      </c>
      <c r="DC50" s="33" t="s">
        <v>64</v>
      </c>
      <c r="DD50" s="39" t="s">
        <v>58</v>
      </c>
      <c r="DE50" s="11">
        <v>1054370500</v>
      </c>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1"/>
      <c r="EU50" s="11"/>
      <c r="EV50" s="11"/>
      <c r="EW50" s="11"/>
      <c r="EX50" s="11"/>
      <c r="EY50" s="11"/>
      <c r="EZ50" s="11"/>
      <c r="FA50" s="11"/>
      <c r="FB50" s="11"/>
      <c r="FC50" s="11"/>
      <c r="FD50" s="11"/>
      <c r="FE50" s="11"/>
      <c r="FF50" s="11"/>
      <c r="FG50" s="11"/>
      <c r="FH50" s="39">
        <f t="shared" si="2"/>
        <v>3851011.9550000001</v>
      </c>
      <c r="FI50" s="33">
        <f t="shared" si="3"/>
        <v>7</v>
      </c>
      <c r="FJ50" s="84">
        <f t="shared" si="4"/>
        <v>550144.56500000006</v>
      </c>
    </row>
    <row r="51" spans="1:166" ht="40.5" x14ac:dyDescent="0.25">
      <c r="A51" s="79" t="e">
        <f>#REF!</f>
        <v>#REF!</v>
      </c>
      <c r="B51" s="75" t="e">
        <f>#REF!</f>
        <v>#REF!</v>
      </c>
      <c r="C51" s="75" t="e">
        <f>#REF!</f>
        <v>#REF!</v>
      </c>
      <c r="D51" s="75" t="e">
        <f>#REF!</f>
        <v>#REF!</v>
      </c>
      <c r="E51" s="30">
        <v>1</v>
      </c>
      <c r="F51" s="238">
        <v>0</v>
      </c>
      <c r="G51" s="241">
        <v>0</v>
      </c>
      <c r="H51" s="249">
        <v>0</v>
      </c>
      <c r="I51" s="249">
        <v>0</v>
      </c>
      <c r="J51" s="249">
        <v>365166.97000000003</v>
      </c>
      <c r="K51" s="249">
        <v>360570</v>
      </c>
      <c r="L51" s="274">
        <f>J51</f>
        <v>365166.97000000003</v>
      </c>
      <c r="M51" s="274">
        <f>K51*1.03</f>
        <v>371387.10000000003</v>
      </c>
      <c r="N51" s="246">
        <v>258750</v>
      </c>
      <c r="O51" s="118">
        <f>+N51*0.19</f>
        <v>49162.5</v>
      </c>
      <c r="P51" s="113">
        <f>+O51+N51</f>
        <v>307912.5</v>
      </c>
      <c r="Q51" s="36" t="s">
        <v>127</v>
      </c>
      <c r="R51" s="132" t="s">
        <v>128</v>
      </c>
      <c r="S51" s="64"/>
      <c r="T51" s="113"/>
      <c r="U51" s="117"/>
      <c r="V51" s="113"/>
      <c r="W51" s="131"/>
      <c r="X51" s="131"/>
      <c r="Y51" s="11"/>
      <c r="Z51" s="113"/>
      <c r="AA51" s="113"/>
      <c r="AB51" s="113"/>
      <c r="AC51" s="52"/>
      <c r="AD51" s="52"/>
      <c r="AE51" s="11"/>
      <c r="AF51" s="118"/>
      <c r="AG51" s="144"/>
      <c r="AH51" s="113"/>
      <c r="AI51" s="11"/>
      <c r="AJ51" s="11"/>
      <c r="AK51" s="39"/>
      <c r="AL51" s="113">
        <v>335000</v>
      </c>
      <c r="AM51" s="113">
        <f>+AL51*0.19</f>
        <v>63650</v>
      </c>
      <c r="AN51" s="119">
        <f>+AL51+AM51</f>
        <v>398650</v>
      </c>
      <c r="AO51" s="76" t="s">
        <v>129</v>
      </c>
      <c r="AP51" s="266" t="s">
        <v>45</v>
      </c>
      <c r="AQ51" s="39"/>
      <c r="AR51" s="275">
        <v>291589</v>
      </c>
      <c r="AS51" s="113">
        <f>+AR51*0.19</f>
        <v>55401.91</v>
      </c>
      <c r="AT51" s="119">
        <f>+AR51+AS51</f>
        <v>346990.91000000003</v>
      </c>
      <c r="AU51" s="62" t="s">
        <v>60</v>
      </c>
      <c r="AV51" s="62" t="s">
        <v>45</v>
      </c>
      <c r="AW51" s="31"/>
      <c r="AX51" s="116"/>
      <c r="AY51" s="194"/>
      <c r="AZ51" s="143"/>
      <c r="BA51" s="191"/>
      <c r="BB51" s="132"/>
      <c r="BC51" s="132"/>
      <c r="BD51" s="274"/>
      <c r="BE51" s="143"/>
      <c r="BF51" s="143"/>
      <c r="BG51" s="132"/>
      <c r="BH51" s="132"/>
      <c r="BI51" s="132"/>
      <c r="BJ51" s="274">
        <v>138550</v>
      </c>
      <c r="BK51" s="118">
        <f>+BJ51*0.19</f>
        <v>26324.5</v>
      </c>
      <c r="BL51" s="113">
        <f>+BK51+BJ51</f>
        <v>164874.5</v>
      </c>
      <c r="BM51" s="11" t="s">
        <v>125</v>
      </c>
      <c r="BN51" s="132"/>
      <c r="BO51" s="132"/>
      <c r="BP51" s="143"/>
      <c r="BQ51" s="132"/>
      <c r="BR51" s="132"/>
      <c r="BS51" s="132"/>
      <c r="BT51" s="132"/>
      <c r="BU51" s="132"/>
      <c r="BV51" s="267">
        <v>298000</v>
      </c>
      <c r="BW51" s="143">
        <f t="shared" si="22"/>
        <v>56620</v>
      </c>
      <c r="BX51" s="113">
        <f t="shared" si="15"/>
        <v>354620</v>
      </c>
      <c r="BY51" s="264" t="s">
        <v>62</v>
      </c>
      <c r="BZ51" s="264" t="s">
        <v>126</v>
      </c>
      <c r="CA51" s="132"/>
      <c r="CB51" s="274">
        <v>212000</v>
      </c>
      <c r="CC51" s="144">
        <f>+CB51*19%</f>
        <v>40280</v>
      </c>
      <c r="CD51" s="274">
        <f>+CC51+CB51</f>
        <v>252280</v>
      </c>
      <c r="CE51" s="132"/>
      <c r="CF51" s="132"/>
      <c r="CG51" s="132"/>
      <c r="CH51" s="263">
        <v>306940</v>
      </c>
      <c r="CI51" s="265">
        <f>+CH51*0.19</f>
        <v>58318.6</v>
      </c>
      <c r="CJ51" s="263">
        <f>+CH51+CI51</f>
        <v>365258.6</v>
      </c>
      <c r="CK51" s="264" t="s">
        <v>62</v>
      </c>
      <c r="CL51" s="264" t="s">
        <v>126</v>
      </c>
      <c r="CM51" s="132"/>
      <c r="CN51" s="274"/>
      <c r="CO51" s="144"/>
      <c r="CP51" s="274"/>
      <c r="CQ51" s="132"/>
      <c r="CR51" s="132"/>
      <c r="CS51" s="132"/>
      <c r="CT51" s="274">
        <v>2197760</v>
      </c>
      <c r="CU51" s="144">
        <v>417574.40000000002</v>
      </c>
      <c r="CV51" s="144">
        <f t="shared" si="11"/>
        <v>2615334.4</v>
      </c>
      <c r="CW51" s="132"/>
      <c r="CX51" s="132"/>
      <c r="CY51" s="132"/>
      <c r="CZ51" s="118">
        <v>233202</v>
      </c>
      <c r="DA51" s="144">
        <f>+CZ51*0.19</f>
        <v>44308.38</v>
      </c>
      <c r="DB51" s="118">
        <f>+CZ51+DA51</f>
        <v>277510.38</v>
      </c>
      <c r="DC51" s="33" t="s">
        <v>64</v>
      </c>
      <c r="DD51" s="39" t="s">
        <v>58</v>
      </c>
      <c r="DE51" s="11">
        <v>1039150500</v>
      </c>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1"/>
      <c r="EU51" s="11"/>
      <c r="EV51" s="11"/>
      <c r="EW51" s="11"/>
      <c r="EX51" s="11"/>
      <c r="EY51" s="11"/>
      <c r="EZ51" s="11"/>
      <c r="FA51" s="11"/>
      <c r="FB51" s="11"/>
      <c r="FC51" s="11"/>
      <c r="FD51" s="11"/>
      <c r="FE51" s="11"/>
      <c r="FF51" s="11"/>
      <c r="FG51" s="11"/>
      <c r="FH51" s="39">
        <f t="shared" si="2"/>
        <v>5454818.3899999997</v>
      </c>
      <c r="FI51" s="33">
        <f t="shared" si="3"/>
        <v>10</v>
      </c>
      <c r="FJ51" s="84">
        <f t="shared" si="4"/>
        <v>545481.83899999992</v>
      </c>
    </row>
    <row r="52" spans="1:166" ht="40.5" x14ac:dyDescent="0.25">
      <c r="A52" s="79" t="e">
        <f>#REF!</f>
        <v>#REF!</v>
      </c>
      <c r="B52" s="75" t="e">
        <f>#REF!</f>
        <v>#REF!</v>
      </c>
      <c r="C52" s="75" t="e">
        <f>#REF!</f>
        <v>#REF!</v>
      </c>
      <c r="D52" s="75" t="e">
        <f>#REF!</f>
        <v>#REF!</v>
      </c>
      <c r="E52" s="30">
        <v>1</v>
      </c>
      <c r="F52" s="238">
        <v>114240</v>
      </c>
      <c r="G52" s="241">
        <v>0</v>
      </c>
      <c r="H52" s="249">
        <v>449962.8</v>
      </c>
      <c r="I52" s="249">
        <v>0</v>
      </c>
      <c r="J52" s="249">
        <v>605325.15399999998</v>
      </c>
      <c r="K52" s="249">
        <v>595000</v>
      </c>
      <c r="L52" s="274">
        <f>AVERAGE(F52,H52,J52)</f>
        <v>389842.65133333328</v>
      </c>
      <c r="M52" s="274">
        <f>K52*1.03</f>
        <v>612850</v>
      </c>
      <c r="N52" s="246">
        <v>396000</v>
      </c>
      <c r="O52" s="118">
        <f>+N52*0.19</f>
        <v>75240</v>
      </c>
      <c r="P52" s="113">
        <f>+O52+N52</f>
        <v>471240</v>
      </c>
      <c r="Q52" s="36" t="s">
        <v>127</v>
      </c>
      <c r="R52" s="132" t="s">
        <v>128</v>
      </c>
      <c r="S52" s="64" t="s">
        <v>136</v>
      </c>
      <c r="T52" s="113"/>
      <c r="U52" s="113"/>
      <c r="V52" s="113"/>
      <c r="W52" s="131"/>
      <c r="X52" s="131"/>
      <c r="Y52" s="52"/>
      <c r="Z52" s="117"/>
      <c r="AA52" s="113"/>
      <c r="AB52" s="113"/>
      <c r="AC52" s="131"/>
      <c r="AD52" s="52"/>
      <c r="AE52" s="11"/>
      <c r="AF52" s="118">
        <v>650000</v>
      </c>
      <c r="AG52" s="144">
        <f>AF52*19%</f>
        <v>123500</v>
      </c>
      <c r="AH52" s="113">
        <f>+AF52+AG52</f>
        <v>773500</v>
      </c>
      <c r="AI52" s="11"/>
      <c r="AJ52" s="11"/>
      <c r="AK52" s="39"/>
      <c r="AL52" s="113">
        <v>280000</v>
      </c>
      <c r="AM52" s="113">
        <f>+AL52*0.19</f>
        <v>53200</v>
      </c>
      <c r="AN52" s="119">
        <f>+AL52+AM52</f>
        <v>333200</v>
      </c>
      <c r="AO52" s="76" t="s">
        <v>129</v>
      </c>
      <c r="AP52" s="266" t="s">
        <v>45</v>
      </c>
      <c r="AQ52" s="39"/>
      <c r="AR52" s="275">
        <v>437383</v>
      </c>
      <c r="AS52" s="113">
        <f>+AR52*0.19</f>
        <v>83102.77</v>
      </c>
      <c r="AT52" s="119">
        <f>+AR52+AS52</f>
        <v>520485.77</v>
      </c>
      <c r="AU52" s="62" t="s">
        <v>60</v>
      </c>
      <c r="AV52" s="62" t="s">
        <v>45</v>
      </c>
      <c r="AW52" s="31"/>
      <c r="AX52" s="116"/>
      <c r="AY52" s="116"/>
      <c r="AZ52" s="143"/>
      <c r="BA52" s="191"/>
      <c r="BB52" s="132"/>
      <c r="BC52" s="132"/>
      <c r="BD52" s="274"/>
      <c r="BE52" s="143"/>
      <c r="BF52" s="143"/>
      <c r="BG52" s="132"/>
      <c r="BH52" s="132"/>
      <c r="BI52" s="132"/>
      <c r="BJ52" s="274">
        <v>68000</v>
      </c>
      <c r="BK52" s="118">
        <f>+BJ52*0.19</f>
        <v>12920</v>
      </c>
      <c r="BL52" s="113">
        <f>+BK52+BJ52</f>
        <v>80920</v>
      </c>
      <c r="BM52" s="11" t="s">
        <v>125</v>
      </c>
      <c r="BN52" s="132"/>
      <c r="BO52" s="132"/>
      <c r="BP52" s="143"/>
      <c r="BQ52" s="132"/>
      <c r="BR52" s="132"/>
      <c r="BS52" s="132"/>
      <c r="BT52" s="132"/>
      <c r="BU52" s="132"/>
      <c r="BV52" s="267">
        <v>492000</v>
      </c>
      <c r="BW52" s="143">
        <f t="shared" si="22"/>
        <v>93480</v>
      </c>
      <c r="BX52" s="113">
        <f t="shared" si="15"/>
        <v>585480</v>
      </c>
      <c r="BY52" s="264" t="s">
        <v>56</v>
      </c>
      <c r="BZ52" s="264" t="s">
        <v>126</v>
      </c>
      <c r="CA52" s="132"/>
      <c r="CB52" s="274"/>
      <c r="CC52" s="144"/>
      <c r="CD52" s="274"/>
      <c r="CE52" s="132"/>
      <c r="CF52" s="132"/>
      <c r="CG52" s="132"/>
      <c r="CH52" s="263">
        <v>496920</v>
      </c>
      <c r="CI52" s="265">
        <f>+CH52*0.19</f>
        <v>94414.8</v>
      </c>
      <c r="CJ52" s="263">
        <f>+CH52+CI52</f>
        <v>591334.80000000005</v>
      </c>
      <c r="CK52" s="264" t="s">
        <v>56</v>
      </c>
      <c r="CL52" s="264" t="s">
        <v>126</v>
      </c>
      <c r="CM52" s="132"/>
      <c r="CN52" s="274"/>
      <c r="CO52" s="144"/>
      <c r="CP52" s="274"/>
      <c r="CQ52" s="132"/>
      <c r="CR52" s="132"/>
      <c r="CS52" s="132"/>
      <c r="CT52" s="274">
        <v>391680</v>
      </c>
      <c r="CU52" s="144">
        <v>74419.199999999997</v>
      </c>
      <c r="CV52" s="144">
        <f t="shared" si="11"/>
        <v>466099.20000000001</v>
      </c>
      <c r="CW52" s="132"/>
      <c r="CX52" s="132"/>
      <c r="CY52" s="132"/>
      <c r="CZ52" s="118"/>
      <c r="DA52" s="144"/>
      <c r="DB52" s="118"/>
      <c r="DC52" s="33"/>
      <c r="DD52" s="39"/>
      <c r="DE52" s="11"/>
      <c r="DF52" s="132"/>
      <c r="DG52" s="132"/>
      <c r="DH52" s="132"/>
      <c r="DI52" s="132"/>
      <c r="DJ52" s="132"/>
      <c r="DK52" s="132"/>
      <c r="DL52" s="132"/>
      <c r="DM52" s="132"/>
      <c r="DN52" s="132"/>
      <c r="DO52" s="132"/>
      <c r="DP52" s="132"/>
      <c r="DQ52" s="132"/>
      <c r="DR52" s="132"/>
      <c r="DS52" s="132"/>
      <c r="DT52" s="132"/>
      <c r="DU52" s="132"/>
      <c r="DV52" s="132"/>
      <c r="DW52" s="132"/>
      <c r="DX52" s="132"/>
      <c r="DY52" s="132"/>
      <c r="DZ52" s="132"/>
      <c r="EA52" s="132"/>
      <c r="EB52" s="132"/>
      <c r="EC52" s="132"/>
      <c r="ED52" s="132"/>
      <c r="EE52" s="132"/>
      <c r="EF52" s="132"/>
      <c r="EG52" s="132"/>
      <c r="EH52" s="132"/>
      <c r="EI52" s="132"/>
      <c r="EJ52" s="132"/>
      <c r="EK52" s="132"/>
      <c r="EL52" s="132"/>
      <c r="EM52" s="132"/>
      <c r="EN52" s="132"/>
      <c r="EO52" s="132"/>
      <c r="EP52" s="132"/>
      <c r="EQ52" s="132"/>
      <c r="ER52" s="132"/>
      <c r="ES52" s="132"/>
      <c r="ET52" s="11"/>
      <c r="EU52" s="11"/>
      <c r="EV52" s="11"/>
      <c r="EW52" s="11"/>
      <c r="EX52" s="11"/>
      <c r="EY52" s="11"/>
      <c r="EZ52" s="11"/>
      <c r="FA52" s="11"/>
      <c r="FB52" s="11"/>
      <c r="FC52" s="11"/>
      <c r="FD52" s="11"/>
      <c r="FE52" s="11"/>
      <c r="FF52" s="275"/>
      <c r="FG52" s="71"/>
      <c r="FH52" s="39">
        <f t="shared" si="2"/>
        <v>4435109.7700000005</v>
      </c>
      <c r="FI52" s="33">
        <f t="shared" si="3"/>
        <v>9</v>
      </c>
      <c r="FJ52" s="84">
        <f t="shared" si="4"/>
        <v>492789.97444444452</v>
      </c>
    </row>
    <row r="53" spans="1:166" ht="25.5" x14ac:dyDescent="0.25">
      <c r="A53" s="79" t="e">
        <f>#REF!</f>
        <v>#REF!</v>
      </c>
      <c r="B53" s="75" t="e">
        <f>#REF!</f>
        <v>#REF!</v>
      </c>
      <c r="C53" s="75" t="e">
        <f>#REF!</f>
        <v>#REF!</v>
      </c>
      <c r="D53" s="75" t="e">
        <f>#REF!</f>
        <v>#REF!</v>
      </c>
      <c r="E53" s="30">
        <v>1</v>
      </c>
      <c r="F53" s="238">
        <v>3099156.666666667</v>
      </c>
      <c r="G53" s="241">
        <v>3021648</v>
      </c>
      <c r="H53" s="249">
        <v>2500257.1057619047</v>
      </c>
      <c r="I53" s="249">
        <v>979965</v>
      </c>
      <c r="J53" s="249">
        <v>2442685.6715944665</v>
      </c>
      <c r="K53" s="249">
        <v>0</v>
      </c>
      <c r="L53" s="274">
        <f>AVERAGE(F53,H53,J53)</f>
        <v>2680699.8146743462</v>
      </c>
      <c r="M53" s="274">
        <f>AVERAGE(G53,I53)*1.03</f>
        <v>2060830.6950000001</v>
      </c>
      <c r="N53" s="245"/>
      <c r="O53" s="119"/>
      <c r="P53" s="113"/>
      <c r="Q53" s="131"/>
      <c r="R53" s="131"/>
      <c r="S53" s="64"/>
      <c r="T53" s="113">
        <v>3382000</v>
      </c>
      <c r="U53" s="118">
        <f>+T53*0.19</f>
        <v>642580</v>
      </c>
      <c r="V53" s="113">
        <f>+U53+T53</f>
        <v>4024580</v>
      </c>
      <c r="W53" s="131" t="s">
        <v>137</v>
      </c>
      <c r="X53" s="131" t="s">
        <v>138</v>
      </c>
      <c r="Y53" s="52"/>
      <c r="Z53" s="119"/>
      <c r="AA53" s="113"/>
      <c r="AB53" s="113"/>
      <c r="AC53" s="131"/>
      <c r="AD53" s="52"/>
      <c r="AE53" s="11"/>
      <c r="AF53" s="118"/>
      <c r="AG53" s="144"/>
      <c r="AH53" s="113"/>
      <c r="AI53" s="11"/>
      <c r="AJ53" s="11"/>
      <c r="AK53" s="39"/>
      <c r="AL53" s="113">
        <f>755000*2</f>
        <v>1510000</v>
      </c>
      <c r="AM53" s="113">
        <f>+AL53*0.19</f>
        <v>286900</v>
      </c>
      <c r="AN53" s="119">
        <f>+AL53+AM53</f>
        <v>1796900</v>
      </c>
      <c r="AO53" s="76" t="s">
        <v>78</v>
      </c>
      <c r="AP53" s="262" t="s">
        <v>45</v>
      </c>
      <c r="AQ53" s="39"/>
      <c r="AR53" s="275">
        <f>793323*2</f>
        <v>1586646</v>
      </c>
      <c r="AS53" s="113">
        <f>+AR53*0.19</f>
        <v>301462.74</v>
      </c>
      <c r="AT53" s="119">
        <f>+AR53+AS53</f>
        <v>1888108.74</v>
      </c>
      <c r="AU53" s="62" t="s">
        <v>78</v>
      </c>
      <c r="AV53" s="62" t="s">
        <v>45</v>
      </c>
      <c r="AW53" s="31"/>
      <c r="AX53" s="116"/>
      <c r="AY53" s="116"/>
      <c r="AZ53" s="143"/>
      <c r="BA53" s="191"/>
      <c r="BB53" s="132"/>
      <c r="BC53" s="132"/>
      <c r="BD53" s="144">
        <v>10187000</v>
      </c>
      <c r="BE53" s="116">
        <f>+BD53*0.19</f>
        <v>1935530</v>
      </c>
      <c r="BF53" s="143">
        <f>+BD53+BE53</f>
        <v>12122530</v>
      </c>
      <c r="BG53" s="33" t="s">
        <v>132</v>
      </c>
      <c r="BH53" s="132" t="s">
        <v>139</v>
      </c>
      <c r="BI53" s="132"/>
      <c r="BJ53" s="143"/>
      <c r="BK53" s="143"/>
      <c r="BL53" s="143"/>
      <c r="BM53" s="52"/>
      <c r="BN53" s="22"/>
      <c r="BO53" s="131"/>
      <c r="BP53" s="113">
        <v>1046664</v>
      </c>
      <c r="BQ53" s="144">
        <f>BP53*19%</f>
        <v>198866.16</v>
      </c>
      <c r="BR53" s="113">
        <f>+BP53+BQ53</f>
        <v>1245530.1599999999</v>
      </c>
      <c r="BS53" s="33" t="s">
        <v>132</v>
      </c>
      <c r="BT53" s="36" t="s">
        <v>140</v>
      </c>
      <c r="BU53" s="5" t="s">
        <v>141</v>
      </c>
      <c r="BV53" s="211"/>
      <c r="BW53" s="143"/>
      <c r="BX53" s="113"/>
      <c r="BY53" s="273"/>
      <c r="BZ53" s="273"/>
      <c r="CA53" s="132"/>
      <c r="CB53" s="274"/>
      <c r="CC53" s="144"/>
      <c r="CD53" s="274"/>
      <c r="CE53" s="132"/>
      <c r="CF53" s="132"/>
      <c r="CG53" s="132"/>
      <c r="CH53" s="211"/>
      <c r="CI53" s="212"/>
      <c r="CJ53" s="211"/>
      <c r="CK53" s="273"/>
      <c r="CL53" s="273"/>
      <c r="CM53" s="132"/>
      <c r="CN53" s="274"/>
      <c r="CO53" s="144"/>
      <c r="CP53" s="274"/>
      <c r="CQ53" s="132"/>
      <c r="CR53" s="132"/>
      <c r="CS53" s="132"/>
      <c r="CT53" s="274">
        <v>734400</v>
      </c>
      <c r="CU53" s="144">
        <v>139536</v>
      </c>
      <c r="CV53" s="144">
        <f t="shared" si="11"/>
        <v>873936</v>
      </c>
      <c r="CW53" s="132"/>
      <c r="CX53" s="132"/>
      <c r="CY53" s="132"/>
      <c r="CZ53" s="118">
        <v>3480000</v>
      </c>
      <c r="DA53" s="144">
        <f>+CZ53*0.19</f>
        <v>661200</v>
      </c>
      <c r="DB53" s="118">
        <f>+CZ53+DA53</f>
        <v>4141200</v>
      </c>
      <c r="DC53" s="33" t="s">
        <v>142</v>
      </c>
      <c r="DD53" s="39" t="s">
        <v>58</v>
      </c>
      <c r="DE53" s="11" t="s">
        <v>143</v>
      </c>
      <c r="DF53" s="132"/>
      <c r="DG53" s="132"/>
      <c r="DH53" s="132"/>
      <c r="DI53" s="132"/>
      <c r="DJ53" s="132"/>
      <c r="DK53" s="132"/>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1"/>
      <c r="EU53" s="11"/>
      <c r="EV53" s="11"/>
      <c r="EW53" s="11"/>
      <c r="EX53" s="11"/>
      <c r="EY53" s="11"/>
      <c r="EZ53" s="11"/>
      <c r="FA53" s="11"/>
      <c r="FB53" s="11"/>
      <c r="FC53" s="11"/>
      <c r="FD53" s="11"/>
      <c r="FE53" s="11"/>
      <c r="FF53" s="11"/>
      <c r="FG53" s="11"/>
      <c r="FH53" s="39">
        <f t="shared" si="2"/>
        <v>28153615.595000003</v>
      </c>
      <c r="FI53" s="33">
        <f t="shared" si="3"/>
        <v>8</v>
      </c>
      <c r="FJ53" s="84">
        <f t="shared" si="4"/>
        <v>3519201.9493750003</v>
      </c>
    </row>
    <row r="54" spans="1:166" ht="25.5" x14ac:dyDescent="0.25">
      <c r="A54" s="79" t="e">
        <f>#REF!</f>
        <v>#REF!</v>
      </c>
      <c r="B54" s="75" t="e">
        <f>#REF!</f>
        <v>#REF!</v>
      </c>
      <c r="C54" s="75" t="e">
        <f>#REF!</f>
        <v>#REF!</v>
      </c>
      <c r="D54" s="75" t="e">
        <f>#REF!</f>
        <v>#REF!</v>
      </c>
      <c r="E54" s="30">
        <v>1</v>
      </c>
      <c r="F54" s="238">
        <v>0</v>
      </c>
      <c r="G54" s="241">
        <v>0</v>
      </c>
      <c r="H54" s="249">
        <v>1454160</v>
      </c>
      <c r="I54" s="249">
        <v>0</v>
      </c>
      <c r="J54" s="249">
        <v>849322.5</v>
      </c>
      <c r="K54" s="249">
        <v>0</v>
      </c>
      <c r="L54" s="274">
        <f>AVERAGE(H54,J54)</f>
        <v>1151741.25</v>
      </c>
      <c r="M54" s="274"/>
      <c r="N54" s="245"/>
      <c r="O54" s="117"/>
      <c r="P54" s="113"/>
      <c r="Q54" s="131"/>
      <c r="R54" s="131"/>
      <c r="S54" s="64"/>
      <c r="T54" s="113">
        <v>1144000</v>
      </c>
      <c r="U54" s="118">
        <f>+T54*0</f>
        <v>0</v>
      </c>
      <c r="V54" s="113">
        <f>+U54+T54</f>
        <v>1144000</v>
      </c>
      <c r="W54" s="131" t="s">
        <v>144</v>
      </c>
      <c r="X54" s="131" t="s">
        <v>145</v>
      </c>
      <c r="Y54" s="52"/>
      <c r="Z54" s="119"/>
      <c r="AA54" s="113"/>
      <c r="AB54" s="113"/>
      <c r="AC54" s="131"/>
      <c r="AD54" s="52"/>
      <c r="AE54" s="11"/>
      <c r="AF54" s="118"/>
      <c r="AG54" s="144"/>
      <c r="AH54" s="113"/>
      <c r="AI54" s="11"/>
      <c r="AJ54" s="11"/>
      <c r="AK54" s="39"/>
      <c r="AL54" s="113"/>
      <c r="AM54" s="113"/>
      <c r="AN54" s="117"/>
      <c r="AO54" s="76"/>
      <c r="AP54" s="39"/>
      <c r="AQ54" s="39"/>
      <c r="AR54" s="275">
        <v>1170288</v>
      </c>
      <c r="AS54" s="113">
        <f>+AR54*0.19</f>
        <v>222354.72</v>
      </c>
      <c r="AT54" s="119">
        <f>+AR54+AS54</f>
        <v>1392642.72</v>
      </c>
      <c r="AU54" s="62" t="s">
        <v>146</v>
      </c>
      <c r="AV54" s="62" t="s">
        <v>147</v>
      </c>
      <c r="AW54" s="31"/>
      <c r="AX54" s="116"/>
      <c r="AY54" s="196"/>
      <c r="AZ54" s="143"/>
      <c r="BA54" s="191"/>
      <c r="BB54" s="132"/>
      <c r="BC54" s="132"/>
      <c r="BD54" s="274"/>
      <c r="BE54" s="143"/>
      <c r="BF54" s="143"/>
      <c r="BG54" s="132"/>
      <c r="BH54" s="132"/>
      <c r="BI54" s="132"/>
      <c r="BJ54" s="143"/>
      <c r="BK54" s="143"/>
      <c r="BL54" s="143"/>
      <c r="BM54" s="52"/>
      <c r="BN54" s="76"/>
      <c r="BO54" s="131"/>
      <c r="BP54" s="113">
        <v>2812229</v>
      </c>
      <c r="BQ54" s="144">
        <f>BP54*19%</f>
        <v>534323.51</v>
      </c>
      <c r="BR54" s="113">
        <f>+BP54+BQ54</f>
        <v>3346552.51</v>
      </c>
      <c r="BS54" s="33"/>
      <c r="BT54" s="204" t="s">
        <v>148</v>
      </c>
      <c r="BU54" s="5" t="s">
        <v>149</v>
      </c>
      <c r="BV54" s="210"/>
      <c r="BW54" s="144"/>
      <c r="BX54" s="113"/>
      <c r="BY54" s="273"/>
      <c r="BZ54" s="273"/>
      <c r="CA54" s="132"/>
      <c r="CB54" s="274"/>
      <c r="CC54" s="144"/>
      <c r="CD54" s="274"/>
      <c r="CE54" s="132"/>
      <c r="CF54" s="132"/>
      <c r="CG54" s="132"/>
      <c r="CH54" s="210"/>
      <c r="CI54" s="219"/>
      <c r="CJ54" s="210"/>
      <c r="CK54" s="273"/>
      <c r="CL54" s="273"/>
      <c r="CM54" s="132"/>
      <c r="CN54" s="274"/>
      <c r="CO54" s="144"/>
      <c r="CP54" s="274"/>
      <c r="CQ54" s="132"/>
      <c r="CR54" s="132"/>
      <c r="CS54" s="132"/>
      <c r="CT54" s="274">
        <v>1185920</v>
      </c>
      <c r="CU54" s="144">
        <v>225324.79999999999</v>
      </c>
      <c r="CV54" s="144">
        <f t="shared" si="11"/>
        <v>1411244.8</v>
      </c>
      <c r="CW54" s="132"/>
      <c r="CX54" s="132"/>
      <c r="CY54" s="132"/>
      <c r="CZ54" s="118"/>
      <c r="DA54" s="144"/>
      <c r="DB54" s="118"/>
      <c r="DC54" s="33"/>
      <c r="DD54" s="39"/>
      <c r="DE54" s="11"/>
      <c r="DF54" s="132"/>
      <c r="DG54" s="132"/>
      <c r="DH54" s="132"/>
      <c r="DI54" s="132"/>
      <c r="DJ54" s="132"/>
      <c r="DK54" s="132"/>
      <c r="DL54" s="132"/>
      <c r="DM54" s="132"/>
      <c r="DN54" s="132"/>
      <c r="DO54" s="132"/>
      <c r="DP54" s="132"/>
      <c r="DQ54" s="132"/>
      <c r="DR54" s="132"/>
      <c r="DS54" s="132"/>
      <c r="DT54" s="132"/>
      <c r="DU54" s="132"/>
      <c r="DV54" s="132"/>
      <c r="DW54" s="132"/>
      <c r="DX54" s="132"/>
      <c r="DY54" s="132"/>
      <c r="DZ54" s="132"/>
      <c r="EA54" s="132"/>
      <c r="EB54" s="132"/>
      <c r="EC54" s="132"/>
      <c r="ED54" s="132"/>
      <c r="EE54" s="132"/>
      <c r="EF54" s="132"/>
      <c r="EG54" s="132"/>
      <c r="EH54" s="132"/>
      <c r="EI54" s="132"/>
      <c r="EJ54" s="132"/>
      <c r="EK54" s="132"/>
      <c r="EL54" s="132"/>
      <c r="EM54" s="132"/>
      <c r="EN54" s="132"/>
      <c r="EO54" s="132"/>
      <c r="EP54" s="132"/>
      <c r="EQ54" s="132"/>
      <c r="ER54" s="132"/>
      <c r="ES54" s="132"/>
      <c r="ET54" s="11"/>
      <c r="EU54" s="11"/>
      <c r="EV54" s="11"/>
      <c r="EW54" s="11"/>
      <c r="EX54" s="11"/>
      <c r="EY54" s="11"/>
      <c r="EZ54" s="11"/>
      <c r="FA54" s="11"/>
      <c r="FB54" s="11"/>
      <c r="FC54" s="11"/>
      <c r="FD54" s="11"/>
      <c r="FE54" s="11"/>
      <c r="FF54" s="275"/>
      <c r="FG54" s="71"/>
      <c r="FH54" s="39">
        <f t="shared" si="2"/>
        <v>7294440.0299999993</v>
      </c>
      <c r="FI54" s="33">
        <f t="shared" si="3"/>
        <v>4</v>
      </c>
      <c r="FJ54" s="84">
        <f t="shared" si="4"/>
        <v>1823610.0074999998</v>
      </c>
    </row>
    <row r="55" spans="1:166" ht="89.25" x14ac:dyDescent="0.25">
      <c r="A55" s="79" t="e">
        <f>#REF!</f>
        <v>#REF!</v>
      </c>
      <c r="B55" s="75" t="e">
        <f>#REF!</f>
        <v>#REF!</v>
      </c>
      <c r="C55" s="75" t="e">
        <f>#REF!</f>
        <v>#REF!</v>
      </c>
      <c r="D55" s="75" t="e">
        <f>#REF!</f>
        <v>#REF!</v>
      </c>
      <c r="E55" s="30">
        <v>1</v>
      </c>
      <c r="F55" s="238">
        <v>318673.27333333337</v>
      </c>
      <c r="G55" s="241">
        <v>313803</v>
      </c>
      <c r="H55" s="249">
        <v>386214.5</v>
      </c>
      <c r="I55" s="249">
        <v>386155</v>
      </c>
      <c r="J55" s="249">
        <v>370994.13943759998</v>
      </c>
      <c r="K55" s="249">
        <v>361760</v>
      </c>
      <c r="L55" s="274">
        <f>AVERAGE(F55,H55,J55)</f>
        <v>358627.3042569778</v>
      </c>
      <c r="M55" s="274">
        <f>AVERAGE(G55,I55,K55)*1.03</f>
        <v>364523.18</v>
      </c>
      <c r="N55" s="245"/>
      <c r="O55" s="113"/>
      <c r="P55" s="113"/>
      <c r="Q55" s="131"/>
      <c r="R55" s="131"/>
      <c r="S55" s="64"/>
      <c r="T55" s="113">
        <f>140000*2</f>
        <v>280000</v>
      </c>
      <c r="U55" s="118">
        <f>+T55*0.19</f>
        <v>53200</v>
      </c>
      <c r="V55" s="113">
        <f>+U55+T55</f>
        <v>333200</v>
      </c>
      <c r="W55" s="131" t="s">
        <v>150</v>
      </c>
      <c r="X55" s="131" t="s">
        <v>138</v>
      </c>
      <c r="Y55" s="11"/>
      <c r="Z55" s="113"/>
      <c r="AA55" s="113"/>
      <c r="AB55" s="113"/>
      <c r="AC55" s="52"/>
      <c r="AD55" s="52"/>
      <c r="AE55" s="11"/>
      <c r="AF55" s="118"/>
      <c r="AG55" s="144"/>
      <c r="AH55" s="113"/>
      <c r="AI55" s="11"/>
      <c r="AJ55" s="11"/>
      <c r="AK55" s="39"/>
      <c r="AL55" s="113"/>
      <c r="AM55" s="113"/>
      <c r="AN55" s="116"/>
      <c r="AO55" s="76"/>
      <c r="AP55" s="39"/>
      <c r="AQ55" s="39"/>
      <c r="AR55" s="275"/>
      <c r="AS55" s="143"/>
      <c r="AT55" s="116"/>
      <c r="AU55" s="62"/>
      <c r="AV55" s="62"/>
      <c r="AW55" s="31"/>
      <c r="AX55" s="116"/>
      <c r="AY55" s="194"/>
      <c r="AZ55" s="143"/>
      <c r="BA55" s="191"/>
      <c r="BB55" s="132"/>
      <c r="BC55" s="132"/>
      <c r="BD55" s="274"/>
      <c r="BE55" s="143"/>
      <c r="BF55" s="143"/>
      <c r="BG55" s="132"/>
      <c r="BH55" s="132"/>
      <c r="BI55" s="132"/>
      <c r="BJ55" s="143"/>
      <c r="BK55" s="143"/>
      <c r="BL55" s="143"/>
      <c r="BM55" s="132"/>
      <c r="BN55" s="132"/>
      <c r="BO55" s="132"/>
      <c r="BP55" s="143">
        <v>379054</v>
      </c>
      <c r="BQ55" s="144">
        <f>BP55*19%</f>
        <v>72020.259999999995</v>
      </c>
      <c r="BR55" s="113">
        <f>+BP55+BQ55</f>
        <v>451074.26</v>
      </c>
      <c r="BS55" s="33" t="s">
        <v>151</v>
      </c>
      <c r="BT55" s="204" t="s">
        <v>152</v>
      </c>
      <c r="BU55" s="5" t="s">
        <v>153</v>
      </c>
      <c r="BV55" s="263">
        <v>1098000</v>
      </c>
      <c r="BW55" s="144">
        <f t="shared" ref="BW55:BW68" si="23">BV55*19%</f>
        <v>208620</v>
      </c>
      <c r="BX55" s="113">
        <f t="shared" ref="BX55:BX71" si="24">+BV55+BW55</f>
        <v>1306620</v>
      </c>
      <c r="BY55" s="264" t="s">
        <v>65</v>
      </c>
      <c r="BZ55" s="264" t="s">
        <v>154</v>
      </c>
      <c r="CA55" s="132"/>
      <c r="CB55" s="274"/>
      <c r="CC55" s="144"/>
      <c r="CD55" s="274"/>
      <c r="CE55" s="132"/>
      <c r="CF55" s="132"/>
      <c r="CG55" s="132"/>
      <c r="CH55" s="263"/>
      <c r="CI55" s="265"/>
      <c r="CJ55" s="263"/>
      <c r="CK55" s="264"/>
      <c r="CL55" s="264"/>
      <c r="CM55" s="132"/>
      <c r="CN55" s="274"/>
      <c r="CO55" s="144"/>
      <c r="CP55" s="274"/>
      <c r="CQ55" s="132"/>
      <c r="CR55" s="132"/>
      <c r="CS55" s="132"/>
      <c r="CT55" s="274">
        <v>366000</v>
      </c>
      <c r="CU55" s="144">
        <v>69540</v>
      </c>
      <c r="CV55" s="144">
        <f t="shared" si="11"/>
        <v>435540</v>
      </c>
      <c r="CW55" s="132"/>
      <c r="CX55" s="132"/>
      <c r="CY55" s="132"/>
      <c r="CZ55" s="118"/>
      <c r="DA55" s="144"/>
      <c r="DB55" s="118"/>
      <c r="DC55" s="33"/>
      <c r="DD55" s="39"/>
      <c r="DE55" s="11"/>
      <c r="DF55" s="132"/>
      <c r="DG55" s="132"/>
      <c r="DH55" s="132"/>
      <c r="DI55" s="132"/>
      <c r="DJ55" s="132"/>
      <c r="DK55" s="132"/>
      <c r="DL55" s="132"/>
      <c r="DM55" s="132"/>
      <c r="DN55" s="132"/>
      <c r="DO55" s="132"/>
      <c r="DP55" s="132"/>
      <c r="DQ55" s="132"/>
      <c r="DR55" s="132"/>
      <c r="DS55" s="132"/>
      <c r="DT55" s="132"/>
      <c r="DU55" s="132"/>
      <c r="DV55" s="132"/>
      <c r="DW55" s="132"/>
      <c r="DX55" s="132"/>
      <c r="DY55" s="132"/>
      <c r="DZ55" s="132"/>
      <c r="EA55" s="132"/>
      <c r="EB55" s="132"/>
      <c r="EC55" s="132"/>
      <c r="ED55" s="132"/>
      <c r="EE55" s="132"/>
      <c r="EF55" s="132"/>
      <c r="EG55" s="132"/>
      <c r="EH55" s="132"/>
      <c r="EI55" s="132"/>
      <c r="EJ55" s="132"/>
      <c r="EK55" s="132"/>
      <c r="EL55" s="132"/>
      <c r="EM55" s="132"/>
      <c r="EN55" s="132"/>
      <c r="EO55" s="132"/>
      <c r="EP55" s="132"/>
      <c r="EQ55" s="132"/>
      <c r="ER55" s="132"/>
      <c r="ES55" s="132"/>
      <c r="ET55" s="11"/>
      <c r="EU55" s="11"/>
      <c r="EV55" s="11"/>
      <c r="EW55" s="11"/>
      <c r="EX55" s="11"/>
      <c r="EY55" s="11"/>
      <c r="EZ55" s="11"/>
      <c r="FA55" s="11"/>
      <c r="FB55" s="11"/>
      <c r="FC55" s="11"/>
      <c r="FD55" s="11"/>
      <c r="FE55" s="11"/>
      <c r="FF55" s="11"/>
      <c r="FG55" s="11"/>
      <c r="FH55" s="39">
        <f t="shared" si="2"/>
        <v>2890957.44</v>
      </c>
      <c r="FI55" s="33">
        <f t="shared" si="3"/>
        <v>5</v>
      </c>
      <c r="FJ55" s="84">
        <f t="shared" si="4"/>
        <v>578191.48800000001</v>
      </c>
    </row>
    <row r="56" spans="1:166" ht="27" x14ac:dyDescent="0.25">
      <c r="A56" s="79" t="e">
        <f>#REF!</f>
        <v>#REF!</v>
      </c>
      <c r="B56" s="75" t="e">
        <f>#REF!</f>
        <v>#REF!</v>
      </c>
      <c r="C56" s="75" t="e">
        <f>#REF!</f>
        <v>#REF!</v>
      </c>
      <c r="D56" s="75" t="e">
        <f>#REF!</f>
        <v>#REF!</v>
      </c>
      <c r="E56" s="30">
        <v>1</v>
      </c>
      <c r="F56" s="238">
        <v>0</v>
      </c>
      <c r="G56" s="241">
        <v>0</v>
      </c>
      <c r="H56" s="249">
        <v>0</v>
      </c>
      <c r="I56" s="249">
        <v>0</v>
      </c>
      <c r="J56" s="249">
        <v>308920.43</v>
      </c>
      <c r="K56" s="249">
        <v>0</v>
      </c>
      <c r="L56" s="274">
        <f>J56</f>
        <v>308920.43</v>
      </c>
      <c r="M56" s="274"/>
      <c r="N56" s="245"/>
      <c r="O56" s="117"/>
      <c r="P56" s="113"/>
      <c r="Q56" s="131"/>
      <c r="R56" s="131"/>
      <c r="S56" s="64"/>
      <c r="T56" s="113"/>
      <c r="U56" s="113"/>
      <c r="V56" s="113"/>
      <c r="W56" s="131"/>
      <c r="X56" s="131"/>
      <c r="Y56" s="11"/>
      <c r="Z56" s="113"/>
      <c r="AA56" s="113"/>
      <c r="AB56" s="113"/>
      <c r="AC56" s="52"/>
      <c r="AD56" s="52"/>
      <c r="AE56" s="11"/>
      <c r="AF56" s="118">
        <v>15000</v>
      </c>
      <c r="AG56" s="144">
        <v>0</v>
      </c>
      <c r="AH56" s="113">
        <f>+AF56+AG56</f>
        <v>15000</v>
      </c>
      <c r="AI56" s="11"/>
      <c r="AJ56" s="11"/>
      <c r="AK56" s="39"/>
      <c r="AL56" s="113"/>
      <c r="AM56" s="113"/>
      <c r="AN56" s="117"/>
      <c r="AO56" s="76"/>
      <c r="AP56" s="39"/>
      <c r="AQ56" s="39"/>
      <c r="AR56" s="275">
        <v>219194</v>
      </c>
      <c r="AS56" s="113">
        <f>+AR56*0.19</f>
        <v>41646.86</v>
      </c>
      <c r="AT56" s="119">
        <f>+AR56+AS56</f>
        <v>260840.86</v>
      </c>
      <c r="AU56" s="62" t="s">
        <v>49</v>
      </c>
      <c r="AV56" s="62" t="s">
        <v>46</v>
      </c>
      <c r="AW56" s="31"/>
      <c r="AX56" s="116"/>
      <c r="AY56" s="116"/>
      <c r="AZ56" s="143"/>
      <c r="BA56" s="191"/>
      <c r="BB56" s="132"/>
      <c r="BC56" s="132"/>
      <c r="BD56" s="274"/>
      <c r="BE56" s="143"/>
      <c r="BF56" s="143"/>
      <c r="BG56" s="132"/>
      <c r="BH56" s="132"/>
      <c r="BI56" s="132"/>
      <c r="BJ56" s="143"/>
      <c r="BK56" s="143"/>
      <c r="BL56" s="143"/>
      <c r="BM56" s="132"/>
      <c r="BN56" s="132"/>
      <c r="BO56" s="132"/>
      <c r="BP56" s="143"/>
      <c r="BQ56" s="132"/>
      <c r="BR56" s="132"/>
      <c r="BS56" s="132"/>
      <c r="BT56" s="132"/>
      <c r="BU56" s="132"/>
      <c r="BV56" s="263">
        <v>122200</v>
      </c>
      <c r="BW56" s="144">
        <f t="shared" si="23"/>
        <v>23218</v>
      </c>
      <c r="BX56" s="113">
        <f t="shared" si="24"/>
        <v>145418</v>
      </c>
      <c r="BY56" s="264" t="s">
        <v>155</v>
      </c>
      <c r="BZ56" s="264" t="s">
        <v>156</v>
      </c>
      <c r="CA56" s="132"/>
      <c r="CB56" s="274"/>
      <c r="CC56" s="144"/>
      <c r="CD56" s="274"/>
      <c r="CE56" s="132"/>
      <c r="CF56" s="132"/>
      <c r="CG56" s="132"/>
      <c r="CH56" s="263">
        <v>129532</v>
      </c>
      <c r="CI56" s="265">
        <f>+CH56*0.19</f>
        <v>24611.08</v>
      </c>
      <c r="CJ56" s="263">
        <f>+CH56+CI56</f>
        <v>154143.08000000002</v>
      </c>
      <c r="CK56" s="264" t="s">
        <v>155</v>
      </c>
      <c r="CL56" s="264" t="s">
        <v>156</v>
      </c>
      <c r="CM56" s="132"/>
      <c r="CN56" s="274"/>
      <c r="CO56" s="144"/>
      <c r="CP56" s="274"/>
      <c r="CQ56" s="132"/>
      <c r="CR56" s="132"/>
      <c r="CS56" s="132"/>
      <c r="CT56" s="274"/>
      <c r="CU56" s="144"/>
      <c r="CV56" s="144"/>
      <c r="CW56" s="132"/>
      <c r="CX56" s="132"/>
      <c r="CY56" s="132"/>
      <c r="CZ56" s="118"/>
      <c r="DA56" s="144"/>
      <c r="DB56" s="118"/>
      <c r="DC56" s="33"/>
      <c r="DD56" s="39"/>
      <c r="DE56" s="11"/>
      <c r="DF56" s="132"/>
      <c r="DG56" s="132"/>
      <c r="DH56" s="132"/>
      <c r="DI56" s="132"/>
      <c r="DJ56" s="132"/>
      <c r="DK56" s="132"/>
      <c r="DL56" s="132"/>
      <c r="DM56" s="132"/>
      <c r="DN56" s="132"/>
      <c r="DO56" s="132"/>
      <c r="DP56" s="132"/>
      <c r="DQ56" s="132"/>
      <c r="DR56" s="132"/>
      <c r="DS56" s="132"/>
      <c r="DT56" s="132"/>
      <c r="DU56" s="132"/>
      <c r="DV56" s="132"/>
      <c r="DW56" s="132"/>
      <c r="DX56" s="132"/>
      <c r="DY56" s="132"/>
      <c r="DZ56" s="132"/>
      <c r="EA56" s="132"/>
      <c r="EB56" s="132"/>
      <c r="EC56" s="132"/>
      <c r="ED56" s="132"/>
      <c r="EE56" s="132"/>
      <c r="EF56" s="132"/>
      <c r="EG56" s="132"/>
      <c r="EH56" s="132"/>
      <c r="EI56" s="132"/>
      <c r="EJ56" s="132"/>
      <c r="EK56" s="132"/>
      <c r="EL56" s="132"/>
      <c r="EM56" s="132"/>
      <c r="EN56" s="132"/>
      <c r="EO56" s="132"/>
      <c r="EP56" s="132"/>
      <c r="EQ56" s="132"/>
      <c r="ER56" s="132"/>
      <c r="ES56" s="132"/>
      <c r="ET56" s="11"/>
      <c r="EU56" s="11"/>
      <c r="EV56" s="11"/>
      <c r="EW56" s="11"/>
      <c r="EX56" s="11"/>
      <c r="EY56" s="11"/>
      <c r="EZ56" s="11"/>
      <c r="FA56" s="11"/>
      <c r="FB56" s="11"/>
      <c r="FC56" s="11"/>
      <c r="FD56" s="11"/>
      <c r="FE56" s="11"/>
      <c r="FF56" s="11"/>
      <c r="FG56" s="11"/>
      <c r="FH56" s="39">
        <f t="shared" si="2"/>
        <v>575401.93999999994</v>
      </c>
      <c r="FI56" s="33">
        <f t="shared" si="3"/>
        <v>4</v>
      </c>
      <c r="FJ56" s="84">
        <f t="shared" si="4"/>
        <v>143850.48499999999</v>
      </c>
    </row>
    <row r="57" spans="1:166" ht="40.5" x14ac:dyDescent="0.25">
      <c r="A57" s="79" t="e">
        <f>#REF!</f>
        <v>#REF!</v>
      </c>
      <c r="B57" s="75" t="e">
        <f>#REF!</f>
        <v>#REF!</v>
      </c>
      <c r="C57" s="75" t="e">
        <f>#REF!</f>
        <v>#REF!</v>
      </c>
      <c r="D57" s="75" t="e">
        <f>#REF!</f>
        <v>#REF!</v>
      </c>
      <c r="E57" s="30">
        <v>1</v>
      </c>
      <c r="F57" s="238">
        <v>0</v>
      </c>
      <c r="G57" s="241">
        <v>0</v>
      </c>
      <c r="H57" s="249">
        <v>288559.71428571426</v>
      </c>
      <c r="I57" s="249">
        <v>220150</v>
      </c>
      <c r="J57" s="249">
        <v>298782.42333333334</v>
      </c>
      <c r="K57" s="249">
        <v>297500</v>
      </c>
      <c r="L57" s="274">
        <f>AVERAGE(H57,J57)</f>
        <v>293671.06880952383</v>
      </c>
      <c r="M57" s="274">
        <f>AVERAGE(I57,K57)*1.03</f>
        <v>266589.75</v>
      </c>
      <c r="N57" s="245"/>
      <c r="O57" s="113"/>
      <c r="P57" s="113"/>
      <c r="Q57" s="131"/>
      <c r="R57" s="131"/>
      <c r="S57" s="64"/>
      <c r="T57" s="113"/>
      <c r="U57" s="113"/>
      <c r="V57" s="113"/>
      <c r="W57" s="131"/>
      <c r="X57" s="131"/>
      <c r="Y57" s="11"/>
      <c r="Z57" s="113"/>
      <c r="AA57" s="113"/>
      <c r="AB57" s="113"/>
      <c r="AC57" s="52"/>
      <c r="AD57" s="52"/>
      <c r="AE57" s="11"/>
      <c r="AF57" s="118">
        <v>300000</v>
      </c>
      <c r="AG57" s="144">
        <f>AF57*19%</f>
        <v>57000</v>
      </c>
      <c r="AH57" s="113">
        <f>+AF57+AG57</f>
        <v>357000</v>
      </c>
      <c r="AI57" s="11"/>
      <c r="AJ57" s="11"/>
      <c r="AK57" s="39"/>
      <c r="AL57" s="113"/>
      <c r="AM57" s="113"/>
      <c r="AN57" s="117"/>
      <c r="AO57" s="76"/>
      <c r="AP57" s="39"/>
      <c r="AQ57" s="39"/>
      <c r="AR57" s="275">
        <v>226233</v>
      </c>
      <c r="AS57" s="113">
        <f>+AR57*0.19</f>
        <v>42984.270000000004</v>
      </c>
      <c r="AT57" s="119">
        <f>+AR57+AS57</f>
        <v>269217.27</v>
      </c>
      <c r="AU57" s="62" t="s">
        <v>60</v>
      </c>
      <c r="AV57" s="62" t="s">
        <v>46</v>
      </c>
      <c r="AW57" s="31"/>
      <c r="AX57" s="116"/>
      <c r="AY57" s="196"/>
      <c r="AZ57" s="143"/>
      <c r="BA57" s="191"/>
      <c r="BB57" s="132"/>
      <c r="BC57" s="132"/>
      <c r="BD57" s="274"/>
      <c r="BE57" s="143"/>
      <c r="BF57" s="143"/>
      <c r="BG57" s="132"/>
      <c r="BH57" s="132"/>
      <c r="BI57" s="132"/>
      <c r="BJ57" s="274">
        <v>182750</v>
      </c>
      <c r="BK57" s="118">
        <f>+BJ57*0.19</f>
        <v>34722.5</v>
      </c>
      <c r="BL57" s="113">
        <f>+BK57+BJ57</f>
        <v>217472.5</v>
      </c>
      <c r="BM57" s="11" t="s">
        <v>125</v>
      </c>
      <c r="BN57" s="132"/>
      <c r="BO57" s="132"/>
      <c r="BP57" s="143"/>
      <c r="BQ57" s="132"/>
      <c r="BR57" s="132"/>
      <c r="BS57" s="132"/>
      <c r="BT57" s="132"/>
      <c r="BU57" s="132"/>
      <c r="BV57" s="263">
        <v>747600</v>
      </c>
      <c r="BW57" s="144">
        <f t="shared" si="23"/>
        <v>142044</v>
      </c>
      <c r="BX57" s="113">
        <f t="shared" si="24"/>
        <v>889644</v>
      </c>
      <c r="BY57" s="264" t="s">
        <v>62</v>
      </c>
      <c r="BZ57" s="264" t="s">
        <v>111</v>
      </c>
      <c r="CA57" s="132"/>
      <c r="CB57" s="274">
        <v>234000</v>
      </c>
      <c r="CC57" s="144">
        <f>+CB57*19%</f>
        <v>44460</v>
      </c>
      <c r="CD57" s="274">
        <f>+CC57+CB57</f>
        <v>278460</v>
      </c>
      <c r="CE57" s="132"/>
      <c r="CF57" s="132"/>
      <c r="CG57" s="132"/>
      <c r="CH57" s="263"/>
      <c r="CI57" s="265"/>
      <c r="CJ57" s="263"/>
      <c r="CK57" s="264"/>
      <c r="CL57" s="264"/>
      <c r="CM57" s="132"/>
      <c r="CN57" s="274"/>
      <c r="CO57" s="144"/>
      <c r="CP57" s="274"/>
      <c r="CQ57" s="132"/>
      <c r="CR57" s="132"/>
      <c r="CS57" s="132"/>
      <c r="CT57" s="274">
        <v>125000</v>
      </c>
      <c r="CU57" s="144">
        <v>23750</v>
      </c>
      <c r="CV57" s="144">
        <f>+CT57+CU57</f>
        <v>148750</v>
      </c>
      <c r="CW57" s="132"/>
      <c r="CX57" s="132"/>
      <c r="CY57" s="132"/>
      <c r="CZ57" s="118">
        <v>194010</v>
      </c>
      <c r="DA57" s="144">
        <f>+CZ57*0.19</f>
        <v>36861.9</v>
      </c>
      <c r="DB57" s="118">
        <f>+CZ57+DA57</f>
        <v>230871.9</v>
      </c>
      <c r="DC57" s="33" t="s">
        <v>142</v>
      </c>
      <c r="DD57" s="39" t="s">
        <v>58</v>
      </c>
      <c r="DE57" s="11">
        <v>1072280500</v>
      </c>
      <c r="DF57" s="132"/>
      <c r="DG57" s="132"/>
      <c r="DH57" s="132"/>
      <c r="DI57" s="132"/>
      <c r="DJ57" s="132"/>
      <c r="DK57" s="132"/>
      <c r="DL57" s="132"/>
      <c r="DM57" s="132"/>
      <c r="DN57" s="132"/>
      <c r="DO57" s="132"/>
      <c r="DP57" s="132"/>
      <c r="DQ57" s="132"/>
      <c r="DR57" s="132"/>
      <c r="DS57" s="132"/>
      <c r="DT57" s="132"/>
      <c r="DU57" s="132"/>
      <c r="DV57" s="132"/>
      <c r="DW57" s="132"/>
      <c r="DX57" s="132"/>
      <c r="DY57" s="132"/>
      <c r="DZ57" s="132"/>
      <c r="EA57" s="132"/>
      <c r="EB57" s="132"/>
      <c r="EC57" s="132"/>
      <c r="ED57" s="132"/>
      <c r="EE57" s="132"/>
      <c r="EF57" s="132"/>
      <c r="EG57" s="132"/>
      <c r="EH57" s="132"/>
      <c r="EI57" s="132"/>
      <c r="EJ57" s="132"/>
      <c r="EK57" s="132"/>
      <c r="EL57" s="132"/>
      <c r="EM57" s="132"/>
      <c r="EN57" s="132"/>
      <c r="EO57" s="132"/>
      <c r="EP57" s="132"/>
      <c r="EQ57" s="132"/>
      <c r="ER57" s="132"/>
      <c r="ES57" s="132"/>
      <c r="ET57" s="11"/>
      <c r="EU57" s="11"/>
      <c r="EV57" s="11"/>
      <c r="EW57" s="11"/>
      <c r="EX57" s="11"/>
      <c r="EY57" s="11"/>
      <c r="EZ57" s="11"/>
      <c r="FA57" s="11"/>
      <c r="FB57" s="11"/>
      <c r="FC57" s="11"/>
      <c r="FD57" s="11"/>
      <c r="FE57" s="11"/>
      <c r="FF57" s="275"/>
      <c r="FG57" s="71"/>
      <c r="FH57" s="39">
        <f t="shared" si="2"/>
        <v>2658005.42</v>
      </c>
      <c r="FI57" s="33">
        <f t="shared" si="3"/>
        <v>8</v>
      </c>
      <c r="FJ57" s="84">
        <f t="shared" si="4"/>
        <v>332250.67749999999</v>
      </c>
    </row>
    <row r="58" spans="1:166" ht="89.25" x14ac:dyDescent="0.25">
      <c r="A58" s="79" t="e">
        <f>#REF!</f>
        <v>#REF!</v>
      </c>
      <c r="B58" s="75" t="e">
        <f>#REF!</f>
        <v>#REF!</v>
      </c>
      <c r="C58" s="75" t="e">
        <f>#REF!</f>
        <v>#REF!</v>
      </c>
      <c r="D58" s="75" t="e">
        <f>#REF!</f>
        <v>#REF!</v>
      </c>
      <c r="E58" s="30">
        <v>1</v>
      </c>
      <c r="F58" s="238">
        <v>171524.696</v>
      </c>
      <c r="G58" s="241">
        <v>145180</v>
      </c>
      <c r="H58" s="249">
        <v>363457.49861456</v>
      </c>
      <c r="I58" s="249">
        <v>0</v>
      </c>
      <c r="J58" s="249">
        <v>0</v>
      </c>
      <c r="K58" s="249">
        <v>0</v>
      </c>
      <c r="L58" s="274">
        <f>AVERAGE(F58,H58)</f>
        <v>267491.09730728</v>
      </c>
      <c r="M58" s="274">
        <f>G58*1.03</f>
        <v>149535.4</v>
      </c>
      <c r="N58" s="245"/>
      <c r="O58" s="113"/>
      <c r="P58" s="113"/>
      <c r="Q58" s="131"/>
      <c r="R58" s="131"/>
      <c r="S58" s="64"/>
      <c r="T58" s="113"/>
      <c r="U58" s="117"/>
      <c r="V58" s="113"/>
      <c r="W58" s="131"/>
      <c r="X58" s="131"/>
      <c r="Y58" s="11"/>
      <c r="Z58" s="113"/>
      <c r="AA58" s="113"/>
      <c r="AB58" s="113"/>
      <c r="AC58" s="52"/>
      <c r="AD58" s="52"/>
      <c r="AE58" s="11"/>
      <c r="AF58" s="118">
        <v>100000</v>
      </c>
      <c r="AG58" s="144">
        <f>AF58*19%</f>
        <v>19000</v>
      </c>
      <c r="AH58" s="113">
        <f>+AF58+AG58</f>
        <v>119000</v>
      </c>
      <c r="AI58" s="11"/>
      <c r="AJ58" s="11"/>
      <c r="AK58" s="39"/>
      <c r="AL58" s="113"/>
      <c r="AM58" s="113"/>
      <c r="AN58" s="119"/>
      <c r="AO58" s="76"/>
      <c r="AP58" s="39"/>
      <c r="AQ58" s="39"/>
      <c r="AR58" s="275"/>
      <c r="AS58" s="155"/>
      <c r="AT58" s="157"/>
      <c r="AU58" s="62"/>
      <c r="AV58" s="62"/>
      <c r="AW58" s="31"/>
      <c r="AX58" s="116"/>
      <c r="AY58" s="196"/>
      <c r="AZ58" s="143"/>
      <c r="BA58" s="191"/>
      <c r="BB58" s="132"/>
      <c r="BC58" s="132"/>
      <c r="BD58" s="144">
        <v>499000</v>
      </c>
      <c r="BE58" s="116">
        <f>+BD58*0.19</f>
        <v>94810</v>
      </c>
      <c r="BF58" s="143">
        <f>+BD58+BE58</f>
        <v>593810</v>
      </c>
      <c r="BG58" s="33" t="s">
        <v>157</v>
      </c>
      <c r="BH58" s="132" t="s">
        <v>139</v>
      </c>
      <c r="BI58" s="132"/>
      <c r="BJ58" s="143"/>
      <c r="BK58" s="143"/>
      <c r="BL58" s="143"/>
      <c r="BM58" s="132"/>
      <c r="BN58" s="132"/>
      <c r="BO58" s="132"/>
      <c r="BP58" s="143">
        <f>379054/2</f>
        <v>189527</v>
      </c>
      <c r="BQ58" s="144">
        <f>BP58*19%</f>
        <v>36010.129999999997</v>
      </c>
      <c r="BR58" s="113">
        <f>+BP58+BQ58</f>
        <v>225537.13</v>
      </c>
      <c r="BS58" s="33" t="s">
        <v>151</v>
      </c>
      <c r="BT58" s="204" t="s">
        <v>152</v>
      </c>
      <c r="BU58" s="5" t="s">
        <v>153</v>
      </c>
      <c r="BV58" s="263">
        <v>313600</v>
      </c>
      <c r="BW58" s="144">
        <f t="shared" si="23"/>
        <v>59584</v>
      </c>
      <c r="BX58" s="113">
        <f t="shared" si="24"/>
        <v>373184</v>
      </c>
      <c r="BY58" s="264" t="s">
        <v>158</v>
      </c>
      <c r="BZ58" s="264" t="s">
        <v>159</v>
      </c>
      <c r="CA58" s="132"/>
      <c r="CB58" s="274"/>
      <c r="CC58" s="144"/>
      <c r="CD58" s="274"/>
      <c r="CE58" s="132"/>
      <c r="CF58" s="132"/>
      <c r="CG58" s="132"/>
      <c r="CH58" s="263">
        <v>323008</v>
      </c>
      <c r="CI58" s="265">
        <f t="shared" ref="CI58:CI68" si="25">+CH58*0.19</f>
        <v>61371.520000000004</v>
      </c>
      <c r="CJ58" s="263">
        <f t="shared" ref="CJ58:CJ71" si="26">+CH58+CI58</f>
        <v>384379.52</v>
      </c>
      <c r="CK58" s="264" t="s">
        <v>158</v>
      </c>
      <c r="CL58" s="264" t="s">
        <v>159</v>
      </c>
      <c r="CM58" s="132"/>
      <c r="CN58" s="274"/>
      <c r="CO58" s="144"/>
      <c r="CP58" s="274"/>
      <c r="CQ58" s="132"/>
      <c r="CR58" s="132"/>
      <c r="CS58" s="132"/>
      <c r="CT58" s="274">
        <v>231000</v>
      </c>
      <c r="CU58" s="144">
        <f>+CT58*0</f>
        <v>0</v>
      </c>
      <c r="CV58" s="144">
        <f>+CT58+CU58</f>
        <v>231000</v>
      </c>
      <c r="CW58" s="132"/>
      <c r="CX58" s="132"/>
      <c r="CY58" s="132"/>
      <c r="CZ58" s="118"/>
      <c r="DA58" s="144"/>
      <c r="DB58" s="118"/>
      <c r="DC58" s="33"/>
      <c r="DD58" s="39"/>
      <c r="DE58" s="11"/>
      <c r="DF58" s="132"/>
      <c r="DG58" s="132"/>
      <c r="DH58" s="132"/>
      <c r="DI58" s="132"/>
      <c r="DJ58" s="132"/>
      <c r="DK58" s="132"/>
      <c r="DL58" s="132"/>
      <c r="DM58" s="132"/>
      <c r="DN58" s="132"/>
      <c r="DO58" s="132"/>
      <c r="DP58" s="132"/>
      <c r="DQ58" s="132"/>
      <c r="DR58" s="132"/>
      <c r="DS58" s="132"/>
      <c r="DT58" s="132"/>
      <c r="DU58" s="132"/>
      <c r="DV58" s="132"/>
      <c r="DW58" s="132"/>
      <c r="DX58" s="132"/>
      <c r="DY58" s="132"/>
      <c r="DZ58" s="132"/>
      <c r="EA58" s="132"/>
      <c r="EB58" s="132"/>
      <c r="EC58" s="132"/>
      <c r="ED58" s="132"/>
      <c r="EE58" s="132"/>
      <c r="EF58" s="132"/>
      <c r="EG58" s="132"/>
      <c r="EH58" s="132"/>
      <c r="EI58" s="132"/>
      <c r="EJ58" s="132"/>
      <c r="EK58" s="132"/>
      <c r="EL58" s="132"/>
      <c r="EM58" s="132"/>
      <c r="EN58" s="132"/>
      <c r="EO58" s="132"/>
      <c r="EP58" s="132"/>
      <c r="EQ58" s="132"/>
      <c r="ER58" s="132"/>
      <c r="ES58" s="132"/>
      <c r="ET58" s="11"/>
      <c r="EU58" s="11"/>
      <c r="EV58" s="11"/>
      <c r="EW58" s="11"/>
      <c r="EX58" s="11"/>
      <c r="EY58" s="11"/>
      <c r="EZ58" s="11"/>
      <c r="FA58" s="11"/>
      <c r="FB58" s="11"/>
      <c r="FC58" s="11"/>
      <c r="FD58" s="11"/>
      <c r="FE58" s="11"/>
      <c r="FF58" s="11"/>
      <c r="FG58" s="11"/>
      <c r="FH58" s="39">
        <f t="shared" si="2"/>
        <v>2076446.05</v>
      </c>
      <c r="FI58" s="33">
        <f t="shared" si="3"/>
        <v>7</v>
      </c>
      <c r="FJ58" s="84">
        <f t="shared" si="4"/>
        <v>296635.15000000002</v>
      </c>
    </row>
    <row r="59" spans="1:166" ht="40.5" x14ac:dyDescent="0.25">
      <c r="A59" s="79" t="e">
        <f>#REF!</f>
        <v>#REF!</v>
      </c>
      <c r="B59" s="75" t="e">
        <f>#REF!</f>
        <v>#REF!</v>
      </c>
      <c r="C59" s="75" t="e">
        <f>#REF!</f>
        <v>#REF!</v>
      </c>
      <c r="D59" s="75" t="e">
        <f>#REF!</f>
        <v>#REF!</v>
      </c>
      <c r="E59" s="30">
        <v>1</v>
      </c>
      <c r="F59" s="238">
        <v>57857</v>
      </c>
      <c r="G59" s="241">
        <v>56100</v>
      </c>
      <c r="H59" s="249">
        <v>74729.070728571431</v>
      </c>
      <c r="I59" s="249">
        <v>0</v>
      </c>
      <c r="J59" s="249">
        <v>61787.5</v>
      </c>
      <c r="K59" s="249">
        <v>49300</v>
      </c>
      <c r="L59" s="274">
        <f>AVERAGE(F59,H59,J59)</f>
        <v>64791.190242857148</v>
      </c>
      <c r="M59" s="274">
        <f>AVERAGE(G59,K59)*1.03</f>
        <v>54281</v>
      </c>
      <c r="N59" s="245"/>
      <c r="O59" s="113"/>
      <c r="P59" s="113"/>
      <c r="Q59" s="131"/>
      <c r="R59" s="131"/>
      <c r="S59" s="64"/>
      <c r="T59" s="113"/>
      <c r="U59" s="113"/>
      <c r="V59" s="113"/>
      <c r="W59" s="131"/>
      <c r="X59" s="131"/>
      <c r="Y59" s="11"/>
      <c r="Z59" s="113"/>
      <c r="AA59" s="113"/>
      <c r="AB59" s="113"/>
      <c r="AC59" s="52"/>
      <c r="AD59" s="52"/>
      <c r="AE59" s="11"/>
      <c r="AF59" s="118">
        <v>70000</v>
      </c>
      <c r="AG59" s="144">
        <f>AF59*19%</f>
        <v>13300</v>
      </c>
      <c r="AH59" s="113">
        <f>+AF59+AG59</f>
        <v>83300</v>
      </c>
      <c r="AI59" s="11"/>
      <c r="AJ59" s="11"/>
      <c r="AK59" s="39"/>
      <c r="AL59" s="113"/>
      <c r="AM59" s="113"/>
      <c r="AN59" s="119"/>
      <c r="AO59" s="76"/>
      <c r="AP59" s="39"/>
      <c r="AQ59" s="39"/>
      <c r="AR59" s="275"/>
      <c r="AS59" s="155"/>
      <c r="AT59" s="157"/>
      <c r="AU59" s="62"/>
      <c r="AV59" s="62"/>
      <c r="AW59" s="31"/>
      <c r="AX59" s="116"/>
      <c r="AY59" s="116"/>
      <c r="AZ59" s="143"/>
      <c r="BA59" s="191"/>
      <c r="BB59" s="132"/>
      <c r="BC59" s="132"/>
      <c r="BD59" s="274"/>
      <c r="BE59" s="143"/>
      <c r="BF59" s="143"/>
      <c r="BG59" s="132"/>
      <c r="BH59" s="132"/>
      <c r="BI59" s="132"/>
      <c r="BJ59" s="143"/>
      <c r="BK59" s="143"/>
      <c r="BL59" s="143"/>
      <c r="BM59" s="132"/>
      <c r="BN59" s="132"/>
      <c r="BO59" s="132"/>
      <c r="BP59" s="143"/>
      <c r="BQ59" s="132"/>
      <c r="BR59" s="132"/>
      <c r="BS59" s="132"/>
      <c r="BT59" s="132"/>
      <c r="BU59" s="132"/>
      <c r="BV59" s="263">
        <v>94300</v>
      </c>
      <c r="BW59" s="144">
        <f t="shared" si="23"/>
        <v>17917</v>
      </c>
      <c r="BX59" s="113">
        <f t="shared" si="24"/>
        <v>112217</v>
      </c>
      <c r="BY59" s="264" t="s">
        <v>65</v>
      </c>
      <c r="BZ59" s="264" t="s">
        <v>48</v>
      </c>
      <c r="CA59" s="132"/>
      <c r="CB59" s="274">
        <v>162000</v>
      </c>
      <c r="CC59" s="144">
        <f>+CB59*19%</f>
        <v>30780</v>
      </c>
      <c r="CD59" s="274">
        <f>+CC59+CB59</f>
        <v>192780</v>
      </c>
      <c r="CE59" s="132"/>
      <c r="CF59" s="132"/>
      <c r="CG59" s="132"/>
      <c r="CH59" s="263">
        <v>98072</v>
      </c>
      <c r="CI59" s="265">
        <f t="shared" si="25"/>
        <v>18633.68</v>
      </c>
      <c r="CJ59" s="263">
        <f t="shared" si="26"/>
        <v>116705.68</v>
      </c>
      <c r="CK59" s="264" t="s">
        <v>65</v>
      </c>
      <c r="CL59" s="264" t="s">
        <v>48</v>
      </c>
      <c r="CM59" s="132"/>
      <c r="CN59" s="274"/>
      <c r="CO59" s="144"/>
      <c r="CP59" s="274"/>
      <c r="CQ59" s="132"/>
      <c r="CR59" s="132"/>
      <c r="CS59" s="132"/>
      <c r="CT59" s="274">
        <v>92000</v>
      </c>
      <c r="CU59" s="144">
        <v>17480</v>
      </c>
      <c r="CV59" s="144">
        <f>+CT59+CU59</f>
        <v>109480</v>
      </c>
      <c r="CW59" s="132"/>
      <c r="CX59" s="132"/>
      <c r="CY59" s="132"/>
      <c r="CZ59" s="118"/>
      <c r="DA59" s="144"/>
      <c r="DB59" s="118"/>
      <c r="DC59" s="33"/>
      <c r="DD59" s="39"/>
      <c r="DE59" s="11"/>
      <c r="DF59" s="132"/>
      <c r="DG59" s="132"/>
      <c r="DH59" s="132"/>
      <c r="DI59" s="132"/>
      <c r="DJ59" s="132"/>
      <c r="DK59" s="132"/>
      <c r="DL59" s="132"/>
      <c r="DM59" s="132"/>
      <c r="DN59" s="132"/>
      <c r="DO59" s="132"/>
      <c r="DP59" s="132"/>
      <c r="DQ59" s="132"/>
      <c r="DR59" s="132"/>
      <c r="DS59" s="132"/>
      <c r="DT59" s="132"/>
      <c r="DU59" s="132"/>
      <c r="DV59" s="132"/>
      <c r="DW59" s="132"/>
      <c r="DX59" s="132"/>
      <c r="DY59" s="132"/>
      <c r="DZ59" s="132"/>
      <c r="EA59" s="132"/>
      <c r="EB59" s="132"/>
      <c r="EC59" s="132"/>
      <c r="ED59" s="132"/>
      <c r="EE59" s="132"/>
      <c r="EF59" s="132"/>
      <c r="EG59" s="132"/>
      <c r="EH59" s="132"/>
      <c r="EI59" s="132"/>
      <c r="EJ59" s="132"/>
      <c r="EK59" s="132"/>
      <c r="EL59" s="132"/>
      <c r="EM59" s="132"/>
      <c r="EN59" s="132"/>
      <c r="EO59" s="132"/>
      <c r="EP59" s="132"/>
      <c r="EQ59" s="132"/>
      <c r="ER59" s="132"/>
      <c r="ES59" s="132"/>
      <c r="ET59" s="11"/>
      <c r="EU59" s="11"/>
      <c r="EV59" s="11"/>
      <c r="EW59" s="11"/>
      <c r="EX59" s="11"/>
      <c r="EY59" s="11"/>
      <c r="EZ59" s="11"/>
      <c r="FA59" s="11"/>
      <c r="FB59" s="11"/>
      <c r="FC59" s="11"/>
      <c r="FD59" s="11"/>
      <c r="FE59" s="11"/>
      <c r="FF59" s="11"/>
      <c r="FG59" s="11"/>
      <c r="FH59" s="39">
        <f t="shared" si="2"/>
        <v>668763.67999999993</v>
      </c>
      <c r="FI59" s="33">
        <f t="shared" si="3"/>
        <v>6</v>
      </c>
      <c r="FJ59" s="84">
        <f t="shared" si="4"/>
        <v>111460.61333333333</v>
      </c>
    </row>
    <row r="60" spans="1:166" ht="27" x14ac:dyDescent="0.25">
      <c r="A60" s="79" t="e">
        <f>#REF!</f>
        <v>#REF!</v>
      </c>
      <c r="B60" s="75" t="e">
        <f>#REF!</f>
        <v>#REF!</v>
      </c>
      <c r="C60" s="75" t="e">
        <f>#REF!</f>
        <v>#REF!</v>
      </c>
      <c r="D60" s="75" t="e">
        <f>#REF!</f>
        <v>#REF!</v>
      </c>
      <c r="E60" s="30">
        <v>1</v>
      </c>
      <c r="F60" s="238">
        <v>5018</v>
      </c>
      <c r="G60" s="241">
        <v>4900</v>
      </c>
      <c r="H60" s="249">
        <v>5942.4362333333338</v>
      </c>
      <c r="I60" s="249">
        <v>0</v>
      </c>
      <c r="J60" s="249">
        <v>6222.25</v>
      </c>
      <c r="K60" s="249">
        <v>0</v>
      </c>
      <c r="L60" s="274">
        <f>AVERAGE(F60,H60,J60)</f>
        <v>5727.5620777777776</v>
      </c>
      <c r="M60" s="274">
        <f>G60*1.03</f>
        <v>5047</v>
      </c>
      <c r="N60" s="246"/>
      <c r="O60" s="118"/>
      <c r="P60" s="118"/>
      <c r="Q60" s="52"/>
      <c r="R60" s="52"/>
      <c r="S60" s="5"/>
      <c r="T60" s="118"/>
      <c r="U60" s="118"/>
      <c r="V60" s="118"/>
      <c r="W60" s="11"/>
      <c r="X60" s="11"/>
      <c r="Y60" s="11"/>
      <c r="Z60" s="118"/>
      <c r="AA60" s="118"/>
      <c r="AB60" s="118"/>
      <c r="AC60" s="52"/>
      <c r="AD60" s="52"/>
      <c r="AE60" s="11"/>
      <c r="AF60" s="118">
        <v>4500</v>
      </c>
      <c r="AG60" s="144">
        <v>0</v>
      </c>
      <c r="AH60" s="113">
        <f>+AF60+AG60</f>
        <v>4500</v>
      </c>
      <c r="AI60" s="11"/>
      <c r="AJ60" s="11"/>
      <c r="AK60" s="11"/>
      <c r="AL60" s="118"/>
      <c r="AM60" s="118"/>
      <c r="AN60" s="118"/>
      <c r="AO60" s="76"/>
      <c r="AP60" s="11"/>
      <c r="AQ60" s="11"/>
      <c r="AR60" s="274">
        <v>6000</v>
      </c>
      <c r="AS60" s="113">
        <f>+AR60*0.19</f>
        <v>1140</v>
      </c>
      <c r="AT60" s="119">
        <f>+AR60+AS60</f>
        <v>7140</v>
      </c>
      <c r="AU60" s="62" t="s">
        <v>160</v>
      </c>
      <c r="AV60" s="48" t="s">
        <v>161</v>
      </c>
      <c r="AW60" s="11"/>
      <c r="AX60" s="274"/>
      <c r="AY60" s="274"/>
      <c r="AZ60" s="274"/>
      <c r="BA60" s="11"/>
      <c r="BB60" s="11"/>
      <c r="BC60" s="11"/>
      <c r="BD60" s="274"/>
      <c r="BE60" s="274"/>
      <c r="BF60" s="274"/>
      <c r="BG60" s="11"/>
      <c r="BH60" s="11"/>
      <c r="BI60" s="11"/>
      <c r="BJ60" s="274"/>
      <c r="BK60" s="274"/>
      <c r="BL60" s="274"/>
      <c r="BM60" s="11"/>
      <c r="BN60" s="11"/>
      <c r="BO60" s="11"/>
      <c r="BP60" s="275"/>
      <c r="BQ60" s="11"/>
      <c r="BR60" s="11"/>
      <c r="BS60" s="11"/>
      <c r="BT60" s="11"/>
      <c r="BU60" s="11"/>
      <c r="BV60" s="263">
        <v>7400</v>
      </c>
      <c r="BW60" s="144">
        <f t="shared" si="23"/>
        <v>1406</v>
      </c>
      <c r="BX60" s="113">
        <f t="shared" si="24"/>
        <v>8806</v>
      </c>
      <c r="BY60" s="264" t="s">
        <v>162</v>
      </c>
      <c r="BZ60" s="264" t="s">
        <v>161</v>
      </c>
      <c r="CA60" s="11"/>
      <c r="CB60" s="274">
        <v>3000</v>
      </c>
      <c r="CC60" s="144"/>
      <c r="CD60" s="274">
        <f>+CB60</f>
        <v>3000</v>
      </c>
      <c r="CE60" s="11"/>
      <c r="CF60" s="11"/>
      <c r="CG60" s="11"/>
      <c r="CH60" s="263">
        <v>7696</v>
      </c>
      <c r="CI60" s="265">
        <f t="shared" si="25"/>
        <v>1462.24</v>
      </c>
      <c r="CJ60" s="263">
        <f t="shared" si="26"/>
        <v>9158.24</v>
      </c>
      <c r="CK60" s="264" t="s">
        <v>162</v>
      </c>
      <c r="CL60" s="264" t="s">
        <v>161</v>
      </c>
      <c r="CM60" s="11"/>
      <c r="CN60" s="274"/>
      <c r="CO60" s="144"/>
      <c r="CP60" s="274"/>
      <c r="CQ60" s="11"/>
      <c r="CR60" s="11"/>
      <c r="CS60" s="11"/>
      <c r="CT60" s="274"/>
      <c r="CU60" s="144"/>
      <c r="CV60" s="144"/>
      <c r="CW60" s="11"/>
      <c r="CX60" s="11"/>
      <c r="CY60" s="11"/>
      <c r="CZ60" s="118"/>
      <c r="DA60" s="144"/>
      <c r="DB60" s="118"/>
      <c r="DC60" s="33"/>
      <c r="DD60" s="39"/>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39"/>
      <c r="EC60" s="39"/>
      <c r="ED60" s="39"/>
      <c r="EE60" s="11"/>
      <c r="EF60" s="11"/>
      <c r="EG60" s="39"/>
      <c r="EH60" s="39"/>
      <c r="EI60" s="34"/>
      <c r="EJ60" s="11"/>
      <c r="EK60" s="11"/>
      <c r="EL60" s="11"/>
      <c r="EM60" s="11"/>
      <c r="EN60" s="11"/>
      <c r="EO60" s="11"/>
      <c r="EP60" s="11"/>
      <c r="EQ60" s="39"/>
      <c r="ER60" s="39"/>
      <c r="ES60" s="34"/>
      <c r="ET60" s="11"/>
      <c r="EU60" s="11"/>
      <c r="EV60" s="11"/>
      <c r="EW60" s="11"/>
      <c r="EX60" s="11"/>
      <c r="EY60" s="11"/>
      <c r="EZ60" s="11"/>
      <c r="FA60" s="11"/>
      <c r="FB60" s="11"/>
      <c r="FC60" s="11"/>
      <c r="FD60" s="11"/>
      <c r="FE60" s="11"/>
      <c r="FF60" s="11"/>
      <c r="FG60" s="11"/>
      <c r="FH60" s="39">
        <f t="shared" si="2"/>
        <v>37651.24</v>
      </c>
      <c r="FI60" s="33">
        <f t="shared" si="3"/>
        <v>6</v>
      </c>
      <c r="FJ60" s="84">
        <f t="shared" si="4"/>
        <v>6275.206666666666</v>
      </c>
    </row>
    <row r="61" spans="1:166" ht="13.5" x14ac:dyDescent="0.25">
      <c r="A61" s="79" t="e">
        <f>#REF!</f>
        <v>#REF!</v>
      </c>
      <c r="B61" s="75" t="e">
        <f>#REF!</f>
        <v>#REF!</v>
      </c>
      <c r="C61" s="75" t="e">
        <f>#REF!</f>
        <v>#REF!</v>
      </c>
      <c r="D61" s="75" t="e">
        <f>#REF!</f>
        <v>#REF!</v>
      </c>
      <c r="E61" s="30">
        <v>1</v>
      </c>
      <c r="F61" s="238">
        <v>0</v>
      </c>
      <c r="G61" s="241">
        <v>0</v>
      </c>
      <c r="H61" s="249">
        <v>0</v>
      </c>
      <c r="I61" s="249">
        <v>0</v>
      </c>
      <c r="J61" s="249">
        <v>276801.93333333335</v>
      </c>
      <c r="K61" s="249">
        <v>269892</v>
      </c>
      <c r="L61" s="274">
        <f>J61</f>
        <v>276801.93333333335</v>
      </c>
      <c r="M61" s="274">
        <f>K61*1.03</f>
        <v>277988.76</v>
      </c>
      <c r="N61" s="245"/>
      <c r="O61" s="113"/>
      <c r="P61" s="113"/>
      <c r="Q61" s="131"/>
      <c r="R61" s="131"/>
      <c r="S61" s="64"/>
      <c r="T61" s="113"/>
      <c r="U61" s="113"/>
      <c r="V61" s="113"/>
      <c r="W61" s="131"/>
      <c r="X61" s="131"/>
      <c r="Y61" s="11"/>
      <c r="Z61" s="113"/>
      <c r="AA61" s="113"/>
      <c r="AB61" s="113"/>
      <c r="AC61" s="52"/>
      <c r="AD61" s="52"/>
      <c r="AE61" s="11"/>
      <c r="AF61" s="118"/>
      <c r="AG61" s="144"/>
      <c r="AH61" s="113"/>
      <c r="AI61" s="11"/>
      <c r="AJ61" s="11"/>
      <c r="AK61" s="39"/>
      <c r="AL61" s="113">
        <v>158000</v>
      </c>
      <c r="AM61" s="113">
        <f>+AL61*0.19</f>
        <v>30020</v>
      </c>
      <c r="AN61" s="119">
        <f>+AL61+AM61</f>
        <v>188020</v>
      </c>
      <c r="AO61" s="76" t="s">
        <v>49</v>
      </c>
      <c r="AP61" s="266" t="s">
        <v>45</v>
      </c>
      <c r="AQ61" s="39"/>
      <c r="AR61" s="275"/>
      <c r="AS61" s="155"/>
      <c r="AT61" s="143"/>
      <c r="AU61" s="62"/>
      <c r="AV61" s="62"/>
      <c r="AW61" s="31"/>
      <c r="AX61" s="116"/>
      <c r="AY61" s="194"/>
      <c r="AZ61" s="143"/>
      <c r="BA61" s="191"/>
      <c r="BB61" s="132"/>
      <c r="BC61" s="132"/>
      <c r="BD61" s="274"/>
      <c r="BE61" s="143"/>
      <c r="BF61" s="143"/>
      <c r="BG61" s="132"/>
      <c r="BH61" s="132"/>
      <c r="BI61" s="132"/>
      <c r="BJ61" s="143"/>
      <c r="BK61" s="143"/>
      <c r="BL61" s="143"/>
      <c r="BM61" s="132"/>
      <c r="BN61" s="132"/>
      <c r="BO61" s="132"/>
      <c r="BP61" s="143"/>
      <c r="BQ61" s="132"/>
      <c r="BR61" s="132"/>
      <c r="BS61" s="132"/>
      <c r="BT61" s="132"/>
      <c r="BU61" s="132"/>
      <c r="BV61" s="263">
        <v>579500</v>
      </c>
      <c r="BW61" s="144">
        <f t="shared" si="23"/>
        <v>110105</v>
      </c>
      <c r="BX61" s="113">
        <f t="shared" si="24"/>
        <v>689605</v>
      </c>
      <c r="BY61" s="264" t="s">
        <v>163</v>
      </c>
      <c r="BZ61" s="264" t="s">
        <v>88</v>
      </c>
      <c r="CA61" s="132"/>
      <c r="CB61" s="274">
        <v>125000</v>
      </c>
      <c r="CC61" s="144">
        <f>+CB61*19%</f>
        <v>23750</v>
      </c>
      <c r="CD61" s="274">
        <f>+CC61+CB61</f>
        <v>148750</v>
      </c>
      <c r="CE61" s="132"/>
      <c r="CF61" s="132"/>
      <c r="CG61" s="132"/>
      <c r="CH61" s="263">
        <v>585295</v>
      </c>
      <c r="CI61" s="265">
        <f t="shared" si="25"/>
        <v>111206.05</v>
      </c>
      <c r="CJ61" s="263">
        <f t="shared" si="26"/>
        <v>696501.05</v>
      </c>
      <c r="CK61" s="264" t="s">
        <v>163</v>
      </c>
      <c r="CL61" s="264" t="s">
        <v>88</v>
      </c>
      <c r="CM61" s="132"/>
      <c r="CN61" s="274"/>
      <c r="CO61" s="144"/>
      <c r="CP61" s="274"/>
      <c r="CQ61" s="132"/>
      <c r="CR61" s="132"/>
      <c r="CS61" s="132"/>
      <c r="CT61" s="274"/>
      <c r="CU61" s="144"/>
      <c r="CV61" s="144"/>
      <c r="CW61" s="132"/>
      <c r="CX61" s="132"/>
      <c r="CY61" s="132"/>
      <c r="CZ61" s="118"/>
      <c r="DA61" s="144"/>
      <c r="DB61" s="118"/>
      <c r="DC61" s="33"/>
      <c r="DD61" s="39"/>
      <c r="DE61" s="11"/>
      <c r="DF61" s="132"/>
      <c r="DG61" s="132"/>
      <c r="DH61" s="132"/>
      <c r="DI61" s="132"/>
      <c r="DJ61" s="132"/>
      <c r="DK61" s="132"/>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1"/>
      <c r="EU61" s="11"/>
      <c r="EV61" s="11"/>
      <c r="EW61" s="11"/>
      <c r="EX61" s="11"/>
      <c r="EY61" s="11"/>
      <c r="EZ61" s="11"/>
      <c r="FA61" s="11"/>
      <c r="FB61" s="11"/>
      <c r="FC61" s="11"/>
      <c r="FD61" s="11"/>
      <c r="FE61" s="11"/>
      <c r="FF61" s="11"/>
      <c r="FG61" s="11"/>
      <c r="FH61" s="39">
        <f t="shared" si="2"/>
        <v>2000864.81</v>
      </c>
      <c r="FI61" s="33">
        <f t="shared" si="3"/>
        <v>5</v>
      </c>
      <c r="FJ61" s="84">
        <f t="shared" si="4"/>
        <v>400172.962</v>
      </c>
    </row>
    <row r="62" spans="1:166" ht="40.5" x14ac:dyDescent="0.25">
      <c r="A62" s="79" t="e">
        <f>#REF!</f>
        <v>#REF!</v>
      </c>
      <c r="B62" s="75" t="e">
        <f>#REF!</f>
        <v>#REF!</v>
      </c>
      <c r="C62" s="75" t="e">
        <f>#REF!</f>
        <v>#REF!</v>
      </c>
      <c r="D62" s="75" t="e">
        <f>#REF!</f>
        <v>#REF!</v>
      </c>
      <c r="E62" s="30">
        <v>1</v>
      </c>
      <c r="F62" s="238">
        <v>0</v>
      </c>
      <c r="G62" s="241">
        <v>0</v>
      </c>
      <c r="H62" s="249">
        <v>0</v>
      </c>
      <c r="I62" s="249">
        <v>0</v>
      </c>
      <c r="J62" s="249">
        <v>152671.52499999999</v>
      </c>
      <c r="K62" s="249">
        <v>145061</v>
      </c>
      <c r="L62" s="274">
        <f>J62</f>
        <v>152671.52499999999</v>
      </c>
      <c r="M62" s="274">
        <f>K62*1.03</f>
        <v>149412.83000000002</v>
      </c>
      <c r="N62" s="245"/>
      <c r="O62" s="113"/>
      <c r="P62" s="113"/>
      <c r="Q62" s="131"/>
      <c r="R62" s="131"/>
      <c r="S62" s="64"/>
      <c r="T62" s="113"/>
      <c r="U62" s="117"/>
      <c r="V62" s="113"/>
      <c r="W62" s="131"/>
      <c r="X62" s="131"/>
      <c r="Y62" s="11"/>
      <c r="Z62" s="113"/>
      <c r="AA62" s="113"/>
      <c r="AB62" s="113"/>
      <c r="AC62" s="52"/>
      <c r="AD62" s="52"/>
      <c r="AE62" s="11"/>
      <c r="AF62" s="118">
        <v>30000</v>
      </c>
      <c r="AG62" s="144">
        <f>AF62*19%</f>
        <v>5700</v>
      </c>
      <c r="AH62" s="113">
        <f>+AF62+AG62</f>
        <v>35700</v>
      </c>
      <c r="AI62" s="11"/>
      <c r="AJ62" s="11"/>
      <c r="AK62" s="39"/>
      <c r="AL62" s="113">
        <v>75000</v>
      </c>
      <c r="AM62" s="113">
        <f>+AL62*0.19</f>
        <v>14250</v>
      </c>
      <c r="AN62" s="119">
        <f>+AL62+AM62</f>
        <v>89250</v>
      </c>
      <c r="AO62" s="76" t="s">
        <v>81</v>
      </c>
      <c r="AP62" s="266" t="s">
        <v>50</v>
      </c>
      <c r="AQ62" s="39"/>
      <c r="AR62" s="275">
        <v>272490</v>
      </c>
      <c r="AS62" s="113">
        <f>+AR62*0.19</f>
        <v>51773.1</v>
      </c>
      <c r="AT62" s="119">
        <f>+AR62+AS62</f>
        <v>324263.09999999998</v>
      </c>
      <c r="AU62" s="62" t="s">
        <v>81</v>
      </c>
      <c r="AV62" s="62" t="s">
        <v>45</v>
      </c>
      <c r="AW62" s="31"/>
      <c r="AX62" s="116"/>
      <c r="AY62" s="196"/>
      <c r="AZ62" s="143"/>
      <c r="BA62" s="191"/>
      <c r="BB62" s="132"/>
      <c r="BC62" s="132"/>
      <c r="BD62" s="274"/>
      <c r="BE62" s="143"/>
      <c r="BF62" s="143"/>
      <c r="BG62" s="132"/>
      <c r="BH62" s="132"/>
      <c r="BI62" s="132"/>
      <c r="BJ62" s="143"/>
      <c r="BK62" s="143"/>
      <c r="BL62" s="143"/>
      <c r="BM62" s="132"/>
      <c r="BN62" s="132"/>
      <c r="BO62" s="132"/>
      <c r="BP62" s="143"/>
      <c r="BQ62" s="132"/>
      <c r="BR62" s="132"/>
      <c r="BS62" s="132"/>
      <c r="BT62" s="132"/>
      <c r="BU62" s="132"/>
      <c r="BV62" s="263">
        <v>162900</v>
      </c>
      <c r="BW62" s="144">
        <f t="shared" si="23"/>
        <v>30951</v>
      </c>
      <c r="BX62" s="113">
        <f t="shared" si="24"/>
        <v>193851</v>
      </c>
      <c r="BY62" s="264" t="s">
        <v>71</v>
      </c>
      <c r="BZ62" s="264" t="s">
        <v>48</v>
      </c>
      <c r="CA62" s="132"/>
      <c r="CB62" s="274">
        <v>45200</v>
      </c>
      <c r="CC62" s="144"/>
      <c r="CD62" s="274">
        <f>+CC62+CB62</f>
        <v>45200</v>
      </c>
      <c r="CE62" s="132"/>
      <c r="CF62" s="132"/>
      <c r="CG62" s="132"/>
      <c r="CH62" s="263">
        <v>174303</v>
      </c>
      <c r="CI62" s="265">
        <f t="shared" si="25"/>
        <v>33117.57</v>
      </c>
      <c r="CJ62" s="263">
        <f t="shared" si="26"/>
        <v>207420.57</v>
      </c>
      <c r="CK62" s="264" t="s">
        <v>71</v>
      </c>
      <c r="CL62" s="264" t="s">
        <v>48</v>
      </c>
      <c r="CM62" s="132"/>
      <c r="CN62" s="274"/>
      <c r="CO62" s="144"/>
      <c r="CP62" s="274"/>
      <c r="CQ62" s="132"/>
      <c r="CR62" s="132"/>
      <c r="CS62" s="132"/>
      <c r="CT62" s="274"/>
      <c r="CU62" s="144"/>
      <c r="CV62" s="144"/>
      <c r="CW62" s="132"/>
      <c r="CX62" s="132"/>
      <c r="CY62" s="132"/>
      <c r="CZ62" s="118"/>
      <c r="DA62" s="144"/>
      <c r="DB62" s="118"/>
      <c r="DC62" s="33"/>
      <c r="DD62" s="39"/>
      <c r="DE62" s="11"/>
      <c r="DF62" s="132"/>
      <c r="DG62" s="132"/>
      <c r="DH62" s="132"/>
      <c r="DI62" s="132"/>
      <c r="DJ62" s="132"/>
      <c r="DK62" s="132"/>
      <c r="DL62" s="132"/>
      <c r="DM62" s="132"/>
      <c r="DN62" s="132"/>
      <c r="DO62" s="132"/>
      <c r="DP62" s="132"/>
      <c r="DQ62" s="132"/>
      <c r="DR62" s="132"/>
      <c r="DS62" s="132"/>
      <c r="DT62" s="132"/>
      <c r="DU62" s="132"/>
      <c r="DV62" s="132"/>
      <c r="DW62" s="132"/>
      <c r="DX62" s="132"/>
      <c r="DY62" s="132"/>
      <c r="DZ62" s="132"/>
      <c r="EA62" s="132"/>
      <c r="EB62" s="132"/>
      <c r="EC62" s="132"/>
      <c r="ED62" s="132"/>
      <c r="EE62" s="132"/>
      <c r="EF62" s="132"/>
      <c r="EG62" s="132"/>
      <c r="EH62" s="132"/>
      <c r="EI62" s="132"/>
      <c r="EJ62" s="132"/>
      <c r="EK62" s="132"/>
      <c r="EL62" s="132"/>
      <c r="EM62" s="132"/>
      <c r="EN62" s="132"/>
      <c r="EO62" s="132"/>
      <c r="EP62" s="132"/>
      <c r="EQ62" s="132"/>
      <c r="ER62" s="132"/>
      <c r="ES62" s="132"/>
      <c r="ET62" s="11"/>
      <c r="EU62" s="11"/>
      <c r="EV62" s="11"/>
      <c r="EW62" s="11"/>
      <c r="EX62" s="11"/>
      <c r="EY62" s="11"/>
      <c r="EZ62" s="11"/>
      <c r="FA62" s="11"/>
      <c r="FB62" s="11"/>
      <c r="FC62" s="11"/>
      <c r="FD62" s="11"/>
      <c r="FE62" s="11"/>
      <c r="FF62" s="11"/>
      <c r="FG62" s="11"/>
      <c r="FH62" s="39">
        <f t="shared" si="2"/>
        <v>1045097.5</v>
      </c>
      <c r="FI62" s="33">
        <f t="shared" si="3"/>
        <v>7</v>
      </c>
      <c r="FJ62" s="84">
        <f t="shared" si="4"/>
        <v>149299.64285714287</v>
      </c>
    </row>
    <row r="63" spans="1:166" ht="40.5" x14ac:dyDescent="0.25">
      <c r="A63" s="79" t="e">
        <f>#REF!</f>
        <v>#REF!</v>
      </c>
      <c r="B63" s="75" t="e">
        <f>#REF!</f>
        <v>#REF!</v>
      </c>
      <c r="C63" s="75" t="e">
        <f>#REF!</f>
        <v>#REF!</v>
      </c>
      <c r="D63" s="75" t="e">
        <f>#REF!</f>
        <v>#REF!</v>
      </c>
      <c r="E63" s="30">
        <v>1</v>
      </c>
      <c r="F63" s="238">
        <v>32254.95</v>
      </c>
      <c r="G63" s="241">
        <v>14280</v>
      </c>
      <c r="H63" s="249">
        <v>38807.764928333338</v>
      </c>
      <c r="I63" s="249">
        <v>13500</v>
      </c>
      <c r="J63" s="249">
        <v>50271.333333333336</v>
      </c>
      <c r="K63" s="249">
        <v>47719</v>
      </c>
      <c r="L63" s="274">
        <f>AVERAGE(F63,H63,J63)</f>
        <v>40444.68275388889</v>
      </c>
      <c r="M63" s="274">
        <f>AVERAGE(G63,I63,K63)*1.03</f>
        <v>25921.323333333334</v>
      </c>
      <c r="N63" s="245"/>
      <c r="O63" s="113"/>
      <c r="P63" s="113"/>
      <c r="Q63" s="131"/>
      <c r="R63" s="131"/>
      <c r="S63" s="64"/>
      <c r="T63" s="113"/>
      <c r="U63" s="117"/>
      <c r="V63" s="113"/>
      <c r="W63" s="131"/>
      <c r="X63" s="131"/>
      <c r="Y63" s="11"/>
      <c r="Z63" s="113"/>
      <c r="AA63" s="113"/>
      <c r="AB63" s="113"/>
      <c r="AC63" s="52"/>
      <c r="AD63" s="52"/>
      <c r="AE63" s="11"/>
      <c r="AF63" s="118">
        <v>10000</v>
      </c>
      <c r="AG63" s="144">
        <f>AF63*19%</f>
        <v>1900</v>
      </c>
      <c r="AH63" s="113">
        <f>+AF63+AG63</f>
        <v>11900</v>
      </c>
      <c r="AI63" s="11"/>
      <c r="AJ63" s="11"/>
      <c r="AK63" s="39"/>
      <c r="AL63" s="113">
        <v>75000</v>
      </c>
      <c r="AM63" s="113">
        <f>+AL63*0.19</f>
        <v>14250</v>
      </c>
      <c r="AN63" s="119">
        <f>+AL63+AM63</f>
        <v>89250</v>
      </c>
      <c r="AO63" s="76" t="s">
        <v>81</v>
      </c>
      <c r="AP63" s="266" t="s">
        <v>50</v>
      </c>
      <c r="AQ63" s="39"/>
      <c r="AR63" s="275"/>
      <c r="AS63" s="155"/>
      <c r="AT63" s="157"/>
      <c r="AU63" s="62"/>
      <c r="AV63" s="62"/>
      <c r="AW63" s="31"/>
      <c r="AX63" s="116"/>
      <c r="AY63" s="116"/>
      <c r="AZ63" s="143"/>
      <c r="BA63" s="191"/>
      <c r="BB63" s="132"/>
      <c r="BC63" s="132"/>
      <c r="BD63" s="274"/>
      <c r="BE63" s="143"/>
      <c r="BF63" s="143"/>
      <c r="BG63" s="132"/>
      <c r="BH63" s="132"/>
      <c r="BI63" s="132"/>
      <c r="BJ63" s="143"/>
      <c r="BK63" s="143"/>
      <c r="BL63" s="143"/>
      <c r="BM63" s="132"/>
      <c r="BN63" s="132"/>
      <c r="BO63" s="132"/>
      <c r="BP63" s="143"/>
      <c r="BQ63" s="132"/>
      <c r="BR63" s="132"/>
      <c r="BS63" s="132"/>
      <c r="BT63" s="132"/>
      <c r="BU63" s="132"/>
      <c r="BV63" s="263">
        <v>38800</v>
      </c>
      <c r="BW63" s="144">
        <f t="shared" si="23"/>
        <v>7372</v>
      </c>
      <c r="BX63" s="113">
        <f t="shared" si="24"/>
        <v>46172</v>
      </c>
      <c r="BY63" s="264" t="s">
        <v>65</v>
      </c>
      <c r="BZ63" s="264" t="s">
        <v>164</v>
      </c>
      <c r="CA63" s="132"/>
      <c r="CB63" s="274">
        <v>18000</v>
      </c>
      <c r="CC63" s="144"/>
      <c r="CD63" s="274">
        <f>+CC63+CB63</f>
        <v>18000</v>
      </c>
      <c r="CE63" s="132"/>
      <c r="CF63" s="132"/>
      <c r="CG63" s="132"/>
      <c r="CH63" s="263">
        <v>39188</v>
      </c>
      <c r="CI63" s="265">
        <f t="shared" si="25"/>
        <v>7445.72</v>
      </c>
      <c r="CJ63" s="263">
        <f t="shared" si="26"/>
        <v>46633.72</v>
      </c>
      <c r="CK63" s="264" t="s">
        <v>65</v>
      </c>
      <c r="CL63" s="264" t="s">
        <v>164</v>
      </c>
      <c r="CM63" s="132"/>
      <c r="CN63" s="274"/>
      <c r="CO63" s="144"/>
      <c r="CP63" s="274"/>
      <c r="CQ63" s="132"/>
      <c r="CR63" s="132"/>
      <c r="CS63" s="132"/>
      <c r="CT63" s="274"/>
      <c r="CU63" s="144"/>
      <c r="CV63" s="144"/>
      <c r="CW63" s="132"/>
      <c r="CX63" s="132"/>
      <c r="CY63" s="132"/>
      <c r="CZ63" s="118"/>
      <c r="DA63" s="144"/>
      <c r="DB63" s="118"/>
      <c r="DC63" s="33"/>
      <c r="DD63" s="39"/>
      <c r="DE63" s="11"/>
      <c r="DF63" s="132"/>
      <c r="DG63" s="132"/>
      <c r="DH63" s="132"/>
      <c r="DI63" s="132"/>
      <c r="DJ63" s="132"/>
      <c r="DK63" s="132"/>
      <c r="DL63" s="132"/>
      <c r="DM63" s="132"/>
      <c r="DN63" s="132"/>
      <c r="DO63" s="132"/>
      <c r="DP63" s="132"/>
      <c r="DQ63" s="132"/>
      <c r="DR63" s="132"/>
      <c r="DS63" s="132"/>
      <c r="DT63" s="132"/>
      <c r="DU63" s="132"/>
      <c r="DV63" s="132"/>
      <c r="DW63" s="132"/>
      <c r="DX63" s="132"/>
      <c r="DY63" s="132"/>
      <c r="DZ63" s="132"/>
      <c r="EA63" s="132"/>
      <c r="EB63" s="132"/>
      <c r="EC63" s="132"/>
      <c r="ED63" s="132"/>
      <c r="EE63" s="132"/>
      <c r="EF63" s="132"/>
      <c r="EG63" s="132"/>
      <c r="EH63" s="132"/>
      <c r="EI63" s="132"/>
      <c r="EJ63" s="132"/>
      <c r="EK63" s="132"/>
      <c r="EL63" s="132"/>
      <c r="EM63" s="132"/>
      <c r="EN63" s="132"/>
      <c r="EO63" s="132"/>
      <c r="EP63" s="132"/>
      <c r="EQ63" s="132"/>
      <c r="ER63" s="132"/>
      <c r="ES63" s="132"/>
      <c r="ET63" s="11"/>
      <c r="EU63" s="11"/>
      <c r="EV63" s="11"/>
      <c r="EW63" s="11"/>
      <c r="EX63" s="11"/>
      <c r="EY63" s="11"/>
      <c r="EZ63" s="11"/>
      <c r="FA63" s="11"/>
      <c r="FB63" s="11"/>
      <c r="FC63" s="11"/>
      <c r="FD63" s="11"/>
      <c r="FE63" s="11"/>
      <c r="FF63" s="11"/>
      <c r="FG63" s="11"/>
      <c r="FH63" s="39">
        <f t="shared" si="2"/>
        <v>237877.04333333333</v>
      </c>
      <c r="FI63" s="33">
        <f t="shared" si="3"/>
        <v>6</v>
      </c>
      <c r="FJ63" s="84">
        <f t="shared" si="4"/>
        <v>39646.173888888887</v>
      </c>
    </row>
    <row r="64" spans="1:166" ht="27" x14ac:dyDescent="0.25">
      <c r="A64" s="79" t="e">
        <f>#REF!</f>
        <v>#REF!</v>
      </c>
      <c r="B64" s="75" t="e">
        <f>#REF!</f>
        <v>#REF!</v>
      </c>
      <c r="C64" s="75" t="e">
        <f>#REF!</f>
        <v>#REF!</v>
      </c>
      <c r="D64" s="75" t="e">
        <f>#REF!</f>
        <v>#REF!</v>
      </c>
      <c r="E64" s="30">
        <v>1</v>
      </c>
      <c r="F64" s="238">
        <v>168397.37599999999</v>
      </c>
      <c r="G64" s="241">
        <v>89964</v>
      </c>
      <c r="H64" s="249">
        <v>403232.30074959999</v>
      </c>
      <c r="I64" s="249">
        <v>403172</v>
      </c>
      <c r="J64" s="249">
        <v>238307.97200000001</v>
      </c>
      <c r="K64" s="249">
        <v>232407</v>
      </c>
      <c r="L64" s="274">
        <f>AVERAGE(F64,H64,J64)</f>
        <v>269979.21624986664</v>
      </c>
      <c r="M64" s="274">
        <f>AVERAGE(G64,I64,K64)*1.03</f>
        <v>249103.09666666665</v>
      </c>
      <c r="N64" s="245"/>
      <c r="O64" s="113"/>
      <c r="P64" s="113"/>
      <c r="Q64" s="131"/>
      <c r="R64" s="131"/>
      <c r="S64" s="64"/>
      <c r="T64" s="113"/>
      <c r="U64" s="113"/>
      <c r="V64" s="113"/>
      <c r="W64" s="131"/>
      <c r="X64" s="131"/>
      <c r="Y64" s="11"/>
      <c r="Z64" s="113"/>
      <c r="AA64" s="113"/>
      <c r="AB64" s="113"/>
      <c r="AC64" s="52"/>
      <c r="AD64" s="52"/>
      <c r="AE64" s="11"/>
      <c r="AF64" s="118"/>
      <c r="AG64" s="144"/>
      <c r="AH64" s="113"/>
      <c r="AI64" s="11"/>
      <c r="AJ64" s="11"/>
      <c r="AK64" s="39"/>
      <c r="AL64" s="113">
        <v>480000</v>
      </c>
      <c r="AM64" s="113">
        <f>+AL64*0.19</f>
        <v>91200</v>
      </c>
      <c r="AN64" s="119">
        <f>+AL64+AM64</f>
        <v>571200</v>
      </c>
      <c r="AO64" s="76" t="s">
        <v>49</v>
      </c>
      <c r="AP64" s="266" t="s">
        <v>45</v>
      </c>
      <c r="AQ64" s="39"/>
      <c r="AR64" s="275">
        <v>140767</v>
      </c>
      <c r="AS64" s="113">
        <f>+AR64*0.19</f>
        <v>26745.73</v>
      </c>
      <c r="AT64" s="119">
        <f>+AR64+AS64</f>
        <v>167512.73000000001</v>
      </c>
      <c r="AU64" s="62" t="s">
        <v>49</v>
      </c>
      <c r="AV64" s="62" t="s">
        <v>45</v>
      </c>
      <c r="AW64" s="31"/>
      <c r="AX64" s="116"/>
      <c r="AY64" s="116"/>
      <c r="AZ64" s="143"/>
      <c r="BA64" s="191"/>
      <c r="BB64" s="132"/>
      <c r="BC64" s="132"/>
      <c r="BD64" s="274"/>
      <c r="BE64" s="143"/>
      <c r="BF64" s="143"/>
      <c r="BG64" s="132"/>
      <c r="BH64" s="132"/>
      <c r="BI64" s="132"/>
      <c r="BJ64" s="143"/>
      <c r="BK64" s="143"/>
      <c r="BL64" s="143"/>
      <c r="BM64" s="132"/>
      <c r="BN64" s="132"/>
      <c r="BO64" s="132"/>
      <c r="BP64" s="143"/>
      <c r="BQ64" s="132"/>
      <c r="BR64" s="132"/>
      <c r="BS64" s="132"/>
      <c r="BT64" s="132"/>
      <c r="BU64" s="132"/>
      <c r="BV64" s="263">
        <v>337400</v>
      </c>
      <c r="BW64" s="144">
        <f t="shared" si="23"/>
        <v>64106</v>
      </c>
      <c r="BX64" s="113">
        <f t="shared" si="24"/>
        <v>401506</v>
      </c>
      <c r="BY64" s="264" t="s">
        <v>158</v>
      </c>
      <c r="BZ64" s="264" t="s">
        <v>63</v>
      </c>
      <c r="CA64" s="132"/>
      <c r="CB64" s="274">
        <v>113000</v>
      </c>
      <c r="CC64" s="144">
        <f>+CB64*19%</f>
        <v>21470</v>
      </c>
      <c r="CD64" s="274">
        <f>+CC64+CB64</f>
        <v>134470</v>
      </c>
      <c r="CE64" s="132"/>
      <c r="CF64" s="132"/>
      <c r="CG64" s="132"/>
      <c r="CH64" s="263">
        <v>350896</v>
      </c>
      <c r="CI64" s="265">
        <f t="shared" si="25"/>
        <v>66670.240000000005</v>
      </c>
      <c r="CJ64" s="263">
        <f t="shared" si="26"/>
        <v>417566.24</v>
      </c>
      <c r="CK64" s="264" t="s">
        <v>158</v>
      </c>
      <c r="CL64" s="264" t="s">
        <v>63</v>
      </c>
      <c r="CM64" s="132"/>
      <c r="CN64" s="274"/>
      <c r="CO64" s="144"/>
      <c r="CP64" s="274"/>
      <c r="CQ64" s="132"/>
      <c r="CR64" s="132"/>
      <c r="CS64" s="132"/>
      <c r="CT64" s="274"/>
      <c r="CU64" s="144"/>
      <c r="CV64" s="144"/>
      <c r="CW64" s="132"/>
      <c r="CX64" s="132"/>
      <c r="CY64" s="132"/>
      <c r="CZ64" s="118"/>
      <c r="DA64" s="144"/>
      <c r="DB64" s="118"/>
      <c r="DC64" s="33"/>
      <c r="DD64" s="39"/>
      <c r="DE64" s="11"/>
      <c r="DF64" s="132"/>
      <c r="DG64" s="132"/>
      <c r="DH64" s="132"/>
      <c r="DI64" s="132"/>
      <c r="DJ64" s="132"/>
      <c r="DK64" s="132"/>
      <c r="DL64" s="132"/>
      <c r="DM64" s="132"/>
      <c r="DN64" s="132"/>
      <c r="DO64" s="132"/>
      <c r="DP64" s="132"/>
      <c r="DQ64" s="132"/>
      <c r="DR64" s="132"/>
      <c r="DS64" s="132"/>
      <c r="DT64" s="132"/>
      <c r="DU64" s="132"/>
      <c r="DV64" s="132"/>
      <c r="DW64" s="132"/>
      <c r="DX64" s="132"/>
      <c r="DY64" s="132"/>
      <c r="DZ64" s="132"/>
      <c r="EA64" s="132"/>
      <c r="EB64" s="132"/>
      <c r="EC64" s="132"/>
      <c r="ED64" s="132"/>
      <c r="EE64" s="132"/>
      <c r="EF64" s="132"/>
      <c r="EG64" s="132"/>
      <c r="EH64" s="132"/>
      <c r="EI64" s="132"/>
      <c r="EJ64" s="132"/>
      <c r="EK64" s="132"/>
      <c r="EL64" s="132"/>
      <c r="EM64" s="132"/>
      <c r="EN64" s="132"/>
      <c r="EO64" s="132"/>
      <c r="EP64" s="132"/>
      <c r="EQ64" s="132"/>
      <c r="ER64" s="132"/>
      <c r="ES64" s="132"/>
      <c r="ET64" s="11"/>
      <c r="EU64" s="11"/>
      <c r="EV64" s="11"/>
      <c r="EW64" s="11"/>
      <c r="EX64" s="11"/>
      <c r="EY64" s="11"/>
      <c r="EZ64" s="11"/>
      <c r="FA64" s="11"/>
      <c r="FB64" s="11"/>
      <c r="FC64" s="11"/>
      <c r="FD64" s="11"/>
      <c r="FE64" s="11"/>
      <c r="FF64" s="11"/>
      <c r="FG64" s="11"/>
      <c r="FH64" s="39">
        <f t="shared" si="2"/>
        <v>1941358.0666666667</v>
      </c>
      <c r="FI64" s="33">
        <f t="shared" si="3"/>
        <v>6</v>
      </c>
      <c r="FJ64" s="84">
        <f t="shared" si="4"/>
        <v>323559.67777777778</v>
      </c>
    </row>
    <row r="65" spans="1:166" ht="27" x14ac:dyDescent="0.25">
      <c r="A65" s="79" t="e">
        <f>#REF!</f>
        <v>#REF!</v>
      </c>
      <c r="B65" s="75" t="e">
        <f>#REF!</f>
        <v>#REF!</v>
      </c>
      <c r="C65" s="75" t="e">
        <f>#REF!</f>
        <v>#REF!</v>
      </c>
      <c r="D65" s="75" t="e">
        <f>#REF!</f>
        <v>#REF!</v>
      </c>
      <c r="E65" s="30">
        <v>1</v>
      </c>
      <c r="F65" s="238">
        <v>347658.5</v>
      </c>
      <c r="G65" s="241">
        <v>342363</v>
      </c>
      <c r="H65" s="249">
        <v>257238.33333333334</v>
      </c>
      <c r="I65" s="249">
        <v>0</v>
      </c>
      <c r="J65" s="249">
        <v>318953.71666666667</v>
      </c>
      <c r="K65" s="249">
        <v>312613</v>
      </c>
      <c r="L65" s="274">
        <f>AVERAGE(F65,H65,J65)</f>
        <v>307950.18333333335</v>
      </c>
      <c r="M65" s="274">
        <f>AVERAGE(G65,K65)*1.03</f>
        <v>337312.64</v>
      </c>
      <c r="N65" s="245"/>
      <c r="O65" s="113"/>
      <c r="P65" s="113"/>
      <c r="Q65" s="131"/>
      <c r="R65" s="131"/>
      <c r="S65" s="64"/>
      <c r="T65" s="113"/>
      <c r="U65" s="121"/>
      <c r="V65" s="113"/>
      <c r="W65" s="131"/>
      <c r="X65" s="131"/>
      <c r="Y65" s="11"/>
      <c r="Z65" s="113"/>
      <c r="AA65" s="113"/>
      <c r="AB65" s="113"/>
      <c r="AC65" s="52"/>
      <c r="AD65" s="52"/>
      <c r="AE65" s="11"/>
      <c r="AF65" s="118">
        <v>270000</v>
      </c>
      <c r="AG65" s="144">
        <f>AF65*19%</f>
        <v>51300</v>
      </c>
      <c r="AH65" s="113">
        <f>+AF65+AG65</f>
        <v>321300</v>
      </c>
      <c r="AI65" s="11"/>
      <c r="AJ65" s="11"/>
      <c r="AK65" s="39"/>
      <c r="AL65" s="113"/>
      <c r="AM65" s="113"/>
      <c r="AN65" s="119"/>
      <c r="AO65" s="76"/>
      <c r="AP65" s="39"/>
      <c r="AQ65" s="39"/>
      <c r="AR65" s="275">
        <v>676800</v>
      </c>
      <c r="AS65" s="113">
        <f>+AR65*0.19</f>
        <v>128592</v>
      </c>
      <c r="AT65" s="119">
        <f>+AR65+AS65</f>
        <v>805392</v>
      </c>
      <c r="AU65" s="62" t="s">
        <v>54</v>
      </c>
      <c r="AV65" s="62" t="s">
        <v>35</v>
      </c>
      <c r="AW65" s="31"/>
      <c r="AX65" s="116"/>
      <c r="AY65" s="116"/>
      <c r="AZ65" s="143"/>
      <c r="BA65" s="191"/>
      <c r="BB65" s="132"/>
      <c r="BC65" s="132"/>
      <c r="BD65" s="274"/>
      <c r="BE65" s="143"/>
      <c r="BF65" s="143"/>
      <c r="BG65" s="132"/>
      <c r="BH65" s="132"/>
      <c r="BI65" s="132"/>
      <c r="BJ65" s="143"/>
      <c r="BK65" s="143"/>
      <c r="BL65" s="143"/>
      <c r="BM65" s="132"/>
      <c r="BN65" s="132"/>
      <c r="BO65" s="132"/>
      <c r="BP65" s="143"/>
      <c r="BQ65" s="132"/>
      <c r="BR65" s="132"/>
      <c r="BS65" s="132"/>
      <c r="BT65" s="132"/>
      <c r="BU65" s="132"/>
      <c r="BV65" s="263">
        <v>447900</v>
      </c>
      <c r="BW65" s="144">
        <f t="shared" si="23"/>
        <v>85101</v>
      </c>
      <c r="BX65" s="113">
        <f t="shared" si="24"/>
        <v>533001</v>
      </c>
      <c r="BY65" s="264" t="s">
        <v>56</v>
      </c>
      <c r="BZ65" s="264" t="s">
        <v>88</v>
      </c>
      <c r="CA65" s="132"/>
      <c r="CB65" s="274"/>
      <c r="CC65" s="144"/>
      <c r="CD65" s="274"/>
      <c r="CE65" s="132"/>
      <c r="CF65" s="132"/>
      <c r="CG65" s="132"/>
      <c r="CH65" s="263">
        <v>456858</v>
      </c>
      <c r="CI65" s="265">
        <f t="shared" si="25"/>
        <v>86803.02</v>
      </c>
      <c r="CJ65" s="263">
        <f t="shared" si="26"/>
        <v>543661.02</v>
      </c>
      <c r="CK65" s="264" t="s">
        <v>56</v>
      </c>
      <c r="CL65" s="264" t="s">
        <v>88</v>
      </c>
      <c r="CM65" s="132"/>
      <c r="CN65" s="274"/>
      <c r="CO65" s="144"/>
      <c r="CP65" s="274"/>
      <c r="CQ65" s="132"/>
      <c r="CR65" s="132"/>
      <c r="CS65" s="132"/>
      <c r="CT65" s="274"/>
      <c r="CU65" s="144"/>
      <c r="CV65" s="144"/>
      <c r="CW65" s="132"/>
      <c r="CX65" s="132"/>
      <c r="CY65" s="132"/>
      <c r="CZ65" s="118">
        <v>185931</v>
      </c>
      <c r="DA65" s="144">
        <f>+CZ65*0.19</f>
        <v>35326.89</v>
      </c>
      <c r="DB65" s="118">
        <f>+CZ65+DA65</f>
        <v>221257.89</v>
      </c>
      <c r="DC65" s="33" t="s">
        <v>165</v>
      </c>
      <c r="DD65" s="39" t="s">
        <v>58</v>
      </c>
      <c r="DE65" s="11">
        <v>1142660100</v>
      </c>
      <c r="DF65" s="132"/>
      <c r="DG65" s="132"/>
      <c r="DH65" s="132"/>
      <c r="DI65" s="132"/>
      <c r="DJ65" s="132"/>
      <c r="DK65" s="132"/>
      <c r="DL65" s="132"/>
      <c r="DM65" s="132"/>
      <c r="DN65" s="132"/>
      <c r="DO65" s="132"/>
      <c r="DP65" s="132"/>
      <c r="DQ65" s="132"/>
      <c r="DR65" s="132"/>
      <c r="DS65" s="132"/>
      <c r="DT65" s="132"/>
      <c r="DU65" s="132"/>
      <c r="DV65" s="132"/>
      <c r="DW65" s="132"/>
      <c r="DX65" s="132"/>
      <c r="DY65" s="132"/>
      <c r="DZ65" s="132"/>
      <c r="EA65" s="132"/>
      <c r="EB65" s="132"/>
      <c r="EC65" s="132"/>
      <c r="ED65" s="132"/>
      <c r="EE65" s="132"/>
      <c r="EF65" s="132"/>
      <c r="EG65" s="132"/>
      <c r="EH65" s="132"/>
      <c r="EI65" s="132"/>
      <c r="EJ65" s="132"/>
      <c r="EK65" s="132"/>
      <c r="EL65" s="132"/>
      <c r="EM65" s="132"/>
      <c r="EN65" s="132"/>
      <c r="EO65" s="132"/>
      <c r="EP65" s="132"/>
      <c r="EQ65" s="132"/>
      <c r="ER65" s="132"/>
      <c r="ES65" s="132"/>
      <c r="ET65" s="11"/>
      <c r="EU65" s="11"/>
      <c r="EV65" s="11"/>
      <c r="EW65" s="11"/>
      <c r="EX65" s="11"/>
      <c r="EY65" s="11"/>
      <c r="EZ65" s="11"/>
      <c r="FA65" s="11"/>
      <c r="FB65" s="11"/>
      <c r="FC65" s="11"/>
      <c r="FD65" s="11"/>
      <c r="FE65" s="11"/>
      <c r="FF65" s="11"/>
      <c r="FG65" s="11"/>
      <c r="FH65" s="39">
        <f t="shared" si="2"/>
        <v>2761924.5500000003</v>
      </c>
      <c r="FI65" s="33">
        <f t="shared" si="3"/>
        <v>6</v>
      </c>
      <c r="FJ65" s="84">
        <f t="shared" si="4"/>
        <v>460320.75833333336</v>
      </c>
    </row>
    <row r="66" spans="1:166" ht="27" x14ac:dyDescent="0.25">
      <c r="A66" s="79" t="e">
        <f>#REF!</f>
        <v>#REF!</v>
      </c>
      <c r="B66" s="75" t="e">
        <f>#REF!</f>
        <v>#REF!</v>
      </c>
      <c r="C66" s="75" t="e">
        <f>#REF!</f>
        <v>#REF!</v>
      </c>
      <c r="D66" s="75" t="e">
        <f>#REF!</f>
        <v>#REF!</v>
      </c>
      <c r="E66" s="30">
        <v>1</v>
      </c>
      <c r="F66" s="238">
        <v>171908.39166666666</v>
      </c>
      <c r="G66" s="241">
        <v>167552</v>
      </c>
      <c r="H66" s="249">
        <v>326899.35618760419</v>
      </c>
      <c r="I66" s="249">
        <v>297500</v>
      </c>
      <c r="J66" s="249">
        <v>309460.21399999998</v>
      </c>
      <c r="K66" s="249">
        <v>301665</v>
      </c>
      <c r="L66" s="274">
        <f>AVERAGE(F66,H66,J66)</f>
        <v>269422.65395142365</v>
      </c>
      <c r="M66" s="274">
        <f>AVERAGE(G66,I66,K66)*1.03</f>
        <v>263239.50333333336</v>
      </c>
      <c r="N66" s="245"/>
      <c r="O66" s="113"/>
      <c r="P66" s="113"/>
      <c r="Q66" s="131"/>
      <c r="R66" s="131"/>
      <c r="S66" s="64"/>
      <c r="T66" s="113"/>
      <c r="U66" s="113"/>
      <c r="V66" s="113"/>
      <c r="W66" s="131"/>
      <c r="X66" s="131"/>
      <c r="Y66" s="11"/>
      <c r="Z66" s="113"/>
      <c r="AA66" s="113"/>
      <c r="AB66" s="113"/>
      <c r="AC66" s="52"/>
      <c r="AD66" s="52"/>
      <c r="AE66" s="11"/>
      <c r="AF66" s="118">
        <v>300000</v>
      </c>
      <c r="AG66" s="144">
        <f>AF66*19%</f>
        <v>57000</v>
      </c>
      <c r="AH66" s="113">
        <f>+AF66+AG66</f>
        <v>357000</v>
      </c>
      <c r="AI66" s="11"/>
      <c r="AJ66" s="11"/>
      <c r="AK66" s="39"/>
      <c r="AL66" s="113">
        <v>224000</v>
      </c>
      <c r="AM66" s="113">
        <f>+AL66*0.19</f>
        <v>42560</v>
      </c>
      <c r="AN66" s="119">
        <f>+AL66+AM66</f>
        <v>266560</v>
      </c>
      <c r="AO66" s="76" t="s">
        <v>60</v>
      </c>
      <c r="AP66" s="266" t="s">
        <v>45</v>
      </c>
      <c r="AQ66" s="39"/>
      <c r="AR66" s="275">
        <v>151200</v>
      </c>
      <c r="AS66" s="113">
        <f>+AR66*0.19</f>
        <v>28728</v>
      </c>
      <c r="AT66" s="119">
        <f>+AR66+AS66</f>
        <v>179928</v>
      </c>
      <c r="AU66" s="62" t="s">
        <v>54</v>
      </c>
      <c r="AV66" s="62" t="s">
        <v>35</v>
      </c>
      <c r="AW66" s="31"/>
      <c r="AX66" s="116">
        <f>649191.57/5</f>
        <v>129838.31399999998</v>
      </c>
      <c r="AY66" s="116">
        <f>+AX66*0.19</f>
        <v>24669.279659999997</v>
      </c>
      <c r="AZ66" s="143">
        <f>+AX66+AY66</f>
        <v>154507.59365999998</v>
      </c>
      <c r="BA66" s="191" t="s">
        <v>60</v>
      </c>
      <c r="BB66" s="132" t="s">
        <v>70</v>
      </c>
      <c r="BC66" s="132"/>
      <c r="BD66" s="274"/>
      <c r="BE66" s="143"/>
      <c r="BF66" s="143"/>
      <c r="BG66" s="132"/>
      <c r="BH66" s="132"/>
      <c r="BI66" s="132"/>
      <c r="BJ66" s="143"/>
      <c r="BK66" s="143"/>
      <c r="BL66" s="143"/>
      <c r="BM66" s="132"/>
      <c r="BN66" s="132"/>
      <c r="BO66" s="132"/>
      <c r="BP66" s="143"/>
      <c r="BQ66" s="132"/>
      <c r="BR66" s="132"/>
      <c r="BS66" s="132"/>
      <c r="BT66" s="132"/>
      <c r="BU66" s="132"/>
      <c r="BV66" s="263">
        <v>329700</v>
      </c>
      <c r="BW66" s="144">
        <f t="shared" si="23"/>
        <v>62643</v>
      </c>
      <c r="BX66" s="113">
        <f t="shared" si="24"/>
        <v>392343</v>
      </c>
      <c r="BY66" s="264" t="s">
        <v>56</v>
      </c>
      <c r="BZ66" s="264" t="s">
        <v>63</v>
      </c>
      <c r="CA66" s="132"/>
      <c r="CB66" s="274"/>
      <c r="CC66" s="144"/>
      <c r="CD66" s="274"/>
      <c r="CE66" s="132"/>
      <c r="CF66" s="132"/>
      <c r="CG66" s="132"/>
      <c r="CH66" s="263">
        <v>332997</v>
      </c>
      <c r="CI66" s="265">
        <f t="shared" si="25"/>
        <v>63269.43</v>
      </c>
      <c r="CJ66" s="263">
        <f t="shared" si="26"/>
        <v>396266.43</v>
      </c>
      <c r="CK66" s="264" t="s">
        <v>56</v>
      </c>
      <c r="CL66" s="264" t="s">
        <v>63</v>
      </c>
      <c r="CM66" s="132"/>
      <c r="CN66" s="274"/>
      <c r="CO66" s="144"/>
      <c r="CP66" s="274"/>
      <c r="CQ66" s="132"/>
      <c r="CR66" s="132"/>
      <c r="CS66" s="132"/>
      <c r="CT66" s="274">
        <v>1446250</v>
      </c>
      <c r="CU66" s="144">
        <v>274787.5</v>
      </c>
      <c r="CV66" s="144">
        <f>+CT66+CU66</f>
        <v>1721037.5</v>
      </c>
      <c r="CW66" s="132"/>
      <c r="CX66" s="132"/>
      <c r="CY66" s="132"/>
      <c r="CZ66" s="118"/>
      <c r="DA66" s="144"/>
      <c r="DB66" s="118"/>
      <c r="DC66" s="33"/>
      <c r="DD66" s="39"/>
      <c r="DE66" s="11"/>
      <c r="DF66" s="132"/>
      <c r="DG66" s="132"/>
      <c r="DH66" s="132"/>
      <c r="DI66" s="132"/>
      <c r="DJ66" s="132"/>
      <c r="DK66" s="132"/>
      <c r="DL66" s="132"/>
      <c r="DM66" s="132"/>
      <c r="DN66" s="132"/>
      <c r="DO66" s="132"/>
      <c r="DP66" s="132"/>
      <c r="DQ66" s="132"/>
      <c r="DR66" s="132"/>
      <c r="DS66" s="132"/>
      <c r="DT66" s="132"/>
      <c r="DU66" s="132"/>
      <c r="DV66" s="132"/>
      <c r="DW66" s="132"/>
      <c r="DX66" s="132"/>
      <c r="DY66" s="132"/>
      <c r="DZ66" s="132"/>
      <c r="EA66" s="132"/>
      <c r="EB66" s="132"/>
      <c r="EC66" s="132"/>
      <c r="ED66" s="132"/>
      <c r="EE66" s="132"/>
      <c r="EF66" s="132"/>
      <c r="EG66" s="132"/>
      <c r="EH66" s="132"/>
      <c r="EI66" s="132"/>
      <c r="EJ66" s="132"/>
      <c r="EK66" s="132"/>
      <c r="EL66" s="132"/>
      <c r="EM66" s="132"/>
      <c r="EN66" s="132"/>
      <c r="EO66" s="132"/>
      <c r="EP66" s="132"/>
      <c r="EQ66" s="132"/>
      <c r="ER66" s="132"/>
      <c r="ES66" s="132"/>
      <c r="ET66" s="11"/>
      <c r="EU66" s="11"/>
      <c r="EV66" s="11"/>
      <c r="EW66" s="11"/>
      <c r="EX66" s="11"/>
      <c r="EY66" s="11"/>
      <c r="EZ66" s="11"/>
      <c r="FA66" s="11"/>
      <c r="FB66" s="11"/>
      <c r="FC66" s="11"/>
      <c r="FD66" s="11"/>
      <c r="FE66" s="11"/>
      <c r="FF66" s="11"/>
      <c r="FG66" s="11"/>
      <c r="FH66" s="39">
        <f t="shared" si="2"/>
        <v>3730882.0269933334</v>
      </c>
      <c r="FI66" s="33">
        <f t="shared" si="3"/>
        <v>8</v>
      </c>
      <c r="FJ66" s="84">
        <f t="shared" si="4"/>
        <v>466360.25337416667</v>
      </c>
    </row>
    <row r="67" spans="1:166" ht="27" x14ac:dyDescent="0.25">
      <c r="A67" s="79" t="e">
        <f>#REF!</f>
        <v>#REF!</v>
      </c>
      <c r="B67" s="75" t="e">
        <f>#REF!</f>
        <v>#REF!</v>
      </c>
      <c r="C67" s="75" t="e">
        <f>#REF!</f>
        <v>#REF!</v>
      </c>
      <c r="D67" s="75" t="e">
        <f>#REF!</f>
        <v>#REF!</v>
      </c>
      <c r="E67" s="30">
        <v>1</v>
      </c>
      <c r="F67" s="238">
        <v>0</v>
      </c>
      <c r="G67" s="241">
        <v>0</v>
      </c>
      <c r="H67" s="249">
        <v>209440</v>
      </c>
      <c r="I67" s="249">
        <v>0</v>
      </c>
      <c r="J67" s="249">
        <v>175385</v>
      </c>
      <c r="K67" s="249">
        <v>0</v>
      </c>
      <c r="L67" s="274">
        <f>AVERAGE(H67,J67)</f>
        <v>192412.5</v>
      </c>
      <c r="M67" s="274"/>
      <c r="N67" s="245"/>
      <c r="O67" s="113"/>
      <c r="P67" s="113"/>
      <c r="Q67" s="131"/>
      <c r="R67" s="131"/>
      <c r="S67" s="64"/>
      <c r="T67" s="121">
        <v>418000</v>
      </c>
      <c r="U67" s="118">
        <f>+T67*0.19</f>
        <v>79420</v>
      </c>
      <c r="V67" s="113">
        <f>+U67+T67</f>
        <v>497420</v>
      </c>
      <c r="W67" s="131" t="s">
        <v>44</v>
      </c>
      <c r="X67" s="131" t="s">
        <v>166</v>
      </c>
      <c r="Y67" s="11"/>
      <c r="Z67" s="113"/>
      <c r="AA67" s="113"/>
      <c r="AB67" s="113"/>
      <c r="AC67" s="52"/>
      <c r="AD67" s="52"/>
      <c r="AE67" s="11"/>
      <c r="AF67" s="118"/>
      <c r="AG67" s="144"/>
      <c r="AH67" s="113"/>
      <c r="AI67" s="11"/>
      <c r="AJ67" s="11"/>
      <c r="AK67" s="39"/>
      <c r="AL67" s="113"/>
      <c r="AM67" s="113"/>
      <c r="AN67" s="119"/>
      <c r="AO67" s="76"/>
      <c r="AP67" s="39"/>
      <c r="AQ67" s="39"/>
      <c r="AR67" s="275"/>
      <c r="AS67" s="155"/>
      <c r="AT67" s="157"/>
      <c r="AU67" s="62"/>
      <c r="AV67" s="62"/>
      <c r="AW67" s="31"/>
      <c r="AX67" s="116"/>
      <c r="AY67" s="196"/>
      <c r="AZ67" s="143"/>
      <c r="BA67" s="191"/>
      <c r="BB67" s="132"/>
      <c r="BC67" s="132"/>
      <c r="BD67" s="274"/>
      <c r="BE67" s="143"/>
      <c r="BF67" s="143"/>
      <c r="BG67" s="132"/>
      <c r="BH67" s="132"/>
      <c r="BI67" s="132"/>
      <c r="BJ67" s="143"/>
      <c r="BK67" s="143"/>
      <c r="BL67" s="143"/>
      <c r="BM67" s="132"/>
      <c r="BN67" s="132"/>
      <c r="BO67" s="132"/>
      <c r="BP67" s="143"/>
      <c r="BQ67" s="132"/>
      <c r="BR67" s="132"/>
      <c r="BS67" s="132"/>
      <c r="BT67" s="132"/>
      <c r="BU67" s="132"/>
      <c r="BV67" s="263">
        <v>297800</v>
      </c>
      <c r="BW67" s="144">
        <f t="shared" si="23"/>
        <v>56582</v>
      </c>
      <c r="BX67" s="113">
        <f t="shared" si="24"/>
        <v>354382</v>
      </c>
      <c r="BY67" s="264" t="s">
        <v>47</v>
      </c>
      <c r="BZ67" s="264" t="s">
        <v>37</v>
      </c>
      <c r="CA67" s="132"/>
      <c r="CB67" s="274"/>
      <c r="CC67" s="144"/>
      <c r="CD67" s="274"/>
      <c r="CE67" s="132"/>
      <c r="CF67" s="132"/>
      <c r="CG67" s="132"/>
      <c r="CH67" s="263">
        <v>312690</v>
      </c>
      <c r="CI67" s="265">
        <f t="shared" si="25"/>
        <v>59411.1</v>
      </c>
      <c r="CJ67" s="263">
        <f t="shared" si="26"/>
        <v>372101.1</v>
      </c>
      <c r="CK67" s="264" t="s">
        <v>47</v>
      </c>
      <c r="CL67" s="264" t="s">
        <v>37</v>
      </c>
      <c r="CM67" s="132"/>
      <c r="CN67" s="274"/>
      <c r="CO67" s="144"/>
      <c r="CP67" s="274"/>
      <c r="CQ67" s="132"/>
      <c r="CR67" s="132"/>
      <c r="CS67" s="132"/>
      <c r="CT67" s="274"/>
      <c r="CU67" s="144"/>
      <c r="CV67" s="144"/>
      <c r="CW67" s="132"/>
      <c r="CX67" s="132"/>
      <c r="CY67" s="132"/>
      <c r="CZ67" s="118"/>
      <c r="DA67" s="144"/>
      <c r="DB67" s="118"/>
      <c r="DC67" s="33"/>
      <c r="DD67" s="39"/>
      <c r="DE67" s="11"/>
      <c r="DF67" s="132"/>
      <c r="DG67" s="132"/>
      <c r="DH67" s="132"/>
      <c r="DI67" s="132"/>
      <c r="DJ67" s="132"/>
      <c r="DK67" s="132"/>
      <c r="DL67" s="132"/>
      <c r="DM67" s="132"/>
      <c r="DN67" s="132"/>
      <c r="DO67" s="132"/>
      <c r="DP67" s="132"/>
      <c r="DQ67" s="132"/>
      <c r="DR67" s="132"/>
      <c r="DS67" s="132"/>
      <c r="DT67" s="132"/>
      <c r="DU67" s="132"/>
      <c r="DV67" s="132"/>
      <c r="DW67" s="132"/>
      <c r="DX67" s="132"/>
      <c r="DY67" s="132"/>
      <c r="DZ67" s="132"/>
      <c r="EA67" s="132"/>
      <c r="EB67" s="132"/>
      <c r="EC67" s="132"/>
      <c r="ED67" s="132"/>
      <c r="EE67" s="132"/>
      <c r="EF67" s="132"/>
      <c r="EG67" s="132"/>
      <c r="EH67" s="132"/>
      <c r="EI67" s="132"/>
      <c r="EJ67" s="132"/>
      <c r="EK67" s="132"/>
      <c r="EL67" s="132"/>
      <c r="EM67" s="132"/>
      <c r="EN67" s="132"/>
      <c r="EO67" s="132"/>
      <c r="EP67" s="132"/>
      <c r="EQ67" s="132"/>
      <c r="ER67" s="132"/>
      <c r="ES67" s="132"/>
      <c r="ET67" s="11"/>
      <c r="EU67" s="11"/>
      <c r="EV67" s="11"/>
      <c r="EW67" s="11"/>
      <c r="EX67" s="11"/>
      <c r="EY67" s="11"/>
      <c r="EZ67" s="11"/>
      <c r="FA67" s="11"/>
      <c r="FB67" s="11"/>
      <c r="FC67" s="11"/>
      <c r="FD67" s="11"/>
      <c r="FE67" s="11"/>
      <c r="FF67" s="11"/>
      <c r="FG67" s="11"/>
      <c r="FH67" s="39">
        <f t="shared" ref="FH67:FH130" si="27">SUM(M67,P67,V67,AB67,AH67,AN67,AT67,AZ67,BF67,BL67,BR67,BX67,CD67,CJ67,CP67,CV67,DB67,DH67,DN67,DT67,DZ67,EF67,EL67,ER67,EX67,FD67)</f>
        <v>1223903.1000000001</v>
      </c>
      <c r="FI67" s="33">
        <f t="shared" ref="FI67:FI130" si="28">COUNTA(M67,N67,T67,Z67,AF67,AL67,AR67,AX67,BD67,BJ67,BP67,BV67,CB67,CH67,CN67,CT67,CZ67,DF67,DL67,DR67,DX67,ED67,EJ67,EP67,EV67,FB67)</f>
        <v>3</v>
      </c>
      <c r="FJ67" s="84">
        <f t="shared" ref="FJ67:FJ130" si="29">IFERROR(FH67/FI67," ")</f>
        <v>407967.7</v>
      </c>
    </row>
    <row r="68" spans="1:166" ht="40.5" x14ac:dyDescent="0.25">
      <c r="A68" s="79" t="e">
        <f>#REF!</f>
        <v>#REF!</v>
      </c>
      <c r="B68" s="75" t="e">
        <f>#REF!</f>
        <v>#REF!</v>
      </c>
      <c r="C68" s="75" t="e">
        <f>#REF!</f>
        <v>#REF!</v>
      </c>
      <c r="D68" s="75" t="e">
        <f>#REF!</f>
        <v>#REF!</v>
      </c>
      <c r="E68" s="30">
        <v>1</v>
      </c>
      <c r="F68" s="238">
        <v>0</v>
      </c>
      <c r="G68" s="241">
        <v>0</v>
      </c>
      <c r="H68" s="249">
        <v>0</v>
      </c>
      <c r="I68" s="249">
        <v>0</v>
      </c>
      <c r="J68" s="249">
        <v>0</v>
      </c>
      <c r="K68" s="249">
        <v>0</v>
      </c>
      <c r="L68" s="274"/>
      <c r="M68" s="274"/>
      <c r="N68" s="245"/>
      <c r="O68" s="113"/>
      <c r="P68" s="113"/>
      <c r="Q68" s="131"/>
      <c r="R68" s="131"/>
      <c r="S68" s="64"/>
      <c r="T68" s="113"/>
      <c r="U68" s="113"/>
      <c r="V68" s="113"/>
      <c r="W68" s="131"/>
      <c r="X68" s="131"/>
      <c r="Y68" s="11"/>
      <c r="Z68" s="113"/>
      <c r="AA68" s="113"/>
      <c r="AB68" s="113"/>
      <c r="AC68" s="131"/>
      <c r="AD68" s="52"/>
      <c r="AE68" s="11"/>
      <c r="AF68" s="118">
        <v>110000</v>
      </c>
      <c r="AG68" s="144">
        <f>AF68*19%</f>
        <v>20900</v>
      </c>
      <c r="AH68" s="113">
        <f>+AF68+AG68</f>
        <v>130900</v>
      </c>
      <c r="AI68" s="11"/>
      <c r="AJ68" s="11"/>
      <c r="AK68" s="39"/>
      <c r="AL68" s="113">
        <v>109000</v>
      </c>
      <c r="AM68" s="113">
        <f>+AL68*0.19</f>
        <v>20710</v>
      </c>
      <c r="AN68" s="119">
        <f>+AL68+AM68</f>
        <v>129710</v>
      </c>
      <c r="AO68" s="76" t="s">
        <v>49</v>
      </c>
      <c r="AP68" s="266" t="s">
        <v>45</v>
      </c>
      <c r="AQ68" s="39"/>
      <c r="AR68" s="275"/>
      <c r="AS68" s="156"/>
      <c r="AT68" s="157"/>
      <c r="AU68" s="62"/>
      <c r="AV68" s="62"/>
      <c r="AW68" s="31"/>
      <c r="AX68" s="116"/>
      <c r="AY68" s="116"/>
      <c r="AZ68" s="143"/>
      <c r="BA68" s="191"/>
      <c r="BB68" s="132"/>
      <c r="BC68" s="132"/>
      <c r="BD68" s="274"/>
      <c r="BE68" s="143"/>
      <c r="BF68" s="143"/>
      <c r="BG68" s="132"/>
      <c r="BH68" s="132"/>
      <c r="BI68" s="132"/>
      <c r="BJ68" s="143"/>
      <c r="BK68" s="143"/>
      <c r="BL68" s="143"/>
      <c r="BM68" s="132"/>
      <c r="BN68" s="132"/>
      <c r="BO68" s="132"/>
      <c r="BP68" s="143"/>
      <c r="BQ68" s="132"/>
      <c r="BR68" s="132"/>
      <c r="BS68" s="132"/>
      <c r="BT68" s="132"/>
      <c r="BU68" s="132"/>
      <c r="BV68" s="263">
        <v>305200</v>
      </c>
      <c r="BW68" s="144">
        <f t="shared" si="23"/>
        <v>57988</v>
      </c>
      <c r="BX68" s="113">
        <f t="shared" si="24"/>
        <v>363188</v>
      </c>
      <c r="BY68" s="264" t="s">
        <v>65</v>
      </c>
      <c r="BZ68" s="264" t="s">
        <v>111</v>
      </c>
      <c r="CA68" s="132"/>
      <c r="CB68" s="274"/>
      <c r="CC68" s="144"/>
      <c r="CD68" s="274"/>
      <c r="CE68" s="132"/>
      <c r="CF68" s="132"/>
      <c r="CG68" s="132"/>
      <c r="CH68" s="263">
        <v>317408</v>
      </c>
      <c r="CI68" s="265">
        <f t="shared" si="25"/>
        <v>60307.520000000004</v>
      </c>
      <c r="CJ68" s="263">
        <f t="shared" si="26"/>
        <v>377715.52</v>
      </c>
      <c r="CK68" s="264" t="s">
        <v>65</v>
      </c>
      <c r="CL68" s="264" t="s">
        <v>111</v>
      </c>
      <c r="CM68" s="132"/>
      <c r="CN68" s="274"/>
      <c r="CO68" s="144"/>
      <c r="CP68" s="274"/>
      <c r="CQ68" s="132"/>
      <c r="CR68" s="132"/>
      <c r="CS68" s="132"/>
      <c r="CT68" s="274"/>
      <c r="CU68" s="144"/>
      <c r="CV68" s="144"/>
      <c r="CW68" s="132"/>
      <c r="CX68" s="132"/>
      <c r="CY68" s="132"/>
      <c r="CZ68" s="118">
        <v>413241</v>
      </c>
      <c r="DA68" s="144">
        <f>+CZ68*0.19</f>
        <v>78515.790000000008</v>
      </c>
      <c r="DB68" s="118">
        <f>+CZ68+DA68</f>
        <v>491756.79000000004</v>
      </c>
      <c r="DC68" s="33" t="s">
        <v>67</v>
      </c>
      <c r="DD68" s="39" t="s">
        <v>58</v>
      </c>
      <c r="DE68" s="11" t="s">
        <v>167</v>
      </c>
      <c r="DF68" s="132"/>
      <c r="DG68" s="132"/>
      <c r="DH68" s="132"/>
      <c r="DI68" s="132"/>
      <c r="DJ68" s="132"/>
      <c r="DK68" s="132"/>
      <c r="DL68" s="132"/>
      <c r="DM68" s="132"/>
      <c r="DN68" s="132"/>
      <c r="DO68" s="132"/>
      <c r="DP68" s="132"/>
      <c r="DQ68" s="132"/>
      <c r="DR68" s="132"/>
      <c r="DS68" s="132"/>
      <c r="DT68" s="132"/>
      <c r="DU68" s="132"/>
      <c r="DV68" s="132"/>
      <c r="DW68" s="132"/>
      <c r="DX68" s="132"/>
      <c r="DY68" s="132"/>
      <c r="DZ68" s="132"/>
      <c r="EA68" s="132"/>
      <c r="EB68" s="132"/>
      <c r="EC68" s="132"/>
      <c r="ED68" s="132"/>
      <c r="EE68" s="132"/>
      <c r="EF68" s="132"/>
      <c r="EG68" s="132"/>
      <c r="EH68" s="132"/>
      <c r="EI68" s="132"/>
      <c r="EJ68" s="132"/>
      <c r="EK68" s="132"/>
      <c r="EL68" s="132"/>
      <c r="EM68" s="132"/>
      <c r="EN68" s="132"/>
      <c r="EO68" s="132"/>
      <c r="EP68" s="132"/>
      <c r="EQ68" s="132"/>
      <c r="ER68" s="132"/>
      <c r="ES68" s="132"/>
      <c r="ET68" s="11"/>
      <c r="EU68" s="11"/>
      <c r="EV68" s="11"/>
      <c r="EW68" s="11"/>
      <c r="EX68" s="11"/>
      <c r="EY68" s="11"/>
      <c r="EZ68" s="11"/>
      <c r="FA68" s="11"/>
      <c r="FB68" s="11"/>
      <c r="FC68" s="11"/>
      <c r="FD68" s="11"/>
      <c r="FE68" s="11"/>
      <c r="FF68" s="11"/>
      <c r="FG68" s="11"/>
      <c r="FH68" s="39">
        <f t="shared" si="27"/>
        <v>1493270.31</v>
      </c>
      <c r="FI68" s="33">
        <f t="shared" si="28"/>
        <v>5</v>
      </c>
      <c r="FJ68" s="84">
        <f t="shared" si="29"/>
        <v>298654.06200000003</v>
      </c>
    </row>
    <row r="69" spans="1:166" ht="25.5" x14ac:dyDescent="0.25">
      <c r="A69" s="79" t="e">
        <f>#REF!</f>
        <v>#REF!</v>
      </c>
      <c r="B69" s="75" t="e">
        <f>#REF!</f>
        <v>#REF!</v>
      </c>
      <c r="C69" s="75" t="e">
        <f>#REF!</f>
        <v>#REF!</v>
      </c>
      <c r="D69" s="75" t="e">
        <f>#REF!</f>
        <v>#REF!</v>
      </c>
      <c r="E69" s="30">
        <v>1</v>
      </c>
      <c r="F69" s="238">
        <v>273210.61249999999</v>
      </c>
      <c r="G69" s="241">
        <v>273105</v>
      </c>
      <c r="H69" s="249">
        <v>293610.53378696425</v>
      </c>
      <c r="I69" s="249">
        <v>293573</v>
      </c>
      <c r="J69" s="249">
        <v>226512.05</v>
      </c>
      <c r="K69" s="249">
        <v>0</v>
      </c>
      <c r="L69" s="274">
        <f>AVERAGE(F69,H69,J69)</f>
        <v>264444.39876232139</v>
      </c>
      <c r="M69" s="274">
        <f>AVERAGE(G69,I69)*1.03</f>
        <v>291839.17</v>
      </c>
      <c r="N69" s="245"/>
      <c r="O69" s="117"/>
      <c r="P69" s="113"/>
      <c r="Q69" s="131"/>
      <c r="R69" s="131"/>
      <c r="S69" s="64"/>
      <c r="T69" s="113"/>
      <c r="U69" s="113"/>
      <c r="V69" s="113"/>
      <c r="W69" s="131"/>
      <c r="X69" s="131"/>
      <c r="Y69" s="11"/>
      <c r="Z69" s="113"/>
      <c r="AA69" s="113"/>
      <c r="AB69" s="113"/>
      <c r="AC69" s="52"/>
      <c r="AD69" s="52"/>
      <c r="AE69" s="11"/>
      <c r="AF69" s="118">
        <v>220000</v>
      </c>
      <c r="AG69" s="144">
        <f>AF69*19%</f>
        <v>41800</v>
      </c>
      <c r="AH69" s="113">
        <f>+AF69+AG69</f>
        <v>261800</v>
      </c>
      <c r="AI69" s="11"/>
      <c r="AJ69" s="11"/>
      <c r="AK69" s="39"/>
      <c r="AL69" s="113"/>
      <c r="AM69" s="113"/>
      <c r="AN69" s="117"/>
      <c r="AO69" s="76"/>
      <c r="AP69" s="39"/>
      <c r="AQ69" s="39"/>
      <c r="AR69" s="275">
        <v>468000</v>
      </c>
      <c r="AS69" s="113">
        <f>+AR69*0</f>
        <v>0</v>
      </c>
      <c r="AT69" s="119">
        <f>+AR69+AS69</f>
        <v>468000</v>
      </c>
      <c r="AU69" s="62" t="s">
        <v>109</v>
      </c>
      <c r="AV69" s="62" t="s">
        <v>35</v>
      </c>
      <c r="AW69" s="31"/>
      <c r="AX69" s="116"/>
      <c r="AY69" s="196"/>
      <c r="AZ69" s="143"/>
      <c r="BA69" s="191"/>
      <c r="BB69" s="132"/>
      <c r="BC69" s="132"/>
      <c r="BD69" s="274"/>
      <c r="BE69" s="143"/>
      <c r="BF69" s="143"/>
      <c r="BG69" s="132"/>
      <c r="BH69" s="132"/>
      <c r="BI69" s="132"/>
      <c r="BJ69" s="143"/>
      <c r="BK69" s="143"/>
      <c r="BL69" s="143"/>
      <c r="BM69" s="132"/>
      <c r="BN69" s="132"/>
      <c r="BO69" s="132"/>
      <c r="BP69" s="143"/>
      <c r="BQ69" s="132"/>
      <c r="BR69" s="132"/>
      <c r="BS69" s="132"/>
      <c r="BT69" s="132"/>
      <c r="BU69" s="132"/>
      <c r="BV69" s="263">
        <v>485100</v>
      </c>
      <c r="BW69" s="144">
        <f>BV69*0</f>
        <v>0</v>
      </c>
      <c r="BX69" s="113">
        <f t="shared" si="24"/>
        <v>485100</v>
      </c>
      <c r="BY69" s="264" t="s">
        <v>110</v>
      </c>
      <c r="BZ69" s="264" t="s">
        <v>101</v>
      </c>
      <c r="CA69" s="132"/>
      <c r="CB69" s="274"/>
      <c r="CC69" s="144"/>
      <c r="CD69" s="274"/>
      <c r="CE69" s="132"/>
      <c r="CF69" s="132"/>
      <c r="CG69" s="132"/>
      <c r="CH69" s="263">
        <v>509355</v>
      </c>
      <c r="CI69" s="265">
        <f>+CH69*0</f>
        <v>0</v>
      </c>
      <c r="CJ69" s="263">
        <f t="shared" si="26"/>
        <v>509355</v>
      </c>
      <c r="CK69" s="264" t="s">
        <v>110</v>
      </c>
      <c r="CL69" s="264" t="s">
        <v>101</v>
      </c>
      <c r="CM69" s="132"/>
      <c r="CN69" s="274"/>
      <c r="CO69" s="144"/>
      <c r="CP69" s="274"/>
      <c r="CQ69" s="132"/>
      <c r="CR69" s="132"/>
      <c r="CS69" s="132"/>
      <c r="CT69" s="144">
        <v>419000</v>
      </c>
      <c r="CU69" s="144">
        <v>79610</v>
      </c>
      <c r="CV69" s="144">
        <f>+CT69+CU69</f>
        <v>498610</v>
      </c>
      <c r="CW69" s="132"/>
      <c r="CX69" s="132"/>
      <c r="CY69" s="132"/>
      <c r="CZ69" s="118">
        <v>300011</v>
      </c>
      <c r="DA69" s="144">
        <v>0</v>
      </c>
      <c r="DB69" s="118">
        <v>300011</v>
      </c>
      <c r="DC69" s="33" t="s">
        <v>168</v>
      </c>
      <c r="DD69" s="39" t="s">
        <v>103</v>
      </c>
      <c r="DE69" s="11" t="s">
        <v>169</v>
      </c>
      <c r="DF69" s="132"/>
      <c r="DG69" s="132"/>
      <c r="DH69" s="132"/>
      <c r="DI69" s="132"/>
      <c r="DJ69" s="132"/>
      <c r="DK69" s="132"/>
      <c r="DL69" s="132"/>
      <c r="DM69" s="132"/>
      <c r="DN69" s="132"/>
      <c r="DO69" s="132"/>
      <c r="DP69" s="132"/>
      <c r="DQ69" s="132"/>
      <c r="DR69" s="132"/>
      <c r="DS69" s="132"/>
      <c r="DT69" s="132"/>
      <c r="DU69" s="132"/>
      <c r="DV69" s="132"/>
      <c r="DW69" s="132"/>
      <c r="DX69" s="132"/>
      <c r="DY69" s="132"/>
      <c r="DZ69" s="132"/>
      <c r="EA69" s="132"/>
      <c r="EB69" s="132"/>
      <c r="EC69" s="132"/>
      <c r="ED69" s="132"/>
      <c r="EE69" s="132"/>
      <c r="EF69" s="132"/>
      <c r="EG69" s="132"/>
      <c r="EH69" s="132"/>
      <c r="EI69" s="132"/>
      <c r="EJ69" s="132"/>
      <c r="EK69" s="132"/>
      <c r="EL69" s="132"/>
      <c r="EM69" s="132"/>
      <c r="EN69" s="132"/>
      <c r="EO69" s="132"/>
      <c r="EP69" s="132"/>
      <c r="EQ69" s="132"/>
      <c r="ER69" s="132"/>
      <c r="ES69" s="132"/>
      <c r="ET69" s="11"/>
      <c r="EU69" s="11"/>
      <c r="EV69" s="11"/>
      <c r="EW69" s="11"/>
      <c r="EX69" s="11"/>
      <c r="EY69" s="11"/>
      <c r="EZ69" s="11"/>
      <c r="FA69" s="11"/>
      <c r="FB69" s="11"/>
      <c r="FC69" s="11"/>
      <c r="FD69" s="11"/>
      <c r="FE69" s="11"/>
      <c r="FF69" s="11"/>
      <c r="FG69" s="11"/>
      <c r="FH69" s="39">
        <f t="shared" si="27"/>
        <v>2814715.17</v>
      </c>
      <c r="FI69" s="33">
        <f t="shared" si="28"/>
        <v>7</v>
      </c>
      <c r="FJ69" s="84">
        <f t="shared" si="29"/>
        <v>402102.16714285716</v>
      </c>
    </row>
    <row r="70" spans="1:166" ht="13.5" x14ac:dyDescent="0.25">
      <c r="A70" s="79" t="e">
        <f>#REF!</f>
        <v>#REF!</v>
      </c>
      <c r="B70" s="75" t="e">
        <f>#REF!</f>
        <v>#REF!</v>
      </c>
      <c r="C70" s="75" t="e">
        <f>#REF!</f>
        <v>#REF!</v>
      </c>
      <c r="D70" s="75" t="e">
        <f>#REF!</f>
        <v>#REF!</v>
      </c>
      <c r="E70" s="30">
        <v>1</v>
      </c>
      <c r="F70" s="238">
        <v>246171.33333333331</v>
      </c>
      <c r="G70" s="241">
        <v>239904</v>
      </c>
      <c r="H70" s="249">
        <v>324389.00201333332</v>
      </c>
      <c r="I70" s="249">
        <v>324275</v>
      </c>
      <c r="J70" s="249">
        <v>331524.8</v>
      </c>
      <c r="K70" s="249">
        <v>256445</v>
      </c>
      <c r="L70" s="274">
        <f>AVERAGE(F70,H70,J70)</f>
        <v>300695.04511555558</v>
      </c>
      <c r="M70" s="274">
        <f>AVERAGE(G70,I70,K70)*1.03</f>
        <v>281747.5733333333</v>
      </c>
      <c r="N70" s="247">
        <v>214500</v>
      </c>
      <c r="O70" s="113">
        <f>+N70*0</f>
        <v>0</v>
      </c>
      <c r="P70" s="113">
        <f>+O70+N70</f>
        <v>214500</v>
      </c>
      <c r="Q70" s="36" t="s">
        <v>170</v>
      </c>
      <c r="R70" s="132" t="s">
        <v>128</v>
      </c>
      <c r="S70" s="64" t="s">
        <v>171</v>
      </c>
      <c r="T70" s="113"/>
      <c r="U70" s="113"/>
      <c r="V70" s="113"/>
      <c r="W70" s="131"/>
      <c r="X70" s="131"/>
      <c r="Y70" s="11"/>
      <c r="Z70" s="113"/>
      <c r="AA70" s="113"/>
      <c r="AB70" s="113"/>
      <c r="AC70" s="52"/>
      <c r="AD70" s="52"/>
      <c r="AE70" s="11"/>
      <c r="AF70" s="118">
        <v>440000</v>
      </c>
      <c r="AG70" s="144">
        <f>AF70*19%</f>
        <v>83600</v>
      </c>
      <c r="AH70" s="113">
        <f>+AF70+AG70</f>
        <v>523600</v>
      </c>
      <c r="AI70" s="11"/>
      <c r="AJ70" s="11"/>
      <c r="AK70" s="39"/>
      <c r="AL70" s="113"/>
      <c r="AM70" s="113"/>
      <c r="AN70" s="117"/>
      <c r="AO70" s="76"/>
      <c r="AP70" s="39"/>
      <c r="AQ70" s="39"/>
      <c r="AR70" s="275"/>
      <c r="AS70" s="156"/>
      <c r="AT70" s="157"/>
      <c r="AU70" s="62"/>
      <c r="AV70" s="62"/>
      <c r="AW70" s="31"/>
      <c r="AX70" s="116"/>
      <c r="AY70" s="196"/>
      <c r="AZ70" s="143"/>
      <c r="BA70" s="191"/>
      <c r="BB70" s="132"/>
      <c r="BC70" s="132"/>
      <c r="BD70" s="274"/>
      <c r="BE70" s="143"/>
      <c r="BF70" s="143"/>
      <c r="BG70" s="132"/>
      <c r="BH70" s="132"/>
      <c r="BI70" s="132"/>
      <c r="BJ70" s="143"/>
      <c r="BK70" s="143"/>
      <c r="BL70" s="143"/>
      <c r="BM70" s="132"/>
      <c r="BN70" s="132"/>
      <c r="BO70" s="132"/>
      <c r="BP70" s="143"/>
      <c r="BQ70" s="132"/>
      <c r="BR70" s="132"/>
      <c r="BS70" s="132"/>
      <c r="BT70" s="132"/>
      <c r="BU70" s="132"/>
      <c r="BV70" s="263">
        <v>293000</v>
      </c>
      <c r="BW70" s="144">
        <f>BV70*19%</f>
        <v>55670</v>
      </c>
      <c r="BX70" s="113">
        <f t="shared" si="24"/>
        <v>348670</v>
      </c>
      <c r="BY70" s="264" t="s">
        <v>172</v>
      </c>
      <c r="BZ70" s="264" t="s">
        <v>88</v>
      </c>
      <c r="CA70" s="132"/>
      <c r="CB70" s="274"/>
      <c r="CC70" s="144"/>
      <c r="CD70" s="274"/>
      <c r="CE70" s="132"/>
      <c r="CF70" s="132"/>
      <c r="CG70" s="132"/>
      <c r="CH70" s="263">
        <v>304720</v>
      </c>
      <c r="CI70" s="265">
        <f>+CH70*0.19</f>
        <v>57896.800000000003</v>
      </c>
      <c r="CJ70" s="263">
        <f t="shared" si="26"/>
        <v>362616.8</v>
      </c>
      <c r="CK70" s="264" t="s">
        <v>172</v>
      </c>
      <c r="CL70" s="264" t="s">
        <v>88</v>
      </c>
      <c r="CM70" s="132"/>
      <c r="CN70" s="274"/>
      <c r="CO70" s="144"/>
      <c r="CP70" s="274"/>
      <c r="CQ70" s="132"/>
      <c r="CR70" s="132"/>
      <c r="CS70" s="132"/>
      <c r="CT70" s="274">
        <v>592500</v>
      </c>
      <c r="CU70" s="144">
        <f>+CT70*0</f>
        <v>0</v>
      </c>
      <c r="CV70" s="144">
        <f>+CT70+CU70</f>
        <v>592500</v>
      </c>
      <c r="CW70" s="132"/>
      <c r="CX70" s="132"/>
      <c r="CY70" s="132"/>
      <c r="CZ70" s="118">
        <v>164607</v>
      </c>
      <c r="DA70" s="144">
        <f t="shared" ref="DA70:DA75" si="30">+CZ70*0.19</f>
        <v>31275.33</v>
      </c>
      <c r="DB70" s="118">
        <f t="shared" ref="DB70:DB75" si="31">+CZ70+DA70</f>
        <v>195882.33000000002</v>
      </c>
      <c r="DC70" s="33" t="s">
        <v>173</v>
      </c>
      <c r="DD70" s="39" t="s">
        <v>58</v>
      </c>
      <c r="DE70" s="11">
        <v>1138290001</v>
      </c>
      <c r="DF70" s="132"/>
      <c r="DG70" s="132"/>
      <c r="DH70" s="132"/>
      <c r="DI70" s="132"/>
      <c r="DJ70" s="132"/>
      <c r="DK70" s="132"/>
      <c r="DL70" s="132"/>
      <c r="DM70" s="132"/>
      <c r="DN70" s="132"/>
      <c r="DO70" s="132"/>
      <c r="DP70" s="132"/>
      <c r="DQ70" s="132"/>
      <c r="DR70" s="132"/>
      <c r="DS70" s="132"/>
      <c r="DT70" s="132"/>
      <c r="DU70" s="132"/>
      <c r="DV70" s="132"/>
      <c r="DW70" s="132"/>
      <c r="DX70" s="132"/>
      <c r="DY70" s="132"/>
      <c r="DZ70" s="132"/>
      <c r="EA70" s="132"/>
      <c r="EB70" s="132"/>
      <c r="EC70" s="132"/>
      <c r="ED70" s="132"/>
      <c r="EE70" s="132"/>
      <c r="EF70" s="132"/>
      <c r="EG70" s="132"/>
      <c r="EH70" s="132"/>
      <c r="EI70" s="132"/>
      <c r="EJ70" s="132"/>
      <c r="EK70" s="132"/>
      <c r="EL70" s="132"/>
      <c r="EM70" s="132"/>
      <c r="EN70" s="132"/>
      <c r="EO70" s="132"/>
      <c r="EP70" s="132"/>
      <c r="EQ70" s="132"/>
      <c r="ER70" s="132"/>
      <c r="ES70" s="132"/>
      <c r="ET70" s="11"/>
      <c r="EU70" s="11"/>
      <c r="EV70" s="11"/>
      <c r="EW70" s="11"/>
      <c r="EX70" s="11"/>
      <c r="EY70" s="11"/>
      <c r="EZ70" s="11"/>
      <c r="FA70" s="11"/>
      <c r="FB70" s="11"/>
      <c r="FC70" s="11"/>
      <c r="FD70" s="11"/>
      <c r="FE70" s="11"/>
      <c r="FF70" s="11"/>
      <c r="FG70" s="11"/>
      <c r="FH70" s="39">
        <f t="shared" si="27"/>
        <v>2519516.7033333331</v>
      </c>
      <c r="FI70" s="33">
        <f t="shared" si="28"/>
        <v>7</v>
      </c>
      <c r="FJ70" s="84">
        <f t="shared" si="29"/>
        <v>359930.95761904761</v>
      </c>
    </row>
    <row r="71" spans="1:166" ht="25.5" x14ac:dyDescent="0.25">
      <c r="A71" s="79" t="e">
        <f>#REF!</f>
        <v>#REF!</v>
      </c>
      <c r="B71" s="75" t="e">
        <f>#REF!</f>
        <v>#REF!</v>
      </c>
      <c r="C71" s="75" t="e">
        <f>#REF!</f>
        <v>#REF!</v>
      </c>
      <c r="D71" s="75" t="e">
        <f>#REF!</f>
        <v>#REF!</v>
      </c>
      <c r="E71" s="30">
        <v>1</v>
      </c>
      <c r="F71" s="238">
        <v>601743.33333333337</v>
      </c>
      <c r="G71" s="241">
        <v>586670</v>
      </c>
      <c r="H71" s="249">
        <v>527723.72593333328</v>
      </c>
      <c r="I71" s="249">
        <v>527646</v>
      </c>
      <c r="J71" s="249">
        <v>540517.83333333337</v>
      </c>
      <c r="K71" s="249">
        <v>0</v>
      </c>
      <c r="L71" s="274">
        <f>AVERAGE(F71,H71,J71)</f>
        <v>556661.63086666667</v>
      </c>
      <c r="M71" s="274">
        <f>AVERAGE(G71,I71)*1.03</f>
        <v>573872.74</v>
      </c>
      <c r="N71" s="247">
        <v>283000</v>
      </c>
      <c r="O71" s="113">
        <f>+N71*0</f>
        <v>0</v>
      </c>
      <c r="P71" s="113">
        <f>+O71+N71</f>
        <v>283000</v>
      </c>
      <c r="Q71" s="36" t="s">
        <v>170</v>
      </c>
      <c r="R71" s="132" t="s">
        <v>128</v>
      </c>
      <c r="S71" s="64" t="s">
        <v>174</v>
      </c>
      <c r="T71" s="113"/>
      <c r="U71" s="113"/>
      <c r="V71" s="113"/>
      <c r="W71" s="131"/>
      <c r="X71" s="131"/>
      <c r="Y71" s="11"/>
      <c r="Z71" s="113"/>
      <c r="AA71" s="113"/>
      <c r="AB71" s="113"/>
      <c r="AC71" s="52"/>
      <c r="AD71" s="52"/>
      <c r="AE71" s="11"/>
      <c r="AF71" s="118">
        <v>540000</v>
      </c>
      <c r="AG71" s="144">
        <f>AF71*19%</f>
        <v>102600</v>
      </c>
      <c r="AH71" s="113">
        <f>+AF71+AG71</f>
        <v>642600</v>
      </c>
      <c r="AI71" s="11"/>
      <c r="AJ71" s="11"/>
      <c r="AK71" s="39"/>
      <c r="AL71" s="113"/>
      <c r="AM71" s="113"/>
      <c r="AN71" s="117"/>
      <c r="AO71" s="76"/>
      <c r="AP71" s="39"/>
      <c r="AQ71" s="39"/>
      <c r="AR71" s="275"/>
      <c r="AS71" s="156"/>
      <c r="AT71" s="157"/>
      <c r="AU71" s="62"/>
      <c r="AV71" s="62"/>
      <c r="AW71" s="31"/>
      <c r="AX71" s="116"/>
      <c r="AY71" s="196"/>
      <c r="AZ71" s="143"/>
      <c r="BA71" s="191"/>
      <c r="BB71" s="132"/>
      <c r="BC71" s="132"/>
      <c r="BD71" s="274"/>
      <c r="BE71" s="143"/>
      <c r="BF71" s="143"/>
      <c r="BG71" s="132"/>
      <c r="BH71" s="132"/>
      <c r="BI71" s="132"/>
      <c r="BJ71" s="143"/>
      <c r="BK71" s="143"/>
      <c r="BL71" s="143"/>
      <c r="BM71" s="132"/>
      <c r="BN71" s="132"/>
      <c r="BO71" s="132"/>
      <c r="BP71" s="143"/>
      <c r="BQ71" s="132"/>
      <c r="BR71" s="132"/>
      <c r="BS71" s="132"/>
      <c r="BT71" s="132"/>
      <c r="BU71" s="132"/>
      <c r="BV71" s="263">
        <v>728200</v>
      </c>
      <c r="BW71" s="144">
        <f>BV71*19%</f>
        <v>138358</v>
      </c>
      <c r="BX71" s="113">
        <f t="shared" si="24"/>
        <v>866558</v>
      </c>
      <c r="BY71" s="264" t="s">
        <v>175</v>
      </c>
      <c r="BZ71" s="264" t="s">
        <v>88</v>
      </c>
      <c r="CA71" s="132"/>
      <c r="CB71" s="274"/>
      <c r="CC71" s="144"/>
      <c r="CD71" s="274"/>
      <c r="CE71" s="132"/>
      <c r="CF71" s="132"/>
      <c r="CG71" s="132"/>
      <c r="CH71" s="263">
        <v>771892</v>
      </c>
      <c r="CI71" s="265">
        <f>+CH71*0.19</f>
        <v>146659.48000000001</v>
      </c>
      <c r="CJ71" s="263">
        <f t="shared" si="26"/>
        <v>918551.48</v>
      </c>
      <c r="CK71" s="264" t="s">
        <v>175</v>
      </c>
      <c r="CL71" s="264" t="s">
        <v>88</v>
      </c>
      <c r="CM71" s="132"/>
      <c r="CN71" s="274"/>
      <c r="CO71" s="144"/>
      <c r="CP71" s="274"/>
      <c r="CQ71" s="132"/>
      <c r="CR71" s="132"/>
      <c r="CS71" s="132"/>
      <c r="CT71" s="274"/>
      <c r="CU71" s="144"/>
      <c r="CV71" s="144"/>
      <c r="CW71" s="132"/>
      <c r="CX71" s="132"/>
      <c r="CY71" s="132"/>
      <c r="CZ71" s="118">
        <v>436544</v>
      </c>
      <c r="DA71" s="144">
        <f t="shared" si="30"/>
        <v>82943.360000000001</v>
      </c>
      <c r="DB71" s="118">
        <f t="shared" si="31"/>
        <v>519487.36</v>
      </c>
      <c r="DC71" s="33" t="s">
        <v>176</v>
      </c>
      <c r="DD71" s="39" t="s">
        <v>58</v>
      </c>
      <c r="DE71" s="11">
        <v>1162750001</v>
      </c>
      <c r="DF71" s="132"/>
      <c r="DG71" s="132"/>
      <c r="DH71" s="132"/>
      <c r="DI71" s="132"/>
      <c r="DJ71" s="132"/>
      <c r="DK71" s="132"/>
      <c r="DL71" s="132"/>
      <c r="DM71" s="132"/>
      <c r="DN71" s="132"/>
      <c r="DO71" s="132"/>
      <c r="DP71" s="132"/>
      <c r="DQ71" s="132"/>
      <c r="DR71" s="132"/>
      <c r="DS71" s="132"/>
      <c r="DT71" s="132"/>
      <c r="DU71" s="132"/>
      <c r="DV71" s="132"/>
      <c r="DW71" s="132"/>
      <c r="DX71" s="132"/>
      <c r="DY71" s="132"/>
      <c r="DZ71" s="132"/>
      <c r="EA71" s="132"/>
      <c r="EB71" s="132"/>
      <c r="EC71" s="132"/>
      <c r="ED71" s="132"/>
      <c r="EE71" s="132"/>
      <c r="EF71" s="132"/>
      <c r="EG71" s="132"/>
      <c r="EH71" s="132"/>
      <c r="EI71" s="132"/>
      <c r="EJ71" s="132"/>
      <c r="EK71" s="132"/>
      <c r="EL71" s="132"/>
      <c r="EM71" s="132"/>
      <c r="EN71" s="132"/>
      <c r="EO71" s="132"/>
      <c r="EP71" s="132"/>
      <c r="EQ71" s="132"/>
      <c r="ER71" s="132"/>
      <c r="ES71" s="132"/>
      <c r="ET71" s="11"/>
      <c r="EU71" s="11"/>
      <c r="EV71" s="11"/>
      <c r="EW71" s="11"/>
      <c r="EX71" s="11"/>
      <c r="EY71" s="11"/>
      <c r="EZ71" s="11"/>
      <c r="FA71" s="11"/>
      <c r="FB71" s="11"/>
      <c r="FC71" s="11"/>
      <c r="FD71" s="11"/>
      <c r="FE71" s="11"/>
      <c r="FF71" s="11"/>
      <c r="FG71" s="11"/>
      <c r="FH71" s="39">
        <f t="shared" si="27"/>
        <v>3804069.58</v>
      </c>
      <c r="FI71" s="33">
        <f t="shared" si="28"/>
        <v>6</v>
      </c>
      <c r="FJ71" s="84">
        <f t="shared" si="29"/>
        <v>634011.59666666668</v>
      </c>
    </row>
    <row r="72" spans="1:166" ht="25.5" x14ac:dyDescent="0.25">
      <c r="A72" s="79" t="e">
        <f>#REF!</f>
        <v>#REF!</v>
      </c>
      <c r="B72" s="75" t="e">
        <f>#REF!</f>
        <v>#REF!</v>
      </c>
      <c r="C72" s="75" t="e">
        <f>#REF!</f>
        <v>#REF!</v>
      </c>
      <c r="D72" s="75" t="e">
        <f>#REF!</f>
        <v>#REF!</v>
      </c>
      <c r="E72" s="30">
        <v>1</v>
      </c>
      <c r="F72" s="238">
        <v>0</v>
      </c>
      <c r="G72" s="241">
        <v>0</v>
      </c>
      <c r="H72" s="249">
        <v>220700</v>
      </c>
      <c r="I72" s="249">
        <v>0</v>
      </c>
      <c r="J72" s="249">
        <v>220910</v>
      </c>
      <c r="K72" s="249">
        <v>216461</v>
      </c>
      <c r="L72" s="274">
        <f>AVERAGE(H72,J72)</f>
        <v>220805</v>
      </c>
      <c r="M72" s="274">
        <f>K72*1.03</f>
        <v>222954.83000000002</v>
      </c>
      <c r="N72" s="247">
        <v>255750</v>
      </c>
      <c r="O72" s="113">
        <f>+N72*0</f>
        <v>0</v>
      </c>
      <c r="P72" s="113">
        <f>+O72+N72</f>
        <v>255750</v>
      </c>
      <c r="Q72" s="36" t="s">
        <v>177</v>
      </c>
      <c r="R72" s="132" t="s">
        <v>128</v>
      </c>
      <c r="S72" s="64" t="s">
        <v>174</v>
      </c>
      <c r="T72" s="113"/>
      <c r="U72" s="113"/>
      <c r="V72" s="113"/>
      <c r="W72" s="131"/>
      <c r="X72" s="131"/>
      <c r="Y72" s="11"/>
      <c r="Z72" s="117"/>
      <c r="AA72" s="113"/>
      <c r="AB72" s="113"/>
      <c r="AC72" s="131"/>
      <c r="AD72" s="52"/>
      <c r="AE72" s="11"/>
      <c r="AF72" s="118">
        <v>210000</v>
      </c>
      <c r="AG72" s="144">
        <f>AF72*19%</f>
        <v>39900</v>
      </c>
      <c r="AH72" s="113">
        <f>+AF72+AG72</f>
        <v>249900</v>
      </c>
      <c r="AI72" s="11"/>
      <c r="AJ72" s="11"/>
      <c r="AK72" s="39"/>
      <c r="AL72" s="113"/>
      <c r="AM72" s="113"/>
      <c r="AN72" s="117"/>
      <c r="AO72" s="76"/>
      <c r="AP72" s="39"/>
      <c r="AQ72" s="39"/>
      <c r="AR72" s="275"/>
      <c r="AS72" s="156"/>
      <c r="AT72" s="157"/>
      <c r="AU72" s="62"/>
      <c r="AV72" s="62"/>
      <c r="AW72" s="31"/>
      <c r="AX72" s="116"/>
      <c r="AY72" s="116"/>
      <c r="AZ72" s="143"/>
      <c r="BA72" s="191"/>
      <c r="BB72" s="132"/>
      <c r="BC72" s="132"/>
      <c r="BD72" s="274"/>
      <c r="BE72" s="143"/>
      <c r="BF72" s="143"/>
      <c r="BG72" s="132"/>
      <c r="BH72" s="132"/>
      <c r="BI72" s="132"/>
      <c r="BJ72" s="143"/>
      <c r="BK72" s="143"/>
      <c r="BL72" s="143"/>
      <c r="BM72" s="132"/>
      <c r="BN72" s="132"/>
      <c r="BO72" s="132"/>
      <c r="BP72" s="143"/>
      <c r="BQ72" s="132"/>
      <c r="BR72" s="132"/>
      <c r="BS72" s="132"/>
      <c r="BT72" s="132"/>
      <c r="BU72" s="132"/>
      <c r="BV72" s="210"/>
      <c r="BW72" s="144"/>
      <c r="BX72" s="113"/>
      <c r="BY72" s="273"/>
      <c r="BZ72" s="273"/>
      <c r="CA72" s="132"/>
      <c r="CB72" s="274"/>
      <c r="CC72" s="144"/>
      <c r="CD72" s="274"/>
      <c r="CE72" s="132"/>
      <c r="CF72" s="132"/>
      <c r="CG72" s="132"/>
      <c r="CH72" s="210"/>
      <c r="CI72" s="219"/>
      <c r="CJ72" s="210"/>
      <c r="CK72" s="273" t="s">
        <v>178</v>
      </c>
      <c r="CL72" s="273" t="s">
        <v>178</v>
      </c>
      <c r="CM72" s="132"/>
      <c r="CN72" s="274"/>
      <c r="CO72" s="144"/>
      <c r="CP72" s="274"/>
      <c r="CQ72" s="132"/>
      <c r="CR72" s="132"/>
      <c r="CS72" s="132"/>
      <c r="CT72" s="274">
        <v>266250</v>
      </c>
      <c r="CU72" s="144">
        <v>50587.5</v>
      </c>
      <c r="CV72" s="144">
        <f t="shared" ref="CV72:CV88" si="32">+CT72+CU72</f>
        <v>316837.5</v>
      </c>
      <c r="CW72" s="132"/>
      <c r="CX72" s="132"/>
      <c r="CY72" s="132"/>
      <c r="CZ72" s="118">
        <v>165645</v>
      </c>
      <c r="DA72" s="144">
        <f t="shared" si="30"/>
        <v>31472.55</v>
      </c>
      <c r="DB72" s="118">
        <f t="shared" si="31"/>
        <v>197117.55</v>
      </c>
      <c r="DC72" s="33" t="s">
        <v>179</v>
      </c>
      <c r="DD72" s="39" t="s">
        <v>58</v>
      </c>
      <c r="DE72" s="11">
        <v>1151120001</v>
      </c>
      <c r="DF72" s="132"/>
      <c r="DG72" s="132"/>
      <c r="DH72" s="132"/>
      <c r="DI72" s="132"/>
      <c r="DJ72" s="132"/>
      <c r="DK72" s="132"/>
      <c r="DL72" s="132"/>
      <c r="DM72" s="132"/>
      <c r="DN72" s="132"/>
      <c r="DO72" s="132"/>
      <c r="DP72" s="132"/>
      <c r="DQ72" s="132"/>
      <c r="DR72" s="132"/>
      <c r="DS72" s="132"/>
      <c r="DT72" s="132"/>
      <c r="DU72" s="132"/>
      <c r="DV72" s="132"/>
      <c r="DW72" s="132"/>
      <c r="DX72" s="132"/>
      <c r="DY72" s="132"/>
      <c r="DZ72" s="132"/>
      <c r="EA72" s="132"/>
      <c r="EB72" s="132"/>
      <c r="EC72" s="132"/>
      <c r="ED72" s="132"/>
      <c r="EE72" s="132"/>
      <c r="EF72" s="132"/>
      <c r="EG72" s="132"/>
      <c r="EH72" s="132"/>
      <c r="EI72" s="132"/>
      <c r="EJ72" s="132"/>
      <c r="EK72" s="132"/>
      <c r="EL72" s="132"/>
      <c r="EM72" s="132"/>
      <c r="EN72" s="132"/>
      <c r="EO72" s="132"/>
      <c r="EP72" s="132"/>
      <c r="EQ72" s="132"/>
      <c r="ER72" s="132"/>
      <c r="ES72" s="132"/>
      <c r="ET72" s="11"/>
      <c r="EU72" s="11"/>
      <c r="EV72" s="11"/>
      <c r="EW72" s="11"/>
      <c r="EX72" s="11"/>
      <c r="EY72" s="11"/>
      <c r="EZ72" s="11"/>
      <c r="FA72" s="11"/>
      <c r="FB72" s="11"/>
      <c r="FC72" s="11"/>
      <c r="FD72" s="11"/>
      <c r="FE72" s="11"/>
      <c r="FF72" s="275"/>
      <c r="FG72" s="71"/>
      <c r="FH72" s="39">
        <f t="shared" si="27"/>
        <v>1242559.8800000001</v>
      </c>
      <c r="FI72" s="33">
        <f t="shared" si="28"/>
        <v>5</v>
      </c>
      <c r="FJ72" s="84">
        <f t="shared" si="29"/>
        <v>248511.97600000002</v>
      </c>
    </row>
    <row r="73" spans="1:166" ht="38.25" x14ac:dyDescent="0.25">
      <c r="A73" s="79" t="e">
        <f>#REF!</f>
        <v>#REF!</v>
      </c>
      <c r="B73" s="75" t="e">
        <f>#REF!</f>
        <v>#REF!</v>
      </c>
      <c r="C73" s="75" t="e">
        <f>#REF!</f>
        <v>#REF!</v>
      </c>
      <c r="D73" s="75" t="e">
        <f>#REF!</f>
        <v>#REF!</v>
      </c>
      <c r="E73" s="30">
        <v>1</v>
      </c>
      <c r="F73" s="238">
        <v>700593.85666666669</v>
      </c>
      <c r="G73" s="241">
        <v>679490</v>
      </c>
      <c r="H73" s="249">
        <v>462688.55648758332</v>
      </c>
      <c r="I73" s="249">
        <v>0</v>
      </c>
      <c r="J73" s="249">
        <v>270398.09119800001</v>
      </c>
      <c r="K73" s="249">
        <v>0</v>
      </c>
      <c r="L73" s="274">
        <f>AVERAGE(F73,H73,J73)</f>
        <v>477893.50145075005</v>
      </c>
      <c r="M73" s="274">
        <f>G73*1.03</f>
        <v>699874.70000000007</v>
      </c>
      <c r="N73" s="245"/>
      <c r="O73" s="113"/>
      <c r="P73" s="113"/>
      <c r="Q73" s="131"/>
      <c r="R73" s="131"/>
      <c r="S73" s="64"/>
      <c r="T73" s="113">
        <f>+(258000/20)*50</f>
        <v>645000</v>
      </c>
      <c r="U73" s="118">
        <f>+T73*0</f>
        <v>0</v>
      </c>
      <c r="V73" s="113">
        <f>+U73+T73</f>
        <v>645000</v>
      </c>
      <c r="W73" s="131" t="s">
        <v>180</v>
      </c>
      <c r="X73" s="131" t="s">
        <v>166</v>
      </c>
      <c r="Y73" s="4"/>
      <c r="Z73" s="117"/>
      <c r="AA73" s="113"/>
      <c r="AB73" s="113"/>
      <c r="AC73" s="131"/>
      <c r="AD73" s="52"/>
      <c r="AE73" s="11"/>
      <c r="AF73" s="118"/>
      <c r="AG73" s="144"/>
      <c r="AH73" s="113"/>
      <c r="AI73" s="11"/>
      <c r="AJ73" s="11"/>
      <c r="AK73" s="39"/>
      <c r="AL73" s="113"/>
      <c r="AM73" s="113"/>
      <c r="AN73" s="117"/>
      <c r="AO73" s="76"/>
      <c r="AP73" s="39"/>
      <c r="AQ73" s="39"/>
      <c r="AR73" s="275"/>
      <c r="AS73" s="113"/>
      <c r="AT73" s="119"/>
      <c r="AU73" s="62"/>
      <c r="AV73" s="62"/>
      <c r="AW73" s="31"/>
      <c r="AX73" s="116"/>
      <c r="AY73" s="196"/>
      <c r="AZ73" s="143"/>
      <c r="BA73" s="191"/>
      <c r="BB73" s="132"/>
      <c r="BC73" s="132"/>
      <c r="BD73" s="274"/>
      <c r="BE73" s="143"/>
      <c r="BF73" s="143"/>
      <c r="BG73" s="132"/>
      <c r="BH73" s="132"/>
      <c r="BI73" s="132"/>
      <c r="BJ73" s="143"/>
      <c r="BK73" s="143"/>
      <c r="BL73" s="143"/>
      <c r="BM73" s="132"/>
      <c r="BN73" s="132"/>
      <c r="BO73" s="132"/>
      <c r="BP73" s="143">
        <v>253252</v>
      </c>
      <c r="BQ73" s="144">
        <f>BP73*19%</f>
        <v>48117.88</v>
      </c>
      <c r="BR73" s="113">
        <f>+BP73+BQ73</f>
        <v>301369.88</v>
      </c>
      <c r="BS73" s="132" t="s">
        <v>181</v>
      </c>
      <c r="BT73" s="36" t="s">
        <v>182</v>
      </c>
      <c r="BU73" s="5" t="s">
        <v>183</v>
      </c>
      <c r="BV73" s="263">
        <v>441000</v>
      </c>
      <c r="BW73" s="144">
        <f>BV73*0</f>
        <v>0</v>
      </c>
      <c r="BX73" s="113">
        <f>+BV73+BW73</f>
        <v>441000</v>
      </c>
      <c r="BY73" s="264" t="s">
        <v>52</v>
      </c>
      <c r="BZ73" s="264" t="s">
        <v>112</v>
      </c>
      <c r="CA73" s="132"/>
      <c r="CB73" s="274"/>
      <c r="CC73" s="144"/>
      <c r="CD73" s="274"/>
      <c r="CE73" s="132"/>
      <c r="CF73" s="132"/>
      <c r="CG73" s="132"/>
      <c r="CH73" s="263">
        <v>449820</v>
      </c>
      <c r="CI73" s="265">
        <f>+CH73*0</f>
        <v>0</v>
      </c>
      <c r="CJ73" s="263">
        <f>+CH73+CI73</f>
        <v>449820</v>
      </c>
      <c r="CK73" s="264" t="s">
        <v>52</v>
      </c>
      <c r="CL73" s="264" t="s">
        <v>112</v>
      </c>
      <c r="CM73" s="132"/>
      <c r="CN73" s="274"/>
      <c r="CO73" s="144"/>
      <c r="CP73" s="274"/>
      <c r="CQ73" s="132"/>
      <c r="CR73" s="132"/>
      <c r="CS73" s="132"/>
      <c r="CT73" s="274">
        <v>209000</v>
      </c>
      <c r="CU73" s="144">
        <v>39710</v>
      </c>
      <c r="CV73" s="144">
        <f t="shared" si="32"/>
        <v>248710</v>
      </c>
      <c r="CW73" s="132"/>
      <c r="CX73" s="132"/>
      <c r="CY73" s="132"/>
      <c r="CZ73" s="118">
        <v>276571</v>
      </c>
      <c r="DA73" s="144">
        <f t="shared" si="30"/>
        <v>52548.49</v>
      </c>
      <c r="DB73" s="118">
        <f t="shared" si="31"/>
        <v>329119.49</v>
      </c>
      <c r="DC73" s="33" t="s">
        <v>184</v>
      </c>
      <c r="DD73" s="39" t="s">
        <v>103</v>
      </c>
      <c r="DE73" s="11" t="s">
        <v>185</v>
      </c>
      <c r="DF73" s="132"/>
      <c r="DG73" s="132"/>
      <c r="DH73" s="132"/>
      <c r="DI73" s="132"/>
      <c r="DJ73" s="132"/>
      <c r="DK73" s="132"/>
      <c r="DL73" s="132"/>
      <c r="DM73" s="132"/>
      <c r="DN73" s="132"/>
      <c r="DO73" s="132"/>
      <c r="DP73" s="132"/>
      <c r="DQ73" s="132"/>
      <c r="DR73" s="132"/>
      <c r="DS73" s="132"/>
      <c r="DT73" s="132"/>
      <c r="DU73" s="132"/>
      <c r="DV73" s="132"/>
      <c r="DW73" s="132"/>
      <c r="DX73" s="132"/>
      <c r="DY73" s="132"/>
      <c r="DZ73" s="132"/>
      <c r="EA73" s="132"/>
      <c r="EB73" s="132"/>
      <c r="EC73" s="132"/>
      <c r="ED73" s="132"/>
      <c r="EE73" s="132"/>
      <c r="EF73" s="132"/>
      <c r="EG73" s="132"/>
      <c r="EH73" s="132"/>
      <c r="EI73" s="132"/>
      <c r="EJ73" s="132"/>
      <c r="EK73" s="132"/>
      <c r="EL73" s="132"/>
      <c r="EM73" s="132"/>
      <c r="EN73" s="132"/>
      <c r="EO73" s="132"/>
      <c r="EP73" s="132"/>
      <c r="EQ73" s="132"/>
      <c r="ER73" s="132"/>
      <c r="ES73" s="132"/>
      <c r="ET73" s="11"/>
      <c r="EU73" s="11"/>
      <c r="EV73" s="11"/>
      <c r="EW73" s="11"/>
      <c r="EX73" s="11"/>
      <c r="EY73" s="11"/>
      <c r="EZ73" s="11"/>
      <c r="FA73" s="11"/>
      <c r="FB73" s="11"/>
      <c r="FC73" s="11"/>
      <c r="FD73" s="11"/>
      <c r="FE73" s="11"/>
      <c r="FF73" s="275"/>
      <c r="FG73" s="71"/>
      <c r="FH73" s="39">
        <f t="shared" si="27"/>
        <v>3114894.0700000003</v>
      </c>
      <c r="FI73" s="33">
        <f t="shared" si="28"/>
        <v>7</v>
      </c>
      <c r="FJ73" s="84">
        <f t="shared" si="29"/>
        <v>444984.86714285717</v>
      </c>
    </row>
    <row r="74" spans="1:166" ht="27" x14ac:dyDescent="0.25">
      <c r="A74" s="79" t="e">
        <f>#REF!</f>
        <v>#REF!</v>
      </c>
      <c r="B74" s="75" t="e">
        <f>#REF!</f>
        <v>#REF!</v>
      </c>
      <c r="C74" s="75" t="e">
        <f>#REF!</f>
        <v>#REF!</v>
      </c>
      <c r="D74" s="75" t="e">
        <f>#REF!</f>
        <v>#REF!</v>
      </c>
      <c r="E74" s="30">
        <v>1</v>
      </c>
      <c r="F74" s="238">
        <v>343750.09375</v>
      </c>
      <c r="G74" s="241">
        <v>331653</v>
      </c>
      <c r="H74" s="249">
        <v>380911.18049140624</v>
      </c>
      <c r="I74" s="249">
        <v>0</v>
      </c>
      <c r="J74" s="249">
        <v>263105.59119800001</v>
      </c>
      <c r="K74" s="249">
        <v>0</v>
      </c>
      <c r="L74" s="274">
        <f>AVERAGE(F74,H74,J74)</f>
        <v>329255.6218131354</v>
      </c>
      <c r="M74" s="274">
        <f>G74*1.03</f>
        <v>341602.59</v>
      </c>
      <c r="N74" s="245"/>
      <c r="O74" s="113"/>
      <c r="P74" s="113"/>
      <c r="Q74" s="131"/>
      <c r="R74" s="131"/>
      <c r="S74" s="64"/>
      <c r="T74" s="113">
        <v>328000</v>
      </c>
      <c r="U74" s="118">
        <f>+T74*0</f>
        <v>0</v>
      </c>
      <c r="V74" s="113">
        <f>+U74+T74</f>
        <v>328000</v>
      </c>
      <c r="W74" s="131" t="s">
        <v>44</v>
      </c>
      <c r="X74" s="131" t="s">
        <v>166</v>
      </c>
      <c r="Y74" s="11"/>
      <c r="Z74" s="113"/>
      <c r="AA74" s="113"/>
      <c r="AB74" s="113"/>
      <c r="AC74" s="52"/>
      <c r="AD74" s="52"/>
      <c r="AE74" s="11"/>
      <c r="AF74" s="118"/>
      <c r="AG74" s="144"/>
      <c r="AH74" s="113"/>
      <c r="AI74" s="11"/>
      <c r="AJ74" s="11"/>
      <c r="AK74" s="39"/>
      <c r="AL74" s="113"/>
      <c r="AM74" s="113"/>
      <c r="AN74" s="117"/>
      <c r="AO74" s="76"/>
      <c r="AP74" s="39"/>
      <c r="AQ74" s="39"/>
      <c r="AR74" s="275"/>
      <c r="AS74" s="156"/>
      <c r="AT74" s="157"/>
      <c r="AU74" s="62"/>
      <c r="AV74" s="62"/>
      <c r="AW74" s="31"/>
      <c r="AX74" s="116"/>
      <c r="AY74" s="116"/>
      <c r="AZ74" s="143"/>
      <c r="BA74" s="191"/>
      <c r="BB74" s="132"/>
      <c r="BC74" s="132"/>
      <c r="BD74" s="274"/>
      <c r="BE74" s="143"/>
      <c r="BF74" s="143"/>
      <c r="BG74" s="132"/>
      <c r="BH74" s="132"/>
      <c r="BI74" s="132"/>
      <c r="BJ74" s="143"/>
      <c r="BK74" s="143"/>
      <c r="BL74" s="143"/>
      <c r="BM74" s="132"/>
      <c r="BN74" s="132"/>
      <c r="BO74" s="132"/>
      <c r="BP74" s="143"/>
      <c r="BQ74" s="132"/>
      <c r="BR74" s="132"/>
      <c r="BS74" s="132"/>
      <c r="BT74" s="132"/>
      <c r="BU74" s="132"/>
      <c r="BV74" s="263">
        <v>280000</v>
      </c>
      <c r="BW74" s="144">
        <f>BV74*19%</f>
        <v>53200</v>
      </c>
      <c r="BX74" s="113">
        <f>+BV74+BW74</f>
        <v>333200</v>
      </c>
      <c r="BY74" s="264" t="s">
        <v>47</v>
      </c>
      <c r="BZ74" s="264" t="s">
        <v>112</v>
      </c>
      <c r="CA74" s="132"/>
      <c r="CB74" s="274"/>
      <c r="CC74" s="144"/>
      <c r="CD74" s="274"/>
      <c r="CE74" s="132"/>
      <c r="CF74" s="132"/>
      <c r="CG74" s="132"/>
      <c r="CH74" s="263">
        <v>288400</v>
      </c>
      <c r="CI74" s="265">
        <f>+CH74*0.19</f>
        <v>54796</v>
      </c>
      <c r="CJ74" s="263">
        <f>+CH74+CI74</f>
        <v>343196</v>
      </c>
      <c r="CK74" s="264" t="s">
        <v>47</v>
      </c>
      <c r="CL74" s="264" t="s">
        <v>112</v>
      </c>
      <c r="CM74" s="132"/>
      <c r="CN74" s="274"/>
      <c r="CO74" s="144"/>
      <c r="CP74" s="274"/>
      <c r="CQ74" s="132"/>
      <c r="CR74" s="132"/>
      <c r="CS74" s="132"/>
      <c r="CT74" s="144">
        <v>290000</v>
      </c>
      <c r="CU74" s="144">
        <v>55100</v>
      </c>
      <c r="CV74" s="144">
        <f t="shared" si="32"/>
        <v>345100</v>
      </c>
      <c r="CW74" s="132"/>
      <c r="CX74" s="132"/>
      <c r="CY74" s="132"/>
      <c r="CZ74" s="118">
        <v>146000</v>
      </c>
      <c r="DA74" s="144">
        <f t="shared" si="30"/>
        <v>27740</v>
      </c>
      <c r="DB74" s="118">
        <f t="shared" si="31"/>
        <v>173740</v>
      </c>
      <c r="DC74" s="33" t="s">
        <v>186</v>
      </c>
      <c r="DD74" s="39" t="s">
        <v>103</v>
      </c>
      <c r="DE74" s="11" t="s">
        <v>187</v>
      </c>
      <c r="DF74" s="132"/>
      <c r="DG74" s="132"/>
      <c r="DH74" s="132"/>
      <c r="DI74" s="132"/>
      <c r="DJ74" s="132"/>
      <c r="DK74" s="132"/>
      <c r="DL74" s="132"/>
      <c r="DM74" s="132"/>
      <c r="DN74" s="132"/>
      <c r="DO74" s="132"/>
      <c r="DP74" s="132"/>
      <c r="DQ74" s="132"/>
      <c r="DR74" s="132"/>
      <c r="DS74" s="132"/>
      <c r="DT74" s="132"/>
      <c r="DU74" s="132"/>
      <c r="DV74" s="132"/>
      <c r="DW74" s="132"/>
      <c r="DX74" s="132"/>
      <c r="DY74" s="132"/>
      <c r="DZ74" s="132"/>
      <c r="EA74" s="132"/>
      <c r="EB74" s="132"/>
      <c r="EC74" s="132"/>
      <c r="ED74" s="132"/>
      <c r="EE74" s="132"/>
      <c r="EF74" s="132"/>
      <c r="EG74" s="132"/>
      <c r="EH74" s="132"/>
      <c r="EI74" s="132"/>
      <c r="EJ74" s="132"/>
      <c r="EK74" s="132"/>
      <c r="EL74" s="132"/>
      <c r="EM74" s="132"/>
      <c r="EN74" s="132"/>
      <c r="EO74" s="132"/>
      <c r="EP74" s="132"/>
      <c r="EQ74" s="132"/>
      <c r="ER74" s="132"/>
      <c r="ES74" s="132"/>
      <c r="ET74" s="11"/>
      <c r="EU74" s="11"/>
      <c r="EV74" s="11"/>
      <c r="EW74" s="11"/>
      <c r="EX74" s="11"/>
      <c r="EY74" s="11"/>
      <c r="EZ74" s="11"/>
      <c r="FA74" s="11"/>
      <c r="FB74" s="11"/>
      <c r="FC74" s="11"/>
      <c r="FD74" s="11"/>
      <c r="FE74" s="11"/>
      <c r="FF74" s="11"/>
      <c r="FG74" s="11"/>
      <c r="FH74" s="39">
        <f t="shared" si="27"/>
        <v>1864838.59</v>
      </c>
      <c r="FI74" s="33">
        <f t="shared" si="28"/>
        <v>6</v>
      </c>
      <c r="FJ74" s="84">
        <f t="shared" si="29"/>
        <v>310806.4316666667</v>
      </c>
    </row>
    <row r="75" spans="1:166" ht="25.5" x14ac:dyDescent="0.25">
      <c r="A75" s="79" t="e">
        <f>#REF!</f>
        <v>#REF!</v>
      </c>
      <c r="B75" s="75" t="e">
        <f>#REF!</f>
        <v>#REF!</v>
      </c>
      <c r="C75" s="75" t="e">
        <f>#REF!</f>
        <v>#REF!</v>
      </c>
      <c r="D75" s="75" t="e">
        <f>#REF!</f>
        <v>#REF!</v>
      </c>
      <c r="E75" s="30">
        <v>1</v>
      </c>
      <c r="F75" s="238">
        <v>0</v>
      </c>
      <c r="G75" s="241">
        <v>0</v>
      </c>
      <c r="H75" s="249">
        <v>135485.41053635001</v>
      </c>
      <c r="I75" s="249">
        <v>0</v>
      </c>
      <c r="J75" s="249">
        <v>51170</v>
      </c>
      <c r="K75" s="249">
        <v>0</v>
      </c>
      <c r="L75" s="274">
        <f>AVERAGE(H75,J75)</f>
        <v>93327.705268175006</v>
      </c>
      <c r="M75" s="274"/>
      <c r="N75" s="245"/>
      <c r="O75" s="113"/>
      <c r="P75" s="113"/>
      <c r="Q75" s="131"/>
      <c r="R75" s="131"/>
      <c r="S75" s="64"/>
      <c r="T75" s="113"/>
      <c r="U75" s="113"/>
      <c r="V75" s="113"/>
      <c r="W75" s="131"/>
      <c r="X75" s="131"/>
      <c r="Y75" s="11"/>
      <c r="Z75" s="113"/>
      <c r="AA75" s="113"/>
      <c r="AB75" s="113"/>
      <c r="AC75" s="52"/>
      <c r="AD75" s="52"/>
      <c r="AE75" s="11"/>
      <c r="AF75" s="118"/>
      <c r="AG75" s="144"/>
      <c r="AH75" s="113"/>
      <c r="AI75" s="11"/>
      <c r="AJ75" s="11"/>
      <c r="AK75" s="39"/>
      <c r="AL75" s="113"/>
      <c r="AM75" s="113"/>
      <c r="AN75" s="117"/>
      <c r="AO75" s="76"/>
      <c r="AP75" s="39"/>
      <c r="AQ75" s="39"/>
      <c r="AR75" s="275">
        <v>144000</v>
      </c>
      <c r="AS75" s="113">
        <f>+AR75*0</f>
        <v>0</v>
      </c>
      <c r="AT75" s="119">
        <f>+AR75+AS75</f>
        <v>144000</v>
      </c>
      <c r="AU75" s="62" t="s">
        <v>109</v>
      </c>
      <c r="AV75" s="62" t="s">
        <v>35</v>
      </c>
      <c r="AW75" s="31"/>
      <c r="AX75" s="116"/>
      <c r="AY75" s="194"/>
      <c r="AZ75" s="143"/>
      <c r="BA75" s="191"/>
      <c r="BB75" s="132"/>
      <c r="BC75" s="132"/>
      <c r="BD75" s="274"/>
      <c r="BE75" s="143"/>
      <c r="BF75" s="143"/>
      <c r="BG75" s="132"/>
      <c r="BH75" s="132"/>
      <c r="BI75" s="132"/>
      <c r="BJ75" s="143"/>
      <c r="BK75" s="143"/>
      <c r="BL75" s="143"/>
      <c r="BM75" s="132"/>
      <c r="BN75" s="132"/>
      <c r="BO75" s="132"/>
      <c r="BP75" s="143"/>
      <c r="BQ75" s="132"/>
      <c r="BR75" s="132"/>
      <c r="BS75" s="132"/>
      <c r="BT75" s="132"/>
      <c r="BU75" s="132"/>
      <c r="BV75" s="263">
        <v>369600</v>
      </c>
      <c r="BW75" s="144">
        <f>BV75*19%</f>
        <v>70224</v>
      </c>
      <c r="BX75" s="113">
        <f>+BV75+BW75</f>
        <v>439824</v>
      </c>
      <c r="BY75" s="264" t="s">
        <v>110</v>
      </c>
      <c r="BZ75" s="264" t="s">
        <v>101</v>
      </c>
      <c r="CA75" s="132"/>
      <c r="CB75" s="274"/>
      <c r="CC75" s="144"/>
      <c r="CD75" s="274"/>
      <c r="CE75" s="132"/>
      <c r="CF75" s="132"/>
      <c r="CG75" s="132"/>
      <c r="CH75" s="263">
        <v>388080</v>
      </c>
      <c r="CI75" s="265">
        <f>+CH75*0.19</f>
        <v>73735.199999999997</v>
      </c>
      <c r="CJ75" s="263">
        <f>+CH75+CI75</f>
        <v>461815.2</v>
      </c>
      <c r="CK75" s="264" t="s">
        <v>110</v>
      </c>
      <c r="CL75" s="264" t="s">
        <v>101</v>
      </c>
      <c r="CM75" s="132"/>
      <c r="CN75" s="274"/>
      <c r="CO75" s="144"/>
      <c r="CP75" s="274"/>
      <c r="CQ75" s="132"/>
      <c r="CR75" s="132"/>
      <c r="CS75" s="132"/>
      <c r="CT75" s="274">
        <v>248000</v>
      </c>
      <c r="CU75" s="144">
        <v>47120</v>
      </c>
      <c r="CV75" s="144">
        <f t="shared" si="32"/>
        <v>295120</v>
      </c>
      <c r="CW75" s="132"/>
      <c r="CX75" s="132"/>
      <c r="CY75" s="132"/>
      <c r="CZ75" s="118">
        <v>91771</v>
      </c>
      <c r="DA75" s="144">
        <f t="shared" si="30"/>
        <v>17436.490000000002</v>
      </c>
      <c r="DB75" s="118">
        <f t="shared" si="31"/>
        <v>109207.49</v>
      </c>
      <c r="DC75" s="33" t="s">
        <v>188</v>
      </c>
      <c r="DD75" s="39" t="s">
        <v>103</v>
      </c>
      <c r="DE75" s="11" t="s">
        <v>189</v>
      </c>
      <c r="DF75" s="132"/>
      <c r="DG75" s="132"/>
      <c r="DH75" s="132"/>
      <c r="DI75" s="132"/>
      <c r="DJ75" s="132"/>
      <c r="DK75" s="132"/>
      <c r="DL75" s="132"/>
      <c r="DM75" s="132"/>
      <c r="DN75" s="132"/>
      <c r="DO75" s="132"/>
      <c r="DP75" s="132"/>
      <c r="DQ75" s="132"/>
      <c r="DR75" s="132"/>
      <c r="DS75" s="132"/>
      <c r="DT75" s="132"/>
      <c r="DU75" s="132"/>
      <c r="DV75" s="132"/>
      <c r="DW75" s="132"/>
      <c r="DX75" s="132"/>
      <c r="DY75" s="132"/>
      <c r="DZ75" s="132"/>
      <c r="EA75" s="132"/>
      <c r="EB75" s="132"/>
      <c r="EC75" s="132"/>
      <c r="ED75" s="132"/>
      <c r="EE75" s="132"/>
      <c r="EF75" s="132"/>
      <c r="EG75" s="132"/>
      <c r="EH75" s="132"/>
      <c r="EI75" s="132"/>
      <c r="EJ75" s="132"/>
      <c r="EK75" s="132"/>
      <c r="EL75" s="132"/>
      <c r="EM75" s="132"/>
      <c r="EN75" s="132"/>
      <c r="EO75" s="132"/>
      <c r="EP75" s="132"/>
      <c r="EQ75" s="132"/>
      <c r="ER75" s="132"/>
      <c r="ES75" s="132"/>
      <c r="ET75" s="11"/>
      <c r="EU75" s="11"/>
      <c r="EV75" s="11"/>
      <c r="EW75" s="11"/>
      <c r="EX75" s="11"/>
      <c r="EY75" s="11"/>
      <c r="EZ75" s="11"/>
      <c r="FA75" s="11"/>
      <c r="FB75" s="11"/>
      <c r="FC75" s="11"/>
      <c r="FD75" s="11"/>
      <c r="FE75" s="11"/>
      <c r="FF75" s="11"/>
      <c r="FG75" s="11"/>
      <c r="FH75" s="39">
        <f t="shared" si="27"/>
        <v>1449966.69</v>
      </c>
      <c r="FI75" s="33">
        <f t="shared" si="28"/>
        <v>5</v>
      </c>
      <c r="FJ75" s="84">
        <f t="shared" si="29"/>
        <v>289993.33799999999</v>
      </c>
    </row>
    <row r="76" spans="1:166" ht="27" x14ac:dyDescent="0.25">
      <c r="A76" s="79" t="e">
        <f>#REF!</f>
        <v>#REF!</v>
      </c>
      <c r="B76" s="75" t="e">
        <f>#REF!</f>
        <v>#REF!</v>
      </c>
      <c r="C76" s="75" t="e">
        <f>#REF!</f>
        <v>#REF!</v>
      </c>
      <c r="D76" s="75" t="e">
        <f>#REF!</f>
        <v>#REF!</v>
      </c>
      <c r="E76" s="30">
        <v>1</v>
      </c>
      <c r="F76" s="238">
        <v>1357833.554</v>
      </c>
      <c r="G76" s="241">
        <v>1357790</v>
      </c>
      <c r="H76" s="249">
        <v>1105701.4489804399</v>
      </c>
      <c r="I76" s="249">
        <v>0</v>
      </c>
      <c r="J76" s="249">
        <v>525750</v>
      </c>
      <c r="K76" s="249">
        <v>0</v>
      </c>
      <c r="L76" s="274">
        <f>AVERAGE(F76,H76,J76)</f>
        <v>996428.33432681335</v>
      </c>
      <c r="M76" s="274">
        <f>G76*1.03</f>
        <v>1398523.7</v>
      </c>
      <c r="N76" s="245"/>
      <c r="O76" s="113"/>
      <c r="P76" s="113"/>
      <c r="Q76" s="131"/>
      <c r="R76" s="131"/>
      <c r="S76" s="64"/>
      <c r="T76" s="113"/>
      <c r="U76" s="113"/>
      <c r="V76" s="113"/>
      <c r="W76" s="131"/>
      <c r="X76" s="131"/>
      <c r="Y76" s="11"/>
      <c r="Z76" s="113"/>
      <c r="AA76" s="113"/>
      <c r="AB76" s="113"/>
      <c r="AC76" s="52"/>
      <c r="AD76" s="52"/>
      <c r="AE76" s="11"/>
      <c r="AF76" s="118"/>
      <c r="AG76" s="144"/>
      <c r="AH76" s="113"/>
      <c r="AI76" s="11"/>
      <c r="AJ76" s="11"/>
      <c r="AK76" s="39"/>
      <c r="AL76" s="113"/>
      <c r="AM76" s="113"/>
      <c r="AN76" s="117"/>
      <c r="AO76" s="76"/>
      <c r="AP76" s="39"/>
      <c r="AQ76" s="39"/>
      <c r="AR76" s="275">
        <f>1800000/4</f>
        <v>450000</v>
      </c>
      <c r="AS76" s="113">
        <f>+AR76*0</f>
        <v>0</v>
      </c>
      <c r="AT76" s="119">
        <f>+AR76+AS76</f>
        <v>450000</v>
      </c>
      <c r="AU76" s="62" t="s">
        <v>99</v>
      </c>
      <c r="AV76" s="62" t="s">
        <v>35</v>
      </c>
      <c r="AW76" s="31"/>
      <c r="AX76" s="116"/>
      <c r="AY76" s="116"/>
      <c r="AZ76" s="143"/>
      <c r="BA76" s="191"/>
      <c r="BB76" s="132"/>
      <c r="BC76" s="132"/>
      <c r="BD76" s="274"/>
      <c r="BE76" s="143"/>
      <c r="BF76" s="143"/>
      <c r="BG76" s="132"/>
      <c r="BH76" s="132"/>
      <c r="BI76" s="132"/>
      <c r="BJ76" s="143"/>
      <c r="BK76" s="143"/>
      <c r="BL76" s="143"/>
      <c r="BM76" s="132"/>
      <c r="BN76" s="132"/>
      <c r="BO76" s="132"/>
      <c r="BP76" s="143"/>
      <c r="BQ76" s="132"/>
      <c r="BR76" s="132"/>
      <c r="BS76" s="132"/>
      <c r="BT76" s="132"/>
      <c r="BU76" s="132"/>
      <c r="BV76" s="263">
        <v>1920300</v>
      </c>
      <c r="BW76" s="144">
        <f>BV76*19%</f>
        <v>364857</v>
      </c>
      <c r="BX76" s="113">
        <f>+BV76+BW76</f>
        <v>2285157</v>
      </c>
      <c r="BY76" s="264" t="s">
        <v>190</v>
      </c>
      <c r="BZ76" s="264" t="s">
        <v>112</v>
      </c>
      <c r="CA76" s="132"/>
      <c r="CB76" s="274"/>
      <c r="CC76" s="144"/>
      <c r="CD76" s="274"/>
      <c r="CE76" s="132"/>
      <c r="CF76" s="132"/>
      <c r="CG76" s="132"/>
      <c r="CH76" s="263"/>
      <c r="CI76" s="265"/>
      <c r="CJ76" s="263"/>
      <c r="CK76" s="264"/>
      <c r="CL76" s="264"/>
      <c r="CM76" s="132"/>
      <c r="CN76" s="274"/>
      <c r="CO76" s="144"/>
      <c r="CP76" s="274"/>
      <c r="CQ76" s="132"/>
      <c r="CR76" s="132"/>
      <c r="CS76" s="132"/>
      <c r="CT76" s="274">
        <v>229000</v>
      </c>
      <c r="CU76" s="144">
        <v>43510</v>
      </c>
      <c r="CV76" s="144">
        <f t="shared" si="32"/>
        <v>272510</v>
      </c>
      <c r="CW76" s="132"/>
      <c r="CX76" s="132"/>
      <c r="CY76" s="132"/>
      <c r="CZ76" s="118"/>
      <c r="DA76" s="144"/>
      <c r="DB76" s="118"/>
      <c r="DC76" s="33"/>
      <c r="DD76" s="39"/>
      <c r="DE76" s="11"/>
      <c r="DF76" s="132"/>
      <c r="DG76" s="132"/>
      <c r="DH76" s="132"/>
      <c r="DI76" s="132"/>
      <c r="DJ76" s="132"/>
      <c r="DK76" s="132"/>
      <c r="DL76" s="132"/>
      <c r="DM76" s="132"/>
      <c r="DN76" s="132"/>
      <c r="DO76" s="132"/>
      <c r="DP76" s="132"/>
      <c r="DQ76" s="132"/>
      <c r="DR76" s="132"/>
      <c r="DS76" s="132"/>
      <c r="DT76" s="132"/>
      <c r="DU76" s="132"/>
      <c r="DV76" s="132"/>
      <c r="DW76" s="132"/>
      <c r="DX76" s="132"/>
      <c r="DY76" s="132"/>
      <c r="DZ76" s="132"/>
      <c r="EA76" s="132"/>
      <c r="EB76" s="132"/>
      <c r="EC76" s="132"/>
      <c r="ED76" s="132"/>
      <c r="EE76" s="132"/>
      <c r="EF76" s="132"/>
      <c r="EG76" s="132"/>
      <c r="EH76" s="132"/>
      <c r="EI76" s="132"/>
      <c r="EJ76" s="132"/>
      <c r="EK76" s="132"/>
      <c r="EL76" s="132"/>
      <c r="EM76" s="132"/>
      <c r="EN76" s="132"/>
      <c r="EO76" s="132"/>
      <c r="EP76" s="132"/>
      <c r="EQ76" s="132"/>
      <c r="ER76" s="132"/>
      <c r="ES76" s="132"/>
      <c r="ET76" s="11"/>
      <c r="EU76" s="11"/>
      <c r="EV76" s="11"/>
      <c r="EW76" s="11"/>
      <c r="EX76" s="11"/>
      <c r="EY76" s="11"/>
      <c r="EZ76" s="11"/>
      <c r="FA76" s="11"/>
      <c r="FB76" s="11"/>
      <c r="FC76" s="11"/>
      <c r="FD76" s="11"/>
      <c r="FE76" s="11"/>
      <c r="FF76" s="11"/>
      <c r="FG76" s="11"/>
      <c r="FH76" s="39">
        <f t="shared" si="27"/>
        <v>4406190.7</v>
      </c>
      <c r="FI76" s="33">
        <f t="shared" si="28"/>
        <v>4</v>
      </c>
      <c r="FJ76" s="84">
        <f t="shared" si="29"/>
        <v>1101547.675</v>
      </c>
    </row>
    <row r="77" spans="1:166" ht="27" x14ac:dyDescent="0.25">
      <c r="A77" s="79" t="e">
        <f>#REF!</f>
        <v>#REF!</v>
      </c>
      <c r="B77" s="75" t="e">
        <f>#REF!</f>
        <v>#REF!</v>
      </c>
      <c r="C77" s="75" t="e">
        <f>#REF!</f>
        <v>#REF!</v>
      </c>
      <c r="D77" s="75" t="e">
        <f>#REF!</f>
        <v>#REF!</v>
      </c>
      <c r="E77" s="30">
        <v>1</v>
      </c>
      <c r="F77" s="238">
        <v>0</v>
      </c>
      <c r="G77" s="241">
        <v>0</v>
      </c>
      <c r="H77" s="249">
        <v>237470.37570305</v>
      </c>
      <c r="I77" s="249">
        <v>0</v>
      </c>
      <c r="J77" s="249">
        <v>129616.66666666667</v>
      </c>
      <c r="K77" s="249">
        <v>0</v>
      </c>
      <c r="L77" s="274">
        <f>AVERAGE(H77,J77)</f>
        <v>183543.52118485834</v>
      </c>
      <c r="M77" s="274"/>
      <c r="N77" s="245"/>
      <c r="O77" s="113"/>
      <c r="P77" s="113"/>
      <c r="Q77" s="131"/>
      <c r="R77" s="131"/>
      <c r="S77" s="64"/>
      <c r="T77" s="113"/>
      <c r="U77" s="113"/>
      <c r="V77" s="113"/>
      <c r="W77" s="131"/>
      <c r="X77" s="131"/>
      <c r="Y77" s="11"/>
      <c r="Z77" s="113"/>
      <c r="AA77" s="113"/>
      <c r="AB77" s="113"/>
      <c r="AC77" s="52"/>
      <c r="AD77" s="52"/>
      <c r="AE77" s="11"/>
      <c r="AF77" s="118"/>
      <c r="AG77" s="144"/>
      <c r="AH77" s="113"/>
      <c r="AI77" s="11"/>
      <c r="AJ77" s="11"/>
      <c r="AK77" s="39"/>
      <c r="AL77" s="113"/>
      <c r="AM77" s="113"/>
      <c r="AN77" s="147"/>
      <c r="AO77" s="76"/>
      <c r="AP77" s="39"/>
      <c r="AQ77" s="39"/>
      <c r="AR77" s="275">
        <v>403200</v>
      </c>
      <c r="AS77" s="113">
        <f>+AR77*0</f>
        <v>0</v>
      </c>
      <c r="AT77" s="119">
        <f>+AR77+AS77</f>
        <v>403200</v>
      </c>
      <c r="AU77" s="62" t="s">
        <v>191</v>
      </c>
      <c r="AV77" s="62" t="s">
        <v>35</v>
      </c>
      <c r="AW77" s="31"/>
      <c r="AX77" s="116"/>
      <c r="AY77" s="116"/>
      <c r="AZ77" s="143"/>
      <c r="BA77" s="191"/>
      <c r="BB77" s="132"/>
      <c r="BC77" s="132"/>
      <c r="BD77" s="274"/>
      <c r="BE77" s="143"/>
      <c r="BF77" s="143"/>
      <c r="BG77" s="132"/>
      <c r="BH77" s="132"/>
      <c r="BI77" s="132"/>
      <c r="BJ77" s="143"/>
      <c r="BK77" s="143"/>
      <c r="BL77" s="143"/>
      <c r="BM77" s="132"/>
      <c r="BN77" s="132"/>
      <c r="BO77" s="132"/>
      <c r="BP77" s="143"/>
      <c r="BQ77" s="132"/>
      <c r="BR77" s="132"/>
      <c r="BS77" s="132"/>
      <c r="BT77" s="132"/>
      <c r="BU77" s="132"/>
      <c r="BV77" s="263">
        <v>203600</v>
      </c>
      <c r="BW77" s="144">
        <f>BV77*0</f>
        <v>0</v>
      </c>
      <c r="BX77" s="113">
        <f>+BV77+BW77</f>
        <v>203600</v>
      </c>
      <c r="BY77" s="264" t="s">
        <v>192</v>
      </c>
      <c r="BZ77" s="264" t="s">
        <v>112</v>
      </c>
      <c r="CA77" s="132"/>
      <c r="CB77" s="274"/>
      <c r="CC77" s="144"/>
      <c r="CD77" s="274"/>
      <c r="CE77" s="132"/>
      <c r="CF77" s="132"/>
      <c r="CG77" s="132"/>
      <c r="CH77" s="263">
        <v>215816</v>
      </c>
      <c r="CI77" s="265">
        <f>+CH77*0</f>
        <v>0</v>
      </c>
      <c r="CJ77" s="263">
        <f>+CH77+CI77</f>
        <v>215816</v>
      </c>
      <c r="CK77" s="264" t="s">
        <v>192</v>
      </c>
      <c r="CL77" s="264" t="s">
        <v>112</v>
      </c>
      <c r="CM77" s="132"/>
      <c r="CN77" s="274"/>
      <c r="CO77" s="144"/>
      <c r="CP77" s="274"/>
      <c r="CQ77" s="132"/>
      <c r="CR77" s="132"/>
      <c r="CS77" s="132"/>
      <c r="CT77" s="274">
        <v>238000</v>
      </c>
      <c r="CU77" s="144">
        <v>45220</v>
      </c>
      <c r="CV77" s="144">
        <f t="shared" si="32"/>
        <v>283220</v>
      </c>
      <c r="CW77" s="132"/>
      <c r="CX77" s="132"/>
      <c r="CY77" s="132"/>
      <c r="CZ77" s="118">
        <v>149129</v>
      </c>
      <c r="DA77" s="144">
        <v>0</v>
      </c>
      <c r="DB77" s="118">
        <v>149129</v>
      </c>
      <c r="DC77" s="33"/>
      <c r="DD77" s="39" t="s">
        <v>103</v>
      </c>
      <c r="DE77" s="11" t="s">
        <v>193</v>
      </c>
      <c r="DF77" s="132"/>
      <c r="DG77" s="132"/>
      <c r="DH77" s="132"/>
      <c r="DI77" s="132"/>
      <c r="DJ77" s="132"/>
      <c r="DK77" s="132"/>
      <c r="DL77" s="132"/>
      <c r="DM77" s="132"/>
      <c r="DN77" s="132"/>
      <c r="DO77" s="132"/>
      <c r="DP77" s="132"/>
      <c r="DQ77" s="132"/>
      <c r="DR77" s="132"/>
      <c r="DS77" s="132"/>
      <c r="DT77" s="132"/>
      <c r="DU77" s="132"/>
      <c r="DV77" s="132"/>
      <c r="DW77" s="132"/>
      <c r="DX77" s="132"/>
      <c r="DY77" s="132"/>
      <c r="DZ77" s="132"/>
      <c r="EA77" s="132"/>
      <c r="EB77" s="132"/>
      <c r="EC77" s="132"/>
      <c r="ED77" s="132"/>
      <c r="EE77" s="132"/>
      <c r="EF77" s="132"/>
      <c r="EG77" s="132"/>
      <c r="EH77" s="132"/>
      <c r="EI77" s="132"/>
      <c r="EJ77" s="132"/>
      <c r="EK77" s="132"/>
      <c r="EL77" s="132"/>
      <c r="EM77" s="132"/>
      <c r="EN77" s="132"/>
      <c r="EO77" s="132"/>
      <c r="EP77" s="132"/>
      <c r="EQ77" s="132"/>
      <c r="ER77" s="132"/>
      <c r="ES77" s="132"/>
      <c r="ET77" s="11"/>
      <c r="EU77" s="11"/>
      <c r="EV77" s="11"/>
      <c r="EW77" s="11"/>
      <c r="EX77" s="11"/>
      <c r="EY77" s="11"/>
      <c r="EZ77" s="11"/>
      <c r="FA77" s="11"/>
      <c r="FB77" s="11"/>
      <c r="FC77" s="11"/>
      <c r="FD77" s="11"/>
      <c r="FE77" s="11"/>
      <c r="FF77" s="11"/>
      <c r="FG77" s="11"/>
      <c r="FH77" s="39">
        <f t="shared" si="27"/>
        <v>1254965</v>
      </c>
      <c r="FI77" s="33">
        <f t="shared" si="28"/>
        <v>5</v>
      </c>
      <c r="FJ77" s="84">
        <f t="shared" si="29"/>
        <v>250993</v>
      </c>
    </row>
    <row r="78" spans="1:166" x14ac:dyDescent="0.25">
      <c r="A78" s="79" t="e">
        <f>#REF!</f>
        <v>#REF!</v>
      </c>
      <c r="B78" s="75" t="e">
        <f>#REF!</f>
        <v>#REF!</v>
      </c>
      <c r="C78" s="75" t="e">
        <f>#REF!</f>
        <v>#REF!</v>
      </c>
      <c r="D78" s="75" t="e">
        <f>#REF!</f>
        <v>#REF!</v>
      </c>
      <c r="E78" s="30">
        <v>1</v>
      </c>
      <c r="F78" s="238">
        <v>0</v>
      </c>
      <c r="G78" s="241">
        <v>0</v>
      </c>
      <c r="H78" s="249">
        <v>0</v>
      </c>
      <c r="I78" s="249">
        <v>0</v>
      </c>
      <c r="J78" s="249">
        <v>1041250</v>
      </c>
      <c r="K78" s="249">
        <v>0</v>
      </c>
      <c r="L78" s="274">
        <f>J78</f>
        <v>1041250</v>
      </c>
      <c r="M78" s="274"/>
      <c r="N78" s="245"/>
      <c r="O78" s="113"/>
      <c r="P78" s="113"/>
      <c r="Q78" s="52"/>
      <c r="R78" s="52"/>
      <c r="S78" s="5"/>
      <c r="T78" s="113"/>
      <c r="U78" s="113"/>
      <c r="V78" s="113"/>
      <c r="W78" s="11"/>
      <c r="X78" s="11"/>
      <c r="Y78" s="11"/>
      <c r="Z78" s="113"/>
      <c r="AA78" s="113"/>
      <c r="AB78" s="113"/>
      <c r="AC78" s="52"/>
      <c r="AD78" s="52"/>
      <c r="AE78" s="11"/>
      <c r="AF78" s="118"/>
      <c r="AG78" s="144"/>
      <c r="AH78" s="113"/>
      <c r="AI78" s="11"/>
      <c r="AJ78" s="11"/>
      <c r="AK78" s="11"/>
      <c r="AL78" s="113"/>
      <c r="AM78" s="113"/>
      <c r="AN78" s="113"/>
      <c r="AO78" s="76"/>
      <c r="AP78" s="11"/>
      <c r="AQ78" s="11"/>
      <c r="AR78" s="275">
        <f>+(875000/125)*100</f>
        <v>700000</v>
      </c>
      <c r="AS78" s="113">
        <f>+AR78*0.19</f>
        <v>133000</v>
      </c>
      <c r="AT78" s="119">
        <f>+AR78+AS78</f>
        <v>833000</v>
      </c>
      <c r="AU78" s="62" t="s">
        <v>122</v>
      </c>
      <c r="AV78" s="48" t="s">
        <v>123</v>
      </c>
      <c r="AW78" s="11"/>
      <c r="AX78" s="176"/>
      <c r="AY78" s="176"/>
      <c r="AZ78" s="275"/>
      <c r="BA78" s="9"/>
      <c r="BB78" s="9"/>
      <c r="BC78" s="9"/>
      <c r="BD78" s="274"/>
      <c r="BE78" s="143"/>
      <c r="BF78" s="143"/>
      <c r="BG78" s="132"/>
      <c r="BH78" s="9"/>
      <c r="BI78" s="132"/>
      <c r="BJ78" s="143"/>
      <c r="BK78" s="143"/>
      <c r="BL78" s="143"/>
      <c r="BM78" s="132"/>
      <c r="BN78" s="132"/>
      <c r="BO78" s="132"/>
      <c r="BP78" s="143"/>
      <c r="BQ78" s="132"/>
      <c r="BR78" s="132"/>
      <c r="BS78" s="132"/>
      <c r="BT78" s="132"/>
      <c r="BU78" s="132"/>
      <c r="BV78" s="210"/>
      <c r="BW78" s="144"/>
      <c r="BX78" s="113"/>
      <c r="BY78" s="273"/>
      <c r="BZ78" s="273"/>
      <c r="CA78" s="132"/>
      <c r="CB78" s="274"/>
      <c r="CC78" s="144"/>
      <c r="CD78" s="274"/>
      <c r="CE78" s="132"/>
      <c r="CF78" s="132"/>
      <c r="CG78" s="132"/>
      <c r="CH78" s="210"/>
      <c r="CI78" s="219"/>
      <c r="CJ78" s="210"/>
      <c r="CK78" s="273"/>
      <c r="CL78" s="273"/>
      <c r="CM78" s="132"/>
      <c r="CN78" s="274"/>
      <c r="CO78" s="144"/>
      <c r="CP78" s="274"/>
      <c r="CQ78" s="132"/>
      <c r="CR78" s="132"/>
      <c r="CS78" s="132"/>
      <c r="CT78" s="274">
        <v>150000</v>
      </c>
      <c r="CU78" s="144">
        <v>28500</v>
      </c>
      <c r="CV78" s="144">
        <f t="shared" si="32"/>
        <v>178500</v>
      </c>
      <c r="CW78" s="132"/>
      <c r="CX78" s="132"/>
      <c r="CY78" s="132"/>
      <c r="CZ78" s="118"/>
      <c r="DA78" s="144"/>
      <c r="DB78" s="118"/>
      <c r="DC78" s="33"/>
      <c r="DD78" s="39"/>
      <c r="DE78" s="11"/>
      <c r="DF78" s="132"/>
      <c r="DG78" s="132"/>
      <c r="DH78" s="132"/>
      <c r="DI78" s="132"/>
      <c r="DJ78" s="132"/>
      <c r="DK78" s="132"/>
      <c r="DL78" s="132"/>
      <c r="DM78" s="132"/>
      <c r="DN78" s="132"/>
      <c r="DO78" s="132"/>
      <c r="DP78" s="132"/>
      <c r="DQ78" s="132"/>
      <c r="DR78" s="132"/>
      <c r="DS78" s="132"/>
      <c r="DT78" s="132"/>
      <c r="DU78" s="132"/>
      <c r="DV78" s="132"/>
      <c r="DW78" s="132"/>
      <c r="DX78" s="132"/>
      <c r="DY78" s="132"/>
      <c r="DZ78" s="132"/>
      <c r="EA78" s="132"/>
      <c r="EB78" s="132"/>
      <c r="EC78" s="132"/>
      <c r="ED78" s="132"/>
      <c r="EE78" s="132"/>
      <c r="EF78" s="132"/>
      <c r="EG78" s="132"/>
      <c r="EH78" s="132"/>
      <c r="EI78" s="132"/>
      <c r="EJ78" s="132"/>
      <c r="EK78" s="132"/>
      <c r="EL78" s="132"/>
      <c r="EM78" s="132"/>
      <c r="EN78" s="132"/>
      <c r="EO78" s="132"/>
      <c r="EP78" s="132"/>
      <c r="EQ78" s="132"/>
      <c r="ER78" s="132"/>
      <c r="ES78" s="132"/>
      <c r="ET78" s="11"/>
      <c r="EU78" s="11"/>
      <c r="EV78" s="11"/>
      <c r="EW78" s="11"/>
      <c r="EX78" s="11"/>
      <c r="EY78" s="11"/>
      <c r="EZ78" s="11"/>
      <c r="FA78" s="11"/>
      <c r="FB78" s="11"/>
      <c r="FC78" s="11"/>
      <c r="FD78" s="11"/>
      <c r="FE78" s="11"/>
      <c r="FF78" s="11"/>
      <c r="FG78" s="11"/>
      <c r="FH78" s="39">
        <f t="shared" si="27"/>
        <v>1011500</v>
      </c>
      <c r="FI78" s="33">
        <f t="shared" si="28"/>
        <v>2</v>
      </c>
      <c r="FJ78" s="84">
        <f t="shared" si="29"/>
        <v>505750</v>
      </c>
    </row>
    <row r="79" spans="1:166" ht="13.5" x14ac:dyDescent="0.25">
      <c r="A79" s="79" t="e">
        <f>#REF!</f>
        <v>#REF!</v>
      </c>
      <c r="B79" s="75" t="e">
        <f>#REF!</f>
        <v>#REF!</v>
      </c>
      <c r="C79" s="75" t="e">
        <f>#REF!</f>
        <v>#REF!</v>
      </c>
      <c r="D79" s="75" t="e">
        <f>#REF!</f>
        <v>#REF!</v>
      </c>
      <c r="E79" s="30">
        <v>1</v>
      </c>
      <c r="F79" s="238">
        <v>0</v>
      </c>
      <c r="G79" s="241">
        <v>0</v>
      </c>
      <c r="H79" s="249">
        <v>0</v>
      </c>
      <c r="I79" s="249">
        <v>0</v>
      </c>
      <c r="J79" s="249">
        <v>0</v>
      </c>
      <c r="K79" s="249">
        <v>0</v>
      </c>
      <c r="L79" s="274"/>
      <c r="M79" s="274"/>
      <c r="N79" s="245"/>
      <c r="O79" s="113"/>
      <c r="P79" s="113"/>
      <c r="Q79" s="131"/>
      <c r="R79" s="131"/>
      <c r="S79" s="64"/>
      <c r="T79" s="113"/>
      <c r="U79" s="113"/>
      <c r="V79" s="113"/>
      <c r="W79" s="131"/>
      <c r="X79" s="131"/>
      <c r="Y79" s="11"/>
      <c r="Z79" s="113"/>
      <c r="AA79" s="113"/>
      <c r="AB79" s="113"/>
      <c r="AC79" s="52"/>
      <c r="AD79" s="52"/>
      <c r="AE79" s="11"/>
      <c r="AF79" s="113"/>
      <c r="AG79" s="144"/>
      <c r="AH79" s="113"/>
      <c r="AI79" s="11"/>
      <c r="AJ79" s="11"/>
      <c r="AK79" s="39"/>
      <c r="AL79" s="113"/>
      <c r="AM79" s="113"/>
      <c r="AN79" s="147"/>
      <c r="AO79" s="24"/>
      <c r="AP79" s="39"/>
      <c r="AQ79" s="39"/>
      <c r="AR79" s="275"/>
      <c r="AS79" s="158"/>
      <c r="AT79" s="159"/>
      <c r="AU79" s="62"/>
      <c r="AV79" s="62"/>
      <c r="AW79" s="31"/>
      <c r="AX79" s="116"/>
      <c r="AY79" s="116"/>
      <c r="AZ79" s="143"/>
      <c r="BA79" s="191"/>
      <c r="BB79" s="132"/>
      <c r="BC79" s="132"/>
      <c r="BD79" s="275"/>
      <c r="BE79" s="143"/>
      <c r="BF79" s="143"/>
      <c r="BG79" s="132"/>
      <c r="BH79" s="132"/>
      <c r="BI79" s="132"/>
      <c r="BJ79" s="143"/>
      <c r="BK79" s="143"/>
      <c r="BL79" s="143"/>
      <c r="BM79" s="132"/>
      <c r="BN79" s="132"/>
      <c r="BO79" s="132"/>
      <c r="BP79" s="143"/>
      <c r="BQ79" s="132"/>
      <c r="BR79" s="132"/>
      <c r="BS79" s="132"/>
      <c r="BT79" s="132"/>
      <c r="BU79" s="132"/>
      <c r="BV79" s="267">
        <v>927500</v>
      </c>
      <c r="BW79" s="144">
        <f>BV79*19%</f>
        <v>176225</v>
      </c>
      <c r="BX79" s="113">
        <f>+BV79+BW79</f>
        <v>1103725</v>
      </c>
      <c r="BY79" s="264" t="s">
        <v>194</v>
      </c>
      <c r="BZ79" s="264" t="s">
        <v>112</v>
      </c>
      <c r="CA79" s="132"/>
      <c r="CB79" s="275"/>
      <c r="CC79" s="143"/>
      <c r="CD79" s="275"/>
      <c r="CE79" s="132"/>
      <c r="CF79" s="132"/>
      <c r="CG79" s="132"/>
      <c r="CH79" s="268"/>
      <c r="CI79" s="265"/>
      <c r="CJ79" s="263"/>
      <c r="CK79" s="264"/>
      <c r="CL79" s="264"/>
      <c r="CM79" s="132"/>
      <c r="CN79" s="275"/>
      <c r="CO79" s="143"/>
      <c r="CP79" s="275"/>
      <c r="CQ79" s="132"/>
      <c r="CR79" s="132"/>
      <c r="CS79" s="132"/>
      <c r="CT79" s="144">
        <v>201000</v>
      </c>
      <c r="CU79" s="143">
        <v>38190</v>
      </c>
      <c r="CV79" s="144">
        <f t="shared" si="32"/>
        <v>239190</v>
      </c>
      <c r="CW79" s="132"/>
      <c r="CX79" s="132"/>
      <c r="CY79" s="132"/>
      <c r="CZ79" s="113"/>
      <c r="DA79" s="143"/>
      <c r="DB79" s="113"/>
      <c r="DC79" s="33"/>
      <c r="DD79" s="39"/>
      <c r="DE79" s="11"/>
      <c r="DF79" s="132"/>
      <c r="DG79" s="132"/>
      <c r="DH79" s="132"/>
      <c r="DI79" s="132"/>
      <c r="DJ79" s="132"/>
      <c r="DK79" s="132"/>
      <c r="DL79" s="132"/>
      <c r="DM79" s="132"/>
      <c r="DN79" s="132"/>
      <c r="DO79" s="132"/>
      <c r="DP79" s="132"/>
      <c r="DQ79" s="132"/>
      <c r="DR79" s="132"/>
      <c r="DS79" s="132"/>
      <c r="DT79" s="132"/>
      <c r="DU79" s="132"/>
      <c r="DV79" s="132"/>
      <c r="DW79" s="132"/>
      <c r="DX79" s="132"/>
      <c r="DY79" s="132"/>
      <c r="DZ79" s="132"/>
      <c r="EA79" s="132"/>
      <c r="EB79" s="132"/>
      <c r="EC79" s="132"/>
      <c r="ED79" s="132"/>
      <c r="EE79" s="132"/>
      <c r="EF79" s="132"/>
      <c r="EG79" s="132"/>
      <c r="EH79" s="132"/>
      <c r="EI79" s="132"/>
      <c r="EJ79" s="132"/>
      <c r="EK79" s="132"/>
      <c r="EL79" s="132"/>
      <c r="EM79" s="132"/>
      <c r="EN79" s="132"/>
      <c r="EO79" s="132"/>
      <c r="EP79" s="132"/>
      <c r="EQ79" s="132"/>
      <c r="ER79" s="132"/>
      <c r="ES79" s="132"/>
      <c r="ET79" s="11"/>
      <c r="EU79" s="11"/>
      <c r="EV79" s="11"/>
      <c r="EW79" s="11"/>
      <c r="EX79" s="11"/>
      <c r="EY79" s="11"/>
      <c r="EZ79" s="11"/>
      <c r="FA79" s="11"/>
      <c r="FB79" s="11"/>
      <c r="FC79" s="11"/>
      <c r="FD79" s="11"/>
      <c r="FE79" s="11"/>
      <c r="FF79" s="11"/>
      <c r="FG79" s="11"/>
      <c r="FH79" s="39">
        <f t="shared" si="27"/>
        <v>1342915</v>
      </c>
      <c r="FI79" s="33">
        <f t="shared" si="28"/>
        <v>2</v>
      </c>
      <c r="FJ79" s="84">
        <f t="shared" si="29"/>
        <v>671457.5</v>
      </c>
    </row>
    <row r="80" spans="1:166" ht="13.5" x14ac:dyDescent="0.25">
      <c r="A80" s="79" t="e">
        <f>#REF!</f>
        <v>#REF!</v>
      </c>
      <c r="B80" s="75" t="e">
        <f>#REF!</f>
        <v>#REF!</v>
      </c>
      <c r="C80" s="75" t="e">
        <f>#REF!</f>
        <v>#REF!</v>
      </c>
      <c r="D80" s="75" t="e">
        <f>#REF!</f>
        <v>#REF!</v>
      </c>
      <c r="E80" s="30">
        <v>1</v>
      </c>
      <c r="F80" s="238">
        <v>0</v>
      </c>
      <c r="G80" s="241">
        <v>0</v>
      </c>
      <c r="H80" s="249">
        <v>0</v>
      </c>
      <c r="I80" s="249">
        <v>0</v>
      </c>
      <c r="J80" s="249">
        <v>0</v>
      </c>
      <c r="K80" s="249">
        <v>0</v>
      </c>
      <c r="L80" s="274"/>
      <c r="M80" s="274"/>
      <c r="N80" s="245"/>
      <c r="O80" s="113"/>
      <c r="P80" s="113"/>
      <c r="Q80" s="131"/>
      <c r="R80" s="131"/>
      <c r="S80" s="64"/>
      <c r="T80" s="113"/>
      <c r="U80" s="113"/>
      <c r="V80" s="113"/>
      <c r="W80" s="131"/>
      <c r="X80" s="131"/>
      <c r="Y80" s="11"/>
      <c r="Z80" s="113"/>
      <c r="AA80" s="113"/>
      <c r="AB80" s="113"/>
      <c r="AC80" s="52"/>
      <c r="AD80" s="52"/>
      <c r="AE80" s="11"/>
      <c r="AF80" s="118"/>
      <c r="AG80" s="144"/>
      <c r="AH80" s="113"/>
      <c r="AI80" s="11"/>
      <c r="AJ80" s="11"/>
      <c r="AK80" s="39"/>
      <c r="AL80" s="113"/>
      <c r="AM80" s="113"/>
      <c r="AN80" s="147"/>
      <c r="AO80" s="76"/>
      <c r="AP80" s="39"/>
      <c r="AQ80" s="39"/>
      <c r="AR80" s="275">
        <v>1400000</v>
      </c>
      <c r="AS80" s="113">
        <f>+AR80*0.19</f>
        <v>266000</v>
      </c>
      <c r="AT80" s="119">
        <f>+AR80+AS80</f>
        <v>1666000</v>
      </c>
      <c r="AU80" s="62" t="s">
        <v>195</v>
      </c>
      <c r="AV80" s="48" t="s">
        <v>123</v>
      </c>
      <c r="AW80" s="31"/>
      <c r="AX80" s="116"/>
      <c r="AY80" s="196"/>
      <c r="AZ80" s="143"/>
      <c r="BA80" s="191"/>
      <c r="BB80" s="132"/>
      <c r="BC80" s="132"/>
      <c r="BD80" s="274"/>
      <c r="BE80" s="143"/>
      <c r="BF80" s="143"/>
      <c r="BG80" s="132"/>
      <c r="BH80" s="132"/>
      <c r="BI80" s="132"/>
      <c r="BJ80" s="143"/>
      <c r="BK80" s="143"/>
      <c r="BL80" s="143"/>
      <c r="BM80" s="132"/>
      <c r="BN80" s="132"/>
      <c r="BO80" s="132"/>
      <c r="BP80" s="143"/>
      <c r="BQ80" s="132"/>
      <c r="BR80" s="132"/>
      <c r="BS80" s="132"/>
      <c r="BT80" s="39"/>
      <c r="BU80" s="39"/>
      <c r="BV80" s="267">
        <v>1000000</v>
      </c>
      <c r="BW80" s="144">
        <f>BV80*19%</f>
        <v>190000</v>
      </c>
      <c r="BX80" s="113">
        <f>+BV80+BW80</f>
        <v>1190000</v>
      </c>
      <c r="BY80" s="264" t="s">
        <v>196</v>
      </c>
      <c r="BZ80" s="264" t="s">
        <v>112</v>
      </c>
      <c r="CA80" s="132"/>
      <c r="CB80" s="274"/>
      <c r="CC80" s="144"/>
      <c r="CD80" s="274"/>
      <c r="CE80" s="132"/>
      <c r="CF80" s="132"/>
      <c r="CG80" s="132"/>
      <c r="CH80" s="268"/>
      <c r="CI80" s="265"/>
      <c r="CJ80" s="263"/>
      <c r="CK80" s="264"/>
      <c r="CL80" s="264"/>
      <c r="CM80" s="132"/>
      <c r="CN80" s="274"/>
      <c r="CO80" s="144"/>
      <c r="CP80" s="274"/>
      <c r="CQ80" s="132"/>
      <c r="CR80" s="132"/>
      <c r="CS80" s="132"/>
      <c r="CT80" s="274">
        <v>209000</v>
      </c>
      <c r="CU80" s="144">
        <v>39710</v>
      </c>
      <c r="CV80" s="144">
        <f t="shared" si="32"/>
        <v>248710</v>
      </c>
      <c r="CW80" s="132"/>
      <c r="CX80" s="132"/>
      <c r="CY80" s="132"/>
      <c r="CZ80" s="118"/>
      <c r="DA80" s="144"/>
      <c r="DB80" s="118"/>
      <c r="DC80" s="33"/>
      <c r="DD80" s="39"/>
      <c r="DE80" s="11"/>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1"/>
      <c r="EU80" s="11"/>
      <c r="EV80" s="11"/>
      <c r="EW80" s="11"/>
      <c r="EX80" s="11"/>
      <c r="EY80" s="11"/>
      <c r="EZ80" s="11"/>
      <c r="FA80" s="11"/>
      <c r="FB80" s="11"/>
      <c r="FC80" s="11"/>
      <c r="FD80" s="11"/>
      <c r="FE80" s="11"/>
      <c r="FF80" s="11"/>
      <c r="FG80" s="11"/>
      <c r="FH80" s="39">
        <f t="shared" si="27"/>
        <v>3104710</v>
      </c>
      <c r="FI80" s="33">
        <f t="shared" si="28"/>
        <v>3</v>
      </c>
      <c r="FJ80" s="84">
        <f t="shared" si="29"/>
        <v>1034903.3333333334</v>
      </c>
    </row>
    <row r="81" spans="1:166" x14ac:dyDescent="0.25">
      <c r="A81" s="79" t="e">
        <f>#REF!</f>
        <v>#REF!</v>
      </c>
      <c r="B81" s="75" t="e">
        <f>#REF!</f>
        <v>#REF!</v>
      </c>
      <c r="C81" s="75" t="e">
        <f>#REF!</f>
        <v>#REF!</v>
      </c>
      <c r="D81" s="75" t="e">
        <f>#REF!</f>
        <v>#REF!</v>
      </c>
      <c r="E81" s="30">
        <v>1</v>
      </c>
      <c r="F81" s="238">
        <v>1237500</v>
      </c>
      <c r="G81" s="241">
        <v>0</v>
      </c>
      <c r="H81" s="249">
        <v>0</v>
      </c>
      <c r="I81" s="249">
        <v>0</v>
      </c>
      <c r="J81" s="249">
        <v>571200</v>
      </c>
      <c r="K81" s="249">
        <v>0</v>
      </c>
      <c r="L81" s="274">
        <f>AVERAGE(F81,J81)</f>
        <v>904350</v>
      </c>
      <c r="M81" s="274"/>
      <c r="N81" s="245"/>
      <c r="O81" s="113"/>
      <c r="P81" s="113"/>
      <c r="Q81" s="131"/>
      <c r="R81" s="131"/>
      <c r="S81" s="64"/>
      <c r="T81" s="113"/>
      <c r="U81" s="113"/>
      <c r="V81" s="113"/>
      <c r="W81" s="131"/>
      <c r="X81" s="131"/>
      <c r="Y81" s="11"/>
      <c r="Z81" s="113">
        <v>534000</v>
      </c>
      <c r="AA81" s="113">
        <v>0</v>
      </c>
      <c r="AB81" s="113">
        <f>+Z81+AA81</f>
        <v>534000</v>
      </c>
      <c r="AC81" s="52" t="s">
        <v>197</v>
      </c>
      <c r="AD81" s="52" t="s">
        <v>198</v>
      </c>
      <c r="AE81" s="11"/>
      <c r="AF81" s="118"/>
      <c r="AG81" s="144"/>
      <c r="AH81" s="113"/>
      <c r="AI81" s="11"/>
      <c r="AJ81" s="11"/>
      <c r="AK81" s="39"/>
      <c r="AL81" s="113"/>
      <c r="AM81" s="113"/>
      <c r="AN81" s="147"/>
      <c r="AO81" s="76"/>
      <c r="AP81" s="39"/>
      <c r="AQ81" s="39"/>
      <c r="AR81" s="275"/>
      <c r="AS81" s="160"/>
      <c r="AT81" s="157"/>
      <c r="AU81" s="62"/>
      <c r="AV81" s="62"/>
      <c r="AW81" s="31"/>
      <c r="AX81" s="116"/>
      <c r="AY81" s="196"/>
      <c r="AZ81" s="143"/>
      <c r="BA81" s="191"/>
      <c r="BB81" s="132"/>
      <c r="BC81" s="132"/>
      <c r="BD81" s="274"/>
      <c r="BE81" s="143"/>
      <c r="BF81" s="143"/>
      <c r="BG81" s="132"/>
      <c r="BH81" s="132"/>
      <c r="BI81" s="132"/>
      <c r="BJ81" s="143"/>
      <c r="BK81" s="143"/>
      <c r="BL81" s="143"/>
      <c r="BM81" s="132"/>
      <c r="BN81" s="132"/>
      <c r="BO81" s="132"/>
      <c r="BP81" s="143"/>
      <c r="BQ81" s="132"/>
      <c r="BR81" s="132"/>
      <c r="BS81" s="132"/>
      <c r="BT81" s="132"/>
      <c r="BU81" s="132"/>
      <c r="BV81" s="211"/>
      <c r="BW81" s="144"/>
      <c r="BX81" s="113"/>
      <c r="BY81" s="273"/>
      <c r="BZ81" s="273"/>
      <c r="CA81" s="132"/>
      <c r="CB81" s="274"/>
      <c r="CC81" s="144"/>
      <c r="CD81" s="274"/>
      <c r="CE81" s="132"/>
      <c r="CF81" s="132"/>
      <c r="CG81" s="36"/>
      <c r="CH81" s="210"/>
      <c r="CI81" s="219"/>
      <c r="CJ81" s="210"/>
      <c r="CK81" s="273"/>
      <c r="CL81" s="273"/>
      <c r="CM81" s="132"/>
      <c r="CN81" s="274"/>
      <c r="CO81" s="144"/>
      <c r="CP81" s="274"/>
      <c r="CQ81" s="132"/>
      <c r="CR81" s="132"/>
      <c r="CS81" s="132"/>
      <c r="CT81" s="274">
        <v>1312000</v>
      </c>
      <c r="CU81" s="144">
        <v>249280</v>
      </c>
      <c r="CV81" s="144">
        <f t="shared" si="32"/>
        <v>1561280</v>
      </c>
      <c r="CW81" s="132"/>
      <c r="CX81" s="132"/>
      <c r="CY81" s="132"/>
      <c r="CZ81" s="118"/>
      <c r="DA81" s="144"/>
      <c r="DB81" s="118"/>
      <c r="DC81" s="33"/>
      <c r="DD81" s="39"/>
      <c r="DE81" s="11"/>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1"/>
      <c r="EU81" s="11"/>
      <c r="EV81" s="11"/>
      <c r="EW81" s="11"/>
      <c r="EX81" s="11"/>
      <c r="EY81" s="11"/>
      <c r="EZ81" s="11"/>
      <c r="FA81" s="11"/>
      <c r="FB81" s="11"/>
      <c r="FC81" s="11"/>
      <c r="FD81" s="11"/>
      <c r="FE81" s="11"/>
      <c r="FF81" s="11"/>
      <c r="FG81" s="11"/>
      <c r="FH81" s="39">
        <f t="shared" si="27"/>
        <v>2095280</v>
      </c>
      <c r="FI81" s="33">
        <f t="shared" si="28"/>
        <v>2</v>
      </c>
      <c r="FJ81" s="84">
        <f t="shared" si="29"/>
        <v>1047640</v>
      </c>
    </row>
    <row r="82" spans="1:166" x14ac:dyDescent="0.25">
      <c r="A82" s="79" t="e">
        <f>#REF!</f>
        <v>#REF!</v>
      </c>
      <c r="B82" s="75" t="e">
        <f>#REF!</f>
        <v>#REF!</v>
      </c>
      <c r="C82" s="75" t="e">
        <f>#REF!</f>
        <v>#REF!</v>
      </c>
      <c r="D82" s="75" t="e">
        <f>#REF!</f>
        <v>#REF!</v>
      </c>
      <c r="E82" s="30">
        <v>1</v>
      </c>
      <c r="F82" s="238">
        <v>0</v>
      </c>
      <c r="G82" s="241">
        <v>0</v>
      </c>
      <c r="H82" s="249">
        <v>0</v>
      </c>
      <c r="I82" s="249">
        <v>0</v>
      </c>
      <c r="J82" s="249">
        <v>922250</v>
      </c>
      <c r="K82" s="249">
        <v>0</v>
      </c>
      <c r="L82" s="274">
        <f>J82</f>
        <v>922250</v>
      </c>
      <c r="M82" s="274"/>
      <c r="N82" s="245"/>
      <c r="O82" s="113"/>
      <c r="P82" s="113"/>
      <c r="Q82" s="131"/>
      <c r="R82" s="131"/>
      <c r="S82" s="64"/>
      <c r="T82" s="113"/>
      <c r="U82" s="113"/>
      <c r="V82" s="113"/>
      <c r="W82" s="131"/>
      <c r="X82" s="131"/>
      <c r="Y82" s="11"/>
      <c r="Z82" s="113"/>
      <c r="AA82" s="113"/>
      <c r="AB82" s="113"/>
      <c r="AC82" s="52"/>
      <c r="AD82" s="52"/>
      <c r="AE82" s="11"/>
      <c r="AF82" s="118"/>
      <c r="AG82" s="144"/>
      <c r="AH82" s="113"/>
      <c r="AI82" s="11"/>
      <c r="AJ82" s="11"/>
      <c r="AK82" s="39"/>
      <c r="AL82" s="113"/>
      <c r="AM82" s="113"/>
      <c r="AN82" s="147"/>
      <c r="AO82" s="76"/>
      <c r="AP82" s="39"/>
      <c r="AQ82" s="39"/>
      <c r="AR82" s="275"/>
      <c r="AS82" s="160"/>
      <c r="AT82" s="157"/>
      <c r="AU82" s="62"/>
      <c r="AV82" s="62"/>
      <c r="AW82" s="31"/>
      <c r="AX82" s="116"/>
      <c r="AY82" s="196"/>
      <c r="AZ82" s="143"/>
      <c r="BA82" s="191"/>
      <c r="BB82" s="132"/>
      <c r="BC82" s="132"/>
      <c r="BD82" s="274"/>
      <c r="BE82" s="143"/>
      <c r="BF82" s="143"/>
      <c r="BG82" s="132"/>
      <c r="BH82" s="132"/>
      <c r="BI82" s="132"/>
      <c r="BJ82" s="143"/>
      <c r="BK82" s="143"/>
      <c r="BL82" s="143"/>
      <c r="BM82" s="132"/>
      <c r="BN82" s="132"/>
      <c r="BO82" s="132"/>
      <c r="BP82" s="143"/>
      <c r="BQ82" s="132"/>
      <c r="BR82" s="132"/>
      <c r="BS82" s="132"/>
      <c r="BT82" s="132"/>
      <c r="BU82" s="132"/>
      <c r="BV82" s="211"/>
      <c r="BW82" s="144"/>
      <c r="BX82" s="113"/>
      <c r="BY82" s="273"/>
      <c r="BZ82" s="273"/>
      <c r="CA82" s="132"/>
      <c r="CB82" s="274"/>
      <c r="CC82" s="144"/>
      <c r="CD82" s="274"/>
      <c r="CE82" s="132"/>
      <c r="CF82" s="132"/>
      <c r="CG82" s="36"/>
      <c r="CH82" s="210"/>
      <c r="CI82" s="219"/>
      <c r="CJ82" s="210"/>
      <c r="CK82" s="273"/>
      <c r="CL82" s="273"/>
      <c r="CM82" s="132"/>
      <c r="CN82" s="274"/>
      <c r="CO82" s="144"/>
      <c r="CP82" s="274"/>
      <c r="CQ82" s="132"/>
      <c r="CR82" s="132"/>
      <c r="CS82" s="132"/>
      <c r="CT82" s="274">
        <v>686000</v>
      </c>
      <c r="CU82" s="144">
        <v>130340</v>
      </c>
      <c r="CV82" s="144">
        <f t="shared" si="32"/>
        <v>816340</v>
      </c>
      <c r="CW82" s="132"/>
      <c r="CX82" s="132"/>
      <c r="CY82" s="132"/>
      <c r="CZ82" s="118"/>
      <c r="DA82" s="144"/>
      <c r="DB82" s="118"/>
      <c r="DC82" s="33"/>
      <c r="DD82" s="39"/>
      <c r="DE82" s="11"/>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1"/>
      <c r="EU82" s="11"/>
      <c r="EV82" s="11"/>
      <c r="EW82" s="11"/>
      <c r="EX82" s="11"/>
      <c r="EY82" s="11"/>
      <c r="EZ82" s="11"/>
      <c r="FA82" s="11"/>
      <c r="FB82" s="11"/>
      <c r="FC82" s="11"/>
      <c r="FD82" s="11"/>
      <c r="FE82" s="11"/>
      <c r="FF82" s="11"/>
      <c r="FG82" s="11"/>
      <c r="FH82" s="39">
        <f t="shared" si="27"/>
        <v>816340</v>
      </c>
      <c r="FI82" s="33">
        <f t="shared" si="28"/>
        <v>1</v>
      </c>
      <c r="FJ82" s="84">
        <f t="shared" si="29"/>
        <v>816340</v>
      </c>
    </row>
    <row r="83" spans="1:166" x14ac:dyDescent="0.25">
      <c r="A83" s="79" t="e">
        <f>#REF!</f>
        <v>#REF!</v>
      </c>
      <c r="B83" s="75" t="e">
        <f>#REF!</f>
        <v>#REF!</v>
      </c>
      <c r="C83" s="75" t="e">
        <f>#REF!</f>
        <v>#REF!</v>
      </c>
      <c r="D83" s="75" t="e">
        <f>#REF!</f>
        <v>#REF!</v>
      </c>
      <c r="E83" s="30">
        <v>1</v>
      </c>
      <c r="F83" s="238">
        <v>0</v>
      </c>
      <c r="G83" s="241">
        <v>0</v>
      </c>
      <c r="H83" s="249">
        <v>0</v>
      </c>
      <c r="I83" s="249">
        <v>0</v>
      </c>
      <c r="J83" s="249">
        <v>922250</v>
      </c>
      <c r="K83" s="249">
        <v>0</v>
      </c>
      <c r="L83" s="274">
        <f>J83</f>
        <v>922250</v>
      </c>
      <c r="M83" s="274"/>
      <c r="N83" s="245"/>
      <c r="O83" s="113"/>
      <c r="P83" s="113"/>
      <c r="Q83" s="131"/>
      <c r="R83" s="131"/>
      <c r="S83" s="64"/>
      <c r="T83" s="113"/>
      <c r="U83" s="113"/>
      <c r="V83" s="113"/>
      <c r="W83" s="131"/>
      <c r="X83" s="131"/>
      <c r="Y83" s="11"/>
      <c r="Z83" s="113"/>
      <c r="AA83" s="113"/>
      <c r="AB83" s="113"/>
      <c r="AC83" s="52"/>
      <c r="AD83" s="52"/>
      <c r="AE83" s="11"/>
      <c r="AF83" s="118"/>
      <c r="AG83" s="144"/>
      <c r="AH83" s="113"/>
      <c r="AI83" s="11"/>
      <c r="AJ83" s="11"/>
      <c r="AK83" s="39"/>
      <c r="AL83" s="113"/>
      <c r="AM83" s="113"/>
      <c r="AN83" s="147"/>
      <c r="AO83" s="76"/>
      <c r="AP83" s="39"/>
      <c r="AQ83" s="39"/>
      <c r="AR83" s="275"/>
      <c r="AS83" s="160"/>
      <c r="AT83" s="157"/>
      <c r="AU83" s="62"/>
      <c r="AV83" s="62"/>
      <c r="AW83" s="31"/>
      <c r="AX83" s="116"/>
      <c r="AY83" s="196"/>
      <c r="AZ83" s="143"/>
      <c r="BA83" s="191"/>
      <c r="BB83" s="132"/>
      <c r="BC83" s="132"/>
      <c r="BD83" s="274"/>
      <c r="BE83" s="143"/>
      <c r="BF83" s="143"/>
      <c r="BG83" s="132"/>
      <c r="BH83" s="132"/>
      <c r="BI83" s="132"/>
      <c r="BJ83" s="143"/>
      <c r="BK83" s="143"/>
      <c r="BL83" s="143"/>
      <c r="BM83" s="132"/>
      <c r="BN83" s="132"/>
      <c r="BO83" s="132"/>
      <c r="BP83" s="143"/>
      <c r="BQ83" s="132"/>
      <c r="BR83" s="132"/>
      <c r="BS83" s="132"/>
      <c r="BT83" s="132"/>
      <c r="BU83" s="132"/>
      <c r="BV83" s="211"/>
      <c r="BW83" s="144"/>
      <c r="BX83" s="113"/>
      <c r="BY83" s="273"/>
      <c r="BZ83" s="273"/>
      <c r="CA83" s="132"/>
      <c r="CB83" s="274"/>
      <c r="CC83" s="144"/>
      <c r="CD83" s="274"/>
      <c r="CE83" s="132"/>
      <c r="CF83" s="132"/>
      <c r="CG83" s="36"/>
      <c r="CH83" s="210"/>
      <c r="CI83" s="219"/>
      <c r="CJ83" s="210"/>
      <c r="CK83" s="273"/>
      <c r="CL83" s="273"/>
      <c r="CM83" s="132"/>
      <c r="CN83" s="274"/>
      <c r="CO83" s="144"/>
      <c r="CP83" s="274"/>
      <c r="CQ83" s="132"/>
      <c r="CR83" s="132"/>
      <c r="CS83" s="132"/>
      <c r="CT83" s="274">
        <v>938000</v>
      </c>
      <c r="CU83" s="144">
        <v>178220</v>
      </c>
      <c r="CV83" s="144">
        <f t="shared" si="32"/>
        <v>1116220</v>
      </c>
      <c r="CW83" s="132"/>
      <c r="CX83" s="132"/>
      <c r="CY83" s="132"/>
      <c r="CZ83" s="118"/>
      <c r="DA83" s="144"/>
      <c r="DB83" s="118"/>
      <c r="DC83" s="33"/>
      <c r="DD83" s="39"/>
      <c r="DE83" s="11"/>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1"/>
      <c r="EU83" s="11"/>
      <c r="EV83" s="11"/>
      <c r="EW83" s="11"/>
      <c r="EX83" s="11"/>
      <c r="EY83" s="11"/>
      <c r="EZ83" s="11"/>
      <c r="FA83" s="11"/>
      <c r="FB83" s="11"/>
      <c r="FC83" s="11"/>
      <c r="FD83" s="11"/>
      <c r="FE83" s="11"/>
      <c r="FF83" s="11"/>
      <c r="FG83" s="11"/>
      <c r="FH83" s="39">
        <f t="shared" si="27"/>
        <v>1116220</v>
      </c>
      <c r="FI83" s="33">
        <f t="shared" si="28"/>
        <v>1</v>
      </c>
      <c r="FJ83" s="84">
        <f t="shared" si="29"/>
        <v>1116220</v>
      </c>
    </row>
    <row r="84" spans="1:166" x14ac:dyDescent="0.25">
      <c r="A84" s="79" t="e">
        <f>#REF!</f>
        <v>#REF!</v>
      </c>
      <c r="B84" s="75" t="e">
        <f>#REF!</f>
        <v>#REF!</v>
      </c>
      <c r="C84" s="75" t="e">
        <f>#REF!</f>
        <v>#REF!</v>
      </c>
      <c r="D84" s="75" t="e">
        <f>#REF!</f>
        <v>#REF!</v>
      </c>
      <c r="E84" s="30">
        <v>1</v>
      </c>
      <c r="F84" s="238">
        <v>0</v>
      </c>
      <c r="G84" s="241">
        <v>0</v>
      </c>
      <c r="H84" s="249">
        <v>0</v>
      </c>
      <c r="I84" s="249">
        <v>0</v>
      </c>
      <c r="J84" s="249">
        <v>922250</v>
      </c>
      <c r="K84" s="249">
        <v>0</v>
      </c>
      <c r="L84" s="274">
        <f>J84</f>
        <v>922250</v>
      </c>
      <c r="M84" s="274"/>
      <c r="N84" s="245"/>
      <c r="O84" s="113"/>
      <c r="P84" s="113"/>
      <c r="Q84" s="131"/>
      <c r="R84" s="131"/>
      <c r="S84" s="64"/>
      <c r="T84" s="113"/>
      <c r="U84" s="113"/>
      <c r="V84" s="113"/>
      <c r="W84" s="131"/>
      <c r="X84" s="131"/>
      <c r="Y84" s="11"/>
      <c r="Z84" s="113"/>
      <c r="AA84" s="113"/>
      <c r="AB84" s="113"/>
      <c r="AC84" s="52"/>
      <c r="AD84" s="52"/>
      <c r="AE84" s="11"/>
      <c r="AF84" s="118"/>
      <c r="AG84" s="144"/>
      <c r="AH84" s="113"/>
      <c r="AI84" s="11"/>
      <c r="AJ84" s="11"/>
      <c r="AK84" s="39"/>
      <c r="AL84" s="113"/>
      <c r="AM84" s="113"/>
      <c r="AN84" s="147"/>
      <c r="AO84" s="76"/>
      <c r="AP84" s="39"/>
      <c r="AQ84" s="39"/>
      <c r="AR84" s="275"/>
      <c r="AS84" s="160"/>
      <c r="AT84" s="157"/>
      <c r="AU84" s="62"/>
      <c r="AV84" s="62"/>
      <c r="AW84" s="31"/>
      <c r="AX84" s="116"/>
      <c r="AY84" s="196"/>
      <c r="AZ84" s="143"/>
      <c r="BA84" s="191"/>
      <c r="BB84" s="132"/>
      <c r="BC84" s="132"/>
      <c r="BD84" s="274"/>
      <c r="BE84" s="143"/>
      <c r="BF84" s="143"/>
      <c r="BG84" s="132"/>
      <c r="BH84" s="132"/>
      <c r="BI84" s="132"/>
      <c r="BJ84" s="143"/>
      <c r="BK84" s="143"/>
      <c r="BL84" s="143"/>
      <c r="BM84" s="132"/>
      <c r="BN84" s="132"/>
      <c r="BO84" s="132"/>
      <c r="BP84" s="143"/>
      <c r="BQ84" s="132"/>
      <c r="BR84" s="132"/>
      <c r="BS84" s="132"/>
      <c r="BT84" s="132"/>
      <c r="BU84" s="132"/>
      <c r="BV84" s="211"/>
      <c r="BW84" s="144"/>
      <c r="BX84" s="113"/>
      <c r="BY84" s="273"/>
      <c r="BZ84" s="273"/>
      <c r="CA84" s="132"/>
      <c r="CB84" s="274"/>
      <c r="CC84" s="144"/>
      <c r="CD84" s="274"/>
      <c r="CE84" s="132"/>
      <c r="CF84" s="132"/>
      <c r="CG84" s="36"/>
      <c r="CH84" s="210"/>
      <c r="CI84" s="219"/>
      <c r="CJ84" s="210"/>
      <c r="CK84" s="273"/>
      <c r="CL84" s="273"/>
      <c r="CM84" s="132"/>
      <c r="CN84" s="274"/>
      <c r="CO84" s="144"/>
      <c r="CP84" s="274"/>
      <c r="CQ84" s="132"/>
      <c r="CR84" s="132"/>
      <c r="CS84" s="132"/>
      <c r="CT84" s="274">
        <v>85000</v>
      </c>
      <c r="CU84" s="144">
        <v>16150</v>
      </c>
      <c r="CV84" s="144">
        <f t="shared" si="32"/>
        <v>101150</v>
      </c>
      <c r="CW84" s="132"/>
      <c r="CX84" s="132"/>
      <c r="CY84" s="132"/>
      <c r="CZ84" s="118"/>
      <c r="DA84" s="144"/>
      <c r="DB84" s="118"/>
      <c r="DC84" s="33"/>
      <c r="DD84" s="39"/>
      <c r="DE84" s="11"/>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c r="EH84" s="132"/>
      <c r="EI84" s="132"/>
      <c r="EJ84" s="132"/>
      <c r="EK84" s="132"/>
      <c r="EL84" s="132"/>
      <c r="EM84" s="132"/>
      <c r="EN84" s="132"/>
      <c r="EO84" s="132"/>
      <c r="EP84" s="132"/>
      <c r="EQ84" s="132"/>
      <c r="ER84" s="132"/>
      <c r="ES84" s="132"/>
      <c r="ET84" s="11"/>
      <c r="EU84" s="11"/>
      <c r="EV84" s="11"/>
      <c r="EW84" s="11"/>
      <c r="EX84" s="11"/>
      <c r="EY84" s="11"/>
      <c r="EZ84" s="11"/>
      <c r="FA84" s="11"/>
      <c r="FB84" s="11"/>
      <c r="FC84" s="11"/>
      <c r="FD84" s="11"/>
      <c r="FE84" s="11"/>
      <c r="FF84" s="11"/>
      <c r="FG84" s="11"/>
      <c r="FH84" s="39">
        <f t="shared" si="27"/>
        <v>101150</v>
      </c>
      <c r="FI84" s="33">
        <f t="shared" si="28"/>
        <v>1</v>
      </c>
      <c r="FJ84" s="84">
        <f t="shared" si="29"/>
        <v>101150</v>
      </c>
    </row>
    <row r="85" spans="1:166" x14ac:dyDescent="0.25">
      <c r="A85" s="79" t="e">
        <f>#REF!</f>
        <v>#REF!</v>
      </c>
      <c r="B85" s="75" t="e">
        <f>#REF!</f>
        <v>#REF!</v>
      </c>
      <c r="C85" s="75" t="e">
        <f>#REF!</f>
        <v>#REF!</v>
      </c>
      <c r="D85" s="75" t="e">
        <f>#REF!</f>
        <v>#REF!</v>
      </c>
      <c r="E85" s="30">
        <v>1</v>
      </c>
      <c r="F85" s="238">
        <v>0</v>
      </c>
      <c r="G85" s="241">
        <v>0</v>
      </c>
      <c r="H85" s="249">
        <v>0</v>
      </c>
      <c r="I85" s="249">
        <v>0</v>
      </c>
      <c r="J85" s="249">
        <v>922250</v>
      </c>
      <c r="K85" s="249">
        <v>0</v>
      </c>
      <c r="L85" s="274">
        <f>J85</f>
        <v>922250</v>
      </c>
      <c r="M85" s="274"/>
      <c r="N85" s="245"/>
      <c r="O85" s="113"/>
      <c r="P85" s="113"/>
      <c r="Q85" s="131"/>
      <c r="R85" s="131"/>
      <c r="S85" s="64"/>
      <c r="T85" s="113"/>
      <c r="U85" s="113"/>
      <c r="V85" s="113"/>
      <c r="W85" s="131"/>
      <c r="X85" s="131"/>
      <c r="Y85" s="11"/>
      <c r="Z85" s="113"/>
      <c r="AA85" s="113"/>
      <c r="AB85" s="113"/>
      <c r="AC85" s="52"/>
      <c r="AD85" s="52"/>
      <c r="AE85" s="11"/>
      <c r="AF85" s="118"/>
      <c r="AG85" s="144"/>
      <c r="AH85" s="113"/>
      <c r="AI85" s="11"/>
      <c r="AJ85" s="11"/>
      <c r="AK85" s="39"/>
      <c r="AL85" s="113"/>
      <c r="AM85" s="113"/>
      <c r="AN85" s="117"/>
      <c r="AO85" s="76"/>
      <c r="AP85" s="39"/>
      <c r="AQ85" s="39"/>
      <c r="AR85" s="275"/>
      <c r="AS85" s="156"/>
      <c r="AT85" s="157"/>
      <c r="AU85" s="62"/>
      <c r="AV85" s="62"/>
      <c r="AW85" s="31"/>
      <c r="AX85" s="116"/>
      <c r="AY85" s="196"/>
      <c r="AZ85" s="143"/>
      <c r="BA85" s="191"/>
      <c r="BB85" s="132"/>
      <c r="BC85" s="132"/>
      <c r="BD85" s="274"/>
      <c r="BE85" s="143"/>
      <c r="BF85" s="143"/>
      <c r="BG85" s="132"/>
      <c r="BH85" s="132"/>
      <c r="BI85" s="132"/>
      <c r="BJ85" s="143"/>
      <c r="BK85" s="143"/>
      <c r="BL85" s="143"/>
      <c r="BM85" s="132"/>
      <c r="BN85" s="132"/>
      <c r="BO85" s="132"/>
      <c r="BP85" s="143"/>
      <c r="BQ85" s="132"/>
      <c r="BR85" s="132"/>
      <c r="BS85" s="132"/>
      <c r="BT85" s="132"/>
      <c r="BU85" s="132"/>
      <c r="BV85" s="211"/>
      <c r="BW85" s="144"/>
      <c r="BX85" s="113"/>
      <c r="BY85" s="273"/>
      <c r="BZ85" s="273"/>
      <c r="CA85" s="132"/>
      <c r="CB85" s="274"/>
      <c r="CC85" s="144"/>
      <c r="CD85" s="274"/>
      <c r="CE85" s="132"/>
      <c r="CF85" s="132"/>
      <c r="CG85" s="36"/>
      <c r="CH85" s="210"/>
      <c r="CI85" s="219"/>
      <c r="CJ85" s="210"/>
      <c r="CK85" s="273"/>
      <c r="CL85" s="273"/>
      <c r="CM85" s="132"/>
      <c r="CN85" s="274"/>
      <c r="CO85" s="144"/>
      <c r="CP85" s="274"/>
      <c r="CQ85" s="132"/>
      <c r="CR85" s="132"/>
      <c r="CS85" s="132"/>
      <c r="CT85" s="274">
        <v>360000</v>
      </c>
      <c r="CU85" s="144">
        <f>+CT85*0</f>
        <v>0</v>
      </c>
      <c r="CV85" s="144">
        <f t="shared" si="32"/>
        <v>360000</v>
      </c>
      <c r="CW85" s="132"/>
      <c r="CX85" s="132"/>
      <c r="CY85" s="132"/>
      <c r="CZ85" s="118"/>
      <c r="DA85" s="144"/>
      <c r="DB85" s="118"/>
      <c r="DC85" s="33"/>
      <c r="DD85" s="39"/>
      <c r="DE85" s="11"/>
      <c r="DF85" s="132"/>
      <c r="DG85" s="132"/>
      <c r="DH85" s="132"/>
      <c r="DI85" s="132"/>
      <c r="DJ85" s="132"/>
      <c r="DK85" s="132"/>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1"/>
      <c r="EU85" s="11"/>
      <c r="EV85" s="11"/>
      <c r="EW85" s="11"/>
      <c r="EX85" s="11"/>
      <c r="EY85" s="11"/>
      <c r="EZ85" s="11"/>
      <c r="FA85" s="11"/>
      <c r="FB85" s="11"/>
      <c r="FC85" s="11"/>
      <c r="FD85" s="11"/>
      <c r="FE85" s="11"/>
      <c r="FF85" s="11"/>
      <c r="FG85" s="11"/>
      <c r="FH85" s="39">
        <f t="shared" si="27"/>
        <v>360000</v>
      </c>
      <c r="FI85" s="33">
        <f t="shared" si="28"/>
        <v>1</v>
      </c>
      <c r="FJ85" s="84">
        <f t="shared" si="29"/>
        <v>360000</v>
      </c>
    </row>
    <row r="86" spans="1:166" x14ac:dyDescent="0.25">
      <c r="A86" s="79" t="e">
        <f>#REF!</f>
        <v>#REF!</v>
      </c>
      <c r="B86" s="75" t="e">
        <f>#REF!</f>
        <v>#REF!</v>
      </c>
      <c r="C86" s="75" t="e">
        <f>#REF!</f>
        <v>#REF!</v>
      </c>
      <c r="D86" s="75" t="e">
        <f>#REF!</f>
        <v>#REF!</v>
      </c>
      <c r="E86" s="30">
        <v>1</v>
      </c>
      <c r="F86" s="238">
        <v>0</v>
      </c>
      <c r="G86" s="241">
        <v>0</v>
      </c>
      <c r="H86" s="249">
        <v>5980000.0000000009</v>
      </c>
      <c r="I86" s="249">
        <v>0</v>
      </c>
      <c r="J86" s="249">
        <v>0</v>
      </c>
      <c r="K86" s="249">
        <v>0</v>
      </c>
      <c r="L86" s="274">
        <f>H86</f>
        <v>5980000.0000000009</v>
      </c>
      <c r="M86" s="274"/>
      <c r="N86" s="245"/>
      <c r="O86" s="113"/>
      <c r="P86" s="113"/>
      <c r="Q86" s="131"/>
      <c r="R86" s="131"/>
      <c r="S86" s="64"/>
      <c r="T86" s="113"/>
      <c r="U86" s="113"/>
      <c r="V86" s="113"/>
      <c r="W86" s="131"/>
      <c r="X86" s="131"/>
      <c r="Y86" s="11"/>
      <c r="Z86" s="113"/>
      <c r="AA86" s="113"/>
      <c r="AB86" s="113"/>
      <c r="AC86" s="52"/>
      <c r="AD86" s="52"/>
      <c r="AE86" s="11"/>
      <c r="AF86" s="113"/>
      <c r="AG86" s="144"/>
      <c r="AH86" s="113"/>
      <c r="AI86" s="11"/>
      <c r="AJ86" s="11"/>
      <c r="AK86" s="39"/>
      <c r="AL86" s="113"/>
      <c r="AM86" s="113"/>
      <c r="AN86" s="117"/>
      <c r="AO86" s="76"/>
      <c r="AP86" s="39"/>
      <c r="AQ86" s="39"/>
      <c r="AR86" s="275"/>
      <c r="AS86" s="156"/>
      <c r="AT86" s="157"/>
      <c r="AU86" s="62"/>
      <c r="AV86" s="62"/>
      <c r="AW86" s="31"/>
      <c r="AX86" s="116"/>
      <c r="AY86" s="196"/>
      <c r="AZ86" s="143"/>
      <c r="BA86" s="191"/>
      <c r="BB86" s="132"/>
      <c r="BC86" s="132"/>
      <c r="BD86" s="275"/>
      <c r="BE86" s="143"/>
      <c r="BF86" s="143"/>
      <c r="BG86" s="132"/>
      <c r="BH86" s="132"/>
      <c r="BI86" s="132"/>
      <c r="BJ86" s="143"/>
      <c r="BK86" s="143"/>
      <c r="BL86" s="143"/>
      <c r="BM86" s="132"/>
      <c r="BN86" s="132"/>
      <c r="BO86" s="132"/>
      <c r="BP86" s="143"/>
      <c r="BQ86" s="132"/>
      <c r="BR86" s="132"/>
      <c r="BS86" s="132"/>
      <c r="BT86" s="132"/>
      <c r="BU86" s="132"/>
      <c r="BV86" s="211"/>
      <c r="BW86" s="144"/>
      <c r="BX86" s="113"/>
      <c r="BY86" s="273"/>
      <c r="BZ86" s="273"/>
      <c r="CA86" s="132"/>
      <c r="CB86" s="275"/>
      <c r="CC86" s="143"/>
      <c r="CD86" s="275"/>
      <c r="CE86" s="132"/>
      <c r="CF86" s="132"/>
      <c r="CG86" s="36"/>
      <c r="CH86" s="210"/>
      <c r="CI86" s="219"/>
      <c r="CJ86" s="210"/>
      <c r="CK86" s="273"/>
      <c r="CL86" s="273"/>
      <c r="CM86" s="132"/>
      <c r="CN86" s="275"/>
      <c r="CO86" s="143"/>
      <c r="CP86" s="275"/>
      <c r="CQ86" s="132"/>
      <c r="CR86" s="132"/>
      <c r="CS86" s="132"/>
      <c r="CT86" s="275">
        <v>362500</v>
      </c>
      <c r="CU86" s="143">
        <v>68875</v>
      </c>
      <c r="CV86" s="144">
        <f t="shared" si="32"/>
        <v>431375</v>
      </c>
      <c r="CW86" s="132"/>
      <c r="CX86" s="132"/>
      <c r="CY86" s="132"/>
      <c r="CZ86" s="113"/>
      <c r="DA86" s="143"/>
      <c r="DB86" s="113"/>
      <c r="DC86" s="33"/>
      <c r="DD86" s="39"/>
      <c r="DE86" s="11"/>
      <c r="DF86" s="132"/>
      <c r="DG86" s="132"/>
      <c r="DH86" s="132"/>
      <c r="DI86" s="132"/>
      <c r="DJ86" s="132"/>
      <c r="DK86" s="132"/>
      <c r="DL86" s="132"/>
      <c r="DM86" s="132"/>
      <c r="DN86" s="132"/>
      <c r="DO86" s="132"/>
      <c r="DP86" s="132"/>
      <c r="DQ86" s="132"/>
      <c r="DR86" s="132"/>
      <c r="DS86" s="132"/>
      <c r="DT86" s="132"/>
      <c r="DU86" s="132"/>
      <c r="DV86" s="132"/>
      <c r="DW86" s="132"/>
      <c r="DX86" s="132"/>
      <c r="DY86" s="132"/>
      <c r="DZ86" s="132"/>
      <c r="EA86" s="132"/>
      <c r="EB86" s="132"/>
      <c r="EC86" s="132"/>
      <c r="ED86" s="132"/>
      <c r="EE86" s="132"/>
      <c r="EF86" s="132"/>
      <c r="EG86" s="132"/>
      <c r="EH86" s="132"/>
      <c r="EI86" s="132"/>
      <c r="EJ86" s="132"/>
      <c r="EK86" s="132"/>
      <c r="EL86" s="132"/>
      <c r="EM86" s="132"/>
      <c r="EN86" s="132"/>
      <c r="EO86" s="132"/>
      <c r="EP86" s="132"/>
      <c r="EQ86" s="132"/>
      <c r="ER86" s="132"/>
      <c r="ES86" s="132"/>
      <c r="ET86" s="11"/>
      <c r="EU86" s="11"/>
      <c r="EV86" s="11"/>
      <c r="EW86" s="11"/>
      <c r="EX86" s="11"/>
      <c r="EY86" s="11"/>
      <c r="EZ86" s="11"/>
      <c r="FA86" s="11"/>
      <c r="FB86" s="11"/>
      <c r="FC86" s="11"/>
      <c r="FD86" s="11"/>
      <c r="FE86" s="11"/>
      <c r="FF86" s="11"/>
      <c r="FG86" s="11"/>
      <c r="FH86" s="39">
        <f t="shared" si="27"/>
        <v>431375</v>
      </c>
      <c r="FI86" s="33">
        <f t="shared" si="28"/>
        <v>1</v>
      </c>
      <c r="FJ86" s="84">
        <f t="shared" si="29"/>
        <v>431375</v>
      </c>
    </row>
    <row r="87" spans="1:166" x14ac:dyDescent="0.25">
      <c r="A87" s="79" t="e">
        <f>#REF!</f>
        <v>#REF!</v>
      </c>
      <c r="B87" s="75" t="e">
        <f>#REF!</f>
        <v>#REF!</v>
      </c>
      <c r="C87" s="75" t="e">
        <f>#REF!</f>
        <v>#REF!</v>
      </c>
      <c r="D87" s="75" t="e">
        <f>#REF!</f>
        <v>#REF!</v>
      </c>
      <c r="E87" s="30">
        <v>1</v>
      </c>
      <c r="F87" s="238">
        <v>0</v>
      </c>
      <c r="G87" s="241">
        <v>0</v>
      </c>
      <c r="H87" s="249">
        <v>5980000.0000000009</v>
      </c>
      <c r="I87" s="249">
        <v>0</v>
      </c>
      <c r="J87" s="249">
        <v>0</v>
      </c>
      <c r="K87" s="249">
        <v>0</v>
      </c>
      <c r="L87" s="274">
        <f>H87</f>
        <v>5980000.0000000009</v>
      </c>
      <c r="M87" s="274"/>
      <c r="N87" s="245"/>
      <c r="O87" s="113"/>
      <c r="P87" s="113"/>
      <c r="Q87" s="131"/>
      <c r="R87" s="131"/>
      <c r="S87" s="64"/>
      <c r="T87" s="113"/>
      <c r="U87" s="113"/>
      <c r="V87" s="113"/>
      <c r="W87" s="131"/>
      <c r="X87" s="131"/>
      <c r="Y87" s="11"/>
      <c r="Z87" s="113"/>
      <c r="AA87" s="113"/>
      <c r="AB87" s="113"/>
      <c r="AC87" s="52"/>
      <c r="AD87" s="52"/>
      <c r="AE87" s="11"/>
      <c r="AF87" s="113"/>
      <c r="AG87" s="144"/>
      <c r="AH87" s="113"/>
      <c r="AI87" s="11"/>
      <c r="AJ87" s="11"/>
      <c r="AK87" s="39"/>
      <c r="AL87" s="113"/>
      <c r="AM87" s="113"/>
      <c r="AN87" s="117"/>
      <c r="AO87" s="76"/>
      <c r="AP87" s="39"/>
      <c r="AQ87" s="39"/>
      <c r="AR87" s="275"/>
      <c r="AS87" s="156"/>
      <c r="AT87" s="157"/>
      <c r="AU87" s="62"/>
      <c r="AV87" s="62"/>
      <c r="AW87" s="31"/>
      <c r="AX87" s="116"/>
      <c r="AY87" s="196"/>
      <c r="AZ87" s="143"/>
      <c r="BA87" s="191"/>
      <c r="BB87" s="132"/>
      <c r="BC87" s="132"/>
      <c r="BD87" s="275"/>
      <c r="BE87" s="143"/>
      <c r="BF87" s="143"/>
      <c r="BG87" s="132"/>
      <c r="BH87" s="132"/>
      <c r="BI87" s="132"/>
      <c r="BJ87" s="143"/>
      <c r="BK87" s="143"/>
      <c r="BL87" s="143"/>
      <c r="BM87" s="132"/>
      <c r="BN87" s="132"/>
      <c r="BO87" s="132"/>
      <c r="BP87" s="143"/>
      <c r="BQ87" s="132"/>
      <c r="BR87" s="132"/>
      <c r="BS87" s="132"/>
      <c r="BT87" s="132"/>
      <c r="BU87" s="132"/>
      <c r="BV87" s="211"/>
      <c r="BW87" s="144"/>
      <c r="BX87" s="113"/>
      <c r="BY87" s="273"/>
      <c r="BZ87" s="273"/>
      <c r="CA87" s="132"/>
      <c r="CB87" s="275"/>
      <c r="CC87" s="143"/>
      <c r="CD87" s="275"/>
      <c r="CE87" s="132"/>
      <c r="CF87" s="132"/>
      <c r="CG87" s="36"/>
      <c r="CH87" s="210"/>
      <c r="CI87" s="219"/>
      <c r="CJ87" s="210"/>
      <c r="CK87" s="273"/>
      <c r="CL87" s="273"/>
      <c r="CM87" s="132"/>
      <c r="CN87" s="275"/>
      <c r="CO87" s="143"/>
      <c r="CP87" s="275"/>
      <c r="CQ87" s="132"/>
      <c r="CR87" s="132"/>
      <c r="CS87" s="132"/>
      <c r="CT87" s="275">
        <v>440000</v>
      </c>
      <c r="CU87" s="144">
        <f>+CT87*0</f>
        <v>0</v>
      </c>
      <c r="CV87" s="144">
        <f t="shared" si="32"/>
        <v>440000</v>
      </c>
      <c r="CW87" s="132"/>
      <c r="CX87" s="132"/>
      <c r="CY87" s="132"/>
      <c r="CZ87" s="113"/>
      <c r="DA87" s="143"/>
      <c r="DB87" s="113"/>
      <c r="DC87" s="33"/>
      <c r="DD87" s="39"/>
      <c r="DE87" s="11"/>
      <c r="DF87" s="132"/>
      <c r="DG87" s="132"/>
      <c r="DH87" s="132"/>
      <c r="DI87" s="132"/>
      <c r="DJ87" s="132"/>
      <c r="DK87" s="132"/>
      <c r="DL87" s="132"/>
      <c r="DM87" s="132"/>
      <c r="DN87" s="132"/>
      <c r="DO87" s="132"/>
      <c r="DP87" s="132"/>
      <c r="DQ87" s="132"/>
      <c r="DR87" s="132"/>
      <c r="DS87" s="132"/>
      <c r="DT87" s="132"/>
      <c r="DU87" s="132"/>
      <c r="DV87" s="132"/>
      <c r="DW87" s="132"/>
      <c r="DX87" s="132"/>
      <c r="DY87" s="132"/>
      <c r="DZ87" s="132"/>
      <c r="EA87" s="132"/>
      <c r="EB87" s="132"/>
      <c r="EC87" s="132"/>
      <c r="ED87" s="132"/>
      <c r="EE87" s="132"/>
      <c r="EF87" s="132"/>
      <c r="EG87" s="132"/>
      <c r="EH87" s="132"/>
      <c r="EI87" s="132"/>
      <c r="EJ87" s="132"/>
      <c r="EK87" s="132"/>
      <c r="EL87" s="132"/>
      <c r="EM87" s="132"/>
      <c r="EN87" s="132"/>
      <c r="EO87" s="132"/>
      <c r="EP87" s="132"/>
      <c r="EQ87" s="132"/>
      <c r="ER87" s="132"/>
      <c r="ES87" s="132"/>
      <c r="ET87" s="11"/>
      <c r="EU87" s="11"/>
      <c r="EV87" s="11"/>
      <c r="EW87" s="11"/>
      <c r="EX87" s="11"/>
      <c r="EY87" s="11"/>
      <c r="EZ87" s="11"/>
      <c r="FA87" s="11"/>
      <c r="FB87" s="11"/>
      <c r="FC87" s="11"/>
      <c r="FD87" s="11"/>
      <c r="FE87" s="11"/>
      <c r="FF87" s="11"/>
      <c r="FG87" s="11"/>
      <c r="FH87" s="39">
        <f t="shared" si="27"/>
        <v>440000</v>
      </c>
      <c r="FI87" s="33">
        <f t="shared" si="28"/>
        <v>1</v>
      </c>
      <c r="FJ87" s="84">
        <f t="shared" si="29"/>
        <v>440000</v>
      </c>
    </row>
    <row r="88" spans="1:166" x14ac:dyDescent="0.25">
      <c r="A88" s="79" t="e">
        <f>#REF!</f>
        <v>#REF!</v>
      </c>
      <c r="B88" s="75" t="e">
        <f>#REF!</f>
        <v>#REF!</v>
      </c>
      <c r="C88" s="75" t="e">
        <f>#REF!</f>
        <v>#REF!</v>
      </c>
      <c r="D88" s="75" t="e">
        <f>#REF!</f>
        <v>#REF!</v>
      </c>
      <c r="E88" s="30">
        <v>1</v>
      </c>
      <c r="F88" s="238">
        <v>0</v>
      </c>
      <c r="G88" s="241">
        <v>0</v>
      </c>
      <c r="H88" s="249">
        <v>5980000.0000000009</v>
      </c>
      <c r="I88" s="249">
        <v>0</v>
      </c>
      <c r="J88" s="249">
        <v>0</v>
      </c>
      <c r="K88" s="249">
        <v>0</v>
      </c>
      <c r="L88" s="274">
        <f>H88</f>
        <v>5980000.0000000009</v>
      </c>
      <c r="M88" s="274"/>
      <c r="N88" s="245"/>
      <c r="O88" s="113"/>
      <c r="P88" s="113"/>
      <c r="Q88" s="131"/>
      <c r="R88" s="131"/>
      <c r="S88" s="64"/>
      <c r="T88" s="113"/>
      <c r="U88" s="113"/>
      <c r="V88" s="113"/>
      <c r="W88" s="131"/>
      <c r="X88" s="131"/>
      <c r="Y88" s="11"/>
      <c r="Z88" s="113"/>
      <c r="AA88" s="113"/>
      <c r="AB88" s="113"/>
      <c r="AC88" s="52"/>
      <c r="AD88" s="52"/>
      <c r="AE88" s="11"/>
      <c r="AF88" s="113"/>
      <c r="AG88" s="144"/>
      <c r="AH88" s="113"/>
      <c r="AI88" s="11"/>
      <c r="AJ88" s="11"/>
      <c r="AK88" s="39"/>
      <c r="AL88" s="113"/>
      <c r="AM88" s="113"/>
      <c r="AN88" s="117"/>
      <c r="AO88" s="76"/>
      <c r="AP88" s="39"/>
      <c r="AQ88" s="39"/>
      <c r="AR88" s="275"/>
      <c r="AS88" s="156"/>
      <c r="AT88" s="157"/>
      <c r="AU88" s="62"/>
      <c r="AV88" s="62"/>
      <c r="AW88" s="31"/>
      <c r="AX88" s="116"/>
      <c r="AY88" s="196"/>
      <c r="AZ88" s="143"/>
      <c r="BA88" s="191"/>
      <c r="BB88" s="132"/>
      <c r="BC88" s="132"/>
      <c r="BD88" s="275"/>
      <c r="BE88" s="274"/>
      <c r="BF88" s="274"/>
      <c r="BG88" s="274"/>
      <c r="BH88" s="132"/>
      <c r="BI88" s="132"/>
      <c r="BJ88" s="143"/>
      <c r="BK88" s="143"/>
      <c r="BL88" s="143"/>
      <c r="BM88" s="132"/>
      <c r="BN88" s="132"/>
      <c r="BO88" s="132"/>
      <c r="BP88" s="143"/>
      <c r="BQ88" s="132"/>
      <c r="BR88" s="132"/>
      <c r="BS88" s="132"/>
      <c r="BT88" s="132"/>
      <c r="BU88" s="132"/>
      <c r="BV88" s="211"/>
      <c r="BW88" s="144"/>
      <c r="BX88" s="113"/>
      <c r="BY88" s="273"/>
      <c r="BZ88" s="273"/>
      <c r="CA88" s="132"/>
      <c r="CB88" s="275"/>
      <c r="CC88" s="143"/>
      <c r="CD88" s="275"/>
      <c r="CE88" s="132"/>
      <c r="CF88" s="132"/>
      <c r="CG88" s="36"/>
      <c r="CH88" s="210"/>
      <c r="CI88" s="219"/>
      <c r="CJ88" s="210"/>
      <c r="CK88" s="273"/>
      <c r="CL88" s="273"/>
      <c r="CM88" s="132"/>
      <c r="CN88" s="275"/>
      <c r="CO88" s="143"/>
      <c r="CP88" s="275"/>
      <c r="CQ88" s="132"/>
      <c r="CR88" s="132"/>
      <c r="CS88" s="132"/>
      <c r="CT88" s="275">
        <v>530000</v>
      </c>
      <c r="CU88" s="143">
        <v>100700</v>
      </c>
      <c r="CV88" s="144">
        <f t="shared" si="32"/>
        <v>630700</v>
      </c>
      <c r="CW88" s="132"/>
      <c r="CX88" s="132"/>
      <c r="CY88" s="132"/>
      <c r="CZ88" s="113"/>
      <c r="DA88" s="143"/>
      <c r="DB88" s="113"/>
      <c r="DC88" s="33"/>
      <c r="DD88" s="39"/>
      <c r="DE88" s="11"/>
      <c r="DF88" s="132"/>
      <c r="DG88" s="132"/>
      <c r="DH88" s="132"/>
      <c r="DI88" s="132"/>
      <c r="DJ88" s="132"/>
      <c r="DK88" s="132"/>
      <c r="DL88" s="132"/>
      <c r="DM88" s="132"/>
      <c r="DN88" s="132"/>
      <c r="DO88" s="132"/>
      <c r="DP88" s="132"/>
      <c r="DQ88" s="132"/>
      <c r="DR88" s="132"/>
      <c r="DS88" s="132"/>
      <c r="DT88" s="132"/>
      <c r="DU88" s="132"/>
      <c r="DV88" s="132"/>
      <c r="DW88" s="132"/>
      <c r="DX88" s="132"/>
      <c r="DY88" s="132"/>
      <c r="DZ88" s="132"/>
      <c r="EA88" s="132"/>
      <c r="EB88" s="132"/>
      <c r="EC88" s="132"/>
      <c r="ED88" s="132"/>
      <c r="EE88" s="132"/>
      <c r="EF88" s="132"/>
      <c r="EG88" s="132"/>
      <c r="EH88" s="132"/>
      <c r="EI88" s="132"/>
      <c r="EJ88" s="132"/>
      <c r="EK88" s="132"/>
      <c r="EL88" s="132"/>
      <c r="EM88" s="132"/>
      <c r="EN88" s="132"/>
      <c r="EO88" s="132"/>
      <c r="EP88" s="132"/>
      <c r="EQ88" s="132"/>
      <c r="ER88" s="132"/>
      <c r="ES88" s="132"/>
      <c r="ET88" s="11"/>
      <c r="EU88" s="11"/>
      <c r="EV88" s="11"/>
      <c r="EW88" s="11"/>
      <c r="EX88" s="11"/>
      <c r="EY88" s="11"/>
      <c r="EZ88" s="11"/>
      <c r="FA88" s="11"/>
      <c r="FB88" s="11"/>
      <c r="FC88" s="11"/>
      <c r="FD88" s="11"/>
      <c r="FE88" s="11"/>
      <c r="FF88" s="11"/>
      <c r="FG88" s="11"/>
      <c r="FH88" s="39">
        <f t="shared" si="27"/>
        <v>630700</v>
      </c>
      <c r="FI88" s="33">
        <f t="shared" si="28"/>
        <v>1</v>
      </c>
      <c r="FJ88" s="84">
        <f t="shared" si="29"/>
        <v>630700</v>
      </c>
    </row>
    <row r="89" spans="1:166" x14ac:dyDescent="0.25">
      <c r="A89" s="79" t="e">
        <f>#REF!</f>
        <v>#REF!</v>
      </c>
      <c r="B89" s="75" t="e">
        <f>#REF!</f>
        <v>#REF!</v>
      </c>
      <c r="C89" s="75" t="e">
        <f>#REF!</f>
        <v>#REF!</v>
      </c>
      <c r="D89" s="75" t="e">
        <f>#REF!</f>
        <v>#REF!</v>
      </c>
      <c r="E89" s="30">
        <v>1</v>
      </c>
      <c r="F89" s="238">
        <v>0</v>
      </c>
      <c r="G89" s="241">
        <v>0</v>
      </c>
      <c r="H89" s="249">
        <v>5980000.0000000009</v>
      </c>
      <c r="I89" s="249">
        <v>0</v>
      </c>
      <c r="J89" s="249">
        <v>0</v>
      </c>
      <c r="K89" s="249">
        <v>0</v>
      </c>
      <c r="L89" s="274">
        <f>H89</f>
        <v>5980000.0000000009</v>
      </c>
      <c r="M89" s="274"/>
      <c r="N89" s="245"/>
      <c r="O89" s="113"/>
      <c r="P89" s="113"/>
      <c r="Q89" s="131"/>
      <c r="R89" s="131"/>
      <c r="S89" s="64"/>
      <c r="T89" s="113"/>
      <c r="U89" s="113"/>
      <c r="V89" s="113"/>
      <c r="W89" s="131"/>
      <c r="X89" s="131"/>
      <c r="Y89" s="11"/>
      <c r="Z89" s="113"/>
      <c r="AA89" s="113"/>
      <c r="AB89" s="113"/>
      <c r="AC89" s="52"/>
      <c r="AD89" s="52"/>
      <c r="AE89" s="11"/>
      <c r="AF89" s="118"/>
      <c r="AG89" s="144"/>
      <c r="AH89" s="113"/>
      <c r="AI89" s="11"/>
      <c r="AJ89" s="11"/>
      <c r="AK89" s="39"/>
      <c r="AL89" s="113"/>
      <c r="AM89" s="113"/>
      <c r="AN89" s="117"/>
      <c r="AO89" s="76"/>
      <c r="AP89" s="39"/>
      <c r="AQ89" s="39"/>
      <c r="AR89" s="275"/>
      <c r="AS89" s="156"/>
      <c r="AT89" s="157"/>
      <c r="AU89" s="62"/>
      <c r="AV89" s="62"/>
      <c r="AW89" s="31"/>
      <c r="AX89" s="116"/>
      <c r="AY89" s="196"/>
      <c r="AZ89" s="143"/>
      <c r="BA89" s="191"/>
      <c r="BB89" s="132"/>
      <c r="BC89" s="132"/>
      <c r="BD89" s="274"/>
      <c r="BE89" s="143"/>
      <c r="BF89" s="143"/>
      <c r="BG89" s="132"/>
      <c r="BH89" s="132"/>
      <c r="BI89" s="132"/>
      <c r="BJ89" s="143"/>
      <c r="BK89" s="143"/>
      <c r="BL89" s="143"/>
      <c r="BM89" s="132"/>
      <c r="BN89" s="132"/>
      <c r="BO89" s="132"/>
      <c r="BP89" s="143"/>
      <c r="BQ89" s="132"/>
      <c r="BR89" s="132"/>
      <c r="BS89" s="132"/>
      <c r="BT89" s="132"/>
      <c r="BU89" s="132"/>
      <c r="BV89" s="211"/>
      <c r="BW89" s="144"/>
      <c r="BX89" s="113"/>
      <c r="BY89" s="273"/>
      <c r="BZ89" s="273"/>
      <c r="CA89" s="132"/>
      <c r="CB89" s="274"/>
      <c r="CC89" s="144"/>
      <c r="CD89" s="274"/>
      <c r="CE89" s="132"/>
      <c r="CF89" s="132"/>
      <c r="CG89" s="36"/>
      <c r="CH89" s="210"/>
      <c r="CI89" s="219"/>
      <c r="CJ89" s="210"/>
      <c r="CK89" s="273"/>
      <c r="CL89" s="273"/>
      <c r="CM89" s="132"/>
      <c r="CN89" s="274"/>
      <c r="CO89" s="144"/>
      <c r="CP89" s="274"/>
      <c r="CQ89" s="132"/>
      <c r="CR89" s="132"/>
      <c r="CS89" s="132"/>
      <c r="CT89" s="274"/>
      <c r="CU89" s="144"/>
      <c r="CV89" s="274"/>
      <c r="CW89" s="132"/>
      <c r="CX89" s="132"/>
      <c r="CY89" s="132"/>
      <c r="CZ89" s="118"/>
      <c r="DA89" s="144"/>
      <c r="DB89" s="118"/>
      <c r="DC89" s="33"/>
      <c r="DD89" s="39"/>
      <c r="DE89" s="11"/>
      <c r="DF89" s="132"/>
      <c r="DG89" s="132"/>
      <c r="DH89" s="132"/>
      <c r="DI89" s="132"/>
      <c r="DJ89" s="132"/>
      <c r="DK89" s="132"/>
      <c r="DL89" s="132"/>
      <c r="DM89" s="132"/>
      <c r="DN89" s="132"/>
      <c r="DO89" s="132"/>
      <c r="DP89" s="132"/>
      <c r="DQ89" s="132"/>
      <c r="DR89" s="132"/>
      <c r="DS89" s="132"/>
      <c r="DT89" s="132"/>
      <c r="DU89" s="132"/>
      <c r="DV89" s="132"/>
      <c r="DW89" s="132"/>
      <c r="DX89" s="132"/>
      <c r="DY89" s="132"/>
      <c r="DZ89" s="132"/>
      <c r="EA89" s="132"/>
      <c r="EB89" s="132"/>
      <c r="EC89" s="132"/>
      <c r="ED89" s="132"/>
      <c r="EE89" s="132"/>
      <c r="EF89" s="132"/>
      <c r="EG89" s="132"/>
      <c r="EH89" s="132"/>
      <c r="EI89" s="132"/>
      <c r="EJ89" s="132"/>
      <c r="EK89" s="132"/>
      <c r="EL89" s="132"/>
      <c r="EM89" s="132"/>
      <c r="EN89" s="132"/>
      <c r="EO89" s="132"/>
      <c r="EP89" s="132"/>
      <c r="EQ89" s="132"/>
      <c r="ER89" s="132"/>
      <c r="ES89" s="132"/>
      <c r="ET89" s="11"/>
      <c r="EU89" s="11"/>
      <c r="EV89" s="11"/>
      <c r="EW89" s="11"/>
      <c r="EX89" s="11"/>
      <c r="EY89" s="11"/>
      <c r="EZ89" s="11"/>
      <c r="FA89" s="11"/>
      <c r="FB89" s="11"/>
      <c r="FC89" s="11"/>
      <c r="FD89" s="11"/>
      <c r="FE89" s="11"/>
      <c r="FF89" s="11"/>
      <c r="FG89" s="11"/>
      <c r="FH89" s="39">
        <f t="shared" si="27"/>
        <v>0</v>
      </c>
      <c r="FI89" s="33">
        <f t="shared" si="28"/>
        <v>0</v>
      </c>
      <c r="FJ89" s="84" t="str">
        <f t="shared" si="29"/>
        <v xml:space="preserve"> </v>
      </c>
    </row>
    <row r="90" spans="1:166" x14ac:dyDescent="0.25">
      <c r="A90" s="79" t="e">
        <f>#REF!</f>
        <v>#REF!</v>
      </c>
      <c r="B90" s="75" t="e">
        <f>#REF!</f>
        <v>#REF!</v>
      </c>
      <c r="C90" s="75" t="e">
        <f>#REF!</f>
        <v>#REF!</v>
      </c>
      <c r="D90" s="75" t="e">
        <f>#REF!</f>
        <v>#REF!</v>
      </c>
      <c r="E90" s="30">
        <v>1</v>
      </c>
      <c r="F90" s="238">
        <v>3517100</v>
      </c>
      <c r="G90" s="241">
        <v>0</v>
      </c>
      <c r="H90" s="249">
        <v>4328906.4707000004</v>
      </c>
      <c r="I90" s="249">
        <v>0</v>
      </c>
      <c r="J90" s="249">
        <v>0</v>
      </c>
      <c r="K90" s="249">
        <v>0</v>
      </c>
      <c r="L90" s="274">
        <f>AVERAGE(F90,H90)</f>
        <v>3923003.2353500002</v>
      </c>
      <c r="M90" s="274"/>
      <c r="N90" s="245"/>
      <c r="O90" s="113"/>
      <c r="P90" s="113"/>
      <c r="Q90" s="131"/>
      <c r="R90" s="131"/>
      <c r="S90" s="64"/>
      <c r="T90" s="113"/>
      <c r="U90" s="113"/>
      <c r="V90" s="113"/>
      <c r="W90" s="131"/>
      <c r="X90" s="131"/>
      <c r="Y90" s="11"/>
      <c r="Z90" s="113"/>
      <c r="AA90" s="113"/>
      <c r="AB90" s="113"/>
      <c r="AC90" s="52"/>
      <c r="AD90" s="52"/>
      <c r="AE90" s="11"/>
      <c r="AF90" s="113"/>
      <c r="AG90" s="144"/>
      <c r="AH90" s="113"/>
      <c r="AI90" s="11"/>
      <c r="AJ90" s="11"/>
      <c r="AK90" s="39"/>
      <c r="AL90" s="113"/>
      <c r="AM90" s="113"/>
      <c r="AN90" s="117"/>
      <c r="AO90" s="76"/>
      <c r="AP90" s="39"/>
      <c r="AQ90" s="39"/>
      <c r="AR90" s="275"/>
      <c r="AS90" s="156"/>
      <c r="AT90" s="157"/>
      <c r="AU90" s="62"/>
      <c r="AV90" s="62"/>
      <c r="AW90" s="31"/>
      <c r="AX90" s="116"/>
      <c r="AY90" s="196"/>
      <c r="AZ90" s="143"/>
      <c r="BA90" s="191"/>
      <c r="BB90" s="132"/>
      <c r="BC90" s="132"/>
      <c r="BD90" s="275"/>
      <c r="BE90" s="143"/>
      <c r="BF90" s="143"/>
      <c r="BG90" s="132"/>
      <c r="BH90" s="132"/>
      <c r="BI90" s="132"/>
      <c r="BJ90" s="143"/>
      <c r="BK90" s="143"/>
      <c r="BL90" s="143"/>
      <c r="BM90" s="132"/>
      <c r="BN90" s="132"/>
      <c r="BO90" s="132"/>
      <c r="BP90" s="143"/>
      <c r="BQ90" s="132"/>
      <c r="BR90" s="132"/>
      <c r="BS90" s="132"/>
      <c r="BT90" s="132"/>
      <c r="BU90" s="132"/>
      <c r="BV90" s="211"/>
      <c r="BW90" s="144"/>
      <c r="BX90" s="113"/>
      <c r="BY90" s="273"/>
      <c r="BZ90" s="273"/>
      <c r="CA90" s="132"/>
      <c r="CB90" s="275"/>
      <c r="CC90" s="143"/>
      <c r="CD90" s="275"/>
      <c r="CE90" s="132"/>
      <c r="CF90" s="132"/>
      <c r="CG90" s="36"/>
      <c r="CH90" s="210"/>
      <c r="CI90" s="219"/>
      <c r="CJ90" s="210"/>
      <c r="CK90" s="273"/>
      <c r="CL90" s="273"/>
      <c r="CM90" s="132"/>
      <c r="CN90" s="275"/>
      <c r="CO90" s="143"/>
      <c r="CP90" s="275"/>
      <c r="CQ90" s="132"/>
      <c r="CR90" s="132"/>
      <c r="CS90" s="132"/>
      <c r="CT90" s="275"/>
      <c r="CU90" s="143"/>
      <c r="CV90" s="275"/>
      <c r="CW90" s="132"/>
      <c r="CX90" s="132"/>
      <c r="CY90" s="132"/>
      <c r="CZ90" s="113"/>
      <c r="DA90" s="143"/>
      <c r="DB90" s="113"/>
      <c r="DC90" s="33"/>
      <c r="DD90" s="39"/>
      <c r="DE90" s="11"/>
      <c r="DF90" s="132"/>
      <c r="DG90" s="132"/>
      <c r="DH90" s="132"/>
      <c r="DI90" s="132"/>
      <c r="DJ90" s="132"/>
      <c r="DK90" s="132"/>
      <c r="DL90" s="132"/>
      <c r="DM90" s="132"/>
      <c r="DN90" s="132"/>
      <c r="DO90" s="132"/>
      <c r="DP90" s="132"/>
      <c r="DQ90" s="132"/>
      <c r="DR90" s="132"/>
      <c r="DS90" s="132"/>
      <c r="DT90" s="132"/>
      <c r="DU90" s="132"/>
      <c r="DV90" s="132"/>
      <c r="DW90" s="132"/>
      <c r="DX90" s="132"/>
      <c r="DY90" s="132"/>
      <c r="DZ90" s="132"/>
      <c r="EA90" s="132"/>
      <c r="EB90" s="132"/>
      <c r="EC90" s="132"/>
      <c r="ED90" s="132"/>
      <c r="EE90" s="132"/>
      <c r="EF90" s="132"/>
      <c r="EG90" s="132"/>
      <c r="EH90" s="132"/>
      <c r="EI90" s="132"/>
      <c r="EJ90" s="132"/>
      <c r="EK90" s="132"/>
      <c r="EL90" s="132"/>
      <c r="EM90" s="132"/>
      <c r="EN90" s="132"/>
      <c r="EO90" s="132"/>
      <c r="EP90" s="132"/>
      <c r="EQ90" s="132"/>
      <c r="ER90" s="132"/>
      <c r="ES90" s="132"/>
      <c r="ET90" s="11"/>
      <c r="EU90" s="11"/>
      <c r="EV90" s="11"/>
      <c r="EW90" s="11"/>
      <c r="EX90" s="11"/>
      <c r="EY90" s="11"/>
      <c r="EZ90" s="11"/>
      <c r="FA90" s="11"/>
      <c r="FB90" s="11"/>
      <c r="FC90" s="11"/>
      <c r="FD90" s="11"/>
      <c r="FE90" s="11"/>
      <c r="FF90" s="11"/>
      <c r="FG90" s="11"/>
      <c r="FH90" s="39">
        <f t="shared" si="27"/>
        <v>0</v>
      </c>
      <c r="FI90" s="33">
        <f t="shared" si="28"/>
        <v>0</v>
      </c>
      <c r="FJ90" s="84" t="str">
        <f t="shared" si="29"/>
        <v xml:space="preserve"> </v>
      </c>
    </row>
    <row r="91" spans="1:166" x14ac:dyDescent="0.25">
      <c r="A91" s="79" t="e">
        <f>#REF!</f>
        <v>#REF!</v>
      </c>
      <c r="B91" s="75" t="e">
        <f>#REF!</f>
        <v>#REF!</v>
      </c>
      <c r="C91" s="75" t="e">
        <f>#REF!</f>
        <v>#REF!</v>
      </c>
      <c r="D91" s="75" t="e">
        <f>#REF!</f>
        <v>#REF!</v>
      </c>
      <c r="E91" s="30">
        <v>1</v>
      </c>
      <c r="F91" s="238">
        <v>3517100</v>
      </c>
      <c r="G91" s="241">
        <v>0</v>
      </c>
      <c r="H91" s="249">
        <v>4328906.4707000004</v>
      </c>
      <c r="I91" s="249">
        <v>0</v>
      </c>
      <c r="J91" s="249">
        <v>0</v>
      </c>
      <c r="K91" s="249">
        <v>0</v>
      </c>
      <c r="L91" s="274">
        <f>AVERAGE(F91,H91)</f>
        <v>3923003.2353500002</v>
      </c>
      <c r="M91" s="274"/>
      <c r="N91" s="245"/>
      <c r="O91" s="113"/>
      <c r="P91" s="113"/>
      <c r="Q91" s="131"/>
      <c r="R91" s="131"/>
      <c r="S91" s="64"/>
      <c r="T91" s="113"/>
      <c r="U91" s="113"/>
      <c r="V91" s="113"/>
      <c r="W91" s="131"/>
      <c r="X91" s="131"/>
      <c r="Y91" s="11"/>
      <c r="Z91" s="113"/>
      <c r="AA91" s="113"/>
      <c r="AB91" s="113"/>
      <c r="AC91" s="52"/>
      <c r="AD91" s="52"/>
      <c r="AE91" s="11"/>
      <c r="AF91" s="113"/>
      <c r="AG91" s="144"/>
      <c r="AH91" s="113"/>
      <c r="AI91" s="11"/>
      <c r="AJ91" s="11"/>
      <c r="AK91" s="39"/>
      <c r="AL91" s="113"/>
      <c r="AM91" s="113"/>
      <c r="AN91" s="117"/>
      <c r="AO91" s="76"/>
      <c r="AP91" s="39"/>
      <c r="AQ91" s="39"/>
      <c r="AR91" s="275"/>
      <c r="AS91" s="156"/>
      <c r="AT91" s="157"/>
      <c r="AU91" s="62"/>
      <c r="AV91" s="62"/>
      <c r="AW91" s="31"/>
      <c r="AX91" s="116"/>
      <c r="AY91" s="196"/>
      <c r="AZ91" s="143"/>
      <c r="BA91" s="191"/>
      <c r="BB91" s="132"/>
      <c r="BC91" s="132"/>
      <c r="BD91" s="275"/>
      <c r="BE91" s="143"/>
      <c r="BF91" s="143"/>
      <c r="BG91" s="132"/>
      <c r="BH91" s="132"/>
      <c r="BI91" s="132"/>
      <c r="BJ91" s="143"/>
      <c r="BK91" s="143"/>
      <c r="BL91" s="143"/>
      <c r="BM91" s="132"/>
      <c r="BN91" s="132"/>
      <c r="BO91" s="132"/>
      <c r="BP91" s="143"/>
      <c r="BQ91" s="132"/>
      <c r="BR91" s="132"/>
      <c r="BS91" s="132"/>
      <c r="BT91" s="132"/>
      <c r="BU91" s="132"/>
      <c r="BV91" s="211"/>
      <c r="BW91" s="144"/>
      <c r="BX91" s="113"/>
      <c r="BY91" s="273"/>
      <c r="BZ91" s="273"/>
      <c r="CA91" s="132"/>
      <c r="CB91" s="275"/>
      <c r="CC91" s="143"/>
      <c r="CD91" s="275"/>
      <c r="CE91" s="132"/>
      <c r="CF91" s="132"/>
      <c r="CG91" s="36"/>
      <c r="CH91" s="210"/>
      <c r="CI91" s="219"/>
      <c r="CJ91" s="210"/>
      <c r="CK91" s="273"/>
      <c r="CL91" s="273"/>
      <c r="CM91" s="132"/>
      <c r="CN91" s="275"/>
      <c r="CO91" s="143"/>
      <c r="CP91" s="275"/>
      <c r="CQ91" s="132"/>
      <c r="CR91" s="132"/>
      <c r="CS91" s="132"/>
      <c r="CT91" s="275"/>
      <c r="CU91" s="143"/>
      <c r="CV91" s="275"/>
      <c r="CW91" s="132"/>
      <c r="CX91" s="132"/>
      <c r="CY91" s="132"/>
      <c r="CZ91" s="113"/>
      <c r="DA91" s="143"/>
      <c r="DB91" s="113"/>
      <c r="DC91" s="33"/>
      <c r="DD91" s="39"/>
      <c r="DE91" s="11"/>
      <c r="DF91" s="132"/>
      <c r="DG91" s="132"/>
      <c r="DH91" s="132"/>
      <c r="DI91" s="132"/>
      <c r="DJ91" s="132"/>
      <c r="DK91" s="132"/>
      <c r="DL91" s="132"/>
      <c r="DM91" s="132"/>
      <c r="DN91" s="132"/>
      <c r="DO91" s="132"/>
      <c r="DP91" s="132"/>
      <c r="DQ91" s="132"/>
      <c r="DR91" s="132"/>
      <c r="DS91" s="132"/>
      <c r="DT91" s="132"/>
      <c r="DU91" s="132"/>
      <c r="DV91" s="132"/>
      <c r="DW91" s="132"/>
      <c r="DX91" s="132"/>
      <c r="DY91" s="132"/>
      <c r="DZ91" s="132"/>
      <c r="EA91" s="132"/>
      <c r="EB91" s="132"/>
      <c r="EC91" s="132"/>
      <c r="ED91" s="132"/>
      <c r="EE91" s="132"/>
      <c r="EF91" s="132"/>
      <c r="EG91" s="132"/>
      <c r="EH91" s="132"/>
      <c r="EI91" s="132"/>
      <c r="EJ91" s="132"/>
      <c r="EK91" s="132"/>
      <c r="EL91" s="132"/>
      <c r="EM91" s="132"/>
      <c r="EN91" s="132"/>
      <c r="EO91" s="132"/>
      <c r="EP91" s="132"/>
      <c r="EQ91" s="132"/>
      <c r="ER91" s="132"/>
      <c r="ES91" s="132"/>
      <c r="ET91" s="11"/>
      <c r="EU91" s="11"/>
      <c r="EV91" s="11"/>
      <c r="EW91" s="11"/>
      <c r="EX91" s="11"/>
      <c r="EY91" s="11"/>
      <c r="EZ91" s="11"/>
      <c r="FA91" s="11"/>
      <c r="FB91" s="11"/>
      <c r="FC91" s="11"/>
      <c r="FD91" s="11"/>
      <c r="FE91" s="11"/>
      <c r="FF91" s="11"/>
      <c r="FG91" s="11"/>
      <c r="FH91" s="39">
        <f t="shared" si="27"/>
        <v>0</v>
      </c>
      <c r="FI91" s="33">
        <f t="shared" si="28"/>
        <v>0</v>
      </c>
      <c r="FJ91" s="84" t="str">
        <f t="shared" si="29"/>
        <v xml:space="preserve"> </v>
      </c>
    </row>
    <row r="92" spans="1:166" x14ac:dyDescent="0.25">
      <c r="A92" s="79" t="e">
        <f>#REF!</f>
        <v>#REF!</v>
      </c>
      <c r="B92" s="75" t="e">
        <f>#REF!</f>
        <v>#REF!</v>
      </c>
      <c r="C92" s="75" t="e">
        <f>#REF!</f>
        <v>#REF!</v>
      </c>
      <c r="D92" s="75" t="e">
        <f>#REF!</f>
        <v>#REF!</v>
      </c>
      <c r="E92" s="30">
        <v>1</v>
      </c>
      <c r="F92" s="238">
        <v>0</v>
      </c>
      <c r="G92" s="241">
        <v>0</v>
      </c>
      <c r="H92" s="249">
        <v>0</v>
      </c>
      <c r="I92" s="249">
        <v>0</v>
      </c>
      <c r="J92" s="249">
        <v>0</v>
      </c>
      <c r="K92" s="249">
        <v>0</v>
      </c>
      <c r="L92" s="274"/>
      <c r="M92" s="274"/>
      <c r="N92" s="245"/>
      <c r="O92" s="113"/>
      <c r="P92" s="113"/>
      <c r="Q92" s="131"/>
      <c r="R92" s="131"/>
      <c r="S92" s="64"/>
      <c r="T92" s="113"/>
      <c r="U92" s="113"/>
      <c r="V92" s="113"/>
      <c r="W92" s="131"/>
      <c r="X92" s="131"/>
      <c r="Y92" s="11"/>
      <c r="Z92" s="113"/>
      <c r="AA92" s="113"/>
      <c r="AB92" s="113"/>
      <c r="AC92" s="52"/>
      <c r="AD92" s="52"/>
      <c r="AE92" s="11"/>
      <c r="AF92" s="113"/>
      <c r="AG92" s="144"/>
      <c r="AH92" s="113"/>
      <c r="AI92" s="11"/>
      <c r="AJ92" s="11"/>
      <c r="AK92" s="39"/>
      <c r="AL92" s="113"/>
      <c r="AM92" s="113"/>
      <c r="AN92" s="117"/>
      <c r="AO92" s="76"/>
      <c r="AP92" s="39"/>
      <c r="AQ92" s="39"/>
      <c r="AR92" s="275"/>
      <c r="AS92" s="156"/>
      <c r="AT92" s="157"/>
      <c r="AU92" s="62"/>
      <c r="AV92" s="62"/>
      <c r="AW92" s="31"/>
      <c r="AX92" s="116"/>
      <c r="AY92" s="196"/>
      <c r="AZ92" s="143"/>
      <c r="BA92" s="191"/>
      <c r="BB92" s="132"/>
      <c r="BC92" s="132"/>
      <c r="BD92" s="275"/>
      <c r="BE92" s="143"/>
      <c r="BF92" s="143"/>
      <c r="BG92" s="132"/>
      <c r="BH92" s="132"/>
      <c r="BI92" s="132"/>
      <c r="BJ92" s="143"/>
      <c r="BK92" s="143"/>
      <c r="BL92" s="143"/>
      <c r="BM92" s="132"/>
      <c r="BN92" s="132"/>
      <c r="BO92" s="132"/>
      <c r="BP92" s="143"/>
      <c r="BQ92" s="132"/>
      <c r="BR92" s="132"/>
      <c r="BS92" s="132"/>
      <c r="BT92" s="132"/>
      <c r="BU92" s="132"/>
      <c r="BV92" s="211"/>
      <c r="BW92" s="144"/>
      <c r="BX92" s="113"/>
      <c r="BY92" s="273"/>
      <c r="BZ92" s="273"/>
      <c r="CA92" s="132"/>
      <c r="CB92" s="275"/>
      <c r="CC92" s="143"/>
      <c r="CD92" s="275"/>
      <c r="CE92" s="132"/>
      <c r="CF92" s="132"/>
      <c r="CG92" s="36"/>
      <c r="CH92" s="210"/>
      <c r="CI92" s="219"/>
      <c r="CJ92" s="210"/>
      <c r="CK92" s="273"/>
      <c r="CL92" s="273"/>
      <c r="CM92" s="132"/>
      <c r="CN92" s="275"/>
      <c r="CO92" s="143"/>
      <c r="CP92" s="275"/>
      <c r="CQ92" s="132"/>
      <c r="CR92" s="132"/>
      <c r="CS92" s="132"/>
      <c r="CT92" s="275"/>
      <c r="CU92" s="143"/>
      <c r="CV92" s="275"/>
      <c r="CW92" s="132"/>
      <c r="CX92" s="132"/>
      <c r="CY92" s="132"/>
      <c r="CZ92" s="113"/>
      <c r="DA92" s="143"/>
      <c r="DB92" s="113"/>
      <c r="DC92" s="33"/>
      <c r="DD92" s="39"/>
      <c r="DE92" s="11"/>
      <c r="DF92" s="132"/>
      <c r="DG92" s="132"/>
      <c r="DH92" s="132"/>
      <c r="DI92" s="132"/>
      <c r="DJ92" s="132"/>
      <c r="DK92" s="132"/>
      <c r="DL92" s="132"/>
      <c r="DM92" s="132"/>
      <c r="DN92" s="132"/>
      <c r="DO92" s="132"/>
      <c r="DP92" s="132"/>
      <c r="DQ92" s="132"/>
      <c r="DR92" s="132"/>
      <c r="DS92" s="132"/>
      <c r="DT92" s="132"/>
      <c r="DU92" s="132"/>
      <c r="DV92" s="132"/>
      <c r="DW92" s="132"/>
      <c r="DX92" s="132"/>
      <c r="DY92" s="132"/>
      <c r="DZ92" s="132"/>
      <c r="EA92" s="132"/>
      <c r="EB92" s="132"/>
      <c r="EC92" s="132"/>
      <c r="ED92" s="132"/>
      <c r="EE92" s="132"/>
      <c r="EF92" s="132"/>
      <c r="EG92" s="132"/>
      <c r="EH92" s="132"/>
      <c r="EI92" s="132"/>
      <c r="EJ92" s="132"/>
      <c r="EK92" s="132"/>
      <c r="EL92" s="132"/>
      <c r="EM92" s="132"/>
      <c r="EN92" s="132"/>
      <c r="EO92" s="132"/>
      <c r="EP92" s="132"/>
      <c r="EQ92" s="132"/>
      <c r="ER92" s="132"/>
      <c r="ES92" s="132"/>
      <c r="ET92" s="11"/>
      <c r="EU92" s="11"/>
      <c r="EV92" s="11"/>
      <c r="EW92" s="11"/>
      <c r="EX92" s="11"/>
      <c r="EY92" s="11"/>
      <c r="EZ92" s="11"/>
      <c r="FA92" s="11"/>
      <c r="FB92" s="11"/>
      <c r="FC92" s="11"/>
      <c r="FD92" s="11"/>
      <c r="FE92" s="11"/>
      <c r="FF92" s="11"/>
      <c r="FG92" s="11"/>
      <c r="FH92" s="39">
        <f t="shared" si="27"/>
        <v>0</v>
      </c>
      <c r="FI92" s="33">
        <f t="shared" si="28"/>
        <v>0</v>
      </c>
      <c r="FJ92" s="84" t="str">
        <f t="shared" si="29"/>
        <v xml:space="preserve"> </v>
      </c>
    </row>
    <row r="93" spans="1:166" x14ac:dyDescent="0.25">
      <c r="A93" s="79" t="e">
        <f>#REF!</f>
        <v>#REF!</v>
      </c>
      <c r="B93" s="75" t="e">
        <f>#REF!</f>
        <v>#REF!</v>
      </c>
      <c r="C93" s="75" t="e">
        <f>#REF!</f>
        <v>#REF!</v>
      </c>
      <c r="D93" s="75" t="e">
        <f>#REF!</f>
        <v>#REF!</v>
      </c>
      <c r="E93" s="30">
        <v>1</v>
      </c>
      <c r="F93" s="238">
        <v>0</v>
      </c>
      <c r="G93" s="241">
        <v>0</v>
      </c>
      <c r="H93" s="249">
        <v>0</v>
      </c>
      <c r="I93" s="249">
        <v>0</v>
      </c>
      <c r="J93" s="249">
        <v>0</v>
      </c>
      <c r="K93" s="249">
        <v>0</v>
      </c>
      <c r="L93" s="274"/>
      <c r="M93" s="274"/>
      <c r="N93" s="245"/>
      <c r="O93" s="113"/>
      <c r="P93" s="113"/>
      <c r="Q93" s="131"/>
      <c r="R93" s="131"/>
      <c r="S93" s="64"/>
      <c r="T93" s="113"/>
      <c r="U93" s="113"/>
      <c r="V93" s="113"/>
      <c r="W93" s="131"/>
      <c r="X93" s="131"/>
      <c r="Y93" s="11"/>
      <c r="Z93" s="113"/>
      <c r="AA93" s="113"/>
      <c r="AB93" s="113"/>
      <c r="AC93" s="52"/>
      <c r="AD93" s="52"/>
      <c r="AE93" s="11"/>
      <c r="AF93" s="113"/>
      <c r="AG93" s="144"/>
      <c r="AH93" s="113"/>
      <c r="AI93" s="11"/>
      <c r="AJ93" s="11"/>
      <c r="AK93" s="39"/>
      <c r="AL93" s="113"/>
      <c r="AM93" s="113"/>
      <c r="AN93" s="117"/>
      <c r="AO93" s="76"/>
      <c r="AP93" s="39"/>
      <c r="AQ93" s="39"/>
      <c r="AR93" s="275"/>
      <c r="AS93" s="156"/>
      <c r="AT93" s="157"/>
      <c r="AU93" s="62"/>
      <c r="AV93" s="62"/>
      <c r="AW93" s="31"/>
      <c r="AX93" s="116"/>
      <c r="AY93" s="196"/>
      <c r="AZ93" s="143"/>
      <c r="BA93" s="191"/>
      <c r="BB93" s="132"/>
      <c r="BC93" s="132"/>
      <c r="BD93" s="275"/>
      <c r="BE93" s="274"/>
      <c r="BF93" s="274"/>
      <c r="BG93" s="274"/>
      <c r="BH93" s="132"/>
      <c r="BI93" s="132"/>
      <c r="BJ93" s="143"/>
      <c r="BK93" s="143"/>
      <c r="BL93" s="143"/>
      <c r="BM93" s="132"/>
      <c r="BN93" s="132"/>
      <c r="BO93" s="132"/>
      <c r="BP93" s="143"/>
      <c r="BQ93" s="132"/>
      <c r="BR93" s="132"/>
      <c r="BS93" s="132"/>
      <c r="BT93" s="132"/>
      <c r="BU93" s="132"/>
      <c r="BV93" s="211"/>
      <c r="BW93" s="144"/>
      <c r="BX93" s="113"/>
      <c r="BY93" s="273"/>
      <c r="BZ93" s="273"/>
      <c r="CA93" s="132"/>
      <c r="CB93" s="275"/>
      <c r="CC93" s="143"/>
      <c r="CD93" s="275"/>
      <c r="CE93" s="132"/>
      <c r="CF93" s="132"/>
      <c r="CG93" s="36"/>
      <c r="CH93" s="210"/>
      <c r="CI93" s="219"/>
      <c r="CJ93" s="210"/>
      <c r="CK93" s="273"/>
      <c r="CL93" s="273"/>
      <c r="CM93" s="132"/>
      <c r="CN93" s="275"/>
      <c r="CO93" s="143"/>
      <c r="CP93" s="275"/>
      <c r="CQ93" s="132"/>
      <c r="CR93" s="132"/>
      <c r="CS93" s="132"/>
      <c r="CT93" s="275"/>
      <c r="CU93" s="143"/>
      <c r="CV93" s="275"/>
      <c r="CW93" s="132"/>
      <c r="CX93" s="132"/>
      <c r="CY93" s="132"/>
      <c r="CZ93" s="113"/>
      <c r="DA93" s="143"/>
      <c r="DB93" s="113"/>
      <c r="DC93" s="33"/>
      <c r="DD93" s="39"/>
      <c r="DE93" s="11"/>
      <c r="DF93" s="132"/>
      <c r="DG93" s="132"/>
      <c r="DH93" s="132"/>
      <c r="DI93" s="132"/>
      <c r="DJ93" s="132"/>
      <c r="DK93" s="132"/>
      <c r="DL93" s="132"/>
      <c r="DM93" s="132"/>
      <c r="DN93" s="132"/>
      <c r="DO93" s="132"/>
      <c r="DP93" s="132"/>
      <c r="DQ93" s="132"/>
      <c r="DR93" s="132"/>
      <c r="DS93" s="132"/>
      <c r="DT93" s="132"/>
      <c r="DU93" s="132"/>
      <c r="DV93" s="132"/>
      <c r="DW93" s="132"/>
      <c r="DX93" s="132"/>
      <c r="DY93" s="132"/>
      <c r="DZ93" s="132"/>
      <c r="EA93" s="132"/>
      <c r="EB93" s="132"/>
      <c r="EC93" s="132"/>
      <c r="ED93" s="132"/>
      <c r="EE93" s="132"/>
      <c r="EF93" s="132"/>
      <c r="EG93" s="132"/>
      <c r="EH93" s="132"/>
      <c r="EI93" s="132"/>
      <c r="EJ93" s="132"/>
      <c r="EK93" s="132"/>
      <c r="EL93" s="132"/>
      <c r="EM93" s="132"/>
      <c r="EN93" s="132"/>
      <c r="EO93" s="132"/>
      <c r="EP93" s="132"/>
      <c r="EQ93" s="132"/>
      <c r="ER93" s="132"/>
      <c r="ES93" s="132"/>
      <c r="ET93" s="11"/>
      <c r="EU93" s="11"/>
      <c r="EV93" s="11"/>
      <c r="EW93" s="11"/>
      <c r="EX93" s="11"/>
      <c r="EY93" s="11"/>
      <c r="EZ93" s="11"/>
      <c r="FA93" s="11"/>
      <c r="FB93" s="11"/>
      <c r="FC93" s="11"/>
      <c r="FD93" s="11"/>
      <c r="FE93" s="11"/>
      <c r="FF93" s="11"/>
      <c r="FG93" s="11"/>
      <c r="FH93" s="39">
        <f t="shared" si="27"/>
        <v>0</v>
      </c>
      <c r="FI93" s="33">
        <f t="shared" si="28"/>
        <v>0</v>
      </c>
      <c r="FJ93" s="84" t="str">
        <f t="shared" si="29"/>
        <v xml:space="preserve"> </v>
      </c>
    </row>
    <row r="94" spans="1:166" x14ac:dyDescent="0.25">
      <c r="A94" s="79" t="e">
        <f>#REF!</f>
        <v>#REF!</v>
      </c>
      <c r="B94" s="75" t="e">
        <f>#REF!</f>
        <v>#REF!</v>
      </c>
      <c r="C94" s="75" t="e">
        <f>#REF!</f>
        <v>#REF!</v>
      </c>
      <c r="D94" s="75" t="e">
        <f>#REF!</f>
        <v>#REF!</v>
      </c>
      <c r="E94" s="30">
        <v>1</v>
      </c>
      <c r="F94" s="238">
        <v>0</v>
      </c>
      <c r="G94" s="241">
        <v>0</v>
      </c>
      <c r="H94" s="249">
        <v>0</v>
      </c>
      <c r="I94" s="249">
        <v>0</v>
      </c>
      <c r="J94" s="249">
        <v>495040</v>
      </c>
      <c r="K94" s="249">
        <v>0</v>
      </c>
      <c r="L94" s="274">
        <f>J94</f>
        <v>495040</v>
      </c>
      <c r="M94" s="274"/>
      <c r="N94" s="245"/>
      <c r="O94" s="113"/>
      <c r="P94" s="113"/>
      <c r="Q94" s="131"/>
      <c r="R94" s="131"/>
      <c r="S94" s="64"/>
      <c r="T94" s="113"/>
      <c r="U94" s="113"/>
      <c r="V94" s="113"/>
      <c r="W94" s="131"/>
      <c r="X94" s="131"/>
      <c r="Y94" s="11"/>
      <c r="Z94" s="113"/>
      <c r="AA94" s="113"/>
      <c r="AB94" s="113"/>
      <c r="AC94" s="52"/>
      <c r="AD94" s="52"/>
      <c r="AE94" s="11"/>
      <c r="AF94" s="118"/>
      <c r="AG94" s="144"/>
      <c r="AH94" s="113"/>
      <c r="AI94" s="11"/>
      <c r="AJ94" s="11"/>
      <c r="AK94" s="39"/>
      <c r="AL94" s="113"/>
      <c r="AM94" s="113"/>
      <c r="AN94" s="117"/>
      <c r="AO94" s="76"/>
      <c r="AP94" s="39"/>
      <c r="AQ94" s="39"/>
      <c r="AR94" s="275"/>
      <c r="AS94" s="156"/>
      <c r="AT94" s="157"/>
      <c r="AU94" s="62"/>
      <c r="AV94" s="62"/>
      <c r="AW94" s="31"/>
      <c r="AX94" s="116"/>
      <c r="AY94" s="196"/>
      <c r="AZ94" s="143"/>
      <c r="BA94" s="191"/>
      <c r="BB94" s="132"/>
      <c r="BC94" s="132"/>
      <c r="BD94" s="274"/>
      <c r="BE94" s="143"/>
      <c r="BF94" s="143"/>
      <c r="BG94" s="132"/>
      <c r="BH94" s="132"/>
      <c r="BI94" s="132"/>
      <c r="BJ94" s="143"/>
      <c r="BK94" s="143"/>
      <c r="BL94" s="143"/>
      <c r="BM94" s="132"/>
      <c r="BN94" s="132"/>
      <c r="BO94" s="132"/>
      <c r="BP94" s="143"/>
      <c r="BQ94" s="132"/>
      <c r="BR94" s="132"/>
      <c r="BS94" s="132"/>
      <c r="BT94" s="132"/>
      <c r="BU94" s="132"/>
      <c r="BV94" s="211"/>
      <c r="BW94" s="144"/>
      <c r="BX94" s="113"/>
      <c r="BY94" s="273"/>
      <c r="BZ94" s="273"/>
      <c r="CA94" s="132"/>
      <c r="CB94" s="274"/>
      <c r="CC94" s="144"/>
      <c r="CD94" s="274"/>
      <c r="CE94" s="132"/>
      <c r="CF94" s="132"/>
      <c r="CG94" s="36"/>
      <c r="CH94" s="210"/>
      <c r="CI94" s="219"/>
      <c r="CJ94" s="210"/>
      <c r="CK94" s="273"/>
      <c r="CL94" s="273"/>
      <c r="CM94" s="132"/>
      <c r="CN94" s="274"/>
      <c r="CO94" s="144"/>
      <c r="CP94" s="274"/>
      <c r="CQ94" s="132"/>
      <c r="CR94" s="132"/>
      <c r="CS94" s="132"/>
      <c r="CT94" s="274"/>
      <c r="CU94" s="144"/>
      <c r="CV94" s="274"/>
      <c r="CW94" s="132"/>
      <c r="CX94" s="132"/>
      <c r="CY94" s="132"/>
      <c r="CZ94" s="118"/>
      <c r="DA94" s="144"/>
      <c r="DB94" s="118"/>
      <c r="DC94" s="33"/>
      <c r="DD94" s="39"/>
      <c r="DE94" s="11"/>
      <c r="DF94" s="132"/>
      <c r="DG94" s="132"/>
      <c r="DH94" s="132"/>
      <c r="DI94" s="132"/>
      <c r="DJ94" s="132"/>
      <c r="DK94" s="132"/>
      <c r="DL94" s="132"/>
      <c r="DM94" s="132"/>
      <c r="DN94" s="132"/>
      <c r="DO94" s="132"/>
      <c r="DP94" s="132"/>
      <c r="DQ94" s="132"/>
      <c r="DR94" s="132"/>
      <c r="DS94" s="132"/>
      <c r="DT94" s="132"/>
      <c r="DU94" s="132"/>
      <c r="DV94" s="132"/>
      <c r="DW94" s="132"/>
      <c r="DX94" s="132"/>
      <c r="DY94" s="132"/>
      <c r="DZ94" s="132"/>
      <c r="EA94" s="132"/>
      <c r="EB94" s="132"/>
      <c r="EC94" s="132"/>
      <c r="ED94" s="132"/>
      <c r="EE94" s="132"/>
      <c r="EF94" s="132"/>
      <c r="EG94" s="132"/>
      <c r="EH94" s="132"/>
      <c r="EI94" s="132"/>
      <c r="EJ94" s="132"/>
      <c r="EK94" s="132"/>
      <c r="EL94" s="132"/>
      <c r="EM94" s="132"/>
      <c r="EN94" s="132"/>
      <c r="EO94" s="132"/>
      <c r="EP94" s="132"/>
      <c r="EQ94" s="132"/>
      <c r="ER94" s="132"/>
      <c r="ES94" s="132"/>
      <c r="ET94" s="11"/>
      <c r="EU94" s="11"/>
      <c r="EV94" s="11"/>
      <c r="EW94" s="11"/>
      <c r="EX94" s="11"/>
      <c r="EY94" s="11"/>
      <c r="EZ94" s="11"/>
      <c r="FA94" s="11"/>
      <c r="FB94" s="11"/>
      <c r="FC94" s="11"/>
      <c r="FD94" s="11"/>
      <c r="FE94" s="11"/>
      <c r="FF94" s="11"/>
      <c r="FG94" s="11"/>
      <c r="FH94" s="39">
        <f t="shared" si="27"/>
        <v>0</v>
      </c>
      <c r="FI94" s="33">
        <f t="shared" si="28"/>
        <v>0</v>
      </c>
      <c r="FJ94" s="84" t="str">
        <f t="shared" si="29"/>
        <v xml:space="preserve"> </v>
      </c>
    </row>
    <row r="95" spans="1:166" ht="63.75" x14ac:dyDescent="0.25">
      <c r="A95" s="79" t="e">
        <f>#REF!</f>
        <v>#REF!</v>
      </c>
      <c r="B95" s="75" t="e">
        <f>#REF!</f>
        <v>#REF!</v>
      </c>
      <c r="C95" s="75" t="e">
        <f>#REF!</f>
        <v>#REF!</v>
      </c>
      <c r="D95" s="75" t="e">
        <f>#REF!</f>
        <v>#REF!</v>
      </c>
      <c r="E95" s="30">
        <v>1</v>
      </c>
      <c r="F95" s="238">
        <v>0</v>
      </c>
      <c r="G95" s="241">
        <v>0</v>
      </c>
      <c r="H95" s="249">
        <v>2489361</v>
      </c>
      <c r="I95" s="249">
        <v>2290000</v>
      </c>
      <c r="J95" s="249">
        <v>2208681.3449999997</v>
      </c>
      <c r="K95" s="249">
        <v>2201500</v>
      </c>
      <c r="L95" s="274">
        <f>AVERAGE(H95,J95)</f>
        <v>2349021.1724999999</v>
      </c>
      <c r="M95" s="274">
        <f>AVERAGE(I95,K95)*E1</f>
        <v>2313122.5</v>
      </c>
      <c r="N95" s="247">
        <v>2255000</v>
      </c>
      <c r="O95" s="113">
        <f>+N95*0</f>
        <v>0</v>
      </c>
      <c r="P95" s="113">
        <f>+O95+N95</f>
        <v>2255000</v>
      </c>
      <c r="Q95" s="36" t="s">
        <v>199</v>
      </c>
      <c r="R95" s="132" t="s">
        <v>200</v>
      </c>
      <c r="S95" s="25" t="s">
        <v>201</v>
      </c>
      <c r="T95" s="113"/>
      <c r="U95" s="113"/>
      <c r="V95" s="113"/>
      <c r="W95" s="131"/>
      <c r="X95" s="131"/>
      <c r="Y95" s="11"/>
      <c r="Z95" s="113"/>
      <c r="AA95" s="113"/>
      <c r="AB95" s="113"/>
      <c r="AC95" s="52"/>
      <c r="AD95" s="52"/>
      <c r="AE95" s="11"/>
      <c r="AF95" s="118"/>
      <c r="AG95" s="144"/>
      <c r="AH95" s="113"/>
      <c r="AI95" s="11"/>
      <c r="AJ95" s="11"/>
      <c r="AK95" s="39"/>
      <c r="AL95" s="113"/>
      <c r="AM95" s="113"/>
      <c r="AN95" s="117"/>
      <c r="AO95" s="76"/>
      <c r="AP95" s="39"/>
      <c r="AQ95" s="39"/>
      <c r="AR95" s="275"/>
      <c r="AS95" s="156"/>
      <c r="AT95" s="157"/>
      <c r="AU95" s="62"/>
      <c r="AV95" s="62"/>
      <c r="AW95" s="31"/>
      <c r="AX95" s="116"/>
      <c r="AY95" s="116"/>
      <c r="AZ95" s="143"/>
      <c r="BA95" s="191"/>
      <c r="BB95" s="132"/>
      <c r="BC95" s="132"/>
      <c r="BD95" s="274"/>
      <c r="BE95" s="143"/>
      <c r="BF95" s="143"/>
      <c r="BG95" s="132"/>
      <c r="BH95" s="132"/>
      <c r="BI95" s="132"/>
      <c r="BJ95" s="143"/>
      <c r="BK95" s="143"/>
      <c r="BL95" s="143"/>
      <c r="BM95" s="132"/>
      <c r="BN95" s="132"/>
      <c r="BO95" s="132"/>
      <c r="BP95" s="143"/>
      <c r="BQ95" s="132"/>
      <c r="BR95" s="132"/>
      <c r="BS95" s="132"/>
      <c r="BT95" s="132"/>
      <c r="BU95" s="132"/>
      <c r="BV95" s="267">
        <v>1845600</v>
      </c>
      <c r="BW95" s="144">
        <f>BV95*19%</f>
        <v>350664</v>
      </c>
      <c r="BX95" s="113">
        <f>+BV95+BW95</f>
        <v>2196264</v>
      </c>
      <c r="BY95" s="264" t="s">
        <v>202</v>
      </c>
      <c r="BZ95" s="264" t="s">
        <v>203</v>
      </c>
      <c r="CA95" s="132"/>
      <c r="CB95" s="274"/>
      <c r="CC95" s="144"/>
      <c r="CD95" s="274"/>
      <c r="CE95" s="132"/>
      <c r="CF95" s="132"/>
      <c r="CG95" s="36"/>
      <c r="CH95" s="263">
        <v>1974792</v>
      </c>
      <c r="CI95" s="265">
        <f>+CH95*0.19</f>
        <v>375210.48</v>
      </c>
      <c r="CJ95" s="263">
        <f>+CH95+CI95</f>
        <v>2350002.48</v>
      </c>
      <c r="CK95" s="264" t="s">
        <v>202</v>
      </c>
      <c r="CL95" s="264" t="s">
        <v>203</v>
      </c>
      <c r="CM95" s="132"/>
      <c r="CN95" s="274"/>
      <c r="CO95" s="144"/>
      <c r="CP95" s="274"/>
      <c r="CQ95" s="132"/>
      <c r="CR95" s="132"/>
      <c r="CS95" s="132"/>
      <c r="CT95" s="274"/>
      <c r="CU95" s="144"/>
      <c r="CV95" s="274"/>
      <c r="CW95" s="132"/>
      <c r="CX95" s="132"/>
      <c r="CY95" s="132"/>
      <c r="CZ95" s="118"/>
      <c r="DA95" s="144"/>
      <c r="DB95" s="118"/>
      <c r="DC95" s="33"/>
      <c r="DD95" s="39"/>
      <c r="DE95" s="11"/>
      <c r="DF95" s="132"/>
      <c r="DG95" s="132"/>
      <c r="DH95" s="132"/>
      <c r="DI95" s="132"/>
      <c r="DJ95" s="132"/>
      <c r="DK95" s="132"/>
      <c r="DL95" s="132"/>
      <c r="DM95" s="132"/>
      <c r="DN95" s="132"/>
      <c r="DO95" s="132"/>
      <c r="DP95" s="132"/>
      <c r="DQ95" s="132"/>
      <c r="DR95" s="132"/>
      <c r="DS95" s="132"/>
      <c r="DT95" s="132"/>
      <c r="DU95" s="132"/>
      <c r="DV95" s="132"/>
      <c r="DW95" s="132"/>
      <c r="DX95" s="132"/>
      <c r="DY95" s="132"/>
      <c r="DZ95" s="132"/>
      <c r="EA95" s="132"/>
      <c r="EB95" s="132"/>
      <c r="EC95" s="132"/>
      <c r="ED95" s="132"/>
      <c r="EE95" s="132"/>
      <c r="EF95" s="132"/>
      <c r="EG95" s="132"/>
      <c r="EH95" s="132"/>
      <c r="EI95" s="132"/>
      <c r="EJ95" s="132"/>
      <c r="EK95" s="132"/>
      <c r="EL95" s="132"/>
      <c r="EM95" s="132"/>
      <c r="EN95" s="132"/>
      <c r="EO95" s="132"/>
      <c r="EP95" s="132"/>
      <c r="EQ95" s="132"/>
      <c r="ER95" s="132"/>
      <c r="ES95" s="132"/>
      <c r="ET95" s="11"/>
      <c r="EU95" s="11"/>
      <c r="EV95" s="11"/>
      <c r="EW95" s="11"/>
      <c r="EX95" s="11"/>
      <c r="EY95" s="11"/>
      <c r="EZ95" s="11"/>
      <c r="FA95" s="11"/>
      <c r="FB95" s="11"/>
      <c r="FC95" s="11"/>
      <c r="FD95" s="11"/>
      <c r="FE95" s="11"/>
      <c r="FF95" s="11"/>
      <c r="FG95" s="11"/>
      <c r="FH95" s="39">
        <f t="shared" si="27"/>
        <v>9114388.9800000004</v>
      </c>
      <c r="FI95" s="33">
        <f t="shared" si="28"/>
        <v>4</v>
      </c>
      <c r="FJ95" s="84">
        <f t="shared" si="29"/>
        <v>2278597.2450000001</v>
      </c>
    </row>
    <row r="96" spans="1:166" x14ac:dyDescent="0.25">
      <c r="A96" s="79" t="e">
        <f>#REF!</f>
        <v>#REF!</v>
      </c>
      <c r="B96" s="75" t="e">
        <f>#REF!</f>
        <v>#REF!</v>
      </c>
      <c r="C96" s="75" t="e">
        <f>#REF!</f>
        <v>#REF!</v>
      </c>
      <c r="D96" s="75" t="e">
        <f>#REF!</f>
        <v>#REF!</v>
      </c>
      <c r="E96" s="30">
        <v>1</v>
      </c>
      <c r="F96" s="238">
        <v>0</v>
      </c>
      <c r="G96" s="241">
        <v>0</v>
      </c>
      <c r="H96" s="249">
        <v>2409073.1908320002</v>
      </c>
      <c r="I96" s="249">
        <v>0</v>
      </c>
      <c r="J96" s="249">
        <v>2276400</v>
      </c>
      <c r="K96" s="249">
        <v>0</v>
      </c>
      <c r="L96" s="274">
        <f>AVERAGE(H96,J96)</f>
        <v>2342736.5954160001</v>
      </c>
      <c r="M96" s="274"/>
      <c r="N96" s="245"/>
      <c r="O96" s="119"/>
      <c r="P96" s="113"/>
      <c r="Q96" s="131"/>
      <c r="R96" s="131"/>
      <c r="S96" s="64"/>
      <c r="T96" s="113"/>
      <c r="U96" s="113"/>
      <c r="V96" s="113"/>
      <c r="W96" s="131"/>
      <c r="X96" s="131"/>
      <c r="Y96" s="11"/>
      <c r="Z96" s="113"/>
      <c r="AA96" s="113"/>
      <c r="AB96" s="113"/>
      <c r="AC96" s="52"/>
      <c r="AD96" s="52"/>
      <c r="AE96" s="11"/>
      <c r="AF96" s="118"/>
      <c r="AG96" s="144"/>
      <c r="AH96" s="113"/>
      <c r="AI96" s="11"/>
      <c r="AJ96" s="11"/>
      <c r="AK96" s="39"/>
      <c r="AL96" s="113"/>
      <c r="AM96" s="113"/>
      <c r="AN96" s="147"/>
      <c r="AO96" s="76"/>
      <c r="AP96" s="39"/>
      <c r="AQ96" s="39"/>
      <c r="AR96" s="275"/>
      <c r="AS96" s="158"/>
      <c r="AT96" s="116"/>
      <c r="AU96" s="62"/>
      <c r="AV96" s="62"/>
      <c r="AW96" s="31"/>
      <c r="AX96" s="116"/>
      <c r="AY96" s="196"/>
      <c r="AZ96" s="143"/>
      <c r="BA96" s="191"/>
      <c r="BB96" s="132"/>
      <c r="BC96" s="132"/>
      <c r="BD96" s="274"/>
      <c r="BE96" s="143"/>
      <c r="BF96" s="143"/>
      <c r="BG96" s="132"/>
      <c r="BH96" s="132"/>
      <c r="BI96" s="132"/>
      <c r="BJ96" s="143"/>
      <c r="BK96" s="143"/>
      <c r="BL96" s="143"/>
      <c r="BM96" s="52"/>
      <c r="BN96" s="22"/>
      <c r="BO96" s="131"/>
      <c r="BP96" s="113"/>
      <c r="BQ96" s="131"/>
      <c r="BR96" s="132"/>
      <c r="BS96" s="132"/>
      <c r="BT96" s="132"/>
      <c r="BU96" s="132"/>
      <c r="BV96" s="211"/>
      <c r="BW96" s="144"/>
      <c r="BX96" s="113"/>
      <c r="BY96" s="273"/>
      <c r="BZ96" s="273"/>
      <c r="CA96" s="132"/>
      <c r="CB96" s="274"/>
      <c r="CC96" s="144"/>
      <c r="CD96" s="274"/>
      <c r="CE96" s="132"/>
      <c r="CF96" s="132"/>
      <c r="CG96" s="36"/>
      <c r="CH96" s="210"/>
      <c r="CI96" s="219"/>
      <c r="CJ96" s="210"/>
      <c r="CK96" s="273"/>
      <c r="CL96" s="273"/>
      <c r="CM96" s="132"/>
      <c r="CN96" s="274"/>
      <c r="CO96" s="144"/>
      <c r="CP96" s="274"/>
      <c r="CQ96" s="132"/>
      <c r="CR96" s="132"/>
      <c r="CS96" s="132"/>
      <c r="CT96" s="274"/>
      <c r="CU96" s="144"/>
      <c r="CV96" s="274"/>
      <c r="CW96" s="132"/>
      <c r="CX96" s="132"/>
      <c r="CY96" s="132"/>
      <c r="CZ96" s="118"/>
      <c r="DA96" s="144"/>
      <c r="DB96" s="118"/>
      <c r="DC96" s="33"/>
      <c r="DD96" s="39"/>
      <c r="DE96" s="11"/>
      <c r="DF96" s="132"/>
      <c r="DG96" s="132"/>
      <c r="DH96" s="132"/>
      <c r="DI96" s="132"/>
      <c r="DJ96" s="132"/>
      <c r="DK96" s="132"/>
      <c r="DL96" s="132"/>
      <c r="DM96" s="132"/>
      <c r="DN96" s="132"/>
      <c r="DO96" s="132"/>
      <c r="DP96" s="132"/>
      <c r="DQ96" s="132"/>
      <c r="DR96" s="132"/>
      <c r="DS96" s="132"/>
      <c r="DT96" s="132"/>
      <c r="DU96" s="132"/>
      <c r="DV96" s="132"/>
      <c r="DW96" s="132"/>
      <c r="DX96" s="132"/>
      <c r="DY96" s="132"/>
      <c r="DZ96" s="132"/>
      <c r="EA96" s="132"/>
      <c r="EB96" s="132"/>
      <c r="EC96" s="132"/>
      <c r="ED96" s="132"/>
      <c r="EE96" s="132"/>
      <c r="EF96" s="132"/>
      <c r="EG96" s="132"/>
      <c r="EH96" s="132"/>
      <c r="EI96" s="132"/>
      <c r="EJ96" s="132"/>
      <c r="EK96" s="132"/>
      <c r="EL96" s="132"/>
      <c r="EM96" s="132"/>
      <c r="EN96" s="132"/>
      <c r="EO96" s="132"/>
      <c r="EP96" s="132"/>
      <c r="EQ96" s="132"/>
      <c r="ER96" s="132"/>
      <c r="ES96" s="132"/>
      <c r="ET96" s="11"/>
      <c r="EU96" s="11"/>
      <c r="EV96" s="11"/>
      <c r="EW96" s="11"/>
      <c r="EX96" s="11"/>
      <c r="EY96" s="11"/>
      <c r="EZ96" s="11"/>
      <c r="FA96" s="11"/>
      <c r="FB96" s="11"/>
      <c r="FC96" s="11"/>
      <c r="FD96" s="11"/>
      <c r="FE96" s="11"/>
      <c r="FF96" s="11"/>
      <c r="FG96" s="11"/>
      <c r="FH96" s="39">
        <f t="shared" si="27"/>
        <v>0</v>
      </c>
      <c r="FI96" s="33">
        <f t="shared" si="28"/>
        <v>0</v>
      </c>
      <c r="FJ96" s="84" t="str">
        <f t="shared" si="29"/>
        <v xml:space="preserve"> </v>
      </c>
    </row>
    <row r="97" spans="1:166" x14ac:dyDescent="0.25">
      <c r="A97" s="79" t="e">
        <f>#REF!</f>
        <v>#REF!</v>
      </c>
      <c r="B97" s="75" t="e">
        <f>#REF!</f>
        <v>#REF!</v>
      </c>
      <c r="C97" s="75" t="e">
        <f>#REF!</f>
        <v>#REF!</v>
      </c>
      <c r="D97" s="75" t="e">
        <f>#REF!</f>
        <v>#REF!</v>
      </c>
      <c r="E97" s="30">
        <v>1</v>
      </c>
      <c r="F97" s="238">
        <v>0</v>
      </c>
      <c r="G97" s="241">
        <v>0</v>
      </c>
      <c r="H97" s="249">
        <v>0</v>
      </c>
      <c r="I97" s="249">
        <v>0</v>
      </c>
      <c r="J97" s="249">
        <v>0</v>
      </c>
      <c r="K97" s="249">
        <v>0</v>
      </c>
      <c r="L97" s="274"/>
      <c r="M97" s="274"/>
      <c r="N97" s="245"/>
      <c r="O97" s="113"/>
      <c r="P97" s="113"/>
      <c r="Q97" s="131"/>
      <c r="R97" s="131"/>
      <c r="S97" s="64"/>
      <c r="T97" s="113"/>
      <c r="U97" s="113"/>
      <c r="V97" s="113"/>
      <c r="W97" s="131"/>
      <c r="X97" s="131"/>
      <c r="Y97" s="11"/>
      <c r="Z97" s="113"/>
      <c r="AA97" s="113"/>
      <c r="AB97" s="113"/>
      <c r="AC97" s="52"/>
      <c r="AD97" s="52"/>
      <c r="AE97" s="11"/>
      <c r="AF97" s="113"/>
      <c r="AG97" s="144"/>
      <c r="AH97" s="113"/>
      <c r="AI97" s="11"/>
      <c r="AJ97" s="11"/>
      <c r="AK97" s="39"/>
      <c r="AL97" s="113"/>
      <c r="AM97" s="113"/>
      <c r="AN97" s="147"/>
      <c r="AO97" s="76"/>
      <c r="AP97" s="39"/>
      <c r="AQ97" s="39"/>
      <c r="AR97" s="275"/>
      <c r="AS97" s="147"/>
      <c r="AT97" s="159"/>
      <c r="AU97" s="62"/>
      <c r="AV97" s="62"/>
      <c r="AW97" s="31"/>
      <c r="AX97" s="116"/>
      <c r="AY97" s="196"/>
      <c r="AZ97" s="143"/>
      <c r="BA97" s="191"/>
      <c r="BB97" s="132"/>
      <c r="BC97" s="132"/>
      <c r="BD97" s="275"/>
      <c r="BE97" s="143"/>
      <c r="BF97" s="143"/>
      <c r="BG97" s="132"/>
      <c r="BH97" s="132"/>
      <c r="BI97" s="132"/>
      <c r="BJ97" s="143"/>
      <c r="BK97" s="143"/>
      <c r="BL97" s="143"/>
      <c r="BM97" s="132"/>
      <c r="BN97" s="132"/>
      <c r="BO97" s="132"/>
      <c r="BP97" s="143"/>
      <c r="BQ97" s="132"/>
      <c r="BR97" s="132"/>
      <c r="BS97" s="132"/>
      <c r="BT97" s="132"/>
      <c r="BU97" s="132"/>
      <c r="BV97" s="211"/>
      <c r="BW97" s="144"/>
      <c r="BX97" s="113"/>
      <c r="BY97" s="273"/>
      <c r="BZ97" s="273"/>
      <c r="CA97" s="132"/>
      <c r="CB97" s="275"/>
      <c r="CC97" s="143"/>
      <c r="CD97" s="275"/>
      <c r="CE97" s="132"/>
      <c r="CF97" s="132"/>
      <c r="CG97" s="36"/>
      <c r="CH97" s="210"/>
      <c r="CI97" s="219"/>
      <c r="CJ97" s="210"/>
      <c r="CK97" s="273"/>
      <c r="CL97" s="273"/>
      <c r="CM97" s="132"/>
      <c r="CN97" s="275"/>
      <c r="CO97" s="143"/>
      <c r="CP97" s="275"/>
      <c r="CQ97" s="132"/>
      <c r="CR97" s="132"/>
      <c r="CS97" s="132"/>
      <c r="CT97" s="275"/>
      <c r="CU97" s="143"/>
      <c r="CV97" s="275"/>
      <c r="CW97" s="132"/>
      <c r="CX97" s="132"/>
      <c r="CY97" s="132"/>
      <c r="CZ97" s="113"/>
      <c r="DA97" s="143"/>
      <c r="DB97" s="113"/>
      <c r="DC97" s="33"/>
      <c r="DD97" s="39"/>
      <c r="DE97" s="11"/>
      <c r="DF97" s="132"/>
      <c r="DG97" s="132"/>
      <c r="DH97" s="132"/>
      <c r="DI97" s="132"/>
      <c r="DJ97" s="132"/>
      <c r="DK97" s="132"/>
      <c r="DL97" s="132"/>
      <c r="DM97" s="132"/>
      <c r="DN97" s="132"/>
      <c r="DO97" s="132"/>
      <c r="DP97" s="132"/>
      <c r="DQ97" s="132"/>
      <c r="DR97" s="132"/>
      <c r="DS97" s="132"/>
      <c r="DT97" s="132"/>
      <c r="DU97" s="132"/>
      <c r="DV97" s="132"/>
      <c r="DW97" s="132"/>
      <c r="DX97" s="132"/>
      <c r="DY97" s="132"/>
      <c r="DZ97" s="132"/>
      <c r="EA97" s="132"/>
      <c r="EB97" s="132"/>
      <c r="EC97" s="132"/>
      <c r="ED97" s="132"/>
      <c r="EE97" s="132"/>
      <c r="EF97" s="132"/>
      <c r="EG97" s="132"/>
      <c r="EH97" s="132"/>
      <c r="EI97" s="132"/>
      <c r="EJ97" s="132"/>
      <c r="EK97" s="132"/>
      <c r="EL97" s="132"/>
      <c r="EM97" s="132"/>
      <c r="EN97" s="132"/>
      <c r="EO97" s="132"/>
      <c r="EP97" s="132"/>
      <c r="EQ97" s="132"/>
      <c r="ER97" s="132"/>
      <c r="ES97" s="132"/>
      <c r="ET97" s="11"/>
      <c r="EU97" s="11"/>
      <c r="EV97" s="11"/>
      <c r="EW97" s="11"/>
      <c r="EX97" s="11"/>
      <c r="EY97" s="11"/>
      <c r="EZ97" s="11"/>
      <c r="FA97" s="11"/>
      <c r="FB97" s="11"/>
      <c r="FC97" s="11"/>
      <c r="FD97" s="11"/>
      <c r="FE97" s="11"/>
      <c r="FF97" s="11"/>
      <c r="FG97" s="11"/>
      <c r="FH97" s="39">
        <f t="shared" si="27"/>
        <v>0</v>
      </c>
      <c r="FI97" s="33">
        <f t="shared" si="28"/>
        <v>0</v>
      </c>
      <c r="FJ97" s="84" t="str">
        <f t="shared" si="29"/>
        <v xml:space="preserve"> </v>
      </c>
    </row>
    <row r="98" spans="1:166" x14ac:dyDescent="0.25">
      <c r="A98" s="79" t="e">
        <f>#REF!</f>
        <v>#REF!</v>
      </c>
      <c r="B98" s="75" t="e">
        <f>#REF!</f>
        <v>#REF!</v>
      </c>
      <c r="C98" s="75" t="e">
        <f>#REF!</f>
        <v>#REF!</v>
      </c>
      <c r="D98" s="75" t="e">
        <f>#REF!</f>
        <v>#REF!</v>
      </c>
      <c r="E98" s="30">
        <v>1</v>
      </c>
      <c r="F98" s="238">
        <v>0</v>
      </c>
      <c r="G98" s="241">
        <v>0</v>
      </c>
      <c r="H98" s="249">
        <v>0</v>
      </c>
      <c r="I98" s="249">
        <v>0</v>
      </c>
      <c r="J98" s="249">
        <v>446250</v>
      </c>
      <c r="K98" s="249">
        <v>0</v>
      </c>
      <c r="L98" s="274">
        <f>J98</f>
        <v>446250</v>
      </c>
      <c r="M98" s="274"/>
      <c r="N98" s="245"/>
      <c r="O98" s="113"/>
      <c r="P98" s="113"/>
      <c r="Q98" s="131"/>
      <c r="R98" s="131"/>
      <c r="S98" s="64"/>
      <c r="T98" s="113"/>
      <c r="U98" s="113"/>
      <c r="V98" s="113"/>
      <c r="W98" s="131"/>
      <c r="X98" s="131"/>
      <c r="Y98" s="11"/>
      <c r="Z98" s="113"/>
      <c r="AA98" s="113"/>
      <c r="AB98" s="113"/>
      <c r="AC98" s="52"/>
      <c r="AD98" s="52"/>
      <c r="AE98" s="11"/>
      <c r="AF98" s="118"/>
      <c r="AG98" s="144"/>
      <c r="AH98" s="113"/>
      <c r="AI98" s="11"/>
      <c r="AJ98" s="11"/>
      <c r="AK98" s="39"/>
      <c r="AL98" s="113"/>
      <c r="AM98" s="113"/>
      <c r="AN98" s="147"/>
      <c r="AO98" s="76"/>
      <c r="AP98" s="39"/>
      <c r="AQ98" s="39"/>
      <c r="AR98" s="275"/>
      <c r="AS98" s="147"/>
      <c r="AT98" s="159"/>
      <c r="AU98" s="62"/>
      <c r="AV98" s="62"/>
      <c r="AW98" s="31"/>
      <c r="AX98" s="116"/>
      <c r="AY98" s="196"/>
      <c r="AZ98" s="143"/>
      <c r="BA98" s="191"/>
      <c r="BB98" s="132"/>
      <c r="BC98" s="132"/>
      <c r="BD98" s="274"/>
      <c r="BE98" s="274"/>
      <c r="BF98" s="274"/>
      <c r="BG98" s="274"/>
      <c r="BH98" s="132"/>
      <c r="BI98" s="132"/>
      <c r="BJ98" s="143"/>
      <c r="BK98" s="143"/>
      <c r="BL98" s="143"/>
      <c r="BM98" s="132"/>
      <c r="BN98" s="132"/>
      <c r="BO98" s="132"/>
      <c r="BP98" s="143"/>
      <c r="BQ98" s="132"/>
      <c r="BR98" s="132"/>
      <c r="BS98" s="132"/>
      <c r="BT98" s="132"/>
      <c r="BU98" s="132"/>
      <c r="BV98" s="211"/>
      <c r="BW98" s="144"/>
      <c r="BX98" s="113"/>
      <c r="BY98" s="273"/>
      <c r="BZ98" s="273"/>
      <c r="CA98" s="132"/>
      <c r="CB98" s="274"/>
      <c r="CC98" s="144"/>
      <c r="CD98" s="274"/>
      <c r="CE98" s="132"/>
      <c r="CF98" s="132"/>
      <c r="CG98" s="36"/>
      <c r="CH98" s="210"/>
      <c r="CI98" s="219"/>
      <c r="CJ98" s="210"/>
      <c r="CK98" s="273"/>
      <c r="CL98" s="273"/>
      <c r="CM98" s="132"/>
      <c r="CN98" s="274"/>
      <c r="CO98" s="144"/>
      <c r="CP98" s="274"/>
      <c r="CQ98" s="132"/>
      <c r="CR98" s="132"/>
      <c r="CS98" s="132"/>
      <c r="CT98" s="274"/>
      <c r="CU98" s="144"/>
      <c r="CV98" s="274"/>
      <c r="CW98" s="132"/>
      <c r="CX98" s="132"/>
      <c r="CY98" s="132"/>
      <c r="CZ98" s="118"/>
      <c r="DA98" s="144"/>
      <c r="DB98" s="118"/>
      <c r="DC98" s="33"/>
      <c r="DD98" s="39"/>
      <c r="DE98" s="11"/>
      <c r="DF98" s="132"/>
      <c r="DG98" s="132"/>
      <c r="DH98" s="132"/>
      <c r="DI98" s="132"/>
      <c r="DJ98" s="132"/>
      <c r="DK98" s="132"/>
      <c r="DL98" s="132"/>
      <c r="DM98" s="132"/>
      <c r="DN98" s="132"/>
      <c r="DO98" s="132"/>
      <c r="DP98" s="132"/>
      <c r="DQ98" s="132"/>
      <c r="DR98" s="132"/>
      <c r="DS98" s="132"/>
      <c r="DT98" s="132"/>
      <c r="DU98" s="132"/>
      <c r="DV98" s="132"/>
      <c r="DW98" s="132"/>
      <c r="DX98" s="132"/>
      <c r="DY98" s="132"/>
      <c r="DZ98" s="132"/>
      <c r="EA98" s="132"/>
      <c r="EB98" s="132"/>
      <c r="EC98" s="132"/>
      <c r="ED98" s="132"/>
      <c r="EE98" s="132"/>
      <c r="EF98" s="132"/>
      <c r="EG98" s="132"/>
      <c r="EH98" s="132"/>
      <c r="EI98" s="132"/>
      <c r="EJ98" s="132"/>
      <c r="EK98" s="132"/>
      <c r="EL98" s="132"/>
      <c r="EM98" s="132"/>
      <c r="EN98" s="132"/>
      <c r="EO98" s="132"/>
      <c r="EP98" s="132"/>
      <c r="EQ98" s="132"/>
      <c r="ER98" s="132"/>
      <c r="ES98" s="132"/>
      <c r="ET98" s="11"/>
      <c r="EU98" s="11"/>
      <c r="EV98" s="11"/>
      <c r="EW98" s="11"/>
      <c r="EX98" s="11"/>
      <c r="EY98" s="11"/>
      <c r="EZ98" s="11"/>
      <c r="FA98" s="11"/>
      <c r="FB98" s="11"/>
      <c r="FC98" s="11"/>
      <c r="FD98" s="11"/>
      <c r="FE98" s="11"/>
      <c r="FF98" s="11"/>
      <c r="FG98" s="11"/>
      <c r="FH98" s="39">
        <f t="shared" si="27"/>
        <v>0</v>
      </c>
      <c r="FI98" s="33">
        <f t="shared" si="28"/>
        <v>0</v>
      </c>
      <c r="FJ98" s="84" t="str">
        <f t="shared" si="29"/>
        <v xml:space="preserve"> </v>
      </c>
    </row>
    <row r="99" spans="1:166" x14ac:dyDescent="0.25">
      <c r="A99" s="79" t="e">
        <f>#REF!</f>
        <v>#REF!</v>
      </c>
      <c r="B99" s="75" t="e">
        <f>#REF!</f>
        <v>#REF!</v>
      </c>
      <c r="C99" s="75" t="e">
        <f>#REF!</f>
        <v>#REF!</v>
      </c>
      <c r="D99" s="75" t="e">
        <f>#REF!</f>
        <v>#REF!</v>
      </c>
      <c r="E99" s="30">
        <v>1</v>
      </c>
      <c r="F99" s="238">
        <v>0</v>
      </c>
      <c r="G99" s="241">
        <v>0</v>
      </c>
      <c r="H99" s="249">
        <v>0</v>
      </c>
      <c r="I99" s="249">
        <v>0</v>
      </c>
      <c r="J99" s="249">
        <v>132000</v>
      </c>
      <c r="K99" s="249">
        <v>0</v>
      </c>
      <c r="L99" s="274">
        <f>J99</f>
        <v>132000</v>
      </c>
      <c r="M99" s="274"/>
      <c r="N99" s="245"/>
      <c r="O99" s="113"/>
      <c r="P99" s="113"/>
      <c r="Q99" s="131"/>
      <c r="R99" s="131"/>
      <c r="S99" s="64"/>
      <c r="T99" s="113"/>
      <c r="U99" s="113"/>
      <c r="V99" s="113"/>
      <c r="W99" s="131"/>
      <c r="X99" s="131"/>
      <c r="Y99" s="11"/>
      <c r="Z99" s="113"/>
      <c r="AA99" s="113"/>
      <c r="AB99" s="113"/>
      <c r="AC99" s="52"/>
      <c r="AD99" s="52"/>
      <c r="AE99" s="11"/>
      <c r="AF99" s="118"/>
      <c r="AG99" s="144"/>
      <c r="AH99" s="113"/>
      <c r="AI99" s="11"/>
      <c r="AJ99" s="11"/>
      <c r="AK99" s="39"/>
      <c r="AL99" s="113"/>
      <c r="AM99" s="113"/>
      <c r="AN99" s="147"/>
      <c r="AO99" s="76"/>
      <c r="AP99" s="39"/>
      <c r="AQ99" s="39"/>
      <c r="AR99" s="275"/>
      <c r="AS99" s="122"/>
      <c r="AT99" s="159"/>
      <c r="AU99" s="62"/>
      <c r="AV99" s="62"/>
      <c r="AW99" s="31"/>
      <c r="AX99" s="116"/>
      <c r="AY99" s="196"/>
      <c r="AZ99" s="143"/>
      <c r="BA99" s="191"/>
      <c r="BB99" s="132"/>
      <c r="BC99" s="132"/>
      <c r="BD99" s="274"/>
      <c r="BE99" s="274"/>
      <c r="BF99" s="274"/>
      <c r="BG99" s="274"/>
      <c r="BH99" s="132"/>
      <c r="BI99" s="132"/>
      <c r="BJ99" s="143"/>
      <c r="BK99" s="143"/>
      <c r="BL99" s="143"/>
      <c r="BM99" s="132"/>
      <c r="BN99" s="132"/>
      <c r="BO99" s="132"/>
      <c r="BP99" s="143"/>
      <c r="BQ99" s="132"/>
      <c r="BR99" s="132"/>
      <c r="BS99" s="132"/>
      <c r="BT99" s="132"/>
      <c r="BU99" s="132"/>
      <c r="BV99" s="211"/>
      <c r="BW99" s="144"/>
      <c r="BX99" s="113"/>
      <c r="BY99" s="273"/>
      <c r="BZ99" s="273"/>
      <c r="CA99" s="132"/>
      <c r="CB99" s="274"/>
      <c r="CC99" s="144"/>
      <c r="CD99" s="274"/>
      <c r="CE99" s="132"/>
      <c r="CF99" s="132"/>
      <c r="CG99" s="36"/>
      <c r="CH99" s="210"/>
      <c r="CI99" s="219"/>
      <c r="CJ99" s="210"/>
      <c r="CK99" s="273"/>
      <c r="CL99" s="273"/>
      <c r="CM99" s="132"/>
      <c r="CN99" s="274"/>
      <c r="CO99" s="144"/>
      <c r="CP99" s="274"/>
      <c r="CQ99" s="132"/>
      <c r="CR99" s="132"/>
      <c r="CS99" s="132"/>
      <c r="CT99" s="274"/>
      <c r="CU99" s="144"/>
      <c r="CV99" s="274"/>
      <c r="CW99" s="132"/>
      <c r="CX99" s="132"/>
      <c r="CY99" s="132"/>
      <c r="CZ99" s="118"/>
      <c r="DA99" s="144"/>
      <c r="DB99" s="118"/>
      <c r="DC99" s="33"/>
      <c r="DD99" s="39"/>
      <c r="DE99" s="11"/>
      <c r="DF99" s="132"/>
      <c r="DG99" s="132"/>
      <c r="DH99" s="132"/>
      <c r="DI99" s="132"/>
      <c r="DJ99" s="132"/>
      <c r="DK99" s="132"/>
      <c r="DL99" s="132"/>
      <c r="DM99" s="132"/>
      <c r="DN99" s="132"/>
      <c r="DO99" s="132"/>
      <c r="DP99" s="132"/>
      <c r="DQ99" s="132"/>
      <c r="DR99" s="132"/>
      <c r="DS99" s="132"/>
      <c r="DT99" s="132"/>
      <c r="DU99" s="132"/>
      <c r="DV99" s="132"/>
      <c r="DW99" s="132"/>
      <c r="DX99" s="132"/>
      <c r="DY99" s="132"/>
      <c r="DZ99" s="132"/>
      <c r="EA99" s="132"/>
      <c r="EB99" s="132"/>
      <c r="EC99" s="132"/>
      <c r="ED99" s="132"/>
      <c r="EE99" s="132"/>
      <c r="EF99" s="132"/>
      <c r="EG99" s="132"/>
      <c r="EH99" s="132"/>
      <c r="EI99" s="132"/>
      <c r="EJ99" s="132"/>
      <c r="EK99" s="132"/>
      <c r="EL99" s="132"/>
      <c r="EM99" s="132"/>
      <c r="EN99" s="132"/>
      <c r="EO99" s="132"/>
      <c r="EP99" s="132"/>
      <c r="EQ99" s="132"/>
      <c r="ER99" s="132"/>
      <c r="ES99" s="132"/>
      <c r="ET99" s="11"/>
      <c r="EU99" s="11"/>
      <c r="EV99" s="11"/>
      <c r="EW99" s="11"/>
      <c r="EX99" s="11"/>
      <c r="EY99" s="11"/>
      <c r="EZ99" s="11"/>
      <c r="FA99" s="11"/>
      <c r="FB99" s="11"/>
      <c r="FC99" s="11"/>
      <c r="FD99" s="11"/>
      <c r="FE99" s="11"/>
      <c r="FF99" s="11"/>
      <c r="FG99" s="11"/>
      <c r="FH99" s="39">
        <f t="shared" si="27"/>
        <v>0</v>
      </c>
      <c r="FI99" s="33">
        <f t="shared" si="28"/>
        <v>0</v>
      </c>
      <c r="FJ99" s="84" t="str">
        <f t="shared" si="29"/>
        <v xml:space="preserve"> </v>
      </c>
    </row>
    <row r="100" spans="1:166" ht="40.5" x14ac:dyDescent="0.25">
      <c r="A100" s="79" t="e">
        <f>#REF!</f>
        <v>#REF!</v>
      </c>
      <c r="B100" s="75" t="e">
        <f>#REF!</f>
        <v>#REF!</v>
      </c>
      <c r="C100" s="75" t="e">
        <f>#REF!</f>
        <v>#REF!</v>
      </c>
      <c r="D100" s="75" t="e">
        <f>#REF!</f>
        <v>#REF!</v>
      </c>
      <c r="E100" s="30">
        <v>1</v>
      </c>
      <c r="F100" s="238">
        <v>575808.07666666666</v>
      </c>
      <c r="G100" s="241">
        <v>118167</v>
      </c>
      <c r="H100" s="249">
        <v>522600.42177700001</v>
      </c>
      <c r="I100" s="249">
        <v>127330</v>
      </c>
      <c r="J100" s="249">
        <v>461862.60166666674</v>
      </c>
      <c r="K100" s="249">
        <v>437920</v>
      </c>
      <c r="L100" s="274">
        <f>AVERAGE(F100,H100,J100)</f>
        <v>520090.36670344445</v>
      </c>
      <c r="M100" s="274">
        <f>AVERAGE(G100,I100,K100)*E1</f>
        <v>234639.83666666667</v>
      </c>
      <c r="N100" s="245"/>
      <c r="O100" s="113"/>
      <c r="P100" s="113"/>
      <c r="Q100" s="131"/>
      <c r="R100" s="131"/>
      <c r="S100" s="64"/>
      <c r="T100" s="113"/>
      <c r="U100" s="117"/>
      <c r="V100" s="113"/>
      <c r="W100" s="131"/>
      <c r="X100" s="131"/>
      <c r="Y100" s="11"/>
      <c r="Z100" s="113"/>
      <c r="AA100" s="113"/>
      <c r="AB100" s="113"/>
      <c r="AC100" s="52"/>
      <c r="AD100" s="52"/>
      <c r="AE100" s="11"/>
      <c r="AF100" s="118">
        <v>320000</v>
      </c>
      <c r="AG100" s="144">
        <f>AF100*19%</f>
        <v>60800</v>
      </c>
      <c r="AH100" s="113">
        <f>+AF100+AG100</f>
        <v>380800</v>
      </c>
      <c r="AI100" s="11"/>
      <c r="AJ100" s="11"/>
      <c r="AK100" s="39"/>
      <c r="AL100" s="113">
        <v>270000</v>
      </c>
      <c r="AM100" s="113">
        <f>+AL100*0.19</f>
        <v>51300</v>
      </c>
      <c r="AN100" s="119">
        <f>+AL100+AM100</f>
        <v>321300</v>
      </c>
      <c r="AO100" s="76" t="s">
        <v>54</v>
      </c>
      <c r="AP100" s="266" t="s">
        <v>45</v>
      </c>
      <c r="AQ100" s="39"/>
      <c r="AR100" s="275">
        <v>306671</v>
      </c>
      <c r="AS100" s="113">
        <f>+AR100*0.19</f>
        <v>58267.49</v>
      </c>
      <c r="AT100" s="119">
        <f>+AR100+AS100</f>
        <v>364938.49</v>
      </c>
      <c r="AU100" s="62" t="s">
        <v>54</v>
      </c>
      <c r="AV100" s="62" t="s">
        <v>45</v>
      </c>
      <c r="AW100" s="31"/>
      <c r="AX100" s="116"/>
      <c r="AY100" s="116"/>
      <c r="AZ100" s="143"/>
      <c r="BA100" s="191"/>
      <c r="BB100" s="132"/>
      <c r="BC100" s="132"/>
      <c r="BD100" s="274"/>
      <c r="BE100" s="143"/>
      <c r="BF100" s="143"/>
      <c r="BG100" s="132"/>
      <c r="BH100" s="132"/>
      <c r="BI100" s="132"/>
      <c r="BJ100" s="143"/>
      <c r="BK100" s="143"/>
      <c r="BL100" s="143"/>
      <c r="BM100" s="132"/>
      <c r="BN100" s="132"/>
      <c r="BO100" s="132"/>
      <c r="BP100" s="143"/>
      <c r="BQ100" s="132"/>
      <c r="BR100" s="132"/>
      <c r="BS100" s="132"/>
      <c r="BT100" s="132"/>
      <c r="BU100" s="132"/>
      <c r="BV100" s="267">
        <v>474000</v>
      </c>
      <c r="BW100" s="144">
        <f t="shared" ref="BW100:BW109" si="33">BV100*19%</f>
        <v>90060</v>
      </c>
      <c r="BX100" s="113">
        <f t="shared" ref="BX100:BX109" si="34">+BV100+BW100</f>
        <v>564060</v>
      </c>
      <c r="BY100" s="264" t="s">
        <v>56</v>
      </c>
      <c r="BZ100" s="264" t="s">
        <v>126</v>
      </c>
      <c r="CA100" s="132"/>
      <c r="CB100" s="274"/>
      <c r="CC100" s="144"/>
      <c r="CD100" s="274"/>
      <c r="CE100" s="132"/>
      <c r="CF100" s="132"/>
      <c r="CG100" s="36"/>
      <c r="CH100" s="263">
        <v>502440</v>
      </c>
      <c r="CI100" s="265">
        <f>+CH100*0.19</f>
        <v>95463.6</v>
      </c>
      <c r="CJ100" s="263">
        <f>+CH100+CI100</f>
        <v>597903.6</v>
      </c>
      <c r="CK100" s="264" t="s">
        <v>56</v>
      </c>
      <c r="CL100" s="264" t="s">
        <v>126</v>
      </c>
      <c r="CM100" s="132"/>
      <c r="CN100" s="274"/>
      <c r="CO100" s="144"/>
      <c r="CP100" s="274"/>
      <c r="CQ100" s="132"/>
      <c r="CR100" s="132"/>
      <c r="CS100" s="132"/>
      <c r="CT100" s="274"/>
      <c r="CU100" s="144"/>
      <c r="CV100" s="274"/>
      <c r="CW100" s="132"/>
      <c r="CX100" s="132"/>
      <c r="CY100" s="132"/>
      <c r="CZ100" s="118"/>
      <c r="DA100" s="144"/>
      <c r="DB100" s="118"/>
      <c r="DC100" s="33"/>
      <c r="DD100" s="39"/>
      <c r="DE100" s="11"/>
      <c r="DF100" s="132"/>
      <c r="DG100" s="132"/>
      <c r="DH100" s="132"/>
      <c r="DI100" s="132"/>
      <c r="DJ100" s="132"/>
      <c r="DK100" s="132"/>
      <c r="DL100" s="132"/>
      <c r="DM100" s="132"/>
      <c r="DN100" s="132"/>
      <c r="DO100" s="132"/>
      <c r="DP100" s="132"/>
      <c r="DQ100" s="132"/>
      <c r="DR100" s="132"/>
      <c r="DS100" s="132"/>
      <c r="DT100" s="132"/>
      <c r="DU100" s="132"/>
      <c r="DV100" s="132"/>
      <c r="DW100" s="132"/>
      <c r="DX100" s="132"/>
      <c r="DY100" s="132"/>
      <c r="DZ100" s="132"/>
      <c r="EA100" s="132"/>
      <c r="EB100" s="132"/>
      <c r="EC100" s="132"/>
      <c r="ED100" s="132"/>
      <c r="EE100" s="132"/>
      <c r="EF100" s="132"/>
      <c r="EG100" s="132"/>
      <c r="EH100" s="132"/>
      <c r="EI100" s="132"/>
      <c r="EJ100" s="132"/>
      <c r="EK100" s="132"/>
      <c r="EL100" s="132"/>
      <c r="EM100" s="132"/>
      <c r="EN100" s="132"/>
      <c r="EO100" s="132"/>
      <c r="EP100" s="132"/>
      <c r="EQ100" s="132"/>
      <c r="ER100" s="132"/>
      <c r="ES100" s="132"/>
      <c r="ET100" s="11"/>
      <c r="EU100" s="11"/>
      <c r="EV100" s="11"/>
      <c r="EW100" s="11"/>
      <c r="EX100" s="11"/>
      <c r="EY100" s="11"/>
      <c r="EZ100" s="11"/>
      <c r="FA100" s="11"/>
      <c r="FB100" s="11"/>
      <c r="FC100" s="11"/>
      <c r="FD100" s="11"/>
      <c r="FE100" s="11"/>
      <c r="FF100" s="11"/>
      <c r="FG100" s="11"/>
      <c r="FH100" s="39">
        <f t="shared" si="27"/>
        <v>2463641.9266666668</v>
      </c>
      <c r="FI100" s="33">
        <f t="shared" si="28"/>
        <v>6</v>
      </c>
      <c r="FJ100" s="84">
        <f t="shared" si="29"/>
        <v>410606.98777777777</v>
      </c>
    </row>
    <row r="101" spans="1:166" ht="25.5" x14ac:dyDescent="0.25">
      <c r="A101" s="79" t="e">
        <f>#REF!</f>
        <v>#REF!</v>
      </c>
      <c r="B101" s="75" t="e">
        <f>#REF!</f>
        <v>#REF!</v>
      </c>
      <c r="C101" s="75" t="e">
        <f>#REF!</f>
        <v>#REF!</v>
      </c>
      <c r="D101" s="75" t="e">
        <f>#REF!</f>
        <v>#REF!</v>
      </c>
      <c r="E101" s="30">
        <v>1</v>
      </c>
      <c r="F101" s="238">
        <v>0</v>
      </c>
      <c r="G101" s="241">
        <v>0</v>
      </c>
      <c r="H101" s="249">
        <v>0</v>
      </c>
      <c r="I101" s="249">
        <v>0</v>
      </c>
      <c r="J101" s="249">
        <v>0</v>
      </c>
      <c r="K101" s="249">
        <v>0</v>
      </c>
      <c r="L101" s="274"/>
      <c r="M101" s="274"/>
      <c r="N101" s="245"/>
      <c r="O101" s="113"/>
      <c r="P101" s="113"/>
      <c r="Q101" s="131"/>
      <c r="R101" s="131"/>
      <c r="S101" s="64"/>
      <c r="T101" s="113"/>
      <c r="U101" s="117"/>
      <c r="V101" s="113"/>
      <c r="W101" s="131"/>
      <c r="X101" s="131"/>
      <c r="Y101" s="11"/>
      <c r="Z101" s="113"/>
      <c r="AA101" s="113"/>
      <c r="AB101" s="113"/>
      <c r="AC101" s="52"/>
      <c r="AD101" s="52"/>
      <c r="AE101" s="11"/>
      <c r="AF101" s="118">
        <v>1310000</v>
      </c>
      <c r="AG101" s="144">
        <f>AF101*19%</f>
        <v>248900</v>
      </c>
      <c r="AH101" s="113">
        <f>+AF101+AG101</f>
        <v>1558900</v>
      </c>
      <c r="AI101" s="11"/>
      <c r="AJ101" s="11"/>
      <c r="AK101" s="39"/>
      <c r="AL101" s="113">
        <v>580000</v>
      </c>
      <c r="AM101" s="113">
        <f>+AL101*0.19</f>
        <v>110200</v>
      </c>
      <c r="AN101" s="119">
        <f>+AL101+AM101</f>
        <v>690200</v>
      </c>
      <c r="AO101" s="76" t="s">
        <v>204</v>
      </c>
      <c r="AP101" s="266" t="s">
        <v>45</v>
      </c>
      <c r="AQ101" s="39"/>
      <c r="AR101" s="275">
        <v>964800</v>
      </c>
      <c r="AS101" s="113">
        <f>+AR101*0.19</f>
        <v>183312</v>
      </c>
      <c r="AT101" s="119">
        <f>+AR101+AS101</f>
        <v>1148112</v>
      </c>
      <c r="AU101" s="62" t="s">
        <v>109</v>
      </c>
      <c r="AV101" s="62" t="s">
        <v>35</v>
      </c>
      <c r="AW101" s="31"/>
      <c r="AX101" s="116"/>
      <c r="AY101" s="194"/>
      <c r="AZ101" s="143"/>
      <c r="BA101" s="191"/>
      <c r="BB101" s="132"/>
      <c r="BC101" s="132"/>
      <c r="BD101" s="274"/>
      <c r="BE101" s="143"/>
      <c r="BF101" s="143"/>
      <c r="BG101" s="132"/>
      <c r="BH101" s="132"/>
      <c r="BI101" s="132"/>
      <c r="BJ101" s="143"/>
      <c r="BK101" s="143"/>
      <c r="BL101" s="143"/>
      <c r="BM101" s="132"/>
      <c r="BN101" s="132"/>
      <c r="BO101" s="132"/>
      <c r="BP101" s="143"/>
      <c r="BQ101" s="132"/>
      <c r="BR101" s="132"/>
      <c r="BS101" s="132"/>
      <c r="BT101" s="132"/>
      <c r="BU101" s="132"/>
      <c r="BV101" s="267">
        <v>1810300</v>
      </c>
      <c r="BW101" s="144">
        <f t="shared" si="33"/>
        <v>343957</v>
      </c>
      <c r="BX101" s="113">
        <f t="shared" si="34"/>
        <v>2154257</v>
      </c>
      <c r="BY101" s="264" t="s">
        <v>205</v>
      </c>
      <c r="BZ101" s="264" t="s">
        <v>88</v>
      </c>
      <c r="CA101" s="132"/>
      <c r="CB101" s="274">
        <v>425000</v>
      </c>
      <c r="CC101" s="144">
        <f>+CB101*19%</f>
        <v>80750</v>
      </c>
      <c r="CD101" s="274">
        <f>+CC101+CB101</f>
        <v>505750</v>
      </c>
      <c r="CE101" s="132"/>
      <c r="CF101" s="132"/>
      <c r="CG101" s="36"/>
      <c r="CH101" s="263"/>
      <c r="CI101" s="265"/>
      <c r="CJ101" s="263"/>
      <c r="CK101" s="264"/>
      <c r="CL101" s="264"/>
      <c r="CM101" s="132"/>
      <c r="CN101" s="274"/>
      <c r="CO101" s="144"/>
      <c r="CP101" s="274"/>
      <c r="CQ101" s="132"/>
      <c r="CR101" s="132"/>
      <c r="CS101" s="132"/>
      <c r="CT101" s="144">
        <v>1362000</v>
      </c>
      <c r="CU101" s="144">
        <f>CT101*0.19</f>
        <v>258780</v>
      </c>
      <c r="CV101" s="144">
        <f>+CT101+CU101</f>
        <v>1620780</v>
      </c>
      <c r="CW101" s="132"/>
      <c r="CX101" s="132"/>
      <c r="CY101" s="132"/>
      <c r="CZ101" s="118"/>
      <c r="DA101" s="144"/>
      <c r="DB101" s="118"/>
      <c r="DC101" s="33"/>
      <c r="DD101" s="39"/>
      <c r="DE101" s="11"/>
      <c r="DF101" s="132"/>
      <c r="DG101" s="132"/>
      <c r="DH101" s="132"/>
      <c r="DI101" s="132"/>
      <c r="DJ101" s="132"/>
      <c r="DK101" s="132"/>
      <c r="DL101" s="132"/>
      <c r="DM101" s="132"/>
      <c r="DN101" s="132"/>
      <c r="DO101" s="132"/>
      <c r="DP101" s="132"/>
      <c r="DQ101" s="132"/>
      <c r="DR101" s="132"/>
      <c r="DS101" s="132"/>
      <c r="DT101" s="132"/>
      <c r="DU101" s="132"/>
      <c r="DV101" s="132"/>
      <c r="DW101" s="132"/>
      <c r="DX101" s="132"/>
      <c r="DY101" s="132"/>
      <c r="DZ101" s="132"/>
      <c r="EA101" s="132"/>
      <c r="EB101" s="132"/>
      <c r="EC101" s="132"/>
      <c r="ED101" s="132"/>
      <c r="EE101" s="132"/>
      <c r="EF101" s="132"/>
      <c r="EG101" s="132"/>
      <c r="EH101" s="132"/>
      <c r="EI101" s="132"/>
      <c r="EJ101" s="132"/>
      <c r="EK101" s="132"/>
      <c r="EL101" s="132"/>
      <c r="EM101" s="132"/>
      <c r="EN101" s="132"/>
      <c r="EO101" s="132"/>
      <c r="EP101" s="132"/>
      <c r="EQ101" s="132"/>
      <c r="ER101" s="132"/>
      <c r="ES101" s="132"/>
      <c r="ET101" s="11"/>
      <c r="EU101" s="11"/>
      <c r="EV101" s="11"/>
      <c r="EW101" s="11"/>
      <c r="EX101" s="11"/>
      <c r="EY101" s="11"/>
      <c r="EZ101" s="11"/>
      <c r="FA101" s="11"/>
      <c r="FB101" s="11"/>
      <c r="FC101" s="11"/>
      <c r="FD101" s="11"/>
      <c r="FE101" s="11"/>
      <c r="FF101" s="11"/>
      <c r="FG101" s="11"/>
      <c r="FH101" s="39">
        <f t="shared" si="27"/>
        <v>7677999</v>
      </c>
      <c r="FI101" s="33">
        <f t="shared" si="28"/>
        <v>6</v>
      </c>
      <c r="FJ101" s="84">
        <f t="shared" si="29"/>
        <v>1279666.5</v>
      </c>
    </row>
    <row r="102" spans="1:166" ht="40.5" x14ac:dyDescent="0.25">
      <c r="A102" s="79" t="e">
        <f>#REF!</f>
        <v>#REF!</v>
      </c>
      <c r="B102" s="75" t="e">
        <f>#REF!</f>
        <v>#REF!</v>
      </c>
      <c r="C102" s="75" t="e">
        <f>#REF!</f>
        <v>#REF!</v>
      </c>
      <c r="D102" s="75" t="e">
        <f>#REF!</f>
        <v>#REF!</v>
      </c>
      <c r="E102" s="30">
        <v>1</v>
      </c>
      <c r="F102" s="238">
        <v>107754.5</v>
      </c>
      <c r="G102" s="241">
        <v>103887</v>
      </c>
      <c r="H102" s="249">
        <v>116483.49311666666</v>
      </c>
      <c r="I102" s="249">
        <v>0</v>
      </c>
      <c r="J102" s="249">
        <v>128915.675</v>
      </c>
      <c r="K102" s="249">
        <v>68425</v>
      </c>
      <c r="L102" s="274">
        <f>AVERAGE(F102,H102,J102)</f>
        <v>117717.88937222223</v>
      </c>
      <c r="M102" s="274">
        <f>AVERAGE(G102,K102)*E1</f>
        <v>88740.680000000008</v>
      </c>
      <c r="N102" s="245"/>
      <c r="O102" s="113"/>
      <c r="P102" s="113"/>
      <c r="Q102" s="131"/>
      <c r="R102" s="131"/>
      <c r="S102" s="64"/>
      <c r="T102" s="113"/>
      <c r="U102" s="113"/>
      <c r="V102" s="113"/>
      <c r="W102" s="131"/>
      <c r="X102" s="131"/>
      <c r="Y102" s="11"/>
      <c r="Z102" s="113"/>
      <c r="AA102" s="113"/>
      <c r="AB102" s="113"/>
      <c r="AC102" s="52"/>
      <c r="AD102" s="52"/>
      <c r="AE102" s="11"/>
      <c r="AF102" s="118">
        <v>125000</v>
      </c>
      <c r="AG102" s="144">
        <f>AF102*19%</f>
        <v>23750</v>
      </c>
      <c r="AH102" s="113">
        <f>+AF102+AG102</f>
        <v>148750</v>
      </c>
      <c r="AI102" s="11"/>
      <c r="AJ102" s="11"/>
      <c r="AK102" s="39"/>
      <c r="AL102" s="113"/>
      <c r="AM102" s="113"/>
      <c r="AN102" s="119"/>
      <c r="AO102" s="76"/>
      <c r="AP102" s="39"/>
      <c r="AQ102" s="39"/>
      <c r="AR102" s="275"/>
      <c r="AS102" s="155"/>
      <c r="AT102" s="157"/>
      <c r="AU102" s="62"/>
      <c r="AV102" s="62"/>
      <c r="AW102" s="31"/>
      <c r="AX102" s="116"/>
      <c r="AY102" s="196"/>
      <c r="AZ102" s="143"/>
      <c r="BA102" s="191"/>
      <c r="BB102" s="132"/>
      <c r="BC102" s="132"/>
      <c r="BD102" s="274"/>
      <c r="BE102" s="143"/>
      <c r="BF102" s="143"/>
      <c r="BG102" s="132"/>
      <c r="BH102" s="132"/>
      <c r="BI102" s="132"/>
      <c r="BJ102" s="143"/>
      <c r="BK102" s="143"/>
      <c r="BL102" s="143"/>
      <c r="BM102" s="132"/>
      <c r="BN102" s="132"/>
      <c r="BO102" s="132"/>
      <c r="BP102" s="143"/>
      <c r="BQ102" s="132"/>
      <c r="BR102" s="132"/>
      <c r="BS102" s="132"/>
      <c r="BT102" s="132"/>
      <c r="BU102" s="132"/>
      <c r="BV102" s="267">
        <v>187200</v>
      </c>
      <c r="BW102" s="144">
        <f t="shared" si="33"/>
        <v>35568</v>
      </c>
      <c r="BX102" s="113">
        <f t="shared" si="34"/>
        <v>222768</v>
      </c>
      <c r="BY102" s="264" t="s">
        <v>206</v>
      </c>
      <c r="BZ102" s="264" t="s">
        <v>207</v>
      </c>
      <c r="CA102" s="132"/>
      <c r="CB102" s="274">
        <v>85200</v>
      </c>
      <c r="CC102" s="144">
        <f>+CB102*19%</f>
        <v>16188</v>
      </c>
      <c r="CD102" s="274">
        <f>+CC102+CB102</f>
        <v>101388</v>
      </c>
      <c r="CE102" s="132"/>
      <c r="CF102" s="132"/>
      <c r="CG102" s="36"/>
      <c r="CH102" s="263"/>
      <c r="CI102" s="265"/>
      <c r="CJ102" s="263"/>
      <c r="CK102" s="264"/>
      <c r="CL102" s="264"/>
      <c r="CM102" s="132"/>
      <c r="CN102" s="274"/>
      <c r="CO102" s="144"/>
      <c r="CP102" s="274"/>
      <c r="CQ102" s="132"/>
      <c r="CR102" s="132"/>
      <c r="CS102" s="132"/>
      <c r="CT102" s="274"/>
      <c r="CU102" s="144"/>
      <c r="CV102" s="274"/>
      <c r="CW102" s="132"/>
      <c r="CX102" s="132"/>
      <c r="CY102" s="132"/>
      <c r="CZ102" s="118"/>
      <c r="DA102" s="144"/>
      <c r="DB102" s="118"/>
      <c r="DC102" s="33"/>
      <c r="DD102" s="39"/>
      <c r="DE102" s="11"/>
      <c r="DF102" s="132"/>
      <c r="DG102" s="132"/>
      <c r="DH102" s="132"/>
      <c r="DI102" s="132"/>
      <c r="DJ102" s="132"/>
      <c r="DK102" s="132"/>
      <c r="DL102" s="132"/>
      <c r="DM102" s="132"/>
      <c r="DN102" s="132"/>
      <c r="DO102" s="132"/>
      <c r="DP102" s="132"/>
      <c r="DQ102" s="132"/>
      <c r="DR102" s="132"/>
      <c r="DS102" s="132"/>
      <c r="DT102" s="132"/>
      <c r="DU102" s="132"/>
      <c r="DV102" s="132"/>
      <c r="DW102" s="132"/>
      <c r="DX102" s="132"/>
      <c r="DY102" s="132"/>
      <c r="DZ102" s="132"/>
      <c r="EA102" s="132"/>
      <c r="EB102" s="132"/>
      <c r="EC102" s="132"/>
      <c r="ED102" s="132"/>
      <c r="EE102" s="132"/>
      <c r="EF102" s="132"/>
      <c r="EG102" s="132"/>
      <c r="EH102" s="132"/>
      <c r="EI102" s="132"/>
      <c r="EJ102" s="132"/>
      <c r="EK102" s="132"/>
      <c r="EL102" s="132"/>
      <c r="EM102" s="132"/>
      <c r="EN102" s="132"/>
      <c r="EO102" s="132"/>
      <c r="EP102" s="132"/>
      <c r="EQ102" s="132"/>
      <c r="ER102" s="132"/>
      <c r="ES102" s="132"/>
      <c r="ET102" s="11"/>
      <c r="EU102" s="11"/>
      <c r="EV102" s="11"/>
      <c r="EW102" s="11"/>
      <c r="EX102" s="11"/>
      <c r="EY102" s="11"/>
      <c r="EZ102" s="11"/>
      <c r="FA102" s="11"/>
      <c r="FB102" s="11"/>
      <c r="FC102" s="11"/>
      <c r="FD102" s="11"/>
      <c r="FE102" s="11"/>
      <c r="FF102" s="11"/>
      <c r="FG102" s="11"/>
      <c r="FH102" s="39">
        <f t="shared" si="27"/>
        <v>561646.67999999993</v>
      </c>
      <c r="FI102" s="33">
        <f t="shared" si="28"/>
        <v>4</v>
      </c>
      <c r="FJ102" s="84">
        <f t="shared" si="29"/>
        <v>140411.66999999998</v>
      </c>
    </row>
    <row r="103" spans="1:166" ht="40.5" x14ac:dyDescent="0.25">
      <c r="A103" s="79" t="e">
        <f>#REF!</f>
        <v>#REF!</v>
      </c>
      <c r="B103" s="75" t="e">
        <f>#REF!</f>
        <v>#REF!</v>
      </c>
      <c r="C103" s="75" t="e">
        <f>#REF!</f>
        <v>#REF!</v>
      </c>
      <c r="D103" s="75" t="e">
        <f>#REF!</f>
        <v>#REF!</v>
      </c>
      <c r="E103" s="30">
        <v>1</v>
      </c>
      <c r="F103" s="238">
        <v>0</v>
      </c>
      <c r="G103" s="241">
        <v>0</v>
      </c>
      <c r="H103" s="249">
        <v>493850</v>
      </c>
      <c r="I103" s="249">
        <v>0</v>
      </c>
      <c r="J103" s="249">
        <v>0</v>
      </c>
      <c r="K103" s="249">
        <v>0</v>
      </c>
      <c r="L103" s="274">
        <f>H103</f>
        <v>493850</v>
      </c>
      <c r="M103" s="274"/>
      <c r="N103" s="245"/>
      <c r="O103" s="113"/>
      <c r="P103" s="113"/>
      <c r="Q103" s="131"/>
      <c r="R103" s="131"/>
      <c r="S103" s="64"/>
      <c r="T103" s="113"/>
      <c r="U103" s="113"/>
      <c r="V103" s="113"/>
      <c r="W103" s="131"/>
      <c r="X103" s="131"/>
      <c r="Y103" s="11"/>
      <c r="Z103" s="113"/>
      <c r="AA103" s="113"/>
      <c r="AB103" s="113"/>
      <c r="AC103" s="52"/>
      <c r="AD103" s="52"/>
      <c r="AE103" s="11"/>
      <c r="AF103" s="113"/>
      <c r="AG103" s="144"/>
      <c r="AH103" s="113"/>
      <c r="AI103" s="11"/>
      <c r="AJ103" s="11"/>
      <c r="AK103" s="39"/>
      <c r="AL103" s="113"/>
      <c r="AM103" s="113"/>
      <c r="AN103" s="119"/>
      <c r="AO103" s="76"/>
      <c r="AP103" s="39"/>
      <c r="AQ103" s="39"/>
      <c r="AR103" s="275"/>
      <c r="AS103" s="155"/>
      <c r="AT103" s="143"/>
      <c r="AU103" s="62"/>
      <c r="AV103" s="62"/>
      <c r="AW103" s="31"/>
      <c r="AX103" s="116"/>
      <c r="AY103" s="194"/>
      <c r="AZ103" s="143"/>
      <c r="BA103" s="191"/>
      <c r="BB103" s="132"/>
      <c r="BC103" s="132"/>
      <c r="BD103" s="275"/>
      <c r="BE103" s="143"/>
      <c r="BF103" s="143"/>
      <c r="BG103" s="132"/>
      <c r="BH103" s="132"/>
      <c r="BI103" s="132"/>
      <c r="BJ103" s="143"/>
      <c r="BK103" s="143"/>
      <c r="BL103" s="143"/>
      <c r="BM103" s="132"/>
      <c r="BN103" s="132"/>
      <c r="BO103" s="132"/>
      <c r="BP103" s="143"/>
      <c r="BQ103" s="132"/>
      <c r="BR103" s="132"/>
      <c r="BS103" s="132"/>
      <c r="BT103" s="132"/>
      <c r="BU103" s="132"/>
      <c r="BV103" s="267">
        <v>546000</v>
      </c>
      <c r="BW103" s="144">
        <f t="shared" si="33"/>
        <v>103740</v>
      </c>
      <c r="BX103" s="113">
        <f t="shared" si="34"/>
        <v>649740</v>
      </c>
      <c r="BY103" s="264" t="s">
        <v>110</v>
      </c>
      <c r="BZ103" s="264" t="s">
        <v>111</v>
      </c>
      <c r="CA103" s="132"/>
      <c r="CB103" s="275"/>
      <c r="CC103" s="143"/>
      <c r="CD103" s="275"/>
      <c r="CE103" s="132"/>
      <c r="CF103" s="132"/>
      <c r="CG103" s="36"/>
      <c r="CH103" s="267">
        <v>562380</v>
      </c>
      <c r="CI103" s="265">
        <f>+CH103*0.19</f>
        <v>106852.2</v>
      </c>
      <c r="CJ103" s="263">
        <f>+CH103+CI103</f>
        <v>669232.19999999995</v>
      </c>
      <c r="CK103" s="264" t="s">
        <v>110</v>
      </c>
      <c r="CL103" s="264" t="s">
        <v>111</v>
      </c>
      <c r="CM103" s="132"/>
      <c r="CN103" s="275"/>
      <c r="CO103" s="143"/>
      <c r="CP103" s="275"/>
      <c r="CQ103" s="132"/>
      <c r="CR103" s="132"/>
      <c r="CS103" s="132"/>
      <c r="CT103" s="275"/>
      <c r="CU103" s="143"/>
      <c r="CV103" s="275"/>
      <c r="CW103" s="132"/>
      <c r="CX103" s="132"/>
      <c r="CY103" s="132"/>
      <c r="CZ103" s="113"/>
      <c r="DA103" s="143"/>
      <c r="DB103" s="113"/>
      <c r="DC103" s="33"/>
      <c r="DD103" s="39"/>
      <c r="DE103" s="11"/>
      <c r="DF103" s="132"/>
      <c r="DG103" s="132"/>
      <c r="DH103" s="132"/>
      <c r="DI103" s="132"/>
      <c r="DJ103" s="132"/>
      <c r="DK103" s="132"/>
      <c r="DL103" s="132"/>
      <c r="DM103" s="132"/>
      <c r="DN103" s="132"/>
      <c r="DO103" s="132"/>
      <c r="DP103" s="132"/>
      <c r="DQ103" s="132"/>
      <c r="DR103" s="132"/>
      <c r="DS103" s="132"/>
      <c r="DT103" s="132"/>
      <c r="DU103" s="132"/>
      <c r="DV103" s="132"/>
      <c r="DW103" s="132"/>
      <c r="DX103" s="132"/>
      <c r="DY103" s="132"/>
      <c r="DZ103" s="132"/>
      <c r="EA103" s="132"/>
      <c r="EB103" s="132"/>
      <c r="EC103" s="132"/>
      <c r="ED103" s="132"/>
      <c r="EE103" s="132"/>
      <c r="EF103" s="132"/>
      <c r="EG103" s="132"/>
      <c r="EH103" s="132"/>
      <c r="EI103" s="132"/>
      <c r="EJ103" s="132"/>
      <c r="EK103" s="132"/>
      <c r="EL103" s="132"/>
      <c r="EM103" s="132"/>
      <c r="EN103" s="132"/>
      <c r="EO103" s="132"/>
      <c r="EP103" s="132"/>
      <c r="EQ103" s="132"/>
      <c r="ER103" s="132"/>
      <c r="ES103" s="132"/>
      <c r="ET103" s="11"/>
      <c r="EU103" s="11"/>
      <c r="EV103" s="11"/>
      <c r="EW103" s="11"/>
      <c r="EX103" s="11"/>
      <c r="EY103" s="11"/>
      <c r="EZ103" s="11"/>
      <c r="FA103" s="11"/>
      <c r="FB103" s="11"/>
      <c r="FC103" s="11"/>
      <c r="FD103" s="11"/>
      <c r="FE103" s="11"/>
      <c r="FF103" s="11"/>
      <c r="FG103" s="11"/>
      <c r="FH103" s="39">
        <f t="shared" si="27"/>
        <v>1318972.2</v>
      </c>
      <c r="FI103" s="33">
        <f t="shared" si="28"/>
        <v>2</v>
      </c>
      <c r="FJ103" s="84">
        <f t="shared" si="29"/>
        <v>659486.1</v>
      </c>
    </row>
    <row r="104" spans="1:166" ht="40.5" x14ac:dyDescent="0.25">
      <c r="A104" s="79" t="e">
        <f>#REF!</f>
        <v>#REF!</v>
      </c>
      <c r="B104" s="75" t="e">
        <f>#REF!</f>
        <v>#REF!</v>
      </c>
      <c r="C104" s="75" t="e">
        <f>#REF!</f>
        <v>#REF!</v>
      </c>
      <c r="D104" s="75" t="e">
        <f>#REF!</f>
        <v>#REF!</v>
      </c>
      <c r="E104" s="30">
        <v>1</v>
      </c>
      <c r="F104" s="238">
        <v>2014372.5</v>
      </c>
      <c r="G104" s="241">
        <v>1984087</v>
      </c>
      <c r="H104" s="249">
        <v>1458856.3294583333</v>
      </c>
      <c r="I104" s="249">
        <v>1113245</v>
      </c>
      <c r="J104" s="249">
        <v>0</v>
      </c>
      <c r="K104" s="249">
        <v>0</v>
      </c>
      <c r="L104" s="274">
        <f>AVERAGE(F104,H104)</f>
        <v>1736614.4147291668</v>
      </c>
      <c r="M104" s="274">
        <f>AVERAGE(G104,I104)*E1</f>
        <v>1595125.98</v>
      </c>
      <c r="N104" s="245"/>
      <c r="O104" s="113"/>
      <c r="P104" s="113"/>
      <c r="Q104" s="131"/>
      <c r="R104" s="131"/>
      <c r="S104" s="64"/>
      <c r="T104" s="113"/>
      <c r="U104" s="117"/>
      <c r="V104" s="113"/>
      <c r="W104" s="131"/>
      <c r="X104" s="131"/>
      <c r="Y104" s="11"/>
      <c r="Z104" s="113"/>
      <c r="AA104" s="113"/>
      <c r="AB104" s="113"/>
      <c r="AC104" s="52"/>
      <c r="AD104" s="52"/>
      <c r="AE104" s="11"/>
      <c r="AF104" s="118">
        <v>1600000</v>
      </c>
      <c r="AG104" s="144">
        <f>AF104*19%</f>
        <v>304000</v>
      </c>
      <c r="AH104" s="113">
        <f>+AF104+AG104</f>
        <v>1904000</v>
      </c>
      <c r="AI104" s="11"/>
      <c r="AJ104" s="11"/>
      <c r="AK104" s="39"/>
      <c r="AL104" s="113"/>
      <c r="AM104" s="113"/>
      <c r="AN104" s="119"/>
      <c r="AO104" s="76"/>
      <c r="AP104" s="39"/>
      <c r="AQ104" s="39"/>
      <c r="AR104" s="275">
        <v>1296000</v>
      </c>
      <c r="AS104" s="113">
        <f t="shared" ref="AS104:AS110" si="35">+AR104*0.19</f>
        <v>246240</v>
      </c>
      <c r="AT104" s="119">
        <f t="shared" ref="AT104:AT111" si="36">+AR104+AS104</f>
        <v>1542240</v>
      </c>
      <c r="AU104" s="62" t="s">
        <v>54</v>
      </c>
      <c r="AV104" s="62" t="s">
        <v>35</v>
      </c>
      <c r="AW104" s="31"/>
      <c r="AX104" s="116"/>
      <c r="AY104" s="116"/>
      <c r="AZ104" s="143"/>
      <c r="BA104" s="191"/>
      <c r="BB104" s="132"/>
      <c r="BC104" s="132"/>
      <c r="BD104" s="274"/>
      <c r="BE104" s="143"/>
      <c r="BF104" s="143"/>
      <c r="BG104" s="132"/>
      <c r="BH104" s="132"/>
      <c r="BI104" s="132"/>
      <c r="BJ104" s="143"/>
      <c r="BK104" s="143"/>
      <c r="BL104" s="143"/>
      <c r="BM104" s="132"/>
      <c r="BN104" s="132"/>
      <c r="BO104" s="132"/>
      <c r="BP104" s="143"/>
      <c r="BQ104" s="132"/>
      <c r="BR104" s="132"/>
      <c r="BS104" s="132"/>
      <c r="BT104" s="132"/>
      <c r="BU104" s="132"/>
      <c r="BV104" s="267">
        <v>896000</v>
      </c>
      <c r="BW104" s="144">
        <f t="shared" si="33"/>
        <v>170240</v>
      </c>
      <c r="BX104" s="113">
        <f t="shared" si="34"/>
        <v>1066240</v>
      </c>
      <c r="BY104" s="264" t="s">
        <v>56</v>
      </c>
      <c r="BZ104" s="264" t="s">
        <v>111</v>
      </c>
      <c r="CA104" s="132"/>
      <c r="CB104" s="274"/>
      <c r="CC104" s="144"/>
      <c r="CD104" s="274"/>
      <c r="CE104" s="132"/>
      <c r="CF104" s="132"/>
      <c r="CG104" s="36"/>
      <c r="CH104" s="263"/>
      <c r="CI104" s="265"/>
      <c r="CJ104" s="263"/>
      <c r="CK104" s="264"/>
      <c r="CL104" s="264"/>
      <c r="CM104" s="132"/>
      <c r="CN104" s="274"/>
      <c r="CO104" s="144"/>
      <c r="CP104" s="274"/>
      <c r="CQ104" s="132"/>
      <c r="CR104" s="132"/>
      <c r="CS104" s="132"/>
      <c r="CT104" s="274"/>
      <c r="CU104" s="144"/>
      <c r="CV104" s="274"/>
      <c r="CW104" s="132"/>
      <c r="CX104" s="132"/>
      <c r="CY104" s="132"/>
      <c r="CZ104" s="118"/>
      <c r="DA104" s="144"/>
      <c r="DB104" s="118"/>
      <c r="DC104" s="33"/>
      <c r="DD104" s="39"/>
      <c r="DE104" s="11"/>
      <c r="DF104" s="132"/>
      <c r="DG104" s="132"/>
      <c r="DH104" s="132"/>
      <c r="DI104" s="132"/>
      <c r="DJ104" s="132"/>
      <c r="DK104" s="132"/>
      <c r="DL104" s="132"/>
      <c r="DM104" s="132"/>
      <c r="DN104" s="132"/>
      <c r="DO104" s="132"/>
      <c r="DP104" s="132"/>
      <c r="DQ104" s="132"/>
      <c r="DR104" s="132"/>
      <c r="DS104" s="132"/>
      <c r="DT104" s="132"/>
      <c r="DU104" s="132"/>
      <c r="DV104" s="132"/>
      <c r="DW104" s="132"/>
      <c r="DX104" s="132"/>
      <c r="DY104" s="132"/>
      <c r="DZ104" s="132"/>
      <c r="EA104" s="132"/>
      <c r="EB104" s="132"/>
      <c r="EC104" s="132"/>
      <c r="ED104" s="132"/>
      <c r="EE104" s="132"/>
      <c r="EF104" s="132"/>
      <c r="EG104" s="132"/>
      <c r="EH104" s="132"/>
      <c r="EI104" s="132"/>
      <c r="EJ104" s="132"/>
      <c r="EK104" s="132"/>
      <c r="EL104" s="132"/>
      <c r="EM104" s="132"/>
      <c r="EN104" s="132"/>
      <c r="EO104" s="132"/>
      <c r="EP104" s="132"/>
      <c r="EQ104" s="132"/>
      <c r="ER104" s="132"/>
      <c r="ES104" s="132"/>
      <c r="ET104" s="11"/>
      <c r="EU104" s="11"/>
      <c r="EV104" s="11"/>
      <c r="EW104" s="11"/>
      <c r="EX104" s="11"/>
      <c r="EY104" s="11"/>
      <c r="EZ104" s="11"/>
      <c r="FA104" s="11"/>
      <c r="FB104" s="11"/>
      <c r="FC104" s="11"/>
      <c r="FD104" s="11"/>
      <c r="FE104" s="11"/>
      <c r="FF104" s="11"/>
      <c r="FG104" s="11"/>
      <c r="FH104" s="39">
        <f t="shared" si="27"/>
        <v>6107605.9800000004</v>
      </c>
      <c r="FI104" s="33">
        <f t="shared" si="28"/>
        <v>4</v>
      </c>
      <c r="FJ104" s="84">
        <f t="shared" si="29"/>
        <v>1526901.4950000001</v>
      </c>
    </row>
    <row r="105" spans="1:166" ht="40.5" x14ac:dyDescent="0.25">
      <c r="A105" s="79" t="e">
        <f>#REF!</f>
        <v>#REF!</v>
      </c>
      <c r="B105" s="75" t="e">
        <f>#REF!</f>
        <v>#REF!</v>
      </c>
      <c r="C105" s="75" t="e">
        <f>#REF!</f>
        <v>#REF!</v>
      </c>
      <c r="D105" s="75" t="e">
        <f>#REF!</f>
        <v>#REF!</v>
      </c>
      <c r="E105" s="30">
        <v>1</v>
      </c>
      <c r="F105" s="238">
        <v>432810.33833333338</v>
      </c>
      <c r="G105" s="241">
        <v>415429</v>
      </c>
      <c r="H105" s="249">
        <v>473940.47329381667</v>
      </c>
      <c r="I105" s="249">
        <v>145775</v>
      </c>
      <c r="J105" s="249">
        <v>407655.64489247306</v>
      </c>
      <c r="K105" s="249">
        <v>397460</v>
      </c>
      <c r="L105" s="274">
        <f>AVERAGE(F105,H105,J105)</f>
        <v>438135.48550654104</v>
      </c>
      <c r="M105" s="274">
        <f>AVERAGE(G105,I105,K105)*E1</f>
        <v>329141.3066666667</v>
      </c>
      <c r="N105" s="245"/>
      <c r="O105" s="113"/>
      <c r="P105" s="113"/>
      <c r="Q105" s="131"/>
      <c r="R105" s="131"/>
      <c r="S105" s="64"/>
      <c r="T105" s="113"/>
      <c r="U105" s="117"/>
      <c r="V105" s="113"/>
      <c r="W105" s="131"/>
      <c r="X105" s="131"/>
      <c r="Y105" s="11"/>
      <c r="Z105" s="113"/>
      <c r="AA105" s="113"/>
      <c r="AB105" s="113"/>
      <c r="AC105" s="52"/>
      <c r="AD105" s="52"/>
      <c r="AE105" s="11"/>
      <c r="AF105" s="118">
        <v>455000</v>
      </c>
      <c r="AG105" s="144">
        <f>AF105*19%</f>
        <v>86450</v>
      </c>
      <c r="AH105" s="113">
        <f>+AF105+AG105</f>
        <v>541450</v>
      </c>
      <c r="AI105" s="11"/>
      <c r="AJ105" s="11"/>
      <c r="AK105" s="39"/>
      <c r="AL105" s="113">
        <v>420000</v>
      </c>
      <c r="AM105" s="113">
        <f>+AL105*0.19</f>
        <v>79800</v>
      </c>
      <c r="AN105" s="119">
        <f>+AL105+AM105</f>
        <v>499800</v>
      </c>
      <c r="AO105" s="76" t="s">
        <v>109</v>
      </c>
      <c r="AP105" s="266" t="s">
        <v>45</v>
      </c>
      <c r="AQ105" s="39"/>
      <c r="AR105" s="275">
        <v>158400</v>
      </c>
      <c r="AS105" s="113">
        <f t="shared" si="35"/>
        <v>30096</v>
      </c>
      <c r="AT105" s="119">
        <f t="shared" si="36"/>
        <v>188496</v>
      </c>
      <c r="AU105" s="62" t="s">
        <v>109</v>
      </c>
      <c r="AV105" s="62" t="s">
        <v>35</v>
      </c>
      <c r="AW105" s="31"/>
      <c r="AX105" s="116">
        <v>529089.54</v>
      </c>
      <c r="AY105" s="116">
        <f>+AX105*0.19</f>
        <v>100527.0126</v>
      </c>
      <c r="AZ105" s="143">
        <f>+AX105+AY105</f>
        <v>629616.55260000005</v>
      </c>
      <c r="BA105" s="191" t="s">
        <v>109</v>
      </c>
      <c r="BB105" s="132" t="s">
        <v>70</v>
      </c>
      <c r="BC105" s="132"/>
      <c r="BD105" s="274"/>
      <c r="BE105" s="143"/>
      <c r="BF105" s="143"/>
      <c r="BG105" s="132"/>
      <c r="BH105" s="132"/>
      <c r="BI105" s="132"/>
      <c r="BJ105" s="143"/>
      <c r="BK105" s="143"/>
      <c r="BL105" s="143"/>
      <c r="BM105" s="132"/>
      <c r="BN105" s="132"/>
      <c r="BO105" s="132"/>
      <c r="BP105" s="143"/>
      <c r="BQ105" s="132"/>
      <c r="BR105" s="132"/>
      <c r="BS105" s="132"/>
      <c r="BT105" s="132"/>
      <c r="BU105" s="132"/>
      <c r="BV105" s="267">
        <v>1176000</v>
      </c>
      <c r="BW105" s="144">
        <f t="shared" si="33"/>
        <v>223440</v>
      </c>
      <c r="BX105" s="113">
        <f t="shared" si="34"/>
        <v>1399440</v>
      </c>
      <c r="BY105" s="264" t="s">
        <v>110</v>
      </c>
      <c r="BZ105" s="264" t="s">
        <v>111</v>
      </c>
      <c r="CA105" s="132"/>
      <c r="CB105" s="274">
        <v>337500</v>
      </c>
      <c r="CC105" s="144">
        <f>+CB105*19%</f>
        <v>64125</v>
      </c>
      <c r="CD105" s="274">
        <f>+CC105+CB105</f>
        <v>401625</v>
      </c>
      <c r="CE105" s="132"/>
      <c r="CF105" s="132"/>
      <c r="CG105" s="36"/>
      <c r="CH105" s="263"/>
      <c r="CI105" s="265"/>
      <c r="CJ105" s="263"/>
      <c r="CK105" s="264"/>
      <c r="CL105" s="264"/>
      <c r="CM105" s="132"/>
      <c r="CN105" s="274"/>
      <c r="CO105" s="144"/>
      <c r="CP105" s="274"/>
      <c r="CQ105" s="132"/>
      <c r="CR105" s="132"/>
      <c r="CS105" s="132"/>
      <c r="CT105" s="274"/>
      <c r="CU105" s="144"/>
      <c r="CV105" s="274"/>
      <c r="CW105" s="132"/>
      <c r="CX105" s="132"/>
      <c r="CY105" s="132"/>
      <c r="CZ105" s="118">
        <v>347586</v>
      </c>
      <c r="DA105" s="144">
        <f>+CZ105*0.19</f>
        <v>66041.34</v>
      </c>
      <c r="DB105" s="118">
        <f>+CZ105+DA105</f>
        <v>413627.33999999997</v>
      </c>
      <c r="DC105" s="33" t="s">
        <v>208</v>
      </c>
      <c r="DD105" s="39" t="s">
        <v>58</v>
      </c>
      <c r="DE105" s="11">
        <v>1030260005</v>
      </c>
      <c r="DF105" s="132"/>
      <c r="DG105" s="132"/>
      <c r="DH105" s="132"/>
      <c r="DI105" s="132"/>
      <c r="DJ105" s="132"/>
      <c r="DK105" s="132"/>
      <c r="DL105" s="132"/>
      <c r="DM105" s="132"/>
      <c r="DN105" s="132"/>
      <c r="DO105" s="132"/>
      <c r="DP105" s="132"/>
      <c r="DQ105" s="132"/>
      <c r="DR105" s="132"/>
      <c r="DS105" s="132"/>
      <c r="DT105" s="132"/>
      <c r="DU105" s="132"/>
      <c r="DV105" s="132"/>
      <c r="DW105" s="132"/>
      <c r="DX105" s="132"/>
      <c r="DY105" s="132"/>
      <c r="DZ105" s="132"/>
      <c r="EA105" s="132"/>
      <c r="EB105" s="132"/>
      <c r="EC105" s="132"/>
      <c r="ED105" s="132"/>
      <c r="EE105" s="132"/>
      <c r="EF105" s="132"/>
      <c r="EG105" s="132"/>
      <c r="EH105" s="132"/>
      <c r="EI105" s="132"/>
      <c r="EJ105" s="132"/>
      <c r="EK105" s="132"/>
      <c r="EL105" s="132"/>
      <c r="EM105" s="132"/>
      <c r="EN105" s="132"/>
      <c r="EO105" s="132"/>
      <c r="EP105" s="132"/>
      <c r="EQ105" s="132"/>
      <c r="ER105" s="132"/>
      <c r="ES105" s="132"/>
      <c r="ET105" s="11"/>
      <c r="EU105" s="11"/>
      <c r="EV105" s="11"/>
      <c r="EW105" s="11"/>
      <c r="EX105" s="11"/>
      <c r="EY105" s="11"/>
      <c r="EZ105" s="11"/>
      <c r="FA105" s="11"/>
      <c r="FB105" s="11"/>
      <c r="FC105" s="11"/>
      <c r="FD105" s="11"/>
      <c r="FE105" s="11"/>
      <c r="FF105" s="11"/>
      <c r="FG105" s="11"/>
      <c r="FH105" s="39">
        <f t="shared" si="27"/>
        <v>4403196.1992666665</v>
      </c>
      <c r="FI105" s="33">
        <f t="shared" si="28"/>
        <v>8</v>
      </c>
      <c r="FJ105" s="84">
        <f t="shared" si="29"/>
        <v>550399.52490833332</v>
      </c>
    </row>
    <row r="106" spans="1:166" ht="40.5" x14ac:dyDescent="0.25">
      <c r="A106" s="79" t="e">
        <f>#REF!</f>
        <v>#REF!</v>
      </c>
      <c r="B106" s="75" t="e">
        <f>#REF!</f>
        <v>#REF!</v>
      </c>
      <c r="C106" s="75" t="e">
        <f>#REF!</f>
        <v>#REF!</v>
      </c>
      <c r="D106" s="75" t="e">
        <f>#REF!</f>
        <v>#REF!</v>
      </c>
      <c r="E106" s="30">
        <v>1</v>
      </c>
      <c r="F106" s="238">
        <v>0</v>
      </c>
      <c r="G106" s="241">
        <v>0</v>
      </c>
      <c r="H106" s="249">
        <v>0</v>
      </c>
      <c r="I106" s="249">
        <v>0</v>
      </c>
      <c r="J106" s="249">
        <v>0</v>
      </c>
      <c r="K106" s="249">
        <v>0</v>
      </c>
      <c r="L106" s="274"/>
      <c r="M106" s="274"/>
      <c r="N106" s="245"/>
      <c r="O106" s="113"/>
      <c r="P106" s="113"/>
      <c r="Q106" s="131"/>
      <c r="R106" s="131"/>
      <c r="S106" s="64"/>
      <c r="T106" s="113"/>
      <c r="U106" s="117"/>
      <c r="V106" s="113"/>
      <c r="W106" s="131"/>
      <c r="X106" s="131"/>
      <c r="Y106" s="11"/>
      <c r="Z106" s="113"/>
      <c r="AA106" s="113"/>
      <c r="AB106" s="113"/>
      <c r="AC106" s="52"/>
      <c r="AD106" s="52"/>
      <c r="AE106" s="11"/>
      <c r="AF106" s="118">
        <v>180000</v>
      </c>
      <c r="AG106" s="144">
        <f>AF106*19%</f>
        <v>34200</v>
      </c>
      <c r="AH106" s="113">
        <f>+AF106+AG106</f>
        <v>214200</v>
      </c>
      <c r="AI106" s="11"/>
      <c r="AJ106" s="11"/>
      <c r="AK106" s="39"/>
      <c r="AL106" s="113">
        <v>195000</v>
      </c>
      <c r="AM106" s="113">
        <f>+AL106*0.19</f>
        <v>37050</v>
      </c>
      <c r="AN106" s="119">
        <f>+AL106+AM106</f>
        <v>232050</v>
      </c>
      <c r="AO106" s="76" t="s">
        <v>44</v>
      </c>
      <c r="AP106" s="266" t="s">
        <v>45</v>
      </c>
      <c r="AQ106" s="39"/>
      <c r="AR106" s="275">
        <v>180986</v>
      </c>
      <c r="AS106" s="113">
        <f t="shared" si="35"/>
        <v>34387.340000000004</v>
      </c>
      <c r="AT106" s="119">
        <f t="shared" si="36"/>
        <v>215373.34</v>
      </c>
      <c r="AU106" s="62" t="s">
        <v>44</v>
      </c>
      <c r="AV106" s="62" t="s">
        <v>45</v>
      </c>
      <c r="AW106" s="31"/>
      <c r="AX106" s="116"/>
      <c r="AY106" s="116"/>
      <c r="AZ106" s="143"/>
      <c r="BA106" s="191"/>
      <c r="BB106" s="132"/>
      <c r="BC106" s="132"/>
      <c r="BD106" s="274"/>
      <c r="BE106" s="143"/>
      <c r="BF106" s="143"/>
      <c r="BG106" s="132"/>
      <c r="BH106" s="132"/>
      <c r="BI106" s="132"/>
      <c r="BJ106" s="143"/>
      <c r="BK106" s="143"/>
      <c r="BL106" s="143"/>
      <c r="BM106" s="132"/>
      <c r="BN106" s="132"/>
      <c r="BO106" s="132"/>
      <c r="BP106" s="143"/>
      <c r="BQ106" s="132"/>
      <c r="BR106" s="132"/>
      <c r="BS106" s="132"/>
      <c r="BT106" s="132"/>
      <c r="BU106" s="132"/>
      <c r="BV106" s="267">
        <v>94300</v>
      </c>
      <c r="BW106" s="144">
        <f t="shared" si="33"/>
        <v>17917</v>
      </c>
      <c r="BX106" s="113">
        <f t="shared" si="34"/>
        <v>112217</v>
      </c>
      <c r="BY106" s="264" t="s">
        <v>47</v>
      </c>
      <c r="BZ106" s="264" t="s">
        <v>48</v>
      </c>
      <c r="CA106" s="132"/>
      <c r="CB106" s="274">
        <v>118800</v>
      </c>
      <c r="CC106" s="144">
        <f>+CB106*19%</f>
        <v>22572</v>
      </c>
      <c r="CD106" s="274">
        <f>+CC106+CB106</f>
        <v>141372</v>
      </c>
      <c r="CE106" s="132"/>
      <c r="CF106" s="132"/>
      <c r="CG106" s="36"/>
      <c r="CH106" s="263">
        <v>96186</v>
      </c>
      <c r="CI106" s="265">
        <f>+CH106*0.19</f>
        <v>18275.34</v>
      </c>
      <c r="CJ106" s="263">
        <f>+CH106+CI106</f>
        <v>114461.34</v>
      </c>
      <c r="CK106" s="264" t="s">
        <v>47</v>
      </c>
      <c r="CL106" s="264" t="s">
        <v>48</v>
      </c>
      <c r="CM106" s="132"/>
      <c r="CN106" s="274"/>
      <c r="CO106" s="144"/>
      <c r="CP106" s="274"/>
      <c r="CQ106" s="132"/>
      <c r="CR106" s="132"/>
      <c r="CS106" s="132"/>
      <c r="CT106" s="274"/>
      <c r="CU106" s="144"/>
      <c r="CV106" s="274"/>
      <c r="CW106" s="132"/>
      <c r="CX106" s="132"/>
      <c r="CY106" s="132"/>
      <c r="CZ106" s="118"/>
      <c r="DA106" s="144"/>
      <c r="DB106" s="118"/>
      <c r="DC106" s="33"/>
      <c r="DD106" s="39"/>
      <c r="DE106" s="11"/>
      <c r="DF106" s="132"/>
      <c r="DG106" s="132"/>
      <c r="DH106" s="132"/>
      <c r="DI106" s="132"/>
      <c r="DJ106" s="132"/>
      <c r="DK106" s="132"/>
      <c r="DL106" s="132"/>
      <c r="DM106" s="132"/>
      <c r="DN106" s="132"/>
      <c r="DO106" s="132"/>
      <c r="DP106" s="132"/>
      <c r="DQ106" s="132"/>
      <c r="DR106" s="132"/>
      <c r="DS106" s="132"/>
      <c r="DT106" s="132"/>
      <c r="DU106" s="132"/>
      <c r="DV106" s="132"/>
      <c r="DW106" s="132"/>
      <c r="DX106" s="132"/>
      <c r="DY106" s="132"/>
      <c r="DZ106" s="132"/>
      <c r="EA106" s="132"/>
      <c r="EB106" s="132"/>
      <c r="EC106" s="132"/>
      <c r="ED106" s="132"/>
      <c r="EE106" s="132"/>
      <c r="EF106" s="132"/>
      <c r="EG106" s="132"/>
      <c r="EH106" s="132"/>
      <c r="EI106" s="132"/>
      <c r="EJ106" s="132"/>
      <c r="EK106" s="132"/>
      <c r="EL106" s="132"/>
      <c r="EM106" s="132"/>
      <c r="EN106" s="132"/>
      <c r="EO106" s="132"/>
      <c r="EP106" s="132"/>
      <c r="EQ106" s="132"/>
      <c r="ER106" s="132"/>
      <c r="ES106" s="132"/>
      <c r="ET106" s="11"/>
      <c r="EU106" s="11"/>
      <c r="EV106" s="11"/>
      <c r="EW106" s="11"/>
      <c r="EX106" s="11"/>
      <c r="EY106" s="11"/>
      <c r="EZ106" s="11"/>
      <c r="FA106" s="11"/>
      <c r="FB106" s="11"/>
      <c r="FC106" s="11"/>
      <c r="FD106" s="11"/>
      <c r="FE106" s="11"/>
      <c r="FF106" s="11"/>
      <c r="FG106" s="11"/>
      <c r="FH106" s="39">
        <f t="shared" si="27"/>
        <v>1029673.6799999999</v>
      </c>
      <c r="FI106" s="33">
        <f t="shared" si="28"/>
        <v>6</v>
      </c>
      <c r="FJ106" s="84">
        <f t="shared" si="29"/>
        <v>171612.28</v>
      </c>
    </row>
    <row r="107" spans="1:166" ht="27" x14ac:dyDescent="0.25">
      <c r="A107" s="79" t="e">
        <f>#REF!</f>
        <v>#REF!</v>
      </c>
      <c r="B107" s="75" t="e">
        <f>#REF!</f>
        <v>#REF!</v>
      </c>
      <c r="C107" s="75" t="e">
        <f>#REF!</f>
        <v>#REF!</v>
      </c>
      <c r="D107" s="75" t="e">
        <f>#REF!</f>
        <v>#REF!</v>
      </c>
      <c r="E107" s="30">
        <v>1</v>
      </c>
      <c r="F107" s="238">
        <v>0</v>
      </c>
      <c r="G107" s="241">
        <v>0</v>
      </c>
      <c r="H107" s="249">
        <v>468241.61111111112</v>
      </c>
      <c r="I107" s="249">
        <v>117215</v>
      </c>
      <c r="J107" s="249">
        <v>330148.22580645158</v>
      </c>
      <c r="K107" s="249">
        <v>323561</v>
      </c>
      <c r="L107" s="274">
        <f>AVERAGE(H107,J107)</f>
        <v>399194.91845878132</v>
      </c>
      <c r="M107" s="274">
        <f>AVERAGE(I107,K107)*E1</f>
        <v>226999.64</v>
      </c>
      <c r="N107" s="245"/>
      <c r="O107" s="113"/>
      <c r="P107" s="113"/>
      <c r="Q107" s="131"/>
      <c r="R107" s="131"/>
      <c r="S107" s="64"/>
      <c r="T107" s="113"/>
      <c r="U107" s="122"/>
      <c r="V107" s="113"/>
      <c r="W107" s="131"/>
      <c r="X107" s="131"/>
      <c r="Y107" s="11"/>
      <c r="Z107" s="113"/>
      <c r="AA107" s="113"/>
      <c r="AB107" s="113"/>
      <c r="AC107" s="52"/>
      <c r="AD107" s="52"/>
      <c r="AE107" s="11"/>
      <c r="AF107" s="118">
        <v>250000</v>
      </c>
      <c r="AG107" s="144">
        <f>AF107*19%</f>
        <v>47500</v>
      </c>
      <c r="AH107" s="113">
        <f>+AF107+AG107</f>
        <v>297500</v>
      </c>
      <c r="AI107" s="11"/>
      <c r="AJ107" s="11"/>
      <c r="AK107" s="39"/>
      <c r="AL107" s="113">
        <v>279000</v>
      </c>
      <c r="AM107" s="113">
        <f>+AL107*0.19</f>
        <v>53010</v>
      </c>
      <c r="AN107" s="119">
        <f>+AL107+AM107</f>
        <v>332010</v>
      </c>
      <c r="AO107" s="76" t="s">
        <v>209</v>
      </c>
      <c r="AP107" s="266" t="s">
        <v>45</v>
      </c>
      <c r="AQ107" s="39"/>
      <c r="AR107" s="275">
        <v>216000</v>
      </c>
      <c r="AS107" s="113">
        <f t="shared" si="35"/>
        <v>41040</v>
      </c>
      <c r="AT107" s="119">
        <f t="shared" si="36"/>
        <v>257040</v>
      </c>
      <c r="AU107" s="62" t="s">
        <v>34</v>
      </c>
      <c r="AV107" s="62" t="s">
        <v>35</v>
      </c>
      <c r="AW107" s="31"/>
      <c r="AX107" s="116">
        <f>743866.054284/4</f>
        <v>185966.51357099999</v>
      </c>
      <c r="AY107" s="116">
        <f>+AX107*0.19</f>
        <v>35333.637578490001</v>
      </c>
      <c r="AZ107" s="143">
        <f>+AX107+AY107</f>
        <v>221300.15114948998</v>
      </c>
      <c r="BA107" s="191" t="s">
        <v>54</v>
      </c>
      <c r="BB107" s="132" t="s">
        <v>210</v>
      </c>
      <c r="BC107" s="132"/>
      <c r="BD107" s="274"/>
      <c r="BE107" s="143"/>
      <c r="BF107" s="143"/>
      <c r="BG107" s="132"/>
      <c r="BH107" s="132"/>
      <c r="BI107" s="132"/>
      <c r="BJ107" s="143"/>
      <c r="BK107" s="143"/>
      <c r="BL107" s="143"/>
      <c r="BM107" s="132"/>
      <c r="BN107" s="132"/>
      <c r="BO107" s="132"/>
      <c r="BP107" s="143"/>
      <c r="BQ107" s="132"/>
      <c r="BR107" s="132"/>
      <c r="BS107" s="132"/>
      <c r="BT107" s="132"/>
      <c r="BU107" s="132"/>
      <c r="BV107" s="267">
        <v>643000</v>
      </c>
      <c r="BW107" s="144">
        <f t="shared" si="33"/>
        <v>122170</v>
      </c>
      <c r="BX107" s="113">
        <f t="shared" si="34"/>
        <v>765170</v>
      </c>
      <c r="BY107" s="264" t="s">
        <v>100</v>
      </c>
      <c r="BZ107" s="264" t="s">
        <v>63</v>
      </c>
      <c r="CA107" s="132"/>
      <c r="CB107" s="274"/>
      <c r="CC107" s="144"/>
      <c r="CD107" s="274"/>
      <c r="CE107" s="132"/>
      <c r="CF107" s="132"/>
      <c r="CG107" s="36"/>
      <c r="CH107" s="263"/>
      <c r="CI107" s="265"/>
      <c r="CJ107" s="263"/>
      <c r="CK107" s="264"/>
      <c r="CL107" s="264"/>
      <c r="CM107" s="132"/>
      <c r="CN107" s="274"/>
      <c r="CO107" s="144"/>
      <c r="CP107" s="274"/>
      <c r="CQ107" s="132"/>
      <c r="CR107" s="132"/>
      <c r="CS107" s="132"/>
      <c r="CT107" s="274"/>
      <c r="CU107" s="144"/>
      <c r="CV107" s="274"/>
      <c r="CW107" s="132"/>
      <c r="CX107" s="132"/>
      <c r="CY107" s="132"/>
      <c r="CZ107" s="118">
        <v>239314</v>
      </c>
      <c r="DA107" s="144">
        <f>+CZ107*0.19</f>
        <v>45469.66</v>
      </c>
      <c r="DB107" s="118">
        <f>+CZ107+DA107</f>
        <v>284783.66000000003</v>
      </c>
      <c r="DC107" s="33"/>
      <c r="DD107" s="39"/>
      <c r="DE107" s="11">
        <v>1159430025</v>
      </c>
      <c r="DF107" s="132"/>
      <c r="DG107" s="132"/>
      <c r="DH107" s="132"/>
      <c r="DI107" s="132"/>
      <c r="DJ107" s="132"/>
      <c r="DK107" s="132"/>
      <c r="DL107" s="132"/>
      <c r="DM107" s="132"/>
      <c r="DN107" s="132"/>
      <c r="DO107" s="132"/>
      <c r="DP107" s="132"/>
      <c r="DQ107" s="132"/>
      <c r="DR107" s="132"/>
      <c r="DS107" s="132"/>
      <c r="DT107" s="132"/>
      <c r="DU107" s="132"/>
      <c r="DV107" s="132"/>
      <c r="DW107" s="132"/>
      <c r="DX107" s="132"/>
      <c r="DY107" s="132"/>
      <c r="DZ107" s="132"/>
      <c r="EA107" s="132"/>
      <c r="EB107" s="132"/>
      <c r="EC107" s="132"/>
      <c r="ED107" s="132"/>
      <c r="EE107" s="132"/>
      <c r="EF107" s="132"/>
      <c r="EG107" s="132"/>
      <c r="EH107" s="132"/>
      <c r="EI107" s="132"/>
      <c r="EJ107" s="132"/>
      <c r="EK107" s="132"/>
      <c r="EL107" s="132"/>
      <c r="EM107" s="132"/>
      <c r="EN107" s="132"/>
      <c r="EO107" s="132"/>
      <c r="EP107" s="132"/>
      <c r="EQ107" s="132"/>
      <c r="ER107" s="132"/>
      <c r="ES107" s="132"/>
      <c r="ET107" s="11"/>
      <c r="EU107" s="11"/>
      <c r="EV107" s="11"/>
      <c r="EW107" s="11"/>
      <c r="EX107" s="11"/>
      <c r="EY107" s="11"/>
      <c r="EZ107" s="11"/>
      <c r="FA107" s="11"/>
      <c r="FB107" s="11"/>
      <c r="FC107" s="11"/>
      <c r="FD107" s="11"/>
      <c r="FE107" s="11"/>
      <c r="FF107" s="11"/>
      <c r="FG107" s="11"/>
      <c r="FH107" s="39">
        <f t="shared" si="27"/>
        <v>2384803.4511494902</v>
      </c>
      <c r="FI107" s="33">
        <f t="shared" si="28"/>
        <v>7</v>
      </c>
      <c r="FJ107" s="84">
        <f t="shared" si="29"/>
        <v>340686.20730707003</v>
      </c>
    </row>
    <row r="108" spans="1:166" ht="40.5" x14ac:dyDescent="0.25">
      <c r="A108" s="79" t="e">
        <f>#REF!</f>
        <v>#REF!</v>
      </c>
      <c r="B108" s="75" t="e">
        <f>#REF!</f>
        <v>#REF!</v>
      </c>
      <c r="C108" s="75" t="e">
        <f>#REF!</f>
        <v>#REF!</v>
      </c>
      <c r="D108" s="75" t="e">
        <f>#REF!</f>
        <v>#REF!</v>
      </c>
      <c r="E108" s="30">
        <v>1</v>
      </c>
      <c r="F108" s="238">
        <v>58251.6</v>
      </c>
      <c r="G108" s="241">
        <v>56200</v>
      </c>
      <c r="H108" s="249">
        <v>124948.17659286666</v>
      </c>
      <c r="I108" s="249">
        <v>0</v>
      </c>
      <c r="J108" s="249">
        <v>94652.256000000008</v>
      </c>
      <c r="K108" s="249">
        <v>75600</v>
      </c>
      <c r="L108" s="274">
        <f>AVERAGE(F108,H108,J108)</f>
        <v>92617.344197622224</v>
      </c>
      <c r="M108" s="274">
        <f>AVERAGE(G108,K108)*E1</f>
        <v>67877</v>
      </c>
      <c r="N108" s="245"/>
      <c r="O108" s="113"/>
      <c r="P108" s="113"/>
      <c r="Q108" s="131"/>
      <c r="R108" s="131"/>
      <c r="S108" s="64"/>
      <c r="T108" s="113"/>
      <c r="U108" s="113"/>
      <c r="V108" s="113"/>
      <c r="W108" s="131"/>
      <c r="X108" s="131"/>
      <c r="Y108" s="11"/>
      <c r="Z108" s="113"/>
      <c r="AA108" s="113"/>
      <c r="AB108" s="113"/>
      <c r="AC108" s="52"/>
      <c r="AD108" s="52"/>
      <c r="AE108" s="11"/>
      <c r="AF108" s="118">
        <v>55000</v>
      </c>
      <c r="AG108" s="144">
        <f>AF108*19%</f>
        <v>10450</v>
      </c>
      <c r="AH108" s="113">
        <f>+AF108+AG108</f>
        <v>65450</v>
      </c>
      <c r="AI108" s="11"/>
      <c r="AJ108" s="11"/>
      <c r="AK108" s="39"/>
      <c r="AL108" s="113"/>
      <c r="AM108" s="113"/>
      <c r="AN108" s="119"/>
      <c r="AO108" s="76"/>
      <c r="AP108" s="39"/>
      <c r="AQ108" s="39"/>
      <c r="AR108" s="275">
        <v>31112</v>
      </c>
      <c r="AS108" s="113">
        <f t="shared" si="35"/>
        <v>5911.28</v>
      </c>
      <c r="AT108" s="119">
        <f t="shared" si="36"/>
        <v>37023.279999999999</v>
      </c>
      <c r="AU108" s="62" t="s">
        <v>211</v>
      </c>
      <c r="AV108" s="62" t="s">
        <v>212</v>
      </c>
      <c r="AW108" s="31"/>
      <c r="AX108" s="116"/>
      <c r="AY108" s="116"/>
      <c r="AZ108" s="143"/>
      <c r="BA108" s="191"/>
      <c r="BB108" s="132"/>
      <c r="BC108" s="132"/>
      <c r="BD108" s="274"/>
      <c r="BE108" s="143"/>
      <c r="BF108" s="143"/>
      <c r="BG108" s="132"/>
      <c r="BH108" s="132"/>
      <c r="BI108" s="132"/>
      <c r="BJ108" s="143"/>
      <c r="BK108" s="143"/>
      <c r="BL108" s="143"/>
      <c r="BM108" s="132"/>
      <c r="BN108" s="132"/>
      <c r="BO108" s="132"/>
      <c r="BP108" s="143"/>
      <c r="BQ108" s="132"/>
      <c r="BR108" s="132"/>
      <c r="BS108" s="132"/>
      <c r="BT108" s="132"/>
      <c r="BU108" s="132"/>
      <c r="BV108" s="267">
        <v>102900</v>
      </c>
      <c r="BW108" s="144">
        <f t="shared" si="33"/>
        <v>19551</v>
      </c>
      <c r="BX108" s="113">
        <f t="shared" si="34"/>
        <v>122451</v>
      </c>
      <c r="BY108" s="264" t="s">
        <v>65</v>
      </c>
      <c r="BZ108" s="264" t="s">
        <v>213</v>
      </c>
      <c r="CA108" s="132"/>
      <c r="CB108" s="274"/>
      <c r="CC108" s="144"/>
      <c r="CD108" s="274"/>
      <c r="CE108" s="132"/>
      <c r="CF108" s="132"/>
      <c r="CG108" s="36"/>
      <c r="CH108" s="263">
        <v>108045</v>
      </c>
      <c r="CI108" s="265">
        <f>+CH108*0.19</f>
        <v>20528.55</v>
      </c>
      <c r="CJ108" s="263">
        <f>+CH108+CI108</f>
        <v>128573.55</v>
      </c>
      <c r="CK108" s="264" t="s">
        <v>65</v>
      </c>
      <c r="CL108" s="264" t="s">
        <v>213</v>
      </c>
      <c r="CM108" s="132"/>
      <c r="CN108" s="274"/>
      <c r="CO108" s="144"/>
      <c r="CP108" s="274"/>
      <c r="CQ108" s="132"/>
      <c r="CR108" s="132"/>
      <c r="CS108" s="132"/>
      <c r="CT108" s="274"/>
      <c r="CU108" s="144"/>
      <c r="CV108" s="274"/>
      <c r="CW108" s="132"/>
      <c r="CX108" s="132"/>
      <c r="CY108" s="132"/>
      <c r="CZ108" s="118"/>
      <c r="DA108" s="144"/>
      <c r="DB108" s="118"/>
      <c r="DC108" s="33"/>
      <c r="DD108" s="39"/>
      <c r="DE108" s="11"/>
      <c r="DF108" s="132"/>
      <c r="DG108" s="132"/>
      <c r="DH108" s="132"/>
      <c r="DI108" s="132"/>
      <c r="DJ108" s="132"/>
      <c r="DK108" s="132"/>
      <c r="DL108" s="132"/>
      <c r="DM108" s="132"/>
      <c r="DN108" s="132"/>
      <c r="DO108" s="132"/>
      <c r="DP108" s="132"/>
      <c r="DQ108" s="132"/>
      <c r="DR108" s="132"/>
      <c r="DS108" s="132"/>
      <c r="DT108" s="132"/>
      <c r="DU108" s="132"/>
      <c r="DV108" s="132"/>
      <c r="DW108" s="132"/>
      <c r="DX108" s="132"/>
      <c r="DY108" s="132"/>
      <c r="DZ108" s="132"/>
      <c r="EA108" s="132"/>
      <c r="EB108" s="132"/>
      <c r="EC108" s="132"/>
      <c r="ED108" s="132"/>
      <c r="EE108" s="132"/>
      <c r="EF108" s="132"/>
      <c r="EG108" s="132"/>
      <c r="EH108" s="132"/>
      <c r="EI108" s="132"/>
      <c r="EJ108" s="132"/>
      <c r="EK108" s="132"/>
      <c r="EL108" s="132"/>
      <c r="EM108" s="132"/>
      <c r="EN108" s="132"/>
      <c r="EO108" s="132"/>
      <c r="EP108" s="132"/>
      <c r="EQ108" s="132"/>
      <c r="ER108" s="132"/>
      <c r="ES108" s="132"/>
      <c r="ET108" s="11"/>
      <c r="EU108" s="11"/>
      <c r="EV108" s="11"/>
      <c r="EW108" s="11"/>
      <c r="EX108" s="11"/>
      <c r="EY108" s="11"/>
      <c r="EZ108" s="11"/>
      <c r="FA108" s="11"/>
      <c r="FB108" s="11"/>
      <c r="FC108" s="11"/>
      <c r="FD108" s="11"/>
      <c r="FE108" s="11"/>
      <c r="FF108" s="11"/>
      <c r="FG108" s="11"/>
      <c r="FH108" s="39">
        <f t="shared" si="27"/>
        <v>421374.83</v>
      </c>
      <c r="FI108" s="33">
        <f t="shared" si="28"/>
        <v>5</v>
      </c>
      <c r="FJ108" s="84">
        <f t="shared" si="29"/>
        <v>84274.966</v>
      </c>
    </row>
    <row r="109" spans="1:166" ht="25.5" x14ac:dyDescent="0.25">
      <c r="A109" s="79" t="e">
        <f>#REF!</f>
        <v>#REF!</v>
      </c>
      <c r="B109" s="75" t="e">
        <f>#REF!</f>
        <v>#REF!</v>
      </c>
      <c r="C109" s="75" t="e">
        <f>#REF!</f>
        <v>#REF!</v>
      </c>
      <c r="D109" s="75" t="e">
        <f>#REF!</f>
        <v>#REF!</v>
      </c>
      <c r="E109" s="30">
        <v>1</v>
      </c>
      <c r="F109" s="238">
        <v>0</v>
      </c>
      <c r="G109" s="241">
        <v>0</v>
      </c>
      <c r="H109" s="249">
        <v>0</v>
      </c>
      <c r="I109" s="249">
        <v>0</v>
      </c>
      <c r="J109" s="249">
        <v>0</v>
      </c>
      <c r="K109" s="249">
        <v>0</v>
      </c>
      <c r="L109" s="274"/>
      <c r="M109" s="274"/>
      <c r="N109" s="245"/>
      <c r="O109" s="113"/>
      <c r="P109" s="113"/>
      <c r="Q109" s="131"/>
      <c r="R109" s="131"/>
      <c r="S109" s="64"/>
      <c r="T109" s="113"/>
      <c r="U109" s="113"/>
      <c r="V109" s="113"/>
      <c r="W109" s="131"/>
      <c r="X109" s="131"/>
      <c r="Y109" s="11"/>
      <c r="Z109" s="113"/>
      <c r="AA109" s="113"/>
      <c r="AB109" s="113"/>
      <c r="AC109" s="52"/>
      <c r="AD109" s="52"/>
      <c r="AE109" s="11"/>
      <c r="AF109" s="118"/>
      <c r="AG109" s="144"/>
      <c r="AH109" s="113"/>
      <c r="AI109" s="11"/>
      <c r="AJ109" s="11"/>
      <c r="AK109" s="39"/>
      <c r="AL109" s="113"/>
      <c r="AM109" s="113"/>
      <c r="AN109" s="119"/>
      <c r="AO109" s="76"/>
      <c r="AP109" s="39"/>
      <c r="AQ109" s="39"/>
      <c r="AR109" s="275">
        <v>244800</v>
      </c>
      <c r="AS109" s="113">
        <f t="shared" si="35"/>
        <v>46512</v>
      </c>
      <c r="AT109" s="119">
        <f t="shared" si="36"/>
        <v>291312</v>
      </c>
      <c r="AU109" s="62" t="s">
        <v>109</v>
      </c>
      <c r="AV109" s="62" t="s">
        <v>35</v>
      </c>
      <c r="AW109" s="31"/>
      <c r="AX109" s="116"/>
      <c r="AY109" s="116"/>
      <c r="AZ109" s="143"/>
      <c r="BA109" s="191"/>
      <c r="BB109" s="132"/>
      <c r="BC109" s="132"/>
      <c r="BD109" s="274"/>
      <c r="BE109" s="143"/>
      <c r="BF109" s="143"/>
      <c r="BG109" s="132"/>
      <c r="BH109" s="132"/>
      <c r="BI109" s="132"/>
      <c r="BJ109" s="143"/>
      <c r="BK109" s="143"/>
      <c r="BL109" s="143"/>
      <c r="BM109" s="132"/>
      <c r="BN109" s="132"/>
      <c r="BO109" s="132"/>
      <c r="BP109" s="143"/>
      <c r="BQ109" s="132"/>
      <c r="BR109" s="132"/>
      <c r="BS109" s="132"/>
      <c r="BT109" s="132"/>
      <c r="BU109" s="132"/>
      <c r="BV109" s="267">
        <v>933300</v>
      </c>
      <c r="BW109" s="144">
        <f t="shared" si="33"/>
        <v>177327</v>
      </c>
      <c r="BX109" s="113">
        <f t="shared" si="34"/>
        <v>1110627</v>
      </c>
      <c r="BY109" s="264" t="s">
        <v>214</v>
      </c>
      <c r="BZ109" s="264" t="s">
        <v>37</v>
      </c>
      <c r="CA109" s="132"/>
      <c r="CB109" s="274"/>
      <c r="CC109" s="144"/>
      <c r="CD109" s="274"/>
      <c r="CE109" s="132"/>
      <c r="CF109" s="132"/>
      <c r="CG109" s="36"/>
      <c r="CH109" s="263">
        <v>979965</v>
      </c>
      <c r="CI109" s="265">
        <f>+CH109*0.19</f>
        <v>186193.35</v>
      </c>
      <c r="CJ109" s="263">
        <f>+CH109+CI109</f>
        <v>1166158.3500000001</v>
      </c>
      <c r="CK109" s="264" t="s">
        <v>214</v>
      </c>
      <c r="CL109" s="264" t="s">
        <v>37</v>
      </c>
      <c r="CM109" s="132"/>
      <c r="CN109" s="274"/>
      <c r="CO109" s="144"/>
      <c r="CP109" s="274"/>
      <c r="CQ109" s="132"/>
      <c r="CR109" s="132"/>
      <c r="CS109" s="132"/>
      <c r="CT109" s="274"/>
      <c r="CU109" s="144"/>
      <c r="CV109" s="274"/>
      <c r="CW109" s="132"/>
      <c r="CX109" s="132"/>
      <c r="CY109" s="132"/>
      <c r="CZ109" s="118"/>
      <c r="DA109" s="144"/>
      <c r="DB109" s="118"/>
      <c r="DC109" s="33"/>
      <c r="DD109" s="39"/>
      <c r="DE109" s="11"/>
      <c r="DF109" s="132"/>
      <c r="DG109" s="132"/>
      <c r="DH109" s="132"/>
      <c r="DI109" s="132"/>
      <c r="DJ109" s="132"/>
      <c r="DK109" s="132"/>
      <c r="DL109" s="132"/>
      <c r="DM109" s="132"/>
      <c r="DN109" s="132"/>
      <c r="DO109" s="132"/>
      <c r="DP109" s="132"/>
      <c r="DQ109" s="132"/>
      <c r="DR109" s="132"/>
      <c r="DS109" s="132"/>
      <c r="DT109" s="132"/>
      <c r="DU109" s="132"/>
      <c r="DV109" s="132"/>
      <c r="DW109" s="132"/>
      <c r="DX109" s="132"/>
      <c r="DY109" s="132"/>
      <c r="DZ109" s="132"/>
      <c r="EA109" s="132"/>
      <c r="EB109" s="132"/>
      <c r="EC109" s="132"/>
      <c r="ED109" s="132"/>
      <c r="EE109" s="132"/>
      <c r="EF109" s="132"/>
      <c r="EG109" s="132"/>
      <c r="EH109" s="132"/>
      <c r="EI109" s="132"/>
      <c r="EJ109" s="132"/>
      <c r="EK109" s="132"/>
      <c r="EL109" s="132"/>
      <c r="EM109" s="132"/>
      <c r="EN109" s="132"/>
      <c r="EO109" s="132"/>
      <c r="EP109" s="132"/>
      <c r="EQ109" s="132"/>
      <c r="ER109" s="132"/>
      <c r="ES109" s="132"/>
      <c r="ET109" s="11"/>
      <c r="EU109" s="11"/>
      <c r="EV109" s="11"/>
      <c r="EW109" s="11"/>
      <c r="EX109" s="11"/>
      <c r="EY109" s="11"/>
      <c r="EZ109" s="11"/>
      <c r="FA109" s="11"/>
      <c r="FB109" s="11"/>
      <c r="FC109" s="11"/>
      <c r="FD109" s="11"/>
      <c r="FE109" s="11"/>
      <c r="FF109" s="11"/>
      <c r="FG109" s="11"/>
      <c r="FH109" s="39">
        <f t="shared" si="27"/>
        <v>2568097.35</v>
      </c>
      <c r="FI109" s="33">
        <f t="shared" si="28"/>
        <v>3</v>
      </c>
      <c r="FJ109" s="84">
        <f t="shared" si="29"/>
        <v>856032.45000000007</v>
      </c>
    </row>
    <row r="110" spans="1:166" ht="25.5" x14ac:dyDescent="0.25">
      <c r="A110" s="79" t="e">
        <f>#REF!</f>
        <v>#REF!</v>
      </c>
      <c r="B110" s="75" t="e">
        <f>#REF!</f>
        <v>#REF!</v>
      </c>
      <c r="C110" s="75" t="e">
        <f>#REF!</f>
        <v>#REF!</v>
      </c>
      <c r="D110" s="75" t="e">
        <f>#REF!</f>
        <v>#REF!</v>
      </c>
      <c r="E110" s="30">
        <v>1</v>
      </c>
      <c r="F110" s="238">
        <v>0</v>
      </c>
      <c r="G110" s="241">
        <v>0</v>
      </c>
      <c r="H110" s="249">
        <v>963156.25</v>
      </c>
      <c r="I110" s="249">
        <v>0</v>
      </c>
      <c r="J110" s="249">
        <v>403646.21499999997</v>
      </c>
      <c r="K110" s="249">
        <v>0</v>
      </c>
      <c r="L110" s="274">
        <f>AVERAGE(H110,J110)</f>
        <v>683401.23249999993</v>
      </c>
      <c r="M110" s="274"/>
      <c r="N110" s="245"/>
      <c r="O110" s="113"/>
      <c r="P110" s="113"/>
      <c r="Q110" s="131"/>
      <c r="R110" s="131"/>
      <c r="S110" s="64"/>
      <c r="T110" s="113"/>
      <c r="U110" s="113"/>
      <c r="V110" s="113"/>
      <c r="W110" s="131"/>
      <c r="X110" s="131"/>
      <c r="Y110" s="11"/>
      <c r="Z110" s="113"/>
      <c r="AA110" s="113"/>
      <c r="AB110" s="113"/>
      <c r="AC110" s="52"/>
      <c r="AD110" s="52"/>
      <c r="AE110" s="11"/>
      <c r="AF110" s="118"/>
      <c r="AG110" s="144"/>
      <c r="AH110" s="113"/>
      <c r="AI110" s="11"/>
      <c r="AJ110" s="11"/>
      <c r="AK110" s="39"/>
      <c r="AL110" s="113"/>
      <c r="AM110" s="113"/>
      <c r="AN110" s="147"/>
      <c r="AO110" s="76"/>
      <c r="AP110" s="39"/>
      <c r="AQ110" s="39"/>
      <c r="AR110" s="275">
        <v>820800</v>
      </c>
      <c r="AS110" s="113">
        <f t="shared" si="35"/>
        <v>155952</v>
      </c>
      <c r="AT110" s="119">
        <f t="shared" si="36"/>
        <v>976752</v>
      </c>
      <c r="AU110" s="62" t="s">
        <v>34</v>
      </c>
      <c r="AV110" s="62" t="s">
        <v>35</v>
      </c>
      <c r="AW110" s="31"/>
      <c r="AX110" s="116"/>
      <c r="AY110" s="116"/>
      <c r="AZ110" s="143"/>
      <c r="BA110" s="191"/>
      <c r="BB110" s="132"/>
      <c r="BC110" s="132"/>
      <c r="BD110" s="274"/>
      <c r="BE110" s="143"/>
      <c r="BF110" s="143"/>
      <c r="BG110" s="132"/>
      <c r="BH110" s="132"/>
      <c r="BI110" s="132"/>
      <c r="BJ110" s="143"/>
      <c r="BK110" s="143"/>
      <c r="BL110" s="143"/>
      <c r="BM110" s="132"/>
      <c r="BN110" s="132"/>
      <c r="BO110" s="132"/>
      <c r="BP110" s="143"/>
      <c r="BQ110" s="132"/>
      <c r="BR110" s="132"/>
      <c r="BS110" s="132"/>
      <c r="BT110" s="132"/>
      <c r="BU110" s="132"/>
      <c r="BV110" s="211"/>
      <c r="BW110" s="144"/>
      <c r="BX110" s="113"/>
      <c r="BY110" s="273"/>
      <c r="BZ110" s="273"/>
      <c r="CA110" s="132"/>
      <c r="CB110" s="274"/>
      <c r="CC110" s="144"/>
      <c r="CD110" s="274"/>
      <c r="CE110" s="132"/>
      <c r="CF110" s="132"/>
      <c r="CG110" s="36"/>
      <c r="CH110" s="210"/>
      <c r="CI110" s="219"/>
      <c r="CJ110" s="210"/>
      <c r="CK110" s="273"/>
      <c r="CL110" s="273"/>
      <c r="CM110" s="132"/>
      <c r="CN110" s="274"/>
      <c r="CO110" s="144"/>
      <c r="CP110" s="274"/>
      <c r="CQ110" s="132"/>
      <c r="CR110" s="132"/>
      <c r="CS110" s="132"/>
      <c r="CT110" s="274"/>
      <c r="CU110" s="144"/>
      <c r="CV110" s="274"/>
      <c r="CW110" s="132"/>
      <c r="CX110" s="132"/>
      <c r="CY110" s="132"/>
      <c r="CZ110" s="118"/>
      <c r="DA110" s="144"/>
      <c r="DB110" s="118"/>
      <c r="DC110" s="33"/>
      <c r="DD110" s="39"/>
      <c r="DE110" s="11"/>
      <c r="DF110" s="132"/>
      <c r="DG110" s="132"/>
      <c r="DH110" s="132"/>
      <c r="DI110" s="132"/>
      <c r="DJ110" s="132"/>
      <c r="DK110" s="132"/>
      <c r="DL110" s="132"/>
      <c r="DM110" s="132"/>
      <c r="DN110" s="132"/>
      <c r="DO110" s="132"/>
      <c r="DP110" s="132"/>
      <c r="DQ110" s="132"/>
      <c r="DR110" s="132"/>
      <c r="DS110" s="132"/>
      <c r="DT110" s="132"/>
      <c r="DU110" s="132"/>
      <c r="DV110" s="132"/>
      <c r="DW110" s="132"/>
      <c r="DX110" s="132"/>
      <c r="DY110" s="132"/>
      <c r="DZ110" s="132"/>
      <c r="EA110" s="132"/>
      <c r="EB110" s="132"/>
      <c r="EC110" s="132"/>
      <c r="ED110" s="132"/>
      <c r="EE110" s="132"/>
      <c r="EF110" s="132"/>
      <c r="EG110" s="132"/>
      <c r="EH110" s="132"/>
      <c r="EI110" s="132"/>
      <c r="EJ110" s="132"/>
      <c r="EK110" s="132"/>
      <c r="EL110" s="132"/>
      <c r="EM110" s="132"/>
      <c r="EN110" s="132"/>
      <c r="EO110" s="132"/>
      <c r="EP110" s="132"/>
      <c r="EQ110" s="132"/>
      <c r="ER110" s="132"/>
      <c r="ES110" s="132"/>
      <c r="ET110" s="11"/>
      <c r="EU110" s="11"/>
      <c r="EV110" s="11"/>
      <c r="EW110" s="11"/>
      <c r="EX110" s="11"/>
      <c r="EY110" s="11"/>
      <c r="EZ110" s="11"/>
      <c r="FA110" s="11"/>
      <c r="FB110" s="11"/>
      <c r="FC110" s="11"/>
      <c r="FD110" s="11"/>
      <c r="FE110" s="11"/>
      <c r="FF110" s="11"/>
      <c r="FG110" s="11"/>
      <c r="FH110" s="39">
        <f t="shared" si="27"/>
        <v>976752</v>
      </c>
      <c r="FI110" s="33">
        <f t="shared" si="28"/>
        <v>1</v>
      </c>
      <c r="FJ110" s="84">
        <f t="shared" si="29"/>
        <v>976752</v>
      </c>
    </row>
    <row r="111" spans="1:166" ht="27" x14ac:dyDescent="0.25">
      <c r="A111" s="79" t="e">
        <f>#REF!</f>
        <v>#REF!</v>
      </c>
      <c r="B111" s="75" t="e">
        <f>#REF!</f>
        <v>#REF!</v>
      </c>
      <c r="C111" s="75" t="e">
        <f>#REF!</f>
        <v>#REF!</v>
      </c>
      <c r="D111" s="75" t="e">
        <f>#REF!</f>
        <v>#REF!</v>
      </c>
      <c r="E111" s="30">
        <v>1</v>
      </c>
      <c r="F111" s="238">
        <v>346665</v>
      </c>
      <c r="G111" s="241">
        <v>337900</v>
      </c>
      <c r="H111" s="249">
        <v>663275.83506099996</v>
      </c>
      <c r="I111" s="249">
        <v>663187</v>
      </c>
      <c r="J111" s="249">
        <v>520117.5</v>
      </c>
      <c r="K111" s="249">
        <v>0</v>
      </c>
      <c r="L111" s="274">
        <f>AVERAGE(F111,H111,J111)</f>
        <v>510019.44502033334</v>
      </c>
      <c r="M111" s="274">
        <f>AVERAGE(G111,I111)*E1</f>
        <v>515559.80499999999</v>
      </c>
      <c r="N111" s="245"/>
      <c r="O111" s="113"/>
      <c r="P111" s="113"/>
      <c r="Q111" s="131"/>
      <c r="R111" s="131"/>
      <c r="S111" s="64"/>
      <c r="T111" s="113"/>
      <c r="U111" s="113"/>
      <c r="V111" s="113"/>
      <c r="W111" s="131"/>
      <c r="X111" s="131"/>
      <c r="Y111" s="11"/>
      <c r="Z111" s="113"/>
      <c r="AA111" s="113"/>
      <c r="AB111" s="113"/>
      <c r="AC111" s="52"/>
      <c r="AD111" s="52"/>
      <c r="AE111" s="11"/>
      <c r="AF111" s="118"/>
      <c r="AG111" s="144"/>
      <c r="AH111" s="113"/>
      <c r="AI111" s="11"/>
      <c r="AJ111" s="11"/>
      <c r="AK111" s="39"/>
      <c r="AL111" s="113"/>
      <c r="AM111" s="113"/>
      <c r="AN111" s="117"/>
      <c r="AO111" s="76"/>
      <c r="AP111" s="39"/>
      <c r="AQ111" s="39"/>
      <c r="AR111" s="275">
        <v>576000</v>
      </c>
      <c r="AS111" s="113">
        <f>+AR111*0</f>
        <v>0</v>
      </c>
      <c r="AT111" s="119">
        <f t="shared" si="36"/>
        <v>576000</v>
      </c>
      <c r="AU111" s="62" t="s">
        <v>109</v>
      </c>
      <c r="AV111" s="62" t="s">
        <v>35</v>
      </c>
      <c r="AW111" s="31"/>
      <c r="AX111" s="116"/>
      <c r="AY111" s="116"/>
      <c r="AZ111" s="143"/>
      <c r="BA111" s="191"/>
      <c r="BB111" s="132"/>
      <c r="BC111" s="132"/>
      <c r="BD111" s="274"/>
      <c r="BE111" s="143"/>
      <c r="BF111" s="143"/>
      <c r="BG111" s="132"/>
      <c r="BH111" s="132"/>
      <c r="BI111" s="132"/>
      <c r="BJ111" s="143"/>
      <c r="BK111" s="143"/>
      <c r="BL111" s="143"/>
      <c r="BM111" s="132"/>
      <c r="BN111" s="132"/>
      <c r="BO111" s="132"/>
      <c r="BP111" s="143"/>
      <c r="BQ111" s="132"/>
      <c r="BR111" s="132"/>
      <c r="BS111" s="132"/>
      <c r="BT111" s="132"/>
      <c r="BU111" s="132"/>
      <c r="BV111" s="267">
        <v>767400</v>
      </c>
      <c r="BW111" s="144">
        <f>BV111*19%</f>
        <v>145806</v>
      </c>
      <c r="BX111" s="113">
        <f>+BV111+BW111</f>
        <v>913206</v>
      </c>
      <c r="BY111" s="264" t="s">
        <v>110</v>
      </c>
      <c r="BZ111" s="264" t="s">
        <v>215</v>
      </c>
      <c r="CA111" s="132"/>
      <c r="CB111" s="274"/>
      <c r="CC111" s="144"/>
      <c r="CD111" s="274"/>
      <c r="CE111" s="132"/>
      <c r="CF111" s="132"/>
      <c r="CG111" s="36"/>
      <c r="CH111" s="263">
        <v>782748</v>
      </c>
      <c r="CI111" s="265">
        <f>+CH111*0.19</f>
        <v>148722.12</v>
      </c>
      <c r="CJ111" s="263">
        <f>+CH111+CI111</f>
        <v>931470.12</v>
      </c>
      <c r="CK111" s="264" t="s">
        <v>110</v>
      </c>
      <c r="CL111" s="264" t="s">
        <v>215</v>
      </c>
      <c r="CM111" s="132"/>
      <c r="CN111" s="274"/>
      <c r="CO111" s="144"/>
      <c r="CP111" s="274"/>
      <c r="CQ111" s="132"/>
      <c r="CR111" s="132"/>
      <c r="CS111" s="132"/>
      <c r="CT111" s="274"/>
      <c r="CU111" s="144"/>
      <c r="CV111" s="274"/>
      <c r="CW111" s="132"/>
      <c r="CX111" s="132"/>
      <c r="CY111" s="132"/>
      <c r="CZ111" s="118"/>
      <c r="DA111" s="144"/>
      <c r="DB111" s="118"/>
      <c r="DC111" s="33"/>
      <c r="DD111" s="39"/>
      <c r="DE111" s="11"/>
      <c r="DF111" s="132"/>
      <c r="DG111" s="132"/>
      <c r="DH111" s="132"/>
      <c r="DI111" s="132"/>
      <c r="DJ111" s="132"/>
      <c r="DK111" s="132"/>
      <c r="DL111" s="132"/>
      <c r="DM111" s="132"/>
      <c r="DN111" s="132"/>
      <c r="DO111" s="132"/>
      <c r="DP111" s="132"/>
      <c r="DQ111" s="132"/>
      <c r="DR111" s="132"/>
      <c r="DS111" s="132"/>
      <c r="DT111" s="132"/>
      <c r="DU111" s="132"/>
      <c r="DV111" s="132"/>
      <c r="DW111" s="132"/>
      <c r="DX111" s="132"/>
      <c r="DY111" s="132"/>
      <c r="DZ111" s="132"/>
      <c r="EA111" s="132"/>
      <c r="EB111" s="132"/>
      <c r="EC111" s="132"/>
      <c r="ED111" s="132"/>
      <c r="EE111" s="132"/>
      <c r="EF111" s="132"/>
      <c r="EG111" s="132"/>
      <c r="EH111" s="132"/>
      <c r="EI111" s="132"/>
      <c r="EJ111" s="132"/>
      <c r="EK111" s="132"/>
      <c r="EL111" s="132"/>
      <c r="EM111" s="132"/>
      <c r="EN111" s="132"/>
      <c r="EO111" s="132"/>
      <c r="EP111" s="132"/>
      <c r="EQ111" s="132"/>
      <c r="ER111" s="132"/>
      <c r="ES111" s="132"/>
      <c r="ET111" s="11"/>
      <c r="EU111" s="11"/>
      <c r="EV111" s="11"/>
      <c r="EW111" s="11"/>
      <c r="EX111" s="11"/>
      <c r="EY111" s="11"/>
      <c r="EZ111" s="11"/>
      <c r="FA111" s="11"/>
      <c r="FB111" s="11"/>
      <c r="FC111" s="11"/>
      <c r="FD111" s="11"/>
      <c r="FE111" s="11"/>
      <c r="FF111" s="11"/>
      <c r="FG111" s="11"/>
      <c r="FH111" s="39">
        <f t="shared" si="27"/>
        <v>2936235.9249999998</v>
      </c>
      <c r="FI111" s="33">
        <f t="shared" si="28"/>
        <v>4</v>
      </c>
      <c r="FJ111" s="84">
        <f t="shared" si="29"/>
        <v>734058.98124999995</v>
      </c>
    </row>
    <row r="112" spans="1:166" ht="27" x14ac:dyDescent="0.25">
      <c r="A112" s="79" t="e">
        <f>#REF!</f>
        <v>#REF!</v>
      </c>
      <c r="B112" s="75" t="e">
        <f>#REF!</f>
        <v>#REF!</v>
      </c>
      <c r="C112" s="75" t="e">
        <f>#REF!</f>
        <v>#REF!</v>
      </c>
      <c r="D112" s="75" t="e">
        <f>#REF!</f>
        <v>#REF!</v>
      </c>
      <c r="E112" s="30">
        <v>1</v>
      </c>
      <c r="F112" s="238">
        <v>0</v>
      </c>
      <c r="G112" s="241">
        <v>0</v>
      </c>
      <c r="H112" s="249">
        <v>735182</v>
      </c>
      <c r="I112" s="249">
        <v>433160</v>
      </c>
      <c r="J112" s="249">
        <v>615230</v>
      </c>
      <c r="K112" s="249">
        <v>0</v>
      </c>
      <c r="L112" s="274">
        <f>AVERAGE(H112,J112)</f>
        <v>675206</v>
      </c>
      <c r="M112" s="274">
        <f>I112*E1</f>
        <v>446154.8</v>
      </c>
      <c r="N112" s="247">
        <v>418500</v>
      </c>
      <c r="O112" s="113">
        <f>+N112*0.19</f>
        <v>79515</v>
      </c>
      <c r="P112" s="113">
        <f>+O112+N112</f>
        <v>498015</v>
      </c>
      <c r="Q112" s="36" t="s">
        <v>127</v>
      </c>
      <c r="R112" s="132" t="s">
        <v>128</v>
      </c>
      <c r="S112" s="64" t="s">
        <v>216</v>
      </c>
      <c r="T112" s="113"/>
      <c r="U112" s="113"/>
      <c r="V112" s="113"/>
      <c r="W112" s="131"/>
      <c r="X112" s="131"/>
      <c r="Y112" s="11"/>
      <c r="Z112" s="113"/>
      <c r="AA112" s="113"/>
      <c r="AB112" s="113"/>
      <c r="AC112" s="52"/>
      <c r="AD112" s="52"/>
      <c r="AE112" s="11"/>
      <c r="AF112" s="118"/>
      <c r="AG112" s="144"/>
      <c r="AH112" s="113"/>
      <c r="AI112" s="11"/>
      <c r="AJ112" s="11"/>
      <c r="AK112" s="39"/>
      <c r="AL112" s="113"/>
      <c r="AM112" s="113"/>
      <c r="AN112" s="117"/>
      <c r="AO112" s="76"/>
      <c r="AP112" s="39"/>
      <c r="AQ112" s="39"/>
      <c r="AR112" s="275"/>
      <c r="AS112" s="156"/>
      <c r="AT112" s="157"/>
      <c r="AU112" s="62"/>
      <c r="AV112" s="62"/>
      <c r="AW112" s="31"/>
      <c r="AX112" s="116"/>
      <c r="AY112" s="196"/>
      <c r="AZ112" s="143"/>
      <c r="BA112" s="191"/>
      <c r="BB112" s="132"/>
      <c r="BC112" s="132"/>
      <c r="BD112" s="274"/>
      <c r="BE112" s="143"/>
      <c r="BF112" s="143"/>
      <c r="BG112" s="132"/>
      <c r="BH112" s="132"/>
      <c r="BI112" s="132"/>
      <c r="BJ112" s="143"/>
      <c r="BK112" s="143"/>
      <c r="BL112" s="143"/>
      <c r="BM112" s="132"/>
      <c r="BN112" s="132"/>
      <c r="BO112" s="132"/>
      <c r="BP112" s="143"/>
      <c r="BQ112" s="132"/>
      <c r="BR112" s="132"/>
      <c r="BS112" s="132"/>
      <c r="BT112" s="132"/>
      <c r="BU112" s="132"/>
      <c r="BV112" s="267">
        <v>1810000</v>
      </c>
      <c r="BW112" s="144">
        <f>BV112*19%</f>
        <v>343900</v>
      </c>
      <c r="BX112" s="113">
        <f>+BV112+BW112</f>
        <v>2153900</v>
      </c>
      <c r="BY112" s="264" t="s">
        <v>62</v>
      </c>
      <c r="BZ112" s="264" t="s">
        <v>217</v>
      </c>
      <c r="CA112" s="132"/>
      <c r="CB112" s="274"/>
      <c r="CC112" s="144"/>
      <c r="CD112" s="274"/>
      <c r="CE112" s="132"/>
      <c r="CF112" s="132"/>
      <c r="CG112" s="36"/>
      <c r="CH112" s="263"/>
      <c r="CI112" s="265"/>
      <c r="CJ112" s="263"/>
      <c r="CK112" s="264"/>
      <c r="CL112" s="264"/>
      <c r="CM112" s="132"/>
      <c r="CN112" s="274"/>
      <c r="CO112" s="144"/>
      <c r="CP112" s="274"/>
      <c r="CQ112" s="132"/>
      <c r="CR112" s="132"/>
      <c r="CS112" s="132"/>
      <c r="CT112" s="274"/>
      <c r="CU112" s="144"/>
      <c r="CV112" s="274"/>
      <c r="CW112" s="132"/>
      <c r="CX112" s="132"/>
      <c r="CY112" s="132"/>
      <c r="CZ112" s="118"/>
      <c r="DA112" s="144"/>
      <c r="DB112" s="118"/>
      <c r="DC112" s="33"/>
      <c r="DD112" s="39"/>
      <c r="DE112" s="11"/>
      <c r="DF112" s="132"/>
      <c r="DG112" s="132"/>
      <c r="DH112" s="132"/>
      <c r="DI112" s="132"/>
      <c r="DJ112" s="132"/>
      <c r="DK112" s="132"/>
      <c r="DL112" s="132"/>
      <c r="DM112" s="132"/>
      <c r="DN112" s="132"/>
      <c r="DO112" s="132"/>
      <c r="DP112" s="132"/>
      <c r="DQ112" s="132"/>
      <c r="DR112" s="132"/>
      <c r="DS112" s="132"/>
      <c r="DT112" s="132"/>
      <c r="DU112" s="132"/>
      <c r="DV112" s="132"/>
      <c r="DW112" s="132"/>
      <c r="DX112" s="132"/>
      <c r="DY112" s="132"/>
      <c r="DZ112" s="132"/>
      <c r="EA112" s="132"/>
      <c r="EB112" s="132"/>
      <c r="EC112" s="132"/>
      <c r="ED112" s="132"/>
      <c r="EE112" s="132"/>
      <c r="EF112" s="132"/>
      <c r="EG112" s="132"/>
      <c r="EH112" s="132"/>
      <c r="EI112" s="132"/>
      <c r="EJ112" s="132"/>
      <c r="EK112" s="132"/>
      <c r="EL112" s="132"/>
      <c r="EM112" s="132"/>
      <c r="EN112" s="132"/>
      <c r="EO112" s="132"/>
      <c r="EP112" s="132"/>
      <c r="EQ112" s="132"/>
      <c r="ER112" s="132"/>
      <c r="ES112" s="132"/>
      <c r="ET112" s="11"/>
      <c r="EU112" s="11"/>
      <c r="EV112" s="11"/>
      <c r="EW112" s="11"/>
      <c r="EX112" s="11"/>
      <c r="EY112" s="11"/>
      <c r="EZ112" s="11"/>
      <c r="FA112" s="11"/>
      <c r="FB112" s="11"/>
      <c r="FC112" s="11"/>
      <c r="FD112" s="11"/>
      <c r="FE112" s="11"/>
      <c r="FF112" s="11"/>
      <c r="FG112" s="11"/>
      <c r="FH112" s="39">
        <f t="shared" si="27"/>
        <v>3098069.8</v>
      </c>
      <c r="FI112" s="33">
        <f t="shared" si="28"/>
        <v>3</v>
      </c>
      <c r="FJ112" s="84">
        <f t="shared" si="29"/>
        <v>1032689.9333333332</v>
      </c>
    </row>
    <row r="113" spans="1:166" ht="105" customHeight="1" x14ac:dyDescent="0.25">
      <c r="A113" s="79" t="e">
        <f>#REF!</f>
        <v>#REF!</v>
      </c>
      <c r="B113" s="75" t="e">
        <f>#REF!</f>
        <v>#REF!</v>
      </c>
      <c r="C113" s="75" t="e">
        <f>#REF!</f>
        <v>#REF!</v>
      </c>
      <c r="D113" s="75" t="e">
        <f>#REF!</f>
        <v>#REF!</v>
      </c>
      <c r="E113" s="30">
        <v>1</v>
      </c>
      <c r="F113" s="238">
        <v>0</v>
      </c>
      <c r="G113" s="241">
        <v>0</v>
      </c>
      <c r="H113" s="249">
        <v>0</v>
      </c>
      <c r="I113" s="249">
        <v>0</v>
      </c>
      <c r="J113" s="249">
        <v>0</v>
      </c>
      <c r="K113" s="249">
        <v>0</v>
      </c>
      <c r="L113" s="274"/>
      <c r="M113" s="274"/>
      <c r="N113" s="245"/>
      <c r="O113" s="113"/>
      <c r="P113" s="113"/>
      <c r="Q113" s="131"/>
      <c r="R113" s="131"/>
      <c r="S113" s="64"/>
      <c r="T113" s="113"/>
      <c r="U113" s="117"/>
      <c r="V113" s="113"/>
      <c r="W113" s="131"/>
      <c r="X113" s="131"/>
      <c r="Y113" s="11"/>
      <c r="Z113" s="113"/>
      <c r="AA113" s="113"/>
      <c r="AB113" s="113"/>
      <c r="AC113" s="52"/>
      <c r="AD113" s="52"/>
      <c r="AE113" s="11"/>
      <c r="AF113" s="118">
        <v>905000</v>
      </c>
      <c r="AG113" s="144">
        <f>AF113*19%</f>
        <v>171950</v>
      </c>
      <c r="AH113" s="113">
        <f>+AF113+AG113</f>
        <v>1076950</v>
      </c>
      <c r="AI113" s="11"/>
      <c r="AJ113" s="11"/>
      <c r="AK113" s="39"/>
      <c r="AL113" s="113">
        <v>690000</v>
      </c>
      <c r="AM113" s="113">
        <f>+AL113*0.19</f>
        <v>131100</v>
      </c>
      <c r="AN113" s="119">
        <f>+AL113+AM113</f>
        <v>821100</v>
      </c>
      <c r="AO113" s="76" t="s">
        <v>44</v>
      </c>
      <c r="AP113" s="266" t="s">
        <v>45</v>
      </c>
      <c r="AQ113" s="39"/>
      <c r="AR113" s="275">
        <v>628425</v>
      </c>
      <c r="AS113" s="113">
        <f>+AR113*0.19</f>
        <v>119400.75</v>
      </c>
      <c r="AT113" s="119">
        <f>+AR113+AS113</f>
        <v>747825.75</v>
      </c>
      <c r="AU113" s="62" t="s">
        <v>44</v>
      </c>
      <c r="AV113" s="62" t="s">
        <v>45</v>
      </c>
      <c r="AW113" s="31"/>
      <c r="AX113" s="116"/>
      <c r="AY113" s="116"/>
      <c r="AZ113" s="143"/>
      <c r="BA113" s="191"/>
      <c r="BB113" s="132"/>
      <c r="BC113" s="132"/>
      <c r="BD113" s="274"/>
      <c r="BE113" s="143"/>
      <c r="BF113" s="143"/>
      <c r="BG113" s="132"/>
      <c r="BH113" s="132"/>
      <c r="BI113" s="132"/>
      <c r="BJ113" s="143"/>
      <c r="BK113" s="143"/>
      <c r="BL113" s="143"/>
      <c r="BM113" s="132"/>
      <c r="BN113" s="132"/>
      <c r="BO113" s="132"/>
      <c r="BP113" s="143"/>
      <c r="BQ113" s="132"/>
      <c r="BR113" s="132"/>
      <c r="BS113" s="132"/>
      <c r="BT113" s="132"/>
      <c r="BU113" s="132"/>
      <c r="BV113" s="267">
        <v>1202900</v>
      </c>
      <c r="BW113" s="144">
        <f>BV113*19%</f>
        <v>228551</v>
      </c>
      <c r="BX113" s="113">
        <f>+BV113+BW113</f>
        <v>1431451</v>
      </c>
      <c r="BY113" s="264" t="s">
        <v>47</v>
      </c>
      <c r="BZ113" s="264" t="s">
        <v>88</v>
      </c>
      <c r="CA113" s="132"/>
      <c r="CB113" s="274">
        <v>445000</v>
      </c>
      <c r="CC113" s="144">
        <f>+CB113*19%</f>
        <v>84550</v>
      </c>
      <c r="CD113" s="274">
        <f>+CC113+CB113</f>
        <v>529550</v>
      </c>
      <c r="CE113" s="132"/>
      <c r="CF113" s="132"/>
      <c r="CG113" s="36"/>
      <c r="CH113" s="263"/>
      <c r="CI113" s="265"/>
      <c r="CJ113" s="263"/>
      <c r="CK113" s="264"/>
      <c r="CL113" s="264"/>
      <c r="CM113" s="132"/>
      <c r="CN113" s="274"/>
      <c r="CO113" s="144"/>
      <c r="CP113" s="274"/>
      <c r="CQ113" s="132"/>
      <c r="CR113" s="132"/>
      <c r="CS113" s="132"/>
      <c r="CT113" s="274"/>
      <c r="CU113" s="144"/>
      <c r="CV113" s="274"/>
      <c r="CW113" s="132"/>
      <c r="CX113" s="132"/>
      <c r="CY113" s="132"/>
      <c r="CZ113" s="118"/>
      <c r="DA113" s="144"/>
      <c r="DB113" s="118"/>
      <c r="DC113" s="33"/>
      <c r="DD113" s="39"/>
      <c r="DE113" s="11"/>
      <c r="DF113" s="132"/>
      <c r="DG113" s="132"/>
      <c r="DH113" s="132"/>
      <c r="DI113" s="132"/>
      <c r="DJ113" s="132"/>
      <c r="DK113" s="132"/>
      <c r="DL113" s="132"/>
      <c r="DM113" s="132"/>
      <c r="DN113" s="132"/>
      <c r="DO113" s="132"/>
      <c r="DP113" s="132"/>
      <c r="DQ113" s="132"/>
      <c r="DR113" s="132"/>
      <c r="DS113" s="132"/>
      <c r="DT113" s="132"/>
      <c r="DU113" s="132"/>
      <c r="DV113" s="132"/>
      <c r="DW113" s="132"/>
      <c r="DX113" s="132"/>
      <c r="DY113" s="132"/>
      <c r="DZ113" s="132"/>
      <c r="EA113" s="132"/>
      <c r="EB113" s="132"/>
      <c r="EC113" s="132"/>
      <c r="ED113" s="132"/>
      <c r="EE113" s="132"/>
      <c r="EF113" s="132"/>
      <c r="EG113" s="132"/>
      <c r="EH113" s="132"/>
      <c r="EI113" s="132"/>
      <c r="EJ113" s="132"/>
      <c r="EK113" s="132"/>
      <c r="EL113" s="132"/>
      <c r="EM113" s="132"/>
      <c r="EN113" s="132"/>
      <c r="EO113" s="132"/>
      <c r="EP113" s="132"/>
      <c r="EQ113" s="132"/>
      <c r="ER113" s="132"/>
      <c r="ES113" s="132"/>
      <c r="ET113" s="11"/>
      <c r="EU113" s="11"/>
      <c r="EV113" s="11"/>
      <c r="EW113" s="11"/>
      <c r="EX113" s="11"/>
      <c r="EY113" s="11"/>
      <c r="EZ113" s="11"/>
      <c r="FA113" s="11"/>
      <c r="FB113" s="11"/>
      <c r="FC113" s="11"/>
      <c r="FD113" s="11"/>
      <c r="FE113" s="11"/>
      <c r="FF113" s="11"/>
      <c r="FG113" s="11"/>
      <c r="FH113" s="39">
        <f t="shared" si="27"/>
        <v>4606876.75</v>
      </c>
      <c r="FI113" s="33">
        <f t="shared" si="28"/>
        <v>5</v>
      </c>
      <c r="FJ113" s="84">
        <f t="shared" si="29"/>
        <v>921375.35</v>
      </c>
    </row>
    <row r="114" spans="1:166" x14ac:dyDescent="0.25">
      <c r="A114" s="79" t="e">
        <f>#REF!</f>
        <v>#REF!</v>
      </c>
      <c r="B114" s="75" t="e">
        <f>#REF!</f>
        <v>#REF!</v>
      </c>
      <c r="C114" s="75" t="e">
        <f>#REF!</f>
        <v>#REF!</v>
      </c>
      <c r="D114" s="75" t="e">
        <f>#REF!</f>
        <v>#REF!</v>
      </c>
      <c r="E114" s="30">
        <v>1</v>
      </c>
      <c r="F114" s="238">
        <v>3823.4700000000003</v>
      </c>
      <c r="G114" s="241">
        <v>0</v>
      </c>
      <c r="H114" s="249">
        <v>0</v>
      </c>
      <c r="I114" s="249">
        <v>0</v>
      </c>
      <c r="J114" s="249">
        <v>4082.5</v>
      </c>
      <c r="K114" s="249">
        <v>0</v>
      </c>
      <c r="L114" s="274">
        <f>AVERAGE(F114,J114)</f>
        <v>3952.9850000000001</v>
      </c>
      <c r="M114" s="274"/>
      <c r="N114" s="245"/>
      <c r="O114" s="113"/>
      <c r="P114" s="113"/>
      <c r="Q114" s="131"/>
      <c r="R114" s="131"/>
      <c r="S114" s="64"/>
      <c r="T114" s="113">
        <v>4500</v>
      </c>
      <c r="U114" s="118">
        <f>+T114*0</f>
        <v>0</v>
      </c>
      <c r="V114" s="113">
        <f>+U114+T114</f>
        <v>4500</v>
      </c>
      <c r="W114" s="131" t="s">
        <v>218</v>
      </c>
      <c r="X114" s="131" t="s">
        <v>138</v>
      </c>
      <c r="Y114" s="11"/>
      <c r="Z114" s="113"/>
      <c r="AA114" s="113"/>
      <c r="AB114" s="113"/>
      <c r="AC114" s="131"/>
      <c r="AD114" s="52"/>
      <c r="AE114" s="11"/>
      <c r="AF114" s="118"/>
      <c r="AG114" s="144"/>
      <c r="AH114" s="113"/>
      <c r="AI114" s="11"/>
      <c r="AJ114" s="11"/>
      <c r="AK114" s="39"/>
      <c r="AL114" s="113"/>
      <c r="AM114" s="113"/>
      <c r="AN114" s="117"/>
      <c r="AO114" s="76"/>
      <c r="AP114" s="39"/>
      <c r="AQ114" s="39"/>
      <c r="AR114" s="275">
        <v>3500</v>
      </c>
      <c r="AS114" s="113">
        <f>+AR114*0.19</f>
        <v>665</v>
      </c>
      <c r="AT114" s="119">
        <f>+AR114+AS114</f>
        <v>4165</v>
      </c>
      <c r="AU114" s="62" t="s">
        <v>219</v>
      </c>
      <c r="AV114" s="62" t="s">
        <v>220</v>
      </c>
      <c r="AW114" s="31"/>
      <c r="AX114" s="116"/>
      <c r="AY114" s="116"/>
      <c r="AZ114" s="143"/>
      <c r="BA114" s="191"/>
      <c r="BB114" s="132"/>
      <c r="BC114" s="132"/>
      <c r="BD114" s="274"/>
      <c r="BE114" s="143"/>
      <c r="BF114" s="143"/>
      <c r="BG114" s="132"/>
      <c r="BH114" s="132"/>
      <c r="BI114" s="132"/>
      <c r="BJ114" s="143"/>
      <c r="BK114" s="143"/>
      <c r="BL114" s="143"/>
      <c r="BM114" s="132"/>
      <c r="BN114" s="132"/>
      <c r="BO114" s="132"/>
      <c r="BP114" s="143"/>
      <c r="BQ114" s="132"/>
      <c r="BR114" s="132"/>
      <c r="BS114" s="132"/>
      <c r="BT114" s="132"/>
      <c r="BU114" s="132"/>
      <c r="BV114" s="211"/>
      <c r="BW114" s="144"/>
      <c r="BX114" s="113"/>
      <c r="BY114" s="273"/>
      <c r="BZ114" s="273"/>
      <c r="CA114" s="132"/>
      <c r="CB114" s="274">
        <v>1850000</v>
      </c>
      <c r="CC114" s="144">
        <f>+CB114*19%</f>
        <v>351500</v>
      </c>
      <c r="CD114" s="274">
        <f>+CC114+CB114</f>
        <v>2201500</v>
      </c>
      <c r="CE114" s="132"/>
      <c r="CF114" s="132"/>
      <c r="CG114" s="36"/>
      <c r="CH114" s="210"/>
      <c r="CI114" s="219"/>
      <c r="CJ114" s="210"/>
      <c r="CK114" s="273"/>
      <c r="CL114" s="273"/>
      <c r="CM114" s="132"/>
      <c r="CN114" s="274"/>
      <c r="CO114" s="144"/>
      <c r="CP114" s="274"/>
      <c r="CQ114" s="132"/>
      <c r="CR114" s="132"/>
      <c r="CS114" s="132"/>
      <c r="CT114" s="274"/>
      <c r="CU114" s="144"/>
      <c r="CV114" s="274"/>
      <c r="CW114" s="132"/>
      <c r="CX114" s="132"/>
      <c r="CY114" s="132"/>
      <c r="CZ114" s="118"/>
      <c r="DA114" s="144"/>
      <c r="DB114" s="118"/>
      <c r="DC114" s="33"/>
      <c r="DD114" s="39"/>
      <c r="DE114" s="11"/>
      <c r="DF114" s="132"/>
      <c r="DG114" s="132"/>
      <c r="DH114" s="132"/>
      <c r="DI114" s="132"/>
      <c r="DJ114" s="132"/>
      <c r="DK114" s="132"/>
      <c r="DL114" s="132"/>
      <c r="DM114" s="132"/>
      <c r="DN114" s="132"/>
      <c r="DO114" s="132"/>
      <c r="DP114" s="132"/>
      <c r="DQ114" s="132"/>
      <c r="DR114" s="132"/>
      <c r="DS114" s="132"/>
      <c r="DT114" s="132"/>
      <c r="DU114" s="132"/>
      <c r="DV114" s="132"/>
      <c r="DW114" s="132"/>
      <c r="DX114" s="132"/>
      <c r="DY114" s="132"/>
      <c r="DZ114" s="132"/>
      <c r="EA114" s="132"/>
      <c r="EB114" s="132"/>
      <c r="EC114" s="132"/>
      <c r="ED114" s="132"/>
      <c r="EE114" s="132"/>
      <c r="EF114" s="132"/>
      <c r="EG114" s="132"/>
      <c r="EH114" s="132"/>
      <c r="EI114" s="132"/>
      <c r="EJ114" s="132"/>
      <c r="EK114" s="132"/>
      <c r="EL114" s="132"/>
      <c r="EM114" s="132"/>
      <c r="EN114" s="132"/>
      <c r="EO114" s="132"/>
      <c r="EP114" s="132"/>
      <c r="EQ114" s="132"/>
      <c r="ER114" s="132"/>
      <c r="ES114" s="132"/>
      <c r="ET114" s="11"/>
      <c r="EU114" s="11"/>
      <c r="EV114" s="11"/>
      <c r="EW114" s="11"/>
      <c r="EX114" s="11"/>
      <c r="EY114" s="11"/>
      <c r="EZ114" s="11"/>
      <c r="FA114" s="11"/>
      <c r="FB114" s="11"/>
      <c r="FC114" s="11"/>
      <c r="FD114" s="11"/>
      <c r="FE114" s="11"/>
      <c r="FF114" s="11"/>
      <c r="FG114" s="11"/>
      <c r="FH114" s="39">
        <f t="shared" si="27"/>
        <v>2210165</v>
      </c>
      <c r="FI114" s="33">
        <f t="shared" si="28"/>
        <v>3</v>
      </c>
      <c r="FJ114" s="84">
        <f t="shared" si="29"/>
        <v>736721.66666666663</v>
      </c>
    </row>
    <row r="115" spans="1:166" ht="27" x14ac:dyDescent="0.25">
      <c r="A115" s="79" t="e">
        <f>#REF!</f>
        <v>#REF!</v>
      </c>
      <c r="B115" s="75" t="e">
        <f>#REF!</f>
        <v>#REF!</v>
      </c>
      <c r="C115" s="75" t="e">
        <f>#REF!</f>
        <v>#REF!</v>
      </c>
      <c r="D115" s="75" t="e">
        <f>#REF!</f>
        <v>#REF!</v>
      </c>
      <c r="E115" s="30">
        <v>1</v>
      </c>
      <c r="F115" s="238">
        <v>1801800</v>
      </c>
      <c r="G115" s="241">
        <v>1747700</v>
      </c>
      <c r="H115" s="249">
        <v>1581900.58</v>
      </c>
      <c r="I115" s="249">
        <v>1581748</v>
      </c>
      <c r="J115" s="249">
        <v>1644542.5</v>
      </c>
      <c r="K115" s="249">
        <v>1547000</v>
      </c>
      <c r="L115" s="274">
        <f>AVERAGE(F115,H115,J115)</f>
        <v>1676081.0266666666</v>
      </c>
      <c r="M115" s="274">
        <f>AVERAGE(G115,I115,K115)*E1</f>
        <v>1674247.1466666667</v>
      </c>
      <c r="N115" s="247">
        <v>1629500</v>
      </c>
      <c r="O115" s="113">
        <f>+N115*0</f>
        <v>0</v>
      </c>
      <c r="P115" s="113">
        <f>+O115+N115</f>
        <v>1629500</v>
      </c>
      <c r="Q115" s="36" t="s">
        <v>199</v>
      </c>
      <c r="R115" s="132" t="s">
        <v>200</v>
      </c>
      <c r="S115" s="25" t="s">
        <v>221</v>
      </c>
      <c r="T115" s="113"/>
      <c r="U115" s="113"/>
      <c r="V115" s="113"/>
      <c r="W115" s="131"/>
      <c r="X115" s="131"/>
      <c r="Y115" s="11"/>
      <c r="Z115" s="113"/>
      <c r="AA115" s="113"/>
      <c r="AB115" s="113"/>
      <c r="AC115" s="52"/>
      <c r="AD115" s="52"/>
      <c r="AE115" s="11"/>
      <c r="AF115" s="118"/>
      <c r="AG115" s="144"/>
      <c r="AH115" s="113"/>
      <c r="AI115" s="11"/>
      <c r="AJ115" s="11"/>
      <c r="AK115" s="39"/>
      <c r="AL115" s="113"/>
      <c r="AM115" s="113"/>
      <c r="AN115" s="117"/>
      <c r="AO115" s="76"/>
      <c r="AP115" s="39"/>
      <c r="AQ115" s="39"/>
      <c r="AR115" s="275"/>
      <c r="AS115" s="156"/>
      <c r="AT115" s="157"/>
      <c r="AU115" s="62"/>
      <c r="AV115" s="62"/>
      <c r="AW115" s="31"/>
      <c r="AX115" s="116"/>
      <c r="AY115" s="196"/>
      <c r="AZ115" s="143"/>
      <c r="BA115" s="191"/>
      <c r="BB115" s="132"/>
      <c r="BC115" s="132"/>
      <c r="BD115" s="274"/>
      <c r="BE115" s="143"/>
      <c r="BF115" s="143"/>
      <c r="BG115" s="132"/>
      <c r="BH115" s="132"/>
      <c r="BI115" s="132"/>
      <c r="BJ115" s="143"/>
      <c r="BK115" s="143"/>
      <c r="BL115" s="143"/>
      <c r="BM115" s="132"/>
      <c r="BN115" s="132"/>
      <c r="BO115" s="132"/>
      <c r="BP115" s="143"/>
      <c r="BQ115" s="132"/>
      <c r="BR115" s="132"/>
      <c r="BS115" s="132"/>
      <c r="BT115" s="132"/>
      <c r="BU115" s="132"/>
      <c r="BV115" s="267">
        <v>1957900</v>
      </c>
      <c r="BW115" s="144">
        <f>BV115*0</f>
        <v>0</v>
      </c>
      <c r="BX115" s="113">
        <f>+BV115+BW115</f>
        <v>1957900</v>
      </c>
      <c r="BY115" s="264" t="s">
        <v>222</v>
      </c>
      <c r="BZ115" s="264" t="s">
        <v>223</v>
      </c>
      <c r="CA115" s="132"/>
      <c r="CB115" s="274"/>
      <c r="CC115" s="144"/>
      <c r="CD115" s="274"/>
      <c r="CE115" s="132"/>
      <c r="CF115" s="132"/>
      <c r="CG115" s="36"/>
      <c r="CH115" s="263"/>
      <c r="CI115" s="265"/>
      <c r="CJ115" s="263"/>
      <c r="CK115" s="264"/>
      <c r="CL115" s="264"/>
      <c r="CM115" s="132"/>
      <c r="CN115" s="274"/>
      <c r="CO115" s="144"/>
      <c r="CP115" s="274"/>
      <c r="CQ115" s="132"/>
      <c r="CR115" s="132"/>
      <c r="CS115" s="132"/>
      <c r="CT115" s="274"/>
      <c r="CU115" s="144"/>
      <c r="CV115" s="274"/>
      <c r="CW115" s="132"/>
      <c r="CX115" s="132"/>
      <c r="CY115" s="132"/>
      <c r="CZ115" s="118"/>
      <c r="DA115" s="144"/>
      <c r="DB115" s="118"/>
      <c r="DC115" s="33"/>
      <c r="DD115" s="39"/>
      <c r="DE115" s="11"/>
      <c r="DF115" s="132"/>
      <c r="DG115" s="132"/>
      <c r="DH115" s="132"/>
      <c r="DI115" s="132"/>
      <c r="DJ115" s="132"/>
      <c r="DK115" s="132"/>
      <c r="DL115" s="132"/>
      <c r="DM115" s="132"/>
      <c r="DN115" s="132"/>
      <c r="DO115" s="132"/>
      <c r="DP115" s="132"/>
      <c r="DQ115" s="132"/>
      <c r="DR115" s="132"/>
      <c r="DS115" s="132"/>
      <c r="DT115" s="132"/>
      <c r="DU115" s="132"/>
      <c r="DV115" s="132"/>
      <c r="DW115" s="132"/>
      <c r="DX115" s="132"/>
      <c r="DY115" s="132"/>
      <c r="DZ115" s="132"/>
      <c r="EA115" s="132"/>
      <c r="EB115" s="132"/>
      <c r="EC115" s="132"/>
      <c r="ED115" s="132"/>
      <c r="EE115" s="132"/>
      <c r="EF115" s="132"/>
      <c r="EG115" s="132"/>
      <c r="EH115" s="132"/>
      <c r="EI115" s="132"/>
      <c r="EJ115" s="132"/>
      <c r="EK115" s="132"/>
      <c r="EL115" s="132"/>
      <c r="EM115" s="132"/>
      <c r="EN115" s="132"/>
      <c r="EO115" s="132"/>
      <c r="EP115" s="132"/>
      <c r="EQ115" s="132"/>
      <c r="ER115" s="132"/>
      <c r="ES115" s="132"/>
      <c r="ET115" s="11"/>
      <c r="EU115" s="11"/>
      <c r="EV115" s="11"/>
      <c r="EW115" s="11"/>
      <c r="EX115" s="11"/>
      <c r="EY115" s="11"/>
      <c r="EZ115" s="11"/>
      <c r="FA115" s="11"/>
      <c r="FB115" s="11"/>
      <c r="FC115" s="11"/>
      <c r="FD115" s="11"/>
      <c r="FE115" s="11"/>
      <c r="FF115" s="11"/>
      <c r="FG115" s="11"/>
      <c r="FH115" s="39">
        <f t="shared" si="27"/>
        <v>5261647.1466666665</v>
      </c>
      <c r="FI115" s="33">
        <f t="shared" si="28"/>
        <v>3</v>
      </c>
      <c r="FJ115" s="84">
        <f t="shared" si="29"/>
        <v>1753882.3822222222</v>
      </c>
    </row>
    <row r="116" spans="1:166" ht="13.5" x14ac:dyDescent="0.25">
      <c r="A116" s="79" t="e">
        <f>#REF!</f>
        <v>#REF!</v>
      </c>
      <c r="B116" s="75" t="e">
        <f>#REF!</f>
        <v>#REF!</v>
      </c>
      <c r="C116" s="75" t="e">
        <f>#REF!</f>
        <v>#REF!</v>
      </c>
      <c r="D116" s="75" t="e">
        <f>#REF!</f>
        <v>#REF!</v>
      </c>
      <c r="E116" s="30">
        <v>1</v>
      </c>
      <c r="F116" s="238">
        <v>0</v>
      </c>
      <c r="G116" s="241">
        <v>0</v>
      </c>
      <c r="H116" s="249">
        <v>0</v>
      </c>
      <c r="I116" s="249">
        <v>0</v>
      </c>
      <c r="J116" s="249">
        <v>0</v>
      </c>
      <c r="K116" s="249">
        <v>0</v>
      </c>
      <c r="L116" s="274"/>
      <c r="M116" s="274"/>
      <c r="N116" s="247"/>
      <c r="O116" s="113"/>
      <c r="P116" s="113"/>
      <c r="Q116" s="36"/>
      <c r="R116" s="132"/>
      <c r="S116" s="25"/>
      <c r="T116" s="113"/>
      <c r="U116" s="113"/>
      <c r="V116" s="113"/>
      <c r="W116" s="131"/>
      <c r="X116" s="131"/>
      <c r="Y116" s="11"/>
      <c r="Z116" s="113"/>
      <c r="AA116" s="113"/>
      <c r="AB116" s="113"/>
      <c r="AC116" s="52"/>
      <c r="AD116" s="52"/>
      <c r="AE116" s="11"/>
      <c r="AF116" s="118"/>
      <c r="AG116" s="144"/>
      <c r="AH116" s="113"/>
      <c r="AI116" s="11"/>
      <c r="AJ116" s="11"/>
      <c r="AK116" s="39"/>
      <c r="AL116" s="113"/>
      <c r="AM116" s="113"/>
      <c r="AN116" s="117"/>
      <c r="AO116" s="76"/>
      <c r="AP116" s="39"/>
      <c r="AQ116" s="39"/>
      <c r="AR116" s="275"/>
      <c r="AS116" s="156"/>
      <c r="AT116" s="157"/>
      <c r="AU116" s="62"/>
      <c r="AV116" s="62"/>
      <c r="AW116" s="31"/>
      <c r="AX116" s="116"/>
      <c r="AY116" s="196"/>
      <c r="AZ116" s="143"/>
      <c r="BA116" s="191"/>
      <c r="BB116" s="132"/>
      <c r="BC116" s="132"/>
      <c r="BD116" s="274"/>
      <c r="BE116" s="143"/>
      <c r="BF116" s="143"/>
      <c r="BG116" s="132"/>
      <c r="BH116" s="132"/>
      <c r="BI116" s="132"/>
      <c r="BJ116" s="143"/>
      <c r="BK116" s="143"/>
      <c r="BL116" s="143"/>
      <c r="BM116" s="132"/>
      <c r="BN116" s="132"/>
      <c r="BO116" s="132"/>
      <c r="BP116" s="143"/>
      <c r="BQ116" s="132"/>
      <c r="BR116" s="132"/>
      <c r="BS116" s="132"/>
      <c r="BT116" s="132"/>
      <c r="BU116" s="132"/>
      <c r="BV116" s="267">
        <v>1757000</v>
      </c>
      <c r="BW116" s="144">
        <f>BV116*0</f>
        <v>0</v>
      </c>
      <c r="BX116" s="113">
        <f>+BV116+BW116</f>
        <v>1757000</v>
      </c>
      <c r="BY116" s="264" t="s">
        <v>224</v>
      </c>
      <c r="BZ116" s="264" t="s">
        <v>223</v>
      </c>
      <c r="CA116" s="132"/>
      <c r="CB116" s="274"/>
      <c r="CC116" s="144"/>
      <c r="CD116" s="274"/>
      <c r="CE116" s="132"/>
      <c r="CF116" s="132"/>
      <c r="CG116" s="36"/>
      <c r="CH116" s="263">
        <v>1774570</v>
      </c>
      <c r="CI116" s="265">
        <f>+CH116*0</f>
        <v>0</v>
      </c>
      <c r="CJ116" s="263">
        <f>+CH116+CI116</f>
        <v>1774570</v>
      </c>
      <c r="CK116" s="264" t="s">
        <v>224</v>
      </c>
      <c r="CL116" s="264" t="s">
        <v>223</v>
      </c>
      <c r="CM116" s="132"/>
      <c r="CN116" s="274"/>
      <c r="CO116" s="144"/>
      <c r="CP116" s="274"/>
      <c r="CQ116" s="132"/>
      <c r="CR116" s="132"/>
      <c r="CS116" s="132"/>
      <c r="CT116" s="274"/>
      <c r="CU116" s="144"/>
      <c r="CV116" s="274"/>
      <c r="CW116" s="132"/>
      <c r="CX116" s="132"/>
      <c r="CY116" s="132"/>
      <c r="CZ116" s="118"/>
      <c r="DA116" s="144"/>
      <c r="DB116" s="118"/>
      <c r="DC116" s="33"/>
      <c r="DD116" s="39"/>
      <c r="DE116" s="11"/>
      <c r="DF116" s="132"/>
      <c r="DG116" s="132"/>
      <c r="DH116" s="132"/>
      <c r="DI116" s="132"/>
      <c r="DJ116" s="132"/>
      <c r="DK116" s="132"/>
      <c r="DL116" s="132"/>
      <c r="DM116" s="132"/>
      <c r="DN116" s="132"/>
      <c r="DO116" s="132"/>
      <c r="DP116" s="132"/>
      <c r="DQ116" s="132"/>
      <c r="DR116" s="132"/>
      <c r="DS116" s="132"/>
      <c r="DT116" s="132"/>
      <c r="DU116" s="132"/>
      <c r="DV116" s="132"/>
      <c r="DW116" s="132"/>
      <c r="DX116" s="132"/>
      <c r="DY116" s="132"/>
      <c r="DZ116" s="132"/>
      <c r="EA116" s="132"/>
      <c r="EB116" s="132"/>
      <c r="EC116" s="132"/>
      <c r="ED116" s="132"/>
      <c r="EE116" s="132"/>
      <c r="EF116" s="132"/>
      <c r="EG116" s="132"/>
      <c r="EH116" s="132"/>
      <c r="EI116" s="132"/>
      <c r="EJ116" s="132"/>
      <c r="EK116" s="132"/>
      <c r="EL116" s="132"/>
      <c r="EM116" s="132"/>
      <c r="EN116" s="132"/>
      <c r="EO116" s="132"/>
      <c r="EP116" s="132"/>
      <c r="EQ116" s="132"/>
      <c r="ER116" s="132"/>
      <c r="ES116" s="132"/>
      <c r="ET116" s="11"/>
      <c r="EU116" s="11"/>
      <c r="EV116" s="11"/>
      <c r="EW116" s="11"/>
      <c r="EX116" s="11"/>
      <c r="EY116" s="11"/>
      <c r="EZ116" s="11"/>
      <c r="FA116" s="11"/>
      <c r="FB116" s="11"/>
      <c r="FC116" s="11"/>
      <c r="FD116" s="11"/>
      <c r="FE116" s="11"/>
      <c r="FF116" s="11"/>
      <c r="FG116" s="11"/>
      <c r="FH116" s="39">
        <f t="shared" si="27"/>
        <v>3531570</v>
      </c>
      <c r="FI116" s="33">
        <f t="shared" si="28"/>
        <v>2</v>
      </c>
      <c r="FJ116" s="84">
        <f t="shared" si="29"/>
        <v>1765785</v>
      </c>
    </row>
    <row r="117" spans="1:166" ht="27" x14ac:dyDescent="0.25">
      <c r="A117" s="79" t="e">
        <f>#REF!</f>
        <v>#REF!</v>
      </c>
      <c r="B117" s="75" t="e">
        <f>#REF!</f>
        <v>#REF!</v>
      </c>
      <c r="C117" s="75" t="e">
        <f>#REF!</f>
        <v>#REF!</v>
      </c>
      <c r="D117" s="75" t="e">
        <f>#REF!</f>
        <v>#REF!</v>
      </c>
      <c r="E117" s="30">
        <v>1</v>
      </c>
      <c r="F117" s="238">
        <v>2097500</v>
      </c>
      <c r="G117" s="241">
        <v>2024000</v>
      </c>
      <c r="H117" s="249">
        <v>1846694.75</v>
      </c>
      <c r="I117" s="249">
        <v>1846523</v>
      </c>
      <c r="J117" s="249">
        <v>2125200</v>
      </c>
      <c r="K117" s="249">
        <v>2082500</v>
      </c>
      <c r="L117" s="274">
        <f>AVERAGE(F117,H117,J117)</f>
        <v>2023131.5833333333</v>
      </c>
      <c r="M117" s="274">
        <f>AVERAGE(G117,I117,K117)*E1</f>
        <v>2043871.23</v>
      </c>
      <c r="N117" s="245"/>
      <c r="O117" s="113"/>
      <c r="P117" s="113"/>
      <c r="Q117" s="131"/>
      <c r="R117" s="131"/>
      <c r="S117" s="64"/>
      <c r="T117" s="113"/>
      <c r="U117" s="113"/>
      <c r="V117" s="113"/>
      <c r="W117" s="131"/>
      <c r="X117" s="131"/>
      <c r="Y117" s="11"/>
      <c r="Z117" s="113"/>
      <c r="AA117" s="113"/>
      <c r="AB117" s="113"/>
      <c r="AC117" s="52"/>
      <c r="AD117" s="52"/>
      <c r="AE117" s="11"/>
      <c r="AF117" s="118"/>
      <c r="AG117" s="144"/>
      <c r="AH117" s="113"/>
      <c r="AI117" s="11"/>
      <c r="AJ117" s="11"/>
      <c r="AK117" s="39"/>
      <c r="AL117" s="113"/>
      <c r="AM117" s="113"/>
      <c r="AN117" s="117"/>
      <c r="AO117" s="76"/>
      <c r="AP117" s="39"/>
      <c r="AQ117" s="39"/>
      <c r="AR117" s="275"/>
      <c r="AS117" s="156"/>
      <c r="AT117" s="157"/>
      <c r="AU117" s="62"/>
      <c r="AV117" s="62"/>
      <c r="AW117" s="31"/>
      <c r="AX117" s="116"/>
      <c r="AY117" s="196"/>
      <c r="AZ117" s="143"/>
      <c r="BA117" s="191"/>
      <c r="BB117" s="132"/>
      <c r="BC117" s="132"/>
      <c r="BD117" s="274"/>
      <c r="BE117" s="143"/>
      <c r="BF117" s="143"/>
      <c r="BG117" s="132"/>
      <c r="BH117" s="132"/>
      <c r="BI117" s="132"/>
      <c r="BJ117" s="143"/>
      <c r="BK117" s="143"/>
      <c r="BL117" s="143"/>
      <c r="BM117" s="132"/>
      <c r="BN117" s="132"/>
      <c r="BO117" s="132"/>
      <c r="BP117" s="143"/>
      <c r="BQ117" s="132"/>
      <c r="BR117" s="132"/>
      <c r="BS117" s="132"/>
      <c r="BT117" s="132"/>
      <c r="BU117" s="132"/>
      <c r="BV117" s="267">
        <v>2101200</v>
      </c>
      <c r="BW117" s="144">
        <f>BV117*0</f>
        <v>0</v>
      </c>
      <c r="BX117" s="113">
        <f>+BV117+BW117</f>
        <v>2101200</v>
      </c>
      <c r="BY117" s="264" t="s">
        <v>222</v>
      </c>
      <c r="BZ117" s="264" t="s">
        <v>223</v>
      </c>
      <c r="CA117" s="132"/>
      <c r="CB117" s="274"/>
      <c r="CC117" s="144"/>
      <c r="CD117" s="274"/>
      <c r="CE117" s="132"/>
      <c r="CF117" s="132"/>
      <c r="CG117" s="36"/>
      <c r="CH117" s="263">
        <v>2164236</v>
      </c>
      <c r="CI117" s="265">
        <f>+CH117*0</f>
        <v>0</v>
      </c>
      <c r="CJ117" s="263">
        <f>+CH117+CI117</f>
        <v>2164236</v>
      </c>
      <c r="CK117" s="264" t="s">
        <v>222</v>
      </c>
      <c r="CL117" s="264" t="s">
        <v>223</v>
      </c>
      <c r="CM117" s="132"/>
      <c r="CN117" s="274"/>
      <c r="CO117" s="144"/>
      <c r="CP117" s="274"/>
      <c r="CQ117" s="132"/>
      <c r="CR117" s="132"/>
      <c r="CS117" s="132"/>
      <c r="CT117" s="274"/>
      <c r="CU117" s="144"/>
      <c r="CV117" s="274"/>
      <c r="CW117" s="132"/>
      <c r="CX117" s="132"/>
      <c r="CY117" s="132"/>
      <c r="CZ117" s="118"/>
      <c r="DA117" s="144"/>
      <c r="DB117" s="118"/>
      <c r="DC117" s="33"/>
      <c r="DD117" s="39"/>
      <c r="DE117" s="11"/>
      <c r="DF117" s="132"/>
      <c r="DG117" s="132"/>
      <c r="DH117" s="132"/>
      <c r="DI117" s="132"/>
      <c r="DJ117" s="132"/>
      <c r="DK117" s="132"/>
      <c r="DL117" s="132"/>
      <c r="DM117" s="132"/>
      <c r="DN117" s="132"/>
      <c r="DO117" s="132"/>
      <c r="DP117" s="132"/>
      <c r="DQ117" s="132"/>
      <c r="DR117" s="132"/>
      <c r="DS117" s="132"/>
      <c r="DT117" s="132"/>
      <c r="DU117" s="132"/>
      <c r="DV117" s="132"/>
      <c r="DW117" s="132"/>
      <c r="DX117" s="132"/>
      <c r="DY117" s="132"/>
      <c r="DZ117" s="132"/>
      <c r="EA117" s="132"/>
      <c r="EB117" s="132"/>
      <c r="EC117" s="132"/>
      <c r="ED117" s="132"/>
      <c r="EE117" s="132"/>
      <c r="EF117" s="132"/>
      <c r="EG117" s="132"/>
      <c r="EH117" s="132"/>
      <c r="EI117" s="132"/>
      <c r="EJ117" s="132"/>
      <c r="EK117" s="132"/>
      <c r="EL117" s="132"/>
      <c r="EM117" s="132"/>
      <c r="EN117" s="132"/>
      <c r="EO117" s="132"/>
      <c r="EP117" s="132"/>
      <c r="EQ117" s="132"/>
      <c r="ER117" s="132"/>
      <c r="ES117" s="132"/>
      <c r="ET117" s="11"/>
      <c r="EU117" s="11"/>
      <c r="EV117" s="11"/>
      <c r="EW117" s="11"/>
      <c r="EX117" s="11"/>
      <c r="EY117" s="11"/>
      <c r="EZ117" s="11"/>
      <c r="FA117" s="11"/>
      <c r="FB117" s="11"/>
      <c r="FC117" s="11"/>
      <c r="FD117" s="11"/>
      <c r="FE117" s="11"/>
      <c r="FF117" s="11"/>
      <c r="FG117" s="11"/>
      <c r="FH117" s="39">
        <f t="shared" si="27"/>
        <v>6309307.2300000004</v>
      </c>
      <c r="FI117" s="33">
        <f t="shared" si="28"/>
        <v>3</v>
      </c>
      <c r="FJ117" s="84">
        <f t="shared" si="29"/>
        <v>2103102.41</v>
      </c>
    </row>
    <row r="118" spans="1:166" ht="27" x14ac:dyDescent="0.25">
      <c r="A118" s="79" t="e">
        <f>#REF!</f>
        <v>#REF!</v>
      </c>
      <c r="B118" s="75" t="e">
        <f>#REF!</f>
        <v>#REF!</v>
      </c>
      <c r="C118" s="75" t="e">
        <f>#REF!</f>
        <v>#REF!</v>
      </c>
      <c r="D118" s="75" t="e">
        <f>#REF!</f>
        <v>#REF!</v>
      </c>
      <c r="E118" s="30">
        <v>1</v>
      </c>
      <c r="F118" s="238">
        <v>1814869</v>
      </c>
      <c r="G118" s="241">
        <v>1751323</v>
      </c>
      <c r="H118" s="249">
        <v>1652676.3355666667</v>
      </c>
      <c r="I118" s="249">
        <v>0</v>
      </c>
      <c r="J118" s="249">
        <v>0</v>
      </c>
      <c r="K118" s="249">
        <v>0</v>
      </c>
      <c r="L118" s="274">
        <f>AVERAGE(F118,H118)</f>
        <v>1733772.6677833335</v>
      </c>
      <c r="M118" s="274">
        <f>G118*E1</f>
        <v>1803862.69</v>
      </c>
      <c r="N118" s="245"/>
      <c r="O118" s="113"/>
      <c r="P118" s="113"/>
      <c r="Q118" s="131"/>
      <c r="R118" s="131"/>
      <c r="S118" s="64"/>
      <c r="T118" s="113"/>
      <c r="U118" s="113"/>
      <c r="V118" s="113"/>
      <c r="W118" s="131"/>
      <c r="X118" s="131"/>
      <c r="Y118" s="11"/>
      <c r="Z118" s="113"/>
      <c r="AA118" s="113"/>
      <c r="AB118" s="113"/>
      <c r="AC118" s="52"/>
      <c r="AD118" s="52"/>
      <c r="AE118" s="11"/>
      <c r="AF118" s="118"/>
      <c r="AG118" s="144"/>
      <c r="AH118" s="113"/>
      <c r="AI118" s="11"/>
      <c r="AJ118" s="11"/>
      <c r="AK118" s="39"/>
      <c r="AL118" s="113"/>
      <c r="AM118" s="113"/>
      <c r="AN118" s="117"/>
      <c r="AO118" s="76"/>
      <c r="AP118" s="39"/>
      <c r="AQ118" s="39"/>
      <c r="AR118" s="275"/>
      <c r="AS118" s="156"/>
      <c r="AT118" s="157"/>
      <c r="AU118" s="62"/>
      <c r="AV118" s="62"/>
      <c r="AW118" s="31"/>
      <c r="AX118" s="116"/>
      <c r="AY118" s="196"/>
      <c r="AZ118" s="143"/>
      <c r="BA118" s="191"/>
      <c r="BB118" s="132"/>
      <c r="BC118" s="132"/>
      <c r="BD118" s="274"/>
      <c r="BE118" s="143"/>
      <c r="BF118" s="143"/>
      <c r="BG118" s="132"/>
      <c r="BH118" s="132"/>
      <c r="BI118" s="132"/>
      <c r="BJ118" s="143"/>
      <c r="BK118" s="143"/>
      <c r="BL118" s="143"/>
      <c r="BM118" s="132"/>
      <c r="BN118" s="132"/>
      <c r="BO118" s="132"/>
      <c r="BP118" s="143"/>
      <c r="BQ118" s="132"/>
      <c r="BR118" s="132"/>
      <c r="BS118" s="132"/>
      <c r="BT118" s="132"/>
      <c r="BU118" s="132"/>
      <c r="BV118" s="267">
        <v>2593400</v>
      </c>
      <c r="BW118" s="144">
        <f>BV118*19%</f>
        <v>492746</v>
      </c>
      <c r="BX118" s="113">
        <f>+BV118+BW118</f>
        <v>3086146</v>
      </c>
      <c r="BY118" s="264" t="s">
        <v>62</v>
      </c>
      <c r="BZ118" s="264" t="s">
        <v>131</v>
      </c>
      <c r="CA118" s="132"/>
      <c r="CB118" s="274"/>
      <c r="CC118" s="144"/>
      <c r="CD118" s="274"/>
      <c r="CE118" s="132"/>
      <c r="CF118" s="132"/>
      <c r="CG118" s="36"/>
      <c r="CH118" s="263">
        <v>2774938</v>
      </c>
      <c r="CI118" s="265">
        <f>+CH118*0.19</f>
        <v>527238.22</v>
      </c>
      <c r="CJ118" s="263">
        <f>+CH118+CI118</f>
        <v>3302176.2199999997</v>
      </c>
      <c r="CK118" s="264" t="s">
        <v>62</v>
      </c>
      <c r="CL118" s="264" t="s">
        <v>131</v>
      </c>
      <c r="CM118" s="132"/>
      <c r="CN118" s="274"/>
      <c r="CO118" s="144"/>
      <c r="CP118" s="274"/>
      <c r="CQ118" s="132"/>
      <c r="CR118" s="132"/>
      <c r="CS118" s="132"/>
      <c r="CT118" s="274"/>
      <c r="CU118" s="144"/>
      <c r="CV118" s="274"/>
      <c r="CW118" s="132"/>
      <c r="CX118" s="132"/>
      <c r="CY118" s="132"/>
      <c r="CZ118" s="118"/>
      <c r="DA118" s="144"/>
      <c r="DB118" s="118"/>
      <c r="DC118" s="33"/>
      <c r="DD118" s="39"/>
      <c r="DE118" s="11"/>
      <c r="DF118" s="132"/>
      <c r="DG118" s="132"/>
      <c r="DH118" s="132"/>
      <c r="DI118" s="132"/>
      <c r="DJ118" s="132"/>
      <c r="DK118" s="132"/>
      <c r="DL118" s="132"/>
      <c r="DM118" s="132"/>
      <c r="DN118" s="132"/>
      <c r="DO118" s="132"/>
      <c r="DP118" s="132"/>
      <c r="DQ118" s="132"/>
      <c r="DR118" s="132"/>
      <c r="DS118" s="132"/>
      <c r="DT118" s="132"/>
      <c r="DU118" s="132"/>
      <c r="DV118" s="132"/>
      <c r="DW118" s="132"/>
      <c r="DX118" s="132"/>
      <c r="DY118" s="132"/>
      <c r="DZ118" s="132"/>
      <c r="EA118" s="132"/>
      <c r="EB118" s="132"/>
      <c r="EC118" s="132"/>
      <c r="ED118" s="132"/>
      <c r="EE118" s="132"/>
      <c r="EF118" s="132"/>
      <c r="EG118" s="132"/>
      <c r="EH118" s="132"/>
      <c r="EI118" s="132"/>
      <c r="EJ118" s="132"/>
      <c r="EK118" s="132"/>
      <c r="EL118" s="132"/>
      <c r="EM118" s="132"/>
      <c r="EN118" s="132"/>
      <c r="EO118" s="132"/>
      <c r="EP118" s="132"/>
      <c r="EQ118" s="132"/>
      <c r="ER118" s="132"/>
      <c r="ES118" s="132"/>
      <c r="ET118" s="11"/>
      <c r="EU118" s="11"/>
      <c r="EV118" s="11"/>
      <c r="EW118" s="11"/>
      <c r="EX118" s="11"/>
      <c r="EY118" s="11"/>
      <c r="EZ118" s="11"/>
      <c r="FA118" s="11"/>
      <c r="FB118" s="11"/>
      <c r="FC118" s="11"/>
      <c r="FD118" s="11"/>
      <c r="FE118" s="11"/>
      <c r="FF118" s="11"/>
      <c r="FG118" s="11"/>
      <c r="FH118" s="39">
        <f t="shared" si="27"/>
        <v>8192184.9099999992</v>
      </c>
      <c r="FI118" s="33">
        <f t="shared" si="28"/>
        <v>3</v>
      </c>
      <c r="FJ118" s="84">
        <f t="shared" si="29"/>
        <v>2730728.3033333332</v>
      </c>
    </row>
    <row r="119" spans="1:166" x14ac:dyDescent="0.25">
      <c r="A119" s="79" t="e">
        <f>#REF!</f>
        <v>#REF!</v>
      </c>
      <c r="B119" s="75" t="e">
        <f>#REF!</f>
        <v>#REF!</v>
      </c>
      <c r="C119" s="75" t="e">
        <f>#REF!</f>
        <v>#REF!</v>
      </c>
      <c r="D119" s="75" t="e">
        <f>#REF!</f>
        <v>#REF!</v>
      </c>
      <c r="E119" s="30">
        <v>1</v>
      </c>
      <c r="F119" s="238">
        <v>0</v>
      </c>
      <c r="G119" s="241">
        <v>0</v>
      </c>
      <c r="H119" s="249">
        <v>0</v>
      </c>
      <c r="I119" s="249">
        <v>0</v>
      </c>
      <c r="J119" s="249">
        <v>0</v>
      </c>
      <c r="K119" s="249">
        <v>0</v>
      </c>
      <c r="L119" s="274"/>
      <c r="M119" s="274"/>
      <c r="N119" s="245"/>
      <c r="O119" s="113"/>
      <c r="P119" s="113"/>
      <c r="Q119" s="131"/>
      <c r="R119" s="131"/>
      <c r="S119" s="64"/>
      <c r="T119" s="113"/>
      <c r="U119" s="122"/>
      <c r="V119" s="113"/>
      <c r="W119" s="131"/>
      <c r="X119" s="131"/>
      <c r="Y119" s="11"/>
      <c r="Z119" s="113"/>
      <c r="AA119" s="113"/>
      <c r="AB119" s="113"/>
      <c r="AC119" s="52"/>
      <c r="AD119" s="52"/>
      <c r="AE119" s="11"/>
      <c r="AF119" s="118">
        <v>280000</v>
      </c>
      <c r="AG119" s="144">
        <f>AF119*19%</f>
        <v>53200</v>
      </c>
      <c r="AH119" s="113">
        <f>+AF119+AG119</f>
        <v>333200</v>
      </c>
      <c r="AI119" s="11"/>
      <c r="AJ119" s="11"/>
      <c r="AK119" s="39"/>
      <c r="AL119" s="113">
        <v>290000</v>
      </c>
      <c r="AM119" s="113">
        <f>+AL119*0.19</f>
        <v>55100</v>
      </c>
      <c r="AN119" s="119">
        <f>+AL119+AM119</f>
        <v>345100</v>
      </c>
      <c r="AO119" s="76" t="s">
        <v>49</v>
      </c>
      <c r="AP119" s="262" t="s">
        <v>45</v>
      </c>
      <c r="AQ119" s="39"/>
      <c r="AR119" s="275">
        <v>269468</v>
      </c>
      <c r="AS119" s="113">
        <f>+AR119*0.19</f>
        <v>51198.92</v>
      </c>
      <c r="AT119" s="119">
        <f>+AR119+AS119</f>
        <v>320666.92</v>
      </c>
      <c r="AU119" s="62" t="s">
        <v>49</v>
      </c>
      <c r="AV119" s="62" t="s">
        <v>45</v>
      </c>
      <c r="AW119" s="31"/>
      <c r="AX119" s="116"/>
      <c r="AY119" s="116"/>
      <c r="AZ119" s="143"/>
      <c r="BA119" s="191"/>
      <c r="BB119" s="132"/>
      <c r="BC119" s="132"/>
      <c r="BD119" s="274"/>
      <c r="BE119" s="143"/>
      <c r="BF119" s="143"/>
      <c r="BG119" s="132"/>
      <c r="BH119" s="132"/>
      <c r="BI119" s="132"/>
      <c r="BJ119" s="143"/>
      <c r="BK119" s="143"/>
      <c r="BL119" s="143"/>
      <c r="BM119" s="132"/>
      <c r="BN119" s="132"/>
      <c r="BO119" s="132"/>
      <c r="BP119" s="143"/>
      <c r="BQ119" s="132"/>
      <c r="BR119" s="132"/>
      <c r="BS119" s="132"/>
      <c r="BT119" s="132"/>
      <c r="BU119" s="132"/>
      <c r="BV119" s="211"/>
      <c r="BW119" s="144"/>
      <c r="BX119" s="113"/>
      <c r="BY119" s="273"/>
      <c r="BZ119" s="273"/>
      <c r="CA119" s="132"/>
      <c r="CB119" s="274">
        <v>222750</v>
      </c>
      <c r="CC119" s="144">
        <f>+CB119*19%</f>
        <v>42322.5</v>
      </c>
      <c r="CD119" s="274">
        <f>+CC119+CB119</f>
        <v>265072.5</v>
      </c>
      <c r="CE119" s="132"/>
      <c r="CF119" s="132"/>
      <c r="CG119" s="36"/>
      <c r="CH119" s="210"/>
      <c r="CI119" s="219"/>
      <c r="CJ119" s="210"/>
      <c r="CK119" s="273"/>
      <c r="CL119" s="273"/>
      <c r="CM119" s="132"/>
      <c r="CN119" s="274"/>
      <c r="CO119" s="144"/>
      <c r="CP119" s="274"/>
      <c r="CQ119" s="132"/>
      <c r="CR119" s="132"/>
      <c r="CS119" s="132"/>
      <c r="CT119" s="274"/>
      <c r="CU119" s="144"/>
      <c r="CV119" s="274"/>
      <c r="CW119" s="132"/>
      <c r="CX119" s="132"/>
      <c r="CY119" s="132"/>
      <c r="CZ119" s="118"/>
      <c r="DA119" s="144"/>
      <c r="DB119" s="118"/>
      <c r="DC119" s="33"/>
      <c r="DD119" s="39"/>
      <c r="DE119" s="11"/>
      <c r="DF119" s="132"/>
      <c r="DG119" s="132"/>
      <c r="DH119" s="132"/>
      <c r="DI119" s="132"/>
      <c r="DJ119" s="132"/>
      <c r="DK119" s="132"/>
      <c r="DL119" s="132"/>
      <c r="DM119" s="132"/>
      <c r="DN119" s="132"/>
      <c r="DO119" s="132"/>
      <c r="DP119" s="132"/>
      <c r="DQ119" s="132"/>
      <c r="DR119" s="132"/>
      <c r="DS119" s="132"/>
      <c r="DT119" s="132"/>
      <c r="DU119" s="132"/>
      <c r="DV119" s="132"/>
      <c r="DW119" s="132"/>
      <c r="DX119" s="132"/>
      <c r="DY119" s="132"/>
      <c r="DZ119" s="132"/>
      <c r="EA119" s="132"/>
      <c r="EB119" s="132"/>
      <c r="EC119" s="132"/>
      <c r="ED119" s="132"/>
      <c r="EE119" s="132"/>
      <c r="EF119" s="132"/>
      <c r="EG119" s="132"/>
      <c r="EH119" s="132"/>
      <c r="EI119" s="132"/>
      <c r="EJ119" s="132"/>
      <c r="EK119" s="132"/>
      <c r="EL119" s="132"/>
      <c r="EM119" s="132"/>
      <c r="EN119" s="132"/>
      <c r="EO119" s="132"/>
      <c r="EP119" s="132"/>
      <c r="EQ119" s="132"/>
      <c r="ER119" s="132"/>
      <c r="ES119" s="132"/>
      <c r="ET119" s="11"/>
      <c r="EU119" s="11"/>
      <c r="EV119" s="11"/>
      <c r="EW119" s="11"/>
      <c r="EX119" s="11"/>
      <c r="EY119" s="11"/>
      <c r="EZ119" s="11"/>
      <c r="FA119" s="11"/>
      <c r="FB119" s="11"/>
      <c r="FC119" s="11"/>
      <c r="FD119" s="11"/>
      <c r="FE119" s="11"/>
      <c r="FF119" s="11"/>
      <c r="FG119" s="11"/>
      <c r="FH119" s="39">
        <f t="shared" si="27"/>
        <v>1264039.42</v>
      </c>
      <c r="FI119" s="33">
        <f t="shared" si="28"/>
        <v>4</v>
      </c>
      <c r="FJ119" s="84">
        <f t="shared" si="29"/>
        <v>316009.85499999998</v>
      </c>
    </row>
    <row r="120" spans="1:166" x14ac:dyDescent="0.25">
      <c r="A120" s="79" t="e">
        <f>#REF!</f>
        <v>#REF!</v>
      </c>
      <c r="B120" s="75" t="e">
        <f>#REF!</f>
        <v>#REF!</v>
      </c>
      <c r="C120" s="75" t="e">
        <f>#REF!</f>
        <v>#REF!</v>
      </c>
      <c r="D120" s="75" t="e">
        <f>#REF!</f>
        <v>#REF!</v>
      </c>
      <c r="E120" s="30">
        <v>1</v>
      </c>
      <c r="F120" s="238">
        <v>0</v>
      </c>
      <c r="G120" s="241">
        <v>0</v>
      </c>
      <c r="H120" s="249">
        <v>73000</v>
      </c>
      <c r="I120" s="249">
        <v>0</v>
      </c>
      <c r="J120" s="249">
        <v>0</v>
      </c>
      <c r="K120" s="249">
        <v>0</v>
      </c>
      <c r="L120" s="274">
        <f>H120</f>
        <v>73000</v>
      </c>
      <c r="M120" s="274"/>
      <c r="N120" s="245"/>
      <c r="O120" s="113"/>
      <c r="P120" s="113"/>
      <c r="Q120" s="131"/>
      <c r="R120" s="131"/>
      <c r="S120" s="64"/>
      <c r="T120" s="113"/>
      <c r="U120" s="113"/>
      <c r="V120" s="113"/>
      <c r="W120" s="131"/>
      <c r="X120" s="131"/>
      <c r="Y120" s="11"/>
      <c r="Z120" s="113"/>
      <c r="AA120" s="113"/>
      <c r="AB120" s="113"/>
      <c r="AC120" s="52"/>
      <c r="AD120" s="52"/>
      <c r="AE120" s="11"/>
      <c r="AF120" s="113"/>
      <c r="AG120" s="144"/>
      <c r="AH120" s="113"/>
      <c r="AI120" s="11"/>
      <c r="AJ120" s="11"/>
      <c r="AK120" s="39"/>
      <c r="AL120" s="113"/>
      <c r="AM120" s="113"/>
      <c r="AN120" s="119"/>
      <c r="AO120" s="76"/>
      <c r="AP120" s="39"/>
      <c r="AQ120" s="39"/>
      <c r="AR120" s="275"/>
      <c r="AS120" s="155"/>
      <c r="AT120" s="157"/>
      <c r="AU120" s="62"/>
      <c r="AV120" s="62"/>
      <c r="AW120" s="31"/>
      <c r="AX120" s="116"/>
      <c r="AY120" s="196"/>
      <c r="AZ120" s="143"/>
      <c r="BA120" s="191"/>
      <c r="BB120" s="132"/>
      <c r="BC120" s="132"/>
      <c r="BD120" s="275"/>
      <c r="BE120" s="143"/>
      <c r="BF120" s="143"/>
      <c r="BG120" s="132"/>
      <c r="BH120" s="132"/>
      <c r="BI120" s="132"/>
      <c r="BJ120" s="143"/>
      <c r="BK120" s="143"/>
      <c r="BL120" s="143"/>
      <c r="BM120" s="132"/>
      <c r="BN120" s="132"/>
      <c r="BO120" s="132"/>
      <c r="BP120" s="143"/>
      <c r="BQ120" s="132"/>
      <c r="BR120" s="132"/>
      <c r="BS120" s="132"/>
      <c r="BT120" s="132"/>
      <c r="BU120" s="132"/>
      <c r="BV120" s="211"/>
      <c r="BW120" s="144"/>
      <c r="BX120" s="113"/>
      <c r="BY120" s="273"/>
      <c r="BZ120" s="273"/>
      <c r="CA120" s="132"/>
      <c r="CB120" s="275"/>
      <c r="CC120" s="143"/>
      <c r="CD120" s="275"/>
      <c r="CE120" s="132"/>
      <c r="CF120" s="132"/>
      <c r="CG120" s="36"/>
      <c r="CH120" s="210"/>
      <c r="CI120" s="219"/>
      <c r="CJ120" s="210"/>
      <c r="CK120" s="273"/>
      <c r="CL120" s="273"/>
      <c r="CM120" s="132"/>
      <c r="CN120" s="275"/>
      <c r="CO120" s="143"/>
      <c r="CP120" s="275"/>
      <c r="CQ120" s="132"/>
      <c r="CR120" s="132"/>
      <c r="CS120" s="132"/>
      <c r="CT120" s="275"/>
      <c r="CU120" s="143"/>
      <c r="CV120" s="275"/>
      <c r="CW120" s="132"/>
      <c r="CX120" s="132"/>
      <c r="CY120" s="132"/>
      <c r="CZ120" s="113"/>
      <c r="DA120" s="143"/>
      <c r="DB120" s="113"/>
      <c r="DC120" s="33"/>
      <c r="DD120" s="39"/>
      <c r="DE120" s="11"/>
      <c r="DF120" s="132"/>
      <c r="DG120" s="132"/>
      <c r="DH120" s="132"/>
      <c r="DI120" s="132"/>
      <c r="DJ120" s="132"/>
      <c r="DK120" s="132"/>
      <c r="DL120" s="132"/>
      <c r="DM120" s="132"/>
      <c r="DN120" s="132"/>
      <c r="DO120" s="132"/>
      <c r="DP120" s="132"/>
      <c r="DQ120" s="132"/>
      <c r="DR120" s="132"/>
      <c r="DS120" s="132"/>
      <c r="DT120" s="132"/>
      <c r="DU120" s="132"/>
      <c r="DV120" s="132"/>
      <c r="DW120" s="132"/>
      <c r="DX120" s="132"/>
      <c r="DY120" s="132"/>
      <c r="DZ120" s="132"/>
      <c r="EA120" s="132"/>
      <c r="EB120" s="132"/>
      <c r="EC120" s="132"/>
      <c r="ED120" s="132"/>
      <c r="EE120" s="132"/>
      <c r="EF120" s="132"/>
      <c r="EG120" s="132"/>
      <c r="EH120" s="132"/>
      <c r="EI120" s="132"/>
      <c r="EJ120" s="132"/>
      <c r="EK120" s="132"/>
      <c r="EL120" s="132"/>
      <c r="EM120" s="132"/>
      <c r="EN120" s="132"/>
      <c r="EO120" s="132"/>
      <c r="EP120" s="132"/>
      <c r="EQ120" s="132"/>
      <c r="ER120" s="132"/>
      <c r="ES120" s="132"/>
      <c r="ET120" s="11"/>
      <c r="EU120" s="11"/>
      <c r="EV120" s="11"/>
      <c r="EW120" s="11"/>
      <c r="EX120" s="11"/>
      <c r="EY120" s="11"/>
      <c r="EZ120" s="11"/>
      <c r="FA120" s="11"/>
      <c r="FB120" s="11"/>
      <c r="FC120" s="11"/>
      <c r="FD120" s="11"/>
      <c r="FE120" s="11"/>
      <c r="FF120" s="11"/>
      <c r="FG120" s="11"/>
      <c r="FH120" s="39">
        <f t="shared" si="27"/>
        <v>0</v>
      </c>
      <c r="FI120" s="33">
        <f t="shared" si="28"/>
        <v>0</v>
      </c>
      <c r="FJ120" s="84" t="str">
        <f t="shared" si="29"/>
        <v xml:space="preserve"> </v>
      </c>
    </row>
    <row r="121" spans="1:166" x14ac:dyDescent="0.25">
      <c r="A121" s="79" t="e">
        <f>#REF!</f>
        <v>#REF!</v>
      </c>
      <c r="B121" s="75" t="e">
        <f>#REF!</f>
        <v>#REF!</v>
      </c>
      <c r="C121" s="75" t="e">
        <f>#REF!</f>
        <v>#REF!</v>
      </c>
      <c r="D121" s="75" t="e">
        <f>#REF!</f>
        <v>#REF!</v>
      </c>
      <c r="E121" s="30">
        <v>1</v>
      </c>
      <c r="F121" s="238">
        <v>0</v>
      </c>
      <c r="G121" s="241">
        <v>0</v>
      </c>
      <c r="H121" s="249">
        <v>0</v>
      </c>
      <c r="I121" s="249">
        <v>0</v>
      </c>
      <c r="J121" s="249">
        <v>0</v>
      </c>
      <c r="K121" s="249">
        <v>0</v>
      </c>
      <c r="L121" s="274"/>
      <c r="M121" s="274"/>
      <c r="N121" s="245"/>
      <c r="O121" s="113"/>
      <c r="P121" s="113"/>
      <c r="Q121" s="131"/>
      <c r="R121" s="131"/>
      <c r="S121" s="64"/>
      <c r="T121" s="113"/>
      <c r="U121" s="113"/>
      <c r="V121" s="113"/>
      <c r="W121" s="131"/>
      <c r="X121" s="131"/>
      <c r="Y121" s="11"/>
      <c r="Z121" s="113"/>
      <c r="AA121" s="113"/>
      <c r="AB121" s="113"/>
      <c r="AC121" s="52"/>
      <c r="AD121" s="52"/>
      <c r="AE121" s="11"/>
      <c r="AF121" s="113"/>
      <c r="AG121" s="144"/>
      <c r="AH121" s="113"/>
      <c r="AI121" s="11"/>
      <c r="AJ121" s="11"/>
      <c r="AK121" s="39"/>
      <c r="AL121" s="113"/>
      <c r="AM121" s="113"/>
      <c r="AN121" s="119"/>
      <c r="AO121" s="76"/>
      <c r="AP121" s="39"/>
      <c r="AQ121" s="39"/>
      <c r="AR121" s="275"/>
      <c r="AS121" s="155"/>
      <c r="AT121" s="157"/>
      <c r="AU121" s="62"/>
      <c r="AV121" s="62"/>
      <c r="AW121" s="31"/>
      <c r="AX121" s="116"/>
      <c r="AY121" s="196"/>
      <c r="AZ121" s="143"/>
      <c r="BA121" s="191"/>
      <c r="BB121" s="132"/>
      <c r="BC121" s="132"/>
      <c r="BD121" s="275"/>
      <c r="BE121" s="143"/>
      <c r="BF121" s="143"/>
      <c r="BG121" s="132"/>
      <c r="BH121" s="132"/>
      <c r="BI121" s="132"/>
      <c r="BJ121" s="143"/>
      <c r="BK121" s="143"/>
      <c r="BL121" s="143"/>
      <c r="BM121" s="132"/>
      <c r="BN121" s="132"/>
      <c r="BO121" s="132"/>
      <c r="BP121" s="143"/>
      <c r="BQ121" s="132"/>
      <c r="BR121" s="132"/>
      <c r="BS121" s="132"/>
      <c r="BT121" s="132"/>
      <c r="BU121" s="132"/>
      <c r="BV121" s="211"/>
      <c r="BW121" s="144"/>
      <c r="BX121" s="113"/>
      <c r="BY121" s="273"/>
      <c r="BZ121" s="273"/>
      <c r="CA121" s="132"/>
      <c r="CB121" s="275"/>
      <c r="CC121" s="143"/>
      <c r="CD121" s="275"/>
      <c r="CE121" s="132"/>
      <c r="CF121" s="132"/>
      <c r="CG121" s="36"/>
      <c r="CH121" s="210"/>
      <c r="CI121" s="219"/>
      <c r="CJ121" s="210"/>
      <c r="CK121" s="273"/>
      <c r="CL121" s="273"/>
      <c r="CM121" s="132"/>
      <c r="CN121" s="275"/>
      <c r="CO121" s="143"/>
      <c r="CP121" s="275"/>
      <c r="CQ121" s="132"/>
      <c r="CR121" s="132"/>
      <c r="CS121" s="132"/>
      <c r="CT121" s="275"/>
      <c r="CU121" s="143"/>
      <c r="CV121" s="275"/>
      <c r="CW121" s="132"/>
      <c r="CX121" s="132"/>
      <c r="CY121" s="132"/>
      <c r="CZ121" s="113"/>
      <c r="DA121" s="143"/>
      <c r="DB121" s="113"/>
      <c r="DC121" s="33"/>
      <c r="DD121" s="39"/>
      <c r="DE121" s="11"/>
      <c r="DF121" s="132"/>
      <c r="DG121" s="132"/>
      <c r="DH121" s="132"/>
      <c r="DI121" s="132"/>
      <c r="DJ121" s="132"/>
      <c r="DK121" s="132"/>
      <c r="DL121" s="132"/>
      <c r="DM121" s="132"/>
      <c r="DN121" s="132"/>
      <c r="DO121" s="132"/>
      <c r="DP121" s="132"/>
      <c r="DQ121" s="132"/>
      <c r="DR121" s="132"/>
      <c r="DS121" s="132"/>
      <c r="DT121" s="132"/>
      <c r="DU121" s="132"/>
      <c r="DV121" s="132"/>
      <c r="DW121" s="132"/>
      <c r="DX121" s="132"/>
      <c r="DY121" s="132"/>
      <c r="DZ121" s="132"/>
      <c r="EA121" s="132"/>
      <c r="EB121" s="132"/>
      <c r="EC121" s="132"/>
      <c r="ED121" s="132"/>
      <c r="EE121" s="132"/>
      <c r="EF121" s="132"/>
      <c r="EG121" s="132"/>
      <c r="EH121" s="132"/>
      <c r="EI121" s="132"/>
      <c r="EJ121" s="132"/>
      <c r="EK121" s="132"/>
      <c r="EL121" s="132"/>
      <c r="EM121" s="132"/>
      <c r="EN121" s="132"/>
      <c r="EO121" s="132"/>
      <c r="EP121" s="132"/>
      <c r="EQ121" s="132"/>
      <c r="ER121" s="132"/>
      <c r="ES121" s="132"/>
      <c r="ET121" s="11"/>
      <c r="EU121" s="11"/>
      <c r="EV121" s="11"/>
      <c r="EW121" s="11"/>
      <c r="EX121" s="11"/>
      <c r="EY121" s="11"/>
      <c r="EZ121" s="11"/>
      <c r="FA121" s="11"/>
      <c r="FB121" s="11"/>
      <c r="FC121" s="11"/>
      <c r="FD121" s="11"/>
      <c r="FE121" s="11"/>
      <c r="FF121" s="11"/>
      <c r="FG121" s="11"/>
      <c r="FH121" s="39">
        <f t="shared" si="27"/>
        <v>0</v>
      </c>
      <c r="FI121" s="33">
        <f t="shared" si="28"/>
        <v>0</v>
      </c>
      <c r="FJ121" s="84" t="str">
        <f t="shared" si="29"/>
        <v xml:space="preserve"> </v>
      </c>
    </row>
    <row r="122" spans="1:166" x14ac:dyDescent="0.25">
      <c r="A122" s="79" t="e">
        <f>#REF!</f>
        <v>#REF!</v>
      </c>
      <c r="B122" s="75" t="e">
        <f>#REF!</f>
        <v>#REF!</v>
      </c>
      <c r="C122" s="75" t="e">
        <f>#REF!</f>
        <v>#REF!</v>
      </c>
      <c r="D122" s="75" t="e">
        <f>#REF!</f>
        <v>#REF!</v>
      </c>
      <c r="E122" s="30">
        <v>1</v>
      </c>
      <c r="F122" s="238">
        <v>0</v>
      </c>
      <c r="G122" s="241">
        <v>0</v>
      </c>
      <c r="H122" s="249">
        <v>0</v>
      </c>
      <c r="I122" s="249">
        <v>0</v>
      </c>
      <c r="J122" s="249">
        <v>0</v>
      </c>
      <c r="K122" s="249">
        <v>0</v>
      </c>
      <c r="L122" s="274"/>
      <c r="M122" s="274"/>
      <c r="N122" s="245"/>
      <c r="O122" s="113"/>
      <c r="P122" s="113"/>
      <c r="Q122" s="131"/>
      <c r="R122" s="131"/>
      <c r="S122" s="64"/>
      <c r="T122" s="113"/>
      <c r="U122" s="113"/>
      <c r="V122" s="113"/>
      <c r="W122" s="131"/>
      <c r="X122" s="131"/>
      <c r="Y122" s="11"/>
      <c r="Z122" s="113"/>
      <c r="AA122" s="113"/>
      <c r="AB122" s="113"/>
      <c r="AC122" s="52"/>
      <c r="AD122" s="52"/>
      <c r="AE122" s="11"/>
      <c r="AF122" s="113"/>
      <c r="AG122" s="144"/>
      <c r="AH122" s="113"/>
      <c r="AI122" s="11"/>
      <c r="AJ122" s="11"/>
      <c r="AK122" s="39"/>
      <c r="AL122" s="113"/>
      <c r="AM122" s="113"/>
      <c r="AN122" s="116"/>
      <c r="AO122" s="76"/>
      <c r="AP122" s="39"/>
      <c r="AQ122" s="39"/>
      <c r="AR122" s="275"/>
      <c r="AS122" s="143"/>
      <c r="AT122" s="143"/>
      <c r="AU122" s="62"/>
      <c r="AV122" s="62"/>
      <c r="AW122" s="31"/>
      <c r="AX122" s="116"/>
      <c r="AY122" s="196"/>
      <c r="AZ122" s="143"/>
      <c r="BA122" s="191"/>
      <c r="BB122" s="132"/>
      <c r="BC122" s="132"/>
      <c r="BD122" s="275"/>
      <c r="BE122" s="143"/>
      <c r="BF122" s="143"/>
      <c r="BG122" s="132"/>
      <c r="BH122" s="132"/>
      <c r="BI122" s="132"/>
      <c r="BJ122" s="143"/>
      <c r="BK122" s="143"/>
      <c r="BL122" s="143"/>
      <c r="BM122" s="132"/>
      <c r="BN122" s="132"/>
      <c r="BO122" s="132"/>
      <c r="BP122" s="143"/>
      <c r="BQ122" s="132"/>
      <c r="BR122" s="132"/>
      <c r="BS122" s="132"/>
      <c r="BT122" s="132"/>
      <c r="BU122" s="132"/>
      <c r="BV122" s="211"/>
      <c r="BW122" s="144"/>
      <c r="BX122" s="113"/>
      <c r="BY122" s="273"/>
      <c r="BZ122" s="273"/>
      <c r="CA122" s="132"/>
      <c r="CB122" s="275"/>
      <c r="CC122" s="143"/>
      <c r="CD122" s="275"/>
      <c r="CE122" s="132"/>
      <c r="CF122" s="132"/>
      <c r="CG122" s="36"/>
      <c r="CH122" s="210"/>
      <c r="CI122" s="219"/>
      <c r="CJ122" s="210"/>
      <c r="CK122" s="273"/>
      <c r="CL122" s="273"/>
      <c r="CM122" s="132"/>
      <c r="CN122" s="275"/>
      <c r="CO122" s="143"/>
      <c r="CP122" s="275"/>
      <c r="CQ122" s="132"/>
      <c r="CR122" s="132"/>
      <c r="CS122" s="132"/>
      <c r="CT122" s="275"/>
      <c r="CU122" s="143"/>
      <c r="CV122" s="275"/>
      <c r="CW122" s="132"/>
      <c r="CX122" s="132"/>
      <c r="CY122" s="132"/>
      <c r="CZ122" s="113"/>
      <c r="DA122" s="143"/>
      <c r="DB122" s="113"/>
      <c r="DC122" s="33"/>
      <c r="DD122" s="39"/>
      <c r="DE122" s="11"/>
      <c r="DF122" s="132"/>
      <c r="DG122" s="132"/>
      <c r="DH122" s="132"/>
      <c r="DI122" s="132"/>
      <c r="DJ122" s="132"/>
      <c r="DK122" s="132"/>
      <c r="DL122" s="132"/>
      <c r="DM122" s="132"/>
      <c r="DN122" s="132"/>
      <c r="DO122" s="132"/>
      <c r="DP122" s="132"/>
      <c r="DQ122" s="132"/>
      <c r="DR122" s="132"/>
      <c r="DS122" s="132"/>
      <c r="DT122" s="132"/>
      <c r="DU122" s="132"/>
      <c r="DV122" s="132"/>
      <c r="DW122" s="132"/>
      <c r="DX122" s="132"/>
      <c r="DY122" s="132"/>
      <c r="DZ122" s="132"/>
      <c r="EA122" s="132"/>
      <c r="EB122" s="132"/>
      <c r="EC122" s="132"/>
      <c r="ED122" s="132"/>
      <c r="EE122" s="132"/>
      <c r="EF122" s="132"/>
      <c r="EG122" s="132"/>
      <c r="EH122" s="132"/>
      <c r="EI122" s="132"/>
      <c r="EJ122" s="132"/>
      <c r="EK122" s="132"/>
      <c r="EL122" s="132"/>
      <c r="EM122" s="132"/>
      <c r="EN122" s="132"/>
      <c r="EO122" s="132"/>
      <c r="EP122" s="132"/>
      <c r="EQ122" s="132"/>
      <c r="ER122" s="132"/>
      <c r="ES122" s="132"/>
      <c r="ET122" s="11"/>
      <c r="EU122" s="11"/>
      <c r="EV122" s="11"/>
      <c r="EW122" s="11"/>
      <c r="EX122" s="11"/>
      <c r="EY122" s="11"/>
      <c r="EZ122" s="11"/>
      <c r="FA122" s="11"/>
      <c r="FB122" s="11"/>
      <c r="FC122" s="11"/>
      <c r="FD122" s="11"/>
      <c r="FE122" s="11"/>
      <c r="FF122" s="11"/>
      <c r="FG122" s="11"/>
      <c r="FH122" s="39">
        <f t="shared" si="27"/>
        <v>0</v>
      </c>
      <c r="FI122" s="33">
        <f t="shared" si="28"/>
        <v>0</v>
      </c>
      <c r="FJ122" s="84" t="str">
        <f t="shared" si="29"/>
        <v xml:space="preserve"> </v>
      </c>
    </row>
    <row r="123" spans="1:166" ht="27" x14ac:dyDescent="0.25">
      <c r="A123" s="79" t="e">
        <f>#REF!</f>
        <v>#REF!</v>
      </c>
      <c r="B123" s="75" t="e">
        <f>#REF!</f>
        <v>#REF!</v>
      </c>
      <c r="C123" s="75" t="e">
        <f>#REF!</f>
        <v>#REF!</v>
      </c>
      <c r="D123" s="75" t="e">
        <f>#REF!</f>
        <v>#REF!</v>
      </c>
      <c r="E123" s="30">
        <v>1</v>
      </c>
      <c r="F123" s="238">
        <v>0</v>
      </c>
      <c r="G123" s="241">
        <v>0</v>
      </c>
      <c r="H123" s="249">
        <v>2787194.3580736499</v>
      </c>
      <c r="I123" s="249">
        <v>0</v>
      </c>
      <c r="J123" s="249">
        <v>0</v>
      </c>
      <c r="K123" s="249">
        <v>0</v>
      </c>
      <c r="L123" s="274">
        <f>H123</f>
        <v>2787194.3580736499</v>
      </c>
      <c r="M123" s="274"/>
      <c r="N123" s="245"/>
      <c r="O123" s="113"/>
      <c r="P123" s="113"/>
      <c r="Q123" s="131"/>
      <c r="R123" s="131"/>
      <c r="S123" s="64"/>
      <c r="T123" s="113"/>
      <c r="U123" s="113"/>
      <c r="V123" s="113"/>
      <c r="W123" s="131"/>
      <c r="X123" s="131"/>
      <c r="Y123" s="11"/>
      <c r="Z123" s="113"/>
      <c r="AA123" s="113"/>
      <c r="AB123" s="113"/>
      <c r="AC123" s="52"/>
      <c r="AD123" s="52"/>
      <c r="AE123" s="11"/>
      <c r="AF123" s="118"/>
      <c r="AG123" s="144"/>
      <c r="AH123" s="113"/>
      <c r="AI123" s="11"/>
      <c r="AJ123" s="11"/>
      <c r="AK123" s="39"/>
      <c r="AL123" s="113"/>
      <c r="AM123" s="113"/>
      <c r="AN123" s="117"/>
      <c r="AO123" s="76"/>
      <c r="AP123" s="39"/>
      <c r="AQ123" s="39"/>
      <c r="AR123" s="275">
        <v>1584000</v>
      </c>
      <c r="AS123" s="113">
        <f>+AR123*0.19</f>
        <v>300960</v>
      </c>
      <c r="AT123" s="119">
        <f>+AR123+AS123</f>
        <v>1884960</v>
      </c>
      <c r="AU123" s="62" t="s">
        <v>225</v>
      </c>
      <c r="AV123" s="62" t="s">
        <v>35</v>
      </c>
      <c r="AW123" s="31"/>
      <c r="AX123" s="116"/>
      <c r="AY123" s="194"/>
      <c r="AZ123" s="143"/>
      <c r="BA123" s="191"/>
      <c r="BB123" s="132"/>
      <c r="BC123" s="132"/>
      <c r="BD123" s="274"/>
      <c r="BE123" s="143"/>
      <c r="BF123" s="143"/>
      <c r="BG123" s="132"/>
      <c r="BH123" s="132"/>
      <c r="BI123" s="132"/>
      <c r="BJ123" s="143"/>
      <c r="BK123" s="143"/>
      <c r="BL123" s="143"/>
      <c r="BM123" s="132"/>
      <c r="BN123" s="132"/>
      <c r="BO123" s="132"/>
      <c r="BP123" s="143"/>
      <c r="BQ123" s="132"/>
      <c r="BR123" s="132"/>
      <c r="BS123" s="132"/>
      <c r="BT123" s="132"/>
      <c r="BU123" s="132"/>
      <c r="BV123" s="267">
        <v>3574200</v>
      </c>
      <c r="BW123" s="144">
        <f>BV123*19%</f>
        <v>679098</v>
      </c>
      <c r="BX123" s="113">
        <f>+BV123+BW123</f>
        <v>4253298</v>
      </c>
      <c r="BY123" s="264" t="s">
        <v>226</v>
      </c>
      <c r="BZ123" s="264" t="s">
        <v>37</v>
      </c>
      <c r="CA123" s="132"/>
      <c r="CB123" s="274"/>
      <c r="CC123" s="144"/>
      <c r="CD123" s="274"/>
      <c r="CE123" s="132"/>
      <c r="CF123" s="132"/>
      <c r="CG123" s="36"/>
      <c r="CH123" s="263"/>
      <c r="CI123" s="265"/>
      <c r="CJ123" s="263"/>
      <c r="CK123" s="264"/>
      <c r="CL123" s="264"/>
      <c r="CM123" s="132"/>
      <c r="CN123" s="274"/>
      <c r="CO123" s="144"/>
      <c r="CP123" s="274"/>
      <c r="CQ123" s="132"/>
      <c r="CR123" s="132"/>
      <c r="CS123" s="132"/>
      <c r="CT123" s="144">
        <v>2035000</v>
      </c>
      <c r="CU123" s="144">
        <f>CT123*0.19</f>
        <v>386650</v>
      </c>
      <c r="CV123" s="144">
        <f>+CT123+CU123</f>
        <v>2421650</v>
      </c>
      <c r="CW123" s="132"/>
      <c r="CX123" s="132"/>
      <c r="CY123" s="132"/>
      <c r="CZ123" s="118"/>
      <c r="DA123" s="144"/>
      <c r="DB123" s="118"/>
      <c r="DC123" s="33"/>
      <c r="DD123" s="39"/>
      <c r="DE123" s="11"/>
      <c r="DF123" s="132"/>
      <c r="DG123" s="132"/>
      <c r="DH123" s="132"/>
      <c r="DI123" s="132"/>
      <c r="DJ123" s="132"/>
      <c r="DK123" s="132"/>
      <c r="DL123" s="132"/>
      <c r="DM123" s="132"/>
      <c r="DN123" s="132"/>
      <c r="DO123" s="132"/>
      <c r="DP123" s="132"/>
      <c r="DQ123" s="132"/>
      <c r="DR123" s="132"/>
      <c r="DS123" s="132"/>
      <c r="DT123" s="132"/>
      <c r="DU123" s="132"/>
      <c r="DV123" s="132"/>
      <c r="DW123" s="132"/>
      <c r="DX123" s="132"/>
      <c r="DY123" s="132"/>
      <c r="DZ123" s="132"/>
      <c r="EA123" s="132"/>
      <c r="EB123" s="132"/>
      <c r="EC123" s="132"/>
      <c r="ED123" s="132"/>
      <c r="EE123" s="132"/>
      <c r="EF123" s="132"/>
      <c r="EG123" s="132"/>
      <c r="EH123" s="132"/>
      <c r="EI123" s="132"/>
      <c r="EJ123" s="132"/>
      <c r="EK123" s="132"/>
      <c r="EL123" s="132"/>
      <c r="EM123" s="132"/>
      <c r="EN123" s="132"/>
      <c r="EO123" s="132"/>
      <c r="EP123" s="132"/>
      <c r="EQ123" s="132"/>
      <c r="ER123" s="132"/>
      <c r="ES123" s="132"/>
      <c r="ET123" s="11"/>
      <c r="EU123" s="11"/>
      <c r="EV123" s="11"/>
      <c r="EW123" s="11"/>
      <c r="EX123" s="11"/>
      <c r="EY123" s="11"/>
      <c r="EZ123" s="11"/>
      <c r="FA123" s="11"/>
      <c r="FB123" s="11"/>
      <c r="FC123" s="11"/>
      <c r="FD123" s="11"/>
      <c r="FE123" s="11"/>
      <c r="FF123" s="11"/>
      <c r="FG123" s="11"/>
      <c r="FH123" s="39">
        <f t="shared" si="27"/>
        <v>8559908</v>
      </c>
      <c r="FI123" s="33">
        <f t="shared" si="28"/>
        <v>3</v>
      </c>
      <c r="FJ123" s="84">
        <f t="shared" si="29"/>
        <v>2853302.6666666665</v>
      </c>
    </row>
    <row r="124" spans="1:166" ht="27" x14ac:dyDescent="0.25">
      <c r="A124" s="79" t="e">
        <f>#REF!</f>
        <v>#REF!</v>
      </c>
      <c r="B124" s="75" t="e">
        <f>#REF!</f>
        <v>#REF!</v>
      </c>
      <c r="C124" s="75" t="e">
        <f>#REF!</f>
        <v>#REF!</v>
      </c>
      <c r="D124" s="75" t="e">
        <f>#REF!</f>
        <v>#REF!</v>
      </c>
      <c r="E124" s="30">
        <v>1</v>
      </c>
      <c r="F124" s="238">
        <v>0</v>
      </c>
      <c r="G124" s="241">
        <v>0</v>
      </c>
      <c r="H124" s="249">
        <v>1101979.6666666667</v>
      </c>
      <c r="I124" s="249">
        <v>0</v>
      </c>
      <c r="J124" s="249">
        <v>1178695</v>
      </c>
      <c r="K124" s="249">
        <v>0</v>
      </c>
      <c r="L124" s="274">
        <f>AVERAGE(H124,J124)</f>
        <v>1140337.3333333335</v>
      </c>
      <c r="M124" s="274"/>
      <c r="N124" s="245"/>
      <c r="O124" s="113"/>
      <c r="P124" s="113"/>
      <c r="Q124" s="131"/>
      <c r="R124" s="131"/>
      <c r="S124" s="64"/>
      <c r="T124" s="113"/>
      <c r="U124" s="113"/>
      <c r="V124" s="113"/>
      <c r="W124" s="131"/>
      <c r="X124" s="131"/>
      <c r="Y124" s="11"/>
      <c r="Z124" s="113"/>
      <c r="AA124" s="113"/>
      <c r="AB124" s="113"/>
      <c r="AC124" s="52"/>
      <c r="AD124" s="52"/>
      <c r="AE124" s="11"/>
      <c r="AF124" s="118"/>
      <c r="AG124" s="144"/>
      <c r="AH124" s="113"/>
      <c r="AI124" s="11"/>
      <c r="AJ124" s="11"/>
      <c r="AK124" s="39"/>
      <c r="AL124" s="113"/>
      <c r="AM124" s="113"/>
      <c r="AN124" s="119"/>
      <c r="AO124" s="76"/>
      <c r="AP124" s="39"/>
      <c r="AQ124" s="39"/>
      <c r="AR124" s="275">
        <v>1584000</v>
      </c>
      <c r="AS124" s="113">
        <f>+AR124*0.19</f>
        <v>300960</v>
      </c>
      <c r="AT124" s="119">
        <f>+AR124+AS124</f>
        <v>1884960</v>
      </c>
      <c r="AU124" s="62" t="s">
        <v>225</v>
      </c>
      <c r="AV124" s="62" t="s">
        <v>35</v>
      </c>
      <c r="AW124" s="31"/>
      <c r="AX124" s="116"/>
      <c r="AY124" s="194"/>
      <c r="AZ124" s="143"/>
      <c r="BA124" s="191"/>
      <c r="BB124" s="132"/>
      <c r="BC124" s="132"/>
      <c r="BD124" s="274"/>
      <c r="BE124" s="143"/>
      <c r="BF124" s="143"/>
      <c r="BG124" s="132"/>
      <c r="BH124" s="132"/>
      <c r="BI124" s="132"/>
      <c r="BJ124" s="143"/>
      <c r="BK124" s="143"/>
      <c r="BL124" s="143"/>
      <c r="BM124" s="132"/>
      <c r="BN124" s="132"/>
      <c r="BO124" s="132"/>
      <c r="BP124" s="143"/>
      <c r="BQ124" s="132"/>
      <c r="BR124" s="132"/>
      <c r="BS124" s="132"/>
      <c r="BT124" s="132"/>
      <c r="BU124" s="132"/>
      <c r="BV124" s="267">
        <v>1048807</v>
      </c>
      <c r="BW124" s="144">
        <f>BV124*19%</f>
        <v>199273.33000000002</v>
      </c>
      <c r="BX124" s="113">
        <f>+BV124+BW124</f>
        <v>1248080.33</v>
      </c>
      <c r="BY124" s="264" t="s">
        <v>227</v>
      </c>
      <c r="BZ124" s="264" t="s">
        <v>88</v>
      </c>
      <c r="CA124" s="132"/>
      <c r="CB124" s="274"/>
      <c r="CC124" s="144"/>
      <c r="CD124" s="274"/>
      <c r="CE124" s="132"/>
      <c r="CF124" s="132"/>
      <c r="CG124" s="36"/>
      <c r="CH124" s="263">
        <v>1080271.21</v>
      </c>
      <c r="CI124" s="265">
        <f>+CH124*0.19</f>
        <v>205251.52989999999</v>
      </c>
      <c r="CJ124" s="263">
        <f>+CH124+CI124</f>
        <v>1285522.7398999999</v>
      </c>
      <c r="CK124" s="264" t="s">
        <v>227</v>
      </c>
      <c r="CL124" s="264" t="s">
        <v>88</v>
      </c>
      <c r="CM124" s="132"/>
      <c r="CN124" s="274"/>
      <c r="CO124" s="144"/>
      <c r="CP124" s="274"/>
      <c r="CQ124" s="132"/>
      <c r="CR124" s="132"/>
      <c r="CS124" s="132"/>
      <c r="CT124" s="144">
        <v>407000</v>
      </c>
      <c r="CU124" s="144">
        <f>CT124*0.19</f>
        <v>77330</v>
      </c>
      <c r="CV124" s="144">
        <f>+CT124+CU124</f>
        <v>484330</v>
      </c>
      <c r="CW124" s="132"/>
      <c r="CX124" s="132"/>
      <c r="CY124" s="132"/>
      <c r="CZ124" s="118"/>
      <c r="DA124" s="144"/>
      <c r="DB124" s="118"/>
      <c r="DC124" s="33"/>
      <c r="DD124" s="39"/>
      <c r="DE124" s="11"/>
      <c r="DF124" s="132"/>
      <c r="DG124" s="132"/>
      <c r="DH124" s="132"/>
      <c r="DI124" s="132"/>
      <c r="DJ124" s="132"/>
      <c r="DK124" s="132"/>
      <c r="DL124" s="132"/>
      <c r="DM124" s="132"/>
      <c r="DN124" s="132"/>
      <c r="DO124" s="132"/>
      <c r="DP124" s="132"/>
      <c r="DQ124" s="132"/>
      <c r="DR124" s="132"/>
      <c r="DS124" s="132"/>
      <c r="DT124" s="132"/>
      <c r="DU124" s="132"/>
      <c r="DV124" s="132"/>
      <c r="DW124" s="132"/>
      <c r="DX124" s="132"/>
      <c r="DY124" s="132"/>
      <c r="DZ124" s="132"/>
      <c r="EA124" s="132"/>
      <c r="EB124" s="132"/>
      <c r="EC124" s="132"/>
      <c r="ED124" s="132"/>
      <c r="EE124" s="132"/>
      <c r="EF124" s="132"/>
      <c r="EG124" s="132"/>
      <c r="EH124" s="132"/>
      <c r="EI124" s="132"/>
      <c r="EJ124" s="132"/>
      <c r="EK124" s="132"/>
      <c r="EL124" s="132"/>
      <c r="EM124" s="132"/>
      <c r="EN124" s="132"/>
      <c r="EO124" s="132"/>
      <c r="EP124" s="132"/>
      <c r="EQ124" s="132"/>
      <c r="ER124" s="132"/>
      <c r="ES124" s="132"/>
      <c r="ET124" s="11"/>
      <c r="EU124" s="11"/>
      <c r="EV124" s="11"/>
      <c r="EW124" s="11"/>
      <c r="EX124" s="11"/>
      <c r="EY124" s="11"/>
      <c r="EZ124" s="11"/>
      <c r="FA124" s="11"/>
      <c r="FB124" s="11"/>
      <c r="FC124" s="11"/>
      <c r="FD124" s="11"/>
      <c r="FE124" s="11"/>
      <c r="FF124" s="11"/>
      <c r="FG124" s="11"/>
      <c r="FH124" s="39">
        <f t="shared" si="27"/>
        <v>4902893.0699000005</v>
      </c>
      <c r="FI124" s="33">
        <f t="shared" si="28"/>
        <v>4</v>
      </c>
      <c r="FJ124" s="84">
        <f t="shared" si="29"/>
        <v>1225723.2674750001</v>
      </c>
    </row>
    <row r="125" spans="1:166" ht="25.5" x14ac:dyDescent="0.25">
      <c r="A125" s="79" t="e">
        <f>#REF!</f>
        <v>#REF!</v>
      </c>
      <c r="B125" s="75" t="e">
        <f>#REF!</f>
        <v>#REF!</v>
      </c>
      <c r="C125" s="75" t="e">
        <f>#REF!</f>
        <v>#REF!</v>
      </c>
      <c r="D125" s="75" t="e">
        <f>#REF!</f>
        <v>#REF!</v>
      </c>
      <c r="E125" s="30">
        <v>1</v>
      </c>
      <c r="F125" s="238">
        <v>252101.5</v>
      </c>
      <c r="G125" s="241">
        <v>252042</v>
      </c>
      <c r="H125" s="249">
        <v>0</v>
      </c>
      <c r="I125" s="249">
        <v>0</v>
      </c>
      <c r="J125" s="249">
        <v>256558.05000000002</v>
      </c>
      <c r="K125" s="249">
        <v>253470</v>
      </c>
      <c r="L125" s="274">
        <f>AVERAGE(F125,J125)</f>
        <v>254329.77500000002</v>
      </c>
      <c r="M125" s="274">
        <f>AVERAGE(G125,K125)*E1</f>
        <v>260338.68</v>
      </c>
      <c r="N125" s="245"/>
      <c r="O125" s="113"/>
      <c r="P125" s="113"/>
      <c r="Q125" s="131"/>
      <c r="R125" s="131"/>
      <c r="S125" s="64"/>
      <c r="T125" s="113"/>
      <c r="U125" s="113"/>
      <c r="V125" s="113"/>
      <c r="W125" s="131"/>
      <c r="X125" s="131"/>
      <c r="Y125" s="11"/>
      <c r="Z125" s="113"/>
      <c r="AA125" s="113"/>
      <c r="AB125" s="113"/>
      <c r="AC125" s="52"/>
      <c r="AD125" s="52"/>
      <c r="AE125" s="11"/>
      <c r="AF125" s="118"/>
      <c r="AG125" s="144"/>
      <c r="AH125" s="113"/>
      <c r="AI125" s="11"/>
      <c r="AJ125" s="11"/>
      <c r="AK125" s="39"/>
      <c r="AL125" s="113"/>
      <c r="AM125" s="113"/>
      <c r="AN125" s="117"/>
      <c r="AO125" s="76"/>
      <c r="AP125" s="39"/>
      <c r="AQ125" s="39"/>
      <c r="AR125" s="275">
        <v>208800</v>
      </c>
      <c r="AS125" s="113">
        <f>+AR125*0.19</f>
        <v>39672</v>
      </c>
      <c r="AT125" s="119">
        <f>+AR125+AS125</f>
        <v>248472</v>
      </c>
      <c r="AU125" s="62" t="s">
        <v>228</v>
      </c>
      <c r="AV125" s="62" t="s">
        <v>35</v>
      </c>
      <c r="AW125" s="31"/>
      <c r="AX125" s="116"/>
      <c r="AY125" s="116"/>
      <c r="AZ125" s="143"/>
      <c r="BA125" s="191"/>
      <c r="BB125" s="132"/>
      <c r="BC125" s="132"/>
      <c r="BD125" s="274"/>
      <c r="BE125" s="143"/>
      <c r="BF125" s="143"/>
      <c r="BG125" s="132"/>
      <c r="BH125" s="132"/>
      <c r="BI125" s="132"/>
      <c r="BJ125" s="143"/>
      <c r="BK125" s="143"/>
      <c r="BL125" s="143"/>
      <c r="BM125" s="132"/>
      <c r="BN125" s="132"/>
      <c r="BO125" s="132"/>
      <c r="BP125" s="143"/>
      <c r="BQ125" s="132"/>
      <c r="BR125" s="132"/>
      <c r="BS125" s="132"/>
      <c r="BT125" s="132"/>
      <c r="BU125" s="132"/>
      <c r="BV125" s="267">
        <v>318000</v>
      </c>
      <c r="BW125" s="144">
        <f>BV125*19%</f>
        <v>60420</v>
      </c>
      <c r="BX125" s="113">
        <f>+BV125+BW125</f>
        <v>378420</v>
      </c>
      <c r="BY125" s="264" t="s">
        <v>214</v>
      </c>
      <c r="BZ125" s="264" t="s">
        <v>37</v>
      </c>
      <c r="CA125" s="132"/>
      <c r="CB125" s="274"/>
      <c r="CC125" s="144"/>
      <c r="CD125" s="274"/>
      <c r="CE125" s="132"/>
      <c r="CF125" s="132"/>
      <c r="CG125" s="36"/>
      <c r="CH125" s="263">
        <v>321180</v>
      </c>
      <c r="CI125" s="265">
        <f>+CH125*0.19</f>
        <v>61024.2</v>
      </c>
      <c r="CJ125" s="263">
        <f>+CH125+CI125</f>
        <v>382204.2</v>
      </c>
      <c r="CK125" s="264" t="s">
        <v>214</v>
      </c>
      <c r="CL125" s="264" t="s">
        <v>37</v>
      </c>
      <c r="CM125" s="132"/>
      <c r="CN125" s="274"/>
      <c r="CO125" s="144"/>
      <c r="CP125" s="274"/>
      <c r="CQ125" s="132"/>
      <c r="CR125" s="132"/>
      <c r="CS125" s="132"/>
      <c r="CT125" s="274">
        <v>136000</v>
      </c>
      <c r="CU125" s="144">
        <v>0</v>
      </c>
      <c r="CV125" s="144">
        <f>+CT125+CU125</f>
        <v>136000</v>
      </c>
      <c r="CW125" s="132"/>
      <c r="CX125" s="132"/>
      <c r="CY125" s="132"/>
      <c r="CZ125" s="118"/>
      <c r="DA125" s="144"/>
      <c r="DB125" s="118"/>
      <c r="DC125" s="33"/>
      <c r="DD125" s="39"/>
      <c r="DE125" s="11"/>
      <c r="DF125" s="132"/>
      <c r="DG125" s="132"/>
      <c r="DH125" s="132"/>
      <c r="DI125" s="132"/>
      <c r="DJ125" s="132"/>
      <c r="DK125" s="132"/>
      <c r="DL125" s="132"/>
      <c r="DM125" s="132"/>
      <c r="DN125" s="132"/>
      <c r="DO125" s="132"/>
      <c r="DP125" s="132"/>
      <c r="DQ125" s="132"/>
      <c r="DR125" s="132"/>
      <c r="DS125" s="132"/>
      <c r="DT125" s="132"/>
      <c r="DU125" s="132"/>
      <c r="DV125" s="132"/>
      <c r="DW125" s="132"/>
      <c r="DX125" s="132"/>
      <c r="DY125" s="132"/>
      <c r="DZ125" s="132"/>
      <c r="EA125" s="132"/>
      <c r="EB125" s="132"/>
      <c r="EC125" s="132"/>
      <c r="ED125" s="132"/>
      <c r="EE125" s="132"/>
      <c r="EF125" s="132"/>
      <c r="EG125" s="132"/>
      <c r="EH125" s="132"/>
      <c r="EI125" s="132"/>
      <c r="EJ125" s="132"/>
      <c r="EK125" s="132"/>
      <c r="EL125" s="132"/>
      <c r="EM125" s="132"/>
      <c r="EN125" s="132"/>
      <c r="EO125" s="132"/>
      <c r="EP125" s="132"/>
      <c r="EQ125" s="132"/>
      <c r="ER125" s="132"/>
      <c r="ES125" s="132"/>
      <c r="ET125" s="11"/>
      <c r="EU125" s="11"/>
      <c r="EV125" s="11"/>
      <c r="EW125" s="11"/>
      <c r="EX125" s="11"/>
      <c r="EY125" s="11"/>
      <c r="EZ125" s="11"/>
      <c r="FA125" s="11"/>
      <c r="FB125" s="11"/>
      <c r="FC125" s="11"/>
      <c r="FD125" s="11"/>
      <c r="FE125" s="11"/>
      <c r="FF125" s="11"/>
      <c r="FG125" s="11"/>
      <c r="FH125" s="39">
        <f t="shared" si="27"/>
        <v>1405434.8799999999</v>
      </c>
      <c r="FI125" s="33">
        <f t="shared" si="28"/>
        <v>5</v>
      </c>
      <c r="FJ125" s="84">
        <f t="shared" si="29"/>
        <v>281086.97599999997</v>
      </c>
    </row>
    <row r="126" spans="1:166" ht="13.5" x14ac:dyDescent="0.25">
      <c r="A126" s="79" t="e">
        <f>#REF!</f>
        <v>#REF!</v>
      </c>
      <c r="B126" s="75" t="e">
        <f>#REF!</f>
        <v>#REF!</v>
      </c>
      <c r="C126" s="75" t="e">
        <f>#REF!</f>
        <v>#REF!</v>
      </c>
      <c r="D126" s="75" t="e">
        <f>#REF!</f>
        <v>#REF!</v>
      </c>
      <c r="E126" s="30">
        <v>1</v>
      </c>
      <c r="F126" s="238">
        <v>172952.22</v>
      </c>
      <c r="G126" s="241">
        <v>167671</v>
      </c>
      <c r="H126" s="249">
        <v>140829.10901622224</v>
      </c>
      <c r="I126" s="249">
        <v>140777</v>
      </c>
      <c r="J126" s="249">
        <v>130956.16672043012</v>
      </c>
      <c r="K126" s="249">
        <v>128282</v>
      </c>
      <c r="L126" s="274">
        <f>AVERAGE(F126,H126,J126)</f>
        <v>148245.83191221746</v>
      </c>
      <c r="M126" s="274">
        <f>AVERAGE(G126,I126,K126)*E1</f>
        <v>149943.96666666667</v>
      </c>
      <c r="N126" s="245"/>
      <c r="O126" s="113"/>
      <c r="P126" s="113"/>
      <c r="Q126" s="131"/>
      <c r="R126" s="131"/>
      <c r="S126" s="64"/>
      <c r="T126" s="113"/>
      <c r="U126" s="117"/>
      <c r="V126" s="113"/>
      <c r="W126" s="131"/>
      <c r="X126" s="131"/>
      <c r="Y126" s="11"/>
      <c r="Z126" s="113"/>
      <c r="AA126" s="113"/>
      <c r="AB126" s="113"/>
      <c r="AC126" s="52"/>
      <c r="AD126" s="52"/>
      <c r="AE126" s="11"/>
      <c r="AF126" s="118">
        <v>130000</v>
      </c>
      <c r="AG126" s="144">
        <f>AF126*19%</f>
        <v>24700</v>
      </c>
      <c r="AH126" s="113">
        <f>+AF126+AG126</f>
        <v>154700</v>
      </c>
      <c r="AI126" s="11"/>
      <c r="AJ126" s="11"/>
      <c r="AK126" s="39"/>
      <c r="AL126" s="113">
        <v>106000</v>
      </c>
      <c r="AM126" s="113">
        <f>+AL126*0.19</f>
        <v>20140</v>
      </c>
      <c r="AN126" s="119">
        <f>+AL126+AM126</f>
        <v>126140</v>
      </c>
      <c r="AO126" s="76" t="s">
        <v>95</v>
      </c>
      <c r="AP126" s="266" t="s">
        <v>45</v>
      </c>
      <c r="AQ126" s="39"/>
      <c r="AR126" s="275">
        <v>103564</v>
      </c>
      <c r="AS126" s="113">
        <f>+AR126*0.19</f>
        <v>19677.16</v>
      </c>
      <c r="AT126" s="119">
        <f>+AR126+AS126</f>
        <v>123241.16</v>
      </c>
      <c r="AU126" s="62" t="s">
        <v>95</v>
      </c>
      <c r="AV126" s="62" t="s">
        <v>45</v>
      </c>
      <c r="AW126" s="31"/>
      <c r="AX126" s="116"/>
      <c r="AY126" s="116"/>
      <c r="AZ126" s="143"/>
      <c r="BA126" s="191"/>
      <c r="BB126" s="132"/>
      <c r="BC126" s="132"/>
      <c r="BD126" s="274"/>
      <c r="BE126" s="143"/>
      <c r="BF126" s="143"/>
      <c r="BG126" s="132"/>
      <c r="BH126" s="132"/>
      <c r="BI126" s="132"/>
      <c r="BJ126" s="143"/>
      <c r="BK126" s="143"/>
      <c r="BL126" s="143"/>
      <c r="BM126" s="132"/>
      <c r="BN126" s="132"/>
      <c r="BO126" s="132"/>
      <c r="BP126" s="143"/>
      <c r="BQ126" s="132"/>
      <c r="BR126" s="132"/>
      <c r="BS126" s="132"/>
      <c r="BT126" s="132"/>
      <c r="BU126" s="132"/>
      <c r="BV126" s="267">
        <v>180800</v>
      </c>
      <c r="BW126" s="144">
        <f>BV126*19%</f>
        <v>34352</v>
      </c>
      <c r="BX126" s="113">
        <f>+BV126+BW126</f>
        <v>215152</v>
      </c>
      <c r="BY126" s="264" t="s">
        <v>229</v>
      </c>
      <c r="BZ126" s="264" t="s">
        <v>230</v>
      </c>
      <c r="CA126" s="132"/>
      <c r="CB126" s="274"/>
      <c r="CC126" s="144"/>
      <c r="CD126" s="274"/>
      <c r="CE126" s="132"/>
      <c r="CF126" s="132"/>
      <c r="CG126" s="36"/>
      <c r="CH126" s="263">
        <v>191648</v>
      </c>
      <c r="CI126" s="265">
        <f>+CH126*0.19</f>
        <v>36413.120000000003</v>
      </c>
      <c r="CJ126" s="263">
        <f>+CH126+CI126</f>
        <v>228061.12</v>
      </c>
      <c r="CK126" s="264" t="s">
        <v>229</v>
      </c>
      <c r="CL126" s="264" t="s">
        <v>230</v>
      </c>
      <c r="CM126" s="132"/>
      <c r="CN126" s="274"/>
      <c r="CO126" s="144"/>
      <c r="CP126" s="274"/>
      <c r="CQ126" s="132"/>
      <c r="CR126" s="132"/>
      <c r="CS126" s="132"/>
      <c r="CT126" s="144"/>
      <c r="CU126" s="144"/>
      <c r="CV126" s="144"/>
      <c r="CW126" s="132"/>
      <c r="CX126" s="132"/>
      <c r="CY126" s="132"/>
      <c r="CZ126" s="118">
        <v>75034</v>
      </c>
      <c r="DA126" s="144">
        <f>+CZ126*0.19</f>
        <v>14256.460000000001</v>
      </c>
      <c r="DB126" s="118">
        <f>+CZ126+DA126</f>
        <v>89290.46</v>
      </c>
      <c r="DC126" s="33" t="s">
        <v>96</v>
      </c>
      <c r="DD126" s="39" t="s">
        <v>58</v>
      </c>
      <c r="DE126" s="11">
        <v>1063291000</v>
      </c>
      <c r="DF126" s="132"/>
      <c r="DG126" s="132"/>
      <c r="DH126" s="132"/>
      <c r="DI126" s="132"/>
      <c r="DJ126" s="132"/>
      <c r="DK126" s="132"/>
      <c r="DL126" s="132"/>
      <c r="DM126" s="132"/>
      <c r="DN126" s="132"/>
      <c r="DO126" s="132"/>
      <c r="DP126" s="132"/>
      <c r="DQ126" s="132"/>
      <c r="DR126" s="132"/>
      <c r="DS126" s="132"/>
      <c r="DT126" s="132"/>
      <c r="DU126" s="132"/>
      <c r="DV126" s="132"/>
      <c r="DW126" s="132"/>
      <c r="DX126" s="132"/>
      <c r="DY126" s="132"/>
      <c r="DZ126" s="132"/>
      <c r="EA126" s="132"/>
      <c r="EB126" s="132"/>
      <c r="EC126" s="132"/>
      <c r="ED126" s="132"/>
      <c r="EE126" s="132"/>
      <c r="EF126" s="132"/>
      <c r="EG126" s="132"/>
      <c r="EH126" s="132"/>
      <c r="EI126" s="132"/>
      <c r="EJ126" s="132"/>
      <c r="EK126" s="132"/>
      <c r="EL126" s="132"/>
      <c r="EM126" s="132"/>
      <c r="EN126" s="132"/>
      <c r="EO126" s="132"/>
      <c r="EP126" s="132"/>
      <c r="EQ126" s="132"/>
      <c r="ER126" s="132"/>
      <c r="ES126" s="132"/>
      <c r="ET126" s="11"/>
      <c r="EU126" s="11"/>
      <c r="EV126" s="11"/>
      <c r="EW126" s="11"/>
      <c r="EX126" s="11"/>
      <c r="EY126" s="11"/>
      <c r="EZ126" s="11"/>
      <c r="FA126" s="11"/>
      <c r="FB126" s="11"/>
      <c r="FC126" s="11"/>
      <c r="FD126" s="11"/>
      <c r="FE126" s="11"/>
      <c r="FF126" s="11"/>
      <c r="FG126" s="11"/>
      <c r="FH126" s="39">
        <f t="shared" si="27"/>
        <v>1086528.7066666668</v>
      </c>
      <c r="FI126" s="33">
        <f t="shared" si="28"/>
        <v>7</v>
      </c>
      <c r="FJ126" s="84">
        <f t="shared" si="29"/>
        <v>155218.38666666669</v>
      </c>
    </row>
    <row r="127" spans="1:166" ht="25.5" x14ac:dyDescent="0.25">
      <c r="A127" s="79" t="e">
        <f>#REF!</f>
        <v>#REF!</v>
      </c>
      <c r="B127" s="75" t="e">
        <f>#REF!</f>
        <v>#REF!</v>
      </c>
      <c r="C127" s="75" t="e">
        <f>#REF!</f>
        <v>#REF!</v>
      </c>
      <c r="D127" s="75" t="e">
        <f>#REF!</f>
        <v>#REF!</v>
      </c>
      <c r="E127" s="30">
        <v>1</v>
      </c>
      <c r="F127" s="238">
        <v>0</v>
      </c>
      <c r="G127" s="241">
        <v>0</v>
      </c>
      <c r="H127" s="249">
        <v>457199.92163580004</v>
      </c>
      <c r="I127" s="249">
        <v>0</v>
      </c>
      <c r="J127" s="249">
        <v>641906.82499999995</v>
      </c>
      <c r="K127" s="249">
        <v>0</v>
      </c>
      <c r="L127" s="274">
        <f>AVERAGE(H127,J127)</f>
        <v>549553.3733179</v>
      </c>
      <c r="M127" s="274"/>
      <c r="N127" s="245"/>
      <c r="O127" s="113"/>
      <c r="P127" s="113"/>
      <c r="Q127" s="131"/>
      <c r="R127" s="131"/>
      <c r="S127" s="64"/>
      <c r="T127" s="113"/>
      <c r="U127" s="113"/>
      <c r="V127" s="113"/>
      <c r="W127" s="131"/>
      <c r="X127" s="131"/>
      <c r="Y127" s="11"/>
      <c r="Z127" s="113"/>
      <c r="AA127" s="113"/>
      <c r="AB127" s="113"/>
      <c r="AC127" s="52"/>
      <c r="AD127" s="52"/>
      <c r="AE127" s="11"/>
      <c r="AF127" s="118"/>
      <c r="AG127" s="144"/>
      <c r="AH127" s="113"/>
      <c r="AI127" s="11"/>
      <c r="AJ127" s="11"/>
      <c r="AK127" s="39"/>
      <c r="AL127" s="113"/>
      <c r="AM127" s="113"/>
      <c r="AN127" s="147"/>
      <c r="AO127" s="76"/>
      <c r="AP127" s="39"/>
      <c r="AQ127" s="39"/>
      <c r="AR127" s="275">
        <v>151200</v>
      </c>
      <c r="AS127" s="113">
        <f>+AR127*0.19</f>
        <v>28728</v>
      </c>
      <c r="AT127" s="119">
        <f>+AR127+AS127</f>
        <v>179928</v>
      </c>
      <c r="AU127" s="62" t="s">
        <v>34</v>
      </c>
      <c r="AV127" s="62" t="s">
        <v>35</v>
      </c>
      <c r="AW127" s="31"/>
      <c r="AX127" s="116"/>
      <c r="AY127" s="116"/>
      <c r="AZ127" s="143"/>
      <c r="BA127" s="191"/>
      <c r="BB127" s="132"/>
      <c r="BC127" s="132"/>
      <c r="BD127" s="274"/>
      <c r="BE127" s="143"/>
      <c r="BF127" s="143"/>
      <c r="BG127" s="132"/>
      <c r="BH127" s="132"/>
      <c r="BI127" s="132"/>
      <c r="BJ127" s="143"/>
      <c r="BK127" s="143"/>
      <c r="BL127" s="143"/>
      <c r="BM127" s="132"/>
      <c r="BN127" s="132"/>
      <c r="BO127" s="132"/>
      <c r="BP127" s="143"/>
      <c r="BQ127" s="132"/>
      <c r="BR127" s="132"/>
      <c r="BS127" s="132"/>
      <c r="BT127" s="132"/>
      <c r="BU127" s="132"/>
      <c r="BV127" s="267">
        <v>350000</v>
      </c>
      <c r="BW127" s="144">
        <f>BV127*19%</f>
        <v>66500</v>
      </c>
      <c r="BX127" s="113">
        <f>+BV127+BW127</f>
        <v>416500</v>
      </c>
      <c r="BY127" s="264" t="s">
        <v>100</v>
      </c>
      <c r="BZ127" s="264" t="s">
        <v>37</v>
      </c>
      <c r="CA127" s="132"/>
      <c r="CB127" s="274"/>
      <c r="CC127" s="144"/>
      <c r="CD127" s="274"/>
      <c r="CE127" s="132"/>
      <c r="CF127" s="132"/>
      <c r="CG127" s="36"/>
      <c r="CH127" s="263">
        <v>364000</v>
      </c>
      <c r="CI127" s="265">
        <f>+CH127*0.19</f>
        <v>69160</v>
      </c>
      <c r="CJ127" s="263">
        <f>+CH127+CI127</f>
        <v>433160</v>
      </c>
      <c r="CK127" s="264" t="s">
        <v>100</v>
      </c>
      <c r="CL127" s="264" t="s">
        <v>37</v>
      </c>
      <c r="CM127" s="132"/>
      <c r="CN127" s="274"/>
      <c r="CO127" s="144"/>
      <c r="CP127" s="274"/>
      <c r="CQ127" s="132"/>
      <c r="CR127" s="132"/>
      <c r="CS127" s="132"/>
      <c r="CT127" s="274">
        <v>538000</v>
      </c>
      <c r="CU127" s="144">
        <v>0</v>
      </c>
      <c r="CV127" s="144">
        <f>+CT127+CU127</f>
        <v>538000</v>
      </c>
      <c r="CW127" s="132"/>
      <c r="CX127" s="132"/>
      <c r="CY127" s="132"/>
      <c r="CZ127" s="118"/>
      <c r="DA127" s="144"/>
      <c r="DB127" s="118"/>
      <c r="DC127" s="33"/>
      <c r="DD127" s="39"/>
      <c r="DE127" s="11"/>
      <c r="DF127" s="132"/>
      <c r="DG127" s="132"/>
      <c r="DH127" s="132"/>
      <c r="DI127" s="132"/>
      <c r="DJ127" s="132"/>
      <c r="DK127" s="132"/>
      <c r="DL127" s="132"/>
      <c r="DM127" s="132"/>
      <c r="DN127" s="132"/>
      <c r="DO127" s="132"/>
      <c r="DP127" s="132"/>
      <c r="DQ127" s="132"/>
      <c r="DR127" s="132"/>
      <c r="DS127" s="132"/>
      <c r="DT127" s="132"/>
      <c r="DU127" s="132"/>
      <c r="DV127" s="132"/>
      <c r="DW127" s="132"/>
      <c r="DX127" s="132"/>
      <c r="DY127" s="132"/>
      <c r="DZ127" s="132"/>
      <c r="EA127" s="132"/>
      <c r="EB127" s="132"/>
      <c r="EC127" s="132"/>
      <c r="ED127" s="132"/>
      <c r="EE127" s="132"/>
      <c r="EF127" s="132"/>
      <c r="EG127" s="132"/>
      <c r="EH127" s="132"/>
      <c r="EI127" s="132"/>
      <c r="EJ127" s="132"/>
      <c r="EK127" s="132"/>
      <c r="EL127" s="132"/>
      <c r="EM127" s="132"/>
      <c r="EN127" s="132"/>
      <c r="EO127" s="132"/>
      <c r="EP127" s="132"/>
      <c r="EQ127" s="132"/>
      <c r="ER127" s="132"/>
      <c r="ES127" s="132"/>
      <c r="ET127" s="11"/>
      <c r="EU127" s="11"/>
      <c r="EV127" s="11"/>
      <c r="EW127" s="11"/>
      <c r="EX127" s="11"/>
      <c r="EY127" s="11"/>
      <c r="EZ127" s="11"/>
      <c r="FA127" s="11"/>
      <c r="FB127" s="11"/>
      <c r="FC127" s="11"/>
      <c r="FD127" s="11"/>
      <c r="FE127" s="11"/>
      <c r="FF127" s="11"/>
      <c r="FG127" s="11"/>
      <c r="FH127" s="39">
        <f t="shared" si="27"/>
        <v>1567588</v>
      </c>
      <c r="FI127" s="33">
        <f t="shared" si="28"/>
        <v>4</v>
      </c>
      <c r="FJ127" s="84">
        <f t="shared" si="29"/>
        <v>391897</v>
      </c>
    </row>
    <row r="128" spans="1:166" x14ac:dyDescent="0.25">
      <c r="A128" s="79" t="e">
        <f>#REF!</f>
        <v>#REF!</v>
      </c>
      <c r="B128" s="75" t="e">
        <f>#REF!</f>
        <v>#REF!</v>
      </c>
      <c r="C128" s="75" t="e">
        <f>#REF!</f>
        <v>#REF!</v>
      </c>
      <c r="D128" s="75" t="e">
        <f>#REF!</f>
        <v>#REF!</v>
      </c>
      <c r="E128" s="30">
        <v>1</v>
      </c>
      <c r="F128" s="238">
        <v>0</v>
      </c>
      <c r="G128" s="241">
        <v>0</v>
      </c>
      <c r="H128" s="249">
        <v>3570000</v>
      </c>
      <c r="I128" s="249">
        <v>0</v>
      </c>
      <c r="J128" s="249">
        <v>0</v>
      </c>
      <c r="K128" s="249">
        <v>0</v>
      </c>
      <c r="L128" s="274">
        <f>H128</f>
        <v>3570000</v>
      </c>
      <c r="M128" s="274"/>
      <c r="N128" s="245"/>
      <c r="O128" s="113"/>
      <c r="P128" s="113"/>
      <c r="Q128" s="131"/>
      <c r="R128" s="131"/>
      <c r="S128" s="64"/>
      <c r="T128" s="113"/>
      <c r="U128" s="113"/>
      <c r="V128" s="113"/>
      <c r="W128" s="131"/>
      <c r="X128" s="131"/>
      <c r="Y128" s="11"/>
      <c r="Z128" s="113"/>
      <c r="AA128" s="113"/>
      <c r="AB128" s="113"/>
      <c r="AC128" s="52"/>
      <c r="AD128" s="52"/>
      <c r="AE128" s="11"/>
      <c r="AF128" s="113"/>
      <c r="AG128" s="144"/>
      <c r="AH128" s="113"/>
      <c r="AI128" s="11"/>
      <c r="AJ128" s="11"/>
      <c r="AK128" s="39"/>
      <c r="AL128" s="113"/>
      <c r="AM128" s="113"/>
      <c r="AN128" s="117"/>
      <c r="AO128" s="76"/>
      <c r="AP128" s="39"/>
      <c r="AQ128" s="39"/>
      <c r="AR128" s="275"/>
      <c r="AS128" s="156"/>
      <c r="AT128" s="157"/>
      <c r="AU128" s="62"/>
      <c r="AV128" s="62"/>
      <c r="AW128" s="31"/>
      <c r="AX128" s="116"/>
      <c r="AY128" s="196"/>
      <c r="AZ128" s="143"/>
      <c r="BA128" s="191"/>
      <c r="BB128" s="132"/>
      <c r="BC128" s="132"/>
      <c r="BD128" s="275"/>
      <c r="BE128" s="143"/>
      <c r="BF128" s="143"/>
      <c r="BG128" s="132"/>
      <c r="BH128" s="132"/>
      <c r="BI128" s="132"/>
      <c r="BJ128" s="143"/>
      <c r="BK128" s="143"/>
      <c r="BL128" s="143"/>
      <c r="BM128" s="132"/>
      <c r="BN128" s="132"/>
      <c r="BO128" s="132"/>
      <c r="BP128" s="143"/>
      <c r="BQ128" s="132"/>
      <c r="BR128" s="132"/>
      <c r="BS128" s="132"/>
      <c r="BT128" s="132"/>
      <c r="BU128" s="132"/>
      <c r="BV128" s="211"/>
      <c r="BW128" s="144"/>
      <c r="BX128" s="113"/>
      <c r="BY128" s="273"/>
      <c r="BZ128" s="273"/>
      <c r="CA128" s="132"/>
      <c r="CB128" s="275"/>
      <c r="CC128" s="143"/>
      <c r="CD128" s="275"/>
      <c r="CE128" s="132"/>
      <c r="CF128" s="132"/>
      <c r="CG128" s="36"/>
      <c r="CH128" s="210"/>
      <c r="CI128" s="219"/>
      <c r="CJ128" s="210"/>
      <c r="CK128" s="273"/>
      <c r="CL128" s="273"/>
      <c r="CM128" s="132"/>
      <c r="CN128" s="275"/>
      <c r="CO128" s="143"/>
      <c r="CP128" s="275"/>
      <c r="CQ128" s="132"/>
      <c r="CR128" s="132"/>
      <c r="CS128" s="132"/>
      <c r="CT128" s="275">
        <v>244000</v>
      </c>
      <c r="CU128" s="143">
        <v>0</v>
      </c>
      <c r="CV128" s="144">
        <f>+CT128+CU128</f>
        <v>244000</v>
      </c>
      <c r="CW128" s="132"/>
      <c r="CX128" s="132"/>
      <c r="CY128" s="132"/>
      <c r="CZ128" s="113"/>
      <c r="DA128" s="143"/>
      <c r="DB128" s="113"/>
      <c r="DC128" s="33"/>
      <c r="DD128" s="39"/>
      <c r="DE128" s="11"/>
      <c r="DF128" s="132"/>
      <c r="DG128" s="132"/>
      <c r="DH128" s="132"/>
      <c r="DI128" s="132"/>
      <c r="DJ128" s="132"/>
      <c r="DK128" s="132"/>
      <c r="DL128" s="132"/>
      <c r="DM128" s="132"/>
      <c r="DN128" s="132"/>
      <c r="DO128" s="132"/>
      <c r="DP128" s="132"/>
      <c r="DQ128" s="132"/>
      <c r="DR128" s="132"/>
      <c r="DS128" s="132"/>
      <c r="DT128" s="132"/>
      <c r="DU128" s="132"/>
      <c r="DV128" s="132"/>
      <c r="DW128" s="132"/>
      <c r="DX128" s="132"/>
      <c r="DY128" s="132"/>
      <c r="DZ128" s="132"/>
      <c r="EA128" s="132"/>
      <c r="EB128" s="132"/>
      <c r="EC128" s="132"/>
      <c r="ED128" s="132"/>
      <c r="EE128" s="132"/>
      <c r="EF128" s="132"/>
      <c r="EG128" s="132"/>
      <c r="EH128" s="132"/>
      <c r="EI128" s="132"/>
      <c r="EJ128" s="132"/>
      <c r="EK128" s="132"/>
      <c r="EL128" s="132"/>
      <c r="EM128" s="132"/>
      <c r="EN128" s="132"/>
      <c r="EO128" s="132"/>
      <c r="EP128" s="132"/>
      <c r="EQ128" s="132"/>
      <c r="ER128" s="132"/>
      <c r="ES128" s="132"/>
      <c r="ET128" s="11"/>
      <c r="EU128" s="11"/>
      <c r="EV128" s="11"/>
      <c r="EW128" s="11"/>
      <c r="EX128" s="11"/>
      <c r="EY128" s="11"/>
      <c r="EZ128" s="11"/>
      <c r="FA128" s="11"/>
      <c r="FB128" s="11"/>
      <c r="FC128" s="11"/>
      <c r="FD128" s="11"/>
      <c r="FE128" s="11"/>
      <c r="FF128" s="11"/>
      <c r="FG128" s="11"/>
      <c r="FH128" s="39">
        <f t="shared" si="27"/>
        <v>244000</v>
      </c>
      <c r="FI128" s="33">
        <f t="shared" si="28"/>
        <v>1</v>
      </c>
      <c r="FJ128" s="84">
        <f t="shared" si="29"/>
        <v>244000</v>
      </c>
    </row>
    <row r="129" spans="1:166" x14ac:dyDescent="0.25">
      <c r="A129" s="79" t="e">
        <f>#REF!</f>
        <v>#REF!</v>
      </c>
      <c r="B129" s="75" t="e">
        <f>#REF!</f>
        <v>#REF!</v>
      </c>
      <c r="C129" s="75" t="e">
        <f>#REF!</f>
        <v>#REF!</v>
      </c>
      <c r="D129" s="75" t="e">
        <f>#REF!</f>
        <v>#REF!</v>
      </c>
      <c r="E129" s="30">
        <v>1</v>
      </c>
      <c r="F129" s="238">
        <v>0</v>
      </c>
      <c r="G129" s="241">
        <v>0</v>
      </c>
      <c r="H129" s="249">
        <v>0</v>
      </c>
      <c r="I129" s="249">
        <v>0</v>
      </c>
      <c r="J129" s="249">
        <v>1893345.93</v>
      </c>
      <c r="K129" s="249">
        <v>0</v>
      </c>
      <c r="L129" s="274">
        <f>J129</f>
        <v>1893345.93</v>
      </c>
      <c r="M129" s="274"/>
      <c r="N129" s="245"/>
      <c r="O129" s="113"/>
      <c r="P129" s="113"/>
      <c r="Q129" s="131"/>
      <c r="R129" s="131"/>
      <c r="S129" s="64"/>
      <c r="T129" s="113"/>
      <c r="U129" s="113"/>
      <c r="V129" s="113"/>
      <c r="W129" s="131"/>
      <c r="X129" s="131"/>
      <c r="Y129" s="11"/>
      <c r="Z129" s="113"/>
      <c r="AA129" s="113"/>
      <c r="AB129" s="113"/>
      <c r="AC129" s="52"/>
      <c r="AD129" s="52"/>
      <c r="AE129" s="11"/>
      <c r="AF129" s="118"/>
      <c r="AG129" s="144"/>
      <c r="AH129" s="113"/>
      <c r="AI129" s="11"/>
      <c r="AJ129" s="11"/>
      <c r="AK129" s="39"/>
      <c r="AL129" s="113"/>
      <c r="AM129" s="113"/>
      <c r="AN129" s="119"/>
      <c r="AO129" s="76"/>
      <c r="AP129" s="39"/>
      <c r="AQ129" s="39"/>
      <c r="AR129" s="275"/>
      <c r="AS129" s="155"/>
      <c r="AT129" s="143"/>
      <c r="AU129" s="62"/>
      <c r="AV129" s="62"/>
      <c r="AW129" s="31"/>
      <c r="AX129" s="116"/>
      <c r="AY129" s="196"/>
      <c r="AZ129" s="143"/>
      <c r="BA129" s="191"/>
      <c r="BB129" s="132"/>
      <c r="BC129" s="132"/>
      <c r="BD129" s="274"/>
      <c r="BE129" s="143"/>
      <c r="BF129" s="143"/>
      <c r="BG129" s="132"/>
      <c r="BH129" s="132"/>
      <c r="BI129" s="132"/>
      <c r="BJ129" s="143"/>
      <c r="BK129" s="143"/>
      <c r="BL129" s="143"/>
      <c r="BM129" s="132"/>
      <c r="BN129" s="132"/>
      <c r="BO129" s="132"/>
      <c r="BP129" s="143"/>
      <c r="BQ129" s="132"/>
      <c r="BR129" s="132"/>
      <c r="BS129" s="132"/>
      <c r="BT129" s="132"/>
      <c r="BU129" s="132"/>
      <c r="BV129" s="211"/>
      <c r="BW129" s="144"/>
      <c r="BX129" s="113"/>
      <c r="BY129" s="273"/>
      <c r="BZ129" s="273"/>
      <c r="CA129" s="132"/>
      <c r="CB129" s="274"/>
      <c r="CC129" s="144"/>
      <c r="CD129" s="274"/>
      <c r="CE129" s="132"/>
      <c r="CF129" s="132"/>
      <c r="CG129" s="36"/>
      <c r="CH129" s="210"/>
      <c r="CI129" s="219"/>
      <c r="CJ129" s="210"/>
      <c r="CK129" s="273"/>
      <c r="CL129" s="273"/>
      <c r="CM129" s="132"/>
      <c r="CN129" s="274">
        <v>1711042</v>
      </c>
      <c r="CO129" s="144">
        <f>+CN129*0.19</f>
        <v>325097.98</v>
      </c>
      <c r="CP129" s="274">
        <f>+CO129+CN129</f>
        <v>2036139.98</v>
      </c>
      <c r="CQ129" s="132"/>
      <c r="CR129" s="132"/>
      <c r="CS129" s="132"/>
      <c r="CT129" s="274">
        <v>444000</v>
      </c>
      <c r="CU129" s="143">
        <v>0</v>
      </c>
      <c r="CV129" s="144">
        <f>+CT129+CU129</f>
        <v>444000</v>
      </c>
      <c r="CW129" s="132"/>
      <c r="CX129" s="132"/>
      <c r="CY129" s="132"/>
      <c r="CZ129" s="118"/>
      <c r="DA129" s="144"/>
      <c r="DB129" s="118"/>
      <c r="DC129" s="33"/>
      <c r="DD129" s="39"/>
      <c r="DE129" s="11"/>
      <c r="DF129" s="132"/>
      <c r="DG129" s="132"/>
      <c r="DH129" s="132"/>
      <c r="DI129" s="132"/>
      <c r="DJ129" s="132"/>
      <c r="DK129" s="132"/>
      <c r="DL129" s="132"/>
      <c r="DM129" s="132"/>
      <c r="DN129" s="132"/>
      <c r="DO129" s="132"/>
      <c r="DP129" s="132"/>
      <c r="DQ129" s="132"/>
      <c r="DR129" s="132"/>
      <c r="DS129" s="132"/>
      <c r="DT129" s="132"/>
      <c r="DU129" s="132"/>
      <c r="DV129" s="132"/>
      <c r="DW129" s="37"/>
      <c r="DX129" s="37"/>
      <c r="DY129" s="38"/>
      <c r="DZ129" s="132"/>
      <c r="EA129" s="132"/>
      <c r="EB129" s="132"/>
      <c r="EC129" s="132"/>
      <c r="ED129" s="132"/>
      <c r="EE129" s="132"/>
      <c r="EF129" s="132"/>
      <c r="EG129" s="132"/>
      <c r="EH129" s="132"/>
      <c r="EI129" s="132"/>
      <c r="EJ129" s="132"/>
      <c r="EK129" s="132"/>
      <c r="EL129" s="132"/>
      <c r="EM129" s="132"/>
      <c r="EN129" s="132"/>
      <c r="EO129" s="132"/>
      <c r="EP129" s="132"/>
      <c r="EQ129" s="132"/>
      <c r="ER129" s="132"/>
      <c r="ES129" s="132"/>
      <c r="ET129" s="11"/>
      <c r="EU129" s="11"/>
      <c r="EV129" s="11"/>
      <c r="EW129" s="11"/>
      <c r="EX129" s="11"/>
      <c r="EY129" s="11"/>
      <c r="EZ129" s="11"/>
      <c r="FA129" s="11"/>
      <c r="FB129" s="11"/>
      <c r="FC129" s="11"/>
      <c r="FD129" s="11"/>
      <c r="FE129" s="11"/>
      <c r="FF129" s="11"/>
      <c r="FG129" s="11"/>
      <c r="FH129" s="39">
        <f t="shared" si="27"/>
        <v>2480139.98</v>
      </c>
      <c r="FI129" s="33">
        <f t="shared" si="28"/>
        <v>2</v>
      </c>
      <c r="FJ129" s="84">
        <f t="shared" si="29"/>
        <v>1240069.99</v>
      </c>
    </row>
    <row r="130" spans="1:166" x14ac:dyDescent="0.25">
      <c r="A130" s="79" t="e">
        <f>#REF!</f>
        <v>#REF!</v>
      </c>
      <c r="B130" s="75" t="e">
        <f>#REF!</f>
        <v>#REF!</v>
      </c>
      <c r="C130" s="75" t="e">
        <f>#REF!</f>
        <v>#REF!</v>
      </c>
      <c r="D130" s="75" t="e">
        <f>#REF!</f>
        <v>#REF!</v>
      </c>
      <c r="E130" s="30">
        <v>1</v>
      </c>
      <c r="F130" s="238">
        <v>0</v>
      </c>
      <c r="G130" s="241">
        <v>0</v>
      </c>
      <c r="H130" s="249">
        <v>0</v>
      </c>
      <c r="I130" s="249">
        <v>0</v>
      </c>
      <c r="J130" s="249">
        <v>2863724</v>
      </c>
      <c r="K130" s="249">
        <v>0</v>
      </c>
      <c r="L130" s="274">
        <f>J130</f>
        <v>2863724</v>
      </c>
      <c r="M130" s="274"/>
      <c r="N130" s="245"/>
      <c r="O130" s="113"/>
      <c r="P130" s="113"/>
      <c r="Q130" s="114"/>
      <c r="R130" s="114"/>
      <c r="S130" s="126"/>
      <c r="T130" s="113"/>
      <c r="U130" s="113"/>
      <c r="V130" s="113"/>
      <c r="W130" s="9"/>
      <c r="X130" s="9"/>
      <c r="Y130" s="11"/>
      <c r="Z130" s="113"/>
      <c r="AA130" s="113"/>
      <c r="AB130" s="113"/>
      <c r="AC130" s="52"/>
      <c r="AD130" s="52"/>
      <c r="AE130" s="11"/>
      <c r="AF130" s="118"/>
      <c r="AG130" s="144"/>
      <c r="AH130" s="113"/>
      <c r="AI130" s="11"/>
      <c r="AJ130" s="11"/>
      <c r="AK130" s="11"/>
      <c r="AL130" s="113"/>
      <c r="AM130" s="113"/>
      <c r="AN130" s="113"/>
      <c r="AO130" s="76"/>
      <c r="AP130" s="11"/>
      <c r="AQ130" s="11"/>
      <c r="AR130" s="275"/>
      <c r="AS130" s="275"/>
      <c r="AT130" s="275"/>
      <c r="AU130" s="62"/>
      <c r="AV130" s="48"/>
      <c r="AW130" s="11"/>
      <c r="AX130" s="176"/>
      <c r="AY130" s="176"/>
      <c r="AZ130" s="275"/>
      <c r="BA130" s="9"/>
      <c r="BB130" s="9"/>
      <c r="BC130" s="9"/>
      <c r="BD130" s="274"/>
      <c r="BE130" s="143"/>
      <c r="BF130" s="143"/>
      <c r="BG130" s="132"/>
      <c r="BH130" s="9"/>
      <c r="BI130" s="132"/>
      <c r="BJ130" s="143"/>
      <c r="BK130" s="143"/>
      <c r="BL130" s="143"/>
      <c r="BM130" s="132"/>
      <c r="BN130" s="132"/>
      <c r="BO130" s="132"/>
      <c r="BP130" s="143"/>
      <c r="BQ130" s="132"/>
      <c r="BR130" s="132"/>
      <c r="BS130" s="132"/>
      <c r="BT130" s="132"/>
      <c r="BU130" s="132"/>
      <c r="BV130" s="211"/>
      <c r="BW130" s="144"/>
      <c r="BX130" s="113"/>
      <c r="BY130" s="273"/>
      <c r="BZ130" s="273"/>
      <c r="CA130" s="132"/>
      <c r="CB130" s="274"/>
      <c r="CC130" s="144"/>
      <c r="CD130" s="274"/>
      <c r="CE130" s="132"/>
      <c r="CF130" s="132"/>
      <c r="CG130" s="36"/>
      <c r="CH130" s="210"/>
      <c r="CI130" s="219"/>
      <c r="CJ130" s="210"/>
      <c r="CK130" s="273"/>
      <c r="CL130" s="273"/>
      <c r="CM130" s="11"/>
      <c r="CN130" s="274">
        <v>3079603</v>
      </c>
      <c r="CO130" s="144">
        <f>+CN130*0.19</f>
        <v>585124.56999999995</v>
      </c>
      <c r="CP130" s="274">
        <f>+CO130+CN130</f>
        <v>3664727.57</v>
      </c>
      <c r="CQ130" s="9"/>
      <c r="CR130" s="11"/>
      <c r="CS130" s="13"/>
      <c r="CT130" s="274"/>
      <c r="CU130" s="144"/>
      <c r="CV130" s="274"/>
      <c r="CW130" s="132"/>
      <c r="CX130" s="132"/>
      <c r="CY130" s="132"/>
      <c r="CZ130" s="118"/>
      <c r="DA130" s="144"/>
      <c r="DB130" s="118"/>
      <c r="DC130" s="33"/>
      <c r="DD130" s="39"/>
      <c r="DE130" s="11"/>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1"/>
      <c r="EU130" s="11"/>
      <c r="EV130" s="11"/>
      <c r="EW130" s="11"/>
      <c r="EX130" s="11"/>
      <c r="EY130" s="11"/>
      <c r="EZ130" s="11"/>
      <c r="FA130" s="11"/>
      <c r="FB130" s="11"/>
      <c r="FC130" s="11"/>
      <c r="FD130" s="11"/>
      <c r="FE130" s="11"/>
      <c r="FF130" s="11"/>
      <c r="FG130" s="11"/>
      <c r="FH130" s="39">
        <f t="shared" si="27"/>
        <v>3664727.57</v>
      </c>
      <c r="FI130" s="33">
        <f t="shared" si="28"/>
        <v>1</v>
      </c>
      <c r="FJ130" s="84">
        <f t="shared" si="29"/>
        <v>3664727.57</v>
      </c>
    </row>
    <row r="131" spans="1:166" ht="13.5" x14ac:dyDescent="0.25">
      <c r="A131" s="79" t="e">
        <f>#REF!</f>
        <v>#REF!</v>
      </c>
      <c r="B131" s="75" t="e">
        <f>#REF!</f>
        <v>#REF!</v>
      </c>
      <c r="C131" s="75" t="e">
        <f>#REF!</f>
        <v>#REF!</v>
      </c>
      <c r="D131" s="75" t="e">
        <f>#REF!</f>
        <v>#REF!</v>
      </c>
      <c r="E131" s="30">
        <v>1</v>
      </c>
      <c r="F131" s="238">
        <v>0</v>
      </c>
      <c r="G131" s="241">
        <v>0</v>
      </c>
      <c r="H131" s="249">
        <v>0</v>
      </c>
      <c r="I131" s="249">
        <v>0</v>
      </c>
      <c r="J131" s="249">
        <v>389908.8304265</v>
      </c>
      <c r="K131" s="249">
        <v>0</v>
      </c>
      <c r="L131" s="274">
        <f>J131</f>
        <v>389908.8304265</v>
      </c>
      <c r="M131" s="274"/>
      <c r="N131" s="245"/>
      <c r="O131" s="113"/>
      <c r="P131" s="113"/>
      <c r="Q131" s="131"/>
      <c r="R131" s="131"/>
      <c r="S131" s="64"/>
      <c r="T131" s="113"/>
      <c r="U131" s="113"/>
      <c r="V131" s="113"/>
      <c r="W131" s="131"/>
      <c r="X131" s="131"/>
      <c r="Y131" s="11"/>
      <c r="Z131" s="113"/>
      <c r="AA131" s="113"/>
      <c r="AB131" s="113"/>
      <c r="AC131" s="52"/>
      <c r="AD131" s="52"/>
      <c r="AE131" s="11"/>
      <c r="AF131" s="118"/>
      <c r="AG131" s="144"/>
      <c r="AH131" s="113"/>
      <c r="AI131" s="11"/>
      <c r="AJ131" s="11"/>
      <c r="AK131" s="39"/>
      <c r="AL131" s="113"/>
      <c r="AM131" s="113"/>
      <c r="AN131" s="117"/>
      <c r="AO131" s="76"/>
      <c r="AP131" s="39"/>
      <c r="AQ131" s="39"/>
      <c r="AR131" s="275"/>
      <c r="AS131" s="156"/>
      <c r="AT131" s="157"/>
      <c r="AU131" s="62"/>
      <c r="AV131" s="62"/>
      <c r="AW131" s="31"/>
      <c r="AX131" s="116"/>
      <c r="AY131" s="196"/>
      <c r="AZ131" s="143"/>
      <c r="BA131" s="191"/>
      <c r="BB131" s="132"/>
      <c r="BC131" s="132"/>
      <c r="BD131" s="274"/>
      <c r="BE131" s="274"/>
      <c r="BF131" s="274"/>
      <c r="BG131" s="274"/>
      <c r="BH131" s="132"/>
      <c r="BI131" s="132"/>
      <c r="BJ131" s="143"/>
      <c r="BK131" s="143"/>
      <c r="BL131" s="143"/>
      <c r="BM131" s="132"/>
      <c r="BN131" s="132"/>
      <c r="BO131" s="132"/>
      <c r="BP131" s="143"/>
      <c r="BQ131" s="132"/>
      <c r="BR131" s="132"/>
      <c r="BS131" s="132"/>
      <c r="BT131" s="132"/>
      <c r="BU131" s="132"/>
      <c r="BV131" s="267">
        <v>3165900</v>
      </c>
      <c r="BW131" s="144">
        <f>BV131*19%</f>
        <v>601521</v>
      </c>
      <c r="BX131" s="113">
        <f>+BV131+BW131</f>
        <v>3767421</v>
      </c>
      <c r="BY131" s="264" t="s">
        <v>231</v>
      </c>
      <c r="BZ131" s="264" t="s">
        <v>37</v>
      </c>
      <c r="CA131" s="132"/>
      <c r="CB131" s="274"/>
      <c r="CC131" s="144"/>
      <c r="CD131" s="274"/>
      <c r="CE131" s="132"/>
      <c r="CF131" s="132"/>
      <c r="CG131" s="36"/>
      <c r="CH131" s="268">
        <v>3197559</v>
      </c>
      <c r="CI131" s="265">
        <f>+CH131*0.19</f>
        <v>607536.21</v>
      </c>
      <c r="CJ131" s="263">
        <f>+CH131+CI131</f>
        <v>3805095.21</v>
      </c>
      <c r="CK131" s="264" t="s">
        <v>231</v>
      </c>
      <c r="CL131" s="264" t="s">
        <v>37</v>
      </c>
      <c r="CM131" s="132"/>
      <c r="CN131" s="274"/>
      <c r="CO131" s="144"/>
      <c r="CP131" s="274"/>
      <c r="CQ131" s="132"/>
      <c r="CR131" s="132"/>
      <c r="CS131" s="132"/>
      <c r="CT131" s="274"/>
      <c r="CU131" s="144"/>
      <c r="CV131" s="274"/>
      <c r="CW131" s="132"/>
      <c r="CX131" s="132"/>
      <c r="CY131" s="132"/>
      <c r="CZ131" s="118"/>
      <c r="DA131" s="144"/>
      <c r="DB131" s="118"/>
      <c r="DC131" s="33"/>
      <c r="DD131" s="39"/>
      <c r="DE131" s="11"/>
      <c r="DF131" s="132"/>
      <c r="DG131" s="132"/>
      <c r="DH131" s="132"/>
      <c r="DI131" s="132"/>
      <c r="DJ131" s="132"/>
      <c r="DK131" s="132"/>
      <c r="DL131" s="132"/>
      <c r="DM131" s="132"/>
      <c r="DN131" s="132"/>
      <c r="DO131" s="132"/>
      <c r="DP131" s="132"/>
      <c r="DQ131" s="132"/>
      <c r="DR131" s="132"/>
      <c r="DS131" s="132"/>
      <c r="DT131" s="132"/>
      <c r="DU131" s="132"/>
      <c r="DV131" s="132"/>
      <c r="DW131" s="132"/>
      <c r="DX131" s="132"/>
      <c r="DY131" s="132"/>
      <c r="DZ131" s="132"/>
      <c r="EA131" s="132"/>
      <c r="EB131" s="132"/>
      <c r="EC131" s="132"/>
      <c r="ED131" s="132"/>
      <c r="EE131" s="132"/>
      <c r="EF131" s="132"/>
      <c r="EG131" s="132"/>
      <c r="EH131" s="132"/>
      <c r="EI131" s="132"/>
      <c r="EJ131" s="132"/>
      <c r="EK131" s="132"/>
      <c r="EL131" s="132"/>
      <c r="EM131" s="132"/>
      <c r="EN131" s="132"/>
      <c r="EO131" s="132"/>
      <c r="EP131" s="132"/>
      <c r="EQ131" s="132"/>
      <c r="ER131" s="132"/>
      <c r="ES131" s="132"/>
      <c r="ET131" s="11"/>
      <c r="EU131" s="11"/>
      <c r="EV131" s="11"/>
      <c r="EW131" s="11"/>
      <c r="EX131" s="11"/>
      <c r="EY131" s="11"/>
      <c r="EZ131" s="11"/>
      <c r="FA131" s="11"/>
      <c r="FB131" s="11"/>
      <c r="FC131" s="11"/>
      <c r="FD131" s="11"/>
      <c r="FE131" s="11"/>
      <c r="FF131" s="11"/>
      <c r="FG131" s="11"/>
      <c r="FH131" s="39">
        <f t="shared" ref="FH131:FH194" si="37">SUM(M131,P131,V131,AB131,AH131,AN131,AT131,AZ131,BF131,BL131,BR131,BX131,CD131,CJ131,CP131,CV131,DB131,DH131,DN131,DT131,DZ131,EF131,EL131,ER131,EX131,FD131)</f>
        <v>7572516.21</v>
      </c>
      <c r="FI131" s="33">
        <f t="shared" ref="FI131:FI194" si="38">COUNTA(M131,N131,T131,Z131,AF131,AL131,AR131,AX131,BD131,BJ131,BP131,BV131,CB131,CH131,CN131,CT131,CZ131,DF131,DL131,DR131,DX131,ED131,EJ131,EP131,EV131,FB131)</f>
        <v>2</v>
      </c>
      <c r="FJ131" s="84">
        <f t="shared" ref="FJ131:FJ194" si="39">IFERROR(FH131/FI131," ")</f>
        <v>3786258.105</v>
      </c>
    </row>
    <row r="132" spans="1:166" ht="48" customHeight="1" x14ac:dyDescent="0.25">
      <c r="A132" s="79" t="e">
        <f>#REF!</f>
        <v>#REF!</v>
      </c>
      <c r="B132" s="75" t="e">
        <f>#REF!</f>
        <v>#REF!</v>
      </c>
      <c r="C132" s="75" t="e">
        <f>#REF!</f>
        <v>#REF!</v>
      </c>
      <c r="D132" s="75" t="e">
        <f>#REF!</f>
        <v>#REF!</v>
      </c>
      <c r="E132" s="30">
        <v>1</v>
      </c>
      <c r="F132" s="238">
        <v>0</v>
      </c>
      <c r="G132" s="241">
        <v>0</v>
      </c>
      <c r="H132" s="249">
        <v>0</v>
      </c>
      <c r="I132" s="249">
        <v>0</v>
      </c>
      <c r="J132" s="249">
        <v>226100</v>
      </c>
      <c r="K132" s="249">
        <v>0</v>
      </c>
      <c r="L132" s="274">
        <f>J132</f>
        <v>226100</v>
      </c>
      <c r="M132" s="274"/>
      <c r="N132" s="245"/>
      <c r="O132" s="113"/>
      <c r="P132" s="113"/>
      <c r="Q132" s="131"/>
      <c r="R132" s="131"/>
      <c r="S132" s="64"/>
      <c r="T132" s="113"/>
      <c r="U132" s="113"/>
      <c r="V132" s="113"/>
      <c r="W132" s="131"/>
      <c r="X132" s="131"/>
      <c r="Y132" s="11"/>
      <c r="Z132" s="113"/>
      <c r="AA132" s="113"/>
      <c r="AB132" s="113"/>
      <c r="AC132" s="52"/>
      <c r="AD132" s="52"/>
      <c r="AE132" s="11"/>
      <c r="AF132" s="118"/>
      <c r="AG132" s="144"/>
      <c r="AH132" s="113"/>
      <c r="AI132" s="11"/>
      <c r="AJ132" s="11"/>
      <c r="AK132" s="39"/>
      <c r="AL132" s="113"/>
      <c r="AM132" s="113"/>
      <c r="AN132" s="117"/>
      <c r="AO132" s="76"/>
      <c r="AP132" s="39"/>
      <c r="AQ132" s="39"/>
      <c r="AR132" s="275"/>
      <c r="AS132" s="156"/>
      <c r="AT132" s="157"/>
      <c r="AU132" s="62"/>
      <c r="AV132" s="62"/>
      <c r="AW132" s="31"/>
      <c r="AX132" s="116"/>
      <c r="AY132" s="196"/>
      <c r="AZ132" s="143"/>
      <c r="BA132" s="191"/>
      <c r="BB132" s="132"/>
      <c r="BC132" s="132"/>
      <c r="BD132" s="274"/>
      <c r="BE132" s="143"/>
      <c r="BF132" s="143"/>
      <c r="BG132" s="132"/>
      <c r="BH132" s="132"/>
      <c r="BI132" s="132"/>
      <c r="BJ132" s="143"/>
      <c r="BK132" s="143"/>
      <c r="BL132" s="143"/>
      <c r="BM132" s="132"/>
      <c r="BN132" s="132"/>
      <c r="BO132" s="132"/>
      <c r="BP132" s="143"/>
      <c r="BQ132" s="132"/>
      <c r="BR132" s="132"/>
      <c r="BS132" s="132"/>
      <c r="BT132" s="132"/>
      <c r="BU132" s="132"/>
      <c r="BV132" s="211"/>
      <c r="BW132" s="144"/>
      <c r="BX132" s="113"/>
      <c r="BY132" s="273"/>
      <c r="BZ132" s="273"/>
      <c r="CA132" s="132"/>
      <c r="CB132" s="274"/>
      <c r="CC132" s="144"/>
      <c r="CD132" s="274"/>
      <c r="CE132" s="132"/>
      <c r="CF132" s="132"/>
      <c r="CG132" s="36"/>
      <c r="CH132" s="210"/>
      <c r="CI132" s="219"/>
      <c r="CJ132" s="210"/>
      <c r="CK132" s="273"/>
      <c r="CL132" s="273"/>
      <c r="CM132" s="132"/>
      <c r="CN132" s="274"/>
      <c r="CO132" s="144"/>
      <c r="CP132" s="274"/>
      <c r="CQ132" s="132"/>
      <c r="CR132" s="132"/>
      <c r="CS132" s="132"/>
      <c r="CT132" s="274"/>
      <c r="CU132" s="144"/>
      <c r="CV132" s="274"/>
      <c r="CW132" s="132"/>
      <c r="CX132" s="132"/>
      <c r="CY132" s="132"/>
      <c r="CZ132" s="118"/>
      <c r="DA132" s="144"/>
      <c r="DB132" s="118"/>
      <c r="DC132" s="33"/>
      <c r="DD132" s="39"/>
      <c r="DE132" s="11"/>
      <c r="DF132" s="132"/>
      <c r="DG132" s="132"/>
      <c r="DH132" s="132"/>
      <c r="DI132" s="132"/>
      <c r="DJ132" s="132"/>
      <c r="DK132" s="132"/>
      <c r="DL132" s="132"/>
      <c r="DM132" s="132"/>
      <c r="DN132" s="132"/>
      <c r="DO132" s="132"/>
      <c r="DP132" s="132"/>
      <c r="DQ132" s="132"/>
      <c r="DR132" s="132"/>
      <c r="DS132" s="132"/>
      <c r="DT132" s="132"/>
      <c r="DU132" s="132"/>
      <c r="DV132" s="132"/>
      <c r="DW132" s="132"/>
      <c r="DX132" s="132"/>
      <c r="DY132" s="132"/>
      <c r="DZ132" s="132"/>
      <c r="EA132" s="132"/>
      <c r="EB132" s="132"/>
      <c r="EC132" s="132"/>
      <c r="ED132" s="132"/>
      <c r="EE132" s="132"/>
      <c r="EF132" s="132"/>
      <c r="EG132" s="132"/>
      <c r="EH132" s="132"/>
      <c r="EI132" s="132"/>
      <c r="EJ132" s="132"/>
      <c r="EK132" s="132"/>
      <c r="EL132" s="132"/>
      <c r="EM132" s="132"/>
      <c r="EN132" s="132"/>
      <c r="EO132" s="132"/>
      <c r="EP132" s="132"/>
      <c r="EQ132" s="132"/>
      <c r="ER132" s="132"/>
      <c r="ES132" s="132"/>
      <c r="ET132" s="11"/>
      <c r="EU132" s="11"/>
      <c r="EV132" s="11"/>
      <c r="EW132" s="11"/>
      <c r="EX132" s="11"/>
      <c r="EY132" s="11"/>
      <c r="EZ132" s="11"/>
      <c r="FA132" s="11"/>
      <c r="FB132" s="11"/>
      <c r="FC132" s="11"/>
      <c r="FD132" s="11"/>
      <c r="FE132" s="11"/>
      <c r="FF132" s="11"/>
      <c r="FG132" s="11"/>
      <c r="FH132" s="39">
        <f t="shared" si="37"/>
        <v>0</v>
      </c>
      <c r="FI132" s="33">
        <f t="shared" si="38"/>
        <v>0</v>
      </c>
      <c r="FJ132" s="84" t="str">
        <f t="shared" si="39"/>
        <v xml:space="preserve"> </v>
      </c>
    </row>
    <row r="133" spans="1:166" x14ac:dyDescent="0.25">
      <c r="A133" s="79" t="e">
        <f>#REF!</f>
        <v>#REF!</v>
      </c>
      <c r="B133" s="75" t="e">
        <f>#REF!</f>
        <v>#REF!</v>
      </c>
      <c r="C133" s="75" t="e">
        <f>#REF!</f>
        <v>#REF!</v>
      </c>
      <c r="D133" s="75" t="e">
        <f>#REF!</f>
        <v>#REF!</v>
      </c>
      <c r="E133" s="30">
        <v>1</v>
      </c>
      <c r="F133" s="238">
        <v>693000</v>
      </c>
      <c r="G133" s="241">
        <v>675600</v>
      </c>
      <c r="H133" s="249">
        <v>905411.5</v>
      </c>
      <c r="I133" s="249">
        <v>0</v>
      </c>
      <c r="J133" s="249">
        <v>709380</v>
      </c>
      <c r="K133" s="249">
        <v>691390</v>
      </c>
      <c r="L133" s="274">
        <f>AVERAGE(F133,H133,J133)</f>
        <v>769263.83333333337</v>
      </c>
      <c r="M133" s="274">
        <f>AVERAGE(G133,K133)*E1</f>
        <v>703999.85</v>
      </c>
      <c r="N133" s="245"/>
      <c r="O133" s="113"/>
      <c r="P133" s="113"/>
      <c r="Q133" s="131"/>
      <c r="R133" s="131"/>
      <c r="S133" s="64"/>
      <c r="T133" s="113"/>
      <c r="U133" s="113"/>
      <c r="V133" s="113"/>
      <c r="W133" s="131"/>
      <c r="X133" s="131"/>
      <c r="Y133" s="11"/>
      <c r="Z133" s="113"/>
      <c r="AA133" s="113"/>
      <c r="AB133" s="113"/>
      <c r="AC133" s="52"/>
      <c r="AD133" s="52"/>
      <c r="AE133" s="11"/>
      <c r="AF133" s="118"/>
      <c r="AG133" s="144"/>
      <c r="AH133" s="113"/>
      <c r="AI133" s="11"/>
      <c r="AJ133" s="11"/>
      <c r="AK133" s="39"/>
      <c r="AL133" s="113"/>
      <c r="AM133" s="113"/>
      <c r="AN133" s="117"/>
      <c r="AO133" s="76"/>
      <c r="AP133" s="39"/>
      <c r="AQ133" s="39"/>
      <c r="AR133" s="275"/>
      <c r="AS133" s="156"/>
      <c r="AT133" s="157"/>
      <c r="AU133" s="62"/>
      <c r="AV133" s="62"/>
      <c r="AW133" s="31"/>
      <c r="AX133" s="116"/>
      <c r="AY133" s="196"/>
      <c r="AZ133" s="143"/>
      <c r="BA133" s="191"/>
      <c r="BB133" s="132"/>
      <c r="BC133" s="132"/>
      <c r="BD133" s="274"/>
      <c r="BE133" s="274"/>
      <c r="BF133" s="274"/>
      <c r="BG133" s="274"/>
      <c r="BH133" s="132"/>
      <c r="BI133" s="132"/>
      <c r="BJ133" s="143"/>
      <c r="BK133" s="143"/>
      <c r="BL133" s="143"/>
      <c r="BM133" s="132"/>
      <c r="BN133" s="132"/>
      <c r="BO133" s="132"/>
      <c r="BP133" s="143"/>
      <c r="BQ133" s="132"/>
      <c r="BR133" s="132"/>
      <c r="BS133" s="132"/>
      <c r="BT133" s="132"/>
      <c r="BU133" s="132"/>
      <c r="BV133" s="211"/>
      <c r="BW133" s="144"/>
      <c r="BX133" s="113"/>
      <c r="BY133" s="273"/>
      <c r="BZ133" s="273"/>
      <c r="CA133" s="132"/>
      <c r="CB133" s="274"/>
      <c r="CC133" s="144"/>
      <c r="CD133" s="274"/>
      <c r="CE133" s="132"/>
      <c r="CF133" s="132"/>
      <c r="CG133" s="36"/>
      <c r="CH133" s="210"/>
      <c r="CI133" s="219"/>
      <c r="CJ133" s="210"/>
      <c r="CK133" s="273"/>
      <c r="CL133" s="273"/>
      <c r="CM133" s="132"/>
      <c r="CN133" s="274"/>
      <c r="CO133" s="144"/>
      <c r="CP133" s="274"/>
      <c r="CQ133" s="132"/>
      <c r="CR133" s="132"/>
      <c r="CS133" s="132"/>
      <c r="CT133" s="274"/>
      <c r="CU133" s="144"/>
      <c r="CV133" s="274"/>
      <c r="CW133" s="132"/>
      <c r="CX133" s="132"/>
      <c r="CY133" s="132"/>
      <c r="CZ133" s="118"/>
      <c r="DA133" s="144"/>
      <c r="DB133" s="118"/>
      <c r="DC133" s="33"/>
      <c r="DD133" s="39"/>
      <c r="DE133" s="11"/>
      <c r="DF133" s="132"/>
      <c r="DG133" s="132"/>
      <c r="DH133" s="132"/>
      <c r="DI133" s="132"/>
      <c r="DJ133" s="132"/>
      <c r="DK133" s="132"/>
      <c r="DL133" s="132"/>
      <c r="DM133" s="132"/>
      <c r="DN133" s="132"/>
      <c r="DO133" s="132"/>
      <c r="DP133" s="132"/>
      <c r="DQ133" s="132"/>
      <c r="DR133" s="132"/>
      <c r="DS133" s="132"/>
      <c r="DT133" s="132"/>
      <c r="DU133" s="132"/>
      <c r="DV133" s="132"/>
      <c r="DW133" s="132"/>
      <c r="DX133" s="132"/>
      <c r="DY133" s="132"/>
      <c r="DZ133" s="132"/>
      <c r="EA133" s="132"/>
      <c r="EB133" s="132"/>
      <c r="EC133" s="132"/>
      <c r="ED133" s="132"/>
      <c r="EE133" s="132"/>
      <c r="EF133" s="132"/>
      <c r="EG133" s="132"/>
      <c r="EH133" s="132"/>
      <c r="EI133" s="132"/>
      <c r="EJ133" s="132"/>
      <c r="EK133" s="132"/>
      <c r="EL133" s="132"/>
      <c r="EM133" s="132"/>
      <c r="EN133" s="132"/>
      <c r="EO133" s="132"/>
      <c r="EP133" s="132"/>
      <c r="EQ133" s="132"/>
      <c r="ER133" s="132"/>
      <c r="ES133" s="132"/>
      <c r="ET133" s="11"/>
      <c r="EU133" s="11"/>
      <c r="EV133" s="11"/>
      <c r="EW133" s="11"/>
      <c r="EX133" s="11"/>
      <c r="EY133" s="11"/>
      <c r="EZ133" s="11"/>
      <c r="FA133" s="11"/>
      <c r="FB133" s="11"/>
      <c r="FC133" s="11"/>
      <c r="FD133" s="11"/>
      <c r="FE133" s="11"/>
      <c r="FF133" s="11"/>
      <c r="FG133" s="11"/>
      <c r="FH133" s="39">
        <f t="shared" si="37"/>
        <v>703999.85</v>
      </c>
      <c r="FI133" s="33">
        <f t="shared" si="38"/>
        <v>1</v>
      </c>
      <c r="FJ133" s="84">
        <f t="shared" si="39"/>
        <v>703999.85</v>
      </c>
    </row>
    <row r="134" spans="1:166" x14ac:dyDescent="0.25">
      <c r="A134" s="79" t="e">
        <f>#REF!</f>
        <v>#REF!</v>
      </c>
      <c r="B134" s="75" t="e">
        <f>#REF!</f>
        <v>#REF!</v>
      </c>
      <c r="C134" s="75" t="e">
        <f>#REF!</f>
        <v>#REF!</v>
      </c>
      <c r="D134" s="75" t="e">
        <f>#REF!</f>
        <v>#REF!</v>
      </c>
      <c r="E134" s="30">
        <v>1</v>
      </c>
      <c r="F134" s="238">
        <v>0</v>
      </c>
      <c r="G134" s="241">
        <v>0</v>
      </c>
      <c r="H134" s="249">
        <v>304283</v>
      </c>
      <c r="I134" s="249">
        <v>0</v>
      </c>
      <c r="J134" s="249">
        <v>210630</v>
      </c>
      <c r="K134" s="249">
        <v>205870</v>
      </c>
      <c r="L134" s="274">
        <f>AVERAGE(H134,J134)</f>
        <v>257456.5</v>
      </c>
      <c r="M134" s="274">
        <f>K134*E1</f>
        <v>212046.1</v>
      </c>
      <c r="N134" s="245"/>
      <c r="O134" s="113"/>
      <c r="P134" s="113"/>
      <c r="Q134" s="131"/>
      <c r="R134" s="131"/>
      <c r="S134" s="64"/>
      <c r="T134" s="113"/>
      <c r="U134" s="113"/>
      <c r="V134" s="113"/>
      <c r="W134" s="131"/>
      <c r="X134" s="131"/>
      <c r="Y134" s="11"/>
      <c r="Z134" s="113"/>
      <c r="AA134" s="113"/>
      <c r="AB134" s="113"/>
      <c r="AC134" s="52"/>
      <c r="AD134" s="52"/>
      <c r="AE134" s="11"/>
      <c r="AF134" s="118"/>
      <c r="AG134" s="144"/>
      <c r="AH134" s="113"/>
      <c r="AI134" s="11"/>
      <c r="AJ134" s="11"/>
      <c r="AK134" s="39"/>
      <c r="AL134" s="113"/>
      <c r="AM134" s="113"/>
      <c r="AN134" s="117"/>
      <c r="AO134" s="76"/>
      <c r="AP134" s="39"/>
      <c r="AQ134" s="39"/>
      <c r="AR134" s="275"/>
      <c r="AS134" s="156"/>
      <c r="AT134" s="157"/>
      <c r="AU134" s="62"/>
      <c r="AV134" s="62"/>
      <c r="AW134" s="31"/>
      <c r="AX134" s="116"/>
      <c r="AY134" s="196"/>
      <c r="AZ134" s="143"/>
      <c r="BA134" s="191"/>
      <c r="BB134" s="132"/>
      <c r="BC134" s="132"/>
      <c r="BD134" s="274"/>
      <c r="BE134" s="274"/>
      <c r="BF134" s="274"/>
      <c r="BG134" s="274"/>
      <c r="BH134" s="132"/>
      <c r="BI134" s="132"/>
      <c r="BJ134" s="143"/>
      <c r="BK134" s="143"/>
      <c r="BL134" s="143"/>
      <c r="BM134" s="132"/>
      <c r="BN134" s="132"/>
      <c r="BO134" s="132"/>
      <c r="BP134" s="143"/>
      <c r="BQ134" s="132"/>
      <c r="BR134" s="132"/>
      <c r="BS134" s="132"/>
      <c r="BT134" s="132"/>
      <c r="BU134" s="132"/>
      <c r="BV134" s="211"/>
      <c r="BW134" s="144"/>
      <c r="BX134" s="113"/>
      <c r="BY134" s="273"/>
      <c r="BZ134" s="273"/>
      <c r="CA134" s="132"/>
      <c r="CB134" s="274"/>
      <c r="CC134" s="144"/>
      <c r="CD134" s="274"/>
      <c r="CE134" s="132"/>
      <c r="CF134" s="132"/>
      <c r="CG134" s="36"/>
      <c r="CH134" s="210"/>
      <c r="CI134" s="219"/>
      <c r="CJ134" s="210"/>
      <c r="CK134" s="273"/>
      <c r="CL134" s="273"/>
      <c r="CM134" s="132"/>
      <c r="CN134" s="274"/>
      <c r="CO134" s="144"/>
      <c r="CP134" s="274"/>
      <c r="CQ134" s="132"/>
      <c r="CR134" s="132"/>
      <c r="CS134" s="132"/>
      <c r="CT134" s="274"/>
      <c r="CU134" s="144"/>
      <c r="CV134" s="274"/>
      <c r="CW134" s="132"/>
      <c r="CX134" s="132"/>
      <c r="CY134" s="132"/>
      <c r="CZ134" s="118"/>
      <c r="DA134" s="144"/>
      <c r="DB134" s="118"/>
      <c r="DC134" s="33"/>
      <c r="DD134" s="39"/>
      <c r="DE134" s="11"/>
      <c r="DF134" s="132"/>
      <c r="DG134" s="132"/>
      <c r="DH134" s="132"/>
      <c r="DI134" s="132"/>
      <c r="DJ134" s="132"/>
      <c r="DK134" s="132"/>
      <c r="DL134" s="132"/>
      <c r="DM134" s="132"/>
      <c r="DN134" s="132"/>
      <c r="DO134" s="132"/>
      <c r="DP134" s="132"/>
      <c r="DQ134" s="132"/>
      <c r="DR134" s="132"/>
      <c r="DS134" s="132"/>
      <c r="DT134" s="132"/>
      <c r="DU134" s="132"/>
      <c r="DV134" s="132"/>
      <c r="DW134" s="132"/>
      <c r="DX134" s="132"/>
      <c r="DY134" s="132"/>
      <c r="DZ134" s="132"/>
      <c r="EA134" s="132"/>
      <c r="EB134" s="132"/>
      <c r="EC134" s="132"/>
      <c r="ED134" s="132"/>
      <c r="EE134" s="132"/>
      <c r="EF134" s="132"/>
      <c r="EG134" s="132"/>
      <c r="EH134" s="132"/>
      <c r="EI134" s="132"/>
      <c r="EJ134" s="132"/>
      <c r="EK134" s="132"/>
      <c r="EL134" s="132"/>
      <c r="EM134" s="132"/>
      <c r="EN134" s="132"/>
      <c r="EO134" s="132"/>
      <c r="EP134" s="132"/>
      <c r="EQ134" s="132"/>
      <c r="ER134" s="132"/>
      <c r="ES134" s="132"/>
      <c r="ET134" s="11"/>
      <c r="EU134" s="11"/>
      <c r="EV134" s="11"/>
      <c r="EW134" s="11"/>
      <c r="EX134" s="11"/>
      <c r="EY134" s="11"/>
      <c r="EZ134" s="11"/>
      <c r="FA134" s="11"/>
      <c r="FB134" s="11"/>
      <c r="FC134" s="11"/>
      <c r="FD134" s="11"/>
      <c r="FE134" s="11"/>
      <c r="FF134" s="11"/>
      <c r="FG134" s="11"/>
      <c r="FH134" s="39">
        <f t="shared" si="37"/>
        <v>212046.1</v>
      </c>
      <c r="FI134" s="33">
        <f t="shared" si="38"/>
        <v>1</v>
      </c>
      <c r="FJ134" s="84">
        <f t="shared" si="39"/>
        <v>212046.1</v>
      </c>
    </row>
    <row r="135" spans="1:166" x14ac:dyDescent="0.25">
      <c r="A135" s="79" t="e">
        <f>#REF!</f>
        <v>#REF!</v>
      </c>
      <c r="B135" s="75" t="e">
        <f>#REF!</f>
        <v>#REF!</v>
      </c>
      <c r="C135" s="75" t="e">
        <f>#REF!</f>
        <v>#REF!</v>
      </c>
      <c r="D135" s="75" t="e">
        <f>#REF!</f>
        <v>#REF!</v>
      </c>
      <c r="E135" s="30">
        <v>1</v>
      </c>
      <c r="F135" s="238">
        <v>0</v>
      </c>
      <c r="G135" s="241">
        <v>0</v>
      </c>
      <c r="H135" s="249">
        <v>905411.5</v>
      </c>
      <c r="I135" s="249">
        <v>0</v>
      </c>
      <c r="J135" s="249">
        <v>136850</v>
      </c>
      <c r="K135" s="249">
        <v>0</v>
      </c>
      <c r="L135" s="274">
        <f>AVERAGE(H135,J135)</f>
        <v>521130.75</v>
      </c>
      <c r="M135" s="274"/>
      <c r="N135" s="245"/>
      <c r="O135" s="113"/>
      <c r="P135" s="113"/>
      <c r="Q135" s="131"/>
      <c r="R135" s="131"/>
      <c r="S135" s="64"/>
      <c r="T135" s="113"/>
      <c r="U135" s="113"/>
      <c r="V135" s="113"/>
      <c r="W135" s="131"/>
      <c r="X135" s="131"/>
      <c r="Y135" s="11"/>
      <c r="Z135" s="113"/>
      <c r="AA135" s="113"/>
      <c r="AB135" s="113"/>
      <c r="AC135" s="52"/>
      <c r="AD135" s="52"/>
      <c r="AE135" s="11"/>
      <c r="AF135" s="118"/>
      <c r="AG135" s="144"/>
      <c r="AH135" s="113"/>
      <c r="AI135" s="11"/>
      <c r="AJ135" s="11"/>
      <c r="AK135" s="39"/>
      <c r="AL135" s="113"/>
      <c r="AM135" s="113"/>
      <c r="AN135" s="117"/>
      <c r="AO135" s="76"/>
      <c r="AP135" s="39"/>
      <c r="AQ135" s="39"/>
      <c r="AR135" s="275"/>
      <c r="AS135" s="156"/>
      <c r="AT135" s="157"/>
      <c r="AU135" s="62"/>
      <c r="AV135" s="62"/>
      <c r="AW135" s="31"/>
      <c r="AX135" s="116"/>
      <c r="AY135" s="196"/>
      <c r="AZ135" s="143"/>
      <c r="BA135" s="191"/>
      <c r="BB135" s="132"/>
      <c r="BC135" s="132"/>
      <c r="BD135" s="274"/>
      <c r="BE135" s="274"/>
      <c r="BF135" s="274"/>
      <c r="BG135" s="274"/>
      <c r="BH135" s="132"/>
      <c r="BI135" s="132"/>
      <c r="BJ135" s="143"/>
      <c r="BK135" s="143"/>
      <c r="BL135" s="143"/>
      <c r="BM135" s="132"/>
      <c r="BN135" s="132"/>
      <c r="BO135" s="132"/>
      <c r="BP135" s="143"/>
      <c r="BQ135" s="132"/>
      <c r="BR135" s="132"/>
      <c r="BS135" s="132"/>
      <c r="BT135" s="132"/>
      <c r="BU135" s="132"/>
      <c r="BV135" s="211"/>
      <c r="BW135" s="144"/>
      <c r="BX135" s="113"/>
      <c r="BY135" s="273"/>
      <c r="BZ135" s="273"/>
      <c r="CA135" s="132"/>
      <c r="CB135" s="274"/>
      <c r="CC135" s="144"/>
      <c r="CD135" s="274"/>
      <c r="CE135" s="132"/>
      <c r="CF135" s="132"/>
      <c r="CG135" s="36"/>
      <c r="CH135" s="210"/>
      <c r="CI135" s="219"/>
      <c r="CJ135" s="210"/>
      <c r="CK135" s="273"/>
      <c r="CL135" s="273"/>
      <c r="CM135" s="132"/>
      <c r="CN135" s="274"/>
      <c r="CO135" s="144"/>
      <c r="CP135" s="274"/>
      <c r="CQ135" s="132"/>
      <c r="CR135" s="132"/>
      <c r="CS135" s="132"/>
      <c r="CT135" s="274"/>
      <c r="CU135" s="144"/>
      <c r="CV135" s="274"/>
      <c r="CW135" s="132"/>
      <c r="CX135" s="132"/>
      <c r="CY135" s="132"/>
      <c r="CZ135" s="118"/>
      <c r="DA135" s="144"/>
      <c r="DB135" s="118"/>
      <c r="DC135" s="33"/>
      <c r="DD135" s="39"/>
      <c r="DE135" s="11"/>
      <c r="DF135" s="132"/>
      <c r="DG135" s="132"/>
      <c r="DH135" s="132"/>
      <c r="DI135" s="132"/>
      <c r="DJ135" s="132"/>
      <c r="DK135" s="132"/>
      <c r="DL135" s="132"/>
      <c r="DM135" s="132"/>
      <c r="DN135" s="132"/>
      <c r="DO135" s="132"/>
      <c r="DP135" s="132"/>
      <c r="DQ135" s="132"/>
      <c r="DR135" s="132"/>
      <c r="DS135" s="132"/>
      <c r="DT135" s="132"/>
      <c r="DU135" s="132"/>
      <c r="DV135" s="132"/>
      <c r="DW135" s="132"/>
      <c r="DX135" s="132"/>
      <c r="DY135" s="132"/>
      <c r="DZ135" s="132"/>
      <c r="EA135" s="132"/>
      <c r="EB135" s="132"/>
      <c r="EC135" s="132"/>
      <c r="ED135" s="132"/>
      <c r="EE135" s="132"/>
      <c r="EF135" s="132"/>
      <c r="EG135" s="132"/>
      <c r="EH135" s="132"/>
      <c r="EI135" s="132"/>
      <c r="EJ135" s="132"/>
      <c r="EK135" s="132"/>
      <c r="EL135" s="132"/>
      <c r="EM135" s="132"/>
      <c r="EN135" s="132"/>
      <c r="EO135" s="132"/>
      <c r="EP135" s="132"/>
      <c r="EQ135" s="132"/>
      <c r="ER135" s="132"/>
      <c r="ES135" s="132"/>
      <c r="ET135" s="11"/>
      <c r="EU135" s="11"/>
      <c r="EV135" s="11"/>
      <c r="EW135" s="11"/>
      <c r="EX135" s="11"/>
      <c r="EY135" s="11"/>
      <c r="EZ135" s="11"/>
      <c r="FA135" s="11"/>
      <c r="FB135" s="11"/>
      <c r="FC135" s="11"/>
      <c r="FD135" s="11"/>
      <c r="FE135" s="11"/>
      <c r="FF135" s="11"/>
      <c r="FG135" s="11"/>
      <c r="FH135" s="39">
        <f t="shared" si="37"/>
        <v>0</v>
      </c>
      <c r="FI135" s="33">
        <f t="shared" si="38"/>
        <v>0</v>
      </c>
      <c r="FJ135" s="84" t="str">
        <f t="shared" si="39"/>
        <v xml:space="preserve"> </v>
      </c>
    </row>
    <row r="136" spans="1:166" x14ac:dyDescent="0.25">
      <c r="A136" s="79" t="e">
        <f>#REF!</f>
        <v>#REF!</v>
      </c>
      <c r="B136" s="75" t="e">
        <f>#REF!</f>
        <v>#REF!</v>
      </c>
      <c r="C136" s="75" t="e">
        <f>#REF!</f>
        <v>#REF!</v>
      </c>
      <c r="D136" s="75" t="e">
        <f>#REF!</f>
        <v>#REF!</v>
      </c>
      <c r="E136" s="30">
        <v>1</v>
      </c>
      <c r="F136" s="238">
        <v>0</v>
      </c>
      <c r="G136" s="241">
        <v>0</v>
      </c>
      <c r="H136" s="249">
        <v>0</v>
      </c>
      <c r="I136" s="249">
        <v>0</v>
      </c>
      <c r="J136" s="249">
        <v>90440</v>
      </c>
      <c r="K136" s="249">
        <v>0</v>
      </c>
      <c r="L136" s="274">
        <f>J136</f>
        <v>90440</v>
      </c>
      <c r="M136" s="274"/>
      <c r="N136" s="245"/>
      <c r="O136" s="113"/>
      <c r="P136" s="113"/>
      <c r="Q136" s="52"/>
      <c r="R136" s="52"/>
      <c r="S136" s="5"/>
      <c r="T136" s="113"/>
      <c r="U136" s="113"/>
      <c r="V136" s="113"/>
      <c r="W136" s="11"/>
      <c r="X136" s="11"/>
      <c r="Y136" s="11"/>
      <c r="Z136" s="113"/>
      <c r="AA136" s="113"/>
      <c r="AB136" s="113"/>
      <c r="AC136" s="52"/>
      <c r="AD136" s="52"/>
      <c r="AE136" s="11"/>
      <c r="AF136" s="118"/>
      <c r="AG136" s="144"/>
      <c r="AH136" s="113"/>
      <c r="AI136" s="11"/>
      <c r="AJ136" s="11"/>
      <c r="AK136" s="11"/>
      <c r="AL136" s="113"/>
      <c r="AM136" s="113"/>
      <c r="AN136" s="113"/>
      <c r="AO136" s="76"/>
      <c r="AP136" s="11"/>
      <c r="AQ136" s="11"/>
      <c r="AR136" s="275"/>
      <c r="AS136" s="275"/>
      <c r="AT136" s="275"/>
      <c r="AU136" s="48"/>
      <c r="AV136" s="48"/>
      <c r="AW136" s="11"/>
      <c r="AX136" s="275"/>
      <c r="AY136" s="275"/>
      <c r="AZ136" s="275"/>
      <c r="BA136" s="11"/>
      <c r="BB136" s="11"/>
      <c r="BC136" s="11"/>
      <c r="BD136" s="274"/>
      <c r="BE136" s="143"/>
      <c r="BF136" s="143"/>
      <c r="BG136" s="132"/>
      <c r="BH136" s="11"/>
      <c r="BI136" s="132"/>
      <c r="BJ136" s="143"/>
      <c r="BK136" s="143"/>
      <c r="BL136" s="143"/>
      <c r="BM136" s="132"/>
      <c r="BN136" s="132"/>
      <c r="BO136" s="132"/>
      <c r="BP136" s="143"/>
      <c r="BQ136" s="132"/>
      <c r="BR136" s="132"/>
      <c r="BS136" s="132"/>
      <c r="BT136" s="132"/>
      <c r="BU136" s="132"/>
      <c r="BV136" s="211"/>
      <c r="BW136" s="144"/>
      <c r="BX136" s="113"/>
      <c r="BY136" s="273"/>
      <c r="BZ136" s="273"/>
      <c r="CA136" s="132"/>
      <c r="CB136" s="274"/>
      <c r="CC136" s="144"/>
      <c r="CD136" s="274"/>
      <c r="CE136" s="132"/>
      <c r="CF136" s="132"/>
      <c r="CG136" s="36"/>
      <c r="CH136" s="210"/>
      <c r="CI136" s="219"/>
      <c r="CJ136" s="210"/>
      <c r="CK136" s="273"/>
      <c r="CL136" s="273"/>
      <c r="CM136" s="132"/>
      <c r="CN136" s="274"/>
      <c r="CO136" s="144"/>
      <c r="CP136" s="274"/>
      <c r="CQ136" s="132"/>
      <c r="CR136" s="132"/>
      <c r="CS136" s="132"/>
      <c r="CT136" s="274"/>
      <c r="CU136" s="144"/>
      <c r="CV136" s="274"/>
      <c r="CW136" s="132"/>
      <c r="CX136" s="132"/>
      <c r="CY136" s="132"/>
      <c r="CZ136" s="118"/>
      <c r="DA136" s="144"/>
      <c r="DB136" s="118"/>
      <c r="DC136" s="33"/>
      <c r="DD136" s="39"/>
      <c r="DE136" s="11"/>
      <c r="DF136" s="132"/>
      <c r="DG136" s="132"/>
      <c r="DH136" s="132"/>
      <c r="DI136" s="132"/>
      <c r="DJ136" s="132"/>
      <c r="DK136" s="132"/>
      <c r="DL136" s="132"/>
      <c r="DM136" s="132"/>
      <c r="DN136" s="132"/>
      <c r="DO136" s="132"/>
      <c r="DP136" s="132"/>
      <c r="DQ136" s="132"/>
      <c r="DR136" s="132"/>
      <c r="DS136" s="132"/>
      <c r="DT136" s="132"/>
      <c r="DU136" s="132"/>
      <c r="DV136" s="132"/>
      <c r="DW136" s="132"/>
      <c r="DX136" s="132"/>
      <c r="DY136" s="132"/>
      <c r="DZ136" s="132"/>
      <c r="EA136" s="132"/>
      <c r="EB136" s="132"/>
      <c r="EC136" s="132"/>
      <c r="ED136" s="132"/>
      <c r="EE136" s="132"/>
      <c r="EF136" s="132"/>
      <c r="EG136" s="132"/>
      <c r="EH136" s="132"/>
      <c r="EI136" s="132"/>
      <c r="EJ136" s="132"/>
      <c r="EK136" s="132"/>
      <c r="EL136" s="132"/>
      <c r="EM136" s="132"/>
      <c r="EN136" s="132"/>
      <c r="EO136" s="132"/>
      <c r="EP136" s="132"/>
      <c r="EQ136" s="132"/>
      <c r="ER136" s="132"/>
      <c r="ES136" s="132"/>
      <c r="ET136" s="11"/>
      <c r="EU136" s="11"/>
      <c r="EV136" s="11"/>
      <c r="EW136" s="11"/>
      <c r="EX136" s="11"/>
      <c r="EY136" s="11"/>
      <c r="EZ136" s="11"/>
      <c r="FA136" s="11"/>
      <c r="FB136" s="11"/>
      <c r="FC136" s="11"/>
      <c r="FD136" s="11"/>
      <c r="FE136" s="11"/>
      <c r="FF136" s="11"/>
      <c r="FG136" s="11"/>
      <c r="FH136" s="39">
        <f t="shared" si="37"/>
        <v>0</v>
      </c>
      <c r="FI136" s="33">
        <f t="shared" si="38"/>
        <v>0</v>
      </c>
      <c r="FJ136" s="84" t="str">
        <f t="shared" si="39"/>
        <v xml:space="preserve"> </v>
      </c>
    </row>
    <row r="137" spans="1:166" x14ac:dyDescent="0.25">
      <c r="A137" s="79" t="e">
        <f>#REF!</f>
        <v>#REF!</v>
      </c>
      <c r="B137" s="75" t="e">
        <f>#REF!</f>
        <v>#REF!</v>
      </c>
      <c r="C137" s="75" t="e">
        <f>#REF!</f>
        <v>#REF!</v>
      </c>
      <c r="D137" s="75" t="e">
        <f>#REF!</f>
        <v>#REF!</v>
      </c>
      <c r="E137" s="30">
        <v>1</v>
      </c>
      <c r="F137" s="238">
        <v>0</v>
      </c>
      <c r="G137" s="241">
        <v>0</v>
      </c>
      <c r="H137" s="249">
        <v>0</v>
      </c>
      <c r="I137" s="249">
        <v>0</v>
      </c>
      <c r="J137" s="249">
        <v>0</v>
      </c>
      <c r="K137" s="249">
        <v>0</v>
      </c>
      <c r="L137" s="274"/>
      <c r="M137" s="274"/>
      <c r="N137" s="245"/>
      <c r="O137" s="113"/>
      <c r="P137" s="113"/>
      <c r="Q137" s="131"/>
      <c r="R137" s="131"/>
      <c r="S137" s="64"/>
      <c r="T137" s="113"/>
      <c r="U137" s="113"/>
      <c r="V137" s="113"/>
      <c r="W137" s="131"/>
      <c r="X137" s="131"/>
      <c r="Y137" s="52"/>
      <c r="Z137" s="113"/>
      <c r="AA137" s="113"/>
      <c r="AB137" s="113"/>
      <c r="AC137" s="131"/>
      <c r="AD137" s="52"/>
      <c r="AE137" s="11"/>
      <c r="AF137" s="113"/>
      <c r="AG137" s="144"/>
      <c r="AH137" s="113"/>
      <c r="AI137" s="11"/>
      <c r="AJ137" s="11"/>
      <c r="AK137" s="39"/>
      <c r="AL137" s="113"/>
      <c r="AM137" s="113"/>
      <c r="AN137" s="119"/>
      <c r="AO137" s="76"/>
      <c r="AP137" s="39"/>
      <c r="AQ137" s="39"/>
      <c r="AR137" s="275"/>
      <c r="AS137" s="121"/>
      <c r="AT137" s="116"/>
      <c r="AU137" s="62"/>
      <c r="AV137" s="62"/>
      <c r="AW137" s="31"/>
      <c r="AX137" s="116"/>
      <c r="AY137" s="116"/>
      <c r="AZ137" s="143"/>
      <c r="BA137" s="191"/>
      <c r="BB137" s="132"/>
      <c r="BC137" s="132"/>
      <c r="BD137" s="275"/>
      <c r="BE137" s="143"/>
      <c r="BF137" s="143"/>
      <c r="BG137" s="132"/>
      <c r="BH137" s="132"/>
      <c r="BI137" s="132"/>
      <c r="BJ137" s="143"/>
      <c r="BK137" s="143"/>
      <c r="BL137" s="143"/>
      <c r="BM137" s="132"/>
      <c r="BN137" s="132"/>
      <c r="BO137" s="132"/>
      <c r="BP137" s="143"/>
      <c r="BQ137" s="132"/>
      <c r="BR137" s="132"/>
      <c r="BS137" s="132"/>
      <c r="BT137" s="132"/>
      <c r="BU137" s="132"/>
      <c r="BV137" s="211"/>
      <c r="BW137" s="144"/>
      <c r="BX137" s="113"/>
      <c r="BY137" s="273"/>
      <c r="BZ137" s="273"/>
      <c r="CA137" s="132"/>
      <c r="CB137" s="275"/>
      <c r="CC137" s="143"/>
      <c r="CD137" s="275"/>
      <c r="CE137" s="132"/>
      <c r="CF137" s="132"/>
      <c r="CG137" s="36"/>
      <c r="CH137" s="210"/>
      <c r="CI137" s="219"/>
      <c r="CJ137" s="210"/>
      <c r="CK137" s="273"/>
      <c r="CL137" s="273"/>
      <c r="CM137" s="132"/>
      <c r="CN137" s="275"/>
      <c r="CO137" s="143"/>
      <c r="CP137" s="275"/>
      <c r="CQ137" s="132"/>
      <c r="CR137" s="132"/>
      <c r="CS137" s="132"/>
      <c r="CT137" s="275"/>
      <c r="CU137" s="143"/>
      <c r="CV137" s="275"/>
      <c r="CW137" s="132"/>
      <c r="CX137" s="132"/>
      <c r="CY137" s="132"/>
      <c r="CZ137" s="113"/>
      <c r="DA137" s="143"/>
      <c r="DB137" s="113"/>
      <c r="DC137" s="33"/>
      <c r="DD137" s="39"/>
      <c r="DE137" s="11"/>
      <c r="DF137" s="132"/>
      <c r="DG137" s="132"/>
      <c r="DH137" s="132"/>
      <c r="DI137" s="132"/>
      <c r="DJ137" s="132"/>
      <c r="DK137" s="132"/>
      <c r="DL137" s="132"/>
      <c r="DM137" s="132"/>
      <c r="DN137" s="132"/>
      <c r="DO137" s="132"/>
      <c r="DP137" s="132"/>
      <c r="DQ137" s="132"/>
      <c r="DR137" s="132"/>
      <c r="DS137" s="132"/>
      <c r="DT137" s="132"/>
      <c r="DU137" s="132"/>
      <c r="DV137" s="132"/>
      <c r="DW137" s="132"/>
      <c r="DX137" s="132"/>
      <c r="DY137" s="132"/>
      <c r="DZ137" s="132"/>
      <c r="EA137" s="132"/>
      <c r="EB137" s="132"/>
      <c r="EC137" s="132"/>
      <c r="ED137" s="132"/>
      <c r="EE137" s="132"/>
      <c r="EF137" s="132"/>
      <c r="EG137" s="132"/>
      <c r="EH137" s="132"/>
      <c r="EI137" s="132"/>
      <c r="EJ137" s="132"/>
      <c r="EK137" s="132"/>
      <c r="EL137" s="132"/>
      <c r="EM137" s="132"/>
      <c r="EN137" s="132"/>
      <c r="EO137" s="132"/>
      <c r="EP137" s="132"/>
      <c r="EQ137" s="132"/>
      <c r="ER137" s="132"/>
      <c r="ES137" s="132"/>
      <c r="ET137" s="11"/>
      <c r="EU137" s="11"/>
      <c r="EV137" s="11"/>
      <c r="EW137" s="11"/>
      <c r="EX137" s="11"/>
      <c r="EY137" s="11"/>
      <c r="EZ137" s="11"/>
      <c r="FA137" s="11"/>
      <c r="FB137" s="11"/>
      <c r="FC137" s="11"/>
      <c r="FD137" s="11"/>
      <c r="FE137" s="11"/>
      <c r="FF137" s="275"/>
      <c r="FG137" s="71"/>
      <c r="FH137" s="39">
        <f t="shared" si="37"/>
        <v>0</v>
      </c>
      <c r="FI137" s="33">
        <f t="shared" si="38"/>
        <v>0</v>
      </c>
      <c r="FJ137" s="84" t="str">
        <f t="shared" si="39"/>
        <v xml:space="preserve"> </v>
      </c>
    </row>
    <row r="138" spans="1:166" ht="38.25" x14ac:dyDescent="0.25">
      <c r="A138" s="79" t="e">
        <f>#REF!</f>
        <v>#REF!</v>
      </c>
      <c r="B138" s="75" t="e">
        <f>#REF!</f>
        <v>#REF!</v>
      </c>
      <c r="C138" s="75" t="e">
        <f>#REF!</f>
        <v>#REF!</v>
      </c>
      <c r="D138" s="75" t="e">
        <f>#REF!</f>
        <v>#REF!</v>
      </c>
      <c r="E138" s="30">
        <v>1</v>
      </c>
      <c r="F138" s="238">
        <v>0</v>
      </c>
      <c r="G138" s="241">
        <v>0</v>
      </c>
      <c r="H138" s="249">
        <v>1226295</v>
      </c>
      <c r="I138" s="249">
        <v>0</v>
      </c>
      <c r="J138" s="249">
        <v>959358.20546179998</v>
      </c>
      <c r="K138" s="249">
        <v>0</v>
      </c>
      <c r="L138" s="274">
        <f>AVERAGE(H138,J138)</f>
        <v>1092826.6027309</v>
      </c>
      <c r="M138" s="274"/>
      <c r="N138" s="245"/>
      <c r="O138" s="113"/>
      <c r="P138" s="113"/>
      <c r="Q138" s="131"/>
      <c r="R138" s="131"/>
      <c r="S138" s="64"/>
      <c r="T138" s="113"/>
      <c r="U138" s="113"/>
      <c r="V138" s="113"/>
      <c r="W138" s="131"/>
      <c r="X138" s="131"/>
      <c r="Y138" s="52"/>
      <c r="Z138" s="117"/>
      <c r="AA138" s="113"/>
      <c r="AB138" s="113"/>
      <c r="AC138" s="131"/>
      <c r="AD138" s="52"/>
      <c r="AE138" s="11"/>
      <c r="AF138" s="118"/>
      <c r="AG138" s="144"/>
      <c r="AH138" s="113"/>
      <c r="AI138" s="11"/>
      <c r="AJ138" s="11"/>
      <c r="AK138" s="39"/>
      <c r="AL138" s="113"/>
      <c r="AM138" s="113"/>
      <c r="AN138" s="117"/>
      <c r="AO138" s="76"/>
      <c r="AP138" s="39"/>
      <c r="AQ138" s="39"/>
      <c r="AR138" s="275">
        <v>1323184</v>
      </c>
      <c r="AS138" s="113">
        <f>+AR138*0.19</f>
        <v>251404.96</v>
      </c>
      <c r="AT138" s="119">
        <f>+AR138+AS138</f>
        <v>1574588.96</v>
      </c>
      <c r="AU138" s="62" t="s">
        <v>228</v>
      </c>
      <c r="AV138" s="62" t="s">
        <v>232</v>
      </c>
      <c r="AW138" s="31"/>
      <c r="AX138" s="116"/>
      <c r="AY138" s="194"/>
      <c r="AZ138" s="143"/>
      <c r="BA138" s="191"/>
      <c r="BB138" s="132"/>
      <c r="BC138" s="132"/>
      <c r="BD138" s="274"/>
      <c r="BE138" s="143"/>
      <c r="BF138" s="143"/>
      <c r="BG138" s="132"/>
      <c r="BH138" s="132"/>
      <c r="BI138" s="132"/>
      <c r="BJ138" s="143"/>
      <c r="BK138" s="143"/>
      <c r="BL138" s="143"/>
      <c r="BM138" s="132"/>
      <c r="BN138" s="132"/>
      <c r="BO138" s="132"/>
      <c r="BP138" s="143">
        <v>523953</v>
      </c>
      <c r="BQ138" s="144">
        <f>BP138*19%</f>
        <v>99551.07</v>
      </c>
      <c r="BR138" s="113">
        <f>+BP138+BQ138</f>
        <v>623504.07000000007</v>
      </c>
      <c r="BS138" s="33" t="s">
        <v>233</v>
      </c>
      <c r="BT138" s="36" t="s">
        <v>234</v>
      </c>
      <c r="BU138" s="5" t="s">
        <v>235</v>
      </c>
      <c r="BV138" s="267">
        <v>6000000</v>
      </c>
      <c r="BW138" s="144">
        <f t="shared" ref="BW138:BW146" si="40">BV138*19%</f>
        <v>1140000</v>
      </c>
      <c r="BX138" s="113">
        <f t="shared" ref="BX138:BX146" si="41">+BV138+BW138</f>
        <v>7140000</v>
      </c>
      <c r="BY138" s="264" t="s">
        <v>236</v>
      </c>
      <c r="BZ138" s="264" t="s">
        <v>237</v>
      </c>
      <c r="CA138" s="132"/>
      <c r="CB138" s="274"/>
      <c r="CC138" s="144"/>
      <c r="CD138" s="274"/>
      <c r="CE138" s="132"/>
      <c r="CF138" s="132"/>
      <c r="CG138" s="36"/>
      <c r="CH138" s="268"/>
      <c r="CI138" s="265"/>
      <c r="CJ138" s="263"/>
      <c r="CK138" s="264"/>
      <c r="CL138" s="264"/>
      <c r="CM138" s="132"/>
      <c r="CN138" s="274"/>
      <c r="CO138" s="144"/>
      <c r="CP138" s="274"/>
      <c r="CQ138" s="132"/>
      <c r="CR138" s="132"/>
      <c r="CS138" s="132"/>
      <c r="CT138" s="274"/>
      <c r="CU138" s="144"/>
      <c r="CV138" s="274"/>
      <c r="CW138" s="132"/>
      <c r="CX138" s="132"/>
      <c r="CY138" s="132"/>
      <c r="CZ138" s="118"/>
      <c r="DA138" s="144"/>
      <c r="DB138" s="118"/>
      <c r="DC138" s="33"/>
      <c r="DD138" s="39"/>
      <c r="DE138" s="11"/>
      <c r="DF138" s="132"/>
      <c r="DG138" s="132"/>
      <c r="DH138" s="132"/>
      <c r="DI138" s="132"/>
      <c r="DJ138" s="132"/>
      <c r="DK138" s="132"/>
      <c r="DL138" s="132"/>
      <c r="DM138" s="132"/>
      <c r="DN138" s="132"/>
      <c r="DO138" s="132"/>
      <c r="DP138" s="132"/>
      <c r="DQ138" s="132"/>
      <c r="DR138" s="132"/>
      <c r="DS138" s="132"/>
      <c r="DT138" s="132"/>
      <c r="DU138" s="132"/>
      <c r="DV138" s="132"/>
      <c r="DW138" s="132"/>
      <c r="DX138" s="132"/>
      <c r="DY138" s="132"/>
      <c r="DZ138" s="132"/>
      <c r="EA138" s="132"/>
      <c r="EB138" s="132"/>
      <c r="EC138" s="132"/>
      <c r="ED138" s="132"/>
      <c r="EE138" s="132"/>
      <c r="EF138" s="132"/>
      <c r="EG138" s="132"/>
      <c r="EH138" s="132"/>
      <c r="EI138" s="132"/>
      <c r="EJ138" s="132"/>
      <c r="EK138" s="132"/>
      <c r="EL138" s="132"/>
      <c r="EM138" s="132"/>
      <c r="EN138" s="132"/>
      <c r="EO138" s="132"/>
      <c r="EP138" s="132"/>
      <c r="EQ138" s="132"/>
      <c r="ER138" s="132"/>
      <c r="ES138" s="132"/>
      <c r="ET138" s="11"/>
      <c r="EU138" s="11"/>
      <c r="EV138" s="11"/>
      <c r="EW138" s="11"/>
      <c r="EX138" s="11"/>
      <c r="EY138" s="11"/>
      <c r="EZ138" s="11"/>
      <c r="FA138" s="11"/>
      <c r="FB138" s="11"/>
      <c r="FC138" s="11"/>
      <c r="FD138" s="11"/>
      <c r="FE138" s="11"/>
      <c r="FF138" s="275"/>
      <c r="FG138" s="71"/>
      <c r="FH138" s="39">
        <f t="shared" si="37"/>
        <v>9338093.0300000012</v>
      </c>
      <c r="FI138" s="33">
        <f t="shared" si="38"/>
        <v>3</v>
      </c>
      <c r="FJ138" s="84">
        <f t="shared" si="39"/>
        <v>3112697.6766666672</v>
      </c>
    </row>
    <row r="139" spans="1:166" ht="38.25" x14ac:dyDescent="0.25">
      <c r="A139" s="79" t="e">
        <f>#REF!</f>
        <v>#REF!</v>
      </c>
      <c r="B139" s="75" t="e">
        <f>#REF!</f>
        <v>#REF!</v>
      </c>
      <c r="C139" s="75" t="e">
        <f>#REF!</f>
        <v>#REF!</v>
      </c>
      <c r="D139" s="75" t="e">
        <f>#REF!</f>
        <v>#REF!</v>
      </c>
      <c r="E139" s="30">
        <v>1</v>
      </c>
      <c r="F139" s="238">
        <v>406980</v>
      </c>
      <c r="G139" s="241">
        <v>406980</v>
      </c>
      <c r="H139" s="249">
        <v>348456.15099999995</v>
      </c>
      <c r="I139" s="249">
        <v>0</v>
      </c>
      <c r="J139" s="249">
        <v>377072.06510399998</v>
      </c>
      <c r="K139" s="249">
        <v>0</v>
      </c>
      <c r="L139" s="274">
        <f>AVERAGE(F139,H139,J139)</f>
        <v>377502.73870133329</v>
      </c>
      <c r="M139" s="274">
        <f>G139*E1</f>
        <v>419189.4</v>
      </c>
      <c r="N139" s="245"/>
      <c r="O139" s="113"/>
      <c r="P139" s="113"/>
      <c r="Q139" s="131"/>
      <c r="R139" s="131"/>
      <c r="S139" s="64"/>
      <c r="T139" s="113">
        <v>341500</v>
      </c>
      <c r="U139" s="118">
        <f>+T139*0.19</f>
        <v>64885</v>
      </c>
      <c r="V139" s="113">
        <f>+U139+T139</f>
        <v>406385</v>
      </c>
      <c r="W139" s="131" t="s">
        <v>238</v>
      </c>
      <c r="X139" s="131"/>
      <c r="Y139" s="52"/>
      <c r="Z139" s="113"/>
      <c r="AA139" s="113"/>
      <c r="AB139" s="113"/>
      <c r="AC139" s="131"/>
      <c r="AD139" s="52"/>
      <c r="AE139" s="11"/>
      <c r="AF139" s="118"/>
      <c r="AG139" s="144"/>
      <c r="AH139" s="113"/>
      <c r="AI139" s="11"/>
      <c r="AJ139" s="11"/>
      <c r="AK139" s="39"/>
      <c r="AL139" s="113"/>
      <c r="AM139" s="113"/>
      <c r="AN139" s="117"/>
      <c r="AO139" s="76"/>
      <c r="AP139" s="39"/>
      <c r="AQ139" s="39"/>
      <c r="AR139" s="275">
        <v>239500</v>
      </c>
      <c r="AS139" s="113">
        <f>+AR139*0.19</f>
        <v>45505</v>
      </c>
      <c r="AT139" s="119">
        <f>+AR139+AS139</f>
        <v>285005</v>
      </c>
      <c r="AU139" s="163" t="s">
        <v>239</v>
      </c>
      <c r="AV139" s="62" t="s">
        <v>147</v>
      </c>
      <c r="AW139" s="31"/>
      <c r="AX139" s="116"/>
      <c r="AY139" s="194"/>
      <c r="AZ139" s="143"/>
      <c r="BA139" s="191"/>
      <c r="BB139" s="132"/>
      <c r="BC139" s="132"/>
      <c r="BD139" s="274"/>
      <c r="BE139" s="143"/>
      <c r="BF139" s="143"/>
      <c r="BG139" s="132"/>
      <c r="BH139" s="132"/>
      <c r="BI139" s="132"/>
      <c r="BJ139" s="143"/>
      <c r="BK139" s="143"/>
      <c r="BL139" s="143"/>
      <c r="BM139" s="132"/>
      <c r="BN139" s="132"/>
      <c r="BO139" s="132"/>
      <c r="BP139" s="143">
        <v>248318</v>
      </c>
      <c r="BQ139" s="144">
        <f>BP139*19%</f>
        <v>47180.42</v>
      </c>
      <c r="BR139" s="113">
        <f>+BP139+BQ139</f>
        <v>295498.42</v>
      </c>
      <c r="BS139" s="33" t="s">
        <v>240</v>
      </c>
      <c r="BT139" s="36" t="s">
        <v>241</v>
      </c>
      <c r="BU139" s="5" t="s">
        <v>242</v>
      </c>
      <c r="BV139" s="267">
        <v>1379500</v>
      </c>
      <c r="BW139" s="144">
        <f t="shared" si="40"/>
        <v>262105</v>
      </c>
      <c r="BX139" s="113">
        <f t="shared" si="41"/>
        <v>1641605</v>
      </c>
      <c r="BY139" s="264" t="s">
        <v>243</v>
      </c>
      <c r="BZ139" s="264" t="s">
        <v>244</v>
      </c>
      <c r="CA139" s="132"/>
      <c r="CB139" s="274"/>
      <c r="CC139" s="144"/>
      <c r="CD139" s="274"/>
      <c r="CE139" s="132"/>
      <c r="CF139" s="132"/>
      <c r="CG139" s="36"/>
      <c r="CH139" s="263"/>
      <c r="CI139" s="265"/>
      <c r="CJ139" s="263"/>
      <c r="CK139" s="264"/>
      <c r="CL139" s="264"/>
      <c r="CM139" s="132"/>
      <c r="CN139" s="274"/>
      <c r="CO139" s="144"/>
      <c r="CP139" s="274"/>
      <c r="CQ139" s="132"/>
      <c r="CR139" s="132"/>
      <c r="CS139" s="132"/>
      <c r="CT139" s="274"/>
      <c r="CU139" s="144"/>
      <c r="CV139" s="274"/>
      <c r="CW139" s="132"/>
      <c r="CX139" s="132"/>
      <c r="CY139" s="132"/>
      <c r="CZ139" s="118"/>
      <c r="DA139" s="144"/>
      <c r="DB139" s="118"/>
      <c r="DC139" s="33"/>
      <c r="DD139" s="39"/>
      <c r="DE139" s="11"/>
      <c r="DF139" s="132"/>
      <c r="DG139" s="132"/>
      <c r="DH139" s="132"/>
      <c r="DI139" s="132"/>
      <c r="DJ139" s="132"/>
      <c r="DK139" s="132"/>
      <c r="DL139" s="132"/>
      <c r="DM139" s="132"/>
      <c r="DN139" s="132"/>
      <c r="DO139" s="132"/>
      <c r="DP139" s="132"/>
      <c r="DQ139" s="132"/>
      <c r="DR139" s="132"/>
      <c r="DS139" s="132"/>
      <c r="DT139" s="132"/>
      <c r="DU139" s="132"/>
      <c r="DV139" s="132"/>
      <c r="DW139" s="132"/>
      <c r="DX139" s="132"/>
      <c r="DY139" s="132"/>
      <c r="DZ139" s="132"/>
      <c r="EA139" s="132"/>
      <c r="EB139" s="132"/>
      <c r="EC139" s="132"/>
      <c r="ED139" s="132"/>
      <c r="EE139" s="132"/>
      <c r="EF139" s="132"/>
      <c r="EG139" s="132"/>
      <c r="EH139" s="132"/>
      <c r="EI139" s="132"/>
      <c r="EJ139" s="132"/>
      <c r="EK139" s="132"/>
      <c r="EL139" s="132"/>
      <c r="EM139" s="132"/>
      <c r="EN139" s="132"/>
      <c r="EO139" s="132"/>
      <c r="EP139" s="132"/>
      <c r="EQ139" s="132"/>
      <c r="ER139" s="132"/>
      <c r="ES139" s="132"/>
      <c r="ET139" s="11"/>
      <c r="EU139" s="11"/>
      <c r="EV139" s="11"/>
      <c r="EW139" s="11"/>
      <c r="EX139" s="11"/>
      <c r="EY139" s="11"/>
      <c r="EZ139" s="11"/>
      <c r="FA139" s="11"/>
      <c r="FB139" s="11"/>
      <c r="FC139" s="11"/>
      <c r="FD139" s="11"/>
      <c r="FE139" s="11"/>
      <c r="FF139" s="11"/>
      <c r="FG139" s="11"/>
      <c r="FH139" s="39">
        <f t="shared" si="37"/>
        <v>3047682.82</v>
      </c>
      <c r="FI139" s="33">
        <f t="shared" si="38"/>
        <v>5</v>
      </c>
      <c r="FJ139" s="84">
        <f t="shared" si="39"/>
        <v>609536.56400000001</v>
      </c>
    </row>
    <row r="140" spans="1:166" ht="53.25" customHeight="1" x14ac:dyDescent="0.25">
      <c r="A140" s="79" t="e">
        <f>#REF!</f>
        <v>#REF!</v>
      </c>
      <c r="B140" s="75" t="e">
        <f>#REF!</f>
        <v>#REF!</v>
      </c>
      <c r="C140" s="75" t="e">
        <f>#REF!</f>
        <v>#REF!</v>
      </c>
      <c r="D140" s="75" t="e">
        <f>#REF!</f>
        <v>#REF!</v>
      </c>
      <c r="E140" s="30">
        <v>1</v>
      </c>
      <c r="F140" s="238">
        <v>341774.74333333335</v>
      </c>
      <c r="G140" s="241">
        <v>331415</v>
      </c>
      <c r="H140" s="249">
        <v>535500</v>
      </c>
      <c r="I140" s="249">
        <v>0</v>
      </c>
      <c r="J140" s="249">
        <v>0</v>
      </c>
      <c r="K140" s="249">
        <v>0</v>
      </c>
      <c r="L140" s="274">
        <f>AVERAGE(F140,H140)</f>
        <v>438637.3716666667</v>
      </c>
      <c r="M140" s="274">
        <f>G140*E1</f>
        <v>341357.45</v>
      </c>
      <c r="N140" s="245"/>
      <c r="O140" s="113"/>
      <c r="P140" s="113"/>
      <c r="Q140" s="131"/>
      <c r="R140" s="131"/>
      <c r="S140" s="64"/>
      <c r="T140" s="113"/>
      <c r="U140" s="117"/>
      <c r="V140" s="113"/>
      <c r="W140" s="131"/>
      <c r="X140" s="131"/>
      <c r="Y140" s="11"/>
      <c r="Z140" s="113"/>
      <c r="AA140" s="113"/>
      <c r="AB140" s="113"/>
      <c r="AC140" s="52"/>
      <c r="AD140" s="52"/>
      <c r="AE140" s="11"/>
      <c r="AF140" s="118"/>
      <c r="AG140" s="144"/>
      <c r="AH140" s="113"/>
      <c r="AI140" s="11"/>
      <c r="AJ140" s="11"/>
      <c r="AK140" s="39"/>
      <c r="AL140" s="113"/>
      <c r="AM140" s="113"/>
      <c r="AN140" s="117"/>
      <c r="AO140" s="76"/>
      <c r="AP140" s="39"/>
      <c r="AQ140" s="39"/>
      <c r="AR140" s="275"/>
      <c r="AS140" s="156"/>
      <c r="AT140" s="157"/>
      <c r="AU140" s="62"/>
      <c r="AV140" s="62"/>
      <c r="AW140" s="31"/>
      <c r="AX140" s="116"/>
      <c r="AY140" s="194"/>
      <c r="AZ140" s="143"/>
      <c r="BA140" s="191"/>
      <c r="BB140" s="132"/>
      <c r="BC140" s="132"/>
      <c r="BD140" s="274"/>
      <c r="BE140" s="143"/>
      <c r="BF140" s="143"/>
      <c r="BG140" s="132"/>
      <c r="BH140" s="132"/>
      <c r="BI140" s="132"/>
      <c r="BJ140" s="143"/>
      <c r="BK140" s="143"/>
      <c r="BL140" s="143"/>
      <c r="BM140" s="132"/>
      <c r="BN140" s="132"/>
      <c r="BO140" s="132"/>
      <c r="BP140" s="143"/>
      <c r="BQ140" s="132"/>
      <c r="BR140" s="132"/>
      <c r="BS140" s="132"/>
      <c r="BT140" s="132"/>
      <c r="BU140" s="132"/>
      <c r="BV140" s="267">
        <v>2000000</v>
      </c>
      <c r="BW140" s="144">
        <f t="shared" si="40"/>
        <v>380000</v>
      </c>
      <c r="BX140" s="113">
        <f t="shared" si="41"/>
        <v>2380000</v>
      </c>
      <c r="BY140" s="264" t="s">
        <v>245</v>
      </c>
      <c r="BZ140" s="264" t="s">
        <v>37</v>
      </c>
      <c r="CA140" s="132"/>
      <c r="CB140" s="274"/>
      <c r="CC140" s="144"/>
      <c r="CD140" s="274"/>
      <c r="CE140" s="132"/>
      <c r="CF140" s="132"/>
      <c r="CG140" s="36"/>
      <c r="CH140" s="268"/>
      <c r="CI140" s="265"/>
      <c r="CJ140" s="263"/>
      <c r="CK140" s="264"/>
      <c r="CL140" s="264"/>
      <c r="CM140" s="132"/>
      <c r="CN140" s="274"/>
      <c r="CO140" s="144"/>
      <c r="CP140" s="274"/>
      <c r="CQ140" s="132"/>
      <c r="CR140" s="132"/>
      <c r="CS140" s="132"/>
      <c r="CT140" s="274"/>
      <c r="CU140" s="144"/>
      <c r="CV140" s="274"/>
      <c r="CW140" s="132"/>
      <c r="CX140" s="132"/>
      <c r="CY140" s="132"/>
      <c r="CZ140" s="118">
        <v>202314</v>
      </c>
      <c r="DA140" s="144">
        <f>+CZ140*0.19</f>
        <v>38439.660000000003</v>
      </c>
      <c r="DB140" s="118">
        <f>+CZ140+DA140</f>
        <v>240753.66</v>
      </c>
      <c r="DC140" s="33" t="s">
        <v>173</v>
      </c>
      <c r="DD140" s="39" t="s">
        <v>58</v>
      </c>
      <c r="DE140" s="11" t="s">
        <v>246</v>
      </c>
      <c r="DF140" s="132"/>
      <c r="DG140" s="132"/>
      <c r="DH140" s="132"/>
      <c r="DI140" s="132"/>
      <c r="DJ140" s="132"/>
      <c r="DK140" s="132"/>
      <c r="DL140" s="132"/>
      <c r="DM140" s="132"/>
      <c r="DN140" s="132"/>
      <c r="DO140" s="132"/>
      <c r="DP140" s="132"/>
      <c r="DQ140" s="132"/>
      <c r="DR140" s="132"/>
      <c r="DS140" s="132"/>
      <c r="DT140" s="132"/>
      <c r="DU140" s="132"/>
      <c r="DV140" s="132"/>
      <c r="DW140" s="132"/>
      <c r="DX140" s="132"/>
      <c r="DY140" s="132"/>
      <c r="DZ140" s="132"/>
      <c r="EA140" s="132"/>
      <c r="EB140" s="132"/>
      <c r="EC140" s="132"/>
      <c r="ED140" s="132"/>
      <c r="EE140" s="132"/>
      <c r="EF140" s="132"/>
      <c r="EG140" s="132"/>
      <c r="EH140" s="132"/>
      <c r="EI140" s="132"/>
      <c r="EJ140" s="132"/>
      <c r="EK140" s="132"/>
      <c r="EL140" s="132"/>
      <c r="EM140" s="132"/>
      <c r="EN140" s="132"/>
      <c r="EO140" s="132"/>
      <c r="EP140" s="132"/>
      <c r="EQ140" s="132"/>
      <c r="ER140" s="132"/>
      <c r="ES140" s="132"/>
      <c r="ET140" s="11"/>
      <c r="EU140" s="11"/>
      <c r="EV140" s="11"/>
      <c r="EW140" s="11"/>
      <c r="EX140" s="11"/>
      <c r="EY140" s="11"/>
      <c r="EZ140" s="11"/>
      <c r="FA140" s="11"/>
      <c r="FB140" s="11"/>
      <c r="FC140" s="11"/>
      <c r="FD140" s="11"/>
      <c r="FE140" s="11"/>
      <c r="FF140" s="11"/>
      <c r="FG140" s="11"/>
      <c r="FH140" s="39">
        <f t="shared" si="37"/>
        <v>2962111.1100000003</v>
      </c>
      <c r="FI140" s="33">
        <f t="shared" si="38"/>
        <v>3</v>
      </c>
      <c r="FJ140" s="84">
        <f t="shared" si="39"/>
        <v>987370.37000000011</v>
      </c>
    </row>
    <row r="141" spans="1:166" ht="53.25" customHeight="1" x14ac:dyDescent="0.25">
      <c r="A141" s="79" t="e">
        <f>#REF!</f>
        <v>#REF!</v>
      </c>
      <c r="B141" s="75" t="e">
        <f>#REF!</f>
        <v>#REF!</v>
      </c>
      <c r="C141" s="75" t="e">
        <f>#REF!</f>
        <v>#REF!</v>
      </c>
      <c r="D141" s="75" t="e">
        <f>#REF!</f>
        <v>#REF!</v>
      </c>
      <c r="E141" s="30">
        <v>1</v>
      </c>
      <c r="F141" s="238">
        <v>159073.25</v>
      </c>
      <c r="G141" s="241">
        <v>156604</v>
      </c>
      <c r="H141" s="249">
        <v>215297.68280937499</v>
      </c>
      <c r="I141" s="249">
        <v>215271</v>
      </c>
      <c r="J141" s="249">
        <v>216054.734</v>
      </c>
      <c r="K141" s="249">
        <v>211701</v>
      </c>
      <c r="L141" s="274">
        <f>AVERAGE(F141,H141,J141)</f>
        <v>196808.55560312499</v>
      </c>
      <c r="M141" s="274">
        <f>AVERAGE(G141,I141,K141)*E1</f>
        <v>200361.09333333335</v>
      </c>
      <c r="N141" s="245"/>
      <c r="O141" s="113"/>
      <c r="P141" s="113"/>
      <c r="Q141" s="131"/>
      <c r="R141" s="131"/>
      <c r="S141" s="64"/>
      <c r="T141" s="113"/>
      <c r="U141" s="113"/>
      <c r="V141" s="113"/>
      <c r="W141" s="131"/>
      <c r="X141" s="131"/>
      <c r="Y141" s="11"/>
      <c r="Z141" s="113"/>
      <c r="AA141" s="113"/>
      <c r="AB141" s="113"/>
      <c r="AC141" s="52"/>
      <c r="AD141" s="52"/>
      <c r="AE141" s="11"/>
      <c r="AF141" s="118">
        <v>290000</v>
      </c>
      <c r="AG141" s="144">
        <f>AF141*19%</f>
        <v>55100</v>
      </c>
      <c r="AH141" s="113">
        <f>+AF141+AG141</f>
        <v>345100</v>
      </c>
      <c r="AI141" s="11"/>
      <c r="AJ141" s="11"/>
      <c r="AK141" s="39"/>
      <c r="AL141" s="113">
        <v>111000</v>
      </c>
      <c r="AM141" s="113">
        <f>+AL141*0.19</f>
        <v>21090</v>
      </c>
      <c r="AN141" s="119">
        <f>+AL141+AM141</f>
        <v>132090</v>
      </c>
      <c r="AO141" s="76" t="s">
        <v>49</v>
      </c>
      <c r="AP141" s="266" t="s">
        <v>45</v>
      </c>
      <c r="AQ141" s="39"/>
      <c r="AR141" s="275">
        <v>280613</v>
      </c>
      <c r="AS141" s="113">
        <f>+AR141*0.19</f>
        <v>53316.47</v>
      </c>
      <c r="AT141" s="119">
        <f>+AR141+AS141</f>
        <v>333929.46999999997</v>
      </c>
      <c r="AU141" s="62" t="s">
        <v>150</v>
      </c>
      <c r="AV141" s="62" t="s">
        <v>35</v>
      </c>
      <c r="AW141" s="31"/>
      <c r="AX141" s="116"/>
      <c r="AY141" s="196"/>
      <c r="AZ141" s="143"/>
      <c r="BA141" s="191"/>
      <c r="BB141" s="132"/>
      <c r="BC141" s="132"/>
      <c r="BD141" s="274"/>
      <c r="BE141" s="143"/>
      <c r="BF141" s="143"/>
      <c r="BG141" s="132"/>
      <c r="BH141" s="132"/>
      <c r="BI141" s="132"/>
      <c r="BJ141" s="143"/>
      <c r="BK141" s="143"/>
      <c r="BL141" s="143"/>
      <c r="BM141" s="132"/>
      <c r="BN141" s="132"/>
      <c r="BO141" s="132"/>
      <c r="BP141" s="143"/>
      <c r="BQ141" s="132"/>
      <c r="BR141" s="132"/>
      <c r="BS141" s="132"/>
      <c r="BT141" s="132"/>
      <c r="BU141" s="132"/>
      <c r="BV141" s="267">
        <v>189800</v>
      </c>
      <c r="BW141" s="144">
        <f t="shared" si="40"/>
        <v>36062</v>
      </c>
      <c r="BX141" s="113">
        <f t="shared" si="41"/>
        <v>225862</v>
      </c>
      <c r="BY141" s="264" t="s">
        <v>247</v>
      </c>
      <c r="BZ141" s="264" t="s">
        <v>88</v>
      </c>
      <c r="CA141" s="132"/>
      <c r="CB141" s="274">
        <v>96500</v>
      </c>
      <c r="CC141" s="144">
        <f>+CB141*19%</f>
        <v>18335</v>
      </c>
      <c r="CD141" s="274">
        <f>+CC141+CB141</f>
        <v>114835</v>
      </c>
      <c r="CE141" s="132"/>
      <c r="CF141" s="132"/>
      <c r="CG141" s="36"/>
      <c r="CH141" s="263"/>
      <c r="CI141" s="265"/>
      <c r="CJ141" s="263"/>
      <c r="CK141" s="264"/>
      <c r="CL141" s="264"/>
      <c r="CM141" s="132"/>
      <c r="CN141" s="274"/>
      <c r="CO141" s="144"/>
      <c r="CP141" s="274"/>
      <c r="CQ141" s="132"/>
      <c r="CR141" s="132"/>
      <c r="CS141" s="132"/>
      <c r="CT141" s="274"/>
      <c r="CU141" s="144"/>
      <c r="CV141" s="274"/>
      <c r="CW141" s="132"/>
      <c r="CX141" s="132"/>
      <c r="CY141" s="132"/>
      <c r="CZ141" s="118">
        <v>80552</v>
      </c>
      <c r="DA141" s="144">
        <f>+CZ141*0.19</f>
        <v>15304.880000000001</v>
      </c>
      <c r="DB141" s="118">
        <f>+CZ141+DA141</f>
        <v>95856.88</v>
      </c>
      <c r="DC141" s="33" t="s">
        <v>67</v>
      </c>
      <c r="DD141" s="39" t="s">
        <v>58</v>
      </c>
      <c r="DE141" s="11">
        <v>1094381000</v>
      </c>
      <c r="DF141" s="132"/>
      <c r="DG141" s="132"/>
      <c r="DH141" s="132"/>
      <c r="DI141" s="132"/>
      <c r="DJ141" s="132"/>
      <c r="DK141" s="132"/>
      <c r="DL141" s="132"/>
      <c r="DM141" s="132"/>
      <c r="DN141" s="132"/>
      <c r="DO141" s="132"/>
      <c r="DP141" s="132"/>
      <c r="DQ141" s="132"/>
      <c r="DR141" s="132"/>
      <c r="DS141" s="132"/>
      <c r="DT141" s="132"/>
      <c r="DU141" s="132"/>
      <c r="DV141" s="132"/>
      <c r="DW141" s="132"/>
      <c r="DX141" s="132"/>
      <c r="DY141" s="132"/>
      <c r="DZ141" s="132"/>
      <c r="EA141" s="132"/>
      <c r="EB141" s="132"/>
      <c r="EC141" s="132"/>
      <c r="ED141" s="132"/>
      <c r="EE141" s="132"/>
      <c r="EF141" s="132"/>
      <c r="EG141" s="132"/>
      <c r="EH141" s="132"/>
      <c r="EI141" s="132"/>
      <c r="EJ141" s="132"/>
      <c r="EK141" s="132"/>
      <c r="EL141" s="132"/>
      <c r="EM141" s="132"/>
      <c r="EN141" s="132"/>
      <c r="EO141" s="132"/>
      <c r="EP141" s="132"/>
      <c r="EQ141" s="132"/>
      <c r="ER141" s="132"/>
      <c r="ES141" s="132"/>
      <c r="ET141" s="11"/>
      <c r="EU141" s="11"/>
      <c r="EV141" s="11"/>
      <c r="EW141" s="11"/>
      <c r="EX141" s="11"/>
      <c r="EY141" s="11"/>
      <c r="EZ141" s="11"/>
      <c r="FA141" s="11"/>
      <c r="FB141" s="11"/>
      <c r="FC141" s="11"/>
      <c r="FD141" s="11"/>
      <c r="FE141" s="11"/>
      <c r="FF141" s="11"/>
      <c r="FG141" s="11"/>
      <c r="FH141" s="39">
        <f t="shared" si="37"/>
        <v>1448034.4433333334</v>
      </c>
      <c r="FI141" s="33">
        <f t="shared" si="38"/>
        <v>7</v>
      </c>
      <c r="FJ141" s="84">
        <f t="shared" si="39"/>
        <v>206862.06333333332</v>
      </c>
    </row>
    <row r="142" spans="1:166" ht="53.25" customHeight="1" x14ac:dyDescent="0.25">
      <c r="A142" s="79" t="e">
        <f>#REF!</f>
        <v>#REF!</v>
      </c>
      <c r="B142" s="75" t="e">
        <f>#REF!</f>
        <v>#REF!</v>
      </c>
      <c r="C142" s="75" t="e">
        <f>#REF!</f>
        <v>#REF!</v>
      </c>
      <c r="D142" s="75" t="e">
        <f>#REF!</f>
        <v>#REF!</v>
      </c>
      <c r="E142" s="30">
        <v>1</v>
      </c>
      <c r="F142" s="238">
        <v>0</v>
      </c>
      <c r="G142" s="241">
        <v>0</v>
      </c>
      <c r="H142" s="249">
        <v>0</v>
      </c>
      <c r="I142" s="249">
        <v>0</v>
      </c>
      <c r="J142" s="249">
        <v>0</v>
      </c>
      <c r="K142" s="249">
        <v>0</v>
      </c>
      <c r="L142" s="274"/>
      <c r="M142" s="274"/>
      <c r="N142" s="245"/>
      <c r="O142" s="113"/>
      <c r="P142" s="113"/>
      <c r="Q142" s="131"/>
      <c r="R142" s="131"/>
      <c r="S142" s="64"/>
      <c r="T142" s="113"/>
      <c r="U142" s="117"/>
      <c r="V142" s="113"/>
      <c r="W142" s="131"/>
      <c r="X142" s="131"/>
      <c r="Y142" s="11"/>
      <c r="Z142" s="113"/>
      <c r="AA142" s="113"/>
      <c r="AB142" s="113"/>
      <c r="AC142" s="52"/>
      <c r="AD142" s="52"/>
      <c r="AE142" s="11"/>
      <c r="AF142" s="118">
        <v>290000</v>
      </c>
      <c r="AG142" s="144">
        <f>AF142*19%</f>
        <v>55100</v>
      </c>
      <c r="AH142" s="113">
        <f>+AF142+AG142</f>
        <v>345100</v>
      </c>
      <c r="AI142" s="11"/>
      <c r="AJ142" s="11"/>
      <c r="AK142" s="39"/>
      <c r="AL142" s="113"/>
      <c r="AM142" s="113"/>
      <c r="AN142" s="117"/>
      <c r="AO142" s="76"/>
      <c r="AP142" s="39"/>
      <c r="AQ142" s="39"/>
      <c r="AR142" s="275"/>
      <c r="AS142" s="156"/>
      <c r="AT142" s="157"/>
      <c r="AU142" s="62"/>
      <c r="AV142" s="62"/>
      <c r="AW142" s="31"/>
      <c r="AX142" s="116"/>
      <c r="AY142" s="194"/>
      <c r="AZ142" s="143"/>
      <c r="BA142" s="191"/>
      <c r="BB142" s="132"/>
      <c r="BC142" s="132"/>
      <c r="BD142" s="274"/>
      <c r="BE142" s="143"/>
      <c r="BF142" s="143"/>
      <c r="BG142" s="132"/>
      <c r="BH142" s="132"/>
      <c r="BI142" s="132"/>
      <c r="BJ142" s="143"/>
      <c r="BK142" s="143"/>
      <c r="BL142" s="143"/>
      <c r="BM142" s="132"/>
      <c r="BN142" s="132"/>
      <c r="BO142" s="132"/>
      <c r="BP142" s="143"/>
      <c r="BQ142" s="132"/>
      <c r="BR142" s="132"/>
      <c r="BS142" s="132"/>
      <c r="BT142" s="132"/>
      <c r="BU142" s="132"/>
      <c r="BV142" s="267">
        <v>392100</v>
      </c>
      <c r="BW142" s="144">
        <f t="shared" si="40"/>
        <v>74499</v>
      </c>
      <c r="BX142" s="113">
        <f t="shared" si="41"/>
        <v>466599</v>
      </c>
      <c r="BY142" s="264" t="s">
        <v>247</v>
      </c>
      <c r="BZ142" s="264" t="s">
        <v>88</v>
      </c>
      <c r="CA142" s="132"/>
      <c r="CB142" s="274">
        <v>135000</v>
      </c>
      <c r="CC142" s="144">
        <f>+CB142*19%</f>
        <v>25650</v>
      </c>
      <c r="CD142" s="274">
        <f>+CC142+CB142</f>
        <v>160650</v>
      </c>
      <c r="CE142" s="132"/>
      <c r="CF142" s="132"/>
      <c r="CG142" s="36"/>
      <c r="CH142" s="263"/>
      <c r="CI142" s="265"/>
      <c r="CJ142" s="263"/>
      <c r="CK142" s="264"/>
      <c r="CL142" s="264"/>
      <c r="CM142" s="132"/>
      <c r="CN142" s="274"/>
      <c r="CO142" s="144"/>
      <c r="CP142" s="274"/>
      <c r="CQ142" s="132"/>
      <c r="CR142" s="132"/>
      <c r="CS142" s="132"/>
      <c r="CT142" s="274"/>
      <c r="CU142" s="144"/>
      <c r="CV142" s="274"/>
      <c r="CW142" s="132"/>
      <c r="CX142" s="132"/>
      <c r="CY142" s="132"/>
      <c r="CZ142" s="118">
        <v>162759</v>
      </c>
      <c r="DA142" s="144">
        <f>+CZ142*0.19</f>
        <v>30924.21</v>
      </c>
      <c r="DB142" s="118">
        <f>+CZ142+DA142</f>
        <v>193683.21</v>
      </c>
      <c r="DC142" s="33" t="s">
        <v>248</v>
      </c>
      <c r="DD142" s="39" t="s">
        <v>58</v>
      </c>
      <c r="DE142" s="11">
        <v>1094331000</v>
      </c>
      <c r="DF142" s="132"/>
      <c r="DG142" s="132"/>
      <c r="DH142" s="132"/>
      <c r="DI142" s="132"/>
      <c r="DJ142" s="132"/>
      <c r="DK142" s="132"/>
      <c r="DL142" s="132"/>
      <c r="DM142" s="132"/>
      <c r="DN142" s="132"/>
      <c r="DO142" s="132"/>
      <c r="DP142" s="132"/>
      <c r="DQ142" s="132"/>
      <c r="DR142" s="132"/>
      <c r="DS142" s="132"/>
      <c r="DT142" s="132"/>
      <c r="DU142" s="132"/>
      <c r="DV142" s="132"/>
      <c r="DW142" s="132"/>
      <c r="DX142" s="132"/>
      <c r="DY142" s="132"/>
      <c r="DZ142" s="132"/>
      <c r="EA142" s="132"/>
      <c r="EB142" s="132"/>
      <c r="EC142" s="132"/>
      <c r="ED142" s="132"/>
      <c r="EE142" s="132"/>
      <c r="EF142" s="132"/>
      <c r="EG142" s="132"/>
      <c r="EH142" s="132"/>
      <c r="EI142" s="132"/>
      <c r="EJ142" s="132"/>
      <c r="EK142" s="132"/>
      <c r="EL142" s="132"/>
      <c r="EM142" s="132"/>
      <c r="EN142" s="132"/>
      <c r="EO142" s="132"/>
      <c r="EP142" s="132"/>
      <c r="EQ142" s="132"/>
      <c r="ER142" s="132"/>
      <c r="ES142" s="132"/>
      <c r="ET142" s="11"/>
      <c r="EU142" s="11"/>
      <c r="EV142" s="11"/>
      <c r="EW142" s="11"/>
      <c r="EX142" s="11"/>
      <c r="EY142" s="11"/>
      <c r="EZ142" s="11"/>
      <c r="FA142" s="11"/>
      <c r="FB142" s="11"/>
      <c r="FC142" s="11"/>
      <c r="FD142" s="11"/>
      <c r="FE142" s="11"/>
      <c r="FF142" s="11"/>
      <c r="FG142" s="11"/>
      <c r="FH142" s="39">
        <f t="shared" si="37"/>
        <v>1166032.21</v>
      </c>
      <c r="FI142" s="33">
        <f t="shared" si="38"/>
        <v>4</v>
      </c>
      <c r="FJ142" s="84">
        <f t="shared" si="39"/>
        <v>291508.05249999999</v>
      </c>
    </row>
    <row r="143" spans="1:166" ht="54" customHeight="1" x14ac:dyDescent="0.25">
      <c r="A143" s="79" t="e">
        <f>#REF!</f>
        <v>#REF!</v>
      </c>
      <c r="B143" s="75" t="e">
        <f>#REF!</f>
        <v>#REF!</v>
      </c>
      <c r="C143" s="75" t="e">
        <f>#REF!</f>
        <v>#REF!</v>
      </c>
      <c r="D143" s="75" t="e">
        <f>#REF!</f>
        <v>#REF!</v>
      </c>
      <c r="E143" s="30">
        <v>1</v>
      </c>
      <c r="F143" s="238">
        <v>137593.75</v>
      </c>
      <c r="G143" s="241">
        <v>134113</v>
      </c>
      <c r="H143" s="249">
        <v>164109.71445312499</v>
      </c>
      <c r="I143" s="249">
        <v>164101</v>
      </c>
      <c r="J143" s="249">
        <v>165965.73000000001</v>
      </c>
      <c r="K143" s="249">
        <v>162673</v>
      </c>
      <c r="L143" s="274">
        <f>AVERAGE(F143,H143,J143)</f>
        <v>155889.73148437499</v>
      </c>
      <c r="M143" s="274">
        <f>AVERAGE(G143,I143,K143)*E1</f>
        <v>158237.87</v>
      </c>
      <c r="N143" s="245"/>
      <c r="O143" s="113"/>
      <c r="P143" s="113"/>
      <c r="Q143" s="131"/>
      <c r="R143" s="131"/>
      <c r="S143" s="64"/>
      <c r="T143" s="113"/>
      <c r="U143" s="117"/>
      <c r="V143" s="113"/>
      <c r="W143" s="131"/>
      <c r="X143" s="131"/>
      <c r="Y143" s="11"/>
      <c r="Z143" s="113"/>
      <c r="AA143" s="113"/>
      <c r="AB143" s="113"/>
      <c r="AC143" s="52"/>
      <c r="AD143" s="52"/>
      <c r="AE143" s="11"/>
      <c r="AF143" s="118">
        <v>120000</v>
      </c>
      <c r="AG143" s="144">
        <f>AF143*19%</f>
        <v>22800</v>
      </c>
      <c r="AH143" s="113">
        <f>+AF143+AG143</f>
        <v>142800</v>
      </c>
      <c r="AI143" s="11"/>
      <c r="AJ143" s="11"/>
      <c r="AK143" s="39"/>
      <c r="AL143" s="113">
        <v>98000</v>
      </c>
      <c r="AM143" s="113">
        <f>+AL143*0.19</f>
        <v>18620</v>
      </c>
      <c r="AN143" s="119">
        <f>+AL143+AM143</f>
        <v>116620</v>
      </c>
      <c r="AO143" s="76" t="s">
        <v>49</v>
      </c>
      <c r="AP143" s="266" t="s">
        <v>45</v>
      </c>
      <c r="AQ143" s="39"/>
      <c r="AR143" s="275">
        <v>252000</v>
      </c>
      <c r="AS143" s="113">
        <f>+AR143*0.19</f>
        <v>47880</v>
      </c>
      <c r="AT143" s="119">
        <f>+AR143+AS143</f>
        <v>299880</v>
      </c>
      <c r="AU143" s="62" t="s">
        <v>150</v>
      </c>
      <c r="AV143" s="62" t="s">
        <v>35</v>
      </c>
      <c r="AW143" s="31"/>
      <c r="AX143" s="116"/>
      <c r="AY143" s="194"/>
      <c r="AZ143" s="143"/>
      <c r="BA143" s="191"/>
      <c r="BB143" s="132"/>
      <c r="BC143" s="132"/>
      <c r="BD143" s="274"/>
      <c r="BE143" s="143"/>
      <c r="BF143" s="143"/>
      <c r="BG143" s="132"/>
      <c r="BH143" s="132"/>
      <c r="BI143" s="132"/>
      <c r="BJ143" s="143"/>
      <c r="BK143" s="143"/>
      <c r="BL143" s="143"/>
      <c r="BM143" s="132"/>
      <c r="BN143" s="132"/>
      <c r="BO143" s="132"/>
      <c r="BP143" s="143"/>
      <c r="BQ143" s="132"/>
      <c r="BR143" s="132"/>
      <c r="BS143" s="132"/>
      <c r="BT143" s="132"/>
      <c r="BU143" s="132"/>
      <c r="BV143" s="267">
        <v>150500</v>
      </c>
      <c r="BW143" s="144">
        <f t="shared" si="40"/>
        <v>28595</v>
      </c>
      <c r="BX143" s="113">
        <f t="shared" si="41"/>
        <v>179095</v>
      </c>
      <c r="BY143" s="264" t="s">
        <v>247</v>
      </c>
      <c r="BZ143" s="264" t="s">
        <v>88</v>
      </c>
      <c r="CA143" s="132"/>
      <c r="CB143" s="274">
        <v>98500</v>
      </c>
      <c r="CC143" s="144">
        <f>+CB143*19%</f>
        <v>18715</v>
      </c>
      <c r="CD143" s="274">
        <f>+CC143+CB143</f>
        <v>117215</v>
      </c>
      <c r="CE143" s="132"/>
      <c r="CF143" s="132"/>
      <c r="CG143" s="36"/>
      <c r="CH143" s="263"/>
      <c r="CI143" s="265"/>
      <c r="CJ143" s="263"/>
      <c r="CK143" s="264"/>
      <c r="CL143" s="264"/>
      <c r="CM143" s="132"/>
      <c r="CN143" s="274"/>
      <c r="CO143" s="144"/>
      <c r="CP143" s="274"/>
      <c r="CQ143" s="132"/>
      <c r="CR143" s="132"/>
      <c r="CS143" s="132"/>
      <c r="CT143" s="274"/>
      <c r="CU143" s="144"/>
      <c r="CV143" s="274"/>
      <c r="CW143" s="132"/>
      <c r="CX143" s="132"/>
      <c r="CY143" s="132"/>
      <c r="CZ143" s="118">
        <v>89931</v>
      </c>
      <c r="DA143" s="144">
        <f>+CZ143*0.19</f>
        <v>17086.89</v>
      </c>
      <c r="DB143" s="118">
        <f>+CZ143+DA143</f>
        <v>107017.89</v>
      </c>
      <c r="DC143" s="33" t="s">
        <v>67</v>
      </c>
      <c r="DD143" s="39" t="s">
        <v>58</v>
      </c>
      <c r="DE143" s="11">
        <v>1094061000</v>
      </c>
      <c r="DF143" s="132"/>
      <c r="DG143" s="132"/>
      <c r="DH143" s="132"/>
      <c r="DI143" s="132"/>
      <c r="DJ143" s="132"/>
      <c r="DK143" s="132"/>
      <c r="DL143" s="132"/>
      <c r="DM143" s="132"/>
      <c r="DN143" s="132"/>
      <c r="DO143" s="132"/>
      <c r="DP143" s="132"/>
      <c r="DQ143" s="132"/>
      <c r="DR143" s="132"/>
      <c r="DS143" s="132"/>
      <c r="DT143" s="132"/>
      <c r="DU143" s="132"/>
      <c r="DV143" s="132"/>
      <c r="DW143" s="132"/>
      <c r="DX143" s="132"/>
      <c r="DY143" s="132"/>
      <c r="DZ143" s="132"/>
      <c r="EA143" s="132"/>
      <c r="EB143" s="132"/>
      <c r="EC143" s="132"/>
      <c r="ED143" s="132"/>
      <c r="EE143" s="132"/>
      <c r="EF143" s="132"/>
      <c r="EG143" s="132"/>
      <c r="EH143" s="132"/>
      <c r="EI143" s="132"/>
      <c r="EJ143" s="132"/>
      <c r="EK143" s="132"/>
      <c r="EL143" s="132"/>
      <c r="EM143" s="132"/>
      <c r="EN143" s="132"/>
      <c r="EO143" s="132"/>
      <c r="EP143" s="132"/>
      <c r="EQ143" s="132"/>
      <c r="ER143" s="132"/>
      <c r="ES143" s="132"/>
      <c r="ET143" s="11"/>
      <c r="EU143" s="11"/>
      <c r="EV143" s="11"/>
      <c r="EW143" s="11"/>
      <c r="EX143" s="11"/>
      <c r="EY143" s="11"/>
      <c r="EZ143" s="11"/>
      <c r="FA143" s="11"/>
      <c r="FB143" s="11"/>
      <c r="FC143" s="11"/>
      <c r="FD143" s="11"/>
      <c r="FE143" s="11"/>
      <c r="FF143" s="11"/>
      <c r="FG143" s="11"/>
      <c r="FH143" s="39">
        <f t="shared" si="37"/>
        <v>1120865.76</v>
      </c>
      <c r="FI143" s="33">
        <f t="shared" si="38"/>
        <v>7</v>
      </c>
      <c r="FJ143" s="84">
        <f t="shared" si="39"/>
        <v>160123.68</v>
      </c>
    </row>
    <row r="144" spans="1:166" ht="54" customHeight="1" x14ac:dyDescent="0.25">
      <c r="A144" s="79" t="e">
        <f>#REF!</f>
        <v>#REF!</v>
      </c>
      <c r="B144" s="75" t="e">
        <f>#REF!</f>
        <v>#REF!</v>
      </c>
      <c r="C144" s="75" t="e">
        <f>#REF!</f>
        <v>#REF!</v>
      </c>
      <c r="D144" s="75" t="e">
        <f>#REF!</f>
        <v>#REF!</v>
      </c>
      <c r="E144" s="30">
        <v>1</v>
      </c>
      <c r="F144" s="238">
        <v>144257.75</v>
      </c>
      <c r="G144" s="241">
        <v>140539</v>
      </c>
      <c r="H144" s="249">
        <v>169359.411353125</v>
      </c>
      <c r="I144" s="249">
        <v>169337</v>
      </c>
      <c r="J144" s="249">
        <v>158747.19</v>
      </c>
      <c r="K144" s="249">
        <v>155533</v>
      </c>
      <c r="L144" s="274">
        <f>AVERAGE(F144,H144,J144)</f>
        <v>157454.783784375</v>
      </c>
      <c r="M144" s="274">
        <f>AVERAGE(G144,I144,K144)*E1</f>
        <v>159790.42333333334</v>
      </c>
      <c r="N144" s="245"/>
      <c r="O144" s="113"/>
      <c r="P144" s="113"/>
      <c r="Q144" s="131"/>
      <c r="R144" s="131"/>
      <c r="S144" s="64"/>
      <c r="T144" s="113"/>
      <c r="U144" s="113"/>
      <c r="V144" s="113"/>
      <c r="W144" s="131"/>
      <c r="X144" s="131"/>
      <c r="Y144" s="11"/>
      <c r="Z144" s="113"/>
      <c r="AA144" s="113"/>
      <c r="AB144" s="113"/>
      <c r="AC144" s="52"/>
      <c r="AD144" s="52"/>
      <c r="AE144" s="11"/>
      <c r="AF144" s="118">
        <v>120000</v>
      </c>
      <c r="AG144" s="144">
        <f>AF144*19%</f>
        <v>22800</v>
      </c>
      <c r="AH144" s="113">
        <f>+AF144+AG144</f>
        <v>142800</v>
      </c>
      <c r="AI144" s="11"/>
      <c r="AJ144" s="11"/>
      <c r="AK144" s="39"/>
      <c r="AL144" s="113">
        <v>98000</v>
      </c>
      <c r="AM144" s="113">
        <f>+AL144*0.19</f>
        <v>18620</v>
      </c>
      <c r="AN144" s="119">
        <f>+AL144+AM144</f>
        <v>116620</v>
      </c>
      <c r="AO144" s="76" t="s">
        <v>49</v>
      </c>
      <c r="AP144" s="266" t="s">
        <v>45</v>
      </c>
      <c r="AQ144" s="39"/>
      <c r="AR144" s="275">
        <v>252000</v>
      </c>
      <c r="AS144" s="113">
        <f>+AR144*0.19</f>
        <v>47880</v>
      </c>
      <c r="AT144" s="119">
        <f>+AR144+AS144</f>
        <v>299880</v>
      </c>
      <c r="AU144" s="62" t="s">
        <v>150</v>
      </c>
      <c r="AV144" s="62" t="s">
        <v>35</v>
      </c>
      <c r="AW144" s="31"/>
      <c r="AX144" s="116"/>
      <c r="AY144" s="196"/>
      <c r="AZ144" s="143"/>
      <c r="BA144" s="191"/>
      <c r="BB144" s="132"/>
      <c r="BC144" s="132"/>
      <c r="BD144" s="274"/>
      <c r="BE144" s="143"/>
      <c r="BF144" s="143"/>
      <c r="BG144" s="132"/>
      <c r="BH144" s="132"/>
      <c r="BI144" s="132"/>
      <c r="BJ144" s="143"/>
      <c r="BK144" s="143"/>
      <c r="BL144" s="143"/>
      <c r="BM144" s="132"/>
      <c r="BN144" s="132"/>
      <c r="BO144" s="132"/>
      <c r="BP144" s="143"/>
      <c r="BQ144" s="132"/>
      <c r="BR144" s="132"/>
      <c r="BS144" s="132"/>
      <c r="BT144" s="132"/>
      <c r="BU144" s="132"/>
      <c r="BV144" s="267">
        <v>162800</v>
      </c>
      <c r="BW144" s="144">
        <f t="shared" si="40"/>
        <v>30932</v>
      </c>
      <c r="BX144" s="113">
        <f t="shared" si="41"/>
        <v>193732</v>
      </c>
      <c r="BY144" s="264" t="s">
        <v>247</v>
      </c>
      <c r="BZ144" s="264" t="s">
        <v>88</v>
      </c>
      <c r="CA144" s="132"/>
      <c r="CB144" s="274">
        <v>98500</v>
      </c>
      <c r="CC144" s="144">
        <f>+CB144*19%</f>
        <v>18715</v>
      </c>
      <c r="CD144" s="274">
        <f>+CC144+CB144</f>
        <v>117215</v>
      </c>
      <c r="CE144" s="132"/>
      <c r="CF144" s="132"/>
      <c r="CG144" s="36"/>
      <c r="CH144" s="263"/>
      <c r="CI144" s="265"/>
      <c r="CJ144" s="263"/>
      <c r="CK144" s="264"/>
      <c r="CL144" s="264"/>
      <c r="CM144" s="132"/>
      <c r="CN144" s="274"/>
      <c r="CO144" s="144"/>
      <c r="CP144" s="274"/>
      <c r="CQ144" s="132"/>
      <c r="CR144" s="132"/>
      <c r="CS144" s="132"/>
      <c r="CT144" s="274"/>
      <c r="CU144" s="144"/>
      <c r="CV144" s="274"/>
      <c r="CW144" s="132"/>
      <c r="CX144" s="132"/>
      <c r="CY144" s="132"/>
      <c r="CZ144" s="118">
        <v>69517</v>
      </c>
      <c r="DA144" s="144">
        <f>+CZ144*0.19</f>
        <v>13208.23</v>
      </c>
      <c r="DB144" s="118">
        <f>+CZ144+DA144</f>
        <v>82725.23</v>
      </c>
      <c r="DC144" s="33" t="s">
        <v>248</v>
      </c>
      <c r="DD144" s="39" t="s">
        <v>58</v>
      </c>
      <c r="DE144" s="11">
        <v>1094391000</v>
      </c>
      <c r="DF144" s="132"/>
      <c r="DG144" s="132"/>
      <c r="DH144" s="132"/>
      <c r="DI144" s="132"/>
      <c r="DJ144" s="132"/>
      <c r="DK144" s="132"/>
      <c r="DL144" s="132"/>
      <c r="DM144" s="132"/>
      <c r="DN144" s="132"/>
      <c r="DO144" s="132"/>
      <c r="DP144" s="132"/>
      <c r="DQ144" s="132"/>
      <c r="DR144" s="132"/>
      <c r="DS144" s="132"/>
      <c r="DT144" s="132"/>
      <c r="DU144" s="132"/>
      <c r="DV144" s="132"/>
      <c r="DW144" s="132"/>
      <c r="DX144" s="132"/>
      <c r="DY144" s="132"/>
      <c r="DZ144" s="132"/>
      <c r="EA144" s="132"/>
      <c r="EB144" s="132"/>
      <c r="EC144" s="132"/>
      <c r="ED144" s="132"/>
      <c r="EE144" s="132"/>
      <c r="EF144" s="132"/>
      <c r="EG144" s="132"/>
      <c r="EH144" s="132"/>
      <c r="EI144" s="132"/>
      <c r="EJ144" s="132"/>
      <c r="EK144" s="132"/>
      <c r="EL144" s="132"/>
      <c r="EM144" s="132"/>
      <c r="EN144" s="132"/>
      <c r="EO144" s="132"/>
      <c r="EP144" s="132"/>
      <c r="EQ144" s="132"/>
      <c r="ER144" s="132"/>
      <c r="ES144" s="132"/>
      <c r="ET144" s="11"/>
      <c r="EU144" s="11"/>
      <c r="EV144" s="11"/>
      <c r="EW144" s="11"/>
      <c r="EX144" s="11"/>
      <c r="EY144" s="11"/>
      <c r="EZ144" s="11"/>
      <c r="FA144" s="11"/>
      <c r="FB144" s="11"/>
      <c r="FC144" s="11"/>
      <c r="FD144" s="11"/>
      <c r="FE144" s="11"/>
      <c r="FF144" s="11"/>
      <c r="FG144" s="11"/>
      <c r="FH144" s="39">
        <f t="shared" si="37"/>
        <v>1112762.6533333333</v>
      </c>
      <c r="FI144" s="33">
        <f t="shared" si="38"/>
        <v>7</v>
      </c>
      <c r="FJ144" s="84">
        <f t="shared" si="39"/>
        <v>158966.09333333332</v>
      </c>
    </row>
    <row r="145" spans="1:166" ht="54" customHeight="1" x14ac:dyDescent="0.25">
      <c r="A145" s="79" t="e">
        <f>#REF!</f>
        <v>#REF!</v>
      </c>
      <c r="B145" s="75" t="e">
        <f>#REF!</f>
        <v>#REF!</v>
      </c>
      <c r="C145" s="75" t="e">
        <f>#REF!</f>
        <v>#REF!</v>
      </c>
      <c r="D145" s="75" t="e">
        <f>#REF!</f>
        <v>#REF!</v>
      </c>
      <c r="E145" s="30">
        <v>1</v>
      </c>
      <c r="F145" s="238">
        <v>0</v>
      </c>
      <c r="G145" s="241">
        <v>0</v>
      </c>
      <c r="H145" s="249">
        <v>361343.5</v>
      </c>
      <c r="I145" s="249">
        <v>0</v>
      </c>
      <c r="J145" s="249">
        <v>656859.77</v>
      </c>
      <c r="K145" s="249">
        <v>640220</v>
      </c>
      <c r="L145" s="274">
        <f>AVERAGE(H145,J145)</f>
        <v>509101.63500000001</v>
      </c>
      <c r="M145" s="274">
        <f>K145*E1</f>
        <v>659426.6</v>
      </c>
      <c r="N145" s="245"/>
      <c r="O145" s="113"/>
      <c r="P145" s="113"/>
      <c r="Q145" s="131"/>
      <c r="R145" s="131"/>
      <c r="S145" s="64"/>
      <c r="T145" s="113"/>
      <c r="U145" s="113"/>
      <c r="V145" s="113"/>
      <c r="W145" s="131"/>
      <c r="X145" s="131"/>
      <c r="Y145" s="11"/>
      <c r="Z145" s="125"/>
      <c r="AA145" s="113"/>
      <c r="AB145" s="113"/>
      <c r="AC145" s="131"/>
      <c r="AD145" s="52"/>
      <c r="AE145" s="11"/>
      <c r="AF145" s="118"/>
      <c r="AG145" s="144"/>
      <c r="AH145" s="113"/>
      <c r="AI145" s="11"/>
      <c r="AJ145" s="11"/>
      <c r="AK145" s="39"/>
      <c r="AL145" s="113"/>
      <c r="AM145" s="113"/>
      <c r="AN145" s="117"/>
      <c r="AO145" s="76"/>
      <c r="AP145" s="39"/>
      <c r="AQ145" s="39"/>
      <c r="AR145" s="275"/>
      <c r="AS145" s="156"/>
      <c r="AT145" s="157"/>
      <c r="AU145" s="62"/>
      <c r="AV145" s="62"/>
      <c r="AW145" s="31"/>
      <c r="AX145" s="116"/>
      <c r="AY145" s="116"/>
      <c r="AZ145" s="143"/>
      <c r="BA145" s="191"/>
      <c r="BB145" s="132"/>
      <c r="BC145" s="132"/>
      <c r="BD145" s="274"/>
      <c r="BE145" s="143"/>
      <c r="BF145" s="143"/>
      <c r="BG145" s="132"/>
      <c r="BH145" s="132"/>
      <c r="BI145" s="132"/>
      <c r="BJ145" s="143"/>
      <c r="BK145" s="143"/>
      <c r="BL145" s="143"/>
      <c r="BM145" s="132"/>
      <c r="BN145" s="132"/>
      <c r="BO145" s="132"/>
      <c r="BP145" s="143">
        <v>346080</v>
      </c>
      <c r="BQ145" s="144">
        <f>BP145*19%</f>
        <v>65755.199999999997</v>
      </c>
      <c r="BR145" s="113">
        <f>+BP145+BQ145</f>
        <v>411835.2</v>
      </c>
      <c r="BS145" s="33" t="s">
        <v>151</v>
      </c>
      <c r="BT145" s="204" t="s">
        <v>249</v>
      </c>
      <c r="BU145" s="5" t="s">
        <v>250</v>
      </c>
      <c r="BV145" s="267">
        <v>596500</v>
      </c>
      <c r="BW145" s="144">
        <f t="shared" si="40"/>
        <v>113335</v>
      </c>
      <c r="BX145" s="113">
        <f t="shared" si="41"/>
        <v>709835</v>
      </c>
      <c r="BY145" s="264" t="s">
        <v>251</v>
      </c>
      <c r="BZ145" s="264" t="s">
        <v>154</v>
      </c>
      <c r="CA145" s="132"/>
      <c r="CB145" s="274"/>
      <c r="CC145" s="144"/>
      <c r="CD145" s="274"/>
      <c r="CE145" s="132"/>
      <c r="CF145" s="132"/>
      <c r="CG145" s="36"/>
      <c r="CH145" s="263">
        <v>614395</v>
      </c>
      <c r="CI145" s="265">
        <f>+CH145*0.19</f>
        <v>116735.05</v>
      </c>
      <c r="CJ145" s="263">
        <f>+CH145+CI145</f>
        <v>731130.05</v>
      </c>
      <c r="CK145" s="264" t="s">
        <v>251</v>
      </c>
      <c r="CL145" s="264" t="s">
        <v>154</v>
      </c>
      <c r="CM145" s="132"/>
      <c r="CN145" s="274"/>
      <c r="CO145" s="144"/>
      <c r="CP145" s="274"/>
      <c r="CQ145" s="132"/>
      <c r="CR145" s="132"/>
      <c r="CS145" s="132"/>
      <c r="CT145" s="274"/>
      <c r="CU145" s="144"/>
      <c r="CV145" s="274"/>
      <c r="CW145" s="132"/>
      <c r="CX145" s="132"/>
      <c r="CY145" s="132"/>
      <c r="CZ145" s="118"/>
      <c r="DA145" s="144"/>
      <c r="DB145" s="118"/>
      <c r="DC145" s="33"/>
      <c r="DD145" s="39"/>
      <c r="DE145" s="11"/>
      <c r="DF145" s="132"/>
      <c r="DG145" s="132"/>
      <c r="DH145" s="132"/>
      <c r="DI145" s="132"/>
      <c r="DJ145" s="132"/>
      <c r="DK145" s="132"/>
      <c r="DL145" s="132"/>
      <c r="DM145" s="132"/>
      <c r="DN145" s="132"/>
      <c r="DO145" s="132"/>
      <c r="DP145" s="132"/>
      <c r="DQ145" s="132"/>
      <c r="DR145" s="132"/>
      <c r="DS145" s="132"/>
      <c r="DT145" s="132"/>
      <c r="DU145" s="132"/>
      <c r="DV145" s="132"/>
      <c r="DW145" s="132"/>
      <c r="DX145" s="132"/>
      <c r="DY145" s="132"/>
      <c r="DZ145" s="132"/>
      <c r="EA145" s="132"/>
      <c r="EB145" s="132"/>
      <c r="EC145" s="132"/>
      <c r="ED145" s="132"/>
      <c r="EE145" s="132"/>
      <c r="EF145" s="132"/>
      <c r="EG145" s="132"/>
      <c r="EH145" s="132"/>
      <c r="EI145" s="132"/>
      <c r="EJ145" s="132"/>
      <c r="EK145" s="132"/>
      <c r="EL145" s="132"/>
      <c r="EM145" s="132"/>
      <c r="EN145" s="132"/>
      <c r="EO145" s="132"/>
      <c r="EP145" s="132"/>
      <c r="EQ145" s="132"/>
      <c r="ER145" s="132"/>
      <c r="ES145" s="132"/>
      <c r="ET145" s="11"/>
      <c r="EU145" s="11"/>
      <c r="EV145" s="11"/>
      <c r="EW145" s="11"/>
      <c r="EX145" s="11"/>
      <c r="EY145" s="11"/>
      <c r="EZ145" s="11"/>
      <c r="FA145" s="11"/>
      <c r="FB145" s="11"/>
      <c r="FC145" s="11"/>
      <c r="FD145" s="11"/>
      <c r="FE145" s="11"/>
      <c r="FF145" s="11"/>
      <c r="FG145" s="11"/>
      <c r="FH145" s="39">
        <f t="shared" si="37"/>
        <v>2512226.85</v>
      </c>
      <c r="FI145" s="33">
        <f t="shared" si="38"/>
        <v>4</v>
      </c>
      <c r="FJ145" s="84">
        <f t="shared" si="39"/>
        <v>628056.71250000002</v>
      </c>
    </row>
    <row r="146" spans="1:166" ht="40.5" x14ac:dyDescent="0.25">
      <c r="A146" s="79" t="e">
        <f>#REF!</f>
        <v>#REF!</v>
      </c>
      <c r="B146" s="75" t="e">
        <f>#REF!</f>
        <v>#REF!</v>
      </c>
      <c r="C146" s="75" t="e">
        <f>#REF!</f>
        <v>#REF!</v>
      </c>
      <c r="D146" s="75" t="e">
        <f>#REF!</f>
        <v>#REF!</v>
      </c>
      <c r="E146" s="30">
        <v>1</v>
      </c>
      <c r="F146" s="238">
        <v>676634</v>
      </c>
      <c r="G146" s="241">
        <v>656285</v>
      </c>
      <c r="H146" s="249">
        <v>625167.20924</v>
      </c>
      <c r="I146" s="249">
        <v>0</v>
      </c>
      <c r="J146" s="249">
        <v>974042.13199999998</v>
      </c>
      <c r="K146" s="249">
        <v>949620</v>
      </c>
      <c r="L146" s="274">
        <f>AVERAGE(F146,H146,J146)</f>
        <v>758614.44707999995</v>
      </c>
      <c r="M146" s="274">
        <f>AVERAGE(G146,K146)*E1</f>
        <v>827041.07500000007</v>
      </c>
      <c r="N146" s="245"/>
      <c r="O146" s="113"/>
      <c r="P146" s="113"/>
      <c r="Q146" s="131"/>
      <c r="R146" s="131"/>
      <c r="S146" s="64"/>
      <c r="T146" s="113"/>
      <c r="U146" s="113"/>
      <c r="V146" s="113"/>
      <c r="W146" s="131"/>
      <c r="X146" s="131"/>
      <c r="Y146" s="11"/>
      <c r="Z146" s="113"/>
      <c r="AA146" s="113"/>
      <c r="AB146" s="113"/>
      <c r="AC146" s="52"/>
      <c r="AD146" s="52"/>
      <c r="AE146" s="11"/>
      <c r="AF146" s="118"/>
      <c r="AG146" s="144"/>
      <c r="AH146" s="113"/>
      <c r="AI146" s="11"/>
      <c r="AJ146" s="11"/>
      <c r="AK146" s="39"/>
      <c r="AL146" s="113"/>
      <c r="AM146" s="113"/>
      <c r="AN146" s="119"/>
      <c r="AO146" s="76"/>
      <c r="AP146" s="39"/>
      <c r="AQ146" s="39"/>
      <c r="AR146" s="275">
        <v>208800</v>
      </c>
      <c r="AS146" s="113">
        <f>+AR146*0.19</f>
        <v>39672</v>
      </c>
      <c r="AT146" s="119">
        <f>+AR146+AS146</f>
        <v>248472</v>
      </c>
      <c r="AU146" s="62" t="s">
        <v>49</v>
      </c>
      <c r="AV146" s="62" t="s">
        <v>35</v>
      </c>
      <c r="AW146" s="31"/>
      <c r="AX146" s="116"/>
      <c r="AY146" s="196"/>
      <c r="AZ146" s="143"/>
      <c r="BA146" s="191"/>
      <c r="BB146" s="132"/>
      <c r="BC146" s="132"/>
      <c r="BD146" s="274"/>
      <c r="BE146" s="143"/>
      <c r="BF146" s="143"/>
      <c r="BG146" s="132"/>
      <c r="BH146" s="132"/>
      <c r="BI146" s="132"/>
      <c r="BJ146" s="143"/>
      <c r="BK146" s="143"/>
      <c r="BL146" s="143"/>
      <c r="BM146" s="132"/>
      <c r="BN146" s="132"/>
      <c r="BO146" s="132"/>
      <c r="BP146" s="143">
        <v>346080</v>
      </c>
      <c r="BQ146" s="144">
        <f>BP146*19%</f>
        <v>65755.199999999997</v>
      </c>
      <c r="BR146" s="113">
        <f>+BP146+BQ146</f>
        <v>411835.2</v>
      </c>
      <c r="BS146" s="33" t="s">
        <v>151</v>
      </c>
      <c r="BT146" s="204" t="s">
        <v>249</v>
      </c>
      <c r="BU146" s="5" t="s">
        <v>250</v>
      </c>
      <c r="BV146" s="267">
        <v>917200</v>
      </c>
      <c r="BW146" s="144">
        <f t="shared" si="40"/>
        <v>174268</v>
      </c>
      <c r="BX146" s="113">
        <f t="shared" si="41"/>
        <v>1091468</v>
      </c>
      <c r="BY146" s="264" t="s">
        <v>252</v>
      </c>
      <c r="BZ146" s="264" t="s">
        <v>154</v>
      </c>
      <c r="CA146" s="132"/>
      <c r="CB146" s="274"/>
      <c r="CC146" s="144"/>
      <c r="CD146" s="274"/>
      <c r="CE146" s="132"/>
      <c r="CF146" s="132"/>
      <c r="CG146" s="36"/>
      <c r="CH146" s="263">
        <v>972232</v>
      </c>
      <c r="CI146" s="265">
        <f>+CH146*0.19</f>
        <v>184724.08000000002</v>
      </c>
      <c r="CJ146" s="263">
        <f>+CH146+CI146</f>
        <v>1156956.08</v>
      </c>
      <c r="CK146" s="264" t="s">
        <v>252</v>
      </c>
      <c r="CL146" s="264" t="s">
        <v>154</v>
      </c>
      <c r="CM146" s="132"/>
      <c r="CN146" s="274"/>
      <c r="CO146" s="144"/>
      <c r="CP146" s="274"/>
      <c r="CQ146" s="132"/>
      <c r="CR146" s="132"/>
      <c r="CS146" s="132"/>
      <c r="CT146" s="274"/>
      <c r="CU146" s="144"/>
      <c r="CV146" s="274"/>
      <c r="CW146" s="132"/>
      <c r="CX146" s="132"/>
      <c r="CY146" s="132"/>
      <c r="CZ146" s="118"/>
      <c r="DA146" s="144"/>
      <c r="DB146" s="118"/>
      <c r="DC146" s="33"/>
      <c r="DD146" s="39"/>
      <c r="DE146" s="11"/>
      <c r="DF146" s="132"/>
      <c r="DG146" s="132"/>
      <c r="DH146" s="132"/>
      <c r="DI146" s="132"/>
      <c r="DJ146" s="132"/>
      <c r="DK146" s="132"/>
      <c r="DL146" s="132"/>
      <c r="DM146" s="132"/>
      <c r="DN146" s="132"/>
      <c r="DO146" s="132"/>
      <c r="DP146" s="132"/>
      <c r="DQ146" s="132"/>
      <c r="DR146" s="132"/>
      <c r="DS146" s="132"/>
      <c r="DT146" s="132"/>
      <c r="DU146" s="132"/>
      <c r="DV146" s="132"/>
      <c r="DW146" s="132"/>
      <c r="DX146" s="132"/>
      <c r="DY146" s="132"/>
      <c r="DZ146" s="132"/>
      <c r="EA146" s="132"/>
      <c r="EB146" s="132"/>
      <c r="EC146" s="132"/>
      <c r="ED146" s="132"/>
      <c r="EE146" s="132"/>
      <c r="EF146" s="132"/>
      <c r="EG146" s="132"/>
      <c r="EH146" s="132"/>
      <c r="EI146" s="132"/>
      <c r="EJ146" s="132"/>
      <c r="EK146" s="132"/>
      <c r="EL146" s="132"/>
      <c r="EM146" s="132"/>
      <c r="EN146" s="132"/>
      <c r="EO146" s="132"/>
      <c r="EP146" s="132"/>
      <c r="EQ146" s="132"/>
      <c r="ER146" s="132"/>
      <c r="ES146" s="132"/>
      <c r="ET146" s="11"/>
      <c r="EU146" s="11"/>
      <c r="EV146" s="11"/>
      <c r="EW146" s="11"/>
      <c r="EX146" s="11"/>
      <c r="EY146" s="11"/>
      <c r="EZ146" s="11"/>
      <c r="FA146" s="11"/>
      <c r="FB146" s="11"/>
      <c r="FC146" s="11"/>
      <c r="FD146" s="11"/>
      <c r="FE146" s="11"/>
      <c r="FF146" s="11"/>
      <c r="FG146" s="11"/>
      <c r="FH146" s="39">
        <f t="shared" si="37"/>
        <v>3735772.3550000004</v>
      </c>
      <c r="FI146" s="33">
        <f t="shared" si="38"/>
        <v>5</v>
      </c>
      <c r="FJ146" s="84">
        <f t="shared" si="39"/>
        <v>747154.47100000014</v>
      </c>
    </row>
    <row r="147" spans="1:166" x14ac:dyDescent="0.25">
      <c r="A147" s="79" t="e">
        <f>#REF!</f>
        <v>#REF!</v>
      </c>
      <c r="B147" s="75" t="e">
        <f>#REF!</f>
        <v>#REF!</v>
      </c>
      <c r="C147" s="75" t="e">
        <f>#REF!</f>
        <v>#REF!</v>
      </c>
      <c r="D147" s="75" t="e">
        <f>#REF!</f>
        <v>#REF!</v>
      </c>
      <c r="E147" s="30">
        <v>1</v>
      </c>
      <c r="F147" s="238">
        <v>0</v>
      </c>
      <c r="G147" s="241">
        <v>0</v>
      </c>
      <c r="H147" s="249">
        <v>0</v>
      </c>
      <c r="I147" s="249">
        <v>0</v>
      </c>
      <c r="J147" s="249">
        <v>0</v>
      </c>
      <c r="K147" s="249">
        <v>0</v>
      </c>
      <c r="L147" s="274"/>
      <c r="M147" s="274"/>
      <c r="N147" s="245"/>
      <c r="O147" s="113"/>
      <c r="P147" s="113"/>
      <c r="Q147" s="131"/>
      <c r="R147" s="131"/>
      <c r="S147" s="64"/>
      <c r="T147" s="113"/>
      <c r="U147" s="113"/>
      <c r="V147" s="113"/>
      <c r="W147" s="131"/>
      <c r="X147" s="131"/>
      <c r="Y147" s="11"/>
      <c r="Z147" s="113"/>
      <c r="AA147" s="113"/>
      <c r="AB147" s="113"/>
      <c r="AC147" s="52"/>
      <c r="AD147" s="52"/>
      <c r="AE147" s="11"/>
      <c r="AF147" s="113"/>
      <c r="AG147" s="144"/>
      <c r="AH147" s="113"/>
      <c r="AI147" s="11"/>
      <c r="AJ147" s="11"/>
      <c r="AK147" s="39"/>
      <c r="AL147" s="113"/>
      <c r="AM147" s="113"/>
      <c r="AN147" s="117"/>
      <c r="AO147" s="76"/>
      <c r="AP147" s="39"/>
      <c r="AQ147" s="39"/>
      <c r="AR147" s="275"/>
      <c r="AS147" s="156"/>
      <c r="AT147" s="157"/>
      <c r="AU147" s="62"/>
      <c r="AV147" s="62"/>
      <c r="AW147" s="31"/>
      <c r="AX147" s="116"/>
      <c r="AY147" s="196"/>
      <c r="AZ147" s="143"/>
      <c r="BA147" s="191"/>
      <c r="BB147" s="132"/>
      <c r="BC147" s="132"/>
      <c r="BD147" s="275"/>
      <c r="BE147" s="143"/>
      <c r="BF147" s="143"/>
      <c r="BG147" s="132"/>
      <c r="BH147" s="132"/>
      <c r="BI147" s="132"/>
      <c r="BJ147" s="143"/>
      <c r="BK147" s="143"/>
      <c r="BL147" s="143"/>
      <c r="BM147" s="132"/>
      <c r="BN147" s="132"/>
      <c r="BO147" s="132"/>
      <c r="BP147" s="143"/>
      <c r="BQ147" s="132"/>
      <c r="BR147" s="132"/>
      <c r="BS147" s="132"/>
      <c r="BT147" s="132"/>
      <c r="BU147" s="132"/>
      <c r="BV147" s="211"/>
      <c r="BW147" s="144"/>
      <c r="BX147" s="113"/>
      <c r="BY147" s="273"/>
      <c r="BZ147" s="273"/>
      <c r="CA147" s="132"/>
      <c r="CB147" s="275"/>
      <c r="CC147" s="143"/>
      <c r="CD147" s="275"/>
      <c r="CE147" s="132"/>
      <c r="CF147" s="132"/>
      <c r="CG147" s="36"/>
      <c r="CH147" s="210"/>
      <c r="CI147" s="219"/>
      <c r="CJ147" s="210"/>
      <c r="CK147" s="273"/>
      <c r="CL147" s="273"/>
      <c r="CM147" s="132"/>
      <c r="CN147" s="275"/>
      <c r="CO147" s="143"/>
      <c r="CP147" s="275"/>
      <c r="CQ147" s="132"/>
      <c r="CR147" s="132"/>
      <c r="CS147" s="132"/>
      <c r="CT147" s="275"/>
      <c r="CU147" s="143"/>
      <c r="CV147" s="275"/>
      <c r="CW147" s="132"/>
      <c r="CX147" s="132"/>
      <c r="CY147" s="132"/>
      <c r="CZ147" s="113"/>
      <c r="DA147" s="143"/>
      <c r="DB147" s="113"/>
      <c r="DC147" s="33"/>
      <c r="DD147" s="39"/>
      <c r="DE147" s="11"/>
      <c r="DF147" s="132"/>
      <c r="DG147" s="132"/>
      <c r="DH147" s="132"/>
      <c r="DI147" s="132"/>
      <c r="DJ147" s="132"/>
      <c r="DK147" s="132"/>
      <c r="DL147" s="132"/>
      <c r="DM147" s="132"/>
      <c r="DN147" s="132"/>
      <c r="DO147" s="132"/>
      <c r="DP147" s="132"/>
      <c r="DQ147" s="132"/>
      <c r="DR147" s="132"/>
      <c r="DS147" s="132"/>
      <c r="DT147" s="132"/>
      <c r="DU147" s="132"/>
      <c r="DV147" s="132"/>
      <c r="DW147" s="132"/>
      <c r="DX147" s="132"/>
      <c r="DY147" s="132"/>
      <c r="DZ147" s="132"/>
      <c r="EA147" s="132"/>
      <c r="EB147" s="132"/>
      <c r="EC147" s="132"/>
      <c r="ED147" s="132"/>
      <c r="EE147" s="132"/>
      <c r="EF147" s="132"/>
      <c r="EG147" s="132"/>
      <c r="EH147" s="132"/>
      <c r="EI147" s="132"/>
      <c r="EJ147" s="132"/>
      <c r="EK147" s="132"/>
      <c r="EL147" s="132"/>
      <c r="EM147" s="132"/>
      <c r="EN147" s="132"/>
      <c r="EO147" s="132"/>
      <c r="EP147" s="132"/>
      <c r="EQ147" s="132"/>
      <c r="ER147" s="132"/>
      <c r="ES147" s="132"/>
      <c r="ET147" s="11"/>
      <c r="EU147" s="11"/>
      <c r="EV147" s="11"/>
      <c r="EW147" s="11"/>
      <c r="EX147" s="11"/>
      <c r="EY147" s="11"/>
      <c r="EZ147" s="11"/>
      <c r="FA147" s="11"/>
      <c r="FB147" s="11"/>
      <c r="FC147" s="11"/>
      <c r="FD147" s="11"/>
      <c r="FE147" s="11"/>
      <c r="FF147" s="11"/>
      <c r="FG147" s="11"/>
      <c r="FH147" s="39">
        <f t="shared" si="37"/>
        <v>0</v>
      </c>
      <c r="FI147" s="33">
        <f t="shared" si="38"/>
        <v>0</v>
      </c>
      <c r="FJ147" s="84" t="str">
        <f t="shared" si="39"/>
        <v xml:space="preserve"> </v>
      </c>
    </row>
    <row r="148" spans="1:166" ht="27" x14ac:dyDescent="0.25">
      <c r="A148" s="79" t="e">
        <f>#REF!</f>
        <v>#REF!</v>
      </c>
      <c r="B148" s="75" t="e">
        <f>#REF!</f>
        <v>#REF!</v>
      </c>
      <c r="C148" s="75" t="e">
        <f>#REF!</f>
        <v>#REF!</v>
      </c>
      <c r="D148" s="75" t="e">
        <f>#REF!</f>
        <v>#REF!</v>
      </c>
      <c r="E148" s="30">
        <v>1</v>
      </c>
      <c r="F148" s="238">
        <v>751529.92249999999</v>
      </c>
      <c r="G148" s="241">
        <v>702100</v>
      </c>
      <c r="H148" s="249">
        <v>652754.46628058329</v>
      </c>
      <c r="I148" s="249">
        <v>0</v>
      </c>
      <c r="J148" s="249">
        <v>737205</v>
      </c>
      <c r="K148" s="249">
        <v>0</v>
      </c>
      <c r="L148" s="274">
        <f>AVERAGE(F148,H148,J148)</f>
        <v>713829.79626019439</v>
      </c>
      <c r="M148" s="274">
        <f>G148*E1</f>
        <v>723163</v>
      </c>
      <c r="N148" s="245"/>
      <c r="O148" s="117"/>
      <c r="P148" s="113"/>
      <c r="Q148" s="131"/>
      <c r="R148" s="131"/>
      <c r="S148" s="64"/>
      <c r="T148" s="113"/>
      <c r="U148" s="113"/>
      <c r="V148" s="113"/>
      <c r="W148" s="131"/>
      <c r="X148" s="131"/>
      <c r="Y148" s="11"/>
      <c r="Z148" s="113"/>
      <c r="AA148" s="113"/>
      <c r="AB148" s="113"/>
      <c r="AC148" s="52"/>
      <c r="AD148" s="52"/>
      <c r="AE148" s="11"/>
      <c r="AF148" s="118"/>
      <c r="AG148" s="144"/>
      <c r="AH148" s="113"/>
      <c r="AI148" s="11"/>
      <c r="AJ148" s="11"/>
      <c r="AK148" s="39"/>
      <c r="AL148" s="113"/>
      <c r="AM148" s="113"/>
      <c r="AN148" s="119"/>
      <c r="AO148" s="76"/>
      <c r="AP148" s="39"/>
      <c r="AQ148" s="39"/>
      <c r="AR148" s="275"/>
      <c r="AS148" s="155"/>
      <c r="AT148" s="143"/>
      <c r="AU148" s="62"/>
      <c r="AV148" s="62"/>
      <c r="AW148" s="31"/>
      <c r="AX148" s="116"/>
      <c r="AY148" s="196"/>
      <c r="AZ148" s="143"/>
      <c r="BA148" s="191"/>
      <c r="BB148" s="132"/>
      <c r="BC148" s="132"/>
      <c r="BD148" s="274"/>
      <c r="BE148" s="143"/>
      <c r="BF148" s="143"/>
      <c r="BG148" s="132"/>
      <c r="BH148" s="132"/>
      <c r="BI148" s="132"/>
      <c r="BJ148" s="143"/>
      <c r="BK148" s="143"/>
      <c r="BL148" s="143"/>
      <c r="BM148" s="132"/>
      <c r="BN148" s="132"/>
      <c r="BO148" s="132"/>
      <c r="BP148" s="143"/>
      <c r="BQ148" s="132"/>
      <c r="BR148" s="132"/>
      <c r="BS148" s="132"/>
      <c r="BT148" s="132"/>
      <c r="BU148" s="132"/>
      <c r="BV148" s="267">
        <v>2000000</v>
      </c>
      <c r="BW148" s="144">
        <f>BV148*19%</f>
        <v>380000</v>
      </c>
      <c r="BX148" s="113">
        <f>+BV148+BW148</f>
        <v>2380000</v>
      </c>
      <c r="BY148" s="264" t="s">
        <v>62</v>
      </c>
      <c r="BZ148" s="264" t="s">
        <v>253</v>
      </c>
      <c r="CA148" s="132"/>
      <c r="CB148" s="274"/>
      <c r="CC148" s="144"/>
      <c r="CD148" s="274"/>
      <c r="CE148" s="132"/>
      <c r="CF148" s="132"/>
      <c r="CG148" s="36"/>
      <c r="CH148" s="263"/>
      <c r="CI148" s="265"/>
      <c r="CJ148" s="263"/>
      <c r="CK148" s="264"/>
      <c r="CL148" s="264"/>
      <c r="CM148" s="132"/>
      <c r="CN148" s="274"/>
      <c r="CO148" s="144"/>
      <c r="CP148" s="274"/>
      <c r="CQ148" s="132"/>
      <c r="CR148" s="132"/>
      <c r="CS148" s="132"/>
      <c r="CT148" s="274"/>
      <c r="CU148" s="144"/>
      <c r="CV148" s="274"/>
      <c r="CW148" s="132"/>
      <c r="CX148" s="132"/>
      <c r="CY148" s="132"/>
      <c r="CZ148" s="118"/>
      <c r="DA148" s="144"/>
      <c r="DB148" s="118"/>
      <c r="DC148" s="33"/>
      <c r="DD148" s="39"/>
      <c r="DE148" s="11"/>
      <c r="DF148" s="132"/>
      <c r="DG148" s="132"/>
      <c r="DH148" s="132"/>
      <c r="DI148" s="132"/>
      <c r="DJ148" s="132"/>
      <c r="DK148" s="132"/>
      <c r="DL148" s="132"/>
      <c r="DM148" s="132"/>
      <c r="DN148" s="132"/>
      <c r="DO148" s="132"/>
      <c r="DP148" s="132"/>
      <c r="DQ148" s="132"/>
      <c r="DR148" s="132"/>
      <c r="DS148" s="132"/>
      <c r="DT148" s="132"/>
      <c r="DU148" s="132"/>
      <c r="DV148" s="132"/>
      <c r="DW148" s="132"/>
      <c r="DX148" s="132"/>
      <c r="DY148" s="132"/>
      <c r="DZ148" s="132"/>
      <c r="EA148" s="132"/>
      <c r="EB148" s="132"/>
      <c r="EC148" s="132"/>
      <c r="ED148" s="132"/>
      <c r="EE148" s="132"/>
      <c r="EF148" s="132"/>
      <c r="EG148" s="132"/>
      <c r="EH148" s="132"/>
      <c r="EI148" s="132"/>
      <c r="EJ148" s="132"/>
      <c r="EK148" s="132"/>
      <c r="EL148" s="132"/>
      <c r="EM148" s="132"/>
      <c r="EN148" s="132"/>
      <c r="EO148" s="132"/>
      <c r="EP148" s="132"/>
      <c r="EQ148" s="132"/>
      <c r="ER148" s="132"/>
      <c r="ES148" s="132"/>
      <c r="ET148" s="11"/>
      <c r="EU148" s="11"/>
      <c r="EV148" s="11"/>
      <c r="EW148" s="11"/>
      <c r="EX148" s="11"/>
      <c r="EY148" s="11"/>
      <c r="EZ148" s="11"/>
      <c r="FA148" s="11"/>
      <c r="FB148" s="11"/>
      <c r="FC148" s="11"/>
      <c r="FD148" s="11"/>
      <c r="FE148" s="11"/>
      <c r="FF148" s="11"/>
      <c r="FG148" s="11"/>
      <c r="FH148" s="39">
        <f t="shared" si="37"/>
        <v>3103163</v>
      </c>
      <c r="FI148" s="33">
        <f t="shared" si="38"/>
        <v>2</v>
      </c>
      <c r="FJ148" s="84">
        <f t="shared" si="39"/>
        <v>1551581.5</v>
      </c>
    </row>
    <row r="149" spans="1:166" x14ac:dyDescent="0.25">
      <c r="A149" s="79" t="e">
        <f>#REF!</f>
        <v>#REF!</v>
      </c>
      <c r="B149" s="75" t="e">
        <f>#REF!</f>
        <v>#REF!</v>
      </c>
      <c r="C149" s="75" t="e">
        <f>#REF!</f>
        <v>#REF!</v>
      </c>
      <c r="D149" s="75" t="e">
        <f>#REF!</f>
        <v>#REF!</v>
      </c>
      <c r="E149" s="30">
        <v>1</v>
      </c>
      <c r="F149" s="238">
        <v>0</v>
      </c>
      <c r="G149" s="241">
        <v>0</v>
      </c>
      <c r="H149" s="249">
        <v>398233.5</v>
      </c>
      <c r="I149" s="249">
        <v>0</v>
      </c>
      <c r="J149" s="249">
        <v>0</v>
      </c>
      <c r="K149" s="249">
        <v>0</v>
      </c>
      <c r="L149" s="274">
        <f>H149</f>
        <v>398233.5</v>
      </c>
      <c r="M149" s="274"/>
      <c r="N149" s="247">
        <v>790700</v>
      </c>
      <c r="O149" s="113">
        <f>+N149*0.19</f>
        <v>150233</v>
      </c>
      <c r="P149" s="113">
        <f>+O149+N149</f>
        <v>940933</v>
      </c>
      <c r="Q149" s="36" t="s">
        <v>127</v>
      </c>
      <c r="R149" s="132" t="s">
        <v>128</v>
      </c>
      <c r="S149" s="64" t="s">
        <v>216</v>
      </c>
      <c r="T149" s="113"/>
      <c r="U149" s="113"/>
      <c r="V149" s="113"/>
      <c r="W149" s="131"/>
      <c r="X149" s="131"/>
      <c r="Y149" s="11"/>
      <c r="Z149" s="113"/>
      <c r="AA149" s="113"/>
      <c r="AB149" s="113"/>
      <c r="AC149" s="52"/>
      <c r="AD149" s="52"/>
      <c r="AE149" s="11"/>
      <c r="AF149" s="118"/>
      <c r="AG149" s="144"/>
      <c r="AH149" s="113"/>
      <c r="AI149" s="11"/>
      <c r="AJ149" s="11"/>
      <c r="AK149" s="39"/>
      <c r="AL149" s="113"/>
      <c r="AM149" s="113"/>
      <c r="AN149" s="117"/>
      <c r="AO149" s="76"/>
      <c r="AP149" s="39"/>
      <c r="AQ149" s="39"/>
      <c r="AR149" s="275"/>
      <c r="AS149" s="156"/>
      <c r="AT149" s="157"/>
      <c r="AU149" s="62"/>
      <c r="AV149" s="62"/>
      <c r="AW149" s="31"/>
      <c r="AX149" s="116"/>
      <c r="AY149" s="196"/>
      <c r="AZ149" s="143"/>
      <c r="BA149" s="191"/>
      <c r="BB149" s="132"/>
      <c r="BC149" s="132"/>
      <c r="BD149" s="274"/>
      <c r="BE149" s="143"/>
      <c r="BF149" s="143"/>
      <c r="BG149" s="132"/>
      <c r="BH149" s="132"/>
      <c r="BI149" s="132"/>
      <c r="BJ149" s="143"/>
      <c r="BK149" s="143"/>
      <c r="BL149" s="143"/>
      <c r="BM149" s="132"/>
      <c r="BN149" s="132"/>
      <c r="BO149" s="132"/>
      <c r="BP149" s="143"/>
      <c r="BQ149" s="132"/>
      <c r="BR149" s="132"/>
      <c r="BS149" s="132"/>
      <c r="BT149" s="132"/>
      <c r="BU149" s="132"/>
      <c r="BV149" s="211"/>
      <c r="BW149" s="144"/>
      <c r="BX149" s="113"/>
      <c r="BY149" s="273"/>
      <c r="BZ149" s="273"/>
      <c r="CA149" s="132"/>
      <c r="CB149" s="274"/>
      <c r="CC149" s="144"/>
      <c r="CD149" s="274"/>
      <c r="CE149" s="132"/>
      <c r="CF149" s="132"/>
      <c r="CG149" s="36"/>
      <c r="CH149" s="210"/>
      <c r="CI149" s="219"/>
      <c r="CJ149" s="210"/>
      <c r="CK149" s="273"/>
      <c r="CL149" s="273"/>
      <c r="CM149" s="132"/>
      <c r="CN149" s="274"/>
      <c r="CO149" s="144"/>
      <c r="CP149" s="274"/>
      <c r="CQ149" s="132"/>
      <c r="CR149" s="132"/>
      <c r="CS149" s="132"/>
      <c r="CT149" s="274"/>
      <c r="CU149" s="144"/>
      <c r="CV149" s="274"/>
      <c r="CW149" s="132"/>
      <c r="CX149" s="132"/>
      <c r="CY149" s="132"/>
      <c r="CZ149" s="118"/>
      <c r="DA149" s="144"/>
      <c r="DB149" s="118"/>
      <c r="DC149" s="33"/>
      <c r="DD149" s="39"/>
      <c r="DE149" s="11"/>
      <c r="DF149" s="132"/>
      <c r="DG149" s="132"/>
      <c r="DH149" s="132"/>
      <c r="DI149" s="132"/>
      <c r="DJ149" s="132"/>
      <c r="DK149" s="132"/>
      <c r="DL149" s="132"/>
      <c r="DM149" s="132"/>
      <c r="DN149" s="132"/>
      <c r="DO149" s="132"/>
      <c r="DP149" s="132"/>
      <c r="DQ149" s="132"/>
      <c r="DR149" s="132"/>
      <c r="DS149" s="132"/>
      <c r="DT149" s="132"/>
      <c r="DU149" s="132"/>
      <c r="DV149" s="132"/>
      <c r="DW149" s="132"/>
      <c r="DX149" s="132"/>
      <c r="DY149" s="132"/>
      <c r="DZ149" s="132"/>
      <c r="EA149" s="132"/>
      <c r="EB149" s="132"/>
      <c r="EC149" s="132"/>
      <c r="ED149" s="132"/>
      <c r="EE149" s="132"/>
      <c r="EF149" s="132"/>
      <c r="EG149" s="132"/>
      <c r="EH149" s="132"/>
      <c r="EI149" s="132"/>
      <c r="EJ149" s="132"/>
      <c r="EK149" s="132"/>
      <c r="EL149" s="132"/>
      <c r="EM149" s="132"/>
      <c r="EN149" s="132"/>
      <c r="EO149" s="132"/>
      <c r="EP149" s="132"/>
      <c r="EQ149" s="132"/>
      <c r="ER149" s="132"/>
      <c r="ES149" s="132"/>
      <c r="ET149" s="11"/>
      <c r="EU149" s="11"/>
      <c r="EV149" s="11"/>
      <c r="EW149" s="11"/>
      <c r="EX149" s="11"/>
      <c r="EY149" s="11"/>
      <c r="EZ149" s="11"/>
      <c r="FA149" s="11"/>
      <c r="FB149" s="11"/>
      <c r="FC149" s="11"/>
      <c r="FD149" s="11"/>
      <c r="FE149" s="11"/>
      <c r="FF149" s="11"/>
      <c r="FG149" s="11"/>
      <c r="FH149" s="39">
        <f t="shared" si="37"/>
        <v>940933</v>
      </c>
      <c r="FI149" s="33">
        <f t="shared" si="38"/>
        <v>1</v>
      </c>
      <c r="FJ149" s="84">
        <f t="shared" si="39"/>
        <v>940933</v>
      </c>
    </row>
    <row r="150" spans="1:166" x14ac:dyDescent="0.25">
      <c r="A150" s="79" t="e">
        <f>#REF!</f>
        <v>#REF!</v>
      </c>
      <c r="B150" s="75" t="e">
        <f>#REF!</f>
        <v>#REF!</v>
      </c>
      <c r="C150" s="75" t="e">
        <f>#REF!</f>
        <v>#REF!</v>
      </c>
      <c r="D150" s="75" t="e">
        <f>#REF!</f>
        <v>#REF!</v>
      </c>
      <c r="E150" s="30">
        <v>1</v>
      </c>
      <c r="F150" s="238">
        <v>670267.5</v>
      </c>
      <c r="G150" s="241">
        <v>0</v>
      </c>
      <c r="H150" s="249">
        <v>0</v>
      </c>
      <c r="I150" s="249">
        <v>0</v>
      </c>
      <c r="J150" s="249">
        <v>0</v>
      </c>
      <c r="K150" s="249">
        <v>0</v>
      </c>
      <c r="L150" s="274">
        <f>F150</f>
        <v>670267.5</v>
      </c>
      <c r="M150" s="274"/>
      <c r="N150" s="245"/>
      <c r="O150" s="117"/>
      <c r="P150" s="113"/>
      <c r="Q150" s="131"/>
      <c r="R150" s="131"/>
      <c r="S150" s="64"/>
      <c r="T150" s="113"/>
      <c r="U150" s="113"/>
      <c r="V150" s="113"/>
      <c r="W150" s="131"/>
      <c r="X150" s="131"/>
      <c r="Y150" s="11"/>
      <c r="Z150" s="113"/>
      <c r="AA150" s="113"/>
      <c r="AB150" s="113"/>
      <c r="AC150" s="52"/>
      <c r="AD150" s="52"/>
      <c r="AE150" s="11"/>
      <c r="AF150" s="113"/>
      <c r="AG150" s="144"/>
      <c r="AH150" s="113"/>
      <c r="AI150" s="11"/>
      <c r="AJ150" s="11"/>
      <c r="AK150" s="39"/>
      <c r="AL150" s="113"/>
      <c r="AM150" s="113"/>
      <c r="AN150" s="117"/>
      <c r="AO150" s="76"/>
      <c r="AP150" s="39"/>
      <c r="AQ150" s="39"/>
      <c r="AR150" s="275"/>
      <c r="AS150" s="156"/>
      <c r="AT150" s="157"/>
      <c r="AU150" s="62"/>
      <c r="AV150" s="62"/>
      <c r="AW150" s="31"/>
      <c r="AX150" s="116"/>
      <c r="AY150" s="196"/>
      <c r="AZ150" s="143"/>
      <c r="BA150" s="191"/>
      <c r="BB150" s="132"/>
      <c r="BC150" s="132"/>
      <c r="BD150" s="275"/>
      <c r="BE150" s="143"/>
      <c r="BF150" s="143"/>
      <c r="BG150" s="132"/>
      <c r="BH150" s="132"/>
      <c r="BI150" s="132"/>
      <c r="BJ150" s="143"/>
      <c r="BK150" s="143"/>
      <c r="BL150" s="143"/>
      <c r="BM150" s="132"/>
      <c r="BN150" s="132"/>
      <c r="BO150" s="132"/>
      <c r="BP150" s="143"/>
      <c r="BQ150" s="132"/>
      <c r="BR150" s="132"/>
      <c r="BS150" s="132"/>
      <c r="BT150" s="132"/>
      <c r="BU150" s="132"/>
      <c r="BV150" s="211"/>
      <c r="BW150" s="144"/>
      <c r="BX150" s="113"/>
      <c r="BY150" s="273"/>
      <c r="BZ150" s="273"/>
      <c r="CA150" s="132"/>
      <c r="CB150" s="275"/>
      <c r="CC150" s="143"/>
      <c r="CD150" s="275"/>
      <c r="CE150" s="132"/>
      <c r="CF150" s="132"/>
      <c r="CG150" s="36"/>
      <c r="CH150" s="210"/>
      <c r="CI150" s="219"/>
      <c r="CJ150" s="210"/>
      <c r="CK150" s="273"/>
      <c r="CL150" s="273"/>
      <c r="CM150" s="132"/>
      <c r="CN150" s="275"/>
      <c r="CO150" s="143"/>
      <c r="CP150" s="275"/>
      <c r="CQ150" s="132"/>
      <c r="CR150" s="132"/>
      <c r="CS150" s="132"/>
      <c r="CT150" s="275"/>
      <c r="CU150" s="143"/>
      <c r="CV150" s="275"/>
      <c r="CW150" s="132"/>
      <c r="CX150" s="132"/>
      <c r="CY150" s="132"/>
      <c r="CZ150" s="113"/>
      <c r="DA150" s="143"/>
      <c r="DB150" s="113"/>
      <c r="DC150" s="33"/>
      <c r="DD150" s="39"/>
      <c r="DE150" s="11"/>
      <c r="DF150" s="132"/>
      <c r="DG150" s="132"/>
      <c r="DH150" s="132"/>
      <c r="DI150" s="132"/>
      <c r="DJ150" s="132"/>
      <c r="DK150" s="132"/>
      <c r="DL150" s="132"/>
      <c r="DM150" s="132"/>
      <c r="DN150" s="132"/>
      <c r="DO150" s="132"/>
      <c r="DP150" s="132"/>
      <c r="DQ150" s="132"/>
      <c r="DR150" s="132"/>
      <c r="DS150" s="132"/>
      <c r="DT150" s="132"/>
      <c r="DU150" s="132"/>
      <c r="DV150" s="132"/>
      <c r="DW150" s="132"/>
      <c r="DX150" s="132"/>
      <c r="DY150" s="132"/>
      <c r="DZ150" s="132"/>
      <c r="EA150" s="132"/>
      <c r="EB150" s="132"/>
      <c r="EC150" s="132"/>
      <c r="ED150" s="132"/>
      <c r="EE150" s="132"/>
      <c r="EF150" s="132"/>
      <c r="EG150" s="132"/>
      <c r="EH150" s="132"/>
      <c r="EI150" s="132"/>
      <c r="EJ150" s="132"/>
      <c r="EK150" s="132"/>
      <c r="EL150" s="132"/>
      <c r="EM150" s="132"/>
      <c r="EN150" s="132"/>
      <c r="EO150" s="132"/>
      <c r="EP150" s="132"/>
      <c r="EQ150" s="132"/>
      <c r="ER150" s="132"/>
      <c r="ES150" s="132"/>
      <c r="ET150" s="11"/>
      <c r="EU150" s="11"/>
      <c r="EV150" s="11"/>
      <c r="EW150" s="11"/>
      <c r="EX150" s="11"/>
      <c r="EY150" s="11"/>
      <c r="EZ150" s="11"/>
      <c r="FA150" s="11"/>
      <c r="FB150" s="11"/>
      <c r="FC150" s="11"/>
      <c r="FD150" s="11"/>
      <c r="FE150" s="11"/>
      <c r="FF150" s="11"/>
      <c r="FG150" s="11"/>
      <c r="FH150" s="39">
        <f t="shared" si="37"/>
        <v>0</v>
      </c>
      <c r="FI150" s="33">
        <f t="shared" si="38"/>
        <v>0</v>
      </c>
      <c r="FJ150" s="84" t="str">
        <f t="shared" si="39"/>
        <v xml:space="preserve"> </v>
      </c>
    </row>
    <row r="151" spans="1:166" ht="27" x14ac:dyDescent="0.25">
      <c r="A151" s="79" t="e">
        <f>#REF!</f>
        <v>#REF!</v>
      </c>
      <c r="B151" s="75" t="e">
        <f>#REF!</f>
        <v>#REF!</v>
      </c>
      <c r="C151" s="75" t="e">
        <f>#REF!</f>
        <v>#REF!</v>
      </c>
      <c r="D151" s="75" t="e">
        <f>#REF!</f>
        <v>#REF!</v>
      </c>
      <c r="E151" s="30">
        <v>1</v>
      </c>
      <c r="F151" s="238">
        <v>1183841.75</v>
      </c>
      <c r="G151" s="241">
        <v>1154181</v>
      </c>
      <c r="H151" s="249">
        <v>1049936.0073416668</v>
      </c>
      <c r="I151" s="249">
        <v>0</v>
      </c>
      <c r="J151" s="249">
        <v>1026762.5433333333</v>
      </c>
      <c r="K151" s="249">
        <v>1012690</v>
      </c>
      <c r="L151" s="274">
        <f>AVERAGE(F151,H151,J151)</f>
        <v>1086846.7668916669</v>
      </c>
      <c r="M151" s="274">
        <f>AVERAGE(G151,K151)*E1</f>
        <v>1115938.5649999999</v>
      </c>
      <c r="N151" s="245"/>
      <c r="O151" s="117"/>
      <c r="P151" s="113"/>
      <c r="Q151" s="131"/>
      <c r="R151" s="131"/>
      <c r="S151" s="64"/>
      <c r="T151" s="113"/>
      <c r="U151" s="113"/>
      <c r="V151" s="113"/>
      <c r="W151" s="131"/>
      <c r="X151" s="131"/>
      <c r="Y151" s="11"/>
      <c r="Z151" s="113"/>
      <c r="AA151" s="113"/>
      <c r="AB151" s="113"/>
      <c r="AC151" s="52"/>
      <c r="AD151" s="52"/>
      <c r="AE151" s="11"/>
      <c r="AF151" s="118"/>
      <c r="AG151" s="144"/>
      <c r="AH151" s="113"/>
      <c r="AI151" s="11"/>
      <c r="AJ151" s="11"/>
      <c r="AK151" s="39"/>
      <c r="AL151" s="113"/>
      <c r="AM151" s="113"/>
      <c r="AN151" s="117"/>
      <c r="AO151" s="76"/>
      <c r="AP151" s="39"/>
      <c r="AQ151" s="39"/>
      <c r="AR151" s="275">
        <v>382082</v>
      </c>
      <c r="AS151" s="113">
        <f>+AR151*0.19</f>
        <v>72595.58</v>
      </c>
      <c r="AT151" s="119">
        <f>+AR151+AS151</f>
        <v>454677.58</v>
      </c>
      <c r="AU151" s="62" t="s">
        <v>254</v>
      </c>
      <c r="AV151" s="62" t="s">
        <v>45</v>
      </c>
      <c r="AW151" s="31"/>
      <c r="AX151" s="116"/>
      <c r="AY151" s="196"/>
      <c r="AZ151" s="143"/>
      <c r="BA151" s="191"/>
      <c r="BB151" s="132"/>
      <c r="BC151" s="132"/>
      <c r="BD151" s="274"/>
      <c r="BE151" s="143"/>
      <c r="BF151" s="143"/>
      <c r="BG151" s="132"/>
      <c r="BH151" s="132"/>
      <c r="BI151" s="132"/>
      <c r="BJ151" s="143"/>
      <c r="BK151" s="143"/>
      <c r="BL151" s="143"/>
      <c r="BM151" s="132"/>
      <c r="BN151" s="132"/>
      <c r="BO151" s="132"/>
      <c r="BP151" s="143"/>
      <c r="BQ151" s="132"/>
      <c r="BR151" s="132"/>
      <c r="BS151" s="132"/>
      <c r="BT151" s="132"/>
      <c r="BU151" s="132"/>
      <c r="BV151" s="267">
        <v>2674000</v>
      </c>
      <c r="BW151" s="144">
        <f>BV151*19%</f>
        <v>508060</v>
      </c>
      <c r="BX151" s="113">
        <f>+BV151+BW151</f>
        <v>3182060</v>
      </c>
      <c r="BY151" s="264" t="s">
        <v>62</v>
      </c>
      <c r="BZ151" s="264" t="s">
        <v>253</v>
      </c>
      <c r="CA151" s="132"/>
      <c r="CB151" s="274"/>
      <c r="CC151" s="144"/>
      <c r="CD151" s="274"/>
      <c r="CE151" s="132"/>
      <c r="CF151" s="132"/>
      <c r="CG151" s="36"/>
      <c r="CH151" s="263"/>
      <c r="CI151" s="265"/>
      <c r="CJ151" s="263"/>
      <c r="CK151" s="264"/>
      <c r="CL151" s="264"/>
      <c r="CM151" s="132"/>
      <c r="CN151" s="274"/>
      <c r="CO151" s="144"/>
      <c r="CP151" s="274"/>
      <c r="CQ151" s="132"/>
      <c r="CR151" s="132"/>
      <c r="CS151" s="132"/>
      <c r="CT151" s="274"/>
      <c r="CU151" s="144"/>
      <c r="CV151" s="274"/>
      <c r="CW151" s="132"/>
      <c r="CX151" s="132"/>
      <c r="CY151" s="132"/>
      <c r="CZ151" s="118">
        <v>1097778</v>
      </c>
      <c r="DA151" s="144">
        <f>+CZ151*0.19</f>
        <v>208577.82</v>
      </c>
      <c r="DB151" s="118">
        <f>+CZ151+DA151</f>
        <v>1306355.82</v>
      </c>
      <c r="DC151" s="33" t="s">
        <v>142</v>
      </c>
      <c r="DD151" s="39" t="s">
        <v>58</v>
      </c>
      <c r="DE151" s="11">
        <v>1102930500</v>
      </c>
      <c r="DF151" s="132"/>
      <c r="DG151" s="132"/>
      <c r="DH151" s="132"/>
      <c r="DI151" s="132"/>
      <c r="DJ151" s="132"/>
      <c r="DK151" s="132"/>
      <c r="DL151" s="132"/>
      <c r="DM151" s="132"/>
      <c r="DN151" s="132"/>
      <c r="DO151" s="132"/>
      <c r="DP151" s="132"/>
      <c r="DQ151" s="132"/>
      <c r="DR151" s="132"/>
      <c r="DS151" s="132"/>
      <c r="DT151" s="132"/>
      <c r="DU151" s="132"/>
      <c r="DV151" s="132"/>
      <c r="DW151" s="132"/>
      <c r="DX151" s="132"/>
      <c r="DY151" s="132"/>
      <c r="DZ151" s="132"/>
      <c r="EA151" s="132"/>
      <c r="EB151" s="132"/>
      <c r="EC151" s="132"/>
      <c r="ED151" s="132"/>
      <c r="EE151" s="132"/>
      <c r="EF151" s="132"/>
      <c r="EG151" s="132"/>
      <c r="EH151" s="132"/>
      <c r="EI151" s="132"/>
      <c r="EJ151" s="132"/>
      <c r="EK151" s="132"/>
      <c r="EL151" s="132"/>
      <c r="EM151" s="132"/>
      <c r="EN151" s="132"/>
      <c r="EO151" s="132"/>
      <c r="EP151" s="132"/>
      <c r="EQ151" s="132"/>
      <c r="ER151" s="132"/>
      <c r="ES151" s="132"/>
      <c r="ET151" s="11"/>
      <c r="EU151" s="11"/>
      <c r="EV151" s="11"/>
      <c r="EW151" s="11"/>
      <c r="EX151" s="11"/>
      <c r="EY151" s="11"/>
      <c r="EZ151" s="11"/>
      <c r="FA151" s="11"/>
      <c r="FB151" s="11"/>
      <c r="FC151" s="11"/>
      <c r="FD151" s="11"/>
      <c r="FE151" s="11"/>
      <c r="FF151" s="11"/>
      <c r="FG151" s="11"/>
      <c r="FH151" s="39">
        <f t="shared" si="37"/>
        <v>6059031.9649999999</v>
      </c>
      <c r="FI151" s="33">
        <f t="shared" si="38"/>
        <v>4</v>
      </c>
      <c r="FJ151" s="84">
        <f t="shared" si="39"/>
        <v>1514757.99125</v>
      </c>
    </row>
    <row r="152" spans="1:166" ht="27" x14ac:dyDescent="0.25">
      <c r="A152" s="79" t="e">
        <f>#REF!</f>
        <v>#REF!</v>
      </c>
      <c r="B152" s="75" t="e">
        <f>#REF!</f>
        <v>#REF!</v>
      </c>
      <c r="C152" s="75" t="e">
        <f>#REF!</f>
        <v>#REF!</v>
      </c>
      <c r="D152" s="75" t="e">
        <f>#REF!</f>
        <v>#REF!</v>
      </c>
      <c r="E152" s="30">
        <v>1</v>
      </c>
      <c r="F152" s="238">
        <v>593348.75600000005</v>
      </c>
      <c r="G152" s="241">
        <v>593334</v>
      </c>
      <c r="H152" s="249">
        <v>776851.51690439996</v>
      </c>
      <c r="I152" s="249">
        <v>0</v>
      </c>
      <c r="J152" s="249">
        <v>717669.16666666663</v>
      </c>
      <c r="K152" s="249">
        <v>0</v>
      </c>
      <c r="L152" s="274">
        <f>AVERAGE(F152,H152,J152)</f>
        <v>695956.47985702229</v>
      </c>
      <c r="M152" s="274">
        <f>G152*E1</f>
        <v>611134.02</v>
      </c>
      <c r="N152" s="247">
        <v>501750</v>
      </c>
      <c r="O152" s="113">
        <f>+N152*0.19</f>
        <v>95332.5</v>
      </c>
      <c r="P152" s="113">
        <f>+O152+N152</f>
        <v>597082.5</v>
      </c>
      <c r="Q152" s="36" t="s">
        <v>127</v>
      </c>
      <c r="R152" s="132" t="s">
        <v>128</v>
      </c>
      <c r="S152" s="64" t="s">
        <v>216</v>
      </c>
      <c r="T152" s="113"/>
      <c r="U152" s="113"/>
      <c r="V152" s="113"/>
      <c r="W152" s="131"/>
      <c r="X152" s="131"/>
      <c r="Y152" s="11"/>
      <c r="Z152" s="113"/>
      <c r="AA152" s="113"/>
      <c r="AB152" s="113"/>
      <c r="AC152" s="52"/>
      <c r="AD152" s="52"/>
      <c r="AE152" s="11"/>
      <c r="AF152" s="118"/>
      <c r="AG152" s="144"/>
      <c r="AH152" s="113"/>
      <c r="AI152" s="11"/>
      <c r="AJ152" s="11"/>
      <c r="AK152" s="39"/>
      <c r="AL152" s="113"/>
      <c r="AM152" s="113"/>
      <c r="AN152" s="117"/>
      <c r="AO152" s="76"/>
      <c r="AP152" s="39"/>
      <c r="AQ152" s="39"/>
      <c r="AR152" s="275"/>
      <c r="AS152" s="156"/>
      <c r="AT152" s="157"/>
      <c r="AU152" s="62"/>
      <c r="AV152" s="62"/>
      <c r="AW152" s="31"/>
      <c r="AX152" s="116"/>
      <c r="AY152" s="196"/>
      <c r="AZ152" s="143"/>
      <c r="BA152" s="191"/>
      <c r="BB152" s="132"/>
      <c r="BC152" s="132"/>
      <c r="BD152" s="274"/>
      <c r="BE152" s="143"/>
      <c r="BF152" s="143"/>
      <c r="BG152" s="132"/>
      <c r="BH152" s="132"/>
      <c r="BI152" s="132"/>
      <c r="BJ152" s="143"/>
      <c r="BK152" s="143"/>
      <c r="BL152" s="143"/>
      <c r="BM152" s="132"/>
      <c r="BN152" s="132"/>
      <c r="BO152" s="132"/>
      <c r="BP152" s="143"/>
      <c r="BQ152" s="132"/>
      <c r="BR152" s="132"/>
      <c r="BS152" s="132"/>
      <c r="BT152" s="132"/>
      <c r="BU152" s="132"/>
      <c r="BV152" s="267">
        <v>1000000</v>
      </c>
      <c r="BW152" s="144">
        <f>BV152*19%</f>
        <v>190000</v>
      </c>
      <c r="BX152" s="113">
        <f>+BV152+BW152</f>
        <v>1190000</v>
      </c>
      <c r="BY152" s="264" t="s">
        <v>62</v>
      </c>
      <c r="BZ152" s="264" t="s">
        <v>58</v>
      </c>
      <c r="CA152" s="132"/>
      <c r="CB152" s="274"/>
      <c r="CC152" s="144"/>
      <c r="CD152" s="274"/>
      <c r="CE152" s="132"/>
      <c r="CF152" s="132"/>
      <c r="CG152" s="36"/>
      <c r="CH152" s="263"/>
      <c r="CI152" s="265"/>
      <c r="CJ152" s="263"/>
      <c r="CK152" s="264"/>
      <c r="CL152" s="264"/>
      <c r="CM152" s="132"/>
      <c r="CN152" s="274"/>
      <c r="CO152" s="144"/>
      <c r="CP152" s="274"/>
      <c r="CQ152" s="132"/>
      <c r="CR152" s="132"/>
      <c r="CS152" s="132"/>
      <c r="CT152" s="274"/>
      <c r="CU152" s="144"/>
      <c r="CV152" s="274"/>
      <c r="CW152" s="132"/>
      <c r="CX152" s="132"/>
      <c r="CY152" s="132"/>
      <c r="CZ152" s="118">
        <v>659615</v>
      </c>
      <c r="DA152" s="144">
        <f>+CZ152*0.19</f>
        <v>125326.85</v>
      </c>
      <c r="DB152" s="118">
        <f>+CZ152+DA152</f>
        <v>784941.85</v>
      </c>
      <c r="DC152" s="33" t="s">
        <v>64</v>
      </c>
      <c r="DD152" s="39" t="s">
        <v>58</v>
      </c>
      <c r="DE152" s="11">
        <v>1057120500</v>
      </c>
      <c r="DF152" s="132"/>
      <c r="DG152" s="132"/>
      <c r="DH152" s="132"/>
      <c r="DI152" s="132"/>
      <c r="DJ152" s="132"/>
      <c r="DK152" s="132"/>
      <c r="DL152" s="132"/>
      <c r="DM152" s="132"/>
      <c r="DN152" s="132"/>
      <c r="DO152" s="132"/>
      <c r="DP152" s="132"/>
      <c r="DQ152" s="132"/>
      <c r="DR152" s="132"/>
      <c r="DS152" s="132"/>
      <c r="DT152" s="132"/>
      <c r="DU152" s="132"/>
      <c r="DV152" s="132"/>
      <c r="DW152" s="132"/>
      <c r="DX152" s="132"/>
      <c r="DY152" s="132"/>
      <c r="DZ152" s="132"/>
      <c r="EA152" s="132"/>
      <c r="EB152" s="132"/>
      <c r="EC152" s="132"/>
      <c r="ED152" s="132"/>
      <c r="EE152" s="132"/>
      <c r="EF152" s="132"/>
      <c r="EG152" s="132"/>
      <c r="EH152" s="132"/>
      <c r="EI152" s="132"/>
      <c r="EJ152" s="132"/>
      <c r="EK152" s="132"/>
      <c r="EL152" s="132"/>
      <c r="EM152" s="132"/>
      <c r="EN152" s="132"/>
      <c r="EO152" s="132"/>
      <c r="EP152" s="132"/>
      <c r="EQ152" s="132"/>
      <c r="ER152" s="132"/>
      <c r="ES152" s="132"/>
      <c r="ET152" s="11"/>
      <c r="EU152" s="11"/>
      <c r="EV152" s="11"/>
      <c r="EW152" s="11"/>
      <c r="EX152" s="11"/>
      <c r="EY152" s="11"/>
      <c r="EZ152" s="11"/>
      <c r="FA152" s="11"/>
      <c r="FB152" s="11"/>
      <c r="FC152" s="11"/>
      <c r="FD152" s="11"/>
      <c r="FE152" s="11"/>
      <c r="FF152" s="11"/>
      <c r="FG152" s="11"/>
      <c r="FH152" s="39">
        <f t="shared" si="37"/>
        <v>3183158.37</v>
      </c>
      <c r="FI152" s="33">
        <f t="shared" si="38"/>
        <v>4</v>
      </c>
      <c r="FJ152" s="84">
        <f t="shared" si="39"/>
        <v>795789.59250000003</v>
      </c>
    </row>
    <row r="153" spans="1:166" ht="40.5" x14ac:dyDescent="0.25">
      <c r="A153" s="79" t="e">
        <f>#REF!</f>
        <v>#REF!</v>
      </c>
      <c r="B153" s="75" t="e">
        <f>#REF!</f>
        <v>#REF!</v>
      </c>
      <c r="C153" s="75" t="e">
        <f>#REF!</f>
        <v>#REF!</v>
      </c>
      <c r="D153" s="75" t="e">
        <f>#REF!</f>
        <v>#REF!</v>
      </c>
      <c r="E153" s="30">
        <v>1</v>
      </c>
      <c r="F153" s="238">
        <v>370149.5</v>
      </c>
      <c r="G153" s="241">
        <v>0</v>
      </c>
      <c r="H153" s="249">
        <v>651357.81392500002</v>
      </c>
      <c r="I153" s="249">
        <v>0</v>
      </c>
      <c r="J153" s="249">
        <v>834785</v>
      </c>
      <c r="K153" s="249">
        <v>0</v>
      </c>
      <c r="L153" s="274">
        <f>AVERAGE(F153,H153,J153)</f>
        <v>618764.10464166664</v>
      </c>
      <c r="M153" s="274"/>
      <c r="N153" s="245"/>
      <c r="O153" s="113"/>
      <c r="P153" s="113"/>
      <c r="Q153" s="131"/>
      <c r="R153" s="131"/>
      <c r="S153" s="64"/>
      <c r="T153" s="113"/>
      <c r="U153" s="113"/>
      <c r="V153" s="113"/>
      <c r="W153" s="131"/>
      <c r="X153" s="131"/>
      <c r="Y153" s="11"/>
      <c r="Z153" s="113"/>
      <c r="AA153" s="113"/>
      <c r="AB153" s="113"/>
      <c r="AC153" s="52"/>
      <c r="AD153" s="52"/>
      <c r="AE153" s="11"/>
      <c r="AF153" s="118"/>
      <c r="AG153" s="144"/>
      <c r="AH153" s="113"/>
      <c r="AI153" s="11"/>
      <c r="AJ153" s="11"/>
      <c r="AK153" s="39"/>
      <c r="AL153" s="113"/>
      <c r="AM153" s="113"/>
      <c r="AN153" s="117"/>
      <c r="AO153" s="76"/>
      <c r="AP153" s="39"/>
      <c r="AQ153" s="39"/>
      <c r="AR153" s="275"/>
      <c r="AS153" s="156"/>
      <c r="AT153" s="157"/>
      <c r="AU153" s="62"/>
      <c r="AV153" s="62"/>
      <c r="AW153" s="31"/>
      <c r="AX153" s="116"/>
      <c r="AY153" s="196"/>
      <c r="AZ153" s="143"/>
      <c r="BA153" s="191"/>
      <c r="BB153" s="132"/>
      <c r="BC153" s="132"/>
      <c r="BD153" s="274"/>
      <c r="BE153" s="143"/>
      <c r="BF153" s="143"/>
      <c r="BG153" s="132"/>
      <c r="BH153" s="132"/>
      <c r="BI153" s="132"/>
      <c r="BJ153" s="143"/>
      <c r="BK153" s="143"/>
      <c r="BL153" s="143"/>
      <c r="BM153" s="132"/>
      <c r="BN153" s="132"/>
      <c r="BO153" s="132"/>
      <c r="BP153" s="143"/>
      <c r="BQ153" s="132"/>
      <c r="BR153" s="132"/>
      <c r="BS153" s="132"/>
      <c r="BT153" s="132"/>
      <c r="BU153" s="132"/>
      <c r="BV153" s="267">
        <v>600000</v>
      </c>
      <c r="BW153" s="144">
        <f>BV153*19%</f>
        <v>114000</v>
      </c>
      <c r="BX153" s="113">
        <f>+BV153+BW153</f>
        <v>714000</v>
      </c>
      <c r="BY153" s="264" t="s">
        <v>62</v>
      </c>
      <c r="BZ153" s="264" t="s">
        <v>126</v>
      </c>
      <c r="CA153" s="132"/>
      <c r="CB153" s="274"/>
      <c r="CC153" s="144"/>
      <c r="CD153" s="274"/>
      <c r="CE153" s="132"/>
      <c r="CF153" s="132"/>
      <c r="CG153" s="36"/>
      <c r="CH153" s="263"/>
      <c r="CI153" s="265"/>
      <c r="CJ153" s="263"/>
      <c r="CK153" s="264"/>
      <c r="CL153" s="264"/>
      <c r="CM153" s="132"/>
      <c r="CN153" s="274"/>
      <c r="CO153" s="144"/>
      <c r="CP153" s="274"/>
      <c r="CQ153" s="132"/>
      <c r="CR153" s="132"/>
      <c r="CS153" s="132"/>
      <c r="CT153" s="274"/>
      <c r="CU153" s="144"/>
      <c r="CV153" s="274"/>
      <c r="CW153" s="132"/>
      <c r="CX153" s="132"/>
      <c r="CY153" s="132"/>
      <c r="CZ153" s="118">
        <v>372331</v>
      </c>
      <c r="DA153" s="144">
        <f>+CZ153*0.19</f>
        <v>70742.89</v>
      </c>
      <c r="DB153" s="118">
        <f>+CZ153+DA153</f>
        <v>443073.89</v>
      </c>
      <c r="DC153" s="33" t="s">
        <v>76</v>
      </c>
      <c r="DD153" s="39" t="s">
        <v>58</v>
      </c>
      <c r="DE153" s="11">
        <v>1081900500</v>
      </c>
      <c r="DF153" s="132"/>
      <c r="DG153" s="132"/>
      <c r="DH153" s="132"/>
      <c r="DI153" s="132"/>
      <c r="DJ153" s="132"/>
      <c r="DK153" s="132"/>
      <c r="DL153" s="132"/>
      <c r="DM153" s="132"/>
      <c r="DN153" s="132"/>
      <c r="DO153" s="132"/>
      <c r="DP153" s="132"/>
      <c r="DQ153" s="132"/>
      <c r="DR153" s="132"/>
      <c r="DS153" s="132"/>
      <c r="DT153" s="132"/>
      <c r="DU153" s="132"/>
      <c r="DV153" s="132"/>
      <c r="DW153" s="132"/>
      <c r="DX153" s="132"/>
      <c r="DY153" s="132"/>
      <c r="DZ153" s="132"/>
      <c r="EA153" s="132"/>
      <c r="EB153" s="132"/>
      <c r="EC153" s="132"/>
      <c r="ED153" s="132"/>
      <c r="EE153" s="132"/>
      <c r="EF153" s="132"/>
      <c r="EG153" s="132"/>
      <c r="EH153" s="132"/>
      <c r="EI153" s="132"/>
      <c r="EJ153" s="132"/>
      <c r="EK153" s="132"/>
      <c r="EL153" s="132"/>
      <c r="EM153" s="132"/>
      <c r="EN153" s="132"/>
      <c r="EO153" s="132"/>
      <c r="EP153" s="132"/>
      <c r="EQ153" s="132"/>
      <c r="ER153" s="132"/>
      <c r="ES153" s="132"/>
      <c r="ET153" s="11"/>
      <c r="EU153" s="11"/>
      <c r="EV153" s="11"/>
      <c r="EW153" s="11"/>
      <c r="EX153" s="11"/>
      <c r="EY153" s="11"/>
      <c r="EZ153" s="11"/>
      <c r="FA153" s="11"/>
      <c r="FB153" s="11"/>
      <c r="FC153" s="11"/>
      <c r="FD153" s="11"/>
      <c r="FE153" s="11"/>
      <c r="FF153" s="11"/>
      <c r="FG153" s="11"/>
      <c r="FH153" s="39">
        <f t="shared" si="37"/>
        <v>1157073.8900000001</v>
      </c>
      <c r="FI153" s="33">
        <f t="shared" si="38"/>
        <v>2</v>
      </c>
      <c r="FJ153" s="84">
        <f t="shared" si="39"/>
        <v>578536.94500000007</v>
      </c>
    </row>
    <row r="154" spans="1:166" x14ac:dyDescent="0.25">
      <c r="A154" s="79" t="e">
        <f>#REF!</f>
        <v>#REF!</v>
      </c>
      <c r="B154" s="75" t="e">
        <f>#REF!</f>
        <v>#REF!</v>
      </c>
      <c r="C154" s="75" t="e">
        <f>#REF!</f>
        <v>#REF!</v>
      </c>
      <c r="D154" s="75" t="e">
        <f>#REF!</f>
        <v>#REF!</v>
      </c>
      <c r="E154" s="30">
        <v>1</v>
      </c>
      <c r="F154" s="238">
        <v>0</v>
      </c>
      <c r="G154" s="241">
        <v>0</v>
      </c>
      <c r="H154" s="249">
        <v>988443.75</v>
      </c>
      <c r="I154" s="249">
        <v>0</v>
      </c>
      <c r="J154" s="249">
        <v>0</v>
      </c>
      <c r="K154" s="249">
        <v>0</v>
      </c>
      <c r="L154" s="274">
        <f>H154</f>
        <v>988443.75</v>
      </c>
      <c r="M154" s="274"/>
      <c r="N154" s="245"/>
      <c r="O154" s="117"/>
      <c r="P154" s="113"/>
      <c r="Q154" s="131"/>
      <c r="R154" s="131"/>
      <c r="S154" s="64"/>
      <c r="T154" s="113"/>
      <c r="U154" s="113"/>
      <c r="V154" s="113"/>
      <c r="W154" s="131"/>
      <c r="X154" s="131"/>
      <c r="Y154" s="11"/>
      <c r="Z154" s="113"/>
      <c r="AA154" s="113"/>
      <c r="AB154" s="113"/>
      <c r="AC154" s="52"/>
      <c r="AD154" s="52"/>
      <c r="AE154" s="11"/>
      <c r="AF154" s="113"/>
      <c r="AG154" s="144"/>
      <c r="AH154" s="113"/>
      <c r="AI154" s="11"/>
      <c r="AJ154" s="11"/>
      <c r="AK154" s="39"/>
      <c r="AL154" s="113"/>
      <c r="AM154" s="113"/>
      <c r="AN154" s="117"/>
      <c r="AO154" s="76"/>
      <c r="AP154" s="39"/>
      <c r="AQ154" s="39"/>
      <c r="AR154" s="275"/>
      <c r="AS154" s="156"/>
      <c r="AT154" s="157"/>
      <c r="AU154" s="62"/>
      <c r="AV154" s="62"/>
      <c r="AW154" s="31"/>
      <c r="AX154" s="116"/>
      <c r="AY154" s="196"/>
      <c r="AZ154" s="143"/>
      <c r="BA154" s="191"/>
      <c r="BB154" s="132"/>
      <c r="BC154" s="132"/>
      <c r="BD154" s="275"/>
      <c r="BE154" s="143"/>
      <c r="BF154" s="143"/>
      <c r="BG154" s="132"/>
      <c r="BH154" s="132"/>
      <c r="BI154" s="132"/>
      <c r="BJ154" s="275">
        <v>267750</v>
      </c>
      <c r="BK154" s="118">
        <f>+BJ154*0.19</f>
        <v>50872.5</v>
      </c>
      <c r="BL154" s="113">
        <f>+BK154+BJ154</f>
        <v>318622.5</v>
      </c>
      <c r="BM154" s="11" t="s">
        <v>125</v>
      </c>
      <c r="BN154" s="132"/>
      <c r="BO154" s="132"/>
      <c r="BP154" s="143"/>
      <c r="BQ154" s="132"/>
      <c r="BR154" s="132"/>
      <c r="BS154" s="132"/>
      <c r="BT154" s="132"/>
      <c r="BU154" s="132"/>
      <c r="BV154" s="211"/>
      <c r="BW154" s="144"/>
      <c r="BX154" s="113"/>
      <c r="BY154" s="273"/>
      <c r="BZ154" s="273"/>
      <c r="CA154" s="132"/>
      <c r="CB154" s="275"/>
      <c r="CC154" s="143"/>
      <c r="CD154" s="275"/>
      <c r="CE154" s="132"/>
      <c r="CF154" s="132"/>
      <c r="CG154" s="36"/>
      <c r="CH154" s="210"/>
      <c r="CI154" s="219"/>
      <c r="CJ154" s="210"/>
      <c r="CK154" s="273"/>
      <c r="CL154" s="273"/>
      <c r="CM154" s="132"/>
      <c r="CN154" s="275"/>
      <c r="CO154" s="143"/>
      <c r="CP154" s="275"/>
      <c r="CQ154" s="132"/>
      <c r="CR154" s="132"/>
      <c r="CS154" s="132"/>
      <c r="CT154" s="275"/>
      <c r="CU154" s="143"/>
      <c r="CV154" s="275"/>
      <c r="CW154" s="132"/>
      <c r="CX154" s="132"/>
      <c r="CY154" s="132"/>
      <c r="CZ154" s="113"/>
      <c r="DA154" s="143"/>
      <c r="DB154" s="113"/>
      <c r="DC154" s="33"/>
      <c r="DD154" s="39"/>
      <c r="DE154" s="11"/>
      <c r="DF154" s="132"/>
      <c r="DG154" s="132"/>
      <c r="DH154" s="132"/>
      <c r="DI154" s="132"/>
      <c r="DJ154" s="132"/>
      <c r="DK154" s="132"/>
      <c r="DL154" s="132"/>
      <c r="DM154" s="132"/>
      <c r="DN154" s="132"/>
      <c r="DO154" s="132"/>
      <c r="DP154" s="132"/>
      <c r="DQ154" s="132"/>
      <c r="DR154" s="132"/>
      <c r="DS154" s="132"/>
      <c r="DT154" s="132"/>
      <c r="DU154" s="132"/>
      <c r="DV154" s="132"/>
      <c r="DW154" s="132"/>
      <c r="DX154" s="132"/>
      <c r="DY154" s="132"/>
      <c r="DZ154" s="132"/>
      <c r="EA154" s="132"/>
      <c r="EB154" s="132"/>
      <c r="EC154" s="132"/>
      <c r="ED154" s="132"/>
      <c r="EE154" s="132"/>
      <c r="EF154" s="132"/>
      <c r="EG154" s="132"/>
      <c r="EH154" s="132"/>
      <c r="EI154" s="132"/>
      <c r="EJ154" s="132"/>
      <c r="EK154" s="132"/>
      <c r="EL154" s="132"/>
      <c r="EM154" s="132"/>
      <c r="EN154" s="132"/>
      <c r="EO154" s="132"/>
      <c r="EP154" s="132"/>
      <c r="EQ154" s="132"/>
      <c r="ER154" s="132"/>
      <c r="ES154" s="132"/>
      <c r="ET154" s="11"/>
      <c r="EU154" s="11"/>
      <c r="EV154" s="11"/>
      <c r="EW154" s="11"/>
      <c r="EX154" s="11"/>
      <c r="EY154" s="11"/>
      <c r="EZ154" s="11"/>
      <c r="FA154" s="11"/>
      <c r="FB154" s="11"/>
      <c r="FC154" s="11"/>
      <c r="FD154" s="11"/>
      <c r="FE154" s="11"/>
      <c r="FF154" s="11"/>
      <c r="FG154" s="11"/>
      <c r="FH154" s="39">
        <f t="shared" si="37"/>
        <v>318622.5</v>
      </c>
      <c r="FI154" s="33">
        <f t="shared" si="38"/>
        <v>1</v>
      </c>
      <c r="FJ154" s="84">
        <f t="shared" si="39"/>
        <v>318622.5</v>
      </c>
    </row>
    <row r="155" spans="1:166" ht="40.5" x14ac:dyDescent="0.25">
      <c r="A155" s="79" t="e">
        <f>#REF!</f>
        <v>#REF!</v>
      </c>
      <c r="B155" s="75" t="e">
        <f>#REF!</f>
        <v>#REF!</v>
      </c>
      <c r="C155" s="75" t="e">
        <f>#REF!</f>
        <v>#REF!</v>
      </c>
      <c r="D155" s="75" t="e">
        <f>#REF!</f>
        <v>#REF!</v>
      </c>
      <c r="E155" s="30">
        <v>1</v>
      </c>
      <c r="F155" s="238">
        <v>544815.79599999997</v>
      </c>
      <c r="G155" s="241">
        <v>0</v>
      </c>
      <c r="H155" s="249">
        <v>383279.16666666669</v>
      </c>
      <c r="I155" s="249">
        <v>0</v>
      </c>
      <c r="J155" s="249">
        <v>760410</v>
      </c>
      <c r="K155" s="249">
        <v>749700</v>
      </c>
      <c r="L155" s="274">
        <f>AVERAGE(F155,H155,J155)</f>
        <v>562834.98755555553</v>
      </c>
      <c r="M155" s="274">
        <f>K155*E1</f>
        <v>772191</v>
      </c>
      <c r="N155" s="247">
        <v>914350</v>
      </c>
      <c r="O155" s="113">
        <f>+N155*0.19</f>
        <v>173726.5</v>
      </c>
      <c r="P155" s="113">
        <f>+O155+N155</f>
        <v>1088076.5</v>
      </c>
      <c r="Q155" s="36" t="s">
        <v>127</v>
      </c>
      <c r="R155" s="132" t="s">
        <v>128</v>
      </c>
      <c r="S155" s="25" t="s">
        <v>255</v>
      </c>
      <c r="T155" s="113"/>
      <c r="U155" s="113"/>
      <c r="V155" s="113"/>
      <c r="W155" s="131"/>
      <c r="X155" s="131"/>
      <c r="Y155" s="11"/>
      <c r="Z155" s="113"/>
      <c r="AA155" s="113"/>
      <c r="AB155" s="113"/>
      <c r="AC155" s="52"/>
      <c r="AD155" s="52"/>
      <c r="AE155" s="11"/>
      <c r="AF155" s="118"/>
      <c r="AG155" s="144"/>
      <c r="AH155" s="113"/>
      <c r="AI155" s="11"/>
      <c r="AJ155" s="11"/>
      <c r="AK155" s="39"/>
      <c r="AL155" s="113"/>
      <c r="AM155" s="113"/>
      <c r="AN155" s="119"/>
      <c r="AO155" s="76"/>
      <c r="AP155" s="39"/>
      <c r="AQ155" s="39"/>
      <c r="AR155" s="275"/>
      <c r="AS155" s="155"/>
      <c r="AT155" s="157"/>
      <c r="AU155" s="62"/>
      <c r="AV155" s="62"/>
      <c r="AW155" s="31"/>
      <c r="AX155" s="116"/>
      <c r="AY155" s="196"/>
      <c r="AZ155" s="143"/>
      <c r="BA155" s="191"/>
      <c r="BB155" s="132"/>
      <c r="BC155" s="132"/>
      <c r="BD155" s="274"/>
      <c r="BE155" s="143"/>
      <c r="BF155" s="143"/>
      <c r="BG155" s="132"/>
      <c r="BH155" s="132"/>
      <c r="BI155" s="132"/>
      <c r="BJ155" s="274">
        <v>80750</v>
      </c>
      <c r="BK155" s="118">
        <f>+BJ155*0.19</f>
        <v>15342.5</v>
      </c>
      <c r="BL155" s="113">
        <f>+BK155+BJ155</f>
        <v>96092.5</v>
      </c>
      <c r="BM155" s="11" t="s">
        <v>125</v>
      </c>
      <c r="BN155" s="132"/>
      <c r="BO155" s="132"/>
      <c r="BP155" s="143"/>
      <c r="BQ155" s="132"/>
      <c r="BR155" s="132"/>
      <c r="BS155" s="132"/>
      <c r="BT155" s="132"/>
      <c r="BU155" s="132"/>
      <c r="BV155" s="267">
        <v>622000</v>
      </c>
      <c r="BW155" s="144">
        <f>BV155*19%</f>
        <v>118180</v>
      </c>
      <c r="BX155" s="113">
        <f>+BV155+BW155</f>
        <v>740180</v>
      </c>
      <c r="BY155" s="264" t="s">
        <v>256</v>
      </c>
      <c r="BZ155" s="264" t="s">
        <v>126</v>
      </c>
      <c r="CA155" s="132"/>
      <c r="CB155" s="274"/>
      <c r="CC155" s="144"/>
      <c r="CD155" s="274"/>
      <c r="CE155" s="132"/>
      <c r="CF155" s="132"/>
      <c r="CG155" s="36"/>
      <c r="CH155" s="263">
        <v>628220</v>
      </c>
      <c r="CI155" s="265">
        <f>+CH155*0.19</f>
        <v>119361.8</v>
      </c>
      <c r="CJ155" s="263">
        <f>+CH155+CI155</f>
        <v>747581.8</v>
      </c>
      <c r="CK155" s="264" t="s">
        <v>256</v>
      </c>
      <c r="CL155" s="264" t="s">
        <v>126</v>
      </c>
      <c r="CM155" s="132"/>
      <c r="CN155" s="274"/>
      <c r="CO155" s="144"/>
      <c r="CP155" s="274"/>
      <c r="CQ155" s="132"/>
      <c r="CR155" s="132"/>
      <c r="CS155" s="132"/>
      <c r="CT155" s="274"/>
      <c r="CU155" s="144"/>
      <c r="CV155" s="274"/>
      <c r="CW155" s="132"/>
      <c r="CX155" s="132"/>
      <c r="CY155" s="132"/>
      <c r="CZ155" s="118"/>
      <c r="DA155" s="144"/>
      <c r="DB155" s="118"/>
      <c r="DC155" s="33"/>
      <c r="DD155" s="39"/>
      <c r="DE155" s="11"/>
      <c r="DF155" s="132"/>
      <c r="DG155" s="132"/>
      <c r="DH155" s="132"/>
      <c r="DI155" s="132"/>
      <c r="DJ155" s="132"/>
      <c r="DK155" s="132"/>
      <c r="DL155" s="132"/>
      <c r="DM155" s="132"/>
      <c r="DN155" s="132"/>
      <c r="DO155" s="132"/>
      <c r="DP155" s="132"/>
      <c r="DQ155" s="132"/>
      <c r="DR155" s="132"/>
      <c r="DS155" s="132"/>
      <c r="DT155" s="132"/>
      <c r="DU155" s="132"/>
      <c r="DV155" s="132"/>
      <c r="DW155" s="132"/>
      <c r="DX155" s="132"/>
      <c r="DY155" s="132"/>
      <c r="DZ155" s="132"/>
      <c r="EA155" s="132"/>
      <c r="EB155" s="132"/>
      <c r="EC155" s="132"/>
      <c r="ED155" s="132"/>
      <c r="EE155" s="132"/>
      <c r="EF155" s="132"/>
      <c r="EG155" s="132"/>
      <c r="EH155" s="132"/>
      <c r="EI155" s="132"/>
      <c r="EJ155" s="132"/>
      <c r="EK155" s="132"/>
      <c r="EL155" s="132"/>
      <c r="EM155" s="132"/>
      <c r="EN155" s="132"/>
      <c r="EO155" s="132"/>
      <c r="EP155" s="132"/>
      <c r="EQ155" s="132"/>
      <c r="ER155" s="132"/>
      <c r="ES155" s="132"/>
      <c r="ET155" s="11"/>
      <c r="EU155" s="11"/>
      <c r="EV155" s="11"/>
      <c r="EW155" s="11"/>
      <c r="EX155" s="11"/>
      <c r="EY155" s="11"/>
      <c r="EZ155" s="11"/>
      <c r="FA155" s="11"/>
      <c r="FB155" s="11"/>
      <c r="FC155" s="11"/>
      <c r="FD155" s="11"/>
      <c r="FE155" s="11"/>
      <c r="FF155" s="11"/>
      <c r="FG155" s="11"/>
      <c r="FH155" s="39">
        <f t="shared" si="37"/>
        <v>3444121.8</v>
      </c>
      <c r="FI155" s="33">
        <f t="shared" si="38"/>
        <v>5</v>
      </c>
      <c r="FJ155" s="84">
        <f t="shared" si="39"/>
        <v>688824.36</v>
      </c>
    </row>
    <row r="156" spans="1:166" ht="40.5" x14ac:dyDescent="0.25">
      <c r="A156" s="79" t="e">
        <f>#REF!</f>
        <v>#REF!</v>
      </c>
      <c r="B156" s="75" t="e">
        <f>#REF!</f>
        <v>#REF!</v>
      </c>
      <c r="C156" s="75" t="e">
        <f>#REF!</f>
        <v>#REF!</v>
      </c>
      <c r="D156" s="75" t="e">
        <f>#REF!</f>
        <v>#REF!</v>
      </c>
      <c r="E156" s="30">
        <v>1</v>
      </c>
      <c r="F156" s="238">
        <v>493899.98</v>
      </c>
      <c r="G156" s="241">
        <v>0</v>
      </c>
      <c r="H156" s="249">
        <v>842629.14986280003</v>
      </c>
      <c r="I156" s="249">
        <v>0</v>
      </c>
      <c r="J156" s="249">
        <v>2213291.71</v>
      </c>
      <c r="K156" s="249">
        <v>2157470</v>
      </c>
      <c r="L156" s="274">
        <f>AVERAGE(F156,H156,J156)</f>
        <v>1183273.6132876</v>
      </c>
      <c r="M156" s="274">
        <f>K156*E1</f>
        <v>2222194.1</v>
      </c>
      <c r="N156" s="245"/>
      <c r="O156" s="113"/>
      <c r="P156" s="113"/>
      <c r="Q156" s="131"/>
      <c r="R156" s="131"/>
      <c r="S156" s="64"/>
      <c r="T156" s="113"/>
      <c r="U156" s="117"/>
      <c r="V156" s="113"/>
      <c r="W156" s="131"/>
      <c r="X156" s="131"/>
      <c r="Y156" s="11"/>
      <c r="Z156" s="113"/>
      <c r="AA156" s="113"/>
      <c r="AB156" s="113"/>
      <c r="AC156" s="52"/>
      <c r="AD156" s="52"/>
      <c r="AE156" s="11"/>
      <c r="AF156" s="118"/>
      <c r="AG156" s="144"/>
      <c r="AH156" s="113"/>
      <c r="AI156" s="11"/>
      <c r="AJ156" s="11"/>
      <c r="AK156" s="39"/>
      <c r="AL156" s="113"/>
      <c r="AM156" s="113"/>
      <c r="AN156" s="117"/>
      <c r="AO156" s="76"/>
      <c r="AP156" s="39"/>
      <c r="AQ156" s="39"/>
      <c r="AR156" s="275"/>
      <c r="AS156" s="156"/>
      <c r="AT156" s="157"/>
      <c r="AU156" s="62"/>
      <c r="AV156" s="62"/>
      <c r="AW156" s="31"/>
      <c r="AX156" s="116"/>
      <c r="AY156" s="116"/>
      <c r="AZ156" s="143"/>
      <c r="BA156" s="191"/>
      <c r="BB156" s="132"/>
      <c r="BC156" s="132"/>
      <c r="BD156" s="274"/>
      <c r="BE156" s="143"/>
      <c r="BF156" s="143"/>
      <c r="BG156" s="132"/>
      <c r="BH156" s="132"/>
      <c r="BI156" s="132"/>
      <c r="BJ156" s="143"/>
      <c r="BK156" s="143"/>
      <c r="BL156" s="143"/>
      <c r="BM156" s="132"/>
      <c r="BN156" s="132"/>
      <c r="BO156" s="132"/>
      <c r="BP156" s="143"/>
      <c r="BQ156" s="132"/>
      <c r="BR156" s="132"/>
      <c r="BS156" s="132"/>
      <c r="BT156" s="132"/>
      <c r="BU156" s="132"/>
      <c r="BV156" s="267">
        <v>1558000</v>
      </c>
      <c r="BW156" s="144">
        <f>BV156*19%</f>
        <v>296020</v>
      </c>
      <c r="BX156" s="113">
        <f>+BV156+BW156</f>
        <v>1854020</v>
      </c>
      <c r="BY156" s="264" t="s">
        <v>62</v>
      </c>
      <c r="BZ156" s="264" t="s">
        <v>126</v>
      </c>
      <c r="CA156" s="132"/>
      <c r="CB156" s="274"/>
      <c r="CC156" s="144"/>
      <c r="CD156" s="274"/>
      <c r="CE156" s="132"/>
      <c r="CF156" s="132"/>
      <c r="CG156" s="36"/>
      <c r="CH156" s="263">
        <v>1635900</v>
      </c>
      <c r="CI156" s="265">
        <f>+CH156*0.19</f>
        <v>310821</v>
      </c>
      <c r="CJ156" s="263">
        <f>+CH156+CI156</f>
        <v>1946721</v>
      </c>
      <c r="CK156" s="264" t="s">
        <v>62</v>
      </c>
      <c r="CL156" s="264" t="s">
        <v>126</v>
      </c>
      <c r="CM156" s="132"/>
      <c r="CN156" s="274"/>
      <c r="CO156" s="144"/>
      <c r="CP156" s="274"/>
      <c r="CQ156" s="132"/>
      <c r="CR156" s="132"/>
      <c r="CS156" s="132"/>
      <c r="CT156" s="274"/>
      <c r="CU156" s="144"/>
      <c r="CV156" s="274"/>
      <c r="CW156" s="132"/>
      <c r="CX156" s="132"/>
      <c r="CY156" s="132"/>
      <c r="CZ156" s="118"/>
      <c r="DA156" s="144"/>
      <c r="DB156" s="118"/>
      <c r="DC156" s="33"/>
      <c r="DD156" s="39"/>
      <c r="DE156" s="11"/>
      <c r="DF156" s="132"/>
      <c r="DG156" s="132"/>
      <c r="DH156" s="132"/>
      <c r="DI156" s="132"/>
      <c r="DJ156" s="132"/>
      <c r="DK156" s="132"/>
      <c r="DL156" s="132"/>
      <c r="DM156" s="132"/>
      <c r="DN156" s="132"/>
      <c r="DO156" s="132"/>
      <c r="DP156" s="132"/>
      <c r="DQ156" s="132"/>
      <c r="DR156" s="132"/>
      <c r="DS156" s="132"/>
      <c r="DT156" s="132"/>
      <c r="DU156" s="132"/>
      <c r="DV156" s="132"/>
      <c r="DW156" s="132"/>
      <c r="DX156" s="132"/>
      <c r="DY156" s="132"/>
      <c r="DZ156" s="132"/>
      <c r="EA156" s="132"/>
      <c r="EB156" s="132"/>
      <c r="EC156" s="132"/>
      <c r="ED156" s="132"/>
      <c r="EE156" s="132"/>
      <c r="EF156" s="132"/>
      <c r="EG156" s="132"/>
      <c r="EH156" s="132"/>
      <c r="EI156" s="132"/>
      <c r="EJ156" s="132"/>
      <c r="EK156" s="132"/>
      <c r="EL156" s="132"/>
      <c r="EM156" s="132"/>
      <c r="EN156" s="132"/>
      <c r="EO156" s="132"/>
      <c r="EP156" s="132"/>
      <c r="EQ156" s="132"/>
      <c r="ER156" s="132"/>
      <c r="ES156" s="132"/>
      <c r="ET156" s="11"/>
      <c r="EU156" s="11"/>
      <c r="EV156" s="11"/>
      <c r="EW156" s="11"/>
      <c r="EX156" s="11"/>
      <c r="EY156" s="11"/>
      <c r="EZ156" s="11"/>
      <c r="FA156" s="11"/>
      <c r="FB156" s="11"/>
      <c r="FC156" s="11"/>
      <c r="FD156" s="11"/>
      <c r="FE156" s="11"/>
      <c r="FF156" s="11"/>
      <c r="FG156" s="11"/>
      <c r="FH156" s="39">
        <f t="shared" si="37"/>
        <v>6022935.0999999996</v>
      </c>
      <c r="FI156" s="33">
        <f t="shared" si="38"/>
        <v>3</v>
      </c>
      <c r="FJ156" s="84">
        <f t="shared" si="39"/>
        <v>2007645.0333333332</v>
      </c>
    </row>
    <row r="157" spans="1:166" ht="27" x14ac:dyDescent="0.25">
      <c r="A157" s="79" t="e">
        <f>#REF!</f>
        <v>#REF!</v>
      </c>
      <c r="B157" s="75" t="e">
        <f>#REF!</f>
        <v>#REF!</v>
      </c>
      <c r="C157" s="75" t="e">
        <f>#REF!</f>
        <v>#REF!</v>
      </c>
      <c r="D157" s="75" t="e">
        <f>#REF!</f>
        <v>#REF!</v>
      </c>
      <c r="E157" s="30">
        <v>1</v>
      </c>
      <c r="F157" s="238">
        <v>145572.70000000001</v>
      </c>
      <c r="G157" s="241">
        <v>0</v>
      </c>
      <c r="H157" s="249">
        <v>236357.26337285715</v>
      </c>
      <c r="I157" s="249">
        <v>0</v>
      </c>
      <c r="J157" s="249">
        <v>318106.63500000001</v>
      </c>
      <c r="K157" s="249">
        <v>0</v>
      </c>
      <c r="L157" s="274">
        <f>AVERAGE(F157,H157,J157)</f>
        <v>233345.53279095239</v>
      </c>
      <c r="M157" s="274"/>
      <c r="N157" s="245"/>
      <c r="O157" s="113"/>
      <c r="P157" s="113"/>
      <c r="Q157" s="131"/>
      <c r="R157" s="131"/>
      <c r="S157" s="64"/>
      <c r="T157" s="113"/>
      <c r="U157" s="113"/>
      <c r="V157" s="113"/>
      <c r="W157" s="131"/>
      <c r="X157" s="131"/>
      <c r="Y157" s="11"/>
      <c r="Z157" s="113"/>
      <c r="AA157" s="113"/>
      <c r="AB157" s="113"/>
      <c r="AC157" s="52"/>
      <c r="AD157" s="52"/>
      <c r="AE157" s="11"/>
      <c r="AF157" s="118"/>
      <c r="AG157" s="144"/>
      <c r="AH157" s="113"/>
      <c r="AI157" s="11"/>
      <c r="AJ157" s="11"/>
      <c r="AK157" s="39"/>
      <c r="AL157" s="113">
        <v>235000</v>
      </c>
      <c r="AM157" s="113">
        <f>+AL157*0.19</f>
        <v>44650</v>
      </c>
      <c r="AN157" s="119">
        <f>+AL157+AM157</f>
        <v>279650</v>
      </c>
      <c r="AO157" s="76" t="s">
        <v>60</v>
      </c>
      <c r="AP157" s="266" t="s">
        <v>45</v>
      </c>
      <c r="AQ157" s="39"/>
      <c r="AR157" s="275">
        <v>299633</v>
      </c>
      <c r="AS157" s="113">
        <f>+AR157*0.19</f>
        <v>56930.270000000004</v>
      </c>
      <c r="AT157" s="119">
        <f>+AR157+AS157</f>
        <v>356563.27</v>
      </c>
      <c r="AU157" s="62" t="s">
        <v>60</v>
      </c>
      <c r="AV157" s="62" t="s">
        <v>45</v>
      </c>
      <c r="AW157" s="31"/>
      <c r="AX157" s="116">
        <f>558241.53/2</f>
        <v>279120.76500000001</v>
      </c>
      <c r="AY157" s="116">
        <f>+AX157*0.19</f>
        <v>53032.945350000002</v>
      </c>
      <c r="AZ157" s="143">
        <f>+AX157+AY157</f>
        <v>332153.71035000001</v>
      </c>
      <c r="BA157" s="191" t="s">
        <v>60</v>
      </c>
      <c r="BB157" s="132" t="s">
        <v>70</v>
      </c>
      <c r="BC157" s="132"/>
      <c r="BD157" s="274"/>
      <c r="BE157" s="143"/>
      <c r="BF157" s="143"/>
      <c r="BG157" s="132"/>
      <c r="BH157" s="132"/>
      <c r="BI157" s="132"/>
      <c r="BJ157" s="143"/>
      <c r="BK157" s="143"/>
      <c r="BL157" s="143"/>
      <c r="BM157" s="132"/>
      <c r="BN157" s="132"/>
      <c r="BO157" s="132"/>
      <c r="BP157" s="143"/>
      <c r="BQ157" s="132"/>
      <c r="BR157" s="132"/>
      <c r="BS157" s="132"/>
      <c r="BT157" s="132"/>
      <c r="BU157" s="132"/>
      <c r="BV157" s="267">
        <v>267800</v>
      </c>
      <c r="BW157" s="144">
        <f>BV157*19%</f>
        <v>50882</v>
      </c>
      <c r="BX157" s="113">
        <f>+BV157+BW157</f>
        <v>318682</v>
      </c>
      <c r="BY157" s="264" t="s">
        <v>62</v>
      </c>
      <c r="BZ157" s="264" t="s">
        <v>237</v>
      </c>
      <c r="CA157" s="132"/>
      <c r="CB157" s="274"/>
      <c r="CC157" s="144"/>
      <c r="CD157" s="274"/>
      <c r="CE157" s="132"/>
      <c r="CF157" s="132"/>
      <c r="CG157" s="36"/>
      <c r="CH157" s="263">
        <v>283868</v>
      </c>
      <c r="CI157" s="265">
        <f>+CH157*0.19</f>
        <v>53934.92</v>
      </c>
      <c r="CJ157" s="263">
        <f>+CH157+CI157</f>
        <v>337802.92</v>
      </c>
      <c r="CK157" s="264" t="s">
        <v>62</v>
      </c>
      <c r="CL157" s="264" t="s">
        <v>237</v>
      </c>
      <c r="CM157" s="132"/>
      <c r="CN157" s="274"/>
      <c r="CO157" s="144"/>
      <c r="CP157" s="274"/>
      <c r="CQ157" s="132"/>
      <c r="CR157" s="132"/>
      <c r="CS157" s="132"/>
      <c r="CT157" s="274"/>
      <c r="CU157" s="144"/>
      <c r="CV157" s="274"/>
      <c r="CW157" s="132"/>
      <c r="CX157" s="132"/>
      <c r="CY157" s="132"/>
      <c r="CZ157" s="118"/>
      <c r="DA157" s="144"/>
      <c r="DB157" s="118"/>
      <c r="DC157" s="33"/>
      <c r="DD157" s="39"/>
      <c r="DE157" s="11"/>
      <c r="DF157" s="132"/>
      <c r="DG157" s="132"/>
      <c r="DH157" s="132"/>
      <c r="DI157" s="132"/>
      <c r="DJ157" s="132"/>
      <c r="DK157" s="132"/>
      <c r="DL157" s="132"/>
      <c r="DM157" s="132"/>
      <c r="DN157" s="132"/>
      <c r="DO157" s="132"/>
      <c r="DP157" s="132"/>
      <c r="DQ157" s="132"/>
      <c r="DR157" s="132"/>
      <c r="DS157" s="132"/>
      <c r="DT157" s="132"/>
      <c r="DU157" s="132"/>
      <c r="DV157" s="132"/>
      <c r="DW157" s="132"/>
      <c r="DX157" s="132"/>
      <c r="DY157" s="132"/>
      <c r="DZ157" s="132"/>
      <c r="EA157" s="132"/>
      <c r="EB157" s="132"/>
      <c r="EC157" s="132"/>
      <c r="ED157" s="132"/>
      <c r="EE157" s="132"/>
      <c r="EF157" s="132"/>
      <c r="EG157" s="132"/>
      <c r="EH157" s="132"/>
      <c r="EI157" s="132"/>
      <c r="EJ157" s="132"/>
      <c r="EK157" s="132"/>
      <c r="EL157" s="132"/>
      <c r="EM157" s="132"/>
      <c r="EN157" s="132"/>
      <c r="EO157" s="132"/>
      <c r="EP157" s="132"/>
      <c r="EQ157" s="132"/>
      <c r="ER157" s="132"/>
      <c r="ES157" s="132"/>
      <c r="ET157" s="11"/>
      <c r="EU157" s="11"/>
      <c r="EV157" s="11"/>
      <c r="EW157" s="11"/>
      <c r="EX157" s="11"/>
      <c r="EY157" s="11"/>
      <c r="EZ157" s="11"/>
      <c r="FA157" s="11"/>
      <c r="FB157" s="11"/>
      <c r="FC157" s="11"/>
      <c r="FD157" s="11"/>
      <c r="FE157" s="11"/>
      <c r="FF157" s="11"/>
      <c r="FG157" s="11"/>
      <c r="FH157" s="39">
        <f t="shared" si="37"/>
        <v>1624851.90035</v>
      </c>
      <c r="FI157" s="33">
        <f t="shared" si="38"/>
        <v>5</v>
      </c>
      <c r="FJ157" s="84">
        <f t="shared" si="39"/>
        <v>324970.38007000001</v>
      </c>
    </row>
    <row r="158" spans="1:166" x14ac:dyDescent="0.25">
      <c r="A158" s="79" t="e">
        <f>#REF!</f>
        <v>#REF!</v>
      </c>
      <c r="B158" s="75" t="e">
        <f>#REF!</f>
        <v>#REF!</v>
      </c>
      <c r="C158" s="75" t="e">
        <f>#REF!</f>
        <v>#REF!</v>
      </c>
      <c r="D158" s="75" t="e">
        <f>#REF!</f>
        <v>#REF!</v>
      </c>
      <c r="E158" s="30">
        <v>1</v>
      </c>
      <c r="F158" s="238">
        <v>0</v>
      </c>
      <c r="G158" s="241">
        <v>0</v>
      </c>
      <c r="H158" s="249">
        <v>382287.5</v>
      </c>
      <c r="I158" s="249">
        <v>127330</v>
      </c>
      <c r="J158" s="249">
        <v>0</v>
      </c>
      <c r="K158" s="249">
        <v>0</v>
      </c>
      <c r="L158" s="274">
        <f>H158</f>
        <v>382287.5</v>
      </c>
      <c r="M158" s="274">
        <f>I158*E1</f>
        <v>131149.9</v>
      </c>
      <c r="N158" s="245"/>
      <c r="O158" s="113"/>
      <c r="P158" s="113"/>
      <c r="Q158" s="131"/>
      <c r="R158" s="131"/>
      <c r="S158" s="64"/>
      <c r="T158" s="113"/>
      <c r="U158" s="117"/>
      <c r="V158" s="113"/>
      <c r="W158" s="131"/>
      <c r="X158" s="131"/>
      <c r="Y158" s="11"/>
      <c r="Z158" s="113"/>
      <c r="AA158" s="113"/>
      <c r="AB158" s="113"/>
      <c r="AC158" s="52"/>
      <c r="AD158" s="52"/>
      <c r="AE158" s="11"/>
      <c r="AF158" s="118"/>
      <c r="AG158" s="144"/>
      <c r="AH158" s="113"/>
      <c r="AI158" s="11"/>
      <c r="AJ158" s="11"/>
      <c r="AK158" s="39"/>
      <c r="AL158" s="113">
        <v>380000</v>
      </c>
      <c r="AM158" s="113">
        <f>+AL158*0.19</f>
        <v>72200</v>
      </c>
      <c r="AN158" s="119">
        <f>+AL158+AM158</f>
        <v>452200</v>
      </c>
      <c r="AO158" s="76" t="s">
        <v>49</v>
      </c>
      <c r="AP158" s="262" t="s">
        <v>45</v>
      </c>
      <c r="AQ158" s="39"/>
      <c r="AR158" s="275"/>
      <c r="AS158" s="155"/>
      <c r="AT158" s="157"/>
      <c r="AU158" s="62"/>
      <c r="AV158" s="62"/>
      <c r="AW158" s="31"/>
      <c r="AX158" s="116"/>
      <c r="AY158" s="116"/>
      <c r="AZ158" s="143"/>
      <c r="BA158" s="191"/>
      <c r="BB158" s="132"/>
      <c r="BC158" s="132"/>
      <c r="BD158" s="274"/>
      <c r="BE158" s="143"/>
      <c r="BF158" s="143"/>
      <c r="BG158" s="132"/>
      <c r="BH158" s="132"/>
      <c r="BI158" s="132"/>
      <c r="BJ158" s="143"/>
      <c r="BK158" s="143"/>
      <c r="BL158" s="143"/>
      <c r="BM158" s="132"/>
      <c r="BN158" s="132"/>
      <c r="BO158" s="132"/>
      <c r="BP158" s="143"/>
      <c r="BQ158" s="132"/>
      <c r="BR158" s="132"/>
      <c r="BS158" s="132"/>
      <c r="BT158" s="132"/>
      <c r="BU158" s="132"/>
      <c r="BV158" s="211"/>
      <c r="BW158" s="144"/>
      <c r="BX158" s="113"/>
      <c r="BY158" s="273"/>
      <c r="BZ158" s="273"/>
      <c r="CA158" s="132"/>
      <c r="CB158" s="274"/>
      <c r="CC158" s="144"/>
      <c r="CD158" s="274"/>
      <c r="CE158" s="132"/>
      <c r="CF158" s="132"/>
      <c r="CG158" s="36"/>
      <c r="CH158" s="210"/>
      <c r="CI158" s="219"/>
      <c r="CJ158" s="210"/>
      <c r="CK158" s="273"/>
      <c r="CL158" s="273"/>
      <c r="CM158" s="132"/>
      <c r="CN158" s="274"/>
      <c r="CO158" s="144"/>
      <c r="CP158" s="274"/>
      <c r="CQ158" s="132"/>
      <c r="CR158" s="132"/>
      <c r="CS158" s="132"/>
      <c r="CT158" s="274"/>
      <c r="CU158" s="144"/>
      <c r="CV158" s="274"/>
      <c r="CW158" s="132"/>
      <c r="CX158" s="132"/>
      <c r="CY158" s="132"/>
      <c r="CZ158" s="118"/>
      <c r="DA158" s="144"/>
      <c r="DB158" s="118"/>
      <c r="DC158" s="33"/>
      <c r="DD158" s="39"/>
      <c r="DE158" s="11"/>
      <c r="DF158" s="132"/>
      <c r="DG158" s="132"/>
      <c r="DH158" s="132"/>
      <c r="DI158" s="132"/>
      <c r="DJ158" s="132"/>
      <c r="DK158" s="132"/>
      <c r="DL158" s="132"/>
      <c r="DM158" s="132"/>
      <c r="DN158" s="132"/>
      <c r="DO158" s="132"/>
      <c r="DP158" s="132"/>
      <c r="DQ158" s="132"/>
      <c r="DR158" s="132"/>
      <c r="DS158" s="132"/>
      <c r="DT158" s="132"/>
      <c r="DU158" s="132"/>
      <c r="DV158" s="132"/>
      <c r="DW158" s="132"/>
      <c r="DX158" s="132"/>
      <c r="DY158" s="132"/>
      <c r="DZ158" s="132"/>
      <c r="EA158" s="132"/>
      <c r="EB158" s="132"/>
      <c r="EC158" s="132"/>
      <c r="ED158" s="132"/>
      <c r="EE158" s="132"/>
      <c r="EF158" s="132"/>
      <c r="EG158" s="132"/>
      <c r="EH158" s="132"/>
      <c r="EI158" s="132"/>
      <c r="EJ158" s="132"/>
      <c r="EK158" s="132"/>
      <c r="EL158" s="132"/>
      <c r="EM158" s="132"/>
      <c r="EN158" s="132"/>
      <c r="EO158" s="132"/>
      <c r="EP158" s="132"/>
      <c r="EQ158" s="132"/>
      <c r="ER158" s="132"/>
      <c r="ES158" s="132"/>
      <c r="ET158" s="11"/>
      <c r="EU158" s="11"/>
      <c r="EV158" s="11"/>
      <c r="EW158" s="11"/>
      <c r="EX158" s="11"/>
      <c r="EY158" s="11"/>
      <c r="EZ158" s="11"/>
      <c r="FA158" s="11"/>
      <c r="FB158" s="11"/>
      <c r="FC158" s="11"/>
      <c r="FD158" s="11"/>
      <c r="FE158" s="11"/>
      <c r="FF158" s="11"/>
      <c r="FG158" s="11"/>
      <c r="FH158" s="39">
        <f t="shared" si="37"/>
        <v>583349.9</v>
      </c>
      <c r="FI158" s="33">
        <f t="shared" si="38"/>
        <v>2</v>
      </c>
      <c r="FJ158" s="84">
        <f t="shared" si="39"/>
        <v>291674.95</v>
      </c>
    </row>
    <row r="159" spans="1:166" ht="27" x14ac:dyDescent="0.25">
      <c r="A159" s="79" t="e">
        <f>#REF!</f>
        <v>#REF!</v>
      </c>
      <c r="B159" s="75" t="e">
        <f>#REF!</f>
        <v>#REF!</v>
      </c>
      <c r="C159" s="75" t="e">
        <f>#REF!</f>
        <v>#REF!</v>
      </c>
      <c r="D159" s="75" t="e">
        <f>#REF!</f>
        <v>#REF!</v>
      </c>
      <c r="E159" s="30">
        <v>1</v>
      </c>
      <c r="F159" s="238">
        <v>0</v>
      </c>
      <c r="G159" s="241">
        <v>0</v>
      </c>
      <c r="H159" s="249">
        <v>382287.5</v>
      </c>
      <c r="I159" s="249">
        <v>127330</v>
      </c>
      <c r="J159" s="249">
        <v>0</v>
      </c>
      <c r="K159" s="249">
        <v>0</v>
      </c>
      <c r="L159" s="274">
        <f>H159</f>
        <v>382287.5</v>
      </c>
      <c r="M159" s="274">
        <f>I159*E1</f>
        <v>131149.9</v>
      </c>
      <c r="N159" s="245"/>
      <c r="O159" s="113"/>
      <c r="P159" s="113"/>
      <c r="Q159" s="131"/>
      <c r="R159" s="131"/>
      <c r="S159" s="64"/>
      <c r="T159" s="113"/>
      <c r="U159" s="117"/>
      <c r="V159" s="113"/>
      <c r="W159" s="131"/>
      <c r="X159" s="131"/>
      <c r="Y159" s="11"/>
      <c r="Z159" s="113"/>
      <c r="AA159" s="113"/>
      <c r="AB159" s="113"/>
      <c r="AC159" s="52"/>
      <c r="AD159" s="52"/>
      <c r="AE159" s="11"/>
      <c r="AF159" s="118"/>
      <c r="AG159" s="144"/>
      <c r="AH159" s="113"/>
      <c r="AI159" s="11"/>
      <c r="AJ159" s="11"/>
      <c r="AK159" s="39"/>
      <c r="AL159" s="113">
        <v>380000</v>
      </c>
      <c r="AM159" s="113">
        <f>+AL159*0.19</f>
        <v>72200</v>
      </c>
      <c r="AN159" s="119">
        <f>+AL159+AM159</f>
        <v>452200</v>
      </c>
      <c r="AO159" s="76" t="s">
        <v>49</v>
      </c>
      <c r="AP159" s="266" t="s">
        <v>45</v>
      </c>
      <c r="AQ159" s="39"/>
      <c r="AR159" s="275"/>
      <c r="AS159" s="155"/>
      <c r="AT159" s="157"/>
      <c r="AU159" s="62"/>
      <c r="AV159" s="62"/>
      <c r="AW159" s="31"/>
      <c r="AX159" s="116"/>
      <c r="AY159" s="194"/>
      <c r="AZ159" s="143"/>
      <c r="BA159" s="191"/>
      <c r="BB159" s="132"/>
      <c r="BC159" s="132"/>
      <c r="BD159" s="274"/>
      <c r="BE159" s="143"/>
      <c r="BF159" s="143"/>
      <c r="BG159" s="132"/>
      <c r="BH159" s="132"/>
      <c r="BI159" s="132"/>
      <c r="BJ159" s="143"/>
      <c r="BK159" s="143"/>
      <c r="BL159" s="143"/>
      <c r="BM159" s="132"/>
      <c r="BN159" s="132"/>
      <c r="BO159" s="132"/>
      <c r="BP159" s="143"/>
      <c r="BQ159" s="132"/>
      <c r="BR159" s="132"/>
      <c r="BS159" s="132"/>
      <c r="BT159" s="132"/>
      <c r="BU159" s="132"/>
      <c r="BV159" s="267">
        <v>1896200</v>
      </c>
      <c r="BW159" s="144">
        <f>BV159*19%</f>
        <v>360278</v>
      </c>
      <c r="BX159" s="113">
        <f>+BV159+BW159</f>
        <v>2256478</v>
      </c>
      <c r="BY159" s="264" t="s">
        <v>65</v>
      </c>
      <c r="BZ159" s="264" t="s">
        <v>63</v>
      </c>
      <c r="CA159" s="132"/>
      <c r="CB159" s="274"/>
      <c r="CC159" s="144"/>
      <c r="CD159" s="274"/>
      <c r="CE159" s="132"/>
      <c r="CF159" s="132"/>
      <c r="CG159" s="36"/>
      <c r="CH159" s="263"/>
      <c r="CI159" s="265"/>
      <c r="CJ159" s="263"/>
      <c r="CK159" s="264"/>
      <c r="CL159" s="264"/>
      <c r="CM159" s="132"/>
      <c r="CN159" s="274"/>
      <c r="CO159" s="144"/>
      <c r="CP159" s="274"/>
      <c r="CQ159" s="132"/>
      <c r="CR159" s="132"/>
      <c r="CS159" s="132"/>
      <c r="CT159" s="274"/>
      <c r="CU159" s="144"/>
      <c r="CV159" s="274"/>
      <c r="CW159" s="132"/>
      <c r="CX159" s="132"/>
      <c r="CY159" s="132"/>
      <c r="CZ159" s="118"/>
      <c r="DA159" s="144"/>
      <c r="DB159" s="118"/>
      <c r="DC159" s="33"/>
      <c r="DD159" s="39"/>
      <c r="DE159" s="11"/>
      <c r="DF159" s="132"/>
      <c r="DG159" s="132"/>
      <c r="DH159" s="132"/>
      <c r="DI159" s="132"/>
      <c r="DJ159" s="132"/>
      <c r="DK159" s="132"/>
      <c r="DL159" s="132"/>
      <c r="DM159" s="132"/>
      <c r="DN159" s="132"/>
      <c r="DO159" s="132"/>
      <c r="DP159" s="132"/>
      <c r="DQ159" s="132"/>
      <c r="DR159" s="132"/>
      <c r="DS159" s="132"/>
      <c r="DT159" s="132"/>
      <c r="DU159" s="132"/>
      <c r="DV159" s="132"/>
      <c r="DW159" s="132"/>
      <c r="DX159" s="132"/>
      <c r="DY159" s="132"/>
      <c r="DZ159" s="132"/>
      <c r="EA159" s="132"/>
      <c r="EB159" s="132"/>
      <c r="EC159" s="132"/>
      <c r="ED159" s="132"/>
      <c r="EE159" s="132"/>
      <c r="EF159" s="132"/>
      <c r="EG159" s="132"/>
      <c r="EH159" s="132"/>
      <c r="EI159" s="132"/>
      <c r="EJ159" s="132"/>
      <c r="EK159" s="132"/>
      <c r="EL159" s="132"/>
      <c r="EM159" s="132"/>
      <c r="EN159" s="132"/>
      <c r="EO159" s="132"/>
      <c r="EP159" s="132"/>
      <c r="EQ159" s="132"/>
      <c r="ER159" s="132"/>
      <c r="ES159" s="132"/>
      <c r="ET159" s="11"/>
      <c r="EU159" s="11"/>
      <c r="EV159" s="11"/>
      <c r="EW159" s="11"/>
      <c r="EX159" s="11"/>
      <c r="EY159" s="11"/>
      <c r="EZ159" s="11"/>
      <c r="FA159" s="11"/>
      <c r="FB159" s="11"/>
      <c r="FC159" s="11"/>
      <c r="FD159" s="11"/>
      <c r="FE159" s="11"/>
      <c r="FF159" s="11"/>
      <c r="FG159" s="11"/>
      <c r="FH159" s="39">
        <f t="shared" si="37"/>
        <v>2839827.9</v>
      </c>
      <c r="FI159" s="33">
        <f t="shared" si="38"/>
        <v>3</v>
      </c>
      <c r="FJ159" s="84">
        <f t="shared" si="39"/>
        <v>946609.29999999993</v>
      </c>
    </row>
    <row r="160" spans="1:166" ht="25.5" x14ac:dyDescent="0.25">
      <c r="A160" s="79" t="e">
        <f>#REF!</f>
        <v>#REF!</v>
      </c>
      <c r="B160" s="75" t="e">
        <f>#REF!</f>
        <v>#REF!</v>
      </c>
      <c r="C160" s="75" t="e">
        <f>#REF!</f>
        <v>#REF!</v>
      </c>
      <c r="D160" s="75" t="e">
        <f>#REF!</f>
        <v>#REF!</v>
      </c>
      <c r="E160" s="30">
        <v>1</v>
      </c>
      <c r="F160" s="238">
        <v>0</v>
      </c>
      <c r="G160" s="241">
        <v>0</v>
      </c>
      <c r="H160" s="249">
        <v>0</v>
      </c>
      <c r="I160" s="249">
        <v>0</v>
      </c>
      <c r="J160" s="249">
        <v>0</v>
      </c>
      <c r="K160" s="249">
        <v>0</v>
      </c>
      <c r="L160" s="274"/>
      <c r="M160" s="274"/>
      <c r="N160" s="245"/>
      <c r="O160" s="113"/>
      <c r="P160" s="113"/>
      <c r="Q160" s="131"/>
      <c r="R160" s="131"/>
      <c r="S160" s="64"/>
      <c r="T160" s="113"/>
      <c r="U160" s="117"/>
      <c r="V160" s="113"/>
      <c r="W160" s="131"/>
      <c r="X160" s="131"/>
      <c r="Y160" s="11"/>
      <c r="Z160" s="113"/>
      <c r="AA160" s="113"/>
      <c r="AB160" s="113"/>
      <c r="AC160" s="52"/>
      <c r="AD160" s="52"/>
      <c r="AE160" s="11"/>
      <c r="AF160" s="118">
        <v>500000</v>
      </c>
      <c r="AG160" s="144">
        <f>AF160*19%</f>
        <v>95000</v>
      </c>
      <c r="AH160" s="113">
        <f>+AF160+AG160</f>
        <v>595000</v>
      </c>
      <c r="AI160" s="11"/>
      <c r="AJ160" s="11"/>
      <c r="AK160" s="39"/>
      <c r="AL160" s="113">
        <v>498000</v>
      </c>
      <c r="AM160" s="113">
        <f>+AL160*0.19</f>
        <v>94620</v>
      </c>
      <c r="AN160" s="119">
        <f>+AL160+AM160</f>
        <v>592620</v>
      </c>
      <c r="AO160" s="76" t="s">
        <v>95</v>
      </c>
      <c r="AP160" s="266" t="s">
        <v>45</v>
      </c>
      <c r="AQ160" s="39"/>
      <c r="AR160" s="275">
        <v>540000</v>
      </c>
      <c r="AS160" s="113">
        <f>+AR160*0.19</f>
        <v>102600</v>
      </c>
      <c r="AT160" s="119">
        <f>+AR160+AS160</f>
        <v>642600</v>
      </c>
      <c r="AU160" s="62" t="s">
        <v>60</v>
      </c>
      <c r="AV160" s="62" t="s">
        <v>35</v>
      </c>
      <c r="AW160" s="31"/>
      <c r="AX160" s="116"/>
      <c r="AY160" s="116"/>
      <c r="AZ160" s="143"/>
      <c r="BA160" s="191"/>
      <c r="BB160" s="132"/>
      <c r="BC160" s="132"/>
      <c r="BD160" s="274"/>
      <c r="BE160" s="143"/>
      <c r="BF160" s="143"/>
      <c r="BG160" s="132"/>
      <c r="BH160" s="132"/>
      <c r="BI160" s="132"/>
      <c r="BJ160" s="143"/>
      <c r="BK160" s="143"/>
      <c r="BL160" s="143"/>
      <c r="BM160" s="132"/>
      <c r="BN160" s="132"/>
      <c r="BO160" s="132"/>
      <c r="BP160" s="143"/>
      <c r="BQ160" s="132"/>
      <c r="BR160" s="132"/>
      <c r="BS160" s="132"/>
      <c r="BT160" s="132"/>
      <c r="BU160" s="132"/>
      <c r="BV160" s="267"/>
      <c r="BW160" s="144"/>
      <c r="BX160" s="113"/>
      <c r="BY160" s="264"/>
      <c r="BZ160" s="264"/>
      <c r="CA160" s="132"/>
      <c r="CB160" s="274"/>
      <c r="CC160" s="144"/>
      <c r="CD160" s="274"/>
      <c r="CE160" s="132"/>
      <c r="CF160" s="132"/>
      <c r="CG160" s="36"/>
      <c r="CH160" s="263"/>
      <c r="CI160" s="265"/>
      <c r="CJ160" s="263"/>
      <c r="CK160" s="264"/>
      <c r="CL160" s="264"/>
      <c r="CM160" s="132"/>
      <c r="CN160" s="274"/>
      <c r="CO160" s="144"/>
      <c r="CP160" s="274"/>
      <c r="CQ160" s="132"/>
      <c r="CR160" s="132"/>
      <c r="CS160" s="132"/>
      <c r="CT160" s="274"/>
      <c r="CU160" s="144"/>
      <c r="CV160" s="274"/>
      <c r="CW160" s="132"/>
      <c r="CX160" s="132"/>
      <c r="CY160" s="132"/>
      <c r="CZ160" s="118">
        <v>393379</v>
      </c>
      <c r="DA160" s="144">
        <f>+CZ160*0.19</f>
        <v>74742.009999999995</v>
      </c>
      <c r="DB160" s="118">
        <f>+CZ160+DA160</f>
        <v>468121.01</v>
      </c>
      <c r="DC160" s="33" t="s">
        <v>96</v>
      </c>
      <c r="DD160" s="39" t="s">
        <v>58</v>
      </c>
      <c r="DE160" s="11">
        <v>1020661000</v>
      </c>
      <c r="DF160" s="132"/>
      <c r="DG160" s="132"/>
      <c r="DH160" s="132"/>
      <c r="DI160" s="132"/>
      <c r="DJ160" s="132"/>
      <c r="DK160" s="132"/>
      <c r="DL160" s="132"/>
      <c r="DM160" s="132"/>
      <c r="DN160" s="132"/>
      <c r="DO160" s="132"/>
      <c r="DP160" s="132"/>
      <c r="DQ160" s="132"/>
      <c r="DR160" s="132"/>
      <c r="DS160" s="132"/>
      <c r="DT160" s="132"/>
      <c r="DU160" s="132"/>
      <c r="DV160" s="132"/>
      <c r="DW160" s="132"/>
      <c r="DX160" s="132"/>
      <c r="DY160" s="132"/>
      <c r="DZ160" s="132"/>
      <c r="EA160" s="132"/>
      <c r="EB160" s="132"/>
      <c r="EC160" s="132"/>
      <c r="ED160" s="132"/>
      <c r="EE160" s="132"/>
      <c r="EF160" s="132"/>
      <c r="EG160" s="132"/>
      <c r="EH160" s="132"/>
      <c r="EI160" s="132"/>
      <c r="EJ160" s="132"/>
      <c r="EK160" s="132"/>
      <c r="EL160" s="132"/>
      <c r="EM160" s="132"/>
      <c r="EN160" s="132"/>
      <c r="EO160" s="132"/>
      <c r="EP160" s="132"/>
      <c r="EQ160" s="132"/>
      <c r="ER160" s="132"/>
      <c r="ES160" s="132"/>
      <c r="ET160" s="11"/>
      <c r="EU160" s="11"/>
      <c r="EV160" s="11"/>
      <c r="EW160" s="11"/>
      <c r="EX160" s="11"/>
      <c r="EY160" s="11"/>
      <c r="EZ160" s="11"/>
      <c r="FA160" s="11"/>
      <c r="FB160" s="11"/>
      <c r="FC160" s="11"/>
      <c r="FD160" s="11"/>
      <c r="FE160" s="11"/>
      <c r="FF160" s="11"/>
      <c r="FG160" s="11"/>
      <c r="FH160" s="39">
        <f t="shared" si="37"/>
        <v>2298341.0099999998</v>
      </c>
      <c r="FI160" s="33">
        <f t="shared" si="38"/>
        <v>4</v>
      </c>
      <c r="FJ160" s="84">
        <f t="shared" si="39"/>
        <v>574585.25249999994</v>
      </c>
    </row>
    <row r="161" spans="1:166" ht="25.5" x14ac:dyDescent="0.25">
      <c r="A161" s="79" t="e">
        <f>#REF!</f>
        <v>#REF!</v>
      </c>
      <c r="B161" s="75" t="e">
        <f>#REF!</f>
        <v>#REF!</v>
      </c>
      <c r="C161" s="75" t="e">
        <f>#REF!</f>
        <v>#REF!</v>
      </c>
      <c r="D161" s="75" t="e">
        <f>#REF!</f>
        <v>#REF!</v>
      </c>
      <c r="E161" s="30">
        <v>1</v>
      </c>
      <c r="F161" s="238">
        <v>319143.91833333333</v>
      </c>
      <c r="G161" s="241">
        <v>314279</v>
      </c>
      <c r="H161" s="249">
        <v>277932.89497024077</v>
      </c>
      <c r="I161" s="249">
        <v>126735</v>
      </c>
      <c r="J161" s="249">
        <v>369439.37709677417</v>
      </c>
      <c r="K161" s="249">
        <v>0</v>
      </c>
      <c r="L161" s="274">
        <f>AVERAGE(F161,H161,J161)</f>
        <v>322172.06346678274</v>
      </c>
      <c r="M161" s="274">
        <f>AVERAGE(G161,I161)*E1</f>
        <v>227122.21</v>
      </c>
      <c r="N161" s="245"/>
      <c r="O161" s="113"/>
      <c r="P161" s="113"/>
      <c r="Q161" s="131"/>
      <c r="R161" s="131"/>
      <c r="S161" s="64"/>
      <c r="T161" s="113"/>
      <c r="U161" s="113"/>
      <c r="V161" s="113"/>
      <c r="W161" s="131"/>
      <c r="X161" s="131"/>
      <c r="Y161" s="11"/>
      <c r="Z161" s="113"/>
      <c r="AA161" s="113"/>
      <c r="AB161" s="113"/>
      <c r="AC161" s="52"/>
      <c r="AD161" s="52"/>
      <c r="AE161" s="11"/>
      <c r="AF161" s="118">
        <v>325000</v>
      </c>
      <c r="AG161" s="144">
        <f>AF161*19%</f>
        <v>61750</v>
      </c>
      <c r="AH161" s="113">
        <f>+AF161+AG161</f>
        <v>386750</v>
      </c>
      <c r="AI161" s="11"/>
      <c r="AJ161" s="11"/>
      <c r="AK161" s="39"/>
      <c r="AL161" s="113">
        <v>182000</v>
      </c>
      <c r="AM161" s="113">
        <f>+AL161*0.19</f>
        <v>34580</v>
      </c>
      <c r="AN161" s="119">
        <f>+AL161+AM161</f>
        <v>216580</v>
      </c>
      <c r="AO161" s="76" t="s">
        <v>95</v>
      </c>
      <c r="AP161" s="266" t="s">
        <v>45</v>
      </c>
      <c r="AQ161" s="39"/>
      <c r="AR161" s="275">
        <v>568800</v>
      </c>
      <c r="AS161" s="113">
        <f>+AR161*0.19</f>
        <v>108072</v>
      </c>
      <c r="AT161" s="119">
        <f>+AR161+AS161</f>
        <v>676872</v>
      </c>
      <c r="AU161" s="62" t="s">
        <v>95</v>
      </c>
      <c r="AV161" s="62" t="s">
        <v>35</v>
      </c>
      <c r="AW161" s="31"/>
      <c r="AX161" s="116">
        <v>250646.34</v>
      </c>
      <c r="AY161" s="116">
        <f>+AX161*0.19</f>
        <v>47622.804600000003</v>
      </c>
      <c r="AZ161" s="143">
        <f>+AX161+AY161</f>
        <v>298269.1446</v>
      </c>
      <c r="BA161" s="191" t="s">
        <v>95</v>
      </c>
      <c r="BB161" s="132" t="s">
        <v>70</v>
      </c>
      <c r="BC161" s="132"/>
      <c r="BD161" s="274"/>
      <c r="BE161" s="143"/>
      <c r="BF161" s="143"/>
      <c r="BG161" s="132"/>
      <c r="BH161" s="132"/>
      <c r="BI161" s="132"/>
      <c r="BJ161" s="143"/>
      <c r="BK161" s="143"/>
      <c r="BL161" s="143"/>
      <c r="BM161" s="132"/>
      <c r="BN161" s="132"/>
      <c r="BO161" s="132"/>
      <c r="BP161" s="143"/>
      <c r="BQ161" s="132"/>
      <c r="BR161" s="132"/>
      <c r="BS161" s="132"/>
      <c r="BT161" s="132"/>
      <c r="BU161" s="132"/>
      <c r="BV161" s="267">
        <v>389100</v>
      </c>
      <c r="BW161" s="144">
        <f>BV161*19%</f>
        <v>73929</v>
      </c>
      <c r="BX161" s="113">
        <f>+BV161+BW161</f>
        <v>463029</v>
      </c>
      <c r="BY161" s="264" t="s">
        <v>257</v>
      </c>
      <c r="BZ161" s="264" t="s">
        <v>88</v>
      </c>
      <c r="CA161" s="132"/>
      <c r="CB161" s="274"/>
      <c r="CC161" s="144"/>
      <c r="CD161" s="274"/>
      <c r="CE161" s="132"/>
      <c r="CF161" s="132"/>
      <c r="CG161" s="36"/>
      <c r="CH161" s="263">
        <v>400773</v>
      </c>
      <c r="CI161" s="265">
        <f>+CH161*0.19</f>
        <v>76146.87</v>
      </c>
      <c r="CJ161" s="263">
        <f>+CH161+CI161</f>
        <v>476919.87</v>
      </c>
      <c r="CK161" s="264" t="s">
        <v>257</v>
      </c>
      <c r="CL161" s="264" t="s">
        <v>88</v>
      </c>
      <c r="CM161" s="132"/>
      <c r="CN161" s="274"/>
      <c r="CO161" s="144"/>
      <c r="CP161" s="274"/>
      <c r="CQ161" s="132"/>
      <c r="CR161" s="132"/>
      <c r="CS161" s="132"/>
      <c r="CT161" s="144">
        <v>338000</v>
      </c>
      <c r="CU161" s="144">
        <f>CT161*0.19</f>
        <v>64220</v>
      </c>
      <c r="CV161" s="144">
        <f>+CT161+CU161</f>
        <v>402220</v>
      </c>
      <c r="CW161" s="132"/>
      <c r="CX161" s="132"/>
      <c r="CY161" s="132"/>
      <c r="CZ161" s="118"/>
      <c r="DA161" s="144"/>
      <c r="DB161" s="118"/>
      <c r="DC161" s="33"/>
      <c r="DD161" s="39"/>
      <c r="DE161" s="11"/>
      <c r="DF161" s="132"/>
      <c r="DG161" s="132"/>
      <c r="DH161" s="132"/>
      <c r="DI161" s="132"/>
      <c r="DJ161" s="132"/>
      <c r="DK161" s="132"/>
      <c r="DL161" s="132"/>
      <c r="DM161" s="132"/>
      <c r="DN161" s="132"/>
      <c r="DO161" s="132"/>
      <c r="DP161" s="132"/>
      <c r="DQ161" s="132"/>
      <c r="DR161" s="132"/>
      <c r="DS161" s="132"/>
      <c r="DT161" s="132"/>
      <c r="DU161" s="132"/>
      <c r="DV161" s="132"/>
      <c r="DW161" s="132"/>
      <c r="DX161" s="132"/>
      <c r="DY161" s="132"/>
      <c r="DZ161" s="132"/>
      <c r="EA161" s="132"/>
      <c r="EB161" s="132"/>
      <c r="EC161" s="132"/>
      <c r="ED161" s="132"/>
      <c r="EE161" s="132"/>
      <c r="EF161" s="132"/>
      <c r="EG161" s="132"/>
      <c r="EH161" s="132"/>
      <c r="EI161" s="132"/>
      <c r="EJ161" s="132"/>
      <c r="EK161" s="132"/>
      <c r="EL161" s="132"/>
      <c r="EM161" s="132"/>
      <c r="EN161" s="132"/>
      <c r="EO161" s="132"/>
      <c r="EP161" s="132"/>
      <c r="EQ161" s="132"/>
      <c r="ER161" s="132"/>
      <c r="ES161" s="132"/>
      <c r="ET161" s="11"/>
      <c r="EU161" s="11"/>
      <c r="EV161" s="11"/>
      <c r="EW161" s="11"/>
      <c r="EX161" s="11"/>
      <c r="EY161" s="11"/>
      <c r="EZ161" s="11"/>
      <c r="FA161" s="11"/>
      <c r="FB161" s="11"/>
      <c r="FC161" s="11"/>
      <c r="FD161" s="11"/>
      <c r="FE161" s="11"/>
      <c r="FF161" s="11"/>
      <c r="FG161" s="11"/>
      <c r="FH161" s="39">
        <f t="shared" si="37"/>
        <v>3147762.2246000003</v>
      </c>
      <c r="FI161" s="33">
        <f t="shared" si="38"/>
        <v>8</v>
      </c>
      <c r="FJ161" s="84">
        <f t="shared" si="39"/>
        <v>393470.27807500004</v>
      </c>
    </row>
    <row r="162" spans="1:166" x14ac:dyDescent="0.25">
      <c r="A162" s="79" t="e">
        <f>#REF!</f>
        <v>#REF!</v>
      </c>
      <c r="B162" s="75" t="e">
        <f>#REF!</f>
        <v>#REF!</v>
      </c>
      <c r="C162" s="75" t="e">
        <f>#REF!</f>
        <v>#REF!</v>
      </c>
      <c r="D162" s="75" t="e">
        <f>#REF!</f>
        <v>#REF!</v>
      </c>
      <c r="E162" s="30">
        <v>1</v>
      </c>
      <c r="F162" s="238">
        <v>0</v>
      </c>
      <c r="G162" s="241">
        <v>0</v>
      </c>
      <c r="H162" s="249">
        <v>0</v>
      </c>
      <c r="I162" s="249">
        <v>0</v>
      </c>
      <c r="J162" s="249">
        <v>0</v>
      </c>
      <c r="K162" s="249">
        <v>0</v>
      </c>
      <c r="L162" s="274"/>
      <c r="M162" s="274"/>
      <c r="N162" s="245"/>
      <c r="O162" s="113"/>
      <c r="P162" s="113"/>
      <c r="Q162" s="131"/>
      <c r="R162" s="131"/>
      <c r="S162" s="64"/>
      <c r="T162" s="113"/>
      <c r="U162" s="113"/>
      <c r="V162" s="113"/>
      <c r="W162" s="131"/>
      <c r="X162" s="131"/>
      <c r="Y162" s="11"/>
      <c r="Z162" s="113"/>
      <c r="AA162" s="113"/>
      <c r="AB162" s="113"/>
      <c r="AC162" s="52"/>
      <c r="AD162" s="52"/>
      <c r="AE162" s="11"/>
      <c r="AF162" s="113"/>
      <c r="AG162" s="144"/>
      <c r="AH162" s="113"/>
      <c r="AI162" s="11"/>
      <c r="AJ162" s="11"/>
      <c r="AK162" s="39"/>
      <c r="AL162" s="113"/>
      <c r="AM162" s="113"/>
      <c r="AN162" s="119"/>
      <c r="AO162" s="76"/>
      <c r="AP162" s="39"/>
      <c r="AQ162" s="39"/>
      <c r="AR162" s="275"/>
      <c r="AS162" s="155"/>
      <c r="AT162" s="143"/>
      <c r="AU162" s="62"/>
      <c r="AV162" s="62"/>
      <c r="AW162" s="31"/>
      <c r="AX162" s="116"/>
      <c r="AY162" s="196"/>
      <c r="AZ162" s="143"/>
      <c r="BA162" s="191"/>
      <c r="BB162" s="132"/>
      <c r="BC162" s="132"/>
      <c r="BD162" s="275"/>
      <c r="BE162" s="143"/>
      <c r="BF162" s="143"/>
      <c r="BG162" s="132"/>
      <c r="BH162" s="132"/>
      <c r="BI162" s="132"/>
      <c r="BJ162" s="143"/>
      <c r="BK162" s="143"/>
      <c r="BL162" s="143"/>
      <c r="BM162" s="132"/>
      <c r="BN162" s="132"/>
      <c r="BO162" s="132"/>
      <c r="BP162" s="143"/>
      <c r="BQ162" s="132"/>
      <c r="BR162" s="132"/>
      <c r="BS162" s="132"/>
      <c r="BT162" s="132"/>
      <c r="BU162" s="132"/>
      <c r="BV162" s="211"/>
      <c r="BW162" s="144"/>
      <c r="BX162" s="113"/>
      <c r="BY162" s="273"/>
      <c r="BZ162" s="273"/>
      <c r="CA162" s="132"/>
      <c r="CB162" s="275"/>
      <c r="CC162" s="143"/>
      <c r="CD162" s="275"/>
      <c r="CE162" s="132"/>
      <c r="CF162" s="132"/>
      <c r="CG162" s="36"/>
      <c r="CH162" s="210"/>
      <c r="CI162" s="219"/>
      <c r="CJ162" s="210"/>
      <c r="CK162" s="273"/>
      <c r="CL162" s="273"/>
      <c r="CM162" s="132"/>
      <c r="CN162" s="275"/>
      <c r="CO162" s="143"/>
      <c r="CP162" s="275"/>
      <c r="CQ162" s="132"/>
      <c r="CR162" s="132"/>
      <c r="CS162" s="132"/>
      <c r="CT162" s="275">
        <v>538000</v>
      </c>
      <c r="CU162" s="144">
        <f>CT162*0</f>
        <v>0</v>
      </c>
      <c r="CV162" s="144">
        <f>+CT162+CU162</f>
        <v>538000</v>
      </c>
      <c r="CW162" s="132"/>
      <c r="CX162" s="132"/>
      <c r="CY162" s="132"/>
      <c r="CZ162" s="113"/>
      <c r="DA162" s="143"/>
      <c r="DB162" s="113"/>
      <c r="DC162" s="33"/>
      <c r="DD162" s="39"/>
      <c r="DE162" s="11"/>
      <c r="DF162" s="132"/>
      <c r="DG162" s="132"/>
      <c r="DH162" s="132"/>
      <c r="DI162" s="132"/>
      <c r="DJ162" s="132"/>
      <c r="DK162" s="132"/>
      <c r="DL162" s="132"/>
      <c r="DM162" s="132"/>
      <c r="DN162" s="132"/>
      <c r="DO162" s="132"/>
      <c r="DP162" s="132"/>
      <c r="DQ162" s="132"/>
      <c r="DR162" s="132"/>
      <c r="DS162" s="132"/>
      <c r="DT162" s="132"/>
      <c r="DU162" s="132"/>
      <c r="DV162" s="36"/>
      <c r="DW162" s="132"/>
      <c r="DX162" s="131"/>
      <c r="DY162" s="131"/>
      <c r="DZ162" s="132"/>
      <c r="EA162" s="132"/>
      <c r="EB162" s="132"/>
      <c r="EC162" s="132"/>
      <c r="ED162" s="132"/>
      <c r="EE162" s="132"/>
      <c r="EF162" s="132"/>
      <c r="EG162" s="132"/>
      <c r="EH162" s="132"/>
      <c r="EI162" s="132"/>
      <c r="EJ162" s="132"/>
      <c r="EK162" s="132"/>
      <c r="EL162" s="132"/>
      <c r="EM162" s="132"/>
      <c r="EN162" s="132"/>
      <c r="EO162" s="132"/>
      <c r="EP162" s="132"/>
      <c r="EQ162" s="132"/>
      <c r="ER162" s="132"/>
      <c r="ES162" s="132"/>
      <c r="ET162" s="11"/>
      <c r="EU162" s="11"/>
      <c r="EV162" s="39"/>
      <c r="EW162" s="39"/>
      <c r="EX162" s="40"/>
      <c r="EY162" s="40"/>
      <c r="EZ162" s="40"/>
      <c r="FA162" s="40"/>
      <c r="FB162" s="40"/>
      <c r="FC162" s="40"/>
      <c r="FD162" s="40"/>
      <c r="FE162" s="40"/>
      <c r="FF162" s="40"/>
      <c r="FG162" s="40"/>
      <c r="FH162" s="39">
        <f t="shared" si="37"/>
        <v>538000</v>
      </c>
      <c r="FI162" s="33">
        <f t="shared" si="38"/>
        <v>1</v>
      </c>
      <c r="FJ162" s="84">
        <f t="shared" si="39"/>
        <v>538000</v>
      </c>
    </row>
    <row r="163" spans="1:166" x14ac:dyDescent="0.25">
      <c r="A163" s="79" t="e">
        <f>#REF!</f>
        <v>#REF!</v>
      </c>
      <c r="B163" s="75" t="e">
        <f>#REF!</f>
        <v>#REF!</v>
      </c>
      <c r="C163" s="75" t="e">
        <f>#REF!</f>
        <v>#REF!</v>
      </c>
      <c r="D163" s="75" t="e">
        <f>#REF!</f>
        <v>#REF!</v>
      </c>
      <c r="E163" s="30">
        <v>1</v>
      </c>
      <c r="F163" s="238">
        <v>0</v>
      </c>
      <c r="G163" s="241">
        <v>0</v>
      </c>
      <c r="H163" s="249">
        <v>1284199.3333333333</v>
      </c>
      <c r="I163" s="249">
        <v>0</v>
      </c>
      <c r="J163" s="249">
        <v>0</v>
      </c>
      <c r="K163" s="249">
        <v>0</v>
      </c>
      <c r="L163" s="274">
        <f>H163</f>
        <v>1284199.3333333333</v>
      </c>
      <c r="M163" s="274"/>
      <c r="N163" s="245"/>
      <c r="O163" s="113"/>
      <c r="P163" s="113"/>
      <c r="Q163" s="131"/>
      <c r="R163" s="131"/>
      <c r="S163" s="64"/>
      <c r="T163" s="113"/>
      <c r="U163" s="113"/>
      <c r="V163" s="113"/>
      <c r="W163" s="131"/>
      <c r="X163" s="131"/>
      <c r="Y163" s="11"/>
      <c r="Z163" s="113"/>
      <c r="AA163" s="113"/>
      <c r="AB163" s="113"/>
      <c r="AC163" s="52"/>
      <c r="AD163" s="52"/>
      <c r="AE163" s="11"/>
      <c r="AF163" s="118"/>
      <c r="AG163" s="144"/>
      <c r="AH163" s="113"/>
      <c r="AI163" s="11"/>
      <c r="AJ163" s="11"/>
      <c r="AK163" s="39"/>
      <c r="AL163" s="113"/>
      <c r="AM163" s="113"/>
      <c r="AN163" s="117"/>
      <c r="AO163" s="76"/>
      <c r="AP163" s="39"/>
      <c r="AQ163" s="39"/>
      <c r="AR163" s="275"/>
      <c r="AS163" s="156"/>
      <c r="AT163" s="157"/>
      <c r="AU163" s="62"/>
      <c r="AV163" s="62"/>
      <c r="AW163" s="31"/>
      <c r="AX163" s="116"/>
      <c r="AY163" s="196"/>
      <c r="AZ163" s="143"/>
      <c r="BA163" s="191"/>
      <c r="BB163" s="132"/>
      <c r="BC163" s="132"/>
      <c r="BD163" s="274"/>
      <c r="BE163" s="143"/>
      <c r="BF163" s="143"/>
      <c r="BG163" s="132"/>
      <c r="BH163" s="132"/>
      <c r="BI163" s="132"/>
      <c r="BJ163" s="143"/>
      <c r="BK163" s="143"/>
      <c r="BL163" s="143"/>
      <c r="BM163" s="132"/>
      <c r="BN163" s="132"/>
      <c r="BO163" s="132"/>
      <c r="BP163" s="143"/>
      <c r="BQ163" s="132"/>
      <c r="BR163" s="132"/>
      <c r="BS163" s="132"/>
      <c r="BT163" s="132"/>
      <c r="BU163" s="132"/>
      <c r="BV163" s="211"/>
      <c r="BW163" s="144"/>
      <c r="BX163" s="113"/>
      <c r="BY163" s="273"/>
      <c r="BZ163" s="273"/>
      <c r="CA163" s="132"/>
      <c r="CB163" s="274">
        <v>985200</v>
      </c>
      <c r="CC163" s="144">
        <f>+CB163*19%</f>
        <v>187188</v>
      </c>
      <c r="CD163" s="274">
        <f>+CC163+CB163</f>
        <v>1172388</v>
      </c>
      <c r="CE163" s="132"/>
      <c r="CF163" s="132"/>
      <c r="CG163" s="36"/>
      <c r="CH163" s="210"/>
      <c r="CI163" s="219"/>
      <c r="CJ163" s="210"/>
      <c r="CK163" s="273"/>
      <c r="CL163" s="273"/>
      <c r="CM163" s="132"/>
      <c r="CN163" s="274">
        <v>510463</v>
      </c>
      <c r="CO163" s="144">
        <f>+CN163*0.19</f>
        <v>96987.97</v>
      </c>
      <c r="CP163" s="274">
        <f>+CO163+CN163</f>
        <v>607450.97</v>
      </c>
      <c r="CQ163" s="132"/>
      <c r="CR163" s="132"/>
      <c r="CS163" s="132"/>
      <c r="CT163" s="274"/>
      <c r="CU163" s="144"/>
      <c r="CV163" s="274"/>
      <c r="CW163" s="132"/>
      <c r="CX163" s="132"/>
      <c r="CY163" s="132"/>
      <c r="CZ163" s="118"/>
      <c r="DA163" s="144"/>
      <c r="DB163" s="118"/>
      <c r="DC163" s="33"/>
      <c r="DD163" s="39"/>
      <c r="DE163" s="11"/>
      <c r="DF163" s="132"/>
      <c r="DG163" s="132"/>
      <c r="DH163" s="132"/>
      <c r="DI163" s="132"/>
      <c r="DJ163" s="132"/>
      <c r="DK163" s="132"/>
      <c r="DL163" s="132"/>
      <c r="DM163" s="132"/>
      <c r="DN163" s="132"/>
      <c r="DO163" s="132"/>
      <c r="DP163" s="132"/>
      <c r="DQ163" s="132"/>
      <c r="DR163" s="132"/>
      <c r="DS163" s="132"/>
      <c r="DT163" s="132"/>
      <c r="DU163" s="132"/>
      <c r="DV163" s="132"/>
      <c r="DW163" s="132"/>
      <c r="DX163" s="132"/>
      <c r="DY163" s="132"/>
      <c r="DZ163" s="132"/>
      <c r="EA163" s="132"/>
      <c r="EB163" s="132"/>
      <c r="EC163" s="132"/>
      <c r="ED163" s="132"/>
      <c r="EE163" s="132"/>
      <c r="EF163" s="132"/>
      <c r="EG163" s="132"/>
      <c r="EH163" s="132"/>
      <c r="EI163" s="132"/>
      <c r="EJ163" s="132"/>
      <c r="EK163" s="132"/>
      <c r="EL163" s="132"/>
      <c r="EM163" s="132"/>
      <c r="EN163" s="132"/>
      <c r="EO163" s="132"/>
      <c r="EP163" s="132"/>
      <c r="EQ163" s="132"/>
      <c r="ER163" s="132"/>
      <c r="ES163" s="132"/>
      <c r="ET163" s="11"/>
      <c r="EU163" s="11"/>
      <c r="EV163" s="11"/>
      <c r="EW163" s="11"/>
      <c r="EX163" s="11"/>
      <c r="EY163" s="11"/>
      <c r="EZ163" s="11"/>
      <c r="FA163" s="11"/>
      <c r="FB163" s="11"/>
      <c r="FC163" s="11"/>
      <c r="FD163" s="11"/>
      <c r="FE163" s="11"/>
      <c r="FF163" s="11"/>
      <c r="FG163" s="11"/>
      <c r="FH163" s="39">
        <f t="shared" si="37"/>
        <v>1779838.97</v>
      </c>
      <c r="FI163" s="33">
        <f t="shared" si="38"/>
        <v>2</v>
      </c>
      <c r="FJ163" s="84">
        <f t="shared" si="39"/>
        <v>889919.48499999999</v>
      </c>
    </row>
    <row r="164" spans="1:166" ht="27" x14ac:dyDescent="0.25">
      <c r="A164" s="79" t="e">
        <f>#REF!</f>
        <v>#REF!</v>
      </c>
      <c r="B164" s="75" t="e">
        <f>#REF!</f>
        <v>#REF!</v>
      </c>
      <c r="C164" s="75" t="e">
        <f>#REF!</f>
        <v>#REF!</v>
      </c>
      <c r="D164" s="75" t="e">
        <f>#REF!</f>
        <v>#REF!</v>
      </c>
      <c r="E164" s="30">
        <v>1</v>
      </c>
      <c r="F164" s="238">
        <v>892024</v>
      </c>
      <c r="G164" s="241">
        <v>892024</v>
      </c>
      <c r="H164" s="249">
        <v>909345.21160000004</v>
      </c>
      <c r="I164" s="249">
        <v>909279</v>
      </c>
      <c r="J164" s="249">
        <v>936625.20000000007</v>
      </c>
      <c r="K164" s="249">
        <v>0</v>
      </c>
      <c r="L164" s="274">
        <f>AVERAGE(F164,H164,J164)</f>
        <v>912664.80386666674</v>
      </c>
      <c r="M164" s="274">
        <f>AVERAGE(G164,I164)*E1</f>
        <v>927671.04500000004</v>
      </c>
      <c r="N164" s="245"/>
      <c r="O164" s="117"/>
      <c r="P164" s="113"/>
      <c r="Q164" s="131"/>
      <c r="R164" s="131"/>
      <c r="S164" s="64"/>
      <c r="T164" s="113"/>
      <c r="U164" s="113"/>
      <c r="V164" s="113"/>
      <c r="W164" s="131"/>
      <c r="X164" s="131"/>
      <c r="Y164" s="11"/>
      <c r="Z164" s="113"/>
      <c r="AA164" s="113"/>
      <c r="AB164" s="113"/>
      <c r="AC164" s="52"/>
      <c r="AD164" s="52"/>
      <c r="AE164" s="11"/>
      <c r="AF164" s="118"/>
      <c r="AG164" s="144"/>
      <c r="AH164" s="113"/>
      <c r="AI164" s="11"/>
      <c r="AJ164" s="11"/>
      <c r="AK164" s="39"/>
      <c r="AL164" s="113"/>
      <c r="AM164" s="113"/>
      <c r="AN164" s="119"/>
      <c r="AO164" s="76"/>
      <c r="AP164" s="39"/>
      <c r="AQ164" s="39"/>
      <c r="AR164" s="275"/>
      <c r="AS164" s="155"/>
      <c r="AT164" s="157"/>
      <c r="AU164" s="62"/>
      <c r="AV164" s="62"/>
      <c r="AW164" s="31"/>
      <c r="AX164" s="116"/>
      <c r="AY164" s="196"/>
      <c r="AZ164" s="143"/>
      <c r="BA164" s="191"/>
      <c r="BB164" s="132"/>
      <c r="BC164" s="132"/>
      <c r="BD164" s="274"/>
      <c r="BE164" s="143"/>
      <c r="BF164" s="143"/>
      <c r="BG164" s="132"/>
      <c r="BH164" s="132"/>
      <c r="BI164" s="132"/>
      <c r="BJ164" s="143"/>
      <c r="BK164" s="143"/>
      <c r="BL164" s="143"/>
      <c r="BM164" s="132"/>
      <c r="BN164" s="132"/>
      <c r="BO164" s="132"/>
      <c r="BP164" s="143"/>
      <c r="BQ164" s="132"/>
      <c r="BR164" s="132"/>
      <c r="BS164" s="132"/>
      <c r="BT164" s="132"/>
      <c r="BU164" s="132"/>
      <c r="BV164" s="267">
        <v>2500000</v>
      </c>
      <c r="BW164" s="144">
        <f>BV164*19%</f>
        <v>475000</v>
      </c>
      <c r="BX164" s="113">
        <f>+BV164+BW164</f>
        <v>2975000</v>
      </c>
      <c r="BY164" s="264" t="s">
        <v>62</v>
      </c>
      <c r="BZ164" s="264" t="s">
        <v>131</v>
      </c>
      <c r="CA164" s="132"/>
      <c r="CB164" s="274"/>
      <c r="CC164" s="144"/>
      <c r="CD164" s="274"/>
      <c r="CE164" s="132"/>
      <c r="CF164" s="132"/>
      <c r="CG164" s="36"/>
      <c r="CH164" s="268"/>
      <c r="CI164" s="265"/>
      <c r="CJ164" s="263"/>
      <c r="CK164" s="264"/>
      <c r="CL164" s="264"/>
      <c r="CM164" s="132"/>
      <c r="CN164" s="274"/>
      <c r="CO164" s="144"/>
      <c r="CP164" s="274"/>
      <c r="CQ164" s="132"/>
      <c r="CR164" s="132"/>
      <c r="CS164" s="132"/>
      <c r="CT164" s="274"/>
      <c r="CU164" s="144"/>
      <c r="CV164" s="274"/>
      <c r="CW164" s="132"/>
      <c r="CX164" s="132"/>
      <c r="CY164" s="132"/>
      <c r="CZ164" s="118"/>
      <c r="DA164" s="144"/>
      <c r="DB164" s="118"/>
      <c r="DC164" s="33"/>
      <c r="DD164" s="39"/>
      <c r="DE164" s="11"/>
      <c r="DF164" s="132"/>
      <c r="DG164" s="132"/>
      <c r="DH164" s="132"/>
      <c r="DI164" s="132"/>
      <c r="DJ164" s="132"/>
      <c r="DK164" s="132"/>
      <c r="DL164" s="132"/>
      <c r="DM164" s="132"/>
      <c r="DN164" s="132"/>
      <c r="DO164" s="132"/>
      <c r="DP164" s="132"/>
      <c r="DQ164" s="132"/>
      <c r="DR164" s="132"/>
      <c r="DS164" s="132"/>
      <c r="DT164" s="132"/>
      <c r="DU164" s="132"/>
      <c r="DV164" s="132"/>
      <c r="DW164" s="132"/>
      <c r="DX164" s="132"/>
      <c r="DY164" s="132"/>
      <c r="DZ164" s="132"/>
      <c r="EA164" s="132"/>
      <c r="EB164" s="132"/>
      <c r="EC164" s="132"/>
      <c r="ED164" s="132"/>
      <c r="EE164" s="132"/>
      <c r="EF164" s="132"/>
      <c r="EG164" s="132"/>
      <c r="EH164" s="132"/>
      <c r="EI164" s="132"/>
      <c r="EJ164" s="132"/>
      <c r="EK164" s="132"/>
      <c r="EL164" s="132"/>
      <c r="EM164" s="132"/>
      <c r="EN164" s="132"/>
      <c r="EO164" s="132"/>
      <c r="EP164" s="132"/>
      <c r="EQ164" s="132"/>
      <c r="ER164" s="132"/>
      <c r="ES164" s="132"/>
      <c r="ET164" s="11"/>
      <c r="EU164" s="11"/>
      <c r="EV164" s="11"/>
      <c r="EW164" s="11"/>
      <c r="EX164" s="11"/>
      <c r="EY164" s="11"/>
      <c r="EZ164" s="11"/>
      <c r="FA164" s="11"/>
      <c r="FB164" s="11"/>
      <c r="FC164" s="11"/>
      <c r="FD164" s="11"/>
      <c r="FE164" s="11"/>
      <c r="FF164" s="11"/>
      <c r="FG164" s="11"/>
      <c r="FH164" s="39">
        <f t="shared" si="37"/>
        <v>3902671.0449999999</v>
      </c>
      <c r="FI164" s="33">
        <f t="shared" si="38"/>
        <v>2</v>
      </c>
      <c r="FJ164" s="84">
        <f t="shared" si="39"/>
        <v>1951335.5225</v>
      </c>
    </row>
    <row r="165" spans="1:166" ht="27" x14ac:dyDescent="0.25">
      <c r="A165" s="79" t="e">
        <f>#REF!</f>
        <v>#REF!</v>
      </c>
      <c r="B165" s="75" t="e">
        <f>#REF!</f>
        <v>#REF!</v>
      </c>
      <c r="C165" s="75" t="e">
        <f>#REF!</f>
        <v>#REF!</v>
      </c>
      <c r="D165" s="75" t="e">
        <f>#REF!</f>
        <v>#REF!</v>
      </c>
      <c r="E165" s="30">
        <v>1</v>
      </c>
      <c r="F165" s="238">
        <v>839942.06333333324</v>
      </c>
      <c r="G165" s="241">
        <v>0</v>
      </c>
      <c r="H165" s="249">
        <v>542920.76902641659</v>
      </c>
      <c r="I165" s="249">
        <v>0</v>
      </c>
      <c r="J165" s="249">
        <v>669182.81499999994</v>
      </c>
      <c r="K165" s="249">
        <v>0</v>
      </c>
      <c r="L165" s="274">
        <f>AVERAGE(F165,H165,J165)</f>
        <v>684015.21578658326</v>
      </c>
      <c r="M165" s="274"/>
      <c r="N165" s="245"/>
      <c r="O165" s="113"/>
      <c r="P165" s="113"/>
      <c r="Q165" s="131"/>
      <c r="R165" s="131"/>
      <c r="S165" s="64"/>
      <c r="T165" s="113"/>
      <c r="U165" s="113"/>
      <c r="V165" s="113"/>
      <c r="W165" s="131"/>
      <c r="X165" s="131"/>
      <c r="Y165" s="11"/>
      <c r="Z165" s="113"/>
      <c r="AA165" s="113"/>
      <c r="AB165" s="113"/>
      <c r="AC165" s="52"/>
      <c r="AD165" s="52"/>
      <c r="AE165" s="11"/>
      <c r="AF165" s="118"/>
      <c r="AG165" s="144"/>
      <c r="AH165" s="113"/>
      <c r="AI165" s="11"/>
      <c r="AJ165" s="11"/>
      <c r="AK165" s="39"/>
      <c r="AL165" s="113"/>
      <c r="AM165" s="113"/>
      <c r="AN165" s="117"/>
      <c r="AO165" s="76"/>
      <c r="AP165" s="39"/>
      <c r="AQ165" s="39"/>
      <c r="AR165" s="275"/>
      <c r="AS165" s="156"/>
      <c r="AT165" s="157"/>
      <c r="AU165" s="62"/>
      <c r="AV165" s="62"/>
      <c r="AW165" s="31"/>
      <c r="AX165" s="116"/>
      <c r="AY165" s="196"/>
      <c r="AZ165" s="143"/>
      <c r="BA165" s="191"/>
      <c r="BB165" s="132"/>
      <c r="BC165" s="132"/>
      <c r="BD165" s="274"/>
      <c r="BE165" s="143"/>
      <c r="BF165" s="143"/>
      <c r="BG165" s="132"/>
      <c r="BH165" s="132"/>
      <c r="BI165" s="132"/>
      <c r="BJ165" s="143"/>
      <c r="BK165" s="143"/>
      <c r="BL165" s="143"/>
      <c r="BM165" s="132"/>
      <c r="BN165" s="132"/>
      <c r="BO165" s="132"/>
      <c r="BP165" s="143"/>
      <c r="BQ165" s="132"/>
      <c r="BR165" s="132"/>
      <c r="BS165" s="132"/>
      <c r="BT165" s="132"/>
      <c r="BU165" s="132"/>
      <c r="BV165" s="267">
        <v>587100</v>
      </c>
      <c r="BW165" s="144">
        <f>BV165*19%</f>
        <v>111549</v>
      </c>
      <c r="BX165" s="113">
        <f>+BV165+BW165</f>
        <v>698649</v>
      </c>
      <c r="BY165" s="264" t="s">
        <v>62</v>
      </c>
      <c r="BZ165" s="264" t="s">
        <v>237</v>
      </c>
      <c r="CA165" s="132"/>
      <c r="CB165" s="274"/>
      <c r="CC165" s="144"/>
      <c r="CD165" s="274"/>
      <c r="CE165" s="132"/>
      <c r="CF165" s="132"/>
      <c r="CG165" s="36"/>
      <c r="CH165" s="263">
        <v>604713</v>
      </c>
      <c r="CI165" s="265">
        <f>+CH165*0.19</f>
        <v>114895.47</v>
      </c>
      <c r="CJ165" s="263">
        <f>+CH165+CI165</f>
        <v>719608.47</v>
      </c>
      <c r="CK165" s="264" t="s">
        <v>62</v>
      </c>
      <c r="CL165" s="264" t="s">
        <v>237</v>
      </c>
      <c r="CM165" s="132"/>
      <c r="CN165" s="274"/>
      <c r="CO165" s="144"/>
      <c r="CP165" s="274"/>
      <c r="CQ165" s="132"/>
      <c r="CR165" s="132"/>
      <c r="CS165" s="132"/>
      <c r="CT165" s="274"/>
      <c r="CU165" s="144"/>
      <c r="CV165" s="274"/>
      <c r="CW165" s="132"/>
      <c r="CX165" s="132"/>
      <c r="CY165" s="132"/>
      <c r="CZ165" s="118"/>
      <c r="DA165" s="144"/>
      <c r="DB165" s="118"/>
      <c r="DC165" s="33"/>
      <c r="DD165" s="39"/>
      <c r="DE165" s="11"/>
      <c r="DF165" s="132"/>
      <c r="DG165" s="132"/>
      <c r="DH165" s="132"/>
      <c r="DI165" s="132"/>
      <c r="DJ165" s="132"/>
      <c r="DK165" s="132"/>
      <c r="DL165" s="132"/>
      <c r="DM165" s="132"/>
      <c r="DN165" s="132"/>
      <c r="DO165" s="132"/>
      <c r="DP165" s="132"/>
      <c r="DQ165" s="132"/>
      <c r="DR165" s="132"/>
      <c r="DS165" s="132"/>
      <c r="DT165" s="132"/>
      <c r="DU165" s="132"/>
      <c r="DV165" s="132"/>
      <c r="DW165" s="132"/>
      <c r="DX165" s="132"/>
      <c r="DY165" s="132"/>
      <c r="DZ165" s="132"/>
      <c r="EA165" s="132"/>
      <c r="EB165" s="132"/>
      <c r="EC165" s="132"/>
      <c r="ED165" s="132"/>
      <c r="EE165" s="132"/>
      <c r="EF165" s="132"/>
      <c r="EG165" s="132"/>
      <c r="EH165" s="132"/>
      <c r="EI165" s="132"/>
      <c r="EJ165" s="132"/>
      <c r="EK165" s="132"/>
      <c r="EL165" s="132"/>
      <c r="EM165" s="132"/>
      <c r="EN165" s="132"/>
      <c r="EO165" s="132"/>
      <c r="EP165" s="132"/>
      <c r="EQ165" s="132"/>
      <c r="ER165" s="132"/>
      <c r="ES165" s="132"/>
      <c r="ET165" s="11"/>
      <c r="EU165" s="11"/>
      <c r="EV165" s="11"/>
      <c r="EW165" s="11"/>
      <c r="EX165" s="11"/>
      <c r="EY165" s="11"/>
      <c r="EZ165" s="11"/>
      <c r="FA165" s="11"/>
      <c r="FB165" s="11"/>
      <c r="FC165" s="11"/>
      <c r="FD165" s="11"/>
      <c r="FE165" s="11"/>
      <c r="FF165" s="11"/>
      <c r="FG165" s="11"/>
      <c r="FH165" s="39">
        <f t="shared" si="37"/>
        <v>1418257.47</v>
      </c>
      <c r="FI165" s="33">
        <f t="shared" si="38"/>
        <v>2</v>
      </c>
      <c r="FJ165" s="84">
        <f t="shared" si="39"/>
        <v>709128.73499999999</v>
      </c>
    </row>
    <row r="166" spans="1:166" ht="63" customHeight="1" x14ac:dyDescent="0.25">
      <c r="A166" s="79" t="e">
        <f>#REF!</f>
        <v>#REF!</v>
      </c>
      <c r="B166" s="75" t="e">
        <f>#REF!</f>
        <v>#REF!</v>
      </c>
      <c r="C166" s="75" t="e">
        <f>#REF!</f>
        <v>#REF!</v>
      </c>
      <c r="D166" s="75" t="e">
        <f>#REF!</f>
        <v>#REF!</v>
      </c>
      <c r="E166" s="30">
        <v>1</v>
      </c>
      <c r="F166" s="238">
        <v>653111.66666666674</v>
      </c>
      <c r="G166" s="241">
        <v>636769</v>
      </c>
      <c r="H166" s="249">
        <v>0</v>
      </c>
      <c r="I166" s="249">
        <v>0</v>
      </c>
      <c r="J166" s="249">
        <v>0</v>
      </c>
      <c r="K166" s="249">
        <v>0</v>
      </c>
      <c r="L166" s="274">
        <f>F166</f>
        <v>653111.66666666674</v>
      </c>
      <c r="M166" s="274">
        <f>G166*E1</f>
        <v>655872.07000000007</v>
      </c>
      <c r="N166" s="245"/>
      <c r="O166" s="113"/>
      <c r="P166" s="113"/>
      <c r="Q166" s="131"/>
      <c r="R166" s="131"/>
      <c r="S166" s="64"/>
      <c r="T166" s="113"/>
      <c r="U166" s="113"/>
      <c r="V166" s="113"/>
      <c r="W166" s="131"/>
      <c r="X166" s="131"/>
      <c r="Y166" s="11"/>
      <c r="Z166" s="113"/>
      <c r="AA166" s="113"/>
      <c r="AB166" s="113"/>
      <c r="AC166" s="52"/>
      <c r="AD166" s="52"/>
      <c r="AE166" s="11"/>
      <c r="AF166" s="118">
        <v>580000</v>
      </c>
      <c r="AG166" s="144">
        <f>AF166*19%</f>
        <v>110200</v>
      </c>
      <c r="AH166" s="113">
        <f>+AF166+AG166</f>
        <v>690200</v>
      </c>
      <c r="AI166" s="11"/>
      <c r="AJ166" s="11"/>
      <c r="AK166" s="39"/>
      <c r="AL166" s="113"/>
      <c r="AM166" s="113"/>
      <c r="AN166" s="117"/>
      <c r="AO166" s="76"/>
      <c r="AP166" s="39"/>
      <c r="AQ166" s="39"/>
      <c r="AR166" s="275"/>
      <c r="AS166" s="156"/>
      <c r="AT166" s="157"/>
      <c r="AU166" s="62"/>
      <c r="AV166" s="62"/>
      <c r="AW166" s="31"/>
      <c r="AX166" s="116"/>
      <c r="AY166" s="196"/>
      <c r="AZ166" s="143"/>
      <c r="BA166" s="191"/>
      <c r="BB166" s="132"/>
      <c r="BC166" s="132"/>
      <c r="BD166" s="274"/>
      <c r="BE166" s="143"/>
      <c r="BF166" s="143"/>
      <c r="BG166" s="132"/>
      <c r="BH166" s="132"/>
      <c r="BI166" s="132"/>
      <c r="BJ166" s="143"/>
      <c r="BK166" s="143"/>
      <c r="BL166" s="143"/>
      <c r="BM166" s="132"/>
      <c r="BN166" s="132"/>
      <c r="BO166" s="132"/>
      <c r="BP166" s="143"/>
      <c r="BQ166" s="132"/>
      <c r="BR166" s="132"/>
      <c r="BS166" s="132"/>
      <c r="BT166" s="132"/>
      <c r="BU166" s="132"/>
      <c r="BV166" s="267">
        <v>342600</v>
      </c>
      <c r="BW166" s="144">
        <f>BV166*19%</f>
        <v>65094</v>
      </c>
      <c r="BX166" s="113">
        <f>+BV166+BW166</f>
        <v>407694</v>
      </c>
      <c r="BY166" s="264" t="s">
        <v>62</v>
      </c>
      <c r="BZ166" s="264" t="s">
        <v>88</v>
      </c>
      <c r="CA166" s="132"/>
      <c r="CB166" s="274"/>
      <c r="CC166" s="144"/>
      <c r="CD166" s="274"/>
      <c r="CE166" s="132"/>
      <c r="CF166" s="132"/>
      <c r="CG166" s="36"/>
      <c r="CH166" s="263">
        <v>352878</v>
      </c>
      <c r="CI166" s="265">
        <f>+CH166*0.19</f>
        <v>67046.820000000007</v>
      </c>
      <c r="CJ166" s="263">
        <f>+CH166+CI166</f>
        <v>419924.82</v>
      </c>
      <c r="CK166" s="264" t="s">
        <v>62</v>
      </c>
      <c r="CL166" s="264" t="s">
        <v>88</v>
      </c>
      <c r="CM166" s="132"/>
      <c r="CN166" s="274"/>
      <c r="CO166" s="144"/>
      <c r="CP166" s="274"/>
      <c r="CQ166" s="132"/>
      <c r="CR166" s="132"/>
      <c r="CS166" s="132"/>
      <c r="CT166" s="274"/>
      <c r="CU166" s="144"/>
      <c r="CV166" s="274"/>
      <c r="CW166" s="132"/>
      <c r="CX166" s="132"/>
      <c r="CY166" s="132"/>
      <c r="CZ166" s="118"/>
      <c r="DA166" s="144"/>
      <c r="DB166" s="118"/>
      <c r="DC166" s="33"/>
      <c r="DD166" s="39"/>
      <c r="DE166" s="11"/>
      <c r="DF166" s="132"/>
      <c r="DG166" s="132"/>
      <c r="DH166" s="132"/>
      <c r="DI166" s="132"/>
      <c r="DJ166" s="132"/>
      <c r="DK166" s="132"/>
      <c r="DL166" s="132"/>
      <c r="DM166" s="132"/>
      <c r="DN166" s="132"/>
      <c r="DO166" s="132"/>
      <c r="DP166" s="132"/>
      <c r="DQ166" s="132"/>
      <c r="DR166" s="132"/>
      <c r="DS166" s="132"/>
      <c r="DT166" s="132"/>
      <c r="DU166" s="132"/>
      <c r="DV166" s="132"/>
      <c r="DW166" s="132"/>
      <c r="DX166" s="132"/>
      <c r="DY166" s="132"/>
      <c r="DZ166" s="132"/>
      <c r="EA166" s="132"/>
      <c r="EB166" s="132"/>
      <c r="EC166" s="132"/>
      <c r="ED166" s="132"/>
      <c r="EE166" s="132"/>
      <c r="EF166" s="132"/>
      <c r="EG166" s="132"/>
      <c r="EH166" s="132"/>
      <c r="EI166" s="132"/>
      <c r="EJ166" s="132"/>
      <c r="EK166" s="132"/>
      <c r="EL166" s="132"/>
      <c r="EM166" s="132"/>
      <c r="EN166" s="132"/>
      <c r="EO166" s="132"/>
      <c r="EP166" s="132"/>
      <c r="EQ166" s="132"/>
      <c r="ER166" s="132"/>
      <c r="ES166" s="132"/>
      <c r="ET166" s="11"/>
      <c r="EU166" s="11"/>
      <c r="EV166" s="11"/>
      <c r="EW166" s="11"/>
      <c r="EX166" s="11"/>
      <c r="EY166" s="11"/>
      <c r="EZ166" s="11"/>
      <c r="FA166" s="11"/>
      <c r="FB166" s="11"/>
      <c r="FC166" s="11"/>
      <c r="FD166" s="11"/>
      <c r="FE166" s="11"/>
      <c r="FF166" s="11"/>
      <c r="FG166" s="11"/>
      <c r="FH166" s="39">
        <f t="shared" si="37"/>
        <v>2173690.89</v>
      </c>
      <c r="FI166" s="33">
        <f t="shared" si="38"/>
        <v>4</v>
      </c>
      <c r="FJ166" s="84">
        <f t="shared" si="39"/>
        <v>543422.72250000003</v>
      </c>
    </row>
    <row r="167" spans="1:166" ht="27" x14ac:dyDescent="0.25">
      <c r="A167" s="79" t="e">
        <f>#REF!</f>
        <v>#REF!</v>
      </c>
      <c r="B167" s="75" t="e">
        <f>#REF!</f>
        <v>#REF!</v>
      </c>
      <c r="C167" s="75" t="e">
        <f>#REF!</f>
        <v>#REF!</v>
      </c>
      <c r="D167" s="75" t="e">
        <f>#REF!</f>
        <v>#REF!</v>
      </c>
      <c r="E167" s="30">
        <v>1</v>
      </c>
      <c r="F167" s="238">
        <v>1169770</v>
      </c>
      <c r="G167" s="241">
        <v>904400</v>
      </c>
      <c r="H167" s="249">
        <v>1496943.5226666667</v>
      </c>
      <c r="I167" s="249">
        <v>0</v>
      </c>
      <c r="J167" s="249">
        <v>0</v>
      </c>
      <c r="K167" s="249">
        <v>0</v>
      </c>
      <c r="L167" s="274">
        <f>AVERAGE(F167,H167)</f>
        <v>1333356.7613333333</v>
      </c>
      <c r="M167" s="274">
        <f>G167*E1</f>
        <v>931532</v>
      </c>
      <c r="N167" s="245"/>
      <c r="O167" s="113"/>
      <c r="P167" s="113"/>
      <c r="Q167" s="131"/>
      <c r="R167" s="131"/>
      <c r="S167" s="64"/>
      <c r="T167" s="113"/>
      <c r="U167" s="113"/>
      <c r="V167" s="113"/>
      <c r="W167" s="131"/>
      <c r="X167" s="131"/>
      <c r="Y167" s="11"/>
      <c r="Z167" s="113"/>
      <c r="AA167" s="113"/>
      <c r="AB167" s="113"/>
      <c r="AC167" s="52"/>
      <c r="AD167" s="52"/>
      <c r="AE167" s="11"/>
      <c r="AF167" s="118">
        <v>1550000</v>
      </c>
      <c r="AG167" s="144">
        <f>AF167*19%</f>
        <v>294500</v>
      </c>
      <c r="AH167" s="113">
        <f>+AF167+AG167</f>
        <v>1844500</v>
      </c>
      <c r="AI167" s="11"/>
      <c r="AJ167" s="11"/>
      <c r="AK167" s="39"/>
      <c r="AL167" s="113"/>
      <c r="AM167" s="113"/>
      <c r="AN167" s="119"/>
      <c r="AO167" s="76"/>
      <c r="AP167" s="39"/>
      <c r="AQ167" s="39"/>
      <c r="AR167" s="275"/>
      <c r="AS167" s="155"/>
      <c r="AT167" s="143"/>
      <c r="AU167" s="62"/>
      <c r="AV167" s="62"/>
      <c r="AW167" s="31"/>
      <c r="AX167" s="116"/>
      <c r="AY167" s="196"/>
      <c r="AZ167" s="143"/>
      <c r="BA167" s="191"/>
      <c r="BB167" s="132"/>
      <c r="BC167" s="132"/>
      <c r="BD167" s="274"/>
      <c r="BE167" s="143"/>
      <c r="BF167" s="143"/>
      <c r="BG167" s="132"/>
      <c r="BH167" s="132"/>
      <c r="BI167" s="132"/>
      <c r="BJ167" s="143"/>
      <c r="BK167" s="143"/>
      <c r="BL167" s="143"/>
      <c r="BM167" s="132"/>
      <c r="BN167" s="132"/>
      <c r="BO167" s="132"/>
      <c r="BP167" s="143"/>
      <c r="BQ167" s="132"/>
      <c r="BR167" s="132"/>
      <c r="BS167" s="132"/>
      <c r="BT167" s="132"/>
      <c r="BU167" s="132"/>
      <c r="BV167" s="267">
        <v>1711000</v>
      </c>
      <c r="BW167" s="144">
        <f>BV167*19%</f>
        <v>325090</v>
      </c>
      <c r="BX167" s="113">
        <f>+BV167+BW167</f>
        <v>2036090</v>
      </c>
      <c r="BY167" s="264" t="s">
        <v>56</v>
      </c>
      <c r="BZ167" s="264" t="s">
        <v>237</v>
      </c>
      <c r="CA167" s="132"/>
      <c r="CB167" s="274"/>
      <c r="CC167" s="144"/>
      <c r="CD167" s="274"/>
      <c r="CE167" s="132"/>
      <c r="CF167" s="132"/>
      <c r="CG167" s="36"/>
      <c r="CH167" s="263"/>
      <c r="CI167" s="265"/>
      <c r="CJ167" s="263"/>
      <c r="CK167" s="264"/>
      <c r="CL167" s="264"/>
      <c r="CM167" s="132"/>
      <c r="CN167" s="274"/>
      <c r="CO167" s="144"/>
      <c r="CP167" s="274"/>
      <c r="CQ167" s="132"/>
      <c r="CR167" s="132"/>
      <c r="CS167" s="132"/>
      <c r="CT167" s="274"/>
      <c r="CU167" s="144"/>
      <c r="CV167" s="274"/>
      <c r="CW167" s="132"/>
      <c r="CX167" s="132"/>
      <c r="CY167" s="132"/>
      <c r="CZ167" s="118"/>
      <c r="DA167" s="144"/>
      <c r="DB167" s="118"/>
      <c r="DC167" s="33"/>
      <c r="DD167" s="39"/>
      <c r="DE167" s="11"/>
      <c r="DF167" s="132"/>
      <c r="DG167" s="132"/>
      <c r="DH167" s="132"/>
      <c r="DI167" s="132"/>
      <c r="DJ167" s="132"/>
      <c r="DK167" s="132"/>
      <c r="DL167" s="132"/>
      <c r="DM167" s="132"/>
      <c r="DN167" s="132"/>
      <c r="DO167" s="132"/>
      <c r="DP167" s="132"/>
      <c r="DQ167" s="132"/>
      <c r="DR167" s="132"/>
      <c r="DS167" s="132"/>
      <c r="DT167" s="132"/>
      <c r="DU167" s="132"/>
      <c r="DV167" s="132"/>
      <c r="DW167" s="132"/>
      <c r="DX167" s="132"/>
      <c r="DY167" s="132"/>
      <c r="DZ167" s="132"/>
      <c r="EA167" s="132"/>
      <c r="EB167" s="132"/>
      <c r="EC167" s="132"/>
      <c r="ED167" s="132"/>
      <c r="EE167" s="132"/>
      <c r="EF167" s="132"/>
      <c r="EG167" s="132"/>
      <c r="EH167" s="132"/>
      <c r="EI167" s="132"/>
      <c r="EJ167" s="132"/>
      <c r="EK167" s="132"/>
      <c r="EL167" s="132"/>
      <c r="EM167" s="132"/>
      <c r="EN167" s="132"/>
      <c r="EO167" s="132"/>
      <c r="EP167" s="132"/>
      <c r="EQ167" s="132"/>
      <c r="ER167" s="132"/>
      <c r="ES167" s="132"/>
      <c r="ET167" s="11"/>
      <c r="EU167" s="11"/>
      <c r="EV167" s="11"/>
      <c r="EW167" s="11"/>
      <c r="EX167" s="11"/>
      <c r="EY167" s="11"/>
      <c r="EZ167" s="11"/>
      <c r="FA167" s="11"/>
      <c r="FB167" s="11"/>
      <c r="FC167" s="11"/>
      <c r="FD167" s="11"/>
      <c r="FE167" s="11"/>
      <c r="FF167" s="11"/>
      <c r="FG167" s="11"/>
      <c r="FH167" s="39">
        <f t="shared" si="37"/>
        <v>4812122</v>
      </c>
      <c r="FI167" s="33">
        <f t="shared" si="38"/>
        <v>3</v>
      </c>
      <c r="FJ167" s="84">
        <f t="shared" si="39"/>
        <v>1604040.6666666667</v>
      </c>
    </row>
    <row r="168" spans="1:166" ht="63" customHeight="1" x14ac:dyDescent="0.25">
      <c r="A168" s="79" t="e">
        <f>#REF!</f>
        <v>#REF!</v>
      </c>
      <c r="B168" s="75" t="e">
        <f>#REF!</f>
        <v>#REF!</v>
      </c>
      <c r="C168" s="75" t="e">
        <f>#REF!</f>
        <v>#REF!</v>
      </c>
      <c r="D168" s="75" t="e">
        <f>#REF!</f>
        <v>#REF!</v>
      </c>
      <c r="E168" s="30">
        <v>1</v>
      </c>
      <c r="F168" s="238">
        <v>0</v>
      </c>
      <c r="G168" s="241">
        <v>0</v>
      </c>
      <c r="H168" s="249">
        <v>0</v>
      </c>
      <c r="I168" s="249">
        <v>0</v>
      </c>
      <c r="J168" s="249">
        <v>0</v>
      </c>
      <c r="K168" s="249">
        <v>0</v>
      </c>
      <c r="L168" s="274"/>
      <c r="M168" s="274"/>
      <c r="N168" s="245"/>
      <c r="O168" s="113"/>
      <c r="P168" s="113"/>
      <c r="Q168" s="131"/>
      <c r="R168" s="131"/>
      <c r="S168" s="64"/>
      <c r="T168" s="113"/>
      <c r="U168" s="113"/>
      <c r="V168" s="113"/>
      <c r="W168" s="131"/>
      <c r="X168" s="131"/>
      <c r="Y168" s="11"/>
      <c r="Z168" s="113"/>
      <c r="AA168" s="113"/>
      <c r="AB168" s="113"/>
      <c r="AC168" s="52"/>
      <c r="AD168" s="52"/>
      <c r="AE168" s="11"/>
      <c r="AF168" s="113"/>
      <c r="AG168" s="144"/>
      <c r="AH168" s="113"/>
      <c r="AI168" s="11"/>
      <c r="AJ168" s="11"/>
      <c r="AK168" s="39"/>
      <c r="AL168" s="113"/>
      <c r="AM168" s="113"/>
      <c r="AN168" s="119"/>
      <c r="AO168" s="76"/>
      <c r="AP168" s="39"/>
      <c r="AQ168" s="39"/>
      <c r="AR168" s="275"/>
      <c r="AS168" s="155"/>
      <c r="AT168" s="143"/>
      <c r="AU168" s="62"/>
      <c r="AV168" s="62"/>
      <c r="AW168" s="31"/>
      <c r="AX168" s="116"/>
      <c r="AY168" s="196"/>
      <c r="AZ168" s="143"/>
      <c r="BA168" s="191"/>
      <c r="BB168" s="132"/>
      <c r="BC168" s="132"/>
      <c r="BD168" s="275"/>
      <c r="BE168" s="143"/>
      <c r="BF168" s="143"/>
      <c r="BG168" s="132"/>
      <c r="BH168" s="132"/>
      <c r="BI168" s="132"/>
      <c r="BJ168" s="143"/>
      <c r="BK168" s="143"/>
      <c r="BL168" s="143"/>
      <c r="BM168" s="132"/>
      <c r="BN168" s="132"/>
      <c r="BO168" s="132"/>
      <c r="BP168" s="143"/>
      <c r="BQ168" s="132"/>
      <c r="BR168" s="132"/>
      <c r="BS168" s="132"/>
      <c r="BT168" s="132"/>
      <c r="BU168" s="132"/>
      <c r="BV168" s="211"/>
      <c r="BW168" s="144"/>
      <c r="BX168" s="113"/>
      <c r="BY168" s="273"/>
      <c r="BZ168" s="273"/>
      <c r="CA168" s="132"/>
      <c r="CB168" s="275">
        <v>985600</v>
      </c>
      <c r="CC168" s="144">
        <f t="shared" ref="CC168:CC181" si="42">+CB168*19%</f>
        <v>187264</v>
      </c>
      <c r="CD168" s="274">
        <f t="shared" ref="CD168:CD181" si="43">+CC168+CB168</f>
        <v>1172864</v>
      </c>
      <c r="CE168" s="132"/>
      <c r="CF168" s="132"/>
      <c r="CG168" s="36"/>
      <c r="CH168" s="210"/>
      <c r="CI168" s="219"/>
      <c r="CJ168" s="210"/>
      <c r="CK168" s="273"/>
      <c r="CL168" s="273"/>
      <c r="CM168" s="132"/>
      <c r="CN168" s="275"/>
      <c r="CO168" s="143"/>
      <c r="CP168" s="275"/>
      <c r="CQ168" s="132"/>
      <c r="CR168" s="132"/>
      <c r="CS168" s="132"/>
      <c r="CT168" s="275"/>
      <c r="CU168" s="143"/>
      <c r="CV168" s="275"/>
      <c r="CW168" s="132"/>
      <c r="CX168" s="132"/>
      <c r="CY168" s="132"/>
      <c r="CZ168" s="113"/>
      <c r="DA168" s="143"/>
      <c r="DB168" s="113"/>
      <c r="DC168" s="33"/>
      <c r="DD168" s="39"/>
      <c r="DE168" s="11"/>
      <c r="DF168" s="132"/>
      <c r="DG168" s="132"/>
      <c r="DH168" s="132"/>
      <c r="DI168" s="132"/>
      <c r="DJ168" s="132"/>
      <c r="DK168" s="132"/>
      <c r="DL168" s="132"/>
      <c r="DM168" s="132"/>
      <c r="DN168" s="132"/>
      <c r="DO168" s="132"/>
      <c r="DP168" s="132"/>
      <c r="DQ168" s="132"/>
      <c r="DR168" s="132"/>
      <c r="DS168" s="132"/>
      <c r="DT168" s="132"/>
      <c r="DU168" s="132"/>
      <c r="DV168" s="132"/>
      <c r="DW168" s="132"/>
      <c r="DX168" s="132"/>
      <c r="DY168" s="132"/>
      <c r="DZ168" s="132"/>
      <c r="EA168" s="132"/>
      <c r="EB168" s="132"/>
      <c r="EC168" s="132"/>
      <c r="ED168" s="132"/>
      <c r="EE168" s="132"/>
      <c r="EF168" s="132"/>
      <c r="EG168" s="132"/>
      <c r="EH168" s="132"/>
      <c r="EI168" s="132"/>
      <c r="EJ168" s="132"/>
      <c r="EK168" s="132"/>
      <c r="EL168" s="132"/>
      <c r="EM168" s="132"/>
      <c r="EN168" s="132"/>
      <c r="EO168" s="132"/>
      <c r="EP168" s="132"/>
      <c r="EQ168" s="132"/>
      <c r="ER168" s="132"/>
      <c r="ES168" s="132"/>
      <c r="ET168" s="11"/>
      <c r="EU168" s="11"/>
      <c r="EV168" s="11"/>
      <c r="EW168" s="11"/>
      <c r="EX168" s="11"/>
      <c r="EY168" s="11"/>
      <c r="EZ168" s="11"/>
      <c r="FA168" s="11"/>
      <c r="FB168" s="11"/>
      <c r="FC168" s="11"/>
      <c r="FD168" s="11"/>
      <c r="FE168" s="11"/>
      <c r="FF168" s="11"/>
      <c r="FG168" s="11"/>
      <c r="FH168" s="39">
        <f t="shared" si="37"/>
        <v>1172864</v>
      </c>
      <c r="FI168" s="33">
        <f t="shared" si="38"/>
        <v>1</v>
      </c>
      <c r="FJ168" s="84">
        <f t="shared" si="39"/>
        <v>1172864</v>
      </c>
    </row>
    <row r="169" spans="1:166" ht="63" customHeight="1" x14ac:dyDescent="0.25">
      <c r="A169" s="79" t="e">
        <f>#REF!</f>
        <v>#REF!</v>
      </c>
      <c r="B169" s="75" t="e">
        <f>#REF!</f>
        <v>#REF!</v>
      </c>
      <c r="C169" s="75" t="e">
        <f>#REF!</f>
        <v>#REF!</v>
      </c>
      <c r="D169" s="75" t="e">
        <f>#REF!</f>
        <v>#REF!</v>
      </c>
      <c r="E169" s="30">
        <v>1</v>
      </c>
      <c r="F169" s="238">
        <v>0</v>
      </c>
      <c r="G169" s="241">
        <v>0</v>
      </c>
      <c r="H169" s="249">
        <v>0</v>
      </c>
      <c r="I169" s="249">
        <v>0</v>
      </c>
      <c r="J169" s="249">
        <v>0</v>
      </c>
      <c r="K169" s="249">
        <v>0</v>
      </c>
      <c r="L169" s="274"/>
      <c r="M169" s="274"/>
      <c r="N169" s="245"/>
      <c r="O169" s="113"/>
      <c r="P169" s="113"/>
      <c r="Q169" s="131"/>
      <c r="R169" s="131"/>
      <c r="S169" s="64"/>
      <c r="T169" s="113"/>
      <c r="U169" s="113"/>
      <c r="V169" s="113"/>
      <c r="W169" s="131"/>
      <c r="X169" s="131"/>
      <c r="Y169" s="11"/>
      <c r="Z169" s="113"/>
      <c r="AA169" s="113"/>
      <c r="AB169" s="113"/>
      <c r="AC169" s="52"/>
      <c r="AD169" s="52"/>
      <c r="AE169" s="11"/>
      <c r="AF169" s="113"/>
      <c r="AG169" s="144"/>
      <c r="AH169" s="113"/>
      <c r="AI169" s="11"/>
      <c r="AJ169" s="11"/>
      <c r="AK169" s="39"/>
      <c r="AL169" s="113"/>
      <c r="AM169" s="113"/>
      <c r="AN169" s="119"/>
      <c r="AO169" s="76"/>
      <c r="AP169" s="39"/>
      <c r="AQ169" s="39"/>
      <c r="AR169" s="275"/>
      <c r="AS169" s="155"/>
      <c r="AT169" s="143"/>
      <c r="AU169" s="62"/>
      <c r="AV169" s="62"/>
      <c r="AW169" s="31"/>
      <c r="AX169" s="116"/>
      <c r="AY169" s="196"/>
      <c r="AZ169" s="143"/>
      <c r="BA169" s="191"/>
      <c r="BB169" s="132"/>
      <c r="BC169" s="132"/>
      <c r="BD169" s="275"/>
      <c r="BE169" s="143"/>
      <c r="BF169" s="143"/>
      <c r="BG169" s="132"/>
      <c r="BH169" s="132"/>
      <c r="BI169" s="132"/>
      <c r="BJ169" s="143"/>
      <c r="BK169" s="143"/>
      <c r="BL169" s="143"/>
      <c r="BM169" s="132"/>
      <c r="BN169" s="132"/>
      <c r="BO169" s="132"/>
      <c r="BP169" s="143"/>
      <c r="BQ169" s="132"/>
      <c r="BR169" s="132"/>
      <c r="BS169" s="132"/>
      <c r="BT169" s="132"/>
      <c r="BU169" s="132"/>
      <c r="BV169" s="211"/>
      <c r="BW169" s="144"/>
      <c r="BX169" s="113"/>
      <c r="BY169" s="273"/>
      <c r="BZ169" s="273"/>
      <c r="CA169" s="132"/>
      <c r="CB169" s="275">
        <v>865000</v>
      </c>
      <c r="CC169" s="144">
        <f t="shared" si="42"/>
        <v>164350</v>
      </c>
      <c r="CD169" s="274">
        <f t="shared" si="43"/>
        <v>1029350</v>
      </c>
      <c r="CE169" s="132"/>
      <c r="CF169" s="132"/>
      <c r="CG169" s="36"/>
      <c r="CH169" s="210"/>
      <c r="CI169" s="219"/>
      <c r="CJ169" s="210"/>
      <c r="CK169" s="273"/>
      <c r="CL169" s="273"/>
      <c r="CM169" s="132"/>
      <c r="CN169" s="275"/>
      <c r="CO169" s="143"/>
      <c r="CP169" s="275"/>
      <c r="CQ169" s="132"/>
      <c r="CR169" s="132"/>
      <c r="CS169" s="132"/>
      <c r="CT169" s="275"/>
      <c r="CU169" s="143"/>
      <c r="CV169" s="275"/>
      <c r="CW169" s="132"/>
      <c r="CX169" s="132"/>
      <c r="CY169" s="132"/>
      <c r="CZ169" s="113"/>
      <c r="DA169" s="143"/>
      <c r="DB169" s="113"/>
      <c r="DC169" s="33"/>
      <c r="DD169" s="39"/>
      <c r="DE169" s="11"/>
      <c r="DF169" s="132"/>
      <c r="DG169" s="132"/>
      <c r="DH169" s="132"/>
      <c r="DI169" s="132"/>
      <c r="DJ169" s="132"/>
      <c r="DK169" s="132"/>
      <c r="DL169" s="132"/>
      <c r="DM169" s="132"/>
      <c r="DN169" s="132"/>
      <c r="DO169" s="132"/>
      <c r="DP169" s="132"/>
      <c r="DQ169" s="132"/>
      <c r="DR169" s="132"/>
      <c r="DS169" s="132"/>
      <c r="DT169" s="132"/>
      <c r="DU169" s="132"/>
      <c r="DV169" s="132"/>
      <c r="DW169" s="132"/>
      <c r="DX169" s="132"/>
      <c r="DY169" s="132"/>
      <c r="DZ169" s="132"/>
      <c r="EA169" s="132"/>
      <c r="EB169" s="132"/>
      <c r="EC169" s="132"/>
      <c r="ED169" s="132"/>
      <c r="EE169" s="132"/>
      <c r="EF169" s="132"/>
      <c r="EG169" s="132"/>
      <c r="EH169" s="132"/>
      <c r="EI169" s="132"/>
      <c r="EJ169" s="132"/>
      <c r="EK169" s="132"/>
      <c r="EL169" s="132"/>
      <c r="EM169" s="132"/>
      <c r="EN169" s="132"/>
      <c r="EO169" s="132"/>
      <c r="EP169" s="132"/>
      <c r="EQ169" s="132"/>
      <c r="ER169" s="132"/>
      <c r="ES169" s="132"/>
      <c r="ET169" s="11"/>
      <c r="EU169" s="11"/>
      <c r="EV169" s="11"/>
      <c r="EW169" s="11"/>
      <c r="EX169" s="11"/>
      <c r="EY169" s="11"/>
      <c r="EZ169" s="11"/>
      <c r="FA169" s="11"/>
      <c r="FB169" s="11"/>
      <c r="FC169" s="11"/>
      <c r="FD169" s="11"/>
      <c r="FE169" s="11"/>
      <c r="FF169" s="11"/>
      <c r="FG169" s="11"/>
      <c r="FH169" s="39">
        <f t="shared" si="37"/>
        <v>1029350</v>
      </c>
      <c r="FI169" s="33">
        <f t="shared" si="38"/>
        <v>1</v>
      </c>
      <c r="FJ169" s="84">
        <f t="shared" si="39"/>
        <v>1029350</v>
      </c>
    </row>
    <row r="170" spans="1:166" ht="51.75" customHeight="1" x14ac:dyDescent="0.25">
      <c r="A170" s="79" t="e">
        <f>#REF!</f>
        <v>#REF!</v>
      </c>
      <c r="B170" s="75" t="e">
        <f>#REF!</f>
        <v>#REF!</v>
      </c>
      <c r="C170" s="75" t="e">
        <f>#REF!</f>
        <v>#REF!</v>
      </c>
      <c r="D170" s="75" t="e">
        <f>#REF!</f>
        <v>#REF!</v>
      </c>
      <c r="E170" s="30">
        <v>1</v>
      </c>
      <c r="F170" s="238">
        <v>0</v>
      </c>
      <c r="G170" s="241">
        <v>0</v>
      </c>
      <c r="H170" s="249">
        <v>0</v>
      </c>
      <c r="I170" s="249">
        <v>0</v>
      </c>
      <c r="J170" s="249">
        <v>0</v>
      </c>
      <c r="K170" s="249">
        <v>0</v>
      </c>
      <c r="L170" s="274"/>
      <c r="M170" s="274"/>
      <c r="N170" s="245"/>
      <c r="O170" s="113"/>
      <c r="P170" s="113"/>
      <c r="Q170" s="131"/>
      <c r="R170" s="131"/>
      <c r="S170" s="64"/>
      <c r="T170" s="113"/>
      <c r="U170" s="113"/>
      <c r="V170" s="113"/>
      <c r="W170" s="131"/>
      <c r="X170" s="131"/>
      <c r="Y170" s="11"/>
      <c r="Z170" s="113"/>
      <c r="AA170" s="113"/>
      <c r="AB170" s="113"/>
      <c r="AC170" s="52"/>
      <c r="AD170" s="52"/>
      <c r="AE170" s="11"/>
      <c r="AF170" s="113"/>
      <c r="AG170" s="144"/>
      <c r="AH170" s="113"/>
      <c r="AI170" s="11"/>
      <c r="AJ170" s="11"/>
      <c r="AK170" s="39"/>
      <c r="AL170" s="113"/>
      <c r="AM170" s="113"/>
      <c r="AN170" s="119"/>
      <c r="AO170" s="76"/>
      <c r="AP170" s="39"/>
      <c r="AQ170" s="39"/>
      <c r="AR170" s="275"/>
      <c r="AS170" s="155"/>
      <c r="AT170" s="143"/>
      <c r="AU170" s="62"/>
      <c r="AV170" s="62"/>
      <c r="AW170" s="31"/>
      <c r="AX170" s="116"/>
      <c r="AY170" s="196"/>
      <c r="AZ170" s="143"/>
      <c r="BA170" s="191"/>
      <c r="BB170" s="132"/>
      <c r="BC170" s="132"/>
      <c r="BD170" s="275"/>
      <c r="BE170" s="143"/>
      <c r="BF170" s="143"/>
      <c r="BG170" s="132"/>
      <c r="BH170" s="132"/>
      <c r="BI170" s="132"/>
      <c r="BJ170" s="143"/>
      <c r="BK170" s="143"/>
      <c r="BL170" s="143"/>
      <c r="BM170" s="132"/>
      <c r="BN170" s="132"/>
      <c r="BO170" s="132"/>
      <c r="BP170" s="143"/>
      <c r="BQ170" s="132"/>
      <c r="BR170" s="132"/>
      <c r="BS170" s="132"/>
      <c r="BT170" s="132"/>
      <c r="BU170" s="132"/>
      <c r="BV170" s="211"/>
      <c r="BW170" s="144"/>
      <c r="BX170" s="113"/>
      <c r="BY170" s="273"/>
      <c r="BZ170" s="273"/>
      <c r="CA170" s="132"/>
      <c r="CB170" s="275">
        <v>875000</v>
      </c>
      <c r="CC170" s="144">
        <f t="shared" si="42"/>
        <v>166250</v>
      </c>
      <c r="CD170" s="274">
        <f t="shared" si="43"/>
        <v>1041250</v>
      </c>
      <c r="CE170" s="132"/>
      <c r="CF170" s="132"/>
      <c r="CG170" s="36"/>
      <c r="CH170" s="210"/>
      <c r="CI170" s="219"/>
      <c r="CJ170" s="210"/>
      <c r="CK170" s="273"/>
      <c r="CL170" s="273"/>
      <c r="CM170" s="132"/>
      <c r="CN170" s="275"/>
      <c r="CO170" s="143"/>
      <c r="CP170" s="275"/>
      <c r="CQ170" s="132"/>
      <c r="CR170" s="132"/>
      <c r="CS170" s="132"/>
      <c r="CT170" s="275"/>
      <c r="CU170" s="143"/>
      <c r="CV170" s="275"/>
      <c r="CW170" s="132"/>
      <c r="CX170" s="132"/>
      <c r="CY170" s="132"/>
      <c r="CZ170" s="113"/>
      <c r="DA170" s="143"/>
      <c r="DB170" s="113"/>
      <c r="DC170" s="33"/>
      <c r="DD170" s="39"/>
      <c r="DE170" s="11"/>
      <c r="DF170" s="132"/>
      <c r="DG170" s="132"/>
      <c r="DH170" s="132"/>
      <c r="DI170" s="132"/>
      <c r="DJ170" s="132"/>
      <c r="DK170" s="132"/>
      <c r="DL170" s="132"/>
      <c r="DM170" s="132"/>
      <c r="DN170" s="132"/>
      <c r="DO170" s="132"/>
      <c r="DP170" s="132"/>
      <c r="DQ170" s="132"/>
      <c r="DR170" s="132"/>
      <c r="DS170" s="132"/>
      <c r="DT170" s="132"/>
      <c r="DU170" s="132"/>
      <c r="DV170" s="132"/>
      <c r="DW170" s="132"/>
      <c r="DX170" s="132"/>
      <c r="DY170" s="132"/>
      <c r="DZ170" s="132"/>
      <c r="EA170" s="132"/>
      <c r="EB170" s="132"/>
      <c r="EC170" s="132"/>
      <c r="ED170" s="132"/>
      <c r="EE170" s="132"/>
      <c r="EF170" s="132"/>
      <c r="EG170" s="132"/>
      <c r="EH170" s="132"/>
      <c r="EI170" s="132"/>
      <c r="EJ170" s="132"/>
      <c r="EK170" s="132"/>
      <c r="EL170" s="132"/>
      <c r="EM170" s="132"/>
      <c r="EN170" s="132"/>
      <c r="EO170" s="132"/>
      <c r="EP170" s="132"/>
      <c r="EQ170" s="132"/>
      <c r="ER170" s="132"/>
      <c r="ES170" s="132"/>
      <c r="ET170" s="11"/>
      <c r="EU170" s="11"/>
      <c r="EV170" s="11"/>
      <c r="EW170" s="11"/>
      <c r="EX170" s="11"/>
      <c r="EY170" s="11"/>
      <c r="EZ170" s="11"/>
      <c r="FA170" s="11"/>
      <c r="FB170" s="11"/>
      <c r="FC170" s="11"/>
      <c r="FD170" s="11"/>
      <c r="FE170" s="11"/>
      <c r="FF170" s="11"/>
      <c r="FG170" s="11"/>
      <c r="FH170" s="39">
        <f t="shared" si="37"/>
        <v>1041250</v>
      </c>
      <c r="FI170" s="33">
        <f t="shared" si="38"/>
        <v>1</v>
      </c>
      <c r="FJ170" s="84">
        <f t="shared" si="39"/>
        <v>1041250</v>
      </c>
    </row>
    <row r="171" spans="1:166" ht="51.75" customHeight="1" x14ac:dyDescent="0.25">
      <c r="A171" s="79" t="e">
        <f>#REF!</f>
        <v>#REF!</v>
      </c>
      <c r="B171" s="75" t="e">
        <f>#REF!</f>
        <v>#REF!</v>
      </c>
      <c r="C171" s="75" t="e">
        <f>#REF!</f>
        <v>#REF!</v>
      </c>
      <c r="D171" s="75" t="e">
        <f>#REF!</f>
        <v>#REF!</v>
      </c>
      <c r="E171" s="30">
        <v>1</v>
      </c>
      <c r="F171" s="238">
        <v>0</v>
      </c>
      <c r="G171" s="241">
        <v>0</v>
      </c>
      <c r="H171" s="249">
        <v>0</v>
      </c>
      <c r="I171" s="249">
        <v>0</v>
      </c>
      <c r="J171" s="249">
        <v>0</v>
      </c>
      <c r="K171" s="249">
        <v>0</v>
      </c>
      <c r="L171" s="274"/>
      <c r="M171" s="274"/>
      <c r="N171" s="245"/>
      <c r="O171" s="113"/>
      <c r="P171" s="113"/>
      <c r="Q171" s="131"/>
      <c r="R171" s="131"/>
      <c r="S171" s="64"/>
      <c r="T171" s="113"/>
      <c r="U171" s="113"/>
      <c r="V171" s="113"/>
      <c r="W171" s="131"/>
      <c r="X171" s="131"/>
      <c r="Y171" s="11"/>
      <c r="Z171" s="113"/>
      <c r="AA171" s="113"/>
      <c r="AB171" s="113"/>
      <c r="AC171" s="52"/>
      <c r="AD171" s="52"/>
      <c r="AE171" s="11"/>
      <c r="AF171" s="113"/>
      <c r="AG171" s="144"/>
      <c r="AH171" s="113"/>
      <c r="AI171" s="11"/>
      <c r="AJ171" s="11"/>
      <c r="AK171" s="39"/>
      <c r="AL171" s="113"/>
      <c r="AM171" s="113"/>
      <c r="AN171" s="119"/>
      <c r="AO171" s="76"/>
      <c r="AP171" s="39"/>
      <c r="AQ171" s="39"/>
      <c r="AR171" s="275"/>
      <c r="AS171" s="155"/>
      <c r="AT171" s="157"/>
      <c r="AU171" s="62"/>
      <c r="AV171" s="62"/>
      <c r="AW171" s="31"/>
      <c r="AX171" s="116"/>
      <c r="AY171" s="196"/>
      <c r="AZ171" s="143"/>
      <c r="BA171" s="191"/>
      <c r="BB171" s="132"/>
      <c r="BC171" s="132"/>
      <c r="BD171" s="275"/>
      <c r="BE171" s="274"/>
      <c r="BF171" s="274"/>
      <c r="BG171" s="274"/>
      <c r="BH171" s="132"/>
      <c r="BI171" s="132"/>
      <c r="BJ171" s="143"/>
      <c r="BK171" s="143"/>
      <c r="BL171" s="143"/>
      <c r="BM171" s="132"/>
      <c r="BN171" s="132"/>
      <c r="BO171" s="132"/>
      <c r="BP171" s="143"/>
      <c r="BQ171" s="132"/>
      <c r="BR171" s="132"/>
      <c r="BS171" s="132"/>
      <c r="BT171" s="132"/>
      <c r="BU171" s="132"/>
      <c r="BV171" s="211"/>
      <c r="BW171" s="144"/>
      <c r="BX171" s="113"/>
      <c r="BY171" s="273"/>
      <c r="BZ171" s="273"/>
      <c r="CA171" s="132"/>
      <c r="CB171" s="275">
        <v>865000</v>
      </c>
      <c r="CC171" s="144">
        <f t="shared" si="42"/>
        <v>164350</v>
      </c>
      <c r="CD171" s="274">
        <f t="shared" si="43"/>
        <v>1029350</v>
      </c>
      <c r="CE171" s="132"/>
      <c r="CF171" s="132"/>
      <c r="CG171" s="36"/>
      <c r="CH171" s="210"/>
      <c r="CI171" s="219"/>
      <c r="CJ171" s="210"/>
      <c r="CK171" s="273"/>
      <c r="CL171" s="273"/>
      <c r="CM171" s="132"/>
      <c r="CN171" s="275"/>
      <c r="CO171" s="143"/>
      <c r="CP171" s="275"/>
      <c r="CQ171" s="132"/>
      <c r="CR171" s="132"/>
      <c r="CS171" s="132"/>
      <c r="CT171" s="275"/>
      <c r="CU171" s="143"/>
      <c r="CV171" s="275"/>
      <c r="CW171" s="132"/>
      <c r="CX171" s="132"/>
      <c r="CY171" s="132"/>
      <c r="CZ171" s="113"/>
      <c r="DA171" s="143"/>
      <c r="DB171" s="113"/>
      <c r="DC171" s="33"/>
      <c r="DD171" s="39"/>
      <c r="DE171" s="11"/>
      <c r="DF171" s="132"/>
      <c r="DG171" s="132"/>
      <c r="DH171" s="132"/>
      <c r="DI171" s="132"/>
      <c r="DJ171" s="132"/>
      <c r="DK171" s="132"/>
      <c r="DL171" s="132"/>
      <c r="DM171" s="132"/>
      <c r="DN171" s="132"/>
      <c r="DO171" s="132"/>
      <c r="DP171" s="132"/>
      <c r="DQ171" s="132"/>
      <c r="DR171" s="132"/>
      <c r="DS171" s="132"/>
      <c r="DT171" s="132"/>
      <c r="DU171" s="132"/>
      <c r="DV171" s="132"/>
      <c r="DW171" s="132"/>
      <c r="DX171" s="132"/>
      <c r="DY171" s="132"/>
      <c r="DZ171" s="132"/>
      <c r="EA171" s="132"/>
      <c r="EB171" s="132"/>
      <c r="EC171" s="132"/>
      <c r="ED171" s="132"/>
      <c r="EE171" s="132"/>
      <c r="EF171" s="132"/>
      <c r="EG171" s="132"/>
      <c r="EH171" s="132"/>
      <c r="EI171" s="132"/>
      <c r="EJ171" s="132"/>
      <c r="EK171" s="132"/>
      <c r="EL171" s="132"/>
      <c r="EM171" s="132"/>
      <c r="EN171" s="132"/>
      <c r="EO171" s="132"/>
      <c r="EP171" s="132"/>
      <c r="EQ171" s="132"/>
      <c r="ER171" s="132"/>
      <c r="ES171" s="132"/>
      <c r="ET171" s="11"/>
      <c r="EU171" s="11"/>
      <c r="EV171" s="11"/>
      <c r="EW171" s="11"/>
      <c r="EX171" s="11"/>
      <c r="EY171" s="11"/>
      <c r="EZ171" s="11"/>
      <c r="FA171" s="11"/>
      <c r="FB171" s="11"/>
      <c r="FC171" s="11"/>
      <c r="FD171" s="11"/>
      <c r="FE171" s="11"/>
      <c r="FF171" s="11"/>
      <c r="FG171" s="11"/>
      <c r="FH171" s="39">
        <f t="shared" si="37"/>
        <v>1029350</v>
      </c>
      <c r="FI171" s="33">
        <f t="shared" si="38"/>
        <v>1</v>
      </c>
      <c r="FJ171" s="84">
        <f t="shared" si="39"/>
        <v>1029350</v>
      </c>
    </row>
    <row r="172" spans="1:166" x14ac:dyDescent="0.25">
      <c r="A172" s="79" t="e">
        <f>#REF!</f>
        <v>#REF!</v>
      </c>
      <c r="B172" s="75" t="e">
        <f>#REF!</f>
        <v>#REF!</v>
      </c>
      <c r="C172" s="75" t="e">
        <f>#REF!</f>
        <v>#REF!</v>
      </c>
      <c r="D172" s="75" t="e">
        <f>#REF!</f>
        <v>#REF!</v>
      </c>
      <c r="E172" s="30">
        <v>1</v>
      </c>
      <c r="F172" s="238">
        <v>3159500</v>
      </c>
      <c r="G172" s="241">
        <v>0</v>
      </c>
      <c r="H172" s="249">
        <v>7437500</v>
      </c>
      <c r="I172" s="249">
        <v>0</v>
      </c>
      <c r="J172" s="249">
        <v>0</v>
      </c>
      <c r="K172" s="249">
        <v>0</v>
      </c>
      <c r="L172" s="274">
        <f>AVERAGE(F172,H172)</f>
        <v>5298500</v>
      </c>
      <c r="M172" s="274"/>
      <c r="N172" s="245"/>
      <c r="O172" s="113"/>
      <c r="P172" s="113"/>
      <c r="Q172" s="131"/>
      <c r="R172" s="131"/>
      <c r="S172" s="64"/>
      <c r="T172" s="113"/>
      <c r="U172" s="113"/>
      <c r="V172" s="113"/>
      <c r="W172" s="131"/>
      <c r="X172" s="131"/>
      <c r="Y172" s="11"/>
      <c r="Z172" s="113"/>
      <c r="AA172" s="113"/>
      <c r="AB172" s="113"/>
      <c r="AC172" s="52"/>
      <c r="AD172" s="52"/>
      <c r="AE172" s="11"/>
      <c r="AF172" s="118"/>
      <c r="AG172" s="144"/>
      <c r="AH172" s="113"/>
      <c r="AI172" s="11"/>
      <c r="AJ172" s="11"/>
      <c r="AK172" s="39"/>
      <c r="AL172" s="113"/>
      <c r="AM172" s="113"/>
      <c r="AN172" s="116"/>
      <c r="AO172" s="76"/>
      <c r="AP172" s="39"/>
      <c r="AQ172" s="39"/>
      <c r="AR172" s="275"/>
      <c r="AS172" s="116"/>
      <c r="AT172" s="116"/>
      <c r="AU172" s="62"/>
      <c r="AV172" s="62"/>
      <c r="AW172" s="31"/>
      <c r="AX172" s="116"/>
      <c r="AY172" s="196"/>
      <c r="AZ172" s="143"/>
      <c r="BA172" s="191"/>
      <c r="BB172" s="132"/>
      <c r="BC172" s="132"/>
      <c r="BD172" s="274"/>
      <c r="BE172" s="274"/>
      <c r="BF172" s="274"/>
      <c r="BG172" s="274"/>
      <c r="BH172" s="132"/>
      <c r="BI172" s="132"/>
      <c r="BJ172" s="143"/>
      <c r="BK172" s="143"/>
      <c r="BL172" s="143"/>
      <c r="BM172" s="132"/>
      <c r="BN172" s="132"/>
      <c r="BO172" s="132"/>
      <c r="BP172" s="143"/>
      <c r="BQ172" s="132"/>
      <c r="BR172" s="132"/>
      <c r="BS172" s="132"/>
      <c r="BT172" s="132"/>
      <c r="BU172" s="132"/>
      <c r="BV172" s="211"/>
      <c r="BW172" s="144"/>
      <c r="BX172" s="113"/>
      <c r="BY172" s="273"/>
      <c r="BZ172" s="273"/>
      <c r="CA172" s="132"/>
      <c r="CB172" s="275">
        <v>855000</v>
      </c>
      <c r="CC172" s="144">
        <f t="shared" si="42"/>
        <v>162450</v>
      </c>
      <c r="CD172" s="274">
        <f t="shared" si="43"/>
        <v>1017450</v>
      </c>
      <c r="CE172" s="132"/>
      <c r="CF172" s="132"/>
      <c r="CG172" s="36"/>
      <c r="CH172" s="210"/>
      <c r="CI172" s="219"/>
      <c r="CJ172" s="210"/>
      <c r="CK172" s="273"/>
      <c r="CL172" s="273"/>
      <c r="CM172" s="132"/>
      <c r="CN172" s="274"/>
      <c r="CO172" s="144"/>
      <c r="CP172" s="274"/>
      <c r="CQ172" s="132"/>
      <c r="CR172" s="132"/>
      <c r="CS172" s="132"/>
      <c r="CT172" s="274"/>
      <c r="CU172" s="144"/>
      <c r="CV172" s="274"/>
      <c r="CW172" s="132"/>
      <c r="CX172" s="132"/>
      <c r="CY172" s="132"/>
      <c r="CZ172" s="118"/>
      <c r="DA172" s="144"/>
      <c r="DB172" s="118"/>
      <c r="DC172" s="33"/>
      <c r="DD172" s="39"/>
      <c r="DE172" s="11"/>
      <c r="DF172" s="132"/>
      <c r="DG172" s="132"/>
      <c r="DH172" s="132"/>
      <c r="DI172" s="132"/>
      <c r="DJ172" s="132"/>
      <c r="DK172" s="132"/>
      <c r="DL172" s="132"/>
      <c r="DM172" s="132"/>
      <c r="DN172" s="132"/>
      <c r="DO172" s="132"/>
      <c r="DP172" s="132"/>
      <c r="DQ172" s="132"/>
      <c r="DR172" s="132"/>
      <c r="DS172" s="132"/>
      <c r="DT172" s="132"/>
      <c r="DU172" s="132"/>
      <c r="DV172" s="132"/>
      <c r="DW172" s="132"/>
      <c r="DX172" s="132"/>
      <c r="DY172" s="132"/>
      <c r="DZ172" s="132"/>
      <c r="EA172" s="132"/>
      <c r="EB172" s="132"/>
      <c r="EC172" s="132"/>
      <c r="ED172" s="132"/>
      <c r="EE172" s="132"/>
      <c r="EF172" s="132"/>
      <c r="EG172" s="132"/>
      <c r="EH172" s="132"/>
      <c r="EI172" s="132"/>
      <c r="EJ172" s="132"/>
      <c r="EK172" s="132"/>
      <c r="EL172" s="132"/>
      <c r="EM172" s="132"/>
      <c r="EN172" s="132"/>
      <c r="EO172" s="132"/>
      <c r="EP172" s="132"/>
      <c r="EQ172" s="132"/>
      <c r="ER172" s="132"/>
      <c r="ES172" s="132"/>
      <c r="ET172" s="11"/>
      <c r="EU172" s="11"/>
      <c r="EV172" s="11"/>
      <c r="EW172" s="11"/>
      <c r="EX172" s="11"/>
      <c r="EY172" s="11"/>
      <c r="EZ172" s="11"/>
      <c r="FA172" s="11"/>
      <c r="FB172" s="11"/>
      <c r="FC172" s="11"/>
      <c r="FD172" s="11"/>
      <c r="FE172" s="11"/>
      <c r="FF172" s="11"/>
      <c r="FG172" s="11"/>
      <c r="FH172" s="39">
        <f t="shared" si="37"/>
        <v>1017450</v>
      </c>
      <c r="FI172" s="33">
        <f t="shared" si="38"/>
        <v>1</v>
      </c>
      <c r="FJ172" s="84">
        <f t="shared" si="39"/>
        <v>1017450</v>
      </c>
    </row>
    <row r="173" spans="1:166" x14ac:dyDescent="0.25">
      <c r="A173" s="79" t="e">
        <f>#REF!</f>
        <v>#REF!</v>
      </c>
      <c r="B173" s="75" t="e">
        <f>#REF!</f>
        <v>#REF!</v>
      </c>
      <c r="C173" s="75" t="e">
        <f>#REF!</f>
        <v>#REF!</v>
      </c>
      <c r="D173" s="75" t="e">
        <f>#REF!</f>
        <v>#REF!</v>
      </c>
      <c r="E173" s="30">
        <v>1</v>
      </c>
      <c r="F173" s="238">
        <v>0</v>
      </c>
      <c r="G173" s="241">
        <v>0</v>
      </c>
      <c r="H173" s="249">
        <v>0</v>
      </c>
      <c r="I173" s="249">
        <v>0</v>
      </c>
      <c r="J173" s="249">
        <v>1254000</v>
      </c>
      <c r="K173" s="249">
        <v>0</v>
      </c>
      <c r="L173" s="274">
        <f>J173</f>
        <v>1254000</v>
      </c>
      <c r="M173" s="274"/>
      <c r="N173" s="245"/>
      <c r="O173" s="113"/>
      <c r="P173" s="113"/>
      <c r="Q173" s="131"/>
      <c r="R173" s="131"/>
      <c r="S173" s="64"/>
      <c r="T173" s="113"/>
      <c r="U173" s="113"/>
      <c r="V173" s="113"/>
      <c r="W173" s="131"/>
      <c r="X173" s="131"/>
      <c r="Y173" s="11"/>
      <c r="Z173" s="113"/>
      <c r="AA173" s="113"/>
      <c r="AB173" s="113"/>
      <c r="AC173" s="52"/>
      <c r="AD173" s="52"/>
      <c r="AE173" s="11"/>
      <c r="AF173" s="118"/>
      <c r="AG173" s="144"/>
      <c r="AH173" s="113"/>
      <c r="AI173" s="11"/>
      <c r="AJ173" s="11"/>
      <c r="AK173" s="39"/>
      <c r="AL173" s="113"/>
      <c r="AM173" s="113"/>
      <c r="AN173" s="116"/>
      <c r="AO173" s="76"/>
      <c r="AP173" s="39"/>
      <c r="AQ173" s="39"/>
      <c r="AR173" s="275"/>
      <c r="AS173" s="116"/>
      <c r="AT173" s="116"/>
      <c r="AU173" s="62"/>
      <c r="AV173" s="62"/>
      <c r="AW173" s="31"/>
      <c r="AX173" s="116"/>
      <c r="AY173" s="196"/>
      <c r="AZ173" s="143"/>
      <c r="BA173" s="191"/>
      <c r="BB173" s="132"/>
      <c r="BC173" s="132"/>
      <c r="BD173" s="274"/>
      <c r="BE173" s="274"/>
      <c r="BF173" s="274"/>
      <c r="BG173" s="274"/>
      <c r="BH173" s="132"/>
      <c r="BI173" s="132"/>
      <c r="BJ173" s="143"/>
      <c r="BK173" s="143"/>
      <c r="BL173" s="143"/>
      <c r="BM173" s="132"/>
      <c r="BN173" s="132"/>
      <c r="BO173" s="132"/>
      <c r="BP173" s="143"/>
      <c r="BQ173" s="132"/>
      <c r="BR173" s="132"/>
      <c r="BS173" s="132"/>
      <c r="BT173" s="132"/>
      <c r="BU173" s="132"/>
      <c r="BV173" s="211"/>
      <c r="BW173" s="144"/>
      <c r="BX173" s="113"/>
      <c r="BY173" s="273"/>
      <c r="BZ173" s="273"/>
      <c r="CA173" s="132"/>
      <c r="CB173" s="275">
        <v>865000</v>
      </c>
      <c r="CC173" s="144">
        <f t="shared" si="42"/>
        <v>164350</v>
      </c>
      <c r="CD173" s="274">
        <f t="shared" si="43"/>
        <v>1029350</v>
      </c>
      <c r="CE173" s="132"/>
      <c r="CF173" s="132"/>
      <c r="CG173" s="36"/>
      <c r="CH173" s="210"/>
      <c r="CI173" s="219"/>
      <c r="CJ173" s="210"/>
      <c r="CK173" s="273"/>
      <c r="CL173" s="273"/>
      <c r="CM173" s="132"/>
      <c r="CN173" s="274"/>
      <c r="CO173" s="144"/>
      <c r="CP173" s="274"/>
      <c r="CQ173" s="132"/>
      <c r="CR173" s="132"/>
      <c r="CS173" s="132"/>
      <c r="CT173" s="274"/>
      <c r="CU173" s="144"/>
      <c r="CV173" s="274"/>
      <c r="CW173" s="132"/>
      <c r="CX173" s="132"/>
      <c r="CY173" s="132"/>
      <c r="CZ173" s="118"/>
      <c r="DA173" s="144"/>
      <c r="DB173" s="118"/>
      <c r="DC173" s="33"/>
      <c r="DD173" s="39"/>
      <c r="DE173" s="11"/>
      <c r="DF173" s="132"/>
      <c r="DG173" s="132"/>
      <c r="DH173" s="132"/>
      <c r="DI173" s="132"/>
      <c r="DJ173" s="132"/>
      <c r="DK173" s="132"/>
      <c r="DL173" s="132"/>
      <c r="DM173" s="132"/>
      <c r="DN173" s="132"/>
      <c r="DO173" s="132"/>
      <c r="DP173" s="132"/>
      <c r="DQ173" s="132"/>
      <c r="DR173" s="132"/>
      <c r="DS173" s="132"/>
      <c r="DT173" s="132"/>
      <c r="DU173" s="132"/>
      <c r="DV173" s="132"/>
      <c r="DW173" s="132"/>
      <c r="DX173" s="132"/>
      <c r="DY173" s="132"/>
      <c r="DZ173" s="132"/>
      <c r="EA173" s="132"/>
      <c r="EB173" s="132"/>
      <c r="EC173" s="132"/>
      <c r="ED173" s="132"/>
      <c r="EE173" s="132"/>
      <c r="EF173" s="132"/>
      <c r="EG173" s="132"/>
      <c r="EH173" s="132"/>
      <c r="EI173" s="132"/>
      <c r="EJ173" s="132"/>
      <c r="EK173" s="132"/>
      <c r="EL173" s="132"/>
      <c r="EM173" s="132"/>
      <c r="EN173" s="132"/>
      <c r="EO173" s="132"/>
      <c r="EP173" s="132"/>
      <c r="EQ173" s="132"/>
      <c r="ER173" s="132"/>
      <c r="ES173" s="132"/>
      <c r="ET173" s="11"/>
      <c r="EU173" s="11"/>
      <c r="EV173" s="11"/>
      <c r="EW173" s="11"/>
      <c r="EX173" s="11"/>
      <c r="EY173" s="11"/>
      <c r="EZ173" s="11"/>
      <c r="FA173" s="11"/>
      <c r="FB173" s="11"/>
      <c r="FC173" s="11"/>
      <c r="FD173" s="11"/>
      <c r="FE173" s="11"/>
      <c r="FF173" s="11"/>
      <c r="FG173" s="11"/>
      <c r="FH173" s="39">
        <f t="shared" si="37"/>
        <v>1029350</v>
      </c>
      <c r="FI173" s="33">
        <f t="shared" si="38"/>
        <v>1</v>
      </c>
      <c r="FJ173" s="84">
        <f t="shared" si="39"/>
        <v>1029350</v>
      </c>
    </row>
    <row r="174" spans="1:166" x14ac:dyDescent="0.25">
      <c r="A174" s="79" t="e">
        <f>#REF!</f>
        <v>#REF!</v>
      </c>
      <c r="B174" s="75" t="e">
        <f>#REF!</f>
        <v>#REF!</v>
      </c>
      <c r="C174" s="75" t="e">
        <f>#REF!</f>
        <v>#REF!</v>
      </c>
      <c r="D174" s="75" t="e">
        <f>#REF!</f>
        <v>#REF!</v>
      </c>
      <c r="E174" s="30">
        <v>1</v>
      </c>
      <c r="F174" s="238">
        <v>0</v>
      </c>
      <c r="G174" s="241">
        <v>0</v>
      </c>
      <c r="H174" s="249">
        <v>0</v>
      </c>
      <c r="I174" s="249">
        <v>0</v>
      </c>
      <c r="J174" s="249">
        <v>232050</v>
      </c>
      <c r="K174" s="249">
        <v>0</v>
      </c>
      <c r="L174" s="274">
        <f>J174</f>
        <v>232050</v>
      </c>
      <c r="M174" s="274"/>
      <c r="N174" s="245"/>
      <c r="O174" s="117"/>
      <c r="P174" s="113"/>
      <c r="Q174" s="131"/>
      <c r="R174" s="131"/>
      <c r="S174" s="64"/>
      <c r="T174" s="113"/>
      <c r="U174" s="113"/>
      <c r="V174" s="113"/>
      <c r="W174" s="131"/>
      <c r="X174" s="131"/>
      <c r="Y174" s="11"/>
      <c r="Z174" s="113"/>
      <c r="AA174" s="113"/>
      <c r="AB174" s="113"/>
      <c r="AC174" s="52"/>
      <c r="AD174" s="52"/>
      <c r="AE174" s="11"/>
      <c r="AF174" s="118"/>
      <c r="AG174" s="144"/>
      <c r="AH174" s="113"/>
      <c r="AI174" s="11"/>
      <c r="AJ174" s="11"/>
      <c r="AK174" s="39"/>
      <c r="AL174" s="113"/>
      <c r="AM174" s="113"/>
      <c r="AN174" s="119"/>
      <c r="AO174" s="76"/>
      <c r="AP174" s="39"/>
      <c r="AQ174" s="39"/>
      <c r="AR174" s="275"/>
      <c r="AS174" s="121"/>
      <c r="AT174" s="143"/>
      <c r="AU174" s="62"/>
      <c r="AV174" s="62"/>
      <c r="AW174" s="31"/>
      <c r="AX174" s="116"/>
      <c r="AY174" s="196"/>
      <c r="AZ174" s="143"/>
      <c r="BA174" s="191"/>
      <c r="BB174" s="132"/>
      <c r="BC174" s="132"/>
      <c r="BD174" s="274"/>
      <c r="BE174" s="143"/>
      <c r="BF174" s="143"/>
      <c r="BG174" s="132"/>
      <c r="BH174" s="132"/>
      <c r="BI174" s="132"/>
      <c r="BJ174" s="143"/>
      <c r="BK174" s="143"/>
      <c r="BL174" s="143"/>
      <c r="BM174" s="132"/>
      <c r="BN174" s="132"/>
      <c r="BO174" s="132"/>
      <c r="BP174" s="143"/>
      <c r="BQ174" s="132"/>
      <c r="BR174" s="132"/>
      <c r="BS174" s="132"/>
      <c r="BT174" s="132"/>
      <c r="BU174" s="132"/>
      <c r="BV174" s="211"/>
      <c r="BW174" s="144"/>
      <c r="BX174" s="113"/>
      <c r="BY174" s="273"/>
      <c r="BZ174" s="273"/>
      <c r="CA174" s="132"/>
      <c r="CB174" s="275">
        <v>865000</v>
      </c>
      <c r="CC174" s="144">
        <f t="shared" si="42"/>
        <v>164350</v>
      </c>
      <c r="CD174" s="274">
        <f t="shared" si="43"/>
        <v>1029350</v>
      </c>
      <c r="CE174" s="132"/>
      <c r="CF174" s="132"/>
      <c r="CG174" s="36"/>
      <c r="CH174" s="210"/>
      <c r="CI174" s="219"/>
      <c r="CJ174" s="210"/>
      <c r="CK174" s="273"/>
      <c r="CL174" s="273"/>
      <c r="CM174" s="132"/>
      <c r="CN174" s="274"/>
      <c r="CO174" s="144"/>
      <c r="CP174" s="274"/>
      <c r="CQ174" s="132"/>
      <c r="CR174" s="132"/>
      <c r="CS174" s="132"/>
      <c r="CT174" s="274"/>
      <c r="CU174" s="144"/>
      <c r="CV174" s="274"/>
      <c r="CW174" s="132"/>
      <c r="CX174" s="132"/>
      <c r="CY174" s="132"/>
      <c r="CZ174" s="118"/>
      <c r="DA174" s="144"/>
      <c r="DB174" s="118"/>
      <c r="DC174" s="33"/>
      <c r="DD174" s="39"/>
      <c r="DE174" s="11"/>
      <c r="DF174" s="132"/>
      <c r="DG174" s="132"/>
      <c r="DH174" s="132"/>
      <c r="DI174" s="132"/>
      <c r="DJ174" s="132"/>
      <c r="DK174" s="132"/>
      <c r="DL174" s="132"/>
      <c r="DM174" s="132"/>
      <c r="DN174" s="132"/>
      <c r="DO174" s="132"/>
      <c r="DP174" s="132"/>
      <c r="DQ174" s="132"/>
      <c r="DR174" s="132"/>
      <c r="DS174" s="132"/>
      <c r="DT174" s="132"/>
      <c r="DU174" s="132"/>
      <c r="DV174" s="132"/>
      <c r="DW174" s="132"/>
      <c r="DX174" s="132"/>
      <c r="DY174" s="132"/>
      <c r="DZ174" s="132"/>
      <c r="EA174" s="132"/>
      <c r="EB174" s="132"/>
      <c r="EC174" s="132"/>
      <c r="ED174" s="132"/>
      <c r="EE174" s="132"/>
      <c r="EF174" s="132"/>
      <c r="EG174" s="132"/>
      <c r="EH174" s="132"/>
      <c r="EI174" s="132"/>
      <c r="EJ174" s="132"/>
      <c r="EK174" s="132"/>
      <c r="EL174" s="132"/>
      <c r="EM174" s="132"/>
      <c r="EN174" s="132"/>
      <c r="EO174" s="132"/>
      <c r="EP174" s="132"/>
      <c r="EQ174" s="132"/>
      <c r="ER174" s="132"/>
      <c r="ES174" s="132"/>
      <c r="ET174" s="11"/>
      <c r="EU174" s="11"/>
      <c r="EV174" s="11"/>
      <c r="EW174" s="11"/>
      <c r="EX174" s="11"/>
      <c r="EY174" s="11"/>
      <c r="EZ174" s="11"/>
      <c r="FA174" s="11"/>
      <c r="FB174" s="11"/>
      <c r="FC174" s="11"/>
      <c r="FD174" s="11"/>
      <c r="FE174" s="11"/>
      <c r="FF174" s="11"/>
      <c r="FG174" s="11"/>
      <c r="FH174" s="39">
        <f t="shared" si="37"/>
        <v>1029350</v>
      </c>
      <c r="FI174" s="33">
        <f t="shared" si="38"/>
        <v>1</v>
      </c>
      <c r="FJ174" s="84">
        <f t="shared" si="39"/>
        <v>1029350</v>
      </c>
    </row>
    <row r="175" spans="1:166" ht="17.25" customHeight="1" x14ac:dyDescent="0.25">
      <c r="A175" s="79" t="e">
        <f>#REF!</f>
        <v>#REF!</v>
      </c>
      <c r="B175" s="75" t="e">
        <f>#REF!</f>
        <v>#REF!</v>
      </c>
      <c r="C175" s="75" t="e">
        <f>#REF!</f>
        <v>#REF!</v>
      </c>
      <c r="D175" s="75" t="e">
        <f>#REF!</f>
        <v>#REF!</v>
      </c>
      <c r="E175" s="30">
        <v>1</v>
      </c>
      <c r="F175" s="238">
        <v>0</v>
      </c>
      <c r="G175" s="241">
        <v>0</v>
      </c>
      <c r="H175" s="249">
        <v>1735912.5</v>
      </c>
      <c r="I175" s="249">
        <v>0</v>
      </c>
      <c r="J175" s="249">
        <v>0</v>
      </c>
      <c r="K175" s="249">
        <v>0</v>
      </c>
      <c r="L175" s="274">
        <f>H175</f>
        <v>1735912.5</v>
      </c>
      <c r="M175" s="274"/>
      <c r="N175" s="247">
        <v>810000</v>
      </c>
      <c r="O175" s="113">
        <f>+N175*0.19</f>
        <v>153900</v>
      </c>
      <c r="P175" s="113">
        <f>+O175+N175</f>
        <v>963900</v>
      </c>
      <c r="Q175" s="36" t="s">
        <v>258</v>
      </c>
      <c r="R175" s="132" t="s">
        <v>200</v>
      </c>
      <c r="S175" s="64" t="s">
        <v>216</v>
      </c>
      <c r="T175" s="113"/>
      <c r="U175" s="113"/>
      <c r="V175" s="113"/>
      <c r="W175" s="131"/>
      <c r="X175" s="131"/>
      <c r="Y175" s="11"/>
      <c r="Z175" s="113"/>
      <c r="AA175" s="113"/>
      <c r="AB175" s="113"/>
      <c r="AC175" s="52"/>
      <c r="AD175" s="52"/>
      <c r="AE175" s="11"/>
      <c r="AF175" s="118"/>
      <c r="AG175" s="144"/>
      <c r="AH175" s="113"/>
      <c r="AI175" s="11"/>
      <c r="AJ175" s="11"/>
      <c r="AK175" s="39"/>
      <c r="AL175" s="113"/>
      <c r="AM175" s="113"/>
      <c r="AN175" s="119"/>
      <c r="AO175" s="76"/>
      <c r="AP175" s="39"/>
      <c r="AQ175" s="39"/>
      <c r="AR175" s="275"/>
      <c r="AS175" s="155"/>
      <c r="AT175" s="157"/>
      <c r="AU175" s="62"/>
      <c r="AV175" s="62"/>
      <c r="AW175" s="31"/>
      <c r="AX175" s="116"/>
      <c r="AY175" s="196"/>
      <c r="AZ175" s="143"/>
      <c r="BA175" s="191"/>
      <c r="BB175" s="132"/>
      <c r="BC175" s="132"/>
      <c r="BD175" s="274"/>
      <c r="BE175" s="143"/>
      <c r="BF175" s="143"/>
      <c r="BG175" s="132"/>
      <c r="BH175" s="132"/>
      <c r="BI175" s="132"/>
      <c r="BJ175" s="274">
        <v>2097375</v>
      </c>
      <c r="BK175" s="118">
        <f>+BJ175*0</f>
        <v>0</v>
      </c>
      <c r="BL175" s="113">
        <f>+BK175+BJ175</f>
        <v>2097375</v>
      </c>
      <c r="BM175" s="132"/>
      <c r="BN175" s="132"/>
      <c r="BO175" s="132"/>
      <c r="BP175" s="143"/>
      <c r="BQ175" s="132"/>
      <c r="BR175" s="132"/>
      <c r="BS175" s="132"/>
      <c r="BT175" s="132"/>
      <c r="BU175" s="132"/>
      <c r="BV175" s="267">
        <v>1495200</v>
      </c>
      <c r="BW175" s="144">
        <f>BV175*0</f>
        <v>0</v>
      </c>
      <c r="BX175" s="113">
        <f>+BV175+BW175</f>
        <v>1495200</v>
      </c>
      <c r="BY175" s="264" t="s">
        <v>259</v>
      </c>
      <c r="BZ175" s="264" t="s">
        <v>260</v>
      </c>
      <c r="CA175" s="132"/>
      <c r="CB175" s="275">
        <v>896000</v>
      </c>
      <c r="CC175" s="144">
        <f t="shared" si="42"/>
        <v>170240</v>
      </c>
      <c r="CD175" s="274">
        <f t="shared" si="43"/>
        <v>1066240</v>
      </c>
      <c r="CE175" s="132"/>
      <c r="CF175" s="132"/>
      <c r="CG175" s="36"/>
      <c r="CH175" s="263"/>
      <c r="CI175" s="265"/>
      <c r="CJ175" s="263"/>
      <c r="CK175" s="264"/>
      <c r="CL175" s="264"/>
      <c r="CM175" s="132"/>
      <c r="CN175" s="274"/>
      <c r="CO175" s="144"/>
      <c r="CP175" s="274"/>
      <c r="CQ175" s="132"/>
      <c r="CR175" s="132"/>
      <c r="CS175" s="132"/>
      <c r="CT175" s="274"/>
      <c r="CU175" s="144"/>
      <c r="CV175" s="274"/>
      <c r="CW175" s="132"/>
      <c r="CX175" s="132"/>
      <c r="CY175" s="132"/>
      <c r="CZ175" s="118"/>
      <c r="DA175" s="144"/>
      <c r="DB175" s="118"/>
      <c r="DC175" s="33"/>
      <c r="DD175" s="39"/>
      <c r="DE175" s="11"/>
      <c r="DF175" s="132"/>
      <c r="DG175" s="132"/>
      <c r="DH175" s="132"/>
      <c r="DI175" s="132"/>
      <c r="DJ175" s="132"/>
      <c r="DK175" s="132"/>
      <c r="DL175" s="132"/>
      <c r="DM175" s="132"/>
      <c r="DN175" s="132"/>
      <c r="DO175" s="132"/>
      <c r="DP175" s="132"/>
      <c r="DQ175" s="132"/>
      <c r="DR175" s="132"/>
      <c r="DS175" s="132"/>
      <c r="DT175" s="132"/>
      <c r="DU175" s="132"/>
      <c r="DV175" s="132"/>
      <c r="DW175" s="132"/>
      <c r="DX175" s="132"/>
      <c r="DY175" s="132"/>
      <c r="DZ175" s="132"/>
      <c r="EA175" s="132"/>
      <c r="EB175" s="132"/>
      <c r="EC175" s="132"/>
      <c r="ED175" s="132"/>
      <c r="EE175" s="132"/>
      <c r="EF175" s="132"/>
      <c r="EG175" s="132"/>
      <c r="EH175" s="132"/>
      <c r="EI175" s="132"/>
      <c r="EJ175" s="132"/>
      <c r="EK175" s="132"/>
      <c r="EL175" s="132"/>
      <c r="EM175" s="132"/>
      <c r="EN175" s="132"/>
      <c r="EO175" s="132"/>
      <c r="EP175" s="132"/>
      <c r="EQ175" s="132"/>
      <c r="ER175" s="132"/>
      <c r="ES175" s="132"/>
      <c r="ET175" s="11"/>
      <c r="EU175" s="11"/>
      <c r="EV175" s="11"/>
      <c r="EW175" s="11"/>
      <c r="EX175" s="11"/>
      <c r="EY175" s="11"/>
      <c r="EZ175" s="11"/>
      <c r="FA175" s="11"/>
      <c r="FB175" s="11"/>
      <c r="FC175" s="11"/>
      <c r="FD175" s="11"/>
      <c r="FE175" s="11"/>
      <c r="FF175" s="11"/>
      <c r="FG175" s="11"/>
      <c r="FH175" s="39">
        <f t="shared" si="37"/>
        <v>5622715</v>
      </c>
      <c r="FI175" s="33">
        <f t="shared" si="38"/>
        <v>4</v>
      </c>
      <c r="FJ175" s="84">
        <f t="shared" si="39"/>
        <v>1405678.75</v>
      </c>
    </row>
    <row r="176" spans="1:166" ht="54" customHeight="1" x14ac:dyDescent="0.25">
      <c r="A176" s="79" t="e">
        <f>#REF!</f>
        <v>#REF!</v>
      </c>
      <c r="B176" s="75" t="e">
        <f>#REF!</f>
        <v>#REF!</v>
      </c>
      <c r="C176" s="75" t="e">
        <f>#REF!</f>
        <v>#REF!</v>
      </c>
      <c r="D176" s="75" t="e">
        <f>#REF!</f>
        <v>#REF!</v>
      </c>
      <c r="E176" s="30">
        <v>1</v>
      </c>
      <c r="F176" s="238">
        <v>0</v>
      </c>
      <c r="G176" s="241">
        <v>0</v>
      </c>
      <c r="H176" s="249">
        <v>1033812.5</v>
      </c>
      <c r="I176" s="249">
        <v>0</v>
      </c>
      <c r="J176" s="249">
        <v>702100</v>
      </c>
      <c r="K176" s="249">
        <v>0</v>
      </c>
      <c r="L176" s="274">
        <f>AVERAGE(H176,J176)</f>
        <v>867956.25</v>
      </c>
      <c r="M176" s="274"/>
      <c r="N176" s="247">
        <v>571200</v>
      </c>
      <c r="O176" s="113">
        <f>+N176*0.19</f>
        <v>108528</v>
      </c>
      <c r="P176" s="113">
        <f>+O176+N176</f>
        <v>679728</v>
      </c>
      <c r="Q176" s="36" t="s">
        <v>258</v>
      </c>
      <c r="R176" s="132" t="s">
        <v>200</v>
      </c>
      <c r="S176" s="64" t="s">
        <v>216</v>
      </c>
      <c r="T176" s="113"/>
      <c r="U176" s="113"/>
      <c r="V176" s="113"/>
      <c r="W176" s="131"/>
      <c r="X176" s="131"/>
      <c r="Y176" s="11"/>
      <c r="Z176" s="113"/>
      <c r="AA176" s="113"/>
      <c r="AB176" s="113"/>
      <c r="AC176" s="52"/>
      <c r="AD176" s="52"/>
      <c r="AE176" s="11"/>
      <c r="AF176" s="118"/>
      <c r="AG176" s="144"/>
      <c r="AH176" s="113"/>
      <c r="AI176" s="11"/>
      <c r="AJ176" s="11"/>
      <c r="AK176" s="39"/>
      <c r="AL176" s="113"/>
      <c r="AM176" s="113"/>
      <c r="AN176" s="119"/>
      <c r="AO176" s="76"/>
      <c r="AP176" s="39"/>
      <c r="AQ176" s="39"/>
      <c r="AR176" s="275"/>
      <c r="AS176" s="155"/>
      <c r="AT176" s="143"/>
      <c r="AU176" s="62"/>
      <c r="AV176" s="62"/>
      <c r="AW176" s="31"/>
      <c r="AX176" s="116"/>
      <c r="AY176" s="196"/>
      <c r="AZ176" s="143"/>
      <c r="BA176" s="191"/>
      <c r="BB176" s="132"/>
      <c r="BC176" s="132"/>
      <c r="BD176" s="274"/>
      <c r="BE176" s="143"/>
      <c r="BF176" s="143"/>
      <c r="BG176" s="132"/>
      <c r="BH176" s="132"/>
      <c r="BI176" s="132"/>
      <c r="BJ176" s="274"/>
      <c r="BK176" s="118"/>
      <c r="BL176" s="113"/>
      <c r="BM176" s="132"/>
      <c r="BN176" s="132"/>
      <c r="BO176" s="132"/>
      <c r="BP176" s="143"/>
      <c r="BQ176" s="132"/>
      <c r="BR176" s="132"/>
      <c r="BS176" s="132"/>
      <c r="BT176" s="132"/>
      <c r="BU176" s="132"/>
      <c r="BV176" s="211"/>
      <c r="BW176" s="144"/>
      <c r="BX176" s="113"/>
      <c r="BY176" s="273"/>
      <c r="BZ176" s="273"/>
      <c r="CA176" s="132"/>
      <c r="CB176" s="275">
        <v>865000</v>
      </c>
      <c r="CC176" s="144">
        <f t="shared" si="42"/>
        <v>164350</v>
      </c>
      <c r="CD176" s="274">
        <f t="shared" si="43"/>
        <v>1029350</v>
      </c>
      <c r="CE176" s="132"/>
      <c r="CF176" s="132"/>
      <c r="CG176" s="36"/>
      <c r="CH176" s="210"/>
      <c r="CI176" s="219"/>
      <c r="CJ176" s="210"/>
      <c r="CK176" s="273"/>
      <c r="CL176" s="273"/>
      <c r="CM176" s="132"/>
      <c r="CN176" s="274"/>
      <c r="CO176" s="144"/>
      <c r="CP176" s="274"/>
      <c r="CQ176" s="132"/>
      <c r="CR176" s="132"/>
      <c r="CS176" s="132"/>
      <c r="CT176" s="274"/>
      <c r="CU176" s="144"/>
      <c r="CV176" s="274"/>
      <c r="CW176" s="132"/>
      <c r="CX176" s="132"/>
      <c r="CY176" s="132"/>
      <c r="CZ176" s="118"/>
      <c r="DA176" s="144"/>
      <c r="DB176" s="118"/>
      <c r="DC176" s="33"/>
      <c r="DD176" s="39"/>
      <c r="DE176" s="11"/>
      <c r="DF176" s="132"/>
      <c r="DG176" s="132"/>
      <c r="DH176" s="132"/>
      <c r="DI176" s="132"/>
      <c r="DJ176" s="132"/>
      <c r="DK176" s="132"/>
      <c r="DL176" s="132"/>
      <c r="DM176" s="132"/>
      <c r="DN176" s="132"/>
      <c r="DO176" s="132"/>
      <c r="DP176" s="132"/>
      <c r="DQ176" s="132"/>
      <c r="DR176" s="132"/>
      <c r="DS176" s="132"/>
      <c r="DT176" s="132"/>
      <c r="DU176" s="132"/>
      <c r="DV176" s="132"/>
      <c r="DW176" s="132"/>
      <c r="DX176" s="132"/>
      <c r="DY176" s="132"/>
      <c r="DZ176" s="132"/>
      <c r="EA176" s="132"/>
      <c r="EB176" s="132"/>
      <c r="EC176" s="132"/>
      <c r="ED176" s="132"/>
      <c r="EE176" s="132"/>
      <c r="EF176" s="132"/>
      <c r="EG176" s="132"/>
      <c r="EH176" s="132"/>
      <c r="EI176" s="132"/>
      <c r="EJ176" s="132"/>
      <c r="EK176" s="132"/>
      <c r="EL176" s="132"/>
      <c r="EM176" s="132"/>
      <c r="EN176" s="132"/>
      <c r="EO176" s="132"/>
      <c r="EP176" s="132"/>
      <c r="EQ176" s="132"/>
      <c r="ER176" s="132"/>
      <c r="ES176" s="132"/>
      <c r="ET176" s="11"/>
      <c r="EU176" s="11"/>
      <c r="EV176" s="11"/>
      <c r="EW176" s="11"/>
      <c r="EX176" s="11"/>
      <c r="EY176" s="11"/>
      <c r="EZ176" s="11"/>
      <c r="FA176" s="11"/>
      <c r="FB176" s="11"/>
      <c r="FC176" s="11"/>
      <c r="FD176" s="11"/>
      <c r="FE176" s="11"/>
      <c r="FF176" s="11"/>
      <c r="FG176" s="11"/>
      <c r="FH176" s="39">
        <f t="shared" si="37"/>
        <v>1709078</v>
      </c>
      <c r="FI176" s="33">
        <f t="shared" si="38"/>
        <v>2</v>
      </c>
      <c r="FJ176" s="84">
        <f t="shared" si="39"/>
        <v>854539</v>
      </c>
    </row>
    <row r="177" spans="1:166" ht="54" customHeight="1" x14ac:dyDescent="0.25">
      <c r="A177" s="79" t="e">
        <f>#REF!</f>
        <v>#REF!</v>
      </c>
      <c r="B177" s="75" t="e">
        <f>#REF!</f>
        <v>#REF!</v>
      </c>
      <c r="C177" s="75" t="e">
        <f>#REF!</f>
        <v>#REF!</v>
      </c>
      <c r="D177" s="75" t="e">
        <f>#REF!</f>
        <v>#REF!</v>
      </c>
      <c r="E177" s="30">
        <v>1</v>
      </c>
      <c r="F177" s="238">
        <v>0</v>
      </c>
      <c r="G177" s="241">
        <v>0</v>
      </c>
      <c r="H177" s="249">
        <v>0</v>
      </c>
      <c r="I177" s="249">
        <v>0</v>
      </c>
      <c r="J177" s="249">
        <v>0</v>
      </c>
      <c r="K177" s="249">
        <v>0</v>
      </c>
      <c r="L177" s="274"/>
      <c r="M177" s="274"/>
      <c r="N177" s="247">
        <v>571200</v>
      </c>
      <c r="O177" s="113">
        <f>+N177*0.19</f>
        <v>108528</v>
      </c>
      <c r="P177" s="113">
        <f>+O177+N177</f>
        <v>679728</v>
      </c>
      <c r="Q177" s="36" t="s">
        <v>258</v>
      </c>
      <c r="R177" s="132" t="s">
        <v>200</v>
      </c>
      <c r="S177" s="64" t="s">
        <v>216</v>
      </c>
      <c r="T177" s="113"/>
      <c r="U177" s="113"/>
      <c r="V177" s="113"/>
      <c r="W177" s="131"/>
      <c r="X177" s="131"/>
      <c r="Y177" s="11"/>
      <c r="Z177" s="113"/>
      <c r="AA177" s="113"/>
      <c r="AB177" s="113"/>
      <c r="AC177" s="52"/>
      <c r="AD177" s="52"/>
      <c r="AE177" s="11"/>
      <c r="AF177" s="118"/>
      <c r="AG177" s="144"/>
      <c r="AH177" s="113"/>
      <c r="AI177" s="11"/>
      <c r="AJ177" s="11"/>
      <c r="AK177" s="39"/>
      <c r="AL177" s="113"/>
      <c r="AM177" s="113"/>
      <c r="AN177" s="116"/>
      <c r="AO177" s="76"/>
      <c r="AP177" s="39"/>
      <c r="AQ177" s="39"/>
      <c r="AR177" s="275"/>
      <c r="AS177" s="143"/>
      <c r="AT177" s="116"/>
      <c r="AU177" s="62"/>
      <c r="AV177" s="62"/>
      <c r="AW177" s="31"/>
      <c r="AX177" s="116"/>
      <c r="AY177" s="196"/>
      <c r="AZ177" s="143"/>
      <c r="BA177" s="191"/>
      <c r="BB177" s="132"/>
      <c r="BC177" s="132"/>
      <c r="BD177" s="274"/>
      <c r="BE177" s="143"/>
      <c r="BF177" s="143"/>
      <c r="BG177" s="132"/>
      <c r="BH177" s="132"/>
      <c r="BI177" s="132"/>
      <c r="BJ177" s="143"/>
      <c r="BK177" s="143"/>
      <c r="BL177" s="143"/>
      <c r="BM177" s="132"/>
      <c r="BN177" s="132"/>
      <c r="BO177" s="132"/>
      <c r="BP177" s="143"/>
      <c r="BQ177" s="132"/>
      <c r="BR177" s="132"/>
      <c r="BS177" s="132"/>
      <c r="BT177" s="132"/>
      <c r="BU177" s="132"/>
      <c r="BV177" s="267">
        <v>376000</v>
      </c>
      <c r="BW177" s="144">
        <f>BV177*0</f>
        <v>0</v>
      </c>
      <c r="BX177" s="113">
        <f>+BV177+BW177</f>
        <v>376000</v>
      </c>
      <c r="BY177" s="264" t="s">
        <v>261</v>
      </c>
      <c r="BZ177" s="264" t="s">
        <v>260</v>
      </c>
      <c r="CA177" s="132"/>
      <c r="CB177" s="275">
        <v>865000</v>
      </c>
      <c r="CC177" s="144">
        <f t="shared" si="42"/>
        <v>164350</v>
      </c>
      <c r="CD177" s="274">
        <f t="shared" si="43"/>
        <v>1029350</v>
      </c>
      <c r="CE177" s="132"/>
      <c r="CF177" s="132"/>
      <c r="CG177" s="36"/>
      <c r="CH177" s="263">
        <v>379760</v>
      </c>
      <c r="CI177" s="265">
        <f>+CH177*0</f>
        <v>0</v>
      </c>
      <c r="CJ177" s="263">
        <f>+CH177+CI177</f>
        <v>379760</v>
      </c>
      <c r="CK177" s="264" t="s">
        <v>261</v>
      </c>
      <c r="CL177" s="264" t="s">
        <v>260</v>
      </c>
      <c r="CM177" s="132"/>
      <c r="CN177" s="274"/>
      <c r="CO177" s="144"/>
      <c r="CP177" s="274"/>
      <c r="CQ177" s="132"/>
      <c r="CR177" s="132"/>
      <c r="CS177" s="132"/>
      <c r="CT177" s="274"/>
      <c r="CU177" s="144"/>
      <c r="CV177" s="274"/>
      <c r="CW177" s="132"/>
      <c r="CX177" s="132"/>
      <c r="CY177" s="132"/>
      <c r="CZ177" s="118"/>
      <c r="DA177" s="144"/>
      <c r="DB177" s="118"/>
      <c r="DC177" s="33"/>
      <c r="DD177" s="39"/>
      <c r="DE177" s="11"/>
      <c r="DF177" s="132"/>
      <c r="DG177" s="132"/>
      <c r="DH177" s="132"/>
      <c r="DI177" s="132"/>
      <c r="DJ177" s="132"/>
      <c r="DK177" s="132"/>
      <c r="DL177" s="132"/>
      <c r="DM177" s="132"/>
      <c r="DN177" s="132"/>
      <c r="DO177" s="132"/>
      <c r="DP177" s="132"/>
      <c r="DQ177" s="132"/>
      <c r="DR177" s="132"/>
      <c r="DS177" s="132"/>
      <c r="DT177" s="132"/>
      <c r="DU177" s="132"/>
      <c r="DV177" s="132"/>
      <c r="DW177" s="132"/>
      <c r="DX177" s="132"/>
      <c r="DY177" s="132"/>
      <c r="DZ177" s="132"/>
      <c r="EA177" s="132"/>
      <c r="EB177" s="132"/>
      <c r="EC177" s="132"/>
      <c r="ED177" s="132"/>
      <c r="EE177" s="132"/>
      <c r="EF177" s="132"/>
      <c r="EG177" s="132"/>
      <c r="EH177" s="132"/>
      <c r="EI177" s="132"/>
      <c r="EJ177" s="132"/>
      <c r="EK177" s="132"/>
      <c r="EL177" s="132"/>
      <c r="EM177" s="132"/>
      <c r="EN177" s="132"/>
      <c r="EO177" s="132"/>
      <c r="EP177" s="132"/>
      <c r="EQ177" s="132"/>
      <c r="ER177" s="132"/>
      <c r="ES177" s="132"/>
      <c r="ET177" s="11"/>
      <c r="EU177" s="11"/>
      <c r="EV177" s="11"/>
      <c r="EW177" s="11"/>
      <c r="EX177" s="11"/>
      <c r="EY177" s="11"/>
      <c r="EZ177" s="11"/>
      <c r="FA177" s="11"/>
      <c r="FB177" s="11"/>
      <c r="FC177" s="11"/>
      <c r="FD177" s="11"/>
      <c r="FE177" s="11"/>
      <c r="FF177" s="11"/>
      <c r="FG177" s="11"/>
      <c r="FH177" s="39">
        <f t="shared" si="37"/>
        <v>2464838</v>
      </c>
      <c r="FI177" s="33">
        <f t="shared" si="38"/>
        <v>4</v>
      </c>
      <c r="FJ177" s="84">
        <f t="shared" si="39"/>
        <v>616209.5</v>
      </c>
    </row>
    <row r="178" spans="1:166" ht="54" customHeight="1" x14ac:dyDescent="0.25">
      <c r="A178" s="79" t="e">
        <f>#REF!</f>
        <v>#REF!</v>
      </c>
      <c r="B178" s="75" t="e">
        <f>#REF!</f>
        <v>#REF!</v>
      </c>
      <c r="C178" s="75" t="e">
        <f>#REF!</f>
        <v>#REF!</v>
      </c>
      <c r="D178" s="75" t="e">
        <f>#REF!</f>
        <v>#REF!</v>
      </c>
      <c r="E178" s="30">
        <v>1</v>
      </c>
      <c r="F178" s="238">
        <v>0</v>
      </c>
      <c r="G178" s="241">
        <v>0</v>
      </c>
      <c r="H178" s="249">
        <v>0</v>
      </c>
      <c r="I178" s="249">
        <v>0</v>
      </c>
      <c r="J178" s="249">
        <v>0</v>
      </c>
      <c r="K178" s="249">
        <v>0</v>
      </c>
      <c r="L178" s="274"/>
      <c r="M178" s="274"/>
      <c r="N178" s="245"/>
      <c r="O178" s="113"/>
      <c r="P178" s="113"/>
      <c r="Q178" s="131"/>
      <c r="R178" s="131"/>
      <c r="S178" s="64"/>
      <c r="T178" s="113"/>
      <c r="U178" s="113"/>
      <c r="V178" s="113"/>
      <c r="W178" s="131"/>
      <c r="X178" s="131"/>
      <c r="Y178" s="11"/>
      <c r="Z178" s="113"/>
      <c r="AA178" s="113"/>
      <c r="AB178" s="113"/>
      <c r="AC178" s="52"/>
      <c r="AD178" s="52"/>
      <c r="AE178" s="11"/>
      <c r="AF178" s="113"/>
      <c r="AG178" s="144"/>
      <c r="AH178" s="113"/>
      <c r="AI178" s="11"/>
      <c r="AJ178" s="11"/>
      <c r="AK178" s="39"/>
      <c r="AL178" s="113"/>
      <c r="AM178" s="113"/>
      <c r="AN178" s="119"/>
      <c r="AO178" s="76"/>
      <c r="AP178" s="39"/>
      <c r="AQ178" s="39"/>
      <c r="AR178" s="275"/>
      <c r="AS178" s="155"/>
      <c r="AT178" s="143"/>
      <c r="AU178" s="62"/>
      <c r="AV178" s="62"/>
      <c r="AW178" s="31"/>
      <c r="AX178" s="116"/>
      <c r="AY178" s="196"/>
      <c r="AZ178" s="143"/>
      <c r="BA178" s="191"/>
      <c r="BB178" s="132"/>
      <c r="BC178" s="132"/>
      <c r="BD178" s="275"/>
      <c r="BE178" s="143"/>
      <c r="BF178" s="143"/>
      <c r="BG178" s="132"/>
      <c r="BH178" s="132"/>
      <c r="BI178" s="132"/>
      <c r="BJ178" s="143"/>
      <c r="BK178" s="143"/>
      <c r="BL178" s="143"/>
      <c r="BM178" s="132"/>
      <c r="BN178" s="132"/>
      <c r="BO178" s="132"/>
      <c r="BP178" s="143"/>
      <c r="BQ178" s="132"/>
      <c r="BR178" s="132"/>
      <c r="BS178" s="132"/>
      <c r="BT178" s="132"/>
      <c r="BU178" s="132"/>
      <c r="BV178" s="211"/>
      <c r="BW178" s="144"/>
      <c r="BX178" s="113"/>
      <c r="BY178" s="273"/>
      <c r="BZ178" s="273"/>
      <c r="CA178" s="132"/>
      <c r="CB178" s="275">
        <v>865000</v>
      </c>
      <c r="CC178" s="144">
        <f t="shared" si="42"/>
        <v>164350</v>
      </c>
      <c r="CD178" s="274">
        <f t="shared" si="43"/>
        <v>1029350</v>
      </c>
      <c r="CE178" s="132"/>
      <c r="CF178" s="132"/>
      <c r="CG178" s="36"/>
      <c r="CH178" s="210"/>
      <c r="CI178" s="219"/>
      <c r="CJ178" s="210"/>
      <c r="CK178" s="273"/>
      <c r="CL178" s="273"/>
      <c r="CM178" s="132"/>
      <c r="CN178" s="275"/>
      <c r="CO178" s="143"/>
      <c r="CP178" s="275"/>
      <c r="CQ178" s="132"/>
      <c r="CR178" s="132"/>
      <c r="CS178" s="132"/>
      <c r="CT178" s="275"/>
      <c r="CU178" s="143"/>
      <c r="CV178" s="275"/>
      <c r="CW178" s="132"/>
      <c r="CX178" s="132"/>
      <c r="CY178" s="132"/>
      <c r="CZ178" s="113"/>
      <c r="DA178" s="143"/>
      <c r="DB178" s="113"/>
      <c r="DC178" s="33"/>
      <c r="DD178" s="39"/>
      <c r="DE178" s="11"/>
      <c r="DF178" s="132"/>
      <c r="DG178" s="132"/>
      <c r="DH178" s="132"/>
      <c r="DI178" s="132"/>
      <c r="DJ178" s="132"/>
      <c r="DK178" s="132"/>
      <c r="DL178" s="132"/>
      <c r="DM178" s="132"/>
      <c r="DN178" s="132"/>
      <c r="DO178" s="132"/>
      <c r="DP178" s="132"/>
      <c r="DQ178" s="132"/>
      <c r="DR178" s="132"/>
      <c r="DS178" s="132"/>
      <c r="DT178" s="132"/>
      <c r="DU178" s="132"/>
      <c r="DV178" s="132"/>
      <c r="DW178" s="132"/>
      <c r="DX178" s="132"/>
      <c r="DY178" s="132"/>
      <c r="DZ178" s="132"/>
      <c r="EA178" s="132"/>
      <c r="EB178" s="132"/>
      <c r="EC178" s="132"/>
      <c r="ED178" s="132"/>
      <c r="EE178" s="132"/>
      <c r="EF178" s="132"/>
      <c r="EG178" s="132"/>
      <c r="EH178" s="132"/>
      <c r="EI178" s="132"/>
      <c r="EJ178" s="132"/>
      <c r="EK178" s="132"/>
      <c r="EL178" s="132"/>
      <c r="EM178" s="132"/>
      <c r="EN178" s="132"/>
      <c r="EO178" s="132"/>
      <c r="EP178" s="132"/>
      <c r="EQ178" s="132"/>
      <c r="ER178" s="132"/>
      <c r="ES178" s="132"/>
      <c r="ET178" s="11"/>
      <c r="EU178" s="11"/>
      <c r="EV178" s="11"/>
      <c r="EW178" s="11"/>
      <c r="EX178" s="11"/>
      <c r="EY178" s="11"/>
      <c r="EZ178" s="11"/>
      <c r="FA178" s="11"/>
      <c r="FB178" s="11"/>
      <c r="FC178" s="11"/>
      <c r="FD178" s="11"/>
      <c r="FE178" s="11"/>
      <c r="FF178" s="11"/>
      <c r="FG178" s="11"/>
      <c r="FH178" s="39">
        <f t="shared" si="37"/>
        <v>1029350</v>
      </c>
      <c r="FI178" s="33">
        <f t="shared" si="38"/>
        <v>1</v>
      </c>
      <c r="FJ178" s="84">
        <f t="shared" si="39"/>
        <v>1029350</v>
      </c>
    </row>
    <row r="179" spans="1:166" ht="54" customHeight="1" x14ac:dyDescent="0.25">
      <c r="A179" s="79" t="e">
        <f>#REF!</f>
        <v>#REF!</v>
      </c>
      <c r="B179" s="75" t="e">
        <f>#REF!</f>
        <v>#REF!</v>
      </c>
      <c r="C179" s="75" t="e">
        <f>#REF!</f>
        <v>#REF!</v>
      </c>
      <c r="D179" s="75" t="e">
        <f>#REF!</f>
        <v>#REF!</v>
      </c>
      <c r="E179" s="30">
        <v>1</v>
      </c>
      <c r="F179" s="238">
        <v>0</v>
      </c>
      <c r="G179" s="241">
        <v>0</v>
      </c>
      <c r="H179" s="249">
        <v>0</v>
      </c>
      <c r="I179" s="249">
        <v>0</v>
      </c>
      <c r="J179" s="249">
        <v>0</v>
      </c>
      <c r="K179" s="249">
        <v>0</v>
      </c>
      <c r="L179" s="274"/>
      <c r="M179" s="274"/>
      <c r="N179" s="247">
        <v>571200</v>
      </c>
      <c r="O179" s="113">
        <f>+N179*0.19</f>
        <v>108528</v>
      </c>
      <c r="P179" s="113">
        <f>+O179+N179</f>
        <v>679728</v>
      </c>
      <c r="Q179" s="36" t="s">
        <v>258</v>
      </c>
      <c r="R179" s="132" t="s">
        <v>200</v>
      </c>
      <c r="S179" s="64" t="s">
        <v>216</v>
      </c>
      <c r="T179" s="113"/>
      <c r="U179" s="113"/>
      <c r="V179" s="113"/>
      <c r="W179" s="131"/>
      <c r="X179" s="131"/>
      <c r="Y179" s="11"/>
      <c r="Z179" s="113"/>
      <c r="AA179" s="113"/>
      <c r="AB179" s="113"/>
      <c r="AC179" s="52"/>
      <c r="AD179" s="52"/>
      <c r="AE179" s="11"/>
      <c r="AF179" s="118"/>
      <c r="AG179" s="144"/>
      <c r="AH179" s="113"/>
      <c r="AI179" s="11"/>
      <c r="AJ179" s="11"/>
      <c r="AK179" s="39"/>
      <c r="AL179" s="113"/>
      <c r="AM179" s="113"/>
      <c r="AN179" s="119"/>
      <c r="AO179" s="76"/>
      <c r="AP179" s="39"/>
      <c r="AQ179" s="39"/>
      <c r="AR179" s="275"/>
      <c r="AS179" s="121"/>
      <c r="AT179" s="143"/>
      <c r="AU179" s="62"/>
      <c r="AV179" s="62"/>
      <c r="AW179" s="31"/>
      <c r="AX179" s="116"/>
      <c r="AY179" s="196"/>
      <c r="AZ179" s="143"/>
      <c r="BA179" s="191"/>
      <c r="BB179" s="132"/>
      <c r="BC179" s="132"/>
      <c r="BD179" s="274"/>
      <c r="BE179" s="143"/>
      <c r="BF179" s="143"/>
      <c r="BG179" s="132"/>
      <c r="BH179" s="132"/>
      <c r="BI179" s="132"/>
      <c r="BJ179" s="143"/>
      <c r="BK179" s="143"/>
      <c r="BL179" s="143"/>
      <c r="BM179" s="132"/>
      <c r="BN179" s="132"/>
      <c r="BO179" s="132"/>
      <c r="BP179" s="143"/>
      <c r="BQ179" s="132"/>
      <c r="BR179" s="132"/>
      <c r="BS179" s="132"/>
      <c r="BT179" s="132"/>
      <c r="BU179" s="132"/>
      <c r="BV179" s="267"/>
      <c r="BW179" s="144"/>
      <c r="BX179" s="113"/>
      <c r="BY179" s="264"/>
      <c r="BZ179" s="264"/>
      <c r="CA179" s="132"/>
      <c r="CB179" s="275">
        <v>865000</v>
      </c>
      <c r="CC179" s="144">
        <f t="shared" si="42"/>
        <v>164350</v>
      </c>
      <c r="CD179" s="274">
        <f t="shared" si="43"/>
        <v>1029350</v>
      </c>
      <c r="CE179" s="132"/>
      <c r="CF179" s="132"/>
      <c r="CG179" s="36"/>
      <c r="CH179" s="263"/>
      <c r="CI179" s="265"/>
      <c r="CJ179" s="263"/>
      <c r="CK179" s="264"/>
      <c r="CL179" s="264"/>
      <c r="CM179" s="132"/>
      <c r="CN179" s="274"/>
      <c r="CO179" s="144"/>
      <c r="CP179" s="274"/>
      <c r="CQ179" s="132"/>
      <c r="CR179" s="132"/>
      <c r="CS179" s="132"/>
      <c r="CT179" s="274"/>
      <c r="CU179" s="144"/>
      <c r="CV179" s="274"/>
      <c r="CW179" s="132"/>
      <c r="CX179" s="132"/>
      <c r="CY179" s="132"/>
      <c r="CZ179" s="118"/>
      <c r="DA179" s="144"/>
      <c r="DB179" s="118"/>
      <c r="DC179" s="33"/>
      <c r="DD179" s="39"/>
      <c r="DE179" s="11"/>
      <c r="DF179" s="132"/>
      <c r="DG179" s="132"/>
      <c r="DH179" s="132"/>
      <c r="DI179" s="132"/>
      <c r="DJ179" s="132"/>
      <c r="DK179" s="132"/>
      <c r="DL179" s="132"/>
      <c r="DM179" s="132"/>
      <c r="DN179" s="132"/>
      <c r="DO179" s="132"/>
      <c r="DP179" s="132"/>
      <c r="DQ179" s="132"/>
      <c r="DR179" s="132"/>
      <c r="DS179" s="132"/>
      <c r="DT179" s="132"/>
      <c r="DU179" s="132"/>
      <c r="DV179" s="132"/>
      <c r="DW179" s="132"/>
      <c r="DX179" s="132"/>
      <c r="DY179" s="132"/>
      <c r="DZ179" s="132"/>
      <c r="EA179" s="132"/>
      <c r="EB179" s="132"/>
      <c r="EC179" s="132"/>
      <c r="ED179" s="132"/>
      <c r="EE179" s="132"/>
      <c r="EF179" s="132"/>
      <c r="EG179" s="132"/>
      <c r="EH179" s="132"/>
      <c r="EI179" s="132"/>
      <c r="EJ179" s="132"/>
      <c r="EK179" s="132"/>
      <c r="EL179" s="132"/>
      <c r="EM179" s="132"/>
      <c r="EN179" s="132"/>
      <c r="EO179" s="132"/>
      <c r="EP179" s="132"/>
      <c r="EQ179" s="132"/>
      <c r="ER179" s="132"/>
      <c r="ES179" s="132"/>
      <c r="ET179" s="11"/>
      <c r="EU179" s="11"/>
      <c r="EV179" s="11"/>
      <c r="EW179" s="11"/>
      <c r="EX179" s="11"/>
      <c r="EY179" s="11"/>
      <c r="EZ179" s="11"/>
      <c r="FA179" s="11"/>
      <c r="FB179" s="11"/>
      <c r="FC179" s="11"/>
      <c r="FD179" s="11"/>
      <c r="FE179" s="11"/>
      <c r="FF179" s="11"/>
      <c r="FG179" s="11"/>
      <c r="FH179" s="39">
        <f t="shared" si="37"/>
        <v>1709078</v>
      </c>
      <c r="FI179" s="33">
        <f t="shared" si="38"/>
        <v>2</v>
      </c>
      <c r="FJ179" s="84">
        <f t="shared" si="39"/>
        <v>854539</v>
      </c>
    </row>
    <row r="180" spans="1:166" ht="54" customHeight="1" x14ac:dyDescent="0.25">
      <c r="A180" s="79" t="e">
        <f>#REF!</f>
        <v>#REF!</v>
      </c>
      <c r="B180" s="75" t="e">
        <f>#REF!</f>
        <v>#REF!</v>
      </c>
      <c r="C180" s="75" t="e">
        <f>#REF!</f>
        <v>#REF!</v>
      </c>
      <c r="D180" s="75" t="e">
        <f>#REF!</f>
        <v>#REF!</v>
      </c>
      <c r="E180" s="30">
        <v>1</v>
      </c>
      <c r="F180" s="238">
        <v>0</v>
      </c>
      <c r="G180" s="241">
        <v>0</v>
      </c>
      <c r="H180" s="249">
        <v>1735912.5</v>
      </c>
      <c r="I180" s="249">
        <v>0</v>
      </c>
      <c r="J180" s="249">
        <v>1725500</v>
      </c>
      <c r="K180" s="249">
        <v>1725500</v>
      </c>
      <c r="L180" s="274">
        <f>AVERAGE(H180,J180)</f>
        <v>1730706.25</v>
      </c>
      <c r="M180" s="274">
        <f>K180*E1</f>
        <v>1777265</v>
      </c>
      <c r="N180" s="247">
        <v>1337300</v>
      </c>
      <c r="O180" s="113">
        <f>+N180*0.19</f>
        <v>254087</v>
      </c>
      <c r="P180" s="113">
        <f>+O180+N180</f>
        <v>1591387</v>
      </c>
      <c r="Q180" s="36" t="s">
        <v>258</v>
      </c>
      <c r="R180" s="132" t="s">
        <v>200</v>
      </c>
      <c r="S180" s="64" t="s">
        <v>216</v>
      </c>
      <c r="T180" s="113"/>
      <c r="U180" s="113"/>
      <c r="V180" s="113"/>
      <c r="W180" s="131"/>
      <c r="X180" s="131"/>
      <c r="Y180" s="11"/>
      <c r="Z180" s="113"/>
      <c r="AA180" s="113"/>
      <c r="AB180" s="113"/>
      <c r="AC180" s="52"/>
      <c r="AD180" s="52"/>
      <c r="AE180" s="11"/>
      <c r="AF180" s="118"/>
      <c r="AG180" s="144"/>
      <c r="AH180" s="113"/>
      <c r="AI180" s="11"/>
      <c r="AJ180" s="11"/>
      <c r="AK180" s="39"/>
      <c r="AL180" s="113"/>
      <c r="AM180" s="113"/>
      <c r="AN180" s="119"/>
      <c r="AO180" s="76"/>
      <c r="AP180" s="39"/>
      <c r="AQ180" s="39"/>
      <c r="AR180" s="275"/>
      <c r="AS180" s="155"/>
      <c r="AT180" s="143"/>
      <c r="AU180" s="62"/>
      <c r="AV180" s="62"/>
      <c r="AW180" s="31"/>
      <c r="AX180" s="116"/>
      <c r="AY180" s="196"/>
      <c r="AZ180" s="143"/>
      <c r="BA180" s="191"/>
      <c r="BB180" s="132"/>
      <c r="BC180" s="132"/>
      <c r="BD180" s="274"/>
      <c r="BE180" s="274"/>
      <c r="BF180" s="274"/>
      <c r="BG180" s="274"/>
      <c r="BH180" s="132"/>
      <c r="BI180" s="132"/>
      <c r="BJ180" s="143"/>
      <c r="BK180" s="143"/>
      <c r="BL180" s="143"/>
      <c r="BM180" s="132"/>
      <c r="BN180" s="132"/>
      <c r="BO180" s="132"/>
      <c r="BP180" s="143"/>
      <c r="BQ180" s="132"/>
      <c r="BR180" s="132"/>
      <c r="BS180" s="132"/>
      <c r="BT180" s="132"/>
      <c r="BU180" s="132"/>
      <c r="BV180" s="267">
        <v>1502400</v>
      </c>
      <c r="BW180" s="144">
        <f>BV180*0</f>
        <v>0</v>
      </c>
      <c r="BX180" s="113">
        <f>+BV180+BW180</f>
        <v>1502400</v>
      </c>
      <c r="BY180" s="264" t="s">
        <v>259</v>
      </c>
      <c r="BZ180" s="264" t="s">
        <v>260</v>
      </c>
      <c r="CA180" s="132"/>
      <c r="CB180" s="275">
        <v>865000</v>
      </c>
      <c r="CC180" s="144">
        <f t="shared" si="42"/>
        <v>164350</v>
      </c>
      <c r="CD180" s="274">
        <f t="shared" si="43"/>
        <v>1029350</v>
      </c>
      <c r="CE180" s="132"/>
      <c r="CF180" s="132"/>
      <c r="CG180" s="36"/>
      <c r="CH180" s="263">
        <v>1577520</v>
      </c>
      <c r="CI180" s="265">
        <f>+CH180*0</f>
        <v>0</v>
      </c>
      <c r="CJ180" s="263">
        <f>+CH180+CI180</f>
        <v>1577520</v>
      </c>
      <c r="CK180" s="264" t="s">
        <v>259</v>
      </c>
      <c r="CL180" s="264" t="s">
        <v>260</v>
      </c>
      <c r="CM180" s="132"/>
      <c r="CN180" s="274"/>
      <c r="CO180" s="144"/>
      <c r="CP180" s="274"/>
      <c r="CQ180" s="132"/>
      <c r="CR180" s="132"/>
      <c r="CS180" s="132"/>
      <c r="CT180" s="274"/>
      <c r="CU180" s="144"/>
      <c r="CV180" s="274"/>
      <c r="CW180" s="132"/>
      <c r="CX180" s="132"/>
      <c r="CY180" s="132"/>
      <c r="CZ180" s="118"/>
      <c r="DA180" s="144"/>
      <c r="DB180" s="118"/>
      <c r="DC180" s="33"/>
      <c r="DD180" s="39"/>
      <c r="DE180" s="11"/>
      <c r="DF180" s="132"/>
      <c r="DG180" s="132"/>
      <c r="DH180" s="132"/>
      <c r="DI180" s="132"/>
      <c r="DJ180" s="132"/>
      <c r="DK180" s="132"/>
      <c r="DL180" s="132"/>
      <c r="DM180" s="132"/>
      <c r="DN180" s="132"/>
      <c r="DO180" s="132"/>
      <c r="DP180" s="132"/>
      <c r="DQ180" s="132"/>
      <c r="DR180" s="132"/>
      <c r="DS180" s="132"/>
      <c r="DT180" s="132"/>
      <c r="DU180" s="132"/>
      <c r="DV180" s="132"/>
      <c r="DW180" s="132"/>
      <c r="DX180" s="132"/>
      <c r="DY180" s="132"/>
      <c r="DZ180" s="132"/>
      <c r="EA180" s="132"/>
      <c r="EB180" s="132"/>
      <c r="EC180" s="132"/>
      <c r="ED180" s="132"/>
      <c r="EE180" s="132"/>
      <c r="EF180" s="132"/>
      <c r="EG180" s="132"/>
      <c r="EH180" s="132"/>
      <c r="EI180" s="132"/>
      <c r="EJ180" s="132"/>
      <c r="EK180" s="132"/>
      <c r="EL180" s="132"/>
      <c r="EM180" s="132"/>
      <c r="EN180" s="132"/>
      <c r="EO180" s="132"/>
      <c r="EP180" s="132"/>
      <c r="EQ180" s="132"/>
      <c r="ER180" s="132"/>
      <c r="ES180" s="132"/>
      <c r="ET180" s="11"/>
      <c r="EU180" s="11"/>
      <c r="EV180" s="11"/>
      <c r="EW180" s="11"/>
      <c r="EX180" s="11"/>
      <c r="EY180" s="11"/>
      <c r="EZ180" s="11"/>
      <c r="FA180" s="11"/>
      <c r="FB180" s="11"/>
      <c r="FC180" s="11"/>
      <c r="FD180" s="11"/>
      <c r="FE180" s="11"/>
      <c r="FF180" s="11"/>
      <c r="FG180" s="11"/>
      <c r="FH180" s="39">
        <f t="shared" si="37"/>
        <v>7477922</v>
      </c>
      <c r="FI180" s="33">
        <f t="shared" si="38"/>
        <v>5</v>
      </c>
      <c r="FJ180" s="84">
        <f t="shared" si="39"/>
        <v>1495584.4</v>
      </c>
    </row>
    <row r="181" spans="1:166" ht="48.75" customHeight="1" x14ac:dyDescent="0.25">
      <c r="A181" s="79" t="e">
        <f>#REF!</f>
        <v>#REF!</v>
      </c>
      <c r="B181" s="75" t="e">
        <f>#REF!</f>
        <v>#REF!</v>
      </c>
      <c r="C181" s="75" t="e">
        <f>#REF!</f>
        <v>#REF!</v>
      </c>
      <c r="D181" s="75" t="e">
        <f>#REF!</f>
        <v>#REF!</v>
      </c>
      <c r="E181" s="30">
        <v>1</v>
      </c>
      <c r="F181" s="238">
        <v>0</v>
      </c>
      <c r="G181" s="241">
        <v>0</v>
      </c>
      <c r="H181" s="249">
        <v>0</v>
      </c>
      <c r="I181" s="249">
        <v>0</v>
      </c>
      <c r="J181" s="249">
        <v>0</v>
      </c>
      <c r="K181" s="249">
        <v>0</v>
      </c>
      <c r="L181" s="274"/>
      <c r="M181" s="274"/>
      <c r="N181" s="245"/>
      <c r="O181" s="113"/>
      <c r="P181" s="113"/>
      <c r="Q181" s="131"/>
      <c r="R181" s="131"/>
      <c r="S181" s="64"/>
      <c r="T181" s="113"/>
      <c r="U181" s="113"/>
      <c r="V181" s="113"/>
      <c r="W181" s="131"/>
      <c r="X181" s="131"/>
      <c r="Y181" s="11"/>
      <c r="Z181" s="113"/>
      <c r="AA181" s="113"/>
      <c r="AB181" s="113"/>
      <c r="AC181" s="52"/>
      <c r="AD181" s="52"/>
      <c r="AE181" s="11"/>
      <c r="AF181" s="118"/>
      <c r="AG181" s="144"/>
      <c r="AH181" s="113"/>
      <c r="AI181" s="11"/>
      <c r="AJ181" s="11"/>
      <c r="AK181" s="39"/>
      <c r="AL181" s="113"/>
      <c r="AM181" s="113"/>
      <c r="AN181" s="119"/>
      <c r="AO181" s="76"/>
      <c r="AP181" s="39"/>
      <c r="AQ181" s="39"/>
      <c r="AR181" s="275"/>
      <c r="AS181" s="155"/>
      <c r="AT181" s="143"/>
      <c r="AU181" s="62"/>
      <c r="AV181" s="62"/>
      <c r="AW181" s="31"/>
      <c r="AX181" s="116"/>
      <c r="AY181" s="196"/>
      <c r="AZ181" s="143"/>
      <c r="BA181" s="191"/>
      <c r="BB181" s="132"/>
      <c r="BC181" s="132"/>
      <c r="BD181" s="274"/>
      <c r="BE181" s="143"/>
      <c r="BF181" s="143"/>
      <c r="BG181" s="132"/>
      <c r="BH181" s="132"/>
      <c r="BI181" s="132"/>
      <c r="BJ181" s="143"/>
      <c r="BK181" s="143"/>
      <c r="BL181" s="143"/>
      <c r="BM181" s="132"/>
      <c r="BN181" s="132"/>
      <c r="BO181" s="132"/>
      <c r="BP181" s="143"/>
      <c r="BQ181" s="132"/>
      <c r="BR181" s="132"/>
      <c r="BS181" s="132"/>
      <c r="BT181" s="132"/>
      <c r="BU181" s="132"/>
      <c r="BV181" s="211"/>
      <c r="BW181" s="144"/>
      <c r="BX181" s="113"/>
      <c r="BY181" s="273"/>
      <c r="BZ181" s="273"/>
      <c r="CA181" s="132"/>
      <c r="CB181" s="275">
        <v>865000</v>
      </c>
      <c r="CC181" s="144">
        <f t="shared" si="42"/>
        <v>164350</v>
      </c>
      <c r="CD181" s="274">
        <f t="shared" si="43"/>
        <v>1029350</v>
      </c>
      <c r="CE181" s="132"/>
      <c r="CF181" s="132"/>
      <c r="CG181" s="36"/>
      <c r="CH181" s="210"/>
      <c r="CI181" s="219"/>
      <c r="CJ181" s="210"/>
      <c r="CK181" s="273"/>
      <c r="CL181" s="273"/>
      <c r="CM181" s="132"/>
      <c r="CN181" s="274"/>
      <c r="CO181" s="144"/>
      <c r="CP181" s="274"/>
      <c r="CQ181" s="132"/>
      <c r="CR181" s="132"/>
      <c r="CS181" s="132"/>
      <c r="CT181" s="274"/>
      <c r="CU181" s="144"/>
      <c r="CV181" s="274"/>
      <c r="CW181" s="132"/>
      <c r="CX181" s="132"/>
      <c r="CY181" s="132"/>
      <c r="CZ181" s="118"/>
      <c r="DA181" s="144"/>
      <c r="DB181" s="118"/>
      <c r="DC181" s="33"/>
      <c r="DD181" s="39"/>
      <c r="DE181" s="11"/>
      <c r="DF181" s="132"/>
      <c r="DG181" s="132"/>
      <c r="DH181" s="132"/>
      <c r="DI181" s="132"/>
      <c r="DJ181" s="132"/>
      <c r="DK181" s="132"/>
      <c r="DL181" s="132"/>
      <c r="DM181" s="132"/>
      <c r="DN181" s="132"/>
      <c r="DO181" s="132"/>
      <c r="DP181" s="132"/>
      <c r="DQ181" s="132"/>
      <c r="DR181" s="132"/>
      <c r="DS181" s="132"/>
      <c r="DT181" s="132"/>
      <c r="DU181" s="132"/>
      <c r="DV181" s="132"/>
      <c r="DW181" s="132"/>
      <c r="DX181" s="132"/>
      <c r="DY181" s="132"/>
      <c r="DZ181" s="132"/>
      <c r="EA181" s="132"/>
      <c r="EB181" s="132"/>
      <c r="EC181" s="132"/>
      <c r="ED181" s="132"/>
      <c r="EE181" s="132"/>
      <c r="EF181" s="132"/>
      <c r="EG181" s="132"/>
      <c r="EH181" s="132"/>
      <c r="EI181" s="132"/>
      <c r="EJ181" s="132"/>
      <c r="EK181" s="132"/>
      <c r="EL181" s="132"/>
      <c r="EM181" s="132"/>
      <c r="EN181" s="132"/>
      <c r="EO181" s="132"/>
      <c r="EP181" s="132"/>
      <c r="EQ181" s="132"/>
      <c r="ER181" s="132"/>
      <c r="ES181" s="132"/>
      <c r="ET181" s="11"/>
      <c r="EU181" s="11"/>
      <c r="EV181" s="11"/>
      <c r="EW181" s="11"/>
      <c r="EX181" s="11"/>
      <c r="EY181" s="11"/>
      <c r="EZ181" s="11"/>
      <c r="FA181" s="11"/>
      <c r="FB181" s="11"/>
      <c r="FC181" s="11"/>
      <c r="FD181" s="11"/>
      <c r="FE181" s="11"/>
      <c r="FF181" s="11"/>
      <c r="FG181" s="11"/>
      <c r="FH181" s="39">
        <f t="shared" si="37"/>
        <v>1029350</v>
      </c>
      <c r="FI181" s="33">
        <f t="shared" si="38"/>
        <v>1</v>
      </c>
      <c r="FJ181" s="84">
        <f t="shared" si="39"/>
        <v>1029350</v>
      </c>
    </row>
    <row r="182" spans="1:166" ht="27" x14ac:dyDescent="0.25">
      <c r="A182" s="79" t="e">
        <f>#REF!</f>
        <v>#REF!</v>
      </c>
      <c r="B182" s="75" t="e">
        <f>#REF!</f>
        <v>#REF!</v>
      </c>
      <c r="C182" s="75" t="e">
        <f>#REF!</f>
        <v>#REF!</v>
      </c>
      <c r="D182" s="75" t="e">
        <f>#REF!</f>
        <v>#REF!</v>
      </c>
      <c r="E182" s="30">
        <v>1</v>
      </c>
      <c r="F182" s="238">
        <v>0</v>
      </c>
      <c r="G182" s="241">
        <v>0</v>
      </c>
      <c r="H182" s="249">
        <v>0</v>
      </c>
      <c r="I182" s="249">
        <v>0</v>
      </c>
      <c r="J182" s="249">
        <v>0</v>
      </c>
      <c r="K182" s="249">
        <v>0</v>
      </c>
      <c r="L182" s="274"/>
      <c r="M182" s="274"/>
      <c r="N182" s="245"/>
      <c r="O182" s="113"/>
      <c r="P182" s="113"/>
      <c r="Q182" s="131"/>
      <c r="R182" s="131"/>
      <c r="S182" s="64"/>
      <c r="T182" s="113"/>
      <c r="U182" s="113"/>
      <c r="V182" s="113"/>
      <c r="W182" s="131"/>
      <c r="X182" s="131"/>
      <c r="Y182" s="11"/>
      <c r="Z182" s="113"/>
      <c r="AA182" s="113"/>
      <c r="AB182" s="113"/>
      <c r="AC182" s="52"/>
      <c r="AD182" s="52"/>
      <c r="AE182" s="11"/>
      <c r="AF182" s="118"/>
      <c r="AG182" s="144"/>
      <c r="AH182" s="113"/>
      <c r="AI182" s="11"/>
      <c r="AJ182" s="11"/>
      <c r="AK182" s="39"/>
      <c r="AL182" s="113"/>
      <c r="AM182" s="113"/>
      <c r="AN182" s="119"/>
      <c r="AO182" s="76"/>
      <c r="AP182" s="39"/>
      <c r="AQ182" s="39"/>
      <c r="AR182" s="275"/>
      <c r="AS182" s="155"/>
      <c r="AT182" s="143"/>
      <c r="AU182" s="62"/>
      <c r="AV182" s="62"/>
      <c r="AW182" s="31"/>
      <c r="AX182" s="116"/>
      <c r="AY182" s="196"/>
      <c r="AZ182" s="143"/>
      <c r="BA182" s="191"/>
      <c r="BB182" s="132"/>
      <c r="BC182" s="132"/>
      <c r="BD182" s="274"/>
      <c r="BE182" s="143"/>
      <c r="BF182" s="143"/>
      <c r="BG182" s="132"/>
      <c r="BH182" s="132"/>
      <c r="BI182" s="132"/>
      <c r="BJ182" s="143"/>
      <c r="BK182" s="143"/>
      <c r="BL182" s="143"/>
      <c r="BM182" s="132"/>
      <c r="BN182" s="132"/>
      <c r="BO182" s="132"/>
      <c r="BP182" s="143"/>
      <c r="BQ182" s="132"/>
      <c r="BR182" s="132"/>
      <c r="BS182" s="132"/>
      <c r="BT182" s="132"/>
      <c r="BU182" s="132"/>
      <c r="BV182" s="267">
        <v>3243000</v>
      </c>
      <c r="BW182" s="144">
        <f>BV182*19%</f>
        <v>616170</v>
      </c>
      <c r="BX182" s="113">
        <f>+BV182+BW182</f>
        <v>3859170</v>
      </c>
      <c r="BY182" s="264" t="s">
        <v>262</v>
      </c>
      <c r="BZ182" s="264" t="s">
        <v>263</v>
      </c>
      <c r="CA182" s="132"/>
      <c r="CB182" s="274"/>
      <c r="CC182" s="144"/>
      <c r="CD182" s="274"/>
      <c r="CE182" s="132"/>
      <c r="CF182" s="132"/>
      <c r="CG182" s="36"/>
      <c r="CH182" s="263">
        <v>3437580</v>
      </c>
      <c r="CI182" s="265">
        <f>+CH182*0.19</f>
        <v>653140.19999999995</v>
      </c>
      <c r="CJ182" s="263">
        <f>+CH182+CI182</f>
        <v>4090720.2</v>
      </c>
      <c r="CK182" s="264" t="s">
        <v>262</v>
      </c>
      <c r="CL182" s="264" t="s">
        <v>263</v>
      </c>
      <c r="CM182" s="132"/>
      <c r="CN182" s="274"/>
      <c r="CO182" s="144"/>
      <c r="CP182" s="274"/>
      <c r="CQ182" s="132"/>
      <c r="CR182" s="132"/>
      <c r="CS182" s="132"/>
      <c r="CT182" s="274"/>
      <c r="CU182" s="144"/>
      <c r="CV182" s="274"/>
      <c r="CW182" s="132"/>
      <c r="CX182" s="132"/>
      <c r="CY182" s="132"/>
      <c r="CZ182" s="118"/>
      <c r="DA182" s="144"/>
      <c r="DB182" s="118"/>
      <c r="DC182" s="33"/>
      <c r="DD182" s="39"/>
      <c r="DE182" s="11"/>
      <c r="DF182" s="132"/>
      <c r="DG182" s="132"/>
      <c r="DH182" s="132"/>
      <c r="DI182" s="132"/>
      <c r="DJ182" s="132"/>
      <c r="DK182" s="132"/>
      <c r="DL182" s="132"/>
      <c r="DM182" s="132"/>
      <c r="DN182" s="132"/>
      <c r="DO182" s="132"/>
      <c r="DP182" s="132"/>
      <c r="DQ182" s="132"/>
      <c r="DR182" s="132"/>
      <c r="DS182" s="132"/>
      <c r="DT182" s="132"/>
      <c r="DU182" s="132"/>
      <c r="DV182" s="132"/>
      <c r="DW182" s="132"/>
      <c r="DX182" s="132"/>
      <c r="DY182" s="132"/>
      <c r="DZ182" s="132"/>
      <c r="EA182" s="132"/>
      <c r="EB182" s="132"/>
      <c r="EC182" s="132"/>
      <c r="ED182" s="132"/>
      <c r="EE182" s="132"/>
      <c r="EF182" s="132"/>
      <c r="EG182" s="132"/>
      <c r="EH182" s="132"/>
      <c r="EI182" s="132"/>
      <c r="EJ182" s="132"/>
      <c r="EK182" s="132"/>
      <c r="EL182" s="132"/>
      <c r="EM182" s="132"/>
      <c r="EN182" s="132"/>
      <c r="EO182" s="132"/>
      <c r="EP182" s="132"/>
      <c r="EQ182" s="132"/>
      <c r="ER182" s="132"/>
      <c r="ES182" s="132"/>
      <c r="ET182" s="11"/>
      <c r="EU182" s="11"/>
      <c r="EV182" s="11"/>
      <c r="EW182" s="11"/>
      <c r="EX182" s="11"/>
      <c r="EY182" s="11"/>
      <c r="EZ182" s="11"/>
      <c r="FA182" s="11"/>
      <c r="FB182" s="11"/>
      <c r="FC182" s="11"/>
      <c r="FD182" s="11"/>
      <c r="FE182" s="11"/>
      <c r="FF182" s="11"/>
      <c r="FG182" s="11"/>
      <c r="FH182" s="39">
        <f t="shared" si="37"/>
        <v>7949890.2000000002</v>
      </c>
      <c r="FI182" s="33">
        <f t="shared" si="38"/>
        <v>2</v>
      </c>
      <c r="FJ182" s="84">
        <f t="shared" si="39"/>
        <v>3974945.1</v>
      </c>
    </row>
    <row r="183" spans="1:166" ht="27" x14ac:dyDescent="0.25">
      <c r="A183" s="79" t="e">
        <f>#REF!</f>
        <v>#REF!</v>
      </c>
      <c r="B183" s="75" t="e">
        <f>#REF!</f>
        <v>#REF!</v>
      </c>
      <c r="C183" s="75" t="e">
        <f>#REF!</f>
        <v>#REF!</v>
      </c>
      <c r="D183" s="75" t="e">
        <f>#REF!</f>
        <v>#REF!</v>
      </c>
      <c r="E183" s="30">
        <v>1</v>
      </c>
      <c r="F183" s="238">
        <v>0</v>
      </c>
      <c r="G183" s="241">
        <v>0</v>
      </c>
      <c r="H183" s="249">
        <v>411383.33333333331</v>
      </c>
      <c r="I183" s="249">
        <v>0</v>
      </c>
      <c r="J183" s="249">
        <v>1254000</v>
      </c>
      <c r="K183" s="249">
        <v>1043000</v>
      </c>
      <c r="L183" s="274">
        <f>AVERAGE(H183,J183)</f>
        <v>832691.66666666663</v>
      </c>
      <c r="M183" s="274">
        <f>K183*E1</f>
        <v>1074290</v>
      </c>
      <c r="N183" s="245"/>
      <c r="O183" s="113"/>
      <c r="P183" s="113"/>
      <c r="Q183" s="131"/>
      <c r="R183" s="131"/>
      <c r="S183" s="64"/>
      <c r="T183" s="113"/>
      <c r="U183" s="117"/>
      <c r="V183" s="113"/>
      <c r="W183" s="131"/>
      <c r="X183" s="131"/>
      <c r="Y183" s="11"/>
      <c r="Z183" s="113"/>
      <c r="AA183" s="113"/>
      <c r="AB183" s="113"/>
      <c r="AC183" s="52"/>
      <c r="AD183" s="52"/>
      <c r="AE183" s="11"/>
      <c r="AF183" s="118"/>
      <c r="AG183" s="144"/>
      <c r="AH183" s="113"/>
      <c r="AI183" s="11"/>
      <c r="AJ183" s="11"/>
      <c r="AK183" s="39"/>
      <c r="AL183" s="113"/>
      <c r="AM183" s="113"/>
      <c r="AN183" s="117"/>
      <c r="AO183" s="76"/>
      <c r="AP183" s="39"/>
      <c r="AQ183" s="39"/>
      <c r="AR183" s="275"/>
      <c r="AS183" s="156"/>
      <c r="AT183" s="157"/>
      <c r="AU183" s="62"/>
      <c r="AV183" s="62"/>
      <c r="AW183" s="31"/>
      <c r="AX183" s="116"/>
      <c r="AY183" s="196"/>
      <c r="AZ183" s="143"/>
      <c r="BA183" s="191"/>
      <c r="BB183" s="132"/>
      <c r="BC183" s="132"/>
      <c r="BD183" s="274"/>
      <c r="BE183" s="143"/>
      <c r="BF183" s="143"/>
      <c r="BG183" s="132"/>
      <c r="BH183" s="132"/>
      <c r="BI183" s="132"/>
      <c r="BJ183" s="143"/>
      <c r="BK183" s="143"/>
      <c r="BL183" s="143"/>
      <c r="BM183" s="132"/>
      <c r="BN183" s="132"/>
      <c r="BO183" s="132"/>
      <c r="BP183" s="143"/>
      <c r="BQ183" s="132"/>
      <c r="BR183" s="132"/>
      <c r="BS183" s="132"/>
      <c r="BT183" s="132"/>
      <c r="BU183" s="132"/>
      <c r="BV183" s="267">
        <v>1284800</v>
      </c>
      <c r="BW183" s="144">
        <f>BV183*19%</f>
        <v>244112</v>
      </c>
      <c r="BX183" s="113">
        <f>+BV183+BW183</f>
        <v>1528912</v>
      </c>
      <c r="BY183" s="264" t="s">
        <v>110</v>
      </c>
      <c r="BZ183" s="264" t="s">
        <v>263</v>
      </c>
      <c r="CA183" s="132"/>
      <c r="CB183" s="274"/>
      <c r="CC183" s="144"/>
      <c r="CD183" s="274"/>
      <c r="CE183" s="132"/>
      <c r="CF183" s="132"/>
      <c r="CG183" s="36"/>
      <c r="CH183" s="263">
        <v>1336192</v>
      </c>
      <c r="CI183" s="265">
        <f>+CH183*0.19</f>
        <v>253876.48000000001</v>
      </c>
      <c r="CJ183" s="263">
        <f>+CH183+CI183</f>
        <v>1590068.48</v>
      </c>
      <c r="CK183" s="264" t="s">
        <v>110</v>
      </c>
      <c r="CL183" s="264" t="s">
        <v>263</v>
      </c>
      <c r="CM183" s="132"/>
      <c r="CN183" s="274"/>
      <c r="CO183" s="144"/>
      <c r="CP183" s="274"/>
      <c r="CQ183" s="132"/>
      <c r="CR183" s="132"/>
      <c r="CS183" s="132"/>
      <c r="CT183" s="274"/>
      <c r="CU183" s="144"/>
      <c r="CV183" s="274"/>
      <c r="CW183" s="132"/>
      <c r="CX183" s="132"/>
      <c r="CY183" s="132"/>
      <c r="CZ183" s="118"/>
      <c r="DA183" s="144"/>
      <c r="DB183" s="118"/>
      <c r="DC183" s="33"/>
      <c r="DD183" s="39"/>
      <c r="DE183" s="11"/>
      <c r="DF183" s="132"/>
      <c r="DG183" s="132"/>
      <c r="DH183" s="132"/>
      <c r="DI183" s="132"/>
      <c r="DJ183" s="132"/>
      <c r="DK183" s="132"/>
      <c r="DL183" s="132"/>
      <c r="DM183" s="132"/>
      <c r="DN183" s="132"/>
      <c r="DO183" s="132"/>
      <c r="DP183" s="132"/>
      <c r="DQ183" s="132"/>
      <c r="DR183" s="132"/>
      <c r="DS183" s="132"/>
      <c r="DT183" s="132"/>
      <c r="DU183" s="132"/>
      <c r="DV183" s="132"/>
      <c r="DW183" s="132"/>
      <c r="DX183" s="132"/>
      <c r="DY183" s="132"/>
      <c r="DZ183" s="132"/>
      <c r="EA183" s="132"/>
      <c r="EB183" s="132"/>
      <c r="EC183" s="132"/>
      <c r="ED183" s="132"/>
      <c r="EE183" s="132"/>
      <c r="EF183" s="132"/>
      <c r="EG183" s="132"/>
      <c r="EH183" s="132"/>
      <c r="EI183" s="132"/>
      <c r="EJ183" s="132"/>
      <c r="EK183" s="132"/>
      <c r="EL183" s="132"/>
      <c r="EM183" s="132"/>
      <c r="EN183" s="132"/>
      <c r="EO183" s="132"/>
      <c r="EP183" s="132"/>
      <c r="EQ183" s="132"/>
      <c r="ER183" s="132"/>
      <c r="ES183" s="132"/>
      <c r="ET183" s="11"/>
      <c r="EU183" s="11"/>
      <c r="EV183" s="11"/>
      <c r="EW183" s="11"/>
      <c r="EX183" s="11"/>
      <c r="EY183" s="11"/>
      <c r="EZ183" s="11"/>
      <c r="FA183" s="11"/>
      <c r="FB183" s="11"/>
      <c r="FC183" s="11"/>
      <c r="FD183" s="11"/>
      <c r="FE183" s="11"/>
      <c r="FF183" s="11"/>
      <c r="FG183" s="11"/>
      <c r="FH183" s="39">
        <f t="shared" si="37"/>
        <v>4193270.48</v>
      </c>
      <c r="FI183" s="33">
        <f t="shared" si="38"/>
        <v>3</v>
      </c>
      <c r="FJ183" s="84">
        <f t="shared" si="39"/>
        <v>1397756.8266666667</v>
      </c>
    </row>
    <row r="184" spans="1:166" ht="13.5" x14ac:dyDescent="0.25">
      <c r="A184" s="79" t="e">
        <f>#REF!</f>
        <v>#REF!</v>
      </c>
      <c r="B184" s="75" t="e">
        <f>#REF!</f>
        <v>#REF!</v>
      </c>
      <c r="C184" s="75" t="e">
        <f>#REF!</f>
        <v>#REF!</v>
      </c>
      <c r="D184" s="75" t="e">
        <f>#REF!</f>
        <v>#REF!</v>
      </c>
      <c r="E184" s="30">
        <v>1</v>
      </c>
      <c r="F184" s="238">
        <v>0</v>
      </c>
      <c r="G184" s="241">
        <v>0</v>
      </c>
      <c r="H184" s="249">
        <v>0</v>
      </c>
      <c r="I184" s="249">
        <v>0</v>
      </c>
      <c r="J184" s="249">
        <v>0</v>
      </c>
      <c r="K184" s="249">
        <v>0</v>
      </c>
      <c r="L184" s="274"/>
      <c r="M184" s="274"/>
      <c r="N184" s="245"/>
      <c r="O184" s="113"/>
      <c r="P184" s="113"/>
      <c r="Q184" s="131"/>
      <c r="R184" s="131"/>
      <c r="S184" s="64"/>
      <c r="T184" s="113"/>
      <c r="U184" s="117"/>
      <c r="V184" s="113"/>
      <c r="W184" s="131"/>
      <c r="X184" s="131"/>
      <c r="Y184" s="11"/>
      <c r="Z184" s="113"/>
      <c r="AA184" s="113"/>
      <c r="AB184" s="113"/>
      <c r="AC184" s="52"/>
      <c r="AD184" s="52"/>
      <c r="AE184" s="11"/>
      <c r="AF184" s="118">
        <v>330000</v>
      </c>
      <c r="AG184" s="144">
        <f>AF184*19%</f>
        <v>62700</v>
      </c>
      <c r="AH184" s="113">
        <f>+AF184+AG184</f>
        <v>392700</v>
      </c>
      <c r="AI184" s="11"/>
      <c r="AJ184" s="11"/>
      <c r="AK184" s="39"/>
      <c r="AL184" s="113"/>
      <c r="AM184" s="113"/>
      <c r="AN184" s="119"/>
      <c r="AO184" s="76"/>
      <c r="AP184" s="39"/>
      <c r="AQ184" s="39"/>
      <c r="AR184" s="275"/>
      <c r="AS184" s="155"/>
      <c r="AT184" s="143"/>
      <c r="AU184" s="62"/>
      <c r="AV184" s="62"/>
      <c r="AW184" s="31"/>
      <c r="AX184" s="116"/>
      <c r="AY184" s="194"/>
      <c r="AZ184" s="143"/>
      <c r="BA184" s="191"/>
      <c r="BB184" s="132"/>
      <c r="BC184" s="132"/>
      <c r="BD184" s="274"/>
      <c r="BE184" s="143"/>
      <c r="BF184" s="143"/>
      <c r="BG184" s="132"/>
      <c r="BH184" s="132"/>
      <c r="BI184" s="132"/>
      <c r="BJ184" s="143"/>
      <c r="BK184" s="143"/>
      <c r="BL184" s="143"/>
      <c r="BM184" s="132"/>
      <c r="BN184" s="132"/>
      <c r="BO184" s="132"/>
      <c r="BP184" s="143"/>
      <c r="BQ184" s="132"/>
      <c r="BR184" s="132"/>
      <c r="BS184" s="132"/>
      <c r="BT184" s="132"/>
      <c r="BU184" s="132"/>
      <c r="BV184" s="267">
        <v>751200</v>
      </c>
      <c r="BW184" s="144">
        <f>BV184*19%</f>
        <v>142728</v>
      </c>
      <c r="BX184" s="113">
        <f>+BV184+BW184</f>
        <v>893928</v>
      </c>
      <c r="BY184" s="264" t="s">
        <v>257</v>
      </c>
      <c r="BZ184" s="264" t="s">
        <v>88</v>
      </c>
      <c r="CA184" s="132"/>
      <c r="CB184" s="274"/>
      <c r="CC184" s="144"/>
      <c r="CD184" s="274"/>
      <c r="CE184" s="132"/>
      <c r="CF184" s="132"/>
      <c r="CG184" s="36"/>
      <c r="CH184" s="263">
        <v>788760</v>
      </c>
      <c r="CI184" s="265">
        <f>+CH184*0.19</f>
        <v>149864.4</v>
      </c>
      <c r="CJ184" s="263">
        <f>+CH184+CI184</f>
        <v>938624.4</v>
      </c>
      <c r="CK184" s="264" t="s">
        <v>257</v>
      </c>
      <c r="CL184" s="264" t="s">
        <v>88</v>
      </c>
      <c r="CM184" s="132"/>
      <c r="CN184" s="274"/>
      <c r="CO184" s="144"/>
      <c r="CP184" s="274"/>
      <c r="CQ184" s="132"/>
      <c r="CR184" s="132"/>
      <c r="CS184" s="132"/>
      <c r="CT184" s="274"/>
      <c r="CU184" s="144"/>
      <c r="CV184" s="274"/>
      <c r="CW184" s="132"/>
      <c r="CX184" s="132"/>
      <c r="CY184" s="132"/>
      <c r="CZ184" s="118"/>
      <c r="DA184" s="144"/>
      <c r="DB184" s="118"/>
      <c r="DC184" s="33"/>
      <c r="DD184" s="39"/>
      <c r="DE184" s="11"/>
      <c r="DF184" s="132"/>
      <c r="DG184" s="132"/>
      <c r="DH184" s="132"/>
      <c r="DI184" s="132"/>
      <c r="DJ184" s="132"/>
      <c r="DK184" s="132"/>
      <c r="DL184" s="132"/>
      <c r="DM184" s="132"/>
      <c r="DN184" s="132"/>
      <c r="DO184" s="132"/>
      <c r="DP184" s="132"/>
      <c r="DQ184" s="132"/>
      <c r="DR184" s="132"/>
      <c r="DS184" s="132"/>
      <c r="DT184" s="132"/>
      <c r="DU184" s="132"/>
      <c r="DV184" s="132"/>
      <c r="DW184" s="132"/>
      <c r="DX184" s="132"/>
      <c r="DY184" s="132"/>
      <c r="DZ184" s="132"/>
      <c r="EA184" s="132"/>
      <c r="EB184" s="132"/>
      <c r="EC184" s="132"/>
      <c r="ED184" s="132"/>
      <c r="EE184" s="132"/>
      <c r="EF184" s="132"/>
      <c r="EG184" s="132"/>
      <c r="EH184" s="132"/>
      <c r="EI184" s="132"/>
      <c r="EJ184" s="132"/>
      <c r="EK184" s="132"/>
      <c r="EL184" s="132"/>
      <c r="EM184" s="132"/>
      <c r="EN184" s="132"/>
      <c r="EO184" s="132"/>
      <c r="EP184" s="132"/>
      <c r="EQ184" s="132"/>
      <c r="ER184" s="132"/>
      <c r="ES184" s="132"/>
      <c r="ET184" s="11"/>
      <c r="EU184" s="11"/>
      <c r="EV184" s="11"/>
      <c r="EW184" s="11"/>
      <c r="EX184" s="11"/>
      <c r="EY184" s="11"/>
      <c r="EZ184" s="11"/>
      <c r="FA184" s="11"/>
      <c r="FB184" s="11"/>
      <c r="FC184" s="11"/>
      <c r="FD184" s="11"/>
      <c r="FE184" s="11"/>
      <c r="FF184" s="11"/>
      <c r="FG184" s="11"/>
      <c r="FH184" s="39">
        <f t="shared" si="37"/>
        <v>2225252.4</v>
      </c>
      <c r="FI184" s="33">
        <f t="shared" si="38"/>
        <v>3</v>
      </c>
      <c r="FJ184" s="84">
        <f t="shared" si="39"/>
        <v>741750.79999999993</v>
      </c>
    </row>
    <row r="185" spans="1:166" ht="27" x14ac:dyDescent="0.25">
      <c r="A185" s="79" t="e">
        <f>#REF!</f>
        <v>#REF!</v>
      </c>
      <c r="B185" s="75" t="e">
        <f>#REF!</f>
        <v>#REF!</v>
      </c>
      <c r="C185" s="75" t="e">
        <f>#REF!</f>
        <v>#REF!</v>
      </c>
      <c r="D185" s="75" t="e">
        <f>#REF!</f>
        <v>#REF!</v>
      </c>
      <c r="E185" s="30">
        <v>1</v>
      </c>
      <c r="F185" s="238">
        <v>0</v>
      </c>
      <c r="G185" s="241">
        <v>0</v>
      </c>
      <c r="H185" s="249">
        <v>991619.33333333337</v>
      </c>
      <c r="I185" s="249">
        <v>0</v>
      </c>
      <c r="J185" s="249">
        <v>428173.8033333334</v>
      </c>
      <c r="K185" s="249">
        <v>0</v>
      </c>
      <c r="L185" s="274">
        <f>AVERAGE(H185,J185)</f>
        <v>709896.56833333336</v>
      </c>
      <c r="M185" s="274"/>
      <c r="N185" s="245"/>
      <c r="O185" s="113"/>
      <c r="P185" s="113"/>
      <c r="Q185" s="131"/>
      <c r="R185" s="131"/>
      <c r="S185" s="64"/>
      <c r="T185" s="113"/>
      <c r="U185" s="113"/>
      <c r="V185" s="113"/>
      <c r="W185" s="131"/>
      <c r="X185" s="131"/>
      <c r="Y185" s="11"/>
      <c r="Z185" s="113"/>
      <c r="AA185" s="113"/>
      <c r="AB185" s="113"/>
      <c r="AC185" s="52"/>
      <c r="AD185" s="52"/>
      <c r="AE185" s="11"/>
      <c r="AF185" s="118"/>
      <c r="AG185" s="144"/>
      <c r="AH185" s="113"/>
      <c r="AI185" s="11"/>
      <c r="AJ185" s="11"/>
      <c r="AK185" s="39"/>
      <c r="AL185" s="113"/>
      <c r="AM185" s="113"/>
      <c r="AN185" s="117"/>
      <c r="AO185" s="76"/>
      <c r="AP185" s="39"/>
      <c r="AQ185" s="39"/>
      <c r="AR185" s="275">
        <f>282539*5</f>
        <v>1412695</v>
      </c>
      <c r="AS185" s="113">
        <f>+AR185*0.19</f>
        <v>268412.05</v>
      </c>
      <c r="AT185" s="119">
        <f>+AR185+AS185</f>
        <v>1681107.05</v>
      </c>
      <c r="AU185" s="62" t="s">
        <v>264</v>
      </c>
      <c r="AV185" s="62" t="s">
        <v>45</v>
      </c>
      <c r="AW185" s="31"/>
      <c r="AX185" s="116"/>
      <c r="AY185" s="196"/>
      <c r="AZ185" s="143"/>
      <c r="BA185" s="191"/>
      <c r="BB185" s="132"/>
      <c r="BC185" s="132"/>
      <c r="BD185" s="274"/>
      <c r="BE185" s="143"/>
      <c r="BF185" s="143"/>
      <c r="BG185" s="132"/>
      <c r="BH185" s="132"/>
      <c r="BI185" s="132"/>
      <c r="BJ185" s="143"/>
      <c r="BK185" s="143"/>
      <c r="BL185" s="143"/>
      <c r="BM185" s="132"/>
      <c r="BN185" s="132"/>
      <c r="BO185" s="132"/>
      <c r="BP185" s="143"/>
      <c r="BQ185" s="132"/>
      <c r="BR185" s="132"/>
      <c r="BS185" s="132"/>
      <c r="BT185" s="132"/>
      <c r="BU185" s="132"/>
      <c r="BV185" s="267">
        <v>3611000</v>
      </c>
      <c r="BW185" s="144">
        <f>BV185*19%</f>
        <v>686090</v>
      </c>
      <c r="BX185" s="113">
        <f>+BV185+BW185</f>
        <v>4297090</v>
      </c>
      <c r="BY185" s="264" t="s">
        <v>265</v>
      </c>
      <c r="BZ185" s="264" t="s">
        <v>237</v>
      </c>
      <c r="CA185" s="132"/>
      <c r="CB185" s="274"/>
      <c r="CC185" s="144"/>
      <c r="CD185" s="274"/>
      <c r="CE185" s="132"/>
      <c r="CF185" s="132"/>
      <c r="CG185" s="36"/>
      <c r="CH185" s="268">
        <v>3827660</v>
      </c>
      <c r="CI185" s="265">
        <f>+CH185*0.19</f>
        <v>727255.4</v>
      </c>
      <c r="CJ185" s="263">
        <f>+CH185+CI185</f>
        <v>4554915.4000000004</v>
      </c>
      <c r="CK185" s="264" t="s">
        <v>265</v>
      </c>
      <c r="CL185" s="264" t="s">
        <v>237</v>
      </c>
      <c r="CM185" s="132"/>
      <c r="CN185" s="274"/>
      <c r="CO185" s="144"/>
      <c r="CP185" s="274"/>
      <c r="CQ185" s="132"/>
      <c r="CR185" s="132"/>
      <c r="CS185" s="132"/>
      <c r="CT185" s="274"/>
      <c r="CU185" s="144"/>
      <c r="CV185" s="274"/>
      <c r="CW185" s="132"/>
      <c r="CX185" s="132"/>
      <c r="CY185" s="132"/>
      <c r="CZ185" s="118"/>
      <c r="DA185" s="144"/>
      <c r="DB185" s="118"/>
      <c r="DC185" s="33"/>
      <c r="DD185" s="39"/>
      <c r="DE185" s="11"/>
      <c r="DF185" s="132"/>
      <c r="DG185" s="132"/>
      <c r="DH185" s="132"/>
      <c r="DI185" s="132"/>
      <c r="DJ185" s="132"/>
      <c r="DK185" s="132"/>
      <c r="DL185" s="132"/>
      <c r="DM185" s="132"/>
      <c r="DN185" s="132"/>
      <c r="DO185" s="132"/>
      <c r="DP185" s="132"/>
      <c r="DQ185" s="132"/>
      <c r="DR185" s="37"/>
      <c r="DS185" s="37"/>
      <c r="DT185" s="38"/>
      <c r="DU185" s="132"/>
      <c r="DV185" s="132"/>
      <c r="DW185" s="132"/>
      <c r="DX185" s="132"/>
      <c r="DY185" s="132"/>
      <c r="DZ185" s="132"/>
      <c r="EA185" s="132"/>
      <c r="EB185" s="132"/>
      <c r="EC185" s="132"/>
      <c r="ED185" s="132"/>
      <c r="EE185" s="132"/>
      <c r="EF185" s="132"/>
      <c r="EG185" s="37"/>
      <c r="EH185" s="37"/>
      <c r="EI185" s="38"/>
      <c r="EJ185" s="132"/>
      <c r="EK185" s="132"/>
      <c r="EL185" s="132"/>
      <c r="EM185" s="132"/>
      <c r="EN185" s="132"/>
      <c r="EO185" s="132"/>
      <c r="EP185" s="132"/>
      <c r="EQ185" s="132"/>
      <c r="ER185" s="132"/>
      <c r="ES185" s="132"/>
      <c r="ET185" s="11"/>
      <c r="EU185" s="11"/>
      <c r="EV185" s="11"/>
      <c r="EW185" s="11"/>
      <c r="EX185" s="11"/>
      <c r="EY185" s="11"/>
      <c r="EZ185" s="11"/>
      <c r="FA185" s="11"/>
      <c r="FB185" s="11"/>
      <c r="FC185" s="11"/>
      <c r="FD185" s="11"/>
      <c r="FE185" s="11"/>
      <c r="FF185" s="11"/>
      <c r="FG185" s="11"/>
      <c r="FH185" s="39">
        <f t="shared" si="37"/>
        <v>10533112.449999999</v>
      </c>
      <c r="FI185" s="33">
        <f t="shared" si="38"/>
        <v>3</v>
      </c>
      <c r="FJ185" s="84">
        <f t="shared" si="39"/>
        <v>3511037.4833333329</v>
      </c>
    </row>
    <row r="186" spans="1:166" ht="27" x14ac:dyDescent="0.25">
      <c r="A186" s="79" t="e">
        <f>#REF!</f>
        <v>#REF!</v>
      </c>
      <c r="B186" s="75" t="e">
        <f>#REF!</f>
        <v>#REF!</v>
      </c>
      <c r="C186" s="75" t="e">
        <f>#REF!</f>
        <v>#REF!</v>
      </c>
      <c r="D186" s="75" t="e">
        <f>#REF!</f>
        <v>#REF!</v>
      </c>
      <c r="E186" s="30">
        <v>1</v>
      </c>
      <c r="F186" s="238">
        <v>0</v>
      </c>
      <c r="G186" s="241">
        <v>0</v>
      </c>
      <c r="H186" s="249">
        <v>0</v>
      </c>
      <c r="I186" s="249">
        <v>0</v>
      </c>
      <c r="J186" s="249">
        <v>0</v>
      </c>
      <c r="K186" s="249">
        <v>0</v>
      </c>
      <c r="L186" s="274"/>
      <c r="M186" s="274"/>
      <c r="N186" s="245"/>
      <c r="O186" s="113"/>
      <c r="P186" s="113"/>
      <c r="Q186" s="131"/>
      <c r="R186" s="131"/>
      <c r="S186" s="64"/>
      <c r="T186" s="113"/>
      <c r="U186" s="117"/>
      <c r="V186" s="113"/>
      <c r="W186" s="131"/>
      <c r="X186" s="131"/>
      <c r="Y186" s="11"/>
      <c r="Z186" s="113"/>
      <c r="AA186" s="113"/>
      <c r="AB186" s="113"/>
      <c r="AC186" s="52"/>
      <c r="AD186" s="52"/>
      <c r="AE186" s="11"/>
      <c r="AF186" s="118"/>
      <c r="AG186" s="144"/>
      <c r="AH186" s="113"/>
      <c r="AI186" s="11"/>
      <c r="AJ186" s="11"/>
      <c r="AK186" s="39"/>
      <c r="AL186" s="113"/>
      <c r="AM186" s="113"/>
      <c r="AN186" s="119"/>
      <c r="AO186" s="76"/>
      <c r="AP186" s="39"/>
      <c r="AQ186" s="39"/>
      <c r="AR186" s="275"/>
      <c r="AS186" s="155"/>
      <c r="AT186" s="157"/>
      <c r="AU186" s="62"/>
      <c r="AV186" s="62"/>
      <c r="AW186" s="31"/>
      <c r="AX186" s="116"/>
      <c r="AY186" s="196"/>
      <c r="AZ186" s="143"/>
      <c r="BA186" s="191"/>
      <c r="BB186" s="132"/>
      <c r="BC186" s="132"/>
      <c r="BD186" s="274"/>
      <c r="BE186" s="143"/>
      <c r="BF186" s="143"/>
      <c r="BG186" s="132"/>
      <c r="BH186" s="132"/>
      <c r="BI186" s="132"/>
      <c r="BJ186" s="143"/>
      <c r="BK186" s="143"/>
      <c r="BL186" s="143"/>
      <c r="BM186" s="132"/>
      <c r="BN186" s="132"/>
      <c r="BO186" s="132"/>
      <c r="BP186" s="143"/>
      <c r="BQ186" s="132"/>
      <c r="BR186" s="132"/>
      <c r="BS186" s="132"/>
      <c r="BT186" s="132"/>
      <c r="BU186" s="132"/>
      <c r="BV186" s="267">
        <v>884800</v>
      </c>
      <c r="BW186" s="144">
        <f>BV186*19%</f>
        <v>168112</v>
      </c>
      <c r="BX186" s="113">
        <f>+BV186+BW186</f>
        <v>1052912</v>
      </c>
      <c r="BY186" s="264" t="s">
        <v>62</v>
      </c>
      <c r="BZ186" s="264" t="s">
        <v>63</v>
      </c>
      <c r="CA186" s="132"/>
      <c r="CB186" s="274"/>
      <c r="CC186" s="144"/>
      <c r="CD186" s="274"/>
      <c r="CE186" s="132"/>
      <c r="CF186" s="132"/>
      <c r="CG186" s="36"/>
      <c r="CH186" s="263">
        <v>937888</v>
      </c>
      <c r="CI186" s="265">
        <f>+CH186*0.19</f>
        <v>178198.72</v>
      </c>
      <c r="CJ186" s="263">
        <f>+CH186+CI186</f>
        <v>1116086.72</v>
      </c>
      <c r="CK186" s="264" t="s">
        <v>62</v>
      </c>
      <c r="CL186" s="264" t="s">
        <v>63</v>
      </c>
      <c r="CM186" s="132"/>
      <c r="CN186" s="274"/>
      <c r="CO186" s="144"/>
      <c r="CP186" s="274"/>
      <c r="CQ186" s="132"/>
      <c r="CR186" s="132"/>
      <c r="CS186" s="132"/>
      <c r="CT186" s="144">
        <v>538000</v>
      </c>
      <c r="CU186" s="144">
        <f>CT186*0.19</f>
        <v>102220</v>
      </c>
      <c r="CV186" s="144">
        <f>CU186+CT186</f>
        <v>640220</v>
      </c>
      <c r="CW186" s="132"/>
      <c r="CX186" s="132"/>
      <c r="CY186" s="132"/>
      <c r="CZ186" s="118"/>
      <c r="DA186" s="144"/>
      <c r="DB186" s="118"/>
      <c r="DC186" s="33"/>
      <c r="DD186" s="39"/>
      <c r="DE186" s="11"/>
      <c r="DF186" s="132"/>
      <c r="DG186" s="132"/>
      <c r="DH186" s="132"/>
      <c r="DI186" s="132"/>
      <c r="DJ186" s="132"/>
      <c r="DK186" s="132"/>
      <c r="DL186" s="132"/>
      <c r="DM186" s="132"/>
      <c r="DN186" s="132"/>
      <c r="DO186" s="132"/>
      <c r="DP186" s="132"/>
      <c r="DQ186" s="132"/>
      <c r="DR186" s="132"/>
      <c r="DS186" s="132"/>
      <c r="DT186" s="132"/>
      <c r="DU186" s="132"/>
      <c r="DV186" s="132"/>
      <c r="DW186" s="132"/>
      <c r="DX186" s="132"/>
      <c r="DY186" s="132"/>
      <c r="DZ186" s="132"/>
      <c r="EA186" s="132"/>
      <c r="EB186" s="132"/>
      <c r="EC186" s="132"/>
      <c r="ED186" s="132"/>
      <c r="EE186" s="132"/>
      <c r="EF186" s="132"/>
      <c r="EG186" s="132"/>
      <c r="EH186" s="132"/>
      <c r="EI186" s="132"/>
      <c r="EJ186" s="132"/>
      <c r="EK186" s="132"/>
      <c r="EL186" s="132"/>
      <c r="EM186" s="132"/>
      <c r="EN186" s="132"/>
      <c r="EO186" s="132"/>
      <c r="EP186" s="132"/>
      <c r="EQ186" s="132"/>
      <c r="ER186" s="132"/>
      <c r="ES186" s="132"/>
      <c r="ET186" s="11"/>
      <c r="EU186" s="11"/>
      <c r="EV186" s="11"/>
      <c r="EW186" s="11"/>
      <c r="EX186" s="11"/>
      <c r="EY186" s="11"/>
      <c r="EZ186" s="11"/>
      <c r="FA186" s="11"/>
      <c r="FB186" s="11"/>
      <c r="FC186" s="11"/>
      <c r="FD186" s="11"/>
      <c r="FE186" s="11"/>
      <c r="FF186" s="11"/>
      <c r="FG186" s="11"/>
      <c r="FH186" s="39">
        <f t="shared" si="37"/>
        <v>2809218.7199999997</v>
      </c>
      <c r="FI186" s="33">
        <f t="shared" si="38"/>
        <v>3</v>
      </c>
      <c r="FJ186" s="84">
        <f t="shared" si="39"/>
        <v>936406.23999999987</v>
      </c>
    </row>
    <row r="187" spans="1:166" x14ac:dyDescent="0.25">
      <c r="A187" s="79" t="e">
        <f>#REF!</f>
        <v>#REF!</v>
      </c>
      <c r="B187" s="75" t="e">
        <f>#REF!</f>
        <v>#REF!</v>
      </c>
      <c r="C187" s="75" t="e">
        <f>#REF!</f>
        <v>#REF!</v>
      </c>
      <c r="D187" s="75" t="e">
        <f>#REF!</f>
        <v>#REF!</v>
      </c>
      <c r="E187" s="30">
        <v>1</v>
      </c>
      <c r="F187" s="238">
        <v>0</v>
      </c>
      <c r="G187" s="241">
        <v>0</v>
      </c>
      <c r="H187" s="249">
        <v>294329.40000000002</v>
      </c>
      <c r="I187" s="249">
        <v>0</v>
      </c>
      <c r="J187" s="249">
        <v>246330</v>
      </c>
      <c r="K187" s="249">
        <v>0</v>
      </c>
      <c r="L187" s="274">
        <f>AVERAGE(H187,J187)</f>
        <v>270329.7</v>
      </c>
      <c r="M187" s="274"/>
      <c r="N187" s="245"/>
      <c r="O187" s="113"/>
      <c r="P187" s="113"/>
      <c r="Q187" s="131"/>
      <c r="R187" s="131"/>
      <c r="S187" s="64"/>
      <c r="T187" s="113"/>
      <c r="U187" s="113"/>
      <c r="V187" s="113"/>
      <c r="W187" s="131"/>
      <c r="X187" s="131"/>
      <c r="Y187" s="11"/>
      <c r="Z187" s="113"/>
      <c r="AA187" s="113"/>
      <c r="AB187" s="113"/>
      <c r="AC187" s="52"/>
      <c r="AD187" s="52"/>
      <c r="AE187" s="11"/>
      <c r="AF187" s="118">
        <v>200000</v>
      </c>
      <c r="AG187" s="144">
        <f>AF187*19%</f>
        <v>38000</v>
      </c>
      <c r="AH187" s="113">
        <f>+AF187+AG187</f>
        <v>238000</v>
      </c>
      <c r="AI187" s="11"/>
      <c r="AJ187" s="11"/>
      <c r="AK187" s="39"/>
      <c r="AL187" s="113">
        <v>210000</v>
      </c>
      <c r="AM187" s="113">
        <f>+AL187*0.19</f>
        <v>39900</v>
      </c>
      <c r="AN187" s="119">
        <f>+AL187+AM187</f>
        <v>249900</v>
      </c>
      <c r="AO187" s="76" t="s">
        <v>95</v>
      </c>
      <c r="AP187" s="39" t="s">
        <v>45</v>
      </c>
      <c r="AQ187" s="39"/>
      <c r="AR187" s="275"/>
      <c r="AS187" s="156"/>
      <c r="AT187" s="157"/>
      <c r="AU187" s="62"/>
      <c r="AV187" s="62"/>
      <c r="AW187" s="31"/>
      <c r="AX187" s="116"/>
      <c r="AY187" s="196"/>
      <c r="AZ187" s="143"/>
      <c r="BA187" s="191"/>
      <c r="BB187" s="132"/>
      <c r="BC187" s="132"/>
      <c r="BD187" s="274"/>
      <c r="BE187" s="274"/>
      <c r="BF187" s="274"/>
      <c r="BG187" s="274"/>
      <c r="BH187" s="132"/>
      <c r="BI187" s="132"/>
      <c r="BJ187" s="143"/>
      <c r="BK187" s="143"/>
      <c r="BL187" s="143"/>
      <c r="BM187" s="132"/>
      <c r="BN187" s="132"/>
      <c r="BO187" s="132"/>
      <c r="BP187" s="143"/>
      <c r="BQ187" s="132"/>
      <c r="BR187" s="132"/>
      <c r="BS187" s="132"/>
      <c r="BT187" s="132"/>
      <c r="BU187" s="132"/>
      <c r="BV187" s="211"/>
      <c r="BW187" s="144"/>
      <c r="BX187" s="113"/>
      <c r="BY187" s="273"/>
      <c r="BZ187" s="273"/>
      <c r="CA187" s="132"/>
      <c r="CB187" s="274"/>
      <c r="CC187" s="144"/>
      <c r="CD187" s="274"/>
      <c r="CE187" s="132"/>
      <c r="CF187" s="132"/>
      <c r="CG187" s="36"/>
      <c r="CH187" s="210"/>
      <c r="CI187" s="219"/>
      <c r="CJ187" s="210"/>
      <c r="CK187" s="273"/>
      <c r="CL187" s="273"/>
      <c r="CM187" s="132"/>
      <c r="CN187" s="274"/>
      <c r="CO187" s="144"/>
      <c r="CP187" s="274"/>
      <c r="CQ187" s="132"/>
      <c r="CR187" s="132"/>
      <c r="CS187" s="132"/>
      <c r="CT187" s="274"/>
      <c r="CU187" s="144"/>
      <c r="CV187" s="274"/>
      <c r="CW187" s="132"/>
      <c r="CX187" s="132"/>
      <c r="CY187" s="132"/>
      <c r="CZ187" s="118"/>
      <c r="DA187" s="144"/>
      <c r="DB187" s="118"/>
      <c r="DC187" s="33"/>
      <c r="DD187" s="39"/>
      <c r="DE187" s="11"/>
      <c r="DF187" s="132"/>
      <c r="DG187" s="132"/>
      <c r="DH187" s="132"/>
      <c r="DI187" s="132"/>
      <c r="DJ187" s="132"/>
      <c r="DK187" s="132"/>
      <c r="DL187" s="132"/>
      <c r="DM187" s="132"/>
      <c r="DN187" s="132"/>
      <c r="DO187" s="132"/>
      <c r="DP187" s="132"/>
      <c r="DQ187" s="132"/>
      <c r="DR187" s="132"/>
      <c r="DS187" s="132"/>
      <c r="DT187" s="132"/>
      <c r="DU187" s="132"/>
      <c r="DV187" s="132"/>
      <c r="DW187" s="132"/>
      <c r="DX187" s="132"/>
      <c r="DY187" s="132"/>
      <c r="DZ187" s="132"/>
      <c r="EA187" s="132"/>
      <c r="EB187" s="132"/>
      <c r="EC187" s="132"/>
      <c r="ED187" s="132"/>
      <c r="EE187" s="132"/>
      <c r="EF187" s="132"/>
      <c r="EG187" s="132"/>
      <c r="EH187" s="132"/>
      <c r="EI187" s="132"/>
      <c r="EJ187" s="132"/>
      <c r="EK187" s="132"/>
      <c r="EL187" s="132"/>
      <c r="EM187" s="132"/>
      <c r="EN187" s="132"/>
      <c r="EO187" s="132"/>
      <c r="EP187" s="132"/>
      <c r="EQ187" s="132"/>
      <c r="ER187" s="132"/>
      <c r="ES187" s="132"/>
      <c r="ET187" s="11"/>
      <c r="EU187" s="11"/>
      <c r="EV187" s="11"/>
      <c r="EW187" s="11"/>
      <c r="EX187" s="11"/>
      <c r="EY187" s="11"/>
      <c r="EZ187" s="11"/>
      <c r="FA187" s="11"/>
      <c r="FB187" s="11"/>
      <c r="FC187" s="11"/>
      <c r="FD187" s="11"/>
      <c r="FE187" s="11"/>
      <c r="FF187" s="11"/>
      <c r="FG187" s="11"/>
      <c r="FH187" s="39">
        <f t="shared" si="37"/>
        <v>487900</v>
      </c>
      <c r="FI187" s="33">
        <f t="shared" si="38"/>
        <v>2</v>
      </c>
      <c r="FJ187" s="84">
        <f t="shared" si="39"/>
        <v>243950</v>
      </c>
    </row>
    <row r="188" spans="1:166" x14ac:dyDescent="0.25">
      <c r="A188" s="79" t="e">
        <f>#REF!</f>
        <v>#REF!</v>
      </c>
      <c r="B188" s="75" t="e">
        <f>#REF!</f>
        <v>#REF!</v>
      </c>
      <c r="C188" s="75" t="e">
        <f>#REF!</f>
        <v>#REF!</v>
      </c>
      <c r="D188" s="75" t="e">
        <f>#REF!</f>
        <v>#REF!</v>
      </c>
      <c r="E188" s="30">
        <v>1</v>
      </c>
      <c r="F188" s="238">
        <v>0</v>
      </c>
      <c r="G188" s="241">
        <v>0</v>
      </c>
      <c r="H188" s="249">
        <v>0</v>
      </c>
      <c r="I188" s="249">
        <v>0</v>
      </c>
      <c r="J188" s="249">
        <v>0</v>
      </c>
      <c r="K188" s="249">
        <v>0</v>
      </c>
      <c r="L188" s="274"/>
      <c r="M188" s="274"/>
      <c r="N188" s="245"/>
      <c r="O188" s="113"/>
      <c r="P188" s="113"/>
      <c r="Q188" s="131"/>
      <c r="R188" s="131"/>
      <c r="S188" s="64"/>
      <c r="T188" s="113"/>
      <c r="U188" s="117"/>
      <c r="V188" s="113"/>
      <c r="W188" s="131"/>
      <c r="X188" s="131"/>
      <c r="Y188" s="11"/>
      <c r="Z188" s="113"/>
      <c r="AA188" s="113"/>
      <c r="AB188" s="113"/>
      <c r="AC188" s="52"/>
      <c r="AD188" s="52"/>
      <c r="AE188" s="11"/>
      <c r="AF188" s="118"/>
      <c r="AG188" s="144"/>
      <c r="AH188" s="113"/>
      <c r="AI188" s="11"/>
      <c r="AJ188" s="11"/>
      <c r="AK188" s="39"/>
      <c r="AL188" s="113"/>
      <c r="AM188" s="113"/>
      <c r="AN188" s="117"/>
      <c r="AO188" s="76"/>
      <c r="AP188" s="39"/>
      <c r="AQ188" s="39"/>
      <c r="AR188" s="275"/>
      <c r="AS188" s="156"/>
      <c r="AT188" s="157"/>
      <c r="AU188" s="62"/>
      <c r="AV188" s="62"/>
      <c r="AW188" s="31"/>
      <c r="AX188" s="116"/>
      <c r="AY188" s="116"/>
      <c r="AZ188" s="143"/>
      <c r="BA188" s="191"/>
      <c r="BB188" s="132"/>
      <c r="BC188" s="132"/>
      <c r="BD188" s="274"/>
      <c r="BE188" s="143"/>
      <c r="BF188" s="143"/>
      <c r="BG188" s="132"/>
      <c r="BH188" s="132"/>
      <c r="BI188" s="132"/>
      <c r="BJ188" s="143"/>
      <c r="BK188" s="143"/>
      <c r="BL188" s="143"/>
      <c r="BM188" s="132"/>
      <c r="BN188" s="132"/>
      <c r="BO188" s="132"/>
      <c r="BP188" s="143"/>
      <c r="BQ188" s="132"/>
      <c r="BR188" s="132"/>
      <c r="BS188" s="132"/>
      <c r="BT188" s="132"/>
      <c r="BU188" s="132"/>
      <c r="BV188" s="211"/>
      <c r="BW188" s="144"/>
      <c r="BX188" s="113"/>
      <c r="BY188" s="273"/>
      <c r="BZ188" s="273"/>
      <c r="CA188" s="132"/>
      <c r="CB188" s="274"/>
      <c r="CC188" s="144"/>
      <c r="CD188" s="274"/>
      <c r="CE188" s="132"/>
      <c r="CF188" s="132"/>
      <c r="CG188" s="36"/>
      <c r="CH188" s="210"/>
      <c r="CI188" s="219"/>
      <c r="CJ188" s="210"/>
      <c r="CK188" s="273"/>
      <c r="CL188" s="273"/>
      <c r="CM188" s="132"/>
      <c r="CN188" s="274"/>
      <c r="CO188" s="144"/>
      <c r="CP188" s="274"/>
      <c r="CQ188" s="132"/>
      <c r="CR188" s="132"/>
      <c r="CS188" s="132"/>
      <c r="CT188" s="274"/>
      <c r="CU188" s="144"/>
      <c r="CV188" s="274"/>
      <c r="CW188" s="132"/>
      <c r="CX188" s="132"/>
      <c r="CY188" s="132"/>
      <c r="CZ188" s="118"/>
      <c r="DA188" s="144"/>
      <c r="DB188" s="118"/>
      <c r="DC188" s="33"/>
      <c r="DD188" s="39"/>
      <c r="DE188" s="11"/>
      <c r="DF188" s="132"/>
      <c r="DG188" s="132"/>
      <c r="DH188" s="132"/>
      <c r="DI188" s="132"/>
      <c r="DJ188" s="132"/>
      <c r="DK188" s="132"/>
      <c r="DL188" s="132"/>
      <c r="DM188" s="132"/>
      <c r="DN188" s="132"/>
      <c r="DO188" s="132"/>
      <c r="DP188" s="132"/>
      <c r="DQ188" s="132"/>
      <c r="DR188" s="132"/>
      <c r="DS188" s="132"/>
      <c r="DT188" s="132"/>
      <c r="DU188" s="132"/>
      <c r="DV188" s="132"/>
      <c r="DW188" s="132"/>
      <c r="DX188" s="132"/>
      <c r="DY188" s="132"/>
      <c r="DZ188" s="132"/>
      <c r="EA188" s="132"/>
      <c r="EB188" s="132"/>
      <c r="EC188" s="132"/>
      <c r="ED188" s="132"/>
      <c r="EE188" s="132"/>
      <c r="EF188" s="132"/>
      <c r="EG188" s="132"/>
      <c r="EH188" s="132"/>
      <c r="EI188" s="132"/>
      <c r="EJ188" s="132"/>
      <c r="EK188" s="132"/>
      <c r="EL188" s="132"/>
      <c r="EM188" s="132"/>
      <c r="EN188" s="132"/>
      <c r="EO188" s="132"/>
      <c r="EP188" s="132"/>
      <c r="EQ188" s="132"/>
      <c r="ER188" s="132"/>
      <c r="ES188" s="132"/>
      <c r="ET188" s="11"/>
      <c r="EU188" s="11"/>
      <c r="EV188" s="11"/>
      <c r="EW188" s="11"/>
      <c r="EX188" s="11"/>
      <c r="EY188" s="11"/>
      <c r="EZ188" s="11"/>
      <c r="FA188" s="11"/>
      <c r="FB188" s="11"/>
      <c r="FC188" s="11"/>
      <c r="FD188" s="11"/>
      <c r="FE188" s="11"/>
      <c r="FF188" s="11"/>
      <c r="FG188" s="11"/>
      <c r="FH188" s="39">
        <f t="shared" si="37"/>
        <v>0</v>
      </c>
      <c r="FI188" s="33">
        <f t="shared" si="38"/>
        <v>0</v>
      </c>
      <c r="FJ188" s="84" t="str">
        <f t="shared" si="39"/>
        <v xml:space="preserve"> </v>
      </c>
    </row>
    <row r="189" spans="1:166" ht="27" x14ac:dyDescent="0.25">
      <c r="A189" s="79" t="e">
        <f>#REF!</f>
        <v>#REF!</v>
      </c>
      <c r="B189" s="75" t="e">
        <f>#REF!</f>
        <v>#REF!</v>
      </c>
      <c r="C189" s="75" t="e">
        <f>#REF!</f>
        <v>#REF!</v>
      </c>
      <c r="D189" s="75" t="e">
        <f>#REF!</f>
        <v>#REF!</v>
      </c>
      <c r="E189" s="30">
        <v>1</v>
      </c>
      <c r="F189" s="238">
        <v>319851.17499999999</v>
      </c>
      <c r="G189" s="241">
        <v>86632</v>
      </c>
      <c r="H189" s="249">
        <v>400019.53458600002</v>
      </c>
      <c r="I189" s="249">
        <v>90440</v>
      </c>
      <c r="J189" s="249">
        <v>296228.1875</v>
      </c>
      <c r="K189" s="249">
        <v>0</v>
      </c>
      <c r="L189" s="274">
        <f>AVERAGE(F189,H189,J189)</f>
        <v>338699.632362</v>
      </c>
      <c r="M189" s="274">
        <f>AVERAGE(G189,I189)*E1</f>
        <v>91192.08</v>
      </c>
      <c r="N189" s="245"/>
      <c r="O189" s="113"/>
      <c r="P189" s="113"/>
      <c r="Q189" s="131"/>
      <c r="R189" s="131"/>
      <c r="S189" s="64"/>
      <c r="T189" s="113"/>
      <c r="U189" s="117"/>
      <c r="V189" s="113"/>
      <c r="W189" s="131"/>
      <c r="X189" s="131"/>
      <c r="Y189" s="11"/>
      <c r="Z189" s="113"/>
      <c r="AA189" s="113"/>
      <c r="AB189" s="113"/>
      <c r="AC189" s="52"/>
      <c r="AD189" s="52"/>
      <c r="AE189" s="11"/>
      <c r="AF189" s="118"/>
      <c r="AG189" s="144"/>
      <c r="AH189" s="113"/>
      <c r="AI189" s="11"/>
      <c r="AJ189" s="11"/>
      <c r="AK189" s="39"/>
      <c r="AL189" s="113"/>
      <c r="AM189" s="113"/>
      <c r="AN189" s="117"/>
      <c r="AO189" s="76"/>
      <c r="AP189" s="39"/>
      <c r="AQ189" s="39"/>
      <c r="AR189" s="275">
        <v>374400</v>
      </c>
      <c r="AS189" s="113">
        <f>+AR189*0</f>
        <v>0</v>
      </c>
      <c r="AT189" s="119">
        <f>+AR189+AS189</f>
        <v>374400</v>
      </c>
      <c r="AU189" s="62" t="s">
        <v>34</v>
      </c>
      <c r="AV189" s="62" t="s">
        <v>35</v>
      </c>
      <c r="AW189" s="31"/>
      <c r="AX189" s="116"/>
      <c r="AY189" s="196"/>
      <c r="AZ189" s="143"/>
      <c r="BA189" s="191"/>
      <c r="BB189" s="132"/>
      <c r="BC189" s="132"/>
      <c r="BD189" s="274"/>
      <c r="BE189" s="143"/>
      <c r="BF189" s="143"/>
      <c r="BG189" s="132"/>
      <c r="BH189" s="132"/>
      <c r="BI189" s="132"/>
      <c r="BJ189" s="143"/>
      <c r="BK189" s="143"/>
      <c r="BL189" s="143"/>
      <c r="BM189" s="132"/>
      <c r="BN189" s="132"/>
      <c r="BO189" s="132"/>
      <c r="BP189" s="143"/>
      <c r="BQ189" s="132"/>
      <c r="BR189" s="132"/>
      <c r="BS189" s="132"/>
      <c r="BT189" s="132"/>
      <c r="BU189" s="132"/>
      <c r="BV189" s="267">
        <v>491900</v>
      </c>
      <c r="BW189" s="144">
        <f>BV189*19%</f>
        <v>93461</v>
      </c>
      <c r="BX189" s="113">
        <f>+BV189+BW189</f>
        <v>585361</v>
      </c>
      <c r="BY189" s="264" t="s">
        <v>100</v>
      </c>
      <c r="BZ189" s="264" t="s">
        <v>237</v>
      </c>
      <c r="CA189" s="132"/>
      <c r="CB189" s="274"/>
      <c r="CC189" s="144"/>
      <c r="CD189" s="274"/>
      <c r="CE189" s="132"/>
      <c r="CF189" s="132"/>
      <c r="CG189" s="36"/>
      <c r="CH189" s="263">
        <v>511576</v>
      </c>
      <c r="CI189" s="265">
        <f>+CH189*0.19</f>
        <v>97199.44</v>
      </c>
      <c r="CJ189" s="263">
        <f>+CH189+CI189</f>
        <v>608775.43999999994</v>
      </c>
      <c r="CK189" s="264" t="s">
        <v>100</v>
      </c>
      <c r="CL189" s="264" t="s">
        <v>237</v>
      </c>
      <c r="CM189" s="132"/>
      <c r="CN189" s="274"/>
      <c r="CO189" s="144"/>
      <c r="CP189" s="274"/>
      <c r="CQ189" s="132"/>
      <c r="CR189" s="132"/>
      <c r="CS189" s="132"/>
      <c r="CT189" s="274"/>
      <c r="CU189" s="144"/>
      <c r="CV189" s="274"/>
      <c r="CW189" s="132"/>
      <c r="CX189" s="132"/>
      <c r="CY189" s="132"/>
      <c r="CZ189" s="118"/>
      <c r="DA189" s="144"/>
      <c r="DB189" s="118"/>
      <c r="DC189" s="33"/>
      <c r="DD189" s="39"/>
      <c r="DE189" s="11"/>
      <c r="DF189" s="132"/>
      <c r="DG189" s="132"/>
      <c r="DH189" s="132"/>
      <c r="DI189" s="132"/>
      <c r="DJ189" s="132"/>
      <c r="DK189" s="132"/>
      <c r="DL189" s="132"/>
      <c r="DM189" s="132"/>
      <c r="DN189" s="132"/>
      <c r="DO189" s="132"/>
      <c r="DP189" s="132"/>
      <c r="DQ189" s="132"/>
      <c r="DR189" s="132"/>
      <c r="DS189" s="132"/>
      <c r="DT189" s="132"/>
      <c r="DU189" s="132"/>
      <c r="DV189" s="132"/>
      <c r="DW189" s="132"/>
      <c r="DX189" s="132"/>
      <c r="DY189" s="132"/>
      <c r="DZ189" s="132"/>
      <c r="EA189" s="132"/>
      <c r="EB189" s="132"/>
      <c r="EC189" s="132"/>
      <c r="ED189" s="132"/>
      <c r="EE189" s="132"/>
      <c r="EF189" s="132"/>
      <c r="EG189" s="132"/>
      <c r="EH189" s="132"/>
      <c r="EI189" s="132"/>
      <c r="EJ189" s="132"/>
      <c r="EK189" s="132"/>
      <c r="EL189" s="132"/>
      <c r="EM189" s="132"/>
      <c r="EN189" s="132"/>
      <c r="EO189" s="132"/>
      <c r="EP189" s="132"/>
      <c r="EQ189" s="132"/>
      <c r="ER189" s="132"/>
      <c r="ES189" s="132"/>
      <c r="ET189" s="11"/>
      <c r="EU189" s="11"/>
      <c r="EV189" s="11"/>
      <c r="EW189" s="11"/>
      <c r="EX189" s="11"/>
      <c r="EY189" s="11"/>
      <c r="EZ189" s="11"/>
      <c r="FA189" s="11"/>
      <c r="FB189" s="11"/>
      <c r="FC189" s="11"/>
      <c r="FD189" s="11"/>
      <c r="FE189" s="11"/>
      <c r="FF189" s="11"/>
      <c r="FG189" s="11"/>
      <c r="FH189" s="39">
        <f t="shared" si="37"/>
        <v>1659728.52</v>
      </c>
      <c r="FI189" s="33">
        <f t="shared" si="38"/>
        <v>4</v>
      </c>
      <c r="FJ189" s="84">
        <f t="shared" si="39"/>
        <v>414932.13</v>
      </c>
    </row>
    <row r="190" spans="1:166" ht="27" x14ac:dyDescent="0.25">
      <c r="A190" s="79" t="e">
        <f>#REF!</f>
        <v>#REF!</v>
      </c>
      <c r="B190" s="75" t="e">
        <f>#REF!</f>
        <v>#REF!</v>
      </c>
      <c r="C190" s="75" t="e">
        <f>#REF!</f>
        <v>#REF!</v>
      </c>
      <c r="D190" s="75" t="e">
        <f>#REF!</f>
        <v>#REF!</v>
      </c>
      <c r="E190" s="30">
        <v>1</v>
      </c>
      <c r="F190" s="238">
        <v>0</v>
      </c>
      <c r="G190" s="241">
        <v>0</v>
      </c>
      <c r="H190" s="249">
        <v>0</v>
      </c>
      <c r="I190" s="249">
        <v>0</v>
      </c>
      <c r="J190" s="249">
        <v>0</v>
      </c>
      <c r="K190" s="249">
        <v>0</v>
      </c>
      <c r="L190" s="274"/>
      <c r="M190" s="274"/>
      <c r="N190" s="245"/>
      <c r="O190" s="113"/>
      <c r="P190" s="113"/>
      <c r="Q190" s="131"/>
      <c r="R190" s="131"/>
      <c r="S190" s="64"/>
      <c r="T190" s="113"/>
      <c r="U190" s="113"/>
      <c r="V190" s="113"/>
      <c r="W190" s="131"/>
      <c r="X190" s="131"/>
      <c r="Y190" s="11"/>
      <c r="Z190" s="113"/>
      <c r="AA190" s="113"/>
      <c r="AB190" s="113"/>
      <c r="AC190" s="52"/>
      <c r="AD190" s="52"/>
      <c r="AE190" s="11"/>
      <c r="AF190" s="118">
        <v>550000</v>
      </c>
      <c r="AG190" s="144">
        <f>AF190*19%</f>
        <v>104500</v>
      </c>
      <c r="AH190" s="113">
        <f>+AF190+AG190</f>
        <v>654500</v>
      </c>
      <c r="AI190" s="11"/>
      <c r="AJ190" s="11"/>
      <c r="AK190" s="39"/>
      <c r="AL190" s="113">
        <v>425000</v>
      </c>
      <c r="AM190" s="113">
        <f>+AL190*0.19</f>
        <v>80750</v>
      </c>
      <c r="AN190" s="119">
        <f>+AL190+AM190</f>
        <v>505750</v>
      </c>
      <c r="AO190" s="76" t="s">
        <v>81</v>
      </c>
      <c r="AP190" s="39" t="s">
        <v>45</v>
      </c>
      <c r="AQ190" s="39"/>
      <c r="AR190" s="275"/>
      <c r="AS190" s="156"/>
      <c r="AT190" s="157"/>
      <c r="AU190" s="62"/>
      <c r="AV190" s="62"/>
      <c r="AW190" s="31"/>
      <c r="AX190" s="116">
        <v>594893.73352799995</v>
      </c>
      <c r="AY190" s="116">
        <f>+AX190*0.19</f>
        <v>113029.80937032</v>
      </c>
      <c r="AZ190" s="143">
        <f>+AX190+AY190</f>
        <v>707923.54289831989</v>
      </c>
      <c r="BA190" s="191" t="s">
        <v>69</v>
      </c>
      <c r="BB190" s="132" t="s">
        <v>70</v>
      </c>
      <c r="BC190" s="132"/>
      <c r="BD190" s="274"/>
      <c r="BE190" s="143"/>
      <c r="BF190" s="143"/>
      <c r="BG190" s="132"/>
      <c r="BH190" s="132"/>
      <c r="BI190" s="132"/>
      <c r="BJ190" s="143"/>
      <c r="BK190" s="143"/>
      <c r="BL190" s="143"/>
      <c r="BM190" s="132"/>
      <c r="BN190" s="132"/>
      <c r="BO190" s="132"/>
      <c r="BP190" s="143"/>
      <c r="BQ190" s="132"/>
      <c r="BR190" s="132"/>
      <c r="BS190" s="132"/>
      <c r="BT190" s="132"/>
      <c r="BU190" s="132"/>
      <c r="BV190" s="267">
        <v>496400</v>
      </c>
      <c r="BW190" s="144">
        <f>BV190*19%</f>
        <v>94316</v>
      </c>
      <c r="BX190" s="113">
        <f>+BV190+BW190</f>
        <v>590716</v>
      </c>
      <c r="BY190" s="264" t="s">
        <v>71</v>
      </c>
      <c r="BZ190" s="264" t="s">
        <v>63</v>
      </c>
      <c r="CA190" s="132"/>
      <c r="CB190" s="274"/>
      <c r="CC190" s="144"/>
      <c r="CD190" s="274"/>
      <c r="CE190" s="132"/>
      <c r="CF190" s="132"/>
      <c r="CG190" s="36"/>
      <c r="CH190" s="263">
        <v>516256</v>
      </c>
      <c r="CI190" s="265">
        <f>+CH190*0.19</f>
        <v>98088.639999999999</v>
      </c>
      <c r="CJ190" s="263">
        <f>+CH190+CI190</f>
        <v>614344.64</v>
      </c>
      <c r="CK190" s="264" t="s">
        <v>71</v>
      </c>
      <c r="CL190" s="264" t="s">
        <v>63</v>
      </c>
      <c r="CM190" s="132"/>
      <c r="CN190" s="274"/>
      <c r="CO190" s="144"/>
      <c r="CP190" s="274"/>
      <c r="CQ190" s="132"/>
      <c r="CR190" s="132"/>
      <c r="CS190" s="132"/>
      <c r="CT190" s="274"/>
      <c r="CU190" s="144"/>
      <c r="CV190" s="274"/>
      <c r="CW190" s="132"/>
      <c r="CX190" s="132"/>
      <c r="CY190" s="132"/>
      <c r="CZ190" s="118">
        <v>299586</v>
      </c>
      <c r="DA190" s="144">
        <f>+CZ190*0.19</f>
        <v>56921.340000000004</v>
      </c>
      <c r="DB190" s="118">
        <f>+CZ190+DA190</f>
        <v>356507.34</v>
      </c>
      <c r="DC190" s="33" t="s">
        <v>82</v>
      </c>
      <c r="DD190" s="39" t="s">
        <v>58</v>
      </c>
      <c r="DE190" s="11" t="s">
        <v>266</v>
      </c>
      <c r="DF190" s="132"/>
      <c r="DG190" s="132"/>
      <c r="DH190" s="132"/>
      <c r="DI190" s="132"/>
      <c r="DJ190" s="132"/>
      <c r="DK190" s="132"/>
      <c r="DL190" s="132"/>
      <c r="DM190" s="132"/>
      <c r="DN190" s="132"/>
      <c r="DO190" s="132"/>
      <c r="DP190" s="132"/>
      <c r="DQ190" s="132"/>
      <c r="DR190" s="132"/>
      <c r="DS190" s="132"/>
      <c r="DT190" s="132"/>
      <c r="DU190" s="132"/>
      <c r="DV190" s="132"/>
      <c r="DW190" s="132"/>
      <c r="DX190" s="132"/>
      <c r="DY190" s="132"/>
      <c r="DZ190" s="132"/>
      <c r="EA190" s="132"/>
      <c r="EB190" s="132"/>
      <c r="EC190" s="132"/>
      <c r="ED190" s="132"/>
      <c r="EE190" s="132"/>
      <c r="EF190" s="132"/>
      <c r="EG190" s="132"/>
      <c r="EH190" s="132"/>
      <c r="EI190" s="132"/>
      <c r="EJ190" s="132"/>
      <c r="EK190" s="132"/>
      <c r="EL190" s="132"/>
      <c r="EM190" s="132"/>
      <c r="EN190" s="132"/>
      <c r="EO190" s="132"/>
      <c r="EP190" s="132"/>
      <c r="EQ190" s="132"/>
      <c r="ER190" s="132"/>
      <c r="ES190" s="132"/>
      <c r="ET190" s="11"/>
      <c r="EU190" s="11"/>
      <c r="EV190" s="11"/>
      <c r="EW190" s="11"/>
      <c r="EX190" s="11"/>
      <c r="EY190" s="11"/>
      <c r="EZ190" s="11"/>
      <c r="FA190" s="11"/>
      <c r="FB190" s="11"/>
      <c r="FC190" s="11"/>
      <c r="FD190" s="11"/>
      <c r="FE190" s="11"/>
      <c r="FF190" s="11"/>
      <c r="FG190" s="11"/>
      <c r="FH190" s="39">
        <f t="shared" si="37"/>
        <v>3429741.5228983196</v>
      </c>
      <c r="FI190" s="33">
        <f t="shared" si="38"/>
        <v>6</v>
      </c>
      <c r="FJ190" s="84">
        <f t="shared" si="39"/>
        <v>571623.58714971994</v>
      </c>
    </row>
    <row r="191" spans="1:166" ht="27" x14ac:dyDescent="0.25">
      <c r="A191" s="79" t="e">
        <f>#REF!</f>
        <v>#REF!</v>
      </c>
      <c r="B191" s="75" t="e">
        <f>#REF!</f>
        <v>#REF!</v>
      </c>
      <c r="C191" s="75" t="e">
        <f>#REF!</f>
        <v>#REF!</v>
      </c>
      <c r="D191" s="75" t="e">
        <f>#REF!</f>
        <v>#REF!</v>
      </c>
      <c r="E191" s="30">
        <v>1</v>
      </c>
      <c r="F191" s="238">
        <v>1240991.5</v>
      </c>
      <c r="G191" s="241">
        <v>1191309</v>
      </c>
      <c r="H191" s="249">
        <v>546060.90168999997</v>
      </c>
      <c r="I191" s="249">
        <v>0</v>
      </c>
      <c r="J191" s="249">
        <v>767642.22499999998</v>
      </c>
      <c r="K191" s="249">
        <v>760410</v>
      </c>
      <c r="L191" s="274">
        <f>AVERAGE(F191,H191,J191)</f>
        <v>851564.87556333328</v>
      </c>
      <c r="M191" s="274">
        <f>AVERAGE(G191,K191)*E1</f>
        <v>1005135.285</v>
      </c>
      <c r="N191" s="246"/>
      <c r="O191" s="118"/>
      <c r="P191" s="118"/>
      <c r="Q191" s="52"/>
      <c r="R191" s="52"/>
      <c r="S191" s="5"/>
      <c r="T191" s="118"/>
      <c r="U191" s="118"/>
      <c r="V191" s="118"/>
      <c r="W191" s="11"/>
      <c r="X191" s="11"/>
      <c r="Y191" s="11"/>
      <c r="Z191" s="118"/>
      <c r="AA191" s="118"/>
      <c r="AB191" s="118"/>
      <c r="AC191" s="52"/>
      <c r="AD191" s="52"/>
      <c r="AE191" s="11"/>
      <c r="AF191" s="118"/>
      <c r="AG191" s="144"/>
      <c r="AH191" s="118"/>
      <c r="AI191" s="11"/>
      <c r="AJ191" s="11"/>
      <c r="AK191" s="11"/>
      <c r="AL191" s="118">
        <v>220000</v>
      </c>
      <c r="AM191" s="113">
        <f>+AL191*0.19</f>
        <v>41800</v>
      </c>
      <c r="AN191" s="119">
        <f>+AL191+AM191</f>
        <v>261800</v>
      </c>
      <c r="AO191" s="76" t="s">
        <v>49</v>
      </c>
      <c r="AP191" s="39" t="s">
        <v>45</v>
      </c>
      <c r="AQ191" s="11"/>
      <c r="AR191" s="274"/>
      <c r="AS191" s="274"/>
      <c r="AT191" s="274"/>
      <c r="AU191" s="62"/>
      <c r="AV191" s="48"/>
      <c r="AW191" s="11"/>
      <c r="AX191" s="274"/>
      <c r="AY191" s="274"/>
      <c r="AZ191" s="274"/>
      <c r="BA191" s="11"/>
      <c r="BB191" s="11"/>
      <c r="BC191" s="11"/>
      <c r="BD191" s="274"/>
      <c r="BE191" s="274"/>
      <c r="BF191" s="274"/>
      <c r="BG191" s="11"/>
      <c r="BH191" s="11"/>
      <c r="BI191" s="11"/>
      <c r="BJ191" s="274"/>
      <c r="BK191" s="274"/>
      <c r="BL191" s="274"/>
      <c r="BM191" s="11"/>
      <c r="BN191" s="11"/>
      <c r="BO191" s="11"/>
      <c r="BP191" s="275"/>
      <c r="BQ191" s="11"/>
      <c r="BR191" s="11"/>
      <c r="BS191" s="11"/>
      <c r="BT191" s="11"/>
      <c r="BU191" s="11"/>
      <c r="BV191" s="267">
        <v>459800</v>
      </c>
      <c r="BW191" s="144">
        <f>BV191*19%</f>
        <v>87362</v>
      </c>
      <c r="BX191" s="113">
        <f>+BV191+BW191</f>
        <v>547162</v>
      </c>
      <c r="BY191" s="264" t="s">
        <v>158</v>
      </c>
      <c r="BZ191" s="264" t="s">
        <v>237</v>
      </c>
      <c r="CA191" s="11"/>
      <c r="CB191" s="274"/>
      <c r="CC191" s="144"/>
      <c r="CD191" s="274"/>
      <c r="CE191" s="11"/>
      <c r="CF191" s="11"/>
      <c r="CG191" s="11"/>
      <c r="CH191" s="263">
        <v>468996</v>
      </c>
      <c r="CI191" s="265">
        <f>+CH191*0.19</f>
        <v>89109.24</v>
      </c>
      <c r="CJ191" s="263">
        <f>+CH191+CI191</f>
        <v>558105.24</v>
      </c>
      <c r="CK191" s="264" t="s">
        <v>158</v>
      </c>
      <c r="CL191" s="264" t="s">
        <v>237</v>
      </c>
      <c r="CM191" s="11"/>
      <c r="CN191" s="274"/>
      <c r="CO191" s="144"/>
      <c r="CP191" s="274"/>
      <c r="CQ191" s="11"/>
      <c r="CR191" s="11"/>
      <c r="CS191" s="11"/>
      <c r="CT191" s="144">
        <v>305000</v>
      </c>
      <c r="CU191" s="144">
        <f>CT191*0.19</f>
        <v>57950</v>
      </c>
      <c r="CV191" s="144">
        <f>CU191+CT191</f>
        <v>362950</v>
      </c>
      <c r="CW191" s="11"/>
      <c r="CX191" s="11"/>
      <c r="CY191" s="11"/>
      <c r="CZ191" s="118">
        <v>210345</v>
      </c>
      <c r="DA191" s="144">
        <f>+CZ191*0.19</f>
        <v>39965.550000000003</v>
      </c>
      <c r="DB191" s="118">
        <f>+CZ191+DA191</f>
        <v>250310.55</v>
      </c>
      <c r="DC191" s="33" t="s">
        <v>267</v>
      </c>
      <c r="DD191" s="39" t="s">
        <v>58</v>
      </c>
      <c r="DE191" s="11" t="s">
        <v>268</v>
      </c>
      <c r="DF191" s="11"/>
      <c r="DG191" s="11"/>
      <c r="DH191" s="11"/>
      <c r="DI191" s="11"/>
      <c r="DJ191" s="11"/>
      <c r="DK191" s="11"/>
      <c r="DL191" s="11"/>
      <c r="DM191" s="39"/>
      <c r="DN191" s="39"/>
      <c r="DO191" s="34"/>
      <c r="DP191" s="34"/>
      <c r="DQ191" s="34"/>
      <c r="DR191" s="34"/>
      <c r="DS191" s="34"/>
      <c r="DT191" s="34"/>
      <c r="DU191" s="34"/>
      <c r="DV191" s="34"/>
      <c r="DW191" s="34"/>
      <c r="DX191" s="34"/>
      <c r="DY191" s="34"/>
      <c r="DZ191" s="34"/>
      <c r="EA191" s="34"/>
      <c r="EB191" s="34"/>
      <c r="EC191" s="34"/>
      <c r="ED191" s="34"/>
      <c r="EE191" s="34"/>
      <c r="EF191" s="34"/>
      <c r="EG191" s="34"/>
      <c r="EH191" s="34"/>
      <c r="EI191" s="34"/>
      <c r="EJ191" s="34"/>
      <c r="EK191" s="34"/>
      <c r="EL191" s="34"/>
      <c r="EM191" s="34"/>
      <c r="EN191" s="34"/>
      <c r="EO191" s="11"/>
      <c r="EP191" s="11"/>
      <c r="EQ191" s="11"/>
      <c r="ER191" s="11"/>
      <c r="ES191" s="11"/>
      <c r="ET191" s="11"/>
      <c r="EU191" s="11"/>
      <c r="EV191" s="11"/>
      <c r="EW191" s="11"/>
      <c r="EX191" s="11"/>
      <c r="EY191" s="11"/>
      <c r="EZ191" s="11"/>
      <c r="FA191" s="11"/>
      <c r="FB191" s="11"/>
      <c r="FC191" s="11"/>
      <c r="FD191" s="11"/>
      <c r="FE191" s="11"/>
      <c r="FF191" s="11"/>
      <c r="FG191" s="11"/>
      <c r="FH191" s="39">
        <f t="shared" si="37"/>
        <v>2985463.0750000002</v>
      </c>
      <c r="FI191" s="33">
        <f t="shared" si="38"/>
        <v>6</v>
      </c>
      <c r="FJ191" s="84">
        <f t="shared" si="39"/>
        <v>497577.1791666667</v>
      </c>
    </row>
    <row r="192" spans="1:166" ht="54" customHeight="1" x14ac:dyDescent="0.25">
      <c r="A192" s="79" t="e">
        <f>#REF!</f>
        <v>#REF!</v>
      </c>
      <c r="B192" s="75" t="e">
        <f>#REF!</f>
        <v>#REF!</v>
      </c>
      <c r="C192" s="75" t="e">
        <f>#REF!</f>
        <v>#REF!</v>
      </c>
      <c r="D192" s="75" t="e">
        <f>#REF!</f>
        <v>#REF!</v>
      </c>
      <c r="E192" s="30">
        <v>1</v>
      </c>
      <c r="F192" s="238">
        <v>0</v>
      </c>
      <c r="G192" s="241">
        <v>0</v>
      </c>
      <c r="H192" s="249">
        <v>0</v>
      </c>
      <c r="I192" s="249">
        <v>0</v>
      </c>
      <c r="J192" s="249">
        <v>0</v>
      </c>
      <c r="K192" s="249">
        <v>0</v>
      </c>
      <c r="L192" s="274"/>
      <c r="M192" s="274"/>
      <c r="N192" s="245"/>
      <c r="O192" s="113"/>
      <c r="P192" s="113"/>
      <c r="Q192" s="131"/>
      <c r="R192" s="131"/>
      <c r="S192" s="64"/>
      <c r="T192" s="113"/>
      <c r="U192" s="113"/>
      <c r="V192" s="113"/>
      <c r="W192" s="131"/>
      <c r="X192" s="131"/>
      <c r="Y192" s="11"/>
      <c r="Z192" s="113"/>
      <c r="AA192" s="113"/>
      <c r="AB192" s="113"/>
      <c r="AC192" s="52"/>
      <c r="AD192" s="52"/>
      <c r="AE192" s="11"/>
      <c r="AF192" s="118"/>
      <c r="AG192" s="144"/>
      <c r="AH192" s="113"/>
      <c r="AI192" s="11"/>
      <c r="AJ192" s="11"/>
      <c r="AK192" s="39"/>
      <c r="AL192" s="113"/>
      <c r="AM192" s="113"/>
      <c r="AN192" s="119"/>
      <c r="AO192" s="76"/>
      <c r="AP192" s="39"/>
      <c r="AQ192" s="39"/>
      <c r="AR192" s="275"/>
      <c r="AS192" s="155"/>
      <c r="AT192" s="157"/>
      <c r="AU192" s="62"/>
      <c r="AV192" s="62"/>
      <c r="AW192" s="31"/>
      <c r="AX192" s="116"/>
      <c r="AY192" s="116"/>
      <c r="AZ192" s="143"/>
      <c r="BA192" s="191"/>
      <c r="BB192" s="132"/>
      <c r="BC192" s="132"/>
      <c r="BD192" s="274"/>
      <c r="BE192" s="143"/>
      <c r="BF192" s="143"/>
      <c r="BG192" s="132"/>
      <c r="BH192" s="132"/>
      <c r="BI192" s="132"/>
      <c r="BJ192" s="143"/>
      <c r="BK192" s="143"/>
      <c r="BL192" s="143"/>
      <c r="BM192" s="132"/>
      <c r="BN192" s="132"/>
      <c r="BO192" s="132"/>
      <c r="BP192" s="143"/>
      <c r="BQ192" s="132"/>
      <c r="BR192" s="132"/>
      <c r="BS192" s="132"/>
      <c r="BT192" s="132"/>
      <c r="BU192" s="132"/>
      <c r="BV192" s="211"/>
      <c r="BW192" s="144"/>
      <c r="BX192" s="113"/>
      <c r="BY192" s="273"/>
      <c r="BZ192" s="273"/>
      <c r="CA192" s="132"/>
      <c r="CB192" s="274"/>
      <c r="CC192" s="144"/>
      <c r="CD192" s="274"/>
      <c r="CE192" s="132"/>
      <c r="CF192" s="132"/>
      <c r="CG192" s="36"/>
      <c r="CH192" s="210"/>
      <c r="CI192" s="219"/>
      <c r="CJ192" s="210"/>
      <c r="CK192" s="273"/>
      <c r="CL192" s="273"/>
      <c r="CM192" s="132"/>
      <c r="CN192" s="274">
        <v>1882914</v>
      </c>
      <c r="CO192" s="144">
        <f>+CN192*0.19</f>
        <v>357753.66000000003</v>
      </c>
      <c r="CP192" s="274">
        <f>+CO192+CN192</f>
        <v>2240667.66</v>
      </c>
      <c r="CQ192" s="132"/>
      <c r="CR192" s="132"/>
      <c r="CS192" s="132"/>
      <c r="CT192" s="274"/>
      <c r="CU192" s="144"/>
      <c r="CV192" s="274"/>
      <c r="CW192" s="132"/>
      <c r="CX192" s="132"/>
      <c r="CY192" s="132"/>
      <c r="CZ192" s="118"/>
      <c r="DA192" s="144"/>
      <c r="DB192" s="118"/>
      <c r="DC192" s="33"/>
      <c r="DD192" s="39"/>
      <c r="DE192" s="11"/>
      <c r="DF192" s="132"/>
      <c r="DG192" s="132"/>
      <c r="DH192" s="132"/>
      <c r="DI192" s="132"/>
      <c r="DJ192" s="132"/>
      <c r="DK192" s="132"/>
      <c r="DL192" s="132"/>
      <c r="DM192" s="132"/>
      <c r="DN192" s="132"/>
      <c r="DO192" s="132"/>
      <c r="DP192" s="132"/>
      <c r="DQ192" s="132"/>
      <c r="DR192" s="132"/>
      <c r="DS192" s="132"/>
      <c r="DT192" s="132"/>
      <c r="DU192" s="132"/>
      <c r="DV192" s="132"/>
      <c r="DW192" s="132"/>
      <c r="DX192" s="132"/>
      <c r="DY192" s="132"/>
      <c r="DZ192" s="132"/>
      <c r="EA192" s="132"/>
      <c r="EB192" s="132"/>
      <c r="EC192" s="132"/>
      <c r="ED192" s="132"/>
      <c r="EE192" s="132"/>
      <c r="EF192" s="132"/>
      <c r="EG192" s="132"/>
      <c r="EH192" s="132"/>
      <c r="EI192" s="132"/>
      <c r="EJ192" s="132"/>
      <c r="EK192" s="132"/>
      <c r="EL192" s="132"/>
      <c r="EM192" s="132"/>
      <c r="EN192" s="132"/>
      <c r="EO192" s="132"/>
      <c r="EP192" s="132"/>
      <c r="EQ192" s="132"/>
      <c r="ER192" s="132"/>
      <c r="ES192" s="132"/>
      <c r="ET192" s="11"/>
      <c r="EU192" s="11"/>
      <c r="EV192" s="11"/>
      <c r="EW192" s="11"/>
      <c r="EX192" s="11"/>
      <c r="EY192" s="11"/>
      <c r="EZ192" s="11"/>
      <c r="FA192" s="11"/>
      <c r="FB192" s="11"/>
      <c r="FC192" s="11"/>
      <c r="FD192" s="11"/>
      <c r="FE192" s="11"/>
      <c r="FF192" s="11"/>
      <c r="FG192" s="11"/>
      <c r="FH192" s="39">
        <f t="shared" si="37"/>
        <v>2240667.66</v>
      </c>
      <c r="FI192" s="33">
        <f t="shared" si="38"/>
        <v>1</v>
      </c>
      <c r="FJ192" s="84">
        <f t="shared" si="39"/>
        <v>2240667.66</v>
      </c>
    </row>
    <row r="193" spans="1:166" ht="25.5" x14ac:dyDescent="0.25">
      <c r="A193" s="79" t="e">
        <f>#REF!</f>
        <v>#REF!</v>
      </c>
      <c r="B193" s="75" t="e">
        <f>#REF!</f>
        <v>#REF!</v>
      </c>
      <c r="C193" s="75" t="e">
        <f>#REF!</f>
        <v>#REF!</v>
      </c>
      <c r="D193" s="75" t="e">
        <f>#REF!</f>
        <v>#REF!</v>
      </c>
      <c r="E193" s="30">
        <v>1</v>
      </c>
      <c r="F193" s="238">
        <v>0</v>
      </c>
      <c r="G193" s="241">
        <v>0</v>
      </c>
      <c r="H193" s="249">
        <v>8764112</v>
      </c>
      <c r="I193" s="249">
        <v>0</v>
      </c>
      <c r="J193" s="249">
        <v>2742754.84</v>
      </c>
      <c r="K193" s="249">
        <v>0</v>
      </c>
      <c r="L193" s="274">
        <f>AVERAGE(H193,J193)</f>
        <v>5753433.4199999999</v>
      </c>
      <c r="M193" s="274"/>
      <c r="N193" s="245"/>
      <c r="O193" s="113"/>
      <c r="P193" s="113"/>
      <c r="Q193" s="131"/>
      <c r="R193" s="131"/>
      <c r="S193" s="64"/>
      <c r="T193" s="113"/>
      <c r="U193" s="117"/>
      <c r="V193" s="113"/>
      <c r="W193" s="131"/>
      <c r="X193" s="131"/>
      <c r="Y193" s="11"/>
      <c r="Z193" s="113"/>
      <c r="AA193" s="113"/>
      <c r="AB193" s="113"/>
      <c r="AC193" s="52"/>
      <c r="AD193" s="52"/>
      <c r="AE193" s="11"/>
      <c r="AF193" s="118"/>
      <c r="AG193" s="144"/>
      <c r="AH193" s="113"/>
      <c r="AI193" s="11"/>
      <c r="AJ193" s="11"/>
      <c r="AK193" s="39"/>
      <c r="AL193" s="113"/>
      <c r="AM193" s="113"/>
      <c r="AN193" s="119"/>
      <c r="AO193" s="76"/>
      <c r="AP193" s="39"/>
      <c r="AQ193" s="39"/>
      <c r="AR193" s="275">
        <f>856800*2</f>
        <v>1713600</v>
      </c>
      <c r="AS193" s="113">
        <f t="shared" ref="AS193:AS200" si="44">+AR193*0.19</f>
        <v>325584</v>
      </c>
      <c r="AT193" s="119">
        <f t="shared" ref="AT193:AT200" si="45">+AR193+AS193</f>
        <v>2039184</v>
      </c>
      <c r="AU193" s="62" t="s">
        <v>228</v>
      </c>
      <c r="AV193" s="62" t="s">
        <v>35</v>
      </c>
      <c r="AW193" s="31"/>
      <c r="AX193" s="116"/>
      <c r="AY193" s="116"/>
      <c r="AZ193" s="143"/>
      <c r="BA193" s="191"/>
      <c r="BB193" s="132"/>
      <c r="BC193" s="132"/>
      <c r="BD193" s="274"/>
      <c r="BE193" s="143"/>
      <c r="BF193" s="143"/>
      <c r="BG193" s="132"/>
      <c r="BH193" s="132"/>
      <c r="BI193" s="132"/>
      <c r="BJ193" s="143"/>
      <c r="BK193" s="143"/>
      <c r="BL193" s="143"/>
      <c r="BM193" s="132"/>
      <c r="BN193" s="132"/>
      <c r="BO193" s="132"/>
      <c r="BP193" s="143"/>
      <c r="BQ193" s="132"/>
      <c r="BR193" s="132"/>
      <c r="BS193" s="132"/>
      <c r="BT193" s="132"/>
      <c r="BU193" s="132"/>
      <c r="BV193" s="211"/>
      <c r="BW193" s="144"/>
      <c r="BX193" s="113"/>
      <c r="BY193" s="273"/>
      <c r="BZ193" s="273"/>
      <c r="CA193" s="132"/>
      <c r="CB193" s="274"/>
      <c r="CC193" s="144"/>
      <c r="CD193" s="274"/>
      <c r="CE193" s="132"/>
      <c r="CF193" s="132"/>
      <c r="CG193" s="36"/>
      <c r="CH193" s="210"/>
      <c r="CI193" s="219"/>
      <c r="CJ193" s="210"/>
      <c r="CK193" s="273"/>
      <c r="CL193" s="273"/>
      <c r="CM193" s="132"/>
      <c r="CN193" s="274"/>
      <c r="CO193" s="144"/>
      <c r="CP193" s="274"/>
      <c r="CQ193" s="132"/>
      <c r="CR193" s="132"/>
      <c r="CS193" s="132"/>
      <c r="CT193" s="274"/>
      <c r="CU193" s="144"/>
      <c r="CV193" s="274"/>
      <c r="CW193" s="132"/>
      <c r="CX193" s="132"/>
      <c r="CY193" s="132"/>
      <c r="CZ193" s="118"/>
      <c r="DA193" s="144"/>
      <c r="DB193" s="118"/>
      <c r="DC193" s="33"/>
      <c r="DD193" s="39"/>
      <c r="DE193" s="11"/>
      <c r="DF193" s="132"/>
      <c r="DG193" s="132"/>
      <c r="DH193" s="132"/>
      <c r="DI193" s="132"/>
      <c r="DJ193" s="132"/>
      <c r="DK193" s="132"/>
      <c r="DL193" s="132"/>
      <c r="DM193" s="132"/>
      <c r="DN193" s="132"/>
      <c r="DO193" s="132"/>
      <c r="DP193" s="132"/>
      <c r="DQ193" s="132"/>
      <c r="DR193" s="132"/>
      <c r="DS193" s="132"/>
      <c r="DT193" s="132"/>
      <c r="DU193" s="132"/>
      <c r="DV193" s="132"/>
      <c r="DW193" s="132"/>
      <c r="DX193" s="132"/>
      <c r="DY193" s="132"/>
      <c r="DZ193" s="132"/>
      <c r="EA193" s="132"/>
      <c r="EB193" s="132"/>
      <c r="EC193" s="132"/>
      <c r="ED193" s="132"/>
      <c r="EE193" s="132"/>
      <c r="EF193" s="132"/>
      <c r="EG193" s="132"/>
      <c r="EH193" s="132"/>
      <c r="EI193" s="132"/>
      <c r="EJ193" s="132"/>
      <c r="EK193" s="132"/>
      <c r="EL193" s="132"/>
      <c r="EM193" s="132"/>
      <c r="EN193" s="132"/>
      <c r="EO193" s="132"/>
      <c r="EP193" s="132"/>
      <c r="EQ193" s="132"/>
      <c r="ER193" s="132"/>
      <c r="ES193" s="132"/>
      <c r="ET193" s="11"/>
      <c r="EU193" s="11"/>
      <c r="EV193" s="11"/>
      <c r="EW193" s="11"/>
      <c r="EX193" s="11"/>
      <c r="EY193" s="11"/>
      <c r="EZ193" s="11"/>
      <c r="FA193" s="11"/>
      <c r="FB193" s="11"/>
      <c r="FC193" s="11"/>
      <c r="FD193" s="11"/>
      <c r="FE193" s="11"/>
      <c r="FF193" s="11"/>
      <c r="FG193" s="11"/>
      <c r="FH193" s="39">
        <f t="shared" si="37"/>
        <v>2039184</v>
      </c>
      <c r="FI193" s="33">
        <f t="shared" si="38"/>
        <v>1</v>
      </c>
      <c r="FJ193" s="84">
        <f t="shared" si="39"/>
        <v>2039184</v>
      </c>
    </row>
    <row r="194" spans="1:166" ht="27" x14ac:dyDescent="0.25">
      <c r="A194" s="79" t="e">
        <f>#REF!</f>
        <v>#REF!</v>
      </c>
      <c r="B194" s="75" t="e">
        <f>#REF!</f>
        <v>#REF!</v>
      </c>
      <c r="C194" s="75" t="e">
        <f>#REF!</f>
        <v>#REF!</v>
      </c>
      <c r="D194" s="75" t="e">
        <f>#REF!</f>
        <v>#REF!</v>
      </c>
      <c r="E194" s="30">
        <v>1</v>
      </c>
      <c r="F194" s="238">
        <v>0</v>
      </c>
      <c r="G194" s="241">
        <v>0</v>
      </c>
      <c r="H194" s="249">
        <v>0</v>
      </c>
      <c r="I194" s="249">
        <v>0</v>
      </c>
      <c r="J194" s="249">
        <v>0</v>
      </c>
      <c r="K194" s="249">
        <v>0</v>
      </c>
      <c r="L194" s="274"/>
      <c r="M194" s="274"/>
      <c r="N194" s="245"/>
      <c r="O194" s="113"/>
      <c r="P194" s="113"/>
      <c r="Q194" s="131"/>
      <c r="R194" s="131"/>
      <c r="S194" s="64"/>
      <c r="T194" s="113"/>
      <c r="U194" s="117"/>
      <c r="V194" s="113"/>
      <c r="W194" s="131"/>
      <c r="X194" s="131"/>
      <c r="Y194" s="11"/>
      <c r="Z194" s="113"/>
      <c r="AA194" s="113"/>
      <c r="AB194" s="113"/>
      <c r="AC194" s="52"/>
      <c r="AD194" s="52"/>
      <c r="AE194" s="11"/>
      <c r="AF194" s="118">
        <v>170000</v>
      </c>
      <c r="AG194" s="144">
        <f>AF194*19%</f>
        <v>32300</v>
      </c>
      <c r="AH194" s="113">
        <f>+AF194+AG194</f>
        <v>202300</v>
      </c>
      <c r="AI194" s="11"/>
      <c r="AJ194" s="11"/>
      <c r="AK194" s="39"/>
      <c r="AL194" s="113">
        <v>160000</v>
      </c>
      <c r="AM194" s="113">
        <f t="shared" ref="AM194:AM199" si="46">+AL194*0.19</f>
        <v>30400</v>
      </c>
      <c r="AN194" s="119">
        <f t="shared" ref="AN194:AN202" si="47">+AL194+AM194</f>
        <v>190400</v>
      </c>
      <c r="AO194" s="76" t="s">
        <v>60</v>
      </c>
      <c r="AP194" s="266" t="s">
        <v>45</v>
      </c>
      <c r="AQ194" s="39"/>
      <c r="AR194" s="275">
        <v>388800</v>
      </c>
      <c r="AS194" s="113">
        <f t="shared" si="44"/>
        <v>73872</v>
      </c>
      <c r="AT194" s="119">
        <f t="shared" si="45"/>
        <v>462672</v>
      </c>
      <c r="AU194" s="62" t="s">
        <v>60</v>
      </c>
      <c r="AV194" s="62" t="s">
        <v>35</v>
      </c>
      <c r="AW194" s="31"/>
      <c r="AX194" s="116">
        <v>242283.93</v>
      </c>
      <c r="AY194" s="116">
        <f>+AX194*0.19</f>
        <v>46033.9467</v>
      </c>
      <c r="AZ194" s="143">
        <f>+AX194+AY194</f>
        <v>288317.87670000002</v>
      </c>
      <c r="BA194" s="191" t="s">
        <v>60</v>
      </c>
      <c r="BB194" s="132" t="s">
        <v>70</v>
      </c>
      <c r="BC194" s="132"/>
      <c r="BD194" s="274"/>
      <c r="BE194" s="143"/>
      <c r="BF194" s="143"/>
      <c r="BG194" s="132"/>
      <c r="BH194" s="132"/>
      <c r="BI194" s="132"/>
      <c r="BJ194" s="143"/>
      <c r="BK194" s="143"/>
      <c r="BL194" s="143"/>
      <c r="BM194" s="132"/>
      <c r="BN194" s="132"/>
      <c r="BO194" s="132"/>
      <c r="BP194" s="143"/>
      <c r="BQ194" s="132"/>
      <c r="BR194" s="132"/>
      <c r="BS194" s="132"/>
      <c r="BT194" s="132"/>
      <c r="BU194" s="132"/>
      <c r="BV194" s="267">
        <v>218600</v>
      </c>
      <c r="BW194" s="144">
        <f t="shared" ref="BW194:BW209" si="48">BV194*19%</f>
        <v>41534</v>
      </c>
      <c r="BX194" s="113">
        <f t="shared" ref="BX194:BX209" si="49">+BV194+BW194</f>
        <v>260134</v>
      </c>
      <c r="BY194" s="264" t="s">
        <v>62</v>
      </c>
      <c r="BZ194" s="264" t="s">
        <v>63</v>
      </c>
      <c r="CA194" s="132"/>
      <c r="CB194" s="274"/>
      <c r="CC194" s="144"/>
      <c r="CD194" s="274"/>
      <c r="CE194" s="132"/>
      <c r="CF194" s="132"/>
      <c r="CG194" s="36"/>
      <c r="CH194" s="263">
        <v>220786</v>
      </c>
      <c r="CI194" s="265">
        <f>+CH194*0.19</f>
        <v>41949.340000000004</v>
      </c>
      <c r="CJ194" s="263">
        <f>+CH194+CI194</f>
        <v>262735.34000000003</v>
      </c>
      <c r="CK194" s="264" t="s">
        <v>62</v>
      </c>
      <c r="CL194" s="264" t="s">
        <v>63</v>
      </c>
      <c r="CM194" s="132"/>
      <c r="CN194" s="274"/>
      <c r="CO194" s="144"/>
      <c r="CP194" s="274"/>
      <c r="CQ194" s="132"/>
      <c r="CR194" s="132"/>
      <c r="CS194" s="132"/>
      <c r="CT194" s="274"/>
      <c r="CU194" s="144"/>
      <c r="CV194" s="274"/>
      <c r="CW194" s="132"/>
      <c r="CX194" s="132"/>
      <c r="CY194" s="132"/>
      <c r="CZ194" s="118">
        <v>112552</v>
      </c>
      <c r="DA194" s="144">
        <f>+CZ194*0.19</f>
        <v>21384.880000000001</v>
      </c>
      <c r="DB194" s="118">
        <f>+CZ194+DA194</f>
        <v>133936.88</v>
      </c>
      <c r="DC194" s="33" t="s">
        <v>64</v>
      </c>
      <c r="DD194" s="39" t="s">
        <v>58</v>
      </c>
      <c r="DE194" s="11">
        <v>1011450500</v>
      </c>
      <c r="DF194" s="132"/>
      <c r="DG194" s="132"/>
      <c r="DH194" s="132"/>
      <c r="DI194" s="132"/>
      <c r="DJ194" s="132"/>
      <c r="DK194" s="132"/>
      <c r="DL194" s="132"/>
      <c r="DM194" s="132"/>
      <c r="DN194" s="132"/>
      <c r="DO194" s="132"/>
      <c r="DP194" s="132"/>
      <c r="DQ194" s="132"/>
      <c r="DR194" s="132"/>
      <c r="DS194" s="132"/>
      <c r="DT194" s="132"/>
      <c r="DU194" s="132"/>
      <c r="DV194" s="132"/>
      <c r="DW194" s="132"/>
      <c r="DX194" s="132"/>
      <c r="DY194" s="132"/>
      <c r="DZ194" s="132"/>
      <c r="EA194" s="132"/>
      <c r="EB194" s="132"/>
      <c r="EC194" s="132"/>
      <c r="ED194" s="132"/>
      <c r="EE194" s="132"/>
      <c r="EF194" s="132"/>
      <c r="EG194" s="132"/>
      <c r="EH194" s="132"/>
      <c r="EI194" s="132"/>
      <c r="EJ194" s="132"/>
      <c r="EK194" s="132"/>
      <c r="EL194" s="132"/>
      <c r="EM194" s="132"/>
      <c r="EN194" s="132"/>
      <c r="EO194" s="132"/>
      <c r="EP194" s="132"/>
      <c r="EQ194" s="132"/>
      <c r="ER194" s="132"/>
      <c r="ES194" s="132"/>
      <c r="ET194" s="11"/>
      <c r="EU194" s="11"/>
      <c r="EV194" s="11"/>
      <c r="EW194" s="11"/>
      <c r="EX194" s="11"/>
      <c r="EY194" s="11"/>
      <c r="EZ194" s="11"/>
      <c r="FA194" s="11"/>
      <c r="FB194" s="11"/>
      <c r="FC194" s="11"/>
      <c r="FD194" s="11"/>
      <c r="FE194" s="11"/>
      <c r="FF194" s="11"/>
      <c r="FG194" s="11"/>
      <c r="FH194" s="39">
        <f t="shared" si="37"/>
        <v>1800496.0967000001</v>
      </c>
      <c r="FI194" s="33">
        <f t="shared" si="38"/>
        <v>7</v>
      </c>
      <c r="FJ194" s="84">
        <f t="shared" si="39"/>
        <v>257213.72810000001</v>
      </c>
    </row>
    <row r="195" spans="1:166" ht="32.25" customHeight="1" x14ac:dyDescent="0.25">
      <c r="A195" s="79" t="e">
        <f>#REF!</f>
        <v>#REF!</v>
      </c>
      <c r="B195" s="75" t="e">
        <f>#REF!</f>
        <v>#REF!</v>
      </c>
      <c r="C195" s="75" t="e">
        <f>#REF!</f>
        <v>#REF!</v>
      </c>
      <c r="D195" s="75" t="e">
        <f>#REF!</f>
        <v>#REF!</v>
      </c>
      <c r="E195" s="30">
        <v>1</v>
      </c>
      <c r="F195" s="238">
        <v>164553.20000000001</v>
      </c>
      <c r="G195" s="241">
        <v>0</v>
      </c>
      <c r="H195" s="249">
        <v>219715.62496571429</v>
      </c>
      <c r="I195" s="249">
        <v>82110</v>
      </c>
      <c r="J195" s="249">
        <v>332186.12</v>
      </c>
      <c r="K195" s="249">
        <v>323918</v>
      </c>
      <c r="L195" s="274">
        <f>AVERAGE(F195,H195,J195)</f>
        <v>238818.31498857145</v>
      </c>
      <c r="M195" s="274">
        <f>AVERAGE(I195,K195)*E1</f>
        <v>209104.42</v>
      </c>
      <c r="N195" s="245"/>
      <c r="O195" s="113"/>
      <c r="P195" s="113"/>
      <c r="Q195" s="131"/>
      <c r="R195" s="131"/>
      <c r="S195" s="64"/>
      <c r="T195" s="113"/>
      <c r="U195" s="121"/>
      <c r="V195" s="113"/>
      <c r="W195" s="131"/>
      <c r="X195" s="131"/>
      <c r="Y195" s="11"/>
      <c r="Z195" s="113"/>
      <c r="AA195" s="113"/>
      <c r="AB195" s="113"/>
      <c r="AC195" s="52"/>
      <c r="AD195" s="52"/>
      <c r="AE195" s="11"/>
      <c r="AF195" s="118">
        <v>175000</v>
      </c>
      <c r="AG195" s="144">
        <f>AF195*19%</f>
        <v>33250</v>
      </c>
      <c r="AH195" s="113">
        <f>+AF195+AG195</f>
        <v>208250</v>
      </c>
      <c r="AI195" s="11"/>
      <c r="AJ195" s="11"/>
      <c r="AK195" s="39"/>
      <c r="AL195" s="113">
        <v>165000</v>
      </c>
      <c r="AM195" s="113">
        <f t="shared" si="46"/>
        <v>31350</v>
      </c>
      <c r="AN195" s="119">
        <f t="shared" si="47"/>
        <v>196350</v>
      </c>
      <c r="AO195" s="76" t="s">
        <v>60</v>
      </c>
      <c r="AP195" s="266" t="s">
        <v>45</v>
      </c>
      <c r="AQ195" s="39"/>
      <c r="AR195" s="275">
        <f>532800/2</f>
        <v>266400</v>
      </c>
      <c r="AS195" s="113">
        <f t="shared" si="44"/>
        <v>50616</v>
      </c>
      <c r="AT195" s="119">
        <f t="shared" si="45"/>
        <v>317016</v>
      </c>
      <c r="AU195" s="62" t="s">
        <v>60</v>
      </c>
      <c r="AV195" s="62" t="s">
        <v>35</v>
      </c>
      <c r="AW195" s="31"/>
      <c r="AX195" s="116"/>
      <c r="AY195" s="116"/>
      <c r="AZ195" s="143"/>
      <c r="BA195" s="191"/>
      <c r="BB195" s="132"/>
      <c r="BC195" s="132"/>
      <c r="BD195" s="274"/>
      <c r="BE195" s="143"/>
      <c r="BF195" s="143"/>
      <c r="BG195" s="132"/>
      <c r="BH195" s="132"/>
      <c r="BI195" s="132"/>
      <c r="BJ195" s="143"/>
      <c r="BK195" s="143"/>
      <c r="BL195" s="143"/>
      <c r="BM195" s="132"/>
      <c r="BN195" s="132"/>
      <c r="BO195" s="132"/>
      <c r="BP195" s="143"/>
      <c r="BQ195" s="132"/>
      <c r="BR195" s="132"/>
      <c r="BS195" s="132"/>
      <c r="BT195" s="132"/>
      <c r="BU195" s="132"/>
      <c r="BV195" s="267">
        <v>462000</v>
      </c>
      <c r="BW195" s="144">
        <f t="shared" si="48"/>
        <v>87780</v>
      </c>
      <c r="BX195" s="113">
        <f t="shared" si="49"/>
        <v>549780</v>
      </c>
      <c r="BY195" s="264" t="s">
        <v>79</v>
      </c>
      <c r="BZ195" s="264" t="s">
        <v>45</v>
      </c>
      <c r="CA195" s="132"/>
      <c r="CB195" s="274"/>
      <c r="CC195" s="144"/>
      <c r="CD195" s="274"/>
      <c r="CE195" s="132"/>
      <c r="CF195" s="132"/>
      <c r="CG195" s="36"/>
      <c r="CH195" s="263">
        <v>466620</v>
      </c>
      <c r="CI195" s="265">
        <f>+CH195*0.19</f>
        <v>88657.8</v>
      </c>
      <c r="CJ195" s="263">
        <f>+CH195+CI195</f>
        <v>555277.80000000005</v>
      </c>
      <c r="CK195" s="264" t="s">
        <v>79</v>
      </c>
      <c r="CL195" s="264" t="s">
        <v>45</v>
      </c>
      <c r="CM195" s="132"/>
      <c r="CN195" s="274"/>
      <c r="CO195" s="144"/>
      <c r="CP195" s="274"/>
      <c r="CQ195" s="132"/>
      <c r="CR195" s="132"/>
      <c r="CS195" s="132"/>
      <c r="CT195" s="274"/>
      <c r="CU195" s="144"/>
      <c r="CV195" s="274"/>
      <c r="CW195" s="132"/>
      <c r="CX195" s="132"/>
      <c r="CY195" s="132"/>
      <c r="CZ195" s="118">
        <v>87724</v>
      </c>
      <c r="DA195" s="144">
        <f>+CZ195*0.19</f>
        <v>16667.560000000001</v>
      </c>
      <c r="DB195" s="118">
        <f>+CZ195+DA195</f>
        <v>104391.56</v>
      </c>
      <c r="DC195" s="33" t="s">
        <v>269</v>
      </c>
      <c r="DD195" s="39" t="s">
        <v>58</v>
      </c>
      <c r="DE195" s="11" t="s">
        <v>270</v>
      </c>
      <c r="DF195" s="132"/>
      <c r="DG195" s="132"/>
      <c r="DH195" s="132"/>
      <c r="DI195" s="132"/>
      <c r="DJ195" s="132"/>
      <c r="DK195" s="132"/>
      <c r="DL195" s="132"/>
      <c r="DM195" s="132"/>
      <c r="DN195" s="132"/>
      <c r="DO195" s="132"/>
      <c r="DP195" s="132"/>
      <c r="DQ195" s="132"/>
      <c r="DR195" s="132"/>
      <c r="DS195" s="132"/>
      <c r="DT195" s="132"/>
      <c r="DU195" s="132"/>
      <c r="DV195" s="132"/>
      <c r="DW195" s="132"/>
      <c r="DX195" s="132"/>
      <c r="DY195" s="132"/>
      <c r="DZ195" s="132"/>
      <c r="EA195" s="132"/>
      <c r="EB195" s="132"/>
      <c r="EC195" s="132"/>
      <c r="ED195" s="132"/>
      <c r="EE195" s="132"/>
      <c r="EF195" s="132"/>
      <c r="EG195" s="132"/>
      <c r="EH195" s="132"/>
      <c r="EI195" s="132"/>
      <c r="EJ195" s="132"/>
      <c r="EK195" s="132"/>
      <c r="EL195" s="132"/>
      <c r="EM195" s="132"/>
      <c r="EN195" s="132"/>
      <c r="EO195" s="132"/>
      <c r="EP195" s="132"/>
      <c r="EQ195" s="132"/>
      <c r="ER195" s="132"/>
      <c r="ES195" s="132"/>
      <c r="ET195" s="11"/>
      <c r="EU195" s="11"/>
      <c r="EV195" s="11"/>
      <c r="EW195" s="11"/>
      <c r="EX195" s="11"/>
      <c r="EY195" s="11"/>
      <c r="EZ195" s="11"/>
      <c r="FA195" s="11"/>
      <c r="FB195" s="11"/>
      <c r="FC195" s="11"/>
      <c r="FD195" s="11"/>
      <c r="FE195" s="11"/>
      <c r="FF195" s="11"/>
      <c r="FG195" s="11"/>
      <c r="FH195" s="39">
        <f t="shared" ref="FH195:FH258" si="50">SUM(M195,P195,V195,AB195,AH195,AN195,AT195,AZ195,BF195,BL195,BR195,BX195,CD195,CJ195,CP195,CV195,DB195,DH195,DN195,DT195,DZ195,EF195,EL195,ER195,EX195,FD195)</f>
        <v>2140169.7799999998</v>
      </c>
      <c r="FI195" s="33">
        <f t="shared" ref="FI195:FI258" si="51">COUNTA(M195,N195,T195,Z195,AF195,AL195,AR195,AX195,BD195,BJ195,BP195,BV195,CB195,CH195,CN195,CT195,CZ195,DF195,DL195,DR195,DX195,ED195,EJ195,EP195,EV195,FB195)</f>
        <v>7</v>
      </c>
      <c r="FJ195" s="84">
        <f t="shared" ref="FJ195:FJ258" si="52">IFERROR(FH195/FI195," ")</f>
        <v>305738.53999999998</v>
      </c>
    </row>
    <row r="196" spans="1:166" ht="40.5" x14ac:dyDescent="0.25">
      <c r="A196" s="79" t="e">
        <f>#REF!</f>
        <v>#REF!</v>
      </c>
      <c r="B196" s="75" t="e">
        <f>#REF!</f>
        <v>#REF!</v>
      </c>
      <c r="C196" s="75" t="e">
        <f>#REF!</f>
        <v>#REF!</v>
      </c>
      <c r="D196" s="75" t="e">
        <f>#REF!</f>
        <v>#REF!</v>
      </c>
      <c r="E196" s="30">
        <v>1</v>
      </c>
      <c r="F196" s="238">
        <v>0</v>
      </c>
      <c r="G196" s="241">
        <v>0</v>
      </c>
      <c r="H196" s="249">
        <v>393736.5</v>
      </c>
      <c r="I196" s="249">
        <v>111860</v>
      </c>
      <c r="J196" s="249">
        <v>0</v>
      </c>
      <c r="K196" s="249">
        <v>0</v>
      </c>
      <c r="L196" s="274">
        <f>H196</f>
        <v>393736.5</v>
      </c>
      <c r="M196" s="274">
        <f>I196*E1</f>
        <v>115215.8</v>
      </c>
      <c r="N196" s="245"/>
      <c r="O196" s="113"/>
      <c r="P196" s="113"/>
      <c r="Q196" s="131"/>
      <c r="R196" s="131"/>
      <c r="S196" s="64"/>
      <c r="T196" s="113"/>
      <c r="U196" s="121"/>
      <c r="V196" s="113"/>
      <c r="W196" s="131"/>
      <c r="X196" s="131"/>
      <c r="Y196" s="11"/>
      <c r="Z196" s="113"/>
      <c r="AA196" s="113"/>
      <c r="AB196" s="113"/>
      <c r="AC196" s="52"/>
      <c r="AD196" s="52"/>
      <c r="AE196" s="11"/>
      <c r="AF196" s="118"/>
      <c r="AG196" s="144"/>
      <c r="AH196" s="113"/>
      <c r="AI196" s="11"/>
      <c r="AJ196" s="11"/>
      <c r="AK196" s="39"/>
      <c r="AL196" s="113">
        <v>420000</v>
      </c>
      <c r="AM196" s="113">
        <f t="shared" si="46"/>
        <v>79800</v>
      </c>
      <c r="AN196" s="119">
        <f t="shared" si="47"/>
        <v>499800</v>
      </c>
      <c r="AO196" s="76" t="s">
        <v>78</v>
      </c>
      <c r="AP196" s="266" t="s">
        <v>45</v>
      </c>
      <c r="AQ196" s="39"/>
      <c r="AR196" s="275">
        <v>398170</v>
      </c>
      <c r="AS196" s="113">
        <f t="shared" si="44"/>
        <v>75652.3</v>
      </c>
      <c r="AT196" s="119">
        <f t="shared" si="45"/>
        <v>473822.3</v>
      </c>
      <c r="AU196" s="62" t="s">
        <v>78</v>
      </c>
      <c r="AV196" s="62" t="s">
        <v>45</v>
      </c>
      <c r="AW196" s="31"/>
      <c r="AX196" s="116"/>
      <c r="AY196" s="116"/>
      <c r="AZ196" s="143"/>
      <c r="BA196" s="191"/>
      <c r="BB196" s="132"/>
      <c r="BC196" s="132"/>
      <c r="BD196" s="274"/>
      <c r="BE196" s="143"/>
      <c r="BF196" s="143"/>
      <c r="BG196" s="132"/>
      <c r="BH196" s="132"/>
      <c r="BI196" s="132"/>
      <c r="BJ196" s="143"/>
      <c r="BK196" s="143"/>
      <c r="BL196" s="143"/>
      <c r="BM196" s="132"/>
      <c r="BN196" s="132"/>
      <c r="BO196" s="132"/>
      <c r="BP196" s="143"/>
      <c r="BQ196" s="132"/>
      <c r="BR196" s="132"/>
      <c r="BS196" s="132"/>
      <c r="BT196" s="132"/>
      <c r="BU196" s="132"/>
      <c r="BV196" s="267">
        <v>1176000</v>
      </c>
      <c r="BW196" s="144">
        <f t="shared" si="48"/>
        <v>223440</v>
      </c>
      <c r="BX196" s="113">
        <f t="shared" si="49"/>
        <v>1399440</v>
      </c>
      <c r="BY196" s="264" t="s">
        <v>79</v>
      </c>
      <c r="BZ196" s="264" t="s">
        <v>45</v>
      </c>
      <c r="CA196" s="132"/>
      <c r="CB196" s="274"/>
      <c r="CC196" s="144"/>
      <c r="CD196" s="274"/>
      <c r="CE196" s="132"/>
      <c r="CF196" s="132"/>
      <c r="CG196" s="36"/>
      <c r="CH196" s="263"/>
      <c r="CI196" s="265"/>
      <c r="CJ196" s="263"/>
      <c r="CK196" s="264"/>
      <c r="CL196" s="264"/>
      <c r="CM196" s="132"/>
      <c r="CN196" s="274"/>
      <c r="CO196" s="144"/>
      <c r="CP196" s="274"/>
      <c r="CQ196" s="132"/>
      <c r="CR196" s="132"/>
      <c r="CS196" s="132"/>
      <c r="CT196" s="274"/>
      <c r="CU196" s="144"/>
      <c r="CV196" s="274"/>
      <c r="CW196" s="132"/>
      <c r="CX196" s="132"/>
      <c r="CY196" s="132"/>
      <c r="CZ196" s="118">
        <v>307310</v>
      </c>
      <c r="DA196" s="144">
        <f>+CZ196*0.19</f>
        <v>58388.9</v>
      </c>
      <c r="DB196" s="118">
        <f>+CZ196+DA196</f>
        <v>365698.9</v>
      </c>
      <c r="DC196" s="33" t="s">
        <v>80</v>
      </c>
      <c r="DD196" s="39" t="s">
        <v>58</v>
      </c>
      <c r="DE196" s="11">
        <v>1078150250</v>
      </c>
      <c r="DF196" s="132"/>
      <c r="DG196" s="132"/>
      <c r="DH196" s="132"/>
      <c r="DI196" s="132"/>
      <c r="DJ196" s="132"/>
      <c r="DK196" s="132"/>
      <c r="DL196" s="132"/>
      <c r="DM196" s="132"/>
      <c r="DN196" s="132"/>
      <c r="DO196" s="132"/>
      <c r="DP196" s="132"/>
      <c r="DQ196" s="132"/>
      <c r="DR196" s="132"/>
      <c r="DS196" s="132"/>
      <c r="DT196" s="132"/>
      <c r="DU196" s="132"/>
      <c r="DV196" s="132"/>
      <c r="DW196" s="132"/>
      <c r="DX196" s="132"/>
      <c r="DY196" s="132"/>
      <c r="DZ196" s="132"/>
      <c r="EA196" s="132"/>
      <c r="EB196" s="132"/>
      <c r="EC196" s="132"/>
      <c r="ED196" s="132"/>
      <c r="EE196" s="132"/>
      <c r="EF196" s="132"/>
      <c r="EG196" s="132"/>
      <c r="EH196" s="132"/>
      <c r="EI196" s="132"/>
      <c r="EJ196" s="132"/>
      <c r="EK196" s="132"/>
      <c r="EL196" s="132"/>
      <c r="EM196" s="132"/>
      <c r="EN196" s="132"/>
      <c r="EO196" s="132"/>
      <c r="EP196" s="132"/>
      <c r="EQ196" s="132"/>
      <c r="ER196" s="132"/>
      <c r="ES196" s="132"/>
      <c r="ET196" s="11"/>
      <c r="EU196" s="11"/>
      <c r="EV196" s="11"/>
      <c r="EW196" s="11"/>
      <c r="EX196" s="11"/>
      <c r="EY196" s="11"/>
      <c r="EZ196" s="11"/>
      <c r="FA196" s="11"/>
      <c r="FB196" s="11"/>
      <c r="FC196" s="11"/>
      <c r="FD196" s="11"/>
      <c r="FE196" s="11"/>
      <c r="FF196" s="11"/>
      <c r="FG196" s="11"/>
      <c r="FH196" s="39">
        <f t="shared" si="50"/>
        <v>2853977</v>
      </c>
      <c r="FI196" s="33">
        <f t="shared" si="51"/>
        <v>5</v>
      </c>
      <c r="FJ196" s="84">
        <f t="shared" si="52"/>
        <v>570795.4</v>
      </c>
    </row>
    <row r="197" spans="1:166" ht="40.5" x14ac:dyDescent="0.25">
      <c r="A197" s="79" t="e">
        <f>#REF!</f>
        <v>#REF!</v>
      </c>
      <c r="B197" s="75" t="e">
        <f>#REF!</f>
        <v>#REF!</v>
      </c>
      <c r="C197" s="75" t="e">
        <f>#REF!</f>
        <v>#REF!</v>
      </c>
      <c r="D197" s="75" t="e">
        <f>#REF!</f>
        <v>#REF!</v>
      </c>
      <c r="E197" s="30">
        <v>1</v>
      </c>
      <c r="F197" s="238">
        <v>646308.04</v>
      </c>
      <c r="G197" s="241">
        <v>626892</v>
      </c>
      <c r="H197" s="249">
        <v>606515.47644300002</v>
      </c>
      <c r="I197" s="249">
        <v>0</v>
      </c>
      <c r="J197" s="249">
        <v>556578.8666666667</v>
      </c>
      <c r="K197" s="249">
        <v>535500</v>
      </c>
      <c r="L197" s="274">
        <f>AVERAGE(F197,H197,J197)</f>
        <v>603134.12770322233</v>
      </c>
      <c r="M197" s="274">
        <f>AVERAGE(G197,K197)*E1</f>
        <v>598631.88</v>
      </c>
      <c r="N197" s="245"/>
      <c r="O197" s="113"/>
      <c r="P197" s="113"/>
      <c r="Q197" s="131"/>
      <c r="R197" s="131"/>
      <c r="S197" s="64"/>
      <c r="T197" s="113"/>
      <c r="U197" s="117"/>
      <c r="V197" s="113"/>
      <c r="W197" s="131"/>
      <c r="X197" s="131"/>
      <c r="Y197" s="11"/>
      <c r="Z197" s="113"/>
      <c r="AA197" s="113"/>
      <c r="AB197" s="113"/>
      <c r="AC197" s="52"/>
      <c r="AD197" s="52"/>
      <c r="AE197" s="11"/>
      <c r="AF197" s="118"/>
      <c r="AG197" s="144"/>
      <c r="AH197" s="113"/>
      <c r="AI197" s="11"/>
      <c r="AJ197" s="11"/>
      <c r="AK197" s="39"/>
      <c r="AL197" s="113">
        <f>1250000/2</f>
        <v>625000</v>
      </c>
      <c r="AM197" s="113">
        <f t="shared" si="46"/>
        <v>118750</v>
      </c>
      <c r="AN197" s="119">
        <f t="shared" si="47"/>
        <v>743750</v>
      </c>
      <c r="AO197" s="76" t="s">
        <v>60</v>
      </c>
      <c r="AP197" s="266" t="s">
        <v>45</v>
      </c>
      <c r="AQ197" s="39"/>
      <c r="AR197" s="275">
        <v>360000</v>
      </c>
      <c r="AS197" s="113">
        <f t="shared" si="44"/>
        <v>68400</v>
      </c>
      <c r="AT197" s="119">
        <f t="shared" si="45"/>
        <v>428400</v>
      </c>
      <c r="AU197" s="62" t="s">
        <v>78</v>
      </c>
      <c r="AV197" s="62" t="s">
        <v>35</v>
      </c>
      <c r="AW197" s="31"/>
      <c r="AX197" s="116"/>
      <c r="AY197" s="116"/>
      <c r="AZ197" s="143"/>
      <c r="BA197" s="191"/>
      <c r="BB197" s="132"/>
      <c r="BC197" s="132"/>
      <c r="BD197" s="274"/>
      <c r="BE197" s="143"/>
      <c r="BF197" s="143"/>
      <c r="BG197" s="132"/>
      <c r="BH197" s="132"/>
      <c r="BI197" s="132"/>
      <c r="BJ197" s="143"/>
      <c r="BK197" s="143"/>
      <c r="BL197" s="143"/>
      <c r="BM197" s="132"/>
      <c r="BN197" s="132"/>
      <c r="BO197" s="132"/>
      <c r="BP197" s="143"/>
      <c r="BQ197" s="132"/>
      <c r="BR197" s="132"/>
      <c r="BS197" s="132"/>
      <c r="BT197" s="132"/>
      <c r="BU197" s="132"/>
      <c r="BV197" s="267">
        <v>588000</v>
      </c>
      <c r="BW197" s="144">
        <f t="shared" si="48"/>
        <v>111720</v>
      </c>
      <c r="BX197" s="113">
        <f t="shared" si="49"/>
        <v>699720</v>
      </c>
      <c r="BY197" s="264" t="s">
        <v>79</v>
      </c>
      <c r="BZ197" s="264" t="s">
        <v>126</v>
      </c>
      <c r="CA197" s="132"/>
      <c r="CB197" s="274"/>
      <c r="CC197" s="144"/>
      <c r="CD197" s="274"/>
      <c r="CE197" s="132"/>
      <c r="CF197" s="132"/>
      <c r="CG197" s="36"/>
      <c r="CH197" s="263">
        <v>629160</v>
      </c>
      <c r="CI197" s="265">
        <f>+CH197*0.19</f>
        <v>119540.4</v>
      </c>
      <c r="CJ197" s="263">
        <f>+CH197+CI197</f>
        <v>748700.4</v>
      </c>
      <c r="CK197" s="264" t="s">
        <v>79</v>
      </c>
      <c r="CL197" s="264" t="s">
        <v>126</v>
      </c>
      <c r="CM197" s="132"/>
      <c r="CN197" s="274"/>
      <c r="CO197" s="144"/>
      <c r="CP197" s="274"/>
      <c r="CQ197" s="132"/>
      <c r="CR197" s="132"/>
      <c r="CS197" s="132"/>
      <c r="CT197" s="274"/>
      <c r="CU197" s="144"/>
      <c r="CV197" s="274"/>
      <c r="CW197" s="132"/>
      <c r="CX197" s="132"/>
      <c r="CY197" s="132"/>
      <c r="CZ197" s="118">
        <v>658207</v>
      </c>
      <c r="DA197" s="144">
        <f>+CZ197*0.19</f>
        <v>125059.33</v>
      </c>
      <c r="DB197" s="118">
        <f>+CZ197+DA197</f>
        <v>783266.33</v>
      </c>
      <c r="DC197" s="33" t="s">
        <v>271</v>
      </c>
      <c r="DD197" s="39" t="s">
        <v>58</v>
      </c>
      <c r="DE197" s="11">
        <v>1056790250</v>
      </c>
      <c r="DF197" s="132"/>
      <c r="DG197" s="132"/>
      <c r="DH197" s="132"/>
      <c r="DI197" s="132"/>
      <c r="DJ197" s="132"/>
      <c r="DK197" s="132"/>
      <c r="DL197" s="132"/>
      <c r="DM197" s="132"/>
      <c r="DN197" s="132"/>
      <c r="DO197" s="132"/>
      <c r="DP197" s="132"/>
      <c r="DQ197" s="132"/>
      <c r="DR197" s="132"/>
      <c r="DS197" s="132"/>
      <c r="DT197" s="132"/>
      <c r="DU197" s="132"/>
      <c r="DV197" s="132"/>
      <c r="DW197" s="132"/>
      <c r="DX197" s="132"/>
      <c r="DY197" s="132"/>
      <c r="DZ197" s="132"/>
      <c r="EA197" s="132"/>
      <c r="EB197" s="132"/>
      <c r="EC197" s="132"/>
      <c r="ED197" s="132"/>
      <c r="EE197" s="132"/>
      <c r="EF197" s="132"/>
      <c r="EG197" s="132"/>
      <c r="EH197" s="132"/>
      <c r="EI197" s="132"/>
      <c r="EJ197" s="132"/>
      <c r="EK197" s="132"/>
      <c r="EL197" s="132"/>
      <c r="EM197" s="132"/>
      <c r="EN197" s="132"/>
      <c r="EO197" s="132"/>
      <c r="EP197" s="132"/>
      <c r="EQ197" s="132"/>
      <c r="ER197" s="132"/>
      <c r="ES197" s="132"/>
      <c r="ET197" s="11"/>
      <c r="EU197" s="11"/>
      <c r="EV197" s="11"/>
      <c r="EW197" s="11"/>
      <c r="EX197" s="11"/>
      <c r="EY197" s="11"/>
      <c r="EZ197" s="11"/>
      <c r="FA197" s="11"/>
      <c r="FB197" s="11"/>
      <c r="FC197" s="11"/>
      <c r="FD197" s="11"/>
      <c r="FE197" s="11"/>
      <c r="FF197" s="11"/>
      <c r="FG197" s="11"/>
      <c r="FH197" s="39">
        <f t="shared" si="50"/>
        <v>4002468.61</v>
      </c>
      <c r="FI197" s="33">
        <f t="shared" si="51"/>
        <v>6</v>
      </c>
      <c r="FJ197" s="84">
        <f t="shared" si="52"/>
        <v>667078.10166666668</v>
      </c>
    </row>
    <row r="198" spans="1:166" ht="27" x14ac:dyDescent="0.25">
      <c r="A198" s="79" t="e">
        <f>#REF!</f>
        <v>#REF!</v>
      </c>
      <c r="B198" s="75" t="e">
        <f>#REF!</f>
        <v>#REF!</v>
      </c>
      <c r="C198" s="75" t="e">
        <f>#REF!</f>
        <v>#REF!</v>
      </c>
      <c r="D198" s="75" t="e">
        <f>#REF!</f>
        <v>#REF!</v>
      </c>
      <c r="E198" s="30">
        <v>1</v>
      </c>
      <c r="F198" s="238">
        <v>241335.17333333334</v>
      </c>
      <c r="G198" s="241">
        <v>229194</v>
      </c>
      <c r="H198" s="249">
        <v>231541.92425409524</v>
      </c>
      <c r="I198" s="249">
        <v>93415</v>
      </c>
      <c r="J198" s="249">
        <v>209294.19141129032</v>
      </c>
      <c r="K198" s="249">
        <v>204085</v>
      </c>
      <c r="L198" s="274">
        <f>AVERAGE(F198,H198,J198)</f>
        <v>227390.42966623962</v>
      </c>
      <c r="M198" s="274">
        <f>AVERAGE(G198,I198,K198)*E1</f>
        <v>180831.60666666666</v>
      </c>
      <c r="N198" s="245"/>
      <c r="O198" s="113"/>
      <c r="P198" s="113"/>
      <c r="Q198" s="131"/>
      <c r="R198" s="131"/>
      <c r="S198" s="64"/>
      <c r="T198" s="113"/>
      <c r="U198" s="121"/>
      <c r="V198" s="113"/>
      <c r="W198" s="131"/>
      <c r="X198" s="131"/>
      <c r="Y198" s="11"/>
      <c r="Z198" s="113"/>
      <c r="AA198" s="113"/>
      <c r="AB198" s="113"/>
      <c r="AC198" s="52"/>
      <c r="AD198" s="52"/>
      <c r="AE198" s="11"/>
      <c r="AF198" s="118">
        <v>100000</v>
      </c>
      <c r="AG198" s="144">
        <f>AF198*19%</f>
        <v>19000</v>
      </c>
      <c r="AH198" s="113">
        <f>+AF198+AG198</f>
        <v>119000</v>
      </c>
      <c r="AI198" s="11"/>
      <c r="AJ198" s="11"/>
      <c r="AK198" s="39"/>
      <c r="AL198" s="113">
        <v>220000</v>
      </c>
      <c r="AM198" s="113">
        <f t="shared" si="46"/>
        <v>41800</v>
      </c>
      <c r="AN198" s="119">
        <f t="shared" si="47"/>
        <v>261800</v>
      </c>
      <c r="AO198" s="76" t="s">
        <v>60</v>
      </c>
      <c r="AP198" s="266" t="s">
        <v>45</v>
      </c>
      <c r="AQ198" s="39"/>
      <c r="AR198" s="275">
        <v>273600</v>
      </c>
      <c r="AS198" s="113">
        <f t="shared" si="44"/>
        <v>51984</v>
      </c>
      <c r="AT198" s="119">
        <f t="shared" si="45"/>
        <v>325584</v>
      </c>
      <c r="AU198" s="62" t="s">
        <v>60</v>
      </c>
      <c r="AV198" s="62" t="s">
        <v>35</v>
      </c>
      <c r="AW198" s="31"/>
      <c r="AX198" s="116">
        <v>95932.457999999999</v>
      </c>
      <c r="AY198" s="116">
        <f>+AX198*0.19</f>
        <v>18227.167020000001</v>
      </c>
      <c r="AZ198" s="143">
        <f>+AX198+AY198</f>
        <v>114159.62502000001</v>
      </c>
      <c r="BA198" s="191" t="s">
        <v>60</v>
      </c>
      <c r="BB198" s="132" t="s">
        <v>70</v>
      </c>
      <c r="BC198" s="132"/>
      <c r="BD198" s="274"/>
      <c r="BE198" s="143"/>
      <c r="BF198" s="143"/>
      <c r="BG198" s="132"/>
      <c r="BH198" s="132"/>
      <c r="BI198" s="132"/>
      <c r="BJ198" s="143"/>
      <c r="BK198" s="143"/>
      <c r="BL198" s="143"/>
      <c r="BM198" s="132"/>
      <c r="BN198" s="132"/>
      <c r="BO198" s="132"/>
      <c r="BP198" s="143"/>
      <c r="BQ198" s="132"/>
      <c r="BR198" s="132"/>
      <c r="BS198" s="132"/>
      <c r="BT198" s="132"/>
      <c r="BU198" s="132"/>
      <c r="BV198" s="267">
        <v>110100</v>
      </c>
      <c r="BW198" s="144">
        <f t="shared" si="48"/>
        <v>20919</v>
      </c>
      <c r="BX198" s="113">
        <f t="shared" si="49"/>
        <v>131019</v>
      </c>
      <c r="BY198" s="264" t="s">
        <v>62</v>
      </c>
      <c r="BZ198" s="264" t="s">
        <v>63</v>
      </c>
      <c r="CA198" s="132"/>
      <c r="CB198" s="274"/>
      <c r="CC198" s="144"/>
      <c r="CD198" s="274"/>
      <c r="CE198" s="132"/>
      <c r="CF198" s="132"/>
      <c r="CG198" s="36"/>
      <c r="CH198" s="263">
        <v>113403</v>
      </c>
      <c r="CI198" s="265">
        <f>+CH198*0.19</f>
        <v>21546.57</v>
      </c>
      <c r="CJ198" s="263">
        <f>+CH198+CI198</f>
        <v>134949.57</v>
      </c>
      <c r="CK198" s="264" t="s">
        <v>62</v>
      </c>
      <c r="CL198" s="264" t="s">
        <v>63</v>
      </c>
      <c r="CM198" s="132"/>
      <c r="CN198" s="274"/>
      <c r="CO198" s="144"/>
      <c r="CP198" s="274"/>
      <c r="CQ198" s="132"/>
      <c r="CR198" s="132"/>
      <c r="CS198" s="132"/>
      <c r="CT198" s="274"/>
      <c r="CU198" s="144"/>
      <c r="CV198" s="274"/>
      <c r="CW198" s="132"/>
      <c r="CX198" s="132"/>
      <c r="CY198" s="132"/>
      <c r="CZ198" s="118"/>
      <c r="DA198" s="144"/>
      <c r="DB198" s="118"/>
      <c r="DC198" s="33"/>
      <c r="DD198" s="39"/>
      <c r="DE198" s="11"/>
      <c r="DF198" s="132"/>
      <c r="DG198" s="132"/>
      <c r="DH198" s="132"/>
      <c r="DI198" s="132"/>
      <c r="DJ198" s="132"/>
      <c r="DK198" s="132"/>
      <c r="DL198" s="132"/>
      <c r="DM198" s="132"/>
      <c r="DN198" s="132"/>
      <c r="DO198" s="132"/>
      <c r="DP198" s="132"/>
      <c r="DQ198" s="132"/>
      <c r="DR198" s="132"/>
      <c r="DS198" s="132"/>
      <c r="DT198" s="132"/>
      <c r="DU198" s="132"/>
      <c r="DV198" s="132"/>
      <c r="DW198" s="132"/>
      <c r="DX198" s="132"/>
      <c r="DY198" s="132"/>
      <c r="DZ198" s="132"/>
      <c r="EA198" s="132"/>
      <c r="EB198" s="132"/>
      <c r="EC198" s="132"/>
      <c r="ED198" s="132"/>
      <c r="EE198" s="132"/>
      <c r="EF198" s="132"/>
      <c r="EG198" s="132"/>
      <c r="EH198" s="132"/>
      <c r="EI198" s="132"/>
      <c r="EJ198" s="132"/>
      <c r="EK198" s="132"/>
      <c r="EL198" s="132"/>
      <c r="EM198" s="132"/>
      <c r="EN198" s="132"/>
      <c r="EO198" s="132"/>
      <c r="EP198" s="132"/>
      <c r="EQ198" s="132"/>
      <c r="ER198" s="132"/>
      <c r="ES198" s="132"/>
      <c r="ET198" s="11"/>
      <c r="EU198" s="11"/>
      <c r="EV198" s="11"/>
      <c r="EW198" s="11"/>
      <c r="EX198" s="11"/>
      <c r="EY198" s="11"/>
      <c r="EZ198" s="11"/>
      <c r="FA198" s="11"/>
      <c r="FB198" s="11"/>
      <c r="FC198" s="11"/>
      <c r="FD198" s="11"/>
      <c r="FE198" s="11"/>
      <c r="FF198" s="11"/>
      <c r="FG198" s="11"/>
      <c r="FH198" s="39">
        <f t="shared" si="50"/>
        <v>1267343.8016866667</v>
      </c>
      <c r="FI198" s="33">
        <f t="shared" si="51"/>
        <v>7</v>
      </c>
      <c r="FJ198" s="84">
        <f t="shared" si="52"/>
        <v>181049.11452666667</v>
      </c>
    </row>
    <row r="199" spans="1:166" ht="27" x14ac:dyDescent="0.25">
      <c r="A199" s="79" t="e">
        <f>#REF!</f>
        <v>#REF!</v>
      </c>
      <c r="B199" s="75" t="e">
        <f>#REF!</f>
        <v>#REF!</v>
      </c>
      <c r="C199" s="75" t="e">
        <f>#REF!</f>
        <v>#REF!</v>
      </c>
      <c r="D199" s="75" t="e">
        <f>#REF!</f>
        <v>#REF!</v>
      </c>
      <c r="E199" s="30">
        <v>1</v>
      </c>
      <c r="F199" s="238">
        <v>0</v>
      </c>
      <c r="G199" s="241">
        <v>0</v>
      </c>
      <c r="H199" s="249">
        <v>0</v>
      </c>
      <c r="I199" s="249">
        <v>0</v>
      </c>
      <c r="J199" s="249">
        <v>0</v>
      </c>
      <c r="K199" s="249">
        <v>0</v>
      </c>
      <c r="L199" s="274"/>
      <c r="M199" s="274"/>
      <c r="N199" s="245"/>
      <c r="O199" s="113"/>
      <c r="P199" s="113"/>
      <c r="Q199" s="131"/>
      <c r="R199" s="131"/>
      <c r="S199" s="64"/>
      <c r="T199" s="113"/>
      <c r="U199" s="117"/>
      <c r="V199" s="113"/>
      <c r="W199" s="131"/>
      <c r="X199" s="131"/>
      <c r="Y199" s="11"/>
      <c r="Z199" s="113"/>
      <c r="AA199" s="113"/>
      <c r="AB199" s="113"/>
      <c r="AC199" s="52"/>
      <c r="AD199" s="52"/>
      <c r="AE199" s="11"/>
      <c r="AF199" s="118"/>
      <c r="AG199" s="144"/>
      <c r="AH199" s="113"/>
      <c r="AI199" s="11"/>
      <c r="AJ199" s="11"/>
      <c r="AK199" s="39"/>
      <c r="AL199" s="113">
        <v>585000</v>
      </c>
      <c r="AM199" s="113">
        <f t="shared" si="46"/>
        <v>111150</v>
      </c>
      <c r="AN199" s="119">
        <f t="shared" si="47"/>
        <v>696150</v>
      </c>
      <c r="AO199" s="76" t="s">
        <v>54</v>
      </c>
      <c r="AP199" s="266" t="s">
        <v>45</v>
      </c>
      <c r="AQ199" s="39"/>
      <c r="AR199" s="275">
        <v>569101</v>
      </c>
      <c r="AS199" s="113">
        <f t="shared" si="44"/>
        <v>108129.19</v>
      </c>
      <c r="AT199" s="119">
        <f t="shared" si="45"/>
        <v>677230.19</v>
      </c>
      <c r="AU199" s="62" t="s">
        <v>54</v>
      </c>
      <c r="AV199" s="62" t="s">
        <v>45</v>
      </c>
      <c r="AW199" s="31"/>
      <c r="AX199" s="116"/>
      <c r="AY199" s="116"/>
      <c r="AZ199" s="143"/>
      <c r="BA199" s="191"/>
      <c r="BB199" s="132"/>
      <c r="BC199" s="132"/>
      <c r="BD199" s="274"/>
      <c r="BE199" s="143"/>
      <c r="BF199" s="143"/>
      <c r="BG199" s="132"/>
      <c r="BH199" s="132"/>
      <c r="BI199" s="132"/>
      <c r="BJ199" s="143"/>
      <c r="BK199" s="143"/>
      <c r="BL199" s="143"/>
      <c r="BM199" s="132"/>
      <c r="BN199" s="132"/>
      <c r="BO199" s="132"/>
      <c r="BP199" s="143"/>
      <c r="BQ199" s="132"/>
      <c r="BR199" s="132"/>
      <c r="BS199" s="132"/>
      <c r="BT199" s="132"/>
      <c r="BU199" s="132"/>
      <c r="BV199" s="267">
        <v>513700</v>
      </c>
      <c r="BW199" s="144">
        <f t="shared" si="48"/>
        <v>97603</v>
      </c>
      <c r="BX199" s="113">
        <f t="shared" si="49"/>
        <v>611303</v>
      </c>
      <c r="BY199" s="264" t="s">
        <v>56</v>
      </c>
      <c r="BZ199" s="264" t="s">
        <v>263</v>
      </c>
      <c r="CA199" s="132"/>
      <c r="CB199" s="274"/>
      <c r="CC199" s="144"/>
      <c r="CD199" s="274"/>
      <c r="CE199" s="132"/>
      <c r="CF199" s="132"/>
      <c r="CG199" s="36"/>
      <c r="CH199" s="263">
        <v>534248</v>
      </c>
      <c r="CI199" s="265">
        <f>+CH199*0.19</f>
        <v>101507.12</v>
      </c>
      <c r="CJ199" s="263">
        <f>+CH199+CI199</f>
        <v>635755.12</v>
      </c>
      <c r="CK199" s="264" t="s">
        <v>56</v>
      </c>
      <c r="CL199" s="264" t="s">
        <v>263</v>
      </c>
      <c r="CM199" s="132"/>
      <c r="CN199" s="274"/>
      <c r="CO199" s="144"/>
      <c r="CP199" s="274"/>
      <c r="CQ199" s="132"/>
      <c r="CR199" s="132"/>
      <c r="CS199" s="132"/>
      <c r="CT199" s="274"/>
      <c r="CU199" s="144"/>
      <c r="CV199" s="274"/>
      <c r="CW199" s="132"/>
      <c r="CX199" s="132"/>
      <c r="CY199" s="132"/>
      <c r="CZ199" s="118"/>
      <c r="DA199" s="144"/>
      <c r="DB199" s="118"/>
      <c r="DC199" s="33"/>
      <c r="DD199" s="39"/>
      <c r="DE199" s="11"/>
      <c r="DF199" s="132"/>
      <c r="DG199" s="132"/>
      <c r="DH199" s="132"/>
      <c r="DI199" s="132"/>
      <c r="DJ199" s="132"/>
      <c r="DK199" s="132"/>
      <c r="DL199" s="132"/>
      <c r="DM199" s="132"/>
      <c r="DN199" s="132"/>
      <c r="DO199" s="132"/>
      <c r="DP199" s="132"/>
      <c r="DQ199" s="132"/>
      <c r="DR199" s="132"/>
      <c r="DS199" s="132"/>
      <c r="DT199" s="132"/>
      <c r="DU199" s="132"/>
      <c r="DV199" s="132"/>
      <c r="DW199" s="132"/>
      <c r="DX199" s="132"/>
      <c r="DY199" s="132"/>
      <c r="DZ199" s="132"/>
      <c r="EA199" s="132"/>
      <c r="EB199" s="132"/>
      <c r="EC199" s="132"/>
      <c r="ED199" s="132"/>
      <c r="EE199" s="132"/>
      <c r="EF199" s="132"/>
      <c r="EG199" s="132"/>
      <c r="EH199" s="132"/>
      <c r="EI199" s="132"/>
      <c r="EJ199" s="132"/>
      <c r="EK199" s="132"/>
      <c r="EL199" s="132"/>
      <c r="EM199" s="132"/>
      <c r="EN199" s="132"/>
      <c r="EO199" s="132"/>
      <c r="EP199" s="132"/>
      <c r="EQ199" s="132"/>
      <c r="ER199" s="132"/>
      <c r="ES199" s="132"/>
      <c r="ET199" s="11"/>
      <c r="EU199" s="11"/>
      <c r="EV199" s="11"/>
      <c r="EW199" s="11"/>
      <c r="EX199" s="11"/>
      <c r="EY199" s="11"/>
      <c r="EZ199" s="11"/>
      <c r="FA199" s="11"/>
      <c r="FB199" s="11"/>
      <c r="FC199" s="11"/>
      <c r="FD199" s="11"/>
      <c r="FE199" s="11"/>
      <c r="FF199" s="11"/>
      <c r="FG199" s="11"/>
      <c r="FH199" s="39">
        <f t="shared" si="50"/>
        <v>2620438.31</v>
      </c>
      <c r="FI199" s="33">
        <f t="shared" si="51"/>
        <v>4</v>
      </c>
      <c r="FJ199" s="84">
        <f t="shared" si="52"/>
        <v>655109.57750000001</v>
      </c>
    </row>
    <row r="200" spans="1:166" ht="27" x14ac:dyDescent="0.25">
      <c r="A200" s="79" t="e">
        <f>#REF!</f>
        <v>#REF!</v>
      </c>
      <c r="B200" s="75" t="e">
        <f>#REF!</f>
        <v>#REF!</v>
      </c>
      <c r="C200" s="75" t="e">
        <f>#REF!</f>
        <v>#REF!</v>
      </c>
      <c r="D200" s="75" t="e">
        <f>#REF!</f>
        <v>#REF!</v>
      </c>
      <c r="E200" s="30">
        <v>1</v>
      </c>
      <c r="F200" s="238">
        <v>0</v>
      </c>
      <c r="G200" s="241">
        <v>0</v>
      </c>
      <c r="H200" s="249">
        <v>0</v>
      </c>
      <c r="I200" s="249">
        <v>0</v>
      </c>
      <c r="J200" s="249">
        <v>0</v>
      </c>
      <c r="K200" s="249">
        <v>0</v>
      </c>
      <c r="L200" s="274"/>
      <c r="M200" s="274"/>
      <c r="N200" s="245"/>
      <c r="O200" s="113"/>
      <c r="P200" s="113"/>
      <c r="Q200" s="131"/>
      <c r="R200" s="131"/>
      <c r="S200" s="64"/>
      <c r="T200" s="113"/>
      <c r="U200" s="117"/>
      <c r="V200" s="113"/>
      <c r="W200" s="131"/>
      <c r="X200" s="131"/>
      <c r="Y200" s="11"/>
      <c r="Z200" s="113"/>
      <c r="AA200" s="113"/>
      <c r="AB200" s="113"/>
      <c r="AC200" s="52"/>
      <c r="AD200" s="52"/>
      <c r="AE200" s="11"/>
      <c r="AF200" s="118">
        <v>430000</v>
      </c>
      <c r="AG200" s="144">
        <f>AF200*19%</f>
        <v>81700</v>
      </c>
      <c r="AH200" s="113">
        <f>+AF200+AG200</f>
        <v>511700</v>
      </c>
      <c r="AI200" s="11"/>
      <c r="AJ200" s="11"/>
      <c r="AK200" s="39"/>
      <c r="AL200" s="113">
        <v>112000</v>
      </c>
      <c r="AM200" s="113">
        <f>+AL200*0</f>
        <v>0</v>
      </c>
      <c r="AN200" s="119">
        <f t="shared" si="47"/>
        <v>112000</v>
      </c>
      <c r="AO200" s="76" t="s">
        <v>60</v>
      </c>
      <c r="AP200" s="266" t="s">
        <v>45</v>
      </c>
      <c r="AQ200" s="39"/>
      <c r="AR200" s="275">
        <v>108000</v>
      </c>
      <c r="AS200" s="113">
        <f t="shared" si="44"/>
        <v>20520</v>
      </c>
      <c r="AT200" s="119">
        <f t="shared" si="45"/>
        <v>128520</v>
      </c>
      <c r="AU200" s="62" t="s">
        <v>272</v>
      </c>
      <c r="AV200" s="62" t="s">
        <v>35</v>
      </c>
      <c r="AW200" s="31"/>
      <c r="AX200" s="116">
        <v>77197.319999999992</v>
      </c>
      <c r="AY200" s="116">
        <f>+AX200*0.19</f>
        <v>14667.4908</v>
      </c>
      <c r="AZ200" s="143">
        <f>+AX200+AY200</f>
        <v>91864.810799999992</v>
      </c>
      <c r="BA200" s="191" t="s">
        <v>60</v>
      </c>
      <c r="BB200" s="132" t="s">
        <v>70</v>
      </c>
      <c r="BC200" s="132"/>
      <c r="BD200" s="274"/>
      <c r="BE200" s="143"/>
      <c r="BF200" s="143"/>
      <c r="BG200" s="132"/>
      <c r="BH200" s="132"/>
      <c r="BI200" s="132"/>
      <c r="BJ200" s="143"/>
      <c r="BK200" s="143"/>
      <c r="BL200" s="143"/>
      <c r="BM200" s="132"/>
      <c r="BN200" s="132"/>
      <c r="BO200" s="132"/>
      <c r="BP200" s="143"/>
      <c r="BQ200" s="132"/>
      <c r="BR200" s="132"/>
      <c r="BS200" s="132"/>
      <c r="BT200" s="132"/>
      <c r="BU200" s="132"/>
      <c r="BV200" s="267">
        <v>279000</v>
      </c>
      <c r="BW200" s="144">
        <f t="shared" si="48"/>
        <v>53010</v>
      </c>
      <c r="BX200" s="113">
        <f t="shared" si="49"/>
        <v>332010</v>
      </c>
      <c r="BY200" s="264" t="s">
        <v>62</v>
      </c>
      <c r="BZ200" s="264" t="s">
        <v>63</v>
      </c>
      <c r="CA200" s="132"/>
      <c r="CB200" s="274"/>
      <c r="CC200" s="144"/>
      <c r="CD200" s="274"/>
      <c r="CE200" s="132"/>
      <c r="CF200" s="132"/>
      <c r="CG200" s="36"/>
      <c r="CH200" s="263">
        <v>298530</v>
      </c>
      <c r="CI200" s="265">
        <f>+CH200*0.19</f>
        <v>56720.7</v>
      </c>
      <c r="CJ200" s="263">
        <f>+CH200+CI200</f>
        <v>355250.7</v>
      </c>
      <c r="CK200" s="264" t="s">
        <v>62</v>
      </c>
      <c r="CL200" s="264" t="s">
        <v>63</v>
      </c>
      <c r="CM200" s="132"/>
      <c r="CN200" s="274"/>
      <c r="CO200" s="144"/>
      <c r="CP200" s="274"/>
      <c r="CQ200" s="132"/>
      <c r="CR200" s="132"/>
      <c r="CS200" s="132"/>
      <c r="CT200" s="144">
        <v>444000</v>
      </c>
      <c r="CU200" s="144">
        <f>+CT200*0</f>
        <v>0</v>
      </c>
      <c r="CV200" s="144">
        <f>CT200</f>
        <v>444000</v>
      </c>
      <c r="CW200" s="132"/>
      <c r="CX200" s="132"/>
      <c r="CY200" s="132"/>
      <c r="CZ200" s="118"/>
      <c r="DA200" s="144"/>
      <c r="DB200" s="118"/>
      <c r="DC200" s="33"/>
      <c r="DD200" s="39"/>
      <c r="DE200" s="11"/>
      <c r="DF200" s="132"/>
      <c r="DG200" s="132"/>
      <c r="DH200" s="132"/>
      <c r="DI200" s="132"/>
      <c r="DJ200" s="132"/>
      <c r="DK200" s="132"/>
      <c r="DL200" s="132"/>
      <c r="DM200" s="132"/>
      <c r="DN200" s="132"/>
      <c r="DO200" s="132"/>
      <c r="DP200" s="132"/>
      <c r="DQ200" s="132"/>
      <c r="DR200" s="132"/>
      <c r="DS200" s="132"/>
      <c r="DT200" s="132"/>
      <c r="DU200" s="132"/>
      <c r="DV200" s="132"/>
      <c r="DW200" s="132"/>
      <c r="DX200" s="132"/>
      <c r="DY200" s="132"/>
      <c r="DZ200" s="132"/>
      <c r="EA200" s="132"/>
      <c r="EB200" s="132"/>
      <c r="EC200" s="132"/>
      <c r="ED200" s="132"/>
      <c r="EE200" s="132"/>
      <c r="EF200" s="132"/>
      <c r="EG200" s="132"/>
      <c r="EH200" s="132"/>
      <c r="EI200" s="132"/>
      <c r="EJ200" s="132"/>
      <c r="EK200" s="132"/>
      <c r="EL200" s="132"/>
      <c r="EM200" s="132"/>
      <c r="EN200" s="132"/>
      <c r="EO200" s="132"/>
      <c r="EP200" s="132"/>
      <c r="EQ200" s="132"/>
      <c r="ER200" s="132"/>
      <c r="ES200" s="132"/>
      <c r="ET200" s="11"/>
      <c r="EU200" s="11"/>
      <c r="EV200" s="11"/>
      <c r="EW200" s="11"/>
      <c r="EX200" s="11"/>
      <c r="EY200" s="11"/>
      <c r="EZ200" s="11"/>
      <c r="FA200" s="11"/>
      <c r="FB200" s="11"/>
      <c r="FC200" s="11"/>
      <c r="FD200" s="11"/>
      <c r="FE200" s="11"/>
      <c r="FF200" s="11"/>
      <c r="FG200" s="11"/>
      <c r="FH200" s="39">
        <f t="shared" si="50"/>
        <v>1975345.5108</v>
      </c>
      <c r="FI200" s="33">
        <f t="shared" si="51"/>
        <v>7</v>
      </c>
      <c r="FJ200" s="84">
        <f t="shared" si="52"/>
        <v>282192.21582857141</v>
      </c>
    </row>
    <row r="201" spans="1:166" ht="27" x14ac:dyDescent="0.25">
      <c r="A201" s="79" t="e">
        <f>#REF!</f>
        <v>#REF!</v>
      </c>
      <c r="B201" s="75" t="e">
        <f>#REF!</f>
        <v>#REF!</v>
      </c>
      <c r="C201" s="75" t="e">
        <f>#REF!</f>
        <v>#REF!</v>
      </c>
      <c r="D201" s="75" t="e">
        <f>#REF!</f>
        <v>#REF!</v>
      </c>
      <c r="E201" s="30">
        <v>1</v>
      </c>
      <c r="F201" s="238">
        <v>203252</v>
      </c>
      <c r="G201" s="241">
        <v>44506</v>
      </c>
      <c r="H201" s="249">
        <v>130975.3103505</v>
      </c>
      <c r="I201" s="249">
        <v>48790</v>
      </c>
      <c r="J201" s="249">
        <v>162343.76666666666</v>
      </c>
      <c r="K201" s="249">
        <v>0</v>
      </c>
      <c r="L201" s="274">
        <f>AVERAGE(F201,H201,J201)</f>
        <v>165523.69233905556</v>
      </c>
      <c r="M201" s="274">
        <f>AVERAGE(G201,I201)*E1</f>
        <v>48047.44</v>
      </c>
      <c r="N201" s="245"/>
      <c r="O201" s="113"/>
      <c r="P201" s="113"/>
      <c r="Q201" s="131"/>
      <c r="R201" s="131"/>
      <c r="S201" s="64"/>
      <c r="T201" s="113"/>
      <c r="U201" s="117"/>
      <c r="V201" s="113"/>
      <c r="W201" s="131"/>
      <c r="X201" s="131"/>
      <c r="Y201" s="11"/>
      <c r="Z201" s="113"/>
      <c r="AA201" s="113"/>
      <c r="AB201" s="113"/>
      <c r="AC201" s="52"/>
      <c r="AD201" s="52"/>
      <c r="AE201" s="11"/>
      <c r="AF201" s="118">
        <v>90000</v>
      </c>
      <c r="AG201" s="144">
        <f>AF201*19%</f>
        <v>17100</v>
      </c>
      <c r="AH201" s="113">
        <f>+AF201+AG201</f>
        <v>107100</v>
      </c>
      <c r="AI201" s="11"/>
      <c r="AJ201" s="11"/>
      <c r="AK201" s="39"/>
      <c r="AL201" s="113">
        <v>85000</v>
      </c>
      <c r="AM201" s="113">
        <f>+AL201*0.19</f>
        <v>16150</v>
      </c>
      <c r="AN201" s="119">
        <f t="shared" si="47"/>
        <v>101150</v>
      </c>
      <c r="AO201" s="76" t="s">
        <v>273</v>
      </c>
      <c r="AP201" s="266" t="s">
        <v>45</v>
      </c>
      <c r="AQ201" s="39"/>
      <c r="AR201" s="275"/>
      <c r="AS201" s="156"/>
      <c r="AT201" s="157"/>
      <c r="AU201" s="62"/>
      <c r="AV201" s="62"/>
      <c r="AW201" s="31"/>
      <c r="AX201" s="116"/>
      <c r="AY201" s="194"/>
      <c r="AZ201" s="143"/>
      <c r="BA201" s="191"/>
      <c r="BB201" s="132"/>
      <c r="BC201" s="132"/>
      <c r="BD201" s="274"/>
      <c r="BE201" s="143"/>
      <c r="BF201" s="143"/>
      <c r="BG201" s="132"/>
      <c r="BH201" s="132"/>
      <c r="BI201" s="132"/>
      <c r="BJ201" s="143"/>
      <c r="BK201" s="143"/>
      <c r="BL201" s="143"/>
      <c r="BM201" s="132"/>
      <c r="BN201" s="132"/>
      <c r="BO201" s="132"/>
      <c r="BP201" s="143"/>
      <c r="BQ201" s="132"/>
      <c r="BR201" s="132"/>
      <c r="BS201" s="132"/>
      <c r="BT201" s="132"/>
      <c r="BU201" s="132"/>
      <c r="BV201" s="267">
        <v>301100</v>
      </c>
      <c r="BW201" s="144">
        <f t="shared" si="48"/>
        <v>57209</v>
      </c>
      <c r="BX201" s="113">
        <f t="shared" si="49"/>
        <v>358309</v>
      </c>
      <c r="BY201" s="264" t="s">
        <v>40</v>
      </c>
      <c r="BZ201" s="264" t="s">
        <v>88</v>
      </c>
      <c r="CA201" s="132"/>
      <c r="CB201" s="274"/>
      <c r="CC201" s="144"/>
      <c r="CD201" s="274"/>
      <c r="CE201" s="132"/>
      <c r="CF201" s="132"/>
      <c r="CG201" s="36"/>
      <c r="CH201" s="263"/>
      <c r="CI201" s="265"/>
      <c r="CJ201" s="263"/>
      <c r="CK201" s="264"/>
      <c r="CL201" s="264"/>
      <c r="CM201" s="132"/>
      <c r="CN201" s="274"/>
      <c r="CO201" s="144"/>
      <c r="CP201" s="274"/>
      <c r="CQ201" s="132"/>
      <c r="CR201" s="132"/>
      <c r="CS201" s="132"/>
      <c r="CT201" s="274"/>
      <c r="CU201" s="144"/>
      <c r="CV201" s="274"/>
      <c r="CW201" s="132"/>
      <c r="CX201" s="132"/>
      <c r="CY201" s="132"/>
      <c r="CZ201" s="118"/>
      <c r="DA201" s="144"/>
      <c r="DB201" s="118"/>
      <c r="DC201" s="33"/>
      <c r="DD201" s="39"/>
      <c r="DE201" s="11"/>
      <c r="DF201" s="132"/>
      <c r="DG201" s="132"/>
      <c r="DH201" s="132"/>
      <c r="DI201" s="132"/>
      <c r="DJ201" s="132"/>
      <c r="DK201" s="132"/>
      <c r="DL201" s="132"/>
      <c r="DM201" s="132"/>
      <c r="DN201" s="132"/>
      <c r="DO201" s="132"/>
      <c r="DP201" s="132"/>
      <c r="DQ201" s="132"/>
      <c r="DR201" s="132"/>
      <c r="DS201" s="132"/>
      <c r="DT201" s="132"/>
      <c r="DU201" s="132"/>
      <c r="DV201" s="132"/>
      <c r="DW201" s="132"/>
      <c r="DX201" s="132"/>
      <c r="DY201" s="132"/>
      <c r="DZ201" s="132"/>
      <c r="EA201" s="132"/>
      <c r="EB201" s="132"/>
      <c r="EC201" s="132"/>
      <c r="ED201" s="132"/>
      <c r="EE201" s="132"/>
      <c r="EF201" s="132"/>
      <c r="EG201" s="132"/>
      <c r="EH201" s="132"/>
      <c r="EI201" s="132"/>
      <c r="EJ201" s="132"/>
      <c r="EK201" s="132"/>
      <c r="EL201" s="132"/>
      <c r="EM201" s="132"/>
      <c r="EN201" s="132"/>
      <c r="EO201" s="132"/>
      <c r="EP201" s="132"/>
      <c r="EQ201" s="132"/>
      <c r="ER201" s="132"/>
      <c r="ES201" s="132"/>
      <c r="ET201" s="11"/>
      <c r="EU201" s="11"/>
      <c r="EV201" s="11"/>
      <c r="EW201" s="11"/>
      <c r="EX201" s="11"/>
      <c r="EY201" s="11"/>
      <c r="EZ201" s="11"/>
      <c r="FA201" s="11"/>
      <c r="FB201" s="11"/>
      <c r="FC201" s="11"/>
      <c r="FD201" s="11"/>
      <c r="FE201" s="11"/>
      <c r="FF201" s="11"/>
      <c r="FG201" s="11"/>
      <c r="FH201" s="39">
        <f t="shared" si="50"/>
        <v>614606.43999999994</v>
      </c>
      <c r="FI201" s="33">
        <f t="shared" si="51"/>
        <v>4</v>
      </c>
      <c r="FJ201" s="84">
        <f t="shared" si="52"/>
        <v>153651.60999999999</v>
      </c>
    </row>
    <row r="202" spans="1:166" ht="27" x14ac:dyDescent="0.25">
      <c r="A202" s="79" t="e">
        <f>#REF!</f>
        <v>#REF!</v>
      </c>
      <c r="B202" s="75" t="e">
        <f>#REF!</f>
        <v>#REF!</v>
      </c>
      <c r="C202" s="75" t="e">
        <f>#REF!</f>
        <v>#REF!</v>
      </c>
      <c r="D202" s="75" t="e">
        <f>#REF!</f>
        <v>#REF!</v>
      </c>
      <c r="E202" s="30">
        <v>1</v>
      </c>
      <c r="F202" s="238">
        <v>119483.33333333333</v>
      </c>
      <c r="G202" s="241">
        <v>115800</v>
      </c>
      <c r="H202" s="249">
        <v>117236.91980757574</v>
      </c>
      <c r="I202" s="249">
        <v>117215</v>
      </c>
      <c r="J202" s="249">
        <v>93483.569892473111</v>
      </c>
      <c r="K202" s="249">
        <v>91630</v>
      </c>
      <c r="L202" s="274">
        <f>AVERAGE(F202,H202,J202)</f>
        <v>110067.94101112739</v>
      </c>
      <c r="M202" s="274">
        <f>AVERAGE(G202,I202,K202)*E1</f>
        <v>111461.45</v>
      </c>
      <c r="N202" s="245"/>
      <c r="O202" s="113"/>
      <c r="P202" s="113"/>
      <c r="Q202" s="131"/>
      <c r="R202" s="131"/>
      <c r="S202" s="64"/>
      <c r="T202" s="113"/>
      <c r="U202" s="113"/>
      <c r="V202" s="113"/>
      <c r="W202" s="131"/>
      <c r="X202" s="131"/>
      <c r="Y202" s="11"/>
      <c r="Z202" s="113"/>
      <c r="AA202" s="113"/>
      <c r="AB202" s="113"/>
      <c r="AC202" s="52"/>
      <c r="AD202" s="52"/>
      <c r="AE202" s="11"/>
      <c r="AF202" s="118">
        <v>90000</v>
      </c>
      <c r="AG202" s="144">
        <f>AF202*19%</f>
        <v>17100</v>
      </c>
      <c r="AH202" s="113">
        <f>+AF202+AG202</f>
        <v>107100</v>
      </c>
      <c r="AI202" s="11"/>
      <c r="AJ202" s="11"/>
      <c r="AK202" s="39"/>
      <c r="AL202" s="113">
        <v>69000</v>
      </c>
      <c r="AM202" s="113">
        <f>+AL202*0</f>
        <v>0</v>
      </c>
      <c r="AN202" s="119">
        <f t="shared" si="47"/>
        <v>69000</v>
      </c>
      <c r="AO202" s="76" t="s">
        <v>95</v>
      </c>
      <c r="AP202" s="266" t="s">
        <v>45</v>
      </c>
      <c r="AQ202" s="39"/>
      <c r="AR202" s="275"/>
      <c r="AS202" s="156"/>
      <c r="AT202" s="157"/>
      <c r="AU202" s="62"/>
      <c r="AV202" s="62"/>
      <c r="AW202" s="31"/>
      <c r="AX202" s="116"/>
      <c r="AY202" s="116"/>
      <c r="AZ202" s="143"/>
      <c r="BA202" s="191"/>
      <c r="BB202" s="132"/>
      <c r="BC202" s="132"/>
      <c r="BD202" s="274"/>
      <c r="BE202" s="143"/>
      <c r="BF202" s="143"/>
      <c r="BG202" s="132"/>
      <c r="BH202" s="132"/>
      <c r="BI202" s="132"/>
      <c r="BJ202" s="143"/>
      <c r="BK202" s="143"/>
      <c r="BL202" s="143"/>
      <c r="BM202" s="132"/>
      <c r="BN202" s="132"/>
      <c r="BO202" s="132"/>
      <c r="BP202" s="143"/>
      <c r="BQ202" s="132"/>
      <c r="BR202" s="132"/>
      <c r="BS202" s="132"/>
      <c r="BT202" s="132"/>
      <c r="BU202" s="132"/>
      <c r="BV202" s="267">
        <v>101300</v>
      </c>
      <c r="BW202" s="144">
        <f t="shared" si="48"/>
        <v>19247</v>
      </c>
      <c r="BX202" s="113">
        <f t="shared" si="49"/>
        <v>120547</v>
      </c>
      <c r="BY202" s="264" t="s">
        <v>257</v>
      </c>
      <c r="BZ202" s="264" t="s">
        <v>63</v>
      </c>
      <c r="CA202" s="132"/>
      <c r="CB202" s="274"/>
      <c r="CC202" s="144"/>
      <c r="CD202" s="274"/>
      <c r="CE202" s="132"/>
      <c r="CF202" s="132"/>
      <c r="CG202" s="36"/>
      <c r="CH202" s="263">
        <v>102313</v>
      </c>
      <c r="CI202" s="265">
        <f>+CH202*0.19</f>
        <v>19439.47</v>
      </c>
      <c r="CJ202" s="263">
        <f>+CH202+CI202</f>
        <v>121752.47</v>
      </c>
      <c r="CK202" s="264" t="s">
        <v>257</v>
      </c>
      <c r="CL202" s="264" t="s">
        <v>63</v>
      </c>
      <c r="CM202" s="132"/>
      <c r="CN202" s="274"/>
      <c r="CO202" s="144"/>
      <c r="CP202" s="274"/>
      <c r="CQ202" s="132"/>
      <c r="CR202" s="132"/>
      <c r="CS202" s="132"/>
      <c r="CT202" s="274"/>
      <c r="CU202" s="144"/>
      <c r="CV202" s="274"/>
      <c r="CW202" s="132"/>
      <c r="CX202" s="132"/>
      <c r="CY202" s="132"/>
      <c r="CZ202" s="118">
        <v>48000</v>
      </c>
      <c r="DA202" s="144">
        <v>0</v>
      </c>
      <c r="DB202" s="118">
        <v>48000</v>
      </c>
      <c r="DC202" s="33" t="s">
        <v>96</v>
      </c>
      <c r="DD202" s="39" t="s">
        <v>58</v>
      </c>
      <c r="DE202" s="11">
        <v>1064041000</v>
      </c>
      <c r="DF202" s="132"/>
      <c r="DG202" s="132"/>
      <c r="DH202" s="132"/>
      <c r="DI202" s="132"/>
      <c r="DJ202" s="132"/>
      <c r="DK202" s="132"/>
      <c r="DL202" s="132"/>
      <c r="DM202" s="132"/>
      <c r="DN202" s="132"/>
      <c r="DO202" s="132"/>
      <c r="DP202" s="132"/>
      <c r="DQ202" s="132"/>
      <c r="DR202" s="132"/>
      <c r="DS202" s="132"/>
      <c r="DT202" s="132"/>
      <c r="DU202" s="132"/>
      <c r="DV202" s="132"/>
      <c r="DW202" s="132"/>
      <c r="DX202" s="132"/>
      <c r="DY202" s="132"/>
      <c r="DZ202" s="132"/>
      <c r="EA202" s="132"/>
      <c r="EB202" s="132"/>
      <c r="EC202" s="132"/>
      <c r="ED202" s="132"/>
      <c r="EE202" s="132"/>
      <c r="EF202" s="132"/>
      <c r="EG202" s="132"/>
      <c r="EH202" s="132"/>
      <c r="EI202" s="132"/>
      <c r="EJ202" s="132"/>
      <c r="EK202" s="132"/>
      <c r="EL202" s="132"/>
      <c r="EM202" s="132"/>
      <c r="EN202" s="132"/>
      <c r="EO202" s="132"/>
      <c r="EP202" s="132"/>
      <c r="EQ202" s="132"/>
      <c r="ER202" s="132"/>
      <c r="ES202" s="132"/>
      <c r="ET202" s="11"/>
      <c r="EU202" s="11"/>
      <c r="EV202" s="11"/>
      <c r="EW202" s="11"/>
      <c r="EX202" s="11"/>
      <c r="EY202" s="11"/>
      <c r="EZ202" s="11"/>
      <c r="FA202" s="11"/>
      <c r="FB202" s="11"/>
      <c r="FC202" s="11"/>
      <c r="FD202" s="11"/>
      <c r="FE202" s="11"/>
      <c r="FF202" s="11"/>
      <c r="FG202" s="11"/>
      <c r="FH202" s="39">
        <f t="shared" si="50"/>
        <v>577860.92000000004</v>
      </c>
      <c r="FI202" s="33">
        <f t="shared" si="51"/>
        <v>6</v>
      </c>
      <c r="FJ202" s="84">
        <f t="shared" si="52"/>
        <v>96310.153333333335</v>
      </c>
    </row>
    <row r="203" spans="1:166" ht="40.5" x14ac:dyDescent="0.25">
      <c r="A203" s="79" t="e">
        <f>#REF!</f>
        <v>#REF!</v>
      </c>
      <c r="B203" s="75" t="e">
        <f>#REF!</f>
        <v>#REF!</v>
      </c>
      <c r="C203" s="75" t="e">
        <f>#REF!</f>
        <v>#REF!</v>
      </c>
      <c r="D203" s="75" t="e">
        <f>#REF!</f>
        <v>#REF!</v>
      </c>
      <c r="E203" s="30">
        <v>1</v>
      </c>
      <c r="F203" s="238">
        <v>0</v>
      </c>
      <c r="G203" s="241">
        <v>0</v>
      </c>
      <c r="H203" s="249">
        <v>221637.5</v>
      </c>
      <c r="I203" s="249">
        <v>0</v>
      </c>
      <c r="J203" s="249">
        <v>0</v>
      </c>
      <c r="K203" s="249">
        <v>0</v>
      </c>
      <c r="L203" s="274">
        <f>H203</f>
        <v>221637.5</v>
      </c>
      <c r="M203" s="274"/>
      <c r="N203" s="247">
        <v>754000</v>
      </c>
      <c r="O203" s="113">
        <f>+N203*0</f>
        <v>0</v>
      </c>
      <c r="P203" s="113">
        <f>+O203+N203</f>
        <v>754000</v>
      </c>
      <c r="Q203" s="36" t="s">
        <v>274</v>
      </c>
      <c r="R203" s="132" t="s">
        <v>200</v>
      </c>
      <c r="S203" s="64" t="s">
        <v>216</v>
      </c>
      <c r="T203" s="113"/>
      <c r="U203" s="117"/>
      <c r="V203" s="113"/>
      <c r="W203" s="131"/>
      <c r="X203" s="131"/>
      <c r="Y203" s="11"/>
      <c r="Z203" s="113"/>
      <c r="AA203" s="113"/>
      <c r="AB203" s="113"/>
      <c r="AC203" s="52"/>
      <c r="AD203" s="52"/>
      <c r="AE203" s="11"/>
      <c r="AF203" s="113"/>
      <c r="AG203" s="144"/>
      <c r="AH203" s="113"/>
      <c r="AI203" s="11"/>
      <c r="AJ203" s="11"/>
      <c r="AK203" s="39"/>
      <c r="AL203" s="113"/>
      <c r="AM203" s="113"/>
      <c r="AN203" s="117"/>
      <c r="AO203" s="76"/>
      <c r="AP203" s="39"/>
      <c r="AQ203" s="39"/>
      <c r="AR203" s="275"/>
      <c r="AS203" s="156"/>
      <c r="AT203" s="157"/>
      <c r="AU203" s="62"/>
      <c r="AV203" s="62"/>
      <c r="AW203" s="31"/>
      <c r="AX203" s="116"/>
      <c r="AY203" s="116"/>
      <c r="AZ203" s="143"/>
      <c r="BA203" s="191"/>
      <c r="BB203" s="132"/>
      <c r="BC203" s="132"/>
      <c r="BD203" s="275"/>
      <c r="BE203" s="143"/>
      <c r="BF203" s="143"/>
      <c r="BG203" s="132"/>
      <c r="BH203" s="132"/>
      <c r="BI203" s="132"/>
      <c r="BJ203" s="143"/>
      <c r="BK203" s="143"/>
      <c r="BL203" s="143"/>
      <c r="BM203" s="132"/>
      <c r="BN203" s="132"/>
      <c r="BO203" s="132"/>
      <c r="BP203" s="143"/>
      <c r="BQ203" s="132"/>
      <c r="BR203" s="132"/>
      <c r="BS203" s="132"/>
      <c r="BT203" s="132"/>
      <c r="BU203" s="132"/>
      <c r="BV203" s="267">
        <v>731700</v>
      </c>
      <c r="BW203" s="144">
        <f t="shared" si="48"/>
        <v>139023</v>
      </c>
      <c r="BX203" s="113">
        <f t="shared" si="49"/>
        <v>870723</v>
      </c>
      <c r="BY203" s="264" t="s">
        <v>275</v>
      </c>
      <c r="BZ203" s="264" t="s">
        <v>276</v>
      </c>
      <c r="CA203" s="132"/>
      <c r="CB203" s="275"/>
      <c r="CC203" s="143"/>
      <c r="CD203" s="275"/>
      <c r="CE203" s="132"/>
      <c r="CF203" s="132"/>
      <c r="CG203" s="36"/>
      <c r="CH203" s="267">
        <v>768285</v>
      </c>
      <c r="CI203" s="265">
        <f>+CH203*0.19</f>
        <v>145974.15</v>
      </c>
      <c r="CJ203" s="263">
        <f>+CH203+CI203</f>
        <v>914259.15</v>
      </c>
      <c r="CK203" s="264" t="s">
        <v>275</v>
      </c>
      <c r="CL203" s="264" t="s">
        <v>276</v>
      </c>
      <c r="CM203" s="132"/>
      <c r="CN203" s="275"/>
      <c r="CO203" s="143"/>
      <c r="CP203" s="275"/>
      <c r="CQ203" s="132"/>
      <c r="CR203" s="132"/>
      <c r="CS203" s="132"/>
      <c r="CT203" s="275"/>
      <c r="CU203" s="143"/>
      <c r="CV203" s="275"/>
      <c r="CW203" s="132"/>
      <c r="CX203" s="132"/>
      <c r="CY203" s="132"/>
      <c r="CZ203" s="113"/>
      <c r="DA203" s="143"/>
      <c r="DB203" s="113"/>
      <c r="DC203" s="33"/>
      <c r="DD203" s="39"/>
      <c r="DE203" s="11"/>
      <c r="DF203" s="132"/>
      <c r="DG203" s="132"/>
      <c r="DH203" s="132"/>
      <c r="DI203" s="132"/>
      <c r="DJ203" s="132"/>
      <c r="DK203" s="132"/>
      <c r="DL203" s="132"/>
      <c r="DM203" s="132"/>
      <c r="DN203" s="132"/>
      <c r="DO203" s="132"/>
      <c r="DP203" s="132"/>
      <c r="DQ203" s="132"/>
      <c r="DR203" s="132"/>
      <c r="DS203" s="132"/>
      <c r="DT203" s="132"/>
      <c r="DU203" s="132"/>
      <c r="DV203" s="132"/>
      <c r="DW203" s="132"/>
      <c r="DX203" s="132"/>
      <c r="DY203" s="132"/>
      <c r="DZ203" s="132"/>
      <c r="EA203" s="132"/>
      <c r="EB203" s="132"/>
      <c r="EC203" s="132"/>
      <c r="ED203" s="132"/>
      <c r="EE203" s="132"/>
      <c r="EF203" s="132"/>
      <c r="EG203" s="132"/>
      <c r="EH203" s="132"/>
      <c r="EI203" s="132"/>
      <c r="EJ203" s="132"/>
      <c r="EK203" s="132"/>
      <c r="EL203" s="132"/>
      <c r="EM203" s="132"/>
      <c r="EN203" s="132"/>
      <c r="EO203" s="132"/>
      <c r="EP203" s="132"/>
      <c r="EQ203" s="132"/>
      <c r="ER203" s="132"/>
      <c r="ES203" s="132"/>
      <c r="ET203" s="11"/>
      <c r="EU203" s="11"/>
      <c r="EV203" s="11"/>
      <c r="EW203" s="11"/>
      <c r="EX203" s="11"/>
      <c r="EY203" s="11"/>
      <c r="EZ203" s="11"/>
      <c r="FA203" s="11"/>
      <c r="FB203" s="11"/>
      <c r="FC203" s="11"/>
      <c r="FD203" s="11"/>
      <c r="FE203" s="11"/>
      <c r="FF203" s="11"/>
      <c r="FG203" s="11"/>
      <c r="FH203" s="39">
        <f t="shared" si="50"/>
        <v>2538982.15</v>
      </c>
      <c r="FI203" s="33">
        <f t="shared" si="51"/>
        <v>3</v>
      </c>
      <c r="FJ203" s="84">
        <f t="shared" si="52"/>
        <v>846327.3833333333</v>
      </c>
    </row>
    <row r="204" spans="1:166" ht="27" x14ac:dyDescent="0.25">
      <c r="A204" s="79" t="e">
        <f>#REF!</f>
        <v>#REF!</v>
      </c>
      <c r="B204" s="75" t="e">
        <f>#REF!</f>
        <v>#REF!</v>
      </c>
      <c r="C204" s="75" t="e">
        <f>#REF!</f>
        <v>#REF!</v>
      </c>
      <c r="D204" s="75" t="e">
        <f>#REF!</f>
        <v>#REF!</v>
      </c>
      <c r="E204" s="30">
        <v>1</v>
      </c>
      <c r="F204" s="238">
        <v>1776725.335</v>
      </c>
      <c r="G204" s="241">
        <v>1776670</v>
      </c>
      <c r="H204" s="249">
        <v>1483425.8356650833</v>
      </c>
      <c r="I204" s="249">
        <v>119000</v>
      </c>
      <c r="J204" s="249">
        <v>1091720.875</v>
      </c>
      <c r="K204" s="249">
        <v>0</v>
      </c>
      <c r="L204" s="274">
        <f>AVERAGE(F204,H204,J204)</f>
        <v>1450624.0152216945</v>
      </c>
      <c r="M204" s="274">
        <f>AVERAGE(G204,I204)*E1</f>
        <v>976270.05</v>
      </c>
      <c r="N204" s="245"/>
      <c r="O204" s="113"/>
      <c r="P204" s="113"/>
      <c r="Q204" s="131"/>
      <c r="R204" s="131"/>
      <c r="S204" s="64"/>
      <c r="T204" s="113"/>
      <c r="U204" s="113"/>
      <c r="V204" s="113"/>
      <c r="W204" s="131"/>
      <c r="X204" s="131"/>
      <c r="Y204" s="11"/>
      <c r="Z204" s="113"/>
      <c r="AA204" s="113"/>
      <c r="AB204" s="113"/>
      <c r="AC204" s="52"/>
      <c r="AD204" s="52"/>
      <c r="AE204" s="11"/>
      <c r="AF204" s="118"/>
      <c r="AG204" s="144"/>
      <c r="AH204" s="113"/>
      <c r="AI204" s="11"/>
      <c r="AJ204" s="11"/>
      <c r="AK204" s="39"/>
      <c r="AL204" s="113"/>
      <c r="AM204" s="113"/>
      <c r="AN204" s="117"/>
      <c r="AO204" s="76"/>
      <c r="AP204" s="39"/>
      <c r="AQ204" s="39"/>
      <c r="AR204" s="275">
        <v>576000</v>
      </c>
      <c r="AS204" s="113">
        <f>+AR204*0.19</f>
        <v>109440</v>
      </c>
      <c r="AT204" s="119">
        <f>+AR204+AS204</f>
        <v>685440</v>
      </c>
      <c r="AU204" s="62" t="s">
        <v>34</v>
      </c>
      <c r="AV204" s="62" t="s">
        <v>35</v>
      </c>
      <c r="AW204" s="31"/>
      <c r="AX204" s="116"/>
      <c r="AY204" s="116"/>
      <c r="AZ204" s="143"/>
      <c r="BA204" s="191"/>
      <c r="BB204" s="132"/>
      <c r="BC204" s="132"/>
      <c r="BD204" s="274"/>
      <c r="BE204" s="143"/>
      <c r="BF204" s="143"/>
      <c r="BG204" s="132"/>
      <c r="BH204" s="132"/>
      <c r="BI204" s="132"/>
      <c r="BJ204" s="143"/>
      <c r="BK204" s="143"/>
      <c r="BL204" s="143"/>
      <c r="BM204" s="132"/>
      <c r="BN204" s="132"/>
      <c r="BO204" s="132"/>
      <c r="BP204" s="143"/>
      <c r="BQ204" s="132"/>
      <c r="BR204" s="132"/>
      <c r="BS204" s="132"/>
      <c r="BT204" s="132"/>
      <c r="BU204" s="132"/>
      <c r="BV204" s="267">
        <v>2000000</v>
      </c>
      <c r="BW204" s="144">
        <f t="shared" si="48"/>
        <v>380000</v>
      </c>
      <c r="BX204" s="113">
        <f t="shared" si="49"/>
        <v>2380000</v>
      </c>
      <c r="BY204" s="264" t="s">
        <v>100</v>
      </c>
      <c r="BZ204" s="264" t="s">
        <v>237</v>
      </c>
      <c r="CA204" s="132"/>
      <c r="CB204" s="274"/>
      <c r="CC204" s="144"/>
      <c r="CD204" s="274"/>
      <c r="CE204" s="132"/>
      <c r="CF204" s="132"/>
      <c r="CG204" s="36"/>
      <c r="CH204" s="268"/>
      <c r="CI204" s="265"/>
      <c r="CJ204" s="263"/>
      <c r="CK204" s="264"/>
      <c r="CL204" s="264"/>
      <c r="CM204" s="132"/>
      <c r="CN204" s="274"/>
      <c r="CO204" s="144"/>
      <c r="CP204" s="274"/>
      <c r="CQ204" s="132"/>
      <c r="CR204" s="132"/>
      <c r="CS204" s="132"/>
      <c r="CT204" s="274"/>
      <c r="CU204" s="144"/>
      <c r="CV204" s="274"/>
      <c r="CW204" s="132"/>
      <c r="CX204" s="132"/>
      <c r="CY204" s="132"/>
      <c r="CZ204" s="118"/>
      <c r="DA204" s="144"/>
      <c r="DB204" s="118"/>
      <c r="DC204" s="33"/>
      <c r="DD204" s="39"/>
      <c r="DE204" s="11"/>
      <c r="DF204" s="132"/>
      <c r="DG204" s="132"/>
      <c r="DH204" s="132"/>
      <c r="DI204" s="132"/>
      <c r="DJ204" s="132"/>
      <c r="DK204" s="132"/>
      <c r="DL204" s="132"/>
      <c r="DM204" s="132"/>
      <c r="DN204" s="132"/>
      <c r="DO204" s="132"/>
      <c r="DP204" s="132"/>
      <c r="DQ204" s="132"/>
      <c r="DR204" s="132"/>
      <c r="DS204" s="132"/>
      <c r="DT204" s="132"/>
      <c r="DU204" s="132"/>
      <c r="DV204" s="132"/>
      <c r="DW204" s="132"/>
      <c r="DX204" s="132"/>
      <c r="DY204" s="132"/>
      <c r="DZ204" s="132"/>
      <c r="EA204" s="132"/>
      <c r="EB204" s="132"/>
      <c r="EC204" s="132"/>
      <c r="ED204" s="132"/>
      <c r="EE204" s="132"/>
      <c r="EF204" s="132"/>
      <c r="EG204" s="132"/>
      <c r="EH204" s="132"/>
      <c r="EI204" s="132"/>
      <c r="EJ204" s="132"/>
      <c r="EK204" s="132"/>
      <c r="EL204" s="132"/>
      <c r="EM204" s="132"/>
      <c r="EN204" s="132"/>
      <c r="EO204" s="132"/>
      <c r="EP204" s="132"/>
      <c r="EQ204" s="132"/>
      <c r="ER204" s="132"/>
      <c r="ES204" s="132"/>
      <c r="ET204" s="11"/>
      <c r="EU204" s="11"/>
      <c r="EV204" s="11"/>
      <c r="EW204" s="11"/>
      <c r="EX204" s="11"/>
      <c r="EY204" s="11"/>
      <c r="EZ204" s="11"/>
      <c r="FA204" s="11"/>
      <c r="FB204" s="11"/>
      <c r="FC204" s="11"/>
      <c r="FD204" s="11"/>
      <c r="FE204" s="11"/>
      <c r="FF204" s="11"/>
      <c r="FG204" s="11"/>
      <c r="FH204" s="39">
        <f t="shared" si="50"/>
        <v>4041710.05</v>
      </c>
      <c r="FI204" s="33">
        <f t="shared" si="51"/>
        <v>3</v>
      </c>
      <c r="FJ204" s="84">
        <f t="shared" si="52"/>
        <v>1347236.6833333333</v>
      </c>
    </row>
    <row r="205" spans="1:166" ht="25.5" x14ac:dyDescent="0.25">
      <c r="A205" s="79" t="e">
        <f>#REF!</f>
        <v>#REF!</v>
      </c>
      <c r="B205" s="75" t="e">
        <f>#REF!</f>
        <v>#REF!</v>
      </c>
      <c r="C205" s="75" t="e">
        <f>#REF!</f>
        <v>#REF!</v>
      </c>
      <c r="D205" s="75" t="e">
        <f>#REF!</f>
        <v>#REF!</v>
      </c>
      <c r="E205" s="30">
        <v>1</v>
      </c>
      <c r="F205" s="238">
        <v>69811</v>
      </c>
      <c r="G205" s="241">
        <v>54000</v>
      </c>
      <c r="H205" s="249">
        <v>88732.913117399992</v>
      </c>
      <c r="I205" s="249">
        <v>0</v>
      </c>
      <c r="J205" s="249">
        <v>75476.7</v>
      </c>
      <c r="K205" s="249">
        <v>60300</v>
      </c>
      <c r="L205" s="274">
        <f>AVERAGE(F205,H205,J205)</f>
        <v>78006.87103913333</v>
      </c>
      <c r="M205" s="274">
        <f>AVERAGE(G205,K205)*E1</f>
        <v>58864.5</v>
      </c>
      <c r="N205" s="245"/>
      <c r="O205" s="113"/>
      <c r="P205" s="113"/>
      <c r="Q205" s="131"/>
      <c r="R205" s="131"/>
      <c r="S205" s="64"/>
      <c r="T205" s="113"/>
      <c r="U205" s="113"/>
      <c r="V205" s="113"/>
      <c r="W205" s="131"/>
      <c r="X205" s="131"/>
      <c r="Y205" s="11"/>
      <c r="Z205" s="113"/>
      <c r="AA205" s="113"/>
      <c r="AB205" s="113"/>
      <c r="AC205" s="52"/>
      <c r="AD205" s="52"/>
      <c r="AE205" s="11"/>
      <c r="AF205" s="118">
        <v>85000</v>
      </c>
      <c r="AG205" s="144">
        <f>AF205*19%</f>
        <v>16150</v>
      </c>
      <c r="AH205" s="113">
        <f>+AF205+AG205</f>
        <v>101150</v>
      </c>
      <c r="AI205" s="11"/>
      <c r="AJ205" s="11"/>
      <c r="AK205" s="39"/>
      <c r="AL205" s="113"/>
      <c r="AM205" s="113"/>
      <c r="AN205" s="117"/>
      <c r="AO205" s="76"/>
      <c r="AP205" s="39"/>
      <c r="AQ205" s="39"/>
      <c r="AR205" s="275">
        <v>48435</v>
      </c>
      <c r="AS205" s="113">
        <f>+AR205*0</f>
        <v>0</v>
      </c>
      <c r="AT205" s="119">
        <f>+AR205+AS205</f>
        <v>48435</v>
      </c>
      <c r="AU205" s="62" t="s">
        <v>211</v>
      </c>
      <c r="AV205" s="62" t="s">
        <v>212</v>
      </c>
      <c r="AW205" s="31"/>
      <c r="AX205" s="116"/>
      <c r="AY205" s="194"/>
      <c r="AZ205" s="143"/>
      <c r="BA205" s="191"/>
      <c r="BB205" s="132"/>
      <c r="BC205" s="132"/>
      <c r="BD205" s="274"/>
      <c r="BE205" s="143"/>
      <c r="BF205" s="143"/>
      <c r="BG205" s="132"/>
      <c r="BH205" s="132"/>
      <c r="BI205" s="132"/>
      <c r="BJ205" s="143"/>
      <c r="BK205" s="143"/>
      <c r="BL205" s="143"/>
      <c r="BM205" s="132"/>
      <c r="BN205" s="132"/>
      <c r="BO205" s="132"/>
      <c r="BP205" s="143"/>
      <c r="BQ205" s="132"/>
      <c r="BR205" s="132"/>
      <c r="BS205" s="132"/>
      <c r="BT205" s="132"/>
      <c r="BU205" s="132"/>
      <c r="BV205" s="267">
        <v>188800</v>
      </c>
      <c r="BW205" s="144">
        <f t="shared" si="48"/>
        <v>35872</v>
      </c>
      <c r="BX205" s="113">
        <f t="shared" si="49"/>
        <v>224672</v>
      </c>
      <c r="BY205" s="264" t="s">
        <v>65</v>
      </c>
      <c r="BZ205" s="264" t="s">
        <v>277</v>
      </c>
      <c r="CA205" s="132"/>
      <c r="CB205" s="274"/>
      <c r="CC205" s="144"/>
      <c r="CD205" s="274"/>
      <c r="CE205" s="132"/>
      <c r="CF205" s="132"/>
      <c r="CG205" s="36"/>
      <c r="CH205" s="263">
        <v>192576</v>
      </c>
      <c r="CI205" s="265">
        <f>+CH205*0.19</f>
        <v>36589.440000000002</v>
      </c>
      <c r="CJ205" s="263">
        <f>+CH205+CI205</f>
        <v>229165.44</v>
      </c>
      <c r="CK205" s="264" t="s">
        <v>65</v>
      </c>
      <c r="CL205" s="264" t="s">
        <v>277</v>
      </c>
      <c r="CM205" s="132"/>
      <c r="CN205" s="274"/>
      <c r="CO205" s="144"/>
      <c r="CP205" s="274"/>
      <c r="CQ205" s="132"/>
      <c r="CR205" s="132"/>
      <c r="CS205" s="132"/>
      <c r="CT205" s="274"/>
      <c r="CU205" s="144"/>
      <c r="CV205" s="274"/>
      <c r="CW205" s="132"/>
      <c r="CX205" s="132"/>
      <c r="CY205" s="132"/>
      <c r="CZ205" s="118"/>
      <c r="DA205" s="144"/>
      <c r="DB205" s="118"/>
      <c r="DC205" s="33"/>
      <c r="DD205" s="39"/>
      <c r="DE205" s="11"/>
      <c r="DF205" s="132"/>
      <c r="DG205" s="132"/>
      <c r="DH205" s="132"/>
      <c r="DI205" s="132"/>
      <c r="DJ205" s="132"/>
      <c r="DK205" s="132"/>
      <c r="DL205" s="132"/>
      <c r="DM205" s="132"/>
      <c r="DN205" s="132"/>
      <c r="DO205" s="132"/>
      <c r="DP205" s="132"/>
      <c r="DQ205" s="132"/>
      <c r="DR205" s="132"/>
      <c r="DS205" s="132"/>
      <c r="DT205" s="132"/>
      <c r="DU205" s="132"/>
      <c r="DV205" s="132"/>
      <c r="DW205" s="132"/>
      <c r="DX205" s="132"/>
      <c r="DY205" s="132"/>
      <c r="DZ205" s="132"/>
      <c r="EA205" s="132"/>
      <c r="EB205" s="132"/>
      <c r="EC205" s="132"/>
      <c r="ED205" s="132"/>
      <c r="EE205" s="132"/>
      <c r="EF205" s="132"/>
      <c r="EG205" s="132"/>
      <c r="EH205" s="132"/>
      <c r="EI205" s="132"/>
      <c r="EJ205" s="132"/>
      <c r="EK205" s="132"/>
      <c r="EL205" s="132"/>
      <c r="EM205" s="132"/>
      <c r="EN205" s="132"/>
      <c r="EO205" s="132"/>
      <c r="EP205" s="132"/>
      <c r="EQ205" s="132"/>
      <c r="ER205" s="132"/>
      <c r="ES205" s="132"/>
      <c r="ET205" s="11"/>
      <c r="EU205" s="11"/>
      <c r="EV205" s="11"/>
      <c r="EW205" s="11"/>
      <c r="EX205" s="11"/>
      <c r="EY205" s="11"/>
      <c r="EZ205" s="11"/>
      <c r="FA205" s="11"/>
      <c r="FB205" s="11"/>
      <c r="FC205" s="11"/>
      <c r="FD205" s="11"/>
      <c r="FE205" s="11"/>
      <c r="FF205" s="11"/>
      <c r="FG205" s="11"/>
      <c r="FH205" s="39">
        <f t="shared" si="50"/>
        <v>662286.93999999994</v>
      </c>
      <c r="FI205" s="33">
        <f t="shared" si="51"/>
        <v>5</v>
      </c>
      <c r="FJ205" s="84">
        <f t="shared" si="52"/>
        <v>132457.38799999998</v>
      </c>
    </row>
    <row r="206" spans="1:166" ht="13.5" x14ac:dyDescent="0.25">
      <c r="A206" s="79" t="e">
        <f>#REF!</f>
        <v>#REF!</v>
      </c>
      <c r="B206" s="75" t="e">
        <f>#REF!</f>
        <v>#REF!</v>
      </c>
      <c r="C206" s="75" t="e">
        <f>#REF!</f>
        <v>#REF!</v>
      </c>
      <c r="D206" s="75" t="e">
        <f>#REF!</f>
        <v>#REF!</v>
      </c>
      <c r="E206" s="30">
        <v>1</v>
      </c>
      <c r="F206" s="238">
        <v>1253111.6499999999</v>
      </c>
      <c r="G206" s="241">
        <v>1202971</v>
      </c>
      <c r="H206" s="249">
        <v>656940.47591899999</v>
      </c>
      <c r="I206" s="249">
        <v>656880</v>
      </c>
      <c r="J206" s="249">
        <v>627559.88749999995</v>
      </c>
      <c r="K206" s="249">
        <v>0</v>
      </c>
      <c r="L206" s="274">
        <f>AVERAGE(F206,H206,J206)</f>
        <v>845870.67113966646</v>
      </c>
      <c r="M206" s="274">
        <f>AVERAGE(G206,I206)*E1</f>
        <v>957823.26500000001</v>
      </c>
      <c r="N206" s="245"/>
      <c r="O206" s="113"/>
      <c r="P206" s="113"/>
      <c r="Q206" s="131"/>
      <c r="R206" s="131"/>
      <c r="S206" s="64"/>
      <c r="T206" s="113"/>
      <c r="U206" s="113"/>
      <c r="V206" s="113"/>
      <c r="W206" s="131"/>
      <c r="X206" s="131"/>
      <c r="Y206" s="11"/>
      <c r="Z206" s="113"/>
      <c r="AA206" s="113"/>
      <c r="AB206" s="113"/>
      <c r="AC206" s="52"/>
      <c r="AD206" s="52"/>
      <c r="AE206" s="11"/>
      <c r="AF206" s="118">
        <v>690000</v>
      </c>
      <c r="AG206" s="144">
        <f>AF206*19%</f>
        <v>131100</v>
      </c>
      <c r="AH206" s="113">
        <f>+AF206+AG206</f>
        <v>821100</v>
      </c>
      <c r="AI206" s="11"/>
      <c r="AJ206" s="11"/>
      <c r="AK206" s="39"/>
      <c r="AL206" s="113"/>
      <c r="AM206" s="113"/>
      <c r="AN206" s="117"/>
      <c r="AO206" s="76"/>
      <c r="AP206" s="39"/>
      <c r="AQ206" s="39"/>
      <c r="AR206" s="275"/>
      <c r="AS206" s="113"/>
      <c r="AT206" s="119"/>
      <c r="AU206" s="62"/>
      <c r="AV206" s="62"/>
      <c r="AW206" s="31"/>
      <c r="AX206" s="116"/>
      <c r="AY206" s="116"/>
      <c r="AZ206" s="197"/>
      <c r="BA206" s="41"/>
      <c r="BB206" s="132"/>
      <c r="BC206" s="132"/>
      <c r="BD206" s="274"/>
      <c r="BE206" s="143"/>
      <c r="BF206" s="143"/>
      <c r="BG206" s="132"/>
      <c r="BH206" s="132"/>
      <c r="BI206" s="132"/>
      <c r="BJ206" s="143"/>
      <c r="BK206" s="143"/>
      <c r="BL206" s="143"/>
      <c r="BM206" s="132"/>
      <c r="BN206" s="132"/>
      <c r="BO206" s="132"/>
      <c r="BP206" s="143"/>
      <c r="BQ206" s="132"/>
      <c r="BR206" s="132"/>
      <c r="BS206" s="132"/>
      <c r="BT206" s="132"/>
      <c r="BU206" s="132"/>
      <c r="BV206" s="263">
        <v>766700</v>
      </c>
      <c r="BW206" s="144">
        <f t="shared" si="48"/>
        <v>145673</v>
      </c>
      <c r="BX206" s="113">
        <f t="shared" si="49"/>
        <v>912373</v>
      </c>
      <c r="BY206" s="264" t="s">
        <v>100</v>
      </c>
      <c r="BZ206" s="264" t="s">
        <v>88</v>
      </c>
      <c r="CA206" s="132"/>
      <c r="CB206" s="274"/>
      <c r="CC206" s="144"/>
      <c r="CD206" s="274"/>
      <c r="CE206" s="132"/>
      <c r="CF206" s="132"/>
      <c r="CG206" s="36"/>
      <c r="CH206" s="263">
        <v>797368</v>
      </c>
      <c r="CI206" s="265">
        <f>+CH206*0.19</f>
        <v>151499.92000000001</v>
      </c>
      <c r="CJ206" s="263">
        <f>+CH206+CI206</f>
        <v>948867.92</v>
      </c>
      <c r="CK206" s="264" t="s">
        <v>100</v>
      </c>
      <c r="CL206" s="264" t="s">
        <v>88</v>
      </c>
      <c r="CM206" s="132"/>
      <c r="CN206" s="274"/>
      <c r="CO206" s="144"/>
      <c r="CP206" s="274"/>
      <c r="CQ206" s="132"/>
      <c r="CR206" s="132"/>
      <c r="CS206" s="132"/>
      <c r="CT206" s="274"/>
      <c r="CU206" s="144"/>
      <c r="CV206" s="274"/>
      <c r="CW206" s="132"/>
      <c r="CX206" s="132"/>
      <c r="CY206" s="132"/>
      <c r="CZ206" s="118"/>
      <c r="DA206" s="144"/>
      <c r="DB206" s="118"/>
      <c r="DC206" s="33"/>
      <c r="DD206" s="39"/>
      <c r="DE206" s="11"/>
      <c r="DF206" s="132"/>
      <c r="DG206" s="132"/>
      <c r="DH206" s="132"/>
      <c r="DI206" s="132"/>
      <c r="DJ206" s="132"/>
      <c r="DK206" s="132"/>
      <c r="DL206" s="132"/>
      <c r="DM206" s="132"/>
      <c r="DN206" s="132"/>
      <c r="DO206" s="132"/>
      <c r="DP206" s="132"/>
      <c r="DQ206" s="132"/>
      <c r="DR206" s="132"/>
      <c r="DS206" s="132"/>
      <c r="DT206" s="132"/>
      <c r="DU206" s="132"/>
      <c r="DV206" s="132"/>
      <c r="DW206" s="132"/>
      <c r="DX206" s="132"/>
      <c r="DY206" s="132"/>
      <c r="DZ206" s="132"/>
      <c r="EA206" s="132"/>
      <c r="EB206" s="132"/>
      <c r="EC206" s="132"/>
      <c r="ED206" s="132"/>
      <c r="EE206" s="132"/>
      <c r="EF206" s="132"/>
      <c r="EG206" s="132"/>
      <c r="EH206" s="132"/>
      <c r="EI206" s="132"/>
      <c r="EJ206" s="132"/>
      <c r="EK206" s="132"/>
      <c r="EL206" s="132"/>
      <c r="EM206" s="132"/>
      <c r="EN206" s="132"/>
      <c r="EO206" s="132"/>
      <c r="EP206" s="132"/>
      <c r="EQ206" s="132"/>
      <c r="ER206" s="132"/>
      <c r="ES206" s="132"/>
      <c r="ET206" s="11"/>
      <c r="EU206" s="11"/>
      <c r="EV206" s="11"/>
      <c r="EW206" s="11"/>
      <c r="EX206" s="11"/>
      <c r="EY206" s="11"/>
      <c r="EZ206" s="11"/>
      <c r="FA206" s="11"/>
      <c r="FB206" s="11"/>
      <c r="FC206" s="11"/>
      <c r="FD206" s="11"/>
      <c r="FE206" s="11"/>
      <c r="FF206" s="11"/>
      <c r="FG206" s="11"/>
      <c r="FH206" s="39">
        <f t="shared" si="50"/>
        <v>3640164.1850000001</v>
      </c>
      <c r="FI206" s="33">
        <f t="shared" si="51"/>
        <v>4</v>
      </c>
      <c r="FJ206" s="84">
        <f t="shared" si="52"/>
        <v>910041.04625000001</v>
      </c>
    </row>
    <row r="207" spans="1:166" ht="25.5" x14ac:dyDescent="0.25">
      <c r="A207" s="79" t="e">
        <f>#REF!</f>
        <v>#REF!</v>
      </c>
      <c r="B207" s="75" t="e">
        <f>#REF!</f>
        <v>#REF!</v>
      </c>
      <c r="C207" s="75" t="e">
        <f>#REF!</f>
        <v>#REF!</v>
      </c>
      <c r="D207" s="75" t="e">
        <f>#REF!</f>
        <v>#REF!</v>
      </c>
      <c r="E207" s="30">
        <v>1</v>
      </c>
      <c r="F207" s="238">
        <v>81095</v>
      </c>
      <c r="G207" s="241">
        <v>77800</v>
      </c>
      <c r="H207" s="249">
        <v>0</v>
      </c>
      <c r="I207" s="249">
        <v>0</v>
      </c>
      <c r="J207" s="249">
        <v>63477.599999999999</v>
      </c>
      <c r="K207" s="249">
        <v>50700</v>
      </c>
      <c r="L207" s="274">
        <f>AVERAGE(F207,J207)</f>
        <v>72286.3</v>
      </c>
      <c r="M207" s="274">
        <f>AVERAGE(G207,K207)*E1</f>
        <v>66177.5</v>
      </c>
      <c r="N207" s="245"/>
      <c r="O207" s="113"/>
      <c r="P207" s="113"/>
      <c r="Q207" s="131"/>
      <c r="R207" s="131"/>
      <c r="S207" s="64"/>
      <c r="T207" s="113"/>
      <c r="U207" s="113"/>
      <c r="V207" s="113"/>
      <c r="W207" s="131"/>
      <c r="X207" s="131"/>
      <c r="Y207" s="11"/>
      <c r="Z207" s="113"/>
      <c r="AA207" s="113"/>
      <c r="AB207" s="113"/>
      <c r="AC207" s="52"/>
      <c r="AD207" s="52"/>
      <c r="AE207" s="11"/>
      <c r="AF207" s="118">
        <v>50000</v>
      </c>
      <c r="AG207" s="144">
        <f>AF207*19%</f>
        <v>9500</v>
      </c>
      <c r="AH207" s="113">
        <f>+AF207+AG207</f>
        <v>59500</v>
      </c>
      <c r="AI207" s="11"/>
      <c r="AJ207" s="11"/>
      <c r="AK207" s="39"/>
      <c r="AL207" s="113">
        <v>40000</v>
      </c>
      <c r="AM207" s="113">
        <f>+AL207*0</f>
        <v>0</v>
      </c>
      <c r="AN207" s="119">
        <f>+AL207+AM207</f>
        <v>40000</v>
      </c>
      <c r="AO207" s="76" t="s">
        <v>278</v>
      </c>
      <c r="AP207" s="39" t="s">
        <v>164</v>
      </c>
      <c r="AQ207" s="39"/>
      <c r="AR207" s="275">
        <v>28613</v>
      </c>
      <c r="AS207" s="113">
        <f>+AR207*0</f>
        <v>0</v>
      </c>
      <c r="AT207" s="119">
        <f>+AR207+AS207</f>
        <v>28613</v>
      </c>
      <c r="AU207" s="62" t="s">
        <v>211</v>
      </c>
      <c r="AV207" s="62" t="s">
        <v>212</v>
      </c>
      <c r="AW207" s="31"/>
      <c r="AX207" s="116"/>
      <c r="AY207" s="194"/>
      <c r="AZ207" s="143"/>
      <c r="BA207" s="191"/>
      <c r="BB207" s="132"/>
      <c r="BC207" s="132"/>
      <c r="BD207" s="274"/>
      <c r="BE207" s="143"/>
      <c r="BF207" s="143"/>
      <c r="BG207" s="132"/>
      <c r="BH207" s="132"/>
      <c r="BI207" s="132"/>
      <c r="BJ207" s="143"/>
      <c r="BK207" s="143"/>
      <c r="BL207" s="143"/>
      <c r="BM207" s="132"/>
      <c r="BN207" s="132"/>
      <c r="BO207" s="132"/>
      <c r="BP207" s="143"/>
      <c r="BQ207" s="132"/>
      <c r="BR207" s="132"/>
      <c r="BS207" s="132"/>
      <c r="BT207" s="132"/>
      <c r="BU207" s="132"/>
      <c r="BV207" s="263">
        <v>182400</v>
      </c>
      <c r="BW207" s="144">
        <f t="shared" si="48"/>
        <v>34656</v>
      </c>
      <c r="BX207" s="113">
        <f t="shared" si="49"/>
        <v>217056</v>
      </c>
      <c r="BY207" s="264" t="s">
        <v>65</v>
      </c>
      <c r="BZ207" s="264" t="s">
        <v>277</v>
      </c>
      <c r="CA207" s="132"/>
      <c r="CB207" s="274"/>
      <c r="CC207" s="144"/>
      <c r="CD207" s="274"/>
      <c r="CE207" s="132"/>
      <c r="CF207" s="132"/>
      <c r="CG207" s="36"/>
      <c r="CH207" s="263">
        <v>187872</v>
      </c>
      <c r="CI207" s="265">
        <f>+CH207*0.19</f>
        <v>35695.68</v>
      </c>
      <c r="CJ207" s="263">
        <f>+CH207+CI207</f>
        <v>223567.68</v>
      </c>
      <c r="CK207" s="264" t="s">
        <v>65</v>
      </c>
      <c r="CL207" s="264" t="s">
        <v>277</v>
      </c>
      <c r="CM207" s="132"/>
      <c r="CN207" s="274"/>
      <c r="CO207" s="144"/>
      <c r="CP207" s="274"/>
      <c r="CQ207" s="132"/>
      <c r="CR207" s="132"/>
      <c r="CS207" s="132"/>
      <c r="CT207" s="274"/>
      <c r="CU207" s="144"/>
      <c r="CV207" s="274"/>
      <c r="CW207" s="132"/>
      <c r="CX207" s="132"/>
      <c r="CY207" s="132"/>
      <c r="CZ207" s="118"/>
      <c r="DA207" s="144"/>
      <c r="DB207" s="118"/>
      <c r="DC207" s="33"/>
      <c r="DD207" s="39"/>
      <c r="DE207" s="11"/>
      <c r="DF207" s="132"/>
      <c r="DG207" s="132"/>
      <c r="DH207" s="132"/>
      <c r="DI207" s="132"/>
      <c r="DJ207" s="132"/>
      <c r="DK207" s="132"/>
      <c r="DL207" s="132"/>
      <c r="DM207" s="132"/>
      <c r="DN207" s="132"/>
      <c r="DO207" s="132"/>
      <c r="DP207" s="132"/>
      <c r="DQ207" s="132"/>
      <c r="DR207" s="132"/>
      <c r="DS207" s="132"/>
      <c r="DT207" s="132"/>
      <c r="DU207" s="132"/>
      <c r="DV207" s="132"/>
      <c r="DW207" s="132"/>
      <c r="DX207" s="132"/>
      <c r="DY207" s="132"/>
      <c r="DZ207" s="132"/>
      <c r="EA207" s="132"/>
      <c r="EB207" s="132"/>
      <c r="EC207" s="132"/>
      <c r="ED207" s="132"/>
      <c r="EE207" s="132"/>
      <c r="EF207" s="132"/>
      <c r="EG207" s="132"/>
      <c r="EH207" s="132"/>
      <c r="EI207" s="132"/>
      <c r="EJ207" s="132"/>
      <c r="EK207" s="132"/>
      <c r="EL207" s="132"/>
      <c r="EM207" s="132"/>
      <c r="EN207" s="132"/>
      <c r="EO207" s="132"/>
      <c r="EP207" s="132"/>
      <c r="EQ207" s="132"/>
      <c r="ER207" s="132"/>
      <c r="ES207" s="132"/>
      <c r="ET207" s="11"/>
      <c r="EU207" s="11"/>
      <c r="EV207" s="11"/>
      <c r="EW207" s="11"/>
      <c r="EX207" s="11"/>
      <c r="EY207" s="11"/>
      <c r="EZ207" s="11"/>
      <c r="FA207" s="11"/>
      <c r="FB207" s="11"/>
      <c r="FC207" s="11"/>
      <c r="FD207" s="11"/>
      <c r="FE207" s="11"/>
      <c r="FF207" s="11"/>
      <c r="FG207" s="11"/>
      <c r="FH207" s="39">
        <f t="shared" si="50"/>
        <v>634914.17999999993</v>
      </c>
      <c r="FI207" s="33">
        <f t="shared" si="51"/>
        <v>6</v>
      </c>
      <c r="FJ207" s="84">
        <f t="shared" si="52"/>
        <v>105819.02999999998</v>
      </c>
    </row>
    <row r="208" spans="1:166" ht="40.5" x14ac:dyDescent="0.25">
      <c r="A208" s="79" t="e">
        <f>#REF!</f>
        <v>#REF!</v>
      </c>
      <c r="B208" s="75" t="e">
        <f>#REF!</f>
        <v>#REF!</v>
      </c>
      <c r="C208" s="75" t="e">
        <f>#REF!</f>
        <v>#REF!</v>
      </c>
      <c r="D208" s="75" t="e">
        <f>#REF!</f>
        <v>#REF!</v>
      </c>
      <c r="E208" s="30">
        <v>1</v>
      </c>
      <c r="F208" s="238">
        <v>112199.15</v>
      </c>
      <c r="G208" s="241">
        <v>0</v>
      </c>
      <c r="H208" s="249">
        <v>116047.58084499999</v>
      </c>
      <c r="I208" s="249">
        <v>0</v>
      </c>
      <c r="J208" s="249">
        <v>1124550</v>
      </c>
      <c r="K208" s="249">
        <v>1124000</v>
      </c>
      <c r="L208" s="274">
        <f>AVERAGE(F208,H208,J208)</f>
        <v>450932.24361499998</v>
      </c>
      <c r="M208" s="274">
        <f>K208*E1</f>
        <v>1157720</v>
      </c>
      <c r="N208" s="245"/>
      <c r="O208" s="113"/>
      <c r="P208" s="113"/>
      <c r="Q208" s="131"/>
      <c r="R208" s="131"/>
      <c r="S208" s="64"/>
      <c r="T208" s="113"/>
      <c r="U208" s="113"/>
      <c r="V208" s="113"/>
      <c r="W208" s="131"/>
      <c r="X208" s="131"/>
      <c r="Y208" s="11"/>
      <c r="Z208" s="113">
        <v>1300000</v>
      </c>
      <c r="AA208" s="113">
        <f>+Z208*0</f>
        <v>0</v>
      </c>
      <c r="AB208" s="113">
        <f>+Z208+AA208</f>
        <v>1300000</v>
      </c>
      <c r="AC208" s="52" t="s">
        <v>279</v>
      </c>
      <c r="AD208" s="52" t="s">
        <v>280</v>
      </c>
      <c r="AE208" s="11"/>
      <c r="AF208" s="118"/>
      <c r="AG208" s="144"/>
      <c r="AH208" s="113"/>
      <c r="AI208" s="11"/>
      <c r="AJ208" s="11"/>
      <c r="AK208" s="39"/>
      <c r="AL208" s="113"/>
      <c r="AM208" s="113"/>
      <c r="AN208" s="117"/>
      <c r="AO208" s="76"/>
      <c r="AP208" s="39"/>
      <c r="AQ208" s="39"/>
      <c r="AR208" s="275">
        <v>945000</v>
      </c>
      <c r="AS208" s="113">
        <f>+AR208*0.19</f>
        <v>179550</v>
      </c>
      <c r="AT208" s="119">
        <f>+AR208+AS208</f>
        <v>1124550</v>
      </c>
      <c r="AU208" s="62" t="s">
        <v>281</v>
      </c>
      <c r="AV208" s="62" t="s">
        <v>123</v>
      </c>
      <c r="AW208" s="31"/>
      <c r="AX208" s="116"/>
      <c r="AY208" s="116"/>
      <c r="AZ208" s="143"/>
      <c r="BA208" s="191"/>
      <c r="BB208" s="132"/>
      <c r="BC208" s="132"/>
      <c r="BD208" s="274"/>
      <c r="BE208" s="143"/>
      <c r="BF208" s="143"/>
      <c r="BG208" s="132"/>
      <c r="BH208" s="132"/>
      <c r="BI208" s="132"/>
      <c r="BJ208" s="143"/>
      <c r="BK208" s="143"/>
      <c r="BL208" s="143"/>
      <c r="BM208" s="132"/>
      <c r="BN208" s="132"/>
      <c r="BO208" s="132"/>
      <c r="BP208" s="143"/>
      <c r="BQ208" s="132"/>
      <c r="BR208" s="132"/>
      <c r="BS208" s="132"/>
      <c r="BT208" s="132"/>
      <c r="BU208" s="132"/>
      <c r="BV208" s="267">
        <v>2000000</v>
      </c>
      <c r="BW208" s="144">
        <f t="shared" si="48"/>
        <v>380000</v>
      </c>
      <c r="BX208" s="113">
        <f t="shared" si="49"/>
        <v>2380000</v>
      </c>
      <c r="BY208" s="264" t="s">
        <v>282</v>
      </c>
      <c r="BZ208" s="264" t="s">
        <v>164</v>
      </c>
      <c r="CA208" s="132"/>
      <c r="CB208" s="274"/>
      <c r="CC208" s="144"/>
      <c r="CD208" s="274"/>
      <c r="CE208" s="132"/>
      <c r="CF208" s="132"/>
      <c r="CG208" s="36"/>
      <c r="CH208" s="268"/>
      <c r="CI208" s="265"/>
      <c r="CJ208" s="263"/>
      <c r="CK208" s="264"/>
      <c r="CL208" s="264"/>
      <c r="CM208" s="132"/>
      <c r="CN208" s="274"/>
      <c r="CO208" s="144"/>
      <c r="CP208" s="274"/>
      <c r="CQ208" s="132"/>
      <c r="CR208" s="132"/>
      <c r="CS208" s="132"/>
      <c r="CT208" s="274"/>
      <c r="CU208" s="144"/>
      <c r="CV208" s="274"/>
      <c r="CW208" s="132"/>
      <c r="CX208" s="132"/>
      <c r="CY208" s="132"/>
      <c r="CZ208" s="118"/>
      <c r="DA208" s="144"/>
      <c r="DB208" s="118"/>
      <c r="DC208" s="33"/>
      <c r="DD208" s="39"/>
      <c r="DE208" s="11"/>
      <c r="DF208" s="132"/>
      <c r="DG208" s="132"/>
      <c r="DH208" s="132"/>
      <c r="DI208" s="132"/>
      <c r="DJ208" s="132"/>
      <c r="DK208" s="132"/>
      <c r="DL208" s="132"/>
      <c r="DM208" s="132"/>
      <c r="DN208" s="132"/>
      <c r="DO208" s="132"/>
      <c r="DP208" s="132"/>
      <c r="DQ208" s="132"/>
      <c r="DR208" s="132"/>
      <c r="DS208" s="132"/>
      <c r="DT208" s="132"/>
      <c r="DU208" s="132"/>
      <c r="DV208" s="132"/>
      <c r="DW208" s="132"/>
      <c r="DX208" s="132"/>
      <c r="DY208" s="132"/>
      <c r="DZ208" s="132"/>
      <c r="EA208" s="132"/>
      <c r="EB208" s="132"/>
      <c r="EC208" s="132"/>
      <c r="ED208" s="132"/>
      <c r="EE208" s="132"/>
      <c r="EF208" s="132"/>
      <c r="EG208" s="132"/>
      <c r="EH208" s="132"/>
      <c r="EI208" s="132"/>
      <c r="EJ208" s="132"/>
      <c r="EK208" s="132"/>
      <c r="EL208" s="132"/>
      <c r="EM208" s="132"/>
      <c r="EN208" s="132"/>
      <c r="EO208" s="132"/>
      <c r="EP208" s="132"/>
      <c r="EQ208" s="132"/>
      <c r="ER208" s="132"/>
      <c r="ES208" s="132"/>
      <c r="ET208" s="11"/>
      <c r="EU208" s="11"/>
      <c r="EV208" s="11"/>
      <c r="EW208" s="11"/>
      <c r="EX208" s="11"/>
      <c r="EY208" s="11"/>
      <c r="EZ208" s="11"/>
      <c r="FA208" s="11"/>
      <c r="FB208" s="11"/>
      <c r="FC208" s="11"/>
      <c r="FD208" s="11"/>
      <c r="FE208" s="11"/>
      <c r="FF208" s="11"/>
      <c r="FG208" s="11"/>
      <c r="FH208" s="39">
        <f t="shared" si="50"/>
        <v>5962270</v>
      </c>
      <c r="FI208" s="33">
        <f t="shared" si="51"/>
        <v>4</v>
      </c>
      <c r="FJ208" s="84">
        <f t="shared" si="52"/>
        <v>1490567.5</v>
      </c>
    </row>
    <row r="209" spans="1:166" ht="27" x14ac:dyDescent="0.25">
      <c r="A209" s="79" t="e">
        <f>#REF!</f>
        <v>#REF!</v>
      </c>
      <c r="B209" s="75" t="e">
        <f>#REF!</f>
        <v>#REF!</v>
      </c>
      <c r="C209" s="75" t="e">
        <f>#REF!</f>
        <v>#REF!</v>
      </c>
      <c r="D209" s="75" t="e">
        <f>#REF!</f>
        <v>#REF!</v>
      </c>
      <c r="E209" s="30">
        <v>1</v>
      </c>
      <c r="F209" s="238">
        <v>871208.66666666663</v>
      </c>
      <c r="G209" s="241">
        <v>845000</v>
      </c>
      <c r="H209" s="249">
        <v>1004434.6093701667</v>
      </c>
      <c r="I209" s="249">
        <v>0</v>
      </c>
      <c r="J209" s="249">
        <v>772625</v>
      </c>
      <c r="K209" s="249">
        <v>765170</v>
      </c>
      <c r="L209" s="274">
        <f>AVERAGE(F209,H209,J209)</f>
        <v>882756.0920122778</v>
      </c>
      <c r="M209" s="274">
        <f>AVERAGE(G209,K209)*E1</f>
        <v>829237.55</v>
      </c>
      <c r="N209" s="245"/>
      <c r="O209" s="113"/>
      <c r="P209" s="113"/>
      <c r="Q209" s="131"/>
      <c r="R209" s="131"/>
      <c r="S209" s="64"/>
      <c r="T209" s="113"/>
      <c r="U209" s="113"/>
      <c r="V209" s="113"/>
      <c r="W209" s="131"/>
      <c r="X209" s="131"/>
      <c r="Y209" s="11"/>
      <c r="Z209" s="113"/>
      <c r="AA209" s="113"/>
      <c r="AB209" s="113"/>
      <c r="AC209" s="52"/>
      <c r="AD209" s="52"/>
      <c r="AE209" s="11"/>
      <c r="AF209" s="118"/>
      <c r="AG209" s="144"/>
      <c r="AH209" s="113"/>
      <c r="AI209" s="11"/>
      <c r="AJ209" s="11"/>
      <c r="AK209" s="39"/>
      <c r="AL209" s="113"/>
      <c r="AM209" s="113"/>
      <c r="AN209" s="117"/>
      <c r="AO209" s="76"/>
      <c r="AP209" s="39"/>
      <c r="AQ209" s="39"/>
      <c r="AR209" s="275">
        <v>1440000</v>
      </c>
      <c r="AS209" s="113">
        <f>+AR209*0.19</f>
        <v>273600</v>
      </c>
      <c r="AT209" s="119">
        <f>+AR209+AS209</f>
        <v>1713600</v>
      </c>
      <c r="AU209" s="62" t="s">
        <v>195</v>
      </c>
      <c r="AV209" s="62" t="s">
        <v>123</v>
      </c>
      <c r="AW209" s="31"/>
      <c r="AX209" s="116"/>
      <c r="AY209" s="196"/>
      <c r="AZ209" s="143"/>
      <c r="BA209" s="191"/>
      <c r="BB209" s="132"/>
      <c r="BC209" s="132"/>
      <c r="BD209" s="274"/>
      <c r="BE209" s="143"/>
      <c r="BF209" s="143"/>
      <c r="BG209" s="132"/>
      <c r="BH209" s="132"/>
      <c r="BI209" s="132"/>
      <c r="BJ209" s="143"/>
      <c r="BK209" s="143"/>
      <c r="BL209" s="143"/>
      <c r="BM209" s="132"/>
      <c r="BN209" s="132"/>
      <c r="BO209" s="132"/>
      <c r="BP209" s="143"/>
      <c r="BQ209" s="132"/>
      <c r="BR209" s="132"/>
      <c r="BS209" s="132"/>
      <c r="BT209" s="132"/>
      <c r="BU209" s="132"/>
      <c r="BV209" s="267">
        <v>1200000</v>
      </c>
      <c r="BW209" s="144">
        <f t="shared" si="48"/>
        <v>228000</v>
      </c>
      <c r="BX209" s="113">
        <f t="shared" si="49"/>
        <v>1428000</v>
      </c>
      <c r="BY209" s="264" t="s">
        <v>283</v>
      </c>
      <c r="BZ209" s="264" t="s">
        <v>237</v>
      </c>
      <c r="CA209" s="39"/>
      <c r="CB209" s="274"/>
      <c r="CC209" s="144"/>
      <c r="CD209" s="274"/>
      <c r="CE209" s="132"/>
      <c r="CF209" s="132"/>
      <c r="CG209" s="36"/>
      <c r="CH209" s="268"/>
      <c r="CI209" s="265"/>
      <c r="CJ209" s="263"/>
      <c r="CK209" s="264"/>
      <c r="CL209" s="264"/>
      <c r="CM209" s="132"/>
      <c r="CN209" s="274"/>
      <c r="CO209" s="144"/>
      <c r="CP209" s="274"/>
      <c r="CQ209" s="132"/>
      <c r="CR209" s="132"/>
      <c r="CS209" s="132"/>
      <c r="CT209" s="144">
        <v>842500</v>
      </c>
      <c r="CU209" s="144">
        <f>+CT209*0</f>
        <v>0</v>
      </c>
      <c r="CV209" s="144">
        <f>CT209</f>
        <v>842500</v>
      </c>
      <c r="CW209" s="132"/>
      <c r="CX209" s="132"/>
      <c r="CY209" s="132"/>
      <c r="CZ209" s="118"/>
      <c r="DA209" s="144"/>
      <c r="DB209" s="118"/>
      <c r="DC209" s="33"/>
      <c r="DD209" s="39"/>
      <c r="DE209" s="11"/>
      <c r="DF209" s="132"/>
      <c r="DG209" s="132"/>
      <c r="DH209" s="132"/>
      <c r="DI209" s="132"/>
      <c r="DJ209" s="132"/>
      <c r="DK209" s="132"/>
      <c r="DL209" s="132"/>
      <c r="DM209" s="132"/>
      <c r="DN209" s="132"/>
      <c r="DO209" s="132"/>
      <c r="DP209" s="132"/>
      <c r="DQ209" s="132"/>
      <c r="DR209" s="132"/>
      <c r="DS209" s="132"/>
      <c r="DT209" s="132"/>
      <c r="DU209" s="132"/>
      <c r="DV209" s="132"/>
      <c r="DW209" s="132"/>
      <c r="DX209" s="132"/>
      <c r="DY209" s="132"/>
      <c r="DZ209" s="132"/>
      <c r="EA209" s="132"/>
      <c r="EB209" s="132"/>
      <c r="EC209" s="132"/>
      <c r="ED209" s="132"/>
      <c r="EE209" s="132"/>
      <c r="EF209" s="132"/>
      <c r="EG209" s="132"/>
      <c r="EH209" s="132"/>
      <c r="EI209" s="132"/>
      <c r="EJ209" s="132"/>
      <c r="EK209" s="132"/>
      <c r="EL209" s="132"/>
      <c r="EM209" s="132"/>
      <c r="EN209" s="132"/>
      <c r="EO209" s="132"/>
      <c r="EP209" s="132"/>
      <c r="EQ209" s="132"/>
      <c r="ER209" s="132"/>
      <c r="ES209" s="132"/>
      <c r="ET209" s="11"/>
      <c r="EU209" s="11"/>
      <c r="EV209" s="11"/>
      <c r="EW209" s="11"/>
      <c r="EX209" s="11"/>
      <c r="EY209" s="11"/>
      <c r="EZ209" s="11"/>
      <c r="FA209" s="11"/>
      <c r="FB209" s="11"/>
      <c r="FC209" s="11"/>
      <c r="FD209" s="11"/>
      <c r="FE209" s="11"/>
      <c r="FF209" s="11"/>
      <c r="FG209" s="11"/>
      <c r="FH209" s="39">
        <f t="shared" si="50"/>
        <v>4813337.55</v>
      </c>
      <c r="FI209" s="33">
        <f t="shared" si="51"/>
        <v>4</v>
      </c>
      <c r="FJ209" s="84">
        <f t="shared" si="52"/>
        <v>1203334.3875</v>
      </c>
    </row>
    <row r="210" spans="1:166" x14ac:dyDescent="0.25">
      <c r="A210" s="79" t="e">
        <f>#REF!</f>
        <v>#REF!</v>
      </c>
      <c r="B210" s="75" t="e">
        <f>#REF!</f>
        <v>#REF!</v>
      </c>
      <c r="C210" s="75" t="e">
        <f>#REF!</f>
        <v>#REF!</v>
      </c>
      <c r="D210" s="75" t="e">
        <f>#REF!</f>
        <v>#REF!</v>
      </c>
      <c r="E210" s="30">
        <v>1</v>
      </c>
      <c r="F210" s="238">
        <v>0</v>
      </c>
      <c r="G210" s="241">
        <v>0</v>
      </c>
      <c r="H210" s="249">
        <v>0</v>
      </c>
      <c r="I210" s="249">
        <v>0</v>
      </c>
      <c r="J210" s="249">
        <v>0</v>
      </c>
      <c r="K210" s="249">
        <v>0</v>
      </c>
      <c r="L210" s="274"/>
      <c r="M210" s="274"/>
      <c r="N210" s="245"/>
      <c r="O210" s="113"/>
      <c r="P210" s="113"/>
      <c r="Q210" s="131"/>
      <c r="R210" s="131"/>
      <c r="S210" s="64"/>
      <c r="T210" s="113"/>
      <c r="U210" s="113"/>
      <c r="V210" s="113"/>
      <c r="W210" s="131"/>
      <c r="X210" s="131"/>
      <c r="Y210" s="11"/>
      <c r="Z210" s="113"/>
      <c r="AA210" s="113"/>
      <c r="AB210" s="113"/>
      <c r="AC210" s="52"/>
      <c r="AD210" s="52"/>
      <c r="AE210" s="11"/>
      <c r="AF210" s="118"/>
      <c r="AG210" s="144"/>
      <c r="AH210" s="113"/>
      <c r="AI210" s="11"/>
      <c r="AJ210" s="11"/>
      <c r="AK210" s="39"/>
      <c r="AL210" s="113"/>
      <c r="AM210" s="113"/>
      <c r="AN210" s="117"/>
      <c r="AO210" s="76"/>
      <c r="AP210" s="39"/>
      <c r="AQ210" s="39"/>
      <c r="AR210" s="275"/>
      <c r="AS210" s="156"/>
      <c r="AT210" s="157"/>
      <c r="AU210" s="62"/>
      <c r="AV210" s="62"/>
      <c r="AW210" s="31"/>
      <c r="AX210" s="116"/>
      <c r="AY210" s="196"/>
      <c r="AZ210" s="143"/>
      <c r="BA210" s="191"/>
      <c r="BB210" s="132"/>
      <c r="BC210" s="132"/>
      <c r="BD210" s="274"/>
      <c r="BE210" s="143"/>
      <c r="BF210" s="143"/>
      <c r="BG210" s="132"/>
      <c r="BH210" s="132"/>
      <c r="BI210" s="132"/>
      <c r="BJ210" s="143"/>
      <c r="BK210" s="143"/>
      <c r="BL210" s="143"/>
      <c r="BM210" s="132"/>
      <c r="BN210" s="132"/>
      <c r="BO210" s="132"/>
      <c r="BP210" s="143"/>
      <c r="BQ210" s="132"/>
      <c r="BR210" s="132"/>
      <c r="BS210" s="132"/>
      <c r="BT210" s="132"/>
      <c r="BU210" s="132"/>
      <c r="BV210" s="210"/>
      <c r="BW210" s="144"/>
      <c r="BX210" s="113"/>
      <c r="BY210" s="273"/>
      <c r="BZ210" s="273"/>
      <c r="CA210" s="132"/>
      <c r="CB210" s="274"/>
      <c r="CC210" s="144"/>
      <c r="CD210" s="274"/>
      <c r="CE210" s="132"/>
      <c r="CF210" s="132"/>
      <c r="CG210" s="36"/>
      <c r="CH210" s="210"/>
      <c r="CI210" s="219"/>
      <c r="CJ210" s="210"/>
      <c r="CK210" s="273"/>
      <c r="CL210" s="273"/>
      <c r="CM210" s="132"/>
      <c r="CN210" s="274"/>
      <c r="CO210" s="144"/>
      <c r="CP210" s="274"/>
      <c r="CQ210" s="132"/>
      <c r="CR210" s="132"/>
      <c r="CS210" s="132"/>
      <c r="CT210" s="274"/>
      <c r="CU210" s="144"/>
      <c r="CV210" s="274"/>
      <c r="CW210" s="132"/>
      <c r="CX210" s="132"/>
      <c r="CY210" s="132"/>
      <c r="CZ210" s="118"/>
      <c r="DA210" s="144"/>
      <c r="DB210" s="118"/>
      <c r="DC210" s="33"/>
      <c r="DD210" s="39"/>
      <c r="DE210" s="11"/>
      <c r="DF210" s="132"/>
      <c r="DG210" s="132"/>
      <c r="DH210" s="132"/>
      <c r="DI210" s="132"/>
      <c r="DJ210" s="132"/>
      <c r="DK210" s="132"/>
      <c r="DL210" s="132"/>
      <c r="DM210" s="132"/>
      <c r="DN210" s="132"/>
      <c r="DO210" s="132"/>
      <c r="DP210" s="132"/>
      <c r="DQ210" s="132"/>
      <c r="DR210" s="132"/>
      <c r="DS210" s="132"/>
      <c r="DT210" s="132"/>
      <c r="DU210" s="132"/>
      <c r="DV210" s="132"/>
      <c r="DW210" s="132"/>
      <c r="DX210" s="132"/>
      <c r="DY210" s="132"/>
      <c r="DZ210" s="132"/>
      <c r="EA210" s="132"/>
      <c r="EB210" s="132"/>
      <c r="EC210" s="132"/>
      <c r="ED210" s="132"/>
      <c r="EE210" s="132"/>
      <c r="EF210" s="132"/>
      <c r="EG210" s="132"/>
      <c r="EH210" s="132"/>
      <c r="EI210" s="132"/>
      <c r="EJ210" s="132"/>
      <c r="EK210" s="132"/>
      <c r="EL210" s="132"/>
      <c r="EM210" s="132"/>
      <c r="EN210" s="132"/>
      <c r="EO210" s="132"/>
      <c r="EP210" s="132"/>
      <c r="EQ210" s="132"/>
      <c r="ER210" s="132"/>
      <c r="ES210" s="132"/>
      <c r="ET210" s="11"/>
      <c r="EU210" s="11"/>
      <c r="EV210" s="11"/>
      <c r="EW210" s="11"/>
      <c r="EX210" s="11"/>
      <c r="EY210" s="11"/>
      <c r="EZ210" s="11"/>
      <c r="FA210" s="11"/>
      <c r="FB210" s="11"/>
      <c r="FC210" s="11"/>
      <c r="FD210" s="11"/>
      <c r="FE210" s="11"/>
      <c r="FF210" s="11"/>
      <c r="FG210" s="11"/>
      <c r="FH210" s="39">
        <f t="shared" si="50"/>
        <v>0</v>
      </c>
      <c r="FI210" s="33">
        <f t="shared" si="51"/>
        <v>0</v>
      </c>
      <c r="FJ210" s="84" t="str">
        <f t="shared" si="52"/>
        <v xml:space="preserve"> </v>
      </c>
    </row>
    <row r="211" spans="1:166" x14ac:dyDescent="0.25">
      <c r="A211" s="79" t="e">
        <f>#REF!</f>
        <v>#REF!</v>
      </c>
      <c r="B211" s="75" t="e">
        <f>#REF!</f>
        <v>#REF!</v>
      </c>
      <c r="C211" s="75" t="e">
        <f>#REF!</f>
        <v>#REF!</v>
      </c>
      <c r="D211" s="75" t="e">
        <f>#REF!</f>
        <v>#REF!</v>
      </c>
      <c r="E211" s="30">
        <v>1</v>
      </c>
      <c r="F211" s="238">
        <v>0</v>
      </c>
      <c r="G211" s="241">
        <v>0</v>
      </c>
      <c r="H211" s="249">
        <v>0</v>
      </c>
      <c r="I211" s="249">
        <v>0</v>
      </c>
      <c r="J211" s="249">
        <v>0</v>
      </c>
      <c r="K211" s="249">
        <v>0</v>
      </c>
      <c r="L211" s="274"/>
      <c r="M211" s="274"/>
      <c r="N211" s="245"/>
      <c r="O211" s="113"/>
      <c r="P211" s="113"/>
      <c r="Q211" s="131"/>
      <c r="R211" s="131"/>
      <c r="S211" s="64"/>
      <c r="T211" s="113"/>
      <c r="U211" s="113"/>
      <c r="V211" s="113"/>
      <c r="W211" s="131"/>
      <c r="X211" s="131"/>
      <c r="Y211" s="11"/>
      <c r="Z211" s="113"/>
      <c r="AA211" s="113"/>
      <c r="AB211" s="113"/>
      <c r="AC211" s="52"/>
      <c r="AD211" s="52"/>
      <c r="AE211" s="11"/>
      <c r="AF211" s="113"/>
      <c r="AG211" s="144"/>
      <c r="AH211" s="113"/>
      <c r="AI211" s="11"/>
      <c r="AJ211" s="11"/>
      <c r="AK211" s="39"/>
      <c r="AL211" s="113"/>
      <c r="AM211" s="113"/>
      <c r="AN211" s="117"/>
      <c r="AO211" s="76"/>
      <c r="AP211" s="39"/>
      <c r="AQ211" s="39"/>
      <c r="AR211" s="275"/>
      <c r="AS211" s="156"/>
      <c r="AT211" s="157"/>
      <c r="AU211" s="62"/>
      <c r="AV211" s="62"/>
      <c r="AW211" s="31"/>
      <c r="AX211" s="116"/>
      <c r="AY211" s="196"/>
      <c r="AZ211" s="143"/>
      <c r="BA211" s="191"/>
      <c r="BB211" s="132"/>
      <c r="BC211" s="132"/>
      <c r="BD211" s="275"/>
      <c r="BE211" s="143"/>
      <c r="BF211" s="143"/>
      <c r="BG211" s="132"/>
      <c r="BH211" s="132"/>
      <c r="BI211" s="132"/>
      <c r="BJ211" s="143"/>
      <c r="BK211" s="143"/>
      <c r="BL211" s="143"/>
      <c r="BM211" s="132"/>
      <c r="BN211" s="132"/>
      <c r="BO211" s="132"/>
      <c r="BP211" s="143"/>
      <c r="BQ211" s="132"/>
      <c r="BR211" s="132"/>
      <c r="BS211" s="132"/>
      <c r="BT211" s="132"/>
      <c r="BU211" s="132"/>
      <c r="BV211" s="210"/>
      <c r="BW211" s="144"/>
      <c r="BX211" s="113"/>
      <c r="BY211" s="273"/>
      <c r="BZ211" s="273"/>
      <c r="CA211" s="132"/>
      <c r="CB211" s="275"/>
      <c r="CC211" s="143"/>
      <c r="CD211" s="275"/>
      <c r="CE211" s="132"/>
      <c r="CF211" s="132"/>
      <c r="CG211" s="36"/>
      <c r="CH211" s="210"/>
      <c r="CI211" s="219"/>
      <c r="CJ211" s="210"/>
      <c r="CK211" s="273"/>
      <c r="CL211" s="273"/>
      <c r="CM211" s="132"/>
      <c r="CN211" s="275"/>
      <c r="CO211" s="143"/>
      <c r="CP211" s="275"/>
      <c r="CQ211" s="132"/>
      <c r="CR211" s="132"/>
      <c r="CS211" s="132"/>
      <c r="CT211" s="275"/>
      <c r="CU211" s="143"/>
      <c r="CV211" s="275"/>
      <c r="CW211" s="132"/>
      <c r="CX211" s="132"/>
      <c r="CY211" s="132"/>
      <c r="CZ211" s="113"/>
      <c r="DA211" s="143"/>
      <c r="DB211" s="113"/>
      <c r="DC211" s="33"/>
      <c r="DD211" s="39"/>
      <c r="DE211" s="11"/>
      <c r="DF211" s="132"/>
      <c r="DG211" s="132"/>
      <c r="DH211" s="132"/>
      <c r="DI211" s="132"/>
      <c r="DJ211" s="132"/>
      <c r="DK211" s="132"/>
      <c r="DL211" s="132"/>
      <c r="DM211" s="132"/>
      <c r="DN211" s="132"/>
      <c r="DO211" s="132"/>
      <c r="DP211" s="132"/>
      <c r="DQ211" s="132"/>
      <c r="DR211" s="132"/>
      <c r="DS211" s="132"/>
      <c r="DT211" s="132"/>
      <c r="DU211" s="132"/>
      <c r="DV211" s="132"/>
      <c r="DW211" s="132"/>
      <c r="DX211" s="132"/>
      <c r="DY211" s="132"/>
      <c r="DZ211" s="132"/>
      <c r="EA211" s="132"/>
      <c r="EB211" s="132"/>
      <c r="EC211" s="132"/>
      <c r="ED211" s="132"/>
      <c r="EE211" s="132"/>
      <c r="EF211" s="132"/>
      <c r="EG211" s="132"/>
      <c r="EH211" s="132"/>
      <c r="EI211" s="132"/>
      <c r="EJ211" s="132"/>
      <c r="EK211" s="132"/>
      <c r="EL211" s="132"/>
      <c r="EM211" s="132"/>
      <c r="EN211" s="132"/>
      <c r="EO211" s="132"/>
      <c r="EP211" s="132"/>
      <c r="EQ211" s="132"/>
      <c r="ER211" s="132"/>
      <c r="ES211" s="132"/>
      <c r="ET211" s="11"/>
      <c r="EU211" s="11"/>
      <c r="EV211" s="11"/>
      <c r="EW211" s="11"/>
      <c r="EX211" s="11"/>
      <c r="EY211" s="11"/>
      <c r="EZ211" s="11"/>
      <c r="FA211" s="11"/>
      <c r="FB211" s="11"/>
      <c r="FC211" s="11"/>
      <c r="FD211" s="11"/>
      <c r="FE211" s="11"/>
      <c r="FF211" s="11"/>
      <c r="FG211" s="11"/>
      <c r="FH211" s="39">
        <f t="shared" si="50"/>
        <v>0</v>
      </c>
      <c r="FI211" s="33">
        <f t="shared" si="51"/>
        <v>0</v>
      </c>
      <c r="FJ211" s="84" t="str">
        <f t="shared" si="52"/>
        <v xml:space="preserve"> </v>
      </c>
    </row>
    <row r="212" spans="1:166" x14ac:dyDescent="0.25">
      <c r="A212" s="79" t="e">
        <f>#REF!</f>
        <v>#REF!</v>
      </c>
      <c r="B212" s="75" t="e">
        <f>#REF!</f>
        <v>#REF!</v>
      </c>
      <c r="C212" s="75" t="e">
        <f>#REF!</f>
        <v>#REF!</v>
      </c>
      <c r="D212" s="75" t="e">
        <f>#REF!</f>
        <v>#REF!</v>
      </c>
      <c r="E212" s="30">
        <v>1</v>
      </c>
      <c r="F212" s="238">
        <v>0</v>
      </c>
      <c r="G212" s="241">
        <v>0</v>
      </c>
      <c r="H212" s="249">
        <v>0</v>
      </c>
      <c r="I212" s="249">
        <v>0</v>
      </c>
      <c r="J212" s="249">
        <v>0</v>
      </c>
      <c r="K212" s="249">
        <v>0</v>
      </c>
      <c r="L212" s="274"/>
      <c r="M212" s="274"/>
      <c r="N212" s="245"/>
      <c r="O212" s="113"/>
      <c r="P212" s="113"/>
      <c r="Q212" s="131"/>
      <c r="R212" s="131"/>
      <c r="S212" s="64"/>
      <c r="T212" s="113"/>
      <c r="U212" s="113"/>
      <c r="V212" s="113"/>
      <c r="W212" s="131"/>
      <c r="X212" s="131"/>
      <c r="Y212" s="11"/>
      <c r="Z212" s="113"/>
      <c r="AA212" s="113"/>
      <c r="AB212" s="113"/>
      <c r="AC212" s="52"/>
      <c r="AD212" s="52"/>
      <c r="AE212" s="11"/>
      <c r="AF212" s="113"/>
      <c r="AG212" s="144"/>
      <c r="AH212" s="113"/>
      <c r="AI212" s="11"/>
      <c r="AJ212" s="11"/>
      <c r="AK212" s="39"/>
      <c r="AL212" s="113"/>
      <c r="AM212" s="113"/>
      <c r="AN212" s="119"/>
      <c r="AO212" s="76"/>
      <c r="AP212" s="39"/>
      <c r="AQ212" s="39"/>
      <c r="AR212" s="275"/>
      <c r="AS212" s="155"/>
      <c r="AT212" s="116"/>
      <c r="AU212" s="62"/>
      <c r="AV212" s="62"/>
      <c r="AW212" s="31"/>
      <c r="AX212" s="116"/>
      <c r="AY212" s="196"/>
      <c r="AZ212" s="143"/>
      <c r="BA212" s="191"/>
      <c r="BB212" s="132"/>
      <c r="BC212" s="132"/>
      <c r="BD212" s="275"/>
      <c r="BE212" s="274"/>
      <c r="BF212" s="274"/>
      <c r="BG212" s="274"/>
      <c r="BH212" s="132"/>
      <c r="BI212" s="132"/>
      <c r="BJ212" s="143"/>
      <c r="BK212" s="143"/>
      <c r="BL212" s="143"/>
      <c r="BM212" s="132"/>
      <c r="BN212" s="132"/>
      <c r="BO212" s="132"/>
      <c r="BP212" s="143"/>
      <c r="BQ212" s="132"/>
      <c r="BR212" s="132"/>
      <c r="BS212" s="132"/>
      <c r="BT212" s="132"/>
      <c r="BU212" s="132"/>
      <c r="BV212" s="210"/>
      <c r="BW212" s="144"/>
      <c r="BX212" s="113"/>
      <c r="BY212" s="273"/>
      <c r="BZ212" s="273"/>
      <c r="CA212" s="132"/>
      <c r="CB212" s="275"/>
      <c r="CC212" s="143"/>
      <c r="CD212" s="275"/>
      <c r="CE212" s="132"/>
      <c r="CF212" s="132"/>
      <c r="CG212" s="36"/>
      <c r="CH212" s="210"/>
      <c r="CI212" s="219"/>
      <c r="CJ212" s="210"/>
      <c r="CK212" s="273"/>
      <c r="CL212" s="273"/>
      <c r="CM212" s="132"/>
      <c r="CN212" s="275"/>
      <c r="CO212" s="143"/>
      <c r="CP212" s="275"/>
      <c r="CQ212" s="132"/>
      <c r="CR212" s="132"/>
      <c r="CS212" s="132"/>
      <c r="CT212" s="275"/>
      <c r="CU212" s="143"/>
      <c r="CV212" s="275"/>
      <c r="CW212" s="132"/>
      <c r="CX212" s="132"/>
      <c r="CY212" s="132"/>
      <c r="CZ212" s="113"/>
      <c r="DA212" s="143"/>
      <c r="DB212" s="113"/>
      <c r="DC212" s="33"/>
      <c r="DD212" s="39"/>
      <c r="DE212" s="11"/>
      <c r="DF212" s="132"/>
      <c r="DG212" s="132"/>
      <c r="DH212" s="132"/>
      <c r="DI212" s="132"/>
      <c r="DJ212" s="132"/>
      <c r="DK212" s="132"/>
      <c r="DL212" s="132"/>
      <c r="DM212" s="132"/>
      <c r="DN212" s="132"/>
      <c r="DO212" s="132"/>
      <c r="DP212" s="132"/>
      <c r="DQ212" s="132"/>
      <c r="DR212" s="132"/>
      <c r="DS212" s="132"/>
      <c r="DT212" s="132"/>
      <c r="DU212" s="132"/>
      <c r="DV212" s="132"/>
      <c r="DW212" s="132"/>
      <c r="DX212" s="132"/>
      <c r="DY212" s="132"/>
      <c r="DZ212" s="132"/>
      <c r="EA212" s="132"/>
      <c r="EB212" s="132"/>
      <c r="EC212" s="132"/>
      <c r="ED212" s="132"/>
      <c r="EE212" s="132"/>
      <c r="EF212" s="132"/>
      <c r="EG212" s="132"/>
      <c r="EH212" s="132"/>
      <c r="EI212" s="132"/>
      <c r="EJ212" s="132"/>
      <c r="EK212" s="132"/>
      <c r="EL212" s="132"/>
      <c r="EM212" s="132"/>
      <c r="EN212" s="132"/>
      <c r="EO212" s="132"/>
      <c r="EP212" s="132"/>
      <c r="EQ212" s="132"/>
      <c r="ER212" s="132"/>
      <c r="ES212" s="132"/>
      <c r="ET212" s="11"/>
      <c r="EU212" s="11"/>
      <c r="EV212" s="11"/>
      <c r="EW212" s="11"/>
      <c r="EX212" s="11"/>
      <c r="EY212" s="11"/>
      <c r="EZ212" s="11"/>
      <c r="FA212" s="11"/>
      <c r="FB212" s="11"/>
      <c r="FC212" s="11"/>
      <c r="FD212" s="11"/>
      <c r="FE212" s="11"/>
      <c r="FF212" s="11"/>
      <c r="FG212" s="11"/>
      <c r="FH212" s="39">
        <f t="shared" si="50"/>
        <v>0</v>
      </c>
      <c r="FI212" s="33">
        <f t="shared" si="51"/>
        <v>0</v>
      </c>
      <c r="FJ212" s="84" t="str">
        <f t="shared" si="52"/>
        <v xml:space="preserve"> </v>
      </c>
    </row>
    <row r="213" spans="1:166" x14ac:dyDescent="0.25">
      <c r="A213" s="79" t="e">
        <f>#REF!</f>
        <v>#REF!</v>
      </c>
      <c r="B213" s="75" t="e">
        <f>#REF!</f>
        <v>#REF!</v>
      </c>
      <c r="C213" s="75" t="e">
        <f>#REF!</f>
        <v>#REF!</v>
      </c>
      <c r="D213" s="75" t="e">
        <f>#REF!</f>
        <v>#REF!</v>
      </c>
      <c r="E213" s="30">
        <v>1</v>
      </c>
      <c r="F213" s="238">
        <v>0</v>
      </c>
      <c r="G213" s="241">
        <v>0</v>
      </c>
      <c r="H213" s="249">
        <v>0</v>
      </c>
      <c r="I213" s="249">
        <v>0</v>
      </c>
      <c r="J213" s="249">
        <v>0</v>
      </c>
      <c r="K213" s="249">
        <v>0</v>
      </c>
      <c r="L213" s="274"/>
      <c r="M213" s="274"/>
      <c r="N213" s="245"/>
      <c r="O213" s="113"/>
      <c r="P213" s="113"/>
      <c r="Q213" s="131"/>
      <c r="R213" s="131"/>
      <c r="S213" s="64"/>
      <c r="T213" s="113"/>
      <c r="U213" s="113"/>
      <c r="V213" s="113"/>
      <c r="W213" s="131"/>
      <c r="X213" s="131"/>
      <c r="Y213" s="11"/>
      <c r="Z213" s="113"/>
      <c r="AA213" s="113"/>
      <c r="AB213" s="113"/>
      <c r="AC213" s="52"/>
      <c r="AD213" s="52"/>
      <c r="AE213" s="11"/>
      <c r="AF213" s="113"/>
      <c r="AG213" s="144"/>
      <c r="AH213" s="113"/>
      <c r="AI213" s="11"/>
      <c r="AJ213" s="11"/>
      <c r="AK213" s="39"/>
      <c r="AL213" s="113"/>
      <c r="AM213" s="113"/>
      <c r="AN213" s="119"/>
      <c r="AO213" s="76"/>
      <c r="AP213" s="39"/>
      <c r="AQ213" s="39"/>
      <c r="AR213" s="275"/>
      <c r="AS213" s="155"/>
      <c r="AT213" s="116"/>
      <c r="AU213" s="62"/>
      <c r="AV213" s="62"/>
      <c r="AW213" s="31"/>
      <c r="AX213" s="116"/>
      <c r="AY213" s="196"/>
      <c r="AZ213" s="143"/>
      <c r="BA213" s="191"/>
      <c r="BB213" s="132"/>
      <c r="BC213" s="132"/>
      <c r="BD213" s="275"/>
      <c r="BE213" s="143"/>
      <c r="BF213" s="143"/>
      <c r="BG213" s="132"/>
      <c r="BH213" s="132"/>
      <c r="BI213" s="132"/>
      <c r="BJ213" s="143"/>
      <c r="BK213" s="143"/>
      <c r="BL213" s="143"/>
      <c r="BM213" s="132"/>
      <c r="BN213" s="132"/>
      <c r="BO213" s="132"/>
      <c r="BP213" s="143"/>
      <c r="BQ213" s="132"/>
      <c r="BR213" s="132"/>
      <c r="BS213" s="132"/>
      <c r="BT213" s="132"/>
      <c r="BU213" s="132"/>
      <c r="BV213" s="210"/>
      <c r="BW213" s="144"/>
      <c r="BX213" s="113"/>
      <c r="BY213" s="273"/>
      <c r="BZ213" s="273"/>
      <c r="CA213" s="132"/>
      <c r="CB213" s="275"/>
      <c r="CC213" s="143"/>
      <c r="CD213" s="275"/>
      <c r="CE213" s="132"/>
      <c r="CF213" s="132"/>
      <c r="CG213" s="36"/>
      <c r="CH213" s="210"/>
      <c r="CI213" s="219"/>
      <c r="CJ213" s="210"/>
      <c r="CK213" s="273"/>
      <c r="CL213" s="273"/>
      <c r="CM213" s="132"/>
      <c r="CN213" s="275"/>
      <c r="CO213" s="143"/>
      <c r="CP213" s="275"/>
      <c r="CQ213" s="132"/>
      <c r="CR213" s="132"/>
      <c r="CS213" s="132"/>
      <c r="CT213" s="275"/>
      <c r="CU213" s="143"/>
      <c r="CV213" s="275"/>
      <c r="CW213" s="132"/>
      <c r="CX213" s="132"/>
      <c r="CY213" s="132"/>
      <c r="CZ213" s="113"/>
      <c r="DA213" s="143"/>
      <c r="DB213" s="113"/>
      <c r="DC213" s="33"/>
      <c r="DD213" s="39"/>
      <c r="DE213" s="11"/>
      <c r="DF213" s="132"/>
      <c r="DG213" s="132"/>
      <c r="DH213" s="132"/>
      <c r="DI213" s="132"/>
      <c r="DJ213" s="132"/>
      <c r="DK213" s="132"/>
      <c r="DL213" s="132"/>
      <c r="DM213" s="132"/>
      <c r="DN213" s="132"/>
      <c r="DO213" s="132"/>
      <c r="DP213" s="132"/>
      <c r="DQ213" s="132"/>
      <c r="DR213" s="132"/>
      <c r="DS213" s="132"/>
      <c r="DT213" s="132"/>
      <c r="DU213" s="132"/>
      <c r="DV213" s="132"/>
      <c r="DW213" s="132"/>
      <c r="DX213" s="132"/>
      <c r="DY213" s="132"/>
      <c r="DZ213" s="132"/>
      <c r="EA213" s="132"/>
      <c r="EB213" s="132"/>
      <c r="EC213" s="132"/>
      <c r="ED213" s="132"/>
      <c r="EE213" s="132"/>
      <c r="EF213" s="132"/>
      <c r="EG213" s="132"/>
      <c r="EH213" s="132"/>
      <c r="EI213" s="132"/>
      <c r="EJ213" s="132"/>
      <c r="EK213" s="132"/>
      <c r="EL213" s="132"/>
      <c r="EM213" s="132"/>
      <c r="EN213" s="132"/>
      <c r="EO213" s="132"/>
      <c r="EP213" s="132"/>
      <c r="EQ213" s="132"/>
      <c r="ER213" s="132"/>
      <c r="ES213" s="132"/>
      <c r="ET213" s="11"/>
      <c r="EU213" s="11"/>
      <c r="EV213" s="11"/>
      <c r="EW213" s="11"/>
      <c r="EX213" s="11"/>
      <c r="EY213" s="11"/>
      <c r="EZ213" s="11"/>
      <c r="FA213" s="11"/>
      <c r="FB213" s="11"/>
      <c r="FC213" s="11"/>
      <c r="FD213" s="11"/>
      <c r="FE213" s="11"/>
      <c r="FF213" s="11"/>
      <c r="FG213" s="11"/>
      <c r="FH213" s="39">
        <f t="shared" si="50"/>
        <v>0</v>
      </c>
      <c r="FI213" s="33">
        <f t="shared" si="51"/>
        <v>0</v>
      </c>
      <c r="FJ213" s="84" t="str">
        <f t="shared" si="52"/>
        <v xml:space="preserve"> </v>
      </c>
    </row>
    <row r="214" spans="1:166" x14ac:dyDescent="0.25">
      <c r="A214" s="79" t="e">
        <f>#REF!</f>
        <v>#REF!</v>
      </c>
      <c r="B214" s="75" t="e">
        <f>#REF!</f>
        <v>#REF!</v>
      </c>
      <c r="C214" s="75" t="e">
        <f>#REF!</f>
        <v>#REF!</v>
      </c>
      <c r="D214" s="75" t="e">
        <f>#REF!</f>
        <v>#REF!</v>
      </c>
      <c r="E214" s="30">
        <v>1</v>
      </c>
      <c r="F214" s="238">
        <v>0</v>
      </c>
      <c r="G214" s="241">
        <v>0</v>
      </c>
      <c r="H214" s="249">
        <v>0</v>
      </c>
      <c r="I214" s="249">
        <v>0</v>
      </c>
      <c r="J214" s="249">
        <v>0</v>
      </c>
      <c r="K214" s="249">
        <v>0</v>
      </c>
      <c r="L214" s="274"/>
      <c r="M214" s="274"/>
      <c r="N214" s="245"/>
      <c r="O214" s="113"/>
      <c r="P214" s="113"/>
      <c r="Q214" s="131"/>
      <c r="R214" s="131"/>
      <c r="S214" s="64"/>
      <c r="T214" s="113"/>
      <c r="U214" s="113"/>
      <c r="V214" s="113"/>
      <c r="W214" s="131"/>
      <c r="X214" s="131"/>
      <c r="Y214" s="11"/>
      <c r="Z214" s="113"/>
      <c r="AA214" s="113"/>
      <c r="AB214" s="113"/>
      <c r="AC214" s="52"/>
      <c r="AD214" s="52"/>
      <c r="AE214" s="11"/>
      <c r="AF214" s="113"/>
      <c r="AG214" s="144"/>
      <c r="AH214" s="113"/>
      <c r="AI214" s="11"/>
      <c r="AJ214" s="11"/>
      <c r="AK214" s="39"/>
      <c r="AL214" s="113"/>
      <c r="AM214" s="113"/>
      <c r="AN214" s="119"/>
      <c r="AO214" s="76"/>
      <c r="AP214" s="39"/>
      <c r="AQ214" s="39"/>
      <c r="AR214" s="275"/>
      <c r="AS214" s="155"/>
      <c r="AT214" s="143"/>
      <c r="AU214" s="62"/>
      <c r="AV214" s="62"/>
      <c r="AW214" s="31"/>
      <c r="AX214" s="116"/>
      <c r="AY214" s="196"/>
      <c r="AZ214" s="143"/>
      <c r="BA214" s="191"/>
      <c r="BB214" s="132"/>
      <c r="BC214" s="132"/>
      <c r="BD214" s="275"/>
      <c r="BE214" s="274"/>
      <c r="BF214" s="274"/>
      <c r="BG214" s="274"/>
      <c r="BH214" s="132"/>
      <c r="BI214" s="132"/>
      <c r="BJ214" s="143"/>
      <c r="BK214" s="143"/>
      <c r="BL214" s="143"/>
      <c r="BM214" s="132"/>
      <c r="BN214" s="132"/>
      <c r="BO214" s="132"/>
      <c r="BP214" s="143"/>
      <c r="BQ214" s="132"/>
      <c r="BR214" s="132"/>
      <c r="BS214" s="132"/>
      <c r="BT214" s="132"/>
      <c r="BU214" s="132"/>
      <c r="BV214" s="210"/>
      <c r="BW214" s="144"/>
      <c r="BX214" s="113"/>
      <c r="BY214" s="273"/>
      <c r="BZ214" s="273"/>
      <c r="CA214" s="132"/>
      <c r="CB214" s="275"/>
      <c r="CC214" s="143"/>
      <c r="CD214" s="275"/>
      <c r="CE214" s="132"/>
      <c r="CF214" s="132"/>
      <c r="CG214" s="36"/>
      <c r="CH214" s="210"/>
      <c r="CI214" s="219"/>
      <c r="CJ214" s="210"/>
      <c r="CK214" s="273"/>
      <c r="CL214" s="273"/>
      <c r="CM214" s="132"/>
      <c r="CN214" s="275"/>
      <c r="CO214" s="143"/>
      <c r="CP214" s="275"/>
      <c r="CQ214" s="132"/>
      <c r="CR214" s="132"/>
      <c r="CS214" s="132"/>
      <c r="CT214" s="275"/>
      <c r="CU214" s="143"/>
      <c r="CV214" s="275"/>
      <c r="CW214" s="132"/>
      <c r="CX214" s="132"/>
      <c r="CY214" s="132"/>
      <c r="CZ214" s="113"/>
      <c r="DA214" s="143"/>
      <c r="DB214" s="113"/>
      <c r="DC214" s="33"/>
      <c r="DD214" s="39"/>
      <c r="DE214" s="11"/>
      <c r="DF214" s="132"/>
      <c r="DG214" s="132"/>
      <c r="DH214" s="132"/>
      <c r="DI214" s="132"/>
      <c r="DJ214" s="132"/>
      <c r="DK214" s="132"/>
      <c r="DL214" s="132"/>
      <c r="DM214" s="132"/>
      <c r="DN214" s="132"/>
      <c r="DO214" s="132"/>
      <c r="DP214" s="132"/>
      <c r="DQ214" s="132"/>
      <c r="DR214" s="132"/>
      <c r="DS214" s="132"/>
      <c r="DT214" s="132"/>
      <c r="DU214" s="132"/>
      <c r="DV214" s="132"/>
      <c r="DW214" s="132"/>
      <c r="DX214" s="132"/>
      <c r="DY214" s="132"/>
      <c r="DZ214" s="132"/>
      <c r="EA214" s="132"/>
      <c r="EB214" s="132"/>
      <c r="EC214" s="132"/>
      <c r="ED214" s="132"/>
      <c r="EE214" s="132"/>
      <c r="EF214" s="132"/>
      <c r="EG214" s="132"/>
      <c r="EH214" s="132"/>
      <c r="EI214" s="132"/>
      <c r="EJ214" s="132"/>
      <c r="EK214" s="132"/>
      <c r="EL214" s="132"/>
      <c r="EM214" s="132"/>
      <c r="EN214" s="132"/>
      <c r="EO214" s="132"/>
      <c r="EP214" s="132"/>
      <c r="EQ214" s="132"/>
      <c r="ER214" s="132"/>
      <c r="ES214" s="132"/>
      <c r="ET214" s="11"/>
      <c r="EU214" s="11"/>
      <c r="EV214" s="11"/>
      <c r="EW214" s="11"/>
      <c r="EX214" s="11"/>
      <c r="EY214" s="11"/>
      <c r="EZ214" s="11"/>
      <c r="FA214" s="11"/>
      <c r="FB214" s="11"/>
      <c r="FC214" s="11"/>
      <c r="FD214" s="11"/>
      <c r="FE214" s="11"/>
      <c r="FF214" s="11"/>
      <c r="FG214" s="11"/>
      <c r="FH214" s="39">
        <f t="shared" si="50"/>
        <v>0</v>
      </c>
      <c r="FI214" s="33">
        <f t="shared" si="51"/>
        <v>0</v>
      </c>
      <c r="FJ214" s="84" t="str">
        <f t="shared" si="52"/>
        <v xml:space="preserve"> </v>
      </c>
    </row>
    <row r="215" spans="1:166" x14ac:dyDescent="0.25">
      <c r="A215" s="79" t="e">
        <f>#REF!</f>
        <v>#REF!</v>
      </c>
      <c r="B215" s="75" t="e">
        <f>#REF!</f>
        <v>#REF!</v>
      </c>
      <c r="C215" s="75" t="e">
        <f>#REF!</f>
        <v>#REF!</v>
      </c>
      <c r="D215" s="75" t="e">
        <f>#REF!</f>
        <v>#REF!</v>
      </c>
      <c r="E215" s="30">
        <v>1</v>
      </c>
      <c r="F215" s="238">
        <v>0</v>
      </c>
      <c r="G215" s="241">
        <v>0</v>
      </c>
      <c r="H215" s="249">
        <v>0</v>
      </c>
      <c r="I215" s="249">
        <v>0</v>
      </c>
      <c r="J215" s="249">
        <v>182070</v>
      </c>
      <c r="K215" s="249">
        <v>0</v>
      </c>
      <c r="L215" s="274">
        <f>J215</f>
        <v>182070</v>
      </c>
      <c r="M215" s="274"/>
      <c r="N215" s="245"/>
      <c r="O215" s="113"/>
      <c r="P215" s="113"/>
      <c r="Q215" s="131"/>
      <c r="R215" s="131"/>
      <c r="S215" s="64"/>
      <c r="T215" s="113"/>
      <c r="U215" s="113"/>
      <c r="V215" s="113"/>
      <c r="W215" s="131"/>
      <c r="X215" s="131"/>
      <c r="Y215" s="11"/>
      <c r="Z215" s="113"/>
      <c r="AA215" s="113"/>
      <c r="AB215" s="113"/>
      <c r="AC215" s="52"/>
      <c r="AD215" s="52"/>
      <c r="AE215" s="11"/>
      <c r="AF215" s="118"/>
      <c r="AG215" s="144"/>
      <c r="AH215" s="113"/>
      <c r="AI215" s="11"/>
      <c r="AJ215" s="11"/>
      <c r="AK215" s="39"/>
      <c r="AL215" s="113"/>
      <c r="AM215" s="113"/>
      <c r="AN215" s="119"/>
      <c r="AO215" s="76"/>
      <c r="AP215" s="39"/>
      <c r="AQ215" s="39"/>
      <c r="AR215" s="275"/>
      <c r="AS215" s="155"/>
      <c r="AT215" s="116"/>
      <c r="AU215" s="62"/>
      <c r="AV215" s="62"/>
      <c r="AW215" s="31"/>
      <c r="AX215" s="116"/>
      <c r="AY215" s="196"/>
      <c r="AZ215" s="143"/>
      <c r="BA215" s="191"/>
      <c r="BB215" s="132"/>
      <c r="BC215" s="132"/>
      <c r="BD215" s="274"/>
      <c r="BE215" s="143"/>
      <c r="BF215" s="143"/>
      <c r="BG215" s="132"/>
      <c r="BH215" s="132"/>
      <c r="BI215" s="132"/>
      <c r="BJ215" s="143"/>
      <c r="BK215" s="143"/>
      <c r="BL215" s="143"/>
      <c r="BM215" s="132"/>
      <c r="BN215" s="132"/>
      <c r="BO215" s="132"/>
      <c r="BP215" s="143"/>
      <c r="BQ215" s="132"/>
      <c r="BR215" s="132"/>
      <c r="BS215" s="132"/>
      <c r="BT215" s="132"/>
      <c r="BU215" s="132"/>
      <c r="BV215" s="210"/>
      <c r="BW215" s="144"/>
      <c r="BX215" s="113"/>
      <c r="BY215" s="273"/>
      <c r="BZ215" s="273"/>
      <c r="CA215" s="132"/>
      <c r="CB215" s="274"/>
      <c r="CC215" s="144"/>
      <c r="CD215" s="274"/>
      <c r="CE215" s="132"/>
      <c r="CF215" s="132"/>
      <c r="CG215" s="36"/>
      <c r="CH215" s="210"/>
      <c r="CI215" s="219"/>
      <c r="CJ215" s="210"/>
      <c r="CK215" s="273"/>
      <c r="CL215" s="273"/>
      <c r="CM215" s="132"/>
      <c r="CN215" s="274"/>
      <c r="CO215" s="144"/>
      <c r="CP215" s="274"/>
      <c r="CQ215" s="132"/>
      <c r="CR215" s="132"/>
      <c r="CS215" s="132"/>
      <c r="CT215" s="274"/>
      <c r="CU215" s="144"/>
      <c r="CV215" s="274"/>
      <c r="CW215" s="132"/>
      <c r="CX215" s="132"/>
      <c r="CY215" s="132"/>
      <c r="CZ215" s="118"/>
      <c r="DA215" s="144"/>
      <c r="DB215" s="118"/>
      <c r="DC215" s="33"/>
      <c r="DD215" s="39"/>
      <c r="DE215" s="11"/>
      <c r="DF215" s="132"/>
      <c r="DG215" s="132"/>
      <c r="DH215" s="132"/>
      <c r="DI215" s="132"/>
      <c r="DJ215" s="132"/>
      <c r="DK215" s="132"/>
      <c r="DL215" s="132"/>
      <c r="DM215" s="132"/>
      <c r="DN215" s="132"/>
      <c r="DO215" s="132"/>
      <c r="DP215" s="132"/>
      <c r="DQ215" s="132"/>
      <c r="DR215" s="132"/>
      <c r="DS215" s="132"/>
      <c r="DT215" s="132"/>
      <c r="DU215" s="132"/>
      <c r="DV215" s="132"/>
      <c r="DW215" s="132"/>
      <c r="DX215" s="132"/>
      <c r="DY215" s="132"/>
      <c r="DZ215" s="132"/>
      <c r="EA215" s="132"/>
      <c r="EB215" s="132"/>
      <c r="EC215" s="132"/>
      <c r="ED215" s="132"/>
      <c r="EE215" s="132"/>
      <c r="EF215" s="132"/>
      <c r="EG215" s="132"/>
      <c r="EH215" s="132"/>
      <c r="EI215" s="132"/>
      <c r="EJ215" s="132"/>
      <c r="EK215" s="132"/>
      <c r="EL215" s="132"/>
      <c r="EM215" s="132"/>
      <c r="EN215" s="132"/>
      <c r="EO215" s="132"/>
      <c r="EP215" s="132"/>
      <c r="EQ215" s="132"/>
      <c r="ER215" s="132"/>
      <c r="ES215" s="132"/>
      <c r="ET215" s="11"/>
      <c r="EU215" s="11"/>
      <c r="EV215" s="11"/>
      <c r="EW215" s="11"/>
      <c r="EX215" s="11"/>
      <c r="EY215" s="11"/>
      <c r="EZ215" s="11"/>
      <c r="FA215" s="11"/>
      <c r="FB215" s="11"/>
      <c r="FC215" s="11"/>
      <c r="FD215" s="11"/>
      <c r="FE215" s="11"/>
      <c r="FF215" s="11"/>
      <c r="FG215" s="11"/>
      <c r="FH215" s="39">
        <f t="shared" si="50"/>
        <v>0</v>
      </c>
      <c r="FI215" s="33">
        <f t="shared" si="51"/>
        <v>0</v>
      </c>
      <c r="FJ215" s="84" t="str">
        <f t="shared" si="52"/>
        <v xml:space="preserve"> </v>
      </c>
    </row>
    <row r="216" spans="1:166" x14ac:dyDescent="0.25">
      <c r="A216" s="79" t="e">
        <f>#REF!</f>
        <v>#REF!</v>
      </c>
      <c r="B216" s="75" t="e">
        <f>#REF!</f>
        <v>#REF!</v>
      </c>
      <c r="C216" s="75" t="e">
        <f>#REF!</f>
        <v>#REF!</v>
      </c>
      <c r="D216" s="75" t="e">
        <f>#REF!</f>
        <v>#REF!</v>
      </c>
      <c r="E216" s="30">
        <v>1</v>
      </c>
      <c r="F216" s="238">
        <v>0</v>
      </c>
      <c r="G216" s="241">
        <v>0</v>
      </c>
      <c r="H216" s="249">
        <v>0</v>
      </c>
      <c r="I216" s="249">
        <v>0</v>
      </c>
      <c r="J216" s="249">
        <v>0</v>
      </c>
      <c r="K216" s="249">
        <v>0</v>
      </c>
      <c r="L216" s="274"/>
      <c r="M216" s="274"/>
      <c r="N216" s="245"/>
      <c r="O216" s="113"/>
      <c r="P216" s="113"/>
      <c r="Q216" s="131"/>
      <c r="R216" s="131"/>
      <c r="S216" s="64"/>
      <c r="T216" s="113"/>
      <c r="U216" s="117"/>
      <c r="V216" s="113"/>
      <c r="W216" s="131"/>
      <c r="X216" s="131"/>
      <c r="Y216" s="11"/>
      <c r="Z216" s="113"/>
      <c r="AA216" s="113"/>
      <c r="AB216" s="113"/>
      <c r="AC216" s="52"/>
      <c r="AD216" s="52"/>
      <c r="AE216" s="11"/>
      <c r="AF216" s="113"/>
      <c r="AG216" s="144"/>
      <c r="AH216" s="113"/>
      <c r="AI216" s="11"/>
      <c r="AJ216" s="11"/>
      <c r="AK216" s="39"/>
      <c r="AL216" s="113"/>
      <c r="AM216" s="113"/>
      <c r="AN216" s="117"/>
      <c r="AO216" s="76"/>
      <c r="AP216" s="39"/>
      <c r="AQ216" s="39"/>
      <c r="AR216" s="275"/>
      <c r="AS216" s="156"/>
      <c r="AT216" s="157"/>
      <c r="AU216" s="62"/>
      <c r="AV216" s="62"/>
      <c r="AW216" s="31"/>
      <c r="AX216" s="116"/>
      <c r="AY216" s="116"/>
      <c r="AZ216" s="143"/>
      <c r="BA216" s="191"/>
      <c r="BB216" s="132"/>
      <c r="BC216" s="132"/>
      <c r="BD216" s="275"/>
      <c r="BE216" s="143"/>
      <c r="BF216" s="143"/>
      <c r="BG216" s="132"/>
      <c r="BH216" s="132"/>
      <c r="BI216" s="132"/>
      <c r="BJ216" s="143"/>
      <c r="BK216" s="143"/>
      <c r="BL216" s="143"/>
      <c r="BM216" s="132"/>
      <c r="BN216" s="132"/>
      <c r="BO216" s="132"/>
      <c r="BP216" s="143"/>
      <c r="BQ216" s="132"/>
      <c r="BR216" s="132"/>
      <c r="BS216" s="132"/>
      <c r="BT216" s="132"/>
      <c r="BU216" s="132"/>
      <c r="BV216" s="210"/>
      <c r="BW216" s="144"/>
      <c r="BX216" s="113"/>
      <c r="BY216" s="273"/>
      <c r="BZ216" s="273"/>
      <c r="CA216" s="132"/>
      <c r="CB216" s="275"/>
      <c r="CC216" s="143"/>
      <c r="CD216" s="275"/>
      <c r="CE216" s="132"/>
      <c r="CF216" s="132"/>
      <c r="CG216" s="36"/>
      <c r="CH216" s="210"/>
      <c r="CI216" s="219"/>
      <c r="CJ216" s="210"/>
      <c r="CK216" s="273"/>
      <c r="CL216" s="273"/>
      <c r="CM216" s="132"/>
      <c r="CN216" s="275"/>
      <c r="CO216" s="143"/>
      <c r="CP216" s="275"/>
      <c r="CQ216" s="132"/>
      <c r="CR216" s="132"/>
      <c r="CS216" s="132"/>
      <c r="CT216" s="275"/>
      <c r="CU216" s="143"/>
      <c r="CV216" s="275"/>
      <c r="CW216" s="132"/>
      <c r="CX216" s="132"/>
      <c r="CY216" s="132"/>
      <c r="CZ216" s="113"/>
      <c r="DA216" s="143"/>
      <c r="DB216" s="113"/>
      <c r="DC216" s="33"/>
      <c r="DD216" s="39"/>
      <c r="DE216" s="11"/>
      <c r="DF216" s="132"/>
      <c r="DG216" s="132"/>
      <c r="DH216" s="132"/>
      <c r="DI216" s="132"/>
      <c r="DJ216" s="132"/>
      <c r="DK216" s="132"/>
      <c r="DL216" s="132"/>
      <c r="DM216" s="132"/>
      <c r="DN216" s="132"/>
      <c r="DO216" s="132"/>
      <c r="DP216" s="132"/>
      <c r="DQ216" s="132"/>
      <c r="DR216" s="132"/>
      <c r="DS216" s="132"/>
      <c r="DT216" s="132"/>
      <c r="DU216" s="132"/>
      <c r="DV216" s="132"/>
      <c r="DW216" s="132"/>
      <c r="DX216" s="132"/>
      <c r="DY216" s="132"/>
      <c r="DZ216" s="132"/>
      <c r="EA216" s="132"/>
      <c r="EB216" s="132"/>
      <c r="EC216" s="132"/>
      <c r="ED216" s="132"/>
      <c r="EE216" s="132"/>
      <c r="EF216" s="132"/>
      <c r="EG216" s="132"/>
      <c r="EH216" s="132"/>
      <c r="EI216" s="132"/>
      <c r="EJ216" s="132"/>
      <c r="EK216" s="132"/>
      <c r="EL216" s="132"/>
      <c r="EM216" s="132"/>
      <c r="EN216" s="132"/>
      <c r="EO216" s="132"/>
      <c r="EP216" s="132"/>
      <c r="EQ216" s="132"/>
      <c r="ER216" s="132"/>
      <c r="ES216" s="132"/>
      <c r="ET216" s="11"/>
      <c r="EU216" s="11"/>
      <c r="EV216" s="11"/>
      <c r="EW216" s="11"/>
      <c r="EX216" s="11"/>
      <c r="EY216" s="11"/>
      <c r="EZ216" s="11"/>
      <c r="FA216" s="11"/>
      <c r="FB216" s="11"/>
      <c r="FC216" s="11"/>
      <c r="FD216" s="11"/>
      <c r="FE216" s="11"/>
      <c r="FF216" s="11"/>
      <c r="FG216" s="11"/>
      <c r="FH216" s="39">
        <f t="shared" si="50"/>
        <v>0</v>
      </c>
      <c r="FI216" s="33">
        <f t="shared" si="51"/>
        <v>0</v>
      </c>
      <c r="FJ216" s="84" t="str">
        <f t="shared" si="52"/>
        <v xml:space="preserve"> </v>
      </c>
    </row>
    <row r="217" spans="1:166" ht="13.5" x14ac:dyDescent="0.25">
      <c r="A217" s="79" t="e">
        <f>#REF!</f>
        <v>#REF!</v>
      </c>
      <c r="B217" s="75" t="e">
        <f>#REF!</f>
        <v>#REF!</v>
      </c>
      <c r="C217" s="75" t="e">
        <f>#REF!</f>
        <v>#REF!</v>
      </c>
      <c r="D217" s="75" t="e">
        <f>#REF!</f>
        <v>#REF!</v>
      </c>
      <c r="E217" s="30">
        <v>1</v>
      </c>
      <c r="F217" s="238">
        <v>196088.2</v>
      </c>
      <c r="G217" s="241">
        <v>193137</v>
      </c>
      <c r="H217" s="249">
        <v>103197.5</v>
      </c>
      <c r="I217" s="249">
        <v>75000</v>
      </c>
      <c r="J217" s="249">
        <v>195241.158</v>
      </c>
      <c r="K217" s="249">
        <v>0</v>
      </c>
      <c r="L217" s="274">
        <f>AVERAGE(F217,H217,J217)</f>
        <v>164842.28599999999</v>
      </c>
      <c r="M217" s="274">
        <f>AVERAGE(G217,I217)*E1</f>
        <v>138090.55499999999</v>
      </c>
      <c r="N217" s="245"/>
      <c r="O217" s="113"/>
      <c r="P217" s="113"/>
      <c r="Q217" s="131"/>
      <c r="R217" s="131"/>
      <c r="S217" s="64"/>
      <c r="T217" s="113"/>
      <c r="U217" s="113"/>
      <c r="V217" s="113"/>
      <c r="W217" s="131"/>
      <c r="X217" s="131"/>
      <c r="Y217" s="11"/>
      <c r="Z217" s="113"/>
      <c r="AA217" s="113"/>
      <c r="AB217" s="113"/>
      <c r="AC217" s="52"/>
      <c r="AD217" s="52"/>
      <c r="AE217" s="11"/>
      <c r="AF217" s="118">
        <v>180000</v>
      </c>
      <c r="AG217" s="144">
        <f>AF217*19%</f>
        <v>34200</v>
      </c>
      <c r="AH217" s="113">
        <f>+AF217+AG217</f>
        <v>214200</v>
      </c>
      <c r="AI217" s="11"/>
      <c r="AJ217" s="11"/>
      <c r="AK217" s="39"/>
      <c r="AL217" s="113">
        <v>175000</v>
      </c>
      <c r="AM217" s="113">
        <f>+AL217*0.19</f>
        <v>33250</v>
      </c>
      <c r="AN217" s="119">
        <f>+AL217+AM217</f>
        <v>208250</v>
      </c>
      <c r="AO217" s="76" t="s">
        <v>34</v>
      </c>
      <c r="AP217" s="39" t="s">
        <v>45</v>
      </c>
      <c r="AQ217" s="39"/>
      <c r="AR217" s="275">
        <v>169926</v>
      </c>
      <c r="AS217" s="113">
        <f>+AR217*0.19</f>
        <v>32285.94</v>
      </c>
      <c r="AT217" s="119">
        <f>+AR217+AS217</f>
        <v>202211.94</v>
      </c>
      <c r="AU217" s="62" t="s">
        <v>34</v>
      </c>
      <c r="AV217" s="62" t="s">
        <v>45</v>
      </c>
      <c r="AW217" s="31"/>
      <c r="AX217" s="116"/>
      <c r="AY217" s="116"/>
      <c r="AZ217" s="143"/>
      <c r="BA217" s="191"/>
      <c r="BB217" s="132"/>
      <c r="BC217" s="132"/>
      <c r="BD217" s="274"/>
      <c r="BE217" s="143"/>
      <c r="BF217" s="143"/>
      <c r="BG217" s="132"/>
      <c r="BH217" s="132"/>
      <c r="BI217" s="132"/>
      <c r="BJ217" s="143"/>
      <c r="BK217" s="143"/>
      <c r="BL217" s="143"/>
      <c r="BM217" s="132"/>
      <c r="BN217" s="132"/>
      <c r="BO217" s="132"/>
      <c r="BP217" s="143"/>
      <c r="BQ217" s="132"/>
      <c r="BR217" s="132"/>
      <c r="BS217" s="132"/>
      <c r="BT217" s="132"/>
      <c r="BU217" s="132"/>
      <c r="BV217" s="263">
        <v>256500</v>
      </c>
      <c r="BW217" s="144">
        <f t="shared" ref="BW217:BW222" si="53">BV217*19%</f>
        <v>48735</v>
      </c>
      <c r="BX217" s="113">
        <f t="shared" ref="BX217:BX222" si="54">+BV217+BW217</f>
        <v>305235</v>
      </c>
      <c r="BY217" s="264" t="s">
        <v>100</v>
      </c>
      <c r="BZ217" s="264" t="s">
        <v>88</v>
      </c>
      <c r="CA217" s="132"/>
      <c r="CB217" s="118">
        <v>132300</v>
      </c>
      <c r="CC217" s="144">
        <f>+CB217*19%</f>
        <v>25137</v>
      </c>
      <c r="CD217" s="118">
        <f>+CC217+CB217</f>
        <v>157437</v>
      </c>
      <c r="CE217" s="132"/>
      <c r="CF217" s="132"/>
      <c r="CG217" s="36"/>
      <c r="CH217" s="263">
        <v>266760</v>
      </c>
      <c r="CI217" s="265">
        <f>+CH217*0.19</f>
        <v>50684.4</v>
      </c>
      <c r="CJ217" s="263">
        <f>+CH217+CI217</f>
        <v>317444.40000000002</v>
      </c>
      <c r="CK217" s="264" t="s">
        <v>100</v>
      </c>
      <c r="CL217" s="264" t="s">
        <v>88</v>
      </c>
      <c r="CM217" s="132"/>
      <c r="CN217" s="274"/>
      <c r="CO217" s="144"/>
      <c r="CP217" s="274"/>
      <c r="CQ217" s="132"/>
      <c r="CR217" s="132"/>
      <c r="CS217" s="132"/>
      <c r="CT217" s="274"/>
      <c r="CU217" s="144"/>
      <c r="CV217" s="274"/>
      <c r="CW217" s="132"/>
      <c r="CX217" s="132"/>
      <c r="CY217" s="132"/>
      <c r="CZ217" s="118"/>
      <c r="DA217" s="144"/>
      <c r="DB217" s="118"/>
      <c r="DC217" s="33"/>
      <c r="DD217" s="39"/>
      <c r="DE217" s="11"/>
      <c r="DF217" s="132"/>
      <c r="DG217" s="132"/>
      <c r="DH217" s="132"/>
      <c r="DI217" s="132"/>
      <c r="DJ217" s="132"/>
      <c r="DK217" s="132"/>
      <c r="DL217" s="132"/>
      <c r="DM217" s="132"/>
      <c r="DN217" s="132"/>
      <c r="DO217" s="132"/>
      <c r="DP217" s="132"/>
      <c r="DQ217" s="132"/>
      <c r="DR217" s="132"/>
      <c r="DS217" s="132"/>
      <c r="DT217" s="132"/>
      <c r="DU217" s="132"/>
      <c r="DV217" s="132"/>
      <c r="DW217" s="132"/>
      <c r="DX217" s="132"/>
      <c r="DY217" s="132"/>
      <c r="DZ217" s="132"/>
      <c r="EA217" s="132"/>
      <c r="EB217" s="132"/>
      <c r="EC217" s="132"/>
      <c r="ED217" s="132"/>
      <c r="EE217" s="132"/>
      <c r="EF217" s="132"/>
      <c r="EG217" s="132"/>
      <c r="EH217" s="132"/>
      <c r="EI217" s="132"/>
      <c r="EJ217" s="132"/>
      <c r="EK217" s="132"/>
      <c r="EL217" s="132"/>
      <c r="EM217" s="132"/>
      <c r="EN217" s="132"/>
      <c r="EO217" s="132"/>
      <c r="EP217" s="132"/>
      <c r="EQ217" s="132"/>
      <c r="ER217" s="132"/>
      <c r="ES217" s="132"/>
      <c r="ET217" s="11"/>
      <c r="EU217" s="11"/>
      <c r="EV217" s="11"/>
      <c r="EW217" s="11"/>
      <c r="EX217" s="11"/>
      <c r="EY217" s="11"/>
      <c r="EZ217" s="11"/>
      <c r="FA217" s="11"/>
      <c r="FB217" s="11"/>
      <c r="FC217" s="11"/>
      <c r="FD217" s="11"/>
      <c r="FE217" s="11"/>
      <c r="FF217" s="11"/>
      <c r="FG217" s="11"/>
      <c r="FH217" s="39">
        <f t="shared" si="50"/>
        <v>1542868.895</v>
      </c>
      <c r="FI217" s="33">
        <f t="shared" si="51"/>
        <v>7</v>
      </c>
      <c r="FJ217" s="84">
        <f t="shared" si="52"/>
        <v>220409.84214285715</v>
      </c>
    </row>
    <row r="218" spans="1:166" ht="40.5" x14ac:dyDescent="0.25">
      <c r="A218" s="79" t="e">
        <f>#REF!</f>
        <v>#REF!</v>
      </c>
      <c r="B218" s="75" t="e">
        <f>#REF!</f>
        <v>#REF!</v>
      </c>
      <c r="C218" s="75" t="e">
        <f>#REF!</f>
        <v>#REF!</v>
      </c>
      <c r="D218" s="75" t="e">
        <f>#REF!</f>
        <v>#REF!</v>
      </c>
      <c r="E218" s="30">
        <v>1</v>
      </c>
      <c r="F218" s="238">
        <v>293852.05499999999</v>
      </c>
      <c r="G218" s="241">
        <v>286433</v>
      </c>
      <c r="H218" s="249">
        <v>474011.7400695</v>
      </c>
      <c r="I218" s="249">
        <v>111860</v>
      </c>
      <c r="J218" s="249">
        <v>345404.64</v>
      </c>
      <c r="K218" s="249">
        <v>0</v>
      </c>
      <c r="L218" s="274">
        <f>AVERAGE(F218,H218,J218)</f>
        <v>371089.47835649998</v>
      </c>
      <c r="M218" s="274">
        <f>AVERAGE(G218,I218)*E1</f>
        <v>205120.89500000002</v>
      </c>
      <c r="N218" s="245"/>
      <c r="O218" s="113"/>
      <c r="P218" s="113"/>
      <c r="Q218" s="131"/>
      <c r="R218" s="131"/>
      <c r="S218" s="64"/>
      <c r="T218" s="113"/>
      <c r="U218" s="113"/>
      <c r="V218" s="113"/>
      <c r="W218" s="131"/>
      <c r="X218" s="131"/>
      <c r="Y218" s="11"/>
      <c r="Z218" s="113"/>
      <c r="AA218" s="113"/>
      <c r="AB218" s="113"/>
      <c r="AC218" s="52"/>
      <c r="AD218" s="52"/>
      <c r="AE218" s="11"/>
      <c r="AF218" s="118">
        <v>345000</v>
      </c>
      <c r="AG218" s="144">
        <f>AF218*19%</f>
        <v>65550</v>
      </c>
      <c r="AH218" s="113">
        <f>+AF218+AG218</f>
        <v>410550</v>
      </c>
      <c r="AI218" s="11"/>
      <c r="AJ218" s="11"/>
      <c r="AK218" s="39"/>
      <c r="AL218" s="113">
        <v>665000</v>
      </c>
      <c r="AM218" s="113">
        <f>+AL218*0.19</f>
        <v>126350</v>
      </c>
      <c r="AN218" s="119">
        <f>+AL218+AM218</f>
        <v>791350</v>
      </c>
      <c r="AO218" s="76" t="s">
        <v>60</v>
      </c>
      <c r="AP218" s="39" t="s">
        <v>45</v>
      </c>
      <c r="AQ218" s="39"/>
      <c r="AR218" s="275">
        <v>326289</v>
      </c>
      <c r="AS218" s="113">
        <f>+AR218*0.19</f>
        <v>61994.91</v>
      </c>
      <c r="AT218" s="119">
        <f>+AR218+AS218</f>
        <v>388283.91000000003</v>
      </c>
      <c r="AU218" s="62" t="s">
        <v>54</v>
      </c>
      <c r="AV218" s="62" t="s">
        <v>45</v>
      </c>
      <c r="AW218" s="31"/>
      <c r="AX218" s="116"/>
      <c r="AY218" s="116"/>
      <c r="AZ218" s="143"/>
      <c r="BA218" s="191"/>
      <c r="BB218" s="132"/>
      <c r="BC218" s="132"/>
      <c r="BD218" s="274"/>
      <c r="BE218" s="143"/>
      <c r="BF218" s="143"/>
      <c r="BG218" s="132"/>
      <c r="BH218" s="132"/>
      <c r="BI218" s="132"/>
      <c r="BJ218" s="143"/>
      <c r="BK218" s="143"/>
      <c r="BL218" s="143"/>
      <c r="BM218" s="132"/>
      <c r="BN218" s="132"/>
      <c r="BO218" s="132"/>
      <c r="BP218" s="143"/>
      <c r="BQ218" s="132"/>
      <c r="BR218" s="132"/>
      <c r="BS218" s="132"/>
      <c r="BT218" s="132"/>
      <c r="BU218" s="132"/>
      <c r="BV218" s="263">
        <v>929600</v>
      </c>
      <c r="BW218" s="144">
        <f t="shared" si="53"/>
        <v>176624</v>
      </c>
      <c r="BX218" s="113">
        <f t="shared" si="54"/>
        <v>1106224</v>
      </c>
      <c r="BY218" s="264" t="s">
        <v>56</v>
      </c>
      <c r="BZ218" s="264" t="s">
        <v>45</v>
      </c>
      <c r="CA218" s="132"/>
      <c r="CB218" s="274"/>
      <c r="CC218" s="144"/>
      <c r="CD218" s="274"/>
      <c r="CE218" s="132"/>
      <c r="CF218" s="132"/>
      <c r="CG218" s="36"/>
      <c r="CH218" s="263"/>
      <c r="CI218" s="265"/>
      <c r="CJ218" s="263"/>
      <c r="CK218" s="264"/>
      <c r="CL218" s="264"/>
      <c r="CM218" s="132"/>
      <c r="CN218" s="274"/>
      <c r="CO218" s="144"/>
      <c r="CP218" s="274"/>
      <c r="CQ218" s="132"/>
      <c r="CR218" s="132"/>
      <c r="CS218" s="132"/>
      <c r="CT218" s="274"/>
      <c r="CU218" s="144"/>
      <c r="CV218" s="274"/>
      <c r="CW218" s="132"/>
      <c r="CX218" s="132"/>
      <c r="CY218" s="132"/>
      <c r="CZ218" s="118"/>
      <c r="DA218" s="144"/>
      <c r="DB218" s="118"/>
      <c r="DC218" s="33"/>
      <c r="DD218" s="39"/>
      <c r="DE218" s="11"/>
      <c r="DF218" s="132"/>
      <c r="DG218" s="132"/>
      <c r="DH218" s="132"/>
      <c r="DI218" s="132"/>
      <c r="DJ218" s="132"/>
      <c r="DK218" s="132"/>
      <c r="DL218" s="132"/>
      <c r="DM218" s="132"/>
      <c r="DN218" s="132"/>
      <c r="DO218" s="132"/>
      <c r="DP218" s="132"/>
      <c r="DQ218" s="132"/>
      <c r="DR218" s="132"/>
      <c r="DS218" s="132"/>
      <c r="DT218" s="132"/>
      <c r="DU218" s="132"/>
      <c r="DV218" s="132"/>
      <c r="DW218" s="132"/>
      <c r="DX218" s="132"/>
      <c r="DY218" s="132"/>
      <c r="DZ218" s="132"/>
      <c r="EA218" s="132"/>
      <c r="EB218" s="132"/>
      <c r="EC218" s="132"/>
      <c r="ED218" s="132"/>
      <c r="EE218" s="132"/>
      <c r="EF218" s="132"/>
      <c r="EG218" s="132"/>
      <c r="EH218" s="132"/>
      <c r="EI218" s="132"/>
      <c r="EJ218" s="132"/>
      <c r="EK218" s="132"/>
      <c r="EL218" s="132"/>
      <c r="EM218" s="132"/>
      <c r="EN218" s="132"/>
      <c r="EO218" s="132"/>
      <c r="EP218" s="132"/>
      <c r="EQ218" s="132"/>
      <c r="ER218" s="132"/>
      <c r="ES218" s="132"/>
      <c r="ET218" s="11"/>
      <c r="EU218" s="11"/>
      <c r="EV218" s="11"/>
      <c r="EW218" s="11"/>
      <c r="EX218" s="11"/>
      <c r="EY218" s="11"/>
      <c r="EZ218" s="11"/>
      <c r="FA218" s="11"/>
      <c r="FB218" s="11"/>
      <c r="FC218" s="11"/>
      <c r="FD218" s="11"/>
      <c r="FE218" s="11"/>
      <c r="FF218" s="11"/>
      <c r="FG218" s="11"/>
      <c r="FH218" s="39">
        <f t="shared" si="50"/>
        <v>2901528.8050000002</v>
      </c>
      <c r="FI218" s="33">
        <f t="shared" si="51"/>
        <v>5</v>
      </c>
      <c r="FJ218" s="84">
        <f t="shared" si="52"/>
        <v>580305.76100000006</v>
      </c>
    </row>
    <row r="219" spans="1:166" ht="35.25" customHeight="1" x14ac:dyDescent="0.25">
      <c r="A219" s="79" t="e">
        <f>#REF!</f>
        <v>#REF!</v>
      </c>
      <c r="B219" s="75" t="e">
        <f>#REF!</f>
        <v>#REF!</v>
      </c>
      <c r="C219" s="75" t="e">
        <f>#REF!</f>
        <v>#REF!</v>
      </c>
      <c r="D219" s="75" t="e">
        <f>#REF!</f>
        <v>#REF!</v>
      </c>
      <c r="E219" s="30">
        <v>1</v>
      </c>
      <c r="F219" s="238">
        <v>0</v>
      </c>
      <c r="G219" s="241">
        <v>0</v>
      </c>
      <c r="H219" s="249">
        <v>0</v>
      </c>
      <c r="I219" s="249">
        <v>0</v>
      </c>
      <c r="J219" s="249">
        <v>0</v>
      </c>
      <c r="K219" s="249">
        <v>0</v>
      </c>
      <c r="L219" s="274"/>
      <c r="M219" s="274"/>
      <c r="N219" s="245"/>
      <c r="O219" s="113"/>
      <c r="P219" s="113"/>
      <c r="Q219" s="131"/>
      <c r="R219" s="131"/>
      <c r="S219" s="64"/>
      <c r="T219" s="113"/>
      <c r="U219" s="113"/>
      <c r="V219" s="113"/>
      <c r="W219" s="131"/>
      <c r="X219" s="131"/>
      <c r="Y219" s="11"/>
      <c r="Z219" s="113"/>
      <c r="AA219" s="113"/>
      <c r="AB219" s="113"/>
      <c r="AC219" s="52"/>
      <c r="AD219" s="52"/>
      <c r="AE219" s="11"/>
      <c r="AF219" s="118"/>
      <c r="AG219" s="144"/>
      <c r="AH219" s="113"/>
      <c r="AI219" s="11"/>
      <c r="AJ219" s="11"/>
      <c r="AK219" s="39"/>
      <c r="AL219" s="113"/>
      <c r="AM219" s="113"/>
      <c r="AN219" s="119"/>
      <c r="AO219" s="76"/>
      <c r="AP219" s="39"/>
      <c r="AQ219" s="39"/>
      <c r="AR219" s="275"/>
      <c r="AS219" s="113"/>
      <c r="AT219" s="119"/>
      <c r="AU219" s="62"/>
      <c r="AV219" s="62"/>
      <c r="AW219" s="31"/>
      <c r="AX219" s="116"/>
      <c r="AY219" s="116"/>
      <c r="AZ219" s="143"/>
      <c r="BA219" s="191"/>
      <c r="BB219" s="132"/>
      <c r="BC219" s="132"/>
      <c r="BD219" s="274"/>
      <c r="BE219" s="143"/>
      <c r="BF219" s="143"/>
      <c r="BG219" s="132"/>
      <c r="BH219" s="132"/>
      <c r="BI219" s="132"/>
      <c r="BJ219" s="143"/>
      <c r="BK219" s="143"/>
      <c r="BL219" s="143"/>
      <c r="BM219" s="132"/>
      <c r="BN219" s="132"/>
      <c r="BO219" s="132"/>
      <c r="BP219" s="143"/>
      <c r="BQ219" s="132"/>
      <c r="BR219" s="132"/>
      <c r="BS219" s="132"/>
      <c r="BT219" s="132"/>
      <c r="BU219" s="132"/>
      <c r="BV219" s="263">
        <v>713000</v>
      </c>
      <c r="BW219" s="144">
        <f t="shared" si="53"/>
        <v>135470</v>
      </c>
      <c r="BX219" s="113">
        <f t="shared" si="54"/>
        <v>848470</v>
      </c>
      <c r="BY219" s="264" t="s">
        <v>205</v>
      </c>
      <c r="BZ219" s="264" t="s">
        <v>237</v>
      </c>
      <c r="CA219" s="132"/>
      <c r="CB219" s="274"/>
      <c r="CC219" s="144"/>
      <c r="CD219" s="274"/>
      <c r="CE219" s="132"/>
      <c r="CF219" s="132"/>
      <c r="CG219" s="36"/>
      <c r="CH219" s="263">
        <v>727260</v>
      </c>
      <c r="CI219" s="265">
        <f>+CH219*0.19</f>
        <v>138179.4</v>
      </c>
      <c r="CJ219" s="263">
        <f>+CH219+CI219</f>
        <v>865439.4</v>
      </c>
      <c r="CK219" s="264" t="s">
        <v>205</v>
      </c>
      <c r="CL219" s="264" t="s">
        <v>237</v>
      </c>
      <c r="CM219" s="132"/>
      <c r="CN219" s="274"/>
      <c r="CO219" s="144"/>
      <c r="CP219" s="274"/>
      <c r="CQ219" s="132"/>
      <c r="CR219" s="132"/>
      <c r="CS219" s="132"/>
      <c r="CT219" s="274"/>
      <c r="CU219" s="144"/>
      <c r="CV219" s="274"/>
      <c r="CW219" s="132"/>
      <c r="CX219" s="132"/>
      <c r="CY219" s="132"/>
      <c r="CZ219" s="118"/>
      <c r="DA219" s="144"/>
      <c r="DB219" s="118"/>
      <c r="DC219" s="33"/>
      <c r="DD219" s="39"/>
      <c r="DE219" s="11"/>
      <c r="DF219" s="132"/>
      <c r="DG219" s="132"/>
      <c r="DH219" s="132"/>
      <c r="DI219" s="132"/>
      <c r="DJ219" s="132"/>
      <c r="DK219" s="132"/>
      <c r="DL219" s="132"/>
      <c r="DM219" s="132"/>
      <c r="DN219" s="132"/>
      <c r="DO219" s="132"/>
      <c r="DP219" s="132"/>
      <c r="DQ219" s="132"/>
      <c r="DR219" s="132"/>
      <c r="DS219" s="132"/>
      <c r="DT219" s="132"/>
      <c r="DU219" s="132"/>
      <c r="DV219" s="132"/>
      <c r="DW219" s="132"/>
      <c r="DX219" s="132"/>
      <c r="DY219" s="132"/>
      <c r="DZ219" s="132"/>
      <c r="EA219" s="132"/>
      <c r="EB219" s="132"/>
      <c r="EC219" s="132"/>
      <c r="ED219" s="132"/>
      <c r="EE219" s="132"/>
      <c r="EF219" s="132"/>
      <c r="EG219" s="132"/>
      <c r="EH219" s="132"/>
      <c r="EI219" s="132"/>
      <c r="EJ219" s="132"/>
      <c r="EK219" s="132"/>
      <c r="EL219" s="132"/>
      <c r="EM219" s="132"/>
      <c r="EN219" s="132"/>
      <c r="EO219" s="132"/>
      <c r="EP219" s="132"/>
      <c r="EQ219" s="132"/>
      <c r="ER219" s="132"/>
      <c r="ES219" s="132"/>
      <c r="ET219" s="11"/>
      <c r="EU219" s="11"/>
      <c r="EV219" s="11"/>
      <c r="EW219" s="11"/>
      <c r="EX219" s="11"/>
      <c r="EY219" s="11"/>
      <c r="EZ219" s="11"/>
      <c r="FA219" s="11"/>
      <c r="FB219" s="11"/>
      <c r="FC219" s="11"/>
      <c r="FD219" s="11"/>
      <c r="FE219" s="11"/>
      <c r="FF219" s="11"/>
      <c r="FG219" s="11"/>
      <c r="FH219" s="39">
        <f t="shared" si="50"/>
        <v>1713909.4</v>
      </c>
      <c r="FI219" s="33">
        <f t="shared" si="51"/>
        <v>2</v>
      </c>
      <c r="FJ219" s="84">
        <f t="shared" si="52"/>
        <v>856954.7</v>
      </c>
    </row>
    <row r="220" spans="1:166" ht="27.75" customHeight="1" x14ac:dyDescent="0.25">
      <c r="A220" s="79" t="e">
        <f>#REF!</f>
        <v>#REF!</v>
      </c>
      <c r="B220" s="75" t="e">
        <f>#REF!</f>
        <v>#REF!</v>
      </c>
      <c r="C220" s="75" t="e">
        <f>#REF!</f>
        <v>#REF!</v>
      </c>
      <c r="D220" s="75" t="e">
        <f>#REF!</f>
        <v>#REF!</v>
      </c>
      <c r="E220" s="30">
        <v>1</v>
      </c>
      <c r="F220" s="238">
        <v>0</v>
      </c>
      <c r="G220" s="241">
        <v>0</v>
      </c>
      <c r="H220" s="249">
        <v>92820</v>
      </c>
      <c r="I220" s="249">
        <v>0</v>
      </c>
      <c r="J220" s="249">
        <v>0</v>
      </c>
      <c r="K220" s="249">
        <v>0</v>
      </c>
      <c r="L220" s="274">
        <f>H220</f>
        <v>92820</v>
      </c>
      <c r="M220" s="274"/>
      <c r="N220" s="245"/>
      <c r="O220" s="113"/>
      <c r="P220" s="113"/>
      <c r="Q220" s="131"/>
      <c r="R220" s="131"/>
      <c r="S220" s="64"/>
      <c r="T220" s="113"/>
      <c r="U220" s="113"/>
      <c r="V220" s="113"/>
      <c r="W220" s="131"/>
      <c r="X220" s="131"/>
      <c r="Y220" s="11"/>
      <c r="Z220" s="113"/>
      <c r="AA220" s="113"/>
      <c r="AB220" s="113"/>
      <c r="AC220" s="52"/>
      <c r="AD220" s="52"/>
      <c r="AE220" s="11"/>
      <c r="AF220" s="118"/>
      <c r="AG220" s="144"/>
      <c r="AH220" s="113"/>
      <c r="AI220" s="11"/>
      <c r="AJ220" s="11"/>
      <c r="AK220" s="39"/>
      <c r="AL220" s="113"/>
      <c r="AM220" s="113"/>
      <c r="AN220" s="119"/>
      <c r="AO220" s="76"/>
      <c r="AP220" s="39"/>
      <c r="AQ220" s="39"/>
      <c r="AR220" s="275">
        <v>144000</v>
      </c>
      <c r="AS220" s="113">
        <f>+AR220*0.19</f>
        <v>27360</v>
      </c>
      <c r="AT220" s="119">
        <f>+AR220+AS220</f>
        <v>171360</v>
      </c>
      <c r="AU220" s="62" t="s">
        <v>109</v>
      </c>
      <c r="AV220" s="62" t="s">
        <v>35</v>
      </c>
      <c r="AW220" s="31"/>
      <c r="AX220" s="116"/>
      <c r="AY220" s="194"/>
      <c r="AZ220" s="143"/>
      <c r="BA220" s="191"/>
      <c r="BB220" s="132"/>
      <c r="BC220" s="132"/>
      <c r="BD220" s="274"/>
      <c r="BE220" s="143"/>
      <c r="BF220" s="143"/>
      <c r="BG220" s="132"/>
      <c r="BH220" s="132"/>
      <c r="BI220" s="132"/>
      <c r="BJ220" s="143"/>
      <c r="BK220" s="143"/>
      <c r="BL220" s="143"/>
      <c r="BM220" s="132"/>
      <c r="BN220" s="132"/>
      <c r="BO220" s="132"/>
      <c r="BP220" s="143"/>
      <c r="BQ220" s="132"/>
      <c r="BR220" s="132"/>
      <c r="BS220" s="132"/>
      <c r="BT220" s="132"/>
      <c r="BU220" s="132"/>
      <c r="BV220" s="263">
        <v>134900</v>
      </c>
      <c r="BW220" s="144">
        <f t="shared" si="53"/>
        <v>25631</v>
      </c>
      <c r="BX220" s="113">
        <f t="shared" si="54"/>
        <v>160531</v>
      </c>
      <c r="BY220" s="264" t="s">
        <v>110</v>
      </c>
      <c r="BZ220" s="264" t="s">
        <v>237</v>
      </c>
      <c r="CA220" s="132"/>
      <c r="CB220" s="274"/>
      <c r="CC220" s="144"/>
      <c r="CD220" s="274"/>
      <c r="CE220" s="132"/>
      <c r="CF220" s="132"/>
      <c r="CG220" s="36"/>
      <c r="CH220" s="263">
        <v>142994</v>
      </c>
      <c r="CI220" s="265">
        <f>+CH220*0.19</f>
        <v>27168.86</v>
      </c>
      <c r="CJ220" s="263">
        <f>+CH220+CI220</f>
        <v>170162.86</v>
      </c>
      <c r="CK220" s="264" t="s">
        <v>110</v>
      </c>
      <c r="CL220" s="264" t="s">
        <v>237</v>
      </c>
      <c r="CM220" s="132"/>
      <c r="CN220" s="274"/>
      <c r="CO220" s="144"/>
      <c r="CP220" s="274"/>
      <c r="CQ220" s="132"/>
      <c r="CR220" s="132"/>
      <c r="CS220" s="132"/>
      <c r="CT220" s="274"/>
      <c r="CU220" s="144"/>
      <c r="CV220" s="274"/>
      <c r="CW220" s="132"/>
      <c r="CX220" s="132"/>
      <c r="CY220" s="132"/>
      <c r="CZ220" s="118"/>
      <c r="DA220" s="144"/>
      <c r="DB220" s="118"/>
      <c r="DC220" s="33"/>
      <c r="DD220" s="39"/>
      <c r="DE220" s="11"/>
      <c r="DF220" s="132"/>
      <c r="DG220" s="132"/>
      <c r="DH220" s="132"/>
      <c r="DI220" s="132"/>
      <c r="DJ220" s="132"/>
      <c r="DK220" s="132"/>
      <c r="DL220" s="132"/>
      <c r="DM220" s="132"/>
      <c r="DN220" s="132"/>
      <c r="DO220" s="132"/>
      <c r="DP220" s="132"/>
      <c r="DQ220" s="132"/>
      <c r="DR220" s="132"/>
      <c r="DS220" s="132"/>
      <c r="DT220" s="132"/>
      <c r="DU220" s="132"/>
      <c r="DV220" s="132"/>
      <c r="DW220" s="132"/>
      <c r="DX220" s="132"/>
      <c r="DY220" s="132"/>
      <c r="DZ220" s="132"/>
      <c r="EA220" s="132"/>
      <c r="EB220" s="132"/>
      <c r="EC220" s="132"/>
      <c r="ED220" s="132"/>
      <c r="EE220" s="132"/>
      <c r="EF220" s="132"/>
      <c r="EG220" s="132"/>
      <c r="EH220" s="132"/>
      <c r="EI220" s="132"/>
      <c r="EJ220" s="132"/>
      <c r="EK220" s="132"/>
      <c r="EL220" s="132"/>
      <c r="EM220" s="132"/>
      <c r="EN220" s="132"/>
      <c r="EO220" s="132"/>
      <c r="EP220" s="132"/>
      <c r="EQ220" s="132"/>
      <c r="ER220" s="132"/>
      <c r="ES220" s="132"/>
      <c r="ET220" s="11"/>
      <c r="EU220" s="11"/>
      <c r="EV220" s="11"/>
      <c r="EW220" s="11"/>
      <c r="EX220" s="11"/>
      <c r="EY220" s="11"/>
      <c r="EZ220" s="11"/>
      <c r="FA220" s="11"/>
      <c r="FB220" s="11"/>
      <c r="FC220" s="11"/>
      <c r="FD220" s="11"/>
      <c r="FE220" s="11"/>
      <c r="FF220" s="11"/>
      <c r="FG220" s="11"/>
      <c r="FH220" s="39">
        <f t="shared" si="50"/>
        <v>502053.86</v>
      </c>
      <c r="FI220" s="33">
        <f t="shared" si="51"/>
        <v>3</v>
      </c>
      <c r="FJ220" s="84">
        <f t="shared" si="52"/>
        <v>167351.28666666665</v>
      </c>
    </row>
    <row r="221" spans="1:166" ht="34.5" customHeight="1" x14ac:dyDescent="0.25">
      <c r="A221" s="79" t="e">
        <f>#REF!</f>
        <v>#REF!</v>
      </c>
      <c r="B221" s="75" t="e">
        <f>#REF!</f>
        <v>#REF!</v>
      </c>
      <c r="C221" s="75" t="e">
        <f>#REF!</f>
        <v>#REF!</v>
      </c>
      <c r="D221" s="75" t="e">
        <f>#REF!</f>
        <v>#REF!</v>
      </c>
      <c r="E221" s="30">
        <v>1</v>
      </c>
      <c r="F221" s="238">
        <v>0</v>
      </c>
      <c r="G221" s="241">
        <v>0</v>
      </c>
      <c r="H221" s="249">
        <v>0</v>
      </c>
      <c r="I221" s="249">
        <v>0</v>
      </c>
      <c r="J221" s="249">
        <v>0</v>
      </c>
      <c r="K221" s="249">
        <v>0</v>
      </c>
      <c r="L221" s="274"/>
      <c r="M221" s="274"/>
      <c r="N221" s="245"/>
      <c r="O221" s="113"/>
      <c r="P221" s="113"/>
      <c r="Q221" s="131"/>
      <c r="R221" s="131"/>
      <c r="S221" s="64"/>
      <c r="T221" s="113"/>
      <c r="U221" s="113"/>
      <c r="V221" s="113"/>
      <c r="W221" s="131"/>
      <c r="X221" s="131"/>
      <c r="Y221" s="11"/>
      <c r="Z221" s="113"/>
      <c r="AA221" s="113"/>
      <c r="AB221" s="113"/>
      <c r="AC221" s="52"/>
      <c r="AD221" s="52"/>
      <c r="AE221" s="11"/>
      <c r="AF221" s="118"/>
      <c r="AG221" s="144"/>
      <c r="AH221" s="113"/>
      <c r="AI221" s="11"/>
      <c r="AJ221" s="11"/>
      <c r="AK221" s="39"/>
      <c r="AL221" s="113"/>
      <c r="AM221" s="113"/>
      <c r="AN221" s="116"/>
      <c r="AO221" s="76"/>
      <c r="AP221" s="39"/>
      <c r="AQ221" s="39"/>
      <c r="AR221" s="275"/>
      <c r="AS221" s="113"/>
      <c r="AT221" s="119"/>
      <c r="AU221" s="62"/>
      <c r="AV221" s="62"/>
      <c r="AW221" s="31"/>
      <c r="AX221" s="116"/>
      <c r="AY221" s="116"/>
      <c r="AZ221" s="143"/>
      <c r="BA221" s="191"/>
      <c r="BB221" s="132"/>
      <c r="BC221" s="132"/>
      <c r="BD221" s="274"/>
      <c r="BE221" s="143"/>
      <c r="BF221" s="143"/>
      <c r="BG221" s="132"/>
      <c r="BH221" s="132"/>
      <c r="BI221" s="132"/>
      <c r="BJ221" s="143"/>
      <c r="BK221" s="143"/>
      <c r="BL221" s="143"/>
      <c r="BM221" s="132"/>
      <c r="BN221" s="132"/>
      <c r="BO221" s="132"/>
      <c r="BP221" s="143"/>
      <c r="BQ221" s="132"/>
      <c r="BR221" s="132"/>
      <c r="BS221" s="132"/>
      <c r="BT221" s="132"/>
      <c r="BU221" s="132"/>
      <c r="BV221" s="263">
        <v>540500</v>
      </c>
      <c r="BW221" s="144">
        <f t="shared" si="53"/>
        <v>102695</v>
      </c>
      <c r="BX221" s="113">
        <f t="shared" si="54"/>
        <v>643195</v>
      </c>
      <c r="BY221" s="264" t="s">
        <v>56</v>
      </c>
      <c r="BZ221" s="264" t="s">
        <v>237</v>
      </c>
      <c r="CA221" s="132"/>
      <c r="CB221" s="274"/>
      <c r="CC221" s="144"/>
      <c r="CD221" s="274"/>
      <c r="CE221" s="132"/>
      <c r="CF221" s="132"/>
      <c r="CG221" s="36"/>
      <c r="CH221" s="263">
        <v>572930</v>
      </c>
      <c r="CI221" s="265">
        <f>+CH221*0.19</f>
        <v>108856.7</v>
      </c>
      <c r="CJ221" s="263">
        <f>+CH221+CI221</f>
        <v>681786.7</v>
      </c>
      <c r="CK221" s="264" t="s">
        <v>56</v>
      </c>
      <c r="CL221" s="264" t="s">
        <v>237</v>
      </c>
      <c r="CM221" s="132"/>
      <c r="CN221" s="274"/>
      <c r="CO221" s="144"/>
      <c r="CP221" s="274"/>
      <c r="CQ221" s="132"/>
      <c r="CR221" s="132"/>
      <c r="CS221" s="132"/>
      <c r="CT221" s="274"/>
      <c r="CU221" s="144"/>
      <c r="CV221" s="274"/>
      <c r="CW221" s="132"/>
      <c r="CX221" s="132"/>
      <c r="CY221" s="132"/>
      <c r="CZ221" s="118"/>
      <c r="DA221" s="144"/>
      <c r="DB221" s="118"/>
      <c r="DC221" s="33"/>
      <c r="DD221" s="39"/>
      <c r="DE221" s="11"/>
      <c r="DF221" s="132"/>
      <c r="DG221" s="132"/>
      <c r="DH221" s="132"/>
      <c r="DI221" s="132"/>
      <c r="DJ221" s="132"/>
      <c r="DK221" s="132"/>
      <c r="DL221" s="132"/>
      <c r="DM221" s="132"/>
      <c r="DN221" s="132"/>
      <c r="DO221" s="132"/>
      <c r="DP221" s="132"/>
      <c r="DQ221" s="132"/>
      <c r="DR221" s="132"/>
      <c r="DS221" s="132"/>
      <c r="DT221" s="132"/>
      <c r="DU221" s="132"/>
      <c r="DV221" s="132"/>
      <c r="DW221" s="132"/>
      <c r="DX221" s="132"/>
      <c r="DY221" s="132"/>
      <c r="DZ221" s="132"/>
      <c r="EA221" s="132"/>
      <c r="EB221" s="132"/>
      <c r="EC221" s="132"/>
      <c r="ED221" s="132"/>
      <c r="EE221" s="132"/>
      <c r="EF221" s="132"/>
      <c r="EG221" s="132"/>
      <c r="EH221" s="132"/>
      <c r="EI221" s="132"/>
      <c r="EJ221" s="132"/>
      <c r="EK221" s="132"/>
      <c r="EL221" s="132"/>
      <c r="EM221" s="132"/>
      <c r="EN221" s="132"/>
      <c r="EO221" s="132"/>
      <c r="EP221" s="132"/>
      <c r="EQ221" s="132"/>
      <c r="ER221" s="132"/>
      <c r="ES221" s="132"/>
      <c r="ET221" s="11"/>
      <c r="EU221" s="11"/>
      <c r="EV221" s="11"/>
      <c r="EW221" s="11"/>
      <c r="EX221" s="11"/>
      <c r="EY221" s="11"/>
      <c r="EZ221" s="11"/>
      <c r="FA221" s="11"/>
      <c r="FB221" s="11"/>
      <c r="FC221" s="11"/>
      <c r="FD221" s="11"/>
      <c r="FE221" s="11"/>
      <c r="FF221" s="11"/>
      <c r="FG221" s="11"/>
      <c r="FH221" s="39">
        <f t="shared" si="50"/>
        <v>1324981.7</v>
      </c>
      <c r="FI221" s="33">
        <f t="shared" si="51"/>
        <v>2</v>
      </c>
      <c r="FJ221" s="84">
        <f t="shared" si="52"/>
        <v>662490.85</v>
      </c>
    </row>
    <row r="222" spans="1:166" ht="27" x14ac:dyDescent="0.25">
      <c r="A222" s="79" t="e">
        <f>#REF!</f>
        <v>#REF!</v>
      </c>
      <c r="B222" s="75" t="e">
        <f>#REF!</f>
        <v>#REF!</v>
      </c>
      <c r="C222" s="75" t="e">
        <f>#REF!</f>
        <v>#REF!</v>
      </c>
      <c r="D222" s="75" t="e">
        <f>#REF!</f>
        <v>#REF!</v>
      </c>
      <c r="E222" s="30">
        <v>1</v>
      </c>
      <c r="F222" s="238">
        <v>0</v>
      </c>
      <c r="G222" s="241">
        <v>0</v>
      </c>
      <c r="H222" s="249">
        <v>0</v>
      </c>
      <c r="I222" s="249">
        <v>0</v>
      </c>
      <c r="J222" s="249">
        <v>1352911</v>
      </c>
      <c r="K222" s="249">
        <v>0</v>
      </c>
      <c r="L222" s="274">
        <f>J222</f>
        <v>1352911</v>
      </c>
      <c r="M222" s="274"/>
      <c r="N222" s="245"/>
      <c r="O222" s="113"/>
      <c r="P222" s="113"/>
      <c r="Q222" s="131"/>
      <c r="R222" s="131"/>
      <c r="S222" s="64"/>
      <c r="T222" s="113"/>
      <c r="U222" s="113"/>
      <c r="V222" s="113"/>
      <c r="W222" s="131"/>
      <c r="X222" s="131"/>
      <c r="Y222" s="11"/>
      <c r="Z222" s="113"/>
      <c r="AA222" s="113"/>
      <c r="AB222" s="113"/>
      <c r="AC222" s="52"/>
      <c r="AD222" s="52"/>
      <c r="AE222" s="11"/>
      <c r="AF222" s="118"/>
      <c r="AG222" s="144"/>
      <c r="AH222" s="113"/>
      <c r="AI222" s="11"/>
      <c r="AJ222" s="11"/>
      <c r="AK222" s="39"/>
      <c r="AL222" s="113"/>
      <c r="AM222" s="113"/>
      <c r="AN222" s="117"/>
      <c r="AO222" s="76"/>
      <c r="AP222" s="39"/>
      <c r="AQ222" s="39"/>
      <c r="AR222" s="275">
        <v>2188800</v>
      </c>
      <c r="AS222" s="113">
        <f>+AR222*0.19</f>
        <v>415872</v>
      </c>
      <c r="AT222" s="119">
        <f>+AR222+AS222</f>
        <v>2604672</v>
      </c>
      <c r="AU222" s="62" t="s">
        <v>54</v>
      </c>
      <c r="AV222" s="62" t="s">
        <v>35</v>
      </c>
      <c r="AW222" s="31"/>
      <c r="AX222" s="116"/>
      <c r="AY222" s="116"/>
      <c r="AZ222" s="143"/>
      <c r="BA222" s="191"/>
      <c r="BB222" s="132"/>
      <c r="BC222" s="132"/>
      <c r="BD222" s="274"/>
      <c r="BE222" s="143"/>
      <c r="BF222" s="143"/>
      <c r="BG222" s="132"/>
      <c r="BH222" s="132"/>
      <c r="BI222" s="132"/>
      <c r="BJ222" s="143"/>
      <c r="BK222" s="143"/>
      <c r="BL222" s="143"/>
      <c r="BM222" s="132"/>
      <c r="BN222" s="132"/>
      <c r="BO222" s="132"/>
      <c r="BP222" s="143"/>
      <c r="BQ222" s="132"/>
      <c r="BR222" s="132"/>
      <c r="BS222" s="132"/>
      <c r="BT222" s="132"/>
      <c r="BU222" s="132"/>
      <c r="BV222" s="267">
        <v>4000000</v>
      </c>
      <c r="BW222" s="144">
        <f t="shared" si="53"/>
        <v>760000</v>
      </c>
      <c r="BX222" s="113">
        <f t="shared" si="54"/>
        <v>4760000</v>
      </c>
      <c r="BY222" s="264" t="s">
        <v>56</v>
      </c>
      <c r="BZ222" s="264" t="s">
        <v>237</v>
      </c>
      <c r="CA222" s="132"/>
      <c r="CB222" s="274"/>
      <c r="CC222" s="144"/>
      <c r="CD222" s="274"/>
      <c r="CE222" s="132"/>
      <c r="CF222" s="132"/>
      <c r="CG222" s="36"/>
      <c r="CH222" s="268">
        <v>5747700</v>
      </c>
      <c r="CI222" s="265">
        <f>+CH222*0.19</f>
        <v>1092063</v>
      </c>
      <c r="CJ222" s="263">
        <f>+CH222+CI222</f>
        <v>6839763</v>
      </c>
      <c r="CK222" s="264" t="s">
        <v>56</v>
      </c>
      <c r="CL222" s="264" t="s">
        <v>237</v>
      </c>
      <c r="CM222" s="132"/>
      <c r="CN222" s="274"/>
      <c r="CO222" s="144"/>
      <c r="CP222" s="274"/>
      <c r="CQ222" s="132"/>
      <c r="CR222" s="132"/>
      <c r="CS222" s="132"/>
      <c r="CT222" s="274"/>
      <c r="CU222" s="144"/>
      <c r="CV222" s="274"/>
      <c r="CW222" s="132"/>
      <c r="CX222" s="132"/>
      <c r="CY222" s="132"/>
      <c r="CZ222" s="118"/>
      <c r="DA222" s="144"/>
      <c r="DB222" s="118"/>
      <c r="DC222" s="33"/>
      <c r="DD222" s="39"/>
      <c r="DE222" s="11"/>
      <c r="DF222" s="132"/>
      <c r="DG222" s="132"/>
      <c r="DH222" s="132"/>
      <c r="DI222" s="132"/>
      <c r="DJ222" s="132"/>
      <c r="DK222" s="132"/>
      <c r="DL222" s="132"/>
      <c r="DM222" s="132"/>
      <c r="DN222" s="132"/>
      <c r="DO222" s="132"/>
      <c r="DP222" s="132"/>
      <c r="DQ222" s="132"/>
      <c r="DR222" s="132"/>
      <c r="DS222" s="132"/>
      <c r="DT222" s="132"/>
      <c r="DU222" s="132"/>
      <c r="DV222" s="132"/>
      <c r="DW222" s="132"/>
      <c r="DX222" s="132"/>
      <c r="DY222" s="132"/>
      <c r="DZ222" s="132"/>
      <c r="EA222" s="132"/>
      <c r="EB222" s="132"/>
      <c r="EC222" s="132"/>
      <c r="ED222" s="132"/>
      <c r="EE222" s="132"/>
      <c r="EF222" s="132"/>
      <c r="EG222" s="132"/>
      <c r="EH222" s="132"/>
      <c r="EI222" s="132"/>
      <c r="EJ222" s="132"/>
      <c r="EK222" s="132"/>
      <c r="EL222" s="132"/>
      <c r="EM222" s="132"/>
      <c r="EN222" s="132"/>
      <c r="EO222" s="132"/>
      <c r="EP222" s="132"/>
      <c r="EQ222" s="132"/>
      <c r="ER222" s="132"/>
      <c r="ES222" s="132"/>
      <c r="ET222" s="11"/>
      <c r="EU222" s="11"/>
      <c r="EV222" s="11"/>
      <c r="EW222" s="11"/>
      <c r="EX222" s="11"/>
      <c r="EY222" s="11"/>
      <c r="EZ222" s="11"/>
      <c r="FA222" s="11"/>
      <c r="FB222" s="11"/>
      <c r="FC222" s="11"/>
      <c r="FD222" s="11"/>
      <c r="FE222" s="11"/>
      <c r="FF222" s="11"/>
      <c r="FG222" s="11"/>
      <c r="FH222" s="39">
        <f t="shared" si="50"/>
        <v>14204435</v>
      </c>
      <c r="FI222" s="33">
        <f t="shared" si="51"/>
        <v>3</v>
      </c>
      <c r="FJ222" s="84">
        <f t="shared" si="52"/>
        <v>4734811.666666667</v>
      </c>
    </row>
    <row r="223" spans="1:166" x14ac:dyDescent="0.25">
      <c r="A223" s="79" t="e">
        <f>#REF!</f>
        <v>#REF!</v>
      </c>
      <c r="B223" s="75" t="e">
        <f>#REF!</f>
        <v>#REF!</v>
      </c>
      <c r="C223" s="75" t="e">
        <f>#REF!</f>
        <v>#REF!</v>
      </c>
      <c r="D223" s="75" t="e">
        <f>#REF!</f>
        <v>#REF!</v>
      </c>
      <c r="E223" s="30">
        <v>1</v>
      </c>
      <c r="F223" s="238">
        <v>91451.5</v>
      </c>
      <c r="G223" s="241">
        <v>90440</v>
      </c>
      <c r="H223" s="249">
        <v>90712.095483333338</v>
      </c>
      <c r="I223" s="249">
        <v>0</v>
      </c>
      <c r="J223" s="249">
        <v>138555.86499999999</v>
      </c>
      <c r="K223" s="249">
        <v>0</v>
      </c>
      <c r="L223" s="274">
        <f>AVERAGE(F223,H223,J223)</f>
        <v>106906.48682777777</v>
      </c>
      <c r="M223" s="274">
        <f>G223*E1</f>
        <v>93153.2</v>
      </c>
      <c r="N223" s="245"/>
      <c r="O223" s="113"/>
      <c r="P223" s="113"/>
      <c r="Q223" s="131"/>
      <c r="R223" s="131"/>
      <c r="S223" s="64"/>
      <c r="T223" s="113"/>
      <c r="U223" s="113"/>
      <c r="V223" s="113"/>
      <c r="W223" s="131"/>
      <c r="X223" s="131"/>
      <c r="Y223" s="11"/>
      <c r="Z223" s="113"/>
      <c r="AA223" s="113"/>
      <c r="AB223" s="113"/>
      <c r="AC223" s="52"/>
      <c r="AD223" s="52"/>
      <c r="AE223" s="11"/>
      <c r="AF223" s="118">
        <v>110000</v>
      </c>
      <c r="AG223" s="144">
        <v>0</v>
      </c>
      <c r="AH223" s="113">
        <f>+AF223+AG223</f>
        <v>110000</v>
      </c>
      <c r="AI223" s="11"/>
      <c r="AJ223" s="11"/>
      <c r="AK223" s="39"/>
      <c r="AL223" s="113"/>
      <c r="AM223" s="113"/>
      <c r="AN223" s="117"/>
      <c r="AO223" s="76"/>
      <c r="AP223" s="39"/>
      <c r="AQ223" s="39"/>
      <c r="AR223" s="275"/>
      <c r="AS223" s="156"/>
      <c r="AT223" s="157"/>
      <c r="AU223" s="62"/>
      <c r="AV223" s="62"/>
      <c r="AW223" s="31"/>
      <c r="AX223" s="116"/>
      <c r="AY223" s="116"/>
      <c r="AZ223" s="143"/>
      <c r="BA223" s="191"/>
      <c r="BB223" s="132"/>
      <c r="BC223" s="132"/>
      <c r="BD223" s="274"/>
      <c r="BE223" s="143"/>
      <c r="BF223" s="143"/>
      <c r="BG223" s="132"/>
      <c r="BH223" s="132"/>
      <c r="BI223" s="132"/>
      <c r="BJ223" s="143"/>
      <c r="BK223" s="143"/>
      <c r="BL223" s="143"/>
      <c r="BM223" s="132"/>
      <c r="BN223" s="132"/>
      <c r="BO223" s="132"/>
      <c r="BP223" s="143"/>
      <c r="BQ223" s="132"/>
      <c r="BR223" s="132"/>
      <c r="BS223" s="132"/>
      <c r="BT223" s="132"/>
      <c r="BU223" s="132"/>
      <c r="BV223" s="210"/>
      <c r="BW223" s="144"/>
      <c r="BX223" s="113"/>
      <c r="BY223" s="273"/>
      <c r="BZ223" s="273"/>
      <c r="CA223" s="132"/>
      <c r="CB223" s="274"/>
      <c r="CC223" s="144"/>
      <c r="CD223" s="274"/>
      <c r="CE223" s="132"/>
      <c r="CF223" s="132"/>
      <c r="CG223" s="36"/>
      <c r="CH223" s="210"/>
      <c r="CI223" s="219"/>
      <c r="CJ223" s="210"/>
      <c r="CK223" s="273"/>
      <c r="CL223" s="273"/>
      <c r="CM223" s="132"/>
      <c r="CN223" s="274"/>
      <c r="CO223" s="144"/>
      <c r="CP223" s="274"/>
      <c r="CQ223" s="132"/>
      <c r="CR223" s="132"/>
      <c r="CS223" s="132"/>
      <c r="CT223" s="274"/>
      <c r="CU223" s="144"/>
      <c r="CV223" s="274"/>
      <c r="CW223" s="132"/>
      <c r="CX223" s="132"/>
      <c r="CY223" s="132"/>
      <c r="CZ223" s="118"/>
      <c r="DA223" s="144"/>
      <c r="DB223" s="118"/>
      <c r="DC223" s="33"/>
      <c r="DD223" s="39"/>
      <c r="DE223" s="11"/>
      <c r="DF223" s="132"/>
      <c r="DG223" s="132"/>
      <c r="DH223" s="132"/>
      <c r="DI223" s="132"/>
      <c r="DJ223" s="132"/>
      <c r="DK223" s="132"/>
      <c r="DL223" s="132"/>
      <c r="DM223" s="132"/>
      <c r="DN223" s="132"/>
      <c r="DO223" s="132"/>
      <c r="DP223" s="132"/>
      <c r="DQ223" s="132"/>
      <c r="DR223" s="132"/>
      <c r="DS223" s="132"/>
      <c r="DT223" s="132"/>
      <c r="DU223" s="132"/>
      <c r="DV223" s="132"/>
      <c r="DW223" s="132"/>
      <c r="DX223" s="132"/>
      <c r="DY223" s="132"/>
      <c r="DZ223" s="132"/>
      <c r="EA223" s="132"/>
      <c r="EB223" s="132"/>
      <c r="EC223" s="132"/>
      <c r="ED223" s="132"/>
      <c r="EE223" s="132"/>
      <c r="EF223" s="132"/>
      <c r="EG223" s="132"/>
      <c r="EH223" s="132"/>
      <c r="EI223" s="132"/>
      <c r="EJ223" s="132"/>
      <c r="EK223" s="132"/>
      <c r="EL223" s="132"/>
      <c r="EM223" s="132"/>
      <c r="EN223" s="132"/>
      <c r="EO223" s="132"/>
      <c r="EP223" s="132"/>
      <c r="EQ223" s="132"/>
      <c r="ER223" s="132"/>
      <c r="ES223" s="132"/>
      <c r="ET223" s="11"/>
      <c r="EU223" s="11"/>
      <c r="EV223" s="11"/>
      <c r="EW223" s="11"/>
      <c r="EX223" s="11"/>
      <c r="EY223" s="11"/>
      <c r="EZ223" s="11"/>
      <c r="FA223" s="11"/>
      <c r="FB223" s="11"/>
      <c r="FC223" s="11"/>
      <c r="FD223" s="11"/>
      <c r="FE223" s="11"/>
      <c r="FF223" s="11"/>
      <c r="FG223" s="11"/>
      <c r="FH223" s="39">
        <f t="shared" si="50"/>
        <v>203153.2</v>
      </c>
      <c r="FI223" s="33">
        <f t="shared" si="51"/>
        <v>2</v>
      </c>
      <c r="FJ223" s="84">
        <f t="shared" si="52"/>
        <v>101576.6</v>
      </c>
    </row>
    <row r="224" spans="1:166" ht="40.5" x14ac:dyDescent="0.25">
      <c r="A224" s="79" t="e">
        <f>#REF!</f>
        <v>#REF!</v>
      </c>
      <c r="B224" s="75" t="e">
        <f>#REF!</f>
        <v>#REF!</v>
      </c>
      <c r="C224" s="75" t="e">
        <f>#REF!</f>
        <v>#REF!</v>
      </c>
      <c r="D224" s="75" t="e">
        <f>#REF!</f>
        <v>#REF!</v>
      </c>
      <c r="E224" s="30">
        <v>1</v>
      </c>
      <c r="F224" s="238">
        <v>142472.75</v>
      </c>
      <c r="G224" s="241">
        <v>0</v>
      </c>
      <c r="H224" s="249">
        <v>149627.34422083333</v>
      </c>
      <c r="I224" s="249">
        <v>70210</v>
      </c>
      <c r="J224" s="249">
        <v>139572.73279569892</v>
      </c>
      <c r="K224" s="249">
        <v>136850</v>
      </c>
      <c r="L224" s="274">
        <f>AVERAGE(F224,H224,J224)</f>
        <v>143890.94233884409</v>
      </c>
      <c r="M224" s="274">
        <f>AVERAGE(I224,K224)*E1</f>
        <v>106635.90000000001</v>
      </c>
      <c r="N224" s="245"/>
      <c r="O224" s="113"/>
      <c r="P224" s="113"/>
      <c r="Q224" s="131"/>
      <c r="R224" s="131"/>
      <c r="S224" s="64"/>
      <c r="T224" s="113"/>
      <c r="U224" s="117"/>
      <c r="V224" s="113"/>
      <c r="W224" s="131"/>
      <c r="X224" s="131"/>
      <c r="Y224" s="11"/>
      <c r="Z224" s="113"/>
      <c r="AA224" s="113"/>
      <c r="AB224" s="113"/>
      <c r="AC224" s="52"/>
      <c r="AD224" s="52"/>
      <c r="AE224" s="11"/>
      <c r="AF224" s="118"/>
      <c r="AG224" s="144"/>
      <c r="AH224" s="113"/>
      <c r="AI224" s="11"/>
      <c r="AJ224" s="11"/>
      <c r="AK224" s="39"/>
      <c r="AL224" s="113">
        <v>120000</v>
      </c>
      <c r="AM224" s="113">
        <f>+AL224*0.19</f>
        <v>22800</v>
      </c>
      <c r="AN224" s="119">
        <f>+AL224+AM224</f>
        <v>142800</v>
      </c>
      <c r="AO224" s="76" t="s">
        <v>60</v>
      </c>
      <c r="AP224" s="39" t="s">
        <v>45</v>
      </c>
      <c r="AQ224" s="39"/>
      <c r="AR224" s="275"/>
      <c r="AS224" s="156"/>
      <c r="AT224" s="157"/>
      <c r="AU224" s="62"/>
      <c r="AV224" s="62"/>
      <c r="AW224" s="31"/>
      <c r="AX224" s="116">
        <f>96306.87/2</f>
        <v>48153.434999999998</v>
      </c>
      <c r="AY224" s="116">
        <f>+AX224*0.19</f>
        <v>9149.15265</v>
      </c>
      <c r="AZ224" s="143">
        <f>+AX224+AY224</f>
        <v>57302.587650000001</v>
      </c>
      <c r="BA224" s="191" t="s">
        <v>60</v>
      </c>
      <c r="BB224" s="132" t="s">
        <v>70</v>
      </c>
      <c r="BC224" s="132"/>
      <c r="BD224" s="274"/>
      <c r="BE224" s="143"/>
      <c r="BF224" s="143"/>
      <c r="BG224" s="132"/>
      <c r="BH224" s="132"/>
      <c r="BI224" s="132"/>
      <c r="BJ224" s="143"/>
      <c r="BK224" s="143"/>
      <c r="BL224" s="143"/>
      <c r="BM224" s="132"/>
      <c r="BN224" s="132"/>
      <c r="BO224" s="132"/>
      <c r="BP224" s="143"/>
      <c r="BQ224" s="132"/>
      <c r="BR224" s="132"/>
      <c r="BS224" s="132"/>
      <c r="BT224" s="132"/>
      <c r="BU224" s="132"/>
      <c r="BV224" s="263">
        <v>202000</v>
      </c>
      <c r="BW224" s="144">
        <f>BV224*19%</f>
        <v>38380</v>
      </c>
      <c r="BX224" s="113">
        <f>+BV224+BW224</f>
        <v>240380</v>
      </c>
      <c r="BY224" s="264" t="s">
        <v>79</v>
      </c>
      <c r="BZ224" s="264" t="s">
        <v>126</v>
      </c>
      <c r="CA224" s="132"/>
      <c r="CB224" s="274">
        <v>93150</v>
      </c>
      <c r="CC224" s="144">
        <f>+CB224*19%</f>
        <v>17698.5</v>
      </c>
      <c r="CD224" s="274">
        <f>+CC224+CB224</f>
        <v>110848.5</v>
      </c>
      <c r="CE224" s="132"/>
      <c r="CF224" s="132"/>
      <c r="CG224" s="36"/>
      <c r="CH224" s="263">
        <v>208060</v>
      </c>
      <c r="CI224" s="265">
        <f>+CH224*0.19</f>
        <v>39531.4</v>
      </c>
      <c r="CJ224" s="263">
        <f>+CH224+CI224</f>
        <v>247591.4</v>
      </c>
      <c r="CK224" s="264" t="s">
        <v>79</v>
      </c>
      <c r="CL224" s="264" t="s">
        <v>126</v>
      </c>
      <c r="CM224" s="132"/>
      <c r="CN224" s="274"/>
      <c r="CO224" s="144"/>
      <c r="CP224" s="274"/>
      <c r="CQ224" s="132"/>
      <c r="CR224" s="132"/>
      <c r="CS224" s="132"/>
      <c r="CT224" s="274"/>
      <c r="CU224" s="144"/>
      <c r="CV224" s="274"/>
      <c r="CW224" s="132"/>
      <c r="CX224" s="132"/>
      <c r="CY224" s="132"/>
      <c r="CZ224" s="118"/>
      <c r="DA224" s="144"/>
      <c r="DB224" s="118"/>
      <c r="DC224" s="33"/>
      <c r="DD224" s="39"/>
      <c r="DE224" s="11"/>
      <c r="DF224" s="132"/>
      <c r="DG224" s="132"/>
      <c r="DH224" s="132"/>
      <c r="DI224" s="132"/>
      <c r="DJ224" s="132"/>
      <c r="DK224" s="132"/>
      <c r="DL224" s="132"/>
      <c r="DM224" s="132"/>
      <c r="DN224" s="132"/>
      <c r="DO224" s="132"/>
      <c r="DP224" s="132"/>
      <c r="DQ224" s="132"/>
      <c r="DR224" s="132"/>
      <c r="DS224" s="132"/>
      <c r="DT224" s="132"/>
      <c r="DU224" s="132"/>
      <c r="DV224" s="132"/>
      <c r="DW224" s="132"/>
      <c r="DX224" s="132"/>
      <c r="DY224" s="132"/>
      <c r="DZ224" s="132"/>
      <c r="EA224" s="132"/>
      <c r="EB224" s="132"/>
      <c r="EC224" s="132"/>
      <c r="ED224" s="132"/>
      <c r="EE224" s="132"/>
      <c r="EF224" s="132"/>
      <c r="EG224" s="132"/>
      <c r="EH224" s="132"/>
      <c r="EI224" s="132"/>
      <c r="EJ224" s="132"/>
      <c r="EK224" s="132"/>
      <c r="EL224" s="132"/>
      <c r="EM224" s="132"/>
      <c r="EN224" s="132"/>
      <c r="EO224" s="132"/>
      <c r="EP224" s="132"/>
      <c r="EQ224" s="132"/>
      <c r="ER224" s="132"/>
      <c r="ES224" s="132"/>
      <c r="ET224" s="11"/>
      <c r="EU224" s="11"/>
      <c r="EV224" s="11"/>
      <c r="EW224" s="11"/>
      <c r="EX224" s="11"/>
      <c r="EY224" s="11"/>
      <c r="EZ224" s="11"/>
      <c r="FA224" s="11"/>
      <c r="FB224" s="11"/>
      <c r="FC224" s="11"/>
      <c r="FD224" s="11"/>
      <c r="FE224" s="11"/>
      <c r="FF224" s="11"/>
      <c r="FG224" s="11"/>
      <c r="FH224" s="39">
        <f t="shared" si="50"/>
        <v>905558.38765000005</v>
      </c>
      <c r="FI224" s="33">
        <f t="shared" si="51"/>
        <v>6</v>
      </c>
      <c r="FJ224" s="84">
        <f t="shared" si="52"/>
        <v>150926.39794166668</v>
      </c>
    </row>
    <row r="225" spans="1:166" ht="27" x14ac:dyDescent="0.25">
      <c r="A225" s="79" t="e">
        <f>#REF!</f>
        <v>#REF!</v>
      </c>
      <c r="B225" s="75" t="e">
        <f>#REF!</f>
        <v>#REF!</v>
      </c>
      <c r="C225" s="75" t="e">
        <f>#REF!</f>
        <v>#REF!</v>
      </c>
      <c r="D225" s="75" t="e">
        <f>#REF!</f>
        <v>#REF!</v>
      </c>
      <c r="E225" s="30">
        <v>1</v>
      </c>
      <c r="F225" s="238">
        <v>0</v>
      </c>
      <c r="G225" s="241">
        <v>0</v>
      </c>
      <c r="H225" s="249">
        <v>0</v>
      </c>
      <c r="I225" s="249">
        <v>0</v>
      </c>
      <c r="J225" s="249">
        <v>334925.5</v>
      </c>
      <c r="K225" s="249">
        <v>0</v>
      </c>
      <c r="L225" s="274">
        <f>J225</f>
        <v>334925.5</v>
      </c>
      <c r="M225" s="274"/>
      <c r="N225" s="245"/>
      <c r="O225" s="113"/>
      <c r="P225" s="113"/>
      <c r="Q225" s="131"/>
      <c r="R225" s="131"/>
      <c r="S225" s="64"/>
      <c r="T225" s="113"/>
      <c r="U225" s="117"/>
      <c r="V225" s="113"/>
      <c r="W225" s="131"/>
      <c r="X225" s="131"/>
      <c r="Y225" s="11"/>
      <c r="Z225" s="113"/>
      <c r="AA225" s="113"/>
      <c r="AB225" s="113"/>
      <c r="AC225" s="52"/>
      <c r="AD225" s="52"/>
      <c r="AE225" s="11"/>
      <c r="AF225" s="118">
        <v>362000</v>
      </c>
      <c r="AG225" s="144">
        <f>AF225*19%</f>
        <v>68780</v>
      </c>
      <c r="AH225" s="113">
        <f>+AF225+AG225</f>
        <v>430780</v>
      </c>
      <c r="AI225" s="11"/>
      <c r="AJ225" s="11"/>
      <c r="AK225" s="39"/>
      <c r="AL225" s="113">
        <v>330000</v>
      </c>
      <c r="AM225" s="113">
        <f>+AL225*0.19</f>
        <v>62700</v>
      </c>
      <c r="AN225" s="119">
        <f>+AL225+AM225</f>
        <v>392700</v>
      </c>
      <c r="AO225" s="76" t="s">
        <v>60</v>
      </c>
      <c r="AP225" s="39" t="s">
        <v>45</v>
      </c>
      <c r="AQ225" s="39"/>
      <c r="AR225" s="275">
        <v>280800</v>
      </c>
      <c r="AS225" s="113">
        <f>+AR225*0.19</f>
        <v>53352</v>
      </c>
      <c r="AT225" s="119">
        <f>+AR225+AS225</f>
        <v>334152</v>
      </c>
      <c r="AU225" s="62" t="s">
        <v>54</v>
      </c>
      <c r="AV225" s="62" t="s">
        <v>35</v>
      </c>
      <c r="AW225" s="31"/>
      <c r="AX225" s="116"/>
      <c r="AY225" s="194"/>
      <c r="AZ225" s="143"/>
      <c r="BA225" s="191"/>
      <c r="BB225" s="132"/>
      <c r="BC225" s="132"/>
      <c r="BD225" s="274"/>
      <c r="BE225" s="143"/>
      <c r="BF225" s="143"/>
      <c r="BG225" s="132"/>
      <c r="BH225" s="132"/>
      <c r="BI225" s="132"/>
      <c r="BJ225" s="143"/>
      <c r="BK225" s="143"/>
      <c r="BL225" s="143"/>
      <c r="BM225" s="132"/>
      <c r="BN225" s="132"/>
      <c r="BO225" s="132"/>
      <c r="BP225" s="143"/>
      <c r="BQ225" s="132"/>
      <c r="BR225" s="132"/>
      <c r="BS225" s="132"/>
      <c r="BT225" s="132"/>
      <c r="BU225" s="132"/>
      <c r="BV225" s="263">
        <v>321600</v>
      </c>
      <c r="BW225" s="144">
        <f>BV225*19%</f>
        <v>61104</v>
      </c>
      <c r="BX225" s="113">
        <f>+BV225+BW225</f>
        <v>382704</v>
      </c>
      <c r="BY225" s="264" t="s">
        <v>56</v>
      </c>
      <c r="BZ225" s="264" t="s">
        <v>88</v>
      </c>
      <c r="CA225" s="132"/>
      <c r="CB225" s="274"/>
      <c r="CC225" s="144"/>
      <c r="CD225" s="274"/>
      <c r="CE225" s="132"/>
      <c r="CF225" s="132"/>
      <c r="CG225" s="36"/>
      <c r="CH225" s="263">
        <v>331248</v>
      </c>
      <c r="CI225" s="265">
        <f>+CH225*0.19</f>
        <v>62937.120000000003</v>
      </c>
      <c r="CJ225" s="263">
        <f>+CH225+CI225</f>
        <v>394185.12</v>
      </c>
      <c r="CK225" s="264" t="s">
        <v>56</v>
      </c>
      <c r="CL225" s="264" t="s">
        <v>88</v>
      </c>
      <c r="CM225" s="132"/>
      <c r="CN225" s="274"/>
      <c r="CO225" s="144"/>
      <c r="CP225" s="274"/>
      <c r="CQ225" s="132"/>
      <c r="CR225" s="132"/>
      <c r="CS225" s="132"/>
      <c r="CT225" s="274"/>
      <c r="CU225" s="144"/>
      <c r="CV225" s="274"/>
      <c r="CW225" s="132"/>
      <c r="CX225" s="132"/>
      <c r="CY225" s="132"/>
      <c r="CZ225" s="118"/>
      <c r="DA225" s="144"/>
      <c r="DB225" s="118"/>
      <c r="DC225" s="33"/>
      <c r="DD225" s="39"/>
      <c r="DE225" s="11"/>
      <c r="DF225" s="132"/>
      <c r="DG225" s="132"/>
      <c r="DH225" s="132"/>
      <c r="DI225" s="132"/>
      <c r="DJ225" s="132"/>
      <c r="DK225" s="132"/>
      <c r="DL225" s="132"/>
      <c r="DM225" s="132"/>
      <c r="DN225" s="132"/>
      <c r="DO225" s="132"/>
      <c r="DP225" s="132"/>
      <c r="DQ225" s="132"/>
      <c r="DR225" s="132"/>
      <c r="DS225" s="132"/>
      <c r="DT225" s="132"/>
      <c r="DU225" s="132"/>
      <c r="DV225" s="132"/>
      <c r="DW225" s="132"/>
      <c r="DX225" s="132"/>
      <c r="DY225" s="132"/>
      <c r="DZ225" s="132"/>
      <c r="EA225" s="132"/>
      <c r="EB225" s="132"/>
      <c r="EC225" s="132"/>
      <c r="ED225" s="132"/>
      <c r="EE225" s="132"/>
      <c r="EF225" s="132"/>
      <c r="EG225" s="132"/>
      <c r="EH225" s="132"/>
      <c r="EI225" s="132"/>
      <c r="EJ225" s="132"/>
      <c r="EK225" s="132"/>
      <c r="EL225" s="132"/>
      <c r="EM225" s="132"/>
      <c r="EN225" s="132"/>
      <c r="EO225" s="132"/>
      <c r="EP225" s="132"/>
      <c r="EQ225" s="132"/>
      <c r="ER225" s="132"/>
      <c r="ES225" s="132"/>
      <c r="ET225" s="11"/>
      <c r="EU225" s="11"/>
      <c r="EV225" s="11"/>
      <c r="EW225" s="11"/>
      <c r="EX225" s="11"/>
      <c r="EY225" s="11"/>
      <c r="EZ225" s="11"/>
      <c r="FA225" s="11"/>
      <c r="FB225" s="11"/>
      <c r="FC225" s="11"/>
      <c r="FD225" s="11"/>
      <c r="FE225" s="11"/>
      <c r="FF225" s="11"/>
      <c r="FG225" s="11"/>
      <c r="FH225" s="39">
        <f t="shared" si="50"/>
        <v>1934521.12</v>
      </c>
      <c r="FI225" s="33">
        <f t="shared" si="51"/>
        <v>5</v>
      </c>
      <c r="FJ225" s="84">
        <f t="shared" si="52"/>
        <v>386904.22400000005</v>
      </c>
    </row>
    <row r="226" spans="1:166" ht="40.5" x14ac:dyDescent="0.25">
      <c r="A226" s="79" t="e">
        <f>#REF!</f>
        <v>#REF!</v>
      </c>
      <c r="B226" s="75" t="e">
        <f>#REF!</f>
        <v>#REF!</v>
      </c>
      <c r="C226" s="75" t="e">
        <f>#REF!</f>
        <v>#REF!</v>
      </c>
      <c r="D226" s="75" t="e">
        <f>#REF!</f>
        <v>#REF!</v>
      </c>
      <c r="E226" s="30">
        <v>1</v>
      </c>
      <c r="F226" s="238">
        <v>475197.94</v>
      </c>
      <c r="G226" s="241">
        <v>463267</v>
      </c>
      <c r="H226" s="249">
        <v>318449.44586840004</v>
      </c>
      <c r="I226" s="249">
        <v>151130</v>
      </c>
      <c r="J226" s="249">
        <v>397915.17500000005</v>
      </c>
      <c r="K226" s="249">
        <v>0</v>
      </c>
      <c r="L226" s="274">
        <f>AVERAGE(F226,H226,J226)</f>
        <v>397187.52028946672</v>
      </c>
      <c r="M226" s="274">
        <f>AVERAGE(G226,I226)*E1</f>
        <v>316414.45500000002</v>
      </c>
      <c r="N226" s="245"/>
      <c r="O226" s="117"/>
      <c r="P226" s="113"/>
      <c r="Q226" s="131"/>
      <c r="R226" s="131"/>
      <c r="S226" s="64"/>
      <c r="T226" s="113"/>
      <c r="U226" s="117"/>
      <c r="V226" s="113"/>
      <c r="W226" s="131"/>
      <c r="X226" s="131"/>
      <c r="Y226" s="11"/>
      <c r="Z226" s="113"/>
      <c r="AA226" s="113"/>
      <c r="AB226" s="113"/>
      <c r="AC226" s="52"/>
      <c r="AD226" s="52"/>
      <c r="AE226" s="11"/>
      <c r="AF226" s="118"/>
      <c r="AG226" s="144"/>
      <c r="AH226" s="113"/>
      <c r="AI226" s="11"/>
      <c r="AJ226" s="11"/>
      <c r="AK226" s="39"/>
      <c r="AL226" s="113">
        <f>260000/2</f>
        <v>130000</v>
      </c>
      <c r="AM226" s="113">
        <f>+AL226*0.19</f>
        <v>24700</v>
      </c>
      <c r="AN226" s="119">
        <f>+AL226+AM226</f>
        <v>154700</v>
      </c>
      <c r="AO226" s="76" t="s">
        <v>54</v>
      </c>
      <c r="AP226" s="39" t="s">
        <v>45</v>
      </c>
      <c r="AQ226" s="39"/>
      <c r="AR226" s="275">
        <f>1540800/2</f>
        <v>770400</v>
      </c>
      <c r="AS226" s="113">
        <f>+AR226*0.19</f>
        <v>146376</v>
      </c>
      <c r="AT226" s="119">
        <f>+AR226+AS226</f>
        <v>916776</v>
      </c>
      <c r="AU226" s="62" t="s">
        <v>54</v>
      </c>
      <c r="AV226" s="62" t="s">
        <v>35</v>
      </c>
      <c r="AW226" s="31"/>
      <c r="AX226" s="116"/>
      <c r="AY226" s="194"/>
      <c r="AZ226" s="143"/>
      <c r="BA226" s="191"/>
      <c r="BB226" s="132"/>
      <c r="BC226" s="132"/>
      <c r="BD226" s="274"/>
      <c r="BE226" s="143"/>
      <c r="BF226" s="143"/>
      <c r="BG226" s="132"/>
      <c r="BH226" s="132"/>
      <c r="BI226" s="132"/>
      <c r="BJ226" s="143"/>
      <c r="BK226" s="143"/>
      <c r="BL226" s="143"/>
      <c r="BM226" s="132"/>
      <c r="BN226" s="132"/>
      <c r="BO226" s="132"/>
      <c r="BP226" s="143"/>
      <c r="BQ226" s="132"/>
      <c r="BR226" s="132"/>
      <c r="BS226" s="132"/>
      <c r="BT226" s="132"/>
      <c r="BU226" s="132"/>
      <c r="BV226" s="263">
        <v>832000</v>
      </c>
      <c r="BW226" s="144">
        <f>BV226*19%</f>
        <v>158080</v>
      </c>
      <c r="BX226" s="113">
        <f>+BV226+BW226</f>
        <v>990080</v>
      </c>
      <c r="BY226" s="264" t="s">
        <v>284</v>
      </c>
      <c r="BZ226" s="264" t="s">
        <v>45</v>
      </c>
      <c r="CA226" s="132"/>
      <c r="CB226" s="274"/>
      <c r="CC226" s="144"/>
      <c r="CD226" s="274"/>
      <c r="CE226" s="132"/>
      <c r="CF226" s="132"/>
      <c r="CG226" s="36"/>
      <c r="CH226" s="263">
        <v>856960</v>
      </c>
      <c r="CI226" s="265">
        <f>+CH226*0.19</f>
        <v>162822.39999999999</v>
      </c>
      <c r="CJ226" s="263">
        <f>+CH226+CI226</f>
        <v>1019782.4</v>
      </c>
      <c r="CK226" s="264" t="s">
        <v>284</v>
      </c>
      <c r="CL226" s="264" t="s">
        <v>45</v>
      </c>
      <c r="CM226" s="132"/>
      <c r="CN226" s="274"/>
      <c r="CO226" s="144"/>
      <c r="CP226" s="274"/>
      <c r="CQ226" s="132"/>
      <c r="CR226" s="132"/>
      <c r="CS226" s="132"/>
      <c r="CT226" s="274"/>
      <c r="CU226" s="144"/>
      <c r="CV226" s="274"/>
      <c r="CW226" s="132"/>
      <c r="CX226" s="132"/>
      <c r="CY226" s="132"/>
      <c r="CZ226" s="118"/>
      <c r="DA226" s="144"/>
      <c r="DB226" s="118"/>
      <c r="DC226" s="33"/>
      <c r="DD226" s="39"/>
      <c r="DE226" s="11"/>
      <c r="DF226" s="132"/>
      <c r="DG226" s="132"/>
      <c r="DH226" s="132"/>
      <c r="DI226" s="132"/>
      <c r="DJ226" s="132"/>
      <c r="DK226" s="132"/>
      <c r="DL226" s="132"/>
      <c r="DM226" s="132"/>
      <c r="DN226" s="132"/>
      <c r="DO226" s="132"/>
      <c r="DP226" s="132"/>
      <c r="DQ226" s="132"/>
      <c r="DR226" s="132"/>
      <c r="DS226" s="132"/>
      <c r="DT226" s="132"/>
      <c r="DU226" s="132"/>
      <c r="DV226" s="132"/>
      <c r="DW226" s="132"/>
      <c r="DX226" s="132"/>
      <c r="DY226" s="132"/>
      <c r="DZ226" s="132"/>
      <c r="EA226" s="132"/>
      <c r="EB226" s="132"/>
      <c r="EC226" s="132"/>
      <c r="ED226" s="132"/>
      <c r="EE226" s="132"/>
      <c r="EF226" s="132"/>
      <c r="EG226" s="132"/>
      <c r="EH226" s="132"/>
      <c r="EI226" s="132"/>
      <c r="EJ226" s="132"/>
      <c r="EK226" s="132"/>
      <c r="EL226" s="132"/>
      <c r="EM226" s="132"/>
      <c r="EN226" s="132"/>
      <c r="EO226" s="132"/>
      <c r="EP226" s="132"/>
      <c r="EQ226" s="132"/>
      <c r="ER226" s="132"/>
      <c r="ES226" s="132"/>
      <c r="ET226" s="11"/>
      <c r="EU226" s="11"/>
      <c r="EV226" s="11"/>
      <c r="EW226" s="11"/>
      <c r="EX226" s="11"/>
      <c r="EY226" s="11"/>
      <c r="EZ226" s="11"/>
      <c r="FA226" s="11"/>
      <c r="FB226" s="11"/>
      <c r="FC226" s="11"/>
      <c r="FD226" s="11"/>
      <c r="FE226" s="11"/>
      <c r="FF226" s="11"/>
      <c r="FG226" s="11"/>
      <c r="FH226" s="39">
        <f t="shared" si="50"/>
        <v>3397752.855</v>
      </c>
      <c r="FI226" s="33">
        <f t="shared" si="51"/>
        <v>5</v>
      </c>
      <c r="FJ226" s="84">
        <f t="shared" si="52"/>
        <v>679550.571</v>
      </c>
    </row>
    <row r="227" spans="1:166" ht="40.5" x14ac:dyDescent="0.25">
      <c r="A227" s="79" t="e">
        <f>#REF!</f>
        <v>#REF!</v>
      </c>
      <c r="B227" s="75" t="e">
        <f>#REF!</f>
        <v>#REF!</v>
      </c>
      <c r="C227" s="75" t="e">
        <f>#REF!</f>
        <v>#REF!</v>
      </c>
      <c r="D227" s="75" t="e">
        <f>#REF!</f>
        <v>#REF!</v>
      </c>
      <c r="E227" s="30">
        <v>1</v>
      </c>
      <c r="F227" s="238">
        <v>0</v>
      </c>
      <c r="G227" s="241">
        <v>0</v>
      </c>
      <c r="H227" s="249">
        <v>210035</v>
      </c>
      <c r="I227" s="249">
        <v>70210</v>
      </c>
      <c r="J227" s="249">
        <v>225163.35483870967</v>
      </c>
      <c r="K227" s="249">
        <v>202300</v>
      </c>
      <c r="L227" s="274">
        <f>AVERAGE(H227,J227)</f>
        <v>217599.17741935485</v>
      </c>
      <c r="M227" s="274">
        <f>AVERAGE(I227,K227)*E1</f>
        <v>140342.65</v>
      </c>
      <c r="N227" s="246"/>
      <c r="O227" s="118"/>
      <c r="P227" s="118"/>
      <c r="Q227" s="52"/>
      <c r="R227" s="52"/>
      <c r="S227" s="5"/>
      <c r="T227" s="118"/>
      <c r="U227" s="118"/>
      <c r="V227" s="118"/>
      <c r="W227" s="11"/>
      <c r="X227" s="11"/>
      <c r="Y227" s="11"/>
      <c r="Z227" s="118"/>
      <c r="AA227" s="118"/>
      <c r="AB227" s="118"/>
      <c r="AC227" s="52"/>
      <c r="AD227" s="52"/>
      <c r="AE227" s="11"/>
      <c r="AF227" s="118">
        <v>258000</v>
      </c>
      <c r="AG227" s="144">
        <f>AF227*19%</f>
        <v>49020</v>
      </c>
      <c r="AH227" s="113">
        <f>+AF227+AG227</f>
        <v>307020</v>
      </c>
      <c r="AI227" s="11"/>
      <c r="AJ227" s="11"/>
      <c r="AK227" s="11"/>
      <c r="AL227" s="118">
        <v>120000</v>
      </c>
      <c r="AM227" s="113">
        <f>+AL227*0.19</f>
        <v>22800</v>
      </c>
      <c r="AN227" s="119">
        <f>+AL227+AM227</f>
        <v>142800</v>
      </c>
      <c r="AO227" s="76" t="s">
        <v>60</v>
      </c>
      <c r="AP227" s="39" t="s">
        <v>45</v>
      </c>
      <c r="AQ227" s="11"/>
      <c r="AR227" s="274">
        <f>144000*2</f>
        <v>288000</v>
      </c>
      <c r="AS227" s="113">
        <f>+AR227*0.19</f>
        <v>54720</v>
      </c>
      <c r="AT227" s="119">
        <f>+AR227+AS227</f>
        <v>342720</v>
      </c>
      <c r="AU227" s="62" t="s">
        <v>78</v>
      </c>
      <c r="AV227" s="62" t="s">
        <v>35</v>
      </c>
      <c r="AW227" s="11"/>
      <c r="AX227" s="274">
        <v>403202.30999999994</v>
      </c>
      <c r="AY227" s="116">
        <f>+AX227*0.19</f>
        <v>76608.438899999994</v>
      </c>
      <c r="AZ227" s="143">
        <f>+AX227+AY227</f>
        <v>479810.74889999995</v>
      </c>
      <c r="BA227" s="191" t="s">
        <v>60</v>
      </c>
      <c r="BB227" s="132" t="s">
        <v>210</v>
      </c>
      <c r="BC227" s="11"/>
      <c r="BD227" s="274"/>
      <c r="BE227" s="274"/>
      <c r="BF227" s="274"/>
      <c r="BG227" s="11"/>
      <c r="BH227" s="11"/>
      <c r="BI227" s="11"/>
      <c r="BJ227" s="274"/>
      <c r="BK227" s="274"/>
      <c r="BL227" s="274"/>
      <c r="BM227" s="11"/>
      <c r="BN227" s="11"/>
      <c r="BO227" s="11"/>
      <c r="BP227" s="275"/>
      <c r="BQ227" s="11"/>
      <c r="BR227" s="11"/>
      <c r="BS227" s="11"/>
      <c r="BT227" s="11"/>
      <c r="BU227" s="11"/>
      <c r="BV227" s="263">
        <v>338000</v>
      </c>
      <c r="BW227" s="144">
        <f>BV227*19%</f>
        <v>64220</v>
      </c>
      <c r="BX227" s="113">
        <f>+BV227+BW227</f>
        <v>402220</v>
      </c>
      <c r="BY227" s="264" t="s">
        <v>62</v>
      </c>
      <c r="BZ227" s="264" t="s">
        <v>126</v>
      </c>
      <c r="CA227" s="11"/>
      <c r="CB227" s="274"/>
      <c r="CC227" s="144"/>
      <c r="CD227" s="274"/>
      <c r="CE227" s="11"/>
      <c r="CF227" s="11"/>
      <c r="CG227" s="11"/>
      <c r="CH227" s="263">
        <v>351520</v>
      </c>
      <c r="CI227" s="265">
        <f>+CH227*0.19</f>
        <v>66788.800000000003</v>
      </c>
      <c r="CJ227" s="263">
        <f>+CH227+CI227</f>
        <v>418308.8</v>
      </c>
      <c r="CK227" s="264" t="s">
        <v>62</v>
      </c>
      <c r="CL227" s="264" t="s">
        <v>126</v>
      </c>
      <c r="CM227" s="11"/>
      <c r="CN227" s="274"/>
      <c r="CO227" s="144"/>
      <c r="CP227" s="274"/>
      <c r="CQ227" s="11"/>
      <c r="CR227" s="11"/>
      <c r="CS227" s="11"/>
      <c r="CT227" s="274"/>
      <c r="CU227" s="144"/>
      <c r="CV227" s="274"/>
      <c r="CW227" s="11"/>
      <c r="CX227" s="11"/>
      <c r="CY227" s="11"/>
      <c r="CZ227" s="118"/>
      <c r="DA227" s="144"/>
      <c r="DB227" s="118"/>
      <c r="DC227" s="33"/>
      <c r="DD227" s="39"/>
      <c r="DE227" s="11"/>
      <c r="DF227" s="11"/>
      <c r="DG227" s="11"/>
      <c r="DH227" s="11"/>
      <c r="DI227" s="11"/>
      <c r="DJ227" s="11"/>
      <c r="DK227" s="11"/>
      <c r="DL227" s="11"/>
      <c r="DM227" s="39"/>
      <c r="DN227" s="39"/>
      <c r="DO227" s="34"/>
      <c r="DP227" s="34"/>
      <c r="DQ227" s="34"/>
      <c r="DR227" s="34"/>
      <c r="DS227" s="34"/>
      <c r="DT227" s="34"/>
      <c r="DU227" s="34"/>
      <c r="DV227" s="34"/>
      <c r="DW227" s="34"/>
      <c r="DX227" s="34"/>
      <c r="DY227" s="42"/>
      <c r="DZ227" s="34"/>
      <c r="EA227" s="34"/>
      <c r="EB227" s="34"/>
      <c r="EC227" s="34"/>
      <c r="ED227" s="34"/>
      <c r="EE227" s="34"/>
      <c r="EF227" s="34"/>
      <c r="EG227" s="34"/>
      <c r="EH227" s="34"/>
      <c r="EI227" s="42"/>
      <c r="EJ227" s="34"/>
      <c r="EK227" s="34"/>
      <c r="EL227" s="34"/>
      <c r="EM227" s="34"/>
      <c r="EN227" s="34"/>
      <c r="EO227" s="11"/>
      <c r="EP227" s="11"/>
      <c r="EQ227" s="11"/>
      <c r="ER227" s="11"/>
      <c r="ES227" s="11"/>
      <c r="ET227" s="11"/>
      <c r="EU227" s="11"/>
      <c r="EV227" s="11"/>
      <c r="EW227" s="11"/>
      <c r="EX227" s="11"/>
      <c r="EY227" s="11"/>
      <c r="EZ227" s="11"/>
      <c r="FA227" s="11"/>
      <c r="FB227" s="11"/>
      <c r="FC227" s="11"/>
      <c r="FD227" s="11"/>
      <c r="FE227" s="11"/>
      <c r="FF227" s="11"/>
      <c r="FG227" s="11"/>
      <c r="FH227" s="39">
        <f t="shared" si="50"/>
        <v>2233222.1988999997</v>
      </c>
      <c r="FI227" s="33">
        <f t="shared" si="51"/>
        <v>7</v>
      </c>
      <c r="FJ227" s="84">
        <f t="shared" si="52"/>
        <v>319031.74269999994</v>
      </c>
    </row>
    <row r="228" spans="1:166" ht="27" x14ac:dyDescent="0.25">
      <c r="A228" s="79" t="e">
        <f>#REF!</f>
        <v>#REF!</v>
      </c>
      <c r="B228" s="75" t="e">
        <f>#REF!</f>
        <v>#REF!</v>
      </c>
      <c r="C228" s="75" t="e">
        <f>#REF!</f>
        <v>#REF!</v>
      </c>
      <c r="D228" s="75" t="e">
        <f>#REF!</f>
        <v>#REF!</v>
      </c>
      <c r="E228" s="30">
        <v>1</v>
      </c>
      <c r="F228" s="238">
        <v>0</v>
      </c>
      <c r="G228" s="241">
        <v>0</v>
      </c>
      <c r="H228" s="249">
        <v>0</v>
      </c>
      <c r="I228" s="249">
        <v>0</v>
      </c>
      <c r="J228" s="249">
        <v>0</v>
      </c>
      <c r="K228" s="249">
        <v>0</v>
      </c>
      <c r="L228" s="274"/>
      <c r="M228" s="274"/>
      <c r="N228" s="245"/>
      <c r="O228" s="113"/>
      <c r="P228" s="113"/>
      <c r="Q228" s="131"/>
      <c r="R228" s="131"/>
      <c r="S228" s="64"/>
      <c r="T228" s="113"/>
      <c r="U228" s="113"/>
      <c r="V228" s="113"/>
      <c r="W228" s="131"/>
      <c r="X228" s="131"/>
      <c r="Y228" s="11"/>
      <c r="Z228" s="113"/>
      <c r="AA228" s="113"/>
      <c r="AB228" s="113"/>
      <c r="AC228" s="52"/>
      <c r="AD228" s="52"/>
      <c r="AE228" s="11"/>
      <c r="AF228" s="118"/>
      <c r="AG228" s="144"/>
      <c r="AH228" s="113"/>
      <c r="AI228" s="11"/>
      <c r="AJ228" s="11"/>
      <c r="AK228" s="39"/>
      <c r="AL228" s="113"/>
      <c r="AM228" s="113"/>
      <c r="AN228" s="119"/>
      <c r="AO228" s="76"/>
      <c r="AP228" s="39"/>
      <c r="AQ228" s="39"/>
      <c r="AR228" s="275">
        <f>+(165200/250)*100</f>
        <v>66080</v>
      </c>
      <c r="AS228" s="113">
        <f>+AR228*0.19</f>
        <v>12555.2</v>
      </c>
      <c r="AT228" s="119">
        <f>+AR228+AS228</f>
        <v>78635.199999999997</v>
      </c>
      <c r="AU228" s="62" t="s">
        <v>285</v>
      </c>
      <c r="AV228" s="62" t="s">
        <v>35</v>
      </c>
      <c r="AW228" s="31"/>
      <c r="AX228" s="116"/>
      <c r="AY228" s="116"/>
      <c r="AZ228" s="143"/>
      <c r="BA228" s="191"/>
      <c r="BB228" s="132"/>
      <c r="BC228" s="132"/>
      <c r="BD228" s="274"/>
      <c r="BE228" s="143"/>
      <c r="BF228" s="143"/>
      <c r="BG228" s="132"/>
      <c r="BH228" s="132"/>
      <c r="BI228" s="132"/>
      <c r="BJ228" s="143"/>
      <c r="BK228" s="143"/>
      <c r="BL228" s="143"/>
      <c r="BM228" s="132"/>
      <c r="BN228" s="132"/>
      <c r="BO228" s="132"/>
      <c r="BP228" s="143"/>
      <c r="BQ228" s="132"/>
      <c r="BR228" s="132"/>
      <c r="BS228" s="132"/>
      <c r="BT228" s="132"/>
      <c r="BU228" s="132"/>
      <c r="BV228" s="263">
        <v>415600</v>
      </c>
      <c r="BW228" s="144">
        <f>BV228*19%</f>
        <v>78964</v>
      </c>
      <c r="BX228" s="113">
        <f>+BV228+BW228</f>
        <v>494564</v>
      </c>
      <c r="BY228" s="264" t="s">
        <v>56</v>
      </c>
      <c r="BZ228" s="264" t="s">
        <v>88</v>
      </c>
      <c r="CA228" s="132"/>
      <c r="CB228" s="274"/>
      <c r="CC228" s="144"/>
      <c r="CD228" s="274"/>
      <c r="CE228" s="132"/>
      <c r="CF228" s="132"/>
      <c r="CG228" s="36"/>
      <c r="CH228" s="263">
        <v>423912</v>
      </c>
      <c r="CI228" s="265">
        <f>+CH228*0.19</f>
        <v>80543.28</v>
      </c>
      <c r="CJ228" s="263">
        <f>+CH228+CI228</f>
        <v>504455.28</v>
      </c>
      <c r="CK228" s="264" t="s">
        <v>56</v>
      </c>
      <c r="CL228" s="264" t="s">
        <v>88</v>
      </c>
      <c r="CM228" s="132"/>
      <c r="CN228" s="274"/>
      <c r="CO228" s="144"/>
      <c r="CP228" s="274"/>
      <c r="CQ228" s="132"/>
      <c r="CR228" s="132"/>
      <c r="CS228" s="132"/>
      <c r="CT228" s="274"/>
      <c r="CU228" s="144"/>
      <c r="CV228" s="274"/>
      <c r="CW228" s="132"/>
      <c r="CX228" s="132"/>
      <c r="CY228" s="132"/>
      <c r="CZ228" s="118"/>
      <c r="DA228" s="144"/>
      <c r="DB228" s="118"/>
      <c r="DC228" s="33"/>
      <c r="DD228" s="39"/>
      <c r="DE228" s="11"/>
      <c r="DF228" s="132"/>
      <c r="DG228" s="132"/>
      <c r="DH228" s="132"/>
      <c r="DI228" s="132"/>
      <c r="DJ228" s="132"/>
      <c r="DK228" s="132"/>
      <c r="DL228" s="132"/>
      <c r="DM228" s="132"/>
      <c r="DN228" s="132"/>
      <c r="DO228" s="132"/>
      <c r="DP228" s="132"/>
      <c r="DQ228" s="132"/>
      <c r="DR228" s="132"/>
      <c r="DS228" s="132"/>
      <c r="DT228" s="132"/>
      <c r="DU228" s="132"/>
      <c r="DV228" s="132"/>
      <c r="DW228" s="132"/>
      <c r="DX228" s="132"/>
      <c r="DY228" s="132"/>
      <c r="DZ228" s="132"/>
      <c r="EA228" s="132"/>
      <c r="EB228" s="132"/>
      <c r="EC228" s="132"/>
      <c r="ED228" s="132"/>
      <c r="EE228" s="132"/>
      <c r="EF228" s="132"/>
      <c r="EG228" s="132"/>
      <c r="EH228" s="132"/>
      <c r="EI228" s="132"/>
      <c r="EJ228" s="132"/>
      <c r="EK228" s="132"/>
      <c r="EL228" s="132"/>
      <c r="EM228" s="132"/>
      <c r="EN228" s="132"/>
      <c r="EO228" s="132"/>
      <c r="EP228" s="132"/>
      <c r="EQ228" s="132"/>
      <c r="ER228" s="132"/>
      <c r="ES228" s="132"/>
      <c r="ET228" s="11"/>
      <c r="EU228" s="11"/>
      <c r="EV228" s="11"/>
      <c r="EW228" s="11"/>
      <c r="EX228" s="11"/>
      <c r="EY228" s="11"/>
      <c r="EZ228" s="11"/>
      <c r="FA228" s="11"/>
      <c r="FB228" s="11"/>
      <c r="FC228" s="11"/>
      <c r="FD228" s="11"/>
      <c r="FE228" s="11"/>
      <c r="FF228" s="11"/>
      <c r="FG228" s="11"/>
      <c r="FH228" s="39">
        <f t="shared" si="50"/>
        <v>1077654.48</v>
      </c>
      <c r="FI228" s="33">
        <f t="shared" si="51"/>
        <v>3</v>
      </c>
      <c r="FJ228" s="84">
        <f t="shared" si="52"/>
        <v>359218.16</v>
      </c>
    </row>
    <row r="229" spans="1:166" ht="66.75" customHeight="1" x14ac:dyDescent="0.25">
      <c r="A229" s="79" t="e">
        <f>#REF!</f>
        <v>#REF!</v>
      </c>
      <c r="B229" s="75" t="e">
        <f>#REF!</f>
        <v>#REF!</v>
      </c>
      <c r="C229" s="75" t="e">
        <f>#REF!</f>
        <v>#REF!</v>
      </c>
      <c r="D229" s="75" t="e">
        <f>#REF!</f>
        <v>#REF!</v>
      </c>
      <c r="E229" s="30">
        <v>1</v>
      </c>
      <c r="F229" s="238">
        <v>0</v>
      </c>
      <c r="G229" s="241">
        <v>0</v>
      </c>
      <c r="H229" s="249">
        <v>0</v>
      </c>
      <c r="I229" s="249">
        <v>0</v>
      </c>
      <c r="J229" s="249">
        <v>0</v>
      </c>
      <c r="K229" s="249">
        <v>0</v>
      </c>
      <c r="L229" s="274"/>
      <c r="M229" s="274"/>
      <c r="N229" s="245"/>
      <c r="O229" s="113"/>
      <c r="P229" s="113"/>
      <c r="Q229" s="131"/>
      <c r="R229" s="131"/>
      <c r="S229" s="64"/>
      <c r="T229" s="113"/>
      <c r="U229" s="113"/>
      <c r="V229" s="113"/>
      <c r="W229" s="131"/>
      <c r="X229" s="131"/>
      <c r="Y229" s="11"/>
      <c r="Z229" s="113"/>
      <c r="AA229" s="113"/>
      <c r="AB229" s="113"/>
      <c r="AC229" s="52"/>
      <c r="AD229" s="52"/>
      <c r="AE229" s="79"/>
      <c r="AF229" s="118"/>
      <c r="AG229" s="144"/>
      <c r="AH229" s="113"/>
      <c r="AI229" s="11"/>
      <c r="AJ229" s="11"/>
      <c r="AK229" s="39"/>
      <c r="AL229" s="113"/>
      <c r="AM229" s="113"/>
      <c r="AN229" s="119"/>
      <c r="AO229" s="76"/>
      <c r="AP229" s="39"/>
      <c r="AQ229" s="39"/>
      <c r="AR229" s="275"/>
      <c r="AS229" s="113"/>
      <c r="AT229" s="119"/>
      <c r="AU229" s="62"/>
      <c r="AV229" s="62"/>
      <c r="AW229" s="31"/>
      <c r="AX229" s="116"/>
      <c r="AY229" s="194"/>
      <c r="AZ229" s="143"/>
      <c r="BA229" s="191"/>
      <c r="BB229" s="132"/>
      <c r="BC229" s="132"/>
      <c r="BD229" s="274"/>
      <c r="BE229" s="143"/>
      <c r="BF229" s="143"/>
      <c r="BG229" s="132"/>
      <c r="BH229" s="132"/>
      <c r="BI229" s="132"/>
      <c r="BJ229" s="143"/>
      <c r="BK229" s="143"/>
      <c r="BL229" s="143"/>
      <c r="BM229" s="132"/>
      <c r="BN229" s="132"/>
      <c r="BO229" s="132"/>
      <c r="BP229" s="143"/>
      <c r="BQ229" s="132"/>
      <c r="BR229" s="132"/>
      <c r="BS229" s="132"/>
      <c r="BT229" s="132"/>
      <c r="BU229" s="132"/>
      <c r="BV229" s="210"/>
      <c r="BW229" s="144"/>
      <c r="BX229" s="113"/>
      <c r="BY229" s="273"/>
      <c r="BZ229" s="273"/>
      <c r="CA229" s="132"/>
      <c r="CB229" s="274"/>
      <c r="CC229" s="144"/>
      <c r="CD229" s="274"/>
      <c r="CE229" s="132"/>
      <c r="CF229" s="132"/>
      <c r="CG229" s="36"/>
      <c r="CH229" s="210"/>
      <c r="CI229" s="219"/>
      <c r="CJ229" s="210"/>
      <c r="CK229" s="273"/>
      <c r="CL229" s="273"/>
      <c r="CM229" s="132"/>
      <c r="CN229" s="274"/>
      <c r="CO229" s="144"/>
      <c r="CP229" s="274"/>
      <c r="CQ229" s="132"/>
      <c r="CR229" s="132"/>
      <c r="CS229" s="132"/>
      <c r="CT229" s="274"/>
      <c r="CU229" s="144"/>
      <c r="CV229" s="274"/>
      <c r="CW229" s="132"/>
      <c r="CX229" s="132"/>
      <c r="CY229" s="132"/>
      <c r="CZ229" s="118"/>
      <c r="DA229" s="144"/>
      <c r="DB229" s="118"/>
      <c r="DC229" s="33"/>
      <c r="DD229" s="39"/>
      <c r="DE229" s="11"/>
      <c r="DF229" s="132"/>
      <c r="DG229" s="132"/>
      <c r="DH229" s="132"/>
      <c r="DI229" s="132"/>
      <c r="DJ229" s="132"/>
      <c r="DK229" s="132"/>
      <c r="DL229" s="132"/>
      <c r="DM229" s="132"/>
      <c r="DN229" s="132"/>
      <c r="DO229" s="132"/>
      <c r="DP229" s="132"/>
      <c r="DQ229" s="132"/>
      <c r="DR229" s="132"/>
      <c r="DS229" s="132"/>
      <c r="DT229" s="132"/>
      <c r="DU229" s="132"/>
      <c r="DV229" s="132"/>
      <c r="DW229" s="132"/>
      <c r="DX229" s="132"/>
      <c r="DY229" s="132"/>
      <c r="DZ229" s="132"/>
      <c r="EA229" s="132"/>
      <c r="EB229" s="132"/>
      <c r="EC229" s="132"/>
      <c r="ED229" s="132"/>
      <c r="EE229" s="132"/>
      <c r="EF229" s="132"/>
      <c r="EG229" s="132"/>
      <c r="EH229" s="132"/>
      <c r="EI229" s="132"/>
      <c r="EJ229" s="132"/>
      <c r="EK229" s="132"/>
      <c r="EL229" s="132"/>
      <c r="EM229" s="132"/>
      <c r="EN229" s="132"/>
      <c r="EO229" s="132"/>
      <c r="EP229" s="132"/>
      <c r="EQ229" s="132"/>
      <c r="ER229" s="132"/>
      <c r="ES229" s="132"/>
      <c r="ET229" s="11"/>
      <c r="EU229" s="11"/>
      <c r="EV229" s="11"/>
      <c r="EW229" s="11"/>
      <c r="EX229" s="11"/>
      <c r="EY229" s="11"/>
      <c r="EZ229" s="11"/>
      <c r="FA229" s="11"/>
      <c r="FB229" s="11"/>
      <c r="FC229" s="11"/>
      <c r="FD229" s="11"/>
      <c r="FE229" s="11"/>
      <c r="FF229" s="11"/>
      <c r="FG229" s="11"/>
      <c r="FH229" s="39">
        <f t="shared" si="50"/>
        <v>0</v>
      </c>
      <c r="FI229" s="33">
        <f t="shared" si="51"/>
        <v>0</v>
      </c>
      <c r="FJ229" s="84" t="str">
        <f t="shared" si="52"/>
        <v xml:space="preserve"> </v>
      </c>
    </row>
    <row r="230" spans="1:166" ht="62.25" customHeight="1" x14ac:dyDescent="0.25">
      <c r="A230" s="79" t="e">
        <f>#REF!</f>
        <v>#REF!</v>
      </c>
      <c r="B230" s="75" t="e">
        <f>#REF!</f>
        <v>#REF!</v>
      </c>
      <c r="C230" s="75" t="e">
        <f>#REF!</f>
        <v>#REF!</v>
      </c>
      <c r="D230" s="75" t="e">
        <f>#REF!</f>
        <v>#REF!</v>
      </c>
      <c r="E230" s="30">
        <v>1</v>
      </c>
      <c r="F230" s="238">
        <v>0</v>
      </c>
      <c r="G230" s="241">
        <v>0</v>
      </c>
      <c r="H230" s="249">
        <v>0</v>
      </c>
      <c r="I230" s="249">
        <v>0</v>
      </c>
      <c r="J230" s="249">
        <v>0</v>
      </c>
      <c r="K230" s="249">
        <v>0</v>
      </c>
      <c r="L230" s="274"/>
      <c r="M230" s="274"/>
      <c r="N230" s="245"/>
      <c r="O230" s="113"/>
      <c r="P230" s="113"/>
      <c r="Q230" s="131"/>
      <c r="R230" s="131"/>
      <c r="S230" s="64"/>
      <c r="T230" s="113"/>
      <c r="U230" s="113"/>
      <c r="V230" s="113"/>
      <c r="W230" s="131"/>
      <c r="X230" s="131"/>
      <c r="Y230" s="11"/>
      <c r="Z230" s="113"/>
      <c r="AA230" s="113"/>
      <c r="AB230" s="113"/>
      <c r="AC230" s="52"/>
      <c r="AD230" s="52"/>
      <c r="AE230" s="11"/>
      <c r="AF230" s="118"/>
      <c r="AG230" s="144"/>
      <c r="AH230" s="113"/>
      <c r="AI230" s="11"/>
      <c r="AJ230" s="11"/>
      <c r="AK230" s="39"/>
      <c r="AL230" s="113"/>
      <c r="AM230" s="113"/>
      <c r="AN230" s="117"/>
      <c r="AO230" s="76"/>
      <c r="AP230" s="39"/>
      <c r="AQ230" s="39"/>
      <c r="AR230" s="275">
        <f>208800*5</f>
        <v>1044000</v>
      </c>
      <c r="AS230" s="113">
        <f>+AR230*0.19</f>
        <v>198360</v>
      </c>
      <c r="AT230" s="119">
        <f>+AR230+AS230</f>
        <v>1242360</v>
      </c>
      <c r="AU230" s="62" t="s">
        <v>109</v>
      </c>
      <c r="AV230" s="62" t="s">
        <v>35</v>
      </c>
      <c r="AW230" s="31"/>
      <c r="AX230" s="116"/>
      <c r="AY230" s="194"/>
      <c r="AZ230" s="143"/>
      <c r="BA230" s="191"/>
      <c r="BB230" s="132"/>
      <c r="BC230" s="132"/>
      <c r="BD230" s="274"/>
      <c r="BE230" s="143"/>
      <c r="BF230" s="143"/>
      <c r="BG230" s="132"/>
      <c r="BH230" s="132"/>
      <c r="BI230" s="132"/>
      <c r="BJ230" s="143"/>
      <c r="BK230" s="143"/>
      <c r="BL230" s="143"/>
      <c r="BM230" s="132"/>
      <c r="BN230" s="132"/>
      <c r="BO230" s="132"/>
      <c r="BP230" s="143"/>
      <c r="BQ230" s="132"/>
      <c r="BR230" s="132"/>
      <c r="BS230" s="132"/>
      <c r="BT230" s="132"/>
      <c r="BU230" s="132"/>
      <c r="BV230" s="210"/>
      <c r="BW230" s="144"/>
      <c r="BX230" s="113"/>
      <c r="BY230" s="273"/>
      <c r="BZ230" s="273"/>
      <c r="CA230" s="132"/>
      <c r="CB230" s="274"/>
      <c r="CC230" s="144"/>
      <c r="CD230" s="274"/>
      <c r="CE230" s="132"/>
      <c r="CF230" s="132"/>
      <c r="CG230" s="36"/>
      <c r="CH230" s="210"/>
      <c r="CI230" s="219"/>
      <c r="CJ230" s="210"/>
      <c r="CK230" s="273"/>
      <c r="CL230" s="273"/>
      <c r="CM230" s="132"/>
      <c r="CN230" s="274"/>
      <c r="CO230" s="144"/>
      <c r="CP230" s="274"/>
      <c r="CQ230" s="132"/>
      <c r="CR230" s="132"/>
      <c r="CS230" s="132"/>
      <c r="CT230" s="274"/>
      <c r="CU230" s="144"/>
      <c r="CV230" s="274"/>
      <c r="CW230" s="132"/>
      <c r="CX230" s="132"/>
      <c r="CY230" s="132"/>
      <c r="CZ230" s="118"/>
      <c r="DA230" s="144"/>
      <c r="DB230" s="118"/>
      <c r="DC230" s="33"/>
      <c r="DD230" s="39"/>
      <c r="DE230" s="11"/>
      <c r="DF230" s="132"/>
      <c r="DG230" s="132"/>
      <c r="DH230" s="132"/>
      <c r="DI230" s="132"/>
      <c r="DJ230" s="132"/>
      <c r="DK230" s="132"/>
      <c r="DL230" s="132"/>
      <c r="DM230" s="132"/>
      <c r="DN230" s="132"/>
      <c r="DO230" s="132"/>
      <c r="DP230" s="132"/>
      <c r="DQ230" s="132"/>
      <c r="DR230" s="132"/>
      <c r="DS230" s="132"/>
      <c r="DT230" s="132"/>
      <c r="DU230" s="132"/>
      <c r="DV230" s="132"/>
      <c r="DW230" s="132"/>
      <c r="DX230" s="132"/>
      <c r="DY230" s="132"/>
      <c r="DZ230" s="132"/>
      <c r="EA230" s="132"/>
      <c r="EB230" s="132"/>
      <c r="EC230" s="132"/>
      <c r="ED230" s="132"/>
      <c r="EE230" s="132"/>
      <c r="EF230" s="132"/>
      <c r="EG230" s="132"/>
      <c r="EH230" s="132"/>
      <c r="EI230" s="132"/>
      <c r="EJ230" s="132"/>
      <c r="EK230" s="132"/>
      <c r="EL230" s="132"/>
      <c r="EM230" s="132"/>
      <c r="EN230" s="132"/>
      <c r="EO230" s="132"/>
      <c r="EP230" s="132"/>
      <c r="EQ230" s="132"/>
      <c r="ER230" s="132"/>
      <c r="ES230" s="132"/>
      <c r="ET230" s="11"/>
      <c r="EU230" s="11"/>
      <c r="EV230" s="11"/>
      <c r="EW230" s="11"/>
      <c r="EX230" s="11"/>
      <c r="EY230" s="11"/>
      <c r="EZ230" s="11"/>
      <c r="FA230" s="11"/>
      <c r="FB230" s="11"/>
      <c r="FC230" s="11"/>
      <c r="FD230" s="11"/>
      <c r="FE230" s="11"/>
      <c r="FF230" s="11"/>
      <c r="FG230" s="11"/>
      <c r="FH230" s="39">
        <f t="shared" si="50"/>
        <v>1242360</v>
      </c>
      <c r="FI230" s="33">
        <f t="shared" si="51"/>
        <v>1</v>
      </c>
      <c r="FJ230" s="84">
        <f t="shared" si="52"/>
        <v>1242360</v>
      </c>
    </row>
    <row r="231" spans="1:166" ht="27" x14ac:dyDescent="0.25">
      <c r="A231" s="79" t="e">
        <f>#REF!</f>
        <v>#REF!</v>
      </c>
      <c r="B231" s="75" t="e">
        <f>#REF!</f>
        <v>#REF!</v>
      </c>
      <c r="C231" s="75" t="e">
        <f>#REF!</f>
        <v>#REF!</v>
      </c>
      <c r="D231" s="75" t="e">
        <f>#REF!</f>
        <v>#REF!</v>
      </c>
      <c r="E231" s="30">
        <v>1</v>
      </c>
      <c r="F231" s="238">
        <v>893823.28</v>
      </c>
      <c r="G231" s="241">
        <v>893809</v>
      </c>
      <c r="H231" s="249">
        <v>882407.35462600004</v>
      </c>
      <c r="I231" s="249">
        <v>0</v>
      </c>
      <c r="J231" s="249">
        <v>830483.15</v>
      </c>
      <c r="K231" s="249">
        <v>809200</v>
      </c>
      <c r="L231" s="274">
        <f>AVERAGE(F231,H231,J231)</f>
        <v>868904.59487533337</v>
      </c>
      <c r="M231" s="274">
        <f>AVERAGE(G231,K231)*E1</f>
        <v>877049.63500000001</v>
      </c>
      <c r="N231" s="245"/>
      <c r="O231" s="113"/>
      <c r="P231" s="113"/>
      <c r="Q231" s="131"/>
      <c r="R231" s="131"/>
      <c r="S231" s="64"/>
      <c r="T231" s="113"/>
      <c r="U231" s="113"/>
      <c r="V231" s="113"/>
      <c r="W231" s="131"/>
      <c r="X231" s="131"/>
      <c r="Y231" s="11"/>
      <c r="Z231" s="113"/>
      <c r="AA231" s="113"/>
      <c r="AB231" s="113"/>
      <c r="AC231" s="52"/>
      <c r="AD231" s="52"/>
      <c r="AE231" s="11"/>
      <c r="AF231" s="118"/>
      <c r="AG231" s="144"/>
      <c r="AH231" s="113"/>
      <c r="AI231" s="11"/>
      <c r="AJ231" s="11"/>
      <c r="AK231" s="39"/>
      <c r="AL231" s="113"/>
      <c r="AM231" s="113"/>
      <c r="AN231" s="119"/>
      <c r="AO231" s="76"/>
      <c r="AP231" s="39"/>
      <c r="AQ231" s="39"/>
      <c r="AR231" s="275">
        <v>720000</v>
      </c>
      <c r="AS231" s="113">
        <f>+AR231*0.19</f>
        <v>136800</v>
      </c>
      <c r="AT231" s="119">
        <f>+AR231+AS231</f>
        <v>856800</v>
      </c>
      <c r="AU231" s="62" t="s">
        <v>286</v>
      </c>
      <c r="AV231" s="62" t="s">
        <v>35</v>
      </c>
      <c r="AW231" s="31"/>
      <c r="AX231" s="116"/>
      <c r="AY231" s="116"/>
      <c r="AZ231" s="143"/>
      <c r="BA231" s="191"/>
      <c r="BB231" s="132"/>
      <c r="BC231" s="132"/>
      <c r="BD231" s="274"/>
      <c r="BE231" s="143"/>
      <c r="BF231" s="143"/>
      <c r="BG231" s="132"/>
      <c r="BH231" s="132"/>
      <c r="BI231" s="132"/>
      <c r="BJ231" s="143"/>
      <c r="BK231" s="143"/>
      <c r="BL231" s="143"/>
      <c r="BM231" s="132"/>
      <c r="BN231" s="132"/>
      <c r="BO231" s="132"/>
      <c r="BP231" s="143"/>
      <c r="BQ231" s="132"/>
      <c r="BR231" s="132"/>
      <c r="BS231" s="132"/>
      <c r="BT231" s="132"/>
      <c r="BU231" s="132"/>
      <c r="BV231" s="267">
        <v>1128700</v>
      </c>
      <c r="BW231" s="144">
        <f>BV231*19%</f>
        <v>214453</v>
      </c>
      <c r="BX231" s="113">
        <f>+BV231+BW231</f>
        <v>1343153</v>
      </c>
      <c r="BY231" s="264" t="s">
        <v>287</v>
      </c>
      <c r="BZ231" s="264" t="s">
        <v>237</v>
      </c>
      <c r="CA231" s="132"/>
      <c r="CB231" s="274"/>
      <c r="CC231" s="144"/>
      <c r="CD231" s="274"/>
      <c r="CE231" s="132"/>
      <c r="CF231" s="132"/>
      <c r="CG231" s="36"/>
      <c r="CH231" s="267"/>
      <c r="CI231" s="270">
        <f>+CH231*0.19</f>
        <v>0</v>
      </c>
      <c r="CJ231" s="267">
        <f>+CH231+CI231</f>
        <v>0</v>
      </c>
      <c r="CK231" s="264"/>
      <c r="CL231" s="264"/>
      <c r="CM231" s="132"/>
      <c r="CN231" s="274"/>
      <c r="CO231" s="144"/>
      <c r="CP231" s="274"/>
      <c r="CQ231" s="132"/>
      <c r="CR231" s="132"/>
      <c r="CS231" s="132"/>
      <c r="CT231" s="274"/>
      <c r="CU231" s="144"/>
      <c r="CV231" s="274"/>
      <c r="CW231" s="132"/>
      <c r="CX231" s="132"/>
      <c r="CY231" s="132"/>
      <c r="CZ231" s="118">
        <v>581034</v>
      </c>
      <c r="DA231" s="144">
        <f>+CZ231*0.19</f>
        <v>110396.46</v>
      </c>
      <c r="DB231" s="118">
        <f>+CZ231+DA231</f>
        <v>691430.46</v>
      </c>
      <c r="DC231" s="33" t="s">
        <v>288</v>
      </c>
      <c r="DD231" s="39" t="s">
        <v>37</v>
      </c>
      <c r="DE231" s="11" t="s">
        <v>289</v>
      </c>
      <c r="DF231" s="132"/>
      <c r="DG231" s="132"/>
      <c r="DH231" s="132"/>
      <c r="DI231" s="132"/>
      <c r="DJ231" s="132"/>
      <c r="DK231" s="132"/>
      <c r="DL231" s="132"/>
      <c r="DM231" s="132"/>
      <c r="DN231" s="132"/>
      <c r="DO231" s="132"/>
      <c r="DP231" s="132"/>
      <c r="DQ231" s="132"/>
      <c r="DR231" s="132"/>
      <c r="DS231" s="132"/>
      <c r="DT231" s="132"/>
      <c r="DU231" s="132"/>
      <c r="DV231" s="132"/>
      <c r="DW231" s="132"/>
      <c r="DX231" s="132"/>
      <c r="DY231" s="132"/>
      <c r="DZ231" s="132"/>
      <c r="EA231" s="132"/>
      <c r="EB231" s="132"/>
      <c r="EC231" s="132"/>
      <c r="ED231" s="132"/>
      <c r="EE231" s="132"/>
      <c r="EF231" s="132"/>
      <c r="EG231" s="132"/>
      <c r="EH231" s="132"/>
      <c r="EI231" s="132"/>
      <c r="EJ231" s="132"/>
      <c r="EK231" s="132"/>
      <c r="EL231" s="132"/>
      <c r="EM231" s="132"/>
      <c r="EN231" s="132"/>
      <c r="EO231" s="132"/>
      <c r="EP231" s="132"/>
      <c r="EQ231" s="132"/>
      <c r="ER231" s="132"/>
      <c r="ES231" s="132"/>
      <c r="ET231" s="11"/>
      <c r="EU231" s="11"/>
      <c r="EV231" s="11"/>
      <c r="EW231" s="11"/>
      <c r="EX231" s="11"/>
      <c r="EY231" s="11"/>
      <c r="EZ231" s="11"/>
      <c r="FA231" s="11"/>
      <c r="FB231" s="11"/>
      <c r="FC231" s="11"/>
      <c r="FD231" s="11"/>
      <c r="FE231" s="11"/>
      <c r="FF231" s="11"/>
      <c r="FG231" s="11"/>
      <c r="FH231" s="39">
        <f t="shared" si="50"/>
        <v>3768433.0949999997</v>
      </c>
      <c r="FI231" s="33">
        <f t="shared" si="51"/>
        <v>4</v>
      </c>
      <c r="FJ231" s="84">
        <f t="shared" si="52"/>
        <v>942108.27374999993</v>
      </c>
    </row>
    <row r="232" spans="1:166" ht="25.5" x14ac:dyDescent="0.25">
      <c r="A232" s="79" t="e">
        <f>#REF!</f>
        <v>#REF!</v>
      </c>
      <c r="B232" s="75" t="e">
        <f>#REF!</f>
        <v>#REF!</v>
      </c>
      <c r="C232" s="75" t="e">
        <f>#REF!</f>
        <v>#REF!</v>
      </c>
      <c r="D232" s="75" t="e">
        <f>#REF!</f>
        <v>#REF!</v>
      </c>
      <c r="E232" s="30">
        <v>1</v>
      </c>
      <c r="F232" s="238">
        <v>0</v>
      </c>
      <c r="G232" s="241">
        <v>0</v>
      </c>
      <c r="H232" s="249">
        <v>1436449</v>
      </c>
      <c r="I232" s="249">
        <v>0</v>
      </c>
      <c r="J232" s="249">
        <v>0</v>
      </c>
      <c r="K232" s="249">
        <v>0</v>
      </c>
      <c r="L232" s="274">
        <f>H232</f>
        <v>1436449</v>
      </c>
      <c r="M232" s="274"/>
      <c r="N232" s="245"/>
      <c r="O232" s="113"/>
      <c r="P232" s="113"/>
      <c r="Q232" s="131"/>
      <c r="R232" s="131"/>
      <c r="S232" s="64"/>
      <c r="T232" s="113"/>
      <c r="U232" s="113"/>
      <c r="V232" s="113"/>
      <c r="W232" s="131"/>
      <c r="X232" s="131"/>
      <c r="Y232" s="11"/>
      <c r="Z232" s="113"/>
      <c r="AA232" s="113"/>
      <c r="AB232" s="113"/>
      <c r="AC232" s="52"/>
      <c r="AD232" s="52"/>
      <c r="AE232" s="11"/>
      <c r="AF232" s="118"/>
      <c r="AG232" s="144"/>
      <c r="AH232" s="113"/>
      <c r="AI232" s="11"/>
      <c r="AJ232" s="11"/>
      <c r="AK232" s="39"/>
      <c r="AL232" s="113"/>
      <c r="AM232" s="113"/>
      <c r="AN232" s="119"/>
      <c r="AO232" s="76"/>
      <c r="AP232" s="39"/>
      <c r="AQ232" s="39"/>
      <c r="AR232" s="275">
        <v>223200</v>
      </c>
      <c r="AS232" s="113">
        <f>+AR232*0.19</f>
        <v>42408</v>
      </c>
      <c r="AT232" s="119">
        <f>+AR232+AS232</f>
        <v>265608</v>
      </c>
      <c r="AU232" s="62" t="s">
        <v>150</v>
      </c>
      <c r="AV232" s="62" t="s">
        <v>35</v>
      </c>
      <c r="AW232" s="31"/>
      <c r="AX232" s="116"/>
      <c r="AY232" s="196"/>
      <c r="AZ232" s="143"/>
      <c r="BA232" s="191"/>
      <c r="BB232" s="132"/>
      <c r="BC232" s="132"/>
      <c r="BD232" s="274"/>
      <c r="BE232" s="143"/>
      <c r="BF232" s="143"/>
      <c r="BG232" s="132"/>
      <c r="BH232" s="132"/>
      <c r="BI232" s="132"/>
      <c r="BJ232" s="143"/>
      <c r="BK232" s="143"/>
      <c r="BL232" s="143"/>
      <c r="BM232" s="132"/>
      <c r="BN232" s="132"/>
      <c r="BO232" s="132"/>
      <c r="BP232" s="143"/>
      <c r="BQ232" s="132"/>
      <c r="BR232" s="132"/>
      <c r="BS232" s="132"/>
      <c r="BT232" s="132"/>
      <c r="BU232" s="132"/>
      <c r="BV232" s="210"/>
      <c r="BW232" s="144"/>
      <c r="BX232" s="113"/>
      <c r="BY232" s="273"/>
      <c r="BZ232" s="273"/>
      <c r="CA232" s="132"/>
      <c r="CB232" s="274"/>
      <c r="CC232" s="144"/>
      <c r="CD232" s="274"/>
      <c r="CE232" s="132"/>
      <c r="CF232" s="132"/>
      <c r="CG232" s="36"/>
      <c r="CH232" s="210"/>
      <c r="CI232" s="219"/>
      <c r="CJ232" s="210"/>
      <c r="CK232" s="273"/>
      <c r="CL232" s="273"/>
      <c r="CM232" s="132"/>
      <c r="CN232" s="274"/>
      <c r="CO232" s="144"/>
      <c r="CP232" s="274"/>
      <c r="CQ232" s="132"/>
      <c r="CR232" s="132"/>
      <c r="CS232" s="132"/>
      <c r="CT232" s="274"/>
      <c r="CU232" s="144"/>
      <c r="CV232" s="274"/>
      <c r="CW232" s="132"/>
      <c r="CX232" s="132"/>
      <c r="CY232" s="132"/>
      <c r="CZ232" s="118"/>
      <c r="DA232" s="144"/>
      <c r="DB232" s="118"/>
      <c r="DC232" s="33"/>
      <c r="DD232" s="39"/>
      <c r="DE232" s="11"/>
      <c r="DF232" s="132"/>
      <c r="DG232" s="132"/>
      <c r="DH232" s="132"/>
      <c r="DI232" s="132"/>
      <c r="DJ232" s="132"/>
      <c r="DK232" s="132"/>
      <c r="DL232" s="132"/>
      <c r="DM232" s="132"/>
      <c r="DN232" s="132"/>
      <c r="DO232" s="132"/>
      <c r="DP232" s="132"/>
      <c r="DQ232" s="132"/>
      <c r="DR232" s="132"/>
      <c r="DS232" s="132"/>
      <c r="DT232" s="132"/>
      <c r="DU232" s="132"/>
      <c r="DV232" s="132"/>
      <c r="DW232" s="132"/>
      <c r="DX232" s="132"/>
      <c r="DY232" s="132"/>
      <c r="DZ232" s="132"/>
      <c r="EA232" s="132"/>
      <c r="EB232" s="132"/>
      <c r="EC232" s="132"/>
      <c r="ED232" s="132"/>
      <c r="EE232" s="132"/>
      <c r="EF232" s="132"/>
      <c r="EG232" s="132"/>
      <c r="EH232" s="132"/>
      <c r="EI232" s="132"/>
      <c r="EJ232" s="132"/>
      <c r="EK232" s="132"/>
      <c r="EL232" s="132"/>
      <c r="EM232" s="132"/>
      <c r="EN232" s="132"/>
      <c r="EO232" s="132"/>
      <c r="EP232" s="132"/>
      <c r="EQ232" s="132"/>
      <c r="ER232" s="132"/>
      <c r="ES232" s="132"/>
      <c r="ET232" s="11"/>
      <c r="EU232" s="11"/>
      <c r="EV232" s="11"/>
      <c r="EW232" s="11"/>
      <c r="EX232" s="11"/>
      <c r="EY232" s="11"/>
      <c r="EZ232" s="11"/>
      <c r="FA232" s="11"/>
      <c r="FB232" s="11"/>
      <c r="FC232" s="11"/>
      <c r="FD232" s="11"/>
      <c r="FE232" s="11"/>
      <c r="FF232" s="11"/>
      <c r="FG232" s="11"/>
      <c r="FH232" s="39">
        <f t="shared" si="50"/>
        <v>265608</v>
      </c>
      <c r="FI232" s="33">
        <f t="shared" si="51"/>
        <v>1</v>
      </c>
      <c r="FJ232" s="84">
        <f t="shared" si="52"/>
        <v>265608</v>
      </c>
    </row>
    <row r="233" spans="1:166" ht="27" x14ac:dyDescent="0.25">
      <c r="A233" s="79" t="e">
        <f>#REF!</f>
        <v>#REF!</v>
      </c>
      <c r="B233" s="75" t="e">
        <f>#REF!</f>
        <v>#REF!</v>
      </c>
      <c r="C233" s="75" t="e">
        <f>#REF!</f>
        <v>#REF!</v>
      </c>
      <c r="D233" s="75" t="e">
        <f>#REF!</f>
        <v>#REF!</v>
      </c>
      <c r="E233" s="30">
        <v>1</v>
      </c>
      <c r="F233" s="238">
        <v>0</v>
      </c>
      <c r="G233" s="241">
        <v>0</v>
      </c>
      <c r="H233" s="249">
        <v>0</v>
      </c>
      <c r="I233" s="249">
        <v>0</v>
      </c>
      <c r="J233" s="249">
        <v>0</v>
      </c>
      <c r="K233" s="249">
        <v>0</v>
      </c>
      <c r="L233" s="274"/>
      <c r="M233" s="274"/>
      <c r="N233" s="245"/>
      <c r="O233" s="113"/>
      <c r="P233" s="113"/>
      <c r="Q233" s="131"/>
      <c r="R233" s="131"/>
      <c r="S233" s="64"/>
      <c r="T233" s="113"/>
      <c r="U233" s="113"/>
      <c r="V233" s="113"/>
      <c r="W233" s="131"/>
      <c r="X233" s="131"/>
      <c r="Y233" s="11"/>
      <c r="Z233" s="113"/>
      <c r="AA233" s="113"/>
      <c r="AB233" s="113"/>
      <c r="AC233" s="52"/>
      <c r="AD233" s="52"/>
      <c r="AE233" s="11"/>
      <c r="AF233" s="113"/>
      <c r="AG233" s="144"/>
      <c r="AH233" s="113"/>
      <c r="AI233" s="11"/>
      <c r="AJ233" s="11"/>
      <c r="AK233" s="39"/>
      <c r="AL233" s="113"/>
      <c r="AM233" s="113"/>
      <c r="AN233" s="119"/>
      <c r="AO233" s="76"/>
      <c r="AP233" s="39"/>
      <c r="AQ233" s="39"/>
      <c r="AR233" s="275"/>
      <c r="AS233" s="155"/>
      <c r="AT233" s="157"/>
      <c r="AU233" s="62"/>
      <c r="AV233" s="62"/>
      <c r="AW233" s="31"/>
      <c r="AX233" s="116"/>
      <c r="AY233" s="194"/>
      <c r="AZ233" s="143"/>
      <c r="BA233" s="191"/>
      <c r="BB233" s="132"/>
      <c r="BC233" s="132"/>
      <c r="BD233" s="275"/>
      <c r="BE233" s="143"/>
      <c r="BF233" s="143"/>
      <c r="BG233" s="132"/>
      <c r="BH233" s="132"/>
      <c r="BI233" s="132"/>
      <c r="BJ233" s="143"/>
      <c r="BK233" s="143"/>
      <c r="BL233" s="143"/>
      <c r="BM233" s="132"/>
      <c r="BN233" s="132"/>
      <c r="BO233" s="132"/>
      <c r="BP233" s="143"/>
      <c r="BQ233" s="132"/>
      <c r="BR233" s="132"/>
      <c r="BS233" s="132"/>
      <c r="BT233" s="132"/>
      <c r="BU233" s="132"/>
      <c r="BV233" s="267">
        <v>1960062</v>
      </c>
      <c r="BW233" s="144">
        <f>BV233*19%</f>
        <v>372411.78</v>
      </c>
      <c r="BX233" s="113">
        <f>+BV233+BW233</f>
        <v>2332473.7800000003</v>
      </c>
      <c r="BY233" s="264" t="s">
        <v>290</v>
      </c>
      <c r="BZ233" s="264" t="s">
        <v>291</v>
      </c>
      <c r="CA233" s="132"/>
      <c r="CB233" s="275"/>
      <c r="CC233" s="143"/>
      <c r="CD233" s="275"/>
      <c r="CE233" s="132"/>
      <c r="CF233" s="132"/>
      <c r="CG233" s="36"/>
      <c r="CH233" s="267"/>
      <c r="CI233" s="265"/>
      <c r="CJ233" s="263"/>
      <c r="CK233" s="264"/>
      <c r="CL233" s="264"/>
      <c r="CM233" s="132"/>
      <c r="CN233" s="275"/>
      <c r="CO233" s="143"/>
      <c r="CP233" s="275"/>
      <c r="CQ233" s="132"/>
      <c r="CR233" s="132"/>
      <c r="CS233" s="132"/>
      <c r="CT233" s="275"/>
      <c r="CU233" s="143"/>
      <c r="CV233" s="275"/>
      <c r="CW233" s="132"/>
      <c r="CX233" s="132"/>
      <c r="CY233" s="132"/>
      <c r="CZ233" s="113"/>
      <c r="DA233" s="143"/>
      <c r="DB233" s="113"/>
      <c r="DC233" s="33"/>
      <c r="DD233" s="39"/>
      <c r="DE233" s="11"/>
      <c r="DF233" s="132"/>
      <c r="DG233" s="132"/>
      <c r="DH233" s="132"/>
      <c r="DI233" s="132"/>
      <c r="DJ233" s="132"/>
      <c r="DK233" s="132"/>
      <c r="DL233" s="132"/>
      <c r="DM233" s="132"/>
      <c r="DN233" s="132"/>
      <c r="DO233" s="132"/>
      <c r="DP233" s="132"/>
      <c r="DQ233" s="132"/>
      <c r="DR233" s="132"/>
      <c r="DS233" s="132"/>
      <c r="DT233" s="132"/>
      <c r="DU233" s="132"/>
      <c r="DV233" s="132"/>
      <c r="DW233" s="132"/>
      <c r="DX233" s="132"/>
      <c r="DY233" s="132"/>
      <c r="DZ233" s="132"/>
      <c r="EA233" s="132"/>
      <c r="EB233" s="132"/>
      <c r="EC233" s="132"/>
      <c r="ED233" s="132"/>
      <c r="EE233" s="132"/>
      <c r="EF233" s="132"/>
      <c r="EG233" s="132"/>
      <c r="EH233" s="132"/>
      <c r="EI233" s="132"/>
      <c r="EJ233" s="132"/>
      <c r="EK233" s="132"/>
      <c r="EL233" s="132"/>
      <c r="EM233" s="132"/>
      <c r="EN233" s="132"/>
      <c r="EO233" s="132"/>
      <c r="EP233" s="132"/>
      <c r="EQ233" s="132"/>
      <c r="ER233" s="132"/>
      <c r="ES233" s="132"/>
      <c r="ET233" s="11"/>
      <c r="EU233" s="11"/>
      <c r="EV233" s="11"/>
      <c r="EW233" s="11"/>
      <c r="EX233" s="11"/>
      <c r="EY233" s="11"/>
      <c r="EZ233" s="11"/>
      <c r="FA233" s="11"/>
      <c r="FB233" s="11"/>
      <c r="FC233" s="11"/>
      <c r="FD233" s="11"/>
      <c r="FE233" s="11"/>
      <c r="FF233" s="275"/>
      <c r="FG233" s="71"/>
      <c r="FH233" s="39">
        <f t="shared" si="50"/>
        <v>2332473.7800000003</v>
      </c>
      <c r="FI233" s="33">
        <f t="shared" si="51"/>
        <v>1</v>
      </c>
      <c r="FJ233" s="84">
        <f t="shared" si="52"/>
        <v>2332473.7800000003</v>
      </c>
    </row>
    <row r="234" spans="1:166" ht="40.5" x14ac:dyDescent="0.25">
      <c r="A234" s="79" t="e">
        <f>#REF!</f>
        <v>#REF!</v>
      </c>
      <c r="B234" s="75" t="e">
        <f>#REF!</f>
        <v>#REF!</v>
      </c>
      <c r="C234" s="75" t="e">
        <f>#REF!</f>
        <v>#REF!</v>
      </c>
      <c r="D234" s="75" t="e">
        <f>#REF!</f>
        <v>#REF!</v>
      </c>
      <c r="E234" s="30">
        <v>1</v>
      </c>
      <c r="F234" s="238">
        <v>636751.54666666675</v>
      </c>
      <c r="G234" s="241">
        <v>617610</v>
      </c>
      <c r="H234" s="249">
        <v>553873.35411955556</v>
      </c>
      <c r="I234" s="249">
        <v>0</v>
      </c>
      <c r="J234" s="249">
        <v>525361.33880160004</v>
      </c>
      <c r="K234" s="249">
        <v>464100</v>
      </c>
      <c r="L234" s="274">
        <f>AVERAGE(F234,H234,J234)</f>
        <v>571995.41319594078</v>
      </c>
      <c r="M234" s="274">
        <f>AVERAGE(G234,K234)*E1</f>
        <v>557080.65</v>
      </c>
      <c r="N234" s="245"/>
      <c r="O234" s="113"/>
      <c r="P234" s="113"/>
      <c r="Q234" s="131"/>
      <c r="R234" s="131"/>
      <c r="S234" s="64"/>
      <c r="T234" s="113"/>
      <c r="U234" s="117"/>
      <c r="V234" s="113"/>
      <c r="W234" s="131"/>
      <c r="X234" s="131"/>
      <c r="Y234" s="11"/>
      <c r="Z234" s="113"/>
      <c r="AA234" s="113"/>
      <c r="AB234" s="113"/>
      <c r="AC234" s="52"/>
      <c r="AD234" s="52"/>
      <c r="AE234" s="11"/>
      <c r="AF234" s="118"/>
      <c r="AG234" s="144"/>
      <c r="AH234" s="113"/>
      <c r="AI234" s="11"/>
      <c r="AJ234" s="11"/>
      <c r="AK234" s="39"/>
      <c r="AL234" s="113">
        <v>245000</v>
      </c>
      <c r="AM234" s="113">
        <f>+AL234*0.19</f>
        <v>46550</v>
      </c>
      <c r="AN234" s="119">
        <f>+AL234+AM234</f>
        <v>291550</v>
      </c>
      <c r="AO234" s="76" t="s">
        <v>49</v>
      </c>
      <c r="AP234" s="39" t="s">
        <v>45</v>
      </c>
      <c r="AQ234" s="39"/>
      <c r="AR234" s="275"/>
      <c r="AS234" s="155"/>
      <c r="AT234" s="157"/>
      <c r="AU234" s="62"/>
      <c r="AV234" s="62"/>
      <c r="AW234" s="31"/>
      <c r="AX234" s="116"/>
      <c r="AY234" s="194"/>
      <c r="AZ234" s="143"/>
      <c r="BA234" s="191"/>
      <c r="BB234" s="132"/>
      <c r="BC234" s="132"/>
      <c r="BD234" s="274"/>
      <c r="BE234" s="143"/>
      <c r="BF234" s="143"/>
      <c r="BG234" s="132"/>
      <c r="BH234" s="132"/>
      <c r="BI234" s="132"/>
      <c r="BJ234" s="143"/>
      <c r="BK234" s="143"/>
      <c r="BL234" s="143"/>
      <c r="BM234" s="132"/>
      <c r="BN234" s="132"/>
      <c r="BO234" s="132"/>
      <c r="BP234" s="143">
        <v>442375</v>
      </c>
      <c r="BQ234" s="144">
        <f>BP234*19%</f>
        <v>84051.25</v>
      </c>
      <c r="BR234" s="113">
        <f>+BP234+BQ234</f>
        <v>526426.25</v>
      </c>
      <c r="BS234" s="33" t="s">
        <v>157</v>
      </c>
      <c r="BT234" s="36" t="s">
        <v>292</v>
      </c>
      <c r="BU234" s="5" t="s">
        <v>293</v>
      </c>
      <c r="BV234" s="263">
        <v>394000</v>
      </c>
      <c r="BW234" s="144">
        <f>BV234*19%</f>
        <v>74860</v>
      </c>
      <c r="BX234" s="113">
        <f>+BV234+BW234</f>
        <v>468860</v>
      </c>
      <c r="BY234" s="264" t="s">
        <v>40</v>
      </c>
      <c r="BZ234" s="264" t="s">
        <v>126</v>
      </c>
      <c r="CA234" s="132"/>
      <c r="CB234" s="274"/>
      <c r="CC234" s="144"/>
      <c r="CD234" s="274"/>
      <c r="CE234" s="132"/>
      <c r="CF234" s="132"/>
      <c r="CG234" s="36"/>
      <c r="CH234" s="263">
        <v>409760</v>
      </c>
      <c r="CI234" s="265">
        <f>+CH234*0.19</f>
        <v>77854.399999999994</v>
      </c>
      <c r="CJ234" s="263">
        <f>+CH234+CI234</f>
        <v>487614.4</v>
      </c>
      <c r="CK234" s="264" t="s">
        <v>40</v>
      </c>
      <c r="CL234" s="264" t="s">
        <v>126</v>
      </c>
      <c r="CM234" s="132"/>
      <c r="CN234" s="274"/>
      <c r="CO234" s="144"/>
      <c r="CP234" s="274"/>
      <c r="CQ234" s="132"/>
      <c r="CR234" s="132"/>
      <c r="CS234" s="132"/>
      <c r="CT234" s="274"/>
      <c r="CU234" s="144"/>
      <c r="CV234" s="274"/>
      <c r="CW234" s="132"/>
      <c r="CX234" s="132"/>
      <c r="CY234" s="132"/>
      <c r="CZ234" s="118"/>
      <c r="DA234" s="144"/>
      <c r="DB234" s="118"/>
      <c r="DC234" s="33"/>
      <c r="DD234" s="39"/>
      <c r="DE234" s="11"/>
      <c r="DF234" s="132"/>
      <c r="DG234" s="132"/>
      <c r="DH234" s="132"/>
      <c r="DI234" s="132"/>
      <c r="DJ234" s="132"/>
      <c r="DK234" s="132"/>
      <c r="DL234" s="132"/>
      <c r="DM234" s="132"/>
      <c r="DN234" s="132"/>
      <c r="DO234" s="132"/>
      <c r="DP234" s="132"/>
      <c r="DQ234" s="132"/>
      <c r="DR234" s="132"/>
      <c r="DS234" s="132"/>
      <c r="DT234" s="132"/>
      <c r="DU234" s="132"/>
      <c r="DV234" s="132"/>
      <c r="DW234" s="132"/>
      <c r="DX234" s="132"/>
      <c r="DY234" s="132"/>
      <c r="DZ234" s="132"/>
      <c r="EA234" s="132"/>
      <c r="EB234" s="132"/>
      <c r="EC234" s="132"/>
      <c r="ED234" s="132"/>
      <c r="EE234" s="132"/>
      <c r="EF234" s="132"/>
      <c r="EG234" s="132"/>
      <c r="EH234" s="132"/>
      <c r="EI234" s="132"/>
      <c r="EJ234" s="132"/>
      <c r="EK234" s="132"/>
      <c r="EL234" s="132"/>
      <c r="EM234" s="132"/>
      <c r="EN234" s="132"/>
      <c r="EO234" s="132"/>
      <c r="EP234" s="132"/>
      <c r="EQ234" s="132"/>
      <c r="ER234" s="132"/>
      <c r="ES234" s="132"/>
      <c r="ET234" s="11"/>
      <c r="EU234" s="11"/>
      <c r="EV234" s="11"/>
      <c r="EW234" s="11"/>
      <c r="EX234" s="11"/>
      <c r="EY234" s="11"/>
      <c r="EZ234" s="11"/>
      <c r="FA234" s="11"/>
      <c r="FB234" s="11"/>
      <c r="FC234" s="11"/>
      <c r="FD234" s="11"/>
      <c r="FE234" s="11"/>
      <c r="FF234" s="11"/>
      <c r="FG234" s="11"/>
      <c r="FH234" s="39">
        <f t="shared" si="50"/>
        <v>2331531.2999999998</v>
      </c>
      <c r="FI234" s="33">
        <f t="shared" si="51"/>
        <v>5</v>
      </c>
      <c r="FJ234" s="84">
        <f t="shared" si="52"/>
        <v>466306.25999999995</v>
      </c>
    </row>
    <row r="235" spans="1:166" ht="24.75" customHeight="1" x14ac:dyDescent="0.25">
      <c r="A235" s="79" t="e">
        <f>#REF!</f>
        <v>#REF!</v>
      </c>
      <c r="B235" s="75" t="e">
        <f>#REF!</f>
        <v>#REF!</v>
      </c>
      <c r="C235" s="75" t="e">
        <f>#REF!</f>
        <v>#REF!</v>
      </c>
      <c r="D235" s="75" t="e">
        <f>#REF!</f>
        <v>#REF!</v>
      </c>
      <c r="E235" s="30">
        <v>1</v>
      </c>
      <c r="F235" s="238">
        <v>522576.6</v>
      </c>
      <c r="G235" s="241">
        <v>506821</v>
      </c>
      <c r="H235" s="249">
        <v>722356.42533999996</v>
      </c>
      <c r="I235" s="249">
        <v>722330</v>
      </c>
      <c r="J235" s="249">
        <v>0</v>
      </c>
      <c r="K235" s="249">
        <v>0</v>
      </c>
      <c r="L235" s="274">
        <f>AVERAGE(F235,H235)</f>
        <v>622466.51266999997</v>
      </c>
      <c r="M235" s="274">
        <f>AVERAGE(G235,I235)*E1</f>
        <v>633012.76500000001</v>
      </c>
      <c r="N235" s="245"/>
      <c r="O235" s="113"/>
      <c r="P235" s="113"/>
      <c r="Q235" s="131"/>
      <c r="R235" s="131"/>
      <c r="S235" s="64"/>
      <c r="T235" s="113"/>
      <c r="U235" s="113"/>
      <c r="V235" s="113"/>
      <c r="W235" s="131"/>
      <c r="X235" s="131"/>
      <c r="Y235" s="11"/>
      <c r="Z235" s="113"/>
      <c r="AA235" s="113"/>
      <c r="AB235" s="113"/>
      <c r="AC235" s="52"/>
      <c r="AD235" s="52"/>
      <c r="AE235" s="11"/>
      <c r="AF235" s="118">
        <v>365000</v>
      </c>
      <c r="AG235" s="144">
        <f>AF235*19%</f>
        <v>69350</v>
      </c>
      <c r="AH235" s="113">
        <f>+AF235+AG235</f>
        <v>434350</v>
      </c>
      <c r="AI235" s="11"/>
      <c r="AJ235" s="11"/>
      <c r="AK235" s="39"/>
      <c r="AL235" s="113">
        <v>365000</v>
      </c>
      <c r="AM235" s="113">
        <f>+AL235*0.19</f>
        <v>69350</v>
      </c>
      <c r="AN235" s="119">
        <f>+AL235+AM235</f>
        <v>434350</v>
      </c>
      <c r="AO235" s="76" t="s">
        <v>90</v>
      </c>
      <c r="AP235" s="39" t="s">
        <v>45</v>
      </c>
      <c r="AQ235" s="39"/>
      <c r="AR235" s="275">
        <f>+(1317600/4000)*2500</f>
        <v>823500</v>
      </c>
      <c r="AS235" s="113">
        <f>+AR235*0.19</f>
        <v>156465</v>
      </c>
      <c r="AT235" s="119">
        <f>+AR235+AS235</f>
        <v>979965</v>
      </c>
      <c r="AU235" s="62" t="s">
        <v>69</v>
      </c>
      <c r="AV235" s="62" t="s">
        <v>35</v>
      </c>
      <c r="AW235" s="31"/>
      <c r="AX235" s="116"/>
      <c r="AY235" s="116"/>
      <c r="AZ235" s="143"/>
      <c r="BA235" s="191"/>
      <c r="BB235" s="132"/>
      <c r="BC235" s="132"/>
      <c r="BD235" s="274"/>
      <c r="BE235" s="143"/>
      <c r="BF235" s="143"/>
      <c r="BG235" s="132"/>
      <c r="BH235" s="132"/>
      <c r="BI235" s="132"/>
      <c r="BJ235" s="143"/>
      <c r="BK235" s="143"/>
      <c r="BL235" s="143"/>
      <c r="BM235" s="132"/>
      <c r="BN235" s="132"/>
      <c r="BO235" s="132"/>
      <c r="BP235" s="143"/>
      <c r="BQ235" s="144"/>
      <c r="BR235" s="113"/>
      <c r="BS235" s="33"/>
      <c r="BT235" s="36"/>
      <c r="BU235" s="5"/>
      <c r="BV235" s="263">
        <v>1190900</v>
      </c>
      <c r="BW235" s="144">
        <f>BV235*19%</f>
        <v>226271</v>
      </c>
      <c r="BX235" s="113">
        <f>+BV235+BW235</f>
        <v>1417171</v>
      </c>
      <c r="BY235" s="264" t="s">
        <v>87</v>
      </c>
      <c r="BZ235" s="264" t="s">
        <v>294</v>
      </c>
      <c r="CA235" s="132"/>
      <c r="CB235" s="274">
        <v>283500</v>
      </c>
      <c r="CC235" s="144">
        <f>+CB235*19%</f>
        <v>53865</v>
      </c>
      <c r="CD235" s="274">
        <f>+CC235+CB235</f>
        <v>337365</v>
      </c>
      <c r="CE235" s="132"/>
      <c r="CF235" s="132"/>
      <c r="CG235" s="36"/>
      <c r="CH235" s="263">
        <v>1202809</v>
      </c>
      <c r="CI235" s="265">
        <f>+CH235*0.19</f>
        <v>228533.71</v>
      </c>
      <c r="CJ235" s="263">
        <f>+CH235+CI235</f>
        <v>1431342.71</v>
      </c>
      <c r="CK235" s="264" t="s">
        <v>87</v>
      </c>
      <c r="CL235" s="264" t="s">
        <v>294</v>
      </c>
      <c r="CM235" s="132"/>
      <c r="CN235" s="274"/>
      <c r="CO235" s="144"/>
      <c r="CP235" s="274"/>
      <c r="CQ235" s="132"/>
      <c r="CR235" s="132"/>
      <c r="CS235" s="132"/>
      <c r="CT235" s="274"/>
      <c r="CU235" s="144"/>
      <c r="CV235" s="274"/>
      <c r="CW235" s="132"/>
      <c r="CX235" s="132"/>
      <c r="CY235" s="132"/>
      <c r="CZ235" s="118"/>
      <c r="DA235" s="144"/>
      <c r="DB235" s="118"/>
      <c r="DC235" s="33"/>
      <c r="DD235" s="39"/>
      <c r="DE235" s="11"/>
      <c r="DF235" s="132"/>
      <c r="DG235" s="132"/>
      <c r="DH235" s="132"/>
      <c r="DI235" s="132"/>
      <c r="DJ235" s="132"/>
      <c r="DK235" s="132"/>
      <c r="DL235" s="132"/>
      <c r="DM235" s="132"/>
      <c r="DN235" s="132"/>
      <c r="DO235" s="132"/>
      <c r="DP235" s="132"/>
      <c r="DQ235" s="132"/>
      <c r="DR235" s="132"/>
      <c r="DS235" s="132"/>
      <c r="DT235" s="132"/>
      <c r="DU235" s="132"/>
      <c r="DV235" s="132"/>
      <c r="DW235" s="132"/>
      <c r="DX235" s="132"/>
      <c r="DY235" s="132"/>
      <c r="DZ235" s="132"/>
      <c r="EA235" s="132"/>
      <c r="EB235" s="132"/>
      <c r="EC235" s="132"/>
      <c r="ED235" s="132"/>
      <c r="EE235" s="132"/>
      <c r="EF235" s="132"/>
      <c r="EG235" s="132"/>
      <c r="EH235" s="132"/>
      <c r="EI235" s="132"/>
      <c r="EJ235" s="132"/>
      <c r="EK235" s="132"/>
      <c r="EL235" s="132"/>
      <c r="EM235" s="132"/>
      <c r="EN235" s="132"/>
      <c r="EO235" s="132"/>
      <c r="EP235" s="132"/>
      <c r="EQ235" s="132"/>
      <c r="ER235" s="132"/>
      <c r="ES235" s="132"/>
      <c r="ET235" s="11"/>
      <c r="EU235" s="11"/>
      <c r="EV235" s="11"/>
      <c r="EW235" s="11"/>
      <c r="EX235" s="11"/>
      <c r="EY235" s="11"/>
      <c r="EZ235" s="11"/>
      <c r="FA235" s="11"/>
      <c r="FB235" s="11"/>
      <c r="FC235" s="11"/>
      <c r="FD235" s="11"/>
      <c r="FE235" s="11"/>
      <c r="FF235" s="275"/>
      <c r="FG235" s="71"/>
      <c r="FH235" s="39">
        <f t="shared" si="50"/>
        <v>5667556.4750000006</v>
      </c>
      <c r="FI235" s="33">
        <f t="shared" si="51"/>
        <v>7</v>
      </c>
      <c r="FJ235" s="84">
        <f t="shared" si="52"/>
        <v>809650.92500000005</v>
      </c>
    </row>
    <row r="236" spans="1:166" ht="48.75" customHeight="1" x14ac:dyDescent="0.25">
      <c r="A236" s="79" t="e">
        <f>#REF!</f>
        <v>#REF!</v>
      </c>
      <c r="B236" s="75" t="e">
        <f>#REF!</f>
        <v>#REF!</v>
      </c>
      <c r="C236" s="75" t="e">
        <f>#REF!</f>
        <v>#REF!</v>
      </c>
      <c r="D236" s="75" t="e">
        <f>#REF!</f>
        <v>#REF!</v>
      </c>
      <c r="E236" s="30">
        <v>1</v>
      </c>
      <c r="F236" s="238">
        <v>365409.33333333337</v>
      </c>
      <c r="G236" s="241">
        <v>352597</v>
      </c>
      <c r="H236" s="249">
        <v>325821.43673333339</v>
      </c>
      <c r="I236" s="249">
        <v>189805</v>
      </c>
      <c r="J236" s="249">
        <v>275544.91888000001</v>
      </c>
      <c r="K236" s="249">
        <v>273700</v>
      </c>
      <c r="L236" s="274">
        <f>AVERAGE(F236,H236,J236)</f>
        <v>322258.56298222224</v>
      </c>
      <c r="M236" s="274">
        <f>AVERAGE(G236,I236,K236)*E1</f>
        <v>280195.02</v>
      </c>
      <c r="N236" s="245"/>
      <c r="O236" s="113"/>
      <c r="P236" s="113"/>
      <c r="Q236" s="131"/>
      <c r="R236" s="131"/>
      <c r="S236" s="64"/>
      <c r="T236" s="113"/>
      <c r="U236" s="113"/>
      <c r="V236" s="113"/>
      <c r="W236" s="131"/>
      <c r="X236" s="131"/>
      <c r="Y236" s="11"/>
      <c r="Z236" s="113"/>
      <c r="AA236" s="113"/>
      <c r="AB236" s="113"/>
      <c r="AC236" s="52"/>
      <c r="AD236" s="52"/>
      <c r="AE236" s="11"/>
      <c r="AF236" s="118">
        <v>230000</v>
      </c>
      <c r="AG236" s="144">
        <f>AF236*19%</f>
        <v>43700</v>
      </c>
      <c r="AH236" s="113">
        <f>+AF236+AG236</f>
        <v>273700</v>
      </c>
      <c r="AI236" s="11"/>
      <c r="AJ236" s="11"/>
      <c r="AK236" s="39"/>
      <c r="AL236" s="113"/>
      <c r="AM236" s="113"/>
      <c r="AN236" s="119"/>
      <c r="AO236" s="76"/>
      <c r="AP236" s="39"/>
      <c r="AQ236" s="39"/>
      <c r="AR236" s="275">
        <v>144000</v>
      </c>
      <c r="AS236" s="113">
        <f>+AR236*0.19</f>
        <v>27360</v>
      </c>
      <c r="AT236" s="119">
        <f>+AR236+AS236</f>
        <v>171360</v>
      </c>
      <c r="AU236" s="62" t="s">
        <v>44</v>
      </c>
      <c r="AV236" s="62" t="s">
        <v>35</v>
      </c>
      <c r="AW236" s="31"/>
      <c r="AX236" s="116"/>
      <c r="AY236" s="196"/>
      <c r="AZ236" s="143"/>
      <c r="BA236" s="191"/>
      <c r="BB236" s="132"/>
      <c r="BC236" s="132"/>
      <c r="BD236" s="274"/>
      <c r="BE236" s="143"/>
      <c r="BF236" s="143"/>
      <c r="BG236" s="132"/>
      <c r="BH236" s="132"/>
      <c r="BI236" s="132"/>
      <c r="BJ236" s="143"/>
      <c r="BK236" s="143"/>
      <c r="BL236" s="143"/>
      <c r="BM236" s="132"/>
      <c r="BN236" s="132"/>
      <c r="BO236" s="132"/>
      <c r="BP236" s="143">
        <v>248318</v>
      </c>
      <c r="BQ236" s="144">
        <f>BP236*19%</f>
        <v>47180.42</v>
      </c>
      <c r="BR236" s="113">
        <f>+BP236+BQ236</f>
        <v>295498.42</v>
      </c>
      <c r="BS236" s="33" t="s">
        <v>39</v>
      </c>
      <c r="BT236" s="36" t="s">
        <v>295</v>
      </c>
      <c r="BU236" s="5" t="s">
        <v>296</v>
      </c>
      <c r="BV236" s="263">
        <v>2019700</v>
      </c>
      <c r="BW236" s="144">
        <f>BV236*19%</f>
        <v>383743</v>
      </c>
      <c r="BX236" s="113">
        <f>+BV236+BW236</f>
        <v>2403443</v>
      </c>
      <c r="BY236" s="264" t="s">
        <v>47</v>
      </c>
      <c r="BZ236" s="264" t="s">
        <v>237</v>
      </c>
      <c r="CA236" s="132"/>
      <c r="CB236" s="274"/>
      <c r="CC236" s="144"/>
      <c r="CD236" s="274"/>
      <c r="CE236" s="132"/>
      <c r="CF236" s="132"/>
      <c r="CG236" s="36"/>
      <c r="CH236" s="263"/>
      <c r="CI236" s="265">
        <f>+CH236*0.19</f>
        <v>0</v>
      </c>
      <c r="CJ236" s="263">
        <f>+CH236+CI236</f>
        <v>0</v>
      </c>
      <c r="CK236" s="264"/>
      <c r="CL236" s="264"/>
      <c r="CM236" s="132"/>
      <c r="CN236" s="274"/>
      <c r="CO236" s="144"/>
      <c r="CP236" s="274"/>
      <c r="CQ236" s="132"/>
      <c r="CR236" s="132"/>
      <c r="CS236" s="132"/>
      <c r="CT236" s="274"/>
      <c r="CU236" s="144"/>
      <c r="CV236" s="274"/>
      <c r="CW236" s="132"/>
      <c r="CX236" s="132"/>
      <c r="CY236" s="132"/>
      <c r="CZ236" s="118"/>
      <c r="DA236" s="144"/>
      <c r="DB236" s="118"/>
      <c r="DC236" s="33"/>
      <c r="DD236" s="39"/>
      <c r="DE236" s="11"/>
      <c r="DF236" s="132"/>
      <c r="DG236" s="132"/>
      <c r="DH236" s="132"/>
      <c r="DI236" s="132"/>
      <c r="DJ236" s="132"/>
      <c r="DK236" s="132"/>
      <c r="DL236" s="132"/>
      <c r="DM236" s="132"/>
      <c r="DN236" s="132"/>
      <c r="DO236" s="132"/>
      <c r="DP236" s="132"/>
      <c r="DQ236" s="132"/>
      <c r="DR236" s="132"/>
      <c r="DS236" s="132"/>
      <c r="DT236" s="132"/>
      <c r="DU236" s="132"/>
      <c r="DV236" s="132"/>
      <c r="DW236" s="132"/>
      <c r="DX236" s="132"/>
      <c r="DY236" s="132"/>
      <c r="DZ236" s="132"/>
      <c r="EA236" s="132"/>
      <c r="EB236" s="132"/>
      <c r="EC236" s="132"/>
      <c r="ED236" s="132"/>
      <c r="EE236" s="132"/>
      <c r="EF236" s="132"/>
      <c r="EG236" s="132"/>
      <c r="EH236" s="132"/>
      <c r="EI236" s="132"/>
      <c r="EJ236" s="132"/>
      <c r="EK236" s="132"/>
      <c r="EL236" s="132"/>
      <c r="EM236" s="132"/>
      <c r="EN236" s="132"/>
      <c r="EO236" s="132"/>
      <c r="EP236" s="132"/>
      <c r="EQ236" s="132"/>
      <c r="ER236" s="132"/>
      <c r="ES236" s="132"/>
      <c r="ET236" s="11"/>
      <c r="EU236" s="11"/>
      <c r="EV236" s="11"/>
      <c r="EW236" s="11"/>
      <c r="EX236" s="11"/>
      <c r="EY236" s="11"/>
      <c r="EZ236" s="11"/>
      <c r="FA236" s="11"/>
      <c r="FB236" s="11"/>
      <c r="FC236" s="11"/>
      <c r="FD236" s="11"/>
      <c r="FE236" s="11"/>
      <c r="FF236" s="11"/>
      <c r="FG236" s="11"/>
      <c r="FH236" s="39">
        <f t="shared" si="50"/>
        <v>3424196.44</v>
      </c>
      <c r="FI236" s="33">
        <f t="shared" si="51"/>
        <v>5</v>
      </c>
      <c r="FJ236" s="84">
        <f t="shared" si="52"/>
        <v>684839.28799999994</v>
      </c>
    </row>
    <row r="237" spans="1:166" x14ac:dyDescent="0.25">
      <c r="A237" s="79" t="e">
        <f>#REF!</f>
        <v>#REF!</v>
      </c>
      <c r="B237" s="75" t="e">
        <f>#REF!</f>
        <v>#REF!</v>
      </c>
      <c r="C237" s="75" t="e">
        <f>#REF!</f>
        <v>#REF!</v>
      </c>
      <c r="D237" s="75" t="e">
        <f>#REF!</f>
        <v>#REF!</v>
      </c>
      <c r="E237" s="30">
        <v>1</v>
      </c>
      <c r="F237" s="238">
        <v>0</v>
      </c>
      <c r="G237" s="241">
        <v>0</v>
      </c>
      <c r="H237" s="249">
        <v>0</v>
      </c>
      <c r="I237" s="249">
        <v>0</v>
      </c>
      <c r="J237" s="249">
        <v>0</v>
      </c>
      <c r="K237" s="249">
        <v>0</v>
      </c>
      <c r="L237" s="274"/>
      <c r="M237" s="274"/>
      <c r="N237" s="245"/>
      <c r="O237" s="113"/>
      <c r="P237" s="113"/>
      <c r="Q237" s="131"/>
      <c r="R237" s="131"/>
      <c r="S237" s="64"/>
      <c r="T237" s="113"/>
      <c r="U237" s="113"/>
      <c r="V237" s="113"/>
      <c r="W237" s="131"/>
      <c r="X237" s="131"/>
      <c r="Y237" s="11"/>
      <c r="Z237" s="113"/>
      <c r="AA237" s="113"/>
      <c r="AB237" s="113"/>
      <c r="AC237" s="52"/>
      <c r="AD237" s="52"/>
      <c r="AE237" s="11"/>
      <c r="AF237" s="113"/>
      <c r="AG237" s="144"/>
      <c r="AH237" s="113"/>
      <c r="AI237" s="11"/>
      <c r="AJ237" s="11"/>
      <c r="AK237" s="39"/>
      <c r="AL237" s="113"/>
      <c r="AM237" s="113"/>
      <c r="AN237" s="119"/>
      <c r="AO237" s="76"/>
      <c r="AP237" s="39"/>
      <c r="AQ237" s="39"/>
      <c r="AR237" s="275"/>
      <c r="AS237" s="155"/>
      <c r="AT237" s="143"/>
      <c r="AU237" s="62"/>
      <c r="AV237" s="62"/>
      <c r="AW237" s="31"/>
      <c r="AX237" s="116"/>
      <c r="AY237" s="196"/>
      <c r="AZ237" s="143"/>
      <c r="BA237" s="191"/>
      <c r="BB237" s="132"/>
      <c r="BC237" s="132"/>
      <c r="BD237" s="275"/>
      <c r="BE237" s="274"/>
      <c r="BF237" s="274"/>
      <c r="BG237" s="274"/>
      <c r="BH237" s="132"/>
      <c r="BI237" s="132"/>
      <c r="BJ237" s="143"/>
      <c r="BK237" s="143"/>
      <c r="BL237" s="143"/>
      <c r="BM237" s="132"/>
      <c r="BN237" s="132"/>
      <c r="BO237" s="132"/>
      <c r="BP237" s="143"/>
      <c r="BQ237" s="132"/>
      <c r="BR237" s="132"/>
      <c r="BS237" s="132"/>
      <c r="BT237" s="132"/>
      <c r="BU237" s="132"/>
      <c r="BV237" s="210"/>
      <c r="BW237" s="144"/>
      <c r="BX237" s="113"/>
      <c r="BY237" s="273"/>
      <c r="BZ237" s="273"/>
      <c r="CA237" s="132"/>
      <c r="CB237" s="275"/>
      <c r="CC237" s="143"/>
      <c r="CD237" s="275"/>
      <c r="CE237" s="132"/>
      <c r="CF237" s="132"/>
      <c r="CG237" s="36"/>
      <c r="CH237" s="210"/>
      <c r="CI237" s="219"/>
      <c r="CJ237" s="210"/>
      <c r="CK237" s="273"/>
      <c r="CL237" s="273"/>
      <c r="CM237" s="132"/>
      <c r="CN237" s="275"/>
      <c r="CO237" s="143"/>
      <c r="CP237" s="275"/>
      <c r="CQ237" s="132"/>
      <c r="CR237" s="132"/>
      <c r="CS237" s="132"/>
      <c r="CT237" s="275"/>
      <c r="CU237" s="143"/>
      <c r="CV237" s="275"/>
      <c r="CW237" s="132"/>
      <c r="CX237" s="132"/>
      <c r="CY237" s="132"/>
      <c r="CZ237" s="113"/>
      <c r="DA237" s="143"/>
      <c r="DB237" s="113"/>
      <c r="DC237" s="33"/>
      <c r="DD237" s="39"/>
      <c r="DE237" s="11"/>
      <c r="DF237" s="132"/>
      <c r="DG237" s="132"/>
      <c r="DH237" s="132"/>
      <c r="DI237" s="132"/>
      <c r="DJ237" s="132"/>
      <c r="DK237" s="132"/>
      <c r="DL237" s="132"/>
      <c r="DM237" s="132"/>
      <c r="DN237" s="132"/>
      <c r="DO237" s="132"/>
      <c r="DP237" s="132"/>
      <c r="DQ237" s="132"/>
      <c r="DR237" s="132"/>
      <c r="DS237" s="132"/>
      <c r="DT237" s="132"/>
      <c r="DU237" s="132"/>
      <c r="DV237" s="132"/>
      <c r="DW237" s="132"/>
      <c r="DX237" s="132"/>
      <c r="DY237" s="132"/>
      <c r="DZ237" s="132"/>
      <c r="EA237" s="132"/>
      <c r="EB237" s="132"/>
      <c r="EC237" s="132"/>
      <c r="ED237" s="132"/>
      <c r="EE237" s="132"/>
      <c r="EF237" s="132"/>
      <c r="EG237" s="132"/>
      <c r="EH237" s="132"/>
      <c r="EI237" s="132"/>
      <c r="EJ237" s="132"/>
      <c r="EK237" s="132"/>
      <c r="EL237" s="132"/>
      <c r="EM237" s="132"/>
      <c r="EN237" s="132"/>
      <c r="EO237" s="132"/>
      <c r="EP237" s="132"/>
      <c r="EQ237" s="132"/>
      <c r="ER237" s="132"/>
      <c r="ES237" s="132"/>
      <c r="ET237" s="11"/>
      <c r="EU237" s="11"/>
      <c r="EV237" s="11"/>
      <c r="EW237" s="11"/>
      <c r="EX237" s="11"/>
      <c r="EY237" s="11"/>
      <c r="EZ237" s="11"/>
      <c r="FA237" s="11"/>
      <c r="FB237" s="11"/>
      <c r="FC237" s="11"/>
      <c r="FD237" s="11"/>
      <c r="FE237" s="11"/>
      <c r="FF237" s="11"/>
      <c r="FG237" s="11"/>
      <c r="FH237" s="39">
        <f t="shared" si="50"/>
        <v>0</v>
      </c>
      <c r="FI237" s="33">
        <f t="shared" si="51"/>
        <v>0</v>
      </c>
      <c r="FJ237" s="84" t="str">
        <f t="shared" si="52"/>
        <v xml:space="preserve"> </v>
      </c>
    </row>
    <row r="238" spans="1:166" x14ac:dyDescent="0.25">
      <c r="A238" s="79" t="e">
        <f>#REF!</f>
        <v>#REF!</v>
      </c>
      <c r="B238" s="75" t="e">
        <f>#REF!</f>
        <v>#REF!</v>
      </c>
      <c r="C238" s="75" t="e">
        <f>#REF!</f>
        <v>#REF!</v>
      </c>
      <c r="D238" s="75" t="e">
        <f>#REF!</f>
        <v>#REF!</v>
      </c>
      <c r="E238" s="30">
        <v>1</v>
      </c>
      <c r="F238" s="238">
        <v>0</v>
      </c>
      <c r="G238" s="241">
        <v>0</v>
      </c>
      <c r="H238" s="249">
        <v>631890</v>
      </c>
      <c r="I238" s="249">
        <v>0</v>
      </c>
      <c r="J238" s="249">
        <v>0</v>
      </c>
      <c r="K238" s="249">
        <v>0</v>
      </c>
      <c r="L238" s="274">
        <f>H238</f>
        <v>631890</v>
      </c>
      <c r="M238" s="274"/>
      <c r="N238" s="246"/>
      <c r="O238" s="118"/>
      <c r="P238" s="118"/>
      <c r="Q238" s="52"/>
      <c r="R238" s="52"/>
      <c r="S238" s="5"/>
      <c r="T238" s="118"/>
      <c r="U238" s="118"/>
      <c r="V238" s="118"/>
      <c r="W238" s="11"/>
      <c r="X238" s="11"/>
      <c r="Y238" s="11"/>
      <c r="Z238" s="118"/>
      <c r="AA238" s="118"/>
      <c r="AB238" s="118"/>
      <c r="AC238" s="52"/>
      <c r="AD238" s="52"/>
      <c r="AE238" s="11"/>
      <c r="AF238" s="118"/>
      <c r="AG238" s="144"/>
      <c r="AH238" s="118"/>
      <c r="AI238" s="11"/>
      <c r="AJ238" s="11"/>
      <c r="AK238" s="11"/>
      <c r="AL238" s="118"/>
      <c r="AM238" s="118"/>
      <c r="AN238" s="118"/>
      <c r="AO238" s="76"/>
      <c r="AP238" s="11"/>
      <c r="AQ238" s="11"/>
      <c r="AR238" s="274"/>
      <c r="AS238" s="274"/>
      <c r="AT238" s="274"/>
      <c r="AU238" s="62"/>
      <c r="AV238" s="48"/>
      <c r="AW238" s="11"/>
      <c r="AX238" s="274"/>
      <c r="AY238" s="274"/>
      <c r="AZ238" s="274"/>
      <c r="BA238" s="11"/>
      <c r="BB238" s="11"/>
      <c r="BC238" s="11"/>
      <c r="BD238" s="274"/>
      <c r="BE238" s="274"/>
      <c r="BF238" s="274"/>
      <c r="BG238" s="11"/>
      <c r="BH238" s="11"/>
      <c r="BI238" s="11"/>
      <c r="BJ238" s="274"/>
      <c r="BK238" s="274"/>
      <c r="BL238" s="274"/>
      <c r="BM238" s="11"/>
      <c r="BN238" s="11"/>
      <c r="BO238" s="11"/>
      <c r="BP238" s="275"/>
      <c r="BQ238" s="11"/>
      <c r="BR238" s="11"/>
      <c r="BS238" s="11"/>
      <c r="BT238" s="11"/>
      <c r="BU238" s="11"/>
      <c r="BV238" s="210"/>
      <c r="BW238" s="144"/>
      <c r="BX238" s="113"/>
      <c r="BY238" s="273"/>
      <c r="BZ238" s="273"/>
      <c r="CA238" s="11"/>
      <c r="CB238" s="274"/>
      <c r="CC238" s="144"/>
      <c r="CD238" s="274"/>
      <c r="CE238" s="11"/>
      <c r="CF238" s="11"/>
      <c r="CG238" s="11"/>
      <c r="CH238" s="210"/>
      <c r="CI238" s="219"/>
      <c r="CJ238" s="210"/>
      <c r="CK238" s="273"/>
      <c r="CL238" s="273"/>
      <c r="CM238" s="11"/>
      <c r="CN238" s="274"/>
      <c r="CO238" s="144"/>
      <c r="CP238" s="274"/>
      <c r="CQ238" s="11"/>
      <c r="CR238" s="11"/>
      <c r="CS238" s="11"/>
      <c r="CT238" s="274"/>
      <c r="CU238" s="144"/>
      <c r="CV238" s="274"/>
      <c r="CW238" s="11"/>
      <c r="CX238" s="11"/>
      <c r="CY238" s="11"/>
      <c r="CZ238" s="118"/>
      <c r="DA238" s="144"/>
      <c r="DB238" s="118"/>
      <c r="DC238" s="33"/>
      <c r="DD238" s="39"/>
      <c r="DE238" s="11"/>
      <c r="DF238" s="11"/>
      <c r="DG238" s="11"/>
      <c r="DH238" s="11"/>
      <c r="DI238" s="11"/>
      <c r="DJ238" s="11"/>
      <c r="DK238" s="11"/>
      <c r="DL238" s="11"/>
      <c r="DM238" s="39"/>
      <c r="DN238" s="39"/>
      <c r="DO238" s="34"/>
      <c r="DP238" s="34"/>
      <c r="DQ238" s="34"/>
      <c r="DR238" s="34"/>
      <c r="DS238" s="34"/>
      <c r="DT238" s="34"/>
      <c r="DU238" s="34"/>
      <c r="DV238" s="34"/>
      <c r="DW238" s="34"/>
      <c r="DX238" s="34"/>
      <c r="DY238" s="42"/>
      <c r="DZ238" s="34"/>
      <c r="EA238" s="34"/>
      <c r="EB238" s="34"/>
      <c r="EC238" s="34"/>
      <c r="ED238" s="34"/>
      <c r="EE238" s="34"/>
      <c r="EF238" s="34"/>
      <c r="EG238" s="39"/>
      <c r="EH238" s="39"/>
      <c r="EI238" s="42"/>
      <c r="EJ238" s="34"/>
      <c r="EK238" s="34"/>
      <c r="EL238" s="34"/>
      <c r="EM238" s="34"/>
      <c r="EN238" s="34"/>
      <c r="EO238" s="11"/>
      <c r="EP238" s="11"/>
      <c r="EQ238" s="39"/>
      <c r="ER238" s="39"/>
      <c r="ES238" s="34"/>
      <c r="ET238" s="11"/>
      <c r="EU238" s="11"/>
      <c r="EV238" s="11"/>
      <c r="EW238" s="11"/>
      <c r="EX238" s="11"/>
      <c r="EY238" s="11"/>
      <c r="EZ238" s="11"/>
      <c r="FA238" s="11"/>
      <c r="FB238" s="11"/>
      <c r="FC238" s="11"/>
      <c r="FD238" s="11"/>
      <c r="FE238" s="11"/>
      <c r="FF238" s="11"/>
      <c r="FG238" s="11"/>
      <c r="FH238" s="39">
        <f t="shared" si="50"/>
        <v>0</v>
      </c>
      <c r="FI238" s="33">
        <f t="shared" si="51"/>
        <v>0</v>
      </c>
      <c r="FJ238" s="84" t="str">
        <f t="shared" si="52"/>
        <v xml:space="preserve"> </v>
      </c>
    </row>
    <row r="239" spans="1:166" ht="27" x14ac:dyDescent="0.25">
      <c r="A239" s="79" t="e">
        <f>#REF!</f>
        <v>#REF!</v>
      </c>
      <c r="B239" s="75" t="e">
        <f>#REF!</f>
        <v>#REF!</v>
      </c>
      <c r="C239" s="75" t="e">
        <f>#REF!</f>
        <v>#REF!</v>
      </c>
      <c r="D239" s="75" t="e">
        <f>#REF!</f>
        <v>#REF!</v>
      </c>
      <c r="E239" s="30">
        <v>1</v>
      </c>
      <c r="F239" s="238">
        <v>0</v>
      </c>
      <c r="G239" s="241">
        <v>0</v>
      </c>
      <c r="H239" s="249">
        <v>0</v>
      </c>
      <c r="I239" s="249">
        <v>0</v>
      </c>
      <c r="J239" s="249">
        <v>266409.42499999999</v>
      </c>
      <c r="K239" s="249">
        <v>0</v>
      </c>
      <c r="L239" s="274">
        <f>J239</f>
        <v>266409.42499999999</v>
      </c>
      <c r="M239" s="274"/>
      <c r="N239" s="245"/>
      <c r="O239" s="113"/>
      <c r="P239" s="113"/>
      <c r="Q239" s="131"/>
      <c r="R239" s="131"/>
      <c r="S239" s="64"/>
      <c r="T239" s="113"/>
      <c r="U239" s="113"/>
      <c r="V239" s="113"/>
      <c r="W239" s="131"/>
      <c r="X239" s="131"/>
      <c r="Y239" s="11"/>
      <c r="Z239" s="113"/>
      <c r="AA239" s="113"/>
      <c r="AB239" s="113"/>
      <c r="AC239" s="52"/>
      <c r="AD239" s="52"/>
      <c r="AE239" s="11"/>
      <c r="AF239" s="118"/>
      <c r="AG239" s="144"/>
      <c r="AH239" s="113"/>
      <c r="AI239" s="11"/>
      <c r="AJ239" s="11"/>
      <c r="AK239" s="39"/>
      <c r="AL239" s="113"/>
      <c r="AM239" s="113"/>
      <c r="AN239" s="117"/>
      <c r="AO239" s="76"/>
      <c r="AP239" s="39"/>
      <c r="AQ239" s="39"/>
      <c r="AR239" s="275"/>
      <c r="AS239" s="156"/>
      <c r="AT239" s="157"/>
      <c r="AU239" s="62"/>
      <c r="AV239" s="62"/>
      <c r="AW239" s="31"/>
      <c r="AX239" s="116"/>
      <c r="AY239" s="116"/>
      <c r="AZ239" s="143"/>
      <c r="BA239" s="191"/>
      <c r="BB239" s="132"/>
      <c r="BC239" s="132"/>
      <c r="BD239" s="274"/>
      <c r="BE239" s="143"/>
      <c r="BF239" s="143"/>
      <c r="BG239" s="132"/>
      <c r="BH239" s="132"/>
      <c r="BI239" s="132"/>
      <c r="BJ239" s="143"/>
      <c r="BK239" s="143"/>
      <c r="BL239" s="143"/>
      <c r="BM239" s="132"/>
      <c r="BN239" s="132"/>
      <c r="BO239" s="132"/>
      <c r="BP239" s="143"/>
      <c r="BQ239" s="132"/>
      <c r="BR239" s="132"/>
      <c r="BS239" s="132"/>
      <c r="BT239" s="132"/>
      <c r="BU239" s="132"/>
      <c r="BV239" s="263">
        <v>394800</v>
      </c>
      <c r="BW239" s="144">
        <f t="shared" ref="BW239:BW249" si="55">BV239*19%</f>
        <v>75012</v>
      </c>
      <c r="BX239" s="113">
        <f t="shared" ref="BX239:BX249" si="56">+BV239+BW239</f>
        <v>469812</v>
      </c>
      <c r="BY239" s="264" t="s">
        <v>79</v>
      </c>
      <c r="BZ239" s="264" t="s">
        <v>88</v>
      </c>
      <c r="CA239" s="132"/>
      <c r="CB239" s="274"/>
      <c r="CC239" s="144"/>
      <c r="CD239" s="274"/>
      <c r="CE239" s="132"/>
      <c r="CF239" s="132"/>
      <c r="CG239" s="36"/>
      <c r="CH239" s="263">
        <v>422436</v>
      </c>
      <c r="CI239" s="265">
        <f>+CH239*0.19</f>
        <v>80262.84</v>
      </c>
      <c r="CJ239" s="263">
        <f>+CH239+CI239</f>
        <v>502698.83999999997</v>
      </c>
      <c r="CK239" s="264" t="s">
        <v>79</v>
      </c>
      <c r="CL239" s="264" t="s">
        <v>88</v>
      </c>
      <c r="CM239" s="132"/>
      <c r="CN239" s="274"/>
      <c r="CO239" s="144"/>
      <c r="CP239" s="274"/>
      <c r="CQ239" s="132"/>
      <c r="CR239" s="132"/>
      <c r="CS239" s="132"/>
      <c r="CT239" s="274"/>
      <c r="CU239" s="144"/>
      <c r="CV239" s="274"/>
      <c r="CW239" s="132"/>
      <c r="CX239" s="132"/>
      <c r="CY239" s="132"/>
      <c r="CZ239" s="118"/>
      <c r="DA239" s="144"/>
      <c r="DB239" s="118"/>
      <c r="DC239" s="33"/>
      <c r="DD239" s="39"/>
      <c r="DE239" s="11"/>
      <c r="DF239" s="132"/>
      <c r="DG239" s="132"/>
      <c r="DH239" s="132"/>
      <c r="DI239" s="132"/>
      <c r="DJ239" s="132"/>
      <c r="DK239" s="132"/>
      <c r="DL239" s="132"/>
      <c r="DM239" s="132"/>
      <c r="DN239" s="132"/>
      <c r="DO239" s="132"/>
      <c r="DP239" s="132"/>
      <c r="DQ239" s="132"/>
      <c r="DR239" s="132"/>
      <c r="DS239" s="132"/>
      <c r="DT239" s="132"/>
      <c r="DU239" s="132"/>
      <c r="DV239" s="132"/>
      <c r="DW239" s="132"/>
      <c r="DX239" s="132"/>
      <c r="DY239" s="132"/>
      <c r="DZ239" s="132"/>
      <c r="EA239" s="132"/>
      <c r="EB239" s="132"/>
      <c r="EC239" s="132"/>
      <c r="ED239" s="132"/>
      <c r="EE239" s="132"/>
      <c r="EF239" s="132"/>
      <c r="EG239" s="132"/>
      <c r="EH239" s="132"/>
      <c r="EI239" s="132"/>
      <c r="EJ239" s="132"/>
      <c r="EK239" s="132"/>
      <c r="EL239" s="132"/>
      <c r="EM239" s="132"/>
      <c r="EN239" s="132"/>
      <c r="EO239" s="132"/>
      <c r="EP239" s="132"/>
      <c r="EQ239" s="132"/>
      <c r="ER239" s="132"/>
      <c r="ES239" s="132"/>
      <c r="ET239" s="11"/>
      <c r="EU239" s="11"/>
      <c r="EV239" s="11"/>
      <c r="EW239" s="11"/>
      <c r="EX239" s="11"/>
      <c r="EY239" s="11"/>
      <c r="EZ239" s="11"/>
      <c r="FA239" s="11"/>
      <c r="FB239" s="11"/>
      <c r="FC239" s="11"/>
      <c r="FD239" s="11"/>
      <c r="FE239" s="11"/>
      <c r="FF239" s="11"/>
      <c r="FG239" s="11"/>
      <c r="FH239" s="39">
        <f t="shared" si="50"/>
        <v>972510.84</v>
      </c>
      <c r="FI239" s="33">
        <f t="shared" si="51"/>
        <v>2</v>
      </c>
      <c r="FJ239" s="84">
        <f t="shared" si="52"/>
        <v>486255.42</v>
      </c>
    </row>
    <row r="240" spans="1:166" ht="27" x14ac:dyDescent="0.25">
      <c r="A240" s="79" t="e">
        <f>#REF!</f>
        <v>#REF!</v>
      </c>
      <c r="B240" s="75" t="e">
        <f>#REF!</f>
        <v>#REF!</v>
      </c>
      <c r="C240" s="75" t="e">
        <f>#REF!</f>
        <v>#REF!</v>
      </c>
      <c r="D240" s="75" t="e">
        <f>#REF!</f>
        <v>#REF!</v>
      </c>
      <c r="E240" s="30">
        <v>1</v>
      </c>
      <c r="F240" s="238">
        <v>1398386.2549999999</v>
      </c>
      <c r="G240" s="241">
        <v>1377306</v>
      </c>
      <c r="H240" s="249">
        <v>0</v>
      </c>
      <c r="I240" s="249">
        <v>0</v>
      </c>
      <c r="J240" s="249">
        <v>0</v>
      </c>
      <c r="K240" s="249">
        <v>0</v>
      </c>
      <c r="L240" s="274">
        <f>F240</f>
        <v>1398386.2549999999</v>
      </c>
      <c r="M240" s="274">
        <f>G240*E1</f>
        <v>1418625.18</v>
      </c>
      <c r="N240" s="245"/>
      <c r="O240" s="113"/>
      <c r="P240" s="113"/>
      <c r="Q240" s="131"/>
      <c r="R240" s="131"/>
      <c r="S240" s="64"/>
      <c r="T240" s="113"/>
      <c r="U240" s="121"/>
      <c r="V240" s="113"/>
      <c r="W240" s="131"/>
      <c r="X240" s="131"/>
      <c r="Y240" s="11"/>
      <c r="Z240" s="113"/>
      <c r="AA240" s="113"/>
      <c r="AB240" s="113"/>
      <c r="AC240" s="52"/>
      <c r="AD240" s="52"/>
      <c r="AE240" s="11"/>
      <c r="AF240" s="118"/>
      <c r="AG240" s="144"/>
      <c r="AH240" s="113"/>
      <c r="AI240" s="11"/>
      <c r="AJ240" s="11"/>
      <c r="AK240" s="39"/>
      <c r="AL240" s="113"/>
      <c r="AM240" s="113"/>
      <c r="AN240" s="119"/>
      <c r="AO240" s="76"/>
      <c r="AP240" s="39"/>
      <c r="AQ240" s="39"/>
      <c r="AR240" s="275">
        <v>950400</v>
      </c>
      <c r="AS240" s="113">
        <f>+AR240*0.19</f>
        <v>180576</v>
      </c>
      <c r="AT240" s="119">
        <f>+AR240+AS240</f>
        <v>1130976</v>
      </c>
      <c r="AU240" s="62" t="s">
        <v>34</v>
      </c>
      <c r="AV240" s="62" t="s">
        <v>35</v>
      </c>
      <c r="AW240" s="31"/>
      <c r="AX240" s="116"/>
      <c r="AY240" s="116"/>
      <c r="AZ240" s="143"/>
      <c r="BA240" s="191"/>
      <c r="BB240" s="132"/>
      <c r="BC240" s="132"/>
      <c r="BD240" s="274"/>
      <c r="BE240" s="143"/>
      <c r="BF240" s="143"/>
      <c r="BG240" s="132"/>
      <c r="BH240" s="132"/>
      <c r="BI240" s="132"/>
      <c r="BJ240" s="143"/>
      <c r="BK240" s="143"/>
      <c r="BL240" s="143"/>
      <c r="BM240" s="132"/>
      <c r="BN240" s="132"/>
      <c r="BO240" s="132"/>
      <c r="BP240" s="143"/>
      <c r="BQ240" s="132"/>
      <c r="BR240" s="132"/>
      <c r="BS240" s="132"/>
      <c r="BT240" s="132"/>
      <c r="BU240" s="132"/>
      <c r="BV240" s="263">
        <v>2427700</v>
      </c>
      <c r="BW240" s="144">
        <f t="shared" si="55"/>
        <v>461263</v>
      </c>
      <c r="BX240" s="113">
        <f t="shared" si="56"/>
        <v>2888963</v>
      </c>
      <c r="BY240" s="264" t="s">
        <v>100</v>
      </c>
      <c r="BZ240" s="264" t="s">
        <v>237</v>
      </c>
      <c r="CA240" s="132"/>
      <c r="CB240" s="274"/>
      <c r="CC240" s="144"/>
      <c r="CD240" s="274"/>
      <c r="CE240" s="132"/>
      <c r="CF240" s="132"/>
      <c r="CG240" s="36"/>
      <c r="CH240" s="263"/>
      <c r="CI240" s="265"/>
      <c r="CJ240" s="263"/>
      <c r="CK240" s="264"/>
      <c r="CL240" s="264"/>
      <c r="CM240" s="132"/>
      <c r="CN240" s="274"/>
      <c r="CO240" s="144"/>
      <c r="CP240" s="274"/>
      <c r="CQ240" s="132"/>
      <c r="CR240" s="132"/>
      <c r="CS240" s="132"/>
      <c r="CT240" s="274"/>
      <c r="CU240" s="144"/>
      <c r="CV240" s="274"/>
      <c r="CW240" s="132"/>
      <c r="CX240" s="132"/>
      <c r="CY240" s="132"/>
      <c r="CZ240" s="118"/>
      <c r="DA240" s="144"/>
      <c r="DB240" s="118"/>
      <c r="DC240" s="33"/>
      <c r="DD240" s="39"/>
      <c r="DE240" s="11"/>
      <c r="DF240" s="132"/>
      <c r="DG240" s="132"/>
      <c r="DH240" s="132"/>
      <c r="DI240" s="132"/>
      <c r="DJ240" s="132"/>
      <c r="DK240" s="132"/>
      <c r="DL240" s="132"/>
      <c r="DM240" s="132"/>
      <c r="DN240" s="132"/>
      <c r="DO240" s="132"/>
      <c r="DP240" s="132"/>
      <c r="DQ240" s="132"/>
      <c r="DR240" s="132"/>
      <c r="DS240" s="132"/>
      <c r="DT240" s="132"/>
      <c r="DU240" s="132"/>
      <c r="DV240" s="132"/>
      <c r="DW240" s="132"/>
      <c r="DX240" s="132"/>
      <c r="DY240" s="132"/>
      <c r="DZ240" s="132"/>
      <c r="EA240" s="132"/>
      <c r="EB240" s="132"/>
      <c r="EC240" s="132"/>
      <c r="ED240" s="132"/>
      <c r="EE240" s="132"/>
      <c r="EF240" s="132"/>
      <c r="EG240" s="132"/>
      <c r="EH240" s="132"/>
      <c r="EI240" s="132"/>
      <c r="EJ240" s="132"/>
      <c r="EK240" s="132"/>
      <c r="EL240" s="132"/>
      <c r="EM240" s="132"/>
      <c r="EN240" s="132"/>
      <c r="EO240" s="132"/>
      <c r="EP240" s="132"/>
      <c r="EQ240" s="132"/>
      <c r="ER240" s="132"/>
      <c r="ES240" s="132"/>
      <c r="ET240" s="11"/>
      <c r="EU240" s="11"/>
      <c r="EV240" s="11"/>
      <c r="EW240" s="11"/>
      <c r="EX240" s="11"/>
      <c r="EY240" s="11"/>
      <c r="EZ240" s="11"/>
      <c r="FA240" s="11"/>
      <c r="FB240" s="11"/>
      <c r="FC240" s="11"/>
      <c r="FD240" s="11"/>
      <c r="FE240" s="11"/>
      <c r="FF240" s="11"/>
      <c r="FG240" s="11"/>
      <c r="FH240" s="39">
        <f t="shared" si="50"/>
        <v>5438564.1799999997</v>
      </c>
      <c r="FI240" s="33">
        <f t="shared" si="51"/>
        <v>3</v>
      </c>
      <c r="FJ240" s="84">
        <f t="shared" si="52"/>
        <v>1812854.7266666666</v>
      </c>
    </row>
    <row r="241" spans="1:166" ht="27" x14ac:dyDescent="0.25">
      <c r="A241" s="79" t="e">
        <f>#REF!</f>
        <v>#REF!</v>
      </c>
      <c r="B241" s="75" t="e">
        <f>#REF!</f>
        <v>#REF!</v>
      </c>
      <c r="C241" s="75" t="e">
        <f>#REF!</f>
        <v>#REF!</v>
      </c>
      <c r="D241" s="75" t="e">
        <f>#REF!</f>
        <v>#REF!</v>
      </c>
      <c r="E241" s="30">
        <v>1</v>
      </c>
      <c r="F241" s="238">
        <v>0</v>
      </c>
      <c r="G241" s="241">
        <v>0</v>
      </c>
      <c r="H241" s="249">
        <v>0</v>
      </c>
      <c r="I241" s="249">
        <v>0</v>
      </c>
      <c r="J241" s="249">
        <v>256960.66666666666</v>
      </c>
      <c r="K241" s="249">
        <v>0</v>
      </c>
      <c r="L241" s="274">
        <f>J241</f>
        <v>256960.66666666666</v>
      </c>
      <c r="M241" s="274"/>
      <c r="N241" s="245"/>
      <c r="O241" s="121"/>
      <c r="P241" s="113"/>
      <c r="Q241" s="131"/>
      <c r="R241" s="131"/>
      <c r="S241" s="64"/>
      <c r="T241" s="113"/>
      <c r="U241" s="113"/>
      <c r="V241" s="113"/>
      <c r="W241" s="131"/>
      <c r="X241" s="131"/>
      <c r="Y241" s="11"/>
      <c r="Z241" s="113"/>
      <c r="AA241" s="113"/>
      <c r="AB241" s="113"/>
      <c r="AC241" s="52"/>
      <c r="AD241" s="52"/>
      <c r="AE241" s="11"/>
      <c r="AF241" s="118"/>
      <c r="AG241" s="144"/>
      <c r="AH241" s="113"/>
      <c r="AI241" s="11"/>
      <c r="AJ241" s="11"/>
      <c r="AK241" s="39"/>
      <c r="AL241" s="113"/>
      <c r="AM241" s="113"/>
      <c r="AN241" s="119"/>
      <c r="AO241" s="76"/>
      <c r="AP241" s="39"/>
      <c r="AQ241" s="39"/>
      <c r="AR241" s="275">
        <v>136800</v>
      </c>
      <c r="AS241" s="113">
        <f>+AR241*0.19</f>
        <v>25992</v>
      </c>
      <c r="AT241" s="119">
        <f>+AR241+AS241</f>
        <v>162792</v>
      </c>
      <c r="AU241" s="62" t="s">
        <v>54</v>
      </c>
      <c r="AV241" s="62" t="s">
        <v>35</v>
      </c>
      <c r="AW241" s="31"/>
      <c r="AX241" s="116"/>
      <c r="AY241" s="196"/>
      <c r="AZ241" s="143"/>
      <c r="BA241" s="191"/>
      <c r="BB241" s="132"/>
      <c r="BC241" s="132"/>
      <c r="BD241" s="274"/>
      <c r="BE241" s="143"/>
      <c r="BF241" s="143"/>
      <c r="BG241" s="132"/>
      <c r="BH241" s="132"/>
      <c r="BI241" s="132"/>
      <c r="BJ241" s="143"/>
      <c r="BK241" s="143"/>
      <c r="BL241" s="143"/>
      <c r="BM241" s="132"/>
      <c r="BN241" s="132"/>
      <c r="BO241" s="132"/>
      <c r="BP241" s="143"/>
      <c r="BQ241" s="132"/>
      <c r="BR241" s="132"/>
      <c r="BS241" s="132"/>
      <c r="BT241" s="132"/>
      <c r="BU241" s="132"/>
      <c r="BV241" s="263">
        <v>238000</v>
      </c>
      <c r="BW241" s="144">
        <f t="shared" si="55"/>
        <v>45220</v>
      </c>
      <c r="BX241" s="113">
        <f t="shared" si="56"/>
        <v>283220</v>
      </c>
      <c r="BY241" s="264" t="s">
        <v>56</v>
      </c>
      <c r="BZ241" s="264" t="s">
        <v>88</v>
      </c>
      <c r="CA241" s="132"/>
      <c r="CB241" s="274"/>
      <c r="CC241" s="144"/>
      <c r="CD241" s="274"/>
      <c r="CE241" s="132"/>
      <c r="CF241" s="132"/>
      <c r="CG241" s="36"/>
      <c r="CH241" s="263">
        <v>252280</v>
      </c>
      <c r="CI241" s="265">
        <f>+CH241*0.19</f>
        <v>47933.2</v>
      </c>
      <c r="CJ241" s="263">
        <f>+CH241+CI241</f>
        <v>300213.2</v>
      </c>
      <c r="CK241" s="264" t="s">
        <v>56</v>
      </c>
      <c r="CL241" s="264" t="s">
        <v>88</v>
      </c>
      <c r="CM241" s="132"/>
      <c r="CN241" s="274"/>
      <c r="CO241" s="144"/>
      <c r="CP241" s="274"/>
      <c r="CQ241" s="132"/>
      <c r="CR241" s="132"/>
      <c r="CS241" s="132"/>
      <c r="CT241" s="274"/>
      <c r="CU241" s="144"/>
      <c r="CV241" s="274"/>
      <c r="CW241" s="132"/>
      <c r="CX241" s="132"/>
      <c r="CY241" s="132"/>
      <c r="CZ241" s="118"/>
      <c r="DA241" s="144"/>
      <c r="DB241" s="118"/>
      <c r="DC241" s="33"/>
      <c r="DD241" s="39"/>
      <c r="DE241" s="11"/>
      <c r="DF241" s="132"/>
      <c r="DG241" s="132"/>
      <c r="DH241" s="132"/>
      <c r="DI241" s="132"/>
      <c r="DJ241" s="132"/>
      <c r="DK241" s="132"/>
      <c r="DL241" s="132"/>
      <c r="DM241" s="132"/>
      <c r="DN241" s="132"/>
      <c r="DO241" s="132"/>
      <c r="DP241" s="132"/>
      <c r="DQ241" s="132"/>
      <c r="DR241" s="132"/>
      <c r="DS241" s="132"/>
      <c r="DT241" s="132"/>
      <c r="DU241" s="132"/>
      <c r="DV241" s="132"/>
      <c r="DW241" s="132"/>
      <c r="DX241" s="132"/>
      <c r="DY241" s="132"/>
      <c r="DZ241" s="132"/>
      <c r="EA241" s="132"/>
      <c r="EB241" s="132"/>
      <c r="EC241" s="132"/>
      <c r="ED241" s="132"/>
      <c r="EE241" s="132"/>
      <c r="EF241" s="132"/>
      <c r="EG241" s="132"/>
      <c r="EH241" s="132"/>
      <c r="EI241" s="132"/>
      <c r="EJ241" s="132"/>
      <c r="EK241" s="132"/>
      <c r="EL241" s="132"/>
      <c r="EM241" s="132"/>
      <c r="EN241" s="132"/>
      <c r="EO241" s="132"/>
      <c r="EP241" s="132"/>
      <c r="EQ241" s="132"/>
      <c r="ER241" s="132"/>
      <c r="ES241" s="132"/>
      <c r="ET241" s="11"/>
      <c r="EU241" s="11"/>
      <c r="EV241" s="11"/>
      <c r="EW241" s="11"/>
      <c r="EX241" s="11"/>
      <c r="EY241" s="11"/>
      <c r="EZ241" s="11"/>
      <c r="FA241" s="11"/>
      <c r="FB241" s="11"/>
      <c r="FC241" s="11"/>
      <c r="FD241" s="11"/>
      <c r="FE241" s="11"/>
      <c r="FF241" s="11"/>
      <c r="FG241" s="11"/>
      <c r="FH241" s="39">
        <f t="shared" si="50"/>
        <v>746225.2</v>
      </c>
      <c r="FI241" s="33">
        <f t="shared" si="51"/>
        <v>3</v>
      </c>
      <c r="FJ241" s="84">
        <f t="shared" si="52"/>
        <v>248741.73333333331</v>
      </c>
    </row>
    <row r="242" spans="1:166" ht="40.5" x14ac:dyDescent="0.25">
      <c r="A242" s="79" t="e">
        <f>#REF!</f>
        <v>#REF!</v>
      </c>
      <c r="B242" s="75" t="e">
        <f>#REF!</f>
        <v>#REF!</v>
      </c>
      <c r="C242" s="75" t="e">
        <f>#REF!</f>
        <v>#REF!</v>
      </c>
      <c r="D242" s="75" t="e">
        <f>#REF!</f>
        <v>#REF!</v>
      </c>
      <c r="E242" s="30">
        <v>1</v>
      </c>
      <c r="F242" s="238">
        <v>0</v>
      </c>
      <c r="G242" s="241">
        <v>0</v>
      </c>
      <c r="H242" s="249">
        <v>0</v>
      </c>
      <c r="I242" s="249">
        <v>0</v>
      </c>
      <c r="J242" s="249">
        <v>0</v>
      </c>
      <c r="K242" s="249">
        <v>0</v>
      </c>
      <c r="L242" s="274"/>
      <c r="M242" s="274"/>
      <c r="N242" s="247">
        <v>860000</v>
      </c>
      <c r="O242" s="113">
        <f>+N242*0.19</f>
        <v>163400</v>
      </c>
      <c r="P242" s="113">
        <f>+O242+N242</f>
        <v>1023400</v>
      </c>
      <c r="Q242" s="36" t="s">
        <v>127</v>
      </c>
      <c r="R242" s="132" t="s">
        <v>128</v>
      </c>
      <c r="S242" s="64" t="s">
        <v>216</v>
      </c>
      <c r="T242" s="113"/>
      <c r="U242" s="121"/>
      <c r="V242" s="113"/>
      <c r="W242" s="131"/>
      <c r="X242" s="131"/>
      <c r="Y242" s="11"/>
      <c r="Z242" s="113"/>
      <c r="AA242" s="113"/>
      <c r="AB242" s="113"/>
      <c r="AC242" s="52"/>
      <c r="AD242" s="52"/>
      <c r="AE242" s="11"/>
      <c r="AF242" s="118">
        <v>380000</v>
      </c>
      <c r="AG242" s="144">
        <f>AF242*19%</f>
        <v>72200</v>
      </c>
      <c r="AH242" s="113">
        <f>+AF242+AG242</f>
        <v>452200</v>
      </c>
      <c r="AI242" s="11"/>
      <c r="AJ242" s="11"/>
      <c r="AK242" s="39"/>
      <c r="AL242" s="113"/>
      <c r="AM242" s="113"/>
      <c r="AN242" s="117"/>
      <c r="AO242" s="76"/>
      <c r="AP242" s="39"/>
      <c r="AQ242" s="39"/>
      <c r="AR242" s="275"/>
      <c r="AS242" s="156"/>
      <c r="AT242" s="157"/>
      <c r="AU242" s="62"/>
      <c r="AV242" s="62"/>
      <c r="AW242" s="31"/>
      <c r="AX242" s="116"/>
      <c r="AY242" s="194"/>
      <c r="AZ242" s="143"/>
      <c r="BA242" s="191"/>
      <c r="BB242" s="132"/>
      <c r="BC242" s="132"/>
      <c r="BD242" s="274"/>
      <c r="BE242" s="143"/>
      <c r="BF242" s="143"/>
      <c r="BG242" s="132"/>
      <c r="BH242" s="132"/>
      <c r="BI242" s="132"/>
      <c r="BJ242" s="143"/>
      <c r="BK242" s="143"/>
      <c r="BL242" s="143"/>
      <c r="BM242" s="132"/>
      <c r="BN242" s="132"/>
      <c r="BO242" s="132"/>
      <c r="BP242" s="143"/>
      <c r="BQ242" s="132"/>
      <c r="BR242" s="132"/>
      <c r="BS242" s="132"/>
      <c r="BT242" s="132"/>
      <c r="BU242" s="132"/>
      <c r="BV242" s="263">
        <v>1748000</v>
      </c>
      <c r="BW242" s="144">
        <f t="shared" si="55"/>
        <v>332120</v>
      </c>
      <c r="BX242" s="113">
        <f t="shared" si="56"/>
        <v>2080120</v>
      </c>
      <c r="BY242" s="264" t="s">
        <v>62</v>
      </c>
      <c r="BZ242" s="264" t="s">
        <v>126</v>
      </c>
      <c r="CA242" s="132"/>
      <c r="CB242" s="274"/>
      <c r="CC242" s="144"/>
      <c r="CD242" s="274"/>
      <c r="CE242" s="132"/>
      <c r="CF242" s="132"/>
      <c r="CG242" s="36"/>
      <c r="CH242" s="263"/>
      <c r="CI242" s="265"/>
      <c r="CJ242" s="263"/>
      <c r="CK242" s="264"/>
      <c r="CL242" s="264"/>
      <c r="CM242" s="132"/>
      <c r="CN242" s="274"/>
      <c r="CO242" s="144"/>
      <c r="CP242" s="274"/>
      <c r="CQ242" s="132"/>
      <c r="CR242" s="132"/>
      <c r="CS242" s="132"/>
      <c r="CT242" s="274"/>
      <c r="CU242" s="144"/>
      <c r="CV242" s="274"/>
      <c r="CW242" s="132"/>
      <c r="CX242" s="132"/>
      <c r="CY242" s="132"/>
      <c r="CZ242" s="118">
        <v>1508061</v>
      </c>
      <c r="DA242" s="144">
        <f>+CZ242*0.19</f>
        <v>286531.59000000003</v>
      </c>
      <c r="DB242" s="118">
        <f>+CZ242+DA242</f>
        <v>1794592.59</v>
      </c>
      <c r="DC242" s="33" t="s">
        <v>142</v>
      </c>
      <c r="DD242" s="39" t="s">
        <v>58</v>
      </c>
      <c r="DE242" s="11">
        <v>1004660500</v>
      </c>
      <c r="DF242" s="132"/>
      <c r="DG242" s="132"/>
      <c r="DH242" s="132"/>
      <c r="DI242" s="132"/>
      <c r="DJ242" s="132"/>
      <c r="DK242" s="132"/>
      <c r="DL242" s="132"/>
      <c r="DM242" s="132"/>
      <c r="DN242" s="132"/>
      <c r="DO242" s="132"/>
      <c r="DP242" s="132"/>
      <c r="DQ242" s="132"/>
      <c r="DR242" s="132"/>
      <c r="DS242" s="132"/>
      <c r="DT242" s="132"/>
      <c r="DU242" s="132"/>
      <c r="DV242" s="132"/>
      <c r="DW242" s="132"/>
      <c r="DX242" s="132"/>
      <c r="DY242" s="132"/>
      <c r="DZ242" s="132"/>
      <c r="EA242" s="132"/>
      <c r="EB242" s="132"/>
      <c r="EC242" s="132"/>
      <c r="ED242" s="132"/>
      <c r="EE242" s="132"/>
      <c r="EF242" s="132"/>
      <c r="EG242" s="132"/>
      <c r="EH242" s="132"/>
      <c r="EI242" s="132"/>
      <c r="EJ242" s="132"/>
      <c r="EK242" s="132"/>
      <c r="EL242" s="132"/>
      <c r="EM242" s="132"/>
      <c r="EN242" s="132"/>
      <c r="EO242" s="132"/>
      <c r="EP242" s="132"/>
      <c r="EQ242" s="132"/>
      <c r="ER242" s="132"/>
      <c r="ES242" s="132"/>
      <c r="ET242" s="11"/>
      <c r="EU242" s="11"/>
      <c r="EV242" s="11"/>
      <c r="EW242" s="11"/>
      <c r="EX242" s="11"/>
      <c r="EY242" s="11"/>
      <c r="EZ242" s="11"/>
      <c r="FA242" s="11"/>
      <c r="FB242" s="11"/>
      <c r="FC242" s="11"/>
      <c r="FD242" s="11"/>
      <c r="FE242" s="11"/>
      <c r="FF242" s="11"/>
      <c r="FG242" s="11"/>
      <c r="FH242" s="39">
        <f t="shared" si="50"/>
        <v>5350312.59</v>
      </c>
      <c r="FI242" s="33">
        <f t="shared" si="51"/>
        <v>4</v>
      </c>
      <c r="FJ242" s="84">
        <f t="shared" si="52"/>
        <v>1337578.1475</v>
      </c>
    </row>
    <row r="243" spans="1:166" ht="27" x14ac:dyDescent="0.25">
      <c r="A243" s="79" t="e">
        <f>#REF!</f>
        <v>#REF!</v>
      </c>
      <c r="B243" s="75" t="e">
        <f>#REF!</f>
        <v>#REF!</v>
      </c>
      <c r="C243" s="75" t="e">
        <f>#REF!</f>
        <v>#REF!</v>
      </c>
      <c r="D243" s="75" t="e">
        <f>#REF!</f>
        <v>#REF!</v>
      </c>
      <c r="E243" s="30">
        <v>1</v>
      </c>
      <c r="F243" s="238">
        <v>158888.79999999999</v>
      </c>
      <c r="G243" s="241">
        <v>154105</v>
      </c>
      <c r="H243" s="249">
        <v>169991.44764</v>
      </c>
      <c r="I243" s="249">
        <v>0</v>
      </c>
      <c r="J243" s="249">
        <v>286117.65000000002</v>
      </c>
      <c r="K243" s="249">
        <v>0</v>
      </c>
      <c r="L243" s="274">
        <f>AVERAGE(F243,H243,J243)</f>
        <v>204999.29921333332</v>
      </c>
      <c r="M243" s="274">
        <f>G243*E1</f>
        <v>158728.15</v>
      </c>
      <c r="N243" s="245"/>
      <c r="O243" s="113"/>
      <c r="P243" s="113"/>
      <c r="Q243" s="131"/>
      <c r="R243" s="131"/>
      <c r="S243" s="64"/>
      <c r="T243" s="113"/>
      <c r="U243" s="113"/>
      <c r="V243" s="113"/>
      <c r="W243" s="131"/>
      <c r="X243" s="131"/>
      <c r="Y243" s="11"/>
      <c r="Z243" s="113"/>
      <c r="AA243" s="113"/>
      <c r="AB243" s="113"/>
      <c r="AC243" s="52"/>
      <c r="AD243" s="52"/>
      <c r="AE243" s="11"/>
      <c r="AF243" s="118">
        <v>410000</v>
      </c>
      <c r="AG243" s="144">
        <f>AF243*19%</f>
        <v>77900</v>
      </c>
      <c r="AH243" s="113">
        <f>+AF243+AG243</f>
        <v>487900</v>
      </c>
      <c r="AI243" s="11"/>
      <c r="AJ243" s="11"/>
      <c r="AK243" s="39"/>
      <c r="AL243" s="113">
        <v>120000</v>
      </c>
      <c r="AM243" s="113">
        <f>+AL243*0.19</f>
        <v>22800</v>
      </c>
      <c r="AN243" s="119">
        <f>+AL243+AM243</f>
        <v>142800</v>
      </c>
      <c r="AO243" s="76" t="s">
        <v>60</v>
      </c>
      <c r="AP243" s="39" t="s">
        <v>45</v>
      </c>
      <c r="AQ243" s="39"/>
      <c r="AR243" s="275">
        <f>367200/2</f>
        <v>183600</v>
      </c>
      <c r="AS243" s="113">
        <f>+AR243*0.19</f>
        <v>34884</v>
      </c>
      <c r="AT243" s="119">
        <f>+AR243+AS243</f>
        <v>218484</v>
      </c>
      <c r="AU243" s="62" t="s">
        <v>60</v>
      </c>
      <c r="AV243" s="62" t="s">
        <v>35</v>
      </c>
      <c r="AW243" s="31"/>
      <c r="AX243" s="116"/>
      <c r="AY243" s="116"/>
      <c r="AZ243" s="143"/>
      <c r="BA243" s="191"/>
      <c r="BB243" s="132"/>
      <c r="BC243" s="132"/>
      <c r="BD243" s="274"/>
      <c r="BE243" s="143"/>
      <c r="BF243" s="143"/>
      <c r="BG243" s="132"/>
      <c r="BH243" s="132"/>
      <c r="BI243" s="132"/>
      <c r="BJ243" s="143"/>
      <c r="BK243" s="143"/>
      <c r="BL243" s="143"/>
      <c r="BM243" s="132"/>
      <c r="BN243" s="132"/>
      <c r="BO243" s="132"/>
      <c r="BP243" s="143"/>
      <c r="BQ243" s="132"/>
      <c r="BR243" s="132"/>
      <c r="BS243" s="132"/>
      <c r="BT243" s="132"/>
      <c r="BU243" s="132"/>
      <c r="BV243" s="263">
        <v>216500</v>
      </c>
      <c r="BW243" s="144">
        <f t="shared" si="55"/>
        <v>41135</v>
      </c>
      <c r="BX243" s="113">
        <f t="shared" si="56"/>
        <v>257635</v>
      </c>
      <c r="BY243" s="264" t="s">
        <v>79</v>
      </c>
      <c r="BZ243" s="264" t="s">
        <v>88</v>
      </c>
      <c r="CA243" s="132"/>
      <c r="CB243" s="274"/>
      <c r="CC243" s="144"/>
      <c r="CD243" s="274"/>
      <c r="CE243" s="132"/>
      <c r="CF243" s="132"/>
      <c r="CG243" s="36"/>
      <c r="CH243" s="263">
        <v>231655</v>
      </c>
      <c r="CI243" s="265">
        <f t="shared" ref="CI243:CI249" si="57">+CH243*0.19</f>
        <v>44014.45</v>
      </c>
      <c r="CJ243" s="263">
        <f t="shared" ref="CJ243:CJ249" si="58">+CH243+CI243</f>
        <v>275669.45</v>
      </c>
      <c r="CK243" s="264" t="s">
        <v>79</v>
      </c>
      <c r="CL243" s="264" t="s">
        <v>88</v>
      </c>
      <c r="CM243" s="132"/>
      <c r="CN243" s="274"/>
      <c r="CO243" s="144"/>
      <c r="CP243" s="274"/>
      <c r="CQ243" s="132"/>
      <c r="CR243" s="132"/>
      <c r="CS243" s="132"/>
      <c r="CT243" s="144">
        <v>175000</v>
      </c>
      <c r="CU243" s="144">
        <f>CT243*0.05</f>
        <v>8750</v>
      </c>
      <c r="CV243" s="144">
        <f>CT243+CU243</f>
        <v>183750</v>
      </c>
      <c r="CW243" s="132"/>
      <c r="CX243" s="132"/>
      <c r="CY243" s="132"/>
      <c r="CZ243" s="118"/>
      <c r="DA243" s="144"/>
      <c r="DB243" s="118"/>
      <c r="DC243" s="33"/>
      <c r="DD243" s="39"/>
      <c r="DE243" s="11"/>
      <c r="DF243" s="132"/>
      <c r="DG243" s="132"/>
      <c r="DH243" s="132"/>
      <c r="DI243" s="132"/>
      <c r="DJ243" s="132"/>
      <c r="DK243" s="132"/>
      <c r="DL243" s="132"/>
      <c r="DM243" s="132"/>
      <c r="DN243" s="132"/>
      <c r="DO243" s="132"/>
      <c r="DP243" s="132"/>
      <c r="DQ243" s="132"/>
      <c r="DR243" s="132"/>
      <c r="DS243" s="132"/>
      <c r="DT243" s="132"/>
      <c r="DU243" s="132"/>
      <c r="DV243" s="132"/>
      <c r="DW243" s="132"/>
      <c r="DX243" s="132"/>
      <c r="DY243" s="132"/>
      <c r="DZ243" s="132"/>
      <c r="EA243" s="132"/>
      <c r="EB243" s="132"/>
      <c r="EC243" s="132"/>
      <c r="ED243" s="132"/>
      <c r="EE243" s="132"/>
      <c r="EF243" s="132"/>
      <c r="EG243" s="132"/>
      <c r="EH243" s="132"/>
      <c r="EI243" s="132"/>
      <c r="EJ243" s="132"/>
      <c r="EK243" s="132"/>
      <c r="EL243" s="132"/>
      <c r="EM243" s="132"/>
      <c r="EN243" s="132"/>
      <c r="EO243" s="132"/>
      <c r="EP243" s="132"/>
      <c r="EQ243" s="132"/>
      <c r="ER243" s="132"/>
      <c r="ES243" s="132"/>
      <c r="ET243" s="11"/>
      <c r="EU243" s="11"/>
      <c r="EV243" s="11"/>
      <c r="EW243" s="11"/>
      <c r="EX243" s="11"/>
      <c r="EY243" s="11"/>
      <c r="EZ243" s="11"/>
      <c r="FA243" s="11"/>
      <c r="FB243" s="11"/>
      <c r="FC243" s="11"/>
      <c r="FD243" s="11"/>
      <c r="FE243" s="11"/>
      <c r="FF243" s="11"/>
      <c r="FG243" s="11"/>
      <c r="FH243" s="39">
        <f t="shared" si="50"/>
        <v>1724966.5999999999</v>
      </c>
      <c r="FI243" s="33">
        <f t="shared" si="51"/>
        <v>7</v>
      </c>
      <c r="FJ243" s="84">
        <f t="shared" si="52"/>
        <v>246423.8</v>
      </c>
    </row>
    <row r="244" spans="1:166" ht="27" x14ac:dyDescent="0.25">
      <c r="A244" s="79" t="e">
        <f>#REF!</f>
        <v>#REF!</v>
      </c>
      <c r="B244" s="75" t="e">
        <f>#REF!</f>
        <v>#REF!</v>
      </c>
      <c r="C244" s="75" t="e">
        <f>#REF!</f>
        <v>#REF!</v>
      </c>
      <c r="D244" s="75" t="e">
        <f>#REF!</f>
        <v>#REF!</v>
      </c>
      <c r="E244" s="30">
        <v>1</v>
      </c>
      <c r="F244" s="238">
        <v>0</v>
      </c>
      <c r="G244" s="241">
        <v>0</v>
      </c>
      <c r="H244" s="249">
        <v>0</v>
      </c>
      <c r="I244" s="249">
        <v>0</v>
      </c>
      <c r="J244" s="249">
        <v>0</v>
      </c>
      <c r="K244" s="249">
        <v>0</v>
      </c>
      <c r="L244" s="274"/>
      <c r="M244" s="274"/>
      <c r="N244" s="245"/>
      <c r="O244" s="113"/>
      <c r="P244" s="113"/>
      <c r="Q244" s="131"/>
      <c r="R244" s="131"/>
      <c r="S244" s="64"/>
      <c r="T244" s="113"/>
      <c r="U244" s="113"/>
      <c r="V244" s="113"/>
      <c r="W244" s="131"/>
      <c r="X244" s="131"/>
      <c r="Y244" s="11"/>
      <c r="Z244" s="113"/>
      <c r="AA244" s="113"/>
      <c r="AB244" s="113"/>
      <c r="AC244" s="52"/>
      <c r="AD244" s="52"/>
      <c r="AE244" s="11"/>
      <c r="AF244" s="118"/>
      <c r="AG244" s="144"/>
      <c r="AH244" s="113"/>
      <c r="AI244" s="11"/>
      <c r="AJ244" s="11"/>
      <c r="AK244" s="39"/>
      <c r="AL244" s="113"/>
      <c r="AM244" s="113"/>
      <c r="AN244" s="117"/>
      <c r="AO244" s="76"/>
      <c r="AP244" s="39"/>
      <c r="AQ244" s="39"/>
      <c r="AR244" s="275">
        <v>252000</v>
      </c>
      <c r="AS244" s="113">
        <f>+AR244*0.19</f>
        <v>47880</v>
      </c>
      <c r="AT244" s="119">
        <f>+AR244+AS244</f>
        <v>299880</v>
      </c>
      <c r="AU244" s="62" t="s">
        <v>109</v>
      </c>
      <c r="AV244" s="62" t="s">
        <v>35</v>
      </c>
      <c r="AW244" s="31"/>
      <c r="AX244" s="116"/>
      <c r="AY244" s="196"/>
      <c r="AZ244" s="143"/>
      <c r="BA244" s="191"/>
      <c r="BB244" s="132"/>
      <c r="BC244" s="132"/>
      <c r="BD244" s="274"/>
      <c r="BE244" s="143"/>
      <c r="BF244" s="143"/>
      <c r="BG244" s="132"/>
      <c r="BH244" s="132"/>
      <c r="BI244" s="132"/>
      <c r="BJ244" s="143"/>
      <c r="BK244" s="143"/>
      <c r="BL244" s="143"/>
      <c r="BM244" s="132"/>
      <c r="BN244" s="132"/>
      <c r="BO244" s="132"/>
      <c r="BP244" s="143"/>
      <c r="BQ244" s="132"/>
      <c r="BR244" s="132"/>
      <c r="BS244" s="132"/>
      <c r="BT244" s="132"/>
      <c r="BU244" s="132"/>
      <c r="BV244" s="263">
        <v>1166700</v>
      </c>
      <c r="BW244" s="144">
        <f t="shared" si="55"/>
        <v>221673</v>
      </c>
      <c r="BX244" s="113">
        <f t="shared" si="56"/>
        <v>1388373</v>
      </c>
      <c r="BY244" s="264" t="s">
        <v>297</v>
      </c>
      <c r="BZ244" s="264" t="s">
        <v>237</v>
      </c>
      <c r="CA244" s="132"/>
      <c r="CB244" s="274"/>
      <c r="CC244" s="144"/>
      <c r="CD244" s="274"/>
      <c r="CE244" s="132"/>
      <c r="CF244" s="132"/>
      <c r="CG244" s="36"/>
      <c r="CH244" s="263">
        <v>1178367</v>
      </c>
      <c r="CI244" s="265">
        <f t="shared" si="57"/>
        <v>223889.73</v>
      </c>
      <c r="CJ244" s="263">
        <f t="shared" si="58"/>
        <v>1402256.73</v>
      </c>
      <c r="CK244" s="264" t="s">
        <v>297</v>
      </c>
      <c r="CL244" s="264" t="s">
        <v>237</v>
      </c>
      <c r="CM244" s="132"/>
      <c r="CN244" s="274"/>
      <c r="CO244" s="144"/>
      <c r="CP244" s="274"/>
      <c r="CQ244" s="132"/>
      <c r="CR244" s="132"/>
      <c r="CS244" s="132"/>
      <c r="CT244" s="274"/>
      <c r="CU244" s="144"/>
      <c r="CV244" s="274"/>
      <c r="CW244" s="132"/>
      <c r="CX244" s="132"/>
      <c r="CY244" s="132"/>
      <c r="CZ244" s="118"/>
      <c r="DA244" s="144"/>
      <c r="DB244" s="118"/>
      <c r="DC244" s="33"/>
      <c r="DD244" s="39"/>
      <c r="DE244" s="11"/>
      <c r="DF244" s="132"/>
      <c r="DG244" s="132"/>
      <c r="DH244" s="132"/>
      <c r="DI244" s="132"/>
      <c r="DJ244" s="132"/>
      <c r="DK244" s="132"/>
      <c r="DL244" s="132"/>
      <c r="DM244" s="132"/>
      <c r="DN244" s="132"/>
      <c r="DO244" s="132"/>
      <c r="DP244" s="132"/>
      <c r="DQ244" s="132"/>
      <c r="DR244" s="132"/>
      <c r="DS244" s="132"/>
      <c r="DT244" s="132"/>
      <c r="DU244" s="132"/>
      <c r="DV244" s="132"/>
      <c r="DW244" s="132"/>
      <c r="DX244" s="132"/>
      <c r="DY244" s="132"/>
      <c r="DZ244" s="132"/>
      <c r="EA244" s="132"/>
      <c r="EB244" s="132"/>
      <c r="EC244" s="132"/>
      <c r="ED244" s="132"/>
      <c r="EE244" s="132"/>
      <c r="EF244" s="132"/>
      <c r="EG244" s="132"/>
      <c r="EH244" s="132"/>
      <c r="EI244" s="132"/>
      <c r="EJ244" s="132"/>
      <c r="EK244" s="132"/>
      <c r="EL244" s="132"/>
      <c r="EM244" s="132"/>
      <c r="EN244" s="132"/>
      <c r="EO244" s="132"/>
      <c r="EP244" s="132"/>
      <c r="EQ244" s="132"/>
      <c r="ER244" s="132"/>
      <c r="ES244" s="132"/>
      <c r="ET244" s="11"/>
      <c r="EU244" s="11"/>
      <c r="EV244" s="11"/>
      <c r="EW244" s="11"/>
      <c r="EX244" s="11"/>
      <c r="EY244" s="11"/>
      <c r="EZ244" s="11"/>
      <c r="FA244" s="11"/>
      <c r="FB244" s="11"/>
      <c r="FC244" s="11"/>
      <c r="FD244" s="11"/>
      <c r="FE244" s="11"/>
      <c r="FF244" s="11"/>
      <c r="FG244" s="11"/>
      <c r="FH244" s="39">
        <f t="shared" si="50"/>
        <v>3090509.73</v>
      </c>
      <c r="FI244" s="33">
        <f t="shared" si="51"/>
        <v>3</v>
      </c>
      <c r="FJ244" s="84">
        <f t="shared" si="52"/>
        <v>1030169.91</v>
      </c>
    </row>
    <row r="245" spans="1:166" ht="27" x14ac:dyDescent="0.25">
      <c r="A245" s="79" t="e">
        <f>#REF!</f>
        <v>#REF!</v>
      </c>
      <c r="B245" s="75" t="e">
        <f>#REF!</f>
        <v>#REF!</v>
      </c>
      <c r="C245" s="75" t="e">
        <f>#REF!</f>
        <v>#REF!</v>
      </c>
      <c r="D245" s="75" t="e">
        <f>#REF!</f>
        <v>#REF!</v>
      </c>
      <c r="E245" s="30">
        <v>1</v>
      </c>
      <c r="F245" s="238">
        <v>111146</v>
      </c>
      <c r="G245" s="241">
        <v>111146</v>
      </c>
      <c r="H245" s="249">
        <v>182100.46796666668</v>
      </c>
      <c r="I245" s="249">
        <v>0</v>
      </c>
      <c r="J245" s="249">
        <v>110711.65</v>
      </c>
      <c r="K245" s="249">
        <v>0</v>
      </c>
      <c r="L245" s="274">
        <f>AVERAGE(F245,H245,J245)</f>
        <v>134652.70598888889</v>
      </c>
      <c r="M245" s="274">
        <f>G245*E1</f>
        <v>114480.38</v>
      </c>
      <c r="N245" s="245"/>
      <c r="O245" s="113"/>
      <c r="P245" s="113"/>
      <c r="Q245" s="131"/>
      <c r="R245" s="131"/>
      <c r="S245" s="64"/>
      <c r="T245" s="113"/>
      <c r="U245" s="113"/>
      <c r="V245" s="113"/>
      <c r="W245" s="131"/>
      <c r="X245" s="131"/>
      <c r="Y245" s="11"/>
      <c r="Z245" s="113"/>
      <c r="AA245" s="113"/>
      <c r="AB245" s="113"/>
      <c r="AC245" s="52"/>
      <c r="AD245" s="52"/>
      <c r="AE245" s="11"/>
      <c r="AF245" s="118"/>
      <c r="AG245" s="144"/>
      <c r="AH245" s="113"/>
      <c r="AI245" s="11"/>
      <c r="AJ245" s="11"/>
      <c r="AK245" s="39"/>
      <c r="AL245" s="113">
        <v>490000</v>
      </c>
      <c r="AM245" s="113">
        <f>+AL245*0.19</f>
        <v>93100</v>
      </c>
      <c r="AN245" s="119">
        <f>+AL245+AM245</f>
        <v>583100</v>
      </c>
      <c r="AO245" s="76" t="s">
        <v>95</v>
      </c>
      <c r="AP245" s="39" t="s">
        <v>45</v>
      </c>
      <c r="AQ245" s="39"/>
      <c r="AR245" s="275"/>
      <c r="AS245" s="156"/>
      <c r="AT245" s="157"/>
      <c r="AU245" s="62"/>
      <c r="AV245" s="62"/>
      <c r="AW245" s="31"/>
      <c r="AX245" s="116"/>
      <c r="AY245" s="116"/>
      <c r="AZ245" s="143"/>
      <c r="BA245" s="191"/>
      <c r="BB245" s="132"/>
      <c r="BC245" s="132"/>
      <c r="BD245" s="274"/>
      <c r="BE245" s="143"/>
      <c r="BF245" s="143"/>
      <c r="BG245" s="132"/>
      <c r="BH245" s="132"/>
      <c r="BI245" s="132"/>
      <c r="BJ245" s="143"/>
      <c r="BK245" s="143"/>
      <c r="BL245" s="143"/>
      <c r="BM245" s="132"/>
      <c r="BN245" s="132"/>
      <c r="BO245" s="132"/>
      <c r="BP245" s="143"/>
      <c r="BQ245" s="132"/>
      <c r="BR245" s="132"/>
      <c r="BS245" s="132"/>
      <c r="BT245" s="132"/>
      <c r="BU245" s="132"/>
      <c r="BV245" s="263">
        <v>159000</v>
      </c>
      <c r="BW245" s="144">
        <f t="shared" si="55"/>
        <v>30210</v>
      </c>
      <c r="BX245" s="113">
        <f t="shared" si="56"/>
        <v>189210</v>
      </c>
      <c r="BY245" s="264" t="s">
        <v>62</v>
      </c>
      <c r="BZ245" s="264" t="s">
        <v>294</v>
      </c>
      <c r="CA245" s="132"/>
      <c r="CB245" s="274"/>
      <c r="CC245" s="144"/>
      <c r="CD245" s="274"/>
      <c r="CE245" s="132"/>
      <c r="CF245" s="132"/>
      <c r="CG245" s="36"/>
      <c r="CH245" s="263">
        <v>165360</v>
      </c>
      <c r="CI245" s="265">
        <f t="shared" si="57"/>
        <v>31418.400000000001</v>
      </c>
      <c r="CJ245" s="263">
        <f t="shared" si="58"/>
        <v>196778.4</v>
      </c>
      <c r="CK245" s="264" t="s">
        <v>62</v>
      </c>
      <c r="CL245" s="264" t="s">
        <v>294</v>
      </c>
      <c r="CM245" s="132"/>
      <c r="CN245" s="274"/>
      <c r="CO245" s="144"/>
      <c r="CP245" s="274"/>
      <c r="CQ245" s="132"/>
      <c r="CR245" s="132"/>
      <c r="CS245" s="132"/>
      <c r="CT245" s="144">
        <v>112500</v>
      </c>
      <c r="CU245" s="144">
        <f>CT245*0.19</f>
        <v>21375</v>
      </c>
      <c r="CV245" s="144">
        <f>CU245+CT245</f>
        <v>133875</v>
      </c>
      <c r="CW245" s="132"/>
      <c r="CX245" s="132"/>
      <c r="CY245" s="132"/>
      <c r="CZ245" s="118">
        <v>124700</v>
      </c>
      <c r="DA245" s="144">
        <f>+CZ245*0.19</f>
        <v>23693</v>
      </c>
      <c r="DB245" s="118">
        <f>+CZ245+DA245</f>
        <v>148393</v>
      </c>
      <c r="DC245" s="33" t="s">
        <v>76</v>
      </c>
      <c r="DD245" s="39" t="s">
        <v>58</v>
      </c>
      <c r="DE245" s="11" t="s">
        <v>298</v>
      </c>
      <c r="DF245" s="132"/>
      <c r="DG245" s="132"/>
      <c r="DH245" s="132"/>
      <c r="DI245" s="132"/>
      <c r="DJ245" s="132"/>
      <c r="DK245" s="132"/>
      <c r="DL245" s="132"/>
      <c r="DM245" s="132"/>
      <c r="DN245" s="132"/>
      <c r="DO245" s="132"/>
      <c r="DP245" s="132"/>
      <c r="DQ245" s="132"/>
      <c r="DR245" s="132"/>
      <c r="DS245" s="132"/>
      <c r="DT245" s="132"/>
      <c r="DU245" s="132"/>
      <c r="DV245" s="132"/>
      <c r="DW245" s="132"/>
      <c r="DX245" s="132"/>
      <c r="DY245" s="132"/>
      <c r="DZ245" s="132"/>
      <c r="EA245" s="132"/>
      <c r="EB245" s="132"/>
      <c r="EC245" s="132"/>
      <c r="ED245" s="132"/>
      <c r="EE245" s="132"/>
      <c r="EF245" s="132"/>
      <c r="EG245" s="132"/>
      <c r="EH245" s="132"/>
      <c r="EI245" s="132"/>
      <c r="EJ245" s="132"/>
      <c r="EK245" s="132"/>
      <c r="EL245" s="132"/>
      <c r="EM245" s="132"/>
      <c r="EN245" s="132"/>
      <c r="EO245" s="132"/>
      <c r="EP245" s="132"/>
      <c r="EQ245" s="132"/>
      <c r="ER245" s="132"/>
      <c r="ES245" s="132"/>
      <c r="ET245" s="11"/>
      <c r="EU245" s="11"/>
      <c r="EV245" s="11"/>
      <c r="EW245" s="11"/>
      <c r="EX245" s="11"/>
      <c r="EY245" s="11"/>
      <c r="EZ245" s="11"/>
      <c r="FA245" s="11"/>
      <c r="FB245" s="11"/>
      <c r="FC245" s="11"/>
      <c r="FD245" s="11"/>
      <c r="FE245" s="11"/>
      <c r="FF245" s="11"/>
      <c r="FG245" s="11"/>
      <c r="FH245" s="39">
        <f t="shared" si="50"/>
        <v>1365836.78</v>
      </c>
      <c r="FI245" s="33">
        <f t="shared" si="51"/>
        <v>6</v>
      </c>
      <c r="FJ245" s="84">
        <f t="shared" si="52"/>
        <v>227639.46333333335</v>
      </c>
    </row>
    <row r="246" spans="1:166" ht="27" x14ac:dyDescent="0.25">
      <c r="A246" s="79" t="e">
        <f>#REF!</f>
        <v>#REF!</v>
      </c>
      <c r="B246" s="75" t="e">
        <f>#REF!</f>
        <v>#REF!</v>
      </c>
      <c r="C246" s="75" t="e">
        <f>#REF!</f>
        <v>#REF!</v>
      </c>
      <c r="D246" s="75" t="e">
        <f>#REF!</f>
        <v>#REF!</v>
      </c>
      <c r="E246" s="30">
        <v>1</v>
      </c>
      <c r="F246" s="238">
        <v>1240575</v>
      </c>
      <c r="G246" s="241">
        <v>0</v>
      </c>
      <c r="H246" s="249">
        <v>962673.40750000009</v>
      </c>
      <c r="I246" s="249">
        <v>0</v>
      </c>
      <c r="J246" s="249">
        <v>0</v>
      </c>
      <c r="K246" s="249">
        <v>0</v>
      </c>
      <c r="L246" s="274">
        <f>AVERAGE(F246,H246)</f>
        <v>1101624.2037500001</v>
      </c>
      <c r="M246" s="274"/>
      <c r="N246" s="245"/>
      <c r="O246" s="113"/>
      <c r="P246" s="113"/>
      <c r="Q246" s="131"/>
      <c r="R246" s="131"/>
      <c r="S246" s="64"/>
      <c r="T246" s="113"/>
      <c r="U246" s="117"/>
      <c r="V246" s="113"/>
      <c r="W246" s="131"/>
      <c r="X246" s="131"/>
      <c r="Y246" s="11"/>
      <c r="Z246" s="113"/>
      <c r="AA246" s="113"/>
      <c r="AB246" s="113"/>
      <c r="AC246" s="52"/>
      <c r="AD246" s="52"/>
      <c r="AE246" s="11"/>
      <c r="AF246" s="118"/>
      <c r="AG246" s="144"/>
      <c r="AH246" s="113"/>
      <c r="AI246" s="11"/>
      <c r="AJ246" s="11"/>
      <c r="AK246" s="39"/>
      <c r="AL246" s="113"/>
      <c r="AM246" s="113"/>
      <c r="AN246" s="117"/>
      <c r="AO246" s="76"/>
      <c r="AP246" s="39"/>
      <c r="AQ246" s="39"/>
      <c r="AR246" s="275">
        <v>835200</v>
      </c>
      <c r="AS246" s="113">
        <f t="shared" ref="AS246:AS253" si="59">+AR246*0.19</f>
        <v>158688</v>
      </c>
      <c r="AT246" s="119">
        <f t="shared" ref="AT246:AT253" si="60">+AR246+AS246</f>
        <v>993888</v>
      </c>
      <c r="AU246" s="62" t="s">
        <v>54</v>
      </c>
      <c r="AV246" s="62" t="s">
        <v>35</v>
      </c>
      <c r="AW246" s="31"/>
      <c r="AX246" s="116"/>
      <c r="AY246" s="116"/>
      <c r="AZ246" s="143"/>
      <c r="BA246" s="191"/>
      <c r="BB246" s="132"/>
      <c r="BC246" s="132"/>
      <c r="BD246" s="274"/>
      <c r="BE246" s="143"/>
      <c r="BF246" s="143"/>
      <c r="BG246" s="132"/>
      <c r="BH246" s="132"/>
      <c r="BI246" s="132"/>
      <c r="BJ246" s="143"/>
      <c r="BK246" s="143"/>
      <c r="BL246" s="143"/>
      <c r="BM246" s="132"/>
      <c r="BN246" s="132"/>
      <c r="BO246" s="132"/>
      <c r="BP246" s="143"/>
      <c r="BQ246" s="132"/>
      <c r="BR246" s="132"/>
      <c r="BS246" s="132"/>
      <c r="BT246" s="132"/>
      <c r="BU246" s="132"/>
      <c r="BV246" s="263">
        <v>1621700</v>
      </c>
      <c r="BW246" s="144">
        <f t="shared" si="55"/>
        <v>308123</v>
      </c>
      <c r="BX246" s="113">
        <f t="shared" si="56"/>
        <v>1929823</v>
      </c>
      <c r="BY246" s="264" t="s">
        <v>56</v>
      </c>
      <c r="BZ246" s="264" t="s">
        <v>237</v>
      </c>
      <c r="CA246" s="132"/>
      <c r="CB246" s="274"/>
      <c r="CC246" s="144"/>
      <c r="CD246" s="274"/>
      <c r="CE246" s="132"/>
      <c r="CF246" s="132"/>
      <c r="CG246" s="36"/>
      <c r="CH246" s="263">
        <v>1702785</v>
      </c>
      <c r="CI246" s="265">
        <f t="shared" si="57"/>
        <v>323529.15000000002</v>
      </c>
      <c r="CJ246" s="263">
        <f t="shared" si="58"/>
        <v>2026314.15</v>
      </c>
      <c r="CK246" s="264" t="s">
        <v>56</v>
      </c>
      <c r="CL246" s="264" t="s">
        <v>237</v>
      </c>
      <c r="CM246" s="132"/>
      <c r="CN246" s="274"/>
      <c r="CO246" s="144"/>
      <c r="CP246" s="274"/>
      <c r="CQ246" s="132"/>
      <c r="CR246" s="132"/>
      <c r="CS246" s="132"/>
      <c r="CT246" s="274"/>
      <c r="CU246" s="144"/>
      <c r="CV246" s="274"/>
      <c r="CW246" s="132"/>
      <c r="CX246" s="132"/>
      <c r="CY246" s="132"/>
      <c r="CZ246" s="118"/>
      <c r="DA246" s="144"/>
      <c r="DB246" s="118"/>
      <c r="DC246" s="33"/>
      <c r="DD246" s="39"/>
      <c r="DE246" s="11"/>
      <c r="DF246" s="132"/>
      <c r="DG246" s="132"/>
      <c r="DH246" s="132"/>
      <c r="DI246" s="132"/>
      <c r="DJ246" s="132"/>
      <c r="DK246" s="132"/>
      <c r="DL246" s="132"/>
      <c r="DM246" s="132"/>
      <c r="DN246" s="132"/>
      <c r="DO246" s="132"/>
      <c r="DP246" s="132"/>
      <c r="DQ246" s="132"/>
      <c r="DR246" s="132"/>
      <c r="DS246" s="132"/>
      <c r="DT246" s="132"/>
      <c r="DU246" s="132"/>
      <c r="DV246" s="132"/>
      <c r="DW246" s="132"/>
      <c r="DX246" s="132"/>
      <c r="DY246" s="132"/>
      <c r="DZ246" s="132"/>
      <c r="EA246" s="132"/>
      <c r="EB246" s="132"/>
      <c r="EC246" s="132"/>
      <c r="ED246" s="132"/>
      <c r="EE246" s="132"/>
      <c r="EF246" s="132"/>
      <c r="EG246" s="132"/>
      <c r="EH246" s="132"/>
      <c r="EI246" s="132"/>
      <c r="EJ246" s="132"/>
      <c r="EK246" s="132"/>
      <c r="EL246" s="132"/>
      <c r="EM246" s="132"/>
      <c r="EN246" s="132"/>
      <c r="EO246" s="132"/>
      <c r="EP246" s="132"/>
      <c r="EQ246" s="132"/>
      <c r="ER246" s="132"/>
      <c r="ES246" s="132"/>
      <c r="ET246" s="11"/>
      <c r="EU246" s="11"/>
      <c r="EV246" s="11"/>
      <c r="EW246" s="11"/>
      <c r="EX246" s="11"/>
      <c r="EY246" s="11"/>
      <c r="EZ246" s="11"/>
      <c r="FA246" s="11"/>
      <c r="FB246" s="11"/>
      <c r="FC246" s="11"/>
      <c r="FD246" s="11"/>
      <c r="FE246" s="11"/>
      <c r="FF246" s="11"/>
      <c r="FG246" s="11"/>
      <c r="FH246" s="39">
        <f t="shared" si="50"/>
        <v>4950025.1500000004</v>
      </c>
      <c r="FI246" s="33">
        <f t="shared" si="51"/>
        <v>3</v>
      </c>
      <c r="FJ246" s="84">
        <f t="shared" si="52"/>
        <v>1650008.3833333335</v>
      </c>
    </row>
    <row r="247" spans="1:166" ht="27" x14ac:dyDescent="0.25">
      <c r="A247" s="79" t="e">
        <f>#REF!</f>
        <v>#REF!</v>
      </c>
      <c r="B247" s="75" t="e">
        <f>#REF!</f>
        <v>#REF!</v>
      </c>
      <c r="C247" s="75" t="e">
        <f>#REF!</f>
        <v>#REF!</v>
      </c>
      <c r="D247" s="75" t="e">
        <f>#REF!</f>
        <v>#REF!</v>
      </c>
      <c r="E247" s="30">
        <v>1</v>
      </c>
      <c r="F247" s="238">
        <v>361479.16000000003</v>
      </c>
      <c r="G247" s="241">
        <v>361403</v>
      </c>
      <c r="H247" s="249">
        <v>327435.06586466666</v>
      </c>
      <c r="I247" s="249">
        <v>0</v>
      </c>
      <c r="J247" s="249">
        <v>541955.75</v>
      </c>
      <c r="K247" s="249">
        <v>0</v>
      </c>
      <c r="L247" s="274">
        <f>AVERAGE(F247,H247,J247)</f>
        <v>410289.99195488892</v>
      </c>
      <c r="M247" s="274">
        <f>G247*E1</f>
        <v>372245.09</v>
      </c>
      <c r="N247" s="245"/>
      <c r="O247" s="113"/>
      <c r="P247" s="113"/>
      <c r="Q247" s="131"/>
      <c r="R247" s="131"/>
      <c r="S247" s="64"/>
      <c r="T247" s="113"/>
      <c r="U247" s="113"/>
      <c r="V247" s="113"/>
      <c r="W247" s="131"/>
      <c r="X247" s="131"/>
      <c r="Y247" s="11"/>
      <c r="Z247" s="113"/>
      <c r="AA247" s="113"/>
      <c r="AB247" s="113"/>
      <c r="AC247" s="52"/>
      <c r="AD247" s="52"/>
      <c r="AE247" s="11"/>
      <c r="AF247" s="118"/>
      <c r="AG247" s="144"/>
      <c r="AH247" s="113"/>
      <c r="AI247" s="11"/>
      <c r="AJ247" s="11"/>
      <c r="AK247" s="39"/>
      <c r="AL247" s="113">
        <v>210000</v>
      </c>
      <c r="AM247" s="113">
        <f>+AL247*0.19</f>
        <v>39900</v>
      </c>
      <c r="AN247" s="119">
        <f>+AL247+AM247</f>
        <v>249900</v>
      </c>
      <c r="AO247" s="76" t="s">
        <v>54</v>
      </c>
      <c r="AP247" s="39" t="s">
        <v>45</v>
      </c>
      <c r="AQ247" s="39"/>
      <c r="AR247" s="275">
        <v>1080000</v>
      </c>
      <c r="AS247" s="113">
        <f t="shared" si="59"/>
        <v>205200</v>
      </c>
      <c r="AT247" s="119">
        <f t="shared" si="60"/>
        <v>1285200</v>
      </c>
      <c r="AU247" s="62" t="s">
        <v>54</v>
      </c>
      <c r="AV247" s="62" t="s">
        <v>35</v>
      </c>
      <c r="AW247" s="31"/>
      <c r="AX247" s="116"/>
      <c r="AY247" s="116"/>
      <c r="AZ247" s="143"/>
      <c r="BA247" s="191"/>
      <c r="BB247" s="132"/>
      <c r="BC247" s="132"/>
      <c r="BD247" s="274"/>
      <c r="BE247" s="143"/>
      <c r="BF247" s="143"/>
      <c r="BG247" s="132"/>
      <c r="BH247" s="132"/>
      <c r="BI247" s="132"/>
      <c r="BJ247" s="143"/>
      <c r="BK247" s="143"/>
      <c r="BL247" s="143"/>
      <c r="BM247" s="132"/>
      <c r="BN247" s="132"/>
      <c r="BO247" s="132"/>
      <c r="BP247" s="143"/>
      <c r="BQ247" s="132"/>
      <c r="BR247" s="132"/>
      <c r="BS247" s="132"/>
      <c r="BT247" s="132"/>
      <c r="BU247" s="132"/>
      <c r="BV247" s="263">
        <v>515400</v>
      </c>
      <c r="BW247" s="144">
        <f t="shared" si="55"/>
        <v>97926</v>
      </c>
      <c r="BX247" s="113">
        <f t="shared" si="56"/>
        <v>613326</v>
      </c>
      <c r="BY247" s="264" t="s">
        <v>56</v>
      </c>
      <c r="BZ247" s="264" t="s">
        <v>294</v>
      </c>
      <c r="CA247" s="132"/>
      <c r="CB247" s="274"/>
      <c r="CC247" s="144"/>
      <c r="CD247" s="274"/>
      <c r="CE247" s="132"/>
      <c r="CF247" s="132"/>
      <c r="CG247" s="36"/>
      <c r="CH247" s="263">
        <v>530862</v>
      </c>
      <c r="CI247" s="265">
        <f t="shared" si="57"/>
        <v>100863.78</v>
      </c>
      <c r="CJ247" s="263">
        <f t="shared" si="58"/>
        <v>631725.78</v>
      </c>
      <c r="CK247" s="264" t="s">
        <v>56</v>
      </c>
      <c r="CL247" s="264" t="s">
        <v>294</v>
      </c>
      <c r="CM247" s="132"/>
      <c r="CN247" s="274"/>
      <c r="CO247" s="144"/>
      <c r="CP247" s="274"/>
      <c r="CQ247" s="132"/>
      <c r="CR247" s="132"/>
      <c r="CS247" s="132"/>
      <c r="CT247" s="144">
        <v>416667</v>
      </c>
      <c r="CU247" s="144">
        <f>CT247*0.19</f>
        <v>79166.73</v>
      </c>
      <c r="CV247" s="144">
        <f>CT247+CU247</f>
        <v>495833.73</v>
      </c>
      <c r="CW247" s="132"/>
      <c r="CX247" s="132"/>
      <c r="CY247" s="132"/>
      <c r="CZ247" s="118">
        <v>285714</v>
      </c>
      <c r="DA247" s="144">
        <f>+CZ247*0.19</f>
        <v>54285.66</v>
      </c>
      <c r="DB247" s="118">
        <f>+CZ247+DA247</f>
        <v>339999.66000000003</v>
      </c>
      <c r="DC247" s="33" t="s">
        <v>165</v>
      </c>
      <c r="DD247" s="39" t="s">
        <v>58</v>
      </c>
      <c r="DE247" s="11">
        <v>1086890100</v>
      </c>
      <c r="DF247" s="132"/>
      <c r="DG247" s="132"/>
      <c r="DH247" s="132"/>
      <c r="DI247" s="132"/>
      <c r="DJ247" s="132"/>
      <c r="DK247" s="132"/>
      <c r="DL247" s="132"/>
      <c r="DM247" s="132"/>
      <c r="DN247" s="132"/>
      <c r="DO247" s="132"/>
      <c r="DP247" s="132"/>
      <c r="DQ247" s="132"/>
      <c r="DR247" s="132"/>
      <c r="DS247" s="132"/>
      <c r="DT247" s="132"/>
      <c r="DU247" s="132"/>
      <c r="DV247" s="132"/>
      <c r="DW247" s="132"/>
      <c r="DX247" s="132"/>
      <c r="DY247" s="132"/>
      <c r="DZ247" s="132"/>
      <c r="EA247" s="132"/>
      <c r="EB247" s="132"/>
      <c r="EC247" s="132"/>
      <c r="ED247" s="132"/>
      <c r="EE247" s="132"/>
      <c r="EF247" s="132"/>
      <c r="EG247" s="132"/>
      <c r="EH247" s="132"/>
      <c r="EI247" s="132"/>
      <c r="EJ247" s="132"/>
      <c r="EK247" s="132"/>
      <c r="EL247" s="132"/>
      <c r="EM247" s="132"/>
      <c r="EN247" s="132"/>
      <c r="EO247" s="132"/>
      <c r="EP247" s="132"/>
      <c r="EQ247" s="132"/>
      <c r="ER247" s="132"/>
      <c r="ES247" s="132"/>
      <c r="ET247" s="11"/>
      <c r="EU247" s="11"/>
      <c r="EV247" s="11"/>
      <c r="EW247" s="11"/>
      <c r="EX247" s="11"/>
      <c r="EY247" s="11"/>
      <c r="EZ247" s="11"/>
      <c r="FA247" s="11"/>
      <c r="FB247" s="11"/>
      <c r="FC247" s="11"/>
      <c r="FD247" s="11"/>
      <c r="FE247" s="11"/>
      <c r="FF247" s="11"/>
      <c r="FG247" s="11"/>
      <c r="FH247" s="39">
        <f t="shared" si="50"/>
        <v>3988230.2600000002</v>
      </c>
      <c r="FI247" s="33">
        <f t="shared" si="51"/>
        <v>7</v>
      </c>
      <c r="FJ247" s="84">
        <f t="shared" si="52"/>
        <v>569747.18000000005</v>
      </c>
    </row>
    <row r="248" spans="1:166" ht="27" x14ac:dyDescent="0.25">
      <c r="A248" s="79" t="e">
        <f>#REF!</f>
        <v>#REF!</v>
      </c>
      <c r="B248" s="75" t="e">
        <f>#REF!</f>
        <v>#REF!</v>
      </c>
      <c r="C248" s="75" t="e">
        <f>#REF!</f>
        <v>#REF!</v>
      </c>
      <c r="D248" s="75" t="e">
        <f>#REF!</f>
        <v>#REF!</v>
      </c>
      <c r="E248" s="30">
        <v>1</v>
      </c>
      <c r="F248" s="238">
        <v>0</v>
      </c>
      <c r="G248" s="241">
        <v>0</v>
      </c>
      <c r="H248" s="249">
        <v>260253</v>
      </c>
      <c r="I248" s="249">
        <v>0</v>
      </c>
      <c r="J248" s="249">
        <v>0</v>
      </c>
      <c r="K248" s="249">
        <v>0</v>
      </c>
      <c r="L248" s="274">
        <f>H248</f>
        <v>260253</v>
      </c>
      <c r="M248" s="274"/>
      <c r="N248" s="245"/>
      <c r="O248" s="113"/>
      <c r="P248" s="113"/>
      <c r="Q248" s="131"/>
      <c r="R248" s="131"/>
      <c r="S248" s="64"/>
      <c r="T248" s="113"/>
      <c r="U248" s="117"/>
      <c r="V248" s="113"/>
      <c r="W248" s="131"/>
      <c r="X248" s="131"/>
      <c r="Y248" s="11"/>
      <c r="Z248" s="117"/>
      <c r="AA248" s="113"/>
      <c r="AB248" s="113"/>
      <c r="AC248" s="131"/>
      <c r="AD248" s="52"/>
      <c r="AE248" s="11"/>
      <c r="AF248" s="118"/>
      <c r="AG248" s="144"/>
      <c r="AH248" s="113"/>
      <c r="AI248" s="11"/>
      <c r="AJ248" s="11"/>
      <c r="AK248" s="39"/>
      <c r="AL248" s="113"/>
      <c r="AM248" s="113"/>
      <c r="AN248" s="117"/>
      <c r="AO248" s="76"/>
      <c r="AP248" s="39"/>
      <c r="AQ248" s="39"/>
      <c r="AR248" s="275">
        <v>345000</v>
      </c>
      <c r="AS248" s="113">
        <f t="shared" si="59"/>
        <v>65550</v>
      </c>
      <c r="AT248" s="119">
        <f t="shared" si="60"/>
        <v>410550</v>
      </c>
      <c r="AU248" s="62" t="s">
        <v>34</v>
      </c>
      <c r="AV248" s="62" t="s">
        <v>35</v>
      </c>
      <c r="AW248" s="31"/>
      <c r="AX248" s="116"/>
      <c r="AY248" s="116"/>
      <c r="AZ248" s="143"/>
      <c r="BA248" s="191"/>
      <c r="BB248" s="132"/>
      <c r="BC248" s="132"/>
      <c r="BD248" s="274"/>
      <c r="BE248" s="143"/>
      <c r="BF248" s="143"/>
      <c r="BG248" s="132"/>
      <c r="BH248" s="132"/>
      <c r="BI248" s="132"/>
      <c r="BJ248" s="143"/>
      <c r="BK248" s="143"/>
      <c r="BL248" s="143"/>
      <c r="BM248" s="132"/>
      <c r="BN248" s="132"/>
      <c r="BO248" s="132"/>
      <c r="BP248" s="143"/>
      <c r="BQ248" s="132"/>
      <c r="BR248" s="132"/>
      <c r="BS248" s="132"/>
      <c r="BT248" s="132"/>
      <c r="BU248" s="132"/>
      <c r="BV248" s="263">
        <v>390800</v>
      </c>
      <c r="BW248" s="144">
        <f t="shared" si="55"/>
        <v>74252</v>
      </c>
      <c r="BX248" s="113">
        <f t="shared" si="56"/>
        <v>465052</v>
      </c>
      <c r="BY248" s="264" t="s">
        <v>100</v>
      </c>
      <c r="BZ248" s="264" t="s">
        <v>237</v>
      </c>
      <c r="CA248" s="132"/>
      <c r="CB248" s="274"/>
      <c r="CC248" s="144"/>
      <c r="CD248" s="274"/>
      <c r="CE248" s="132"/>
      <c r="CF248" s="132"/>
      <c r="CG248" s="36"/>
      <c r="CH248" s="263">
        <v>398616</v>
      </c>
      <c r="CI248" s="265">
        <f t="shared" si="57"/>
        <v>75737.040000000008</v>
      </c>
      <c r="CJ248" s="263">
        <f t="shared" si="58"/>
        <v>474353.04000000004</v>
      </c>
      <c r="CK248" s="264" t="s">
        <v>100</v>
      </c>
      <c r="CL248" s="264" t="s">
        <v>237</v>
      </c>
      <c r="CM248" s="132"/>
      <c r="CN248" s="274"/>
      <c r="CO248" s="144"/>
      <c r="CP248" s="274"/>
      <c r="CQ248" s="132"/>
      <c r="CR248" s="132"/>
      <c r="CS248" s="132"/>
      <c r="CT248" s="274"/>
      <c r="CU248" s="144"/>
      <c r="CV248" s="274"/>
      <c r="CW248" s="132"/>
      <c r="CX248" s="132"/>
      <c r="CY248" s="132"/>
      <c r="CZ248" s="118">
        <v>646571</v>
      </c>
      <c r="DA248" s="144">
        <f>+CZ248*0.19</f>
        <v>122848.49</v>
      </c>
      <c r="DB248" s="118">
        <f>+CZ248+DA248</f>
        <v>769419.49</v>
      </c>
      <c r="DC248" s="33" t="s">
        <v>165</v>
      </c>
      <c r="DD248" s="39" t="s">
        <v>58</v>
      </c>
      <c r="DE248" s="11" t="s">
        <v>299</v>
      </c>
      <c r="DF248" s="132"/>
      <c r="DG248" s="132"/>
      <c r="DH248" s="132"/>
      <c r="DI248" s="132"/>
      <c r="DJ248" s="132"/>
      <c r="DK248" s="132"/>
      <c r="DL248" s="132"/>
      <c r="DM248" s="132"/>
      <c r="DN248" s="132"/>
      <c r="DO248" s="132"/>
      <c r="DP248" s="132"/>
      <c r="DQ248" s="132"/>
      <c r="DR248" s="132"/>
      <c r="DS248" s="132"/>
      <c r="DT248" s="132"/>
      <c r="DU248" s="132"/>
      <c r="DV248" s="132"/>
      <c r="DW248" s="132"/>
      <c r="DX248" s="132"/>
      <c r="DY248" s="132"/>
      <c r="DZ248" s="132"/>
      <c r="EA248" s="132"/>
      <c r="EB248" s="132"/>
      <c r="EC248" s="132"/>
      <c r="ED248" s="132"/>
      <c r="EE248" s="132"/>
      <c r="EF248" s="132"/>
      <c r="EG248" s="132"/>
      <c r="EH248" s="132"/>
      <c r="EI248" s="132"/>
      <c r="EJ248" s="132"/>
      <c r="EK248" s="132"/>
      <c r="EL248" s="132"/>
      <c r="EM248" s="132"/>
      <c r="EN248" s="132"/>
      <c r="EO248" s="132"/>
      <c r="EP248" s="132"/>
      <c r="EQ248" s="132"/>
      <c r="ER248" s="132"/>
      <c r="ES248" s="132"/>
      <c r="ET248" s="11"/>
      <c r="EU248" s="11"/>
      <c r="EV248" s="11"/>
      <c r="EW248" s="11"/>
      <c r="EX248" s="11"/>
      <c r="EY248" s="11"/>
      <c r="EZ248" s="11"/>
      <c r="FA248" s="11"/>
      <c r="FB248" s="11"/>
      <c r="FC248" s="11"/>
      <c r="FD248" s="11"/>
      <c r="FE248" s="11"/>
      <c r="FF248" s="275"/>
      <c r="FG248" s="71"/>
      <c r="FH248" s="39">
        <f t="shared" si="50"/>
        <v>2119374.5300000003</v>
      </c>
      <c r="FI248" s="33">
        <f t="shared" si="51"/>
        <v>4</v>
      </c>
      <c r="FJ248" s="84">
        <f t="shared" si="52"/>
        <v>529843.63250000007</v>
      </c>
    </row>
    <row r="249" spans="1:166" ht="38.25" x14ac:dyDescent="0.25">
      <c r="A249" s="79" t="e">
        <f>#REF!</f>
        <v>#REF!</v>
      </c>
      <c r="B249" s="75" t="e">
        <f>#REF!</f>
        <v>#REF!</v>
      </c>
      <c r="C249" s="75" t="e">
        <f>#REF!</f>
        <v>#REF!</v>
      </c>
      <c r="D249" s="75" t="e">
        <f>#REF!</f>
        <v>#REF!</v>
      </c>
      <c r="E249" s="30">
        <v>1</v>
      </c>
      <c r="F249" s="238">
        <v>206465</v>
      </c>
      <c r="G249" s="241">
        <v>198135</v>
      </c>
      <c r="H249" s="249">
        <v>196066.3</v>
      </c>
      <c r="I249" s="249">
        <v>195993</v>
      </c>
      <c r="J249" s="249">
        <v>337774.93936000002</v>
      </c>
      <c r="K249" s="249">
        <v>0</v>
      </c>
      <c r="L249" s="274">
        <f>AVERAGE(F249,H249,J249)</f>
        <v>246768.74645333333</v>
      </c>
      <c r="M249" s="274">
        <f>AVERAGE(G249,I249)*E1</f>
        <v>202975.92</v>
      </c>
      <c r="N249" s="245"/>
      <c r="O249" s="113"/>
      <c r="P249" s="113"/>
      <c r="Q249" s="131"/>
      <c r="R249" s="131"/>
      <c r="S249" s="64"/>
      <c r="T249" s="113"/>
      <c r="U249" s="113"/>
      <c r="V249" s="113"/>
      <c r="W249" s="131"/>
      <c r="X249" s="131"/>
      <c r="Y249" s="11"/>
      <c r="Z249" s="113"/>
      <c r="AA249" s="113"/>
      <c r="AB249" s="113"/>
      <c r="AC249" s="52"/>
      <c r="AD249" s="52"/>
      <c r="AE249" s="11"/>
      <c r="AF249" s="118">
        <v>160000</v>
      </c>
      <c r="AG249" s="144">
        <f>AF249*19%</f>
        <v>30400</v>
      </c>
      <c r="AH249" s="113">
        <f>+AF249+AG249</f>
        <v>190400</v>
      </c>
      <c r="AI249" s="11"/>
      <c r="AJ249" s="11"/>
      <c r="AK249" s="39"/>
      <c r="AL249" s="113">
        <v>240000</v>
      </c>
      <c r="AM249" s="113">
        <f>+AL249*0.19</f>
        <v>45600</v>
      </c>
      <c r="AN249" s="119">
        <f>+AL249+AM249</f>
        <v>285600</v>
      </c>
      <c r="AO249" s="76" t="s">
        <v>78</v>
      </c>
      <c r="AP249" s="39" t="s">
        <v>45</v>
      </c>
      <c r="AQ249" s="39"/>
      <c r="AR249" s="275">
        <v>144000</v>
      </c>
      <c r="AS249" s="113">
        <f t="shared" si="59"/>
        <v>27360</v>
      </c>
      <c r="AT249" s="119">
        <f t="shared" si="60"/>
        <v>171360</v>
      </c>
      <c r="AU249" s="62" t="s">
        <v>54</v>
      </c>
      <c r="AV249" s="62" t="s">
        <v>35</v>
      </c>
      <c r="AW249" s="31"/>
      <c r="AX249" s="116"/>
      <c r="AY249" s="116"/>
      <c r="AZ249" s="143"/>
      <c r="BA249" s="191"/>
      <c r="BB249" s="132"/>
      <c r="BC249" s="132"/>
      <c r="BD249" s="274"/>
      <c r="BE249" s="143"/>
      <c r="BF249" s="143"/>
      <c r="BG249" s="132"/>
      <c r="BH249" s="132"/>
      <c r="BI249" s="132"/>
      <c r="BJ249" s="143"/>
      <c r="BK249" s="143"/>
      <c r="BL249" s="143"/>
      <c r="BM249" s="132"/>
      <c r="BN249" s="132"/>
      <c r="BO249" s="132"/>
      <c r="BP249" s="143">
        <f>+(248318/250)*100</f>
        <v>99327.200000000012</v>
      </c>
      <c r="BQ249" s="144">
        <f>BP249*19%</f>
        <v>18872.168000000001</v>
      </c>
      <c r="BR249" s="113">
        <f>+BP249+BQ249</f>
        <v>118199.36800000002</v>
      </c>
      <c r="BS249" s="33" t="s">
        <v>300</v>
      </c>
      <c r="BT249" s="36" t="s">
        <v>301</v>
      </c>
      <c r="BU249" s="5" t="s">
        <v>302</v>
      </c>
      <c r="BV249" s="263">
        <v>119100</v>
      </c>
      <c r="BW249" s="144">
        <f t="shared" si="55"/>
        <v>22629</v>
      </c>
      <c r="BX249" s="113">
        <f t="shared" si="56"/>
        <v>141729</v>
      </c>
      <c r="BY249" s="264" t="s">
        <v>56</v>
      </c>
      <c r="BZ249" s="264" t="s">
        <v>294</v>
      </c>
      <c r="CA249" s="132"/>
      <c r="CB249" s="274"/>
      <c r="CC249" s="144"/>
      <c r="CD249" s="274"/>
      <c r="CE249" s="132"/>
      <c r="CF249" s="132"/>
      <c r="CG249" s="36"/>
      <c r="CH249" s="263">
        <v>122673</v>
      </c>
      <c r="CI249" s="265">
        <f t="shared" si="57"/>
        <v>23307.87</v>
      </c>
      <c r="CJ249" s="263">
        <f t="shared" si="58"/>
        <v>145980.87</v>
      </c>
      <c r="CK249" s="264" t="s">
        <v>56</v>
      </c>
      <c r="CL249" s="264" t="s">
        <v>294</v>
      </c>
      <c r="CM249" s="132"/>
      <c r="CN249" s="274"/>
      <c r="CO249" s="144"/>
      <c r="CP249" s="274"/>
      <c r="CQ249" s="132"/>
      <c r="CR249" s="132"/>
      <c r="CS249" s="132"/>
      <c r="CT249" s="274"/>
      <c r="CU249" s="144"/>
      <c r="CV249" s="274"/>
      <c r="CW249" s="132"/>
      <c r="CX249" s="132"/>
      <c r="CY249" s="132"/>
      <c r="CZ249" s="118"/>
      <c r="DA249" s="144"/>
      <c r="DB249" s="118"/>
      <c r="DC249" s="33"/>
      <c r="DD249" s="39"/>
      <c r="DE249" s="28"/>
      <c r="DF249" s="132"/>
      <c r="DG249" s="132"/>
      <c r="DH249" s="132"/>
      <c r="DI249" s="132"/>
      <c r="DJ249" s="132"/>
      <c r="DK249" s="132"/>
      <c r="DL249" s="132"/>
      <c r="DM249" s="132"/>
      <c r="DN249" s="132"/>
      <c r="DO249" s="132"/>
      <c r="DP249" s="132"/>
      <c r="DQ249" s="132"/>
      <c r="DR249" s="132"/>
      <c r="DS249" s="132"/>
      <c r="DT249" s="132"/>
      <c r="DU249" s="132"/>
      <c r="DV249" s="132"/>
      <c r="DW249" s="132"/>
      <c r="DX249" s="132"/>
      <c r="DY249" s="132"/>
      <c r="DZ249" s="132"/>
      <c r="EA249" s="132"/>
      <c r="EB249" s="132"/>
      <c r="EC249" s="132"/>
      <c r="ED249" s="132"/>
      <c r="EE249" s="132"/>
      <c r="EF249" s="132"/>
      <c r="EG249" s="132"/>
      <c r="EH249" s="132"/>
      <c r="EI249" s="132"/>
      <c r="EJ249" s="132"/>
      <c r="EK249" s="132"/>
      <c r="EL249" s="132"/>
      <c r="EM249" s="132"/>
      <c r="EN249" s="132"/>
      <c r="EO249" s="132"/>
      <c r="EP249" s="132"/>
      <c r="EQ249" s="132"/>
      <c r="ER249" s="132"/>
      <c r="ES249" s="132"/>
      <c r="ET249" s="11"/>
      <c r="EU249" s="11"/>
      <c r="EV249" s="11"/>
      <c r="EW249" s="11"/>
      <c r="EX249" s="11"/>
      <c r="EY249" s="11"/>
      <c r="EZ249" s="11"/>
      <c r="FA249" s="11"/>
      <c r="FB249" s="11"/>
      <c r="FC249" s="11"/>
      <c r="FD249" s="11"/>
      <c r="FE249" s="11"/>
      <c r="FF249" s="11"/>
      <c r="FG249" s="11"/>
      <c r="FH249" s="39">
        <f t="shared" si="50"/>
        <v>1256245.1580000003</v>
      </c>
      <c r="FI249" s="33">
        <f t="shared" si="51"/>
        <v>7</v>
      </c>
      <c r="FJ249" s="84">
        <f t="shared" si="52"/>
        <v>179463.59400000004</v>
      </c>
    </row>
    <row r="250" spans="1:166" ht="25.5" x14ac:dyDescent="0.25">
      <c r="A250" s="79" t="e">
        <f>#REF!</f>
        <v>#REF!</v>
      </c>
      <c r="B250" s="75" t="e">
        <f>#REF!</f>
        <v>#REF!</v>
      </c>
      <c r="C250" s="75" t="e">
        <f>#REF!</f>
        <v>#REF!</v>
      </c>
      <c r="D250" s="75" t="e">
        <f>#REF!</f>
        <v>#REF!</v>
      </c>
      <c r="E250" s="30">
        <v>1</v>
      </c>
      <c r="F250" s="238">
        <v>0</v>
      </c>
      <c r="G250" s="241">
        <v>0</v>
      </c>
      <c r="H250" s="249">
        <v>0</v>
      </c>
      <c r="I250" s="249">
        <v>0</v>
      </c>
      <c r="J250" s="249">
        <v>0</v>
      </c>
      <c r="K250" s="249">
        <v>0</v>
      </c>
      <c r="L250" s="274"/>
      <c r="M250" s="274"/>
      <c r="N250" s="245"/>
      <c r="O250" s="113"/>
      <c r="P250" s="113"/>
      <c r="Q250" s="131"/>
      <c r="R250" s="131"/>
      <c r="S250" s="64"/>
      <c r="T250" s="113"/>
      <c r="U250" s="121"/>
      <c r="V250" s="113"/>
      <c r="W250" s="131"/>
      <c r="X250" s="131"/>
      <c r="Y250" s="11"/>
      <c r="Z250" s="113"/>
      <c r="AA250" s="113"/>
      <c r="AB250" s="113"/>
      <c r="AC250" s="52"/>
      <c r="AD250" s="52"/>
      <c r="AE250" s="11"/>
      <c r="AF250" s="118"/>
      <c r="AG250" s="144"/>
      <c r="AH250" s="113"/>
      <c r="AI250" s="11"/>
      <c r="AJ250" s="11"/>
      <c r="AK250" s="39"/>
      <c r="AL250" s="113"/>
      <c r="AM250" s="113"/>
      <c r="AN250" s="117"/>
      <c r="AO250" s="76"/>
      <c r="AP250" s="39"/>
      <c r="AQ250" s="39"/>
      <c r="AR250" s="275">
        <f>835200*2</f>
        <v>1670400</v>
      </c>
      <c r="AS250" s="113">
        <f t="shared" si="59"/>
        <v>317376</v>
      </c>
      <c r="AT250" s="119">
        <f t="shared" si="60"/>
        <v>1987776</v>
      </c>
      <c r="AU250" s="62" t="s">
        <v>78</v>
      </c>
      <c r="AV250" s="62" t="s">
        <v>35</v>
      </c>
      <c r="AW250" s="31"/>
      <c r="AX250" s="116"/>
      <c r="AY250" s="116"/>
      <c r="AZ250" s="143"/>
      <c r="BA250" s="191"/>
      <c r="BB250" s="132"/>
      <c r="BC250" s="132"/>
      <c r="BD250" s="274"/>
      <c r="BE250" s="143"/>
      <c r="BF250" s="143"/>
      <c r="BG250" s="132"/>
      <c r="BH250" s="132"/>
      <c r="BI250" s="132"/>
      <c r="BJ250" s="143"/>
      <c r="BK250" s="143"/>
      <c r="BL250" s="143"/>
      <c r="BM250" s="132"/>
      <c r="BN250" s="132"/>
      <c r="BO250" s="132"/>
      <c r="BP250" s="143"/>
      <c r="BQ250" s="132"/>
      <c r="BR250" s="132"/>
      <c r="BS250" s="132"/>
      <c r="BT250" s="132"/>
      <c r="BU250" s="132"/>
      <c r="BV250" s="210"/>
      <c r="BW250" s="144"/>
      <c r="BX250" s="113"/>
      <c r="BY250" s="273"/>
      <c r="BZ250" s="273"/>
      <c r="CA250" s="132"/>
      <c r="CB250" s="274"/>
      <c r="CC250" s="144"/>
      <c r="CD250" s="274"/>
      <c r="CE250" s="39"/>
      <c r="CF250" s="31"/>
      <c r="CG250" s="36"/>
      <c r="CH250" s="210"/>
      <c r="CI250" s="219"/>
      <c r="CJ250" s="210"/>
      <c r="CK250" s="273"/>
      <c r="CL250" s="273"/>
      <c r="CM250" s="132"/>
      <c r="CN250" s="274"/>
      <c r="CO250" s="144"/>
      <c r="CP250" s="274"/>
      <c r="CQ250" s="132"/>
      <c r="CR250" s="132"/>
      <c r="CS250" s="132"/>
      <c r="CT250" s="274"/>
      <c r="CU250" s="144"/>
      <c r="CV250" s="274"/>
      <c r="CW250" s="132"/>
      <c r="CX250" s="132"/>
      <c r="CY250" s="132"/>
      <c r="CZ250" s="118">
        <v>1295246</v>
      </c>
      <c r="DA250" s="144">
        <f>+CZ250*0.19</f>
        <v>246096.74</v>
      </c>
      <c r="DB250" s="118">
        <f>+CZ250+DA250</f>
        <v>1541342.74</v>
      </c>
      <c r="DC250" s="33" t="s">
        <v>76</v>
      </c>
      <c r="DD250" s="39" t="s">
        <v>58</v>
      </c>
      <c r="DE250" s="11" t="s">
        <v>303</v>
      </c>
      <c r="DF250" s="132"/>
      <c r="DG250" s="132"/>
      <c r="DH250" s="132"/>
      <c r="DI250" s="132"/>
      <c r="DJ250" s="132"/>
      <c r="DK250" s="132"/>
      <c r="DL250" s="132"/>
      <c r="DM250" s="132"/>
      <c r="DN250" s="132"/>
      <c r="DO250" s="132"/>
      <c r="DP250" s="132"/>
      <c r="DQ250" s="132"/>
      <c r="DR250" s="132"/>
      <c r="DS250" s="132"/>
      <c r="DT250" s="132"/>
      <c r="DU250" s="132"/>
      <c r="DV250" s="132"/>
      <c r="DW250" s="132"/>
      <c r="DX250" s="132"/>
      <c r="DY250" s="132"/>
      <c r="DZ250" s="132"/>
      <c r="EA250" s="132"/>
      <c r="EB250" s="132"/>
      <c r="EC250" s="132"/>
      <c r="ED250" s="132"/>
      <c r="EE250" s="132"/>
      <c r="EF250" s="132"/>
      <c r="EG250" s="132"/>
      <c r="EH250" s="132"/>
      <c r="EI250" s="132"/>
      <c r="EJ250" s="132"/>
      <c r="EK250" s="132"/>
      <c r="EL250" s="132"/>
      <c r="EM250" s="132"/>
      <c r="EN250" s="132"/>
      <c r="EO250" s="132"/>
      <c r="EP250" s="132"/>
      <c r="EQ250" s="132"/>
      <c r="ER250" s="132"/>
      <c r="ES250" s="132"/>
      <c r="ET250" s="11"/>
      <c r="EU250" s="11"/>
      <c r="EV250" s="11"/>
      <c r="EW250" s="11"/>
      <c r="EX250" s="11"/>
      <c r="EY250" s="11"/>
      <c r="EZ250" s="11"/>
      <c r="FA250" s="11"/>
      <c r="FB250" s="11"/>
      <c r="FC250" s="11"/>
      <c r="FD250" s="11"/>
      <c r="FE250" s="11"/>
      <c r="FF250" s="11"/>
      <c r="FG250" s="11"/>
      <c r="FH250" s="39">
        <f t="shared" si="50"/>
        <v>3529118.74</v>
      </c>
      <c r="FI250" s="33">
        <f t="shared" si="51"/>
        <v>2</v>
      </c>
      <c r="FJ250" s="84">
        <f t="shared" si="52"/>
        <v>1764559.37</v>
      </c>
    </row>
    <row r="251" spans="1:166" ht="25.5" x14ac:dyDescent="0.25">
      <c r="A251" s="79" t="e">
        <f>#REF!</f>
        <v>#REF!</v>
      </c>
      <c r="B251" s="75" t="e">
        <f>#REF!</f>
        <v>#REF!</v>
      </c>
      <c r="C251" s="75" t="e">
        <f>#REF!</f>
        <v>#REF!</v>
      </c>
      <c r="D251" s="75" t="e">
        <f>#REF!</f>
        <v>#REF!</v>
      </c>
      <c r="E251" s="30">
        <v>1</v>
      </c>
      <c r="F251" s="238">
        <v>0</v>
      </c>
      <c r="G251" s="241">
        <v>0</v>
      </c>
      <c r="H251" s="249">
        <v>0</v>
      </c>
      <c r="I251" s="249">
        <v>0</v>
      </c>
      <c r="J251" s="249">
        <v>0</v>
      </c>
      <c r="K251" s="249">
        <v>0</v>
      </c>
      <c r="L251" s="274"/>
      <c r="M251" s="274"/>
      <c r="N251" s="245"/>
      <c r="O251" s="113"/>
      <c r="P251" s="113"/>
      <c r="Q251" s="131"/>
      <c r="R251" s="131"/>
      <c r="S251" s="64"/>
      <c r="T251" s="113">
        <v>930000</v>
      </c>
      <c r="U251" s="121">
        <f>+T251*0.19</f>
        <v>176700</v>
      </c>
      <c r="V251" s="113">
        <f>+T251+U251</f>
        <v>1106700</v>
      </c>
      <c r="W251" s="131" t="s">
        <v>60</v>
      </c>
      <c r="X251" s="131" t="s">
        <v>138</v>
      </c>
      <c r="Y251" s="11"/>
      <c r="Z251" s="113"/>
      <c r="AA251" s="113"/>
      <c r="AB251" s="113"/>
      <c r="AC251" s="52"/>
      <c r="AD251" s="52"/>
      <c r="AE251" s="11"/>
      <c r="AF251" s="118"/>
      <c r="AG251" s="144"/>
      <c r="AH251" s="113"/>
      <c r="AI251" s="11"/>
      <c r="AJ251" s="11"/>
      <c r="AK251" s="39"/>
      <c r="AL251" s="113">
        <v>389000</v>
      </c>
      <c r="AM251" s="113">
        <f>+AL251*0.19</f>
        <v>73910</v>
      </c>
      <c r="AN251" s="119">
        <f>+AL251+AM251</f>
        <v>462910</v>
      </c>
      <c r="AO251" s="76" t="s">
        <v>60</v>
      </c>
      <c r="AP251" s="39" t="s">
        <v>45</v>
      </c>
      <c r="AQ251" s="39"/>
      <c r="AR251" s="275">
        <f>720000*2</f>
        <v>1440000</v>
      </c>
      <c r="AS251" s="113">
        <f t="shared" si="59"/>
        <v>273600</v>
      </c>
      <c r="AT251" s="119">
        <f t="shared" si="60"/>
        <v>1713600</v>
      </c>
      <c r="AU251" s="62" t="s">
        <v>78</v>
      </c>
      <c r="AV251" s="62" t="s">
        <v>35</v>
      </c>
      <c r="AW251" s="31"/>
      <c r="AX251" s="116">
        <v>403109.52</v>
      </c>
      <c r="AY251" s="116">
        <f>+AX251*0.19</f>
        <v>76590.808799999999</v>
      </c>
      <c r="AZ251" s="143">
        <f>+AX251+AY251</f>
        <v>479700.32880000002</v>
      </c>
      <c r="BA251" s="191" t="s">
        <v>60</v>
      </c>
      <c r="BB251" s="132" t="s">
        <v>70</v>
      </c>
      <c r="BC251" s="132"/>
      <c r="BD251" s="274"/>
      <c r="BE251" s="143"/>
      <c r="BF251" s="143"/>
      <c r="BG251" s="132"/>
      <c r="BH251" s="132"/>
      <c r="BI251" s="132"/>
      <c r="BJ251" s="143"/>
      <c r="BK251" s="143"/>
      <c r="BL251" s="143"/>
      <c r="BM251" s="132"/>
      <c r="BN251" s="132"/>
      <c r="BO251" s="132"/>
      <c r="BP251" s="143"/>
      <c r="BQ251" s="132"/>
      <c r="BR251" s="132"/>
      <c r="BS251" s="132"/>
      <c r="BT251" s="132"/>
      <c r="BU251" s="132"/>
      <c r="BV251" s="210"/>
      <c r="BW251" s="144"/>
      <c r="BX251" s="113"/>
      <c r="BY251" s="273"/>
      <c r="BZ251" s="273"/>
      <c r="CA251" s="132"/>
      <c r="CB251" s="274"/>
      <c r="CC251" s="144"/>
      <c r="CD251" s="274"/>
      <c r="CE251" s="132"/>
      <c r="CF251" s="132"/>
      <c r="CG251" s="36"/>
      <c r="CH251" s="210"/>
      <c r="CI251" s="219"/>
      <c r="CJ251" s="210"/>
      <c r="CK251" s="273"/>
      <c r="CL251" s="273"/>
      <c r="CM251" s="132"/>
      <c r="CN251" s="274"/>
      <c r="CO251" s="144"/>
      <c r="CP251" s="274"/>
      <c r="CQ251" s="132"/>
      <c r="CR251" s="132"/>
      <c r="CS251" s="132"/>
      <c r="CT251" s="274"/>
      <c r="CU251" s="144"/>
      <c r="CV251" s="274"/>
      <c r="CW251" s="132"/>
      <c r="CX251" s="132"/>
      <c r="CY251" s="132"/>
      <c r="CZ251" s="118">
        <v>547310</v>
      </c>
      <c r="DA251" s="144">
        <f>+CZ251*0.19</f>
        <v>103988.9</v>
      </c>
      <c r="DB251" s="118">
        <f>+CZ251+DA251</f>
        <v>651298.9</v>
      </c>
      <c r="DC251" s="33"/>
      <c r="DD251" s="39" t="s">
        <v>58</v>
      </c>
      <c r="DE251" s="11">
        <v>1084541000</v>
      </c>
      <c r="DF251" s="132"/>
      <c r="DG251" s="132"/>
      <c r="DH251" s="132"/>
      <c r="DI251" s="132"/>
      <c r="DJ251" s="132"/>
      <c r="DK251" s="132"/>
      <c r="DL251" s="132"/>
      <c r="DM251" s="132"/>
      <c r="DN251" s="132"/>
      <c r="DO251" s="132"/>
      <c r="DP251" s="132"/>
      <c r="DQ251" s="132"/>
      <c r="DR251" s="132"/>
      <c r="DS251" s="132"/>
      <c r="DT251" s="132"/>
      <c r="DU251" s="132"/>
      <c r="DV251" s="132"/>
      <c r="DW251" s="132"/>
      <c r="DX251" s="132"/>
      <c r="DY251" s="132"/>
      <c r="DZ251" s="132"/>
      <c r="EA251" s="132"/>
      <c r="EB251" s="132"/>
      <c r="EC251" s="132"/>
      <c r="ED251" s="132"/>
      <c r="EE251" s="132"/>
      <c r="EF251" s="132"/>
      <c r="EG251" s="132"/>
      <c r="EH251" s="132"/>
      <c r="EI251" s="132"/>
      <c r="EJ251" s="132"/>
      <c r="EK251" s="132"/>
      <c r="EL251" s="132"/>
      <c r="EM251" s="132"/>
      <c r="EN251" s="132"/>
      <c r="EO251" s="132"/>
      <c r="EP251" s="132"/>
      <c r="EQ251" s="132"/>
      <c r="ER251" s="132"/>
      <c r="ES251" s="132"/>
      <c r="ET251" s="11"/>
      <c r="EU251" s="11"/>
      <c r="EV251" s="11"/>
      <c r="EW251" s="11"/>
      <c r="EX251" s="11"/>
      <c r="EY251" s="11"/>
      <c r="EZ251" s="11"/>
      <c r="FA251" s="11"/>
      <c r="FB251" s="11"/>
      <c r="FC251" s="11"/>
      <c r="FD251" s="11"/>
      <c r="FE251" s="11"/>
      <c r="FF251" s="11"/>
      <c r="FG251" s="11"/>
      <c r="FH251" s="39">
        <f t="shared" si="50"/>
        <v>4414209.2288000006</v>
      </c>
      <c r="FI251" s="33">
        <f t="shared" si="51"/>
        <v>5</v>
      </c>
      <c r="FJ251" s="84">
        <f t="shared" si="52"/>
        <v>882841.84576000017</v>
      </c>
    </row>
    <row r="252" spans="1:166" ht="25.5" x14ac:dyDescent="0.25">
      <c r="A252" s="79" t="e">
        <f>#REF!</f>
        <v>#REF!</v>
      </c>
      <c r="B252" s="75" t="e">
        <f>#REF!</f>
        <v>#REF!</v>
      </c>
      <c r="C252" s="75" t="e">
        <f>#REF!</f>
        <v>#REF!</v>
      </c>
      <c r="D252" s="75" t="e">
        <f>#REF!</f>
        <v>#REF!</v>
      </c>
      <c r="E252" s="30">
        <v>1</v>
      </c>
      <c r="F252" s="238">
        <v>0</v>
      </c>
      <c r="G252" s="241">
        <v>0</v>
      </c>
      <c r="H252" s="249">
        <v>613088</v>
      </c>
      <c r="I252" s="249">
        <v>0</v>
      </c>
      <c r="J252" s="249">
        <v>0</v>
      </c>
      <c r="K252" s="249">
        <v>0</v>
      </c>
      <c r="L252" s="274">
        <f>H252</f>
        <v>613088</v>
      </c>
      <c r="M252" s="274"/>
      <c r="N252" s="245"/>
      <c r="O252" s="113"/>
      <c r="P252" s="113"/>
      <c r="Q252" s="131"/>
      <c r="R252" s="131"/>
      <c r="S252" s="64"/>
      <c r="T252" s="113"/>
      <c r="U252" s="113"/>
      <c r="V252" s="113"/>
      <c r="W252" s="131"/>
      <c r="X252" s="131"/>
      <c r="Y252" s="11"/>
      <c r="Z252" s="113"/>
      <c r="AA252" s="113"/>
      <c r="AB252" s="113"/>
      <c r="AC252" s="52"/>
      <c r="AD252" s="52"/>
      <c r="AE252" s="11"/>
      <c r="AF252" s="118"/>
      <c r="AG252" s="144"/>
      <c r="AH252" s="113"/>
      <c r="AI252" s="11"/>
      <c r="AJ252" s="11"/>
      <c r="AK252" s="39"/>
      <c r="AL252" s="113"/>
      <c r="AM252" s="113"/>
      <c r="AN252" s="116"/>
      <c r="AO252" s="76"/>
      <c r="AP252" s="39"/>
      <c r="AQ252" s="39"/>
      <c r="AR252" s="275">
        <f>2656800/5</f>
        <v>531360</v>
      </c>
      <c r="AS252" s="113">
        <f t="shared" si="59"/>
        <v>100958.39999999999</v>
      </c>
      <c r="AT252" s="119">
        <f t="shared" si="60"/>
        <v>632318.4</v>
      </c>
      <c r="AU252" s="62" t="s">
        <v>150</v>
      </c>
      <c r="AV252" s="62" t="s">
        <v>35</v>
      </c>
      <c r="AW252" s="31"/>
      <c r="AX252" s="116"/>
      <c r="AY252" s="116"/>
      <c r="AZ252" s="143"/>
      <c r="BA252" s="191"/>
      <c r="BB252" s="132"/>
      <c r="BC252" s="132"/>
      <c r="BD252" s="274"/>
      <c r="BE252" s="143"/>
      <c r="BF252" s="143"/>
      <c r="BG252" s="132"/>
      <c r="BH252" s="132"/>
      <c r="BI252" s="132"/>
      <c r="BJ252" s="143"/>
      <c r="BK252" s="143"/>
      <c r="BL252" s="143"/>
      <c r="BM252" s="132"/>
      <c r="BN252" s="132"/>
      <c r="BO252" s="132"/>
      <c r="BP252" s="143"/>
      <c r="BQ252" s="132"/>
      <c r="BR252" s="132"/>
      <c r="BS252" s="132"/>
      <c r="BT252" s="132"/>
      <c r="BU252" s="132"/>
      <c r="BV252" s="210"/>
      <c r="BW252" s="144"/>
      <c r="BX252" s="113"/>
      <c r="BY252" s="273"/>
      <c r="BZ252" s="273"/>
      <c r="CA252" s="132"/>
      <c r="CB252" s="274">
        <v>425600</v>
      </c>
      <c r="CC252" s="144">
        <f>+CB252*19%</f>
        <v>80864</v>
      </c>
      <c r="CD252" s="274">
        <f>+CC252+CB252</f>
        <v>506464</v>
      </c>
      <c r="CE252" s="132"/>
      <c r="CF252" s="132"/>
      <c r="CG252" s="36"/>
      <c r="CH252" s="210"/>
      <c r="CI252" s="219"/>
      <c r="CJ252" s="210"/>
      <c r="CK252" s="273"/>
      <c r="CL252" s="273"/>
      <c r="CM252" s="132"/>
      <c r="CN252" s="274"/>
      <c r="CO252" s="144"/>
      <c r="CP252" s="274"/>
      <c r="CQ252" s="132"/>
      <c r="CR252" s="132"/>
      <c r="CS252" s="132"/>
      <c r="CT252" s="274"/>
      <c r="CU252" s="144"/>
      <c r="CV252" s="274"/>
      <c r="CW252" s="132"/>
      <c r="CX252" s="132"/>
      <c r="CY252" s="132"/>
      <c r="CZ252" s="118"/>
      <c r="DA252" s="144"/>
      <c r="DB252" s="118"/>
      <c r="DC252" s="33"/>
      <c r="DD252" s="39"/>
      <c r="DE252" s="11"/>
      <c r="DF252" s="132"/>
      <c r="DG252" s="132"/>
      <c r="DH252" s="132"/>
      <c r="DI252" s="132"/>
      <c r="DJ252" s="132"/>
      <c r="DK252" s="132"/>
      <c r="DL252" s="132"/>
      <c r="DM252" s="132"/>
      <c r="DN252" s="132"/>
      <c r="DO252" s="132"/>
      <c r="DP252" s="132"/>
      <c r="DQ252" s="132"/>
      <c r="DR252" s="132"/>
      <c r="DS252" s="132"/>
      <c r="DT252" s="132"/>
      <c r="DU252" s="132"/>
      <c r="DV252" s="132"/>
      <c r="DW252" s="132"/>
      <c r="DX252" s="132"/>
      <c r="DY252" s="132"/>
      <c r="DZ252" s="132"/>
      <c r="EA252" s="132"/>
      <c r="EB252" s="132"/>
      <c r="EC252" s="132"/>
      <c r="ED252" s="132"/>
      <c r="EE252" s="132"/>
      <c r="EF252" s="132"/>
      <c r="EG252" s="132"/>
      <c r="EH252" s="132"/>
      <c r="EI252" s="132"/>
      <c r="EJ252" s="132"/>
      <c r="EK252" s="132"/>
      <c r="EL252" s="132"/>
      <c r="EM252" s="132"/>
      <c r="EN252" s="132"/>
      <c r="EO252" s="132"/>
      <c r="EP252" s="132"/>
      <c r="EQ252" s="132"/>
      <c r="ER252" s="132"/>
      <c r="ES252" s="132"/>
      <c r="ET252" s="11"/>
      <c r="EU252" s="11"/>
      <c r="EV252" s="11"/>
      <c r="EW252" s="11"/>
      <c r="EX252" s="11"/>
      <c r="EY252" s="11"/>
      <c r="EZ252" s="11"/>
      <c r="FA252" s="11"/>
      <c r="FB252" s="11"/>
      <c r="FC252" s="11"/>
      <c r="FD252" s="11"/>
      <c r="FE252" s="11"/>
      <c r="FF252" s="11"/>
      <c r="FG252" s="11"/>
      <c r="FH252" s="39">
        <f t="shared" si="50"/>
        <v>1138782.3999999999</v>
      </c>
      <c r="FI252" s="33">
        <f t="shared" si="51"/>
        <v>2</v>
      </c>
      <c r="FJ252" s="84">
        <f t="shared" si="52"/>
        <v>569391.19999999995</v>
      </c>
    </row>
    <row r="253" spans="1:166" x14ac:dyDescent="0.25">
      <c r="A253" s="79" t="e">
        <f>#REF!</f>
        <v>#REF!</v>
      </c>
      <c r="B253" s="75" t="e">
        <f>#REF!</f>
        <v>#REF!</v>
      </c>
      <c r="C253" s="75" t="e">
        <f>#REF!</f>
        <v>#REF!</v>
      </c>
      <c r="D253" s="75" t="e">
        <f>#REF!</f>
        <v>#REF!</v>
      </c>
      <c r="E253" s="30">
        <v>1</v>
      </c>
      <c r="F253" s="238">
        <v>0</v>
      </c>
      <c r="G253" s="241">
        <v>0</v>
      </c>
      <c r="H253" s="249">
        <v>0</v>
      </c>
      <c r="I253" s="249">
        <v>0</v>
      </c>
      <c r="J253" s="249">
        <v>380800</v>
      </c>
      <c r="K253" s="249">
        <v>0</v>
      </c>
      <c r="L253" s="274">
        <f>J253</f>
        <v>380800</v>
      </c>
      <c r="M253" s="274"/>
      <c r="N253" s="245"/>
      <c r="O253" s="113"/>
      <c r="P253" s="113"/>
      <c r="Q253" s="131"/>
      <c r="R253" s="131"/>
      <c r="S253" s="64"/>
      <c r="T253" s="113">
        <v>207000</v>
      </c>
      <c r="U253" s="121">
        <f>+T253*0.19</f>
        <v>39330</v>
      </c>
      <c r="V253" s="113">
        <f>+T253+U253</f>
        <v>246330</v>
      </c>
      <c r="W253" s="131" t="s">
        <v>304</v>
      </c>
      <c r="X253" s="131" t="s">
        <v>305</v>
      </c>
      <c r="Y253" s="11"/>
      <c r="Z253" s="113"/>
      <c r="AA253" s="113"/>
      <c r="AB253" s="113"/>
      <c r="AC253" s="52"/>
      <c r="AD253" s="52"/>
      <c r="AE253" s="11"/>
      <c r="AF253" s="118"/>
      <c r="AG253" s="144"/>
      <c r="AH253" s="113"/>
      <c r="AI253" s="11"/>
      <c r="AJ253" s="11"/>
      <c r="AK253" s="39"/>
      <c r="AL253" s="113"/>
      <c r="AM253" s="113"/>
      <c r="AN253" s="117"/>
      <c r="AO253" s="76"/>
      <c r="AP253" s="39"/>
      <c r="AQ253" s="39"/>
      <c r="AR253" s="275">
        <v>320000</v>
      </c>
      <c r="AS253" s="113">
        <f t="shared" si="59"/>
        <v>60800</v>
      </c>
      <c r="AT253" s="119">
        <f t="shared" si="60"/>
        <v>380800</v>
      </c>
      <c r="AU253" s="62" t="s">
        <v>304</v>
      </c>
      <c r="AV253" s="62" t="s">
        <v>305</v>
      </c>
      <c r="AW253" s="31"/>
      <c r="AX253" s="116"/>
      <c r="AY253" s="196"/>
      <c r="AZ253" s="143"/>
      <c r="BA253" s="191"/>
      <c r="BB253" s="132"/>
      <c r="BC253" s="132"/>
      <c r="BD253" s="274"/>
      <c r="BE253" s="143"/>
      <c r="BF253" s="143"/>
      <c r="BG253" s="132"/>
      <c r="BH253" s="132"/>
      <c r="BI253" s="132"/>
      <c r="BJ253" s="143"/>
      <c r="BK253" s="143"/>
      <c r="BL253" s="143"/>
      <c r="BM253" s="132"/>
      <c r="BN253" s="132"/>
      <c r="BO253" s="132"/>
      <c r="BP253" s="143"/>
      <c r="BQ253" s="132"/>
      <c r="BR253" s="132"/>
      <c r="BS253" s="132"/>
      <c r="BT253" s="132"/>
      <c r="BU253" s="132"/>
      <c r="BV253" s="210"/>
      <c r="BW253" s="144"/>
      <c r="BX253" s="113"/>
      <c r="BY253" s="273"/>
      <c r="BZ253" s="273"/>
      <c r="CA253" s="132"/>
      <c r="CB253" s="274"/>
      <c r="CC253" s="144"/>
      <c r="CD253" s="274"/>
      <c r="CE253" s="132"/>
      <c r="CF253" s="132"/>
      <c r="CG253" s="36"/>
      <c r="CH253" s="210"/>
      <c r="CI253" s="219"/>
      <c r="CJ253" s="210"/>
      <c r="CK253" s="273"/>
      <c r="CL253" s="273"/>
      <c r="CM253" s="132"/>
      <c r="CN253" s="274"/>
      <c r="CO253" s="144"/>
      <c r="CP253" s="274"/>
      <c r="CQ253" s="132"/>
      <c r="CR253" s="132"/>
      <c r="CS253" s="132"/>
      <c r="CT253" s="274"/>
      <c r="CU253" s="144"/>
      <c r="CV253" s="274"/>
      <c r="CW253" s="132"/>
      <c r="CX253" s="132"/>
      <c r="CY253" s="132"/>
      <c r="CZ253" s="118"/>
      <c r="DA253" s="144"/>
      <c r="DB253" s="118"/>
      <c r="DC253" s="33"/>
      <c r="DD253" s="39"/>
      <c r="DE253" s="11"/>
      <c r="DF253" s="132"/>
      <c r="DG253" s="132"/>
      <c r="DH253" s="132"/>
      <c r="DI253" s="132"/>
      <c r="DJ253" s="132"/>
      <c r="DK253" s="132"/>
      <c r="DL253" s="132"/>
      <c r="DM253" s="132"/>
      <c r="DN253" s="132"/>
      <c r="DO253" s="132"/>
      <c r="DP253" s="132"/>
      <c r="DQ253" s="132"/>
      <c r="DR253" s="132"/>
      <c r="DS253" s="132"/>
      <c r="DT253" s="132"/>
      <c r="DU253" s="132"/>
      <c r="DV253" s="132"/>
      <c r="DW253" s="132"/>
      <c r="DX253" s="132"/>
      <c r="DY253" s="132"/>
      <c r="DZ253" s="132"/>
      <c r="EA253" s="132"/>
      <c r="EB253" s="132"/>
      <c r="EC253" s="132"/>
      <c r="ED253" s="132"/>
      <c r="EE253" s="132"/>
      <c r="EF253" s="132"/>
      <c r="EG253" s="132"/>
      <c r="EH253" s="132"/>
      <c r="EI253" s="132"/>
      <c r="EJ253" s="132"/>
      <c r="EK253" s="132"/>
      <c r="EL253" s="132"/>
      <c r="EM253" s="132"/>
      <c r="EN253" s="132"/>
      <c r="EO253" s="132"/>
      <c r="EP253" s="132"/>
      <c r="EQ253" s="132"/>
      <c r="ER253" s="132"/>
      <c r="ES253" s="132"/>
      <c r="ET253" s="11"/>
      <c r="EU253" s="11"/>
      <c r="EV253" s="11"/>
      <c r="EW253" s="11"/>
      <c r="EX253" s="11"/>
      <c r="EY253" s="11"/>
      <c r="EZ253" s="11"/>
      <c r="FA253" s="11"/>
      <c r="FB253" s="11"/>
      <c r="FC253" s="11"/>
      <c r="FD253" s="11"/>
      <c r="FE253" s="11"/>
      <c r="FF253" s="11"/>
      <c r="FG253" s="11"/>
      <c r="FH253" s="39">
        <f t="shared" si="50"/>
        <v>627130</v>
      </c>
      <c r="FI253" s="33">
        <f t="shared" si="51"/>
        <v>2</v>
      </c>
      <c r="FJ253" s="84">
        <f t="shared" si="52"/>
        <v>313565</v>
      </c>
    </row>
    <row r="254" spans="1:166" x14ac:dyDescent="0.25">
      <c r="A254" s="79" t="e">
        <f>#REF!</f>
        <v>#REF!</v>
      </c>
      <c r="B254" s="75" t="e">
        <f>#REF!</f>
        <v>#REF!</v>
      </c>
      <c r="C254" s="75" t="e">
        <f>#REF!</f>
        <v>#REF!</v>
      </c>
      <c r="D254" s="75" t="e">
        <f>#REF!</f>
        <v>#REF!</v>
      </c>
      <c r="E254" s="30">
        <v>1</v>
      </c>
      <c r="F254" s="238">
        <v>5786860</v>
      </c>
      <c r="G254" s="241">
        <v>2722720</v>
      </c>
      <c r="H254" s="249">
        <v>2702728</v>
      </c>
      <c r="I254" s="249">
        <v>0</v>
      </c>
      <c r="J254" s="249">
        <v>2858856</v>
      </c>
      <c r="K254" s="249">
        <v>2856000</v>
      </c>
      <c r="L254" s="274">
        <f>AVERAGE(F254,H254,J254)</f>
        <v>3782814.6666666665</v>
      </c>
      <c r="M254" s="274">
        <f>AVERAGE(G254,K254)*E1</f>
        <v>2873040.8000000003</v>
      </c>
      <c r="N254" s="245"/>
      <c r="O254" s="113"/>
      <c r="P254" s="113"/>
      <c r="Q254" s="131"/>
      <c r="R254" s="131"/>
      <c r="S254" s="64"/>
      <c r="T254" s="113"/>
      <c r="U254" s="113"/>
      <c r="V254" s="113"/>
      <c r="W254" s="131"/>
      <c r="X254" s="131"/>
      <c r="Y254" s="11"/>
      <c r="Z254" s="113"/>
      <c r="AA254" s="113"/>
      <c r="AB254" s="113"/>
      <c r="AC254" s="52"/>
      <c r="AD254" s="52"/>
      <c r="AE254" s="11"/>
      <c r="AF254" s="118"/>
      <c r="AG254" s="144"/>
      <c r="AH254" s="113"/>
      <c r="AI254" s="11"/>
      <c r="AJ254" s="11"/>
      <c r="AK254" s="39"/>
      <c r="AL254" s="113"/>
      <c r="AM254" s="113"/>
      <c r="AN254" s="117"/>
      <c r="AO254" s="76"/>
      <c r="AP254" s="39"/>
      <c r="AQ254" s="39"/>
      <c r="AR254" s="275"/>
      <c r="AS254" s="156"/>
      <c r="AT254" s="157"/>
      <c r="AU254" s="62"/>
      <c r="AV254" s="62"/>
      <c r="AW254" s="31"/>
      <c r="AX254" s="116"/>
      <c r="AY254" s="196"/>
      <c r="AZ254" s="143"/>
      <c r="BA254" s="191"/>
      <c r="BB254" s="132"/>
      <c r="BC254" s="132"/>
      <c r="BD254" s="274"/>
      <c r="BE254" s="143"/>
      <c r="BF254" s="143"/>
      <c r="BG254" s="132"/>
      <c r="BH254" s="132"/>
      <c r="BI254" s="132"/>
      <c r="BJ254" s="143"/>
      <c r="BK254" s="143"/>
      <c r="BL254" s="143"/>
      <c r="BM254" s="132"/>
      <c r="BN254" s="132"/>
      <c r="BO254" s="132"/>
      <c r="BP254" s="143"/>
      <c r="BQ254" s="132"/>
      <c r="BR254" s="132"/>
      <c r="BS254" s="132"/>
      <c r="BT254" s="132"/>
      <c r="BU254" s="132"/>
      <c r="BV254" s="210"/>
      <c r="BW254" s="144"/>
      <c r="BX254" s="113"/>
      <c r="BY254" s="273"/>
      <c r="BZ254" s="273"/>
      <c r="CA254" s="132"/>
      <c r="CB254" s="274"/>
      <c r="CC254" s="144"/>
      <c r="CD254" s="274"/>
      <c r="CE254" s="132"/>
      <c r="CF254" s="132"/>
      <c r="CG254" s="36"/>
      <c r="CH254" s="210"/>
      <c r="CI254" s="219"/>
      <c r="CJ254" s="210"/>
      <c r="CK254" s="273"/>
      <c r="CL254" s="273"/>
      <c r="CM254" s="132"/>
      <c r="CN254" s="274"/>
      <c r="CO254" s="144"/>
      <c r="CP254" s="274"/>
      <c r="CQ254" s="132"/>
      <c r="CR254" s="132"/>
      <c r="CS254" s="132"/>
      <c r="CT254" s="274"/>
      <c r="CU254" s="144"/>
      <c r="CV254" s="274"/>
      <c r="CW254" s="132"/>
      <c r="CX254" s="132"/>
      <c r="CY254" s="132"/>
      <c r="CZ254" s="118"/>
      <c r="DA254" s="144"/>
      <c r="DB254" s="118"/>
      <c r="DC254" s="33"/>
      <c r="DD254" s="39"/>
      <c r="DE254" s="11"/>
      <c r="DF254" s="132"/>
      <c r="DG254" s="132"/>
      <c r="DH254" s="132"/>
      <c r="DI254" s="132"/>
      <c r="DJ254" s="132"/>
      <c r="DK254" s="132"/>
      <c r="DL254" s="132"/>
      <c r="DM254" s="132"/>
      <c r="DN254" s="132"/>
      <c r="DO254" s="132"/>
      <c r="DP254" s="132"/>
      <c r="DQ254" s="132"/>
      <c r="DR254" s="132"/>
      <c r="DS254" s="132"/>
      <c r="DT254" s="132"/>
      <c r="DU254" s="132"/>
      <c r="DV254" s="132"/>
      <c r="DW254" s="132"/>
      <c r="DX254" s="132"/>
      <c r="DY254" s="132"/>
      <c r="DZ254" s="132"/>
      <c r="EA254" s="132"/>
      <c r="EB254" s="132"/>
      <c r="EC254" s="132"/>
      <c r="ED254" s="132"/>
      <c r="EE254" s="132"/>
      <c r="EF254" s="132"/>
      <c r="EG254" s="132"/>
      <c r="EH254" s="132"/>
      <c r="EI254" s="132"/>
      <c r="EJ254" s="132"/>
      <c r="EK254" s="132"/>
      <c r="EL254" s="132"/>
      <c r="EM254" s="132"/>
      <c r="EN254" s="132"/>
      <c r="EO254" s="132"/>
      <c r="EP254" s="132"/>
      <c r="EQ254" s="132"/>
      <c r="ER254" s="132"/>
      <c r="ES254" s="132"/>
      <c r="ET254" s="11"/>
      <c r="EU254" s="11"/>
      <c r="EV254" s="11"/>
      <c r="EW254" s="11"/>
      <c r="EX254" s="11"/>
      <c r="EY254" s="11"/>
      <c r="EZ254" s="11"/>
      <c r="FA254" s="11"/>
      <c r="FB254" s="11"/>
      <c r="FC254" s="11"/>
      <c r="FD254" s="11"/>
      <c r="FE254" s="11"/>
      <c r="FF254" s="11"/>
      <c r="FG254" s="11"/>
      <c r="FH254" s="39">
        <f t="shared" si="50"/>
        <v>2873040.8000000003</v>
      </c>
      <c r="FI254" s="33">
        <f t="shared" si="51"/>
        <v>1</v>
      </c>
      <c r="FJ254" s="84">
        <f t="shared" si="52"/>
        <v>2873040.8000000003</v>
      </c>
    </row>
    <row r="255" spans="1:166" x14ac:dyDescent="0.25">
      <c r="A255" s="79" t="e">
        <f>#REF!</f>
        <v>#REF!</v>
      </c>
      <c r="B255" s="75" t="e">
        <f>#REF!</f>
        <v>#REF!</v>
      </c>
      <c r="C255" s="75" t="e">
        <f>#REF!</f>
        <v>#REF!</v>
      </c>
      <c r="D255" s="75" t="e">
        <f>#REF!</f>
        <v>#REF!</v>
      </c>
      <c r="E255" s="30">
        <v>1</v>
      </c>
      <c r="F255" s="238">
        <v>1110032</v>
      </c>
      <c r="G255" s="241">
        <v>1054459</v>
      </c>
      <c r="H255" s="249">
        <v>491428.36586666666</v>
      </c>
      <c r="I255" s="249">
        <v>491351</v>
      </c>
      <c r="J255" s="249">
        <v>464657.31666666665</v>
      </c>
      <c r="K255" s="249">
        <v>455413</v>
      </c>
      <c r="L255" s="274">
        <f>AVERAGE(F255,H255,J255)</f>
        <v>688705.89417777781</v>
      </c>
      <c r="M255" s="274">
        <f>AVERAGE(G255,I255,K255)*E1</f>
        <v>687086.56333333335</v>
      </c>
      <c r="N255" s="245"/>
      <c r="O255" s="113"/>
      <c r="P255" s="113"/>
      <c r="Q255" s="52"/>
      <c r="R255" s="52"/>
      <c r="S255" s="5"/>
      <c r="T255" s="113"/>
      <c r="U255" s="113"/>
      <c r="V255" s="113"/>
      <c r="W255" s="11"/>
      <c r="X255" s="11"/>
      <c r="Y255" s="11"/>
      <c r="Z255" s="113"/>
      <c r="AA255" s="113"/>
      <c r="AB255" s="113"/>
      <c r="AC255" s="52"/>
      <c r="AD255" s="52"/>
      <c r="AE255" s="11"/>
      <c r="AF255" s="118">
        <v>150000</v>
      </c>
      <c r="AG255" s="144">
        <f>AF255*19%</f>
        <v>28500</v>
      </c>
      <c r="AH255" s="113">
        <f>+AF255+AG255</f>
        <v>178500</v>
      </c>
      <c r="AI255" s="11"/>
      <c r="AJ255" s="11"/>
      <c r="AK255" s="11"/>
      <c r="AL255" s="113"/>
      <c r="AM255" s="113"/>
      <c r="AN255" s="113"/>
      <c r="AO255" s="76"/>
      <c r="AP255" s="11"/>
      <c r="AQ255" s="11"/>
      <c r="AR255" s="275"/>
      <c r="AS255" s="275"/>
      <c r="AT255" s="275"/>
      <c r="AU255" s="62"/>
      <c r="AV255" s="48"/>
      <c r="AW255" s="11"/>
      <c r="AX255" s="275"/>
      <c r="AY255" s="275"/>
      <c r="AZ255" s="275"/>
      <c r="BA255" s="11"/>
      <c r="BB255" s="11"/>
      <c r="BC255" s="11"/>
      <c r="BD255" s="274"/>
      <c r="BE255" s="143"/>
      <c r="BF255" s="143"/>
      <c r="BG255" s="132"/>
      <c r="BH255" s="11"/>
      <c r="BI255" s="132"/>
      <c r="BJ255" s="143"/>
      <c r="BK255" s="143"/>
      <c r="BL255" s="143"/>
      <c r="BM255" s="132"/>
      <c r="BN255" s="132"/>
      <c r="BO255" s="132"/>
      <c r="BP255" s="143"/>
      <c r="BQ255" s="132"/>
      <c r="BR255" s="132"/>
      <c r="BS255" s="132"/>
      <c r="BT255" s="132"/>
      <c r="BU255" s="132"/>
      <c r="BV255" s="210"/>
      <c r="BW255" s="144"/>
      <c r="BX255" s="113"/>
      <c r="BY255" s="273"/>
      <c r="BZ255" s="273"/>
      <c r="CA255" s="132"/>
      <c r="CB255" s="274"/>
      <c r="CC255" s="144"/>
      <c r="CD255" s="274"/>
      <c r="CE255" s="132"/>
      <c r="CF255" s="132"/>
      <c r="CG255" s="36"/>
      <c r="CH255" s="210"/>
      <c r="CI255" s="219"/>
      <c r="CJ255" s="210"/>
      <c r="CK255" s="273"/>
      <c r="CL255" s="273"/>
      <c r="CM255" s="132"/>
      <c r="CN255" s="274"/>
      <c r="CO255" s="144"/>
      <c r="CP255" s="274"/>
      <c r="CQ255" s="132"/>
      <c r="CR255" s="132"/>
      <c r="CS255" s="132"/>
      <c r="CT255" s="274"/>
      <c r="CU255" s="144"/>
      <c r="CV255" s="274"/>
      <c r="CW255" s="132"/>
      <c r="CX255" s="132"/>
      <c r="CY255" s="132"/>
      <c r="CZ255" s="118"/>
      <c r="DA255" s="144"/>
      <c r="DB255" s="118"/>
      <c r="DC255" s="33"/>
      <c r="DD255" s="39"/>
      <c r="DE255" s="11"/>
      <c r="DF255" s="132"/>
      <c r="DG255" s="132"/>
      <c r="DH255" s="132"/>
      <c r="DI255" s="132"/>
      <c r="DJ255" s="132"/>
      <c r="DK255" s="132"/>
      <c r="DL255" s="132"/>
      <c r="DM255" s="132"/>
      <c r="DN255" s="132"/>
      <c r="DO255" s="132"/>
      <c r="DP255" s="132"/>
      <c r="DQ255" s="132"/>
      <c r="DR255" s="132"/>
      <c r="DS255" s="132"/>
      <c r="DT255" s="132"/>
      <c r="DU255" s="132"/>
      <c r="DV255" s="132"/>
      <c r="DW255" s="132"/>
      <c r="DX255" s="132"/>
      <c r="DY255" s="132"/>
      <c r="DZ255" s="132"/>
      <c r="EA255" s="132"/>
      <c r="EB255" s="132"/>
      <c r="EC255" s="132"/>
      <c r="ED255" s="132"/>
      <c r="EE255" s="132"/>
      <c r="EF255" s="132"/>
      <c r="EG255" s="132"/>
      <c r="EH255" s="132"/>
      <c r="EI255" s="132"/>
      <c r="EJ255" s="132"/>
      <c r="EK255" s="132"/>
      <c r="EL255" s="132"/>
      <c r="EM255" s="132"/>
      <c r="EN255" s="132"/>
      <c r="EO255" s="132"/>
      <c r="EP255" s="132"/>
      <c r="EQ255" s="132"/>
      <c r="ER255" s="132"/>
      <c r="ES255" s="132"/>
      <c r="ET255" s="11"/>
      <c r="EU255" s="11"/>
      <c r="EV255" s="11"/>
      <c r="EW255" s="11"/>
      <c r="EX255" s="11"/>
      <c r="EY255" s="11"/>
      <c r="EZ255" s="11"/>
      <c r="FA255" s="11"/>
      <c r="FB255" s="11"/>
      <c r="FC255" s="11"/>
      <c r="FD255" s="11"/>
      <c r="FE255" s="11"/>
      <c r="FF255" s="11"/>
      <c r="FG255" s="11"/>
      <c r="FH255" s="39">
        <f t="shared" si="50"/>
        <v>865586.56333333335</v>
      </c>
      <c r="FI255" s="33">
        <f t="shared" si="51"/>
        <v>2</v>
      </c>
      <c r="FJ255" s="84">
        <f t="shared" si="52"/>
        <v>432793.28166666668</v>
      </c>
    </row>
    <row r="256" spans="1:166" x14ac:dyDescent="0.25">
      <c r="A256" s="79" t="e">
        <f>#REF!</f>
        <v>#REF!</v>
      </c>
      <c r="B256" s="75" t="e">
        <f>#REF!</f>
        <v>#REF!</v>
      </c>
      <c r="C256" s="75" t="e">
        <f>#REF!</f>
        <v>#REF!</v>
      </c>
      <c r="D256" s="75" t="e">
        <f>#REF!</f>
        <v>#REF!</v>
      </c>
      <c r="E256" s="30">
        <v>1</v>
      </c>
      <c r="F256" s="238">
        <v>0</v>
      </c>
      <c r="G256" s="241">
        <v>0</v>
      </c>
      <c r="H256" s="249">
        <v>0</v>
      </c>
      <c r="I256" s="249">
        <v>0</v>
      </c>
      <c r="J256" s="249">
        <v>0</v>
      </c>
      <c r="K256" s="249">
        <v>0</v>
      </c>
      <c r="L256" s="274"/>
      <c r="M256" s="274"/>
      <c r="N256" s="245"/>
      <c r="O256" s="113"/>
      <c r="P256" s="113"/>
      <c r="Q256" s="131"/>
      <c r="R256" s="131"/>
      <c r="S256" s="64"/>
      <c r="T256" s="113"/>
      <c r="U256" s="113"/>
      <c r="V256" s="113"/>
      <c r="W256" s="131"/>
      <c r="X256" s="131"/>
      <c r="Y256" s="11"/>
      <c r="Z256" s="113"/>
      <c r="AA256" s="113"/>
      <c r="AB256" s="113"/>
      <c r="AC256" s="52"/>
      <c r="AD256" s="52"/>
      <c r="AE256" s="11"/>
      <c r="AF256" s="113"/>
      <c r="AG256" s="144"/>
      <c r="AH256" s="113"/>
      <c r="AI256" s="11"/>
      <c r="AJ256" s="11"/>
      <c r="AK256" s="39"/>
      <c r="AL256" s="113"/>
      <c r="AM256" s="113"/>
      <c r="AN256" s="147"/>
      <c r="AO256" s="76"/>
      <c r="AP256" s="39"/>
      <c r="AQ256" s="39"/>
      <c r="AR256" s="275"/>
      <c r="AS256" s="158"/>
      <c r="AT256" s="159"/>
      <c r="AU256" s="62"/>
      <c r="AV256" s="62"/>
      <c r="AW256" s="31"/>
      <c r="AX256" s="116"/>
      <c r="AY256" s="116"/>
      <c r="AZ256" s="143"/>
      <c r="BA256" s="191"/>
      <c r="BB256" s="132"/>
      <c r="BC256" s="132"/>
      <c r="BD256" s="275"/>
      <c r="BE256" s="143"/>
      <c r="BF256" s="143"/>
      <c r="BG256" s="132"/>
      <c r="BH256" s="132"/>
      <c r="BI256" s="132"/>
      <c r="BJ256" s="143"/>
      <c r="BK256" s="143"/>
      <c r="BL256" s="143"/>
      <c r="BM256" s="132"/>
      <c r="BN256" s="132"/>
      <c r="BO256" s="132"/>
      <c r="BP256" s="143"/>
      <c r="BQ256" s="132"/>
      <c r="BR256" s="132"/>
      <c r="BS256" s="132"/>
      <c r="BT256" s="132"/>
      <c r="BU256" s="132"/>
      <c r="BV256" s="210"/>
      <c r="BW256" s="144"/>
      <c r="BX256" s="113"/>
      <c r="BY256" s="273"/>
      <c r="BZ256" s="273"/>
      <c r="CA256" s="132"/>
      <c r="CB256" s="275"/>
      <c r="CC256" s="143"/>
      <c r="CD256" s="275"/>
      <c r="CE256" s="132"/>
      <c r="CF256" s="132"/>
      <c r="CG256" s="36"/>
      <c r="CH256" s="210"/>
      <c r="CI256" s="219"/>
      <c r="CJ256" s="210"/>
      <c r="CK256" s="273"/>
      <c r="CL256" s="273"/>
      <c r="CM256" s="132"/>
      <c r="CN256" s="275"/>
      <c r="CO256" s="143"/>
      <c r="CP256" s="275"/>
      <c r="CQ256" s="132"/>
      <c r="CR256" s="132"/>
      <c r="CS256" s="132"/>
      <c r="CT256" s="275"/>
      <c r="CU256" s="143"/>
      <c r="CV256" s="275"/>
      <c r="CW256" s="132"/>
      <c r="CX256" s="132"/>
      <c r="CY256" s="132"/>
      <c r="CZ256" s="113"/>
      <c r="DA256" s="143"/>
      <c r="DB256" s="113"/>
      <c r="DC256" s="33"/>
      <c r="DD256" s="39"/>
      <c r="DE256" s="11"/>
      <c r="DF256" s="132"/>
      <c r="DG256" s="132"/>
      <c r="DH256" s="132"/>
      <c r="DI256" s="132"/>
      <c r="DJ256" s="132"/>
      <c r="DK256" s="132"/>
      <c r="DL256" s="132"/>
      <c r="DM256" s="132"/>
      <c r="DN256" s="132"/>
      <c r="DO256" s="132"/>
      <c r="DP256" s="132"/>
      <c r="DQ256" s="132"/>
      <c r="DR256" s="132"/>
      <c r="DS256" s="132"/>
      <c r="DT256" s="132"/>
      <c r="DU256" s="132"/>
      <c r="DV256" s="132"/>
      <c r="DW256" s="132"/>
      <c r="DX256" s="132"/>
      <c r="DY256" s="132"/>
      <c r="DZ256" s="132"/>
      <c r="EA256" s="132"/>
      <c r="EB256" s="132"/>
      <c r="EC256" s="132"/>
      <c r="ED256" s="132"/>
      <c r="EE256" s="132"/>
      <c r="EF256" s="132"/>
      <c r="EG256" s="132"/>
      <c r="EH256" s="132"/>
      <c r="EI256" s="132"/>
      <c r="EJ256" s="132"/>
      <c r="EK256" s="132"/>
      <c r="EL256" s="132"/>
      <c r="EM256" s="132"/>
      <c r="EN256" s="132"/>
      <c r="EO256" s="132"/>
      <c r="EP256" s="132"/>
      <c r="EQ256" s="132"/>
      <c r="ER256" s="132"/>
      <c r="ES256" s="132"/>
      <c r="ET256" s="11"/>
      <c r="EU256" s="11"/>
      <c r="EV256" s="11"/>
      <c r="EW256" s="11"/>
      <c r="EX256" s="11"/>
      <c r="EY256" s="11"/>
      <c r="EZ256" s="11"/>
      <c r="FA256" s="11"/>
      <c r="FB256" s="11"/>
      <c r="FC256" s="11"/>
      <c r="FD256" s="11"/>
      <c r="FE256" s="11"/>
      <c r="FF256" s="11"/>
      <c r="FG256" s="11"/>
      <c r="FH256" s="39">
        <f t="shared" si="50"/>
        <v>0</v>
      </c>
      <c r="FI256" s="33">
        <f t="shared" si="51"/>
        <v>0</v>
      </c>
      <c r="FJ256" s="84" t="str">
        <f t="shared" si="52"/>
        <v xml:space="preserve"> </v>
      </c>
    </row>
    <row r="257" spans="1:166" ht="25.5" x14ac:dyDescent="0.25">
      <c r="A257" s="79" t="e">
        <f>#REF!</f>
        <v>#REF!</v>
      </c>
      <c r="B257" s="75" t="e">
        <f>#REF!</f>
        <v>#REF!</v>
      </c>
      <c r="C257" s="75" t="e">
        <f>#REF!</f>
        <v>#REF!</v>
      </c>
      <c r="D257" s="75" t="e">
        <f>#REF!</f>
        <v>#REF!</v>
      </c>
      <c r="E257" s="30">
        <v>1</v>
      </c>
      <c r="F257" s="238">
        <v>0</v>
      </c>
      <c r="G257" s="241">
        <v>0</v>
      </c>
      <c r="H257" s="249">
        <v>0</v>
      </c>
      <c r="I257" s="249">
        <v>0</v>
      </c>
      <c r="J257" s="249">
        <v>414553.16000000003</v>
      </c>
      <c r="K257" s="249">
        <v>0</v>
      </c>
      <c r="L257" s="274">
        <f>J257</f>
        <v>414553.16000000003</v>
      </c>
      <c r="M257" s="274"/>
      <c r="N257" s="245"/>
      <c r="O257" s="113"/>
      <c r="P257" s="113"/>
      <c r="Q257" s="131"/>
      <c r="R257" s="131"/>
      <c r="S257" s="64"/>
      <c r="T257" s="113"/>
      <c r="U257" s="121"/>
      <c r="V257" s="113"/>
      <c r="W257" s="131"/>
      <c r="X257" s="131"/>
      <c r="Y257" s="11"/>
      <c r="Z257" s="113"/>
      <c r="AA257" s="113"/>
      <c r="AB257" s="113"/>
      <c r="AC257" s="52"/>
      <c r="AD257" s="52"/>
      <c r="AE257" s="11"/>
      <c r="AF257" s="118"/>
      <c r="AG257" s="144"/>
      <c r="AH257" s="113"/>
      <c r="AI257" s="11"/>
      <c r="AJ257" s="11"/>
      <c r="AK257" s="39"/>
      <c r="AL257" s="113"/>
      <c r="AM257" s="113"/>
      <c r="AN257" s="117"/>
      <c r="AO257" s="76"/>
      <c r="AP257" s="39"/>
      <c r="AQ257" s="39"/>
      <c r="AR257" s="275">
        <v>348364</v>
      </c>
      <c r="AS257" s="113">
        <f>+AR257*0.19</f>
        <v>66189.16</v>
      </c>
      <c r="AT257" s="119">
        <f>+AR257+AS257</f>
        <v>414553.16000000003</v>
      </c>
      <c r="AU257" s="62" t="s">
        <v>306</v>
      </c>
      <c r="AV257" s="62" t="s">
        <v>147</v>
      </c>
      <c r="AW257" s="31"/>
      <c r="AX257" s="116"/>
      <c r="AY257" s="116"/>
      <c r="AZ257" s="143"/>
      <c r="BA257" s="191"/>
      <c r="BB257" s="132"/>
      <c r="BC257" s="132"/>
      <c r="BD257" s="274"/>
      <c r="BE257" s="143"/>
      <c r="BF257" s="143"/>
      <c r="BG257" s="132"/>
      <c r="BH257" s="132"/>
      <c r="BI257" s="132"/>
      <c r="BJ257" s="143"/>
      <c r="BK257" s="143"/>
      <c r="BL257" s="143"/>
      <c r="BM257" s="132"/>
      <c r="BN257" s="132"/>
      <c r="BO257" s="132"/>
      <c r="BP257" s="143"/>
      <c r="BQ257" s="132"/>
      <c r="BR257" s="132"/>
      <c r="BS257" s="132"/>
      <c r="BT257" s="132"/>
      <c r="BU257" s="132"/>
      <c r="BV257" s="210"/>
      <c r="BW257" s="144"/>
      <c r="BX257" s="113"/>
      <c r="BY257" s="273"/>
      <c r="BZ257" s="273"/>
      <c r="CA257" s="132"/>
      <c r="CB257" s="274"/>
      <c r="CC257" s="144"/>
      <c r="CD257" s="274"/>
      <c r="CE257" s="132"/>
      <c r="CF257" s="132"/>
      <c r="CG257" s="36"/>
      <c r="CH257" s="210"/>
      <c r="CI257" s="219"/>
      <c r="CJ257" s="210"/>
      <c r="CK257" s="273"/>
      <c r="CL257" s="273"/>
      <c r="CM257" s="132"/>
      <c r="CN257" s="274"/>
      <c r="CO257" s="144"/>
      <c r="CP257" s="274"/>
      <c r="CQ257" s="132"/>
      <c r="CR257" s="132"/>
      <c r="CS257" s="132"/>
      <c r="CT257" s="274"/>
      <c r="CU257" s="144"/>
      <c r="CV257" s="274"/>
      <c r="CW257" s="132"/>
      <c r="CX257" s="132"/>
      <c r="CY257" s="132"/>
      <c r="CZ257" s="118"/>
      <c r="DA257" s="144"/>
      <c r="DB257" s="118"/>
      <c r="DC257" s="33"/>
      <c r="DD257" s="39"/>
      <c r="DE257" s="11"/>
      <c r="DF257" s="132"/>
      <c r="DG257" s="132"/>
      <c r="DH257" s="132"/>
      <c r="DI257" s="132"/>
      <c r="DJ257" s="132"/>
      <c r="DK257" s="132"/>
      <c r="DL257" s="132"/>
      <c r="DM257" s="132"/>
      <c r="DN257" s="132"/>
      <c r="DO257" s="132"/>
      <c r="DP257" s="132"/>
      <c r="DQ257" s="132"/>
      <c r="DR257" s="132"/>
      <c r="DS257" s="132"/>
      <c r="DT257" s="132"/>
      <c r="DU257" s="132"/>
      <c r="DV257" s="132"/>
      <c r="DW257" s="132"/>
      <c r="DX257" s="132"/>
      <c r="DY257" s="132"/>
      <c r="DZ257" s="132"/>
      <c r="EA257" s="132"/>
      <c r="EB257" s="132"/>
      <c r="EC257" s="132"/>
      <c r="ED257" s="132"/>
      <c r="EE257" s="132"/>
      <c r="EF257" s="132"/>
      <c r="EG257" s="132"/>
      <c r="EH257" s="132"/>
      <c r="EI257" s="132"/>
      <c r="EJ257" s="132"/>
      <c r="EK257" s="132"/>
      <c r="EL257" s="132"/>
      <c r="EM257" s="132"/>
      <c r="EN257" s="132"/>
      <c r="EO257" s="132"/>
      <c r="EP257" s="132"/>
      <c r="EQ257" s="132"/>
      <c r="ER257" s="132"/>
      <c r="ES257" s="132"/>
      <c r="ET257" s="11"/>
      <c r="EU257" s="11"/>
      <c r="EV257" s="11"/>
      <c r="EW257" s="11"/>
      <c r="EX257" s="11"/>
      <c r="EY257" s="11"/>
      <c r="EZ257" s="11"/>
      <c r="FA257" s="11"/>
      <c r="FB257" s="11"/>
      <c r="FC257" s="11"/>
      <c r="FD257" s="11"/>
      <c r="FE257" s="11"/>
      <c r="FF257" s="11"/>
      <c r="FG257" s="11"/>
      <c r="FH257" s="39">
        <f t="shared" si="50"/>
        <v>414553.16000000003</v>
      </c>
      <c r="FI257" s="33">
        <f t="shared" si="51"/>
        <v>1</v>
      </c>
      <c r="FJ257" s="84">
        <f t="shared" si="52"/>
        <v>414553.16000000003</v>
      </c>
    </row>
    <row r="258" spans="1:166" ht="25.5" x14ac:dyDescent="0.25">
      <c r="A258" s="79" t="e">
        <f>#REF!</f>
        <v>#REF!</v>
      </c>
      <c r="B258" s="75" t="e">
        <f>#REF!</f>
        <v>#REF!</v>
      </c>
      <c r="C258" s="75" t="e">
        <f>#REF!</f>
        <v>#REF!</v>
      </c>
      <c r="D258" s="75" t="e">
        <f>#REF!</f>
        <v>#REF!</v>
      </c>
      <c r="E258" s="30">
        <v>1</v>
      </c>
      <c r="F258" s="238">
        <v>601783</v>
      </c>
      <c r="G258" s="241">
        <v>586670</v>
      </c>
      <c r="H258" s="249">
        <v>468918.43137999997</v>
      </c>
      <c r="I258" s="249">
        <v>468860</v>
      </c>
      <c r="J258" s="249">
        <v>588053.375</v>
      </c>
      <c r="K258" s="249">
        <v>455414</v>
      </c>
      <c r="L258" s="274">
        <f>AVERAGE(F258,H258,J258)</f>
        <v>552918.26879333332</v>
      </c>
      <c r="M258" s="274">
        <f>AVERAGE(G258,I258,K258)*E1</f>
        <v>518757.44</v>
      </c>
      <c r="N258" s="245"/>
      <c r="O258" s="113"/>
      <c r="P258" s="113"/>
      <c r="Q258" s="131"/>
      <c r="R258" s="131"/>
      <c r="S258" s="64"/>
      <c r="T258" s="113"/>
      <c r="U258" s="113"/>
      <c r="V258" s="113"/>
      <c r="W258" s="131"/>
      <c r="X258" s="131"/>
      <c r="Y258" s="11"/>
      <c r="Z258" s="113"/>
      <c r="AA258" s="113"/>
      <c r="AB258" s="113"/>
      <c r="AC258" s="52"/>
      <c r="AD258" s="52"/>
      <c r="AE258" s="11"/>
      <c r="AF258" s="118">
        <v>700000</v>
      </c>
      <c r="AG258" s="144">
        <f>AF258*19%</f>
        <v>133000</v>
      </c>
      <c r="AH258" s="113">
        <f>+AF258+AG258</f>
        <v>833000</v>
      </c>
      <c r="AI258" s="11"/>
      <c r="AJ258" s="11"/>
      <c r="AK258" s="39"/>
      <c r="AL258" s="113"/>
      <c r="AM258" s="113"/>
      <c r="AN258" s="147"/>
      <c r="AO258" s="76"/>
      <c r="AP258" s="39"/>
      <c r="AQ258" s="39"/>
      <c r="AR258" s="275">
        <v>1159200</v>
      </c>
      <c r="AS258" s="113">
        <f>+AR258*0.19</f>
        <v>220248</v>
      </c>
      <c r="AT258" s="119">
        <f>+AR258+AS258</f>
        <v>1379448</v>
      </c>
      <c r="AU258" s="62" t="s">
        <v>34</v>
      </c>
      <c r="AV258" s="62" t="s">
        <v>35</v>
      </c>
      <c r="AW258" s="31"/>
      <c r="AX258" s="116"/>
      <c r="AY258" s="116"/>
      <c r="AZ258" s="143"/>
      <c r="BA258" s="191"/>
      <c r="BB258" s="132"/>
      <c r="BC258" s="132"/>
      <c r="BD258" s="274"/>
      <c r="BE258" s="143"/>
      <c r="BF258" s="143"/>
      <c r="BG258" s="132"/>
      <c r="BH258" s="132"/>
      <c r="BI258" s="132"/>
      <c r="BJ258" s="143"/>
      <c r="BK258" s="143"/>
      <c r="BL258" s="143"/>
      <c r="BM258" s="132"/>
      <c r="BN258" s="132"/>
      <c r="BO258" s="132"/>
      <c r="BP258" s="143"/>
      <c r="BQ258" s="132"/>
      <c r="BR258" s="132"/>
      <c r="BS258" s="132"/>
      <c r="BT258" s="132"/>
      <c r="BU258" s="132"/>
      <c r="BV258" s="210"/>
      <c r="BW258" s="144"/>
      <c r="BX258" s="113"/>
      <c r="BY258" s="273"/>
      <c r="BZ258" s="273"/>
      <c r="CA258" s="132"/>
      <c r="CB258" s="274"/>
      <c r="CC258" s="144"/>
      <c r="CD258" s="274"/>
      <c r="CE258" s="132"/>
      <c r="CF258" s="132"/>
      <c r="CG258" s="36"/>
      <c r="CH258" s="210"/>
      <c r="CI258" s="219"/>
      <c r="CJ258" s="210"/>
      <c r="CK258" s="273"/>
      <c r="CL258" s="273"/>
      <c r="CM258" s="132"/>
      <c r="CN258" s="274"/>
      <c r="CO258" s="144"/>
      <c r="CP258" s="274"/>
      <c r="CQ258" s="132"/>
      <c r="CR258" s="132"/>
      <c r="CS258" s="132"/>
      <c r="CT258" s="274"/>
      <c r="CU258" s="144"/>
      <c r="CV258" s="274"/>
      <c r="CW258" s="132"/>
      <c r="CX258" s="132"/>
      <c r="CY258" s="132"/>
      <c r="CZ258" s="118"/>
      <c r="DA258" s="144"/>
      <c r="DB258" s="118"/>
      <c r="DC258" s="33"/>
      <c r="DD258" s="39"/>
      <c r="DE258" s="11"/>
      <c r="DF258" s="132"/>
      <c r="DG258" s="132"/>
      <c r="DH258" s="132"/>
      <c r="DI258" s="132"/>
      <c r="DJ258" s="132"/>
      <c r="DK258" s="132"/>
      <c r="DL258" s="132"/>
      <c r="DM258" s="132"/>
      <c r="DN258" s="132"/>
      <c r="DO258" s="132"/>
      <c r="DP258" s="132"/>
      <c r="DQ258" s="132"/>
      <c r="DR258" s="132"/>
      <c r="DS258" s="132"/>
      <c r="DT258" s="132"/>
      <c r="DU258" s="132"/>
      <c r="DV258" s="132"/>
      <c r="DW258" s="132"/>
      <c r="DX258" s="132"/>
      <c r="DY258" s="132"/>
      <c r="DZ258" s="132"/>
      <c r="EA258" s="132"/>
      <c r="EB258" s="132"/>
      <c r="EC258" s="132"/>
      <c r="ED258" s="132"/>
      <c r="EE258" s="132"/>
      <c r="EF258" s="132"/>
      <c r="EG258" s="132"/>
      <c r="EH258" s="132"/>
      <c r="EI258" s="132"/>
      <c r="EJ258" s="132"/>
      <c r="EK258" s="132"/>
      <c r="EL258" s="132"/>
      <c r="EM258" s="132"/>
      <c r="EN258" s="132"/>
      <c r="EO258" s="132"/>
      <c r="EP258" s="132"/>
      <c r="EQ258" s="132"/>
      <c r="ER258" s="132"/>
      <c r="ES258" s="132"/>
      <c r="ET258" s="11"/>
      <c r="EU258" s="11"/>
      <c r="EV258" s="11"/>
      <c r="EW258" s="11"/>
      <c r="EX258" s="11"/>
      <c r="EY258" s="11"/>
      <c r="EZ258" s="11"/>
      <c r="FA258" s="11"/>
      <c r="FB258" s="11"/>
      <c r="FC258" s="11"/>
      <c r="FD258" s="11"/>
      <c r="FE258" s="11"/>
      <c r="FF258" s="11"/>
      <c r="FG258" s="11"/>
      <c r="FH258" s="39">
        <f t="shared" si="50"/>
        <v>2731205.44</v>
      </c>
      <c r="FI258" s="33">
        <f t="shared" si="51"/>
        <v>3</v>
      </c>
      <c r="FJ258" s="84">
        <f t="shared" si="52"/>
        <v>910401.81333333335</v>
      </c>
    </row>
    <row r="259" spans="1:166" ht="25.5" x14ac:dyDescent="0.25">
      <c r="A259" s="79" t="e">
        <f>#REF!</f>
        <v>#REF!</v>
      </c>
      <c r="B259" s="75" t="e">
        <f>#REF!</f>
        <v>#REF!</v>
      </c>
      <c r="C259" s="75" t="e">
        <f>#REF!</f>
        <v>#REF!</v>
      </c>
      <c r="D259" s="75" t="e">
        <f>#REF!</f>
        <v>#REF!</v>
      </c>
      <c r="E259" s="30">
        <v>1</v>
      </c>
      <c r="F259" s="238">
        <v>0</v>
      </c>
      <c r="G259" s="241">
        <v>0</v>
      </c>
      <c r="H259" s="249">
        <v>432559.875</v>
      </c>
      <c r="I259" s="249">
        <v>0</v>
      </c>
      <c r="J259" s="249">
        <v>744262.29499999993</v>
      </c>
      <c r="K259" s="249">
        <v>0</v>
      </c>
      <c r="L259" s="274">
        <f>AVERAGE(H259,J259)</f>
        <v>588411.08499999996</v>
      </c>
      <c r="M259" s="274"/>
      <c r="N259" s="245"/>
      <c r="O259" s="113"/>
      <c r="P259" s="113"/>
      <c r="Q259" s="131"/>
      <c r="R259" s="131"/>
      <c r="S259" s="64"/>
      <c r="T259" s="113"/>
      <c r="U259" s="113"/>
      <c r="V259" s="113"/>
      <c r="W259" s="131"/>
      <c r="X259" s="131"/>
      <c r="Y259" s="11"/>
      <c r="Z259" s="113"/>
      <c r="AA259" s="113"/>
      <c r="AB259" s="113"/>
      <c r="AC259" s="52"/>
      <c r="AD259" s="52"/>
      <c r="AE259" s="11"/>
      <c r="AF259" s="118"/>
      <c r="AG259" s="144"/>
      <c r="AH259" s="113"/>
      <c r="AI259" s="11"/>
      <c r="AJ259" s="11"/>
      <c r="AK259" s="39"/>
      <c r="AL259" s="113">
        <v>398000</v>
      </c>
      <c r="AM259" s="113">
        <f>+AL259*0.19</f>
        <v>75620</v>
      </c>
      <c r="AN259" s="119">
        <f>+AL259+AM259</f>
        <v>473620</v>
      </c>
      <c r="AO259" s="76" t="s">
        <v>307</v>
      </c>
      <c r="AP259" s="39" t="s">
        <v>45</v>
      </c>
      <c r="AQ259" s="39"/>
      <c r="AR259" s="275">
        <v>1159200</v>
      </c>
      <c r="AS259" s="113">
        <f>+AR259*0.19</f>
        <v>220248</v>
      </c>
      <c r="AT259" s="119">
        <f>+AR259+AS259</f>
        <v>1379448</v>
      </c>
      <c r="AU259" s="62" t="s">
        <v>34</v>
      </c>
      <c r="AV259" s="62" t="s">
        <v>35</v>
      </c>
      <c r="AW259" s="31"/>
      <c r="AX259" s="116"/>
      <c r="AY259" s="196"/>
      <c r="AZ259" s="143"/>
      <c r="BA259" s="191"/>
      <c r="BB259" s="132"/>
      <c r="BC259" s="132"/>
      <c r="BD259" s="274"/>
      <c r="BE259" s="143"/>
      <c r="BF259" s="143"/>
      <c r="BG259" s="132"/>
      <c r="BH259" s="132"/>
      <c r="BI259" s="132"/>
      <c r="BJ259" s="143"/>
      <c r="BK259" s="143"/>
      <c r="BL259" s="143"/>
      <c r="BM259" s="132"/>
      <c r="BN259" s="132"/>
      <c r="BO259" s="132"/>
      <c r="BP259" s="143"/>
      <c r="BQ259" s="132"/>
      <c r="BR259" s="132"/>
      <c r="BS259" s="132"/>
      <c r="BT259" s="132"/>
      <c r="BU259" s="132"/>
      <c r="BV259" s="210"/>
      <c r="BW259" s="144"/>
      <c r="BX259" s="113"/>
      <c r="BY259" s="273"/>
      <c r="BZ259" s="273"/>
      <c r="CA259" s="132"/>
      <c r="CB259" s="274"/>
      <c r="CC259" s="144"/>
      <c r="CD259" s="274"/>
      <c r="CE259" s="132"/>
      <c r="CF259" s="132"/>
      <c r="CG259" s="36"/>
      <c r="CH259" s="210"/>
      <c r="CI259" s="219"/>
      <c r="CJ259" s="210"/>
      <c r="CK259" s="273"/>
      <c r="CL259" s="273"/>
      <c r="CM259" s="132"/>
      <c r="CN259" s="274"/>
      <c r="CO259" s="144"/>
      <c r="CP259" s="274"/>
      <c r="CQ259" s="132"/>
      <c r="CR259" s="132"/>
      <c r="CS259" s="132"/>
      <c r="CT259" s="274"/>
      <c r="CU259" s="144"/>
      <c r="CV259" s="274"/>
      <c r="CW259" s="132"/>
      <c r="CX259" s="132"/>
      <c r="CY259" s="132"/>
      <c r="CZ259" s="118"/>
      <c r="DA259" s="144"/>
      <c r="DB259" s="118"/>
      <c r="DC259" s="33"/>
      <c r="DD259" s="39"/>
      <c r="DE259" s="11"/>
      <c r="DF259" s="132"/>
      <c r="DG259" s="132"/>
      <c r="DH259" s="132"/>
      <c r="DI259" s="132"/>
      <c r="DJ259" s="132"/>
      <c r="DK259" s="132"/>
      <c r="DL259" s="132"/>
      <c r="DM259" s="132"/>
      <c r="DN259" s="132"/>
      <c r="DO259" s="132"/>
      <c r="DP259" s="132"/>
      <c r="DQ259" s="132"/>
      <c r="DR259" s="132"/>
      <c r="DS259" s="132"/>
      <c r="DT259" s="132"/>
      <c r="DU259" s="132"/>
      <c r="DV259" s="132"/>
      <c r="DW259" s="132"/>
      <c r="DX259" s="132"/>
      <c r="DY259" s="132"/>
      <c r="DZ259" s="132"/>
      <c r="EA259" s="132"/>
      <c r="EB259" s="132"/>
      <c r="EC259" s="132"/>
      <c r="ED259" s="132"/>
      <c r="EE259" s="132"/>
      <c r="EF259" s="132"/>
      <c r="EG259" s="132"/>
      <c r="EH259" s="132"/>
      <c r="EI259" s="132"/>
      <c r="EJ259" s="132"/>
      <c r="EK259" s="132"/>
      <c r="EL259" s="132"/>
      <c r="EM259" s="132"/>
      <c r="EN259" s="132"/>
      <c r="EO259" s="132"/>
      <c r="EP259" s="132"/>
      <c r="EQ259" s="132"/>
      <c r="ER259" s="132"/>
      <c r="ES259" s="132"/>
      <c r="ET259" s="11"/>
      <c r="EU259" s="11"/>
      <c r="EV259" s="11"/>
      <c r="EW259" s="11"/>
      <c r="EX259" s="11"/>
      <c r="EY259" s="11"/>
      <c r="EZ259" s="11"/>
      <c r="FA259" s="11"/>
      <c r="FB259" s="11"/>
      <c r="FC259" s="11"/>
      <c r="FD259" s="11"/>
      <c r="FE259" s="11"/>
      <c r="FF259" s="11"/>
      <c r="FG259" s="11"/>
      <c r="FH259" s="39">
        <f t="shared" ref="FH259:FH322" si="61">SUM(M259,P259,V259,AB259,AH259,AN259,AT259,AZ259,BF259,BL259,BR259,BX259,CD259,CJ259,CP259,CV259,DB259,DH259,DN259,DT259,DZ259,EF259,EL259,ER259,EX259,FD259)</f>
        <v>1853068</v>
      </c>
      <c r="FI259" s="33">
        <f t="shared" ref="FI259:FI322" si="62">COUNTA(M259,N259,T259,Z259,AF259,AL259,AR259,AX259,BD259,BJ259,BP259,BV259,CB259,CH259,CN259,CT259,CZ259,DF259,DL259,DR259,DX259,ED259,EJ259,EP259,EV259,FB259)</f>
        <v>2</v>
      </c>
      <c r="FJ259" s="84">
        <f t="shared" ref="FJ259:FJ322" si="63">IFERROR(FH259/FI259," ")</f>
        <v>926534</v>
      </c>
    </row>
    <row r="260" spans="1:166" x14ac:dyDescent="0.25">
      <c r="A260" s="79" t="e">
        <f>#REF!</f>
        <v>#REF!</v>
      </c>
      <c r="B260" s="75" t="e">
        <f>#REF!</f>
        <v>#REF!</v>
      </c>
      <c r="C260" s="75" t="e">
        <f>#REF!</f>
        <v>#REF!</v>
      </c>
      <c r="D260" s="75" t="e">
        <f>#REF!</f>
        <v>#REF!</v>
      </c>
      <c r="E260" s="30">
        <v>1</v>
      </c>
      <c r="F260" s="238">
        <v>972914.25</v>
      </c>
      <c r="G260" s="241">
        <v>972825</v>
      </c>
      <c r="H260" s="249">
        <v>1781278.4029249998</v>
      </c>
      <c r="I260" s="249">
        <v>0</v>
      </c>
      <c r="J260" s="249">
        <v>1329453.125</v>
      </c>
      <c r="K260" s="249">
        <v>0</v>
      </c>
      <c r="L260" s="274">
        <f>AVERAGE(F260,H260,J260)</f>
        <v>1361215.2593083333</v>
      </c>
      <c r="M260" s="274">
        <f>G260*E1</f>
        <v>1002009.75</v>
      </c>
      <c r="N260" s="245"/>
      <c r="O260" s="113"/>
      <c r="P260" s="113"/>
      <c r="Q260" s="131"/>
      <c r="R260" s="131"/>
      <c r="S260" s="64"/>
      <c r="T260" s="113"/>
      <c r="U260" s="113"/>
      <c r="V260" s="113"/>
      <c r="W260" s="131"/>
      <c r="X260" s="131"/>
      <c r="Y260" s="11"/>
      <c r="Z260" s="113"/>
      <c r="AA260" s="113"/>
      <c r="AB260" s="113"/>
      <c r="AC260" s="52"/>
      <c r="AD260" s="52"/>
      <c r="AE260" s="11"/>
      <c r="AF260" s="118"/>
      <c r="AG260" s="144"/>
      <c r="AH260" s="113"/>
      <c r="AI260" s="11"/>
      <c r="AJ260" s="11"/>
      <c r="AK260" s="39"/>
      <c r="AL260" s="113"/>
      <c r="AM260" s="113"/>
      <c r="AN260" s="117"/>
      <c r="AO260" s="76"/>
      <c r="AP260" s="39"/>
      <c r="AQ260" s="39"/>
      <c r="AR260" s="275"/>
      <c r="AS260" s="156"/>
      <c r="AT260" s="157"/>
      <c r="AU260" s="62"/>
      <c r="AV260" s="62"/>
      <c r="AW260" s="31"/>
      <c r="AX260" s="116"/>
      <c r="AY260" s="196"/>
      <c r="AZ260" s="143"/>
      <c r="BA260" s="191"/>
      <c r="BB260" s="132"/>
      <c r="BC260" s="132"/>
      <c r="BD260" s="274"/>
      <c r="BE260" s="143"/>
      <c r="BF260" s="143"/>
      <c r="BG260" s="132"/>
      <c r="BH260" s="132"/>
      <c r="BI260" s="132"/>
      <c r="BJ260" s="143"/>
      <c r="BK260" s="143"/>
      <c r="BL260" s="143"/>
      <c r="BM260" s="132"/>
      <c r="BN260" s="132"/>
      <c r="BO260" s="132"/>
      <c r="BP260" s="143"/>
      <c r="BQ260" s="132"/>
      <c r="BR260" s="132"/>
      <c r="BS260" s="132"/>
      <c r="BT260" s="132"/>
      <c r="BU260" s="132"/>
      <c r="BV260" s="210"/>
      <c r="BW260" s="144"/>
      <c r="BX260" s="113"/>
      <c r="BY260" s="273"/>
      <c r="BZ260" s="273"/>
      <c r="CA260" s="132"/>
      <c r="CB260" s="274"/>
      <c r="CC260" s="144"/>
      <c r="CD260" s="274"/>
      <c r="CE260" s="132"/>
      <c r="CF260" s="132"/>
      <c r="CG260" s="36"/>
      <c r="CH260" s="210"/>
      <c r="CI260" s="219"/>
      <c r="CJ260" s="210"/>
      <c r="CK260" s="273"/>
      <c r="CL260" s="273"/>
      <c r="CM260" s="132"/>
      <c r="CN260" s="274"/>
      <c r="CO260" s="144"/>
      <c r="CP260" s="274"/>
      <c r="CQ260" s="132"/>
      <c r="CR260" s="132"/>
      <c r="CS260" s="132"/>
      <c r="CT260" s="274"/>
      <c r="CU260" s="144"/>
      <c r="CV260" s="274"/>
      <c r="CW260" s="132"/>
      <c r="CX260" s="132"/>
      <c r="CY260" s="132"/>
      <c r="CZ260" s="118"/>
      <c r="DA260" s="144"/>
      <c r="DB260" s="118"/>
      <c r="DC260" s="33"/>
      <c r="DD260" s="39"/>
      <c r="DE260" s="11"/>
      <c r="DF260" s="132"/>
      <c r="DG260" s="132"/>
      <c r="DH260" s="132"/>
      <c r="DI260" s="132"/>
      <c r="DJ260" s="132"/>
      <c r="DK260" s="132"/>
      <c r="DL260" s="132"/>
      <c r="DM260" s="132"/>
      <c r="DN260" s="132"/>
      <c r="DO260" s="132"/>
      <c r="DP260" s="132"/>
      <c r="DQ260" s="132"/>
      <c r="DR260" s="132"/>
      <c r="DS260" s="132"/>
      <c r="DT260" s="132"/>
      <c r="DU260" s="132"/>
      <c r="DV260" s="132"/>
      <c r="DW260" s="132"/>
      <c r="DX260" s="132"/>
      <c r="DY260" s="132"/>
      <c r="DZ260" s="132"/>
      <c r="EA260" s="132"/>
      <c r="EB260" s="132"/>
      <c r="EC260" s="132"/>
      <c r="ED260" s="132"/>
      <c r="EE260" s="132"/>
      <c r="EF260" s="132"/>
      <c r="EG260" s="132"/>
      <c r="EH260" s="132"/>
      <c r="EI260" s="132"/>
      <c r="EJ260" s="132"/>
      <c r="EK260" s="132"/>
      <c r="EL260" s="132"/>
      <c r="EM260" s="132"/>
      <c r="EN260" s="132"/>
      <c r="EO260" s="132"/>
      <c r="EP260" s="132"/>
      <c r="EQ260" s="132"/>
      <c r="ER260" s="132"/>
      <c r="ES260" s="132"/>
      <c r="ET260" s="11"/>
      <c r="EU260" s="11"/>
      <c r="EV260" s="11"/>
      <c r="EW260" s="11"/>
      <c r="EX260" s="11"/>
      <c r="EY260" s="11"/>
      <c r="EZ260" s="11"/>
      <c r="FA260" s="11"/>
      <c r="FB260" s="11"/>
      <c r="FC260" s="11"/>
      <c r="FD260" s="11"/>
      <c r="FE260" s="11"/>
      <c r="FF260" s="11"/>
      <c r="FG260" s="11"/>
      <c r="FH260" s="39">
        <f t="shared" si="61"/>
        <v>1002009.75</v>
      </c>
      <c r="FI260" s="33">
        <f t="shared" si="62"/>
        <v>1</v>
      </c>
      <c r="FJ260" s="84">
        <f t="shared" si="63"/>
        <v>1002009.75</v>
      </c>
    </row>
    <row r="261" spans="1:166" x14ac:dyDescent="0.25">
      <c r="A261" s="79" t="e">
        <f>#REF!</f>
        <v>#REF!</v>
      </c>
      <c r="B261" s="75" t="e">
        <f>#REF!</f>
        <v>#REF!</v>
      </c>
      <c r="C261" s="75" t="e">
        <f>#REF!</f>
        <v>#REF!</v>
      </c>
      <c r="D261" s="75" t="e">
        <f>#REF!</f>
        <v>#REF!</v>
      </c>
      <c r="E261" s="30">
        <v>1</v>
      </c>
      <c r="F261" s="238">
        <v>0</v>
      </c>
      <c r="G261" s="241">
        <v>0</v>
      </c>
      <c r="H261" s="249">
        <v>22610</v>
      </c>
      <c r="I261" s="249">
        <v>0</v>
      </c>
      <c r="J261" s="249">
        <v>19516</v>
      </c>
      <c r="K261" s="249">
        <v>0</v>
      </c>
      <c r="L261" s="274">
        <f>AVERAGE(H261,J261)</f>
        <v>21063</v>
      </c>
      <c r="M261" s="274"/>
      <c r="N261" s="245"/>
      <c r="O261" s="113"/>
      <c r="P261" s="113"/>
      <c r="Q261" s="131"/>
      <c r="R261" s="131"/>
      <c r="S261" s="64"/>
      <c r="T261" s="113"/>
      <c r="U261" s="113"/>
      <c r="V261" s="113"/>
      <c r="W261" s="131"/>
      <c r="X261" s="131"/>
      <c r="Y261" s="11"/>
      <c r="Z261" s="113"/>
      <c r="AA261" s="113"/>
      <c r="AB261" s="113"/>
      <c r="AC261" s="52"/>
      <c r="AD261" s="52"/>
      <c r="AE261" s="79"/>
      <c r="AF261" s="118">
        <v>10000</v>
      </c>
      <c r="AG261" s="144">
        <f>AF261*19%</f>
        <v>1900</v>
      </c>
      <c r="AH261" s="113">
        <f>+AF261+AG261</f>
        <v>11900</v>
      </c>
      <c r="AI261" s="11"/>
      <c r="AJ261" s="11"/>
      <c r="AK261" s="39"/>
      <c r="AL261" s="113"/>
      <c r="AM261" s="113"/>
      <c r="AN261" s="117"/>
      <c r="AO261" s="76"/>
      <c r="AP261" s="39"/>
      <c r="AQ261" s="39"/>
      <c r="AR261" s="275"/>
      <c r="AS261" s="156"/>
      <c r="AT261" s="157"/>
      <c r="AU261" s="62"/>
      <c r="AV261" s="62"/>
      <c r="AW261" s="31"/>
      <c r="AX261" s="116"/>
      <c r="AY261" s="116"/>
      <c r="AZ261" s="143"/>
      <c r="BA261" s="191"/>
      <c r="BB261" s="132"/>
      <c r="BC261" s="132"/>
      <c r="BD261" s="274"/>
      <c r="BE261" s="143"/>
      <c r="BF261" s="143"/>
      <c r="BG261" s="132"/>
      <c r="BH261" s="132"/>
      <c r="BI261" s="132"/>
      <c r="BJ261" s="143"/>
      <c r="BK261" s="143"/>
      <c r="BL261" s="143"/>
      <c r="BM261" s="132"/>
      <c r="BN261" s="132"/>
      <c r="BO261" s="132"/>
      <c r="BP261" s="143"/>
      <c r="BQ261" s="132"/>
      <c r="BR261" s="132"/>
      <c r="BS261" s="132"/>
      <c r="BT261" s="132"/>
      <c r="BU261" s="132"/>
      <c r="BV261" s="210"/>
      <c r="BW261" s="144"/>
      <c r="BX261" s="113"/>
      <c r="BY261" s="273"/>
      <c r="BZ261" s="273"/>
      <c r="CA261" s="132"/>
      <c r="CB261" s="274"/>
      <c r="CC261" s="144"/>
      <c r="CD261" s="274"/>
      <c r="CE261" s="132"/>
      <c r="CF261" s="132"/>
      <c r="CG261" s="36"/>
      <c r="CH261" s="210"/>
      <c r="CI261" s="219"/>
      <c r="CJ261" s="210"/>
      <c r="CK261" s="273"/>
      <c r="CL261" s="273"/>
      <c r="CM261" s="132"/>
      <c r="CN261" s="274"/>
      <c r="CO261" s="144"/>
      <c r="CP261" s="274"/>
      <c r="CQ261" s="132"/>
      <c r="CR261" s="132"/>
      <c r="CS261" s="132"/>
      <c r="CT261" s="274"/>
      <c r="CU261" s="144"/>
      <c r="CV261" s="274"/>
      <c r="CW261" s="132"/>
      <c r="CX261" s="132"/>
      <c r="CY261" s="132"/>
      <c r="CZ261" s="118"/>
      <c r="DA261" s="144"/>
      <c r="DB261" s="118"/>
      <c r="DC261" s="33"/>
      <c r="DD261" s="39"/>
      <c r="DE261" s="11"/>
      <c r="DF261" s="132"/>
      <c r="DG261" s="132"/>
      <c r="DH261" s="132"/>
      <c r="DI261" s="132"/>
      <c r="DJ261" s="132"/>
      <c r="DK261" s="132"/>
      <c r="DL261" s="132"/>
      <c r="DM261" s="132"/>
      <c r="DN261" s="132"/>
      <c r="DO261" s="132"/>
      <c r="DP261" s="132"/>
      <c r="DQ261" s="132"/>
      <c r="DR261" s="132"/>
      <c r="DS261" s="132"/>
      <c r="DT261" s="132"/>
      <c r="DU261" s="132"/>
      <c r="DV261" s="132"/>
      <c r="DW261" s="132"/>
      <c r="DX261" s="132"/>
      <c r="DY261" s="132"/>
      <c r="DZ261" s="132"/>
      <c r="EA261" s="132"/>
      <c r="EB261" s="132"/>
      <c r="EC261" s="132"/>
      <c r="ED261" s="132"/>
      <c r="EE261" s="132"/>
      <c r="EF261" s="132"/>
      <c r="EG261" s="132"/>
      <c r="EH261" s="132"/>
      <c r="EI261" s="132"/>
      <c r="EJ261" s="132"/>
      <c r="EK261" s="132"/>
      <c r="EL261" s="132"/>
      <c r="EM261" s="132"/>
      <c r="EN261" s="132"/>
      <c r="EO261" s="132"/>
      <c r="EP261" s="132"/>
      <c r="EQ261" s="132"/>
      <c r="ER261" s="132"/>
      <c r="ES261" s="132"/>
      <c r="ET261" s="11"/>
      <c r="EU261" s="11"/>
      <c r="EV261" s="11"/>
      <c r="EW261" s="11"/>
      <c r="EX261" s="11"/>
      <c r="EY261" s="11"/>
      <c r="EZ261" s="11"/>
      <c r="FA261" s="11"/>
      <c r="FB261" s="11"/>
      <c r="FC261" s="11"/>
      <c r="FD261" s="11"/>
      <c r="FE261" s="11"/>
      <c r="FF261" s="11"/>
      <c r="FG261" s="11"/>
      <c r="FH261" s="39">
        <f t="shared" si="61"/>
        <v>11900</v>
      </c>
      <c r="FI261" s="33">
        <f t="shared" si="62"/>
        <v>1</v>
      </c>
      <c r="FJ261" s="84">
        <f t="shared" si="63"/>
        <v>11900</v>
      </c>
    </row>
    <row r="262" spans="1:166" ht="25.5" x14ac:dyDescent="0.25">
      <c r="A262" s="79" t="e">
        <f>#REF!</f>
        <v>#REF!</v>
      </c>
      <c r="B262" s="75" t="e">
        <f>#REF!</f>
        <v>#REF!</v>
      </c>
      <c r="C262" s="75" t="e">
        <f>#REF!</f>
        <v>#REF!</v>
      </c>
      <c r="D262" s="75" t="e">
        <f>#REF!</f>
        <v>#REF!</v>
      </c>
      <c r="E262" s="30">
        <v>1</v>
      </c>
      <c r="F262" s="238">
        <v>0</v>
      </c>
      <c r="G262" s="241">
        <v>0</v>
      </c>
      <c r="H262" s="249">
        <v>0</v>
      </c>
      <c r="I262" s="249">
        <v>0</v>
      </c>
      <c r="J262" s="249">
        <v>0</v>
      </c>
      <c r="K262" s="249">
        <v>0</v>
      </c>
      <c r="L262" s="274"/>
      <c r="M262" s="274"/>
      <c r="N262" s="245"/>
      <c r="O262" s="113"/>
      <c r="P262" s="113"/>
      <c r="Q262" s="131"/>
      <c r="R262" s="131"/>
      <c r="S262" s="64"/>
      <c r="T262" s="113"/>
      <c r="U262" s="113"/>
      <c r="V262" s="113"/>
      <c r="W262" s="131"/>
      <c r="X262" s="131"/>
      <c r="Y262" s="11"/>
      <c r="Z262" s="113"/>
      <c r="AA262" s="113"/>
      <c r="AB262" s="113"/>
      <c r="AC262" s="52"/>
      <c r="AD262" s="52"/>
      <c r="AE262" s="79"/>
      <c r="AF262" s="118"/>
      <c r="AG262" s="144"/>
      <c r="AH262" s="113"/>
      <c r="AI262" s="11"/>
      <c r="AJ262" s="11"/>
      <c r="AK262" s="39"/>
      <c r="AL262" s="113"/>
      <c r="AM262" s="113"/>
      <c r="AN262" s="117"/>
      <c r="AO262" s="76"/>
      <c r="AP262" s="39"/>
      <c r="AQ262" s="39"/>
      <c r="AR262" s="275">
        <v>964800</v>
      </c>
      <c r="AS262" s="113">
        <f t="shared" ref="AS262:AS267" si="64">+AR262*0.19</f>
        <v>183312</v>
      </c>
      <c r="AT262" s="119">
        <f t="shared" ref="AT262:AT267" si="65">+AR262+AS262</f>
        <v>1148112</v>
      </c>
      <c r="AU262" s="62" t="s">
        <v>308</v>
      </c>
      <c r="AV262" s="62" t="s">
        <v>35</v>
      </c>
      <c r="AW262" s="31"/>
      <c r="AX262" s="116"/>
      <c r="AY262" s="116"/>
      <c r="AZ262" s="143"/>
      <c r="BA262" s="191"/>
      <c r="BB262" s="132"/>
      <c r="BC262" s="132"/>
      <c r="BD262" s="274"/>
      <c r="BE262" s="143"/>
      <c r="BF262" s="143"/>
      <c r="BG262" s="132"/>
      <c r="BH262" s="132"/>
      <c r="BI262" s="132"/>
      <c r="BJ262" s="143"/>
      <c r="BK262" s="143"/>
      <c r="BL262" s="143"/>
      <c r="BM262" s="132"/>
      <c r="BN262" s="132"/>
      <c r="BO262" s="132"/>
      <c r="BP262" s="143"/>
      <c r="BQ262" s="132"/>
      <c r="BR262" s="132"/>
      <c r="BS262" s="132"/>
      <c r="BT262" s="132"/>
      <c r="BU262" s="132"/>
      <c r="BV262" s="210"/>
      <c r="BW262" s="144"/>
      <c r="BX262" s="113"/>
      <c r="BY262" s="273"/>
      <c r="BZ262" s="273"/>
      <c r="CA262" s="132"/>
      <c r="CB262" s="274"/>
      <c r="CC262" s="144"/>
      <c r="CD262" s="274"/>
      <c r="CE262" s="132"/>
      <c r="CF262" s="132"/>
      <c r="CG262" s="36"/>
      <c r="CH262" s="210"/>
      <c r="CI262" s="219"/>
      <c r="CJ262" s="210"/>
      <c r="CK262" s="273"/>
      <c r="CL262" s="273"/>
      <c r="CM262" s="132"/>
      <c r="CN262" s="274"/>
      <c r="CO262" s="144"/>
      <c r="CP262" s="274"/>
      <c r="CQ262" s="132"/>
      <c r="CR262" s="132"/>
      <c r="CS262" s="132"/>
      <c r="CT262" s="144">
        <v>1050000</v>
      </c>
      <c r="CU262" s="144">
        <f t="shared" ref="CU262:CU268" si="66">CT262*0.19</f>
        <v>199500</v>
      </c>
      <c r="CV262" s="144">
        <f t="shared" ref="CV262:CV299" si="67">CU262+CT262</f>
        <v>1249500</v>
      </c>
      <c r="CW262" s="132"/>
      <c r="CX262" s="132"/>
      <c r="CY262" s="132"/>
      <c r="CZ262" s="118"/>
      <c r="DA262" s="144"/>
      <c r="DB262" s="118"/>
      <c r="DC262" s="33"/>
      <c r="DD262" s="39"/>
      <c r="DE262" s="11"/>
      <c r="DF262" s="132"/>
      <c r="DG262" s="132"/>
      <c r="DH262" s="132"/>
      <c r="DI262" s="132"/>
      <c r="DJ262" s="132"/>
      <c r="DK262" s="132"/>
      <c r="DL262" s="132"/>
      <c r="DM262" s="132"/>
      <c r="DN262" s="132"/>
      <c r="DO262" s="132"/>
      <c r="DP262" s="132"/>
      <c r="DQ262" s="132"/>
      <c r="DR262" s="132"/>
      <c r="DS262" s="132"/>
      <c r="DT262" s="132"/>
      <c r="DU262" s="132"/>
      <c r="DV262" s="132"/>
      <c r="DW262" s="132"/>
      <c r="DX262" s="132"/>
      <c r="DY262" s="132"/>
      <c r="DZ262" s="132"/>
      <c r="EA262" s="132"/>
      <c r="EB262" s="132"/>
      <c r="EC262" s="132"/>
      <c r="ED262" s="132"/>
      <c r="EE262" s="132"/>
      <c r="EF262" s="132"/>
      <c r="EG262" s="132"/>
      <c r="EH262" s="132"/>
      <c r="EI262" s="132"/>
      <c r="EJ262" s="132"/>
      <c r="EK262" s="132"/>
      <c r="EL262" s="132"/>
      <c r="EM262" s="132"/>
      <c r="EN262" s="132"/>
      <c r="EO262" s="132"/>
      <c r="EP262" s="132"/>
      <c r="EQ262" s="132"/>
      <c r="ER262" s="132"/>
      <c r="ES262" s="132"/>
      <c r="ET262" s="11"/>
      <c r="EU262" s="11"/>
      <c r="EV262" s="11"/>
      <c r="EW262" s="11"/>
      <c r="EX262" s="11"/>
      <c r="EY262" s="11"/>
      <c r="EZ262" s="11"/>
      <c r="FA262" s="11"/>
      <c r="FB262" s="11"/>
      <c r="FC262" s="11"/>
      <c r="FD262" s="11"/>
      <c r="FE262" s="11"/>
      <c r="FF262" s="11"/>
      <c r="FG262" s="11"/>
      <c r="FH262" s="39">
        <f t="shared" si="61"/>
        <v>2397612</v>
      </c>
      <c r="FI262" s="33">
        <f t="shared" si="62"/>
        <v>2</v>
      </c>
      <c r="FJ262" s="84">
        <f t="shared" si="63"/>
        <v>1198806</v>
      </c>
    </row>
    <row r="263" spans="1:166" ht="25.5" x14ac:dyDescent="0.25">
      <c r="A263" s="79" t="e">
        <f>#REF!</f>
        <v>#REF!</v>
      </c>
      <c r="B263" s="75" t="e">
        <f>#REF!</f>
        <v>#REF!</v>
      </c>
      <c r="C263" s="75" t="e">
        <f>#REF!</f>
        <v>#REF!</v>
      </c>
      <c r="D263" s="75" t="e">
        <f>#REF!</f>
        <v>#REF!</v>
      </c>
      <c r="E263" s="30">
        <v>1</v>
      </c>
      <c r="F263" s="238">
        <v>0</v>
      </c>
      <c r="G263" s="241">
        <v>0</v>
      </c>
      <c r="H263" s="249">
        <v>0</v>
      </c>
      <c r="I263" s="249">
        <v>0</v>
      </c>
      <c r="J263" s="249">
        <v>0</v>
      </c>
      <c r="K263" s="249">
        <v>0</v>
      </c>
      <c r="L263" s="274"/>
      <c r="M263" s="274"/>
      <c r="N263" s="245"/>
      <c r="O263" s="113"/>
      <c r="P263" s="113"/>
      <c r="Q263" s="131"/>
      <c r="R263" s="131"/>
      <c r="S263" s="64"/>
      <c r="T263" s="113"/>
      <c r="U263" s="113"/>
      <c r="V263" s="113"/>
      <c r="W263" s="131"/>
      <c r="X263" s="131"/>
      <c r="Y263" s="11"/>
      <c r="Z263" s="113"/>
      <c r="AA263" s="113"/>
      <c r="AB263" s="113"/>
      <c r="AC263" s="52"/>
      <c r="AD263" s="52"/>
      <c r="AE263" s="11"/>
      <c r="AF263" s="118"/>
      <c r="AG263" s="144"/>
      <c r="AH263" s="113"/>
      <c r="AI263" s="11"/>
      <c r="AJ263" s="11"/>
      <c r="AK263" s="39"/>
      <c r="AL263" s="113"/>
      <c r="AM263" s="113"/>
      <c r="AN263" s="117"/>
      <c r="AO263" s="76"/>
      <c r="AP263" s="39"/>
      <c r="AQ263" s="39"/>
      <c r="AR263" s="275">
        <v>921600</v>
      </c>
      <c r="AS263" s="113">
        <f t="shared" si="64"/>
        <v>175104</v>
      </c>
      <c r="AT263" s="119">
        <f t="shared" si="65"/>
        <v>1096704</v>
      </c>
      <c r="AU263" s="62" t="s">
        <v>308</v>
      </c>
      <c r="AV263" s="62" t="s">
        <v>35</v>
      </c>
      <c r="AW263" s="31"/>
      <c r="AX263" s="116"/>
      <c r="AY263" s="116"/>
      <c r="AZ263" s="143"/>
      <c r="BA263" s="191"/>
      <c r="BB263" s="132"/>
      <c r="BC263" s="132"/>
      <c r="BD263" s="274"/>
      <c r="BE263" s="143"/>
      <c r="BF263" s="143"/>
      <c r="BG263" s="132"/>
      <c r="BH263" s="132"/>
      <c r="BI263" s="132"/>
      <c r="BJ263" s="143"/>
      <c r="BK263" s="143"/>
      <c r="BL263" s="143"/>
      <c r="BM263" s="132"/>
      <c r="BN263" s="132"/>
      <c r="BO263" s="132"/>
      <c r="BP263" s="143"/>
      <c r="BQ263" s="132"/>
      <c r="BR263" s="132"/>
      <c r="BS263" s="132"/>
      <c r="BT263" s="132"/>
      <c r="BU263" s="132"/>
      <c r="BV263" s="210"/>
      <c r="BW263" s="144"/>
      <c r="BX263" s="113"/>
      <c r="BY263" s="273"/>
      <c r="BZ263" s="273"/>
      <c r="CA263" s="132"/>
      <c r="CB263" s="274"/>
      <c r="CC263" s="144"/>
      <c r="CD263" s="274"/>
      <c r="CE263" s="132"/>
      <c r="CF263" s="132"/>
      <c r="CG263" s="36"/>
      <c r="CH263" s="210"/>
      <c r="CI263" s="219"/>
      <c r="CJ263" s="210"/>
      <c r="CK263" s="273"/>
      <c r="CL263" s="273"/>
      <c r="CM263" s="132"/>
      <c r="CN263" s="274"/>
      <c r="CO263" s="144"/>
      <c r="CP263" s="274"/>
      <c r="CQ263" s="132"/>
      <c r="CR263" s="132"/>
      <c r="CS263" s="132"/>
      <c r="CT263" s="144">
        <v>995520</v>
      </c>
      <c r="CU263" s="144">
        <f t="shared" si="66"/>
        <v>189148.79999999999</v>
      </c>
      <c r="CV263" s="144">
        <f t="shared" si="67"/>
        <v>1184668.8</v>
      </c>
      <c r="CW263" s="132"/>
      <c r="CX263" s="132"/>
      <c r="CY263" s="132"/>
      <c r="CZ263" s="118"/>
      <c r="DA263" s="144"/>
      <c r="DB263" s="118"/>
      <c r="DC263" s="33"/>
      <c r="DD263" s="39"/>
      <c r="DE263" s="11"/>
      <c r="DF263" s="132"/>
      <c r="DG263" s="132"/>
      <c r="DH263" s="132"/>
      <c r="DI263" s="132"/>
      <c r="DJ263" s="132"/>
      <c r="DK263" s="132"/>
      <c r="DL263" s="132"/>
      <c r="DM263" s="132"/>
      <c r="DN263" s="132"/>
      <c r="DO263" s="132"/>
      <c r="DP263" s="132"/>
      <c r="DQ263" s="132"/>
      <c r="DR263" s="132"/>
      <c r="DS263" s="132"/>
      <c r="DT263" s="132"/>
      <c r="DU263" s="132"/>
      <c r="DV263" s="132"/>
      <c r="DW263" s="132"/>
      <c r="DX263" s="132"/>
      <c r="DY263" s="132"/>
      <c r="DZ263" s="132"/>
      <c r="EA263" s="132"/>
      <c r="EB263" s="132"/>
      <c r="EC263" s="132"/>
      <c r="ED263" s="132"/>
      <c r="EE263" s="132"/>
      <c r="EF263" s="132"/>
      <c r="EG263" s="132"/>
      <c r="EH263" s="132"/>
      <c r="EI263" s="132"/>
      <c r="EJ263" s="132"/>
      <c r="EK263" s="132"/>
      <c r="EL263" s="132"/>
      <c r="EM263" s="132"/>
      <c r="EN263" s="132"/>
      <c r="EO263" s="132"/>
      <c r="EP263" s="132"/>
      <c r="EQ263" s="132"/>
      <c r="ER263" s="132"/>
      <c r="ES263" s="132"/>
      <c r="ET263" s="11"/>
      <c r="EU263" s="11"/>
      <c r="EV263" s="11"/>
      <c r="EW263" s="11"/>
      <c r="EX263" s="11"/>
      <c r="EY263" s="11"/>
      <c r="EZ263" s="11"/>
      <c r="FA263" s="11"/>
      <c r="FB263" s="11"/>
      <c r="FC263" s="11"/>
      <c r="FD263" s="11"/>
      <c r="FE263" s="11"/>
      <c r="FF263" s="11"/>
      <c r="FG263" s="11"/>
      <c r="FH263" s="39">
        <f t="shared" si="61"/>
        <v>2281372.7999999998</v>
      </c>
      <c r="FI263" s="33">
        <f t="shared" si="62"/>
        <v>2</v>
      </c>
      <c r="FJ263" s="84">
        <f t="shared" si="63"/>
        <v>1140686.3999999999</v>
      </c>
    </row>
    <row r="264" spans="1:166" ht="25.5" x14ac:dyDescent="0.25">
      <c r="A264" s="79" t="e">
        <f>#REF!</f>
        <v>#REF!</v>
      </c>
      <c r="B264" s="75" t="e">
        <f>#REF!</f>
        <v>#REF!</v>
      </c>
      <c r="C264" s="75" t="e">
        <f>#REF!</f>
        <v>#REF!</v>
      </c>
      <c r="D264" s="75" t="e">
        <f>#REF!</f>
        <v>#REF!</v>
      </c>
      <c r="E264" s="30">
        <v>1</v>
      </c>
      <c r="F264" s="238">
        <v>0</v>
      </c>
      <c r="G264" s="241">
        <v>0</v>
      </c>
      <c r="H264" s="249">
        <v>0</v>
      </c>
      <c r="I264" s="249">
        <v>0</v>
      </c>
      <c r="J264" s="249">
        <v>0</v>
      </c>
      <c r="K264" s="249">
        <v>0</v>
      </c>
      <c r="L264" s="274"/>
      <c r="M264" s="274"/>
      <c r="N264" s="245"/>
      <c r="O264" s="113"/>
      <c r="P264" s="113"/>
      <c r="Q264" s="131"/>
      <c r="R264" s="131"/>
      <c r="S264" s="64"/>
      <c r="T264" s="113"/>
      <c r="U264" s="113"/>
      <c r="V264" s="113"/>
      <c r="W264" s="131"/>
      <c r="X264" s="131"/>
      <c r="Y264" s="11"/>
      <c r="Z264" s="113"/>
      <c r="AA264" s="113"/>
      <c r="AB264" s="113"/>
      <c r="AC264" s="52"/>
      <c r="AD264" s="52"/>
      <c r="AE264" s="11"/>
      <c r="AF264" s="118"/>
      <c r="AG264" s="144"/>
      <c r="AH264" s="113"/>
      <c r="AI264" s="11"/>
      <c r="AJ264" s="11"/>
      <c r="AK264" s="39"/>
      <c r="AL264" s="113"/>
      <c r="AM264" s="113"/>
      <c r="AN264" s="117"/>
      <c r="AO264" s="76"/>
      <c r="AP264" s="39"/>
      <c r="AQ264" s="39"/>
      <c r="AR264" s="275">
        <v>864000</v>
      </c>
      <c r="AS264" s="113">
        <f t="shared" si="64"/>
        <v>164160</v>
      </c>
      <c r="AT264" s="119">
        <f t="shared" si="65"/>
        <v>1028160</v>
      </c>
      <c r="AU264" s="62" t="s">
        <v>308</v>
      </c>
      <c r="AV264" s="62" t="s">
        <v>35</v>
      </c>
      <c r="AW264" s="31"/>
      <c r="AX264" s="116"/>
      <c r="AY264" s="116"/>
      <c r="AZ264" s="143"/>
      <c r="BA264" s="191"/>
      <c r="BB264" s="132"/>
      <c r="BC264" s="132"/>
      <c r="BD264" s="274"/>
      <c r="BE264" s="143"/>
      <c r="BF264" s="143"/>
      <c r="BG264" s="132"/>
      <c r="BH264" s="132"/>
      <c r="BI264" s="132"/>
      <c r="BJ264" s="143"/>
      <c r="BK264" s="143"/>
      <c r="BL264" s="143"/>
      <c r="BM264" s="132"/>
      <c r="BN264" s="132"/>
      <c r="BO264" s="132"/>
      <c r="BP264" s="143"/>
      <c r="BQ264" s="132"/>
      <c r="BR264" s="132"/>
      <c r="BS264" s="132"/>
      <c r="BT264" s="132"/>
      <c r="BU264" s="132"/>
      <c r="BV264" s="210"/>
      <c r="BW264" s="144"/>
      <c r="BX264" s="113"/>
      <c r="BY264" s="273"/>
      <c r="BZ264" s="273"/>
      <c r="CA264" s="132"/>
      <c r="CB264" s="274"/>
      <c r="CC264" s="144"/>
      <c r="CD264" s="274"/>
      <c r="CE264" s="132"/>
      <c r="CF264" s="132"/>
      <c r="CG264" s="36"/>
      <c r="CH264" s="210"/>
      <c r="CI264" s="219"/>
      <c r="CJ264" s="210"/>
      <c r="CK264" s="273"/>
      <c r="CL264" s="273"/>
      <c r="CM264" s="132"/>
      <c r="CN264" s="274"/>
      <c r="CO264" s="144"/>
      <c r="CP264" s="274"/>
      <c r="CQ264" s="132"/>
      <c r="CR264" s="132"/>
      <c r="CS264" s="132"/>
      <c r="CT264" s="144">
        <v>995520</v>
      </c>
      <c r="CU264" s="144">
        <f t="shared" si="66"/>
        <v>189148.79999999999</v>
      </c>
      <c r="CV264" s="144">
        <f t="shared" si="67"/>
        <v>1184668.8</v>
      </c>
      <c r="CW264" s="132"/>
      <c r="CX264" s="132"/>
      <c r="CY264" s="132"/>
      <c r="CZ264" s="118"/>
      <c r="DA264" s="144"/>
      <c r="DB264" s="118"/>
      <c r="DC264" s="33"/>
      <c r="DD264" s="39"/>
      <c r="DE264" s="11"/>
      <c r="DF264" s="132"/>
      <c r="DG264" s="132"/>
      <c r="DH264" s="132"/>
      <c r="DI264" s="132"/>
      <c r="DJ264" s="132"/>
      <c r="DK264" s="132"/>
      <c r="DL264" s="132"/>
      <c r="DM264" s="132"/>
      <c r="DN264" s="132"/>
      <c r="DO264" s="132"/>
      <c r="DP264" s="132"/>
      <c r="DQ264" s="132"/>
      <c r="DR264" s="132"/>
      <c r="DS264" s="132"/>
      <c r="DT264" s="132"/>
      <c r="DU264" s="132"/>
      <c r="DV264" s="132"/>
      <c r="DW264" s="132"/>
      <c r="DX264" s="132"/>
      <c r="DY264" s="132"/>
      <c r="DZ264" s="132"/>
      <c r="EA264" s="132"/>
      <c r="EB264" s="132"/>
      <c r="EC264" s="132"/>
      <c r="ED264" s="132"/>
      <c r="EE264" s="132"/>
      <c r="EF264" s="132"/>
      <c r="EG264" s="132"/>
      <c r="EH264" s="132"/>
      <c r="EI264" s="132"/>
      <c r="EJ264" s="132"/>
      <c r="EK264" s="132"/>
      <c r="EL264" s="132"/>
      <c r="EM264" s="132"/>
      <c r="EN264" s="132"/>
      <c r="EO264" s="132"/>
      <c r="EP264" s="132"/>
      <c r="EQ264" s="132"/>
      <c r="ER264" s="132"/>
      <c r="ES264" s="132"/>
      <c r="ET264" s="11"/>
      <c r="EU264" s="11"/>
      <c r="EV264" s="11"/>
      <c r="EW264" s="11"/>
      <c r="EX264" s="11"/>
      <c r="EY264" s="11"/>
      <c r="EZ264" s="11"/>
      <c r="FA264" s="11"/>
      <c r="FB264" s="11"/>
      <c r="FC264" s="11"/>
      <c r="FD264" s="11"/>
      <c r="FE264" s="11"/>
      <c r="FF264" s="11"/>
      <c r="FG264" s="11"/>
      <c r="FH264" s="39">
        <f t="shared" si="61"/>
        <v>2212828.7999999998</v>
      </c>
      <c r="FI264" s="33">
        <f t="shared" si="62"/>
        <v>2</v>
      </c>
      <c r="FJ264" s="84">
        <f t="shared" si="63"/>
        <v>1106414.3999999999</v>
      </c>
    </row>
    <row r="265" spans="1:166" ht="25.5" x14ac:dyDescent="0.25">
      <c r="A265" s="79" t="e">
        <f>#REF!</f>
        <v>#REF!</v>
      </c>
      <c r="B265" s="75" t="e">
        <f>#REF!</f>
        <v>#REF!</v>
      </c>
      <c r="C265" s="75" t="e">
        <f>#REF!</f>
        <v>#REF!</v>
      </c>
      <c r="D265" s="75" t="e">
        <f>#REF!</f>
        <v>#REF!</v>
      </c>
      <c r="E265" s="30">
        <v>1</v>
      </c>
      <c r="F265" s="238">
        <v>0</v>
      </c>
      <c r="G265" s="241">
        <v>0</v>
      </c>
      <c r="H265" s="249">
        <v>0</v>
      </c>
      <c r="I265" s="249">
        <v>0</v>
      </c>
      <c r="J265" s="249">
        <v>0</v>
      </c>
      <c r="K265" s="249">
        <v>0</v>
      </c>
      <c r="L265" s="274"/>
      <c r="M265" s="274"/>
      <c r="N265" s="245"/>
      <c r="O265" s="113"/>
      <c r="P265" s="113"/>
      <c r="Q265" s="131"/>
      <c r="R265" s="131"/>
      <c r="S265" s="64"/>
      <c r="T265" s="113"/>
      <c r="U265" s="113"/>
      <c r="V265" s="113"/>
      <c r="W265" s="131"/>
      <c r="X265" s="131"/>
      <c r="Y265" s="11"/>
      <c r="Z265" s="113"/>
      <c r="AA265" s="113"/>
      <c r="AB265" s="113"/>
      <c r="AC265" s="52"/>
      <c r="AD265" s="52"/>
      <c r="AE265" s="11"/>
      <c r="AF265" s="118"/>
      <c r="AG265" s="144"/>
      <c r="AH265" s="113"/>
      <c r="AI265" s="11"/>
      <c r="AJ265" s="11"/>
      <c r="AK265" s="39"/>
      <c r="AL265" s="113"/>
      <c r="AM265" s="113"/>
      <c r="AN265" s="117"/>
      <c r="AO265" s="76"/>
      <c r="AP265" s="39"/>
      <c r="AQ265" s="39"/>
      <c r="AR265" s="275">
        <v>180000</v>
      </c>
      <c r="AS265" s="113">
        <f t="shared" si="64"/>
        <v>34200</v>
      </c>
      <c r="AT265" s="119">
        <f t="shared" si="65"/>
        <v>214200</v>
      </c>
      <c r="AU265" s="62" t="s">
        <v>308</v>
      </c>
      <c r="AV265" s="62" t="s">
        <v>35</v>
      </c>
      <c r="AW265" s="31"/>
      <c r="AX265" s="116"/>
      <c r="AY265" s="194"/>
      <c r="AZ265" s="143"/>
      <c r="BA265" s="191"/>
      <c r="BB265" s="132"/>
      <c r="BC265" s="132"/>
      <c r="BD265" s="274"/>
      <c r="BE265" s="143"/>
      <c r="BF265" s="143"/>
      <c r="BG265" s="132"/>
      <c r="BH265" s="132"/>
      <c r="BI265" s="132"/>
      <c r="BJ265" s="143"/>
      <c r="BK265" s="143"/>
      <c r="BL265" s="143"/>
      <c r="BM265" s="132"/>
      <c r="BN265" s="132"/>
      <c r="BO265" s="132"/>
      <c r="BP265" s="143"/>
      <c r="BQ265" s="132"/>
      <c r="BR265" s="132"/>
      <c r="BS265" s="132"/>
      <c r="BT265" s="132"/>
      <c r="BU265" s="132"/>
      <c r="BV265" s="210"/>
      <c r="BW265" s="144"/>
      <c r="BX265" s="113"/>
      <c r="BY265" s="273"/>
      <c r="BZ265" s="273"/>
      <c r="CA265" s="132"/>
      <c r="CB265" s="274"/>
      <c r="CC265" s="144"/>
      <c r="CD265" s="274"/>
      <c r="CE265" s="132"/>
      <c r="CF265" s="132"/>
      <c r="CG265" s="36"/>
      <c r="CH265" s="210"/>
      <c r="CI265" s="219"/>
      <c r="CJ265" s="210"/>
      <c r="CK265" s="273"/>
      <c r="CL265" s="273"/>
      <c r="CM265" s="132"/>
      <c r="CN265" s="274"/>
      <c r="CO265" s="144"/>
      <c r="CP265" s="274"/>
      <c r="CQ265" s="132"/>
      <c r="CR265" s="132"/>
      <c r="CS265" s="132"/>
      <c r="CT265" s="144">
        <v>250239.99999999997</v>
      </c>
      <c r="CU265" s="144">
        <f t="shared" si="66"/>
        <v>47545.599999999999</v>
      </c>
      <c r="CV265" s="144">
        <f t="shared" si="67"/>
        <v>297785.59999999998</v>
      </c>
      <c r="CW265" s="132"/>
      <c r="CX265" s="132"/>
      <c r="CY265" s="132"/>
      <c r="CZ265" s="118"/>
      <c r="DA265" s="144"/>
      <c r="DB265" s="118"/>
      <c r="DC265" s="33"/>
      <c r="DD265" s="39"/>
      <c r="DE265" s="11"/>
      <c r="DF265" s="132"/>
      <c r="DG265" s="132"/>
      <c r="DH265" s="132"/>
      <c r="DI265" s="132"/>
      <c r="DJ265" s="132"/>
      <c r="DK265" s="132"/>
      <c r="DL265" s="132"/>
      <c r="DM265" s="132"/>
      <c r="DN265" s="132"/>
      <c r="DO265" s="132"/>
      <c r="DP265" s="132"/>
      <c r="DQ265" s="132"/>
      <c r="DR265" s="132"/>
      <c r="DS265" s="132"/>
      <c r="DT265" s="132"/>
      <c r="DU265" s="132"/>
      <c r="DV265" s="132"/>
      <c r="DW265" s="132"/>
      <c r="DX265" s="132"/>
      <c r="DY265" s="132"/>
      <c r="DZ265" s="132"/>
      <c r="EA265" s="132"/>
      <c r="EB265" s="132"/>
      <c r="EC265" s="132"/>
      <c r="ED265" s="132"/>
      <c r="EE265" s="132"/>
      <c r="EF265" s="132"/>
      <c r="EG265" s="132"/>
      <c r="EH265" s="132"/>
      <c r="EI265" s="132"/>
      <c r="EJ265" s="132"/>
      <c r="EK265" s="132"/>
      <c r="EL265" s="132"/>
      <c r="EM265" s="132"/>
      <c r="EN265" s="132"/>
      <c r="EO265" s="132"/>
      <c r="EP265" s="132"/>
      <c r="EQ265" s="132"/>
      <c r="ER265" s="132"/>
      <c r="ES265" s="132"/>
      <c r="ET265" s="11"/>
      <c r="EU265" s="11"/>
      <c r="EV265" s="11"/>
      <c r="EW265" s="11"/>
      <c r="EX265" s="11"/>
      <c r="EY265" s="11"/>
      <c r="EZ265" s="11"/>
      <c r="FA265" s="11"/>
      <c r="FB265" s="11"/>
      <c r="FC265" s="11"/>
      <c r="FD265" s="11"/>
      <c r="FE265" s="11"/>
      <c r="FF265" s="11"/>
      <c r="FG265" s="11"/>
      <c r="FH265" s="39">
        <f t="shared" si="61"/>
        <v>511985.6</v>
      </c>
      <c r="FI265" s="33">
        <f t="shared" si="62"/>
        <v>2</v>
      </c>
      <c r="FJ265" s="84">
        <f t="shared" si="63"/>
        <v>255992.8</v>
      </c>
    </row>
    <row r="266" spans="1:166" ht="66" customHeight="1" x14ac:dyDescent="0.25">
      <c r="A266" s="79" t="e">
        <f>#REF!</f>
        <v>#REF!</v>
      </c>
      <c r="B266" s="75" t="e">
        <f>#REF!</f>
        <v>#REF!</v>
      </c>
      <c r="C266" s="75" t="e">
        <f>#REF!</f>
        <v>#REF!</v>
      </c>
      <c r="D266" s="75" t="e">
        <f>#REF!</f>
        <v>#REF!</v>
      </c>
      <c r="E266" s="30">
        <v>1</v>
      </c>
      <c r="F266" s="238">
        <v>0</v>
      </c>
      <c r="G266" s="241">
        <v>0</v>
      </c>
      <c r="H266" s="249">
        <v>0</v>
      </c>
      <c r="I266" s="249">
        <v>0</v>
      </c>
      <c r="J266" s="249">
        <v>0</v>
      </c>
      <c r="K266" s="249">
        <v>0</v>
      </c>
      <c r="L266" s="274"/>
      <c r="M266" s="274"/>
      <c r="N266" s="245"/>
      <c r="O266" s="113"/>
      <c r="P266" s="113"/>
      <c r="Q266" s="131"/>
      <c r="R266" s="131"/>
      <c r="S266" s="64"/>
      <c r="T266" s="113"/>
      <c r="U266" s="113"/>
      <c r="V266" s="113"/>
      <c r="W266" s="131"/>
      <c r="X266" s="131"/>
      <c r="Y266" s="11"/>
      <c r="Z266" s="113"/>
      <c r="AA266" s="113"/>
      <c r="AB266" s="113"/>
      <c r="AC266" s="52"/>
      <c r="AD266" s="52"/>
      <c r="AE266" s="11"/>
      <c r="AF266" s="118"/>
      <c r="AG266" s="144"/>
      <c r="AH266" s="113"/>
      <c r="AI266" s="11"/>
      <c r="AJ266" s="11"/>
      <c r="AK266" s="39"/>
      <c r="AL266" s="113"/>
      <c r="AM266" s="113"/>
      <c r="AN266" s="117"/>
      <c r="AO266" s="76"/>
      <c r="AP266" s="39"/>
      <c r="AQ266" s="39"/>
      <c r="AR266" s="275">
        <v>561600</v>
      </c>
      <c r="AS266" s="113">
        <f t="shared" si="64"/>
        <v>106704</v>
      </c>
      <c r="AT266" s="119">
        <f t="shared" si="65"/>
        <v>668304</v>
      </c>
      <c r="AU266" s="62" t="s">
        <v>308</v>
      </c>
      <c r="AV266" s="62" t="s">
        <v>35</v>
      </c>
      <c r="AW266" s="31"/>
      <c r="AX266" s="116"/>
      <c r="AY266" s="116"/>
      <c r="AZ266" s="143"/>
      <c r="BA266" s="191"/>
      <c r="BB266" s="132"/>
      <c r="BC266" s="132"/>
      <c r="BD266" s="274"/>
      <c r="BE266" s="143"/>
      <c r="BF266" s="143"/>
      <c r="BG266" s="132"/>
      <c r="BH266" s="132"/>
      <c r="BI266" s="132"/>
      <c r="BJ266" s="143"/>
      <c r="BK266" s="143"/>
      <c r="BL266" s="143"/>
      <c r="BM266" s="132"/>
      <c r="BN266" s="132"/>
      <c r="BO266" s="132"/>
      <c r="BP266" s="143"/>
      <c r="BQ266" s="132"/>
      <c r="BR266" s="132"/>
      <c r="BS266" s="132"/>
      <c r="BT266" s="132"/>
      <c r="BU266" s="132"/>
      <c r="BV266" s="210"/>
      <c r="BW266" s="144"/>
      <c r="BX266" s="113"/>
      <c r="BY266" s="273"/>
      <c r="BZ266" s="273"/>
      <c r="CA266" s="132"/>
      <c r="CB266" s="274"/>
      <c r="CC266" s="144"/>
      <c r="CD266" s="274"/>
      <c r="CE266" s="132"/>
      <c r="CF266" s="132"/>
      <c r="CG266" s="36"/>
      <c r="CH266" s="210"/>
      <c r="CI266" s="219"/>
      <c r="CJ266" s="210"/>
      <c r="CK266" s="273"/>
      <c r="CL266" s="273"/>
      <c r="CM266" s="132"/>
      <c r="CN266" s="274"/>
      <c r="CO266" s="144"/>
      <c r="CP266" s="274"/>
      <c r="CQ266" s="132"/>
      <c r="CR266" s="132"/>
      <c r="CS266" s="132"/>
      <c r="CT266" s="144">
        <v>233920</v>
      </c>
      <c r="CU266" s="144">
        <f t="shared" si="66"/>
        <v>44444.800000000003</v>
      </c>
      <c r="CV266" s="144">
        <f t="shared" si="67"/>
        <v>278364.79999999999</v>
      </c>
      <c r="CW266" s="132"/>
      <c r="CX266" s="132"/>
      <c r="CY266" s="132"/>
      <c r="CZ266" s="118"/>
      <c r="DA266" s="144"/>
      <c r="DB266" s="118"/>
      <c r="DC266" s="33"/>
      <c r="DD266" s="39"/>
      <c r="DE266" s="11"/>
      <c r="DF266" s="132"/>
      <c r="DG266" s="132"/>
      <c r="DH266" s="132"/>
      <c r="DI266" s="132"/>
      <c r="DJ266" s="132"/>
      <c r="DK266" s="132"/>
      <c r="DL266" s="132"/>
      <c r="DM266" s="132"/>
      <c r="DN266" s="132"/>
      <c r="DO266" s="132"/>
      <c r="DP266" s="132"/>
      <c r="DQ266" s="132"/>
      <c r="DR266" s="132"/>
      <c r="DS266" s="132"/>
      <c r="DT266" s="132"/>
      <c r="DU266" s="132"/>
      <c r="DV266" s="132"/>
      <c r="DW266" s="132"/>
      <c r="DX266" s="132"/>
      <c r="DY266" s="132"/>
      <c r="DZ266" s="132"/>
      <c r="EA266" s="132"/>
      <c r="EB266" s="132"/>
      <c r="EC266" s="132"/>
      <c r="ED266" s="132"/>
      <c r="EE266" s="132"/>
      <c r="EF266" s="132"/>
      <c r="EG266" s="132"/>
      <c r="EH266" s="132"/>
      <c r="EI266" s="132"/>
      <c r="EJ266" s="132"/>
      <c r="EK266" s="132"/>
      <c r="EL266" s="132"/>
      <c r="EM266" s="132"/>
      <c r="EN266" s="132"/>
      <c r="EO266" s="132"/>
      <c r="EP266" s="132"/>
      <c r="EQ266" s="132"/>
      <c r="ER266" s="132"/>
      <c r="ES266" s="132"/>
      <c r="ET266" s="11"/>
      <c r="EU266" s="11"/>
      <c r="EV266" s="11"/>
      <c r="EW266" s="11"/>
      <c r="EX266" s="11"/>
      <c r="EY266" s="11"/>
      <c r="EZ266" s="11"/>
      <c r="FA266" s="11"/>
      <c r="FB266" s="11"/>
      <c r="FC266" s="11"/>
      <c r="FD266" s="11"/>
      <c r="FE266" s="11"/>
      <c r="FF266" s="11"/>
      <c r="FG266" s="11"/>
      <c r="FH266" s="39">
        <f t="shared" si="61"/>
        <v>946668.8</v>
      </c>
      <c r="FI266" s="33">
        <f t="shared" si="62"/>
        <v>2</v>
      </c>
      <c r="FJ266" s="84">
        <f t="shared" si="63"/>
        <v>473334.4</v>
      </c>
    </row>
    <row r="267" spans="1:166" ht="66" customHeight="1" x14ac:dyDescent="0.25">
      <c r="A267" s="79" t="e">
        <f>#REF!</f>
        <v>#REF!</v>
      </c>
      <c r="B267" s="75" t="e">
        <f>#REF!</f>
        <v>#REF!</v>
      </c>
      <c r="C267" s="75" t="e">
        <f>#REF!</f>
        <v>#REF!</v>
      </c>
      <c r="D267" s="75" t="e">
        <f>#REF!</f>
        <v>#REF!</v>
      </c>
      <c r="E267" s="30">
        <v>1</v>
      </c>
      <c r="F267" s="238">
        <v>0</v>
      </c>
      <c r="G267" s="241">
        <v>0</v>
      </c>
      <c r="H267" s="249">
        <v>0</v>
      </c>
      <c r="I267" s="249">
        <v>0</v>
      </c>
      <c r="J267" s="249">
        <v>0</v>
      </c>
      <c r="K267" s="249">
        <v>0</v>
      </c>
      <c r="L267" s="274"/>
      <c r="M267" s="274"/>
      <c r="N267" s="245"/>
      <c r="O267" s="113"/>
      <c r="P267" s="113"/>
      <c r="Q267" s="131"/>
      <c r="R267" s="131"/>
      <c r="S267" s="64"/>
      <c r="T267" s="113"/>
      <c r="U267" s="113"/>
      <c r="V267" s="113"/>
      <c r="W267" s="131"/>
      <c r="X267" s="131"/>
      <c r="Y267" s="11"/>
      <c r="Z267" s="113"/>
      <c r="AA267" s="113"/>
      <c r="AB267" s="113"/>
      <c r="AC267" s="52"/>
      <c r="AD267" s="52"/>
      <c r="AE267" s="11"/>
      <c r="AF267" s="118"/>
      <c r="AG267" s="144"/>
      <c r="AH267" s="113"/>
      <c r="AI267" s="11"/>
      <c r="AJ267" s="11"/>
      <c r="AK267" s="39"/>
      <c r="AL267" s="113"/>
      <c r="AM267" s="113"/>
      <c r="AN267" s="117"/>
      <c r="AO267" s="76"/>
      <c r="AP267" s="39"/>
      <c r="AQ267" s="39"/>
      <c r="AR267" s="275">
        <v>201600</v>
      </c>
      <c r="AS267" s="113">
        <f t="shared" si="64"/>
        <v>38304</v>
      </c>
      <c r="AT267" s="119">
        <f t="shared" si="65"/>
        <v>239904</v>
      </c>
      <c r="AU267" s="62" t="s">
        <v>308</v>
      </c>
      <c r="AV267" s="62" t="s">
        <v>35</v>
      </c>
      <c r="AW267" s="31"/>
      <c r="AX267" s="116"/>
      <c r="AY267" s="196"/>
      <c r="AZ267" s="143"/>
      <c r="BA267" s="191"/>
      <c r="BB267" s="132"/>
      <c r="BC267" s="132"/>
      <c r="BD267" s="274"/>
      <c r="BE267" s="143"/>
      <c r="BF267" s="143"/>
      <c r="BG267" s="132"/>
      <c r="BH267" s="132"/>
      <c r="BI267" s="132"/>
      <c r="BJ267" s="143"/>
      <c r="BK267" s="143"/>
      <c r="BL267" s="143"/>
      <c r="BM267" s="132"/>
      <c r="BN267" s="132"/>
      <c r="BO267" s="132"/>
      <c r="BP267" s="143"/>
      <c r="BQ267" s="132"/>
      <c r="BR267" s="132"/>
      <c r="BS267" s="132"/>
      <c r="BT267" s="132"/>
      <c r="BU267" s="132"/>
      <c r="BV267" s="210"/>
      <c r="BW267" s="144"/>
      <c r="BX267" s="113"/>
      <c r="BY267" s="273"/>
      <c r="BZ267" s="273"/>
      <c r="CA267" s="132"/>
      <c r="CB267" s="274"/>
      <c r="CC267" s="144"/>
      <c r="CD267" s="274"/>
      <c r="CE267" s="132"/>
      <c r="CF267" s="132"/>
      <c r="CG267" s="36"/>
      <c r="CH267" s="210"/>
      <c r="CI267" s="219"/>
      <c r="CJ267" s="210"/>
      <c r="CK267" s="273"/>
      <c r="CL267" s="273"/>
      <c r="CM267" s="132"/>
      <c r="CN267" s="274"/>
      <c r="CO267" s="144"/>
      <c r="CP267" s="274"/>
      <c r="CQ267" s="132"/>
      <c r="CR267" s="132"/>
      <c r="CS267" s="132"/>
      <c r="CT267" s="144">
        <v>244800</v>
      </c>
      <c r="CU267" s="144">
        <f t="shared" si="66"/>
        <v>46512</v>
      </c>
      <c r="CV267" s="144">
        <f t="shared" si="67"/>
        <v>291312</v>
      </c>
      <c r="CW267" s="132"/>
      <c r="CX267" s="132"/>
      <c r="CY267" s="132"/>
      <c r="CZ267" s="118"/>
      <c r="DA267" s="144"/>
      <c r="DB267" s="118"/>
      <c r="DC267" s="33"/>
      <c r="DD267" s="39"/>
      <c r="DE267" s="11"/>
      <c r="DF267" s="132"/>
      <c r="DG267" s="132"/>
      <c r="DH267" s="132"/>
      <c r="DI267" s="132"/>
      <c r="DJ267" s="132"/>
      <c r="DK267" s="132"/>
      <c r="DL267" s="132"/>
      <c r="DM267" s="132"/>
      <c r="DN267" s="132"/>
      <c r="DO267" s="132"/>
      <c r="DP267" s="132"/>
      <c r="DQ267" s="132"/>
      <c r="DR267" s="132"/>
      <c r="DS267" s="132"/>
      <c r="DT267" s="132"/>
      <c r="DU267" s="132"/>
      <c r="DV267" s="132"/>
      <c r="DW267" s="132"/>
      <c r="DX267" s="132"/>
      <c r="DY267" s="132"/>
      <c r="DZ267" s="132"/>
      <c r="EA267" s="132"/>
      <c r="EB267" s="132"/>
      <c r="EC267" s="132"/>
      <c r="ED267" s="132"/>
      <c r="EE267" s="132"/>
      <c r="EF267" s="132"/>
      <c r="EG267" s="132"/>
      <c r="EH267" s="132"/>
      <c r="EI267" s="132"/>
      <c r="EJ267" s="132"/>
      <c r="EK267" s="132"/>
      <c r="EL267" s="132"/>
      <c r="EM267" s="132"/>
      <c r="EN267" s="132"/>
      <c r="EO267" s="132"/>
      <c r="EP267" s="132"/>
      <c r="EQ267" s="132"/>
      <c r="ER267" s="132"/>
      <c r="ES267" s="132"/>
      <c r="ET267" s="11"/>
      <c r="EU267" s="11"/>
      <c r="EV267" s="11"/>
      <c r="EW267" s="11"/>
      <c r="EX267" s="11"/>
      <c r="EY267" s="11"/>
      <c r="EZ267" s="11"/>
      <c r="FA267" s="11"/>
      <c r="FB267" s="11"/>
      <c r="FC267" s="11"/>
      <c r="FD267" s="11"/>
      <c r="FE267" s="11"/>
      <c r="FF267" s="11"/>
      <c r="FG267" s="11"/>
      <c r="FH267" s="39">
        <f t="shared" si="61"/>
        <v>531216</v>
      </c>
      <c r="FI267" s="33">
        <f t="shared" si="62"/>
        <v>2</v>
      </c>
      <c r="FJ267" s="84">
        <f t="shared" si="63"/>
        <v>265608</v>
      </c>
    </row>
    <row r="268" spans="1:166" ht="66" customHeight="1" x14ac:dyDescent="0.25">
      <c r="A268" s="79" t="e">
        <f>#REF!</f>
        <v>#REF!</v>
      </c>
      <c r="B268" s="75" t="e">
        <f>#REF!</f>
        <v>#REF!</v>
      </c>
      <c r="C268" s="75" t="e">
        <f>#REF!</f>
        <v>#REF!</v>
      </c>
      <c r="D268" s="75" t="e">
        <f>#REF!</f>
        <v>#REF!</v>
      </c>
      <c r="E268" s="30">
        <v>1</v>
      </c>
      <c r="F268" s="238">
        <v>428310.75</v>
      </c>
      <c r="G268" s="241">
        <v>340340</v>
      </c>
      <c r="H268" s="249">
        <v>2193566.6666666665</v>
      </c>
      <c r="I268" s="249">
        <v>0</v>
      </c>
      <c r="J268" s="249">
        <v>814133.14500000002</v>
      </c>
      <c r="K268" s="249">
        <v>0</v>
      </c>
      <c r="L268" s="274">
        <f>AVERAGE(F268,H268,J268)</f>
        <v>1145336.8538888888</v>
      </c>
      <c r="M268" s="274">
        <f>G268*E1</f>
        <v>350550.2</v>
      </c>
      <c r="N268" s="245"/>
      <c r="O268" s="113"/>
      <c r="P268" s="113"/>
      <c r="Q268" s="131"/>
      <c r="R268" s="131"/>
      <c r="S268" s="64"/>
      <c r="T268" s="113"/>
      <c r="U268" s="113"/>
      <c r="V268" s="113"/>
      <c r="W268" s="131"/>
      <c r="X268" s="131"/>
      <c r="Y268" s="11"/>
      <c r="Z268" s="113"/>
      <c r="AA268" s="113"/>
      <c r="AB268" s="113"/>
      <c r="AC268" s="52"/>
      <c r="AD268" s="52"/>
      <c r="AE268" s="11"/>
      <c r="AF268" s="118"/>
      <c r="AG268" s="144"/>
      <c r="AH268" s="113"/>
      <c r="AI268" s="11"/>
      <c r="AJ268" s="11"/>
      <c r="AK268" s="39"/>
      <c r="AL268" s="113"/>
      <c r="AM268" s="113"/>
      <c r="AN268" s="117"/>
      <c r="AO268" s="76"/>
      <c r="AP268" s="39"/>
      <c r="AQ268" s="39"/>
      <c r="AR268" s="275"/>
      <c r="AS268" s="156"/>
      <c r="AT268" s="157"/>
      <c r="AU268" s="62"/>
      <c r="AV268" s="62"/>
      <c r="AW268" s="31"/>
      <c r="AX268" s="116"/>
      <c r="AY268" s="196"/>
      <c r="AZ268" s="143"/>
      <c r="BA268" s="191"/>
      <c r="BB268" s="132"/>
      <c r="BC268" s="132"/>
      <c r="BD268" s="274"/>
      <c r="BE268" s="143"/>
      <c r="BF268" s="143"/>
      <c r="BG268" s="132"/>
      <c r="BH268" s="132"/>
      <c r="BI268" s="132"/>
      <c r="BJ268" s="143"/>
      <c r="BK268" s="143"/>
      <c r="BL268" s="143"/>
      <c r="BM268" s="132"/>
      <c r="BN268" s="132"/>
      <c r="BO268" s="132"/>
      <c r="BP268" s="143"/>
      <c r="BQ268" s="132"/>
      <c r="BR268" s="132"/>
      <c r="BS268" s="132"/>
      <c r="BT268" s="132"/>
      <c r="BU268" s="132"/>
      <c r="BV268" s="210"/>
      <c r="BW268" s="144"/>
      <c r="BX268" s="113"/>
      <c r="BY268" s="273"/>
      <c r="BZ268" s="273"/>
      <c r="CA268" s="132"/>
      <c r="CB268" s="274"/>
      <c r="CC268" s="144"/>
      <c r="CD268" s="274"/>
      <c r="CE268" s="132"/>
      <c r="CF268" s="132"/>
      <c r="CG268" s="36"/>
      <c r="CH268" s="210"/>
      <c r="CI268" s="219"/>
      <c r="CJ268" s="210"/>
      <c r="CK268" s="273"/>
      <c r="CL268" s="273"/>
      <c r="CM268" s="132"/>
      <c r="CN268" s="274"/>
      <c r="CO268" s="144"/>
      <c r="CP268" s="274"/>
      <c r="CQ268" s="132"/>
      <c r="CR268" s="132"/>
      <c r="CS268" s="132"/>
      <c r="CT268" s="144">
        <v>342720</v>
      </c>
      <c r="CU268" s="144">
        <f t="shared" si="66"/>
        <v>65116.800000000003</v>
      </c>
      <c r="CV268" s="144">
        <f t="shared" si="67"/>
        <v>407836.8</v>
      </c>
      <c r="CW268" s="132"/>
      <c r="CX268" s="132"/>
      <c r="CY268" s="132"/>
      <c r="CZ268" s="118"/>
      <c r="DA268" s="144"/>
      <c r="DB268" s="118"/>
      <c r="DC268" s="33"/>
      <c r="DD268" s="39"/>
      <c r="DE268" s="11"/>
      <c r="DF268" s="132"/>
      <c r="DG268" s="132"/>
      <c r="DH268" s="132"/>
      <c r="DI268" s="132"/>
      <c r="DJ268" s="132"/>
      <c r="DK268" s="132"/>
      <c r="DL268" s="132"/>
      <c r="DM268" s="132"/>
      <c r="DN268" s="132"/>
      <c r="DO268" s="132"/>
      <c r="DP268" s="132"/>
      <c r="DQ268" s="132"/>
      <c r="DR268" s="132"/>
      <c r="DS268" s="132"/>
      <c r="DT268" s="132"/>
      <c r="DU268" s="132"/>
      <c r="DV268" s="132"/>
      <c r="DW268" s="132"/>
      <c r="DX268" s="132"/>
      <c r="DY268" s="132"/>
      <c r="DZ268" s="132"/>
      <c r="EA268" s="132"/>
      <c r="EB268" s="132"/>
      <c r="EC268" s="132"/>
      <c r="ED268" s="132"/>
      <c r="EE268" s="132"/>
      <c r="EF268" s="132"/>
      <c r="EG268" s="132"/>
      <c r="EH268" s="132"/>
      <c r="EI268" s="132"/>
      <c r="EJ268" s="132"/>
      <c r="EK268" s="132"/>
      <c r="EL268" s="132"/>
      <c r="EM268" s="132"/>
      <c r="EN268" s="132"/>
      <c r="EO268" s="132"/>
      <c r="EP268" s="132"/>
      <c r="EQ268" s="132"/>
      <c r="ER268" s="132"/>
      <c r="ES268" s="132"/>
      <c r="ET268" s="11"/>
      <c r="EU268" s="11"/>
      <c r="EV268" s="11"/>
      <c r="EW268" s="11"/>
      <c r="EX268" s="11"/>
      <c r="EY268" s="11"/>
      <c r="EZ268" s="11"/>
      <c r="FA268" s="11"/>
      <c r="FB268" s="11"/>
      <c r="FC268" s="11"/>
      <c r="FD268" s="11"/>
      <c r="FE268" s="11"/>
      <c r="FF268" s="11"/>
      <c r="FG268" s="11"/>
      <c r="FH268" s="39">
        <f t="shared" si="61"/>
        <v>758387</v>
      </c>
      <c r="FI268" s="33">
        <f t="shared" si="62"/>
        <v>2</v>
      </c>
      <c r="FJ268" s="84">
        <f t="shared" si="63"/>
        <v>379193.5</v>
      </c>
    </row>
    <row r="269" spans="1:166" ht="66" customHeight="1" x14ac:dyDescent="0.25">
      <c r="A269" s="79" t="e">
        <f>#REF!</f>
        <v>#REF!</v>
      </c>
      <c r="B269" s="75" t="e">
        <f>#REF!</f>
        <v>#REF!</v>
      </c>
      <c r="C269" s="75" t="e">
        <f>#REF!</f>
        <v>#REF!</v>
      </c>
      <c r="D269" s="75" t="e">
        <f>#REF!</f>
        <v>#REF!</v>
      </c>
      <c r="E269" s="30">
        <v>1</v>
      </c>
      <c r="F269" s="238">
        <v>0</v>
      </c>
      <c r="G269" s="241">
        <v>0</v>
      </c>
      <c r="H269" s="249">
        <v>0</v>
      </c>
      <c r="I269" s="249">
        <v>0</v>
      </c>
      <c r="J269" s="249">
        <v>0</v>
      </c>
      <c r="K269" s="249">
        <v>0</v>
      </c>
      <c r="L269" s="274"/>
      <c r="M269" s="274"/>
      <c r="N269" s="245"/>
      <c r="O269" s="113"/>
      <c r="P269" s="113"/>
      <c r="Q269" s="131"/>
      <c r="R269" s="131"/>
      <c r="S269" s="64"/>
      <c r="T269" s="113"/>
      <c r="U269" s="113"/>
      <c r="V269" s="113"/>
      <c r="W269" s="131"/>
      <c r="X269" s="131"/>
      <c r="Y269" s="11"/>
      <c r="Z269" s="113"/>
      <c r="AA269" s="113"/>
      <c r="AB269" s="113"/>
      <c r="AC269" s="52"/>
      <c r="AD269" s="52"/>
      <c r="AE269" s="11"/>
      <c r="AF269" s="118"/>
      <c r="AG269" s="144"/>
      <c r="AH269" s="113"/>
      <c r="AI269" s="11"/>
      <c r="AJ269" s="11"/>
      <c r="AK269" s="39"/>
      <c r="AL269" s="113"/>
      <c r="AM269" s="113"/>
      <c r="AN269" s="119"/>
      <c r="AO269" s="76"/>
      <c r="AP269" s="39"/>
      <c r="AQ269" s="39"/>
      <c r="AR269" s="275"/>
      <c r="AS269" s="161"/>
      <c r="AT269" s="143"/>
      <c r="AU269" s="62"/>
      <c r="AV269" s="62"/>
      <c r="AW269" s="31"/>
      <c r="AX269" s="116"/>
      <c r="AY269" s="196"/>
      <c r="AZ269" s="143"/>
      <c r="BA269" s="191"/>
      <c r="BB269" s="132"/>
      <c r="BC269" s="132"/>
      <c r="BD269" s="274"/>
      <c r="BE269" s="143"/>
      <c r="BF269" s="143"/>
      <c r="BG269" s="132"/>
      <c r="BH269" s="132"/>
      <c r="BI269" s="132"/>
      <c r="BJ269" s="143"/>
      <c r="BK269" s="143"/>
      <c r="BL269" s="143"/>
      <c r="BM269" s="132"/>
      <c r="BN269" s="132"/>
      <c r="BO269" s="132"/>
      <c r="BP269" s="143"/>
      <c r="BQ269" s="132"/>
      <c r="BR269" s="132"/>
      <c r="BS269" s="132"/>
      <c r="BT269" s="132"/>
      <c r="BU269" s="132"/>
      <c r="BV269" s="210"/>
      <c r="BW269" s="144"/>
      <c r="BX269" s="113"/>
      <c r="BY269" s="273"/>
      <c r="BZ269" s="273"/>
      <c r="CA269" s="132"/>
      <c r="CB269" s="274"/>
      <c r="CC269" s="144"/>
      <c r="CD269" s="274"/>
      <c r="CE269" s="132"/>
      <c r="CF269" s="132"/>
      <c r="CG269" s="36"/>
      <c r="CH269" s="210"/>
      <c r="CI269" s="219"/>
      <c r="CJ269" s="210"/>
      <c r="CK269" s="273"/>
      <c r="CL269" s="273"/>
      <c r="CM269" s="132"/>
      <c r="CN269" s="274"/>
      <c r="CO269" s="144"/>
      <c r="CP269" s="274"/>
      <c r="CQ269" s="132"/>
      <c r="CR269" s="132"/>
      <c r="CS269" s="132"/>
      <c r="CT269" s="274">
        <v>183000</v>
      </c>
      <c r="CU269" s="144">
        <f>CT269*0</f>
        <v>0</v>
      </c>
      <c r="CV269" s="144">
        <f t="shared" si="67"/>
        <v>183000</v>
      </c>
      <c r="CW269" s="132"/>
      <c r="CX269" s="132"/>
      <c r="CY269" s="132"/>
      <c r="CZ269" s="118"/>
      <c r="DA269" s="144"/>
      <c r="DB269" s="118"/>
      <c r="DC269" s="33"/>
      <c r="DD269" s="39"/>
      <c r="DE269" s="11"/>
      <c r="DF269" s="132"/>
      <c r="DG269" s="132"/>
      <c r="DH269" s="132"/>
      <c r="DI269" s="132"/>
      <c r="DJ269" s="132"/>
      <c r="DK269" s="132"/>
      <c r="DL269" s="132"/>
      <c r="DM269" s="132"/>
      <c r="DN269" s="132"/>
      <c r="DO269" s="132"/>
      <c r="DP269" s="132"/>
      <c r="DQ269" s="132"/>
      <c r="DR269" s="132"/>
      <c r="DS269" s="132"/>
      <c r="DT269" s="132"/>
      <c r="DU269" s="132"/>
      <c r="DV269" s="132"/>
      <c r="DW269" s="132"/>
      <c r="DX269" s="132"/>
      <c r="DY269" s="132"/>
      <c r="DZ269" s="132"/>
      <c r="EA269" s="132"/>
      <c r="EB269" s="132"/>
      <c r="EC269" s="132"/>
      <c r="ED269" s="132"/>
      <c r="EE269" s="132"/>
      <c r="EF269" s="132"/>
      <c r="EG269" s="132"/>
      <c r="EH269" s="132"/>
      <c r="EI269" s="132"/>
      <c r="EJ269" s="132"/>
      <c r="EK269" s="132"/>
      <c r="EL269" s="132"/>
      <c r="EM269" s="132"/>
      <c r="EN269" s="132"/>
      <c r="EO269" s="132"/>
      <c r="EP269" s="132"/>
      <c r="EQ269" s="132"/>
      <c r="ER269" s="132"/>
      <c r="ES269" s="132"/>
      <c r="ET269" s="11"/>
      <c r="EU269" s="11"/>
      <c r="EV269" s="11"/>
      <c r="EW269" s="11"/>
      <c r="EX269" s="11"/>
      <c r="EY269" s="11"/>
      <c r="EZ269" s="11"/>
      <c r="FA269" s="11"/>
      <c r="FB269" s="11"/>
      <c r="FC269" s="11"/>
      <c r="FD269" s="11"/>
      <c r="FE269" s="11"/>
      <c r="FF269" s="11"/>
      <c r="FG269" s="11"/>
      <c r="FH269" s="39">
        <f t="shared" si="61"/>
        <v>183000</v>
      </c>
      <c r="FI269" s="33">
        <f t="shared" si="62"/>
        <v>1</v>
      </c>
      <c r="FJ269" s="84">
        <f t="shared" si="63"/>
        <v>183000</v>
      </c>
    </row>
    <row r="270" spans="1:166" ht="57" customHeight="1" x14ac:dyDescent="0.25">
      <c r="A270" s="79" t="e">
        <f>#REF!</f>
        <v>#REF!</v>
      </c>
      <c r="B270" s="75" t="e">
        <f>#REF!</f>
        <v>#REF!</v>
      </c>
      <c r="C270" s="75" t="e">
        <f>#REF!</f>
        <v>#REF!</v>
      </c>
      <c r="D270" s="75" t="e">
        <f>#REF!</f>
        <v>#REF!</v>
      </c>
      <c r="E270" s="30">
        <v>1</v>
      </c>
      <c r="F270" s="238">
        <v>0</v>
      </c>
      <c r="G270" s="241">
        <v>0</v>
      </c>
      <c r="H270" s="249">
        <v>0</v>
      </c>
      <c r="I270" s="249">
        <v>0</v>
      </c>
      <c r="J270" s="249">
        <v>0</v>
      </c>
      <c r="K270" s="249">
        <v>0</v>
      </c>
      <c r="L270" s="274"/>
      <c r="M270" s="274"/>
      <c r="N270" s="245"/>
      <c r="O270" s="113"/>
      <c r="P270" s="113"/>
      <c r="Q270" s="131"/>
      <c r="R270" s="131"/>
      <c r="S270" s="64"/>
      <c r="T270" s="113"/>
      <c r="U270" s="117"/>
      <c r="V270" s="113"/>
      <c r="W270" s="131"/>
      <c r="X270" s="131"/>
      <c r="Y270" s="11"/>
      <c r="Z270" s="113"/>
      <c r="AA270" s="113"/>
      <c r="AB270" s="113"/>
      <c r="AC270" s="52"/>
      <c r="AD270" s="52"/>
      <c r="AE270" s="11"/>
      <c r="AF270" s="118"/>
      <c r="AG270" s="144"/>
      <c r="AH270" s="113"/>
      <c r="AI270" s="11"/>
      <c r="AJ270" s="11"/>
      <c r="AK270" s="39"/>
      <c r="AL270" s="113"/>
      <c r="AM270" s="113"/>
      <c r="AN270" s="117"/>
      <c r="AO270" s="76"/>
      <c r="AP270" s="39"/>
      <c r="AQ270" s="39"/>
      <c r="AR270" s="275"/>
      <c r="AS270" s="156"/>
      <c r="AT270" s="157"/>
      <c r="AU270" s="62"/>
      <c r="AV270" s="62"/>
      <c r="AW270" s="31"/>
      <c r="AX270" s="116"/>
      <c r="AY270" s="116"/>
      <c r="AZ270" s="143"/>
      <c r="BA270" s="191"/>
      <c r="BB270" s="132"/>
      <c r="BC270" s="132"/>
      <c r="BD270" s="274"/>
      <c r="BE270" s="143"/>
      <c r="BF270" s="143"/>
      <c r="BG270" s="132"/>
      <c r="BH270" s="132"/>
      <c r="BI270" s="132"/>
      <c r="BJ270" s="143"/>
      <c r="BK270" s="143"/>
      <c r="BL270" s="143"/>
      <c r="BM270" s="132"/>
      <c r="BN270" s="132"/>
      <c r="BO270" s="132"/>
      <c r="BP270" s="143"/>
      <c r="BQ270" s="132"/>
      <c r="BR270" s="132"/>
      <c r="BS270" s="132"/>
      <c r="BT270" s="132"/>
      <c r="BU270" s="132"/>
      <c r="BV270" s="263">
        <v>1722800</v>
      </c>
      <c r="BW270" s="144">
        <f t="shared" ref="BW270:BW304" si="68">BV270*19%</f>
        <v>327332</v>
      </c>
      <c r="BX270" s="113">
        <f t="shared" ref="BX270:BX307" si="69">+BV270+BW270</f>
        <v>2050132</v>
      </c>
      <c r="BY270" s="264" t="s">
        <v>309</v>
      </c>
      <c r="BZ270" s="264" t="s">
        <v>310</v>
      </c>
      <c r="CA270" s="132"/>
      <c r="CB270" s="274"/>
      <c r="CC270" s="144"/>
      <c r="CD270" s="274"/>
      <c r="CE270" s="132"/>
      <c r="CF270" s="132"/>
      <c r="CG270" s="36"/>
      <c r="CH270" s="263">
        <v>1791712</v>
      </c>
      <c r="CI270" s="265">
        <f>+CH270*0.19</f>
        <v>340425.28</v>
      </c>
      <c r="CJ270" s="263">
        <f>+CH270+CI270</f>
        <v>2132137.2800000003</v>
      </c>
      <c r="CK270" s="264" t="s">
        <v>309</v>
      </c>
      <c r="CL270" s="264" t="s">
        <v>310</v>
      </c>
      <c r="CM270" s="132"/>
      <c r="CN270" s="274"/>
      <c r="CO270" s="144"/>
      <c r="CP270" s="274"/>
      <c r="CQ270" s="132"/>
      <c r="CR270" s="132"/>
      <c r="CS270" s="132"/>
      <c r="CT270" s="144">
        <v>250239.99999999997</v>
      </c>
      <c r="CU270" s="144">
        <f t="shared" ref="CU270:CU283" si="70">CT270*0.19</f>
        <v>47545.599999999999</v>
      </c>
      <c r="CV270" s="144">
        <f t="shared" si="67"/>
        <v>297785.59999999998</v>
      </c>
      <c r="CW270" s="132"/>
      <c r="CX270" s="132"/>
      <c r="CY270" s="132"/>
      <c r="CZ270" s="118"/>
      <c r="DA270" s="144"/>
      <c r="DB270" s="118"/>
      <c r="DC270" s="33"/>
      <c r="DD270" s="39"/>
      <c r="DE270" s="11"/>
      <c r="DF270" s="132"/>
      <c r="DG270" s="132"/>
      <c r="DH270" s="132"/>
      <c r="DI270" s="132"/>
      <c r="DJ270" s="132"/>
      <c r="DK270" s="132"/>
      <c r="DL270" s="132"/>
      <c r="DM270" s="132"/>
      <c r="DN270" s="132"/>
      <c r="DO270" s="132"/>
      <c r="DP270" s="132"/>
      <c r="DQ270" s="132"/>
      <c r="DR270" s="132"/>
      <c r="DS270" s="132"/>
      <c r="DT270" s="132"/>
      <c r="DU270" s="132"/>
      <c r="DV270" s="132"/>
      <c r="DW270" s="132"/>
      <c r="DX270" s="132"/>
      <c r="DY270" s="132"/>
      <c r="DZ270" s="132"/>
      <c r="EA270" s="132"/>
      <c r="EB270" s="132"/>
      <c r="EC270" s="132"/>
      <c r="ED270" s="132"/>
      <c r="EE270" s="132"/>
      <c r="EF270" s="132"/>
      <c r="EG270" s="132"/>
      <c r="EH270" s="132"/>
      <c r="EI270" s="132"/>
      <c r="EJ270" s="132"/>
      <c r="EK270" s="132"/>
      <c r="EL270" s="132"/>
      <c r="EM270" s="132"/>
      <c r="EN270" s="132"/>
      <c r="EO270" s="132"/>
      <c r="EP270" s="132"/>
      <c r="EQ270" s="132"/>
      <c r="ER270" s="132"/>
      <c r="ES270" s="132"/>
      <c r="ET270" s="11"/>
      <c r="EU270" s="11"/>
      <c r="EV270" s="11"/>
      <c r="EW270" s="11"/>
      <c r="EX270" s="11"/>
      <c r="EY270" s="11"/>
      <c r="EZ270" s="11"/>
      <c r="FA270" s="11"/>
      <c r="FB270" s="11"/>
      <c r="FC270" s="11"/>
      <c r="FD270" s="11"/>
      <c r="FE270" s="11"/>
      <c r="FF270" s="11"/>
      <c r="FG270" s="11"/>
      <c r="FH270" s="39">
        <f t="shared" si="61"/>
        <v>4480054.88</v>
      </c>
      <c r="FI270" s="33">
        <f t="shared" si="62"/>
        <v>3</v>
      </c>
      <c r="FJ270" s="84">
        <f t="shared" si="63"/>
        <v>1493351.6266666667</v>
      </c>
    </row>
    <row r="271" spans="1:166" ht="57" customHeight="1" x14ac:dyDescent="0.25">
      <c r="A271" s="79" t="e">
        <f>#REF!</f>
        <v>#REF!</v>
      </c>
      <c r="B271" s="75" t="e">
        <f>#REF!</f>
        <v>#REF!</v>
      </c>
      <c r="C271" s="75" t="e">
        <f>#REF!</f>
        <v>#REF!</v>
      </c>
      <c r="D271" s="75" t="e">
        <f>#REF!</f>
        <v>#REF!</v>
      </c>
      <c r="E271" s="30">
        <v>1</v>
      </c>
      <c r="F271" s="238">
        <v>0</v>
      </c>
      <c r="G271" s="241">
        <v>0</v>
      </c>
      <c r="H271" s="249">
        <v>177429.45</v>
      </c>
      <c r="I271" s="249">
        <v>177429</v>
      </c>
      <c r="J271" s="249">
        <v>161252.93333333332</v>
      </c>
      <c r="K271" s="249">
        <v>0</v>
      </c>
      <c r="L271" s="274">
        <f>AVERAGE(H271,J271)</f>
        <v>169341.19166666665</v>
      </c>
      <c r="M271" s="274">
        <f>I271*E1</f>
        <v>182751.87</v>
      </c>
      <c r="N271" s="245"/>
      <c r="O271" s="113"/>
      <c r="P271" s="113"/>
      <c r="Q271" s="131"/>
      <c r="R271" s="131"/>
      <c r="S271" s="64"/>
      <c r="T271" s="113"/>
      <c r="U271" s="113"/>
      <c r="V271" s="113"/>
      <c r="W271" s="131"/>
      <c r="X271" s="131"/>
      <c r="Y271" s="11"/>
      <c r="Z271" s="113"/>
      <c r="AA271" s="113"/>
      <c r="AB271" s="113"/>
      <c r="AC271" s="52"/>
      <c r="AD271" s="52"/>
      <c r="AE271" s="11"/>
      <c r="AF271" s="118"/>
      <c r="AG271" s="144"/>
      <c r="AH271" s="113"/>
      <c r="AI271" s="11"/>
      <c r="AJ271" s="11"/>
      <c r="AK271" s="39"/>
      <c r="AL271" s="113">
        <v>95000</v>
      </c>
      <c r="AM271" s="113">
        <f>+AL271*0.19</f>
        <v>18050</v>
      </c>
      <c r="AN271" s="119">
        <f>+AL271+AM271</f>
        <v>113050</v>
      </c>
      <c r="AO271" s="76" t="s">
        <v>44</v>
      </c>
      <c r="AP271" s="39" t="s">
        <v>45</v>
      </c>
      <c r="AQ271" s="39"/>
      <c r="AR271" s="275">
        <v>95520</v>
      </c>
      <c r="AS271" s="113">
        <f>+AR271*0.19</f>
        <v>18148.8</v>
      </c>
      <c r="AT271" s="119">
        <f>+AR271+AS271</f>
        <v>113668.8</v>
      </c>
      <c r="AU271" s="62" t="s">
        <v>44</v>
      </c>
      <c r="AV271" s="62" t="s">
        <v>45</v>
      </c>
      <c r="AW271" s="31"/>
      <c r="AX271" s="116"/>
      <c r="AY271" s="194"/>
      <c r="AZ271" s="143"/>
      <c r="BA271" s="191"/>
      <c r="BB271" s="132"/>
      <c r="BC271" s="132"/>
      <c r="BD271" s="274"/>
      <c r="BE271" s="143"/>
      <c r="BF271" s="143"/>
      <c r="BG271" s="132"/>
      <c r="BH271" s="132"/>
      <c r="BI271" s="132"/>
      <c r="BJ271" s="143"/>
      <c r="BK271" s="143"/>
      <c r="BL271" s="143"/>
      <c r="BM271" s="132"/>
      <c r="BN271" s="132"/>
      <c r="BO271" s="132"/>
      <c r="BP271" s="143"/>
      <c r="BQ271" s="132"/>
      <c r="BR271" s="132"/>
      <c r="BS271" s="132"/>
      <c r="BT271" s="132"/>
      <c r="BU271" s="132"/>
      <c r="BV271" s="263">
        <v>243200</v>
      </c>
      <c r="BW271" s="144">
        <f t="shared" si="68"/>
        <v>46208</v>
      </c>
      <c r="BX271" s="113">
        <f t="shared" si="69"/>
        <v>289408</v>
      </c>
      <c r="BY271" s="264" t="s">
        <v>311</v>
      </c>
      <c r="BZ271" s="264" t="s">
        <v>88</v>
      </c>
      <c r="CA271" s="132"/>
      <c r="CB271" s="274"/>
      <c r="CC271" s="144"/>
      <c r="CD271" s="274"/>
      <c r="CE271" s="132"/>
      <c r="CF271" s="132"/>
      <c r="CG271" s="36"/>
      <c r="CH271" s="263">
        <v>248064</v>
      </c>
      <c r="CI271" s="265">
        <f>+CH271*0.19</f>
        <v>47132.160000000003</v>
      </c>
      <c r="CJ271" s="263">
        <f>+CH271+CI271</f>
        <v>295196.16000000003</v>
      </c>
      <c r="CK271" s="264" t="s">
        <v>311</v>
      </c>
      <c r="CL271" s="264" t="s">
        <v>88</v>
      </c>
      <c r="CM271" s="132"/>
      <c r="CN271" s="274"/>
      <c r="CO271" s="144"/>
      <c r="CP271" s="274"/>
      <c r="CQ271" s="132"/>
      <c r="CR271" s="132"/>
      <c r="CS271" s="132"/>
      <c r="CT271" s="144">
        <v>168000</v>
      </c>
      <c r="CU271" s="144">
        <f t="shared" si="70"/>
        <v>31920</v>
      </c>
      <c r="CV271" s="144">
        <f t="shared" si="67"/>
        <v>199920</v>
      </c>
      <c r="CW271" s="132"/>
      <c r="CX271" s="132"/>
      <c r="CY271" s="132"/>
      <c r="CZ271" s="118"/>
      <c r="DA271" s="144"/>
      <c r="DB271" s="118"/>
      <c r="DC271" s="33"/>
      <c r="DD271" s="39"/>
      <c r="DE271" s="11"/>
      <c r="DF271" s="132"/>
      <c r="DG271" s="132"/>
      <c r="DH271" s="132"/>
      <c r="DI271" s="132"/>
      <c r="DJ271" s="132"/>
      <c r="DK271" s="132"/>
      <c r="DL271" s="132"/>
      <c r="DM271" s="132"/>
      <c r="DN271" s="132"/>
      <c r="DO271" s="132"/>
      <c r="DP271" s="132"/>
      <c r="DQ271" s="132"/>
      <c r="DR271" s="132"/>
      <c r="DS271" s="132"/>
      <c r="DT271" s="132"/>
      <c r="DU271" s="132"/>
      <c r="DV271" s="132"/>
      <c r="DW271" s="132"/>
      <c r="DX271" s="132"/>
      <c r="DY271" s="132"/>
      <c r="DZ271" s="132"/>
      <c r="EA271" s="132"/>
      <c r="EB271" s="132"/>
      <c r="EC271" s="132"/>
      <c r="ED271" s="132"/>
      <c r="EE271" s="132"/>
      <c r="EF271" s="132"/>
      <c r="EG271" s="132"/>
      <c r="EH271" s="132"/>
      <c r="EI271" s="132"/>
      <c r="EJ271" s="132"/>
      <c r="EK271" s="132"/>
      <c r="EL271" s="132"/>
      <c r="EM271" s="132"/>
      <c r="EN271" s="132"/>
      <c r="EO271" s="132"/>
      <c r="EP271" s="132"/>
      <c r="EQ271" s="132"/>
      <c r="ER271" s="132"/>
      <c r="ES271" s="132"/>
      <c r="ET271" s="11"/>
      <c r="EU271" s="11"/>
      <c r="EV271" s="11"/>
      <c r="EW271" s="11"/>
      <c r="EX271" s="11"/>
      <c r="EY271" s="11"/>
      <c r="EZ271" s="11"/>
      <c r="FA271" s="11"/>
      <c r="FB271" s="11"/>
      <c r="FC271" s="11"/>
      <c r="FD271" s="11"/>
      <c r="FE271" s="11"/>
      <c r="FF271" s="11"/>
      <c r="FG271" s="11"/>
      <c r="FH271" s="39">
        <f t="shared" si="61"/>
        <v>1193994.83</v>
      </c>
      <c r="FI271" s="33">
        <f t="shared" si="62"/>
        <v>6</v>
      </c>
      <c r="FJ271" s="84">
        <f t="shared" si="63"/>
        <v>198999.13833333334</v>
      </c>
    </row>
    <row r="272" spans="1:166" ht="57" customHeight="1" x14ac:dyDescent="0.25">
      <c r="A272" s="79" t="e">
        <f>#REF!</f>
        <v>#REF!</v>
      </c>
      <c r="B272" s="75" t="e">
        <f>#REF!</f>
        <v>#REF!</v>
      </c>
      <c r="C272" s="75" t="e">
        <f>#REF!</f>
        <v>#REF!</v>
      </c>
      <c r="D272" s="75" t="e">
        <f>#REF!</f>
        <v>#REF!</v>
      </c>
      <c r="E272" s="30">
        <v>1</v>
      </c>
      <c r="F272" s="238">
        <v>0</v>
      </c>
      <c r="G272" s="241">
        <v>0</v>
      </c>
      <c r="H272" s="249">
        <v>580720</v>
      </c>
      <c r="I272" s="249">
        <v>579530</v>
      </c>
      <c r="J272" s="249">
        <v>0</v>
      </c>
      <c r="K272" s="249">
        <v>0</v>
      </c>
      <c r="L272" s="274">
        <f>H272</f>
        <v>580720</v>
      </c>
      <c r="M272" s="274">
        <f>I272*E1</f>
        <v>596915.9</v>
      </c>
      <c r="N272" s="245"/>
      <c r="O272" s="113"/>
      <c r="P272" s="113"/>
      <c r="Q272" s="131"/>
      <c r="R272" s="131"/>
      <c r="S272" s="64"/>
      <c r="T272" s="113"/>
      <c r="U272" s="117"/>
      <c r="V272" s="113"/>
      <c r="W272" s="131"/>
      <c r="X272" s="131"/>
      <c r="Y272" s="11"/>
      <c r="Z272" s="113"/>
      <c r="AA272" s="113"/>
      <c r="AB272" s="113"/>
      <c r="AC272" s="52"/>
      <c r="AD272" s="52"/>
      <c r="AE272" s="11"/>
      <c r="AF272" s="118"/>
      <c r="AG272" s="144"/>
      <c r="AH272" s="113"/>
      <c r="AI272" s="11"/>
      <c r="AJ272" s="11"/>
      <c r="AK272" s="39"/>
      <c r="AL272" s="113"/>
      <c r="AM272" s="113"/>
      <c r="AN272" s="117"/>
      <c r="AO272" s="76"/>
      <c r="AP272" s="39"/>
      <c r="AQ272" s="39"/>
      <c r="AR272" s="275"/>
      <c r="AS272" s="113"/>
      <c r="AT272" s="119"/>
      <c r="AU272" s="62"/>
      <c r="AV272" s="62"/>
      <c r="AW272" s="31"/>
      <c r="AX272" s="116"/>
      <c r="AY272" s="116"/>
      <c r="AZ272" s="143"/>
      <c r="BA272" s="191"/>
      <c r="BB272" s="132"/>
      <c r="BC272" s="132"/>
      <c r="BD272" s="274"/>
      <c r="BE272" s="143"/>
      <c r="BF272" s="143"/>
      <c r="BG272" s="132"/>
      <c r="BH272" s="132"/>
      <c r="BI272" s="132"/>
      <c r="BJ272" s="143"/>
      <c r="BK272" s="143"/>
      <c r="BL272" s="143"/>
      <c r="BM272" s="132"/>
      <c r="BN272" s="132"/>
      <c r="BO272" s="132"/>
      <c r="BP272" s="143"/>
      <c r="BQ272" s="132"/>
      <c r="BR272" s="132"/>
      <c r="BS272" s="132"/>
      <c r="BT272" s="132"/>
      <c r="BU272" s="132"/>
      <c r="BV272" s="263">
        <v>671600</v>
      </c>
      <c r="BW272" s="144">
        <f t="shared" si="68"/>
        <v>127604</v>
      </c>
      <c r="BX272" s="113">
        <f t="shared" si="69"/>
        <v>799204</v>
      </c>
      <c r="BY272" s="264" t="s">
        <v>312</v>
      </c>
      <c r="BZ272" s="264" t="s">
        <v>313</v>
      </c>
      <c r="CA272" s="132"/>
      <c r="CB272" s="274"/>
      <c r="CC272" s="144"/>
      <c r="CD272" s="274"/>
      <c r="CE272" s="132"/>
      <c r="CF272" s="132"/>
      <c r="CG272" s="36"/>
      <c r="CH272" s="263">
        <v>711896</v>
      </c>
      <c r="CI272" s="265">
        <f>+CH272*0.19</f>
        <v>135260.24</v>
      </c>
      <c r="CJ272" s="263">
        <f>+CH272+CI272</f>
        <v>847156.24</v>
      </c>
      <c r="CK272" s="264" t="s">
        <v>312</v>
      </c>
      <c r="CL272" s="264" t="s">
        <v>313</v>
      </c>
      <c r="CM272" s="132"/>
      <c r="CN272" s="274">
        <v>175141</v>
      </c>
      <c r="CO272" s="144">
        <f>+CN272*0.19</f>
        <v>33276.79</v>
      </c>
      <c r="CP272" s="274">
        <f>+CO272+CN272</f>
        <v>208417.79</v>
      </c>
      <c r="CQ272" s="132"/>
      <c r="CR272" s="132"/>
      <c r="CS272" s="132"/>
      <c r="CT272" s="144">
        <v>209000</v>
      </c>
      <c r="CU272" s="144">
        <f t="shared" si="70"/>
        <v>39710</v>
      </c>
      <c r="CV272" s="144">
        <f t="shared" si="67"/>
        <v>248710</v>
      </c>
      <c r="CW272" s="132"/>
      <c r="CX272" s="132"/>
      <c r="CY272" s="132"/>
      <c r="CZ272" s="118"/>
      <c r="DA272" s="144"/>
      <c r="DB272" s="118"/>
      <c r="DC272" s="33"/>
      <c r="DD272" s="39"/>
      <c r="DE272" s="11"/>
      <c r="DF272" s="132"/>
      <c r="DG272" s="132"/>
      <c r="DH272" s="132"/>
      <c r="DI272" s="132"/>
      <c r="DJ272" s="132"/>
      <c r="DK272" s="132"/>
      <c r="DL272" s="132"/>
      <c r="DM272" s="132"/>
      <c r="DN272" s="132"/>
      <c r="DO272" s="132"/>
      <c r="DP272" s="132"/>
      <c r="DQ272" s="132"/>
      <c r="DR272" s="132"/>
      <c r="DS272" s="132"/>
      <c r="DT272" s="132"/>
      <c r="DU272" s="132"/>
      <c r="DV272" s="132"/>
      <c r="DW272" s="132"/>
      <c r="DX272" s="132"/>
      <c r="DY272" s="132"/>
      <c r="DZ272" s="132"/>
      <c r="EA272" s="132"/>
      <c r="EB272" s="132"/>
      <c r="EC272" s="132"/>
      <c r="ED272" s="132"/>
      <c r="EE272" s="132"/>
      <c r="EF272" s="132"/>
      <c r="EG272" s="132"/>
      <c r="EH272" s="132"/>
      <c r="EI272" s="132"/>
      <c r="EJ272" s="132"/>
      <c r="EK272" s="132"/>
      <c r="EL272" s="132"/>
      <c r="EM272" s="132"/>
      <c r="EN272" s="132"/>
      <c r="EO272" s="132"/>
      <c r="EP272" s="132"/>
      <c r="EQ272" s="132"/>
      <c r="ER272" s="132"/>
      <c r="ES272" s="132"/>
      <c r="ET272" s="11"/>
      <c r="EU272" s="11"/>
      <c r="EV272" s="11"/>
      <c r="EW272" s="11"/>
      <c r="EX272" s="11"/>
      <c r="EY272" s="11"/>
      <c r="EZ272" s="11"/>
      <c r="FA272" s="11"/>
      <c r="FB272" s="11"/>
      <c r="FC272" s="11"/>
      <c r="FD272" s="11"/>
      <c r="FE272" s="11"/>
      <c r="FF272" s="11"/>
      <c r="FG272" s="11"/>
      <c r="FH272" s="39">
        <f t="shared" si="61"/>
        <v>2700403.9299999997</v>
      </c>
      <c r="FI272" s="33">
        <f t="shared" si="62"/>
        <v>5</v>
      </c>
      <c r="FJ272" s="84">
        <f t="shared" si="63"/>
        <v>540080.78599999996</v>
      </c>
    </row>
    <row r="273" spans="1:166" ht="57" customHeight="1" x14ac:dyDescent="0.25">
      <c r="A273" s="79" t="e">
        <f>#REF!</f>
        <v>#REF!</v>
      </c>
      <c r="B273" s="75" t="e">
        <f>#REF!</f>
        <v>#REF!</v>
      </c>
      <c r="C273" s="75" t="e">
        <f>#REF!</f>
        <v>#REF!</v>
      </c>
      <c r="D273" s="75" t="e">
        <f>#REF!</f>
        <v>#REF!</v>
      </c>
      <c r="E273" s="30">
        <v>1</v>
      </c>
      <c r="F273" s="238">
        <v>371676.66666666663</v>
      </c>
      <c r="G273" s="241">
        <v>22134</v>
      </c>
      <c r="H273" s="249">
        <v>171262.27499999999</v>
      </c>
      <c r="I273" s="249">
        <v>171241</v>
      </c>
      <c r="J273" s="249">
        <v>126749.875</v>
      </c>
      <c r="K273" s="249">
        <v>0</v>
      </c>
      <c r="L273" s="274">
        <f>AVERAGE(F273,H273,J273)</f>
        <v>223229.60555555555</v>
      </c>
      <c r="M273" s="274">
        <f>AVERAGE(G273,I273)*E1</f>
        <v>99588.125</v>
      </c>
      <c r="N273" s="245"/>
      <c r="O273" s="113"/>
      <c r="P273" s="113"/>
      <c r="Q273" s="131"/>
      <c r="R273" s="131"/>
      <c r="S273" s="64"/>
      <c r="T273" s="113"/>
      <c r="U273" s="117"/>
      <c r="V273" s="113"/>
      <c r="W273" s="131"/>
      <c r="X273" s="131"/>
      <c r="Y273" s="11"/>
      <c r="Z273" s="113"/>
      <c r="AA273" s="113"/>
      <c r="AB273" s="113"/>
      <c r="AC273" s="52"/>
      <c r="AD273" s="52"/>
      <c r="AE273" s="11"/>
      <c r="AF273" s="118"/>
      <c r="AG273" s="144"/>
      <c r="AH273" s="113"/>
      <c r="AI273" s="11"/>
      <c r="AJ273" s="11"/>
      <c r="AK273" s="39"/>
      <c r="AL273" s="113">
        <v>120000</v>
      </c>
      <c r="AM273" s="113">
        <f>+AL273*0.19</f>
        <v>22800</v>
      </c>
      <c r="AN273" s="119">
        <f>+AL273+AM273</f>
        <v>142800</v>
      </c>
      <c r="AO273" s="76" t="s">
        <v>44</v>
      </c>
      <c r="AP273" s="39" t="s">
        <v>45</v>
      </c>
      <c r="AQ273" s="39"/>
      <c r="AR273" s="275">
        <v>95520</v>
      </c>
      <c r="AS273" s="113">
        <f t="shared" ref="AS273:AS278" si="71">+AR273*0.19</f>
        <v>18148.8</v>
      </c>
      <c r="AT273" s="119">
        <f t="shared" ref="AT273:AT278" si="72">+AR273+AS273</f>
        <v>113668.8</v>
      </c>
      <c r="AU273" s="62" t="s">
        <v>44</v>
      </c>
      <c r="AV273" s="62" t="s">
        <v>45</v>
      </c>
      <c r="AW273" s="31"/>
      <c r="AX273" s="116"/>
      <c r="AY273" s="116"/>
      <c r="AZ273" s="143"/>
      <c r="BA273" s="191"/>
      <c r="BB273" s="132"/>
      <c r="BC273" s="132"/>
      <c r="BD273" s="274"/>
      <c r="BE273" s="143"/>
      <c r="BF273" s="143"/>
      <c r="BG273" s="132"/>
      <c r="BH273" s="132"/>
      <c r="BI273" s="132"/>
      <c r="BJ273" s="143"/>
      <c r="BK273" s="143"/>
      <c r="BL273" s="143"/>
      <c r="BM273" s="132"/>
      <c r="BN273" s="132"/>
      <c r="BO273" s="132"/>
      <c r="BP273" s="143"/>
      <c r="BQ273" s="132"/>
      <c r="BR273" s="132"/>
      <c r="BS273" s="132"/>
      <c r="BT273" s="132"/>
      <c r="BU273" s="132"/>
      <c r="BV273" s="263">
        <v>223300</v>
      </c>
      <c r="BW273" s="144">
        <f t="shared" si="68"/>
        <v>42427</v>
      </c>
      <c r="BX273" s="113">
        <f t="shared" si="69"/>
        <v>265727</v>
      </c>
      <c r="BY273" s="264" t="s">
        <v>314</v>
      </c>
      <c r="BZ273" s="264" t="s">
        <v>88</v>
      </c>
      <c r="CA273" s="132"/>
      <c r="CB273" s="274"/>
      <c r="CC273" s="144"/>
      <c r="CD273" s="274"/>
      <c r="CE273" s="132"/>
      <c r="CF273" s="132"/>
      <c r="CG273" s="36"/>
      <c r="CH273" s="263">
        <v>236698</v>
      </c>
      <c r="CI273" s="265">
        <f>+CH273*0.19</f>
        <v>44972.62</v>
      </c>
      <c r="CJ273" s="263">
        <f>+CH273+CI273</f>
        <v>281670.62</v>
      </c>
      <c r="CK273" s="264" t="s">
        <v>314</v>
      </c>
      <c r="CL273" s="264" t="s">
        <v>88</v>
      </c>
      <c r="CM273" s="132"/>
      <c r="CN273" s="274"/>
      <c r="CO273" s="144"/>
      <c r="CP273" s="274"/>
      <c r="CQ273" s="132"/>
      <c r="CR273" s="132"/>
      <c r="CS273" s="132"/>
      <c r="CT273" s="144">
        <v>527680</v>
      </c>
      <c r="CU273" s="144">
        <f t="shared" si="70"/>
        <v>100259.2</v>
      </c>
      <c r="CV273" s="144">
        <f t="shared" si="67"/>
        <v>627939.19999999995</v>
      </c>
      <c r="CW273" s="132"/>
      <c r="CX273" s="132"/>
      <c r="CY273" s="132"/>
      <c r="CZ273" s="118">
        <v>92690</v>
      </c>
      <c r="DA273" s="144">
        <f>+CZ273*0.19</f>
        <v>17611.099999999999</v>
      </c>
      <c r="DB273" s="118">
        <f>+CZ273+DA273</f>
        <v>110301.1</v>
      </c>
      <c r="DC273" s="33" t="s">
        <v>315</v>
      </c>
      <c r="DD273" s="39" t="s">
        <v>58</v>
      </c>
      <c r="DE273" s="11"/>
      <c r="DF273" s="132"/>
      <c r="DG273" s="132"/>
      <c r="DH273" s="132"/>
      <c r="DI273" s="132"/>
      <c r="DJ273" s="132"/>
      <c r="DK273" s="132"/>
      <c r="DL273" s="132"/>
      <c r="DM273" s="132"/>
      <c r="DN273" s="132"/>
      <c r="DO273" s="132"/>
      <c r="DP273" s="132"/>
      <c r="DQ273" s="132"/>
      <c r="DR273" s="132"/>
      <c r="DS273" s="132"/>
      <c r="DT273" s="132"/>
      <c r="DU273" s="132"/>
      <c r="DV273" s="132"/>
      <c r="DW273" s="132"/>
      <c r="DX273" s="132"/>
      <c r="DY273" s="132"/>
      <c r="DZ273" s="132"/>
      <c r="EA273" s="132"/>
      <c r="EB273" s="132"/>
      <c r="EC273" s="132"/>
      <c r="ED273" s="132"/>
      <c r="EE273" s="132"/>
      <c r="EF273" s="132"/>
      <c r="EG273" s="132"/>
      <c r="EH273" s="132"/>
      <c r="EI273" s="132"/>
      <c r="EJ273" s="132"/>
      <c r="EK273" s="132"/>
      <c r="EL273" s="132"/>
      <c r="EM273" s="132"/>
      <c r="EN273" s="132"/>
      <c r="EO273" s="132"/>
      <c r="EP273" s="132"/>
      <c r="EQ273" s="132"/>
      <c r="ER273" s="132"/>
      <c r="ES273" s="132"/>
      <c r="ET273" s="11"/>
      <c r="EU273" s="11"/>
      <c r="EV273" s="11"/>
      <c r="EW273" s="11"/>
      <c r="EX273" s="11"/>
      <c r="EY273" s="11"/>
      <c r="EZ273" s="11"/>
      <c r="FA273" s="11"/>
      <c r="FB273" s="11"/>
      <c r="FC273" s="11"/>
      <c r="FD273" s="11"/>
      <c r="FE273" s="11"/>
      <c r="FF273" s="11"/>
      <c r="FG273" s="11"/>
      <c r="FH273" s="39">
        <f t="shared" si="61"/>
        <v>1641694.8450000002</v>
      </c>
      <c r="FI273" s="33">
        <f t="shared" si="62"/>
        <v>7</v>
      </c>
      <c r="FJ273" s="84">
        <f t="shared" si="63"/>
        <v>234527.83500000002</v>
      </c>
    </row>
    <row r="274" spans="1:166" ht="57" customHeight="1" x14ac:dyDescent="0.25">
      <c r="A274" s="79" t="e">
        <f>#REF!</f>
        <v>#REF!</v>
      </c>
      <c r="B274" s="75" t="e">
        <f>#REF!</f>
        <v>#REF!</v>
      </c>
      <c r="C274" s="75" t="e">
        <f>#REF!</f>
        <v>#REF!</v>
      </c>
      <c r="D274" s="75" t="e">
        <f>#REF!</f>
        <v>#REF!</v>
      </c>
      <c r="E274" s="30">
        <v>1</v>
      </c>
      <c r="F274" s="238">
        <v>0</v>
      </c>
      <c r="G274" s="241">
        <v>0</v>
      </c>
      <c r="H274" s="249">
        <v>0</v>
      </c>
      <c r="I274" s="249">
        <v>0</v>
      </c>
      <c r="J274" s="249">
        <v>0</v>
      </c>
      <c r="K274" s="249">
        <v>0</v>
      </c>
      <c r="L274" s="274"/>
      <c r="M274" s="274"/>
      <c r="N274" s="245"/>
      <c r="O274" s="113"/>
      <c r="P274" s="113"/>
      <c r="Q274" s="131"/>
      <c r="R274" s="131"/>
      <c r="S274" s="64"/>
      <c r="T274" s="113"/>
      <c r="U274" s="113"/>
      <c r="V274" s="113"/>
      <c r="W274" s="131"/>
      <c r="X274" s="131"/>
      <c r="Y274" s="11"/>
      <c r="Z274" s="113"/>
      <c r="AA274" s="113"/>
      <c r="AB274" s="113"/>
      <c r="AC274" s="52"/>
      <c r="AD274" s="52"/>
      <c r="AE274" s="11"/>
      <c r="AF274" s="118"/>
      <c r="AG274" s="144"/>
      <c r="AH274" s="113"/>
      <c r="AI274" s="11"/>
      <c r="AJ274" s="11"/>
      <c r="AK274" s="39"/>
      <c r="AL274" s="113">
        <v>95000</v>
      </c>
      <c r="AM274" s="113">
        <f>+AL274*0.19</f>
        <v>18050</v>
      </c>
      <c r="AN274" s="119">
        <f>+AL274+AM274</f>
        <v>113050</v>
      </c>
      <c r="AO274" s="76" t="s">
        <v>44</v>
      </c>
      <c r="AP274" s="39" t="s">
        <v>45</v>
      </c>
      <c r="AQ274" s="39"/>
      <c r="AR274" s="275">
        <v>95520</v>
      </c>
      <c r="AS274" s="113">
        <f t="shared" si="71"/>
        <v>18148.8</v>
      </c>
      <c r="AT274" s="119">
        <f t="shared" si="72"/>
        <v>113668.8</v>
      </c>
      <c r="AU274" s="62" t="s">
        <v>44</v>
      </c>
      <c r="AV274" s="62" t="s">
        <v>45</v>
      </c>
      <c r="AW274" s="31"/>
      <c r="AX274" s="116"/>
      <c r="AY274" s="116"/>
      <c r="AZ274" s="143"/>
      <c r="BA274" s="191"/>
      <c r="BB274" s="132"/>
      <c r="BC274" s="132"/>
      <c r="BD274" s="274"/>
      <c r="BE274" s="143"/>
      <c r="BF274" s="143"/>
      <c r="BG274" s="132"/>
      <c r="BH274" s="132"/>
      <c r="BI274" s="132"/>
      <c r="BJ274" s="143"/>
      <c r="BK274" s="143"/>
      <c r="BL274" s="143"/>
      <c r="BM274" s="132"/>
      <c r="BN274" s="132"/>
      <c r="BO274" s="132"/>
      <c r="BP274" s="143"/>
      <c r="BQ274" s="132"/>
      <c r="BR274" s="132"/>
      <c r="BS274" s="132"/>
      <c r="BT274" s="132"/>
      <c r="BU274" s="132"/>
      <c r="BV274" s="263">
        <v>277800</v>
      </c>
      <c r="BW274" s="144">
        <f t="shared" si="68"/>
        <v>52782</v>
      </c>
      <c r="BX274" s="113">
        <f t="shared" si="69"/>
        <v>330582</v>
      </c>
      <c r="BY274" s="264" t="s">
        <v>314</v>
      </c>
      <c r="BZ274" s="264" t="s">
        <v>88</v>
      </c>
      <c r="CA274" s="132"/>
      <c r="CB274" s="274"/>
      <c r="CC274" s="144"/>
      <c r="CD274" s="274"/>
      <c r="CE274" s="132"/>
      <c r="CF274" s="132"/>
      <c r="CG274" s="36"/>
      <c r="CH274" s="263">
        <v>280578</v>
      </c>
      <c r="CI274" s="265">
        <f>+CH274*0.19</f>
        <v>53309.82</v>
      </c>
      <c r="CJ274" s="263">
        <f>+CH274+CI274</f>
        <v>333887.82</v>
      </c>
      <c r="CK274" s="264" t="s">
        <v>314</v>
      </c>
      <c r="CL274" s="264" t="s">
        <v>88</v>
      </c>
      <c r="CM274" s="132"/>
      <c r="CN274" s="274"/>
      <c r="CO274" s="144"/>
      <c r="CP274" s="274"/>
      <c r="CQ274" s="132"/>
      <c r="CR274" s="132"/>
      <c r="CS274" s="132"/>
      <c r="CT274" s="144">
        <v>209000</v>
      </c>
      <c r="CU274" s="144">
        <f t="shared" si="70"/>
        <v>39710</v>
      </c>
      <c r="CV274" s="144">
        <f t="shared" si="67"/>
        <v>248710</v>
      </c>
      <c r="CW274" s="132"/>
      <c r="CX274" s="132"/>
      <c r="CY274" s="132"/>
      <c r="CZ274" s="118">
        <v>115310</v>
      </c>
      <c r="DA274" s="144">
        <f>+CZ274*0.19</f>
        <v>21908.9</v>
      </c>
      <c r="DB274" s="118">
        <f>+CZ274+DA274</f>
        <v>137218.9</v>
      </c>
      <c r="DC274" s="33" t="s">
        <v>315</v>
      </c>
      <c r="DD274" s="39" t="s">
        <v>58</v>
      </c>
      <c r="DE274" s="11">
        <v>1197780100</v>
      </c>
      <c r="DF274" s="132"/>
      <c r="DG274" s="132"/>
      <c r="DH274" s="132"/>
      <c r="DI274" s="132"/>
      <c r="DJ274" s="132"/>
      <c r="DK274" s="132"/>
      <c r="DL274" s="132"/>
      <c r="DM274" s="132"/>
      <c r="DN274" s="132"/>
      <c r="DO274" s="132"/>
      <c r="DP274" s="132"/>
      <c r="DQ274" s="132"/>
      <c r="DR274" s="132"/>
      <c r="DS274" s="132"/>
      <c r="DT274" s="132"/>
      <c r="DU274" s="132"/>
      <c r="DV274" s="132"/>
      <c r="DW274" s="132"/>
      <c r="DX274" s="132"/>
      <c r="DY274" s="132"/>
      <c r="DZ274" s="132"/>
      <c r="EA274" s="132"/>
      <c r="EB274" s="132"/>
      <c r="EC274" s="132"/>
      <c r="ED274" s="132"/>
      <c r="EE274" s="132"/>
      <c r="EF274" s="132"/>
      <c r="EG274" s="132"/>
      <c r="EH274" s="132"/>
      <c r="EI274" s="132"/>
      <c r="EJ274" s="132"/>
      <c r="EK274" s="132"/>
      <c r="EL274" s="132"/>
      <c r="EM274" s="132"/>
      <c r="EN274" s="132"/>
      <c r="EO274" s="132"/>
      <c r="EP274" s="132"/>
      <c r="EQ274" s="132"/>
      <c r="ER274" s="132"/>
      <c r="ES274" s="132"/>
      <c r="ET274" s="11"/>
      <c r="EU274" s="11"/>
      <c r="EV274" s="11"/>
      <c r="EW274" s="11"/>
      <c r="EX274" s="11"/>
      <c r="EY274" s="11"/>
      <c r="EZ274" s="11"/>
      <c r="FA274" s="11"/>
      <c r="FB274" s="11"/>
      <c r="FC274" s="11"/>
      <c r="FD274" s="11"/>
      <c r="FE274" s="11"/>
      <c r="FF274" s="11"/>
      <c r="FG274" s="11"/>
      <c r="FH274" s="39">
        <f t="shared" si="61"/>
        <v>1277117.52</v>
      </c>
      <c r="FI274" s="33">
        <f t="shared" si="62"/>
        <v>6</v>
      </c>
      <c r="FJ274" s="84">
        <f t="shared" si="63"/>
        <v>212852.92</v>
      </c>
    </row>
    <row r="275" spans="1:166" ht="57" customHeight="1" x14ac:dyDescent="0.25">
      <c r="A275" s="79" t="e">
        <f>#REF!</f>
        <v>#REF!</v>
      </c>
      <c r="B275" s="75" t="e">
        <f>#REF!</f>
        <v>#REF!</v>
      </c>
      <c r="C275" s="75" t="e">
        <f>#REF!</f>
        <v>#REF!</v>
      </c>
      <c r="D275" s="75" t="e">
        <f>#REF!</f>
        <v>#REF!</v>
      </c>
      <c r="E275" s="30">
        <v>1</v>
      </c>
      <c r="F275" s="238">
        <v>693294</v>
      </c>
      <c r="G275" s="241">
        <v>672469</v>
      </c>
      <c r="H275" s="249">
        <v>1239186.6666666667</v>
      </c>
      <c r="I275" s="249">
        <v>1239147</v>
      </c>
      <c r="J275" s="249">
        <v>0</v>
      </c>
      <c r="K275" s="249">
        <v>0</v>
      </c>
      <c r="L275" s="274">
        <f>AVERAGE(F275,H275)</f>
        <v>966240.33333333337</v>
      </c>
      <c r="M275" s="274">
        <f>AVERAGE(G275,I275)*E1</f>
        <v>984482.24</v>
      </c>
      <c r="N275" s="245"/>
      <c r="O275" s="113"/>
      <c r="P275" s="113"/>
      <c r="Q275" s="131"/>
      <c r="R275" s="131"/>
      <c r="S275" s="64"/>
      <c r="T275" s="113"/>
      <c r="U275" s="117"/>
      <c r="V275" s="113"/>
      <c r="W275" s="131"/>
      <c r="X275" s="131"/>
      <c r="Y275" s="11"/>
      <c r="Z275" s="113"/>
      <c r="AA275" s="113"/>
      <c r="AB275" s="113"/>
      <c r="AC275" s="52"/>
      <c r="AD275" s="52"/>
      <c r="AE275" s="11"/>
      <c r="AF275" s="118"/>
      <c r="AG275" s="144"/>
      <c r="AH275" s="113"/>
      <c r="AI275" s="11"/>
      <c r="AJ275" s="11"/>
      <c r="AK275" s="39"/>
      <c r="AL275" s="113"/>
      <c r="AM275" s="113"/>
      <c r="AN275" s="117"/>
      <c r="AO275" s="76"/>
      <c r="AP275" s="39"/>
      <c r="AQ275" s="39"/>
      <c r="AR275" s="275">
        <v>252000</v>
      </c>
      <c r="AS275" s="113">
        <f t="shared" si="71"/>
        <v>47880</v>
      </c>
      <c r="AT275" s="119">
        <f t="shared" si="72"/>
        <v>299880</v>
      </c>
      <c r="AU275" s="62" t="s">
        <v>264</v>
      </c>
      <c r="AV275" s="62" t="s">
        <v>35</v>
      </c>
      <c r="AW275" s="31"/>
      <c r="AX275" s="116"/>
      <c r="AY275" s="116"/>
      <c r="AZ275" s="143"/>
      <c r="BA275" s="191"/>
      <c r="BB275" s="132"/>
      <c r="BC275" s="132"/>
      <c r="BD275" s="274"/>
      <c r="BE275" s="143"/>
      <c r="BF275" s="143"/>
      <c r="BG275" s="132"/>
      <c r="BH275" s="132"/>
      <c r="BI275" s="132"/>
      <c r="BJ275" s="143"/>
      <c r="BK275" s="143"/>
      <c r="BL275" s="143"/>
      <c r="BM275" s="132"/>
      <c r="BN275" s="132"/>
      <c r="BO275" s="132"/>
      <c r="BP275" s="143"/>
      <c r="BQ275" s="132"/>
      <c r="BR275" s="132"/>
      <c r="BS275" s="132"/>
      <c r="BT275" s="132"/>
      <c r="BU275" s="132"/>
      <c r="BV275" s="268">
        <v>3314200</v>
      </c>
      <c r="BW275" s="144">
        <f t="shared" si="68"/>
        <v>629698</v>
      </c>
      <c r="BX275" s="113">
        <f t="shared" si="69"/>
        <v>3943898</v>
      </c>
      <c r="BY275" s="264" t="s">
        <v>309</v>
      </c>
      <c r="BZ275" s="264" t="s">
        <v>310</v>
      </c>
      <c r="CA275" s="132"/>
      <c r="CB275" s="274"/>
      <c r="CC275" s="144"/>
      <c r="CD275" s="274"/>
      <c r="CE275" s="132"/>
      <c r="CF275" s="132"/>
      <c r="CG275" s="36"/>
      <c r="CH275" s="268"/>
      <c r="CI275" s="265"/>
      <c r="CJ275" s="263"/>
      <c r="CK275" s="264"/>
      <c r="CL275" s="264"/>
      <c r="CM275" s="132"/>
      <c r="CN275" s="274"/>
      <c r="CO275" s="144"/>
      <c r="CP275" s="274"/>
      <c r="CQ275" s="132"/>
      <c r="CR275" s="132"/>
      <c r="CS275" s="132"/>
      <c r="CT275" s="144">
        <v>209000</v>
      </c>
      <c r="CU275" s="144">
        <f t="shared" si="70"/>
        <v>39710</v>
      </c>
      <c r="CV275" s="144">
        <f t="shared" si="67"/>
        <v>248710</v>
      </c>
      <c r="CW275" s="132"/>
      <c r="CX275" s="132"/>
      <c r="CY275" s="132"/>
      <c r="CZ275" s="118"/>
      <c r="DA275" s="144"/>
      <c r="DB275" s="118"/>
      <c r="DC275" s="33"/>
      <c r="DD275" s="39"/>
      <c r="DE275" s="11"/>
      <c r="DF275" s="132"/>
      <c r="DG275" s="132"/>
      <c r="DH275" s="132"/>
      <c r="DI275" s="132"/>
      <c r="DJ275" s="132"/>
      <c r="DK275" s="132"/>
      <c r="DL275" s="132"/>
      <c r="DM275" s="132"/>
      <c r="DN275" s="132"/>
      <c r="DO275" s="132"/>
      <c r="DP275" s="132"/>
      <c r="DQ275" s="132"/>
      <c r="DR275" s="132"/>
      <c r="DS275" s="132"/>
      <c r="DT275" s="132"/>
      <c r="DU275" s="132"/>
      <c r="DV275" s="132"/>
      <c r="DW275" s="132"/>
      <c r="DX275" s="132"/>
      <c r="DY275" s="132"/>
      <c r="DZ275" s="132"/>
      <c r="EA275" s="132"/>
      <c r="EB275" s="132"/>
      <c r="EC275" s="132"/>
      <c r="ED275" s="132"/>
      <c r="EE275" s="132"/>
      <c r="EF275" s="132"/>
      <c r="EG275" s="132"/>
      <c r="EH275" s="132"/>
      <c r="EI275" s="132"/>
      <c r="EJ275" s="132"/>
      <c r="EK275" s="132"/>
      <c r="EL275" s="132"/>
      <c r="EM275" s="132"/>
      <c r="EN275" s="132"/>
      <c r="EO275" s="132"/>
      <c r="EP275" s="132"/>
      <c r="EQ275" s="132"/>
      <c r="ER275" s="132"/>
      <c r="ES275" s="132"/>
      <c r="ET275" s="11"/>
      <c r="EU275" s="11"/>
      <c r="EV275" s="11"/>
      <c r="EW275" s="11"/>
      <c r="EX275" s="11"/>
      <c r="EY275" s="11"/>
      <c r="EZ275" s="11"/>
      <c r="FA275" s="11"/>
      <c r="FB275" s="11"/>
      <c r="FC275" s="11"/>
      <c r="FD275" s="11"/>
      <c r="FE275" s="11"/>
      <c r="FF275" s="11"/>
      <c r="FG275" s="11"/>
      <c r="FH275" s="39">
        <f t="shared" si="61"/>
        <v>5476970.2400000002</v>
      </c>
      <c r="FI275" s="33">
        <f t="shared" si="62"/>
        <v>4</v>
      </c>
      <c r="FJ275" s="84">
        <f t="shared" si="63"/>
        <v>1369242.56</v>
      </c>
    </row>
    <row r="276" spans="1:166" ht="57" customHeight="1" x14ac:dyDescent="0.25">
      <c r="A276" s="79" t="e">
        <f>#REF!</f>
        <v>#REF!</v>
      </c>
      <c r="B276" s="75" t="e">
        <f>#REF!</f>
        <v>#REF!</v>
      </c>
      <c r="C276" s="75" t="e">
        <f>#REF!</f>
        <v>#REF!</v>
      </c>
      <c r="D276" s="75" t="e">
        <f>#REF!</f>
        <v>#REF!</v>
      </c>
      <c r="E276" s="30">
        <v>1</v>
      </c>
      <c r="F276" s="238">
        <v>543889.5</v>
      </c>
      <c r="G276" s="241">
        <v>516579</v>
      </c>
      <c r="H276" s="249">
        <v>145189.375</v>
      </c>
      <c r="I276" s="249">
        <v>145180</v>
      </c>
      <c r="J276" s="249">
        <v>263979.1875</v>
      </c>
      <c r="K276" s="249">
        <v>0</v>
      </c>
      <c r="L276" s="274">
        <f>AVERAGE(F276,H276,J276)</f>
        <v>317686.02083333331</v>
      </c>
      <c r="M276" s="274">
        <f>AVERAGE(G276,I276)*E1</f>
        <v>340805.88500000001</v>
      </c>
      <c r="N276" s="245"/>
      <c r="O276" s="113"/>
      <c r="P276" s="113"/>
      <c r="Q276" s="131"/>
      <c r="R276" s="131"/>
      <c r="S276" s="64"/>
      <c r="T276" s="113"/>
      <c r="U276" s="117"/>
      <c r="V276" s="113"/>
      <c r="W276" s="131"/>
      <c r="X276" s="131"/>
      <c r="Y276" s="11"/>
      <c r="Z276" s="113"/>
      <c r="AA276" s="113"/>
      <c r="AB276" s="113"/>
      <c r="AC276" s="52"/>
      <c r="AD276" s="52"/>
      <c r="AE276" s="11"/>
      <c r="AF276" s="118"/>
      <c r="AG276" s="144"/>
      <c r="AH276" s="113"/>
      <c r="AI276" s="11"/>
      <c r="AJ276" s="11"/>
      <c r="AK276" s="39"/>
      <c r="AL276" s="113">
        <v>120000</v>
      </c>
      <c r="AM276" s="113">
        <f>+AL276*0.19</f>
        <v>22800</v>
      </c>
      <c r="AN276" s="119">
        <f>+AL276+AM276</f>
        <v>142800</v>
      </c>
      <c r="AO276" s="76" t="s">
        <v>44</v>
      </c>
      <c r="AP276" s="39" t="s">
        <v>316</v>
      </c>
      <c r="AQ276" s="39"/>
      <c r="AR276" s="275">
        <v>95520</v>
      </c>
      <c r="AS276" s="113">
        <f t="shared" si="71"/>
        <v>18148.8</v>
      </c>
      <c r="AT276" s="119">
        <f t="shared" si="72"/>
        <v>113668.8</v>
      </c>
      <c r="AU276" s="62" t="s">
        <v>44</v>
      </c>
      <c r="AV276" s="62" t="s">
        <v>45</v>
      </c>
      <c r="AW276" s="31"/>
      <c r="AX276" s="116"/>
      <c r="AY276" s="116"/>
      <c r="AZ276" s="143"/>
      <c r="BA276" s="191"/>
      <c r="BB276" s="132"/>
      <c r="BC276" s="132"/>
      <c r="BD276" s="274"/>
      <c r="BE276" s="143"/>
      <c r="BF276" s="143"/>
      <c r="BG276" s="132"/>
      <c r="BH276" s="132"/>
      <c r="BI276" s="132"/>
      <c r="BJ276" s="143"/>
      <c r="BK276" s="143"/>
      <c r="BL276" s="143"/>
      <c r="BM276" s="132"/>
      <c r="BN276" s="132"/>
      <c r="BO276" s="132"/>
      <c r="BP276" s="143"/>
      <c r="BQ276" s="132"/>
      <c r="BR276" s="132"/>
      <c r="BS276" s="132"/>
      <c r="BT276" s="132"/>
      <c r="BU276" s="132"/>
      <c r="BV276" s="263">
        <v>277800</v>
      </c>
      <c r="BW276" s="144">
        <f t="shared" si="68"/>
        <v>52782</v>
      </c>
      <c r="BX276" s="113">
        <f t="shared" si="69"/>
        <v>330582</v>
      </c>
      <c r="BY276" s="264" t="s">
        <v>314</v>
      </c>
      <c r="BZ276" s="264" t="s">
        <v>88</v>
      </c>
      <c r="CA276" s="132"/>
      <c r="CB276" s="274"/>
      <c r="CC276" s="144"/>
      <c r="CD276" s="274"/>
      <c r="CE276" s="132"/>
      <c r="CF276" s="132"/>
      <c r="CG276" s="36"/>
      <c r="CH276" s="263">
        <v>288912</v>
      </c>
      <c r="CI276" s="265">
        <f>+CH276*0.19</f>
        <v>54893.279999999999</v>
      </c>
      <c r="CJ276" s="263">
        <f>+CH276+CI276</f>
        <v>343805.28</v>
      </c>
      <c r="CK276" s="264" t="s">
        <v>314</v>
      </c>
      <c r="CL276" s="264" t="s">
        <v>88</v>
      </c>
      <c r="CM276" s="132"/>
      <c r="CN276" s="274"/>
      <c r="CO276" s="144"/>
      <c r="CP276" s="274"/>
      <c r="CQ276" s="132"/>
      <c r="CR276" s="132"/>
      <c r="CS276" s="132"/>
      <c r="CT276" s="144">
        <v>331840</v>
      </c>
      <c r="CU276" s="144">
        <f t="shared" si="70"/>
        <v>63049.599999999999</v>
      </c>
      <c r="CV276" s="144">
        <f t="shared" si="67"/>
        <v>394889.6</v>
      </c>
      <c r="CW276" s="132"/>
      <c r="CX276" s="132"/>
      <c r="CY276" s="132"/>
      <c r="CZ276" s="118"/>
      <c r="DA276" s="144"/>
      <c r="DB276" s="118"/>
      <c r="DC276" s="33"/>
      <c r="DD276" s="39"/>
      <c r="DE276" s="11"/>
      <c r="DF276" s="132"/>
      <c r="DG276" s="132"/>
      <c r="DH276" s="132"/>
      <c r="DI276" s="132"/>
      <c r="DJ276" s="132"/>
      <c r="DK276" s="132"/>
      <c r="DL276" s="132"/>
      <c r="DM276" s="132"/>
      <c r="DN276" s="132"/>
      <c r="DO276" s="132"/>
      <c r="DP276" s="132"/>
      <c r="DQ276" s="132"/>
      <c r="DR276" s="132"/>
      <c r="DS276" s="132"/>
      <c r="DT276" s="132"/>
      <c r="DU276" s="132"/>
      <c r="DV276" s="132"/>
      <c r="DW276" s="132"/>
      <c r="DX276" s="132"/>
      <c r="DY276" s="132"/>
      <c r="DZ276" s="132"/>
      <c r="EA276" s="132"/>
      <c r="EB276" s="132"/>
      <c r="EC276" s="132"/>
      <c r="ED276" s="132"/>
      <c r="EE276" s="132"/>
      <c r="EF276" s="132"/>
      <c r="EG276" s="132"/>
      <c r="EH276" s="132"/>
      <c r="EI276" s="132"/>
      <c r="EJ276" s="132"/>
      <c r="EK276" s="132"/>
      <c r="EL276" s="132"/>
      <c r="EM276" s="132"/>
      <c r="EN276" s="132"/>
      <c r="EO276" s="132"/>
      <c r="EP276" s="132"/>
      <c r="EQ276" s="132"/>
      <c r="ER276" s="132"/>
      <c r="ES276" s="132"/>
      <c r="ET276" s="11"/>
      <c r="EU276" s="11"/>
      <c r="EV276" s="11"/>
      <c r="EW276" s="11"/>
      <c r="EX276" s="11"/>
      <c r="EY276" s="11"/>
      <c r="EZ276" s="11"/>
      <c r="FA276" s="11"/>
      <c r="FB276" s="11"/>
      <c r="FC276" s="11"/>
      <c r="FD276" s="11"/>
      <c r="FE276" s="11"/>
      <c r="FF276" s="11"/>
      <c r="FG276" s="11"/>
      <c r="FH276" s="39">
        <f t="shared" si="61"/>
        <v>1666551.5649999999</v>
      </c>
      <c r="FI276" s="33">
        <f t="shared" si="62"/>
        <v>6</v>
      </c>
      <c r="FJ276" s="84">
        <f t="shared" si="63"/>
        <v>277758.59416666668</v>
      </c>
    </row>
    <row r="277" spans="1:166" ht="57" customHeight="1" x14ac:dyDescent="0.25">
      <c r="A277" s="79" t="e">
        <f>#REF!</f>
        <v>#REF!</v>
      </c>
      <c r="B277" s="75" t="e">
        <f>#REF!</f>
        <v>#REF!</v>
      </c>
      <c r="C277" s="75" t="e">
        <f>#REF!</f>
        <v>#REF!</v>
      </c>
      <c r="D277" s="75" t="e">
        <f>#REF!</f>
        <v>#REF!</v>
      </c>
      <c r="E277" s="30">
        <v>1</v>
      </c>
      <c r="F277" s="238">
        <v>0</v>
      </c>
      <c r="G277" s="241">
        <v>0</v>
      </c>
      <c r="H277" s="249">
        <v>0</v>
      </c>
      <c r="I277" s="249">
        <v>0</v>
      </c>
      <c r="J277" s="249">
        <v>161252.93333333332</v>
      </c>
      <c r="K277" s="249">
        <v>158032</v>
      </c>
      <c r="L277" s="274">
        <f t="shared" ref="L277:L283" si="73">J277</f>
        <v>161252.93333333332</v>
      </c>
      <c r="M277" s="274">
        <f>K277*E1</f>
        <v>162772.96</v>
      </c>
      <c r="N277" s="245"/>
      <c r="O277" s="113"/>
      <c r="P277" s="113"/>
      <c r="Q277" s="131"/>
      <c r="R277" s="131"/>
      <c r="S277" s="64"/>
      <c r="T277" s="113"/>
      <c r="U277" s="113"/>
      <c r="V277" s="113"/>
      <c r="W277" s="131"/>
      <c r="X277" s="131"/>
      <c r="Y277" s="11"/>
      <c r="Z277" s="113"/>
      <c r="AA277" s="113"/>
      <c r="AB277" s="113"/>
      <c r="AC277" s="52"/>
      <c r="AD277" s="52"/>
      <c r="AE277" s="11"/>
      <c r="AF277" s="118"/>
      <c r="AG277" s="144"/>
      <c r="AH277" s="113"/>
      <c r="AI277" s="11"/>
      <c r="AJ277" s="11"/>
      <c r="AK277" s="39"/>
      <c r="AL277" s="113">
        <v>95000</v>
      </c>
      <c r="AM277" s="113">
        <f>+AL277*0.19</f>
        <v>18050</v>
      </c>
      <c r="AN277" s="119">
        <f>+AL277+AM277</f>
        <v>113050</v>
      </c>
      <c r="AO277" s="76" t="s">
        <v>44</v>
      </c>
      <c r="AP277" s="39" t="s">
        <v>45</v>
      </c>
      <c r="AQ277" s="39"/>
      <c r="AR277" s="275">
        <v>95520</v>
      </c>
      <c r="AS277" s="113">
        <f t="shared" si="71"/>
        <v>18148.8</v>
      </c>
      <c r="AT277" s="119">
        <f t="shared" si="72"/>
        <v>113668.8</v>
      </c>
      <c r="AU277" s="62" t="s">
        <v>44</v>
      </c>
      <c r="AV277" s="62" t="s">
        <v>45</v>
      </c>
      <c r="AW277" s="31"/>
      <c r="AX277" s="116"/>
      <c r="AY277" s="194"/>
      <c r="AZ277" s="143"/>
      <c r="BA277" s="191"/>
      <c r="BB277" s="132"/>
      <c r="BC277" s="132"/>
      <c r="BD277" s="274"/>
      <c r="BE277" s="143"/>
      <c r="BF277" s="143"/>
      <c r="BG277" s="132"/>
      <c r="BH277" s="132"/>
      <c r="BI277" s="132"/>
      <c r="BJ277" s="143"/>
      <c r="BK277" s="143"/>
      <c r="BL277" s="143"/>
      <c r="BM277" s="132"/>
      <c r="BN277" s="132"/>
      <c r="BO277" s="132"/>
      <c r="BP277" s="143"/>
      <c r="BQ277" s="132"/>
      <c r="BR277" s="132"/>
      <c r="BS277" s="132"/>
      <c r="BT277" s="132"/>
      <c r="BU277" s="132"/>
      <c r="BV277" s="263">
        <v>277800</v>
      </c>
      <c r="BW277" s="144">
        <f t="shared" si="68"/>
        <v>52782</v>
      </c>
      <c r="BX277" s="113">
        <f t="shared" si="69"/>
        <v>330582</v>
      </c>
      <c r="BY277" s="264" t="s">
        <v>314</v>
      </c>
      <c r="BZ277" s="264" t="s">
        <v>88</v>
      </c>
      <c r="CA277" s="132"/>
      <c r="CB277" s="274"/>
      <c r="CC277" s="144"/>
      <c r="CD277" s="274"/>
      <c r="CE277" s="132"/>
      <c r="CF277" s="132"/>
      <c r="CG277" s="36"/>
      <c r="CH277" s="263">
        <v>297246</v>
      </c>
      <c r="CI277" s="265">
        <f>+CH277*0.19</f>
        <v>56476.74</v>
      </c>
      <c r="CJ277" s="263">
        <f>+CH277+CI277</f>
        <v>353722.74</v>
      </c>
      <c r="CK277" s="264" t="s">
        <v>314</v>
      </c>
      <c r="CL277" s="264" t="s">
        <v>88</v>
      </c>
      <c r="CM277" s="132"/>
      <c r="CN277" s="274"/>
      <c r="CO277" s="144"/>
      <c r="CP277" s="274"/>
      <c r="CQ277" s="132"/>
      <c r="CR277" s="132"/>
      <c r="CS277" s="132"/>
      <c r="CT277" s="144">
        <v>212160</v>
      </c>
      <c r="CU277" s="144">
        <f t="shared" si="70"/>
        <v>40310.400000000001</v>
      </c>
      <c r="CV277" s="144">
        <f t="shared" si="67"/>
        <v>252470.39999999999</v>
      </c>
      <c r="CW277" s="132"/>
      <c r="CX277" s="132"/>
      <c r="CY277" s="132"/>
      <c r="CZ277" s="118">
        <v>115310</v>
      </c>
      <c r="DA277" s="144">
        <f>+CZ277*0.19</f>
        <v>21908.9</v>
      </c>
      <c r="DB277" s="118">
        <f>+CZ277+DA277</f>
        <v>137218.9</v>
      </c>
      <c r="DC277" s="33" t="s">
        <v>315</v>
      </c>
      <c r="DD277" s="39" t="s">
        <v>58</v>
      </c>
      <c r="DE277" s="11"/>
      <c r="DF277" s="132"/>
      <c r="DG277" s="132"/>
      <c r="DH277" s="132"/>
      <c r="DI277" s="132"/>
      <c r="DJ277" s="132"/>
      <c r="DK277" s="132"/>
      <c r="DL277" s="132"/>
      <c r="DM277" s="132"/>
      <c r="DN277" s="132"/>
      <c r="DO277" s="132"/>
      <c r="DP277" s="132"/>
      <c r="DQ277" s="132"/>
      <c r="DR277" s="132"/>
      <c r="DS277" s="132"/>
      <c r="DT277" s="132"/>
      <c r="DU277" s="132"/>
      <c r="DV277" s="132"/>
      <c r="DW277" s="132"/>
      <c r="DX277" s="132"/>
      <c r="DY277" s="132"/>
      <c r="DZ277" s="132"/>
      <c r="EA277" s="132"/>
      <c r="EB277" s="132"/>
      <c r="EC277" s="132"/>
      <c r="ED277" s="132"/>
      <c r="EE277" s="132"/>
      <c r="EF277" s="132"/>
      <c r="EG277" s="132"/>
      <c r="EH277" s="132"/>
      <c r="EI277" s="132"/>
      <c r="EJ277" s="132"/>
      <c r="EK277" s="132"/>
      <c r="EL277" s="132"/>
      <c r="EM277" s="132"/>
      <c r="EN277" s="132"/>
      <c r="EO277" s="132"/>
      <c r="EP277" s="132"/>
      <c r="EQ277" s="132"/>
      <c r="ER277" s="132"/>
      <c r="ES277" s="132"/>
      <c r="ET277" s="11"/>
      <c r="EU277" s="11"/>
      <c r="EV277" s="11"/>
      <c r="EW277" s="11"/>
      <c r="EX277" s="11"/>
      <c r="EY277" s="11"/>
      <c r="EZ277" s="11"/>
      <c r="FA277" s="11"/>
      <c r="FB277" s="11"/>
      <c r="FC277" s="11"/>
      <c r="FD277" s="11"/>
      <c r="FE277" s="11"/>
      <c r="FF277" s="11"/>
      <c r="FG277" s="11"/>
      <c r="FH277" s="39">
        <f t="shared" si="61"/>
        <v>1463485.7999999998</v>
      </c>
      <c r="FI277" s="33">
        <f t="shared" si="62"/>
        <v>7</v>
      </c>
      <c r="FJ277" s="84">
        <f t="shared" si="63"/>
        <v>209069.39999999997</v>
      </c>
    </row>
    <row r="278" spans="1:166" ht="40.5" x14ac:dyDescent="0.25">
      <c r="A278" s="79" t="e">
        <f>#REF!</f>
        <v>#REF!</v>
      </c>
      <c r="B278" s="75" t="e">
        <f>#REF!</f>
        <v>#REF!</v>
      </c>
      <c r="C278" s="75" t="e">
        <f>#REF!</f>
        <v>#REF!</v>
      </c>
      <c r="D278" s="75" t="e">
        <f>#REF!</f>
        <v>#REF!</v>
      </c>
      <c r="E278" s="30">
        <v>1</v>
      </c>
      <c r="F278" s="238">
        <v>0</v>
      </c>
      <c r="G278" s="241">
        <v>0</v>
      </c>
      <c r="H278" s="249">
        <v>0</v>
      </c>
      <c r="I278" s="249">
        <v>0</v>
      </c>
      <c r="J278" s="249">
        <v>920507.245</v>
      </c>
      <c r="K278" s="249">
        <v>887740</v>
      </c>
      <c r="L278" s="274">
        <f t="shared" si="73"/>
        <v>920507.245</v>
      </c>
      <c r="M278" s="274">
        <f>K278*E1</f>
        <v>914372.20000000007</v>
      </c>
      <c r="N278" s="245"/>
      <c r="O278" s="113"/>
      <c r="P278" s="113"/>
      <c r="Q278" s="131"/>
      <c r="R278" s="131"/>
      <c r="S278" s="64"/>
      <c r="T278" s="113"/>
      <c r="U278" s="113"/>
      <c r="V278" s="113"/>
      <c r="W278" s="131"/>
      <c r="X278" s="131"/>
      <c r="Y278" s="11"/>
      <c r="Z278" s="113"/>
      <c r="AA278" s="113"/>
      <c r="AB278" s="113"/>
      <c r="AC278" s="52"/>
      <c r="AD278" s="52"/>
      <c r="AE278" s="11"/>
      <c r="AF278" s="118"/>
      <c r="AG278" s="144"/>
      <c r="AH278" s="113"/>
      <c r="AI278" s="11"/>
      <c r="AJ278" s="11"/>
      <c r="AK278" s="39"/>
      <c r="AL278" s="113"/>
      <c r="AM278" s="113"/>
      <c r="AN278" s="119"/>
      <c r="AO278" s="76"/>
      <c r="AP278" s="39"/>
      <c r="AQ278" s="39"/>
      <c r="AR278" s="275">
        <v>511200</v>
      </c>
      <c r="AS278" s="113">
        <f t="shared" si="71"/>
        <v>97128</v>
      </c>
      <c r="AT278" s="119">
        <f t="shared" si="72"/>
        <v>608328</v>
      </c>
      <c r="AU278" s="62" t="s">
        <v>99</v>
      </c>
      <c r="AV278" s="62" t="s">
        <v>35</v>
      </c>
      <c r="AW278" s="31"/>
      <c r="AX278" s="116"/>
      <c r="AY278" s="196"/>
      <c r="AZ278" s="143"/>
      <c r="BA278" s="191"/>
      <c r="BB278" s="132"/>
      <c r="BC278" s="132"/>
      <c r="BD278" s="274"/>
      <c r="BE278" s="143"/>
      <c r="BF278" s="143"/>
      <c r="BG278" s="132"/>
      <c r="BH278" s="132"/>
      <c r="BI278" s="132"/>
      <c r="BJ278" s="143"/>
      <c r="BK278" s="143"/>
      <c r="BL278" s="143"/>
      <c r="BM278" s="132"/>
      <c r="BN278" s="132"/>
      <c r="BO278" s="132"/>
      <c r="BP278" s="143"/>
      <c r="BQ278" s="132"/>
      <c r="BR278" s="132"/>
      <c r="BS278" s="132"/>
      <c r="BT278" s="132"/>
      <c r="BU278" s="132"/>
      <c r="BV278" s="263">
        <v>841500</v>
      </c>
      <c r="BW278" s="144">
        <f t="shared" si="68"/>
        <v>159885</v>
      </c>
      <c r="BX278" s="113">
        <f t="shared" si="69"/>
        <v>1001385</v>
      </c>
      <c r="BY278" s="264" t="s">
        <v>317</v>
      </c>
      <c r="BZ278" s="264" t="s">
        <v>318</v>
      </c>
      <c r="CA278" s="132"/>
      <c r="CB278" s="274"/>
      <c r="CC278" s="144"/>
      <c r="CD278" s="274"/>
      <c r="CE278" s="132"/>
      <c r="CF278" s="132"/>
      <c r="CG278" s="36"/>
      <c r="CH278" s="263">
        <v>875160</v>
      </c>
      <c r="CI278" s="265">
        <f>+CH278*0.19</f>
        <v>166280.4</v>
      </c>
      <c r="CJ278" s="263">
        <f>+CH278+CI278</f>
        <v>1041440.4</v>
      </c>
      <c r="CK278" s="264" t="s">
        <v>317</v>
      </c>
      <c r="CL278" s="264" t="s">
        <v>318</v>
      </c>
      <c r="CM278" s="132"/>
      <c r="CN278" s="274"/>
      <c r="CO278" s="144"/>
      <c r="CP278" s="274"/>
      <c r="CQ278" s="132"/>
      <c r="CR278" s="132"/>
      <c r="CS278" s="132"/>
      <c r="CT278" s="144">
        <v>250239.99999999997</v>
      </c>
      <c r="CU278" s="144">
        <f t="shared" si="70"/>
        <v>47545.599999999999</v>
      </c>
      <c r="CV278" s="144">
        <f t="shared" si="67"/>
        <v>297785.59999999998</v>
      </c>
      <c r="CW278" s="132"/>
      <c r="CX278" s="132"/>
      <c r="CY278" s="132"/>
      <c r="CZ278" s="118"/>
      <c r="DA278" s="144"/>
      <c r="DB278" s="118"/>
      <c r="DC278" s="33"/>
      <c r="DD278" s="39"/>
      <c r="DE278" s="11"/>
      <c r="DF278" s="132"/>
      <c r="DG278" s="132"/>
      <c r="DH278" s="132"/>
      <c r="DI278" s="132"/>
      <c r="DJ278" s="132"/>
      <c r="DK278" s="132"/>
      <c r="DL278" s="132"/>
      <c r="DM278" s="132"/>
      <c r="DN278" s="132"/>
      <c r="DO278" s="132"/>
      <c r="DP278" s="132"/>
      <c r="DQ278" s="132"/>
      <c r="DR278" s="132"/>
      <c r="DS278" s="132"/>
      <c r="DT278" s="132"/>
      <c r="DU278" s="132"/>
      <c r="DV278" s="132"/>
      <c r="DW278" s="132"/>
      <c r="DX278" s="132"/>
      <c r="DY278" s="132"/>
      <c r="DZ278" s="132"/>
      <c r="EA278" s="132"/>
      <c r="EB278" s="132"/>
      <c r="EC278" s="132"/>
      <c r="ED278" s="132"/>
      <c r="EE278" s="132"/>
      <c r="EF278" s="132"/>
      <c r="EG278" s="132"/>
      <c r="EH278" s="132"/>
      <c r="EI278" s="132"/>
      <c r="EJ278" s="132"/>
      <c r="EK278" s="132"/>
      <c r="EL278" s="132"/>
      <c r="EM278" s="132"/>
      <c r="EN278" s="132"/>
      <c r="EO278" s="132"/>
      <c r="EP278" s="132"/>
      <c r="EQ278" s="132"/>
      <c r="ER278" s="132"/>
      <c r="ES278" s="132"/>
      <c r="ET278" s="11"/>
      <c r="EU278" s="11"/>
      <c r="EV278" s="11"/>
      <c r="EW278" s="11"/>
      <c r="EX278" s="11"/>
      <c r="EY278" s="11"/>
      <c r="EZ278" s="11"/>
      <c r="FA278" s="11"/>
      <c r="FB278" s="11"/>
      <c r="FC278" s="11"/>
      <c r="FD278" s="11"/>
      <c r="FE278" s="11"/>
      <c r="FF278" s="11"/>
      <c r="FG278" s="11"/>
      <c r="FH278" s="39">
        <f t="shared" si="61"/>
        <v>3863311.2</v>
      </c>
      <c r="FI278" s="33">
        <f t="shared" si="62"/>
        <v>5</v>
      </c>
      <c r="FJ278" s="84">
        <f t="shared" si="63"/>
        <v>772662.24</v>
      </c>
    </row>
    <row r="279" spans="1:166" ht="40.5" x14ac:dyDescent="0.25">
      <c r="A279" s="79" t="e">
        <f>#REF!</f>
        <v>#REF!</v>
      </c>
      <c r="B279" s="75" t="e">
        <f>#REF!</f>
        <v>#REF!</v>
      </c>
      <c r="C279" s="75" t="e">
        <f>#REF!</f>
        <v>#REF!</v>
      </c>
      <c r="D279" s="75" t="e">
        <f>#REF!</f>
        <v>#REF!</v>
      </c>
      <c r="E279" s="30">
        <v>1</v>
      </c>
      <c r="F279" s="238">
        <v>0</v>
      </c>
      <c r="G279" s="241">
        <v>0</v>
      </c>
      <c r="H279" s="249">
        <v>0</v>
      </c>
      <c r="I279" s="249">
        <v>0</v>
      </c>
      <c r="J279" s="249">
        <v>812235.69</v>
      </c>
      <c r="K279" s="249">
        <v>784210</v>
      </c>
      <c r="L279" s="274">
        <f t="shared" si="73"/>
        <v>812235.69</v>
      </c>
      <c r="M279" s="274">
        <f>K279*E1</f>
        <v>807736.3</v>
      </c>
      <c r="N279" s="245"/>
      <c r="O279" s="113"/>
      <c r="P279" s="113"/>
      <c r="Q279" s="131"/>
      <c r="R279" s="131"/>
      <c r="S279" s="64"/>
      <c r="T279" s="113"/>
      <c r="U279" s="113"/>
      <c r="V279" s="113"/>
      <c r="W279" s="131"/>
      <c r="X279" s="131"/>
      <c r="Y279" s="11"/>
      <c r="Z279" s="113"/>
      <c r="AA279" s="113"/>
      <c r="AB279" s="113"/>
      <c r="AC279" s="52"/>
      <c r="AD279" s="52"/>
      <c r="AE279" s="11"/>
      <c r="AF279" s="118"/>
      <c r="AG279" s="144"/>
      <c r="AH279" s="113"/>
      <c r="AI279" s="11"/>
      <c r="AJ279" s="11"/>
      <c r="AK279" s="39"/>
      <c r="AL279" s="113"/>
      <c r="AM279" s="113"/>
      <c r="AN279" s="119"/>
      <c r="AO279" s="76"/>
      <c r="AP279" s="39"/>
      <c r="AQ279" s="39"/>
      <c r="AR279" s="275"/>
      <c r="AS279" s="155"/>
      <c r="AT279" s="143"/>
      <c r="AU279" s="62"/>
      <c r="AV279" s="62"/>
      <c r="AW279" s="31"/>
      <c r="AX279" s="116"/>
      <c r="AY279" s="196"/>
      <c r="AZ279" s="143"/>
      <c r="BA279" s="191"/>
      <c r="BB279" s="132"/>
      <c r="BC279" s="132"/>
      <c r="BD279" s="274"/>
      <c r="BE279" s="143"/>
      <c r="BF279" s="143"/>
      <c r="BG279" s="132"/>
      <c r="BH279" s="132"/>
      <c r="BI279" s="132"/>
      <c r="BJ279" s="143"/>
      <c r="BK279" s="143"/>
      <c r="BL279" s="143"/>
      <c r="BM279" s="132"/>
      <c r="BN279" s="132"/>
      <c r="BO279" s="132"/>
      <c r="BP279" s="143"/>
      <c r="BQ279" s="132"/>
      <c r="BR279" s="132"/>
      <c r="BS279" s="132"/>
      <c r="BT279" s="132"/>
      <c r="BU279" s="132"/>
      <c r="BV279" s="263">
        <v>1227800</v>
      </c>
      <c r="BW279" s="144">
        <f t="shared" si="68"/>
        <v>233282</v>
      </c>
      <c r="BX279" s="113">
        <f t="shared" si="69"/>
        <v>1461082</v>
      </c>
      <c r="BY279" s="264" t="s">
        <v>309</v>
      </c>
      <c r="BZ279" s="264" t="s">
        <v>318</v>
      </c>
      <c r="CA279" s="132"/>
      <c r="CB279" s="274"/>
      <c r="CC279" s="144"/>
      <c r="CD279" s="274"/>
      <c r="CE279" s="132"/>
      <c r="CF279" s="132"/>
      <c r="CG279" s="36"/>
      <c r="CH279" s="263"/>
      <c r="CI279" s="265"/>
      <c r="CJ279" s="263"/>
      <c r="CK279" s="264"/>
      <c r="CL279" s="264"/>
      <c r="CM279" s="132"/>
      <c r="CN279" s="274"/>
      <c r="CO279" s="144"/>
      <c r="CP279" s="274"/>
      <c r="CQ279" s="132"/>
      <c r="CR279" s="132"/>
      <c r="CS279" s="132"/>
      <c r="CT279" s="144">
        <v>1408960</v>
      </c>
      <c r="CU279" s="144">
        <f t="shared" si="70"/>
        <v>267702.40000000002</v>
      </c>
      <c r="CV279" s="144">
        <f t="shared" si="67"/>
        <v>1676662.4</v>
      </c>
      <c r="CW279" s="132"/>
      <c r="CX279" s="132"/>
      <c r="CY279" s="132"/>
      <c r="CZ279" s="118"/>
      <c r="DA279" s="144"/>
      <c r="DB279" s="118"/>
      <c r="DC279" s="33"/>
      <c r="DD279" s="39"/>
      <c r="DE279" s="11"/>
      <c r="DF279" s="132"/>
      <c r="DG279" s="132"/>
      <c r="DH279" s="132"/>
      <c r="DI279" s="132"/>
      <c r="DJ279" s="132"/>
      <c r="DK279" s="132"/>
      <c r="DL279" s="132"/>
      <c r="DM279" s="132"/>
      <c r="DN279" s="132"/>
      <c r="DO279" s="132"/>
      <c r="DP279" s="132"/>
      <c r="DQ279" s="132"/>
      <c r="DR279" s="132"/>
      <c r="DS279" s="132"/>
      <c r="DT279" s="132"/>
      <c r="DU279" s="132"/>
      <c r="DV279" s="132"/>
      <c r="DW279" s="132"/>
      <c r="DX279" s="132"/>
      <c r="DY279" s="132"/>
      <c r="DZ279" s="132"/>
      <c r="EA279" s="132"/>
      <c r="EB279" s="132"/>
      <c r="EC279" s="132"/>
      <c r="ED279" s="132"/>
      <c r="EE279" s="132"/>
      <c r="EF279" s="132"/>
      <c r="EG279" s="132"/>
      <c r="EH279" s="132"/>
      <c r="EI279" s="132"/>
      <c r="EJ279" s="132"/>
      <c r="EK279" s="132"/>
      <c r="EL279" s="132"/>
      <c r="EM279" s="132"/>
      <c r="EN279" s="132"/>
      <c r="EO279" s="132"/>
      <c r="EP279" s="132"/>
      <c r="EQ279" s="132"/>
      <c r="ER279" s="132"/>
      <c r="ES279" s="132"/>
      <c r="ET279" s="11"/>
      <c r="EU279" s="11"/>
      <c r="EV279" s="11"/>
      <c r="EW279" s="11"/>
      <c r="EX279" s="11"/>
      <c r="EY279" s="11"/>
      <c r="EZ279" s="11"/>
      <c r="FA279" s="11"/>
      <c r="FB279" s="11"/>
      <c r="FC279" s="11"/>
      <c r="FD279" s="11"/>
      <c r="FE279" s="11"/>
      <c r="FF279" s="11"/>
      <c r="FG279" s="11"/>
      <c r="FH279" s="39">
        <f t="shared" si="61"/>
        <v>3945480.6999999997</v>
      </c>
      <c r="FI279" s="33">
        <f t="shared" si="62"/>
        <v>3</v>
      </c>
      <c r="FJ279" s="84">
        <f t="shared" si="63"/>
        <v>1315160.2333333332</v>
      </c>
    </row>
    <row r="280" spans="1:166" ht="59.25" customHeight="1" x14ac:dyDescent="0.25">
      <c r="A280" s="79" t="e">
        <f>#REF!</f>
        <v>#REF!</v>
      </c>
      <c r="B280" s="75" t="e">
        <f>#REF!</f>
        <v>#REF!</v>
      </c>
      <c r="C280" s="75" t="e">
        <f>#REF!</f>
        <v>#REF!</v>
      </c>
      <c r="D280" s="75" t="e">
        <f>#REF!</f>
        <v>#REF!</v>
      </c>
      <c r="E280" s="30">
        <v>1</v>
      </c>
      <c r="F280" s="238">
        <v>0</v>
      </c>
      <c r="G280" s="241">
        <v>0</v>
      </c>
      <c r="H280" s="249">
        <v>0</v>
      </c>
      <c r="I280" s="249">
        <v>0</v>
      </c>
      <c r="J280" s="249">
        <v>942445.49</v>
      </c>
      <c r="K280" s="249">
        <v>909160</v>
      </c>
      <c r="L280" s="274">
        <f t="shared" si="73"/>
        <v>942445.49</v>
      </c>
      <c r="M280" s="274">
        <f>K280*E1</f>
        <v>936434.8</v>
      </c>
      <c r="N280" s="245"/>
      <c r="O280" s="113"/>
      <c r="P280" s="113"/>
      <c r="Q280" s="131"/>
      <c r="R280" s="131"/>
      <c r="S280" s="64"/>
      <c r="T280" s="113"/>
      <c r="U280" s="113"/>
      <c r="V280" s="113"/>
      <c r="W280" s="131"/>
      <c r="X280" s="131"/>
      <c r="Y280" s="11"/>
      <c r="Z280" s="113"/>
      <c r="AA280" s="113"/>
      <c r="AB280" s="113"/>
      <c r="AC280" s="52"/>
      <c r="AD280" s="52"/>
      <c r="AE280" s="79"/>
      <c r="AF280" s="118"/>
      <c r="AG280" s="144"/>
      <c r="AH280" s="113"/>
      <c r="AI280" s="11"/>
      <c r="AJ280" s="11"/>
      <c r="AK280" s="39"/>
      <c r="AL280" s="113"/>
      <c r="AM280" s="113"/>
      <c r="AN280" s="119"/>
      <c r="AO280" s="76"/>
      <c r="AP280" s="39"/>
      <c r="AQ280" s="39"/>
      <c r="AR280" s="275"/>
      <c r="AS280" s="155"/>
      <c r="AT280" s="143"/>
      <c r="AU280" s="62"/>
      <c r="AV280" s="62"/>
      <c r="AW280" s="31"/>
      <c r="AX280" s="116"/>
      <c r="AY280" s="194"/>
      <c r="AZ280" s="143"/>
      <c r="BA280" s="191"/>
      <c r="BB280" s="132"/>
      <c r="BC280" s="132"/>
      <c r="BD280" s="274"/>
      <c r="BE280" s="143"/>
      <c r="BF280" s="143"/>
      <c r="BG280" s="132"/>
      <c r="BH280" s="132"/>
      <c r="BI280" s="132"/>
      <c r="BJ280" s="143"/>
      <c r="BK280" s="143"/>
      <c r="BL280" s="143"/>
      <c r="BM280" s="132"/>
      <c r="BN280" s="132"/>
      <c r="BO280" s="132"/>
      <c r="BP280" s="143"/>
      <c r="BQ280" s="132"/>
      <c r="BR280" s="132"/>
      <c r="BS280" s="132"/>
      <c r="BT280" s="132"/>
      <c r="BU280" s="132"/>
      <c r="BV280" s="263">
        <v>634600</v>
      </c>
      <c r="BW280" s="144">
        <f t="shared" si="68"/>
        <v>120574</v>
      </c>
      <c r="BX280" s="113">
        <f t="shared" si="69"/>
        <v>755174</v>
      </c>
      <c r="BY280" s="264" t="s">
        <v>312</v>
      </c>
      <c r="BZ280" s="264" t="s">
        <v>318</v>
      </c>
      <c r="CA280" s="132"/>
      <c r="CB280" s="274"/>
      <c r="CC280" s="144"/>
      <c r="CD280" s="274"/>
      <c r="CE280" s="132"/>
      <c r="CF280" s="132"/>
      <c r="CG280" s="36"/>
      <c r="CH280" s="263">
        <v>647292</v>
      </c>
      <c r="CI280" s="265">
        <f>+CH280*0.19</f>
        <v>122985.48</v>
      </c>
      <c r="CJ280" s="263">
        <f>+CH280+CI280</f>
        <v>770277.48</v>
      </c>
      <c r="CK280" s="264" t="s">
        <v>312</v>
      </c>
      <c r="CL280" s="264" t="s">
        <v>318</v>
      </c>
      <c r="CM280" s="132"/>
      <c r="CN280" s="274"/>
      <c r="CO280" s="144"/>
      <c r="CP280" s="274"/>
      <c r="CQ280" s="132"/>
      <c r="CR280" s="132"/>
      <c r="CS280" s="132"/>
      <c r="CT280" s="144">
        <v>3410880</v>
      </c>
      <c r="CU280" s="144">
        <f t="shared" si="70"/>
        <v>648067.19999999995</v>
      </c>
      <c r="CV280" s="144">
        <f t="shared" si="67"/>
        <v>4058947.2</v>
      </c>
      <c r="CW280" s="132"/>
      <c r="CX280" s="132"/>
      <c r="CY280" s="132"/>
      <c r="CZ280" s="118"/>
      <c r="DA280" s="144"/>
      <c r="DB280" s="118"/>
      <c r="DC280" s="33"/>
      <c r="DD280" s="39"/>
      <c r="DE280" s="11"/>
      <c r="DF280" s="132"/>
      <c r="DG280" s="132"/>
      <c r="DH280" s="132"/>
      <c r="DI280" s="132"/>
      <c r="DJ280" s="132"/>
      <c r="DK280" s="132"/>
      <c r="DL280" s="132"/>
      <c r="DM280" s="132"/>
      <c r="DN280" s="132"/>
      <c r="DO280" s="132"/>
      <c r="DP280" s="132"/>
      <c r="DQ280" s="132"/>
      <c r="DR280" s="132"/>
      <c r="DS280" s="132"/>
      <c r="DT280" s="132"/>
      <c r="DU280" s="132"/>
      <c r="DV280" s="132"/>
      <c r="DW280" s="132"/>
      <c r="DX280" s="132"/>
      <c r="DY280" s="132"/>
      <c r="DZ280" s="132"/>
      <c r="EA280" s="132"/>
      <c r="EB280" s="132"/>
      <c r="EC280" s="132"/>
      <c r="ED280" s="132"/>
      <c r="EE280" s="132"/>
      <c r="EF280" s="132"/>
      <c r="EG280" s="132"/>
      <c r="EH280" s="132"/>
      <c r="EI280" s="132"/>
      <c r="EJ280" s="132"/>
      <c r="EK280" s="132"/>
      <c r="EL280" s="132"/>
      <c r="EM280" s="132"/>
      <c r="EN280" s="132"/>
      <c r="EO280" s="132"/>
      <c r="EP280" s="132"/>
      <c r="EQ280" s="132"/>
      <c r="ER280" s="132"/>
      <c r="ES280" s="132"/>
      <c r="ET280" s="11"/>
      <c r="EU280" s="11"/>
      <c r="EV280" s="11"/>
      <c r="EW280" s="11"/>
      <c r="EX280" s="11"/>
      <c r="EY280" s="11"/>
      <c r="EZ280" s="11"/>
      <c r="FA280" s="11"/>
      <c r="FB280" s="11"/>
      <c r="FC280" s="11"/>
      <c r="FD280" s="11"/>
      <c r="FE280" s="11"/>
      <c r="FF280" s="11"/>
      <c r="FG280" s="11"/>
      <c r="FH280" s="39">
        <f t="shared" si="61"/>
        <v>6520833.4800000004</v>
      </c>
      <c r="FI280" s="33">
        <f t="shared" si="62"/>
        <v>4</v>
      </c>
      <c r="FJ280" s="84">
        <f t="shared" si="63"/>
        <v>1630208.37</v>
      </c>
    </row>
    <row r="281" spans="1:166" ht="62.25" customHeight="1" x14ac:dyDescent="0.25">
      <c r="A281" s="79" t="e">
        <f>#REF!</f>
        <v>#REF!</v>
      </c>
      <c r="B281" s="75" t="e">
        <f>#REF!</f>
        <v>#REF!</v>
      </c>
      <c r="C281" s="75" t="e">
        <f>#REF!</f>
        <v>#REF!</v>
      </c>
      <c r="D281" s="75" t="e">
        <f>#REF!</f>
        <v>#REF!</v>
      </c>
      <c r="E281" s="30">
        <v>1</v>
      </c>
      <c r="F281" s="238">
        <v>0</v>
      </c>
      <c r="G281" s="241">
        <v>0</v>
      </c>
      <c r="H281" s="249">
        <v>0</v>
      </c>
      <c r="I281" s="249">
        <v>0</v>
      </c>
      <c r="J281" s="249">
        <v>5016743.6900000004</v>
      </c>
      <c r="K281" s="249">
        <v>4840920</v>
      </c>
      <c r="L281" s="274">
        <f t="shared" si="73"/>
        <v>5016743.6900000004</v>
      </c>
      <c r="M281" s="274">
        <f>K281*E1</f>
        <v>4986147.6000000006</v>
      </c>
      <c r="N281" s="245"/>
      <c r="O281" s="113"/>
      <c r="P281" s="113"/>
      <c r="Q281" s="131"/>
      <c r="R281" s="131"/>
      <c r="S281" s="64"/>
      <c r="T281" s="113"/>
      <c r="U281" s="113"/>
      <c r="V281" s="113"/>
      <c r="W281" s="131"/>
      <c r="X281" s="131"/>
      <c r="Y281" s="11"/>
      <c r="Z281" s="113"/>
      <c r="AA281" s="113"/>
      <c r="AB281" s="113"/>
      <c r="AC281" s="52"/>
      <c r="AD281" s="52"/>
      <c r="AE281" s="11"/>
      <c r="AF281" s="118"/>
      <c r="AG281" s="144"/>
      <c r="AH281" s="113"/>
      <c r="AI281" s="11"/>
      <c r="AJ281" s="11"/>
      <c r="AK281" s="39"/>
      <c r="AL281" s="113"/>
      <c r="AM281" s="113"/>
      <c r="AN281" s="119"/>
      <c r="AO281" s="76"/>
      <c r="AP281" s="39"/>
      <c r="AQ281" s="39"/>
      <c r="AR281" s="275">
        <v>1130400</v>
      </c>
      <c r="AS281" s="113">
        <f>+AR281*0.19</f>
        <v>214776</v>
      </c>
      <c r="AT281" s="119">
        <f>+AR281+AS281</f>
        <v>1345176</v>
      </c>
      <c r="AU281" s="62" t="s">
        <v>319</v>
      </c>
      <c r="AV281" s="62" t="s">
        <v>35</v>
      </c>
      <c r="AW281" s="31"/>
      <c r="AX281" s="116"/>
      <c r="AY281" s="116"/>
      <c r="AZ281" s="143"/>
      <c r="BA281" s="191"/>
      <c r="BB281" s="132"/>
      <c r="BC281" s="132"/>
      <c r="BD281" s="274"/>
      <c r="BE281" s="143"/>
      <c r="BF281" s="143"/>
      <c r="BG281" s="132"/>
      <c r="BH281" s="132"/>
      <c r="BI281" s="132"/>
      <c r="BJ281" s="143"/>
      <c r="BK281" s="143"/>
      <c r="BL281" s="143"/>
      <c r="BM281" s="132"/>
      <c r="BN281" s="132"/>
      <c r="BO281" s="132"/>
      <c r="BP281" s="143"/>
      <c r="BQ281" s="132"/>
      <c r="BR281" s="132"/>
      <c r="BS281" s="132"/>
      <c r="BT281" s="132"/>
      <c r="BU281" s="132"/>
      <c r="BV281" s="268">
        <v>3626000</v>
      </c>
      <c r="BW281" s="144">
        <f t="shared" si="68"/>
        <v>688940</v>
      </c>
      <c r="BX281" s="113">
        <f t="shared" si="69"/>
        <v>4314940</v>
      </c>
      <c r="BY281" s="264" t="s">
        <v>320</v>
      </c>
      <c r="BZ281" s="264" t="s">
        <v>318</v>
      </c>
      <c r="CA281" s="132"/>
      <c r="CB281" s="274"/>
      <c r="CC281" s="144"/>
      <c r="CD281" s="274"/>
      <c r="CE281" s="132"/>
      <c r="CF281" s="132"/>
      <c r="CG281" s="36"/>
      <c r="CH281" s="268"/>
      <c r="CI281" s="265"/>
      <c r="CJ281" s="263"/>
      <c r="CK281" s="264"/>
      <c r="CL281" s="264"/>
      <c r="CM281" s="132"/>
      <c r="CN281" s="274"/>
      <c r="CO281" s="144"/>
      <c r="CP281" s="274"/>
      <c r="CQ281" s="132"/>
      <c r="CR281" s="132"/>
      <c r="CS281" s="132"/>
      <c r="CT281" s="144">
        <v>3323840</v>
      </c>
      <c r="CU281" s="144">
        <f t="shared" si="70"/>
        <v>631529.6</v>
      </c>
      <c r="CV281" s="144">
        <f t="shared" si="67"/>
        <v>3955369.6</v>
      </c>
      <c r="CW281" s="132"/>
      <c r="CX281" s="132"/>
      <c r="CY281" s="132"/>
      <c r="CZ281" s="118"/>
      <c r="DA281" s="144"/>
      <c r="DB281" s="118"/>
      <c r="DC281" s="33"/>
      <c r="DD281" s="39"/>
      <c r="DE281" s="11"/>
      <c r="DF281" s="132"/>
      <c r="DG281" s="132"/>
      <c r="DH281" s="132"/>
      <c r="DI281" s="132"/>
      <c r="DJ281" s="132"/>
      <c r="DK281" s="132"/>
      <c r="DL281" s="132"/>
      <c r="DM281" s="132"/>
      <c r="DN281" s="132"/>
      <c r="DO281" s="132"/>
      <c r="DP281" s="132"/>
      <c r="DQ281" s="132"/>
      <c r="DR281" s="132"/>
      <c r="DS281" s="132"/>
      <c r="DT281" s="132"/>
      <c r="DU281" s="132"/>
      <c r="DV281" s="132"/>
      <c r="DW281" s="132"/>
      <c r="DX281" s="132"/>
      <c r="DY281" s="132"/>
      <c r="DZ281" s="132"/>
      <c r="EA281" s="132"/>
      <c r="EB281" s="132"/>
      <c r="EC281" s="132"/>
      <c r="ED281" s="132"/>
      <c r="EE281" s="132"/>
      <c r="EF281" s="132"/>
      <c r="EG281" s="132"/>
      <c r="EH281" s="132"/>
      <c r="EI281" s="132"/>
      <c r="EJ281" s="132"/>
      <c r="EK281" s="132"/>
      <c r="EL281" s="132"/>
      <c r="EM281" s="132"/>
      <c r="EN281" s="132"/>
      <c r="EO281" s="132"/>
      <c r="EP281" s="132"/>
      <c r="EQ281" s="132"/>
      <c r="ER281" s="132"/>
      <c r="ES281" s="132"/>
      <c r="ET281" s="11"/>
      <c r="EU281" s="11"/>
      <c r="EV281" s="11"/>
      <c r="EW281" s="11"/>
      <c r="EX281" s="11"/>
      <c r="EY281" s="11"/>
      <c r="EZ281" s="11"/>
      <c r="FA281" s="11"/>
      <c r="FB281" s="11"/>
      <c r="FC281" s="11"/>
      <c r="FD281" s="11"/>
      <c r="FE281" s="11"/>
      <c r="FF281" s="11"/>
      <c r="FG281" s="11"/>
      <c r="FH281" s="39">
        <f t="shared" si="61"/>
        <v>14601633.200000001</v>
      </c>
      <c r="FI281" s="33">
        <f t="shared" si="62"/>
        <v>4</v>
      </c>
      <c r="FJ281" s="84">
        <f t="shared" si="63"/>
        <v>3650408.3000000003</v>
      </c>
    </row>
    <row r="282" spans="1:166" ht="60.75" customHeight="1" x14ac:dyDescent="0.25">
      <c r="A282" s="79" t="e">
        <f>#REF!</f>
        <v>#REF!</v>
      </c>
      <c r="B282" s="75" t="e">
        <f>#REF!</f>
        <v>#REF!</v>
      </c>
      <c r="C282" s="75" t="e">
        <f>#REF!</f>
        <v>#REF!</v>
      </c>
      <c r="D282" s="75" t="e">
        <f>#REF!</f>
        <v>#REF!</v>
      </c>
      <c r="E282" s="30">
        <v>1</v>
      </c>
      <c r="F282" s="238">
        <v>0</v>
      </c>
      <c r="G282" s="241">
        <v>0</v>
      </c>
      <c r="H282" s="249">
        <v>0</v>
      </c>
      <c r="I282" s="249">
        <v>0</v>
      </c>
      <c r="J282" s="249">
        <v>7288649.4450000003</v>
      </c>
      <c r="K282" s="249">
        <v>7034090</v>
      </c>
      <c r="L282" s="274">
        <f t="shared" si="73"/>
        <v>7288649.4450000003</v>
      </c>
      <c r="M282" s="274">
        <f>K282*E1</f>
        <v>7245112.7000000002</v>
      </c>
      <c r="N282" s="245"/>
      <c r="O282" s="113"/>
      <c r="P282" s="113"/>
      <c r="Q282" s="131"/>
      <c r="R282" s="131"/>
      <c r="S282" s="64"/>
      <c r="T282" s="113"/>
      <c r="U282" s="113"/>
      <c r="V282" s="113"/>
      <c r="W282" s="131"/>
      <c r="X282" s="131"/>
      <c r="Y282" s="11"/>
      <c r="Z282" s="113"/>
      <c r="AA282" s="113"/>
      <c r="AB282" s="113"/>
      <c r="AC282" s="52"/>
      <c r="AD282" s="52"/>
      <c r="AE282" s="11"/>
      <c r="AF282" s="118"/>
      <c r="AG282" s="144"/>
      <c r="AH282" s="113"/>
      <c r="AI282" s="11"/>
      <c r="AJ282" s="11"/>
      <c r="AK282" s="39"/>
      <c r="AL282" s="113"/>
      <c r="AM282" s="113"/>
      <c r="AN282" s="119"/>
      <c r="AO282" s="76"/>
      <c r="AP282" s="39"/>
      <c r="AQ282" s="39"/>
      <c r="AR282" s="275">
        <v>2124000</v>
      </c>
      <c r="AS282" s="113">
        <f>+AR282*0.19</f>
        <v>403560</v>
      </c>
      <c r="AT282" s="119">
        <f>+AR282+AS282</f>
        <v>2527560</v>
      </c>
      <c r="AU282" s="62" t="s">
        <v>308</v>
      </c>
      <c r="AV282" s="62" t="s">
        <v>35</v>
      </c>
      <c r="AW282" s="31"/>
      <c r="AX282" s="116"/>
      <c r="AY282" s="196"/>
      <c r="AZ282" s="143"/>
      <c r="BA282" s="191"/>
      <c r="BB282" s="132"/>
      <c r="BC282" s="132"/>
      <c r="BD282" s="274"/>
      <c r="BE282" s="143"/>
      <c r="BF282" s="143"/>
      <c r="BG282" s="132"/>
      <c r="BH282" s="132"/>
      <c r="BI282" s="132"/>
      <c r="BJ282" s="143"/>
      <c r="BK282" s="143"/>
      <c r="BL282" s="143"/>
      <c r="BM282" s="132"/>
      <c r="BN282" s="132"/>
      <c r="BO282" s="132"/>
      <c r="BP282" s="143"/>
      <c r="BQ282" s="132"/>
      <c r="BR282" s="132"/>
      <c r="BS282" s="132"/>
      <c r="BT282" s="132"/>
      <c r="BU282" s="132"/>
      <c r="BV282" s="268">
        <v>5800000</v>
      </c>
      <c r="BW282" s="144">
        <f t="shared" si="68"/>
        <v>1102000</v>
      </c>
      <c r="BX282" s="113">
        <f t="shared" si="69"/>
        <v>6902000</v>
      </c>
      <c r="BY282" s="264" t="s">
        <v>320</v>
      </c>
      <c r="BZ282" s="264" t="s">
        <v>318</v>
      </c>
      <c r="CA282" s="132"/>
      <c r="CB282" s="274"/>
      <c r="CC282" s="144"/>
      <c r="CD282" s="274"/>
      <c r="CE282" s="132"/>
      <c r="CF282" s="132"/>
      <c r="CG282" s="36"/>
      <c r="CH282" s="268"/>
      <c r="CI282" s="265"/>
      <c r="CJ282" s="263"/>
      <c r="CK282" s="264"/>
      <c r="CL282" s="264"/>
      <c r="CM282" s="132"/>
      <c r="CN282" s="274"/>
      <c r="CO282" s="144"/>
      <c r="CP282" s="274"/>
      <c r="CQ282" s="132"/>
      <c r="CR282" s="132"/>
      <c r="CS282" s="132"/>
      <c r="CT282" s="144">
        <v>326400</v>
      </c>
      <c r="CU282" s="144">
        <f t="shared" si="70"/>
        <v>62016</v>
      </c>
      <c r="CV282" s="144">
        <f t="shared" si="67"/>
        <v>388416</v>
      </c>
      <c r="CW282" s="132"/>
      <c r="CX282" s="132"/>
      <c r="CY282" s="132"/>
      <c r="CZ282" s="118"/>
      <c r="DA282" s="144"/>
      <c r="DB282" s="118"/>
      <c r="DC282" s="33"/>
      <c r="DD282" s="39"/>
      <c r="DE282" s="11"/>
      <c r="DF282" s="132"/>
      <c r="DG282" s="132"/>
      <c r="DH282" s="132"/>
      <c r="DI282" s="132"/>
      <c r="DJ282" s="132"/>
      <c r="DK282" s="132"/>
      <c r="DL282" s="132"/>
      <c r="DM282" s="132"/>
      <c r="DN282" s="132"/>
      <c r="DO282" s="132"/>
      <c r="DP282" s="132"/>
      <c r="DQ282" s="132"/>
      <c r="DR282" s="132"/>
      <c r="DS282" s="132"/>
      <c r="DT282" s="132"/>
      <c r="DU282" s="132"/>
      <c r="DV282" s="132"/>
      <c r="DW282" s="132"/>
      <c r="DX282" s="132"/>
      <c r="DY282" s="132"/>
      <c r="DZ282" s="132"/>
      <c r="EA282" s="132"/>
      <c r="EB282" s="132"/>
      <c r="EC282" s="132"/>
      <c r="ED282" s="132"/>
      <c r="EE282" s="132"/>
      <c r="EF282" s="132"/>
      <c r="EG282" s="132"/>
      <c r="EH282" s="132"/>
      <c r="EI282" s="132"/>
      <c r="EJ282" s="132"/>
      <c r="EK282" s="132"/>
      <c r="EL282" s="132"/>
      <c r="EM282" s="132"/>
      <c r="EN282" s="132"/>
      <c r="EO282" s="132"/>
      <c r="EP282" s="132"/>
      <c r="EQ282" s="132"/>
      <c r="ER282" s="132"/>
      <c r="ES282" s="132"/>
      <c r="ET282" s="11"/>
      <c r="EU282" s="11"/>
      <c r="EV282" s="11"/>
      <c r="EW282" s="11"/>
      <c r="EX282" s="11"/>
      <c r="EY282" s="11"/>
      <c r="EZ282" s="11"/>
      <c r="FA282" s="11"/>
      <c r="FB282" s="11"/>
      <c r="FC282" s="11"/>
      <c r="FD282" s="11"/>
      <c r="FE282" s="11"/>
      <c r="FF282" s="11"/>
      <c r="FG282" s="11"/>
      <c r="FH282" s="39">
        <f t="shared" si="61"/>
        <v>17063088.699999999</v>
      </c>
      <c r="FI282" s="33">
        <f t="shared" si="62"/>
        <v>4</v>
      </c>
      <c r="FJ282" s="84">
        <f t="shared" si="63"/>
        <v>4265772.1749999998</v>
      </c>
    </row>
    <row r="283" spans="1:166" ht="40.5" x14ac:dyDescent="0.25">
      <c r="A283" s="79" t="e">
        <f>#REF!</f>
        <v>#REF!</v>
      </c>
      <c r="B283" s="75" t="e">
        <f>#REF!</f>
        <v>#REF!</v>
      </c>
      <c r="C283" s="75" t="e">
        <f>#REF!</f>
        <v>#REF!</v>
      </c>
      <c r="D283" s="75" t="e">
        <f>#REF!</f>
        <v>#REF!</v>
      </c>
      <c r="E283" s="30">
        <v>1</v>
      </c>
      <c r="F283" s="238">
        <v>0</v>
      </c>
      <c r="G283" s="241">
        <v>0</v>
      </c>
      <c r="H283" s="249">
        <v>0</v>
      </c>
      <c r="I283" s="249">
        <v>0</v>
      </c>
      <c r="J283" s="249">
        <v>11743956.49</v>
      </c>
      <c r="K283" s="249">
        <v>11332370</v>
      </c>
      <c r="L283" s="274">
        <f t="shared" si="73"/>
        <v>11743956.49</v>
      </c>
      <c r="M283" s="274">
        <f>K283*E1</f>
        <v>11672341.1</v>
      </c>
      <c r="N283" s="245"/>
      <c r="O283" s="113"/>
      <c r="P283" s="113"/>
      <c r="Q283" s="131"/>
      <c r="R283" s="131"/>
      <c r="S283" s="64"/>
      <c r="T283" s="113"/>
      <c r="U283" s="113"/>
      <c r="V283" s="113"/>
      <c r="W283" s="131"/>
      <c r="X283" s="131"/>
      <c r="Y283" s="11"/>
      <c r="Z283" s="113"/>
      <c r="AA283" s="113"/>
      <c r="AB283" s="113"/>
      <c r="AC283" s="52"/>
      <c r="AD283" s="52"/>
      <c r="AE283" s="11"/>
      <c r="AF283" s="118"/>
      <c r="AG283" s="144"/>
      <c r="AH283" s="113"/>
      <c r="AI283" s="11"/>
      <c r="AJ283" s="11"/>
      <c r="AK283" s="39"/>
      <c r="AL283" s="113"/>
      <c r="AM283" s="113"/>
      <c r="AN283" s="117"/>
      <c r="AO283" s="76"/>
      <c r="AP283" s="39"/>
      <c r="AQ283" s="39"/>
      <c r="AR283" s="275"/>
      <c r="AS283" s="156"/>
      <c r="AT283" s="157"/>
      <c r="AU283" s="62"/>
      <c r="AV283" s="62"/>
      <c r="AW283" s="31"/>
      <c r="AX283" s="116"/>
      <c r="AY283" s="196"/>
      <c r="AZ283" s="143"/>
      <c r="BA283" s="191"/>
      <c r="BB283" s="132"/>
      <c r="BC283" s="132"/>
      <c r="BD283" s="274"/>
      <c r="BE283" s="143"/>
      <c r="BF283" s="143"/>
      <c r="BG283" s="132"/>
      <c r="BH283" s="132"/>
      <c r="BI283" s="132"/>
      <c r="BJ283" s="143"/>
      <c r="BK283" s="143"/>
      <c r="BL283" s="143"/>
      <c r="BM283" s="132"/>
      <c r="BN283" s="132"/>
      <c r="BO283" s="132"/>
      <c r="BP283" s="143"/>
      <c r="BQ283" s="132"/>
      <c r="BR283" s="132"/>
      <c r="BS283" s="132"/>
      <c r="BT283" s="132"/>
      <c r="BU283" s="132"/>
      <c r="BV283" s="268">
        <v>8554000</v>
      </c>
      <c r="BW283" s="144">
        <f t="shared" si="68"/>
        <v>1625260</v>
      </c>
      <c r="BX283" s="113">
        <f t="shared" si="69"/>
        <v>10179260</v>
      </c>
      <c r="BY283" s="264" t="s">
        <v>320</v>
      </c>
      <c r="BZ283" s="264" t="s">
        <v>318</v>
      </c>
      <c r="CA283" s="132"/>
      <c r="CB283" s="274"/>
      <c r="CC283" s="144"/>
      <c r="CD283" s="274"/>
      <c r="CE283" s="132"/>
      <c r="CF283" s="132"/>
      <c r="CG283" s="36"/>
      <c r="CH283" s="268"/>
      <c r="CI283" s="265"/>
      <c r="CJ283" s="263"/>
      <c r="CK283" s="264"/>
      <c r="CL283" s="264"/>
      <c r="CM283" s="132"/>
      <c r="CN283" s="274"/>
      <c r="CO283" s="144"/>
      <c r="CP283" s="274"/>
      <c r="CQ283" s="132"/>
      <c r="CR283" s="132"/>
      <c r="CS283" s="132"/>
      <c r="CT283" s="144">
        <v>225000</v>
      </c>
      <c r="CU283" s="144">
        <f t="shared" si="70"/>
        <v>42750</v>
      </c>
      <c r="CV283" s="144">
        <f t="shared" si="67"/>
        <v>267750</v>
      </c>
      <c r="CW283" s="132"/>
      <c r="CX283" s="132"/>
      <c r="CY283" s="132"/>
      <c r="CZ283" s="118"/>
      <c r="DA283" s="144"/>
      <c r="DB283" s="118"/>
      <c r="DC283" s="33"/>
      <c r="DD283" s="39"/>
      <c r="DE283" s="11"/>
      <c r="DF283" s="132"/>
      <c r="DG283" s="132"/>
      <c r="DH283" s="132"/>
      <c r="DI283" s="132"/>
      <c r="DJ283" s="132"/>
      <c r="DK283" s="132"/>
      <c r="DL283" s="132"/>
      <c r="DM283" s="132"/>
      <c r="DN283" s="132"/>
      <c r="DO283" s="132"/>
      <c r="DP283" s="132"/>
      <c r="DQ283" s="132"/>
      <c r="DR283" s="132"/>
      <c r="DS283" s="132"/>
      <c r="DT283" s="132"/>
      <c r="DU283" s="132"/>
      <c r="DV283" s="132"/>
      <c r="DW283" s="132"/>
      <c r="DX283" s="132"/>
      <c r="DY283" s="132"/>
      <c r="DZ283" s="132"/>
      <c r="EA283" s="132"/>
      <c r="EB283" s="132"/>
      <c r="EC283" s="132"/>
      <c r="ED283" s="132"/>
      <c r="EE283" s="132"/>
      <c r="EF283" s="132"/>
      <c r="EG283" s="132"/>
      <c r="EH283" s="132"/>
      <c r="EI283" s="132"/>
      <c r="EJ283" s="132"/>
      <c r="EK283" s="132"/>
      <c r="EL283" s="132"/>
      <c r="EM283" s="132"/>
      <c r="EN283" s="132"/>
      <c r="EO283" s="132"/>
      <c r="EP283" s="132"/>
      <c r="EQ283" s="132"/>
      <c r="ER283" s="132"/>
      <c r="ES283" s="132"/>
      <c r="ET283" s="11"/>
      <c r="EU283" s="11"/>
      <c r="EV283" s="11"/>
      <c r="EW283" s="11"/>
      <c r="EX283" s="11"/>
      <c r="EY283" s="11"/>
      <c r="EZ283" s="11"/>
      <c r="FA283" s="11"/>
      <c r="FB283" s="11"/>
      <c r="FC283" s="11"/>
      <c r="FD283" s="11"/>
      <c r="FE283" s="11"/>
      <c r="FF283" s="11"/>
      <c r="FG283" s="11"/>
      <c r="FH283" s="39">
        <f t="shared" si="61"/>
        <v>22119351.100000001</v>
      </c>
      <c r="FI283" s="33">
        <f t="shared" si="62"/>
        <v>3</v>
      </c>
      <c r="FJ283" s="84">
        <f t="shared" si="63"/>
        <v>7373117.0333333341</v>
      </c>
    </row>
    <row r="284" spans="1:166" ht="40.5" x14ac:dyDescent="0.25">
      <c r="A284" s="79" t="e">
        <f>#REF!</f>
        <v>#REF!</v>
      </c>
      <c r="B284" s="75" t="e">
        <f>#REF!</f>
        <v>#REF!</v>
      </c>
      <c r="C284" s="75" t="e">
        <f>#REF!</f>
        <v>#REF!</v>
      </c>
      <c r="D284" s="75" t="e">
        <f>#REF!</f>
        <v>#REF!</v>
      </c>
      <c r="E284" s="30">
        <v>1</v>
      </c>
      <c r="F284" s="238">
        <v>545972</v>
      </c>
      <c r="G284" s="241">
        <v>529550</v>
      </c>
      <c r="H284" s="249">
        <v>829826.66666666663</v>
      </c>
      <c r="I284" s="249">
        <v>829787</v>
      </c>
      <c r="J284" s="249">
        <v>0</v>
      </c>
      <c r="K284" s="249">
        <v>0</v>
      </c>
      <c r="L284" s="274">
        <f>AVERAGE(F284,H284)</f>
        <v>687899.33333333326</v>
      </c>
      <c r="M284" s="274">
        <f>AVERAGE(G284,I284)*E1</f>
        <v>700058.55500000005</v>
      </c>
      <c r="N284" s="245"/>
      <c r="O284" s="113"/>
      <c r="P284" s="113"/>
      <c r="Q284" s="131"/>
      <c r="R284" s="131"/>
      <c r="S284" s="64"/>
      <c r="T284" s="113"/>
      <c r="U284" s="117"/>
      <c r="V284" s="113"/>
      <c r="W284" s="131"/>
      <c r="X284" s="131"/>
      <c r="Y284" s="11"/>
      <c r="Z284" s="113"/>
      <c r="AA284" s="113"/>
      <c r="AB284" s="113"/>
      <c r="AC284" s="52"/>
      <c r="AD284" s="52"/>
      <c r="AE284" s="11"/>
      <c r="AF284" s="118"/>
      <c r="AG284" s="144"/>
      <c r="AH284" s="113"/>
      <c r="AI284" s="11"/>
      <c r="AJ284" s="11"/>
      <c r="AK284" s="39"/>
      <c r="AL284" s="113"/>
      <c r="AM284" s="113"/>
      <c r="AN284" s="117"/>
      <c r="AO284" s="76"/>
      <c r="AP284" s="39"/>
      <c r="AQ284" s="39"/>
      <c r="AR284" s="275"/>
      <c r="AS284" s="156"/>
      <c r="AT284" s="157"/>
      <c r="AU284" s="62"/>
      <c r="AV284" s="62"/>
      <c r="AW284" s="31"/>
      <c r="AX284" s="116"/>
      <c r="AY284" s="116"/>
      <c r="AZ284" s="143"/>
      <c r="BA284" s="191"/>
      <c r="BB284" s="132"/>
      <c r="BC284" s="132"/>
      <c r="BD284" s="274"/>
      <c r="BE284" s="143"/>
      <c r="BF284" s="143"/>
      <c r="BG284" s="132"/>
      <c r="BH284" s="132"/>
      <c r="BI284" s="132"/>
      <c r="BJ284" s="143"/>
      <c r="BK284" s="143"/>
      <c r="BL284" s="143"/>
      <c r="BM284" s="132"/>
      <c r="BN284" s="132"/>
      <c r="BO284" s="132"/>
      <c r="BP284" s="143"/>
      <c r="BQ284" s="132"/>
      <c r="BR284" s="132"/>
      <c r="BS284" s="132"/>
      <c r="BT284" s="132"/>
      <c r="BU284" s="132"/>
      <c r="BV284" s="263">
        <v>1007100</v>
      </c>
      <c r="BW284" s="144">
        <f t="shared" si="68"/>
        <v>191349</v>
      </c>
      <c r="BX284" s="113">
        <f t="shared" si="69"/>
        <v>1198449</v>
      </c>
      <c r="BY284" s="264" t="s">
        <v>309</v>
      </c>
      <c r="BZ284" s="264" t="s">
        <v>318</v>
      </c>
      <c r="CA284" s="132"/>
      <c r="CB284" s="274"/>
      <c r="CC284" s="144"/>
      <c r="CD284" s="274"/>
      <c r="CE284" s="132"/>
      <c r="CF284" s="132"/>
      <c r="CG284" s="36"/>
      <c r="CH284" s="268">
        <v>1037313</v>
      </c>
      <c r="CI284" s="265">
        <f t="shared" ref="CI284:CI292" si="74">+CH284*0.19</f>
        <v>197089.47</v>
      </c>
      <c r="CJ284" s="263">
        <f t="shared" ref="CJ284:CJ292" si="75">+CH284+CI284</f>
        <v>1234402.47</v>
      </c>
      <c r="CK284" s="264" t="s">
        <v>309</v>
      </c>
      <c r="CL284" s="264" t="s">
        <v>318</v>
      </c>
      <c r="CM284" s="132"/>
      <c r="CN284" s="274">
        <f>140966*10</f>
        <v>1409660</v>
      </c>
      <c r="CO284" s="144">
        <f>+CN284*0.19</f>
        <v>267835.40000000002</v>
      </c>
      <c r="CP284" s="274">
        <f>+CO284+CN284</f>
        <v>1677495.4</v>
      </c>
      <c r="CQ284" s="132"/>
      <c r="CR284" s="132"/>
      <c r="CS284" s="132"/>
      <c r="CT284" s="274">
        <v>238000</v>
      </c>
      <c r="CU284" s="144">
        <f>CT284*0</f>
        <v>0</v>
      </c>
      <c r="CV284" s="144">
        <f t="shared" si="67"/>
        <v>238000</v>
      </c>
      <c r="CW284" s="132"/>
      <c r="CX284" s="132"/>
      <c r="CY284" s="132"/>
      <c r="CZ284" s="118"/>
      <c r="DA284" s="144"/>
      <c r="DB284" s="118"/>
      <c r="DC284" s="33"/>
      <c r="DD284" s="39"/>
      <c r="DE284" s="11"/>
      <c r="DF284" s="132"/>
      <c r="DG284" s="132"/>
      <c r="DH284" s="132"/>
      <c r="DI284" s="132"/>
      <c r="DJ284" s="132"/>
      <c r="DK284" s="132"/>
      <c r="DL284" s="132"/>
      <c r="DM284" s="132"/>
      <c r="DN284" s="132"/>
      <c r="DO284" s="132"/>
      <c r="DP284" s="132"/>
      <c r="DQ284" s="132"/>
      <c r="DR284" s="132"/>
      <c r="DS284" s="132"/>
      <c r="DT284" s="132"/>
      <c r="DU284" s="132"/>
      <c r="DV284" s="132"/>
      <c r="DW284" s="132"/>
      <c r="DX284" s="132"/>
      <c r="DY284" s="132"/>
      <c r="DZ284" s="132"/>
      <c r="EA284" s="132"/>
      <c r="EB284" s="132"/>
      <c r="EC284" s="132"/>
      <c r="ED284" s="132"/>
      <c r="EE284" s="132"/>
      <c r="EF284" s="132"/>
      <c r="EG284" s="132"/>
      <c r="EH284" s="132"/>
      <c r="EI284" s="132"/>
      <c r="EJ284" s="132"/>
      <c r="EK284" s="132"/>
      <c r="EL284" s="132"/>
      <c r="EM284" s="132"/>
      <c r="EN284" s="132"/>
      <c r="EO284" s="132"/>
      <c r="EP284" s="132"/>
      <c r="EQ284" s="132"/>
      <c r="ER284" s="132"/>
      <c r="ES284" s="132"/>
      <c r="ET284" s="11"/>
      <c r="EU284" s="11"/>
      <c r="EV284" s="11"/>
      <c r="EW284" s="11"/>
      <c r="EX284" s="11"/>
      <c r="EY284" s="11"/>
      <c r="EZ284" s="11"/>
      <c r="FA284" s="11"/>
      <c r="FB284" s="11"/>
      <c r="FC284" s="11"/>
      <c r="FD284" s="11"/>
      <c r="FE284" s="11"/>
      <c r="FF284" s="11"/>
      <c r="FG284" s="11"/>
      <c r="FH284" s="39">
        <f t="shared" si="61"/>
        <v>5048405.4250000007</v>
      </c>
      <c r="FI284" s="33">
        <f t="shared" si="62"/>
        <v>5</v>
      </c>
      <c r="FJ284" s="84">
        <f t="shared" si="63"/>
        <v>1009681.0850000002</v>
      </c>
    </row>
    <row r="285" spans="1:166" ht="13.5" x14ac:dyDescent="0.25">
      <c r="A285" s="79" t="e">
        <f>#REF!</f>
        <v>#REF!</v>
      </c>
      <c r="B285" s="75" t="e">
        <f>#REF!</f>
        <v>#REF!</v>
      </c>
      <c r="C285" s="75" t="e">
        <f>#REF!</f>
        <v>#REF!</v>
      </c>
      <c r="D285" s="75" t="e">
        <f>#REF!</f>
        <v>#REF!</v>
      </c>
      <c r="E285" s="30">
        <v>1</v>
      </c>
      <c r="F285" s="238">
        <v>997101</v>
      </c>
      <c r="G285" s="241">
        <v>333200</v>
      </c>
      <c r="H285" s="249">
        <v>293524.39999999997</v>
      </c>
      <c r="I285" s="249">
        <v>0</v>
      </c>
      <c r="J285" s="249">
        <v>375057.29800000001</v>
      </c>
      <c r="K285" s="249">
        <v>0</v>
      </c>
      <c r="L285" s="274">
        <f>AVERAGE(F285,H285,J285)</f>
        <v>555227.56599999999</v>
      </c>
      <c r="M285" s="274">
        <f>G285*E1</f>
        <v>343196</v>
      </c>
      <c r="N285" s="245"/>
      <c r="O285" s="113"/>
      <c r="P285" s="113"/>
      <c r="Q285" s="131"/>
      <c r="R285" s="131"/>
      <c r="S285" s="64"/>
      <c r="T285" s="113"/>
      <c r="U285" s="113"/>
      <c r="V285" s="113"/>
      <c r="W285" s="131"/>
      <c r="X285" s="131"/>
      <c r="Y285" s="11"/>
      <c r="Z285" s="113"/>
      <c r="AA285" s="113"/>
      <c r="AB285" s="113"/>
      <c r="AC285" s="52"/>
      <c r="AD285" s="52"/>
      <c r="AE285" s="11"/>
      <c r="AF285" s="118"/>
      <c r="AG285" s="144"/>
      <c r="AH285" s="113"/>
      <c r="AI285" s="11"/>
      <c r="AJ285" s="11"/>
      <c r="AK285" s="39"/>
      <c r="AL285" s="113">
        <v>170000</v>
      </c>
      <c r="AM285" s="113">
        <f>+AL285*0.19</f>
        <v>32300</v>
      </c>
      <c r="AN285" s="119">
        <f>+AL285+AM285</f>
        <v>202300</v>
      </c>
      <c r="AO285" s="76" t="s">
        <v>44</v>
      </c>
      <c r="AP285" s="39" t="s">
        <v>316</v>
      </c>
      <c r="AQ285" s="39"/>
      <c r="AR285" s="275">
        <v>159871</v>
      </c>
      <c r="AS285" s="113">
        <f>+AR285*0.19</f>
        <v>30375.49</v>
      </c>
      <c r="AT285" s="119">
        <f>+AR285+AS285</f>
        <v>190246.49</v>
      </c>
      <c r="AU285" s="62" t="s">
        <v>44</v>
      </c>
      <c r="AV285" s="62" t="s">
        <v>316</v>
      </c>
      <c r="AW285" s="31"/>
      <c r="AX285" s="116"/>
      <c r="AY285" s="196"/>
      <c r="AZ285" s="143"/>
      <c r="BA285" s="191"/>
      <c r="BB285" s="132"/>
      <c r="BC285" s="132"/>
      <c r="BD285" s="274"/>
      <c r="BE285" s="143"/>
      <c r="BF285" s="143"/>
      <c r="BG285" s="132"/>
      <c r="BH285" s="132"/>
      <c r="BI285" s="132"/>
      <c r="BJ285" s="143"/>
      <c r="BK285" s="143"/>
      <c r="BL285" s="143"/>
      <c r="BM285" s="132"/>
      <c r="BN285" s="132"/>
      <c r="BO285" s="132"/>
      <c r="BP285" s="143"/>
      <c r="BQ285" s="132"/>
      <c r="BR285" s="132"/>
      <c r="BS285" s="132"/>
      <c r="BT285" s="132"/>
      <c r="BU285" s="132"/>
      <c r="BV285" s="263">
        <v>1089900</v>
      </c>
      <c r="BW285" s="144">
        <f t="shared" si="68"/>
        <v>207081</v>
      </c>
      <c r="BX285" s="113">
        <f t="shared" si="69"/>
        <v>1296981</v>
      </c>
      <c r="BY285" s="264" t="s">
        <v>314</v>
      </c>
      <c r="BZ285" s="264" t="s">
        <v>88</v>
      </c>
      <c r="CA285" s="132"/>
      <c r="CB285" s="274"/>
      <c r="CC285" s="144"/>
      <c r="CD285" s="274"/>
      <c r="CE285" s="132"/>
      <c r="CF285" s="132"/>
      <c r="CG285" s="36"/>
      <c r="CH285" s="268">
        <v>1100799</v>
      </c>
      <c r="CI285" s="265">
        <f t="shared" si="74"/>
        <v>209151.81</v>
      </c>
      <c r="CJ285" s="263">
        <f t="shared" si="75"/>
        <v>1309950.81</v>
      </c>
      <c r="CK285" s="264" t="s">
        <v>314</v>
      </c>
      <c r="CL285" s="264" t="s">
        <v>88</v>
      </c>
      <c r="CM285" s="132"/>
      <c r="CN285" s="274"/>
      <c r="CO285" s="144"/>
      <c r="CP285" s="274"/>
      <c r="CQ285" s="132"/>
      <c r="CR285" s="132"/>
      <c r="CS285" s="132"/>
      <c r="CT285" s="144">
        <v>315520</v>
      </c>
      <c r="CU285" s="144">
        <f t="shared" ref="CU285:CU290" si="76">CT285*0.19</f>
        <v>59948.800000000003</v>
      </c>
      <c r="CV285" s="144">
        <f t="shared" si="67"/>
        <v>375468.79999999999</v>
      </c>
      <c r="CW285" s="132"/>
      <c r="CX285" s="132"/>
      <c r="CY285" s="132"/>
      <c r="CZ285" s="118"/>
      <c r="DA285" s="144"/>
      <c r="DB285" s="118"/>
      <c r="DC285" s="33"/>
      <c r="DD285" s="39"/>
      <c r="DE285" s="11"/>
      <c r="DF285" s="132"/>
      <c r="DG285" s="132"/>
      <c r="DH285" s="132"/>
      <c r="DI285" s="132"/>
      <c r="DJ285" s="132"/>
      <c r="DK285" s="132"/>
      <c r="DL285" s="132"/>
      <c r="DM285" s="132"/>
      <c r="DN285" s="132"/>
      <c r="DO285" s="132"/>
      <c r="DP285" s="132"/>
      <c r="DQ285" s="132"/>
      <c r="DR285" s="132"/>
      <c r="DS285" s="132"/>
      <c r="DT285" s="132"/>
      <c r="DU285" s="132"/>
      <c r="DV285" s="132"/>
      <c r="DW285" s="132"/>
      <c r="DX285" s="132"/>
      <c r="DY285" s="132"/>
      <c r="DZ285" s="132"/>
      <c r="EA285" s="132"/>
      <c r="EB285" s="132"/>
      <c r="EC285" s="132"/>
      <c r="ED285" s="132"/>
      <c r="EE285" s="132"/>
      <c r="EF285" s="132"/>
      <c r="EG285" s="132"/>
      <c r="EH285" s="132"/>
      <c r="EI285" s="132"/>
      <c r="EJ285" s="132"/>
      <c r="EK285" s="132"/>
      <c r="EL285" s="132"/>
      <c r="EM285" s="132"/>
      <c r="EN285" s="132"/>
      <c r="EO285" s="132"/>
      <c r="EP285" s="132"/>
      <c r="EQ285" s="132"/>
      <c r="ER285" s="132"/>
      <c r="ES285" s="132"/>
      <c r="ET285" s="11"/>
      <c r="EU285" s="11"/>
      <c r="EV285" s="11"/>
      <c r="EW285" s="11"/>
      <c r="EX285" s="11"/>
      <c r="EY285" s="11"/>
      <c r="EZ285" s="11"/>
      <c r="FA285" s="11"/>
      <c r="FB285" s="11"/>
      <c r="FC285" s="11"/>
      <c r="FD285" s="11"/>
      <c r="FE285" s="11"/>
      <c r="FF285" s="11"/>
      <c r="FG285" s="11"/>
      <c r="FH285" s="39">
        <f t="shared" si="61"/>
        <v>3718143.0999999996</v>
      </c>
      <c r="FI285" s="33">
        <f t="shared" si="62"/>
        <v>6</v>
      </c>
      <c r="FJ285" s="84">
        <f t="shared" si="63"/>
        <v>619690.5166666666</v>
      </c>
    </row>
    <row r="286" spans="1:166" ht="40.5" x14ac:dyDescent="0.25">
      <c r="A286" s="79" t="e">
        <f>#REF!</f>
        <v>#REF!</v>
      </c>
      <c r="B286" s="75" t="e">
        <f>#REF!</f>
        <v>#REF!</v>
      </c>
      <c r="C286" s="75" t="e">
        <f>#REF!</f>
        <v>#REF!</v>
      </c>
      <c r="D286" s="75" t="e">
        <f>#REF!</f>
        <v>#REF!</v>
      </c>
      <c r="E286" s="30">
        <v>1</v>
      </c>
      <c r="F286" s="238">
        <v>0</v>
      </c>
      <c r="G286" s="241">
        <v>0</v>
      </c>
      <c r="H286" s="249">
        <v>0</v>
      </c>
      <c r="I286" s="249">
        <v>0</v>
      </c>
      <c r="J286" s="249">
        <v>1213575.0900000001</v>
      </c>
      <c r="K286" s="249">
        <v>0</v>
      </c>
      <c r="L286" s="274">
        <f>J286</f>
        <v>1213575.0900000001</v>
      </c>
      <c r="M286" s="274"/>
      <c r="N286" s="245"/>
      <c r="O286" s="113"/>
      <c r="P286" s="113"/>
      <c r="Q286" s="131"/>
      <c r="R286" s="131"/>
      <c r="S286" s="64"/>
      <c r="T286" s="113"/>
      <c r="U286" s="117"/>
      <c r="V286" s="113"/>
      <c r="W286" s="131"/>
      <c r="X286" s="131"/>
      <c r="Y286" s="11"/>
      <c r="Z286" s="113"/>
      <c r="AA286" s="113"/>
      <c r="AB286" s="113"/>
      <c r="AC286" s="52"/>
      <c r="AD286" s="52"/>
      <c r="AE286" s="11"/>
      <c r="AF286" s="118"/>
      <c r="AG286" s="144"/>
      <c r="AH286" s="113"/>
      <c r="AI286" s="11"/>
      <c r="AJ286" s="11"/>
      <c r="AK286" s="39"/>
      <c r="AL286" s="113"/>
      <c r="AM286" s="113"/>
      <c r="AN286" s="117"/>
      <c r="AO286" s="76"/>
      <c r="AP286" s="39"/>
      <c r="AQ286" s="39"/>
      <c r="AR286" s="275"/>
      <c r="AS286" s="156"/>
      <c r="AT286" s="157"/>
      <c r="AU286" s="62"/>
      <c r="AV286" s="62"/>
      <c r="AW286" s="31"/>
      <c r="AX286" s="116"/>
      <c r="AY286" s="116"/>
      <c r="AZ286" s="143"/>
      <c r="BA286" s="191"/>
      <c r="BB286" s="132"/>
      <c r="BC286" s="132"/>
      <c r="BD286" s="274"/>
      <c r="BE286" s="143"/>
      <c r="BF286" s="143"/>
      <c r="BG286" s="132"/>
      <c r="BH286" s="132"/>
      <c r="BI286" s="132"/>
      <c r="BJ286" s="143"/>
      <c r="BK286" s="143"/>
      <c r="BL286" s="143"/>
      <c r="BM286" s="132"/>
      <c r="BN286" s="132"/>
      <c r="BO286" s="132"/>
      <c r="BP286" s="143"/>
      <c r="BQ286" s="132"/>
      <c r="BR286" s="132"/>
      <c r="BS286" s="132"/>
      <c r="BT286" s="132"/>
      <c r="BU286" s="132"/>
      <c r="BV286" s="263">
        <v>827700</v>
      </c>
      <c r="BW286" s="144">
        <f t="shared" si="68"/>
        <v>157263</v>
      </c>
      <c r="BX286" s="113">
        <f t="shared" si="69"/>
        <v>984963</v>
      </c>
      <c r="BY286" s="264" t="s">
        <v>309</v>
      </c>
      <c r="BZ286" s="264" t="s">
        <v>318</v>
      </c>
      <c r="CA286" s="132"/>
      <c r="CB286" s="274"/>
      <c r="CC286" s="144"/>
      <c r="CD286" s="274"/>
      <c r="CE286" s="132"/>
      <c r="CF286" s="132"/>
      <c r="CG286" s="36"/>
      <c r="CH286" s="263">
        <v>877362</v>
      </c>
      <c r="CI286" s="265">
        <f t="shared" si="74"/>
        <v>166698.78</v>
      </c>
      <c r="CJ286" s="263">
        <f t="shared" si="75"/>
        <v>1044060.78</v>
      </c>
      <c r="CK286" s="264" t="s">
        <v>309</v>
      </c>
      <c r="CL286" s="264" t="s">
        <v>318</v>
      </c>
      <c r="CM286" s="132"/>
      <c r="CN286" s="274"/>
      <c r="CO286" s="144"/>
      <c r="CP286" s="274"/>
      <c r="CQ286" s="132"/>
      <c r="CR286" s="132"/>
      <c r="CS286" s="132"/>
      <c r="CT286" s="144">
        <v>293760</v>
      </c>
      <c r="CU286" s="144">
        <f t="shared" si="76"/>
        <v>55814.400000000001</v>
      </c>
      <c r="CV286" s="144">
        <f t="shared" si="67"/>
        <v>349574.40000000002</v>
      </c>
      <c r="CW286" s="132"/>
      <c r="CX286" s="132"/>
      <c r="CY286" s="132"/>
      <c r="CZ286" s="118"/>
      <c r="DA286" s="144"/>
      <c r="DB286" s="118"/>
      <c r="DC286" s="33"/>
      <c r="DD286" s="39"/>
      <c r="DE286" s="11"/>
      <c r="DF286" s="132"/>
      <c r="DG286" s="132"/>
      <c r="DH286" s="132"/>
      <c r="DI286" s="132"/>
      <c r="DJ286" s="132"/>
      <c r="DK286" s="132"/>
      <c r="DL286" s="132"/>
      <c r="DM286" s="132"/>
      <c r="DN286" s="132"/>
      <c r="DO286" s="132"/>
      <c r="DP286" s="132"/>
      <c r="DQ286" s="132"/>
      <c r="DR286" s="132"/>
      <c r="DS286" s="132"/>
      <c r="DT286" s="132"/>
      <c r="DU286" s="132"/>
      <c r="DV286" s="132"/>
      <c r="DW286" s="132"/>
      <c r="DX286" s="132"/>
      <c r="DY286" s="132"/>
      <c r="DZ286" s="132"/>
      <c r="EA286" s="132"/>
      <c r="EB286" s="132"/>
      <c r="EC286" s="132"/>
      <c r="ED286" s="132"/>
      <c r="EE286" s="132"/>
      <c r="EF286" s="132"/>
      <c r="EG286" s="132"/>
      <c r="EH286" s="132"/>
      <c r="EI286" s="132"/>
      <c r="EJ286" s="132"/>
      <c r="EK286" s="132"/>
      <c r="EL286" s="132"/>
      <c r="EM286" s="132"/>
      <c r="EN286" s="132"/>
      <c r="EO286" s="132"/>
      <c r="EP286" s="132"/>
      <c r="EQ286" s="132"/>
      <c r="ER286" s="132"/>
      <c r="ES286" s="132"/>
      <c r="ET286" s="11"/>
      <c r="EU286" s="11"/>
      <c r="EV286" s="11"/>
      <c r="EW286" s="11"/>
      <c r="EX286" s="11"/>
      <c r="EY286" s="11"/>
      <c r="EZ286" s="11"/>
      <c r="FA286" s="11"/>
      <c r="FB286" s="11"/>
      <c r="FC286" s="11"/>
      <c r="FD286" s="11"/>
      <c r="FE286" s="11"/>
      <c r="FF286" s="11"/>
      <c r="FG286" s="11"/>
      <c r="FH286" s="39">
        <f t="shared" si="61"/>
        <v>2378598.1800000002</v>
      </c>
      <c r="FI286" s="33">
        <f t="shared" si="62"/>
        <v>3</v>
      </c>
      <c r="FJ286" s="84">
        <f t="shared" si="63"/>
        <v>792866.06</v>
      </c>
    </row>
    <row r="287" spans="1:166" ht="13.5" x14ac:dyDescent="0.25">
      <c r="A287" s="79" t="e">
        <f>#REF!</f>
        <v>#REF!</v>
      </c>
      <c r="B287" s="75" t="e">
        <f>#REF!</f>
        <v>#REF!</v>
      </c>
      <c r="C287" s="75" t="e">
        <f>#REF!</f>
        <v>#REF!</v>
      </c>
      <c r="D287" s="75" t="e">
        <f>#REF!</f>
        <v>#REF!</v>
      </c>
      <c r="E287" s="30">
        <v>1</v>
      </c>
      <c r="F287" s="238">
        <v>0</v>
      </c>
      <c r="G287" s="241">
        <v>0</v>
      </c>
      <c r="H287" s="249">
        <v>0</v>
      </c>
      <c r="I287" s="249">
        <v>0</v>
      </c>
      <c r="J287" s="249">
        <v>113359.4</v>
      </c>
      <c r="K287" s="249">
        <v>0</v>
      </c>
      <c r="L287" s="274">
        <f>J287</f>
        <v>113359.4</v>
      </c>
      <c r="M287" s="274"/>
      <c r="N287" s="245"/>
      <c r="O287" s="113"/>
      <c r="P287" s="113"/>
      <c r="Q287" s="131"/>
      <c r="R287" s="131"/>
      <c r="S287" s="64"/>
      <c r="T287" s="113"/>
      <c r="U287" s="117"/>
      <c r="V287" s="113"/>
      <c r="W287" s="131"/>
      <c r="X287" s="131"/>
      <c r="Y287" s="11"/>
      <c r="Z287" s="113"/>
      <c r="AA287" s="113"/>
      <c r="AB287" s="113"/>
      <c r="AC287" s="52"/>
      <c r="AD287" s="52"/>
      <c r="AE287" s="11"/>
      <c r="AF287" s="118"/>
      <c r="AG287" s="144"/>
      <c r="AH287" s="113"/>
      <c r="AI287" s="11"/>
      <c r="AJ287" s="11"/>
      <c r="AK287" s="39"/>
      <c r="AL287" s="113">
        <v>95000</v>
      </c>
      <c r="AM287" s="113">
        <f>+AL287*0.19</f>
        <v>18050</v>
      </c>
      <c r="AN287" s="119">
        <f>+AL287+AM287</f>
        <v>113050</v>
      </c>
      <c r="AO287" s="76" t="s">
        <v>44</v>
      </c>
      <c r="AP287" s="39" t="s">
        <v>45</v>
      </c>
      <c r="AQ287" s="39"/>
      <c r="AR287" s="275">
        <v>95520</v>
      </c>
      <c r="AS287" s="113">
        <f t="shared" ref="AS287:AS297" si="77">+AR287*0.19</f>
        <v>18148.8</v>
      </c>
      <c r="AT287" s="119">
        <f t="shared" ref="AT287:AT297" si="78">+AR287+AS287</f>
        <v>113668.8</v>
      </c>
      <c r="AU287" s="62" t="s">
        <v>44</v>
      </c>
      <c r="AV287" s="62" t="s">
        <v>45</v>
      </c>
      <c r="AW287" s="31"/>
      <c r="AX287" s="116"/>
      <c r="AY287" s="116"/>
      <c r="AZ287" s="143"/>
      <c r="BA287" s="191"/>
      <c r="BB287" s="132"/>
      <c r="BC287" s="132"/>
      <c r="BD287" s="274"/>
      <c r="BE287" s="143"/>
      <c r="BF287" s="143"/>
      <c r="BG287" s="132"/>
      <c r="BH287" s="132"/>
      <c r="BI287" s="132"/>
      <c r="BJ287" s="143"/>
      <c r="BK287" s="143"/>
      <c r="BL287" s="143"/>
      <c r="BM287" s="132"/>
      <c r="BN287" s="132"/>
      <c r="BO287" s="132"/>
      <c r="BP287" s="143"/>
      <c r="BQ287" s="132"/>
      <c r="BR287" s="132"/>
      <c r="BS287" s="132"/>
      <c r="BT287" s="132"/>
      <c r="BU287" s="132"/>
      <c r="BV287" s="263">
        <v>315700</v>
      </c>
      <c r="BW287" s="144">
        <f t="shared" si="68"/>
        <v>59983</v>
      </c>
      <c r="BX287" s="113">
        <f t="shared" si="69"/>
        <v>375683</v>
      </c>
      <c r="BY287" s="264" t="s">
        <v>314</v>
      </c>
      <c r="BZ287" s="264" t="s">
        <v>88</v>
      </c>
      <c r="CA287" s="132"/>
      <c r="CB287" s="274"/>
      <c r="CC287" s="144"/>
      <c r="CD287" s="274"/>
      <c r="CE287" s="132"/>
      <c r="CF287" s="132"/>
      <c r="CG287" s="36"/>
      <c r="CH287" s="263">
        <v>334642</v>
      </c>
      <c r="CI287" s="265">
        <f t="shared" si="74"/>
        <v>63581.98</v>
      </c>
      <c r="CJ287" s="263">
        <f t="shared" si="75"/>
        <v>398223.98</v>
      </c>
      <c r="CK287" s="264" t="s">
        <v>314</v>
      </c>
      <c r="CL287" s="264" t="s">
        <v>88</v>
      </c>
      <c r="CM287" s="132"/>
      <c r="CN287" s="274"/>
      <c r="CO287" s="144"/>
      <c r="CP287" s="274"/>
      <c r="CQ287" s="132"/>
      <c r="CR287" s="132"/>
      <c r="CS287" s="132"/>
      <c r="CT287" s="144">
        <v>505920.00000000006</v>
      </c>
      <c r="CU287" s="144">
        <f t="shared" si="76"/>
        <v>96124.800000000017</v>
      </c>
      <c r="CV287" s="144">
        <f t="shared" si="67"/>
        <v>602044.80000000005</v>
      </c>
      <c r="CW287" s="132"/>
      <c r="CX287" s="132"/>
      <c r="CY287" s="132"/>
      <c r="CZ287" s="118"/>
      <c r="DA287" s="144"/>
      <c r="DB287" s="118"/>
      <c r="DC287" s="33"/>
      <c r="DD287" s="39"/>
      <c r="DE287" s="11"/>
      <c r="DF287" s="132"/>
      <c r="DG287" s="132"/>
      <c r="DH287" s="132"/>
      <c r="DI287" s="132"/>
      <c r="DJ287" s="132"/>
      <c r="DK287" s="132"/>
      <c r="DL287" s="132"/>
      <c r="DM287" s="132"/>
      <c r="DN287" s="132"/>
      <c r="DO287" s="132"/>
      <c r="DP287" s="132"/>
      <c r="DQ287" s="132"/>
      <c r="DR287" s="132"/>
      <c r="DS287" s="132"/>
      <c r="DT287" s="132"/>
      <c r="DU287" s="132"/>
      <c r="DV287" s="132"/>
      <c r="DW287" s="132"/>
      <c r="DX287" s="132"/>
      <c r="DY287" s="132"/>
      <c r="DZ287" s="132"/>
      <c r="EA287" s="132"/>
      <c r="EB287" s="132"/>
      <c r="EC287" s="132"/>
      <c r="ED287" s="132"/>
      <c r="EE287" s="132"/>
      <c r="EF287" s="132"/>
      <c r="EG287" s="132"/>
      <c r="EH287" s="132"/>
      <c r="EI287" s="132"/>
      <c r="EJ287" s="132"/>
      <c r="EK287" s="132"/>
      <c r="EL287" s="132"/>
      <c r="EM287" s="132"/>
      <c r="EN287" s="132"/>
      <c r="EO287" s="132"/>
      <c r="EP287" s="132"/>
      <c r="EQ287" s="132"/>
      <c r="ER287" s="132"/>
      <c r="ES287" s="132"/>
      <c r="ET287" s="11"/>
      <c r="EU287" s="11"/>
      <c r="EV287" s="11"/>
      <c r="EW287" s="11"/>
      <c r="EX287" s="11"/>
      <c r="EY287" s="11"/>
      <c r="EZ287" s="11"/>
      <c r="FA287" s="11"/>
      <c r="FB287" s="11"/>
      <c r="FC287" s="11"/>
      <c r="FD287" s="11"/>
      <c r="FE287" s="11"/>
      <c r="FF287" s="11"/>
      <c r="FG287" s="11"/>
      <c r="FH287" s="39">
        <f t="shared" si="61"/>
        <v>1602670.58</v>
      </c>
      <c r="FI287" s="33">
        <f t="shared" si="62"/>
        <v>5</v>
      </c>
      <c r="FJ287" s="84">
        <f t="shared" si="63"/>
        <v>320534.11600000004</v>
      </c>
    </row>
    <row r="288" spans="1:166" ht="13.5" x14ac:dyDescent="0.25">
      <c r="A288" s="79" t="e">
        <f>#REF!</f>
        <v>#REF!</v>
      </c>
      <c r="B288" s="75" t="e">
        <f>#REF!</f>
        <v>#REF!</v>
      </c>
      <c r="C288" s="75" t="e">
        <f>#REF!</f>
        <v>#REF!</v>
      </c>
      <c r="D288" s="75" t="e">
        <f>#REF!</f>
        <v>#REF!</v>
      </c>
      <c r="E288" s="30">
        <v>1</v>
      </c>
      <c r="F288" s="238">
        <v>460440.75</v>
      </c>
      <c r="G288" s="241">
        <v>444227</v>
      </c>
      <c r="H288" s="249">
        <v>170189.4</v>
      </c>
      <c r="I288" s="249">
        <v>0</v>
      </c>
      <c r="J288" s="249">
        <v>237549.28750000003</v>
      </c>
      <c r="K288" s="249">
        <v>0</v>
      </c>
      <c r="L288" s="274">
        <f>AVERAGE(F288,H288,J288)</f>
        <v>289393.14583333331</v>
      </c>
      <c r="M288" s="274">
        <f>G288*E1</f>
        <v>457553.81</v>
      </c>
      <c r="N288" s="245"/>
      <c r="O288" s="113"/>
      <c r="P288" s="113"/>
      <c r="Q288" s="131"/>
      <c r="R288" s="131"/>
      <c r="S288" s="64"/>
      <c r="T288" s="113"/>
      <c r="U288" s="113"/>
      <c r="V288" s="113"/>
      <c r="W288" s="131"/>
      <c r="X288" s="131"/>
      <c r="Y288" s="11"/>
      <c r="Z288" s="113"/>
      <c r="AA288" s="113"/>
      <c r="AB288" s="113"/>
      <c r="AC288" s="52"/>
      <c r="AD288" s="52"/>
      <c r="AE288" s="11"/>
      <c r="AF288" s="118"/>
      <c r="AG288" s="144"/>
      <c r="AH288" s="113"/>
      <c r="AI288" s="11"/>
      <c r="AJ288" s="11"/>
      <c r="AK288" s="39"/>
      <c r="AL288" s="113">
        <v>95000</v>
      </c>
      <c r="AM288" s="113">
        <f>+AL288*0.19</f>
        <v>18050</v>
      </c>
      <c r="AN288" s="119">
        <f>+AL288+AM288</f>
        <v>113050</v>
      </c>
      <c r="AO288" s="76" t="s">
        <v>44</v>
      </c>
      <c r="AP288" s="39" t="s">
        <v>45</v>
      </c>
      <c r="AQ288" s="39"/>
      <c r="AR288" s="275">
        <v>95520</v>
      </c>
      <c r="AS288" s="113">
        <f t="shared" si="77"/>
        <v>18148.8</v>
      </c>
      <c r="AT288" s="119">
        <f t="shared" si="78"/>
        <v>113668.8</v>
      </c>
      <c r="AU288" s="62" t="s">
        <v>44</v>
      </c>
      <c r="AV288" s="62" t="s">
        <v>45</v>
      </c>
      <c r="AW288" s="31"/>
      <c r="AX288" s="116"/>
      <c r="AY288" s="194"/>
      <c r="AZ288" s="143"/>
      <c r="BA288" s="191"/>
      <c r="BB288" s="132"/>
      <c r="BC288" s="132"/>
      <c r="BD288" s="274"/>
      <c r="BE288" s="143"/>
      <c r="BF288" s="143"/>
      <c r="BG288" s="132"/>
      <c r="BH288" s="132"/>
      <c r="BI288" s="132"/>
      <c r="BJ288" s="143"/>
      <c r="BK288" s="143"/>
      <c r="BL288" s="143"/>
      <c r="BM288" s="132"/>
      <c r="BN288" s="132"/>
      <c r="BO288" s="132"/>
      <c r="BP288" s="143"/>
      <c r="BQ288" s="132"/>
      <c r="BR288" s="132"/>
      <c r="BS288" s="132"/>
      <c r="BT288" s="132"/>
      <c r="BU288" s="132"/>
      <c r="BV288" s="263">
        <v>316300</v>
      </c>
      <c r="BW288" s="144">
        <f t="shared" si="68"/>
        <v>60097</v>
      </c>
      <c r="BX288" s="113">
        <f t="shared" si="69"/>
        <v>376397</v>
      </c>
      <c r="BY288" s="264" t="s">
        <v>314</v>
      </c>
      <c r="BZ288" s="264" t="s">
        <v>88</v>
      </c>
      <c r="CA288" s="132"/>
      <c r="CB288" s="274"/>
      <c r="CC288" s="144"/>
      <c r="CD288" s="274"/>
      <c r="CE288" s="132"/>
      <c r="CF288" s="132"/>
      <c r="CG288" s="36"/>
      <c r="CH288" s="263">
        <v>335278</v>
      </c>
      <c r="CI288" s="265">
        <f t="shared" si="74"/>
        <v>63702.82</v>
      </c>
      <c r="CJ288" s="263">
        <f t="shared" si="75"/>
        <v>398980.82</v>
      </c>
      <c r="CK288" s="264" t="s">
        <v>314</v>
      </c>
      <c r="CL288" s="264" t="s">
        <v>88</v>
      </c>
      <c r="CM288" s="132"/>
      <c r="CN288" s="274"/>
      <c r="CO288" s="144"/>
      <c r="CP288" s="274"/>
      <c r="CQ288" s="132"/>
      <c r="CR288" s="132"/>
      <c r="CS288" s="132"/>
      <c r="CT288" s="144">
        <v>320960</v>
      </c>
      <c r="CU288" s="144">
        <f t="shared" si="76"/>
        <v>60982.400000000001</v>
      </c>
      <c r="CV288" s="144">
        <f t="shared" si="67"/>
        <v>381942.4</v>
      </c>
      <c r="CW288" s="132"/>
      <c r="CX288" s="132"/>
      <c r="CY288" s="132"/>
      <c r="CZ288" s="118">
        <v>131310</v>
      </c>
      <c r="DA288" s="144">
        <f>+CZ288*0.19</f>
        <v>24948.9</v>
      </c>
      <c r="DB288" s="118">
        <f>+CZ288+DA288</f>
        <v>156258.9</v>
      </c>
      <c r="DC288" s="33" t="s">
        <v>315</v>
      </c>
      <c r="DD288" s="39" t="s">
        <v>58</v>
      </c>
      <c r="DE288" s="11"/>
      <c r="DF288" s="132"/>
      <c r="DG288" s="132"/>
      <c r="DH288" s="132"/>
      <c r="DI288" s="132"/>
      <c r="DJ288" s="132"/>
      <c r="DK288" s="132"/>
      <c r="DL288" s="132"/>
      <c r="DM288" s="132"/>
      <c r="DN288" s="132"/>
      <c r="DO288" s="132"/>
      <c r="DP288" s="132"/>
      <c r="DQ288" s="132"/>
      <c r="DR288" s="132"/>
      <c r="DS288" s="132"/>
      <c r="DT288" s="132"/>
      <c r="DU288" s="132"/>
      <c r="DV288" s="132"/>
      <c r="DW288" s="132"/>
      <c r="DX288" s="132"/>
      <c r="DY288" s="132"/>
      <c r="DZ288" s="132"/>
      <c r="EA288" s="132"/>
      <c r="EB288" s="132"/>
      <c r="EC288" s="132"/>
      <c r="ED288" s="132"/>
      <c r="EE288" s="132"/>
      <c r="EF288" s="132"/>
      <c r="EG288" s="132"/>
      <c r="EH288" s="132"/>
      <c r="EI288" s="132"/>
      <c r="EJ288" s="132"/>
      <c r="EK288" s="132"/>
      <c r="EL288" s="132"/>
      <c r="EM288" s="132"/>
      <c r="EN288" s="132"/>
      <c r="EO288" s="132"/>
      <c r="EP288" s="132"/>
      <c r="EQ288" s="132"/>
      <c r="ER288" s="132"/>
      <c r="ES288" s="132"/>
      <c r="ET288" s="11"/>
      <c r="EU288" s="11"/>
      <c r="EV288" s="11"/>
      <c r="EW288" s="11"/>
      <c r="EX288" s="11"/>
      <c r="EY288" s="11"/>
      <c r="EZ288" s="11"/>
      <c r="FA288" s="11"/>
      <c r="FB288" s="11"/>
      <c r="FC288" s="11"/>
      <c r="FD288" s="11"/>
      <c r="FE288" s="11"/>
      <c r="FF288" s="11"/>
      <c r="FG288" s="11"/>
      <c r="FH288" s="39">
        <f t="shared" si="61"/>
        <v>1997851.73</v>
      </c>
      <c r="FI288" s="33">
        <f t="shared" si="62"/>
        <v>7</v>
      </c>
      <c r="FJ288" s="84">
        <f t="shared" si="63"/>
        <v>285407.39</v>
      </c>
    </row>
    <row r="289" spans="1:166" ht="65.25" customHeight="1" x14ac:dyDescent="0.25">
      <c r="A289" s="79" t="e">
        <f>#REF!</f>
        <v>#REF!</v>
      </c>
      <c r="B289" s="75" t="e">
        <f>#REF!</f>
        <v>#REF!</v>
      </c>
      <c r="C289" s="75" t="e">
        <f>#REF!</f>
        <v>#REF!</v>
      </c>
      <c r="D289" s="75" t="e">
        <f>#REF!</f>
        <v>#REF!</v>
      </c>
      <c r="E289" s="30">
        <v>1</v>
      </c>
      <c r="F289" s="238">
        <v>0</v>
      </c>
      <c r="G289" s="241">
        <v>0</v>
      </c>
      <c r="H289" s="249">
        <v>511188.3</v>
      </c>
      <c r="I289" s="249">
        <v>511105</v>
      </c>
      <c r="J289" s="249">
        <v>1175352.29</v>
      </c>
      <c r="K289" s="249">
        <v>1134070</v>
      </c>
      <c r="L289" s="274">
        <f>AVERAGE(H289,J289)</f>
        <v>843270.29500000004</v>
      </c>
      <c r="M289" s="274">
        <f>AVERAGE(I289,K289)*E1</f>
        <v>847265.125</v>
      </c>
      <c r="N289" s="245"/>
      <c r="O289" s="113"/>
      <c r="P289" s="113"/>
      <c r="Q289" s="131"/>
      <c r="R289" s="131"/>
      <c r="S289" s="64"/>
      <c r="T289" s="113"/>
      <c r="U289" s="113"/>
      <c r="V289" s="113"/>
      <c r="W289" s="131"/>
      <c r="X289" s="131"/>
      <c r="Y289" s="11"/>
      <c r="Z289" s="113"/>
      <c r="AA289" s="113"/>
      <c r="AB289" s="113"/>
      <c r="AC289" s="52"/>
      <c r="AD289" s="52"/>
      <c r="AE289" s="11"/>
      <c r="AF289" s="118"/>
      <c r="AG289" s="144"/>
      <c r="AH289" s="113"/>
      <c r="AI289" s="11"/>
      <c r="AJ289" s="11"/>
      <c r="AK289" s="39"/>
      <c r="AL289" s="113"/>
      <c r="AM289" s="113"/>
      <c r="AN289" s="119"/>
      <c r="AO289" s="76"/>
      <c r="AP289" s="39"/>
      <c r="AQ289" s="39"/>
      <c r="AR289" s="275">
        <v>468000</v>
      </c>
      <c r="AS289" s="113">
        <f t="shared" si="77"/>
        <v>88920</v>
      </c>
      <c r="AT289" s="119">
        <f t="shared" si="78"/>
        <v>556920</v>
      </c>
      <c r="AU289" s="62" t="s">
        <v>204</v>
      </c>
      <c r="AV289" s="62" t="s">
        <v>35</v>
      </c>
      <c r="AW289" s="31"/>
      <c r="AX289" s="116"/>
      <c r="AY289" s="194"/>
      <c r="AZ289" s="143"/>
      <c r="BA289" s="191"/>
      <c r="BB289" s="132"/>
      <c r="BC289" s="132"/>
      <c r="BD289" s="274"/>
      <c r="BE289" s="143"/>
      <c r="BF289" s="143"/>
      <c r="BG289" s="132"/>
      <c r="BH289" s="132"/>
      <c r="BI289" s="132"/>
      <c r="BJ289" s="143"/>
      <c r="BK289" s="143"/>
      <c r="BL289" s="143"/>
      <c r="BM289" s="132"/>
      <c r="BN289" s="132"/>
      <c r="BO289" s="132"/>
      <c r="BP289" s="143"/>
      <c r="BQ289" s="132"/>
      <c r="BR289" s="132"/>
      <c r="BS289" s="132"/>
      <c r="BT289" s="132"/>
      <c r="BU289" s="132"/>
      <c r="BV289" s="263">
        <v>800100</v>
      </c>
      <c r="BW289" s="144">
        <f t="shared" si="68"/>
        <v>152019</v>
      </c>
      <c r="BX289" s="113">
        <f t="shared" si="69"/>
        <v>952119</v>
      </c>
      <c r="BY289" s="264" t="s">
        <v>312</v>
      </c>
      <c r="BZ289" s="264" t="s">
        <v>310</v>
      </c>
      <c r="CA289" s="132"/>
      <c r="CB289" s="274"/>
      <c r="CC289" s="144"/>
      <c r="CD289" s="274"/>
      <c r="CE289" s="132"/>
      <c r="CF289" s="132"/>
      <c r="CG289" s="36"/>
      <c r="CH289" s="263">
        <v>832104</v>
      </c>
      <c r="CI289" s="265">
        <f t="shared" si="74"/>
        <v>158099.76</v>
      </c>
      <c r="CJ289" s="263">
        <f t="shared" si="75"/>
        <v>990203.76</v>
      </c>
      <c r="CK289" s="264" t="s">
        <v>312</v>
      </c>
      <c r="CL289" s="264" t="s">
        <v>310</v>
      </c>
      <c r="CM289" s="132"/>
      <c r="CN289" s="274"/>
      <c r="CO289" s="144"/>
      <c r="CP289" s="274"/>
      <c r="CQ289" s="132"/>
      <c r="CR289" s="132"/>
      <c r="CS289" s="132"/>
      <c r="CT289" s="144">
        <v>391680</v>
      </c>
      <c r="CU289" s="144">
        <f t="shared" si="76"/>
        <v>74419.199999999997</v>
      </c>
      <c r="CV289" s="144">
        <f t="shared" si="67"/>
        <v>466099.20000000001</v>
      </c>
      <c r="CW289" s="132"/>
      <c r="CX289" s="132"/>
      <c r="CY289" s="132"/>
      <c r="CZ289" s="118"/>
      <c r="DA289" s="144"/>
      <c r="DB289" s="118"/>
      <c r="DC289" s="33"/>
      <c r="DD289" s="39"/>
      <c r="DE289" s="11"/>
      <c r="DF289" s="132"/>
      <c r="DG289" s="132"/>
      <c r="DH289" s="132"/>
      <c r="DI289" s="132"/>
      <c r="DJ289" s="132"/>
      <c r="DK289" s="132"/>
      <c r="DL289" s="132"/>
      <c r="DM289" s="132"/>
      <c r="DN289" s="132"/>
      <c r="DO289" s="132"/>
      <c r="DP289" s="132"/>
      <c r="DQ289" s="132"/>
      <c r="DR289" s="132"/>
      <c r="DS289" s="132"/>
      <c r="DT289" s="132"/>
      <c r="DU289" s="132"/>
      <c r="DV289" s="132"/>
      <c r="DW289" s="132"/>
      <c r="DX289" s="132"/>
      <c r="DY289" s="132"/>
      <c r="DZ289" s="132"/>
      <c r="EA289" s="132"/>
      <c r="EB289" s="132"/>
      <c r="EC289" s="132"/>
      <c r="ED289" s="132"/>
      <c r="EE289" s="132"/>
      <c r="EF289" s="132"/>
      <c r="EG289" s="132"/>
      <c r="EH289" s="132"/>
      <c r="EI289" s="132"/>
      <c r="EJ289" s="132"/>
      <c r="EK289" s="132"/>
      <c r="EL289" s="132"/>
      <c r="EM289" s="132"/>
      <c r="EN289" s="132"/>
      <c r="EO289" s="132"/>
      <c r="EP289" s="132"/>
      <c r="EQ289" s="132"/>
      <c r="ER289" s="132"/>
      <c r="ES289" s="132"/>
      <c r="ET289" s="11"/>
      <c r="EU289" s="11"/>
      <c r="EV289" s="11"/>
      <c r="EW289" s="11"/>
      <c r="EX289" s="11"/>
      <c r="EY289" s="11"/>
      <c r="EZ289" s="11"/>
      <c r="FA289" s="11"/>
      <c r="FB289" s="11"/>
      <c r="FC289" s="11"/>
      <c r="FD289" s="11"/>
      <c r="FE289" s="11"/>
      <c r="FF289" s="11"/>
      <c r="FG289" s="11"/>
      <c r="FH289" s="39">
        <f t="shared" si="61"/>
        <v>3812607.085</v>
      </c>
      <c r="FI289" s="33">
        <f t="shared" si="62"/>
        <v>5</v>
      </c>
      <c r="FJ289" s="84">
        <f t="shared" si="63"/>
        <v>762521.41700000002</v>
      </c>
    </row>
    <row r="290" spans="1:166" ht="60" customHeight="1" x14ac:dyDescent="0.25">
      <c r="A290" s="79" t="e">
        <f>#REF!</f>
        <v>#REF!</v>
      </c>
      <c r="B290" s="76" t="e">
        <f>#REF!</f>
        <v>#REF!</v>
      </c>
      <c r="C290" s="75" t="e">
        <f>#REF!</f>
        <v>#REF!</v>
      </c>
      <c r="D290" s="75" t="e">
        <f>#REF!</f>
        <v>#REF!</v>
      </c>
      <c r="E290" s="30">
        <v>1</v>
      </c>
      <c r="F290" s="238">
        <v>0</v>
      </c>
      <c r="G290" s="241">
        <v>0</v>
      </c>
      <c r="H290" s="249">
        <v>0</v>
      </c>
      <c r="I290" s="249">
        <v>0</v>
      </c>
      <c r="J290" s="249">
        <v>0</v>
      </c>
      <c r="K290" s="249">
        <v>0</v>
      </c>
      <c r="L290" s="274"/>
      <c r="M290" s="274"/>
      <c r="N290" s="245"/>
      <c r="O290" s="113"/>
      <c r="P290" s="113"/>
      <c r="Q290" s="131"/>
      <c r="R290" s="131"/>
      <c r="S290" s="64"/>
      <c r="T290" s="113"/>
      <c r="U290" s="113"/>
      <c r="V290" s="113"/>
      <c r="W290" s="131"/>
      <c r="X290" s="131"/>
      <c r="Y290" s="11"/>
      <c r="Z290" s="113"/>
      <c r="AA290" s="113"/>
      <c r="AB290" s="113"/>
      <c r="AC290" s="52"/>
      <c r="AD290" s="52"/>
      <c r="AE290" s="11"/>
      <c r="AF290" s="118"/>
      <c r="AG290" s="144"/>
      <c r="AH290" s="113"/>
      <c r="AI290" s="11"/>
      <c r="AJ290" s="11"/>
      <c r="AK290" s="39"/>
      <c r="AL290" s="113"/>
      <c r="AM290" s="113"/>
      <c r="AN290" s="117"/>
      <c r="AO290" s="76"/>
      <c r="AP290" s="39"/>
      <c r="AQ290" s="39"/>
      <c r="AR290" s="275">
        <v>259200</v>
      </c>
      <c r="AS290" s="113">
        <f t="shared" si="77"/>
        <v>49248</v>
      </c>
      <c r="AT290" s="119">
        <f t="shared" si="78"/>
        <v>308448</v>
      </c>
      <c r="AU290" s="62" t="s">
        <v>109</v>
      </c>
      <c r="AV290" s="62" t="s">
        <v>35</v>
      </c>
      <c r="AW290" s="31"/>
      <c r="AX290" s="116"/>
      <c r="AY290" s="116"/>
      <c r="AZ290" s="143"/>
      <c r="BA290" s="191"/>
      <c r="BB290" s="132"/>
      <c r="BC290" s="132"/>
      <c r="BD290" s="274"/>
      <c r="BE290" s="143"/>
      <c r="BF290" s="143"/>
      <c r="BG290" s="132"/>
      <c r="BH290" s="132"/>
      <c r="BI290" s="132"/>
      <c r="BJ290" s="143"/>
      <c r="BK290" s="143"/>
      <c r="BL290" s="143"/>
      <c r="BM290" s="132"/>
      <c r="BN290" s="132"/>
      <c r="BO290" s="132"/>
      <c r="BP290" s="143"/>
      <c r="BQ290" s="132"/>
      <c r="BR290" s="132"/>
      <c r="BS290" s="132"/>
      <c r="BT290" s="132"/>
      <c r="BU290" s="132"/>
      <c r="BV290" s="263">
        <v>745000</v>
      </c>
      <c r="BW290" s="144">
        <f t="shared" si="68"/>
        <v>141550</v>
      </c>
      <c r="BX290" s="113">
        <f t="shared" si="69"/>
        <v>886550</v>
      </c>
      <c r="BY290" s="264" t="s">
        <v>312</v>
      </c>
      <c r="BZ290" s="264" t="s">
        <v>310</v>
      </c>
      <c r="CA290" s="132"/>
      <c r="CB290" s="274"/>
      <c r="CC290" s="144"/>
      <c r="CD290" s="274"/>
      <c r="CE290" s="132"/>
      <c r="CF290" s="132"/>
      <c r="CG290" s="36"/>
      <c r="CH290" s="263">
        <v>752450</v>
      </c>
      <c r="CI290" s="265">
        <f t="shared" si="74"/>
        <v>142965.5</v>
      </c>
      <c r="CJ290" s="263">
        <f t="shared" si="75"/>
        <v>895415.5</v>
      </c>
      <c r="CK290" s="264" t="s">
        <v>312</v>
      </c>
      <c r="CL290" s="264" t="s">
        <v>310</v>
      </c>
      <c r="CM290" s="132"/>
      <c r="CN290" s="274"/>
      <c r="CO290" s="144"/>
      <c r="CP290" s="274"/>
      <c r="CQ290" s="132"/>
      <c r="CR290" s="132"/>
      <c r="CS290" s="132"/>
      <c r="CT290" s="144">
        <v>734400</v>
      </c>
      <c r="CU290" s="144">
        <f t="shared" si="76"/>
        <v>139536</v>
      </c>
      <c r="CV290" s="144">
        <f t="shared" si="67"/>
        <v>873936</v>
      </c>
      <c r="CW290" s="132"/>
      <c r="CX290" s="132"/>
      <c r="CY290" s="132"/>
      <c r="CZ290" s="118"/>
      <c r="DA290" s="144"/>
      <c r="DB290" s="118"/>
      <c r="DC290" s="33"/>
      <c r="DD290" s="39"/>
      <c r="DE290" s="11"/>
      <c r="DF290" s="132"/>
      <c r="DG290" s="132"/>
      <c r="DH290" s="132"/>
      <c r="DI290" s="132"/>
      <c r="DJ290" s="132"/>
      <c r="DK290" s="132"/>
      <c r="DL290" s="132"/>
      <c r="DM290" s="132"/>
      <c r="DN290" s="132"/>
      <c r="DO290" s="132"/>
      <c r="DP290" s="132"/>
      <c r="DQ290" s="132"/>
      <c r="DR290" s="132"/>
      <c r="DS290" s="132"/>
      <c r="DT290" s="132"/>
      <c r="DU290" s="132"/>
      <c r="DV290" s="132"/>
      <c r="DW290" s="132"/>
      <c r="DX290" s="132"/>
      <c r="DY290" s="132"/>
      <c r="DZ290" s="132"/>
      <c r="EA290" s="132"/>
      <c r="EB290" s="132"/>
      <c r="EC290" s="132"/>
      <c r="ED290" s="132"/>
      <c r="EE290" s="132"/>
      <c r="EF290" s="132"/>
      <c r="EG290" s="132"/>
      <c r="EH290" s="132"/>
      <c r="EI290" s="132"/>
      <c r="EJ290" s="132"/>
      <c r="EK290" s="132"/>
      <c r="EL290" s="132"/>
      <c r="EM290" s="132"/>
      <c r="EN290" s="132"/>
      <c r="EO290" s="132"/>
      <c r="EP290" s="132"/>
      <c r="EQ290" s="132"/>
      <c r="ER290" s="132"/>
      <c r="ES290" s="132"/>
      <c r="ET290" s="11"/>
      <c r="EU290" s="11"/>
      <c r="EV290" s="11"/>
      <c r="EW290" s="11"/>
      <c r="EX290" s="11"/>
      <c r="EY290" s="11"/>
      <c r="EZ290" s="11"/>
      <c r="FA290" s="11"/>
      <c r="FB290" s="11"/>
      <c r="FC290" s="11"/>
      <c r="FD290" s="11"/>
      <c r="FE290" s="11"/>
      <c r="FF290" s="11"/>
      <c r="FG290" s="11"/>
      <c r="FH290" s="39">
        <f t="shared" si="61"/>
        <v>2964349.5</v>
      </c>
      <c r="FI290" s="33">
        <f t="shared" si="62"/>
        <v>4</v>
      </c>
      <c r="FJ290" s="84">
        <f t="shared" si="63"/>
        <v>741087.375</v>
      </c>
    </row>
    <row r="291" spans="1:166" ht="40.5" x14ac:dyDescent="0.25">
      <c r="A291" s="79" t="e">
        <f>#REF!</f>
        <v>#REF!</v>
      </c>
      <c r="B291" s="75" t="e">
        <f>#REF!</f>
        <v>#REF!</v>
      </c>
      <c r="C291" s="75" t="e">
        <f>#REF!</f>
        <v>#REF!</v>
      </c>
      <c r="D291" s="75" t="e">
        <f>#REF!</f>
        <v>#REF!</v>
      </c>
      <c r="E291" s="30">
        <v>1</v>
      </c>
      <c r="F291" s="238">
        <v>2647631</v>
      </c>
      <c r="G291" s="241">
        <v>2515184</v>
      </c>
      <c r="H291" s="249">
        <v>1047596.6666666666</v>
      </c>
      <c r="I291" s="249">
        <v>0</v>
      </c>
      <c r="J291" s="249">
        <v>1346576.6300000001</v>
      </c>
      <c r="K291" s="249">
        <v>1309000</v>
      </c>
      <c r="L291" s="274">
        <f>AVERAGE(F291,H291,J291)</f>
        <v>1680601.4322222222</v>
      </c>
      <c r="M291" s="274">
        <f>AVERAGE(G291,K291)*E1</f>
        <v>1969454.76</v>
      </c>
      <c r="N291" s="245"/>
      <c r="O291" s="113"/>
      <c r="P291" s="113"/>
      <c r="Q291" s="131"/>
      <c r="R291" s="131"/>
      <c r="S291" s="64"/>
      <c r="T291" s="113"/>
      <c r="U291" s="113"/>
      <c r="V291" s="113"/>
      <c r="W291" s="131"/>
      <c r="X291" s="131"/>
      <c r="Y291" s="11"/>
      <c r="Z291" s="113"/>
      <c r="AA291" s="113"/>
      <c r="AB291" s="113"/>
      <c r="AC291" s="52"/>
      <c r="AD291" s="52"/>
      <c r="AE291" s="11"/>
      <c r="AF291" s="118"/>
      <c r="AG291" s="144"/>
      <c r="AH291" s="113"/>
      <c r="AI291" s="11"/>
      <c r="AJ291" s="11"/>
      <c r="AK291" s="39"/>
      <c r="AL291" s="113"/>
      <c r="AM291" s="113"/>
      <c r="AN291" s="117"/>
      <c r="AO291" s="76"/>
      <c r="AP291" s="39"/>
      <c r="AQ291" s="39"/>
      <c r="AR291" s="275">
        <v>252000</v>
      </c>
      <c r="AS291" s="113">
        <f t="shared" si="77"/>
        <v>47880</v>
      </c>
      <c r="AT291" s="119">
        <f t="shared" si="78"/>
        <v>299880</v>
      </c>
      <c r="AU291" s="62" t="s">
        <v>285</v>
      </c>
      <c r="AV291" s="62" t="s">
        <v>35</v>
      </c>
      <c r="AW291" s="31"/>
      <c r="AX291" s="116"/>
      <c r="AY291" s="194"/>
      <c r="AZ291" s="143"/>
      <c r="BA291" s="191"/>
      <c r="BB291" s="132"/>
      <c r="BC291" s="132"/>
      <c r="BD291" s="274"/>
      <c r="BE291" s="143"/>
      <c r="BF291" s="143"/>
      <c r="BG291" s="132"/>
      <c r="BH291" s="132"/>
      <c r="BI291" s="132"/>
      <c r="BJ291" s="143"/>
      <c r="BK291" s="143"/>
      <c r="BL291" s="143"/>
      <c r="BM291" s="132"/>
      <c r="BN291" s="132"/>
      <c r="BO291" s="132"/>
      <c r="BP291" s="143"/>
      <c r="BQ291" s="132"/>
      <c r="BR291" s="132"/>
      <c r="BS291" s="132"/>
      <c r="BT291" s="132"/>
      <c r="BU291" s="132"/>
      <c r="BV291" s="263">
        <v>529200</v>
      </c>
      <c r="BW291" s="144">
        <f t="shared" si="68"/>
        <v>100548</v>
      </c>
      <c r="BX291" s="113">
        <f t="shared" si="69"/>
        <v>629748</v>
      </c>
      <c r="BY291" s="264" t="s">
        <v>312</v>
      </c>
      <c r="BZ291" s="264" t="s">
        <v>310</v>
      </c>
      <c r="CA291" s="132"/>
      <c r="CB291" s="274"/>
      <c r="CC291" s="144"/>
      <c r="CD291" s="274"/>
      <c r="CE291" s="132"/>
      <c r="CF291" s="132"/>
      <c r="CG291" s="36"/>
      <c r="CH291" s="263">
        <v>539784</v>
      </c>
      <c r="CI291" s="265">
        <f t="shared" si="74"/>
        <v>102558.96</v>
      </c>
      <c r="CJ291" s="263">
        <f t="shared" si="75"/>
        <v>642342.96</v>
      </c>
      <c r="CK291" s="264" t="s">
        <v>312</v>
      </c>
      <c r="CL291" s="264" t="s">
        <v>310</v>
      </c>
      <c r="CM291" s="132"/>
      <c r="CN291" s="274"/>
      <c r="CO291" s="144"/>
      <c r="CP291" s="274"/>
      <c r="CQ291" s="132"/>
      <c r="CR291" s="132"/>
      <c r="CS291" s="132"/>
      <c r="CT291" s="274">
        <v>1185920</v>
      </c>
      <c r="CU291" s="144">
        <f>CT291*0</f>
        <v>0</v>
      </c>
      <c r="CV291" s="144">
        <f t="shared" si="67"/>
        <v>1185920</v>
      </c>
      <c r="CW291" s="132"/>
      <c r="CX291" s="132"/>
      <c r="CY291" s="132"/>
      <c r="CZ291" s="118"/>
      <c r="DA291" s="144"/>
      <c r="DB291" s="118"/>
      <c r="DC291" s="33"/>
      <c r="DD291" s="39"/>
      <c r="DE291" s="11"/>
      <c r="DF291" s="132"/>
      <c r="DG291" s="132"/>
      <c r="DH291" s="132"/>
      <c r="DI291" s="132"/>
      <c r="DJ291" s="132"/>
      <c r="DK291" s="132"/>
      <c r="DL291" s="132"/>
      <c r="DM291" s="132"/>
      <c r="DN291" s="132"/>
      <c r="DO291" s="132"/>
      <c r="DP291" s="132"/>
      <c r="DQ291" s="132"/>
      <c r="DR291" s="132"/>
      <c r="DS291" s="132"/>
      <c r="DT291" s="132"/>
      <c r="DU291" s="132"/>
      <c r="DV291" s="132"/>
      <c r="DW291" s="132"/>
      <c r="DX291" s="132"/>
      <c r="DY291" s="132"/>
      <c r="DZ291" s="132"/>
      <c r="EA291" s="132"/>
      <c r="EB291" s="132"/>
      <c r="EC291" s="132"/>
      <c r="ED291" s="132"/>
      <c r="EE291" s="132"/>
      <c r="EF291" s="132"/>
      <c r="EG291" s="132"/>
      <c r="EH291" s="132"/>
      <c r="EI291" s="132"/>
      <c r="EJ291" s="132"/>
      <c r="EK291" s="132"/>
      <c r="EL291" s="132"/>
      <c r="EM291" s="132"/>
      <c r="EN291" s="132"/>
      <c r="EO291" s="132"/>
      <c r="EP291" s="132"/>
      <c r="EQ291" s="132"/>
      <c r="ER291" s="132"/>
      <c r="ES291" s="132"/>
      <c r="ET291" s="11"/>
      <c r="EU291" s="11"/>
      <c r="EV291" s="11"/>
      <c r="EW291" s="11"/>
      <c r="EX291" s="11"/>
      <c r="EY291" s="11"/>
      <c r="EZ291" s="11"/>
      <c r="FA291" s="11"/>
      <c r="FB291" s="11"/>
      <c r="FC291" s="11"/>
      <c r="FD291" s="11"/>
      <c r="FE291" s="11"/>
      <c r="FF291" s="11"/>
      <c r="FG291" s="11"/>
      <c r="FH291" s="39">
        <f t="shared" si="61"/>
        <v>4727345.72</v>
      </c>
      <c r="FI291" s="33">
        <f t="shared" si="62"/>
        <v>5</v>
      </c>
      <c r="FJ291" s="84">
        <f t="shared" si="63"/>
        <v>945469.14399999997</v>
      </c>
    </row>
    <row r="292" spans="1:166" ht="40.5" x14ac:dyDescent="0.25">
      <c r="A292" s="79" t="e">
        <f>#REF!</f>
        <v>#REF!</v>
      </c>
      <c r="B292" s="75" t="e">
        <f>#REF!</f>
        <v>#REF!</v>
      </c>
      <c r="C292" s="75" t="e">
        <f>#REF!</f>
        <v>#REF!</v>
      </c>
      <c r="D292" s="75" t="e">
        <f>#REF!</f>
        <v>#REF!</v>
      </c>
      <c r="E292" s="30">
        <v>1</v>
      </c>
      <c r="F292" s="238">
        <v>662949</v>
      </c>
      <c r="G292" s="241">
        <v>0</v>
      </c>
      <c r="H292" s="249">
        <v>1848466.6666666667</v>
      </c>
      <c r="I292" s="249">
        <v>0</v>
      </c>
      <c r="J292" s="249">
        <v>1436205.645</v>
      </c>
      <c r="K292" s="249">
        <v>1386350</v>
      </c>
      <c r="L292" s="274">
        <f>AVERAGE(F292,H292,J292)</f>
        <v>1315873.7705555556</v>
      </c>
      <c r="M292" s="274">
        <f>K292*E1</f>
        <v>1427940.5</v>
      </c>
      <c r="N292" s="245"/>
      <c r="O292" s="113"/>
      <c r="P292" s="113"/>
      <c r="Q292" s="131"/>
      <c r="R292" s="131"/>
      <c r="S292" s="64"/>
      <c r="T292" s="113"/>
      <c r="U292" s="113"/>
      <c r="V292" s="113"/>
      <c r="W292" s="131"/>
      <c r="X292" s="131"/>
      <c r="Y292" s="11"/>
      <c r="Z292" s="113"/>
      <c r="AA292" s="113"/>
      <c r="AB292" s="113"/>
      <c r="AC292" s="52"/>
      <c r="AD292" s="52"/>
      <c r="AE292" s="11"/>
      <c r="AF292" s="118"/>
      <c r="AG292" s="144"/>
      <c r="AH292" s="113"/>
      <c r="AI292" s="11"/>
      <c r="AJ292" s="11"/>
      <c r="AK292" s="39"/>
      <c r="AL292" s="113"/>
      <c r="AM292" s="113"/>
      <c r="AN292" s="119"/>
      <c r="AO292" s="76"/>
      <c r="AP292" s="39"/>
      <c r="AQ292" s="39"/>
      <c r="AR292" s="275">
        <v>864000</v>
      </c>
      <c r="AS292" s="113">
        <f t="shared" si="77"/>
        <v>164160</v>
      </c>
      <c r="AT292" s="119">
        <f t="shared" si="78"/>
        <v>1028160</v>
      </c>
      <c r="AU292" s="62" t="s">
        <v>264</v>
      </c>
      <c r="AV292" s="62" t="s">
        <v>35</v>
      </c>
      <c r="AW292" s="31"/>
      <c r="AX292" s="116"/>
      <c r="AY292" s="194"/>
      <c r="AZ292" s="143"/>
      <c r="BA292" s="191"/>
      <c r="BB292" s="132"/>
      <c r="BC292" s="132"/>
      <c r="BD292" s="274"/>
      <c r="BE292" s="143"/>
      <c r="BF292" s="143"/>
      <c r="BG292" s="132"/>
      <c r="BH292" s="132"/>
      <c r="BI292" s="132"/>
      <c r="BJ292" s="143"/>
      <c r="BK292" s="143"/>
      <c r="BL292" s="143"/>
      <c r="BM292" s="132"/>
      <c r="BN292" s="132"/>
      <c r="BO292" s="132"/>
      <c r="BP292" s="143"/>
      <c r="BQ292" s="132"/>
      <c r="BR292" s="132"/>
      <c r="BS292" s="132"/>
      <c r="BT292" s="132"/>
      <c r="BU292" s="132"/>
      <c r="BV292" s="263">
        <v>1283000</v>
      </c>
      <c r="BW292" s="144">
        <f t="shared" si="68"/>
        <v>243770</v>
      </c>
      <c r="BX292" s="113">
        <f t="shared" si="69"/>
        <v>1526770</v>
      </c>
      <c r="BY292" s="264" t="s">
        <v>309</v>
      </c>
      <c r="BZ292" s="264" t="s">
        <v>310</v>
      </c>
      <c r="CA292" s="132"/>
      <c r="CB292" s="274"/>
      <c r="CC292" s="144"/>
      <c r="CD292" s="274"/>
      <c r="CE292" s="132"/>
      <c r="CF292" s="132"/>
      <c r="CG292" s="36"/>
      <c r="CH292" s="263">
        <v>1347150</v>
      </c>
      <c r="CI292" s="265">
        <f t="shared" si="74"/>
        <v>255958.5</v>
      </c>
      <c r="CJ292" s="263">
        <f t="shared" si="75"/>
        <v>1603108.5</v>
      </c>
      <c r="CK292" s="264" t="s">
        <v>309</v>
      </c>
      <c r="CL292" s="264" t="s">
        <v>310</v>
      </c>
      <c r="CM292" s="132"/>
      <c r="CN292" s="274"/>
      <c r="CO292" s="144"/>
      <c r="CP292" s="274"/>
      <c r="CQ292" s="132"/>
      <c r="CR292" s="132"/>
      <c r="CS292" s="132"/>
      <c r="CT292" s="144">
        <v>366000</v>
      </c>
      <c r="CU292" s="144">
        <f>CT292*0.19</f>
        <v>69540</v>
      </c>
      <c r="CV292" s="144">
        <f t="shared" si="67"/>
        <v>435540</v>
      </c>
      <c r="CW292" s="132"/>
      <c r="CX292" s="132"/>
      <c r="CY292" s="132"/>
      <c r="CZ292" s="118"/>
      <c r="DA292" s="144"/>
      <c r="DB292" s="118"/>
      <c r="DC292" s="33"/>
      <c r="DD292" s="39"/>
      <c r="DE292" s="11"/>
      <c r="DF292" s="132"/>
      <c r="DG292" s="132"/>
      <c r="DH292" s="132"/>
      <c r="DI292" s="132"/>
      <c r="DJ292" s="132"/>
      <c r="DK292" s="132"/>
      <c r="DL292" s="132"/>
      <c r="DM292" s="132"/>
      <c r="DN292" s="132"/>
      <c r="DO292" s="132"/>
      <c r="DP292" s="132"/>
      <c r="DQ292" s="132"/>
      <c r="DR292" s="132"/>
      <c r="DS292" s="132"/>
      <c r="DT292" s="132"/>
      <c r="DU292" s="132"/>
      <c r="DV292" s="132"/>
      <c r="DW292" s="132"/>
      <c r="DX292" s="132"/>
      <c r="DY292" s="132"/>
      <c r="DZ292" s="132"/>
      <c r="EA292" s="132"/>
      <c r="EB292" s="132"/>
      <c r="EC292" s="132"/>
      <c r="ED292" s="132"/>
      <c r="EE292" s="132"/>
      <c r="EF292" s="132"/>
      <c r="EG292" s="132"/>
      <c r="EH292" s="132"/>
      <c r="EI292" s="132"/>
      <c r="EJ292" s="132"/>
      <c r="EK292" s="132"/>
      <c r="EL292" s="132"/>
      <c r="EM292" s="132"/>
      <c r="EN292" s="132"/>
      <c r="EO292" s="132"/>
      <c r="EP292" s="132"/>
      <c r="EQ292" s="132"/>
      <c r="ER292" s="132"/>
      <c r="ES292" s="132"/>
      <c r="ET292" s="11"/>
      <c r="EU292" s="11"/>
      <c r="EV292" s="11"/>
      <c r="EW292" s="11"/>
      <c r="EX292" s="11"/>
      <c r="EY292" s="11"/>
      <c r="EZ292" s="11"/>
      <c r="FA292" s="11"/>
      <c r="FB292" s="11"/>
      <c r="FC292" s="11"/>
      <c r="FD292" s="11"/>
      <c r="FE292" s="11"/>
      <c r="FF292" s="11"/>
      <c r="FG292" s="11"/>
      <c r="FH292" s="39">
        <f t="shared" si="61"/>
        <v>6021519</v>
      </c>
      <c r="FI292" s="33">
        <f t="shared" si="62"/>
        <v>5</v>
      </c>
      <c r="FJ292" s="84">
        <f t="shared" si="63"/>
        <v>1204303.8</v>
      </c>
    </row>
    <row r="293" spans="1:166" ht="71.25" customHeight="1" x14ac:dyDescent="0.25">
      <c r="A293" s="79" t="e">
        <f>#REF!</f>
        <v>#REF!</v>
      </c>
      <c r="B293" s="75" t="e">
        <f>#REF!</f>
        <v>#REF!</v>
      </c>
      <c r="C293" s="75" t="e">
        <f>#REF!</f>
        <v>#REF!</v>
      </c>
      <c r="D293" s="75" t="e">
        <f>#REF!</f>
        <v>#REF!</v>
      </c>
      <c r="E293" s="30">
        <v>1</v>
      </c>
      <c r="F293" s="238">
        <v>0</v>
      </c>
      <c r="G293" s="241">
        <v>0</v>
      </c>
      <c r="H293" s="249">
        <v>0</v>
      </c>
      <c r="I293" s="249">
        <v>0</v>
      </c>
      <c r="J293" s="249">
        <v>0</v>
      </c>
      <c r="K293" s="249">
        <v>0</v>
      </c>
      <c r="L293" s="274"/>
      <c r="M293" s="274"/>
      <c r="N293" s="245"/>
      <c r="O293" s="113"/>
      <c r="P293" s="113"/>
      <c r="Q293" s="131"/>
      <c r="R293" s="131"/>
      <c r="S293" s="64"/>
      <c r="T293" s="113"/>
      <c r="U293" s="113"/>
      <c r="V293" s="113"/>
      <c r="W293" s="131"/>
      <c r="X293" s="131"/>
      <c r="Y293" s="11"/>
      <c r="Z293" s="113"/>
      <c r="AA293" s="113"/>
      <c r="AB293" s="113"/>
      <c r="AC293" s="52"/>
      <c r="AD293" s="52"/>
      <c r="AE293" s="11"/>
      <c r="AF293" s="118"/>
      <c r="AG293" s="144"/>
      <c r="AH293" s="113"/>
      <c r="AI293" s="11"/>
      <c r="AJ293" s="11"/>
      <c r="AK293" s="39"/>
      <c r="AL293" s="113"/>
      <c r="AM293" s="113"/>
      <c r="AN293" s="119"/>
      <c r="AO293" s="76"/>
      <c r="AP293" s="39"/>
      <c r="AQ293" s="39"/>
      <c r="AR293" s="275">
        <v>1728000</v>
      </c>
      <c r="AS293" s="113">
        <f t="shared" si="77"/>
        <v>328320</v>
      </c>
      <c r="AT293" s="119">
        <f t="shared" si="78"/>
        <v>2056320</v>
      </c>
      <c r="AU293" s="62" t="s">
        <v>264</v>
      </c>
      <c r="AV293" s="62" t="s">
        <v>35</v>
      </c>
      <c r="AW293" s="31"/>
      <c r="AX293" s="116"/>
      <c r="AY293" s="116"/>
      <c r="AZ293" s="143"/>
      <c r="BA293" s="191"/>
      <c r="BB293" s="132"/>
      <c r="BC293" s="132"/>
      <c r="BD293" s="274"/>
      <c r="BE293" s="143"/>
      <c r="BF293" s="143"/>
      <c r="BG293" s="132"/>
      <c r="BH293" s="132"/>
      <c r="BI293" s="132"/>
      <c r="BJ293" s="143"/>
      <c r="BK293" s="143"/>
      <c r="BL293" s="143"/>
      <c r="BM293" s="132"/>
      <c r="BN293" s="132"/>
      <c r="BO293" s="132"/>
      <c r="BP293" s="143"/>
      <c r="BQ293" s="132"/>
      <c r="BR293" s="132"/>
      <c r="BS293" s="132"/>
      <c r="BT293" s="132"/>
      <c r="BU293" s="132"/>
      <c r="BV293" s="263">
        <v>1903800</v>
      </c>
      <c r="BW293" s="144">
        <f t="shared" si="68"/>
        <v>361722</v>
      </c>
      <c r="BX293" s="113">
        <f t="shared" si="69"/>
        <v>2265522</v>
      </c>
      <c r="BY293" s="264" t="s">
        <v>309</v>
      </c>
      <c r="BZ293" s="264" t="s">
        <v>310</v>
      </c>
      <c r="CA293" s="132"/>
      <c r="CB293" s="274"/>
      <c r="CC293" s="144"/>
      <c r="CD293" s="274"/>
      <c r="CE293" s="132"/>
      <c r="CF293" s="132"/>
      <c r="CG293" s="36"/>
      <c r="CH293" s="263"/>
      <c r="CI293" s="265"/>
      <c r="CJ293" s="263"/>
      <c r="CK293" s="264"/>
      <c r="CL293" s="264"/>
      <c r="CM293" s="132"/>
      <c r="CN293" s="274"/>
      <c r="CO293" s="144"/>
      <c r="CP293" s="274"/>
      <c r="CQ293" s="132"/>
      <c r="CR293" s="132"/>
      <c r="CS293" s="132"/>
      <c r="CT293" s="144">
        <v>231000</v>
      </c>
      <c r="CU293" s="144">
        <f>CT293*0.19</f>
        <v>43890</v>
      </c>
      <c r="CV293" s="144">
        <f t="shared" si="67"/>
        <v>274890</v>
      </c>
      <c r="CW293" s="132"/>
      <c r="CX293" s="132"/>
      <c r="CY293" s="132"/>
      <c r="CZ293" s="118"/>
      <c r="DA293" s="144"/>
      <c r="DB293" s="118"/>
      <c r="DC293" s="33"/>
      <c r="DD293" s="39"/>
      <c r="DE293" s="11"/>
      <c r="DF293" s="132"/>
      <c r="DG293" s="132"/>
      <c r="DH293" s="132"/>
      <c r="DI293" s="132"/>
      <c r="DJ293" s="132"/>
      <c r="DK293" s="132"/>
      <c r="DL293" s="132"/>
      <c r="DM293" s="132"/>
      <c r="DN293" s="132"/>
      <c r="DO293" s="132"/>
      <c r="DP293" s="132"/>
      <c r="DQ293" s="132"/>
      <c r="DR293" s="132"/>
      <c r="DS293" s="132"/>
      <c r="DT293" s="132"/>
      <c r="DU293" s="132"/>
      <c r="DV293" s="132"/>
      <c r="DW293" s="132"/>
      <c r="DX293" s="132"/>
      <c r="DY293" s="132"/>
      <c r="DZ293" s="132"/>
      <c r="EA293" s="132"/>
      <c r="EB293" s="132"/>
      <c r="EC293" s="132"/>
      <c r="ED293" s="132"/>
      <c r="EE293" s="132"/>
      <c r="EF293" s="132"/>
      <c r="EG293" s="132"/>
      <c r="EH293" s="132"/>
      <c r="EI293" s="132"/>
      <c r="EJ293" s="132"/>
      <c r="EK293" s="132"/>
      <c r="EL293" s="132"/>
      <c r="EM293" s="132"/>
      <c r="EN293" s="132"/>
      <c r="EO293" s="132"/>
      <c r="EP293" s="132"/>
      <c r="EQ293" s="132"/>
      <c r="ER293" s="132"/>
      <c r="ES293" s="132"/>
      <c r="ET293" s="11"/>
      <c r="EU293" s="11"/>
      <c r="EV293" s="11"/>
      <c r="EW293" s="11"/>
      <c r="EX293" s="11"/>
      <c r="EY293" s="11"/>
      <c r="EZ293" s="11"/>
      <c r="FA293" s="11"/>
      <c r="FB293" s="11"/>
      <c r="FC293" s="11"/>
      <c r="FD293" s="11"/>
      <c r="FE293" s="11"/>
      <c r="FF293" s="11"/>
      <c r="FG293" s="11"/>
      <c r="FH293" s="39">
        <f t="shared" si="61"/>
        <v>4596732</v>
      </c>
      <c r="FI293" s="33">
        <f t="shared" si="62"/>
        <v>3</v>
      </c>
      <c r="FJ293" s="84">
        <f t="shared" si="63"/>
        <v>1532244</v>
      </c>
    </row>
    <row r="294" spans="1:166" ht="40.5" x14ac:dyDescent="0.25">
      <c r="A294" s="79" t="e">
        <f>#REF!</f>
        <v>#REF!</v>
      </c>
      <c r="B294" s="75" t="e">
        <f>#REF!</f>
        <v>#REF!</v>
      </c>
      <c r="C294" s="75" t="e">
        <f>#REF!</f>
        <v>#REF!</v>
      </c>
      <c r="D294" s="75" t="e">
        <f>#REF!</f>
        <v>#REF!</v>
      </c>
      <c r="E294" s="30">
        <v>1</v>
      </c>
      <c r="F294" s="238">
        <v>0</v>
      </c>
      <c r="G294" s="241">
        <v>0</v>
      </c>
      <c r="H294" s="249">
        <v>0</v>
      </c>
      <c r="I294" s="249">
        <v>0</v>
      </c>
      <c r="J294" s="249">
        <v>0</v>
      </c>
      <c r="K294" s="249">
        <v>0</v>
      </c>
      <c r="L294" s="274"/>
      <c r="M294" s="274"/>
      <c r="N294" s="245"/>
      <c r="O294" s="113"/>
      <c r="P294" s="113"/>
      <c r="Q294" s="131"/>
      <c r="R294" s="131"/>
      <c r="S294" s="64"/>
      <c r="T294" s="113"/>
      <c r="U294" s="113"/>
      <c r="V294" s="113"/>
      <c r="W294" s="131"/>
      <c r="X294" s="131"/>
      <c r="Y294" s="11"/>
      <c r="Z294" s="113"/>
      <c r="AA294" s="113"/>
      <c r="AB294" s="113"/>
      <c r="AC294" s="52"/>
      <c r="AD294" s="52"/>
      <c r="AE294" s="11"/>
      <c r="AF294" s="118"/>
      <c r="AG294" s="144"/>
      <c r="AH294" s="113"/>
      <c r="AI294" s="11"/>
      <c r="AJ294" s="11"/>
      <c r="AK294" s="39"/>
      <c r="AL294" s="113"/>
      <c r="AM294" s="113"/>
      <c r="AN294" s="119"/>
      <c r="AO294" s="76"/>
      <c r="AP294" s="39"/>
      <c r="AQ294" s="39"/>
      <c r="AR294" s="275">
        <v>1857600</v>
      </c>
      <c r="AS294" s="113">
        <f t="shared" si="77"/>
        <v>352944</v>
      </c>
      <c r="AT294" s="119">
        <f t="shared" si="78"/>
        <v>2210544</v>
      </c>
      <c r="AU294" s="62" t="s">
        <v>308</v>
      </c>
      <c r="AV294" s="62" t="s">
        <v>35</v>
      </c>
      <c r="AW294" s="31"/>
      <c r="AX294" s="116"/>
      <c r="AY294" s="194"/>
      <c r="AZ294" s="143"/>
      <c r="BA294" s="191"/>
      <c r="BB294" s="132"/>
      <c r="BC294" s="132"/>
      <c r="BD294" s="274"/>
      <c r="BE294" s="143"/>
      <c r="BF294" s="143"/>
      <c r="BG294" s="132"/>
      <c r="BH294" s="132"/>
      <c r="BI294" s="132"/>
      <c r="BJ294" s="143"/>
      <c r="BK294" s="143"/>
      <c r="BL294" s="143"/>
      <c r="BM294" s="132"/>
      <c r="BN294" s="132"/>
      <c r="BO294" s="132"/>
      <c r="BP294" s="143"/>
      <c r="BQ294" s="132"/>
      <c r="BR294" s="132"/>
      <c r="BS294" s="132"/>
      <c r="BT294" s="132"/>
      <c r="BU294" s="132"/>
      <c r="BV294" s="268">
        <v>4400000</v>
      </c>
      <c r="BW294" s="144">
        <f t="shared" si="68"/>
        <v>836000</v>
      </c>
      <c r="BX294" s="113">
        <f t="shared" si="69"/>
        <v>5236000</v>
      </c>
      <c r="BY294" s="264" t="s">
        <v>320</v>
      </c>
      <c r="BZ294" s="264" t="s">
        <v>310</v>
      </c>
      <c r="CA294" s="132"/>
      <c r="CB294" s="274"/>
      <c r="CC294" s="144"/>
      <c r="CD294" s="274"/>
      <c r="CE294" s="132"/>
      <c r="CF294" s="132"/>
      <c r="CG294" s="36"/>
      <c r="CH294" s="268"/>
      <c r="CI294" s="265"/>
      <c r="CJ294" s="263"/>
      <c r="CK294" s="264"/>
      <c r="CL294" s="264"/>
      <c r="CM294" s="132"/>
      <c r="CN294" s="274"/>
      <c r="CO294" s="144"/>
      <c r="CP294" s="274"/>
      <c r="CQ294" s="132"/>
      <c r="CR294" s="132"/>
      <c r="CS294" s="132"/>
      <c r="CT294" s="144">
        <v>92000</v>
      </c>
      <c r="CU294" s="144">
        <f>CT294*0.19</f>
        <v>17480</v>
      </c>
      <c r="CV294" s="144">
        <f t="shared" si="67"/>
        <v>109480</v>
      </c>
      <c r="CW294" s="132"/>
      <c r="CX294" s="132"/>
      <c r="CY294" s="132"/>
      <c r="CZ294" s="118"/>
      <c r="DA294" s="144"/>
      <c r="DB294" s="118"/>
      <c r="DC294" s="33"/>
      <c r="DD294" s="39"/>
      <c r="DE294" s="11"/>
      <c r="DF294" s="132"/>
      <c r="DG294" s="132"/>
      <c r="DH294" s="132"/>
      <c r="DI294" s="132"/>
      <c r="DJ294" s="132"/>
      <c r="DK294" s="132"/>
      <c r="DL294" s="132"/>
      <c r="DM294" s="132"/>
      <c r="DN294" s="132"/>
      <c r="DO294" s="132"/>
      <c r="DP294" s="132"/>
      <c r="DQ294" s="132"/>
      <c r="DR294" s="132"/>
      <c r="DS294" s="132"/>
      <c r="DT294" s="132"/>
      <c r="DU294" s="132"/>
      <c r="DV294" s="132"/>
      <c r="DW294" s="132"/>
      <c r="DX294" s="132"/>
      <c r="DY294" s="132"/>
      <c r="DZ294" s="132"/>
      <c r="EA294" s="132"/>
      <c r="EB294" s="132"/>
      <c r="EC294" s="132"/>
      <c r="ED294" s="132"/>
      <c r="EE294" s="132"/>
      <c r="EF294" s="132"/>
      <c r="EG294" s="132"/>
      <c r="EH294" s="132"/>
      <c r="EI294" s="132"/>
      <c r="EJ294" s="132"/>
      <c r="EK294" s="132"/>
      <c r="EL294" s="132"/>
      <c r="EM294" s="132"/>
      <c r="EN294" s="132"/>
      <c r="EO294" s="132"/>
      <c r="EP294" s="132"/>
      <c r="EQ294" s="132"/>
      <c r="ER294" s="132"/>
      <c r="ES294" s="132"/>
      <c r="ET294" s="11"/>
      <c r="EU294" s="11"/>
      <c r="EV294" s="11"/>
      <c r="EW294" s="11"/>
      <c r="EX294" s="11"/>
      <c r="EY294" s="11"/>
      <c r="EZ294" s="11"/>
      <c r="FA294" s="11"/>
      <c r="FB294" s="11"/>
      <c r="FC294" s="11"/>
      <c r="FD294" s="11"/>
      <c r="FE294" s="11"/>
      <c r="FF294" s="11"/>
      <c r="FG294" s="11"/>
      <c r="FH294" s="39">
        <f t="shared" si="61"/>
        <v>7556024</v>
      </c>
      <c r="FI294" s="33">
        <f t="shared" si="62"/>
        <v>3</v>
      </c>
      <c r="FJ294" s="84">
        <f t="shared" si="63"/>
        <v>2518674.6666666665</v>
      </c>
    </row>
    <row r="295" spans="1:166" ht="40.5" x14ac:dyDescent="0.25">
      <c r="A295" s="79" t="e">
        <f>#REF!</f>
        <v>#REF!</v>
      </c>
      <c r="B295" s="75" t="e">
        <f>#REF!</f>
        <v>#REF!</v>
      </c>
      <c r="C295" s="75" t="e">
        <f>#REF!</f>
        <v>#REF!</v>
      </c>
      <c r="D295" s="75" t="e">
        <f>#REF!</f>
        <v>#REF!</v>
      </c>
      <c r="E295" s="30">
        <v>1</v>
      </c>
      <c r="F295" s="238">
        <v>0</v>
      </c>
      <c r="G295" s="241">
        <v>0</v>
      </c>
      <c r="H295" s="249">
        <v>0</v>
      </c>
      <c r="I295" s="249">
        <v>0</v>
      </c>
      <c r="J295" s="249">
        <v>0</v>
      </c>
      <c r="K295" s="249">
        <v>0</v>
      </c>
      <c r="L295" s="274"/>
      <c r="M295" s="274"/>
      <c r="N295" s="245"/>
      <c r="O295" s="113"/>
      <c r="P295" s="113"/>
      <c r="Q295" s="131"/>
      <c r="R295" s="131"/>
      <c r="S295" s="64"/>
      <c r="T295" s="113"/>
      <c r="U295" s="113"/>
      <c r="V295" s="113"/>
      <c r="W295" s="131"/>
      <c r="X295" s="131"/>
      <c r="Y295" s="11"/>
      <c r="Z295" s="113"/>
      <c r="AA295" s="113"/>
      <c r="AB295" s="113"/>
      <c r="AC295" s="52"/>
      <c r="AD295" s="52"/>
      <c r="AE295" s="11"/>
      <c r="AF295" s="118"/>
      <c r="AG295" s="144"/>
      <c r="AH295" s="113"/>
      <c r="AI295" s="11"/>
      <c r="AJ295" s="11"/>
      <c r="AK295" s="39"/>
      <c r="AL295" s="113"/>
      <c r="AM295" s="113"/>
      <c r="AN295" s="117"/>
      <c r="AO295" s="76"/>
      <c r="AP295" s="39"/>
      <c r="AQ295" s="39"/>
      <c r="AR295" s="275">
        <v>1188000</v>
      </c>
      <c r="AS295" s="113">
        <f t="shared" si="77"/>
        <v>225720</v>
      </c>
      <c r="AT295" s="119">
        <f t="shared" si="78"/>
        <v>1413720</v>
      </c>
      <c r="AU295" s="62" t="s">
        <v>264</v>
      </c>
      <c r="AV295" s="62" t="s">
        <v>35</v>
      </c>
      <c r="AW295" s="31"/>
      <c r="AX295" s="116"/>
      <c r="AY295" s="194"/>
      <c r="AZ295" s="143"/>
      <c r="BA295" s="191"/>
      <c r="BB295" s="132"/>
      <c r="BC295" s="132"/>
      <c r="BD295" s="274"/>
      <c r="BE295" s="143"/>
      <c r="BF295" s="143"/>
      <c r="BG295" s="132"/>
      <c r="BH295" s="132"/>
      <c r="BI295" s="132"/>
      <c r="BJ295" s="143"/>
      <c r="BK295" s="143"/>
      <c r="BL295" s="143"/>
      <c r="BM295" s="132"/>
      <c r="BN295" s="132"/>
      <c r="BO295" s="132"/>
      <c r="BP295" s="143"/>
      <c r="BQ295" s="132"/>
      <c r="BR295" s="132"/>
      <c r="BS295" s="132"/>
      <c r="BT295" s="132"/>
      <c r="BU295" s="132"/>
      <c r="BV295" s="263">
        <v>993300</v>
      </c>
      <c r="BW295" s="144">
        <f t="shared" si="68"/>
        <v>188727</v>
      </c>
      <c r="BX295" s="113">
        <f t="shared" si="69"/>
        <v>1182027</v>
      </c>
      <c r="BY295" s="264" t="s">
        <v>309</v>
      </c>
      <c r="BZ295" s="264" t="s">
        <v>310</v>
      </c>
      <c r="CA295" s="132"/>
      <c r="CB295" s="274"/>
      <c r="CC295" s="144"/>
      <c r="CD295" s="274"/>
      <c r="CE295" s="132"/>
      <c r="CF295" s="132"/>
      <c r="CG295" s="36"/>
      <c r="CH295" s="263">
        <v>1013166</v>
      </c>
      <c r="CI295" s="265">
        <f>+CH295*0.19</f>
        <v>192501.54</v>
      </c>
      <c r="CJ295" s="263">
        <f>+CH295+CI295</f>
        <v>1205667.54</v>
      </c>
      <c r="CK295" s="264" t="s">
        <v>309</v>
      </c>
      <c r="CL295" s="264" t="s">
        <v>310</v>
      </c>
      <c r="CM295" s="132"/>
      <c r="CN295" s="274"/>
      <c r="CO295" s="144"/>
      <c r="CP295" s="274"/>
      <c r="CQ295" s="132"/>
      <c r="CR295" s="132"/>
      <c r="CS295" s="132"/>
      <c r="CT295" s="144">
        <v>419000</v>
      </c>
      <c r="CU295" s="144">
        <f>CT295*0.19</f>
        <v>79610</v>
      </c>
      <c r="CV295" s="144">
        <f t="shared" si="67"/>
        <v>498610</v>
      </c>
      <c r="CW295" s="132"/>
      <c r="CX295" s="132"/>
      <c r="CY295" s="132"/>
      <c r="CZ295" s="118"/>
      <c r="DA295" s="144"/>
      <c r="DB295" s="118"/>
      <c r="DC295" s="33"/>
      <c r="DD295" s="39"/>
      <c r="DE295" s="11"/>
      <c r="DF295" s="132"/>
      <c r="DG295" s="132"/>
      <c r="DH295" s="132"/>
      <c r="DI295" s="132"/>
      <c r="DJ295" s="132"/>
      <c r="DK295" s="132"/>
      <c r="DL295" s="132"/>
      <c r="DM295" s="132"/>
      <c r="DN295" s="132"/>
      <c r="DO295" s="132"/>
      <c r="DP295" s="132"/>
      <c r="DQ295" s="132"/>
      <c r="DR295" s="132"/>
      <c r="DS295" s="132"/>
      <c r="DT295" s="132"/>
      <c r="DU295" s="132"/>
      <c r="DV295" s="132"/>
      <c r="DW295" s="132"/>
      <c r="DX295" s="132"/>
      <c r="DY295" s="132"/>
      <c r="DZ295" s="132"/>
      <c r="EA295" s="132"/>
      <c r="EB295" s="132"/>
      <c r="EC295" s="132"/>
      <c r="ED295" s="132"/>
      <c r="EE295" s="132"/>
      <c r="EF295" s="132"/>
      <c r="EG295" s="132"/>
      <c r="EH295" s="132"/>
      <c r="EI295" s="132"/>
      <c r="EJ295" s="132"/>
      <c r="EK295" s="132"/>
      <c r="EL295" s="132"/>
      <c r="EM295" s="132"/>
      <c r="EN295" s="132"/>
      <c r="EO295" s="132"/>
      <c r="EP295" s="132"/>
      <c r="EQ295" s="132"/>
      <c r="ER295" s="132"/>
      <c r="ES295" s="132"/>
      <c r="ET295" s="11"/>
      <c r="EU295" s="11"/>
      <c r="EV295" s="11"/>
      <c r="EW295" s="11"/>
      <c r="EX295" s="11"/>
      <c r="EY295" s="11"/>
      <c r="EZ295" s="11"/>
      <c r="FA295" s="11"/>
      <c r="FB295" s="11"/>
      <c r="FC295" s="11"/>
      <c r="FD295" s="11"/>
      <c r="FE295" s="11"/>
      <c r="FF295" s="11"/>
      <c r="FG295" s="11"/>
      <c r="FH295" s="39">
        <f t="shared" si="61"/>
        <v>4300024.54</v>
      </c>
      <c r="FI295" s="33">
        <f t="shared" si="62"/>
        <v>4</v>
      </c>
      <c r="FJ295" s="84">
        <f t="shared" si="63"/>
        <v>1075006.135</v>
      </c>
    </row>
    <row r="296" spans="1:166" ht="25.5" x14ac:dyDescent="0.25">
      <c r="A296" s="79" t="e">
        <f>#REF!</f>
        <v>#REF!</v>
      </c>
      <c r="B296" s="75" t="e">
        <f>#REF!</f>
        <v>#REF!</v>
      </c>
      <c r="C296" s="75" t="e">
        <f>#REF!</f>
        <v>#REF!</v>
      </c>
      <c r="D296" s="75" t="e">
        <f>#REF!</f>
        <v>#REF!</v>
      </c>
      <c r="E296" s="30">
        <v>1</v>
      </c>
      <c r="F296" s="238">
        <v>1785000</v>
      </c>
      <c r="G296" s="241">
        <v>1785000</v>
      </c>
      <c r="H296" s="249">
        <v>2380000</v>
      </c>
      <c r="I296" s="249">
        <v>0</v>
      </c>
      <c r="J296" s="249">
        <v>2145213</v>
      </c>
      <c r="K296" s="249">
        <v>0</v>
      </c>
      <c r="L296" s="274">
        <f>AVERAGE(F296,H296,J296)</f>
        <v>2103404.3333333335</v>
      </c>
      <c r="M296" s="274">
        <f>G296*E1</f>
        <v>1838550</v>
      </c>
      <c r="N296" s="245"/>
      <c r="O296" s="113"/>
      <c r="P296" s="113"/>
      <c r="Q296" s="131"/>
      <c r="R296" s="131"/>
      <c r="S296" s="64"/>
      <c r="T296" s="113"/>
      <c r="U296" s="113"/>
      <c r="V296" s="113"/>
      <c r="W296" s="131"/>
      <c r="X296" s="131"/>
      <c r="Y296" s="11"/>
      <c r="Z296" s="113"/>
      <c r="AA296" s="113"/>
      <c r="AB296" s="113"/>
      <c r="AC296" s="52"/>
      <c r="AD296" s="52"/>
      <c r="AE296" s="11"/>
      <c r="AF296" s="118"/>
      <c r="AG296" s="144"/>
      <c r="AH296" s="113"/>
      <c r="AI296" s="11"/>
      <c r="AJ296" s="11"/>
      <c r="AK296" s="39"/>
      <c r="AL296" s="113"/>
      <c r="AM296" s="113"/>
      <c r="AN296" s="117"/>
      <c r="AO296" s="76"/>
      <c r="AP296" s="39"/>
      <c r="AQ296" s="39"/>
      <c r="AR296" s="275">
        <v>2030400</v>
      </c>
      <c r="AS296" s="113">
        <f t="shared" si="77"/>
        <v>385776</v>
      </c>
      <c r="AT296" s="119">
        <f t="shared" si="78"/>
        <v>2416176</v>
      </c>
      <c r="AU296" s="62" t="s">
        <v>264</v>
      </c>
      <c r="AV296" s="62" t="s">
        <v>35</v>
      </c>
      <c r="AW296" s="31"/>
      <c r="AX296" s="116"/>
      <c r="AY296" s="116"/>
      <c r="AZ296" s="143"/>
      <c r="BA296" s="191"/>
      <c r="BB296" s="132"/>
      <c r="BC296" s="132"/>
      <c r="BD296" s="274"/>
      <c r="BE296" s="143"/>
      <c r="BF296" s="143"/>
      <c r="BG296" s="132"/>
      <c r="BH296" s="132"/>
      <c r="BI296" s="132"/>
      <c r="BJ296" s="143"/>
      <c r="BK296" s="143"/>
      <c r="BL296" s="143"/>
      <c r="BM296" s="132"/>
      <c r="BN296" s="132"/>
      <c r="BO296" s="132"/>
      <c r="BP296" s="143"/>
      <c r="BQ296" s="132"/>
      <c r="BR296" s="132"/>
      <c r="BS296" s="132"/>
      <c r="BT296" s="132"/>
      <c r="BU296" s="132"/>
      <c r="BV296" s="268">
        <v>5206000</v>
      </c>
      <c r="BW296" s="144">
        <f t="shared" si="68"/>
        <v>989140</v>
      </c>
      <c r="BX296" s="113">
        <f t="shared" si="69"/>
        <v>6195140</v>
      </c>
      <c r="BY296" s="264" t="s">
        <v>321</v>
      </c>
      <c r="BZ296" s="264" t="s">
        <v>322</v>
      </c>
      <c r="CA296" s="132"/>
      <c r="CB296" s="274"/>
      <c r="CC296" s="144"/>
      <c r="CD296" s="274"/>
      <c r="CE296" s="132"/>
      <c r="CF296" s="132"/>
      <c r="CG296" s="36"/>
      <c r="CH296" s="268"/>
      <c r="CI296" s="265"/>
      <c r="CJ296" s="263"/>
      <c r="CK296" s="264"/>
      <c r="CL296" s="264"/>
      <c r="CM296" s="132"/>
      <c r="CN296" s="274"/>
      <c r="CO296" s="144"/>
      <c r="CP296" s="274"/>
      <c r="CQ296" s="132"/>
      <c r="CR296" s="132"/>
      <c r="CS296" s="132"/>
      <c r="CT296" s="274">
        <v>592500</v>
      </c>
      <c r="CU296" s="144">
        <f>CT296*0</f>
        <v>0</v>
      </c>
      <c r="CV296" s="144">
        <f t="shared" si="67"/>
        <v>592500</v>
      </c>
      <c r="CW296" s="132"/>
      <c r="CX296" s="132"/>
      <c r="CY296" s="132"/>
      <c r="CZ296" s="118"/>
      <c r="DA296" s="144"/>
      <c r="DB296" s="118"/>
      <c r="DC296" s="33"/>
      <c r="DD296" s="39"/>
      <c r="DE296" s="11"/>
      <c r="DF296" s="132"/>
      <c r="DG296" s="132"/>
      <c r="DH296" s="132"/>
      <c r="DI296" s="132"/>
      <c r="DJ296" s="132"/>
      <c r="DK296" s="132"/>
      <c r="DL296" s="132"/>
      <c r="DM296" s="132"/>
      <c r="DN296" s="132"/>
      <c r="DO296" s="132"/>
      <c r="DP296" s="132"/>
      <c r="DQ296" s="132"/>
      <c r="DR296" s="132"/>
      <c r="DS296" s="132"/>
      <c r="DT296" s="132"/>
      <c r="DU296" s="132"/>
      <c r="DV296" s="132"/>
      <c r="DW296" s="132"/>
      <c r="DX296" s="132"/>
      <c r="DY296" s="132"/>
      <c r="DZ296" s="132"/>
      <c r="EA296" s="132"/>
      <c r="EB296" s="132"/>
      <c r="EC296" s="132"/>
      <c r="ED296" s="132"/>
      <c r="EE296" s="132"/>
      <c r="EF296" s="132"/>
      <c r="EG296" s="132"/>
      <c r="EH296" s="132"/>
      <c r="EI296" s="132"/>
      <c r="EJ296" s="132"/>
      <c r="EK296" s="132"/>
      <c r="EL296" s="132"/>
      <c r="EM296" s="132"/>
      <c r="EN296" s="132"/>
      <c r="EO296" s="132"/>
      <c r="EP296" s="132"/>
      <c r="EQ296" s="132"/>
      <c r="ER296" s="132"/>
      <c r="ES296" s="132"/>
      <c r="ET296" s="11"/>
      <c r="EU296" s="11"/>
      <c r="EV296" s="11"/>
      <c r="EW296" s="11"/>
      <c r="EX296" s="11"/>
      <c r="EY296" s="11"/>
      <c r="EZ296" s="11"/>
      <c r="FA296" s="11"/>
      <c r="FB296" s="11"/>
      <c r="FC296" s="11"/>
      <c r="FD296" s="11"/>
      <c r="FE296" s="11"/>
      <c r="FF296" s="11"/>
      <c r="FG296" s="11"/>
      <c r="FH296" s="39">
        <f t="shared" si="61"/>
        <v>11042366</v>
      </c>
      <c r="FI296" s="33">
        <f t="shared" si="62"/>
        <v>4</v>
      </c>
      <c r="FJ296" s="84">
        <f t="shared" si="63"/>
        <v>2760591.5</v>
      </c>
    </row>
    <row r="297" spans="1:166" ht="25.5" x14ac:dyDescent="0.25">
      <c r="A297" s="79" t="e">
        <f>#REF!</f>
        <v>#REF!</v>
      </c>
      <c r="B297" s="75" t="e">
        <f>#REF!</f>
        <v>#REF!</v>
      </c>
      <c r="C297" s="75" t="e">
        <f>#REF!</f>
        <v>#REF!</v>
      </c>
      <c r="D297" s="75" t="e">
        <f>#REF!</f>
        <v>#REF!</v>
      </c>
      <c r="E297" s="30">
        <v>1</v>
      </c>
      <c r="F297" s="238">
        <v>1785000</v>
      </c>
      <c r="G297" s="241">
        <v>1785000</v>
      </c>
      <c r="H297" s="249">
        <v>2558500</v>
      </c>
      <c r="I297" s="249">
        <v>0</v>
      </c>
      <c r="J297" s="249">
        <v>1022805</v>
      </c>
      <c r="K297" s="249">
        <v>0</v>
      </c>
      <c r="L297" s="274">
        <f>AVERAGE(F297,H297,J297)</f>
        <v>1788768.3333333333</v>
      </c>
      <c r="M297" s="274">
        <f>G297*E1</f>
        <v>1838550</v>
      </c>
      <c r="N297" s="245"/>
      <c r="O297" s="113"/>
      <c r="P297" s="113"/>
      <c r="Q297" s="131"/>
      <c r="R297" s="131"/>
      <c r="S297" s="64"/>
      <c r="T297" s="113"/>
      <c r="U297" s="113"/>
      <c r="V297" s="113"/>
      <c r="W297" s="131"/>
      <c r="X297" s="131"/>
      <c r="Y297" s="11"/>
      <c r="Z297" s="113"/>
      <c r="AA297" s="113"/>
      <c r="AB297" s="113"/>
      <c r="AC297" s="52"/>
      <c r="AD297" s="52"/>
      <c r="AE297" s="11"/>
      <c r="AF297" s="118"/>
      <c r="AG297" s="144"/>
      <c r="AH297" s="113"/>
      <c r="AI297" s="11"/>
      <c r="AJ297" s="11"/>
      <c r="AK297" s="39"/>
      <c r="AL297" s="113"/>
      <c r="AM297" s="113"/>
      <c r="AN297" s="119"/>
      <c r="AO297" s="76"/>
      <c r="AP297" s="39"/>
      <c r="AQ297" s="39"/>
      <c r="AR297" s="275">
        <v>144000</v>
      </c>
      <c r="AS297" s="113">
        <f t="shared" si="77"/>
        <v>27360</v>
      </c>
      <c r="AT297" s="119">
        <f t="shared" si="78"/>
        <v>171360</v>
      </c>
      <c r="AU297" s="62" t="s">
        <v>109</v>
      </c>
      <c r="AV297" s="62" t="s">
        <v>35</v>
      </c>
      <c r="AW297" s="31"/>
      <c r="AX297" s="116"/>
      <c r="AY297" s="196"/>
      <c r="AZ297" s="143"/>
      <c r="BA297" s="191"/>
      <c r="BB297" s="132"/>
      <c r="BC297" s="132"/>
      <c r="BD297" s="274"/>
      <c r="BE297" s="143"/>
      <c r="BF297" s="143"/>
      <c r="BG297" s="132"/>
      <c r="BH297" s="132"/>
      <c r="BI297" s="132"/>
      <c r="BJ297" s="143"/>
      <c r="BK297" s="143"/>
      <c r="BL297" s="143"/>
      <c r="BM297" s="132"/>
      <c r="BN297" s="132"/>
      <c r="BO297" s="132"/>
      <c r="BP297" s="143"/>
      <c r="BQ297" s="132"/>
      <c r="BR297" s="132"/>
      <c r="BS297" s="132"/>
      <c r="BT297" s="132"/>
      <c r="BU297" s="132"/>
      <c r="BV297" s="263">
        <f>1849200/2</f>
        <v>924600</v>
      </c>
      <c r="BW297" s="144">
        <f t="shared" si="68"/>
        <v>175674</v>
      </c>
      <c r="BX297" s="113">
        <f t="shared" si="69"/>
        <v>1100274</v>
      </c>
      <c r="BY297" s="264" t="s">
        <v>323</v>
      </c>
      <c r="BZ297" s="264" t="s">
        <v>324</v>
      </c>
      <c r="CA297" s="132"/>
      <c r="CB297" s="274"/>
      <c r="CC297" s="144"/>
      <c r="CD297" s="274"/>
      <c r="CE297" s="132"/>
      <c r="CF297" s="132"/>
      <c r="CG297" s="36"/>
      <c r="CH297" s="268">
        <f>1941660/2</f>
        <v>970830</v>
      </c>
      <c r="CI297" s="265">
        <f>+CH297*0.19</f>
        <v>184457.7</v>
      </c>
      <c r="CJ297" s="263">
        <f>+CH297+CI297</f>
        <v>1155287.7</v>
      </c>
      <c r="CK297" s="264" t="s">
        <v>323</v>
      </c>
      <c r="CL297" s="264" t="s">
        <v>324</v>
      </c>
      <c r="CM297" s="132"/>
      <c r="CN297" s="274"/>
      <c r="CO297" s="144"/>
      <c r="CP297" s="274"/>
      <c r="CQ297" s="132"/>
      <c r="CR297" s="132"/>
      <c r="CS297" s="132"/>
      <c r="CT297" s="274">
        <v>290000</v>
      </c>
      <c r="CU297" s="144">
        <f>CT297*0</f>
        <v>0</v>
      </c>
      <c r="CV297" s="144">
        <f t="shared" si="67"/>
        <v>290000</v>
      </c>
      <c r="CW297" s="132"/>
      <c r="CX297" s="132"/>
      <c r="CY297" s="132"/>
      <c r="CZ297" s="118"/>
      <c r="DA297" s="144"/>
      <c r="DB297" s="118"/>
      <c r="DC297" s="33"/>
      <c r="DD297" s="39"/>
      <c r="DE297" s="11"/>
      <c r="DF297" s="132"/>
      <c r="DG297" s="132"/>
      <c r="DH297" s="132"/>
      <c r="DI297" s="132"/>
      <c r="DJ297" s="132"/>
      <c r="DK297" s="132"/>
      <c r="DL297" s="132"/>
      <c r="DM297" s="132"/>
      <c r="DN297" s="132"/>
      <c r="DO297" s="132"/>
      <c r="DP297" s="132"/>
      <c r="DQ297" s="132"/>
      <c r="DR297" s="132"/>
      <c r="DS297" s="132"/>
      <c r="DT297" s="132"/>
      <c r="DU297" s="132"/>
      <c r="DV297" s="132"/>
      <c r="DW297" s="132"/>
      <c r="DX297" s="132"/>
      <c r="DY297" s="132"/>
      <c r="DZ297" s="132"/>
      <c r="EA297" s="132"/>
      <c r="EB297" s="132"/>
      <c r="EC297" s="132"/>
      <c r="ED297" s="132"/>
      <c r="EE297" s="132"/>
      <c r="EF297" s="132"/>
      <c r="EG297" s="132"/>
      <c r="EH297" s="132"/>
      <c r="EI297" s="132"/>
      <c r="EJ297" s="132"/>
      <c r="EK297" s="132"/>
      <c r="EL297" s="132"/>
      <c r="EM297" s="132"/>
      <c r="EN297" s="132"/>
      <c r="EO297" s="132"/>
      <c r="EP297" s="132"/>
      <c r="EQ297" s="132"/>
      <c r="ER297" s="132"/>
      <c r="ES297" s="132"/>
      <c r="ET297" s="11"/>
      <c r="EU297" s="11"/>
      <c r="EV297" s="11"/>
      <c r="EW297" s="11"/>
      <c r="EX297" s="11"/>
      <c r="EY297" s="11"/>
      <c r="EZ297" s="11"/>
      <c r="FA297" s="11"/>
      <c r="FB297" s="11"/>
      <c r="FC297" s="11"/>
      <c r="FD297" s="11"/>
      <c r="FE297" s="11"/>
      <c r="FF297" s="11"/>
      <c r="FG297" s="11"/>
      <c r="FH297" s="39">
        <f t="shared" si="61"/>
        <v>4555471.7</v>
      </c>
      <c r="FI297" s="33">
        <f t="shared" si="62"/>
        <v>5</v>
      </c>
      <c r="FJ297" s="84">
        <f t="shared" si="63"/>
        <v>911094.34000000008</v>
      </c>
    </row>
    <row r="298" spans="1:166" ht="62.25" customHeight="1" x14ac:dyDescent="0.25">
      <c r="A298" s="79" t="e">
        <f>#REF!</f>
        <v>#REF!</v>
      </c>
      <c r="B298" s="75" t="e">
        <f>#REF!</f>
        <v>#REF!</v>
      </c>
      <c r="C298" s="75" t="e">
        <f>#REF!</f>
        <v>#REF!</v>
      </c>
      <c r="D298" s="75" t="e">
        <f>#REF!</f>
        <v>#REF!</v>
      </c>
      <c r="E298" s="30">
        <v>1</v>
      </c>
      <c r="F298" s="238">
        <v>0</v>
      </c>
      <c r="G298" s="241">
        <v>0</v>
      </c>
      <c r="H298" s="249">
        <v>0</v>
      </c>
      <c r="I298" s="249">
        <v>0</v>
      </c>
      <c r="J298" s="249">
        <v>0</v>
      </c>
      <c r="K298" s="249">
        <v>0</v>
      </c>
      <c r="L298" s="274"/>
      <c r="M298" s="274"/>
      <c r="N298" s="245"/>
      <c r="O298" s="113"/>
      <c r="P298" s="113"/>
      <c r="Q298" s="131"/>
      <c r="R298" s="131"/>
      <c r="S298" s="64"/>
      <c r="T298" s="113"/>
      <c r="U298" s="113"/>
      <c r="V298" s="113"/>
      <c r="W298" s="131"/>
      <c r="X298" s="131"/>
      <c r="Y298" s="11"/>
      <c r="Z298" s="113"/>
      <c r="AA298" s="113"/>
      <c r="AB298" s="113"/>
      <c r="AC298" s="52"/>
      <c r="AD298" s="52"/>
      <c r="AE298" s="11"/>
      <c r="AF298" s="118"/>
      <c r="AG298" s="144"/>
      <c r="AH298" s="113"/>
      <c r="AI298" s="11"/>
      <c r="AJ298" s="11"/>
      <c r="AK298" s="39"/>
      <c r="AL298" s="113"/>
      <c r="AM298" s="113"/>
      <c r="AN298" s="119"/>
      <c r="AO298" s="76"/>
      <c r="AP298" s="39"/>
      <c r="AQ298" s="39"/>
      <c r="AR298" s="275"/>
      <c r="AS298" s="161"/>
      <c r="AT298" s="143"/>
      <c r="AU298" s="62"/>
      <c r="AV298" s="62"/>
      <c r="AW298" s="31"/>
      <c r="AX298" s="116"/>
      <c r="AY298" s="194"/>
      <c r="AZ298" s="143"/>
      <c r="BA298" s="191"/>
      <c r="BB298" s="132"/>
      <c r="BC298" s="132"/>
      <c r="BD298" s="274"/>
      <c r="BE298" s="143"/>
      <c r="BF298" s="143"/>
      <c r="BG298" s="132"/>
      <c r="BH298" s="132"/>
      <c r="BI298" s="132"/>
      <c r="BJ298" s="143"/>
      <c r="BK298" s="143"/>
      <c r="BL298" s="143"/>
      <c r="BM298" s="132"/>
      <c r="BN298" s="132"/>
      <c r="BO298" s="132"/>
      <c r="BP298" s="143"/>
      <c r="BQ298" s="132"/>
      <c r="BR298" s="132"/>
      <c r="BS298" s="132"/>
      <c r="BT298" s="132"/>
      <c r="BU298" s="132"/>
      <c r="BV298" s="267">
        <v>2553000</v>
      </c>
      <c r="BW298" s="144">
        <f t="shared" si="68"/>
        <v>485070</v>
      </c>
      <c r="BX298" s="113">
        <f t="shared" si="69"/>
        <v>3038070</v>
      </c>
      <c r="BY298" s="264" t="s">
        <v>312</v>
      </c>
      <c r="BZ298" s="264" t="s">
        <v>310</v>
      </c>
      <c r="CA298" s="132"/>
      <c r="CB298" s="274"/>
      <c r="CC298" s="144"/>
      <c r="CD298" s="274"/>
      <c r="CE298" s="132"/>
      <c r="CF298" s="132"/>
      <c r="CG298" s="36"/>
      <c r="CH298" s="268">
        <v>2655120</v>
      </c>
      <c r="CI298" s="265">
        <f>+CH298*0.19</f>
        <v>504472.8</v>
      </c>
      <c r="CJ298" s="263">
        <f>+CH298+CI298</f>
        <v>3159592.8</v>
      </c>
      <c r="CK298" s="264" t="s">
        <v>312</v>
      </c>
      <c r="CL298" s="264" t="s">
        <v>310</v>
      </c>
      <c r="CM298" s="132"/>
      <c r="CN298" s="274"/>
      <c r="CO298" s="144"/>
      <c r="CP298" s="274"/>
      <c r="CQ298" s="132"/>
      <c r="CR298" s="132"/>
      <c r="CS298" s="132"/>
      <c r="CT298" s="144">
        <v>238000</v>
      </c>
      <c r="CU298" s="144">
        <f>CT298*0.19</f>
        <v>45220</v>
      </c>
      <c r="CV298" s="144">
        <f t="shared" si="67"/>
        <v>283220</v>
      </c>
      <c r="CW298" s="132"/>
      <c r="CX298" s="132"/>
      <c r="CY298" s="132"/>
      <c r="CZ298" s="118"/>
      <c r="DA298" s="144"/>
      <c r="DB298" s="118"/>
      <c r="DC298" s="33"/>
      <c r="DD298" s="39"/>
      <c r="DE298" s="11"/>
      <c r="DF298" s="132"/>
      <c r="DG298" s="132"/>
      <c r="DH298" s="132"/>
      <c r="DI298" s="132"/>
      <c r="DJ298" s="132"/>
      <c r="DK298" s="132"/>
      <c r="DL298" s="132"/>
      <c r="DM298" s="132"/>
      <c r="DN298" s="132"/>
      <c r="DO298" s="132"/>
      <c r="DP298" s="132"/>
      <c r="DQ298" s="132"/>
      <c r="DR298" s="132"/>
      <c r="DS298" s="132"/>
      <c r="DT298" s="132"/>
      <c r="DU298" s="132"/>
      <c r="DV298" s="132"/>
      <c r="DW298" s="132"/>
      <c r="DX298" s="132"/>
      <c r="DY298" s="132"/>
      <c r="DZ298" s="132"/>
      <c r="EA298" s="132"/>
      <c r="EB298" s="132"/>
      <c r="EC298" s="132"/>
      <c r="ED298" s="132"/>
      <c r="EE298" s="132"/>
      <c r="EF298" s="132"/>
      <c r="EG298" s="132"/>
      <c r="EH298" s="132"/>
      <c r="EI298" s="132"/>
      <c r="EJ298" s="132"/>
      <c r="EK298" s="132"/>
      <c r="EL298" s="132"/>
      <c r="EM298" s="132"/>
      <c r="EN298" s="132"/>
      <c r="EO298" s="132"/>
      <c r="EP298" s="132"/>
      <c r="EQ298" s="132"/>
      <c r="ER298" s="132"/>
      <c r="ES298" s="132"/>
      <c r="ET298" s="11"/>
      <c r="EU298" s="11"/>
      <c r="EV298" s="11"/>
      <c r="EW298" s="11"/>
      <c r="EX298" s="11"/>
      <c r="EY298" s="11"/>
      <c r="EZ298" s="11"/>
      <c r="FA298" s="11"/>
      <c r="FB298" s="11"/>
      <c r="FC298" s="11"/>
      <c r="FD298" s="11"/>
      <c r="FE298" s="11"/>
      <c r="FF298" s="11"/>
      <c r="FG298" s="11"/>
      <c r="FH298" s="39">
        <f t="shared" si="61"/>
        <v>6480882.7999999998</v>
      </c>
      <c r="FI298" s="33">
        <f t="shared" si="62"/>
        <v>3</v>
      </c>
      <c r="FJ298" s="84">
        <f t="shared" si="63"/>
        <v>2160294.2666666666</v>
      </c>
    </row>
    <row r="299" spans="1:166" ht="40.5" x14ac:dyDescent="0.25">
      <c r="A299" s="79" t="e">
        <f>#REF!</f>
        <v>#REF!</v>
      </c>
      <c r="B299" s="75" t="e">
        <f>#REF!</f>
        <v>#REF!</v>
      </c>
      <c r="C299" s="75" t="e">
        <f>#REF!</f>
        <v>#REF!</v>
      </c>
      <c r="D299" s="75" t="e">
        <f>#REF!</f>
        <v>#REF!</v>
      </c>
      <c r="E299" s="30">
        <v>1</v>
      </c>
      <c r="F299" s="238">
        <v>0</v>
      </c>
      <c r="G299" s="241">
        <v>0</v>
      </c>
      <c r="H299" s="249">
        <v>0</v>
      </c>
      <c r="I299" s="249">
        <v>0</v>
      </c>
      <c r="J299" s="249">
        <v>0</v>
      </c>
      <c r="K299" s="249">
        <v>0</v>
      </c>
      <c r="L299" s="274"/>
      <c r="M299" s="274"/>
      <c r="N299" s="245"/>
      <c r="O299" s="113"/>
      <c r="P299" s="113"/>
      <c r="Q299" s="131"/>
      <c r="R299" s="131"/>
      <c r="S299" s="64"/>
      <c r="T299" s="113"/>
      <c r="U299" s="113"/>
      <c r="V299" s="113"/>
      <c r="W299" s="131"/>
      <c r="X299" s="131"/>
      <c r="Y299" s="11"/>
      <c r="Z299" s="113"/>
      <c r="AA299" s="113"/>
      <c r="AB299" s="113"/>
      <c r="AC299" s="52"/>
      <c r="AD299" s="52"/>
      <c r="AE299" s="11"/>
      <c r="AF299" s="118"/>
      <c r="AG299" s="144"/>
      <c r="AH299" s="113"/>
      <c r="AI299" s="11"/>
      <c r="AJ299" s="11"/>
      <c r="AK299" s="39"/>
      <c r="AL299" s="113"/>
      <c r="AM299" s="113"/>
      <c r="AN299" s="117"/>
      <c r="AO299" s="76"/>
      <c r="AP299" s="39"/>
      <c r="AQ299" s="39"/>
      <c r="AR299" s="275">
        <v>2160000</v>
      </c>
      <c r="AS299" s="113">
        <f>+AR299*0.19</f>
        <v>410400</v>
      </c>
      <c r="AT299" s="119">
        <f>+AR299+AS299</f>
        <v>2570400</v>
      </c>
      <c r="AU299" s="62" t="s">
        <v>308</v>
      </c>
      <c r="AV299" s="62" t="s">
        <v>35</v>
      </c>
      <c r="AW299" s="31"/>
      <c r="AX299" s="116"/>
      <c r="AY299" s="196"/>
      <c r="AZ299" s="143"/>
      <c r="BA299" s="191"/>
      <c r="BB299" s="132"/>
      <c r="BC299" s="132"/>
      <c r="BD299" s="274"/>
      <c r="BE299" s="143"/>
      <c r="BF299" s="143"/>
      <c r="BG299" s="132"/>
      <c r="BH299" s="132"/>
      <c r="BI299" s="132"/>
      <c r="BJ299" s="143"/>
      <c r="BK299" s="143"/>
      <c r="BL299" s="143"/>
      <c r="BM299" s="132"/>
      <c r="BN299" s="132"/>
      <c r="BO299" s="132"/>
      <c r="BP299" s="143"/>
      <c r="BQ299" s="132"/>
      <c r="BR299" s="132"/>
      <c r="BS299" s="132"/>
      <c r="BT299" s="132"/>
      <c r="BU299" s="132"/>
      <c r="BV299" s="267">
        <f>3008400/5</f>
        <v>601680</v>
      </c>
      <c r="BW299" s="144">
        <f t="shared" si="68"/>
        <v>114319.2</v>
      </c>
      <c r="BX299" s="113">
        <f t="shared" si="69"/>
        <v>715999.2</v>
      </c>
      <c r="BY299" s="264" t="s">
        <v>325</v>
      </c>
      <c r="BZ299" s="264" t="s">
        <v>310</v>
      </c>
      <c r="CA299" s="132"/>
      <c r="CB299" s="274"/>
      <c r="CC299" s="144"/>
      <c r="CD299" s="274"/>
      <c r="CE299" s="132"/>
      <c r="CF299" s="132"/>
      <c r="CG299" s="36"/>
      <c r="CH299" s="268"/>
      <c r="CI299" s="265"/>
      <c r="CJ299" s="263"/>
      <c r="CK299" s="264"/>
      <c r="CL299" s="264"/>
      <c r="CM299" s="132"/>
      <c r="CN299" s="274"/>
      <c r="CO299" s="144"/>
      <c r="CP299" s="274"/>
      <c r="CQ299" s="132"/>
      <c r="CR299" s="132"/>
      <c r="CS299" s="132"/>
      <c r="CT299" s="144">
        <v>1312000</v>
      </c>
      <c r="CU299" s="144">
        <f>CT299*0.19</f>
        <v>249280</v>
      </c>
      <c r="CV299" s="144">
        <f t="shared" si="67"/>
        <v>1561280</v>
      </c>
      <c r="CW299" s="132"/>
      <c r="CX299" s="132"/>
      <c r="CY299" s="132"/>
      <c r="CZ299" s="118"/>
      <c r="DA299" s="144"/>
      <c r="DB299" s="118"/>
      <c r="DC299" s="33"/>
      <c r="DD299" s="39"/>
      <c r="DE299" s="11"/>
      <c r="DF299" s="132"/>
      <c r="DG299" s="132"/>
      <c r="DH299" s="132"/>
      <c r="DI299" s="132"/>
      <c r="DJ299" s="132"/>
      <c r="DK299" s="132"/>
      <c r="DL299" s="132"/>
      <c r="DM299" s="132"/>
      <c r="DN299" s="132"/>
      <c r="DO299" s="132"/>
      <c r="DP299" s="132"/>
      <c r="DQ299" s="132"/>
      <c r="DR299" s="132"/>
      <c r="DS299" s="132"/>
      <c r="DT299" s="132"/>
      <c r="DU299" s="132"/>
      <c r="DV299" s="132"/>
      <c r="DW299" s="132"/>
      <c r="DX299" s="132"/>
      <c r="DY299" s="132"/>
      <c r="DZ299" s="132"/>
      <c r="EA299" s="132"/>
      <c r="EB299" s="132"/>
      <c r="EC299" s="132"/>
      <c r="ED299" s="132"/>
      <c r="EE299" s="132"/>
      <c r="EF299" s="132"/>
      <c r="EG299" s="132"/>
      <c r="EH299" s="132"/>
      <c r="EI299" s="132"/>
      <c r="EJ299" s="132"/>
      <c r="EK299" s="132"/>
      <c r="EL299" s="132"/>
      <c r="EM299" s="132"/>
      <c r="EN299" s="132"/>
      <c r="EO299" s="132"/>
      <c r="EP299" s="132"/>
      <c r="EQ299" s="132"/>
      <c r="ER299" s="132"/>
      <c r="ES299" s="132"/>
      <c r="ET299" s="11"/>
      <c r="EU299" s="11"/>
      <c r="EV299" s="11"/>
      <c r="EW299" s="11"/>
      <c r="EX299" s="11"/>
      <c r="EY299" s="11"/>
      <c r="EZ299" s="11"/>
      <c r="FA299" s="11"/>
      <c r="FB299" s="11"/>
      <c r="FC299" s="11"/>
      <c r="FD299" s="11"/>
      <c r="FE299" s="11"/>
      <c r="FF299" s="11"/>
      <c r="FG299" s="11"/>
      <c r="FH299" s="39">
        <f t="shared" si="61"/>
        <v>4847679.2</v>
      </c>
      <c r="FI299" s="33">
        <f t="shared" si="62"/>
        <v>3</v>
      </c>
      <c r="FJ299" s="84">
        <f t="shared" si="63"/>
        <v>1615893.0666666667</v>
      </c>
    </row>
    <row r="300" spans="1:166" ht="40.5" x14ac:dyDescent="0.25">
      <c r="A300" s="79" t="e">
        <f>#REF!</f>
        <v>#REF!</v>
      </c>
      <c r="B300" s="75" t="e">
        <f>#REF!</f>
        <v>#REF!</v>
      </c>
      <c r="C300" s="75" t="e">
        <f>#REF!</f>
        <v>#REF!</v>
      </c>
      <c r="D300" s="75" t="e">
        <f>#REF!</f>
        <v>#REF!</v>
      </c>
      <c r="E300" s="30">
        <v>1</v>
      </c>
      <c r="F300" s="238">
        <v>1186985.3333333333</v>
      </c>
      <c r="G300" s="241">
        <v>1151325</v>
      </c>
      <c r="H300" s="249">
        <v>1662311</v>
      </c>
      <c r="I300" s="249">
        <v>0</v>
      </c>
      <c r="J300" s="249">
        <v>1364124.37</v>
      </c>
      <c r="K300" s="249">
        <v>1309000</v>
      </c>
      <c r="L300" s="274">
        <f>AVERAGE(F300,H300,J300)</f>
        <v>1404473.5677777778</v>
      </c>
      <c r="M300" s="274">
        <f>AVERAGE(G300,K300)*E1</f>
        <v>1267067.375</v>
      </c>
      <c r="N300" s="245"/>
      <c r="O300" s="113"/>
      <c r="P300" s="113"/>
      <c r="Q300" s="131"/>
      <c r="R300" s="131"/>
      <c r="S300" s="64"/>
      <c r="T300" s="113"/>
      <c r="U300" s="113"/>
      <c r="V300" s="113"/>
      <c r="W300" s="131"/>
      <c r="X300" s="131"/>
      <c r="Y300" s="11"/>
      <c r="Z300" s="113"/>
      <c r="AA300" s="113"/>
      <c r="AB300" s="113"/>
      <c r="AC300" s="52"/>
      <c r="AD300" s="52"/>
      <c r="AE300" s="11"/>
      <c r="AF300" s="118"/>
      <c r="AG300" s="144"/>
      <c r="AH300" s="113"/>
      <c r="AI300" s="11"/>
      <c r="AJ300" s="11"/>
      <c r="AK300" s="39"/>
      <c r="AL300" s="113"/>
      <c r="AM300" s="113"/>
      <c r="AN300" s="117"/>
      <c r="AO300" s="76"/>
      <c r="AP300" s="39"/>
      <c r="AQ300" s="39"/>
      <c r="AR300" s="275"/>
      <c r="AS300" s="156"/>
      <c r="AT300" s="157"/>
      <c r="AU300" s="62"/>
      <c r="AV300" s="62"/>
      <c r="AW300" s="31"/>
      <c r="AX300" s="116"/>
      <c r="AY300" s="194"/>
      <c r="AZ300" s="143"/>
      <c r="BA300" s="191"/>
      <c r="BB300" s="132"/>
      <c r="BC300" s="132"/>
      <c r="BD300" s="274"/>
      <c r="BE300" s="143"/>
      <c r="BF300" s="143"/>
      <c r="BG300" s="132"/>
      <c r="BH300" s="132"/>
      <c r="BI300" s="132"/>
      <c r="BJ300" s="143"/>
      <c r="BK300" s="143"/>
      <c r="BL300" s="143"/>
      <c r="BM300" s="132"/>
      <c r="BN300" s="132"/>
      <c r="BO300" s="132"/>
      <c r="BP300" s="143"/>
      <c r="BQ300" s="132"/>
      <c r="BR300" s="132"/>
      <c r="BS300" s="132"/>
      <c r="BT300" s="132"/>
      <c r="BU300" s="132"/>
      <c r="BV300" s="267">
        <v>2842800</v>
      </c>
      <c r="BW300" s="144">
        <f t="shared" si="68"/>
        <v>540132</v>
      </c>
      <c r="BX300" s="113">
        <f t="shared" si="69"/>
        <v>3382932</v>
      </c>
      <c r="BY300" s="264" t="s">
        <v>309</v>
      </c>
      <c r="BZ300" s="264" t="s">
        <v>310</v>
      </c>
      <c r="CA300" s="132"/>
      <c r="CB300" s="274"/>
      <c r="CC300" s="144"/>
      <c r="CD300" s="274"/>
      <c r="CE300" s="132"/>
      <c r="CF300" s="132"/>
      <c r="CG300" s="36"/>
      <c r="CH300" s="268">
        <v>2928084</v>
      </c>
      <c r="CI300" s="265">
        <f>+CH300*0.19</f>
        <v>556335.96</v>
      </c>
      <c r="CJ300" s="263">
        <f>+CH300+CI300</f>
        <v>3484419.96</v>
      </c>
      <c r="CK300" s="264" t="s">
        <v>309</v>
      </c>
      <c r="CL300" s="264" t="s">
        <v>310</v>
      </c>
      <c r="CM300" s="132"/>
      <c r="CN300" s="274"/>
      <c r="CO300" s="144"/>
      <c r="CP300" s="274"/>
      <c r="CQ300" s="132"/>
      <c r="CR300" s="132"/>
      <c r="CS300" s="132"/>
      <c r="CT300" s="274"/>
      <c r="CU300" s="144"/>
      <c r="CV300" s="274"/>
      <c r="CW300" s="132"/>
      <c r="CX300" s="132"/>
      <c r="CY300" s="132"/>
      <c r="CZ300" s="118"/>
      <c r="DA300" s="144"/>
      <c r="DB300" s="118"/>
      <c r="DC300" s="33"/>
      <c r="DD300" s="39"/>
      <c r="DE300" s="11"/>
      <c r="DF300" s="132"/>
      <c r="DG300" s="132"/>
      <c r="DH300" s="132"/>
      <c r="DI300" s="132"/>
      <c r="DJ300" s="132"/>
      <c r="DK300" s="132"/>
      <c r="DL300" s="132"/>
      <c r="DM300" s="132"/>
      <c r="DN300" s="132"/>
      <c r="DO300" s="132"/>
      <c r="DP300" s="132"/>
      <c r="DQ300" s="132"/>
      <c r="DR300" s="132"/>
      <c r="DS300" s="132"/>
      <c r="DT300" s="132"/>
      <c r="DU300" s="132"/>
      <c r="DV300" s="132"/>
      <c r="DW300" s="132"/>
      <c r="DX300" s="132"/>
      <c r="DY300" s="132"/>
      <c r="DZ300" s="132"/>
      <c r="EA300" s="132"/>
      <c r="EB300" s="132"/>
      <c r="EC300" s="132"/>
      <c r="ED300" s="132"/>
      <c r="EE300" s="132"/>
      <c r="EF300" s="132"/>
      <c r="EG300" s="132"/>
      <c r="EH300" s="132"/>
      <c r="EI300" s="132"/>
      <c r="EJ300" s="132"/>
      <c r="EK300" s="132"/>
      <c r="EL300" s="132"/>
      <c r="EM300" s="132"/>
      <c r="EN300" s="132"/>
      <c r="EO300" s="132"/>
      <c r="EP300" s="132"/>
      <c r="EQ300" s="132"/>
      <c r="ER300" s="132"/>
      <c r="ES300" s="132"/>
      <c r="ET300" s="11"/>
      <c r="EU300" s="11"/>
      <c r="EV300" s="11"/>
      <c r="EW300" s="11"/>
      <c r="EX300" s="11"/>
      <c r="EY300" s="11"/>
      <c r="EZ300" s="11"/>
      <c r="FA300" s="11"/>
      <c r="FB300" s="11"/>
      <c r="FC300" s="11"/>
      <c r="FD300" s="11"/>
      <c r="FE300" s="11"/>
      <c r="FF300" s="11"/>
      <c r="FG300" s="11"/>
      <c r="FH300" s="39">
        <f t="shared" si="61"/>
        <v>8134419.335</v>
      </c>
      <c r="FI300" s="33">
        <f t="shared" si="62"/>
        <v>3</v>
      </c>
      <c r="FJ300" s="84">
        <f t="shared" si="63"/>
        <v>2711473.1116666668</v>
      </c>
    </row>
    <row r="301" spans="1:166" ht="40.5" x14ac:dyDescent="0.25">
      <c r="A301" s="79" t="e">
        <f>#REF!</f>
        <v>#REF!</v>
      </c>
      <c r="B301" s="75" t="e">
        <f>#REF!</f>
        <v>#REF!</v>
      </c>
      <c r="C301" s="75" t="e">
        <f>#REF!</f>
        <v>#REF!</v>
      </c>
      <c r="D301" s="75" t="e">
        <f>#REF!</f>
        <v>#REF!</v>
      </c>
      <c r="E301" s="30">
        <v>1</v>
      </c>
      <c r="F301" s="238">
        <v>1460844</v>
      </c>
      <c r="G301" s="241">
        <v>1387778</v>
      </c>
      <c r="H301" s="249">
        <v>1222730</v>
      </c>
      <c r="I301" s="249">
        <v>1222725</v>
      </c>
      <c r="J301" s="249">
        <v>0</v>
      </c>
      <c r="K301" s="249">
        <v>0</v>
      </c>
      <c r="L301" s="274">
        <f>AVERAGE(F301,H301)</f>
        <v>1341787</v>
      </c>
      <c r="M301" s="274">
        <f>AVERAGE(G301,I301)*E1</f>
        <v>1344409.0449999999</v>
      </c>
      <c r="N301" s="245"/>
      <c r="O301" s="113"/>
      <c r="P301" s="113"/>
      <c r="Q301" s="131"/>
      <c r="R301" s="131"/>
      <c r="S301" s="64"/>
      <c r="T301" s="113"/>
      <c r="U301" s="113"/>
      <c r="V301" s="113"/>
      <c r="W301" s="131"/>
      <c r="X301" s="131"/>
      <c r="Y301" s="11"/>
      <c r="Z301" s="113"/>
      <c r="AA301" s="113"/>
      <c r="AB301" s="113"/>
      <c r="AC301" s="52"/>
      <c r="AD301" s="52"/>
      <c r="AE301" s="11"/>
      <c r="AF301" s="118"/>
      <c r="AG301" s="144"/>
      <c r="AH301" s="113"/>
      <c r="AI301" s="11"/>
      <c r="AJ301" s="11"/>
      <c r="AK301" s="39"/>
      <c r="AL301" s="113"/>
      <c r="AM301" s="113"/>
      <c r="AN301" s="117"/>
      <c r="AO301" s="76"/>
      <c r="AP301" s="39"/>
      <c r="AQ301" s="39"/>
      <c r="AR301" s="275">
        <v>288000</v>
      </c>
      <c r="AS301" s="113">
        <f>+AR301*0.19</f>
        <v>54720</v>
      </c>
      <c r="AT301" s="119">
        <f>+AR301+AS301</f>
        <v>342720</v>
      </c>
      <c r="AU301" s="62" t="s">
        <v>204</v>
      </c>
      <c r="AV301" s="62" t="s">
        <v>35</v>
      </c>
      <c r="AW301" s="31"/>
      <c r="AX301" s="116"/>
      <c r="AY301" s="194"/>
      <c r="AZ301" s="143"/>
      <c r="BA301" s="191"/>
      <c r="BB301" s="132"/>
      <c r="BC301" s="132"/>
      <c r="BD301" s="274"/>
      <c r="BE301" s="143"/>
      <c r="BF301" s="143"/>
      <c r="BG301" s="132"/>
      <c r="BH301" s="132"/>
      <c r="BI301" s="132"/>
      <c r="BJ301" s="143"/>
      <c r="BK301" s="143"/>
      <c r="BL301" s="143"/>
      <c r="BM301" s="132"/>
      <c r="BN301" s="132"/>
      <c r="BO301" s="132"/>
      <c r="BP301" s="143"/>
      <c r="BQ301" s="132"/>
      <c r="BR301" s="132"/>
      <c r="BS301" s="132"/>
      <c r="BT301" s="132"/>
      <c r="BU301" s="132"/>
      <c r="BV301" s="267">
        <v>3877800</v>
      </c>
      <c r="BW301" s="144">
        <f t="shared" si="68"/>
        <v>736782</v>
      </c>
      <c r="BX301" s="113">
        <f t="shared" si="69"/>
        <v>4614582</v>
      </c>
      <c r="BY301" s="264" t="s">
        <v>326</v>
      </c>
      <c r="BZ301" s="264" t="s">
        <v>310</v>
      </c>
      <c r="CA301" s="132"/>
      <c r="CB301" s="274"/>
      <c r="CC301" s="144"/>
      <c r="CD301" s="274"/>
      <c r="CE301" s="132"/>
      <c r="CF301" s="132"/>
      <c r="CG301" s="36"/>
      <c r="CH301" s="268"/>
      <c r="CI301" s="265"/>
      <c r="CJ301" s="263"/>
      <c r="CK301" s="264"/>
      <c r="CL301" s="264"/>
      <c r="CM301" s="132"/>
      <c r="CN301" s="274">
        <f>272408*20</f>
        <v>5448160</v>
      </c>
      <c r="CO301" s="144">
        <f>+CN301*0.19</f>
        <v>1035150.4</v>
      </c>
      <c r="CP301" s="274">
        <f>+CO301+CN301</f>
        <v>6483310.4000000004</v>
      </c>
      <c r="CQ301" s="132"/>
      <c r="CR301" s="132"/>
      <c r="CS301" s="132"/>
      <c r="CT301" s="274"/>
      <c r="CU301" s="144"/>
      <c r="CV301" s="274"/>
      <c r="CW301" s="132"/>
      <c r="CX301" s="132"/>
      <c r="CY301" s="132"/>
      <c r="CZ301" s="118"/>
      <c r="DA301" s="144"/>
      <c r="DB301" s="118"/>
      <c r="DC301" s="33"/>
      <c r="DD301" s="39"/>
      <c r="DE301" s="11"/>
      <c r="DF301" s="132"/>
      <c r="DG301" s="132"/>
      <c r="DH301" s="132"/>
      <c r="DI301" s="132"/>
      <c r="DJ301" s="132"/>
      <c r="DK301" s="132"/>
      <c r="DL301" s="132"/>
      <c r="DM301" s="132"/>
      <c r="DN301" s="132"/>
      <c r="DO301" s="132"/>
      <c r="DP301" s="132"/>
      <c r="DQ301" s="132"/>
      <c r="DR301" s="132"/>
      <c r="DS301" s="132"/>
      <c r="DT301" s="132"/>
      <c r="DU301" s="132"/>
      <c r="DV301" s="132"/>
      <c r="DW301" s="132"/>
      <c r="DX301" s="132"/>
      <c r="DY301" s="132"/>
      <c r="DZ301" s="132"/>
      <c r="EA301" s="132"/>
      <c r="EB301" s="132"/>
      <c r="EC301" s="132"/>
      <c r="ED301" s="132"/>
      <c r="EE301" s="132"/>
      <c r="EF301" s="132"/>
      <c r="EG301" s="132"/>
      <c r="EH301" s="132"/>
      <c r="EI301" s="132"/>
      <c r="EJ301" s="132"/>
      <c r="EK301" s="132"/>
      <c r="EL301" s="132"/>
      <c r="EM301" s="132"/>
      <c r="EN301" s="132"/>
      <c r="EO301" s="132"/>
      <c r="EP301" s="132"/>
      <c r="EQ301" s="132"/>
      <c r="ER301" s="132"/>
      <c r="ES301" s="132"/>
      <c r="ET301" s="11"/>
      <c r="EU301" s="11"/>
      <c r="EV301" s="11"/>
      <c r="EW301" s="11"/>
      <c r="EX301" s="11"/>
      <c r="EY301" s="11"/>
      <c r="EZ301" s="11"/>
      <c r="FA301" s="11"/>
      <c r="FB301" s="11"/>
      <c r="FC301" s="11"/>
      <c r="FD301" s="11"/>
      <c r="FE301" s="11"/>
      <c r="FF301" s="11"/>
      <c r="FG301" s="11"/>
      <c r="FH301" s="39">
        <f t="shared" si="61"/>
        <v>12785021.445</v>
      </c>
      <c r="FI301" s="33">
        <f t="shared" si="62"/>
        <v>4</v>
      </c>
      <c r="FJ301" s="84">
        <f t="shared" si="63"/>
        <v>3196255.3612500001</v>
      </c>
    </row>
    <row r="302" spans="1:166" ht="40.5" x14ac:dyDescent="0.25">
      <c r="A302" s="79" t="e">
        <f>#REF!</f>
        <v>#REF!</v>
      </c>
      <c r="B302" s="75" t="e">
        <f>#REF!</f>
        <v>#REF!</v>
      </c>
      <c r="C302" s="75" t="e">
        <f>#REF!</f>
        <v>#REF!</v>
      </c>
      <c r="D302" s="75" t="e">
        <f>#REF!</f>
        <v>#REF!</v>
      </c>
      <c r="E302" s="30">
        <v>1</v>
      </c>
      <c r="F302" s="238">
        <v>355572</v>
      </c>
      <c r="G302" s="241">
        <v>344862</v>
      </c>
      <c r="H302" s="249">
        <v>1222730</v>
      </c>
      <c r="I302" s="249">
        <v>1222725</v>
      </c>
      <c r="J302" s="249">
        <v>626947.93000000005</v>
      </c>
      <c r="K302" s="249">
        <v>604520</v>
      </c>
      <c r="L302" s="274">
        <f>AVERAGE(F302,H302,J302)</f>
        <v>735083.31</v>
      </c>
      <c r="M302" s="274">
        <f>AVERAGE(G302,I302,K302)*E1</f>
        <v>745756.73666666669</v>
      </c>
      <c r="N302" s="245"/>
      <c r="O302" s="113"/>
      <c r="P302" s="113"/>
      <c r="Q302" s="131"/>
      <c r="R302" s="131"/>
      <c r="S302" s="64"/>
      <c r="T302" s="113"/>
      <c r="U302" s="113"/>
      <c r="V302" s="113"/>
      <c r="W302" s="131"/>
      <c r="X302" s="131"/>
      <c r="Y302" s="11"/>
      <c r="Z302" s="113"/>
      <c r="AA302" s="113"/>
      <c r="AB302" s="113"/>
      <c r="AC302" s="52"/>
      <c r="AD302" s="52"/>
      <c r="AE302" s="11"/>
      <c r="AF302" s="118"/>
      <c r="AG302" s="144"/>
      <c r="AH302" s="113"/>
      <c r="AI302" s="11"/>
      <c r="AJ302" s="11"/>
      <c r="AK302" s="39"/>
      <c r="AL302" s="113"/>
      <c r="AM302" s="113"/>
      <c r="AN302" s="117"/>
      <c r="AO302" s="76"/>
      <c r="AP302" s="39"/>
      <c r="AQ302" s="39"/>
      <c r="AR302" s="275">
        <v>352800</v>
      </c>
      <c r="AS302" s="113">
        <f>+AR302*0.19</f>
        <v>67032</v>
      </c>
      <c r="AT302" s="119">
        <f>+AR302+AS302</f>
        <v>419832</v>
      </c>
      <c r="AU302" s="62" t="s">
        <v>34</v>
      </c>
      <c r="AV302" s="62" t="s">
        <v>35</v>
      </c>
      <c r="AW302" s="31"/>
      <c r="AX302" s="116"/>
      <c r="AY302" s="116"/>
      <c r="AZ302" s="143"/>
      <c r="BA302" s="191"/>
      <c r="BB302" s="132"/>
      <c r="BC302" s="132"/>
      <c r="BD302" s="274"/>
      <c r="BE302" s="143"/>
      <c r="BF302" s="143"/>
      <c r="BG302" s="132"/>
      <c r="BH302" s="132"/>
      <c r="BI302" s="132"/>
      <c r="BJ302" s="143"/>
      <c r="BK302" s="143"/>
      <c r="BL302" s="143"/>
      <c r="BM302" s="132"/>
      <c r="BN302" s="132"/>
      <c r="BO302" s="132"/>
      <c r="BP302" s="143"/>
      <c r="BQ302" s="132"/>
      <c r="BR302" s="132"/>
      <c r="BS302" s="132"/>
      <c r="BT302" s="132"/>
      <c r="BU302" s="132"/>
      <c r="BV302" s="267">
        <v>1518400</v>
      </c>
      <c r="BW302" s="144">
        <f t="shared" si="68"/>
        <v>288496</v>
      </c>
      <c r="BX302" s="113">
        <f t="shared" si="69"/>
        <v>1806896</v>
      </c>
      <c r="BY302" s="264" t="s">
        <v>326</v>
      </c>
      <c r="BZ302" s="264" t="s">
        <v>310</v>
      </c>
      <c r="CA302" s="132"/>
      <c r="CB302" s="274"/>
      <c r="CC302" s="144"/>
      <c r="CD302" s="274"/>
      <c r="CE302" s="132"/>
      <c r="CF302" s="132"/>
      <c r="CG302" s="36"/>
      <c r="CH302" s="263"/>
      <c r="CI302" s="265"/>
      <c r="CJ302" s="263"/>
      <c r="CK302" s="264"/>
      <c r="CL302" s="264"/>
      <c r="CM302" s="132"/>
      <c r="CN302" s="274">
        <f>176181*2</f>
        <v>352362</v>
      </c>
      <c r="CO302" s="144">
        <f>+CN302*0.19</f>
        <v>66948.78</v>
      </c>
      <c r="CP302" s="274">
        <f>+CO302+CN302</f>
        <v>419310.78</v>
      </c>
      <c r="CQ302" s="132"/>
      <c r="CR302" s="132"/>
      <c r="CS302" s="132"/>
      <c r="CT302" s="274"/>
      <c r="CU302" s="144"/>
      <c r="CV302" s="274"/>
      <c r="CW302" s="132"/>
      <c r="CX302" s="132"/>
      <c r="CY302" s="132"/>
      <c r="CZ302" s="118"/>
      <c r="DA302" s="144"/>
      <c r="DB302" s="118"/>
      <c r="DC302" s="33"/>
      <c r="DD302" s="39"/>
      <c r="DE302" s="11"/>
      <c r="DF302" s="132"/>
      <c r="DG302" s="132"/>
      <c r="DH302" s="132"/>
      <c r="DI302" s="132"/>
      <c r="DJ302" s="132"/>
      <c r="DK302" s="132"/>
      <c r="DL302" s="132"/>
      <c r="DM302" s="132"/>
      <c r="DN302" s="132"/>
      <c r="DO302" s="132"/>
      <c r="DP302" s="132"/>
      <c r="DQ302" s="132"/>
      <c r="DR302" s="132"/>
      <c r="DS302" s="132"/>
      <c r="DT302" s="132"/>
      <c r="DU302" s="132"/>
      <c r="DV302" s="132"/>
      <c r="DW302" s="132"/>
      <c r="DX302" s="132"/>
      <c r="DY302" s="132"/>
      <c r="DZ302" s="132"/>
      <c r="EA302" s="132"/>
      <c r="EB302" s="132"/>
      <c r="EC302" s="132"/>
      <c r="ED302" s="132"/>
      <c r="EE302" s="132"/>
      <c r="EF302" s="132"/>
      <c r="EG302" s="132"/>
      <c r="EH302" s="132"/>
      <c r="EI302" s="132"/>
      <c r="EJ302" s="132"/>
      <c r="EK302" s="132"/>
      <c r="EL302" s="132"/>
      <c r="EM302" s="132"/>
      <c r="EN302" s="132"/>
      <c r="EO302" s="132"/>
      <c r="EP302" s="132"/>
      <c r="EQ302" s="132"/>
      <c r="ER302" s="132"/>
      <c r="ES302" s="132"/>
      <c r="ET302" s="11"/>
      <c r="EU302" s="11"/>
      <c r="EV302" s="11"/>
      <c r="EW302" s="11"/>
      <c r="EX302" s="11"/>
      <c r="EY302" s="11"/>
      <c r="EZ302" s="11"/>
      <c r="FA302" s="11"/>
      <c r="FB302" s="11"/>
      <c r="FC302" s="11"/>
      <c r="FD302" s="11"/>
      <c r="FE302" s="11"/>
      <c r="FF302" s="11"/>
      <c r="FG302" s="11"/>
      <c r="FH302" s="39">
        <f t="shared" si="61"/>
        <v>3391795.5166666666</v>
      </c>
      <c r="FI302" s="33">
        <f t="shared" si="62"/>
        <v>4</v>
      </c>
      <c r="FJ302" s="84">
        <f t="shared" si="63"/>
        <v>847948.87916666665</v>
      </c>
    </row>
    <row r="303" spans="1:166" ht="27" x14ac:dyDescent="0.25">
      <c r="A303" s="79" t="e">
        <f>#REF!</f>
        <v>#REF!</v>
      </c>
      <c r="B303" s="75" t="e">
        <f>#REF!</f>
        <v>#REF!</v>
      </c>
      <c r="C303" s="75" t="e">
        <f>#REF!</f>
        <v>#REF!</v>
      </c>
      <c r="D303" s="75" t="e">
        <f>#REF!</f>
        <v>#REF!</v>
      </c>
      <c r="E303" s="30">
        <v>1</v>
      </c>
      <c r="F303" s="238">
        <v>0</v>
      </c>
      <c r="G303" s="241">
        <v>0</v>
      </c>
      <c r="H303" s="249">
        <v>0</v>
      </c>
      <c r="I303" s="249">
        <v>0</v>
      </c>
      <c r="J303" s="249">
        <v>237693.71895161289</v>
      </c>
      <c r="K303" s="249">
        <v>231693</v>
      </c>
      <c r="L303" s="274">
        <f>J303</f>
        <v>237693.71895161289</v>
      </c>
      <c r="M303" s="274">
        <f>K303*E1</f>
        <v>238643.79</v>
      </c>
      <c r="N303" s="245"/>
      <c r="O303" s="113"/>
      <c r="P303" s="113"/>
      <c r="Q303" s="131"/>
      <c r="R303" s="131"/>
      <c r="S303" s="64"/>
      <c r="T303" s="113"/>
      <c r="U303" s="117"/>
      <c r="V303" s="113"/>
      <c r="W303" s="131"/>
      <c r="X303" s="131"/>
      <c r="Y303" s="11"/>
      <c r="Z303" s="113"/>
      <c r="AA303" s="113"/>
      <c r="AB303" s="113"/>
      <c r="AC303" s="52"/>
      <c r="AD303" s="52"/>
      <c r="AE303" s="11"/>
      <c r="AF303" s="118">
        <v>200000</v>
      </c>
      <c r="AG303" s="144">
        <f>AF303*19%</f>
        <v>38000</v>
      </c>
      <c r="AH303" s="113">
        <f>+AF303+AG303</f>
        <v>238000</v>
      </c>
      <c r="AI303" s="11"/>
      <c r="AJ303" s="11"/>
      <c r="AK303" s="39"/>
      <c r="AL303" s="113">
        <v>155000</v>
      </c>
      <c r="AM303" s="113">
        <f>+AL303*0.19</f>
        <v>29450</v>
      </c>
      <c r="AN303" s="119">
        <f>+AL303+AM303</f>
        <v>184450</v>
      </c>
      <c r="AO303" s="76" t="s">
        <v>90</v>
      </c>
      <c r="AP303" s="39" t="s">
        <v>45</v>
      </c>
      <c r="AQ303" s="39"/>
      <c r="AR303" s="275">
        <v>145794</v>
      </c>
      <c r="AS303" s="113">
        <f>+AR303*0.19</f>
        <v>27700.86</v>
      </c>
      <c r="AT303" s="119">
        <f>+AR303+AS303</f>
        <v>173494.86</v>
      </c>
      <c r="AU303" s="62" t="s">
        <v>91</v>
      </c>
      <c r="AV303" s="62" t="s">
        <v>45</v>
      </c>
      <c r="AW303" s="31"/>
      <c r="AX303" s="116"/>
      <c r="AY303" s="116"/>
      <c r="AZ303" s="143"/>
      <c r="BA303" s="191"/>
      <c r="BB303" s="132"/>
      <c r="BC303" s="132"/>
      <c r="BD303" s="274"/>
      <c r="BE303" s="143"/>
      <c r="BF303" s="143"/>
      <c r="BG303" s="132"/>
      <c r="BH303" s="132"/>
      <c r="BI303" s="132"/>
      <c r="BJ303" s="143"/>
      <c r="BK303" s="143"/>
      <c r="BL303" s="143"/>
      <c r="BM303" s="132"/>
      <c r="BN303" s="132"/>
      <c r="BO303" s="132"/>
      <c r="BP303" s="143"/>
      <c r="BQ303" s="132"/>
      <c r="BR303" s="132"/>
      <c r="BS303" s="132"/>
      <c r="BT303" s="132"/>
      <c r="BU303" s="132"/>
      <c r="BV303" s="263">
        <v>341800</v>
      </c>
      <c r="BW303" s="144">
        <f t="shared" si="68"/>
        <v>64942</v>
      </c>
      <c r="BX303" s="113">
        <f t="shared" si="69"/>
        <v>406742</v>
      </c>
      <c r="BY303" s="264" t="s">
        <v>327</v>
      </c>
      <c r="BZ303" s="264" t="s">
        <v>63</v>
      </c>
      <c r="CA303" s="132"/>
      <c r="CB303" s="274"/>
      <c r="CC303" s="144"/>
      <c r="CD303" s="274"/>
      <c r="CE303" s="132"/>
      <c r="CF303" s="132"/>
      <c r="CG303" s="36"/>
      <c r="CH303" s="263"/>
      <c r="CI303" s="265"/>
      <c r="CJ303" s="263"/>
      <c r="CK303" s="264"/>
      <c r="CL303" s="264"/>
      <c r="CM303" s="132"/>
      <c r="CN303" s="274"/>
      <c r="CO303" s="144"/>
      <c r="CP303" s="274"/>
      <c r="CQ303" s="132"/>
      <c r="CR303" s="132"/>
      <c r="CS303" s="132"/>
      <c r="CT303" s="274"/>
      <c r="CU303" s="144"/>
      <c r="CV303" s="274"/>
      <c r="CW303" s="132"/>
      <c r="CX303" s="132"/>
      <c r="CY303" s="132"/>
      <c r="CZ303" s="118">
        <v>139034</v>
      </c>
      <c r="DA303" s="144">
        <f>+CZ303*0.19</f>
        <v>26416.46</v>
      </c>
      <c r="DB303" s="118">
        <f>+CZ303+DA303</f>
        <v>165450.46</v>
      </c>
      <c r="DC303" s="33" t="s">
        <v>328</v>
      </c>
      <c r="DD303" s="39" t="s">
        <v>58</v>
      </c>
      <c r="DE303" s="11">
        <v>1009832500</v>
      </c>
      <c r="DF303" s="132"/>
      <c r="DG303" s="132"/>
      <c r="DH303" s="132"/>
      <c r="DI303" s="132"/>
      <c r="DJ303" s="132"/>
      <c r="DK303" s="132"/>
      <c r="DL303" s="132"/>
      <c r="DM303" s="132"/>
      <c r="DN303" s="132"/>
      <c r="DO303" s="132"/>
      <c r="DP303" s="132"/>
      <c r="DQ303" s="132"/>
      <c r="DR303" s="132"/>
      <c r="DS303" s="132"/>
      <c r="DT303" s="132"/>
      <c r="DU303" s="132"/>
      <c r="DV303" s="132"/>
      <c r="DW303" s="132"/>
      <c r="DX303" s="132"/>
      <c r="DY303" s="132"/>
      <c r="DZ303" s="132"/>
      <c r="EA303" s="132"/>
      <c r="EB303" s="132"/>
      <c r="EC303" s="132"/>
      <c r="ED303" s="132"/>
      <c r="EE303" s="132"/>
      <c r="EF303" s="132"/>
      <c r="EG303" s="132"/>
      <c r="EH303" s="132"/>
      <c r="EI303" s="132"/>
      <c r="EJ303" s="132"/>
      <c r="EK303" s="132"/>
      <c r="EL303" s="132"/>
      <c r="EM303" s="132"/>
      <c r="EN303" s="132"/>
      <c r="EO303" s="132"/>
      <c r="EP303" s="132"/>
      <c r="EQ303" s="132"/>
      <c r="ER303" s="132"/>
      <c r="ES303" s="132"/>
      <c r="ET303" s="11"/>
      <c r="EU303" s="11"/>
      <c r="EV303" s="11"/>
      <c r="EW303" s="11"/>
      <c r="EX303" s="11"/>
      <c r="EY303" s="11"/>
      <c r="EZ303" s="11"/>
      <c r="FA303" s="11"/>
      <c r="FB303" s="11"/>
      <c r="FC303" s="11"/>
      <c r="FD303" s="11"/>
      <c r="FE303" s="11"/>
      <c r="FF303" s="11"/>
      <c r="FG303" s="11"/>
      <c r="FH303" s="39">
        <f t="shared" si="61"/>
        <v>1406781.1099999999</v>
      </c>
      <c r="FI303" s="33">
        <f t="shared" si="62"/>
        <v>6</v>
      </c>
      <c r="FJ303" s="84">
        <f t="shared" si="63"/>
        <v>234463.51833333331</v>
      </c>
    </row>
    <row r="304" spans="1:166" ht="40.5" x14ac:dyDescent="0.25">
      <c r="A304" s="79" t="e">
        <f>#REF!</f>
        <v>#REF!</v>
      </c>
      <c r="B304" s="75" t="e">
        <f>#REF!</f>
        <v>#REF!</v>
      </c>
      <c r="C304" s="75" t="e">
        <f>#REF!</f>
        <v>#REF!</v>
      </c>
      <c r="D304" s="75" t="e">
        <f>#REF!</f>
        <v>#REF!</v>
      </c>
      <c r="E304" s="30">
        <v>1</v>
      </c>
      <c r="F304" s="238">
        <v>153272</v>
      </c>
      <c r="G304" s="241">
        <v>149345</v>
      </c>
      <c r="H304" s="249">
        <v>159126.74591999999</v>
      </c>
      <c r="I304" s="249">
        <v>82110</v>
      </c>
      <c r="J304" s="249">
        <v>160791.60999999999</v>
      </c>
      <c r="K304" s="249">
        <v>160650</v>
      </c>
      <c r="L304" s="274">
        <f>AVERAGE(F304,H304,J304)</f>
        <v>157730.11864</v>
      </c>
      <c r="M304" s="274">
        <f>AVERAGE(G304,I304,K304)*E1</f>
        <v>134622.71666666667</v>
      </c>
      <c r="N304" s="245"/>
      <c r="O304" s="113"/>
      <c r="P304" s="113"/>
      <c r="Q304" s="131"/>
      <c r="R304" s="131"/>
      <c r="S304" s="64"/>
      <c r="T304" s="113"/>
      <c r="U304" s="113"/>
      <c r="V304" s="113"/>
      <c r="W304" s="131"/>
      <c r="X304" s="131"/>
      <c r="Y304" s="11"/>
      <c r="Z304" s="113"/>
      <c r="AA304" s="113"/>
      <c r="AB304" s="113"/>
      <c r="AC304" s="52"/>
      <c r="AD304" s="52"/>
      <c r="AE304" s="11"/>
      <c r="AF304" s="118">
        <v>140000</v>
      </c>
      <c r="AG304" s="144">
        <f>AF304*19%</f>
        <v>26600</v>
      </c>
      <c r="AH304" s="113">
        <f>+AF304+AG304</f>
        <v>166600</v>
      </c>
      <c r="AI304" s="11"/>
      <c r="AJ304" s="11"/>
      <c r="AK304" s="39"/>
      <c r="AL304" s="113">
        <v>156000</v>
      </c>
      <c r="AM304" s="113">
        <f>+AL304*0.19</f>
        <v>29640</v>
      </c>
      <c r="AN304" s="119">
        <f>+AL304+AM304</f>
        <v>185640</v>
      </c>
      <c r="AO304" s="76" t="s">
        <v>49</v>
      </c>
      <c r="AP304" s="39" t="s">
        <v>45</v>
      </c>
      <c r="AQ304" s="39"/>
      <c r="AR304" s="275">
        <v>128701</v>
      </c>
      <c r="AS304" s="113">
        <f>+AR304*0.19</f>
        <v>24453.19</v>
      </c>
      <c r="AT304" s="119">
        <f>+AR304+AS304</f>
        <v>153154.19</v>
      </c>
      <c r="AU304" s="62" t="s">
        <v>49</v>
      </c>
      <c r="AV304" s="62" t="s">
        <v>45</v>
      </c>
      <c r="AW304" s="31"/>
      <c r="AX304" s="116"/>
      <c r="AY304" s="116"/>
      <c r="AZ304" s="143"/>
      <c r="BA304" s="191"/>
      <c r="BB304" s="132"/>
      <c r="BC304" s="132"/>
      <c r="BD304" s="274"/>
      <c r="BE304" s="143"/>
      <c r="BF304" s="143"/>
      <c r="BG304" s="132"/>
      <c r="BH304" s="132"/>
      <c r="BI304" s="132"/>
      <c r="BJ304" s="143"/>
      <c r="BK304" s="143"/>
      <c r="BL304" s="143"/>
      <c r="BM304" s="132"/>
      <c r="BN304" s="132"/>
      <c r="BO304" s="132"/>
      <c r="BP304" s="143"/>
      <c r="BQ304" s="132"/>
      <c r="BR304" s="132"/>
      <c r="BS304" s="132"/>
      <c r="BT304" s="132"/>
      <c r="BU304" s="132"/>
      <c r="BV304" s="263">
        <v>436800</v>
      </c>
      <c r="BW304" s="144">
        <f t="shared" si="68"/>
        <v>82992</v>
      </c>
      <c r="BX304" s="113">
        <f t="shared" si="69"/>
        <v>519792</v>
      </c>
      <c r="BY304" s="264" t="s">
        <v>329</v>
      </c>
      <c r="BZ304" s="264" t="s">
        <v>45</v>
      </c>
      <c r="CA304" s="132"/>
      <c r="CB304" s="274"/>
      <c r="CC304" s="144"/>
      <c r="CD304" s="274"/>
      <c r="CE304" s="132"/>
      <c r="CF304" s="132"/>
      <c r="CG304" s="36"/>
      <c r="CH304" s="263">
        <v>441168</v>
      </c>
      <c r="CI304" s="265">
        <f>+CH304*0.19</f>
        <v>83821.919999999998</v>
      </c>
      <c r="CJ304" s="263">
        <f>+CH304+CI304</f>
        <v>524989.92000000004</v>
      </c>
      <c r="CK304" s="264" t="s">
        <v>329</v>
      </c>
      <c r="CL304" s="264" t="s">
        <v>45</v>
      </c>
      <c r="CM304" s="132"/>
      <c r="CN304" s="274"/>
      <c r="CO304" s="144"/>
      <c r="CP304" s="274"/>
      <c r="CQ304" s="132"/>
      <c r="CR304" s="132"/>
      <c r="CS304" s="132"/>
      <c r="CT304" s="274"/>
      <c r="CU304" s="144"/>
      <c r="CV304" s="274"/>
      <c r="CW304" s="132"/>
      <c r="CX304" s="132"/>
      <c r="CY304" s="132"/>
      <c r="CZ304" s="118"/>
      <c r="DA304" s="144"/>
      <c r="DB304" s="118"/>
      <c r="DC304" s="33"/>
      <c r="DD304" s="39"/>
      <c r="DE304" s="78"/>
      <c r="DF304" s="132"/>
      <c r="DG304" s="132"/>
      <c r="DH304" s="132"/>
      <c r="DI304" s="132"/>
      <c r="DJ304" s="132"/>
      <c r="DK304" s="132"/>
      <c r="DL304" s="132"/>
      <c r="DM304" s="132"/>
      <c r="DN304" s="132"/>
      <c r="DO304" s="132"/>
      <c r="DP304" s="132"/>
      <c r="DQ304" s="132"/>
      <c r="DR304" s="132"/>
      <c r="DS304" s="132"/>
      <c r="DT304" s="132"/>
      <c r="DU304" s="132"/>
      <c r="DV304" s="132"/>
      <c r="DW304" s="132"/>
      <c r="DX304" s="132"/>
      <c r="DY304" s="132"/>
      <c r="DZ304" s="132"/>
      <c r="EA304" s="132"/>
      <c r="EB304" s="132"/>
      <c r="EC304" s="132"/>
      <c r="ED304" s="132"/>
      <c r="EE304" s="132"/>
      <c r="EF304" s="132"/>
      <c r="EG304" s="132"/>
      <c r="EH304" s="132"/>
      <c r="EI304" s="132"/>
      <c r="EJ304" s="132"/>
      <c r="EK304" s="132"/>
      <c r="EL304" s="132"/>
      <c r="EM304" s="132"/>
      <c r="EN304" s="132"/>
      <c r="EO304" s="132"/>
      <c r="EP304" s="132"/>
      <c r="EQ304" s="132"/>
      <c r="ER304" s="132"/>
      <c r="ES304" s="132"/>
      <c r="ET304" s="11"/>
      <c r="EU304" s="11"/>
      <c r="EV304" s="11"/>
      <c r="EW304" s="11"/>
      <c r="EX304" s="11"/>
      <c r="EY304" s="11"/>
      <c r="EZ304" s="11"/>
      <c r="FA304" s="11"/>
      <c r="FB304" s="11"/>
      <c r="FC304" s="11"/>
      <c r="FD304" s="11"/>
      <c r="FE304" s="11"/>
      <c r="FF304" s="11"/>
      <c r="FG304" s="11"/>
      <c r="FH304" s="39">
        <f t="shared" si="61"/>
        <v>1684798.8266666667</v>
      </c>
      <c r="FI304" s="33">
        <f t="shared" si="62"/>
        <v>6</v>
      </c>
      <c r="FJ304" s="84">
        <f t="shared" si="63"/>
        <v>280799.80444444442</v>
      </c>
    </row>
    <row r="305" spans="1:166" ht="40.5" x14ac:dyDescent="0.25">
      <c r="A305" s="79" t="e">
        <f>#REF!</f>
        <v>#REF!</v>
      </c>
      <c r="B305" s="75" t="e">
        <f>#REF!</f>
        <v>#REF!</v>
      </c>
      <c r="C305" s="75" t="e">
        <f>#REF!</f>
        <v>#REF!</v>
      </c>
      <c r="D305" s="75" t="e">
        <f>#REF!</f>
        <v>#REF!</v>
      </c>
      <c r="E305" s="30">
        <v>1</v>
      </c>
      <c r="F305" s="238">
        <v>74441.666666666672</v>
      </c>
      <c r="G305" s="241">
        <v>72200</v>
      </c>
      <c r="H305" s="249">
        <v>164087.91376833332</v>
      </c>
      <c r="I305" s="249">
        <v>0</v>
      </c>
      <c r="J305" s="249">
        <v>124571.2</v>
      </c>
      <c r="K305" s="249">
        <v>99400</v>
      </c>
      <c r="L305" s="274">
        <f>AVERAGE(F305,H305,J305)</f>
        <v>121033.59347833334</v>
      </c>
      <c r="M305" s="274">
        <f>AVERAGE(G305,K305)*E1</f>
        <v>88374</v>
      </c>
      <c r="N305" s="245"/>
      <c r="O305" s="113"/>
      <c r="P305" s="113"/>
      <c r="Q305" s="131"/>
      <c r="R305" s="131"/>
      <c r="S305" s="64"/>
      <c r="T305" s="113"/>
      <c r="U305" s="117"/>
      <c r="V305" s="113"/>
      <c r="W305" s="131"/>
      <c r="X305" s="131"/>
      <c r="Y305" s="11"/>
      <c r="Z305" s="113"/>
      <c r="AA305" s="113"/>
      <c r="AB305" s="113"/>
      <c r="AC305" s="52"/>
      <c r="AD305" s="52"/>
      <c r="AE305" s="11"/>
      <c r="AF305" s="118">
        <v>75000</v>
      </c>
      <c r="AG305" s="144">
        <v>0</v>
      </c>
      <c r="AH305" s="113">
        <f>+AF305+AG305</f>
        <v>75000</v>
      </c>
      <c r="AI305" s="11"/>
      <c r="AJ305" s="11"/>
      <c r="AK305" s="39"/>
      <c r="AL305" s="113">
        <v>65000</v>
      </c>
      <c r="AM305" s="113">
        <f>+AL305*0</f>
        <v>0</v>
      </c>
      <c r="AN305" s="119">
        <f>+AL305+AM305</f>
        <v>65000</v>
      </c>
      <c r="AO305" s="76" t="s">
        <v>49</v>
      </c>
      <c r="AP305" s="39" t="s">
        <v>164</v>
      </c>
      <c r="AQ305" s="39"/>
      <c r="AR305" s="275">
        <v>48952</v>
      </c>
      <c r="AS305" s="113">
        <f>+AR305*0.19</f>
        <v>9300.880000000001</v>
      </c>
      <c r="AT305" s="119">
        <f>+AR305+AS305</f>
        <v>58252.880000000005</v>
      </c>
      <c r="AU305" s="62" t="s">
        <v>49</v>
      </c>
      <c r="AV305" s="62" t="s">
        <v>277</v>
      </c>
      <c r="AW305" s="31"/>
      <c r="AX305" s="116"/>
      <c r="AY305" s="196"/>
      <c r="AZ305" s="143"/>
      <c r="BA305" s="191"/>
      <c r="BB305" s="132"/>
      <c r="BC305" s="132"/>
      <c r="BD305" s="274"/>
      <c r="BE305" s="143"/>
      <c r="BF305" s="143"/>
      <c r="BG305" s="132"/>
      <c r="BH305" s="132"/>
      <c r="BI305" s="132"/>
      <c r="BJ305" s="143"/>
      <c r="BK305" s="143"/>
      <c r="BL305" s="143"/>
      <c r="BM305" s="132"/>
      <c r="BN305" s="132"/>
      <c r="BO305" s="132"/>
      <c r="BP305" s="143"/>
      <c r="BQ305" s="132"/>
      <c r="BR305" s="132"/>
      <c r="BS305" s="132"/>
      <c r="BT305" s="132"/>
      <c r="BU305" s="132"/>
      <c r="BV305" s="263">
        <v>120000</v>
      </c>
      <c r="BW305" s="144">
        <f>BV305*0</f>
        <v>0</v>
      </c>
      <c r="BX305" s="113">
        <f t="shared" si="69"/>
        <v>120000</v>
      </c>
      <c r="BY305" s="264" t="s">
        <v>329</v>
      </c>
      <c r="BZ305" s="264" t="s">
        <v>48</v>
      </c>
      <c r="CA305" s="132"/>
      <c r="CB305" s="274"/>
      <c r="CC305" s="144"/>
      <c r="CD305" s="274"/>
      <c r="CE305" s="132"/>
      <c r="CF305" s="132"/>
      <c r="CG305" s="36"/>
      <c r="CH305" s="263">
        <v>124800</v>
      </c>
      <c r="CI305" s="265">
        <f>+CH305*0</f>
        <v>0</v>
      </c>
      <c r="CJ305" s="263">
        <f>+CH305+CI305</f>
        <v>124800</v>
      </c>
      <c r="CK305" s="264" t="s">
        <v>329</v>
      </c>
      <c r="CL305" s="264" t="s">
        <v>48</v>
      </c>
      <c r="CM305" s="132"/>
      <c r="CN305" s="274"/>
      <c r="CO305" s="144"/>
      <c r="CP305" s="274"/>
      <c r="CQ305" s="132"/>
      <c r="CR305" s="132"/>
      <c r="CS305" s="132"/>
      <c r="CT305" s="274"/>
      <c r="CU305" s="144"/>
      <c r="CV305" s="274"/>
      <c r="CW305" s="132"/>
      <c r="CX305" s="132"/>
      <c r="CY305" s="132"/>
      <c r="CZ305" s="118"/>
      <c r="DA305" s="144"/>
      <c r="DB305" s="118"/>
      <c r="DC305" s="33"/>
      <c r="DD305" s="39"/>
      <c r="DE305" s="11"/>
      <c r="DF305" s="132"/>
      <c r="DG305" s="132"/>
      <c r="DH305" s="132"/>
      <c r="DI305" s="132"/>
      <c r="DJ305" s="132"/>
      <c r="DK305" s="132"/>
      <c r="DL305" s="132"/>
      <c r="DM305" s="132"/>
      <c r="DN305" s="132"/>
      <c r="DO305" s="132"/>
      <c r="DP305" s="132"/>
      <c r="DQ305" s="132"/>
      <c r="DR305" s="132"/>
      <c r="DS305" s="132"/>
      <c r="DT305" s="132"/>
      <c r="DU305" s="132"/>
      <c r="DV305" s="132"/>
      <c r="DW305" s="132"/>
      <c r="DX305" s="132"/>
      <c r="DY305" s="132"/>
      <c r="DZ305" s="132"/>
      <c r="EA305" s="132"/>
      <c r="EB305" s="132"/>
      <c r="EC305" s="132"/>
      <c r="ED305" s="132"/>
      <c r="EE305" s="132"/>
      <c r="EF305" s="132"/>
      <c r="EG305" s="132"/>
      <c r="EH305" s="132"/>
      <c r="EI305" s="132"/>
      <c r="EJ305" s="132"/>
      <c r="EK305" s="132"/>
      <c r="EL305" s="132"/>
      <c r="EM305" s="132"/>
      <c r="EN305" s="132"/>
      <c r="EO305" s="132"/>
      <c r="EP305" s="132"/>
      <c r="EQ305" s="132"/>
      <c r="ER305" s="132"/>
      <c r="ES305" s="132"/>
      <c r="ET305" s="11"/>
      <c r="EU305" s="11"/>
      <c r="EV305" s="11"/>
      <c r="EW305" s="11"/>
      <c r="EX305" s="11"/>
      <c r="EY305" s="11"/>
      <c r="EZ305" s="11"/>
      <c r="FA305" s="11"/>
      <c r="FB305" s="11"/>
      <c r="FC305" s="11"/>
      <c r="FD305" s="11"/>
      <c r="FE305" s="11"/>
      <c r="FF305" s="11"/>
      <c r="FG305" s="11"/>
      <c r="FH305" s="39">
        <f t="shared" si="61"/>
        <v>531426.88</v>
      </c>
      <c r="FI305" s="33">
        <f t="shared" si="62"/>
        <v>6</v>
      </c>
      <c r="FJ305" s="84">
        <f t="shared" si="63"/>
        <v>88571.146666666667</v>
      </c>
    </row>
    <row r="306" spans="1:166" ht="27" x14ac:dyDescent="0.25">
      <c r="A306" s="79" t="e">
        <f>#REF!</f>
        <v>#REF!</v>
      </c>
      <c r="B306" s="75" t="e">
        <f>#REF!</f>
        <v>#REF!</v>
      </c>
      <c r="C306" s="75" t="e">
        <f>#REF!</f>
        <v>#REF!</v>
      </c>
      <c r="D306" s="75" t="e">
        <f>#REF!</f>
        <v>#REF!</v>
      </c>
      <c r="E306" s="30">
        <v>1</v>
      </c>
      <c r="F306" s="238">
        <v>407237.83333333337</v>
      </c>
      <c r="G306" s="241">
        <v>390915</v>
      </c>
      <c r="H306" s="249">
        <v>362257.22728809528</v>
      </c>
      <c r="I306" s="249">
        <v>362236</v>
      </c>
      <c r="J306" s="249">
        <v>433231.21574193548</v>
      </c>
      <c r="K306" s="249">
        <v>422450</v>
      </c>
      <c r="L306" s="274">
        <f>AVERAGE(F306,H306,J306)</f>
        <v>400908.75878778804</v>
      </c>
      <c r="M306" s="274">
        <f>AVERAGE(G306,I306,K306)*E1</f>
        <v>403623.01</v>
      </c>
      <c r="N306" s="245"/>
      <c r="O306" s="113"/>
      <c r="P306" s="113"/>
      <c r="Q306" s="131"/>
      <c r="R306" s="131"/>
      <c r="S306" s="64"/>
      <c r="T306" s="113"/>
      <c r="U306" s="113"/>
      <c r="V306" s="113"/>
      <c r="W306" s="131"/>
      <c r="X306" s="131"/>
      <c r="Y306" s="11"/>
      <c r="Z306" s="113"/>
      <c r="AA306" s="113"/>
      <c r="AB306" s="113"/>
      <c r="AC306" s="52"/>
      <c r="AD306" s="52"/>
      <c r="AE306" s="11"/>
      <c r="AF306" s="118"/>
      <c r="AG306" s="144"/>
      <c r="AH306" s="113"/>
      <c r="AI306" s="11"/>
      <c r="AJ306" s="11"/>
      <c r="AK306" s="39"/>
      <c r="AL306" s="113">
        <v>405000</v>
      </c>
      <c r="AM306" s="113">
        <f>+AL306*0.19</f>
        <v>76950</v>
      </c>
      <c r="AN306" s="119">
        <f>+AL306+AM306</f>
        <v>481950</v>
      </c>
      <c r="AO306" s="76" t="s">
        <v>81</v>
      </c>
      <c r="AP306" s="39" t="s">
        <v>45</v>
      </c>
      <c r="AQ306" s="39"/>
      <c r="AR306" s="275"/>
      <c r="AS306" s="156"/>
      <c r="AT306" s="157"/>
      <c r="AU306" s="62"/>
      <c r="AV306" s="62"/>
      <c r="AW306" s="31"/>
      <c r="AX306" s="116"/>
      <c r="AY306" s="196"/>
      <c r="AZ306" s="143"/>
      <c r="BA306" s="191"/>
      <c r="BB306" s="132"/>
      <c r="BC306" s="132"/>
      <c r="BD306" s="274"/>
      <c r="BE306" s="143"/>
      <c r="BF306" s="143"/>
      <c r="BG306" s="132"/>
      <c r="BH306" s="132"/>
      <c r="BI306" s="132"/>
      <c r="BJ306" s="143"/>
      <c r="BK306" s="143"/>
      <c r="BL306" s="143"/>
      <c r="BM306" s="132"/>
      <c r="BN306" s="132"/>
      <c r="BO306" s="132"/>
      <c r="BP306" s="143"/>
      <c r="BQ306" s="132"/>
      <c r="BR306" s="132"/>
      <c r="BS306" s="132"/>
      <c r="BT306" s="132"/>
      <c r="BU306" s="132"/>
      <c r="BV306" s="263">
        <v>425900</v>
      </c>
      <c r="BW306" s="144">
        <f>BV306*19%</f>
        <v>80921</v>
      </c>
      <c r="BX306" s="113">
        <f t="shared" si="69"/>
        <v>506821</v>
      </c>
      <c r="BY306" s="264" t="s">
        <v>327</v>
      </c>
      <c r="BZ306" s="264" t="s">
        <v>63</v>
      </c>
      <c r="CA306" s="132"/>
      <c r="CB306" s="274"/>
      <c r="CC306" s="144"/>
      <c r="CD306" s="274"/>
      <c r="CE306" s="132"/>
      <c r="CF306" s="132"/>
      <c r="CG306" s="36"/>
      <c r="CH306" s="263">
        <v>430159</v>
      </c>
      <c r="CI306" s="265">
        <f>+CH306*0.19</f>
        <v>81730.210000000006</v>
      </c>
      <c r="CJ306" s="263">
        <f>+CH306+CI306</f>
        <v>511889.21</v>
      </c>
      <c r="CK306" s="264" t="s">
        <v>327</v>
      </c>
      <c r="CL306" s="264" t="s">
        <v>63</v>
      </c>
      <c r="CM306" s="132"/>
      <c r="CN306" s="274"/>
      <c r="CO306" s="144"/>
      <c r="CP306" s="274"/>
      <c r="CQ306" s="132"/>
      <c r="CR306" s="132"/>
      <c r="CS306" s="132"/>
      <c r="CT306" s="274"/>
      <c r="CU306" s="144"/>
      <c r="CV306" s="274"/>
      <c r="CW306" s="132"/>
      <c r="CX306" s="132"/>
      <c r="CY306" s="132"/>
      <c r="CZ306" s="118"/>
      <c r="DA306" s="144"/>
      <c r="DB306" s="118"/>
      <c r="DC306" s="33"/>
      <c r="DD306" s="39"/>
      <c r="DE306" s="11"/>
      <c r="DF306" s="132"/>
      <c r="DG306" s="132"/>
      <c r="DH306" s="132"/>
      <c r="DI306" s="132"/>
      <c r="DJ306" s="132"/>
      <c r="DK306" s="132"/>
      <c r="DL306" s="132"/>
      <c r="DM306" s="132"/>
      <c r="DN306" s="132"/>
      <c r="DO306" s="132"/>
      <c r="DP306" s="132"/>
      <c r="DQ306" s="132"/>
      <c r="DR306" s="132"/>
      <c r="DS306" s="132"/>
      <c r="DT306" s="132"/>
      <c r="DU306" s="132"/>
      <c r="DV306" s="132"/>
      <c r="DW306" s="132"/>
      <c r="DX306" s="132"/>
      <c r="DY306" s="132"/>
      <c r="DZ306" s="132"/>
      <c r="EA306" s="132"/>
      <c r="EB306" s="132"/>
      <c r="EC306" s="132"/>
      <c r="ED306" s="132"/>
      <c r="EE306" s="132"/>
      <c r="EF306" s="132"/>
      <c r="EG306" s="132"/>
      <c r="EH306" s="132"/>
      <c r="EI306" s="132"/>
      <c r="EJ306" s="132"/>
      <c r="EK306" s="132"/>
      <c r="EL306" s="132"/>
      <c r="EM306" s="132"/>
      <c r="EN306" s="132"/>
      <c r="EO306" s="132"/>
      <c r="EP306" s="132"/>
      <c r="EQ306" s="132"/>
      <c r="ER306" s="132"/>
      <c r="ES306" s="132"/>
      <c r="ET306" s="11"/>
      <c r="EU306" s="11"/>
      <c r="EV306" s="11"/>
      <c r="EW306" s="11"/>
      <c r="EX306" s="11"/>
      <c r="EY306" s="11"/>
      <c r="EZ306" s="11"/>
      <c r="FA306" s="11"/>
      <c r="FB306" s="11"/>
      <c r="FC306" s="11"/>
      <c r="FD306" s="11"/>
      <c r="FE306" s="11"/>
      <c r="FF306" s="11"/>
      <c r="FG306" s="11"/>
      <c r="FH306" s="39">
        <f t="shared" si="61"/>
        <v>1904283.22</v>
      </c>
      <c r="FI306" s="33">
        <f t="shared" si="62"/>
        <v>4</v>
      </c>
      <c r="FJ306" s="84">
        <f t="shared" si="63"/>
        <v>476070.80499999999</v>
      </c>
    </row>
    <row r="307" spans="1:166" ht="40.5" x14ac:dyDescent="0.25">
      <c r="A307" s="79" t="e">
        <f>#REF!</f>
        <v>#REF!</v>
      </c>
      <c r="B307" s="75" t="e">
        <f>#REF!</f>
        <v>#REF!</v>
      </c>
      <c r="C307" s="75" t="e">
        <f>#REF!</f>
        <v>#REF!</v>
      </c>
      <c r="D307" s="75" t="e">
        <f>#REF!</f>
        <v>#REF!</v>
      </c>
      <c r="E307" s="30">
        <v>1</v>
      </c>
      <c r="F307" s="238">
        <v>0</v>
      </c>
      <c r="G307" s="241">
        <v>0</v>
      </c>
      <c r="H307" s="249">
        <v>4522000</v>
      </c>
      <c r="I307" s="249">
        <v>0</v>
      </c>
      <c r="J307" s="249">
        <v>357193.97</v>
      </c>
      <c r="K307" s="249">
        <v>0</v>
      </c>
      <c r="L307" s="274">
        <f>AVERAGE(H307,J307)</f>
        <v>2439596.9849999999</v>
      </c>
      <c r="M307" s="274"/>
      <c r="N307" s="245"/>
      <c r="O307" s="113"/>
      <c r="P307" s="113"/>
      <c r="Q307" s="131"/>
      <c r="R307" s="131"/>
      <c r="S307" s="64"/>
      <c r="T307" s="113"/>
      <c r="U307" s="117"/>
      <c r="V307" s="113"/>
      <c r="W307" s="131"/>
      <c r="X307" s="131"/>
      <c r="Y307" s="11"/>
      <c r="Z307" s="113"/>
      <c r="AA307" s="113"/>
      <c r="AB307" s="113"/>
      <c r="AC307" s="52"/>
      <c r="AD307" s="52"/>
      <c r="AE307" s="11"/>
      <c r="AF307" s="118">
        <v>300000</v>
      </c>
      <c r="AG307" s="144">
        <f>AF307*19%</f>
        <v>57000</v>
      </c>
      <c r="AH307" s="113">
        <f>+AF307+AG307</f>
        <v>357000</v>
      </c>
      <c r="AI307" s="11"/>
      <c r="AJ307" s="11"/>
      <c r="AK307" s="39"/>
      <c r="AL307" s="113"/>
      <c r="AM307" s="113"/>
      <c r="AN307" s="117"/>
      <c r="AO307" s="76"/>
      <c r="AP307" s="39"/>
      <c r="AQ307" s="39"/>
      <c r="AR307" s="275"/>
      <c r="AS307" s="156"/>
      <c r="AT307" s="157"/>
      <c r="AU307" s="62"/>
      <c r="AV307" s="62"/>
      <c r="AW307" s="31"/>
      <c r="AX307" s="116"/>
      <c r="AY307" s="196"/>
      <c r="AZ307" s="143"/>
      <c r="BA307" s="191"/>
      <c r="BB307" s="132"/>
      <c r="BC307" s="132"/>
      <c r="BD307" s="274"/>
      <c r="BE307" s="143"/>
      <c r="BF307" s="143"/>
      <c r="BG307" s="132"/>
      <c r="BH307" s="132"/>
      <c r="BI307" s="132"/>
      <c r="BJ307" s="143"/>
      <c r="BK307" s="143"/>
      <c r="BL307" s="143"/>
      <c r="BM307" s="132"/>
      <c r="BN307" s="132"/>
      <c r="BO307" s="132"/>
      <c r="BP307" s="143"/>
      <c r="BQ307" s="132"/>
      <c r="BR307" s="132"/>
      <c r="BS307" s="132"/>
      <c r="BT307" s="132"/>
      <c r="BU307" s="132"/>
      <c r="BV307" s="263">
        <v>225600</v>
      </c>
      <c r="BW307" s="144">
        <f>BV307*19%</f>
        <v>42864</v>
      </c>
      <c r="BX307" s="113">
        <f t="shared" si="69"/>
        <v>268464</v>
      </c>
      <c r="BY307" s="264" t="s">
        <v>330</v>
      </c>
      <c r="BZ307" s="264" t="s">
        <v>331</v>
      </c>
      <c r="CA307" s="132"/>
      <c r="CB307" s="274"/>
      <c r="CC307" s="144"/>
      <c r="CD307" s="274"/>
      <c r="CE307" s="132"/>
      <c r="CF307" s="132"/>
      <c r="CG307" s="36"/>
      <c r="CH307" s="263">
        <v>236880</v>
      </c>
      <c r="CI307" s="265">
        <f>+CH307*0.19</f>
        <v>45007.199999999997</v>
      </c>
      <c r="CJ307" s="263">
        <f>+CH307+CI307</f>
        <v>281887.2</v>
      </c>
      <c r="CK307" s="264" t="s">
        <v>330</v>
      </c>
      <c r="CL307" s="264" t="s">
        <v>331</v>
      </c>
      <c r="CM307" s="132"/>
      <c r="CN307" s="274"/>
      <c r="CO307" s="144"/>
      <c r="CP307" s="274"/>
      <c r="CQ307" s="132"/>
      <c r="CR307" s="132"/>
      <c r="CS307" s="132"/>
      <c r="CT307" s="274"/>
      <c r="CU307" s="144"/>
      <c r="CV307" s="274"/>
      <c r="CW307" s="132"/>
      <c r="CX307" s="132"/>
      <c r="CY307" s="132"/>
      <c r="CZ307" s="118"/>
      <c r="DA307" s="144"/>
      <c r="DB307" s="118"/>
      <c r="DC307" s="33"/>
      <c r="DD307" s="39"/>
      <c r="DE307" s="11"/>
      <c r="DF307" s="132"/>
      <c r="DG307" s="132"/>
      <c r="DH307" s="132"/>
      <c r="DI307" s="132"/>
      <c r="DJ307" s="132"/>
      <c r="DK307" s="132"/>
      <c r="DL307" s="132"/>
      <c r="DM307" s="132"/>
      <c r="DN307" s="132"/>
      <c r="DO307" s="132"/>
      <c r="DP307" s="132"/>
      <c r="DQ307" s="132"/>
      <c r="DR307" s="132"/>
      <c r="DS307" s="132"/>
      <c r="DT307" s="132"/>
      <c r="DU307" s="132"/>
      <c r="DV307" s="132"/>
      <c r="DW307" s="132"/>
      <c r="DX307" s="132"/>
      <c r="DY307" s="132"/>
      <c r="DZ307" s="132"/>
      <c r="EA307" s="132"/>
      <c r="EB307" s="132"/>
      <c r="EC307" s="132"/>
      <c r="ED307" s="132"/>
      <c r="EE307" s="132"/>
      <c r="EF307" s="132"/>
      <c r="EG307" s="132"/>
      <c r="EH307" s="132"/>
      <c r="EI307" s="132"/>
      <c r="EJ307" s="132"/>
      <c r="EK307" s="132"/>
      <c r="EL307" s="132"/>
      <c r="EM307" s="132"/>
      <c r="EN307" s="132"/>
      <c r="EO307" s="132"/>
      <c r="EP307" s="132"/>
      <c r="EQ307" s="132"/>
      <c r="ER307" s="132"/>
      <c r="ES307" s="132"/>
      <c r="ET307" s="11"/>
      <c r="EU307" s="11"/>
      <c r="EV307" s="11"/>
      <c r="EW307" s="11"/>
      <c r="EX307" s="11"/>
      <c r="EY307" s="11"/>
      <c r="EZ307" s="11"/>
      <c r="FA307" s="11"/>
      <c r="FB307" s="11"/>
      <c r="FC307" s="11"/>
      <c r="FD307" s="11"/>
      <c r="FE307" s="11"/>
      <c r="FF307" s="11"/>
      <c r="FG307" s="11"/>
      <c r="FH307" s="39">
        <f t="shared" si="61"/>
        <v>907351.2</v>
      </c>
      <c r="FI307" s="33">
        <f t="shared" si="62"/>
        <v>3</v>
      </c>
      <c r="FJ307" s="84">
        <f t="shared" si="63"/>
        <v>302450.39999999997</v>
      </c>
    </row>
    <row r="308" spans="1:166" x14ac:dyDescent="0.25">
      <c r="A308" s="79" t="e">
        <f>#REF!</f>
        <v>#REF!</v>
      </c>
      <c r="B308" s="75" t="e">
        <f>#REF!</f>
        <v>#REF!</v>
      </c>
      <c r="C308" s="75" t="e">
        <f>#REF!</f>
        <v>#REF!</v>
      </c>
      <c r="D308" s="75" t="e">
        <f>#REF!</f>
        <v>#REF!</v>
      </c>
      <c r="E308" s="30">
        <v>1</v>
      </c>
      <c r="F308" s="238">
        <v>0</v>
      </c>
      <c r="G308" s="241">
        <v>0</v>
      </c>
      <c r="H308" s="249">
        <v>0</v>
      </c>
      <c r="I308" s="249">
        <v>0</v>
      </c>
      <c r="J308" s="249">
        <v>0</v>
      </c>
      <c r="K308" s="249">
        <v>0</v>
      </c>
      <c r="L308" s="274"/>
      <c r="M308" s="274"/>
      <c r="N308" s="245"/>
      <c r="O308" s="113"/>
      <c r="P308" s="113"/>
      <c r="Q308" s="131"/>
      <c r="R308" s="131"/>
      <c r="S308" s="64"/>
      <c r="T308" s="113"/>
      <c r="U308" s="113"/>
      <c r="V308" s="113"/>
      <c r="W308" s="131"/>
      <c r="X308" s="131"/>
      <c r="Y308" s="11"/>
      <c r="Z308" s="113"/>
      <c r="AA308" s="113"/>
      <c r="AB308" s="113"/>
      <c r="AC308" s="52"/>
      <c r="AD308" s="52"/>
      <c r="AE308" s="11"/>
      <c r="AF308" s="118"/>
      <c r="AG308" s="144"/>
      <c r="AH308" s="113"/>
      <c r="AI308" s="11"/>
      <c r="AJ308" s="11"/>
      <c r="AK308" s="39"/>
      <c r="AL308" s="113"/>
      <c r="AM308" s="113"/>
      <c r="AN308" s="117"/>
      <c r="AO308" s="76"/>
      <c r="AP308" s="39"/>
      <c r="AQ308" s="39"/>
      <c r="AR308" s="275"/>
      <c r="AS308" s="156"/>
      <c r="AT308" s="157"/>
      <c r="AU308" s="62"/>
      <c r="AV308" s="62"/>
      <c r="AW308" s="31"/>
      <c r="AX308" s="116"/>
      <c r="AY308" s="196"/>
      <c r="AZ308" s="143"/>
      <c r="BA308" s="191"/>
      <c r="BB308" s="132"/>
      <c r="BC308" s="132"/>
      <c r="BD308" s="274"/>
      <c r="BE308" s="143"/>
      <c r="BF308" s="143"/>
      <c r="BG308" s="132"/>
      <c r="BH308" s="132"/>
      <c r="BI308" s="132"/>
      <c r="BJ308" s="143"/>
      <c r="BK308" s="143"/>
      <c r="BL308" s="143"/>
      <c r="BM308" s="132"/>
      <c r="BN308" s="132"/>
      <c r="BO308" s="132"/>
      <c r="BP308" s="143"/>
      <c r="BQ308" s="132"/>
      <c r="BR308" s="132"/>
      <c r="BS308" s="132"/>
      <c r="BT308" s="132"/>
      <c r="BU308" s="132"/>
      <c r="BV308" s="210"/>
      <c r="BW308" s="144"/>
      <c r="BX308" s="113"/>
      <c r="BY308" s="273"/>
      <c r="BZ308" s="273"/>
      <c r="CA308" s="132"/>
      <c r="CB308" s="274"/>
      <c r="CC308" s="144"/>
      <c r="CD308" s="274"/>
      <c r="CE308" s="132"/>
      <c r="CF308" s="132"/>
      <c r="CG308" s="36"/>
      <c r="CH308" s="210"/>
      <c r="CI308" s="219"/>
      <c r="CJ308" s="210"/>
      <c r="CK308" s="273"/>
      <c r="CL308" s="273"/>
      <c r="CM308" s="132"/>
      <c r="CN308" s="274">
        <v>6360197</v>
      </c>
      <c r="CO308" s="144">
        <f>+CN308*0.19</f>
        <v>1208437.43</v>
      </c>
      <c r="CP308" s="274">
        <f>+CO308+CN308</f>
        <v>7568634.4299999997</v>
      </c>
      <c r="CQ308" s="132"/>
      <c r="CR308" s="132"/>
      <c r="CS308" s="132"/>
      <c r="CT308" s="274"/>
      <c r="CU308" s="144"/>
      <c r="CV308" s="274"/>
      <c r="CW308" s="132"/>
      <c r="CX308" s="132"/>
      <c r="CY308" s="132"/>
      <c r="CZ308" s="118"/>
      <c r="DA308" s="144"/>
      <c r="DB308" s="118"/>
      <c r="DC308" s="33"/>
      <c r="DD308" s="39"/>
      <c r="DE308" s="11"/>
      <c r="DF308" s="132"/>
      <c r="DG308" s="132"/>
      <c r="DH308" s="132"/>
      <c r="DI308" s="132"/>
      <c r="DJ308" s="132"/>
      <c r="DK308" s="132"/>
      <c r="DL308" s="132"/>
      <c r="DM308" s="132"/>
      <c r="DN308" s="132"/>
      <c r="DO308" s="132"/>
      <c r="DP308" s="132"/>
      <c r="DQ308" s="132"/>
      <c r="DR308" s="132"/>
      <c r="DS308" s="132"/>
      <c r="DT308" s="132"/>
      <c r="DU308" s="132"/>
      <c r="DV308" s="132"/>
      <c r="DW308" s="132"/>
      <c r="DX308" s="132"/>
      <c r="DY308" s="132"/>
      <c r="DZ308" s="132"/>
      <c r="EA308" s="132"/>
      <c r="EB308" s="132"/>
      <c r="EC308" s="132"/>
      <c r="ED308" s="132"/>
      <c r="EE308" s="132"/>
      <c r="EF308" s="132"/>
      <c r="EG308" s="132"/>
      <c r="EH308" s="132"/>
      <c r="EI308" s="132"/>
      <c r="EJ308" s="132"/>
      <c r="EK308" s="132"/>
      <c r="EL308" s="132"/>
      <c r="EM308" s="132"/>
      <c r="EN308" s="132"/>
      <c r="EO308" s="132"/>
      <c r="EP308" s="132"/>
      <c r="EQ308" s="132"/>
      <c r="ER308" s="132"/>
      <c r="ES308" s="132"/>
      <c r="ET308" s="11"/>
      <c r="EU308" s="11"/>
      <c r="EV308" s="11"/>
      <c r="EW308" s="11"/>
      <c r="EX308" s="11"/>
      <c r="EY308" s="11"/>
      <c r="EZ308" s="11"/>
      <c r="FA308" s="11"/>
      <c r="FB308" s="11"/>
      <c r="FC308" s="11"/>
      <c r="FD308" s="11"/>
      <c r="FE308" s="11"/>
      <c r="FF308" s="11"/>
      <c r="FG308" s="11"/>
      <c r="FH308" s="39">
        <f t="shared" si="61"/>
        <v>7568634.4299999997</v>
      </c>
      <c r="FI308" s="33">
        <f t="shared" si="62"/>
        <v>1</v>
      </c>
      <c r="FJ308" s="84">
        <f t="shared" si="63"/>
        <v>7568634.4299999997</v>
      </c>
    </row>
    <row r="309" spans="1:166" ht="13.5" x14ac:dyDescent="0.25">
      <c r="A309" s="79" t="e">
        <f>#REF!</f>
        <v>#REF!</v>
      </c>
      <c r="B309" s="75" t="e">
        <f>#REF!</f>
        <v>#REF!</v>
      </c>
      <c r="C309" s="75" t="e">
        <f>#REF!</f>
        <v>#REF!</v>
      </c>
      <c r="D309" s="75" t="e">
        <f>#REF!</f>
        <v>#REF!</v>
      </c>
      <c r="E309" s="30">
        <v>1</v>
      </c>
      <c r="F309" s="238">
        <v>397460</v>
      </c>
      <c r="G309" s="241">
        <v>387464</v>
      </c>
      <c r="H309" s="249">
        <v>335819.84450000001</v>
      </c>
      <c r="I309" s="249">
        <v>335818</v>
      </c>
      <c r="J309" s="249">
        <v>246679.06666666665</v>
      </c>
      <c r="K309" s="249">
        <v>0</v>
      </c>
      <c r="L309" s="274">
        <f>AVERAGE(F309,H309,J309)</f>
        <v>326652.97038888891</v>
      </c>
      <c r="M309" s="274">
        <f>AVERAGE(G309,I309)*E1</f>
        <v>372490.23</v>
      </c>
      <c r="N309" s="245"/>
      <c r="O309" s="113"/>
      <c r="P309" s="113"/>
      <c r="Q309" s="131"/>
      <c r="R309" s="131"/>
      <c r="S309" s="64"/>
      <c r="T309" s="113"/>
      <c r="U309" s="113"/>
      <c r="V309" s="113"/>
      <c r="W309" s="131"/>
      <c r="X309" s="131"/>
      <c r="Y309" s="11"/>
      <c r="Z309" s="117"/>
      <c r="AA309" s="113"/>
      <c r="AB309" s="113"/>
      <c r="AC309" s="131"/>
      <c r="AD309" s="52"/>
      <c r="AE309" s="11"/>
      <c r="AF309" s="118">
        <v>200000</v>
      </c>
      <c r="AG309" s="144">
        <f>AF309*19%</f>
        <v>38000</v>
      </c>
      <c r="AH309" s="113">
        <f>+AF309+AG309</f>
        <v>238000</v>
      </c>
      <c r="AI309" s="11"/>
      <c r="AJ309" s="11"/>
      <c r="AK309" s="39"/>
      <c r="AL309" s="113"/>
      <c r="AM309" s="113"/>
      <c r="AN309" s="117"/>
      <c r="AO309" s="76"/>
      <c r="AP309" s="39"/>
      <c r="AQ309" s="39"/>
      <c r="AR309" s="275"/>
      <c r="AS309" s="156"/>
      <c r="AT309" s="157"/>
      <c r="AU309" s="62"/>
      <c r="AV309" s="62"/>
      <c r="AW309" s="31"/>
      <c r="AX309" s="116"/>
      <c r="AY309" s="116"/>
      <c r="AZ309" s="143"/>
      <c r="BA309" s="191"/>
      <c r="BB309" s="132"/>
      <c r="BC309" s="132"/>
      <c r="BD309" s="274"/>
      <c r="BE309" s="143"/>
      <c r="BF309" s="143"/>
      <c r="BG309" s="132"/>
      <c r="BH309" s="132"/>
      <c r="BI309" s="132"/>
      <c r="BJ309" s="143"/>
      <c r="BK309" s="143"/>
      <c r="BL309" s="143"/>
      <c r="BM309" s="132"/>
      <c r="BN309" s="132"/>
      <c r="BO309" s="132"/>
      <c r="BP309" s="143"/>
      <c r="BQ309" s="132"/>
      <c r="BR309" s="132"/>
      <c r="BS309" s="132"/>
      <c r="BT309" s="132"/>
      <c r="BU309" s="132"/>
      <c r="BV309" s="263">
        <v>486500</v>
      </c>
      <c r="BW309" s="144">
        <f t="shared" ref="BW309:BW318" si="79">BV309*19%</f>
        <v>92435</v>
      </c>
      <c r="BX309" s="113">
        <f t="shared" ref="BX309:BX318" si="80">+BV309+BW309</f>
        <v>578935</v>
      </c>
      <c r="BY309" s="264" t="s">
        <v>332</v>
      </c>
      <c r="BZ309" s="264" t="s">
        <v>88</v>
      </c>
      <c r="CA309" s="132"/>
      <c r="CB309" s="274"/>
      <c r="CC309" s="144"/>
      <c r="CD309" s="274"/>
      <c r="CE309" s="132"/>
      <c r="CF309" s="132"/>
      <c r="CG309" s="36"/>
      <c r="CH309" s="263"/>
      <c r="CI309" s="265"/>
      <c r="CJ309" s="263"/>
      <c r="CK309" s="264"/>
      <c r="CL309" s="264"/>
      <c r="CM309" s="132"/>
      <c r="CN309" s="274"/>
      <c r="CO309" s="144"/>
      <c r="CP309" s="274"/>
      <c r="CQ309" s="132"/>
      <c r="CR309" s="132"/>
      <c r="CS309" s="132"/>
      <c r="CT309" s="144">
        <v>366000</v>
      </c>
      <c r="CU309" s="144">
        <f>CT309*0.19</f>
        <v>69540</v>
      </c>
      <c r="CV309" s="144">
        <f>CU309+CT309</f>
        <v>435540</v>
      </c>
      <c r="CW309" s="132"/>
      <c r="CX309" s="132"/>
      <c r="CY309" s="132"/>
      <c r="CZ309" s="118">
        <v>201931</v>
      </c>
      <c r="DA309" s="144">
        <f>+CZ309*0.19</f>
        <v>38366.89</v>
      </c>
      <c r="DB309" s="118">
        <f>+CZ309+DA309</f>
        <v>240297.89</v>
      </c>
      <c r="DC309" s="33" t="s">
        <v>118</v>
      </c>
      <c r="DD309" s="39" t="s">
        <v>58</v>
      </c>
      <c r="DE309" s="11">
        <v>1400002500</v>
      </c>
      <c r="DF309" s="132"/>
      <c r="DG309" s="132"/>
      <c r="DH309" s="132"/>
      <c r="DI309" s="132"/>
      <c r="DJ309" s="132"/>
      <c r="DK309" s="132"/>
      <c r="DL309" s="132"/>
      <c r="DM309" s="132"/>
      <c r="DN309" s="132"/>
      <c r="DO309" s="132"/>
      <c r="DP309" s="132"/>
      <c r="DQ309" s="132"/>
      <c r="DR309" s="132"/>
      <c r="DS309" s="132"/>
      <c r="DT309" s="132"/>
      <c r="DU309" s="132"/>
      <c r="DV309" s="132"/>
      <c r="DW309" s="132"/>
      <c r="DX309" s="132"/>
      <c r="DY309" s="132"/>
      <c r="DZ309" s="132"/>
      <c r="EA309" s="132"/>
      <c r="EB309" s="132"/>
      <c r="EC309" s="132"/>
      <c r="ED309" s="132"/>
      <c r="EE309" s="132"/>
      <c r="EF309" s="132"/>
      <c r="EG309" s="132"/>
      <c r="EH309" s="132"/>
      <c r="EI309" s="132"/>
      <c r="EJ309" s="132"/>
      <c r="EK309" s="132"/>
      <c r="EL309" s="132"/>
      <c r="EM309" s="132"/>
      <c r="EN309" s="132"/>
      <c r="EO309" s="132"/>
      <c r="EP309" s="132"/>
      <c r="EQ309" s="132"/>
      <c r="ER309" s="132"/>
      <c r="ES309" s="132"/>
      <c r="ET309" s="11"/>
      <c r="EU309" s="11"/>
      <c r="EV309" s="11"/>
      <c r="EW309" s="11"/>
      <c r="EX309" s="11"/>
      <c r="EY309" s="11"/>
      <c r="EZ309" s="11"/>
      <c r="FA309" s="11"/>
      <c r="FB309" s="11"/>
      <c r="FC309" s="11"/>
      <c r="FD309" s="11"/>
      <c r="FE309" s="11"/>
      <c r="FF309" s="11"/>
      <c r="FG309" s="11"/>
      <c r="FH309" s="39">
        <f t="shared" si="61"/>
        <v>1865263.12</v>
      </c>
      <c r="FI309" s="33">
        <f t="shared" si="62"/>
        <v>5</v>
      </c>
      <c r="FJ309" s="84">
        <f t="shared" si="63"/>
        <v>373052.62400000001</v>
      </c>
    </row>
    <row r="310" spans="1:166" ht="13.5" x14ac:dyDescent="0.25">
      <c r="A310" s="79" t="e">
        <f>#REF!</f>
        <v>#REF!</v>
      </c>
      <c r="B310" s="75" t="e">
        <f>#REF!</f>
        <v>#REF!</v>
      </c>
      <c r="C310" s="75" t="e">
        <f>#REF!</f>
        <v>#REF!</v>
      </c>
      <c r="D310" s="75" t="e">
        <f>#REF!</f>
        <v>#REF!</v>
      </c>
      <c r="E310" s="30">
        <v>1</v>
      </c>
      <c r="F310" s="238">
        <v>254065</v>
      </c>
      <c r="G310" s="241">
        <v>247639</v>
      </c>
      <c r="H310" s="249">
        <v>251215.85737500002</v>
      </c>
      <c r="I310" s="249">
        <v>251209</v>
      </c>
      <c r="J310" s="249">
        <v>256050.31666666665</v>
      </c>
      <c r="K310" s="249">
        <v>250971</v>
      </c>
      <c r="L310" s="274">
        <f>AVERAGE(F310,H310,J310)</f>
        <v>253777.05801388889</v>
      </c>
      <c r="M310" s="274">
        <f>AVERAGE(G310,I310,K310)*E1</f>
        <v>257437.85666666666</v>
      </c>
      <c r="N310" s="245"/>
      <c r="O310" s="113"/>
      <c r="P310" s="113"/>
      <c r="Q310" s="131"/>
      <c r="R310" s="131"/>
      <c r="S310" s="64"/>
      <c r="T310" s="113"/>
      <c r="U310" s="113"/>
      <c r="V310" s="113"/>
      <c r="W310" s="131"/>
      <c r="X310" s="131"/>
      <c r="Y310" s="11"/>
      <c r="Z310" s="113"/>
      <c r="AA310" s="113"/>
      <c r="AB310" s="113"/>
      <c r="AC310" s="52"/>
      <c r="AD310" s="52"/>
      <c r="AE310" s="11"/>
      <c r="AF310" s="118">
        <v>250000</v>
      </c>
      <c r="AG310" s="144">
        <f>AF310*19%</f>
        <v>47500</v>
      </c>
      <c r="AH310" s="113">
        <f>+AF310+AG310</f>
        <v>297500</v>
      </c>
      <c r="AI310" s="11"/>
      <c r="AJ310" s="11"/>
      <c r="AK310" s="39"/>
      <c r="AL310" s="113">
        <v>145000</v>
      </c>
      <c r="AM310" s="113">
        <f>+AL310*0.19</f>
        <v>27550</v>
      </c>
      <c r="AN310" s="119">
        <f>+AL310+AM310</f>
        <v>172550</v>
      </c>
      <c r="AO310" s="76" t="s">
        <v>333</v>
      </c>
      <c r="AP310" s="39" t="s">
        <v>50</v>
      </c>
      <c r="AQ310" s="39"/>
      <c r="AR310" s="275"/>
      <c r="AS310" s="156"/>
      <c r="AT310" s="157"/>
      <c r="AU310" s="62"/>
      <c r="AV310" s="62"/>
      <c r="AW310" s="31"/>
      <c r="AX310" s="116"/>
      <c r="AY310" s="196"/>
      <c r="AZ310" s="143"/>
      <c r="BA310" s="191"/>
      <c r="BB310" s="132"/>
      <c r="BC310" s="132"/>
      <c r="BD310" s="274"/>
      <c r="BE310" s="143"/>
      <c r="BF310" s="143"/>
      <c r="BG310" s="132"/>
      <c r="BH310" s="132"/>
      <c r="BI310" s="132"/>
      <c r="BJ310" s="143"/>
      <c r="BK310" s="143"/>
      <c r="BL310" s="143"/>
      <c r="BM310" s="132"/>
      <c r="BN310" s="132"/>
      <c r="BO310" s="132"/>
      <c r="BP310" s="143"/>
      <c r="BQ310" s="132"/>
      <c r="BR310" s="132"/>
      <c r="BS310" s="132"/>
      <c r="BT310" s="132"/>
      <c r="BU310" s="132"/>
      <c r="BV310" s="263">
        <v>316300</v>
      </c>
      <c r="BW310" s="144">
        <f t="shared" si="79"/>
        <v>60097</v>
      </c>
      <c r="BX310" s="113">
        <f t="shared" si="80"/>
        <v>376397</v>
      </c>
      <c r="BY310" s="264" t="s">
        <v>334</v>
      </c>
      <c r="BZ310" s="264" t="s">
        <v>88</v>
      </c>
      <c r="CA310" s="132"/>
      <c r="CB310" s="274"/>
      <c r="CC310" s="144"/>
      <c r="CD310" s="274"/>
      <c r="CE310" s="132"/>
      <c r="CF310" s="132"/>
      <c r="CG310" s="36"/>
      <c r="CH310" s="263"/>
      <c r="CI310" s="265"/>
      <c r="CJ310" s="263"/>
      <c r="CK310" s="264"/>
      <c r="CL310" s="264"/>
      <c r="CM310" s="132"/>
      <c r="CN310" s="274"/>
      <c r="CO310" s="144"/>
      <c r="CP310" s="274"/>
      <c r="CQ310" s="132"/>
      <c r="CR310" s="132"/>
      <c r="CS310" s="132"/>
      <c r="CT310" s="144">
        <v>238000</v>
      </c>
      <c r="CU310" s="144">
        <f>CT310*0.19</f>
        <v>45220</v>
      </c>
      <c r="CV310" s="144">
        <f>CU310+CT310</f>
        <v>283220</v>
      </c>
      <c r="CW310" s="132"/>
      <c r="CX310" s="132"/>
      <c r="CY310" s="132"/>
      <c r="CZ310" s="118">
        <v>140000</v>
      </c>
      <c r="DA310" s="144">
        <f>+CZ310*0.19</f>
        <v>26600</v>
      </c>
      <c r="DB310" s="118">
        <f>+CZ310+DA310</f>
        <v>166600</v>
      </c>
      <c r="DC310" s="33" t="s">
        <v>335</v>
      </c>
      <c r="DD310" s="39" t="s">
        <v>58</v>
      </c>
      <c r="DE310" s="11">
        <v>1075535000</v>
      </c>
      <c r="DF310" s="132"/>
      <c r="DG310" s="132"/>
      <c r="DH310" s="132"/>
      <c r="DI310" s="132"/>
      <c r="DJ310" s="132"/>
      <c r="DK310" s="132"/>
      <c r="DL310" s="132"/>
      <c r="DM310" s="132"/>
      <c r="DN310" s="132"/>
      <c r="DO310" s="132"/>
      <c r="DP310" s="132"/>
      <c r="DQ310" s="132"/>
      <c r="DR310" s="132"/>
      <c r="DS310" s="132"/>
      <c r="DT310" s="132"/>
      <c r="DU310" s="132"/>
      <c r="DV310" s="132"/>
      <c r="DW310" s="132"/>
      <c r="DX310" s="132"/>
      <c r="DY310" s="132"/>
      <c r="DZ310" s="132"/>
      <c r="EA310" s="132"/>
      <c r="EB310" s="132"/>
      <c r="EC310" s="132"/>
      <c r="ED310" s="132"/>
      <c r="EE310" s="132"/>
      <c r="EF310" s="132"/>
      <c r="EG310" s="132"/>
      <c r="EH310" s="132"/>
      <c r="EI310" s="132"/>
      <c r="EJ310" s="132"/>
      <c r="EK310" s="132"/>
      <c r="EL310" s="132"/>
      <c r="EM310" s="132"/>
      <c r="EN310" s="132"/>
      <c r="EO310" s="132"/>
      <c r="EP310" s="132"/>
      <c r="EQ310" s="132"/>
      <c r="ER310" s="132"/>
      <c r="ES310" s="132"/>
      <c r="ET310" s="11"/>
      <c r="EU310" s="11"/>
      <c r="EV310" s="11"/>
      <c r="EW310" s="11"/>
      <c r="EX310" s="11"/>
      <c r="EY310" s="11"/>
      <c r="EZ310" s="11"/>
      <c r="FA310" s="11"/>
      <c r="FB310" s="11"/>
      <c r="FC310" s="11"/>
      <c r="FD310" s="11"/>
      <c r="FE310" s="11"/>
      <c r="FF310" s="11"/>
      <c r="FG310" s="11"/>
      <c r="FH310" s="39">
        <f t="shared" si="61"/>
        <v>1553704.8566666667</v>
      </c>
      <c r="FI310" s="33">
        <f t="shared" si="62"/>
        <v>6</v>
      </c>
      <c r="FJ310" s="84">
        <f t="shared" si="63"/>
        <v>258950.80944444446</v>
      </c>
    </row>
    <row r="311" spans="1:166" ht="27" x14ac:dyDescent="0.25">
      <c r="A311" s="79" t="e">
        <f>#REF!</f>
        <v>#REF!</v>
      </c>
      <c r="B311" s="75" t="e">
        <f>#REF!</f>
        <v>#REF!</v>
      </c>
      <c r="C311" s="75" t="e">
        <f>#REF!</f>
        <v>#REF!</v>
      </c>
      <c r="D311" s="75" t="e">
        <f>#REF!</f>
        <v>#REF!</v>
      </c>
      <c r="E311" s="30">
        <v>1</v>
      </c>
      <c r="F311" s="238">
        <v>706860</v>
      </c>
      <c r="G311" s="241">
        <v>706860</v>
      </c>
      <c r="H311" s="249">
        <v>928217.16225000005</v>
      </c>
      <c r="I311" s="249">
        <v>0</v>
      </c>
      <c r="J311" s="249">
        <v>711994.20381720422</v>
      </c>
      <c r="K311" s="249">
        <v>0</v>
      </c>
      <c r="L311" s="274">
        <f>AVERAGE(F311,H311,J311)</f>
        <v>782357.12202240143</v>
      </c>
      <c r="M311" s="274">
        <f>G311*E1</f>
        <v>728065.8</v>
      </c>
      <c r="N311" s="245"/>
      <c r="O311" s="113"/>
      <c r="P311" s="113"/>
      <c r="Q311" s="131"/>
      <c r="R311" s="131"/>
      <c r="S311" s="64"/>
      <c r="T311" s="113">
        <v>885000</v>
      </c>
      <c r="U311" s="113">
        <f>+T311*0.19</f>
        <v>168150</v>
      </c>
      <c r="V311" s="113">
        <f>+T311+U311</f>
        <v>1053150</v>
      </c>
      <c r="W311" s="131" t="s">
        <v>60</v>
      </c>
      <c r="X311" s="131" t="s">
        <v>138</v>
      </c>
      <c r="Y311" s="11"/>
      <c r="Z311" s="117"/>
      <c r="AA311" s="113"/>
      <c r="AB311" s="113"/>
      <c r="AC311" s="131"/>
      <c r="AD311" s="52"/>
      <c r="AE311" s="11"/>
      <c r="AF311" s="118"/>
      <c r="AG311" s="144"/>
      <c r="AH311" s="113"/>
      <c r="AI311" s="11"/>
      <c r="AJ311" s="11"/>
      <c r="AK311" s="39"/>
      <c r="AL311" s="113">
        <v>365000</v>
      </c>
      <c r="AM311" s="113">
        <f>+AL311*0.19</f>
        <v>69350</v>
      </c>
      <c r="AN311" s="119">
        <f>+AL311+AM311</f>
        <v>434350</v>
      </c>
      <c r="AO311" s="76" t="s">
        <v>95</v>
      </c>
      <c r="AP311" s="39" t="s">
        <v>45</v>
      </c>
      <c r="AQ311" s="39"/>
      <c r="AR311" s="275">
        <v>260419</v>
      </c>
      <c r="AS311" s="113">
        <f>+AR311*0.19</f>
        <v>49479.61</v>
      </c>
      <c r="AT311" s="119">
        <f>+AR311+AS311</f>
        <v>309898.61</v>
      </c>
      <c r="AU311" s="62" t="s">
        <v>60</v>
      </c>
      <c r="AV311" s="62" t="s">
        <v>45</v>
      </c>
      <c r="AW311" s="31"/>
      <c r="AX311" s="116"/>
      <c r="AY311" s="194"/>
      <c r="AZ311" s="143"/>
      <c r="BA311" s="191"/>
      <c r="BB311" s="132"/>
      <c r="BC311" s="132"/>
      <c r="BD311" s="274"/>
      <c r="BE311" s="143"/>
      <c r="BF311" s="143"/>
      <c r="BG311" s="132"/>
      <c r="BH311" s="132"/>
      <c r="BI311" s="132"/>
      <c r="BJ311" s="143"/>
      <c r="BK311" s="143"/>
      <c r="BL311" s="143"/>
      <c r="BM311" s="132"/>
      <c r="BN311" s="132"/>
      <c r="BO311" s="132"/>
      <c r="BP311" s="143"/>
      <c r="BQ311" s="132"/>
      <c r="BR311" s="132"/>
      <c r="BS311" s="132"/>
      <c r="BT311" s="132"/>
      <c r="BU311" s="132"/>
      <c r="BV311" s="263">
        <v>963400</v>
      </c>
      <c r="BW311" s="144">
        <f t="shared" si="79"/>
        <v>183046</v>
      </c>
      <c r="BX311" s="113">
        <f t="shared" si="80"/>
        <v>1146446</v>
      </c>
      <c r="BY311" s="264" t="s">
        <v>231</v>
      </c>
      <c r="BZ311" s="264" t="s">
        <v>63</v>
      </c>
      <c r="CA311" s="132"/>
      <c r="CB311" s="274"/>
      <c r="CC311" s="144"/>
      <c r="CD311" s="274"/>
      <c r="CE311" s="132"/>
      <c r="CF311" s="132"/>
      <c r="CG311" s="36"/>
      <c r="CH311" s="263"/>
      <c r="CI311" s="265"/>
      <c r="CJ311" s="263"/>
      <c r="CK311" s="264"/>
      <c r="CL311" s="264"/>
      <c r="CM311" s="132"/>
      <c r="CN311" s="274"/>
      <c r="CO311" s="144"/>
      <c r="CP311" s="274"/>
      <c r="CQ311" s="132"/>
      <c r="CR311" s="132"/>
      <c r="CS311" s="132"/>
      <c r="CT311" s="274"/>
      <c r="CU311" s="144"/>
      <c r="CV311" s="274"/>
      <c r="CW311" s="132"/>
      <c r="CX311" s="132"/>
      <c r="CY311" s="132"/>
      <c r="CZ311" s="118">
        <v>708571</v>
      </c>
      <c r="DA311" s="144">
        <f>+CZ311*0.19</f>
        <v>134628.49</v>
      </c>
      <c r="DB311" s="118">
        <f>+CZ311+DA311</f>
        <v>843199.49</v>
      </c>
      <c r="DC311" s="33" t="s">
        <v>64</v>
      </c>
      <c r="DD311" s="39" t="s">
        <v>58</v>
      </c>
      <c r="DE311" s="11" t="s">
        <v>336</v>
      </c>
      <c r="DF311" s="132"/>
      <c r="DG311" s="132"/>
      <c r="DH311" s="132"/>
      <c r="DI311" s="132"/>
      <c r="DJ311" s="132"/>
      <c r="DK311" s="132"/>
      <c r="DL311" s="132"/>
      <c r="DM311" s="132"/>
      <c r="DN311" s="132"/>
      <c r="DO311" s="132"/>
      <c r="DP311" s="132"/>
      <c r="DQ311" s="132"/>
      <c r="DR311" s="132"/>
      <c r="DS311" s="132"/>
      <c r="DT311" s="132"/>
      <c r="DU311" s="132"/>
      <c r="DV311" s="132"/>
      <c r="DW311" s="132"/>
      <c r="DX311" s="132"/>
      <c r="DY311" s="132"/>
      <c r="DZ311" s="132"/>
      <c r="EA311" s="132"/>
      <c r="EB311" s="132"/>
      <c r="EC311" s="132"/>
      <c r="ED311" s="132"/>
      <c r="EE311" s="132"/>
      <c r="EF311" s="132"/>
      <c r="EG311" s="132"/>
      <c r="EH311" s="132"/>
      <c r="EI311" s="132"/>
      <c r="EJ311" s="132"/>
      <c r="EK311" s="132"/>
      <c r="EL311" s="132"/>
      <c r="EM311" s="132"/>
      <c r="EN311" s="132"/>
      <c r="EO311" s="132"/>
      <c r="EP311" s="132"/>
      <c r="EQ311" s="132"/>
      <c r="ER311" s="132"/>
      <c r="ES311" s="132"/>
      <c r="ET311" s="11"/>
      <c r="EU311" s="11"/>
      <c r="EV311" s="11"/>
      <c r="EW311" s="11"/>
      <c r="EX311" s="11"/>
      <c r="EY311" s="11"/>
      <c r="EZ311" s="11"/>
      <c r="FA311" s="11"/>
      <c r="FB311" s="11"/>
      <c r="FC311" s="11"/>
      <c r="FD311" s="11"/>
      <c r="FE311" s="11"/>
      <c r="FF311" s="11"/>
      <c r="FG311" s="11"/>
      <c r="FH311" s="39">
        <f t="shared" si="61"/>
        <v>4515109.8999999994</v>
      </c>
      <c r="FI311" s="33">
        <f t="shared" si="62"/>
        <v>6</v>
      </c>
      <c r="FJ311" s="84">
        <f t="shared" si="63"/>
        <v>752518.31666666653</v>
      </c>
    </row>
    <row r="312" spans="1:166" ht="13.5" x14ac:dyDescent="0.25">
      <c r="A312" s="79" t="e">
        <f>#REF!</f>
        <v>#REF!</v>
      </c>
      <c r="B312" s="75" t="e">
        <f>#REF!</f>
        <v>#REF!</v>
      </c>
      <c r="C312" s="75" t="e">
        <f>#REF!</f>
        <v>#REF!</v>
      </c>
      <c r="D312" s="75" t="e">
        <f>#REF!</f>
        <v>#REF!</v>
      </c>
      <c r="E312" s="30">
        <v>1</v>
      </c>
      <c r="F312" s="238">
        <v>437682</v>
      </c>
      <c r="G312" s="241">
        <v>424473</v>
      </c>
      <c r="H312" s="249">
        <v>603296.49753333337</v>
      </c>
      <c r="I312" s="249">
        <v>603211</v>
      </c>
      <c r="J312" s="249">
        <v>729874.005</v>
      </c>
      <c r="K312" s="249">
        <v>711620</v>
      </c>
      <c r="L312" s="274">
        <f>AVERAGE(F312,H312,J312)</f>
        <v>590284.16751111113</v>
      </c>
      <c r="M312" s="274">
        <f>AVERAGE(G312,I312,K312)*E1</f>
        <v>597161.04</v>
      </c>
      <c r="N312" s="245"/>
      <c r="O312" s="113"/>
      <c r="P312" s="113"/>
      <c r="Q312" s="131"/>
      <c r="R312" s="131"/>
      <c r="S312" s="64"/>
      <c r="T312" s="113"/>
      <c r="U312" s="113"/>
      <c r="V312" s="113"/>
      <c r="W312" s="131"/>
      <c r="X312" s="131"/>
      <c r="Y312" s="11"/>
      <c r="Z312" s="113"/>
      <c r="AA312" s="113"/>
      <c r="AB312" s="113"/>
      <c r="AC312" s="52"/>
      <c r="AD312" s="52"/>
      <c r="AE312" s="11"/>
      <c r="AF312" s="118"/>
      <c r="AG312" s="144"/>
      <c r="AH312" s="113"/>
      <c r="AI312" s="11"/>
      <c r="AJ312" s="11"/>
      <c r="AK312" s="39"/>
      <c r="AL312" s="113"/>
      <c r="AM312" s="113"/>
      <c r="AN312" s="117"/>
      <c r="AO312" s="76"/>
      <c r="AP312" s="39"/>
      <c r="AQ312" s="39"/>
      <c r="AR312" s="275"/>
      <c r="AS312" s="156"/>
      <c r="AT312" s="157"/>
      <c r="AU312" s="62"/>
      <c r="AV312" s="62"/>
      <c r="AW312" s="31"/>
      <c r="AX312" s="116"/>
      <c r="AY312" s="194"/>
      <c r="AZ312" s="143"/>
      <c r="BA312" s="191"/>
      <c r="BB312" s="132"/>
      <c r="BC312" s="132"/>
      <c r="BD312" s="274"/>
      <c r="BE312" s="143"/>
      <c r="BF312" s="143"/>
      <c r="BG312" s="132"/>
      <c r="BH312" s="132"/>
      <c r="BI312" s="132"/>
      <c r="BJ312" s="143"/>
      <c r="BK312" s="143"/>
      <c r="BL312" s="143"/>
      <c r="BM312" s="132"/>
      <c r="BN312" s="132"/>
      <c r="BO312" s="132"/>
      <c r="BP312" s="143"/>
      <c r="BQ312" s="132"/>
      <c r="BR312" s="132"/>
      <c r="BS312" s="132"/>
      <c r="BT312" s="132"/>
      <c r="BU312" s="132"/>
      <c r="BV312" s="263">
        <v>1244500</v>
      </c>
      <c r="BW312" s="144">
        <f t="shared" si="79"/>
        <v>236455</v>
      </c>
      <c r="BX312" s="113">
        <f t="shared" si="80"/>
        <v>1480955</v>
      </c>
      <c r="BY312" s="264" t="s">
        <v>337</v>
      </c>
      <c r="BZ312" s="264" t="s">
        <v>338</v>
      </c>
      <c r="CA312" s="132"/>
      <c r="CB312" s="274"/>
      <c r="CC312" s="144"/>
      <c r="CD312" s="274"/>
      <c r="CE312" s="132"/>
      <c r="CF312" s="132"/>
      <c r="CG312" s="36"/>
      <c r="CH312" s="263">
        <v>1281835</v>
      </c>
      <c r="CI312" s="265">
        <f>+CH312*0.19</f>
        <v>243548.65</v>
      </c>
      <c r="CJ312" s="263">
        <f>+CH312+CI312</f>
        <v>1525383.65</v>
      </c>
      <c r="CK312" s="264" t="s">
        <v>337</v>
      </c>
      <c r="CL312" s="264" t="s">
        <v>338</v>
      </c>
      <c r="CM312" s="132"/>
      <c r="CN312" s="274"/>
      <c r="CO312" s="144"/>
      <c r="CP312" s="274"/>
      <c r="CQ312" s="132"/>
      <c r="CR312" s="132"/>
      <c r="CS312" s="132"/>
      <c r="CT312" s="274"/>
      <c r="CU312" s="144"/>
      <c r="CV312" s="274"/>
      <c r="CW312" s="132"/>
      <c r="CX312" s="132"/>
      <c r="CY312" s="132"/>
      <c r="CZ312" s="118"/>
      <c r="DA312" s="144"/>
      <c r="DB312" s="118"/>
      <c r="DC312" s="33"/>
      <c r="DD312" s="39"/>
      <c r="DE312" s="11"/>
      <c r="DF312" s="132"/>
      <c r="DG312" s="132"/>
      <c r="DH312" s="132"/>
      <c r="DI312" s="132"/>
      <c r="DJ312" s="132"/>
      <c r="DK312" s="132"/>
      <c r="DL312" s="132"/>
      <c r="DM312" s="132"/>
      <c r="DN312" s="132"/>
      <c r="DO312" s="132"/>
      <c r="DP312" s="132"/>
      <c r="DQ312" s="132"/>
      <c r="DR312" s="132"/>
      <c r="DS312" s="132"/>
      <c r="DT312" s="132"/>
      <c r="DU312" s="132"/>
      <c r="DV312" s="132"/>
      <c r="DW312" s="132"/>
      <c r="DX312" s="132"/>
      <c r="DY312" s="132"/>
      <c r="DZ312" s="132"/>
      <c r="EA312" s="132"/>
      <c r="EB312" s="132"/>
      <c r="EC312" s="132"/>
      <c r="ED312" s="132"/>
      <c r="EE312" s="132"/>
      <c r="EF312" s="132"/>
      <c r="EG312" s="132"/>
      <c r="EH312" s="132"/>
      <c r="EI312" s="132"/>
      <c r="EJ312" s="132"/>
      <c r="EK312" s="132"/>
      <c r="EL312" s="132"/>
      <c r="EM312" s="132"/>
      <c r="EN312" s="132"/>
      <c r="EO312" s="132"/>
      <c r="EP312" s="132"/>
      <c r="EQ312" s="132"/>
      <c r="ER312" s="132"/>
      <c r="ES312" s="132"/>
      <c r="ET312" s="11"/>
      <c r="EU312" s="11"/>
      <c r="EV312" s="11"/>
      <c r="EW312" s="11"/>
      <c r="EX312" s="11"/>
      <c r="EY312" s="11"/>
      <c r="EZ312" s="11"/>
      <c r="FA312" s="11"/>
      <c r="FB312" s="11"/>
      <c r="FC312" s="11"/>
      <c r="FD312" s="11"/>
      <c r="FE312" s="11"/>
      <c r="FF312" s="11"/>
      <c r="FG312" s="11"/>
      <c r="FH312" s="39">
        <f t="shared" si="61"/>
        <v>3603499.69</v>
      </c>
      <c r="FI312" s="33">
        <f t="shared" si="62"/>
        <v>3</v>
      </c>
      <c r="FJ312" s="84">
        <f t="shared" si="63"/>
        <v>1201166.5633333332</v>
      </c>
    </row>
    <row r="313" spans="1:166" ht="25.5" x14ac:dyDescent="0.25">
      <c r="A313" s="79" t="e">
        <f>#REF!</f>
        <v>#REF!</v>
      </c>
      <c r="B313" s="75" t="e">
        <f>#REF!</f>
        <v>#REF!</v>
      </c>
      <c r="C313" s="75" t="e">
        <f>#REF!</f>
        <v>#REF!</v>
      </c>
      <c r="D313" s="75" t="e">
        <f>#REF!</f>
        <v>#REF!</v>
      </c>
      <c r="E313" s="30">
        <v>1</v>
      </c>
      <c r="F313" s="238">
        <v>0</v>
      </c>
      <c r="G313" s="241">
        <v>0</v>
      </c>
      <c r="H313" s="249">
        <v>0</v>
      </c>
      <c r="I313" s="249">
        <v>0</v>
      </c>
      <c r="J313" s="249">
        <v>974914.24333333329</v>
      </c>
      <c r="K313" s="249">
        <v>0</v>
      </c>
      <c r="L313" s="274">
        <f>J313</f>
        <v>974914.24333333329</v>
      </c>
      <c r="M313" s="274"/>
      <c r="N313" s="245"/>
      <c r="O313" s="113"/>
      <c r="P313" s="113"/>
      <c r="Q313" s="131"/>
      <c r="R313" s="131"/>
      <c r="S313" s="64"/>
      <c r="T313" s="113"/>
      <c r="U313" s="113"/>
      <c r="V313" s="113"/>
      <c r="W313" s="131"/>
      <c r="X313" s="131"/>
      <c r="Y313" s="11"/>
      <c r="Z313" s="113"/>
      <c r="AA313" s="113"/>
      <c r="AB313" s="113"/>
      <c r="AC313" s="52"/>
      <c r="AD313" s="52"/>
      <c r="AE313" s="11"/>
      <c r="AF313" s="118"/>
      <c r="AG313" s="144"/>
      <c r="AH313" s="113"/>
      <c r="AI313" s="11"/>
      <c r="AJ313" s="11"/>
      <c r="AK313" s="39"/>
      <c r="AL313" s="113"/>
      <c r="AM313" s="113"/>
      <c r="AN313" s="117"/>
      <c r="AO313" s="76"/>
      <c r="AP313" s="39"/>
      <c r="AQ313" s="39"/>
      <c r="AR313" s="275">
        <v>140767</v>
      </c>
      <c r="AS313" s="113">
        <f>+AR313*0.19</f>
        <v>26745.73</v>
      </c>
      <c r="AT313" s="119">
        <f>+AR313+AS313</f>
        <v>167512.73000000001</v>
      </c>
      <c r="AU313" s="62" t="s">
        <v>49</v>
      </c>
      <c r="AV313" s="62" t="s">
        <v>35</v>
      </c>
      <c r="AW313" s="31"/>
      <c r="AX313" s="116"/>
      <c r="AY313" s="194"/>
      <c r="AZ313" s="143"/>
      <c r="BA313" s="191"/>
      <c r="BB313" s="132"/>
      <c r="BC313" s="132"/>
      <c r="BD313" s="274"/>
      <c r="BE313" s="143"/>
      <c r="BF313" s="143"/>
      <c r="BG313" s="132"/>
      <c r="BH313" s="132"/>
      <c r="BI313" s="132"/>
      <c r="BJ313" s="143"/>
      <c r="BK313" s="143"/>
      <c r="BL313" s="143"/>
      <c r="BM313" s="132"/>
      <c r="BN313" s="132"/>
      <c r="BO313" s="132"/>
      <c r="BP313" s="143"/>
      <c r="BQ313" s="132"/>
      <c r="BR313" s="132"/>
      <c r="BS313" s="132"/>
      <c r="BT313" s="132"/>
      <c r="BU313" s="132"/>
      <c r="BV313" s="268">
        <v>2883200</v>
      </c>
      <c r="BW313" s="144">
        <f t="shared" si="79"/>
        <v>547808</v>
      </c>
      <c r="BX313" s="113">
        <f t="shared" si="80"/>
        <v>3431008</v>
      </c>
      <c r="BY313" s="264" t="s">
        <v>339</v>
      </c>
      <c r="BZ313" s="264" t="s">
        <v>338</v>
      </c>
      <c r="CA313" s="132"/>
      <c r="CB313" s="274"/>
      <c r="CC313" s="144"/>
      <c r="CD313" s="274"/>
      <c r="CE313" s="132"/>
      <c r="CF313" s="132"/>
      <c r="CG313" s="36"/>
      <c r="CH313" s="268">
        <v>3085024</v>
      </c>
      <c r="CI313" s="265">
        <f>+CH313*0.19</f>
        <v>586154.56000000006</v>
      </c>
      <c r="CJ313" s="263">
        <f>+CH313+CI313</f>
        <v>3671178.56</v>
      </c>
      <c r="CK313" s="264" t="s">
        <v>339</v>
      </c>
      <c r="CL313" s="264" t="s">
        <v>338</v>
      </c>
      <c r="CM313" s="132"/>
      <c r="CN313" s="274"/>
      <c r="CO313" s="144"/>
      <c r="CP313" s="274"/>
      <c r="CQ313" s="132"/>
      <c r="CR313" s="132"/>
      <c r="CS313" s="132"/>
      <c r="CT313" s="274"/>
      <c r="CU313" s="144"/>
      <c r="CV313" s="274"/>
      <c r="CW313" s="132"/>
      <c r="CX313" s="132"/>
      <c r="CY313" s="132"/>
      <c r="CZ313" s="118"/>
      <c r="DA313" s="144"/>
      <c r="DB313" s="118"/>
      <c r="DC313" s="33"/>
      <c r="DD313" s="39"/>
      <c r="DE313" s="11"/>
      <c r="DF313" s="132"/>
      <c r="DG313" s="132"/>
      <c r="DH313" s="132"/>
      <c r="DI313" s="132"/>
      <c r="DJ313" s="132"/>
      <c r="DK313" s="132"/>
      <c r="DL313" s="132"/>
      <c r="DM313" s="132"/>
      <c r="DN313" s="132"/>
      <c r="DO313" s="132"/>
      <c r="DP313" s="132"/>
      <c r="DQ313" s="132"/>
      <c r="DR313" s="132"/>
      <c r="DS313" s="132"/>
      <c r="DT313" s="132"/>
      <c r="DU313" s="132"/>
      <c r="DV313" s="132"/>
      <c r="DW313" s="132"/>
      <c r="DX313" s="132"/>
      <c r="DY313" s="132"/>
      <c r="DZ313" s="132"/>
      <c r="EA313" s="132"/>
      <c r="EB313" s="132"/>
      <c r="EC313" s="132"/>
      <c r="ED313" s="132"/>
      <c r="EE313" s="132"/>
      <c r="EF313" s="132"/>
      <c r="EG313" s="132"/>
      <c r="EH313" s="132"/>
      <c r="EI313" s="132"/>
      <c r="EJ313" s="132"/>
      <c r="EK313" s="132"/>
      <c r="EL313" s="132"/>
      <c r="EM313" s="132"/>
      <c r="EN313" s="132"/>
      <c r="EO313" s="132"/>
      <c r="EP313" s="132"/>
      <c r="EQ313" s="132"/>
      <c r="ER313" s="132"/>
      <c r="ES313" s="132"/>
      <c r="ET313" s="11"/>
      <c r="EU313" s="11"/>
      <c r="EV313" s="11"/>
      <c r="EW313" s="11"/>
      <c r="EX313" s="11"/>
      <c r="EY313" s="11"/>
      <c r="EZ313" s="11"/>
      <c r="FA313" s="11"/>
      <c r="FB313" s="11"/>
      <c r="FC313" s="11"/>
      <c r="FD313" s="11"/>
      <c r="FE313" s="11"/>
      <c r="FF313" s="11"/>
      <c r="FG313" s="11"/>
      <c r="FH313" s="39">
        <f t="shared" si="61"/>
        <v>7269699.29</v>
      </c>
      <c r="FI313" s="33">
        <f t="shared" si="62"/>
        <v>3</v>
      </c>
      <c r="FJ313" s="84">
        <f t="shared" si="63"/>
        <v>2423233.0966666667</v>
      </c>
    </row>
    <row r="314" spans="1:166" ht="25.5" x14ac:dyDescent="0.25">
      <c r="A314" s="79" t="e">
        <f>#REF!</f>
        <v>#REF!</v>
      </c>
      <c r="B314" s="75" t="e">
        <f>#REF!</f>
        <v>#REF!</v>
      </c>
      <c r="C314" s="75" t="e">
        <f>#REF!</f>
        <v>#REF!</v>
      </c>
      <c r="D314" s="75" t="e">
        <f>#REF!</f>
        <v>#REF!</v>
      </c>
      <c r="E314" s="30">
        <v>1</v>
      </c>
      <c r="F314" s="238">
        <v>0</v>
      </c>
      <c r="G314" s="241">
        <v>0</v>
      </c>
      <c r="H314" s="249">
        <v>0</v>
      </c>
      <c r="I314" s="249">
        <v>0</v>
      </c>
      <c r="J314" s="249">
        <v>0</v>
      </c>
      <c r="K314" s="249">
        <v>0</v>
      </c>
      <c r="L314" s="274"/>
      <c r="M314" s="274"/>
      <c r="N314" s="245"/>
      <c r="O314" s="113"/>
      <c r="P314" s="113"/>
      <c r="Q314" s="131"/>
      <c r="R314" s="131"/>
      <c r="S314" s="64"/>
      <c r="T314" s="113"/>
      <c r="U314" s="113"/>
      <c r="V314" s="113"/>
      <c r="W314" s="131"/>
      <c r="X314" s="131"/>
      <c r="Y314" s="11"/>
      <c r="Z314" s="113"/>
      <c r="AA314" s="113"/>
      <c r="AB314" s="113"/>
      <c r="AC314" s="52"/>
      <c r="AD314" s="52"/>
      <c r="AE314" s="11"/>
      <c r="AF314" s="118">
        <v>100000</v>
      </c>
      <c r="AG314" s="144">
        <f>AF314*19%</f>
        <v>19000</v>
      </c>
      <c r="AH314" s="113">
        <f>+AF314+AG314</f>
        <v>119000</v>
      </c>
      <c r="AI314" s="11"/>
      <c r="AJ314" s="11"/>
      <c r="AK314" s="39"/>
      <c r="AL314" s="113">
        <v>145000</v>
      </c>
      <c r="AM314" s="113">
        <f>+AL314*0.19</f>
        <v>27550</v>
      </c>
      <c r="AN314" s="119">
        <f>+AL314+AM314</f>
        <v>172550</v>
      </c>
      <c r="AO314" s="76" t="s">
        <v>54</v>
      </c>
      <c r="AP314" s="39" t="s">
        <v>45</v>
      </c>
      <c r="AQ314" s="39"/>
      <c r="AR314" s="275">
        <f>273600/2</f>
        <v>136800</v>
      </c>
      <c r="AS314" s="113">
        <f>+AR314*0.19</f>
        <v>25992</v>
      </c>
      <c r="AT314" s="119">
        <f>+AR314+AS314</f>
        <v>162792</v>
      </c>
      <c r="AU314" s="62" t="s">
        <v>54</v>
      </c>
      <c r="AV314" s="62" t="s">
        <v>35</v>
      </c>
      <c r="AW314" s="31"/>
      <c r="AX314" s="116"/>
      <c r="AY314" s="196"/>
      <c r="AZ314" s="143"/>
      <c r="BA314" s="191"/>
      <c r="BB314" s="132"/>
      <c r="BC314" s="132"/>
      <c r="BD314" s="274"/>
      <c r="BE314" s="143"/>
      <c r="BF314" s="143"/>
      <c r="BG314" s="132"/>
      <c r="BH314" s="132"/>
      <c r="BI314" s="132"/>
      <c r="BJ314" s="143"/>
      <c r="BK314" s="143"/>
      <c r="BL314" s="143"/>
      <c r="BM314" s="132"/>
      <c r="BN314" s="132"/>
      <c r="BO314" s="132"/>
      <c r="BP314" s="143"/>
      <c r="BQ314" s="132"/>
      <c r="BR314" s="132"/>
      <c r="BS314" s="132"/>
      <c r="BT314" s="132"/>
      <c r="BU314" s="132"/>
      <c r="BV314" s="263">
        <v>166100</v>
      </c>
      <c r="BW314" s="144">
        <f t="shared" si="79"/>
        <v>31559</v>
      </c>
      <c r="BX314" s="113">
        <f t="shared" si="80"/>
        <v>197659</v>
      </c>
      <c r="BY314" s="264" t="s">
        <v>340</v>
      </c>
      <c r="BZ314" s="264" t="s">
        <v>88</v>
      </c>
      <c r="CA314" s="132"/>
      <c r="CB314" s="274"/>
      <c r="CC314" s="144"/>
      <c r="CD314" s="274"/>
      <c r="CE314" s="132"/>
      <c r="CF314" s="132"/>
      <c r="CG314" s="36"/>
      <c r="CH314" s="263">
        <v>174405</v>
      </c>
      <c r="CI314" s="265">
        <f>+CH314*0.19</f>
        <v>33136.949999999997</v>
      </c>
      <c r="CJ314" s="263">
        <f>+CH314+CI314</f>
        <v>207541.95</v>
      </c>
      <c r="CK314" s="264" t="s">
        <v>340</v>
      </c>
      <c r="CL314" s="264" t="s">
        <v>88</v>
      </c>
      <c r="CM314" s="132"/>
      <c r="CN314" s="274"/>
      <c r="CO314" s="144"/>
      <c r="CP314" s="274"/>
      <c r="CQ314" s="132"/>
      <c r="CR314" s="132"/>
      <c r="CS314" s="132"/>
      <c r="CT314" s="144">
        <v>125000</v>
      </c>
      <c r="CU314" s="144">
        <f>CT314*0.19</f>
        <v>23750</v>
      </c>
      <c r="CV314" s="144">
        <f>CU314+CT314</f>
        <v>148750</v>
      </c>
      <c r="CW314" s="132"/>
      <c r="CX314" s="132"/>
      <c r="CY314" s="132"/>
      <c r="CZ314" s="118">
        <v>68966</v>
      </c>
      <c r="DA314" s="144">
        <f>+CZ314*0.19</f>
        <v>13103.54</v>
      </c>
      <c r="DB314" s="118">
        <f>+CZ314+DA314</f>
        <v>82069.540000000008</v>
      </c>
      <c r="DC314" s="33" t="s">
        <v>341</v>
      </c>
      <c r="DD314" s="39" t="s">
        <v>58</v>
      </c>
      <c r="DE314" s="11">
        <v>1072330025</v>
      </c>
      <c r="DF314" s="132"/>
      <c r="DG314" s="132"/>
      <c r="DH314" s="132"/>
      <c r="DI314" s="132"/>
      <c r="DJ314" s="132"/>
      <c r="DK314" s="132"/>
      <c r="DL314" s="132"/>
      <c r="DM314" s="132"/>
      <c r="DN314" s="132"/>
      <c r="DO314" s="132"/>
      <c r="DP314" s="132"/>
      <c r="DQ314" s="132"/>
      <c r="DR314" s="132"/>
      <c r="DS314" s="132"/>
      <c r="DT314" s="132"/>
      <c r="DU314" s="132"/>
      <c r="DV314" s="132"/>
      <c r="DW314" s="132"/>
      <c r="DX314" s="132"/>
      <c r="DY314" s="132"/>
      <c r="DZ314" s="132"/>
      <c r="EA314" s="132"/>
      <c r="EB314" s="132"/>
      <c r="EC314" s="132"/>
      <c r="ED314" s="132"/>
      <c r="EE314" s="132"/>
      <c r="EF314" s="132"/>
      <c r="EG314" s="132"/>
      <c r="EH314" s="132"/>
      <c r="EI314" s="132"/>
      <c r="EJ314" s="132"/>
      <c r="EK314" s="132"/>
      <c r="EL314" s="132"/>
      <c r="EM314" s="132"/>
      <c r="EN314" s="132"/>
      <c r="EO314" s="132"/>
      <c r="EP314" s="132"/>
      <c r="EQ314" s="132"/>
      <c r="ER314" s="132"/>
      <c r="ES314" s="132"/>
      <c r="ET314" s="11"/>
      <c r="EU314" s="11"/>
      <c r="EV314" s="11"/>
      <c r="EW314" s="11"/>
      <c r="EX314" s="11"/>
      <c r="EY314" s="11"/>
      <c r="EZ314" s="11"/>
      <c r="FA314" s="11"/>
      <c r="FB314" s="11"/>
      <c r="FC314" s="11"/>
      <c r="FD314" s="11"/>
      <c r="FE314" s="11"/>
      <c r="FF314" s="11"/>
      <c r="FG314" s="11"/>
      <c r="FH314" s="39">
        <f t="shared" si="61"/>
        <v>1090362.49</v>
      </c>
      <c r="FI314" s="33">
        <f t="shared" si="62"/>
        <v>7</v>
      </c>
      <c r="FJ314" s="84">
        <f t="shared" si="63"/>
        <v>155766.07</v>
      </c>
    </row>
    <row r="315" spans="1:166" ht="40.5" x14ac:dyDescent="0.25">
      <c r="A315" s="79" t="e">
        <f>#REF!</f>
        <v>#REF!</v>
      </c>
      <c r="B315" s="75" t="e">
        <f>#REF!</f>
        <v>#REF!</v>
      </c>
      <c r="C315" s="75" t="e">
        <f>#REF!</f>
        <v>#REF!</v>
      </c>
      <c r="D315" s="75" t="e">
        <f>#REF!</f>
        <v>#REF!</v>
      </c>
      <c r="E315" s="30">
        <v>1</v>
      </c>
      <c r="F315" s="238">
        <v>714000</v>
      </c>
      <c r="G315" s="241">
        <v>696150</v>
      </c>
      <c r="H315" s="249">
        <v>1444012.6400000001</v>
      </c>
      <c r="I315" s="249">
        <v>0</v>
      </c>
      <c r="J315" s="249">
        <v>919810.5</v>
      </c>
      <c r="K315" s="249">
        <v>0</v>
      </c>
      <c r="L315" s="274">
        <f>AVERAGE(F315,H315,J315)</f>
        <v>1025941.0466666667</v>
      </c>
      <c r="M315" s="274">
        <f>G315*E1</f>
        <v>717034.5</v>
      </c>
      <c r="N315" s="245"/>
      <c r="O315" s="113"/>
      <c r="P315" s="113"/>
      <c r="Q315" s="131"/>
      <c r="R315" s="131"/>
      <c r="S315" s="64"/>
      <c r="T315" s="113"/>
      <c r="U315" s="117"/>
      <c r="V315" s="113"/>
      <c r="W315" s="131"/>
      <c r="X315" s="131"/>
      <c r="Y315" s="11"/>
      <c r="Z315" s="113"/>
      <c r="AA315" s="113"/>
      <c r="AB315" s="113"/>
      <c r="AC315" s="52"/>
      <c r="AD315" s="52"/>
      <c r="AE315" s="11"/>
      <c r="AF315" s="118"/>
      <c r="AG315" s="144"/>
      <c r="AH315" s="113"/>
      <c r="AI315" s="11"/>
      <c r="AJ315" s="11"/>
      <c r="AK315" s="39"/>
      <c r="AL315" s="113"/>
      <c r="AM315" s="113"/>
      <c r="AN315" s="117"/>
      <c r="AO315" s="76"/>
      <c r="AP315" s="39"/>
      <c r="AQ315" s="39"/>
      <c r="AR315" s="275">
        <f>+(201600/100)*250</f>
        <v>504000</v>
      </c>
      <c r="AS315" s="113">
        <f>+AR315*0.19</f>
        <v>95760</v>
      </c>
      <c r="AT315" s="119">
        <f>+AR315+AS315</f>
        <v>599760</v>
      </c>
      <c r="AU315" s="62" t="s">
        <v>54</v>
      </c>
      <c r="AV315" s="62" t="s">
        <v>35</v>
      </c>
      <c r="AW315" s="31"/>
      <c r="AX315" s="116"/>
      <c r="AY315" s="116"/>
      <c r="AZ315" s="143"/>
      <c r="BA315" s="191"/>
      <c r="BB315" s="132"/>
      <c r="BC315" s="132"/>
      <c r="BD315" s="274"/>
      <c r="BE315" s="143"/>
      <c r="BF315" s="143"/>
      <c r="BG315" s="132"/>
      <c r="BH315" s="132"/>
      <c r="BI315" s="132"/>
      <c r="BJ315" s="143"/>
      <c r="BK315" s="143"/>
      <c r="BL315" s="143"/>
      <c r="BM315" s="132"/>
      <c r="BN315" s="132"/>
      <c r="BO315" s="132"/>
      <c r="BP315" s="143"/>
      <c r="BQ315" s="132"/>
      <c r="BR315" s="132"/>
      <c r="BS315" s="132"/>
      <c r="BT315" s="132"/>
      <c r="BU315" s="132"/>
      <c r="BV315" s="268">
        <v>2458300</v>
      </c>
      <c r="BW315" s="144">
        <f t="shared" si="79"/>
        <v>467077</v>
      </c>
      <c r="BX315" s="113">
        <f t="shared" si="80"/>
        <v>2925377</v>
      </c>
      <c r="BY315" s="264" t="s">
        <v>342</v>
      </c>
      <c r="BZ315" s="264" t="s">
        <v>343</v>
      </c>
      <c r="CA315" s="132"/>
      <c r="CB315" s="274"/>
      <c r="CC315" s="144"/>
      <c r="CD315" s="274"/>
      <c r="CE315" s="132"/>
      <c r="CF315" s="132"/>
      <c r="CG315" s="36"/>
      <c r="CH315" s="268"/>
      <c r="CI315" s="265"/>
      <c r="CJ315" s="263"/>
      <c r="CK315" s="264"/>
      <c r="CL315" s="264"/>
      <c r="CM315" s="132"/>
      <c r="CN315" s="274"/>
      <c r="CO315" s="144"/>
      <c r="CP315" s="274"/>
      <c r="CQ315" s="132"/>
      <c r="CR315" s="132"/>
      <c r="CS315" s="132"/>
      <c r="CT315" s="274"/>
      <c r="CU315" s="144"/>
      <c r="CV315" s="274"/>
      <c r="CW315" s="132"/>
      <c r="CX315" s="132"/>
      <c r="CY315" s="132"/>
      <c r="CZ315" s="118"/>
      <c r="DA315" s="144"/>
      <c r="DB315" s="118"/>
      <c r="DC315" s="33"/>
      <c r="DD315" s="39"/>
      <c r="DE315" s="11"/>
      <c r="DF315" s="132"/>
      <c r="DG315" s="132"/>
      <c r="DH315" s="132"/>
      <c r="DI315" s="132"/>
      <c r="DJ315" s="132"/>
      <c r="DK315" s="132"/>
      <c r="DL315" s="132"/>
      <c r="DM315" s="132"/>
      <c r="DN315" s="132"/>
      <c r="DO315" s="132"/>
      <c r="DP315" s="132"/>
      <c r="DQ315" s="132"/>
      <c r="DR315" s="132"/>
      <c r="DS315" s="132"/>
      <c r="DT315" s="132"/>
      <c r="DU315" s="132"/>
      <c r="DV315" s="132"/>
      <c r="DW315" s="132"/>
      <c r="DX315" s="132"/>
      <c r="DY315" s="132"/>
      <c r="DZ315" s="132"/>
      <c r="EA315" s="132"/>
      <c r="EB315" s="132"/>
      <c r="EC315" s="132"/>
      <c r="ED315" s="132"/>
      <c r="EE315" s="132"/>
      <c r="EF315" s="132"/>
      <c r="EG315" s="132"/>
      <c r="EH315" s="132"/>
      <c r="EI315" s="132"/>
      <c r="EJ315" s="132"/>
      <c r="EK315" s="132"/>
      <c r="EL315" s="132"/>
      <c r="EM315" s="132"/>
      <c r="EN315" s="132"/>
      <c r="EO315" s="132"/>
      <c r="EP315" s="132"/>
      <c r="EQ315" s="132"/>
      <c r="ER315" s="132"/>
      <c r="ES315" s="132"/>
      <c r="ET315" s="11"/>
      <c r="EU315" s="11"/>
      <c r="EV315" s="11"/>
      <c r="EW315" s="11"/>
      <c r="EX315" s="11"/>
      <c r="EY315" s="11"/>
      <c r="EZ315" s="11"/>
      <c r="FA315" s="11"/>
      <c r="FB315" s="11"/>
      <c r="FC315" s="11"/>
      <c r="FD315" s="11"/>
      <c r="FE315" s="11"/>
      <c r="FF315" s="11"/>
      <c r="FG315" s="11"/>
      <c r="FH315" s="39">
        <f t="shared" si="61"/>
        <v>4242171.5</v>
      </c>
      <c r="FI315" s="33">
        <f t="shared" si="62"/>
        <v>3</v>
      </c>
      <c r="FJ315" s="84">
        <f t="shared" si="63"/>
        <v>1414057.1666666667</v>
      </c>
    </row>
    <row r="316" spans="1:166" ht="27" x14ac:dyDescent="0.25">
      <c r="A316" s="79" t="e">
        <f>#REF!</f>
        <v>#REF!</v>
      </c>
      <c r="B316" s="75" t="e">
        <f>#REF!</f>
        <v>#REF!</v>
      </c>
      <c r="C316" s="75" t="e">
        <f>#REF!</f>
        <v>#REF!</v>
      </c>
      <c r="D316" s="75" t="e">
        <f>#REF!</f>
        <v>#REF!</v>
      </c>
      <c r="E316" s="30">
        <v>1</v>
      </c>
      <c r="F316" s="238">
        <v>320883.5</v>
      </c>
      <c r="G316" s="241">
        <v>311185</v>
      </c>
      <c r="H316" s="249">
        <v>233010.35714285713</v>
      </c>
      <c r="I316" s="249">
        <v>233002</v>
      </c>
      <c r="J316" s="249">
        <v>211290.49798387097</v>
      </c>
      <c r="K316" s="249">
        <v>0</v>
      </c>
      <c r="L316" s="274">
        <f>AVERAGE(F316,H316,J316)</f>
        <v>255061.45170890936</v>
      </c>
      <c r="M316" s="274">
        <f>AVERAGE(G316,I316)*E1</f>
        <v>280256.30499999999</v>
      </c>
      <c r="N316" s="245"/>
      <c r="O316" s="113"/>
      <c r="P316" s="113"/>
      <c r="Q316" s="131"/>
      <c r="R316" s="131"/>
      <c r="S316" s="64"/>
      <c r="T316" s="113"/>
      <c r="U316" s="113"/>
      <c r="V316" s="113"/>
      <c r="W316" s="131"/>
      <c r="X316" s="131"/>
      <c r="Y316" s="11"/>
      <c r="Z316" s="113"/>
      <c r="AA316" s="113"/>
      <c r="AB316" s="113"/>
      <c r="AC316" s="52"/>
      <c r="AD316" s="52"/>
      <c r="AE316" s="11"/>
      <c r="AF316" s="118">
        <v>220000</v>
      </c>
      <c r="AG316" s="144">
        <f t="shared" ref="AG316:AG322" si="81">AF316*19%</f>
        <v>41800</v>
      </c>
      <c r="AH316" s="113">
        <f t="shared" ref="AH316:AH322" si="82">+AF316+AG316</f>
        <v>261800</v>
      </c>
      <c r="AI316" s="11"/>
      <c r="AJ316" s="11"/>
      <c r="AK316" s="39"/>
      <c r="AL316" s="113">
        <v>175000</v>
      </c>
      <c r="AM316" s="113">
        <f>+AL316*0.19</f>
        <v>33250</v>
      </c>
      <c r="AN316" s="119">
        <f>+AL316+AM316</f>
        <v>208250</v>
      </c>
      <c r="AO316" s="76" t="s">
        <v>60</v>
      </c>
      <c r="AP316" s="39" t="s">
        <v>45</v>
      </c>
      <c r="AQ316" s="39"/>
      <c r="AR316" s="275"/>
      <c r="AS316" s="156"/>
      <c r="AT316" s="157"/>
      <c r="AU316" s="62"/>
      <c r="AV316" s="62"/>
      <c r="AW316" s="31"/>
      <c r="AX316" s="116"/>
      <c r="AY316" s="116"/>
      <c r="AZ316" s="143"/>
      <c r="BA316" s="191"/>
      <c r="BB316" s="132"/>
      <c r="BC316" s="132"/>
      <c r="BD316" s="274"/>
      <c r="BE316" s="143"/>
      <c r="BF316" s="143"/>
      <c r="BG316" s="132"/>
      <c r="BH316" s="132"/>
      <c r="BI316" s="132"/>
      <c r="BJ316" s="143"/>
      <c r="BK316" s="143"/>
      <c r="BL316" s="143"/>
      <c r="BM316" s="132"/>
      <c r="BN316" s="132"/>
      <c r="BO316" s="132"/>
      <c r="BP316" s="143"/>
      <c r="BQ316" s="132"/>
      <c r="BR316" s="132"/>
      <c r="BS316" s="132"/>
      <c r="BT316" s="132"/>
      <c r="BU316" s="132"/>
      <c r="BV316" s="263">
        <v>186500</v>
      </c>
      <c r="BW316" s="144">
        <f t="shared" si="79"/>
        <v>35435</v>
      </c>
      <c r="BX316" s="113">
        <f t="shared" si="80"/>
        <v>221935</v>
      </c>
      <c r="BY316" s="264" t="s">
        <v>231</v>
      </c>
      <c r="BZ316" s="264" t="s">
        <v>63</v>
      </c>
      <c r="CA316" s="132"/>
      <c r="CB316" s="274"/>
      <c r="CC316" s="144"/>
      <c r="CD316" s="274"/>
      <c r="CE316" s="132"/>
      <c r="CF316" s="132"/>
      <c r="CG316" s="36"/>
      <c r="CH316" s="263">
        <v>192095</v>
      </c>
      <c r="CI316" s="265">
        <f>+CH316*0.19</f>
        <v>36498.050000000003</v>
      </c>
      <c r="CJ316" s="263">
        <f>+CH316+CI316</f>
        <v>228593.05</v>
      </c>
      <c r="CK316" s="264" t="s">
        <v>231</v>
      </c>
      <c r="CL316" s="264" t="s">
        <v>63</v>
      </c>
      <c r="CM316" s="132"/>
      <c r="CN316" s="274"/>
      <c r="CO316" s="144"/>
      <c r="CP316" s="274"/>
      <c r="CQ316" s="132"/>
      <c r="CR316" s="132"/>
      <c r="CS316" s="132"/>
      <c r="CT316" s="274"/>
      <c r="CU316" s="144"/>
      <c r="CV316" s="274"/>
      <c r="CW316" s="132"/>
      <c r="CX316" s="132"/>
      <c r="CY316" s="132"/>
      <c r="CZ316" s="118"/>
      <c r="DA316" s="144"/>
      <c r="DB316" s="118"/>
      <c r="DC316" s="33"/>
      <c r="DD316" s="39"/>
      <c r="DE316" s="11"/>
      <c r="DF316" s="132"/>
      <c r="DG316" s="132"/>
      <c r="DH316" s="132"/>
      <c r="DI316" s="132"/>
      <c r="DJ316" s="132"/>
      <c r="DK316" s="132"/>
      <c r="DL316" s="132"/>
      <c r="DM316" s="132"/>
      <c r="DN316" s="132"/>
      <c r="DO316" s="132"/>
      <c r="DP316" s="132"/>
      <c r="DQ316" s="132"/>
      <c r="DR316" s="132"/>
      <c r="DS316" s="132"/>
      <c r="DT316" s="132"/>
      <c r="DU316" s="132"/>
      <c r="DV316" s="132"/>
      <c r="DW316" s="132"/>
      <c r="DX316" s="132"/>
      <c r="DY316" s="132"/>
      <c r="DZ316" s="132"/>
      <c r="EA316" s="132"/>
      <c r="EB316" s="132"/>
      <c r="EC316" s="132"/>
      <c r="ED316" s="132"/>
      <c r="EE316" s="132"/>
      <c r="EF316" s="132"/>
      <c r="EG316" s="132"/>
      <c r="EH316" s="132"/>
      <c r="EI316" s="132"/>
      <c r="EJ316" s="132"/>
      <c r="EK316" s="132"/>
      <c r="EL316" s="132"/>
      <c r="EM316" s="132"/>
      <c r="EN316" s="132"/>
      <c r="EO316" s="132"/>
      <c r="EP316" s="132"/>
      <c r="EQ316" s="132"/>
      <c r="ER316" s="132"/>
      <c r="ES316" s="132"/>
      <c r="ET316" s="11"/>
      <c r="EU316" s="11"/>
      <c r="EV316" s="11"/>
      <c r="EW316" s="11"/>
      <c r="EX316" s="11"/>
      <c r="EY316" s="11"/>
      <c r="EZ316" s="11"/>
      <c r="FA316" s="11"/>
      <c r="FB316" s="11"/>
      <c r="FC316" s="11"/>
      <c r="FD316" s="11"/>
      <c r="FE316" s="11"/>
      <c r="FF316" s="11"/>
      <c r="FG316" s="11"/>
      <c r="FH316" s="39">
        <f t="shared" si="61"/>
        <v>1200834.355</v>
      </c>
      <c r="FI316" s="33">
        <f t="shared" si="62"/>
        <v>5</v>
      </c>
      <c r="FJ316" s="84">
        <f t="shared" si="63"/>
        <v>240166.87099999998</v>
      </c>
    </row>
    <row r="317" spans="1:166" ht="27" x14ac:dyDescent="0.25">
      <c r="A317" s="79" t="e">
        <f>#REF!</f>
        <v>#REF!</v>
      </c>
      <c r="B317" s="75" t="e">
        <f>#REF!</f>
        <v>#REF!</v>
      </c>
      <c r="C317" s="75" t="e">
        <f>#REF!</f>
        <v>#REF!</v>
      </c>
      <c r="D317" s="75" t="e">
        <f>#REF!</f>
        <v>#REF!</v>
      </c>
      <c r="E317" s="30">
        <v>1</v>
      </c>
      <c r="F317" s="238">
        <v>0</v>
      </c>
      <c r="G317" s="241">
        <v>0</v>
      </c>
      <c r="H317" s="249">
        <v>0</v>
      </c>
      <c r="I317" s="249">
        <v>0</v>
      </c>
      <c r="J317" s="249">
        <v>0</v>
      </c>
      <c r="K317" s="249">
        <v>0</v>
      </c>
      <c r="L317" s="274"/>
      <c r="M317" s="274"/>
      <c r="N317" s="245"/>
      <c r="O317" s="113"/>
      <c r="P317" s="113"/>
      <c r="Q317" s="131"/>
      <c r="R317" s="131"/>
      <c r="S317" s="64"/>
      <c r="T317" s="113"/>
      <c r="U317" s="113"/>
      <c r="V317" s="113"/>
      <c r="W317" s="131"/>
      <c r="X317" s="131"/>
      <c r="Y317" s="11"/>
      <c r="Z317" s="113"/>
      <c r="AA317" s="113"/>
      <c r="AB317" s="113"/>
      <c r="AC317" s="52"/>
      <c r="AD317" s="52"/>
      <c r="AE317" s="11"/>
      <c r="AF317" s="118">
        <v>360000</v>
      </c>
      <c r="AG317" s="144">
        <f t="shared" si="81"/>
        <v>68400</v>
      </c>
      <c r="AH317" s="113">
        <f t="shared" si="82"/>
        <v>428400</v>
      </c>
      <c r="AI317" s="11"/>
      <c r="AJ317" s="11"/>
      <c r="AK317" s="39"/>
      <c r="AL317" s="113">
        <v>360000</v>
      </c>
      <c r="AM317" s="113">
        <f>+AL317*0</f>
        <v>0</v>
      </c>
      <c r="AN317" s="119">
        <f>+AL317+AM317</f>
        <v>360000</v>
      </c>
      <c r="AO317" s="76" t="s">
        <v>95</v>
      </c>
      <c r="AP317" s="39" t="s">
        <v>45</v>
      </c>
      <c r="AQ317" s="39"/>
      <c r="AR317" s="275">
        <f>324000*5</f>
        <v>1620000</v>
      </c>
      <c r="AS317" s="113">
        <f t="shared" ref="AS317:AS322" si="83">+AR317*0.19</f>
        <v>307800</v>
      </c>
      <c r="AT317" s="119">
        <f t="shared" ref="AT317:AT322" si="84">+AR317+AS317</f>
        <v>1927800</v>
      </c>
      <c r="AU317" s="62" t="s">
        <v>54</v>
      </c>
      <c r="AV317" s="62" t="s">
        <v>35</v>
      </c>
      <c r="AW317" s="31"/>
      <c r="AX317" s="116">
        <v>123230.31</v>
      </c>
      <c r="AY317" s="116">
        <f>+AX317*0.19</f>
        <v>23413.758900000001</v>
      </c>
      <c r="AZ317" s="143">
        <f>+AX317+AY317</f>
        <v>146644.06890000001</v>
      </c>
      <c r="BA317" s="191" t="s">
        <v>60</v>
      </c>
      <c r="BB317" s="132" t="s">
        <v>70</v>
      </c>
      <c r="BC317" s="132"/>
      <c r="BD317" s="274"/>
      <c r="BE317" s="143"/>
      <c r="BF317" s="143"/>
      <c r="BG317" s="132"/>
      <c r="BH317" s="132"/>
      <c r="BI317" s="132"/>
      <c r="BJ317" s="143"/>
      <c r="BK317" s="143"/>
      <c r="BL317" s="143"/>
      <c r="BM317" s="132"/>
      <c r="BN317" s="132"/>
      <c r="BO317" s="132"/>
      <c r="BP317" s="143"/>
      <c r="BQ317" s="132"/>
      <c r="BR317" s="132"/>
      <c r="BS317" s="132"/>
      <c r="BT317" s="132"/>
      <c r="BU317" s="132"/>
      <c r="BV317" s="263">
        <v>195300</v>
      </c>
      <c r="BW317" s="144">
        <f t="shared" si="79"/>
        <v>37107</v>
      </c>
      <c r="BX317" s="113">
        <f t="shared" si="80"/>
        <v>232407</v>
      </c>
      <c r="BY317" s="264" t="s">
        <v>231</v>
      </c>
      <c r="BZ317" s="264" t="s">
        <v>63</v>
      </c>
      <c r="CA317" s="132"/>
      <c r="CB317" s="274"/>
      <c r="CC317" s="144"/>
      <c r="CD317" s="274"/>
      <c r="CE317" s="132"/>
      <c r="CF317" s="132"/>
      <c r="CG317" s="36"/>
      <c r="CH317" s="263">
        <v>197253</v>
      </c>
      <c r="CI317" s="265">
        <f>+CH317*0.19</f>
        <v>37478.07</v>
      </c>
      <c r="CJ317" s="263">
        <f>+CH317+CI317</f>
        <v>234731.07</v>
      </c>
      <c r="CK317" s="264" t="s">
        <v>231</v>
      </c>
      <c r="CL317" s="264" t="s">
        <v>63</v>
      </c>
      <c r="CM317" s="132"/>
      <c r="CN317" s="274"/>
      <c r="CO317" s="144"/>
      <c r="CP317" s="274"/>
      <c r="CQ317" s="132"/>
      <c r="CR317" s="132"/>
      <c r="CS317" s="132"/>
      <c r="CT317" s="144">
        <v>231000</v>
      </c>
      <c r="CU317" s="144">
        <f>+CT317*0</f>
        <v>0</v>
      </c>
      <c r="CV317" s="144">
        <f>CT317</f>
        <v>231000</v>
      </c>
      <c r="CW317" s="132"/>
      <c r="CX317" s="132"/>
      <c r="CY317" s="132"/>
      <c r="CZ317" s="118">
        <v>127448</v>
      </c>
      <c r="DA317" s="144">
        <f>+CZ317*0.19</f>
        <v>24215.119999999999</v>
      </c>
      <c r="DB317" s="118">
        <f>+CZ317+DA317</f>
        <v>151663.12</v>
      </c>
      <c r="DC317" s="33" t="s">
        <v>142</v>
      </c>
      <c r="DD317" s="39" t="s">
        <v>58</v>
      </c>
      <c r="DE317" s="11">
        <v>1011260500</v>
      </c>
      <c r="DF317" s="132"/>
      <c r="DG317" s="132"/>
      <c r="DH317" s="132"/>
      <c r="DI317" s="132"/>
      <c r="DJ317" s="132"/>
      <c r="DK317" s="132"/>
      <c r="DL317" s="132"/>
      <c r="DM317" s="132"/>
      <c r="DN317" s="132"/>
      <c r="DO317" s="132"/>
      <c r="DP317" s="132"/>
      <c r="DQ317" s="132"/>
      <c r="DR317" s="132"/>
      <c r="DS317" s="132"/>
      <c r="DT317" s="132"/>
      <c r="DU317" s="132"/>
      <c r="DV317" s="132"/>
      <c r="DW317" s="132"/>
      <c r="DX317" s="132"/>
      <c r="DY317" s="132"/>
      <c r="DZ317" s="132"/>
      <c r="EA317" s="132"/>
      <c r="EB317" s="132"/>
      <c r="EC317" s="132"/>
      <c r="ED317" s="132"/>
      <c r="EE317" s="132"/>
      <c r="EF317" s="132"/>
      <c r="EG317" s="132"/>
      <c r="EH317" s="132"/>
      <c r="EI317" s="132"/>
      <c r="EJ317" s="132"/>
      <c r="EK317" s="132"/>
      <c r="EL317" s="132"/>
      <c r="EM317" s="132"/>
      <c r="EN317" s="132"/>
      <c r="EO317" s="132"/>
      <c r="EP317" s="132"/>
      <c r="EQ317" s="132"/>
      <c r="ER317" s="132"/>
      <c r="ES317" s="132"/>
      <c r="ET317" s="11"/>
      <c r="EU317" s="11"/>
      <c r="EV317" s="11"/>
      <c r="EW317" s="11"/>
      <c r="EX317" s="11"/>
      <c r="EY317" s="11"/>
      <c r="EZ317" s="11"/>
      <c r="FA317" s="11"/>
      <c r="FB317" s="11"/>
      <c r="FC317" s="11"/>
      <c r="FD317" s="11"/>
      <c r="FE317" s="11"/>
      <c r="FF317" s="11"/>
      <c r="FG317" s="11"/>
      <c r="FH317" s="39">
        <f t="shared" si="61"/>
        <v>3712645.2588999998</v>
      </c>
      <c r="FI317" s="33">
        <f t="shared" si="62"/>
        <v>8</v>
      </c>
      <c r="FJ317" s="84">
        <f t="shared" si="63"/>
        <v>464080.65736249997</v>
      </c>
    </row>
    <row r="318" spans="1:166" ht="25.5" x14ac:dyDescent="0.25">
      <c r="A318" s="79" t="e">
        <f>#REF!</f>
        <v>#REF!</v>
      </c>
      <c r="B318" s="75" t="e">
        <f>#REF!</f>
        <v>#REF!</v>
      </c>
      <c r="C318" s="75" t="e">
        <f>#REF!</f>
        <v>#REF!</v>
      </c>
      <c r="D318" s="75" t="e">
        <f>#REF!</f>
        <v>#REF!</v>
      </c>
      <c r="E318" s="30">
        <v>1</v>
      </c>
      <c r="F318" s="238">
        <v>217752.15</v>
      </c>
      <c r="G318" s="241">
        <v>217651</v>
      </c>
      <c r="H318" s="249">
        <v>211585.38718625001</v>
      </c>
      <c r="I318" s="249">
        <v>0</v>
      </c>
      <c r="J318" s="249">
        <v>301975.88750000001</v>
      </c>
      <c r="K318" s="249">
        <v>297500</v>
      </c>
      <c r="L318" s="274">
        <f>AVERAGE(F318,H318,J318)</f>
        <v>243771.14156208336</v>
      </c>
      <c r="M318" s="274">
        <f>AVERAGE(G318,K318)*E1</f>
        <v>265302.76500000001</v>
      </c>
      <c r="N318" s="245"/>
      <c r="O318" s="113"/>
      <c r="P318" s="113"/>
      <c r="Q318" s="131"/>
      <c r="R318" s="131"/>
      <c r="S318" s="64"/>
      <c r="T318" s="113"/>
      <c r="U318" s="117"/>
      <c r="V318" s="113"/>
      <c r="W318" s="131"/>
      <c r="X318" s="131"/>
      <c r="Y318" s="11"/>
      <c r="Z318" s="113"/>
      <c r="AA318" s="113"/>
      <c r="AB318" s="113"/>
      <c r="AC318" s="52"/>
      <c r="AD318" s="52"/>
      <c r="AE318" s="11"/>
      <c r="AF318" s="118">
        <v>140000</v>
      </c>
      <c r="AG318" s="144">
        <f t="shared" si="81"/>
        <v>26600</v>
      </c>
      <c r="AH318" s="113">
        <f t="shared" si="82"/>
        <v>166600</v>
      </c>
      <c r="AI318" s="11"/>
      <c r="AJ318" s="11"/>
      <c r="AK318" s="39"/>
      <c r="AL318" s="113">
        <v>188000</v>
      </c>
      <c r="AM318" s="113">
        <f>+AL318*0.19</f>
        <v>35720</v>
      </c>
      <c r="AN318" s="119">
        <f>+AL318+AM318</f>
        <v>223720</v>
      </c>
      <c r="AO318" s="76" t="s">
        <v>60</v>
      </c>
      <c r="AP318" s="39" t="s">
        <v>45</v>
      </c>
      <c r="AQ318" s="39"/>
      <c r="AR318" s="275">
        <v>504000</v>
      </c>
      <c r="AS318" s="113">
        <f t="shared" si="83"/>
        <v>95760</v>
      </c>
      <c r="AT318" s="119">
        <f t="shared" si="84"/>
        <v>599760</v>
      </c>
      <c r="AU318" s="62" t="s">
        <v>60</v>
      </c>
      <c r="AV318" s="62" t="s">
        <v>35</v>
      </c>
      <c r="AW318" s="31"/>
      <c r="AX318" s="116"/>
      <c r="AY318" s="116"/>
      <c r="AZ318" s="143"/>
      <c r="BA318" s="191"/>
      <c r="BB318" s="132"/>
      <c r="BC318" s="132"/>
      <c r="BD318" s="274"/>
      <c r="BE318" s="143"/>
      <c r="BF318" s="143"/>
      <c r="BG318" s="132"/>
      <c r="BH318" s="132"/>
      <c r="BI318" s="132"/>
      <c r="BJ318" s="143"/>
      <c r="BK318" s="143"/>
      <c r="BL318" s="143"/>
      <c r="BM318" s="132"/>
      <c r="BN318" s="132"/>
      <c r="BO318" s="132"/>
      <c r="BP318" s="143"/>
      <c r="BQ318" s="132"/>
      <c r="BR318" s="132"/>
      <c r="BS318" s="132"/>
      <c r="BT318" s="132"/>
      <c r="BU318" s="132"/>
      <c r="BV318" s="263">
        <v>453200</v>
      </c>
      <c r="BW318" s="144">
        <f t="shared" si="79"/>
        <v>86108</v>
      </c>
      <c r="BX318" s="113">
        <f t="shared" si="80"/>
        <v>539308</v>
      </c>
      <c r="BY318" s="264" t="s">
        <v>231</v>
      </c>
      <c r="BZ318" s="264" t="s">
        <v>88</v>
      </c>
      <c r="CA318" s="132"/>
      <c r="CB318" s="274"/>
      <c r="CC318" s="144"/>
      <c r="CD318" s="274"/>
      <c r="CE318" s="132"/>
      <c r="CF318" s="132"/>
      <c r="CG318" s="36"/>
      <c r="CH318" s="263">
        <v>475860</v>
      </c>
      <c r="CI318" s="265">
        <f>+CH318*0.19</f>
        <v>90413.4</v>
      </c>
      <c r="CJ318" s="263">
        <f>+CH318+CI318</f>
        <v>566273.4</v>
      </c>
      <c r="CK318" s="264" t="s">
        <v>231</v>
      </c>
      <c r="CL318" s="264" t="s">
        <v>88</v>
      </c>
      <c r="CM318" s="132"/>
      <c r="CN318" s="274"/>
      <c r="CO318" s="144"/>
      <c r="CP318" s="274"/>
      <c r="CQ318" s="132"/>
      <c r="CR318" s="132"/>
      <c r="CS318" s="132"/>
      <c r="CT318" s="274"/>
      <c r="CU318" s="144"/>
      <c r="CV318" s="274"/>
      <c r="CW318" s="132"/>
      <c r="CX318" s="132"/>
      <c r="CY318" s="132"/>
      <c r="CZ318" s="118">
        <v>188138</v>
      </c>
      <c r="DA318" s="144">
        <f>+CZ318*0.19</f>
        <v>35746.22</v>
      </c>
      <c r="DB318" s="118">
        <f>+CZ318+DA318</f>
        <v>223884.22</v>
      </c>
      <c r="DC318" s="33" t="s">
        <v>64</v>
      </c>
      <c r="DD318" s="39" t="s">
        <v>58</v>
      </c>
      <c r="DE318" s="11">
        <v>1065800500</v>
      </c>
      <c r="DF318" s="132"/>
      <c r="DG318" s="132"/>
      <c r="DH318" s="132"/>
      <c r="DI318" s="132"/>
      <c r="DJ318" s="132"/>
      <c r="DK318" s="132"/>
      <c r="DL318" s="132"/>
      <c r="DM318" s="132"/>
      <c r="DN318" s="132"/>
      <c r="DO318" s="132"/>
      <c r="DP318" s="132"/>
      <c r="DQ318" s="132"/>
      <c r="DR318" s="132"/>
      <c r="DS318" s="132"/>
      <c r="DT318" s="132"/>
      <c r="DU318" s="132"/>
      <c r="DV318" s="132"/>
      <c r="DW318" s="132"/>
      <c r="DX318" s="132"/>
      <c r="DY318" s="132"/>
      <c r="DZ318" s="132"/>
      <c r="EA318" s="132"/>
      <c r="EB318" s="132"/>
      <c r="EC318" s="132"/>
      <c r="ED318" s="132"/>
      <c r="EE318" s="132"/>
      <c r="EF318" s="132"/>
      <c r="EG318" s="132"/>
      <c r="EH318" s="132"/>
      <c r="EI318" s="132"/>
      <c r="EJ318" s="132"/>
      <c r="EK318" s="132"/>
      <c r="EL318" s="132"/>
      <c r="EM318" s="132"/>
      <c r="EN318" s="132"/>
      <c r="EO318" s="132"/>
      <c r="EP318" s="132"/>
      <c r="EQ318" s="132"/>
      <c r="ER318" s="132"/>
      <c r="ES318" s="132"/>
      <c r="ET318" s="11"/>
      <c r="EU318" s="11"/>
      <c r="EV318" s="11"/>
      <c r="EW318" s="11"/>
      <c r="EX318" s="11"/>
      <c r="EY318" s="11"/>
      <c r="EZ318" s="11"/>
      <c r="FA318" s="11"/>
      <c r="FB318" s="11"/>
      <c r="FC318" s="11"/>
      <c r="FD318" s="11"/>
      <c r="FE318" s="11"/>
      <c r="FF318" s="11"/>
      <c r="FG318" s="11"/>
      <c r="FH318" s="39">
        <f t="shared" si="61"/>
        <v>2584848.3850000002</v>
      </c>
      <c r="FI318" s="33">
        <f t="shared" si="62"/>
        <v>7</v>
      </c>
      <c r="FJ318" s="84">
        <f t="shared" si="63"/>
        <v>369264.05500000005</v>
      </c>
    </row>
    <row r="319" spans="1:166" ht="25.5" x14ac:dyDescent="0.25">
      <c r="A319" s="79" t="e">
        <f>#REF!</f>
        <v>#REF!</v>
      </c>
      <c r="B319" s="75" t="e">
        <f>#REF!</f>
        <v>#REF!</v>
      </c>
      <c r="C319" s="75" t="e">
        <f>#REF!</f>
        <v>#REF!</v>
      </c>
      <c r="D319" s="75" t="e">
        <f>#REF!</f>
        <v>#REF!</v>
      </c>
      <c r="E319" s="30">
        <v>1</v>
      </c>
      <c r="F319" s="238">
        <v>391351.33333333337</v>
      </c>
      <c r="G319" s="241">
        <v>0</v>
      </c>
      <c r="H319" s="249">
        <v>425403.89468888892</v>
      </c>
      <c r="I319" s="249">
        <v>0</v>
      </c>
      <c r="J319" s="249">
        <v>277270</v>
      </c>
      <c r="K319" s="249">
        <v>0</v>
      </c>
      <c r="L319" s="274">
        <f>AVERAGE(F319,H319,J319)</f>
        <v>364675.07600740745</v>
      </c>
      <c r="M319" s="274"/>
      <c r="N319" s="245"/>
      <c r="O319" s="113"/>
      <c r="P319" s="113"/>
      <c r="Q319" s="131"/>
      <c r="R319" s="131"/>
      <c r="S319" s="64"/>
      <c r="T319" s="113"/>
      <c r="U319" s="117"/>
      <c r="V319" s="113"/>
      <c r="W319" s="131"/>
      <c r="X319" s="131"/>
      <c r="Y319" s="11"/>
      <c r="Z319" s="113"/>
      <c r="AA319" s="113"/>
      <c r="AB319" s="113"/>
      <c r="AC319" s="52"/>
      <c r="AD319" s="52"/>
      <c r="AE319" s="11"/>
      <c r="AF319" s="118">
        <v>250000</v>
      </c>
      <c r="AG319" s="144">
        <f t="shared" si="81"/>
        <v>47500</v>
      </c>
      <c r="AH319" s="113">
        <f t="shared" si="82"/>
        <v>297500</v>
      </c>
      <c r="AI319" s="11"/>
      <c r="AJ319" s="11"/>
      <c r="AK319" s="39"/>
      <c r="AL319" s="113"/>
      <c r="AM319" s="113"/>
      <c r="AN319" s="117"/>
      <c r="AO319" s="76"/>
      <c r="AP319" s="39"/>
      <c r="AQ319" s="39"/>
      <c r="AR319" s="275">
        <f>216000/2</f>
        <v>108000</v>
      </c>
      <c r="AS319" s="113">
        <f t="shared" si="83"/>
        <v>20520</v>
      </c>
      <c r="AT319" s="119">
        <f t="shared" si="84"/>
        <v>128520</v>
      </c>
      <c r="AU319" s="62" t="s">
        <v>60</v>
      </c>
      <c r="AV319" s="62" t="s">
        <v>35</v>
      </c>
      <c r="AW319" s="31"/>
      <c r="AX319" s="116"/>
      <c r="AY319" s="116"/>
      <c r="AZ319" s="143"/>
      <c r="BA319" s="191"/>
      <c r="BB319" s="132"/>
      <c r="BC319" s="132"/>
      <c r="BD319" s="274"/>
      <c r="BE319" s="143"/>
      <c r="BF319" s="143"/>
      <c r="BG319" s="132"/>
      <c r="BH319" s="132"/>
      <c r="BI319" s="132"/>
      <c r="BJ319" s="143"/>
      <c r="BK319" s="143"/>
      <c r="BL319" s="143"/>
      <c r="BM319" s="132"/>
      <c r="BN319" s="132"/>
      <c r="BO319" s="132"/>
      <c r="BP319" s="143"/>
      <c r="BQ319" s="132"/>
      <c r="BR319" s="132"/>
      <c r="BS319" s="132"/>
      <c r="BT319" s="132"/>
      <c r="BU319" s="132"/>
      <c r="BV319" s="210"/>
      <c r="BW319" s="144"/>
      <c r="BX319" s="113"/>
      <c r="BY319" s="273"/>
      <c r="BZ319" s="273"/>
      <c r="CA319" s="132"/>
      <c r="CB319" s="274"/>
      <c r="CC319" s="144"/>
      <c r="CD319" s="274"/>
      <c r="CE319" s="132"/>
      <c r="CF319" s="132"/>
      <c r="CG319" s="36"/>
      <c r="CH319" s="210"/>
      <c r="CI319" s="219"/>
      <c r="CJ319" s="210"/>
      <c r="CK319" s="273"/>
      <c r="CL319" s="273"/>
      <c r="CM319" s="132"/>
      <c r="CN319" s="274"/>
      <c r="CO319" s="144"/>
      <c r="CP319" s="274"/>
      <c r="CQ319" s="132"/>
      <c r="CR319" s="132"/>
      <c r="CS319" s="132"/>
      <c r="CT319" s="274"/>
      <c r="CU319" s="144"/>
      <c r="CV319" s="274"/>
      <c r="CW319" s="132"/>
      <c r="CX319" s="132"/>
      <c r="CY319" s="132"/>
      <c r="CZ319" s="118"/>
      <c r="DA319" s="144"/>
      <c r="DB319" s="118"/>
      <c r="DC319" s="33"/>
      <c r="DD319" s="39"/>
      <c r="DE319" s="11"/>
      <c r="DF319" s="132"/>
      <c r="DG319" s="132"/>
      <c r="DH319" s="132"/>
      <c r="DI319" s="132"/>
      <c r="DJ319" s="132"/>
      <c r="DK319" s="132"/>
      <c r="DL319" s="132"/>
      <c r="DM319" s="132"/>
      <c r="DN319" s="132"/>
      <c r="DO319" s="132"/>
      <c r="DP319" s="132"/>
      <c r="DQ319" s="132"/>
      <c r="DR319" s="132"/>
      <c r="DS319" s="132"/>
      <c r="DT319" s="132"/>
      <c r="DU319" s="132"/>
      <c r="DV319" s="132"/>
      <c r="DW319" s="132"/>
      <c r="DX319" s="132"/>
      <c r="DY319" s="132"/>
      <c r="DZ319" s="132"/>
      <c r="EA319" s="132"/>
      <c r="EB319" s="132"/>
      <c r="EC319" s="132"/>
      <c r="ED319" s="132"/>
      <c r="EE319" s="132"/>
      <c r="EF319" s="132"/>
      <c r="EG319" s="132"/>
      <c r="EH319" s="132"/>
      <c r="EI319" s="132"/>
      <c r="EJ319" s="132"/>
      <c r="EK319" s="132"/>
      <c r="EL319" s="132"/>
      <c r="EM319" s="132"/>
      <c r="EN319" s="132"/>
      <c r="EO319" s="132"/>
      <c r="EP319" s="132"/>
      <c r="EQ319" s="132"/>
      <c r="ER319" s="132"/>
      <c r="ES319" s="132"/>
      <c r="ET319" s="11"/>
      <c r="EU319" s="11"/>
      <c r="EV319" s="11"/>
      <c r="EW319" s="11"/>
      <c r="EX319" s="11"/>
      <c r="EY319" s="11"/>
      <c r="EZ319" s="11"/>
      <c r="FA319" s="11"/>
      <c r="FB319" s="11"/>
      <c r="FC319" s="11"/>
      <c r="FD319" s="11"/>
      <c r="FE319" s="11"/>
      <c r="FF319" s="11"/>
      <c r="FG319" s="11"/>
      <c r="FH319" s="39">
        <f t="shared" si="61"/>
        <v>426020</v>
      </c>
      <c r="FI319" s="33">
        <f t="shared" si="62"/>
        <v>2</v>
      </c>
      <c r="FJ319" s="84">
        <f t="shared" si="63"/>
        <v>213010</v>
      </c>
    </row>
    <row r="320" spans="1:166" ht="27" x14ac:dyDescent="0.25">
      <c r="A320" s="79" t="e">
        <f>#REF!</f>
        <v>#REF!</v>
      </c>
      <c r="B320" s="75" t="e">
        <f>#REF!</f>
        <v>#REF!</v>
      </c>
      <c r="C320" s="75" t="e">
        <f>#REF!</f>
        <v>#REF!</v>
      </c>
      <c r="D320" s="75" t="e">
        <f>#REF!</f>
        <v>#REF!</v>
      </c>
      <c r="E320" s="30">
        <v>1</v>
      </c>
      <c r="F320" s="238">
        <v>256326</v>
      </c>
      <c r="G320" s="241">
        <v>245973</v>
      </c>
      <c r="H320" s="249">
        <v>395518.43522500002</v>
      </c>
      <c r="I320" s="249">
        <v>395437</v>
      </c>
      <c r="J320" s="249">
        <v>329887.97225806449</v>
      </c>
      <c r="K320" s="249">
        <v>321657</v>
      </c>
      <c r="L320" s="274">
        <f>AVERAGE(F320,H320,J320)</f>
        <v>327244.13582768821</v>
      </c>
      <c r="M320" s="274">
        <f>AVERAGE(G320,I320,K320)*E1</f>
        <v>330653.0033333333</v>
      </c>
      <c r="N320" s="245"/>
      <c r="O320" s="113"/>
      <c r="P320" s="113"/>
      <c r="Q320" s="131"/>
      <c r="R320" s="131"/>
      <c r="S320" s="64"/>
      <c r="T320" s="113"/>
      <c r="U320" s="117"/>
      <c r="V320" s="113"/>
      <c r="W320" s="131"/>
      <c r="X320" s="131"/>
      <c r="Y320" s="11"/>
      <c r="Z320" s="113"/>
      <c r="AA320" s="113"/>
      <c r="AB320" s="113"/>
      <c r="AC320" s="52"/>
      <c r="AD320" s="52"/>
      <c r="AE320" s="11"/>
      <c r="AF320" s="118">
        <v>250000</v>
      </c>
      <c r="AG320" s="144">
        <f t="shared" si="81"/>
        <v>47500</v>
      </c>
      <c r="AH320" s="113">
        <f t="shared" si="82"/>
        <v>297500</v>
      </c>
      <c r="AI320" s="11"/>
      <c r="AJ320" s="11"/>
      <c r="AK320" s="39"/>
      <c r="AL320" s="113">
        <v>280000</v>
      </c>
      <c r="AM320" s="113">
        <f>+AL320*0.19</f>
        <v>53200</v>
      </c>
      <c r="AN320" s="119">
        <f>+AL320+AM320</f>
        <v>333200</v>
      </c>
      <c r="AO320" s="76" t="s">
        <v>60</v>
      </c>
      <c r="AP320" s="39" t="s">
        <v>45</v>
      </c>
      <c r="AQ320" s="39"/>
      <c r="AR320" s="275">
        <v>892800</v>
      </c>
      <c r="AS320" s="113">
        <f t="shared" si="83"/>
        <v>169632</v>
      </c>
      <c r="AT320" s="119">
        <f t="shared" si="84"/>
        <v>1062432</v>
      </c>
      <c r="AU320" s="62" t="s">
        <v>60</v>
      </c>
      <c r="AV320" s="62" t="s">
        <v>35</v>
      </c>
      <c r="AW320" s="31"/>
      <c r="AX320" s="116"/>
      <c r="AY320" s="116"/>
      <c r="AZ320" s="143"/>
      <c r="BA320" s="191"/>
      <c r="BB320" s="132"/>
      <c r="BC320" s="132"/>
      <c r="BD320" s="274"/>
      <c r="BE320" s="143"/>
      <c r="BF320" s="143"/>
      <c r="BG320" s="132"/>
      <c r="BH320" s="132"/>
      <c r="BI320" s="132"/>
      <c r="BJ320" s="143"/>
      <c r="BK320" s="143"/>
      <c r="BL320" s="143"/>
      <c r="BM320" s="132"/>
      <c r="BN320" s="132"/>
      <c r="BO320" s="132"/>
      <c r="BP320" s="143"/>
      <c r="BQ320" s="132"/>
      <c r="BR320" s="132"/>
      <c r="BS320" s="132"/>
      <c r="BT320" s="132"/>
      <c r="BU320" s="132"/>
      <c r="BV320" s="263">
        <v>254501</v>
      </c>
      <c r="BW320" s="144">
        <f>BV320*19%</f>
        <v>48355.19</v>
      </c>
      <c r="BX320" s="113">
        <f>+BV320+BW320</f>
        <v>302856.19</v>
      </c>
      <c r="BY320" s="264" t="s">
        <v>231</v>
      </c>
      <c r="BZ320" s="264" t="s">
        <v>63</v>
      </c>
      <c r="CA320" s="132"/>
      <c r="CB320" s="274"/>
      <c r="CC320" s="144"/>
      <c r="CD320" s="274"/>
      <c r="CE320" s="132"/>
      <c r="CF320" s="132"/>
      <c r="CG320" s="36"/>
      <c r="CH320" s="263">
        <v>264681.04000000004</v>
      </c>
      <c r="CI320" s="265">
        <f>+CH320*0.19</f>
        <v>50289.397600000011</v>
      </c>
      <c r="CJ320" s="263">
        <f>+CH320+CI320</f>
        <v>314970.43760000006</v>
      </c>
      <c r="CK320" s="264" t="s">
        <v>231</v>
      </c>
      <c r="CL320" s="264" t="s">
        <v>63</v>
      </c>
      <c r="CM320" s="132"/>
      <c r="CN320" s="274"/>
      <c r="CO320" s="144"/>
      <c r="CP320" s="274"/>
      <c r="CQ320" s="132"/>
      <c r="CR320" s="132"/>
      <c r="CS320" s="132"/>
      <c r="CT320" s="274"/>
      <c r="CU320" s="144"/>
      <c r="CV320" s="274"/>
      <c r="CW320" s="132"/>
      <c r="CX320" s="132"/>
      <c r="CY320" s="132"/>
      <c r="CZ320" s="118"/>
      <c r="DA320" s="144"/>
      <c r="DB320" s="118"/>
      <c r="DC320" s="33"/>
      <c r="DD320" s="39"/>
      <c r="DE320" s="11"/>
      <c r="DF320" s="132"/>
      <c r="DG320" s="132"/>
      <c r="DH320" s="132"/>
      <c r="DI320" s="132"/>
      <c r="DJ320" s="132"/>
      <c r="DK320" s="132"/>
      <c r="DL320" s="132"/>
      <c r="DM320" s="132"/>
      <c r="DN320" s="132"/>
      <c r="DO320" s="132"/>
      <c r="DP320" s="132"/>
      <c r="DQ320" s="132"/>
      <c r="DR320" s="132"/>
      <c r="DS320" s="132"/>
      <c r="DT320" s="132"/>
      <c r="DU320" s="132"/>
      <c r="DV320" s="132"/>
      <c r="DW320" s="132"/>
      <c r="DX320" s="132"/>
      <c r="DY320" s="132"/>
      <c r="DZ320" s="132"/>
      <c r="EA320" s="132"/>
      <c r="EB320" s="132"/>
      <c r="EC320" s="132"/>
      <c r="ED320" s="132"/>
      <c r="EE320" s="132"/>
      <c r="EF320" s="132"/>
      <c r="EG320" s="132"/>
      <c r="EH320" s="132"/>
      <c r="EI320" s="132"/>
      <c r="EJ320" s="132"/>
      <c r="EK320" s="132"/>
      <c r="EL320" s="132"/>
      <c r="EM320" s="132"/>
      <c r="EN320" s="132"/>
      <c r="EO320" s="132"/>
      <c r="EP320" s="132"/>
      <c r="EQ320" s="132"/>
      <c r="ER320" s="132"/>
      <c r="ES320" s="132"/>
      <c r="ET320" s="11"/>
      <c r="EU320" s="11"/>
      <c r="EV320" s="11"/>
      <c r="EW320" s="11"/>
      <c r="EX320" s="11"/>
      <c r="EY320" s="11"/>
      <c r="EZ320" s="11"/>
      <c r="FA320" s="11"/>
      <c r="FB320" s="11"/>
      <c r="FC320" s="11"/>
      <c r="FD320" s="11"/>
      <c r="FE320" s="11"/>
      <c r="FF320" s="11"/>
      <c r="FG320" s="11"/>
      <c r="FH320" s="39">
        <f t="shared" si="61"/>
        <v>2641611.6309333332</v>
      </c>
      <c r="FI320" s="33">
        <f t="shared" si="62"/>
        <v>6</v>
      </c>
      <c r="FJ320" s="84">
        <f t="shared" si="63"/>
        <v>440268.60515555553</v>
      </c>
    </row>
    <row r="321" spans="1:166" ht="25.5" x14ac:dyDescent="0.25">
      <c r="A321" s="79" t="e">
        <f>#REF!</f>
        <v>#REF!</v>
      </c>
      <c r="B321" s="75" t="e">
        <f>#REF!</f>
        <v>#REF!</v>
      </c>
      <c r="C321" s="75" t="e">
        <f>#REF!</f>
        <v>#REF!</v>
      </c>
      <c r="D321" s="75" t="e">
        <f>#REF!</f>
        <v>#REF!</v>
      </c>
      <c r="E321" s="30">
        <v>1</v>
      </c>
      <c r="F321" s="238">
        <v>174007.75</v>
      </c>
      <c r="G321" s="241">
        <v>171360</v>
      </c>
      <c r="H321" s="249">
        <v>360359.69064722222</v>
      </c>
      <c r="I321" s="249">
        <v>0</v>
      </c>
      <c r="J321" s="249">
        <v>234219.51075268816</v>
      </c>
      <c r="K321" s="249">
        <v>104006</v>
      </c>
      <c r="L321" s="274">
        <f>AVERAGE(F321,H321,J321)</f>
        <v>256195.65046663678</v>
      </c>
      <c r="M321" s="274">
        <f>AVERAGE(G321,K321)*E1</f>
        <v>141813.49</v>
      </c>
      <c r="N321" s="245"/>
      <c r="O321" s="113"/>
      <c r="P321" s="113"/>
      <c r="Q321" s="131"/>
      <c r="R321" s="131"/>
      <c r="S321" s="64"/>
      <c r="T321" s="113"/>
      <c r="U321" s="113"/>
      <c r="V321" s="113"/>
      <c r="W321" s="131"/>
      <c r="X321" s="131"/>
      <c r="Y321" s="11"/>
      <c r="Z321" s="113"/>
      <c r="AA321" s="113"/>
      <c r="AB321" s="113"/>
      <c r="AC321" s="52"/>
      <c r="AD321" s="52"/>
      <c r="AE321" s="11"/>
      <c r="AF321" s="118">
        <v>250000</v>
      </c>
      <c r="AG321" s="144">
        <f t="shared" si="81"/>
        <v>47500</v>
      </c>
      <c r="AH321" s="113">
        <f t="shared" si="82"/>
        <v>297500</v>
      </c>
      <c r="AI321" s="11"/>
      <c r="AJ321" s="11"/>
      <c r="AK321" s="39"/>
      <c r="AL321" s="113">
        <f>180000/2</f>
        <v>90000</v>
      </c>
      <c r="AM321" s="113">
        <f>+AL321*0.19</f>
        <v>17100</v>
      </c>
      <c r="AN321" s="119">
        <f>+AL321+AM321</f>
        <v>107100</v>
      </c>
      <c r="AO321" s="76" t="s">
        <v>95</v>
      </c>
      <c r="AP321" s="39" t="s">
        <v>45</v>
      </c>
      <c r="AQ321" s="39"/>
      <c r="AR321" s="275">
        <f>144000/2</f>
        <v>72000</v>
      </c>
      <c r="AS321" s="113">
        <f t="shared" si="83"/>
        <v>13680</v>
      </c>
      <c r="AT321" s="119">
        <f t="shared" si="84"/>
        <v>85680</v>
      </c>
      <c r="AU321" s="62" t="s">
        <v>60</v>
      </c>
      <c r="AV321" s="62" t="s">
        <v>35</v>
      </c>
      <c r="AW321" s="31"/>
      <c r="AX321" s="116"/>
      <c r="AY321" s="196"/>
      <c r="AZ321" s="143"/>
      <c r="BA321" s="191"/>
      <c r="BB321" s="132"/>
      <c r="BC321" s="132"/>
      <c r="BD321" s="274"/>
      <c r="BE321" s="143"/>
      <c r="BF321" s="143"/>
      <c r="BG321" s="132"/>
      <c r="BH321" s="132"/>
      <c r="BI321" s="132"/>
      <c r="BJ321" s="143"/>
      <c r="BK321" s="143"/>
      <c r="BL321" s="143"/>
      <c r="BM321" s="132"/>
      <c r="BN321" s="132"/>
      <c r="BO321" s="132"/>
      <c r="BP321" s="143"/>
      <c r="BQ321" s="132"/>
      <c r="BR321" s="132"/>
      <c r="BS321" s="132"/>
      <c r="BT321" s="132"/>
      <c r="BU321" s="132"/>
      <c r="BV321" s="263">
        <v>122301</v>
      </c>
      <c r="BW321" s="144">
        <f>BV321*19%</f>
        <v>23237.19</v>
      </c>
      <c r="BX321" s="113">
        <f>+BV321+BW321</f>
        <v>145538.19</v>
      </c>
      <c r="BY321" s="264" t="s">
        <v>326</v>
      </c>
      <c r="BZ321" s="264" t="s">
        <v>88</v>
      </c>
      <c r="CA321" s="132"/>
      <c r="CB321" s="274"/>
      <c r="CC321" s="144"/>
      <c r="CD321" s="274"/>
      <c r="CE321" s="132"/>
      <c r="CF321" s="132"/>
      <c r="CG321" s="36"/>
      <c r="CH321" s="263">
        <v>127193.04000000001</v>
      </c>
      <c r="CI321" s="265">
        <f>+CH321*0.19</f>
        <v>24166.677600000003</v>
      </c>
      <c r="CJ321" s="263">
        <f>+CH321+CI321</f>
        <v>151359.7176</v>
      </c>
      <c r="CK321" s="264" t="s">
        <v>326</v>
      </c>
      <c r="CL321" s="264" t="s">
        <v>88</v>
      </c>
      <c r="CM321" s="132"/>
      <c r="CN321" s="274"/>
      <c r="CO321" s="144"/>
      <c r="CP321" s="274"/>
      <c r="CQ321" s="132"/>
      <c r="CR321" s="132"/>
      <c r="CS321" s="132"/>
      <c r="CT321" s="144">
        <v>92000</v>
      </c>
      <c r="CU321" s="144">
        <f>CT321*0.19</f>
        <v>17480</v>
      </c>
      <c r="CV321" s="144">
        <f>CU321+CT321</f>
        <v>109480</v>
      </c>
      <c r="CW321" s="132"/>
      <c r="CX321" s="132"/>
      <c r="CY321" s="132"/>
      <c r="CZ321" s="118"/>
      <c r="DA321" s="144"/>
      <c r="DB321" s="118"/>
      <c r="DC321" s="33"/>
      <c r="DD321" s="39"/>
      <c r="DE321" s="11"/>
      <c r="DF321" s="132"/>
      <c r="DG321" s="132"/>
      <c r="DH321" s="132"/>
      <c r="DI321" s="132"/>
      <c r="DJ321" s="132"/>
      <c r="DK321" s="132"/>
      <c r="DL321" s="132"/>
      <c r="DM321" s="132"/>
      <c r="DN321" s="132"/>
      <c r="DO321" s="132"/>
      <c r="DP321" s="132"/>
      <c r="DQ321" s="132"/>
      <c r="DR321" s="132"/>
      <c r="DS321" s="132"/>
      <c r="DT321" s="132"/>
      <c r="DU321" s="132"/>
      <c r="DV321" s="132"/>
      <c r="DW321" s="132"/>
      <c r="DX321" s="132"/>
      <c r="DY321" s="132"/>
      <c r="DZ321" s="132"/>
      <c r="EA321" s="132"/>
      <c r="EB321" s="132"/>
      <c r="EC321" s="132"/>
      <c r="ED321" s="132"/>
      <c r="EE321" s="132"/>
      <c r="EF321" s="132"/>
      <c r="EG321" s="132"/>
      <c r="EH321" s="132"/>
      <c r="EI321" s="132"/>
      <c r="EJ321" s="132"/>
      <c r="EK321" s="132"/>
      <c r="EL321" s="132"/>
      <c r="EM321" s="132"/>
      <c r="EN321" s="132"/>
      <c r="EO321" s="132"/>
      <c r="EP321" s="132"/>
      <c r="EQ321" s="132"/>
      <c r="ER321" s="132"/>
      <c r="ES321" s="132"/>
      <c r="ET321" s="11"/>
      <c r="EU321" s="11"/>
      <c r="EV321" s="11"/>
      <c r="EW321" s="11"/>
      <c r="EX321" s="11"/>
      <c r="EY321" s="11"/>
      <c r="EZ321" s="11"/>
      <c r="FA321" s="11"/>
      <c r="FB321" s="11"/>
      <c r="FC321" s="11"/>
      <c r="FD321" s="11"/>
      <c r="FE321" s="11"/>
      <c r="FF321" s="11"/>
      <c r="FG321" s="11"/>
      <c r="FH321" s="39">
        <f t="shared" si="61"/>
        <v>1038471.3975999999</v>
      </c>
      <c r="FI321" s="33">
        <f t="shared" si="62"/>
        <v>7</v>
      </c>
      <c r="FJ321" s="84">
        <f t="shared" si="63"/>
        <v>148353.05679999999</v>
      </c>
    </row>
    <row r="322" spans="1:166" ht="25.5" x14ac:dyDescent="0.25">
      <c r="A322" s="79" t="e">
        <f>#REF!</f>
        <v>#REF!</v>
      </c>
      <c r="B322" s="75" t="e">
        <f>#REF!</f>
        <v>#REF!</v>
      </c>
      <c r="C322" s="75" t="e">
        <f>#REF!</f>
        <v>#REF!</v>
      </c>
      <c r="D322" s="75" t="e">
        <f>#REF!</f>
        <v>#REF!</v>
      </c>
      <c r="E322" s="30">
        <v>1</v>
      </c>
      <c r="F322" s="238">
        <v>199166.33333333331</v>
      </c>
      <c r="G322" s="241">
        <v>193137</v>
      </c>
      <c r="H322" s="249">
        <v>202539.74771333332</v>
      </c>
      <c r="I322" s="249">
        <v>202538</v>
      </c>
      <c r="J322" s="249">
        <v>198259.94999999998</v>
      </c>
      <c r="K322" s="249">
        <v>0</v>
      </c>
      <c r="L322" s="274">
        <f>AVERAGE(F322,H322,J322)</f>
        <v>199988.67701555553</v>
      </c>
      <c r="M322" s="274">
        <f>AVERAGE(G322,I322)*E1</f>
        <v>203772.625</v>
      </c>
      <c r="N322" s="245"/>
      <c r="O322" s="113"/>
      <c r="P322" s="113"/>
      <c r="Q322" s="131"/>
      <c r="R322" s="131"/>
      <c r="S322" s="64"/>
      <c r="T322" s="113"/>
      <c r="U322" s="113"/>
      <c r="V322" s="113"/>
      <c r="W322" s="131"/>
      <c r="X322" s="131"/>
      <c r="Y322" s="11"/>
      <c r="Z322" s="113"/>
      <c r="AA322" s="113"/>
      <c r="AB322" s="113"/>
      <c r="AC322" s="52"/>
      <c r="AD322" s="52"/>
      <c r="AE322" s="11"/>
      <c r="AF322" s="118">
        <v>180000</v>
      </c>
      <c r="AG322" s="144">
        <f t="shared" si="81"/>
        <v>34200</v>
      </c>
      <c r="AH322" s="113">
        <f t="shared" si="82"/>
        <v>214200</v>
      </c>
      <c r="AI322" s="11"/>
      <c r="AJ322" s="11"/>
      <c r="AK322" s="39"/>
      <c r="AL322" s="113">
        <v>195000</v>
      </c>
      <c r="AM322" s="113">
        <f>+AL322*0.19</f>
        <v>37050</v>
      </c>
      <c r="AN322" s="119">
        <f>+AL322+AM322</f>
        <v>232050</v>
      </c>
      <c r="AO322" s="76" t="s">
        <v>95</v>
      </c>
      <c r="AP322" s="39" t="s">
        <v>45</v>
      </c>
      <c r="AQ322" s="39"/>
      <c r="AR322" s="275">
        <v>194400</v>
      </c>
      <c r="AS322" s="113">
        <f t="shared" si="83"/>
        <v>36936</v>
      </c>
      <c r="AT322" s="119">
        <f t="shared" si="84"/>
        <v>231336</v>
      </c>
      <c r="AU322" s="62" t="s">
        <v>60</v>
      </c>
      <c r="AV322" s="62" t="s">
        <v>35</v>
      </c>
      <c r="AW322" s="31"/>
      <c r="AX322" s="116"/>
      <c r="AY322" s="116"/>
      <c r="AZ322" s="143"/>
      <c r="BA322" s="191"/>
      <c r="BB322" s="132"/>
      <c r="BC322" s="132"/>
      <c r="BD322" s="274"/>
      <c r="BE322" s="143"/>
      <c r="BF322" s="143"/>
      <c r="BG322" s="132"/>
      <c r="BH322" s="132"/>
      <c r="BI322" s="132"/>
      <c r="BJ322" s="143"/>
      <c r="BK322" s="143"/>
      <c r="BL322" s="143"/>
      <c r="BM322" s="132"/>
      <c r="BN322" s="132"/>
      <c r="BO322" s="132"/>
      <c r="BP322" s="143"/>
      <c r="BQ322" s="132"/>
      <c r="BR322" s="132"/>
      <c r="BS322" s="132"/>
      <c r="BT322" s="132"/>
      <c r="BU322" s="132"/>
      <c r="BV322" s="268">
        <v>500000</v>
      </c>
      <c r="BW322" s="144">
        <f>BV322*19%</f>
        <v>95000</v>
      </c>
      <c r="BX322" s="113">
        <f>+BV322+BW322</f>
        <v>595000</v>
      </c>
      <c r="BY322" s="264" t="s">
        <v>344</v>
      </c>
      <c r="BZ322" s="264" t="s">
        <v>345</v>
      </c>
      <c r="CA322" s="132"/>
      <c r="CB322" s="274"/>
      <c r="CC322" s="144"/>
      <c r="CD322" s="274"/>
      <c r="CE322" s="132"/>
      <c r="CF322" s="132"/>
      <c r="CG322" s="36"/>
      <c r="CH322" s="263"/>
      <c r="CI322" s="265"/>
      <c r="CJ322" s="263"/>
      <c r="CK322" s="264"/>
      <c r="CL322" s="264"/>
      <c r="CM322" s="132"/>
      <c r="CN322" s="274"/>
      <c r="CO322" s="144"/>
      <c r="CP322" s="274"/>
      <c r="CQ322" s="132"/>
      <c r="CR322" s="132"/>
      <c r="CS322" s="132"/>
      <c r="CT322" s="274"/>
      <c r="CU322" s="144"/>
      <c r="CV322" s="274"/>
      <c r="CW322" s="132"/>
      <c r="CX322" s="132"/>
      <c r="CY322" s="132"/>
      <c r="CZ322" s="118"/>
      <c r="DA322" s="144"/>
      <c r="DB322" s="118"/>
      <c r="DC322" s="33"/>
      <c r="DD322" s="39"/>
      <c r="DE322" s="11"/>
      <c r="DF322" s="132"/>
      <c r="DG322" s="132"/>
      <c r="DH322" s="132"/>
      <c r="DI322" s="132"/>
      <c r="DJ322" s="132"/>
      <c r="DK322" s="132"/>
      <c r="DL322" s="132"/>
      <c r="DM322" s="132"/>
      <c r="DN322" s="132"/>
      <c r="DO322" s="132"/>
      <c r="DP322" s="132"/>
      <c r="DQ322" s="132"/>
      <c r="DR322" s="132"/>
      <c r="DS322" s="132"/>
      <c r="DT322" s="132"/>
      <c r="DU322" s="132"/>
      <c r="DV322" s="132"/>
      <c r="DW322" s="132"/>
      <c r="DX322" s="132"/>
      <c r="DY322" s="132"/>
      <c r="DZ322" s="132"/>
      <c r="EA322" s="132"/>
      <c r="EB322" s="132"/>
      <c r="EC322" s="132"/>
      <c r="ED322" s="132"/>
      <c r="EE322" s="132"/>
      <c r="EF322" s="132"/>
      <c r="EG322" s="132"/>
      <c r="EH322" s="132"/>
      <c r="EI322" s="132"/>
      <c r="EJ322" s="132"/>
      <c r="EK322" s="132"/>
      <c r="EL322" s="132"/>
      <c r="EM322" s="132"/>
      <c r="EN322" s="132"/>
      <c r="EO322" s="132"/>
      <c r="EP322" s="132"/>
      <c r="EQ322" s="132"/>
      <c r="ER322" s="132"/>
      <c r="ES322" s="132"/>
      <c r="ET322" s="11"/>
      <c r="EU322" s="11"/>
      <c r="EV322" s="11"/>
      <c r="EW322" s="11"/>
      <c r="EX322" s="11"/>
      <c r="EY322" s="11"/>
      <c r="EZ322" s="11"/>
      <c r="FA322" s="11"/>
      <c r="FB322" s="11"/>
      <c r="FC322" s="11"/>
      <c r="FD322" s="11"/>
      <c r="FE322" s="11"/>
      <c r="FF322" s="11"/>
      <c r="FG322" s="11"/>
      <c r="FH322" s="39">
        <f t="shared" si="61"/>
        <v>1476358.625</v>
      </c>
      <c r="FI322" s="33">
        <f t="shared" si="62"/>
        <v>5</v>
      </c>
      <c r="FJ322" s="84">
        <f t="shared" si="63"/>
        <v>295271.72499999998</v>
      </c>
    </row>
    <row r="323" spans="1:166" x14ac:dyDescent="0.25">
      <c r="A323" s="79" t="e">
        <f>#REF!</f>
        <v>#REF!</v>
      </c>
      <c r="B323" s="75" t="e">
        <f>#REF!</f>
        <v>#REF!</v>
      </c>
      <c r="C323" s="75" t="e">
        <f>#REF!</f>
        <v>#REF!</v>
      </c>
      <c r="D323" s="75" t="e">
        <f>#REF!</f>
        <v>#REF!</v>
      </c>
      <c r="E323" s="30">
        <v>1</v>
      </c>
      <c r="F323" s="238">
        <v>0</v>
      </c>
      <c r="G323" s="241">
        <v>0</v>
      </c>
      <c r="H323" s="249">
        <v>0</v>
      </c>
      <c r="I323" s="249">
        <v>0</v>
      </c>
      <c r="J323" s="249">
        <v>0</v>
      </c>
      <c r="K323" s="249">
        <v>0</v>
      </c>
      <c r="L323" s="274"/>
      <c r="M323" s="274"/>
      <c r="N323" s="245"/>
      <c r="O323" s="113"/>
      <c r="P323" s="113"/>
      <c r="Q323" s="131"/>
      <c r="R323" s="131"/>
      <c r="S323" s="64"/>
      <c r="T323" s="113"/>
      <c r="U323" s="113"/>
      <c r="V323" s="113"/>
      <c r="W323" s="131"/>
      <c r="X323" s="131"/>
      <c r="Y323" s="11"/>
      <c r="Z323" s="113"/>
      <c r="AA323" s="113"/>
      <c r="AB323" s="113"/>
      <c r="AC323" s="52"/>
      <c r="AD323" s="52"/>
      <c r="AE323" s="11"/>
      <c r="AF323" s="118"/>
      <c r="AG323" s="144"/>
      <c r="AH323" s="113"/>
      <c r="AI323" s="11"/>
      <c r="AJ323" s="11"/>
      <c r="AK323" s="39"/>
      <c r="AL323" s="113"/>
      <c r="AM323" s="113"/>
      <c r="AN323" s="117"/>
      <c r="AO323" s="76"/>
      <c r="AP323" s="39"/>
      <c r="AQ323" s="39"/>
      <c r="AR323" s="275"/>
      <c r="AS323" s="156"/>
      <c r="AT323" s="157"/>
      <c r="AU323" s="62"/>
      <c r="AV323" s="62"/>
      <c r="AW323" s="31"/>
      <c r="AX323" s="116"/>
      <c r="AY323" s="116"/>
      <c r="AZ323" s="143"/>
      <c r="BA323" s="191"/>
      <c r="BB323" s="132"/>
      <c r="BC323" s="132"/>
      <c r="BD323" s="274"/>
      <c r="BE323" s="143"/>
      <c r="BF323" s="143"/>
      <c r="BG323" s="132"/>
      <c r="BH323" s="132"/>
      <c r="BI323" s="132"/>
      <c r="BJ323" s="143"/>
      <c r="BK323" s="143"/>
      <c r="BL323" s="143"/>
      <c r="BM323" s="132"/>
      <c r="BN323" s="132"/>
      <c r="BO323" s="132"/>
      <c r="BP323" s="143"/>
      <c r="BQ323" s="132"/>
      <c r="BR323" s="132"/>
      <c r="BS323" s="132"/>
      <c r="BT323" s="132"/>
      <c r="BU323" s="132"/>
      <c r="BV323" s="210"/>
      <c r="BW323" s="144"/>
      <c r="BX323" s="113"/>
      <c r="BY323" s="273"/>
      <c r="BZ323" s="273"/>
      <c r="CA323" s="132"/>
      <c r="CB323" s="274"/>
      <c r="CC323" s="144"/>
      <c r="CD323" s="274"/>
      <c r="CE323" s="132"/>
      <c r="CF323" s="132"/>
      <c r="CG323" s="36"/>
      <c r="CH323" s="210"/>
      <c r="CI323" s="219"/>
      <c r="CJ323" s="210"/>
      <c r="CK323" s="273"/>
      <c r="CL323" s="273"/>
      <c r="CM323" s="132"/>
      <c r="CN323" s="274"/>
      <c r="CO323" s="144"/>
      <c r="CP323" s="274"/>
      <c r="CQ323" s="132"/>
      <c r="CR323" s="132"/>
      <c r="CS323" s="132"/>
      <c r="CT323" s="274"/>
      <c r="CU323" s="144"/>
      <c r="CV323" s="274"/>
      <c r="CW323" s="132"/>
      <c r="CX323" s="132"/>
      <c r="CY323" s="132"/>
      <c r="CZ323" s="118"/>
      <c r="DA323" s="144"/>
      <c r="DB323" s="118"/>
      <c r="DC323" s="33"/>
      <c r="DD323" s="39"/>
      <c r="DE323" s="11"/>
      <c r="DF323" s="132"/>
      <c r="DG323" s="132"/>
      <c r="DH323" s="132"/>
      <c r="DI323" s="132"/>
      <c r="DJ323" s="132"/>
      <c r="DK323" s="132"/>
      <c r="DL323" s="132"/>
      <c r="DM323" s="132"/>
      <c r="DN323" s="132"/>
      <c r="DO323" s="132"/>
      <c r="DP323" s="132"/>
      <c r="DQ323" s="132"/>
      <c r="DR323" s="132"/>
      <c r="DS323" s="132"/>
      <c r="DT323" s="132"/>
      <c r="DU323" s="132"/>
      <c r="DV323" s="132"/>
      <c r="DW323" s="132"/>
      <c r="DX323" s="132"/>
      <c r="DY323" s="132"/>
      <c r="DZ323" s="132"/>
      <c r="EA323" s="132"/>
      <c r="EB323" s="132"/>
      <c r="EC323" s="132"/>
      <c r="ED323" s="132"/>
      <c r="EE323" s="132"/>
      <c r="EF323" s="132"/>
      <c r="EG323" s="132"/>
      <c r="EH323" s="132"/>
      <c r="EI323" s="132"/>
      <c r="EJ323" s="132"/>
      <c r="EK323" s="132"/>
      <c r="EL323" s="132"/>
      <c r="EM323" s="132"/>
      <c r="EN323" s="132"/>
      <c r="EO323" s="132"/>
      <c r="EP323" s="132"/>
      <c r="EQ323" s="132"/>
      <c r="ER323" s="132"/>
      <c r="ES323" s="132"/>
      <c r="ET323" s="11"/>
      <c r="EU323" s="11"/>
      <c r="EV323" s="11"/>
      <c r="EW323" s="11"/>
      <c r="EX323" s="11"/>
      <c r="EY323" s="11"/>
      <c r="EZ323" s="11"/>
      <c r="FA323" s="11"/>
      <c r="FB323" s="11"/>
      <c r="FC323" s="11"/>
      <c r="FD323" s="11"/>
      <c r="FE323" s="11"/>
      <c r="FF323" s="11"/>
      <c r="FG323" s="11"/>
      <c r="FH323" s="39">
        <f t="shared" ref="FH323:FH386" si="85">SUM(M323,P323,V323,AB323,AH323,AN323,AT323,AZ323,BF323,BL323,BR323,BX323,CD323,CJ323,CP323,CV323,DB323,DH323,DN323,DT323,DZ323,EF323,EL323,ER323,EX323,FD323)</f>
        <v>0</v>
      </c>
      <c r="FI323" s="33">
        <f t="shared" ref="FI323:FI386" si="86">COUNTA(M323,N323,T323,Z323,AF323,AL323,AR323,AX323,BD323,BJ323,BP323,BV323,CB323,CH323,CN323,CT323,CZ323,DF323,DL323,DR323,DX323,ED323,EJ323,EP323,EV323,FB323)</f>
        <v>0</v>
      </c>
      <c r="FJ323" s="84" t="str">
        <f t="shared" ref="FJ323:FJ386" si="87">IFERROR(FH323/FI323," ")</f>
        <v xml:space="preserve"> </v>
      </c>
    </row>
    <row r="324" spans="1:166" ht="40.5" x14ac:dyDescent="0.25">
      <c r="A324" s="79" t="e">
        <f>#REF!</f>
        <v>#REF!</v>
      </c>
      <c r="B324" s="75" t="e">
        <f>#REF!</f>
        <v>#REF!</v>
      </c>
      <c r="C324" s="75" t="e">
        <f>#REF!</f>
        <v>#REF!</v>
      </c>
      <c r="D324" s="75" t="e">
        <f>#REF!</f>
        <v>#REF!</v>
      </c>
      <c r="E324" s="30">
        <v>1</v>
      </c>
      <c r="F324" s="238">
        <v>50586.833333333336</v>
      </c>
      <c r="G324" s="241">
        <v>48800</v>
      </c>
      <c r="H324" s="249">
        <v>112567.32688856668</v>
      </c>
      <c r="I324" s="249">
        <v>40600</v>
      </c>
      <c r="J324" s="249">
        <v>76181.8</v>
      </c>
      <c r="K324" s="249">
        <v>60800</v>
      </c>
      <c r="L324" s="274">
        <f t="shared" ref="L324:L329" si="88">AVERAGE(F324,H324,J324)</f>
        <v>79778.653407300008</v>
      </c>
      <c r="M324" s="274">
        <f>AVERAGE(G324,I324,K324)*E1</f>
        <v>51568.666666666664</v>
      </c>
      <c r="N324" s="245"/>
      <c r="O324" s="113"/>
      <c r="P324" s="113"/>
      <c r="Q324" s="131"/>
      <c r="R324" s="131"/>
      <c r="S324" s="64"/>
      <c r="T324" s="113"/>
      <c r="U324" s="117"/>
      <c r="V324" s="113"/>
      <c r="W324" s="131"/>
      <c r="X324" s="131"/>
      <c r="Y324" s="11"/>
      <c r="Z324" s="113"/>
      <c r="AA324" s="113"/>
      <c r="AB324" s="113"/>
      <c r="AC324" s="52"/>
      <c r="AD324" s="52"/>
      <c r="AE324" s="11"/>
      <c r="AF324" s="118">
        <v>45000</v>
      </c>
      <c r="AG324" s="144">
        <v>0</v>
      </c>
      <c r="AH324" s="113">
        <f t="shared" ref="AH324:AH329" si="89">+AF324+AG324</f>
        <v>45000</v>
      </c>
      <c r="AI324" s="11"/>
      <c r="AJ324" s="11"/>
      <c r="AK324" s="39"/>
      <c r="AL324" s="113">
        <v>41000</v>
      </c>
      <c r="AM324" s="113">
        <f>+AL324*0</f>
        <v>0</v>
      </c>
      <c r="AN324" s="119">
        <f>+AL324+AM324</f>
        <v>41000</v>
      </c>
      <c r="AO324" s="76" t="s">
        <v>49</v>
      </c>
      <c r="AP324" s="39" t="s">
        <v>164</v>
      </c>
      <c r="AQ324" s="39"/>
      <c r="AR324" s="275">
        <v>27751</v>
      </c>
      <c r="AS324" s="113">
        <f>+AR324*0.19</f>
        <v>5272.6900000000005</v>
      </c>
      <c r="AT324" s="119">
        <f>+AR324+AS324</f>
        <v>33023.69</v>
      </c>
      <c r="AU324" s="62" t="s">
        <v>211</v>
      </c>
      <c r="AV324" s="62" t="s">
        <v>277</v>
      </c>
      <c r="AW324" s="31"/>
      <c r="AX324" s="116"/>
      <c r="AY324" s="116"/>
      <c r="AZ324" s="143"/>
      <c r="BA324" s="191"/>
      <c r="BB324" s="132"/>
      <c r="BC324" s="132"/>
      <c r="BD324" s="274"/>
      <c r="BE324" s="143"/>
      <c r="BF324" s="143"/>
      <c r="BG324" s="132"/>
      <c r="BH324" s="132"/>
      <c r="BI324" s="132"/>
      <c r="BJ324" s="143"/>
      <c r="BK324" s="143"/>
      <c r="BL324" s="143"/>
      <c r="BM324" s="132"/>
      <c r="BN324" s="132"/>
      <c r="BO324" s="132"/>
      <c r="BP324" s="143"/>
      <c r="BQ324" s="132"/>
      <c r="BR324" s="132"/>
      <c r="BS324" s="132"/>
      <c r="BT324" s="132"/>
      <c r="BU324" s="132"/>
      <c r="BV324" s="263">
        <v>68600</v>
      </c>
      <c r="BW324" s="144">
        <f t="shared" ref="BW324:BW331" si="90">BV324*19%</f>
        <v>13034</v>
      </c>
      <c r="BX324" s="113">
        <f t="shared" ref="BX324:BX336" si="91">+BV324+BW324</f>
        <v>81634</v>
      </c>
      <c r="BY324" s="264" t="s">
        <v>329</v>
      </c>
      <c r="BZ324" s="264" t="s">
        <v>48</v>
      </c>
      <c r="CA324" s="132"/>
      <c r="CB324" s="274"/>
      <c r="CC324" s="144"/>
      <c r="CD324" s="274"/>
      <c r="CE324" s="132"/>
      <c r="CF324" s="132"/>
      <c r="CG324" s="36"/>
      <c r="CH324" s="263">
        <v>72030</v>
      </c>
      <c r="CI324" s="265">
        <f>+CH324*0.19</f>
        <v>13685.7</v>
      </c>
      <c r="CJ324" s="263">
        <f>+CH324+CI324</f>
        <v>85715.7</v>
      </c>
      <c r="CK324" s="264" t="s">
        <v>329</v>
      </c>
      <c r="CL324" s="264" t="s">
        <v>48</v>
      </c>
      <c r="CM324" s="132"/>
      <c r="CN324" s="274"/>
      <c r="CO324" s="144"/>
      <c r="CP324" s="274"/>
      <c r="CQ324" s="132"/>
      <c r="CR324" s="132"/>
      <c r="CS324" s="132"/>
      <c r="CT324" s="274"/>
      <c r="CU324" s="144"/>
      <c r="CV324" s="274"/>
      <c r="CW324" s="132"/>
      <c r="CX324" s="132"/>
      <c r="CY324" s="132"/>
      <c r="CZ324" s="118"/>
      <c r="DA324" s="144"/>
      <c r="DB324" s="118"/>
      <c r="DC324" s="33"/>
      <c r="DD324" s="39"/>
      <c r="DE324" s="11"/>
      <c r="DF324" s="132"/>
      <c r="DG324" s="132"/>
      <c r="DH324" s="132"/>
      <c r="DI324" s="132"/>
      <c r="DJ324" s="132"/>
      <c r="DK324" s="132"/>
      <c r="DL324" s="132"/>
      <c r="DM324" s="132"/>
      <c r="DN324" s="132"/>
      <c r="DO324" s="132"/>
      <c r="DP324" s="132"/>
      <c r="DQ324" s="132"/>
      <c r="DR324" s="132"/>
      <c r="DS324" s="132"/>
      <c r="DT324" s="132"/>
      <c r="DU324" s="132"/>
      <c r="DV324" s="132"/>
      <c r="DW324" s="132"/>
      <c r="DX324" s="132"/>
      <c r="DY324" s="132"/>
      <c r="DZ324" s="132"/>
      <c r="EA324" s="132"/>
      <c r="EB324" s="132"/>
      <c r="EC324" s="132"/>
      <c r="ED324" s="132"/>
      <c r="EE324" s="132"/>
      <c r="EF324" s="132"/>
      <c r="EG324" s="132"/>
      <c r="EH324" s="132"/>
      <c r="EI324" s="132"/>
      <c r="EJ324" s="132"/>
      <c r="EK324" s="132"/>
      <c r="EL324" s="132"/>
      <c r="EM324" s="132"/>
      <c r="EN324" s="132"/>
      <c r="EO324" s="132"/>
      <c r="EP324" s="132"/>
      <c r="EQ324" s="132"/>
      <c r="ER324" s="132"/>
      <c r="ES324" s="132"/>
      <c r="ET324" s="11"/>
      <c r="EU324" s="11"/>
      <c r="EV324" s="11"/>
      <c r="EW324" s="11"/>
      <c r="EX324" s="11"/>
      <c r="EY324" s="11"/>
      <c r="EZ324" s="11"/>
      <c r="FA324" s="11"/>
      <c r="FB324" s="11"/>
      <c r="FC324" s="11"/>
      <c r="FD324" s="11"/>
      <c r="FE324" s="11"/>
      <c r="FF324" s="11"/>
      <c r="FG324" s="11"/>
      <c r="FH324" s="39">
        <f t="shared" si="85"/>
        <v>337942.05666666664</v>
      </c>
      <c r="FI324" s="33">
        <f t="shared" si="86"/>
        <v>6</v>
      </c>
      <c r="FJ324" s="84">
        <f t="shared" si="87"/>
        <v>56323.676111111105</v>
      </c>
    </row>
    <row r="325" spans="1:166" ht="40.5" x14ac:dyDescent="0.25">
      <c r="A325" s="79" t="e">
        <f>#REF!</f>
        <v>#REF!</v>
      </c>
      <c r="B325" s="75" t="e">
        <f>#REF!</f>
        <v>#REF!</v>
      </c>
      <c r="C325" s="75" t="e">
        <f>#REF!</f>
        <v>#REF!</v>
      </c>
      <c r="D325" s="75" t="e">
        <f>#REF!</f>
        <v>#REF!</v>
      </c>
      <c r="E325" s="30">
        <v>1</v>
      </c>
      <c r="F325" s="238">
        <v>68884.399999999994</v>
      </c>
      <c r="G325" s="241">
        <v>66400</v>
      </c>
      <c r="H325" s="249">
        <v>92979.797638699994</v>
      </c>
      <c r="I325" s="249">
        <v>0</v>
      </c>
      <c r="J325" s="249">
        <v>104452.2</v>
      </c>
      <c r="K325" s="249">
        <v>83400</v>
      </c>
      <c r="L325" s="274">
        <f t="shared" si="88"/>
        <v>88772.132546233319</v>
      </c>
      <c r="M325" s="274">
        <f>AVERAGE(G325,K325)*E1</f>
        <v>77147</v>
      </c>
      <c r="N325" s="245"/>
      <c r="O325" s="113"/>
      <c r="P325" s="113"/>
      <c r="Q325" s="131"/>
      <c r="R325" s="131"/>
      <c r="S325" s="64"/>
      <c r="T325" s="113"/>
      <c r="U325" s="117"/>
      <c r="V325" s="113"/>
      <c r="W325" s="131"/>
      <c r="X325" s="131"/>
      <c r="Y325" s="11"/>
      <c r="Z325" s="113"/>
      <c r="AA325" s="113"/>
      <c r="AB325" s="113"/>
      <c r="AC325" s="52"/>
      <c r="AD325" s="52"/>
      <c r="AE325" s="11"/>
      <c r="AF325" s="118">
        <v>85000</v>
      </c>
      <c r="AG325" s="144">
        <v>0</v>
      </c>
      <c r="AH325" s="113">
        <f t="shared" si="89"/>
        <v>85000</v>
      </c>
      <c r="AI325" s="11"/>
      <c r="AJ325" s="11"/>
      <c r="AK325" s="39"/>
      <c r="AL325" s="113"/>
      <c r="AM325" s="113"/>
      <c r="AN325" s="117"/>
      <c r="AO325" s="76"/>
      <c r="AP325" s="39"/>
      <c r="AQ325" s="39"/>
      <c r="AR325" s="275">
        <v>48435</v>
      </c>
      <c r="AS325" s="113">
        <f>+AR325*0.19</f>
        <v>9202.65</v>
      </c>
      <c r="AT325" s="119">
        <f>+AR325+AS325</f>
        <v>57637.65</v>
      </c>
      <c r="AU325" s="62" t="s">
        <v>211</v>
      </c>
      <c r="AV325" s="62" t="s">
        <v>277</v>
      </c>
      <c r="AW325" s="31"/>
      <c r="AX325" s="116"/>
      <c r="AY325" s="196"/>
      <c r="AZ325" s="143"/>
      <c r="BA325" s="191"/>
      <c r="BB325" s="132"/>
      <c r="BC325" s="132"/>
      <c r="BD325" s="274"/>
      <c r="BE325" s="143"/>
      <c r="BF325" s="143"/>
      <c r="BG325" s="132"/>
      <c r="BH325" s="132"/>
      <c r="BI325" s="132"/>
      <c r="BJ325" s="143"/>
      <c r="BK325" s="143"/>
      <c r="BL325" s="143"/>
      <c r="BM325" s="132"/>
      <c r="BN325" s="132"/>
      <c r="BO325" s="132"/>
      <c r="BP325" s="143"/>
      <c r="BQ325" s="132"/>
      <c r="BR325" s="132"/>
      <c r="BS325" s="132"/>
      <c r="BT325" s="132"/>
      <c r="BU325" s="132"/>
      <c r="BV325" s="263">
        <v>93300</v>
      </c>
      <c r="BW325" s="144">
        <f t="shared" si="90"/>
        <v>17727</v>
      </c>
      <c r="BX325" s="113">
        <f t="shared" si="91"/>
        <v>111027</v>
      </c>
      <c r="BY325" s="264" t="s">
        <v>329</v>
      </c>
      <c r="BZ325" s="264" t="s">
        <v>48</v>
      </c>
      <c r="CA325" s="132"/>
      <c r="CB325" s="274"/>
      <c r="CC325" s="144"/>
      <c r="CD325" s="274"/>
      <c r="CE325" s="132"/>
      <c r="CF325" s="132"/>
      <c r="CG325" s="36"/>
      <c r="CH325" s="263">
        <v>95166</v>
      </c>
      <c r="CI325" s="265">
        <f>+CH325*0.19</f>
        <v>18081.54</v>
      </c>
      <c r="CJ325" s="263">
        <f>+CH325+CI325</f>
        <v>113247.54000000001</v>
      </c>
      <c r="CK325" s="264" t="s">
        <v>329</v>
      </c>
      <c r="CL325" s="264" t="s">
        <v>48</v>
      </c>
      <c r="CM325" s="132"/>
      <c r="CN325" s="274"/>
      <c r="CO325" s="144"/>
      <c r="CP325" s="274"/>
      <c r="CQ325" s="132"/>
      <c r="CR325" s="132"/>
      <c r="CS325" s="132"/>
      <c r="CT325" s="274"/>
      <c r="CU325" s="144"/>
      <c r="CV325" s="274"/>
      <c r="CW325" s="132"/>
      <c r="CX325" s="132"/>
      <c r="CY325" s="132"/>
      <c r="CZ325" s="118"/>
      <c r="DA325" s="144"/>
      <c r="DB325" s="118"/>
      <c r="DC325" s="33"/>
      <c r="DD325" s="39"/>
      <c r="DE325" s="11"/>
      <c r="DF325" s="132"/>
      <c r="DG325" s="132"/>
      <c r="DH325" s="132"/>
      <c r="DI325" s="132"/>
      <c r="DJ325" s="132"/>
      <c r="DK325" s="132"/>
      <c r="DL325" s="132"/>
      <c r="DM325" s="132"/>
      <c r="DN325" s="132"/>
      <c r="DO325" s="132"/>
      <c r="DP325" s="132"/>
      <c r="DQ325" s="132"/>
      <c r="DR325" s="132"/>
      <c r="DS325" s="132"/>
      <c r="DT325" s="132"/>
      <c r="DU325" s="132"/>
      <c r="DV325" s="132"/>
      <c r="DW325" s="132"/>
      <c r="DX325" s="132"/>
      <c r="DY325" s="132"/>
      <c r="DZ325" s="132"/>
      <c r="EA325" s="132"/>
      <c r="EB325" s="132"/>
      <c r="EC325" s="132"/>
      <c r="ED325" s="132"/>
      <c r="EE325" s="132"/>
      <c r="EF325" s="132"/>
      <c r="EG325" s="132"/>
      <c r="EH325" s="132"/>
      <c r="EI325" s="132"/>
      <c r="EJ325" s="132"/>
      <c r="EK325" s="132"/>
      <c r="EL325" s="132"/>
      <c r="EM325" s="132"/>
      <c r="EN325" s="132"/>
      <c r="EO325" s="132"/>
      <c r="EP325" s="132"/>
      <c r="EQ325" s="132"/>
      <c r="ER325" s="132"/>
      <c r="ES325" s="132"/>
      <c r="ET325" s="11"/>
      <c r="EU325" s="11"/>
      <c r="EV325" s="11"/>
      <c r="EW325" s="11"/>
      <c r="EX325" s="11"/>
      <c r="EY325" s="11"/>
      <c r="EZ325" s="11"/>
      <c r="FA325" s="11"/>
      <c r="FB325" s="11"/>
      <c r="FC325" s="11"/>
      <c r="FD325" s="11"/>
      <c r="FE325" s="11"/>
      <c r="FF325" s="11"/>
      <c r="FG325" s="11"/>
      <c r="FH325" s="39">
        <f t="shared" si="85"/>
        <v>444059.19000000006</v>
      </c>
      <c r="FI325" s="33">
        <f t="shared" si="86"/>
        <v>5</v>
      </c>
      <c r="FJ325" s="84">
        <f t="shared" si="87"/>
        <v>88811.838000000018</v>
      </c>
    </row>
    <row r="326" spans="1:166" ht="40.5" x14ac:dyDescent="0.25">
      <c r="A326" s="79" t="e">
        <f>#REF!</f>
        <v>#REF!</v>
      </c>
      <c r="B326" s="75" t="e">
        <f>#REF!</f>
        <v>#REF!</v>
      </c>
      <c r="C326" s="75" t="e">
        <f>#REF!</f>
        <v>#REF!</v>
      </c>
      <c r="D326" s="75" t="e">
        <f>#REF!</f>
        <v>#REF!</v>
      </c>
      <c r="E326" s="30">
        <v>1</v>
      </c>
      <c r="F326" s="238">
        <v>506648.45</v>
      </c>
      <c r="G326" s="241">
        <v>406980</v>
      </c>
      <c r="H326" s="249">
        <v>729649.83061166666</v>
      </c>
      <c r="I326" s="249">
        <v>0</v>
      </c>
      <c r="J326" s="249">
        <v>382793.25</v>
      </c>
      <c r="K326" s="249">
        <v>0</v>
      </c>
      <c r="L326" s="274">
        <f t="shared" si="88"/>
        <v>539697.1768705555</v>
      </c>
      <c r="M326" s="274">
        <f>G326*E1</f>
        <v>419189.4</v>
      </c>
      <c r="N326" s="245"/>
      <c r="O326" s="113"/>
      <c r="P326" s="113"/>
      <c r="Q326" s="131"/>
      <c r="R326" s="131"/>
      <c r="S326" s="64"/>
      <c r="T326" s="113"/>
      <c r="U326" s="113"/>
      <c r="V326" s="113"/>
      <c r="W326" s="131"/>
      <c r="X326" s="131"/>
      <c r="Y326" s="11"/>
      <c r="Z326" s="113"/>
      <c r="AA326" s="113"/>
      <c r="AB326" s="113"/>
      <c r="AC326" s="52"/>
      <c r="AD326" s="52"/>
      <c r="AE326" s="11"/>
      <c r="AF326" s="118">
        <v>300000</v>
      </c>
      <c r="AG326" s="144">
        <f>AF326*19%</f>
        <v>57000</v>
      </c>
      <c r="AH326" s="113">
        <f t="shared" si="89"/>
        <v>357000</v>
      </c>
      <c r="AI326" s="11"/>
      <c r="AJ326" s="11"/>
      <c r="AK326" s="39"/>
      <c r="AL326" s="113">
        <v>210000</v>
      </c>
      <c r="AM326" s="113">
        <f>+AL326*0.19</f>
        <v>39900</v>
      </c>
      <c r="AN326" s="119">
        <f>+AL326+AM326</f>
        <v>249900</v>
      </c>
      <c r="AO326" s="76" t="s">
        <v>204</v>
      </c>
      <c r="AP326" s="39" t="s">
        <v>45</v>
      </c>
      <c r="AQ326" s="39"/>
      <c r="AR326" s="275">
        <v>417600</v>
      </c>
      <c r="AS326" s="113">
        <f>+AR326*0.19</f>
        <v>79344</v>
      </c>
      <c r="AT326" s="119">
        <f>+AR326+AS326</f>
        <v>496944</v>
      </c>
      <c r="AU326" s="62" t="s">
        <v>34</v>
      </c>
      <c r="AV326" s="62" t="s">
        <v>35</v>
      </c>
      <c r="AW326" s="31"/>
      <c r="AX326" s="116"/>
      <c r="AY326" s="196"/>
      <c r="AZ326" s="143"/>
      <c r="BA326" s="191"/>
      <c r="BB326" s="132"/>
      <c r="BC326" s="132"/>
      <c r="BD326" s="274"/>
      <c r="BE326" s="143"/>
      <c r="BF326" s="143"/>
      <c r="BG326" s="132"/>
      <c r="BH326" s="132"/>
      <c r="BI326" s="132"/>
      <c r="BJ326" s="143"/>
      <c r="BK326" s="143"/>
      <c r="BL326" s="143"/>
      <c r="BM326" s="132"/>
      <c r="BN326" s="132"/>
      <c r="BO326" s="132"/>
      <c r="BP326" s="143"/>
      <c r="BQ326" s="132"/>
      <c r="BR326" s="132"/>
      <c r="BS326" s="132"/>
      <c r="BT326" s="132"/>
      <c r="BU326" s="132"/>
      <c r="BV326" s="263">
        <v>588000</v>
      </c>
      <c r="BW326" s="144">
        <f t="shared" si="90"/>
        <v>111720</v>
      </c>
      <c r="BX326" s="113">
        <f t="shared" si="91"/>
        <v>699720</v>
      </c>
      <c r="BY326" s="264" t="s">
        <v>346</v>
      </c>
      <c r="BZ326" s="264" t="s">
        <v>45</v>
      </c>
      <c r="CA326" s="132"/>
      <c r="CB326" s="274"/>
      <c r="CC326" s="144"/>
      <c r="CD326" s="274"/>
      <c r="CE326" s="132"/>
      <c r="CF326" s="132"/>
      <c r="CG326" s="36"/>
      <c r="CH326" s="263">
        <v>623280</v>
      </c>
      <c r="CI326" s="265">
        <f>+CH326*0.19</f>
        <v>118423.2</v>
      </c>
      <c r="CJ326" s="263">
        <f>+CH326+CI326</f>
        <v>741703.2</v>
      </c>
      <c r="CK326" s="264" t="s">
        <v>346</v>
      </c>
      <c r="CL326" s="264" t="s">
        <v>45</v>
      </c>
      <c r="CM326" s="132"/>
      <c r="CN326" s="274"/>
      <c r="CO326" s="144"/>
      <c r="CP326" s="274"/>
      <c r="CQ326" s="132"/>
      <c r="CR326" s="132"/>
      <c r="CS326" s="132"/>
      <c r="CT326" s="274"/>
      <c r="CU326" s="144"/>
      <c r="CV326" s="274"/>
      <c r="CW326" s="132"/>
      <c r="CX326" s="132"/>
      <c r="CY326" s="132"/>
      <c r="CZ326" s="118"/>
      <c r="DA326" s="144"/>
      <c r="DB326" s="118"/>
      <c r="DC326" s="33"/>
      <c r="DD326" s="39"/>
      <c r="DE326" s="11"/>
      <c r="DF326" s="132"/>
      <c r="DG326" s="132"/>
      <c r="DH326" s="132"/>
      <c r="DI326" s="132"/>
      <c r="DJ326" s="132"/>
      <c r="DK326" s="132"/>
      <c r="DL326" s="132"/>
      <c r="DM326" s="132"/>
      <c r="DN326" s="132"/>
      <c r="DO326" s="132"/>
      <c r="DP326" s="132"/>
      <c r="DQ326" s="132"/>
      <c r="DR326" s="132"/>
      <c r="DS326" s="132"/>
      <c r="DT326" s="132"/>
      <c r="DU326" s="132"/>
      <c r="DV326" s="132"/>
      <c r="DW326" s="132"/>
      <c r="DX326" s="132"/>
      <c r="DY326" s="132"/>
      <c r="DZ326" s="132"/>
      <c r="EA326" s="132"/>
      <c r="EB326" s="132"/>
      <c r="EC326" s="132"/>
      <c r="ED326" s="132"/>
      <c r="EE326" s="132"/>
      <c r="EF326" s="132"/>
      <c r="EG326" s="132"/>
      <c r="EH326" s="132"/>
      <c r="EI326" s="132"/>
      <c r="EJ326" s="132"/>
      <c r="EK326" s="132"/>
      <c r="EL326" s="132"/>
      <c r="EM326" s="132"/>
      <c r="EN326" s="132"/>
      <c r="EO326" s="132"/>
      <c r="EP326" s="132"/>
      <c r="EQ326" s="132"/>
      <c r="ER326" s="132"/>
      <c r="ES326" s="132"/>
      <c r="ET326" s="11"/>
      <c r="EU326" s="11"/>
      <c r="EV326" s="11"/>
      <c r="EW326" s="11"/>
      <c r="EX326" s="11"/>
      <c r="EY326" s="11"/>
      <c r="EZ326" s="11"/>
      <c r="FA326" s="11"/>
      <c r="FB326" s="11"/>
      <c r="FC326" s="11"/>
      <c r="FD326" s="11"/>
      <c r="FE326" s="11"/>
      <c r="FF326" s="11"/>
      <c r="FG326" s="11"/>
      <c r="FH326" s="39">
        <f t="shared" si="85"/>
        <v>2964456.5999999996</v>
      </c>
      <c r="FI326" s="33">
        <f t="shared" si="86"/>
        <v>6</v>
      </c>
      <c r="FJ326" s="84">
        <f t="shared" si="87"/>
        <v>494076.09999999992</v>
      </c>
    </row>
    <row r="327" spans="1:166" ht="27" x14ac:dyDescent="0.25">
      <c r="A327" s="79" t="e">
        <f>#REF!</f>
        <v>#REF!</v>
      </c>
      <c r="B327" s="75" t="e">
        <f>#REF!</f>
        <v>#REF!</v>
      </c>
      <c r="C327" s="75" t="e">
        <f>#REF!</f>
        <v>#REF!</v>
      </c>
      <c r="D327" s="75" t="e">
        <f>#REF!</f>
        <v>#REF!</v>
      </c>
      <c r="E327" s="30">
        <v>1</v>
      </c>
      <c r="F327" s="238">
        <v>296627.33333333331</v>
      </c>
      <c r="G327" s="241">
        <v>135065</v>
      </c>
      <c r="H327" s="249">
        <v>309754.43017333333</v>
      </c>
      <c r="I327" s="249">
        <v>309638</v>
      </c>
      <c r="J327" s="249">
        <v>465559.17800000001</v>
      </c>
      <c r="K327" s="249">
        <v>0</v>
      </c>
      <c r="L327" s="274">
        <f t="shared" si="88"/>
        <v>357313.64716888889</v>
      </c>
      <c r="M327" s="274">
        <f>AVERAGE(G327,I327)*E1</f>
        <v>229022.04500000001</v>
      </c>
      <c r="N327" s="245"/>
      <c r="O327" s="113"/>
      <c r="P327" s="113"/>
      <c r="Q327" s="131"/>
      <c r="R327" s="131"/>
      <c r="S327" s="64"/>
      <c r="T327" s="113"/>
      <c r="U327" s="113"/>
      <c r="V327" s="113"/>
      <c r="W327" s="131"/>
      <c r="X327" s="131"/>
      <c r="Y327" s="11"/>
      <c r="Z327" s="113"/>
      <c r="AA327" s="113"/>
      <c r="AB327" s="113"/>
      <c r="AC327" s="52"/>
      <c r="AD327" s="52"/>
      <c r="AE327" s="11"/>
      <c r="AF327" s="118">
        <v>250000</v>
      </c>
      <c r="AG327" s="144">
        <f>AF327*19%</f>
        <v>47500</v>
      </c>
      <c r="AH327" s="113">
        <f t="shared" si="89"/>
        <v>297500</v>
      </c>
      <c r="AI327" s="11"/>
      <c r="AJ327" s="11"/>
      <c r="AK327" s="39"/>
      <c r="AL327" s="113">
        <v>245000</v>
      </c>
      <c r="AM327" s="113">
        <f>+AL327*0.19</f>
        <v>46550</v>
      </c>
      <c r="AN327" s="119">
        <f>+AL327+AM327</f>
        <v>291550</v>
      </c>
      <c r="AO327" s="76" t="s">
        <v>34</v>
      </c>
      <c r="AP327" s="39" t="s">
        <v>45</v>
      </c>
      <c r="AQ327" s="39"/>
      <c r="AR327" s="275"/>
      <c r="AS327" s="156"/>
      <c r="AT327" s="157"/>
      <c r="AU327" s="62"/>
      <c r="AV327" s="62"/>
      <c r="AW327" s="31"/>
      <c r="AX327" s="116"/>
      <c r="AY327" s="116"/>
      <c r="AZ327" s="143"/>
      <c r="BA327" s="191"/>
      <c r="BB327" s="132"/>
      <c r="BC327" s="132"/>
      <c r="BD327" s="274"/>
      <c r="BE327" s="143"/>
      <c r="BF327" s="143"/>
      <c r="BG327" s="132"/>
      <c r="BH327" s="132"/>
      <c r="BI327" s="132"/>
      <c r="BJ327" s="143"/>
      <c r="BK327" s="143"/>
      <c r="BL327" s="143"/>
      <c r="BM327" s="132"/>
      <c r="BN327" s="132"/>
      <c r="BO327" s="132"/>
      <c r="BP327" s="143"/>
      <c r="BQ327" s="132"/>
      <c r="BR327" s="132"/>
      <c r="BS327" s="132"/>
      <c r="BT327" s="132"/>
      <c r="BU327" s="132"/>
      <c r="BV327" s="268">
        <v>700000</v>
      </c>
      <c r="BW327" s="144">
        <f t="shared" si="90"/>
        <v>133000</v>
      </c>
      <c r="BX327" s="113">
        <f t="shared" si="91"/>
        <v>833000</v>
      </c>
      <c r="BY327" s="264" t="s">
        <v>340</v>
      </c>
      <c r="BZ327" s="264" t="s">
        <v>63</v>
      </c>
      <c r="CA327" s="132"/>
      <c r="CB327" s="274"/>
      <c r="CC327" s="144"/>
      <c r="CD327" s="274"/>
      <c r="CE327" s="132"/>
      <c r="CF327" s="132"/>
      <c r="CG327" s="36"/>
      <c r="CH327" s="263"/>
      <c r="CI327" s="265"/>
      <c r="CJ327" s="263"/>
      <c r="CK327" s="264"/>
      <c r="CL327" s="264"/>
      <c r="CM327" s="132"/>
      <c r="CN327" s="274"/>
      <c r="CO327" s="144"/>
      <c r="CP327" s="274"/>
      <c r="CQ327" s="132"/>
      <c r="CR327" s="132"/>
      <c r="CS327" s="132"/>
      <c r="CT327" s="274"/>
      <c r="CU327" s="144"/>
      <c r="CV327" s="274"/>
      <c r="CW327" s="132"/>
      <c r="CX327" s="132"/>
      <c r="CY327" s="132"/>
      <c r="CZ327" s="118"/>
      <c r="DA327" s="144"/>
      <c r="DB327" s="118"/>
      <c r="DC327" s="33"/>
      <c r="DD327" s="39"/>
      <c r="DE327" s="11"/>
      <c r="DF327" s="132"/>
      <c r="DG327" s="132"/>
      <c r="DH327" s="132"/>
      <c r="DI327" s="132"/>
      <c r="DJ327" s="132"/>
      <c r="DK327" s="132"/>
      <c r="DL327" s="132"/>
      <c r="DM327" s="132"/>
      <c r="DN327" s="132"/>
      <c r="DO327" s="132"/>
      <c r="DP327" s="132"/>
      <c r="DQ327" s="132"/>
      <c r="DR327" s="132"/>
      <c r="DS327" s="132"/>
      <c r="DT327" s="132"/>
      <c r="DU327" s="132"/>
      <c r="DV327" s="132"/>
      <c r="DW327" s="132"/>
      <c r="DX327" s="132"/>
      <c r="DY327" s="132"/>
      <c r="DZ327" s="132"/>
      <c r="EA327" s="132"/>
      <c r="EB327" s="132"/>
      <c r="EC327" s="132"/>
      <c r="ED327" s="132"/>
      <c r="EE327" s="132"/>
      <c r="EF327" s="132"/>
      <c r="EG327" s="132"/>
      <c r="EH327" s="132"/>
      <c r="EI327" s="132"/>
      <c r="EJ327" s="132"/>
      <c r="EK327" s="132"/>
      <c r="EL327" s="132"/>
      <c r="EM327" s="132"/>
      <c r="EN327" s="132"/>
      <c r="EO327" s="132"/>
      <c r="EP327" s="132"/>
      <c r="EQ327" s="132"/>
      <c r="ER327" s="132"/>
      <c r="ES327" s="132"/>
      <c r="ET327" s="11"/>
      <c r="EU327" s="11"/>
      <c r="EV327" s="11"/>
      <c r="EW327" s="11"/>
      <c r="EX327" s="11"/>
      <c r="EY327" s="11"/>
      <c r="EZ327" s="11"/>
      <c r="FA327" s="11"/>
      <c r="FB327" s="11"/>
      <c r="FC327" s="11"/>
      <c r="FD327" s="11"/>
      <c r="FE327" s="11"/>
      <c r="FF327" s="11"/>
      <c r="FG327" s="11"/>
      <c r="FH327" s="39">
        <f t="shared" si="85"/>
        <v>1651072.0449999999</v>
      </c>
      <c r="FI327" s="33">
        <f t="shared" si="86"/>
        <v>4</v>
      </c>
      <c r="FJ327" s="84">
        <f t="shared" si="87"/>
        <v>412768.01124999998</v>
      </c>
    </row>
    <row r="328" spans="1:166" ht="40.5" x14ac:dyDescent="0.25">
      <c r="A328" s="79" t="e">
        <f>#REF!</f>
        <v>#REF!</v>
      </c>
      <c r="B328" s="75" t="e">
        <f>#REF!</f>
        <v>#REF!</v>
      </c>
      <c r="C328" s="75" t="e">
        <f>#REF!</f>
        <v>#REF!</v>
      </c>
      <c r="D328" s="75" t="e">
        <f>#REF!</f>
        <v>#REF!</v>
      </c>
      <c r="E328" s="30">
        <v>1</v>
      </c>
      <c r="F328" s="238">
        <v>17359.72</v>
      </c>
      <c r="G328" s="241">
        <v>16898</v>
      </c>
      <c r="H328" s="249">
        <v>27749.039599</v>
      </c>
      <c r="I328" s="249">
        <v>0</v>
      </c>
      <c r="J328" s="249">
        <v>20884.5</v>
      </c>
      <c r="K328" s="249">
        <v>19873</v>
      </c>
      <c r="L328" s="274">
        <f t="shared" si="88"/>
        <v>21997.753199666666</v>
      </c>
      <c r="M328" s="274">
        <f>AVERAGE(G328,K328)*E1</f>
        <v>18937.064999999999</v>
      </c>
      <c r="N328" s="245"/>
      <c r="O328" s="113"/>
      <c r="P328" s="113"/>
      <c r="Q328" s="131"/>
      <c r="R328" s="131"/>
      <c r="S328" s="64"/>
      <c r="T328" s="113"/>
      <c r="U328" s="113"/>
      <c r="V328" s="113"/>
      <c r="W328" s="131"/>
      <c r="X328" s="131"/>
      <c r="Y328" s="11"/>
      <c r="Z328" s="113"/>
      <c r="AA328" s="113"/>
      <c r="AB328" s="113"/>
      <c r="AC328" s="52"/>
      <c r="AD328" s="52"/>
      <c r="AE328" s="11"/>
      <c r="AF328" s="118">
        <v>12000</v>
      </c>
      <c r="AG328" s="144">
        <f>AF328*19%</f>
        <v>2280</v>
      </c>
      <c r="AH328" s="113">
        <f t="shared" si="89"/>
        <v>14280</v>
      </c>
      <c r="AI328" s="11"/>
      <c r="AJ328" s="11"/>
      <c r="AK328" s="39"/>
      <c r="AL328" s="113"/>
      <c r="AM328" s="113"/>
      <c r="AN328" s="117"/>
      <c r="AO328" s="76"/>
      <c r="AP328" s="39"/>
      <c r="AQ328" s="39"/>
      <c r="AR328" s="275"/>
      <c r="AS328" s="156"/>
      <c r="AT328" s="157"/>
      <c r="AU328" s="62"/>
      <c r="AV328" s="62"/>
      <c r="AW328" s="31"/>
      <c r="AX328" s="116"/>
      <c r="AY328" s="196"/>
      <c r="AZ328" s="143"/>
      <c r="BA328" s="191"/>
      <c r="BB328" s="132"/>
      <c r="BC328" s="132"/>
      <c r="BD328" s="274"/>
      <c r="BE328" s="143"/>
      <c r="BF328" s="143"/>
      <c r="BG328" s="132"/>
      <c r="BH328" s="132"/>
      <c r="BI328" s="132"/>
      <c r="BJ328" s="143"/>
      <c r="BK328" s="143"/>
      <c r="BL328" s="143"/>
      <c r="BM328" s="132"/>
      <c r="BN328" s="132"/>
      <c r="BO328" s="132"/>
      <c r="BP328" s="143"/>
      <c r="BQ328" s="132"/>
      <c r="BR328" s="132"/>
      <c r="BS328" s="132"/>
      <c r="BT328" s="132"/>
      <c r="BU328" s="132"/>
      <c r="BV328" s="263">
        <f>56800/2</f>
        <v>28400</v>
      </c>
      <c r="BW328" s="144">
        <f t="shared" si="90"/>
        <v>5396</v>
      </c>
      <c r="BX328" s="113">
        <f t="shared" si="91"/>
        <v>33796</v>
      </c>
      <c r="BY328" s="264" t="s">
        <v>347</v>
      </c>
      <c r="BZ328" s="264" t="s">
        <v>164</v>
      </c>
      <c r="CA328" s="132"/>
      <c r="CB328" s="274">
        <v>18500</v>
      </c>
      <c r="CC328" s="144">
        <f>+CB328*19%</f>
        <v>3515</v>
      </c>
      <c r="CD328" s="274">
        <f>+CC328+CB328</f>
        <v>22015</v>
      </c>
      <c r="CE328" s="132"/>
      <c r="CF328" s="132"/>
      <c r="CG328" s="36"/>
      <c r="CH328" s="263">
        <f>58504/2</f>
        <v>29252</v>
      </c>
      <c r="CI328" s="265">
        <f>+CH328*0.19</f>
        <v>5557.88</v>
      </c>
      <c r="CJ328" s="263">
        <f>+CH328+CI328</f>
        <v>34809.879999999997</v>
      </c>
      <c r="CK328" s="264" t="s">
        <v>347</v>
      </c>
      <c r="CL328" s="264" t="s">
        <v>164</v>
      </c>
      <c r="CM328" s="132"/>
      <c r="CN328" s="274"/>
      <c r="CO328" s="144"/>
      <c r="CP328" s="274"/>
      <c r="CQ328" s="132"/>
      <c r="CR328" s="132"/>
      <c r="CS328" s="132"/>
      <c r="CT328" s="274"/>
      <c r="CU328" s="144"/>
      <c r="CV328" s="274"/>
      <c r="CW328" s="132"/>
      <c r="CX328" s="132"/>
      <c r="CY328" s="132"/>
      <c r="CZ328" s="118"/>
      <c r="DA328" s="144"/>
      <c r="DB328" s="118"/>
      <c r="DC328" s="33"/>
      <c r="DD328" s="39"/>
      <c r="DE328" s="11"/>
      <c r="DF328" s="132"/>
      <c r="DG328" s="132"/>
      <c r="DH328" s="132"/>
      <c r="DI328" s="132"/>
      <c r="DJ328" s="132"/>
      <c r="DK328" s="132"/>
      <c r="DL328" s="132"/>
      <c r="DM328" s="132"/>
      <c r="DN328" s="132"/>
      <c r="DO328" s="132"/>
      <c r="DP328" s="132"/>
      <c r="DQ328" s="132"/>
      <c r="DR328" s="132"/>
      <c r="DS328" s="132"/>
      <c r="DT328" s="132"/>
      <c r="DU328" s="132"/>
      <c r="DV328" s="132"/>
      <c r="DW328" s="132"/>
      <c r="DX328" s="132"/>
      <c r="DY328" s="132"/>
      <c r="DZ328" s="132"/>
      <c r="EA328" s="132"/>
      <c r="EB328" s="132"/>
      <c r="EC328" s="132"/>
      <c r="ED328" s="132"/>
      <c r="EE328" s="132"/>
      <c r="EF328" s="132"/>
      <c r="EG328" s="132"/>
      <c r="EH328" s="132"/>
      <c r="EI328" s="132"/>
      <c r="EJ328" s="132"/>
      <c r="EK328" s="132"/>
      <c r="EL328" s="132"/>
      <c r="EM328" s="132"/>
      <c r="EN328" s="132"/>
      <c r="EO328" s="132"/>
      <c r="EP328" s="132"/>
      <c r="EQ328" s="132"/>
      <c r="ER328" s="132"/>
      <c r="ES328" s="132"/>
      <c r="ET328" s="11"/>
      <c r="EU328" s="11"/>
      <c r="EV328" s="11"/>
      <c r="EW328" s="11"/>
      <c r="EX328" s="11"/>
      <c r="EY328" s="11"/>
      <c r="EZ328" s="11"/>
      <c r="FA328" s="11"/>
      <c r="FB328" s="11"/>
      <c r="FC328" s="11"/>
      <c r="FD328" s="11"/>
      <c r="FE328" s="11"/>
      <c r="FF328" s="11"/>
      <c r="FG328" s="11"/>
      <c r="FH328" s="39">
        <f t="shared" si="85"/>
        <v>123837.94500000001</v>
      </c>
      <c r="FI328" s="33">
        <f t="shared" si="86"/>
        <v>5</v>
      </c>
      <c r="FJ328" s="84">
        <f t="shared" si="87"/>
        <v>24767.589</v>
      </c>
    </row>
    <row r="329" spans="1:166" ht="25.5" x14ac:dyDescent="0.25">
      <c r="A329" s="79" t="e">
        <f>#REF!</f>
        <v>#REF!</v>
      </c>
      <c r="B329" s="75" t="e">
        <f>#REF!</f>
        <v>#REF!</v>
      </c>
      <c r="C329" s="75" t="e">
        <f>#REF!</f>
        <v>#REF!</v>
      </c>
      <c r="D329" s="75" t="e">
        <f>#REF!</f>
        <v>#REF!</v>
      </c>
      <c r="E329" s="30">
        <v>1</v>
      </c>
      <c r="F329" s="238">
        <v>405671</v>
      </c>
      <c r="G329" s="241">
        <v>393414</v>
      </c>
      <c r="H329" s="249">
        <v>460141.12882500002</v>
      </c>
      <c r="I329" s="249">
        <v>0</v>
      </c>
      <c r="J329" s="249">
        <v>514052.23333333334</v>
      </c>
      <c r="K329" s="249">
        <v>506940</v>
      </c>
      <c r="L329" s="274">
        <f t="shared" si="88"/>
        <v>459954.78738611116</v>
      </c>
      <c r="M329" s="274">
        <f>AVERAGE(G329,K329)*E1</f>
        <v>463682.31</v>
      </c>
      <c r="N329" s="247">
        <v>461500</v>
      </c>
      <c r="O329" s="113">
        <f>+N329*0.19</f>
        <v>87685</v>
      </c>
      <c r="P329" s="113">
        <f>+O329+N329</f>
        <v>549185</v>
      </c>
      <c r="Q329" s="36" t="s">
        <v>127</v>
      </c>
      <c r="R329" s="132" t="s">
        <v>128</v>
      </c>
      <c r="S329" s="64" t="s">
        <v>216</v>
      </c>
      <c r="T329" s="113"/>
      <c r="U329" s="113"/>
      <c r="V329" s="113"/>
      <c r="W329" s="131"/>
      <c r="X329" s="131"/>
      <c r="Y329" s="11"/>
      <c r="Z329" s="113"/>
      <c r="AA329" s="113"/>
      <c r="AB329" s="113"/>
      <c r="AC329" s="52"/>
      <c r="AD329" s="52"/>
      <c r="AE329" s="11"/>
      <c r="AF329" s="118">
        <v>200000</v>
      </c>
      <c r="AG329" s="144">
        <f>AF329*19%</f>
        <v>38000</v>
      </c>
      <c r="AH329" s="113">
        <f t="shared" si="89"/>
        <v>238000</v>
      </c>
      <c r="AI329" s="11"/>
      <c r="AJ329" s="11"/>
      <c r="AK329" s="39"/>
      <c r="AL329" s="113"/>
      <c r="AM329" s="113"/>
      <c r="AN329" s="117"/>
      <c r="AO329" s="76"/>
      <c r="AP329" s="39"/>
      <c r="AQ329" s="39"/>
      <c r="AR329" s="275">
        <v>748800</v>
      </c>
      <c r="AS329" s="113">
        <f>+AR329*0.19</f>
        <v>142272</v>
      </c>
      <c r="AT329" s="119">
        <f>+AR329+AS329</f>
        <v>891072</v>
      </c>
      <c r="AU329" s="62" t="s">
        <v>60</v>
      </c>
      <c r="AV329" s="62" t="s">
        <v>35</v>
      </c>
      <c r="AW329" s="31"/>
      <c r="AX329" s="116"/>
      <c r="AY329" s="116"/>
      <c r="AZ329" s="143"/>
      <c r="BA329" s="191"/>
      <c r="BB329" s="132"/>
      <c r="BC329" s="132"/>
      <c r="BD329" s="274"/>
      <c r="BE329" s="143"/>
      <c r="BF329" s="143"/>
      <c r="BG329" s="132"/>
      <c r="BH329" s="132"/>
      <c r="BI329" s="132"/>
      <c r="BJ329" s="143"/>
      <c r="BK329" s="143"/>
      <c r="BL329" s="143"/>
      <c r="BM329" s="132"/>
      <c r="BN329" s="132"/>
      <c r="BO329" s="132"/>
      <c r="BP329" s="143"/>
      <c r="BQ329" s="132"/>
      <c r="BR329" s="132"/>
      <c r="BS329" s="132"/>
      <c r="BT329" s="132"/>
      <c r="BU329" s="132"/>
      <c r="BV329" s="263">
        <v>1051000</v>
      </c>
      <c r="BW329" s="144">
        <f t="shared" si="90"/>
        <v>199690</v>
      </c>
      <c r="BX329" s="113">
        <f t="shared" si="91"/>
        <v>1250690</v>
      </c>
      <c r="BY329" s="264" t="s">
        <v>231</v>
      </c>
      <c r="BZ329" s="264" t="s">
        <v>88</v>
      </c>
      <c r="CA329" s="132"/>
      <c r="CB329" s="274"/>
      <c r="CC329" s="144"/>
      <c r="CD329" s="274"/>
      <c r="CE329" s="132"/>
      <c r="CF329" s="132"/>
      <c r="CG329" s="36"/>
      <c r="CH329" s="263"/>
      <c r="CI329" s="265"/>
      <c r="CJ329" s="263"/>
      <c r="CK329" s="264"/>
      <c r="CL329" s="264"/>
      <c r="CM329" s="132"/>
      <c r="CN329" s="274"/>
      <c r="CO329" s="144"/>
      <c r="CP329" s="274"/>
      <c r="CQ329" s="132"/>
      <c r="CR329" s="132"/>
      <c r="CS329" s="132"/>
      <c r="CT329" s="274"/>
      <c r="CU329" s="144"/>
      <c r="CV329" s="274"/>
      <c r="CW329" s="132"/>
      <c r="CX329" s="132"/>
      <c r="CY329" s="132"/>
      <c r="CZ329" s="118"/>
      <c r="DA329" s="144"/>
      <c r="DB329" s="118"/>
      <c r="DC329" s="33"/>
      <c r="DD329" s="39"/>
      <c r="DE329" s="11"/>
      <c r="DF329" s="132"/>
      <c r="DG329" s="132"/>
      <c r="DH329" s="132"/>
      <c r="DI329" s="132"/>
      <c r="DJ329" s="132"/>
      <c r="DK329" s="132"/>
      <c r="DL329" s="132"/>
      <c r="DM329" s="132"/>
      <c r="DN329" s="132"/>
      <c r="DO329" s="132"/>
      <c r="DP329" s="132"/>
      <c r="DQ329" s="132"/>
      <c r="DR329" s="132"/>
      <c r="DS329" s="132"/>
      <c r="DT329" s="132"/>
      <c r="DU329" s="132"/>
      <c r="DV329" s="132"/>
      <c r="DW329" s="132"/>
      <c r="DX329" s="132"/>
      <c r="DY329" s="132"/>
      <c r="DZ329" s="132"/>
      <c r="EA329" s="132"/>
      <c r="EB329" s="132"/>
      <c r="EC329" s="132"/>
      <c r="ED329" s="132"/>
      <c r="EE329" s="132"/>
      <c r="EF329" s="132"/>
      <c r="EG329" s="132"/>
      <c r="EH329" s="132"/>
      <c r="EI329" s="132"/>
      <c r="EJ329" s="132"/>
      <c r="EK329" s="132"/>
      <c r="EL329" s="132"/>
      <c r="EM329" s="132"/>
      <c r="EN329" s="132"/>
      <c r="EO329" s="132"/>
      <c r="EP329" s="132"/>
      <c r="EQ329" s="132"/>
      <c r="ER329" s="132"/>
      <c r="ES329" s="132"/>
      <c r="ET329" s="11"/>
      <c r="EU329" s="11"/>
      <c r="EV329" s="11"/>
      <c r="EW329" s="11"/>
      <c r="EX329" s="11"/>
      <c r="EY329" s="11"/>
      <c r="EZ329" s="11"/>
      <c r="FA329" s="11"/>
      <c r="FB329" s="11"/>
      <c r="FC329" s="11"/>
      <c r="FD329" s="11"/>
      <c r="FE329" s="11"/>
      <c r="FF329" s="11"/>
      <c r="FG329" s="11"/>
      <c r="FH329" s="39">
        <f t="shared" si="85"/>
        <v>3392629.31</v>
      </c>
      <c r="FI329" s="33">
        <f t="shared" si="86"/>
        <v>5</v>
      </c>
      <c r="FJ329" s="84">
        <f t="shared" si="87"/>
        <v>678525.86199999996</v>
      </c>
    </row>
    <row r="330" spans="1:166" ht="13.5" x14ac:dyDescent="0.25">
      <c r="A330" s="79" t="e">
        <f>#REF!</f>
        <v>#REF!</v>
      </c>
      <c r="B330" s="75" t="e">
        <f>#REF!</f>
        <v>#REF!</v>
      </c>
      <c r="C330" s="75" t="e">
        <f>#REF!</f>
        <v>#REF!</v>
      </c>
      <c r="D330" s="75" t="e">
        <f>#REF!</f>
        <v>#REF!</v>
      </c>
      <c r="E330" s="30">
        <v>1</v>
      </c>
      <c r="F330" s="238">
        <v>0</v>
      </c>
      <c r="G330" s="241">
        <v>0</v>
      </c>
      <c r="H330" s="249">
        <v>140420</v>
      </c>
      <c r="I330" s="249">
        <v>0</v>
      </c>
      <c r="J330" s="249">
        <v>0</v>
      </c>
      <c r="K330" s="249">
        <v>0</v>
      </c>
      <c r="L330" s="274">
        <f>H330</f>
        <v>140420</v>
      </c>
      <c r="M330" s="274"/>
      <c r="N330" s="245"/>
      <c r="O330" s="113"/>
      <c r="P330" s="113"/>
      <c r="Q330" s="131"/>
      <c r="R330" s="131"/>
      <c r="S330" s="64"/>
      <c r="T330" s="113"/>
      <c r="U330" s="113"/>
      <c r="V330" s="113"/>
      <c r="W330" s="131"/>
      <c r="X330" s="131"/>
      <c r="Y330" s="52"/>
      <c r="Z330" s="117"/>
      <c r="AA330" s="113"/>
      <c r="AB330" s="113"/>
      <c r="AC330" s="131"/>
      <c r="AD330" s="52"/>
      <c r="AE330" s="11"/>
      <c r="AF330" s="113"/>
      <c r="AG330" s="144"/>
      <c r="AH330" s="113"/>
      <c r="AI330" s="11"/>
      <c r="AJ330" s="11"/>
      <c r="AK330" s="39"/>
      <c r="AL330" s="113"/>
      <c r="AM330" s="113"/>
      <c r="AN330" s="117"/>
      <c r="AO330" s="76"/>
      <c r="AP330" s="39"/>
      <c r="AQ330" s="39"/>
      <c r="AR330" s="275"/>
      <c r="AS330" s="156"/>
      <c r="AT330" s="157"/>
      <c r="AU330" s="62"/>
      <c r="AV330" s="62"/>
      <c r="AW330" s="31"/>
      <c r="AX330" s="116"/>
      <c r="AY330" s="196"/>
      <c r="AZ330" s="143"/>
      <c r="BA330" s="191"/>
      <c r="BB330" s="132"/>
      <c r="BC330" s="132"/>
      <c r="BD330" s="275"/>
      <c r="BE330" s="143"/>
      <c r="BF330" s="143"/>
      <c r="BG330" s="132"/>
      <c r="BH330" s="132"/>
      <c r="BI330" s="132"/>
      <c r="BJ330" s="143"/>
      <c r="BK330" s="143"/>
      <c r="BL330" s="143"/>
      <c r="BM330" s="132"/>
      <c r="BN330" s="132"/>
      <c r="BO330" s="132"/>
      <c r="BP330" s="143"/>
      <c r="BQ330" s="132"/>
      <c r="BR330" s="132"/>
      <c r="BS330" s="132"/>
      <c r="BT330" s="132"/>
      <c r="BU330" s="132"/>
      <c r="BV330" s="267">
        <v>346500</v>
      </c>
      <c r="BW330" s="144">
        <f t="shared" si="90"/>
        <v>65835</v>
      </c>
      <c r="BX330" s="113">
        <f t="shared" si="91"/>
        <v>412335</v>
      </c>
      <c r="BY330" s="264" t="s">
        <v>231</v>
      </c>
      <c r="BZ330" s="264" t="s">
        <v>37</v>
      </c>
      <c r="CA330" s="132"/>
      <c r="CB330" s="275"/>
      <c r="CC330" s="143"/>
      <c r="CD330" s="275"/>
      <c r="CE330" s="132"/>
      <c r="CF330" s="132"/>
      <c r="CG330" s="36"/>
      <c r="CH330" s="267">
        <v>353430</v>
      </c>
      <c r="CI330" s="265">
        <f>+CH330*0.19</f>
        <v>67151.7</v>
      </c>
      <c r="CJ330" s="263">
        <f>+CH330+CI330</f>
        <v>420581.7</v>
      </c>
      <c r="CK330" s="264" t="s">
        <v>231</v>
      </c>
      <c r="CL330" s="264" t="s">
        <v>37</v>
      </c>
      <c r="CM330" s="132"/>
      <c r="CN330" s="275"/>
      <c r="CO330" s="143"/>
      <c r="CP330" s="275"/>
      <c r="CQ330" s="132"/>
      <c r="CR330" s="132"/>
      <c r="CS330" s="132"/>
      <c r="CT330" s="275"/>
      <c r="CU330" s="143"/>
      <c r="CV330" s="275"/>
      <c r="CW330" s="132"/>
      <c r="CX330" s="132"/>
      <c r="CY330" s="132"/>
      <c r="CZ330" s="113"/>
      <c r="DA330" s="143"/>
      <c r="DB330" s="113"/>
      <c r="DC330" s="33"/>
      <c r="DD330" s="39"/>
      <c r="DE330" s="11"/>
      <c r="DF330" s="132"/>
      <c r="DG330" s="132"/>
      <c r="DH330" s="132"/>
      <c r="DI330" s="132"/>
      <c r="DJ330" s="132"/>
      <c r="DK330" s="132"/>
      <c r="DL330" s="132"/>
      <c r="DM330" s="132"/>
      <c r="DN330" s="132"/>
      <c r="DO330" s="132"/>
      <c r="DP330" s="132"/>
      <c r="DQ330" s="132"/>
      <c r="DR330" s="132"/>
      <c r="DS330" s="132"/>
      <c r="DT330" s="132"/>
      <c r="DU330" s="132"/>
      <c r="DV330" s="132"/>
      <c r="DW330" s="132"/>
      <c r="DX330" s="132"/>
      <c r="DY330" s="132"/>
      <c r="DZ330" s="132"/>
      <c r="EA330" s="132"/>
      <c r="EB330" s="132"/>
      <c r="EC330" s="132"/>
      <c r="ED330" s="132"/>
      <c r="EE330" s="132"/>
      <c r="EF330" s="132"/>
      <c r="EG330" s="132"/>
      <c r="EH330" s="132"/>
      <c r="EI330" s="132"/>
      <c r="EJ330" s="132"/>
      <c r="EK330" s="132"/>
      <c r="EL330" s="132"/>
      <c r="EM330" s="132"/>
      <c r="EN330" s="132"/>
      <c r="EO330" s="132"/>
      <c r="EP330" s="132"/>
      <c r="EQ330" s="132"/>
      <c r="ER330" s="132"/>
      <c r="ES330" s="132"/>
      <c r="ET330" s="11"/>
      <c r="EU330" s="11"/>
      <c r="EV330" s="11"/>
      <c r="EW330" s="11"/>
      <c r="EX330" s="11"/>
      <c r="EY330" s="11"/>
      <c r="EZ330" s="11"/>
      <c r="FA330" s="11"/>
      <c r="FB330" s="11"/>
      <c r="FC330" s="11"/>
      <c r="FD330" s="11"/>
      <c r="FE330" s="11"/>
      <c r="FF330" s="11"/>
      <c r="FG330" s="11"/>
      <c r="FH330" s="39">
        <f t="shared" si="85"/>
        <v>832916.7</v>
      </c>
      <c r="FI330" s="33">
        <f t="shared" si="86"/>
        <v>2</v>
      </c>
      <c r="FJ330" s="84">
        <f t="shared" si="87"/>
        <v>416458.35</v>
      </c>
    </row>
    <row r="331" spans="1:166" ht="25.5" x14ac:dyDescent="0.25">
      <c r="A331" s="79" t="e">
        <f>#REF!</f>
        <v>#REF!</v>
      </c>
      <c r="B331" s="75" t="e">
        <f>#REF!</f>
        <v>#REF!</v>
      </c>
      <c r="C331" s="75" t="e">
        <f>#REF!</f>
        <v>#REF!</v>
      </c>
      <c r="D331" s="75" t="e">
        <f>#REF!</f>
        <v>#REF!</v>
      </c>
      <c r="E331" s="30">
        <v>1</v>
      </c>
      <c r="F331" s="238">
        <v>144466</v>
      </c>
      <c r="G331" s="241">
        <v>0</v>
      </c>
      <c r="H331" s="249">
        <v>550962.86396666663</v>
      </c>
      <c r="I331" s="249">
        <v>550851</v>
      </c>
      <c r="J331" s="249">
        <v>550672.5</v>
      </c>
      <c r="K331" s="249">
        <v>0</v>
      </c>
      <c r="L331" s="274">
        <f>AVERAGE(F331,H331,J331)</f>
        <v>415367.12132222223</v>
      </c>
      <c r="M331" s="274">
        <f>I331*E1</f>
        <v>567376.53</v>
      </c>
      <c r="N331" s="245"/>
      <c r="O331" s="113"/>
      <c r="P331" s="113"/>
      <c r="Q331" s="131"/>
      <c r="R331" s="131"/>
      <c r="S331" s="64"/>
      <c r="T331" s="113"/>
      <c r="U331" s="113"/>
      <c r="V331" s="113"/>
      <c r="W331" s="131"/>
      <c r="X331" s="131"/>
      <c r="Y331" s="11"/>
      <c r="Z331" s="113"/>
      <c r="AA331" s="113"/>
      <c r="AB331" s="113"/>
      <c r="AC331" s="52"/>
      <c r="AD331" s="52"/>
      <c r="AE331" s="11"/>
      <c r="AF331" s="118">
        <v>750000</v>
      </c>
      <c r="AG331" s="144">
        <f>AF331*19%</f>
        <v>142500</v>
      </c>
      <c r="AH331" s="113">
        <f>+AF331+AG331</f>
        <v>892500</v>
      </c>
      <c r="AI331" s="11"/>
      <c r="AJ331" s="11"/>
      <c r="AK331" s="39"/>
      <c r="AL331" s="113"/>
      <c r="AM331" s="113"/>
      <c r="AN331" s="117"/>
      <c r="AO331" s="76"/>
      <c r="AP331" s="39"/>
      <c r="AQ331" s="39"/>
      <c r="AR331" s="275">
        <v>216000</v>
      </c>
      <c r="AS331" s="113">
        <f>+AR331*0.19</f>
        <v>41040</v>
      </c>
      <c r="AT331" s="119">
        <f>+AR331+AS331</f>
        <v>257040</v>
      </c>
      <c r="AU331" s="62" t="s">
        <v>54</v>
      </c>
      <c r="AV331" s="62" t="s">
        <v>35</v>
      </c>
      <c r="AW331" s="31"/>
      <c r="AX331" s="116"/>
      <c r="AY331" s="196"/>
      <c r="AZ331" s="143"/>
      <c r="BA331" s="191"/>
      <c r="BB331" s="132"/>
      <c r="BC331" s="132"/>
      <c r="BD331" s="274"/>
      <c r="BE331" s="202"/>
      <c r="BF331" s="274"/>
      <c r="BG331" s="274"/>
      <c r="BH331" s="274"/>
      <c r="BI331" s="132"/>
      <c r="BJ331" s="143"/>
      <c r="BK331" s="143"/>
      <c r="BL331" s="143"/>
      <c r="BM331" s="132"/>
      <c r="BN331" s="132"/>
      <c r="BO331" s="132"/>
      <c r="BP331" s="143"/>
      <c r="BQ331" s="132"/>
      <c r="BR331" s="132"/>
      <c r="BS331" s="132"/>
      <c r="BT331" s="132"/>
      <c r="BU331" s="132"/>
      <c r="BV331" s="263">
        <v>1051000</v>
      </c>
      <c r="BW331" s="144">
        <f t="shared" si="90"/>
        <v>199690</v>
      </c>
      <c r="BX331" s="113">
        <f t="shared" si="91"/>
        <v>1250690</v>
      </c>
      <c r="BY331" s="264" t="s">
        <v>231</v>
      </c>
      <c r="BZ331" s="264" t="s">
        <v>88</v>
      </c>
      <c r="CA331" s="132"/>
      <c r="CB331" s="274"/>
      <c r="CC331" s="144"/>
      <c r="CD331" s="274"/>
      <c r="CE331" s="132"/>
      <c r="CF331" s="132"/>
      <c r="CG331" s="36"/>
      <c r="CH331" s="263"/>
      <c r="CI331" s="265"/>
      <c r="CJ331" s="263"/>
      <c r="CK331" s="264"/>
      <c r="CL331" s="264"/>
      <c r="CM331" s="132"/>
      <c r="CN331" s="274"/>
      <c r="CO331" s="144"/>
      <c r="CP331" s="274"/>
      <c r="CQ331" s="132"/>
      <c r="CR331" s="132"/>
      <c r="CS331" s="132"/>
      <c r="CT331" s="274"/>
      <c r="CU331" s="144"/>
      <c r="CV331" s="274"/>
      <c r="CW331" s="132"/>
      <c r="CX331" s="132"/>
      <c r="CY331" s="132"/>
      <c r="CZ331" s="118"/>
      <c r="DA331" s="144"/>
      <c r="DB331" s="118"/>
      <c r="DC331" s="33"/>
      <c r="DD331" s="39"/>
      <c r="DE331" s="11"/>
      <c r="DF331" s="132"/>
      <c r="DG331" s="132"/>
      <c r="DH331" s="132"/>
      <c r="DI331" s="132"/>
      <c r="DJ331" s="132"/>
      <c r="DK331" s="132"/>
      <c r="DL331" s="132"/>
      <c r="DM331" s="132"/>
      <c r="DN331" s="132"/>
      <c r="DO331" s="132"/>
      <c r="DP331" s="132"/>
      <c r="DQ331" s="132"/>
      <c r="DR331" s="132"/>
      <c r="DS331" s="132"/>
      <c r="DT331" s="132"/>
      <c r="DU331" s="132"/>
      <c r="DV331" s="132"/>
      <c r="DW331" s="132"/>
      <c r="DX331" s="132"/>
      <c r="DY331" s="132"/>
      <c r="DZ331" s="132"/>
      <c r="EA331" s="132"/>
      <c r="EB331" s="132"/>
      <c r="EC331" s="132"/>
      <c r="ED331" s="132"/>
      <c r="EE331" s="132"/>
      <c r="EF331" s="132"/>
      <c r="EG331" s="132"/>
      <c r="EH331" s="132"/>
      <c r="EI331" s="132"/>
      <c r="EJ331" s="132"/>
      <c r="EK331" s="132"/>
      <c r="EL331" s="132"/>
      <c r="EM331" s="132"/>
      <c r="EN331" s="132"/>
      <c r="EO331" s="132"/>
      <c r="EP331" s="132"/>
      <c r="EQ331" s="132"/>
      <c r="ER331" s="132"/>
      <c r="ES331" s="132"/>
      <c r="ET331" s="11"/>
      <c r="EU331" s="11"/>
      <c r="EV331" s="11"/>
      <c r="EW331" s="11"/>
      <c r="EX331" s="11"/>
      <c r="EY331" s="11"/>
      <c r="EZ331" s="11"/>
      <c r="FA331" s="11"/>
      <c r="FB331" s="11"/>
      <c r="FC331" s="11"/>
      <c r="FD331" s="11"/>
      <c r="FE331" s="11"/>
      <c r="FF331" s="11"/>
      <c r="FG331" s="11"/>
      <c r="FH331" s="39">
        <f t="shared" si="85"/>
        <v>2967606.5300000003</v>
      </c>
      <c r="FI331" s="33">
        <f t="shared" si="86"/>
        <v>4</v>
      </c>
      <c r="FJ331" s="84">
        <f t="shared" si="87"/>
        <v>741901.63250000007</v>
      </c>
    </row>
    <row r="332" spans="1:166" ht="13.5" x14ac:dyDescent="0.25">
      <c r="A332" s="79" t="e">
        <f>#REF!</f>
        <v>#REF!</v>
      </c>
      <c r="B332" s="75" t="e">
        <f>#REF!</f>
        <v>#REF!</v>
      </c>
      <c r="C332" s="75" t="e">
        <f>#REF!</f>
        <v>#REF!</v>
      </c>
      <c r="D332" s="75" t="e">
        <f>#REF!</f>
        <v>#REF!</v>
      </c>
      <c r="E332" s="30">
        <v>1</v>
      </c>
      <c r="F332" s="238">
        <v>577837.22499999998</v>
      </c>
      <c r="G332" s="241">
        <v>554659</v>
      </c>
      <c r="H332" s="249">
        <v>602252.34727250005</v>
      </c>
      <c r="I332" s="249">
        <v>602140</v>
      </c>
      <c r="J332" s="249">
        <v>514195.97500000003</v>
      </c>
      <c r="K332" s="249">
        <v>428000</v>
      </c>
      <c r="L332" s="274">
        <f>AVERAGE(F332,H332,J332)</f>
        <v>564761.84909083333</v>
      </c>
      <c r="M332" s="274">
        <f>AVERAGE(G332,I332,K332)*E1</f>
        <v>544114.32333333336</v>
      </c>
      <c r="N332" s="245"/>
      <c r="O332" s="113"/>
      <c r="P332" s="113"/>
      <c r="Q332" s="131"/>
      <c r="R332" s="131"/>
      <c r="S332" s="64"/>
      <c r="T332" s="113"/>
      <c r="U332" s="117"/>
      <c r="V332" s="113"/>
      <c r="W332" s="131"/>
      <c r="X332" s="131"/>
      <c r="Y332" s="11"/>
      <c r="Z332" s="113"/>
      <c r="AA332" s="113"/>
      <c r="AB332" s="113"/>
      <c r="AC332" s="52"/>
      <c r="AD332" s="52"/>
      <c r="AE332" s="11"/>
      <c r="AF332" s="118"/>
      <c r="AG332" s="144"/>
      <c r="AH332" s="113"/>
      <c r="AI332" s="11"/>
      <c r="AJ332" s="11"/>
      <c r="AK332" s="39"/>
      <c r="AL332" s="113"/>
      <c r="AM332" s="113"/>
      <c r="AN332" s="117"/>
      <c r="AO332" s="76"/>
      <c r="AP332" s="39"/>
      <c r="AQ332" s="39"/>
      <c r="AR332" s="275"/>
      <c r="AS332" s="156"/>
      <c r="AT332" s="157"/>
      <c r="AU332" s="62"/>
      <c r="AV332" s="62"/>
      <c r="AW332" s="31"/>
      <c r="AX332" s="116"/>
      <c r="AY332" s="116"/>
      <c r="AZ332" s="143"/>
      <c r="BA332" s="191"/>
      <c r="BB332" s="132"/>
      <c r="BC332" s="132"/>
      <c r="BD332" s="274"/>
      <c r="BE332" s="143"/>
      <c r="BF332" s="143"/>
      <c r="BG332" s="132"/>
      <c r="BH332" s="132"/>
      <c r="BI332" s="132"/>
      <c r="BJ332" s="143"/>
      <c r="BK332" s="143"/>
      <c r="BL332" s="143"/>
      <c r="BM332" s="132"/>
      <c r="BN332" s="132"/>
      <c r="BO332" s="132"/>
      <c r="BP332" s="143"/>
      <c r="BQ332" s="132"/>
      <c r="BR332" s="132"/>
      <c r="BS332" s="132"/>
      <c r="BT332" s="132"/>
      <c r="BU332" s="132"/>
      <c r="BV332" s="263">
        <v>346500</v>
      </c>
      <c r="BW332" s="144">
        <f>BV332*0</f>
        <v>0</v>
      </c>
      <c r="BX332" s="113">
        <f t="shared" si="91"/>
        <v>346500</v>
      </c>
      <c r="BY332" s="264" t="s">
        <v>348</v>
      </c>
      <c r="BZ332" s="264" t="s">
        <v>37</v>
      </c>
      <c r="CA332" s="132"/>
      <c r="CB332" s="274"/>
      <c r="CC332" s="144"/>
      <c r="CD332" s="274"/>
      <c r="CE332" s="132"/>
      <c r="CF332" s="132"/>
      <c r="CG332" s="36"/>
      <c r="CH332" s="263">
        <v>363825</v>
      </c>
      <c r="CI332" s="265">
        <f>+CH332*0</f>
        <v>0</v>
      </c>
      <c r="CJ332" s="263">
        <f>+CH332+CI332</f>
        <v>363825</v>
      </c>
      <c r="CK332" s="264" t="s">
        <v>348</v>
      </c>
      <c r="CL332" s="264" t="s">
        <v>37</v>
      </c>
      <c r="CM332" s="132"/>
      <c r="CN332" s="274"/>
      <c r="CO332" s="144"/>
      <c r="CP332" s="274"/>
      <c r="CQ332" s="132"/>
      <c r="CR332" s="132"/>
      <c r="CS332" s="132"/>
      <c r="CT332" s="274"/>
      <c r="CU332" s="144"/>
      <c r="CV332" s="274"/>
      <c r="CW332" s="132"/>
      <c r="CX332" s="132"/>
      <c r="CY332" s="132"/>
      <c r="CZ332" s="118"/>
      <c r="DA332" s="144"/>
      <c r="DB332" s="118"/>
      <c r="DC332" s="33"/>
      <c r="DD332" s="39"/>
      <c r="DE332" s="11"/>
      <c r="DF332" s="132"/>
      <c r="DG332" s="132"/>
      <c r="DH332" s="132"/>
      <c r="DI332" s="132"/>
      <c r="DJ332" s="132"/>
      <c r="DK332" s="132"/>
      <c r="DL332" s="132"/>
      <c r="DM332" s="132"/>
      <c r="DN332" s="132"/>
      <c r="DO332" s="132"/>
      <c r="DP332" s="132"/>
      <c r="DQ332" s="132"/>
      <c r="DR332" s="132"/>
      <c r="DS332" s="132"/>
      <c r="DT332" s="132"/>
      <c r="DU332" s="132"/>
      <c r="DV332" s="132"/>
      <c r="DW332" s="132"/>
      <c r="DX332" s="132"/>
      <c r="DY332" s="132"/>
      <c r="DZ332" s="132"/>
      <c r="EA332" s="132"/>
      <c r="EB332" s="132"/>
      <c r="EC332" s="132"/>
      <c r="ED332" s="132"/>
      <c r="EE332" s="132"/>
      <c r="EF332" s="132"/>
      <c r="EG332" s="132"/>
      <c r="EH332" s="132"/>
      <c r="EI332" s="132"/>
      <c r="EJ332" s="132"/>
      <c r="EK332" s="132"/>
      <c r="EL332" s="132"/>
      <c r="EM332" s="132"/>
      <c r="EN332" s="132"/>
      <c r="EO332" s="132"/>
      <c r="EP332" s="132"/>
      <c r="EQ332" s="132"/>
      <c r="ER332" s="132"/>
      <c r="ES332" s="132"/>
      <c r="ET332" s="11"/>
      <c r="EU332" s="11"/>
      <c r="EV332" s="11"/>
      <c r="EW332" s="11"/>
      <c r="EX332" s="11"/>
      <c r="EY332" s="11"/>
      <c r="EZ332" s="11"/>
      <c r="FA332" s="11"/>
      <c r="FB332" s="11"/>
      <c r="FC332" s="11"/>
      <c r="FD332" s="11"/>
      <c r="FE332" s="11"/>
      <c r="FF332" s="11"/>
      <c r="FG332" s="11"/>
      <c r="FH332" s="39">
        <f t="shared" si="85"/>
        <v>1254439.3233333332</v>
      </c>
      <c r="FI332" s="33">
        <f t="shared" si="86"/>
        <v>3</v>
      </c>
      <c r="FJ332" s="84">
        <f t="shared" si="87"/>
        <v>418146.44111111108</v>
      </c>
    </row>
    <row r="333" spans="1:166" ht="40.5" x14ac:dyDescent="0.25">
      <c r="A333" s="79" t="e">
        <f>#REF!</f>
        <v>#REF!</v>
      </c>
      <c r="B333" s="75" t="e">
        <f>#REF!</f>
        <v>#REF!</v>
      </c>
      <c r="C333" s="75" t="e">
        <f>#REF!</f>
        <v>#REF!</v>
      </c>
      <c r="D333" s="75" t="e">
        <f>#REF!</f>
        <v>#REF!</v>
      </c>
      <c r="E333" s="30">
        <v>1</v>
      </c>
      <c r="F333" s="238">
        <v>0</v>
      </c>
      <c r="G333" s="241">
        <v>0</v>
      </c>
      <c r="H333" s="249">
        <v>0</v>
      </c>
      <c r="I333" s="249">
        <v>0</v>
      </c>
      <c r="J333" s="249">
        <v>0</v>
      </c>
      <c r="K333" s="249">
        <v>0</v>
      </c>
      <c r="L333" s="274"/>
      <c r="M333" s="274"/>
      <c r="N333" s="245"/>
      <c r="O333" s="113"/>
      <c r="P333" s="113"/>
      <c r="Q333" s="131"/>
      <c r="R333" s="131"/>
      <c r="S333" s="64"/>
      <c r="T333" s="113"/>
      <c r="U333" s="117"/>
      <c r="V333" s="113"/>
      <c r="W333" s="131"/>
      <c r="X333" s="131"/>
      <c r="Y333" s="11"/>
      <c r="Z333" s="117"/>
      <c r="AA333" s="113"/>
      <c r="AB333" s="113"/>
      <c r="AC333" s="131"/>
      <c r="AD333" s="52"/>
      <c r="AE333" s="11"/>
      <c r="AF333" s="113"/>
      <c r="AG333" s="144"/>
      <c r="AH333" s="113"/>
      <c r="AI333" s="11"/>
      <c r="AJ333" s="11"/>
      <c r="AK333" s="39"/>
      <c r="AL333" s="113"/>
      <c r="AM333" s="113"/>
      <c r="AN333" s="117"/>
      <c r="AO333" s="76"/>
      <c r="AP333" s="39"/>
      <c r="AQ333" s="39"/>
      <c r="AR333" s="275"/>
      <c r="AS333" s="156"/>
      <c r="AT333" s="157"/>
      <c r="AU333" s="62"/>
      <c r="AV333" s="62"/>
      <c r="AW333" s="31"/>
      <c r="AX333" s="116"/>
      <c r="AY333" s="116"/>
      <c r="AZ333" s="143"/>
      <c r="BA333" s="191"/>
      <c r="BB333" s="132"/>
      <c r="BC333" s="132"/>
      <c r="BD333" s="275"/>
      <c r="BE333" s="143"/>
      <c r="BF333" s="143"/>
      <c r="BG333" s="132"/>
      <c r="BH333" s="132"/>
      <c r="BI333" s="132"/>
      <c r="BJ333" s="143"/>
      <c r="BK333" s="143"/>
      <c r="BL333" s="143"/>
      <c r="BM333" s="132"/>
      <c r="BN333" s="132"/>
      <c r="BO333" s="132"/>
      <c r="BP333" s="143"/>
      <c r="BQ333" s="132"/>
      <c r="BR333" s="132"/>
      <c r="BS333" s="132"/>
      <c r="BT333" s="132"/>
      <c r="BU333" s="132"/>
      <c r="BV333" s="267">
        <v>76400</v>
      </c>
      <c r="BW333" s="144">
        <f>BV333*19%</f>
        <v>14516</v>
      </c>
      <c r="BX333" s="113">
        <f t="shared" si="91"/>
        <v>90916</v>
      </c>
      <c r="BY333" s="264" t="s">
        <v>349</v>
      </c>
      <c r="BZ333" s="264" t="s">
        <v>164</v>
      </c>
      <c r="CA333" s="132"/>
      <c r="CB333" s="275"/>
      <c r="CC333" s="143"/>
      <c r="CD333" s="275"/>
      <c r="CE333" s="132"/>
      <c r="CF333" s="132"/>
      <c r="CG333" s="36"/>
      <c r="CH333" s="267">
        <v>78692</v>
      </c>
      <c r="CI333" s="265">
        <f>+CH333*0.19</f>
        <v>14951.48</v>
      </c>
      <c r="CJ333" s="263">
        <f>+CH333+CI333</f>
        <v>93643.48</v>
      </c>
      <c r="CK333" s="264" t="s">
        <v>349</v>
      </c>
      <c r="CL333" s="264" t="s">
        <v>164</v>
      </c>
      <c r="CM333" s="132"/>
      <c r="CN333" s="275"/>
      <c r="CO333" s="143"/>
      <c r="CP333" s="275"/>
      <c r="CQ333" s="132"/>
      <c r="CR333" s="132"/>
      <c r="CS333" s="132"/>
      <c r="CT333" s="275"/>
      <c r="CU333" s="143"/>
      <c r="CV333" s="275"/>
      <c r="CW333" s="132"/>
      <c r="CX333" s="132"/>
      <c r="CY333" s="132"/>
      <c r="CZ333" s="113"/>
      <c r="DA333" s="143"/>
      <c r="DB333" s="113"/>
      <c r="DC333" s="33"/>
      <c r="DD333" s="39"/>
      <c r="DE333" s="11"/>
      <c r="DF333" s="132"/>
      <c r="DG333" s="132"/>
      <c r="DH333" s="132"/>
      <c r="DI333" s="132"/>
      <c r="DJ333" s="132"/>
      <c r="DK333" s="132"/>
      <c r="DL333" s="132"/>
      <c r="DM333" s="132"/>
      <c r="DN333" s="132"/>
      <c r="DO333" s="132"/>
      <c r="DP333" s="132"/>
      <c r="DQ333" s="132"/>
      <c r="DR333" s="132"/>
      <c r="DS333" s="132"/>
      <c r="DT333" s="132"/>
      <c r="DU333" s="132"/>
      <c r="DV333" s="132"/>
      <c r="DW333" s="132"/>
      <c r="DX333" s="132"/>
      <c r="DY333" s="132"/>
      <c r="DZ333" s="132"/>
      <c r="EA333" s="132"/>
      <c r="EB333" s="132"/>
      <c r="EC333" s="132"/>
      <c r="ED333" s="132"/>
      <c r="EE333" s="132"/>
      <c r="EF333" s="132"/>
      <c r="EG333" s="132"/>
      <c r="EH333" s="132"/>
      <c r="EI333" s="132"/>
      <c r="EJ333" s="132"/>
      <c r="EK333" s="132"/>
      <c r="EL333" s="132"/>
      <c r="EM333" s="132"/>
      <c r="EN333" s="132"/>
      <c r="EO333" s="132"/>
      <c r="EP333" s="132"/>
      <c r="EQ333" s="132"/>
      <c r="ER333" s="132"/>
      <c r="ES333" s="132"/>
      <c r="ET333" s="11"/>
      <c r="EU333" s="11"/>
      <c r="EV333" s="11"/>
      <c r="EW333" s="11"/>
      <c r="EX333" s="11"/>
      <c r="EY333" s="11"/>
      <c r="EZ333" s="11"/>
      <c r="FA333" s="11"/>
      <c r="FB333" s="11"/>
      <c r="FC333" s="11"/>
      <c r="FD333" s="11"/>
      <c r="FE333" s="11"/>
      <c r="FF333" s="11"/>
      <c r="FG333" s="11"/>
      <c r="FH333" s="39">
        <f t="shared" si="85"/>
        <v>184559.47999999998</v>
      </c>
      <c r="FI333" s="33">
        <f t="shared" si="86"/>
        <v>2</v>
      </c>
      <c r="FJ333" s="84">
        <f t="shared" si="87"/>
        <v>92279.739999999991</v>
      </c>
    </row>
    <row r="334" spans="1:166" ht="40.5" x14ac:dyDescent="0.25">
      <c r="A334" s="79" t="e">
        <f>#REF!</f>
        <v>#REF!</v>
      </c>
      <c r="B334" s="75" t="e">
        <f>#REF!</f>
        <v>#REF!</v>
      </c>
      <c r="C334" s="75" t="e">
        <f>#REF!</f>
        <v>#REF!</v>
      </c>
      <c r="D334" s="75" t="e">
        <f>#REF!</f>
        <v>#REF!</v>
      </c>
      <c r="E334" s="30">
        <v>1</v>
      </c>
      <c r="F334" s="238">
        <v>0</v>
      </c>
      <c r="G334" s="241">
        <v>0</v>
      </c>
      <c r="H334" s="249">
        <v>0</v>
      </c>
      <c r="I334" s="249">
        <v>0</v>
      </c>
      <c r="J334" s="249">
        <v>390923.71387096774</v>
      </c>
      <c r="K334" s="249">
        <v>0</v>
      </c>
      <c r="L334" s="274">
        <f>J334</f>
        <v>390923.71387096774</v>
      </c>
      <c r="M334" s="274"/>
      <c r="N334" s="245"/>
      <c r="O334" s="113"/>
      <c r="P334" s="113"/>
      <c r="Q334" s="131"/>
      <c r="R334" s="131"/>
      <c r="S334" s="64"/>
      <c r="T334" s="113"/>
      <c r="U334" s="121"/>
      <c r="V334" s="113"/>
      <c r="W334" s="131"/>
      <c r="X334" s="131"/>
      <c r="Y334" s="11"/>
      <c r="Z334" s="113"/>
      <c r="AA334" s="113"/>
      <c r="AB334" s="113"/>
      <c r="AC334" s="52"/>
      <c r="AD334" s="52"/>
      <c r="AE334" s="11"/>
      <c r="AF334" s="118">
        <v>750000</v>
      </c>
      <c r="AG334" s="144">
        <f>AF334*19%</f>
        <v>142500</v>
      </c>
      <c r="AH334" s="113">
        <f>+AF334+AG334</f>
        <v>892500</v>
      </c>
      <c r="AI334" s="11"/>
      <c r="AJ334" s="11"/>
      <c r="AK334" s="39"/>
      <c r="AL334" s="113">
        <v>210000</v>
      </c>
      <c r="AM334" s="113">
        <f>+AL334*0.19</f>
        <v>39900</v>
      </c>
      <c r="AN334" s="119">
        <f>+AL334+AM334</f>
        <v>249900</v>
      </c>
      <c r="AO334" s="76" t="s">
        <v>49</v>
      </c>
      <c r="AP334" s="39" t="s">
        <v>45</v>
      </c>
      <c r="AQ334" s="39"/>
      <c r="AR334" s="275">
        <v>199085</v>
      </c>
      <c r="AS334" s="113">
        <f>+AR334*0.19</f>
        <v>37826.15</v>
      </c>
      <c r="AT334" s="119">
        <f>+AR334+AS334</f>
        <v>236911.15</v>
      </c>
      <c r="AU334" s="62" t="s">
        <v>49</v>
      </c>
      <c r="AV334" s="62" t="s">
        <v>45</v>
      </c>
      <c r="AW334" s="31"/>
      <c r="AX334" s="116">
        <v>571179.46189799998</v>
      </c>
      <c r="AY334" s="116">
        <f>+AX334*0.19</f>
        <v>108524.09776062</v>
      </c>
      <c r="AZ334" s="143">
        <f>+AX334+AY334</f>
        <v>679703.55965862004</v>
      </c>
      <c r="BA334" s="191" t="s">
        <v>49</v>
      </c>
      <c r="BB334" s="132" t="s">
        <v>210</v>
      </c>
      <c r="BC334" s="132"/>
      <c r="BD334" s="274"/>
      <c r="BE334" s="143"/>
      <c r="BF334" s="143"/>
      <c r="BG334" s="132"/>
      <c r="BH334" s="132"/>
      <c r="BI334" s="132"/>
      <c r="BJ334" s="143"/>
      <c r="BK334" s="143"/>
      <c r="BL334" s="143"/>
      <c r="BM334" s="132"/>
      <c r="BN334" s="132"/>
      <c r="BO334" s="132"/>
      <c r="BP334" s="143"/>
      <c r="BQ334" s="132"/>
      <c r="BR334" s="132"/>
      <c r="BS334" s="132"/>
      <c r="BT334" s="132"/>
      <c r="BU334" s="132"/>
      <c r="BV334" s="263">
        <v>784000</v>
      </c>
      <c r="BW334" s="144">
        <f>BV334*19%</f>
        <v>148960</v>
      </c>
      <c r="BX334" s="113">
        <f t="shared" si="91"/>
        <v>932960</v>
      </c>
      <c r="BY334" s="264" t="s">
        <v>329</v>
      </c>
      <c r="BZ334" s="264" t="s">
        <v>350</v>
      </c>
      <c r="CA334" s="132"/>
      <c r="CB334" s="274"/>
      <c r="CC334" s="144"/>
      <c r="CD334" s="274"/>
      <c r="CE334" s="132"/>
      <c r="CF334" s="132"/>
      <c r="CG334" s="36"/>
      <c r="CH334" s="263"/>
      <c r="CI334" s="265"/>
      <c r="CJ334" s="263"/>
      <c r="CK334" s="264"/>
      <c r="CL334" s="264"/>
      <c r="CM334" s="132"/>
      <c r="CN334" s="274"/>
      <c r="CO334" s="144"/>
      <c r="CP334" s="274"/>
      <c r="CQ334" s="132"/>
      <c r="CR334" s="132"/>
      <c r="CS334" s="132"/>
      <c r="CT334" s="274"/>
      <c r="CU334" s="144"/>
      <c r="CV334" s="274"/>
      <c r="CW334" s="132"/>
      <c r="CX334" s="132"/>
      <c r="CY334" s="132"/>
      <c r="CZ334" s="118"/>
      <c r="DA334" s="144"/>
      <c r="DB334" s="118"/>
      <c r="DC334" s="33"/>
      <c r="DD334" s="39"/>
      <c r="DE334" s="11"/>
      <c r="DF334" s="132"/>
      <c r="DG334" s="132"/>
      <c r="DH334" s="132"/>
      <c r="DI334" s="132"/>
      <c r="DJ334" s="132"/>
      <c r="DK334" s="132"/>
      <c r="DL334" s="132"/>
      <c r="DM334" s="132"/>
      <c r="DN334" s="132"/>
      <c r="DO334" s="132"/>
      <c r="DP334" s="132"/>
      <c r="DQ334" s="132"/>
      <c r="DR334" s="132"/>
      <c r="DS334" s="132"/>
      <c r="DT334" s="132"/>
      <c r="DU334" s="132"/>
      <c r="DV334" s="132"/>
      <c r="DW334" s="132"/>
      <c r="DX334" s="132"/>
      <c r="DY334" s="132"/>
      <c r="DZ334" s="132"/>
      <c r="EA334" s="132"/>
      <c r="EB334" s="132"/>
      <c r="EC334" s="132"/>
      <c r="ED334" s="132"/>
      <c r="EE334" s="132"/>
      <c r="EF334" s="132"/>
      <c r="EG334" s="132"/>
      <c r="EH334" s="132"/>
      <c r="EI334" s="132"/>
      <c r="EJ334" s="132"/>
      <c r="EK334" s="132"/>
      <c r="EL334" s="132"/>
      <c r="EM334" s="132"/>
      <c r="EN334" s="132"/>
      <c r="EO334" s="132"/>
      <c r="EP334" s="132"/>
      <c r="EQ334" s="132"/>
      <c r="ER334" s="132"/>
      <c r="ES334" s="132"/>
      <c r="ET334" s="11"/>
      <c r="EU334" s="11"/>
      <c r="EV334" s="11"/>
      <c r="EW334" s="11"/>
      <c r="EX334" s="11"/>
      <c r="EY334" s="11"/>
      <c r="EZ334" s="11"/>
      <c r="FA334" s="11"/>
      <c r="FB334" s="11"/>
      <c r="FC334" s="11"/>
      <c r="FD334" s="11"/>
      <c r="FE334" s="11"/>
      <c r="FF334" s="11"/>
      <c r="FG334" s="11"/>
      <c r="FH334" s="39">
        <f t="shared" si="85"/>
        <v>2991974.7096586199</v>
      </c>
      <c r="FI334" s="33">
        <f t="shared" si="86"/>
        <v>5</v>
      </c>
      <c r="FJ334" s="84">
        <f t="shared" si="87"/>
        <v>598394.94193172397</v>
      </c>
    </row>
    <row r="335" spans="1:166" ht="27" x14ac:dyDescent="0.25">
      <c r="A335" s="79" t="e">
        <f>#REF!</f>
        <v>#REF!</v>
      </c>
      <c r="B335" s="75" t="e">
        <f>#REF!</f>
        <v>#REF!</v>
      </c>
      <c r="C335" s="75" t="e">
        <f>#REF!</f>
        <v>#REF!</v>
      </c>
      <c r="D335" s="75" t="e">
        <f>#REF!</f>
        <v>#REF!</v>
      </c>
      <c r="E335" s="30">
        <v>1</v>
      </c>
      <c r="F335" s="238">
        <v>363402.2</v>
      </c>
      <c r="G335" s="241">
        <v>357833</v>
      </c>
      <c r="H335" s="249">
        <v>394025.22386500001</v>
      </c>
      <c r="I335" s="249">
        <v>394009</v>
      </c>
      <c r="J335" s="249">
        <v>318125.12387096777</v>
      </c>
      <c r="K335" s="249">
        <v>310114</v>
      </c>
      <c r="L335" s="274">
        <f>AVERAGE(F335,H335,J335)</f>
        <v>358517.51591198921</v>
      </c>
      <c r="M335" s="274">
        <f>AVERAGE(G335,I335,K335)*E1</f>
        <v>364604.89333333331</v>
      </c>
      <c r="N335" s="245"/>
      <c r="O335" s="113"/>
      <c r="P335" s="113"/>
      <c r="Q335" s="131"/>
      <c r="R335" s="131"/>
      <c r="S335" s="64"/>
      <c r="T335" s="113">
        <v>380000</v>
      </c>
      <c r="U335" s="113">
        <f>+T335*0.19</f>
        <v>72200</v>
      </c>
      <c r="V335" s="113">
        <f>+T335+U335</f>
        <v>452200</v>
      </c>
      <c r="W335" s="131" t="s">
        <v>150</v>
      </c>
      <c r="X335" s="131" t="s">
        <v>138</v>
      </c>
      <c r="Y335" s="11"/>
      <c r="Z335" s="113"/>
      <c r="AA335" s="113"/>
      <c r="AB335" s="113"/>
      <c r="AC335" s="52"/>
      <c r="AD335" s="52"/>
      <c r="AE335" s="11"/>
      <c r="AF335" s="118">
        <v>150000</v>
      </c>
      <c r="AG335" s="144">
        <f>AF335*19%</f>
        <v>28500</v>
      </c>
      <c r="AH335" s="113">
        <f>+AF335+AG335</f>
        <v>178500</v>
      </c>
      <c r="AI335" s="11"/>
      <c r="AJ335" s="11"/>
      <c r="AK335" s="39"/>
      <c r="AL335" s="113">
        <v>169000</v>
      </c>
      <c r="AM335" s="113">
        <f>+AL335*0.19</f>
        <v>32110</v>
      </c>
      <c r="AN335" s="119">
        <f>+AL335+AM335</f>
        <v>201110</v>
      </c>
      <c r="AO335" s="76" t="s">
        <v>49</v>
      </c>
      <c r="AP335" s="39" t="s">
        <v>50</v>
      </c>
      <c r="AQ335" s="39"/>
      <c r="AR335" s="275">
        <v>468000</v>
      </c>
      <c r="AS335" s="113">
        <f>+AR335*0.19</f>
        <v>88920</v>
      </c>
      <c r="AT335" s="119">
        <f>+AR335+AS335</f>
        <v>556920</v>
      </c>
      <c r="AU335" s="62" t="s">
        <v>49</v>
      </c>
      <c r="AV335" s="62" t="s">
        <v>35</v>
      </c>
      <c r="AW335" s="31"/>
      <c r="AX335" s="116"/>
      <c r="AY335" s="196"/>
      <c r="AZ335" s="143"/>
      <c r="BA335" s="191"/>
      <c r="BB335" s="132"/>
      <c r="BC335" s="132"/>
      <c r="BD335" s="274"/>
      <c r="BE335" s="274"/>
      <c r="BF335" s="274"/>
      <c r="BG335" s="274"/>
      <c r="BH335" s="274"/>
      <c r="BI335" s="132"/>
      <c r="BJ335" s="143"/>
      <c r="BK335" s="143"/>
      <c r="BL335" s="143"/>
      <c r="BM335" s="132"/>
      <c r="BN335" s="132"/>
      <c r="BO335" s="132"/>
      <c r="BP335" s="143"/>
      <c r="BQ335" s="132"/>
      <c r="BR335" s="132"/>
      <c r="BS335" s="132"/>
      <c r="BT335" s="132"/>
      <c r="BU335" s="132"/>
      <c r="BV335" s="263">
        <v>148700</v>
      </c>
      <c r="BW335" s="144">
        <f>BV335*19%</f>
        <v>28253</v>
      </c>
      <c r="BX335" s="113">
        <f t="shared" si="91"/>
        <v>176953</v>
      </c>
      <c r="BY335" s="264" t="s">
        <v>329</v>
      </c>
      <c r="BZ335" s="264" t="s">
        <v>63</v>
      </c>
      <c r="CA335" s="132"/>
      <c r="CB335" s="274"/>
      <c r="CC335" s="144"/>
      <c r="CD335" s="274"/>
      <c r="CE335" s="132"/>
      <c r="CF335" s="132"/>
      <c r="CG335" s="36"/>
      <c r="CH335" s="263">
        <v>159109</v>
      </c>
      <c r="CI335" s="265">
        <f>+CH335*0.19</f>
        <v>30230.71</v>
      </c>
      <c r="CJ335" s="263">
        <f>+CH335+CI335</f>
        <v>189339.71</v>
      </c>
      <c r="CK335" s="264" t="s">
        <v>329</v>
      </c>
      <c r="CL335" s="264" t="s">
        <v>63</v>
      </c>
      <c r="CM335" s="132"/>
      <c r="CN335" s="274"/>
      <c r="CO335" s="144"/>
      <c r="CP335" s="274"/>
      <c r="CQ335" s="132"/>
      <c r="CR335" s="132"/>
      <c r="CS335" s="132"/>
      <c r="CT335" s="274"/>
      <c r="CU335" s="144"/>
      <c r="CV335" s="274"/>
      <c r="CW335" s="132"/>
      <c r="CX335" s="132"/>
      <c r="CY335" s="132"/>
      <c r="CZ335" s="118"/>
      <c r="DA335" s="144"/>
      <c r="DB335" s="118"/>
      <c r="DC335" s="33"/>
      <c r="DD335" s="39"/>
      <c r="DE335" s="11"/>
      <c r="DF335" s="132"/>
      <c r="DG335" s="132"/>
      <c r="DH335" s="132"/>
      <c r="DI335" s="132"/>
      <c r="DJ335" s="132"/>
      <c r="DK335" s="132"/>
      <c r="DL335" s="132"/>
      <c r="DM335" s="132"/>
      <c r="DN335" s="132"/>
      <c r="DO335" s="132"/>
      <c r="DP335" s="132"/>
      <c r="DQ335" s="132"/>
      <c r="DR335" s="132"/>
      <c r="DS335" s="132"/>
      <c r="DT335" s="132"/>
      <c r="DU335" s="132"/>
      <c r="DV335" s="132"/>
      <c r="DW335" s="132"/>
      <c r="DX335" s="132"/>
      <c r="DY335" s="132"/>
      <c r="DZ335" s="132"/>
      <c r="EA335" s="132"/>
      <c r="EB335" s="132"/>
      <c r="EC335" s="132"/>
      <c r="ED335" s="132"/>
      <c r="EE335" s="132"/>
      <c r="EF335" s="132"/>
      <c r="EG335" s="132"/>
      <c r="EH335" s="132"/>
      <c r="EI335" s="132"/>
      <c r="EJ335" s="132"/>
      <c r="EK335" s="132"/>
      <c r="EL335" s="132"/>
      <c r="EM335" s="132"/>
      <c r="EN335" s="132"/>
      <c r="EO335" s="132"/>
      <c r="EP335" s="132"/>
      <c r="EQ335" s="132"/>
      <c r="ER335" s="132"/>
      <c r="ES335" s="132"/>
      <c r="ET335" s="11"/>
      <c r="EU335" s="11"/>
      <c r="EV335" s="11"/>
      <c r="EW335" s="11"/>
      <c r="EX335" s="11"/>
      <c r="EY335" s="11"/>
      <c r="EZ335" s="11"/>
      <c r="FA335" s="11"/>
      <c r="FB335" s="11"/>
      <c r="FC335" s="11"/>
      <c r="FD335" s="11"/>
      <c r="FE335" s="11"/>
      <c r="FF335" s="11"/>
      <c r="FG335" s="11"/>
      <c r="FH335" s="39">
        <f t="shared" si="85"/>
        <v>2119627.6033333335</v>
      </c>
      <c r="FI335" s="33">
        <f t="shared" si="86"/>
        <v>7</v>
      </c>
      <c r="FJ335" s="84">
        <f t="shared" si="87"/>
        <v>302803.94333333336</v>
      </c>
    </row>
    <row r="336" spans="1:166" ht="25.5" x14ac:dyDescent="0.25">
      <c r="A336" s="79" t="e">
        <f>#REF!</f>
        <v>#REF!</v>
      </c>
      <c r="B336" s="75" t="e">
        <f>#REF!</f>
        <v>#REF!</v>
      </c>
      <c r="C336" s="75" t="e">
        <f>#REF!</f>
        <v>#REF!</v>
      </c>
      <c r="D336" s="75" t="e">
        <f>#REF!</f>
        <v>#REF!</v>
      </c>
      <c r="E336" s="30">
        <v>1</v>
      </c>
      <c r="F336" s="238">
        <v>0</v>
      </c>
      <c r="G336" s="241">
        <v>0</v>
      </c>
      <c r="H336" s="249">
        <v>257119.33333333334</v>
      </c>
      <c r="I336" s="249">
        <v>61880</v>
      </c>
      <c r="J336" s="249">
        <v>0</v>
      </c>
      <c r="K336" s="249">
        <v>0</v>
      </c>
      <c r="L336" s="274">
        <f>H336</f>
        <v>257119.33333333334</v>
      </c>
      <c r="M336" s="274">
        <f>I336*E1</f>
        <v>63736.4</v>
      </c>
      <c r="N336" s="245"/>
      <c r="O336" s="113"/>
      <c r="P336" s="113"/>
      <c r="Q336" s="131"/>
      <c r="R336" s="131"/>
      <c r="S336" s="64"/>
      <c r="T336" s="113"/>
      <c r="U336" s="113"/>
      <c r="V336" s="113"/>
      <c r="W336" s="131"/>
      <c r="X336" s="131"/>
      <c r="Y336" s="11"/>
      <c r="Z336" s="113"/>
      <c r="AA336" s="113"/>
      <c r="AB336" s="113"/>
      <c r="AC336" s="52"/>
      <c r="AD336" s="52"/>
      <c r="AE336" s="11"/>
      <c r="AF336" s="118">
        <v>250000</v>
      </c>
      <c r="AG336" s="144">
        <f>AF336*19%</f>
        <v>47500</v>
      </c>
      <c r="AH336" s="113">
        <f>+AF336+AG336</f>
        <v>297500</v>
      </c>
      <c r="AI336" s="11"/>
      <c r="AJ336" s="11"/>
      <c r="AK336" s="39"/>
      <c r="AL336" s="113">
        <v>280000</v>
      </c>
      <c r="AM336" s="113">
        <f>+AL336*0.19</f>
        <v>53200</v>
      </c>
      <c r="AN336" s="119">
        <f>+AL336+AM336</f>
        <v>333200</v>
      </c>
      <c r="AO336" s="76" t="s">
        <v>78</v>
      </c>
      <c r="AP336" s="39" t="s">
        <v>45</v>
      </c>
      <c r="AQ336" s="39"/>
      <c r="AR336" s="275">
        <v>144000</v>
      </c>
      <c r="AS336" s="113">
        <f>+AR336*0.19</f>
        <v>27360</v>
      </c>
      <c r="AT336" s="119">
        <f>+AR336+AS336</f>
        <v>171360</v>
      </c>
      <c r="AU336" s="62" t="s">
        <v>60</v>
      </c>
      <c r="AV336" s="62" t="s">
        <v>35</v>
      </c>
      <c r="AW336" s="31"/>
      <c r="AX336" s="116"/>
      <c r="AY336" s="196"/>
      <c r="AZ336" s="143"/>
      <c r="BA336" s="191"/>
      <c r="BB336" s="132"/>
      <c r="BC336" s="132"/>
      <c r="BD336" s="274"/>
      <c r="BE336" s="274"/>
      <c r="BF336" s="274"/>
      <c r="BG336" s="274"/>
      <c r="BH336" s="132"/>
      <c r="BI336" s="132"/>
      <c r="BJ336" s="143"/>
      <c r="BK336" s="143"/>
      <c r="BL336" s="143"/>
      <c r="BM336" s="132"/>
      <c r="BN336" s="132"/>
      <c r="BO336" s="132"/>
      <c r="BP336" s="143"/>
      <c r="BQ336" s="132"/>
      <c r="BR336" s="132"/>
      <c r="BS336" s="132"/>
      <c r="BT336" s="132"/>
      <c r="BU336" s="132"/>
      <c r="BV336" s="263">
        <v>270100</v>
      </c>
      <c r="BW336" s="144">
        <f>BV336*19%</f>
        <v>51319</v>
      </c>
      <c r="BX336" s="113">
        <f t="shared" si="91"/>
        <v>321419</v>
      </c>
      <c r="BY336" s="264" t="s">
        <v>342</v>
      </c>
      <c r="BZ336" s="264" t="s">
        <v>88</v>
      </c>
      <c r="CA336" s="132"/>
      <c r="CB336" s="274"/>
      <c r="CC336" s="144"/>
      <c r="CD336" s="274"/>
      <c r="CE336" s="132"/>
      <c r="CF336" s="132"/>
      <c r="CG336" s="36"/>
      <c r="CH336" s="263">
        <v>289007</v>
      </c>
      <c r="CI336" s="265">
        <f>+CH336*0.19</f>
        <v>54911.33</v>
      </c>
      <c r="CJ336" s="263">
        <f>+CH336+CI336</f>
        <v>343918.33</v>
      </c>
      <c r="CK336" s="264" t="s">
        <v>342</v>
      </c>
      <c r="CL336" s="264" t="s">
        <v>88</v>
      </c>
      <c r="CM336" s="132"/>
      <c r="CN336" s="274"/>
      <c r="CO336" s="144"/>
      <c r="CP336" s="274"/>
      <c r="CQ336" s="132"/>
      <c r="CR336" s="132"/>
      <c r="CS336" s="132"/>
      <c r="CT336" s="274"/>
      <c r="CU336" s="144"/>
      <c r="CV336" s="274"/>
      <c r="CW336" s="132"/>
      <c r="CX336" s="132"/>
      <c r="CY336" s="132"/>
      <c r="CZ336" s="118"/>
      <c r="DA336" s="144"/>
      <c r="DB336" s="118"/>
      <c r="DC336" s="33"/>
      <c r="DD336" s="39"/>
      <c r="DE336" s="11"/>
      <c r="DF336" s="132"/>
      <c r="DG336" s="132"/>
      <c r="DH336" s="132"/>
      <c r="DI336" s="132"/>
      <c r="DJ336" s="132"/>
      <c r="DK336" s="132"/>
      <c r="DL336" s="132"/>
      <c r="DM336" s="132"/>
      <c r="DN336" s="132"/>
      <c r="DO336" s="132"/>
      <c r="DP336" s="132"/>
      <c r="DQ336" s="132"/>
      <c r="DR336" s="132"/>
      <c r="DS336" s="132"/>
      <c r="DT336" s="132"/>
      <c r="DU336" s="132"/>
      <c r="DV336" s="132"/>
      <c r="DW336" s="132"/>
      <c r="DX336" s="132"/>
      <c r="DY336" s="132"/>
      <c r="DZ336" s="132"/>
      <c r="EA336" s="132"/>
      <c r="EB336" s="132"/>
      <c r="EC336" s="132"/>
      <c r="ED336" s="132"/>
      <c r="EE336" s="132"/>
      <c r="EF336" s="132"/>
      <c r="EG336" s="132"/>
      <c r="EH336" s="132"/>
      <c r="EI336" s="132"/>
      <c r="EJ336" s="132"/>
      <c r="EK336" s="132"/>
      <c r="EL336" s="132"/>
      <c r="EM336" s="132"/>
      <c r="EN336" s="132"/>
      <c r="EO336" s="132"/>
      <c r="EP336" s="132"/>
      <c r="EQ336" s="132"/>
      <c r="ER336" s="132"/>
      <c r="ES336" s="132"/>
      <c r="ET336" s="11"/>
      <c r="EU336" s="11"/>
      <c r="EV336" s="11"/>
      <c r="EW336" s="11"/>
      <c r="EX336" s="11"/>
      <c r="EY336" s="11"/>
      <c r="EZ336" s="11"/>
      <c r="FA336" s="11"/>
      <c r="FB336" s="11"/>
      <c r="FC336" s="11"/>
      <c r="FD336" s="11"/>
      <c r="FE336" s="11"/>
      <c r="FF336" s="11"/>
      <c r="FG336" s="11"/>
      <c r="FH336" s="39">
        <f t="shared" si="85"/>
        <v>1531133.73</v>
      </c>
      <c r="FI336" s="33">
        <f t="shared" si="86"/>
        <v>6</v>
      </c>
      <c r="FJ336" s="84">
        <f t="shared" si="87"/>
        <v>255188.95499999999</v>
      </c>
    </row>
    <row r="337" spans="1:166" x14ac:dyDescent="0.25">
      <c r="A337" s="79" t="e">
        <f>#REF!</f>
        <v>#REF!</v>
      </c>
      <c r="B337" s="75" t="e">
        <f>#REF!</f>
        <v>#REF!</v>
      </c>
      <c r="C337" s="75" t="e">
        <f>#REF!</f>
        <v>#REF!</v>
      </c>
      <c r="D337" s="75" t="e">
        <f>#REF!</f>
        <v>#REF!</v>
      </c>
      <c r="E337" s="30">
        <v>1</v>
      </c>
      <c r="F337" s="238">
        <v>0</v>
      </c>
      <c r="G337" s="241">
        <v>0</v>
      </c>
      <c r="H337" s="249">
        <v>0</v>
      </c>
      <c r="I337" s="249">
        <v>0</v>
      </c>
      <c r="J337" s="249">
        <v>0</v>
      </c>
      <c r="K337" s="249">
        <v>0</v>
      </c>
      <c r="L337" s="274"/>
      <c r="M337" s="274"/>
      <c r="N337" s="246"/>
      <c r="O337" s="118"/>
      <c r="P337" s="118"/>
      <c r="Q337" s="52"/>
      <c r="R337" s="52"/>
      <c r="S337" s="5"/>
      <c r="T337" s="118"/>
      <c r="U337" s="118"/>
      <c r="V337" s="118"/>
      <c r="W337" s="11"/>
      <c r="X337" s="11"/>
      <c r="Y337" s="11"/>
      <c r="Z337" s="118"/>
      <c r="AA337" s="118"/>
      <c r="AB337" s="118"/>
      <c r="AC337" s="52"/>
      <c r="AD337" s="52"/>
      <c r="AE337" s="11"/>
      <c r="AF337" s="118"/>
      <c r="AG337" s="144"/>
      <c r="AH337" s="118"/>
      <c r="AI337" s="11"/>
      <c r="AJ337" s="11"/>
      <c r="AK337" s="11"/>
      <c r="AL337" s="118"/>
      <c r="AM337" s="118"/>
      <c r="AN337" s="118"/>
      <c r="AO337" s="76"/>
      <c r="AP337" s="11"/>
      <c r="AQ337" s="11"/>
      <c r="AR337" s="274"/>
      <c r="AS337" s="274"/>
      <c r="AT337" s="274"/>
      <c r="AU337" s="62"/>
      <c r="AV337" s="48"/>
      <c r="AW337" s="11"/>
      <c r="AX337" s="274"/>
      <c r="AY337" s="274"/>
      <c r="AZ337" s="274"/>
      <c r="BA337" s="11"/>
      <c r="BB337" s="11"/>
      <c r="BC337" s="11"/>
      <c r="BD337" s="274"/>
      <c r="BE337" s="274"/>
      <c r="BF337" s="274"/>
      <c r="BG337" s="11"/>
      <c r="BH337" s="11"/>
      <c r="BI337" s="11"/>
      <c r="BJ337" s="274"/>
      <c r="BK337" s="274"/>
      <c r="BL337" s="274"/>
      <c r="BM337" s="11"/>
      <c r="BN337" s="11"/>
      <c r="BO337" s="11"/>
      <c r="BP337" s="275"/>
      <c r="BQ337" s="11"/>
      <c r="BR337" s="11"/>
      <c r="BS337" s="11"/>
      <c r="BT337" s="11"/>
      <c r="BU337" s="11"/>
      <c r="BV337" s="210"/>
      <c r="BW337" s="144"/>
      <c r="BX337" s="113"/>
      <c r="BY337" s="273"/>
      <c r="BZ337" s="273"/>
      <c r="CA337" s="11"/>
      <c r="CB337" s="274"/>
      <c r="CC337" s="144"/>
      <c r="CD337" s="274"/>
      <c r="CE337" s="11"/>
      <c r="CF337" s="11"/>
      <c r="CG337" s="11"/>
      <c r="CH337" s="210"/>
      <c r="CI337" s="219"/>
      <c r="CJ337" s="210"/>
      <c r="CK337" s="273"/>
      <c r="CL337" s="273"/>
      <c r="CM337" s="11"/>
      <c r="CN337" s="274"/>
      <c r="CO337" s="144"/>
      <c r="CP337" s="274"/>
      <c r="CQ337" s="11"/>
      <c r="CR337" s="11"/>
      <c r="CS337" s="11"/>
      <c r="CT337" s="274"/>
      <c r="CU337" s="144"/>
      <c r="CV337" s="274"/>
      <c r="CW337" s="11"/>
      <c r="CX337" s="11"/>
      <c r="CY337" s="11"/>
      <c r="CZ337" s="118"/>
      <c r="DA337" s="144"/>
      <c r="DB337" s="118"/>
      <c r="DC337" s="33"/>
      <c r="DD337" s="39"/>
      <c r="DE337" s="11"/>
      <c r="DF337" s="11"/>
      <c r="DG337" s="11"/>
      <c r="DH337" s="11"/>
      <c r="DI337" s="11"/>
      <c r="DJ337" s="11"/>
      <c r="DK337" s="11"/>
      <c r="DL337" s="11"/>
      <c r="DM337" s="39"/>
      <c r="DN337" s="39"/>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11"/>
      <c r="EP337" s="11"/>
      <c r="EQ337" s="11"/>
      <c r="ER337" s="11"/>
      <c r="ES337" s="11"/>
      <c r="ET337" s="11"/>
      <c r="EU337" s="11"/>
      <c r="EV337" s="11"/>
      <c r="EW337" s="11"/>
      <c r="EX337" s="11"/>
      <c r="EY337" s="11"/>
      <c r="EZ337" s="11"/>
      <c r="FA337" s="11"/>
      <c r="FB337" s="11"/>
      <c r="FC337" s="11"/>
      <c r="FD337" s="11"/>
      <c r="FE337" s="11"/>
      <c r="FF337" s="11"/>
      <c r="FG337" s="11"/>
      <c r="FH337" s="39">
        <f t="shared" si="85"/>
        <v>0</v>
      </c>
      <c r="FI337" s="33">
        <f t="shared" si="86"/>
        <v>0</v>
      </c>
      <c r="FJ337" s="84" t="str">
        <f t="shared" si="87"/>
        <v xml:space="preserve"> </v>
      </c>
    </row>
    <row r="338" spans="1:166" x14ac:dyDescent="0.25">
      <c r="A338" s="79" t="e">
        <f>#REF!</f>
        <v>#REF!</v>
      </c>
      <c r="B338" s="75" t="e">
        <f>#REF!</f>
        <v>#REF!</v>
      </c>
      <c r="C338" s="75" t="e">
        <f>#REF!</f>
        <v>#REF!</v>
      </c>
      <c r="D338" s="75" t="e">
        <f>#REF!</f>
        <v>#REF!</v>
      </c>
      <c r="E338" s="30">
        <v>1</v>
      </c>
      <c r="F338" s="238">
        <v>0</v>
      </c>
      <c r="G338" s="241">
        <v>0</v>
      </c>
      <c r="H338" s="249">
        <v>25231.748500000002</v>
      </c>
      <c r="I338" s="249">
        <v>0</v>
      </c>
      <c r="J338" s="249">
        <v>0</v>
      </c>
      <c r="K338" s="249">
        <v>0</v>
      </c>
      <c r="L338" s="274">
        <f>H338</f>
        <v>25231.748500000002</v>
      </c>
      <c r="M338" s="274"/>
      <c r="N338" s="245"/>
      <c r="O338" s="113"/>
      <c r="P338" s="113"/>
      <c r="Q338" s="131"/>
      <c r="R338" s="131"/>
      <c r="S338" s="64"/>
      <c r="T338" s="113"/>
      <c r="U338" s="113"/>
      <c r="V338" s="113"/>
      <c r="W338" s="131"/>
      <c r="X338" s="131"/>
      <c r="Y338" s="11"/>
      <c r="Z338" s="113"/>
      <c r="AA338" s="113"/>
      <c r="AB338" s="113"/>
      <c r="AC338" s="52"/>
      <c r="AD338" s="52"/>
      <c r="AE338" s="11"/>
      <c r="AF338" s="118"/>
      <c r="AG338" s="144"/>
      <c r="AH338" s="113"/>
      <c r="AI338" s="11"/>
      <c r="AJ338" s="11"/>
      <c r="AK338" s="39"/>
      <c r="AL338" s="113"/>
      <c r="AM338" s="113"/>
      <c r="AN338" s="119"/>
      <c r="AO338" s="76"/>
      <c r="AP338" s="39"/>
      <c r="AQ338" s="39"/>
      <c r="AR338" s="275"/>
      <c r="AS338" s="155"/>
      <c r="AT338" s="143"/>
      <c r="AU338" s="62"/>
      <c r="AV338" s="62"/>
      <c r="AW338" s="31"/>
      <c r="AX338" s="116"/>
      <c r="AY338" s="194"/>
      <c r="AZ338" s="143"/>
      <c r="BA338" s="191"/>
      <c r="BB338" s="132"/>
      <c r="BC338" s="132"/>
      <c r="BD338" s="274"/>
      <c r="BE338" s="143"/>
      <c r="BF338" s="143"/>
      <c r="BG338" s="132"/>
      <c r="BH338" s="132"/>
      <c r="BI338" s="132"/>
      <c r="BJ338" s="143"/>
      <c r="BK338" s="143"/>
      <c r="BL338" s="143"/>
      <c r="BM338" s="132"/>
      <c r="BN338" s="132"/>
      <c r="BO338" s="132"/>
      <c r="BP338" s="143"/>
      <c r="BQ338" s="132"/>
      <c r="BR338" s="132"/>
      <c r="BS338" s="132"/>
      <c r="BT338" s="132"/>
      <c r="BU338" s="132"/>
      <c r="BV338" s="210"/>
      <c r="BW338" s="144"/>
      <c r="BX338" s="113"/>
      <c r="BY338" s="273"/>
      <c r="BZ338" s="273"/>
      <c r="CA338" s="132"/>
      <c r="CB338" s="274"/>
      <c r="CC338" s="144"/>
      <c r="CD338" s="274"/>
      <c r="CE338" s="132"/>
      <c r="CF338" s="132"/>
      <c r="CG338" s="36"/>
      <c r="CH338" s="210"/>
      <c r="CI338" s="219"/>
      <c r="CJ338" s="210"/>
      <c r="CK338" s="273"/>
      <c r="CL338" s="273"/>
      <c r="CM338" s="132"/>
      <c r="CN338" s="274"/>
      <c r="CO338" s="144"/>
      <c r="CP338" s="274"/>
      <c r="CQ338" s="132"/>
      <c r="CR338" s="132"/>
      <c r="CS338" s="132"/>
      <c r="CT338" s="274"/>
      <c r="CU338" s="144"/>
      <c r="CV338" s="274"/>
      <c r="CW338" s="132"/>
      <c r="CX338" s="132"/>
      <c r="CY338" s="132"/>
      <c r="CZ338" s="118"/>
      <c r="DA338" s="144"/>
      <c r="DB338" s="118"/>
      <c r="DC338" s="33"/>
      <c r="DD338" s="39"/>
      <c r="DE338" s="11"/>
      <c r="DF338" s="132"/>
      <c r="DG338" s="132"/>
      <c r="DH338" s="132"/>
      <c r="DI338" s="132"/>
      <c r="DJ338" s="132"/>
      <c r="DK338" s="132"/>
      <c r="DL338" s="132"/>
      <c r="DM338" s="132"/>
      <c r="DN338" s="132"/>
      <c r="DO338" s="132"/>
      <c r="DP338" s="132"/>
      <c r="DQ338" s="132"/>
      <c r="DR338" s="132"/>
      <c r="DS338" s="132"/>
      <c r="DT338" s="132"/>
      <c r="DU338" s="132"/>
      <c r="DV338" s="132"/>
      <c r="DW338" s="132"/>
      <c r="DX338" s="132"/>
      <c r="DY338" s="132"/>
      <c r="DZ338" s="132"/>
      <c r="EA338" s="132"/>
      <c r="EB338" s="132"/>
      <c r="EC338" s="132"/>
      <c r="ED338" s="132"/>
      <c r="EE338" s="132"/>
      <c r="EF338" s="132"/>
      <c r="EG338" s="132"/>
      <c r="EH338" s="132"/>
      <c r="EI338" s="132"/>
      <c r="EJ338" s="132"/>
      <c r="EK338" s="132"/>
      <c r="EL338" s="132"/>
      <c r="EM338" s="132"/>
      <c r="EN338" s="132"/>
      <c r="EO338" s="132"/>
      <c r="EP338" s="132"/>
      <c r="EQ338" s="132"/>
      <c r="ER338" s="132"/>
      <c r="ES338" s="132"/>
      <c r="ET338" s="11"/>
      <c r="EU338" s="11"/>
      <c r="EV338" s="11"/>
      <c r="EW338" s="11"/>
      <c r="EX338" s="11"/>
      <c r="EY338" s="11"/>
      <c r="EZ338" s="11"/>
      <c r="FA338" s="11"/>
      <c r="FB338" s="11"/>
      <c r="FC338" s="11"/>
      <c r="FD338" s="11"/>
      <c r="FE338" s="11"/>
      <c r="FF338" s="11"/>
      <c r="FG338" s="11"/>
      <c r="FH338" s="39">
        <f t="shared" si="85"/>
        <v>0</v>
      </c>
      <c r="FI338" s="33">
        <f t="shared" si="86"/>
        <v>0</v>
      </c>
      <c r="FJ338" s="84" t="str">
        <f t="shared" si="87"/>
        <v xml:space="preserve"> </v>
      </c>
    </row>
    <row r="339" spans="1:166" x14ac:dyDescent="0.25">
      <c r="A339" s="79" t="e">
        <f>#REF!</f>
        <v>#REF!</v>
      </c>
      <c r="B339" s="75" t="e">
        <f>#REF!</f>
        <v>#REF!</v>
      </c>
      <c r="C339" s="75" t="e">
        <f>#REF!</f>
        <v>#REF!</v>
      </c>
      <c r="D339" s="75" t="e">
        <f>#REF!</f>
        <v>#REF!</v>
      </c>
      <c r="E339" s="30">
        <v>1</v>
      </c>
      <c r="F339" s="238">
        <v>0</v>
      </c>
      <c r="G339" s="241">
        <v>0</v>
      </c>
      <c r="H339" s="249">
        <v>0</v>
      </c>
      <c r="I339" s="249">
        <v>0</v>
      </c>
      <c r="J339" s="249">
        <v>0</v>
      </c>
      <c r="K339" s="249">
        <v>0</v>
      </c>
      <c r="L339" s="274"/>
      <c r="M339" s="274"/>
      <c r="N339" s="245"/>
      <c r="O339" s="113"/>
      <c r="P339" s="113"/>
      <c r="Q339" s="131"/>
      <c r="R339" s="131"/>
      <c r="S339" s="64"/>
      <c r="T339" s="113"/>
      <c r="U339" s="113"/>
      <c r="V339" s="113"/>
      <c r="W339" s="131"/>
      <c r="X339" s="131"/>
      <c r="Y339" s="11"/>
      <c r="Z339" s="113"/>
      <c r="AA339" s="113"/>
      <c r="AB339" s="113"/>
      <c r="AC339" s="52"/>
      <c r="AD339" s="52"/>
      <c r="AE339" s="11"/>
      <c r="AF339" s="118"/>
      <c r="AG339" s="144"/>
      <c r="AH339" s="113"/>
      <c r="AI339" s="11"/>
      <c r="AJ339" s="11"/>
      <c r="AK339" s="39"/>
      <c r="AL339" s="113"/>
      <c r="AM339" s="113"/>
      <c r="AN339" s="117"/>
      <c r="AO339" s="76"/>
      <c r="AP339" s="39"/>
      <c r="AQ339" s="39"/>
      <c r="AR339" s="275"/>
      <c r="AS339" s="156"/>
      <c r="AT339" s="157"/>
      <c r="AU339" s="62"/>
      <c r="AV339" s="62"/>
      <c r="AW339" s="31"/>
      <c r="AX339" s="116"/>
      <c r="AY339" s="196"/>
      <c r="AZ339" s="143"/>
      <c r="BA339" s="191"/>
      <c r="BB339" s="132"/>
      <c r="BC339" s="132"/>
      <c r="BD339" s="274"/>
      <c r="BE339" s="143"/>
      <c r="BF339" s="143"/>
      <c r="BG339" s="132"/>
      <c r="BH339" s="132"/>
      <c r="BI339" s="132"/>
      <c r="BJ339" s="143"/>
      <c r="BK339" s="143"/>
      <c r="BL339" s="143"/>
      <c r="BM339" s="132"/>
      <c r="BN339" s="132"/>
      <c r="BO339" s="132"/>
      <c r="BP339" s="143"/>
      <c r="BQ339" s="132"/>
      <c r="BR339" s="132"/>
      <c r="BS339" s="132"/>
      <c r="BT339" s="132"/>
      <c r="BU339" s="132"/>
      <c r="BV339" s="210"/>
      <c r="BW339" s="144"/>
      <c r="BX339" s="113"/>
      <c r="BY339" s="273"/>
      <c r="BZ339" s="273"/>
      <c r="CA339" s="132"/>
      <c r="CB339" s="274"/>
      <c r="CC339" s="144"/>
      <c r="CD339" s="274"/>
      <c r="CE339" s="132"/>
      <c r="CF339" s="132"/>
      <c r="CG339" s="36"/>
      <c r="CH339" s="210"/>
      <c r="CI339" s="219"/>
      <c r="CJ339" s="210"/>
      <c r="CK339" s="273"/>
      <c r="CL339" s="273"/>
      <c r="CM339" s="132"/>
      <c r="CN339" s="274"/>
      <c r="CO339" s="144"/>
      <c r="CP339" s="274"/>
      <c r="CQ339" s="132"/>
      <c r="CR339" s="132"/>
      <c r="CS339" s="132"/>
      <c r="CT339" s="274"/>
      <c r="CU339" s="144"/>
      <c r="CV339" s="274"/>
      <c r="CW339" s="132"/>
      <c r="CX339" s="132"/>
      <c r="CY339" s="132"/>
      <c r="CZ339" s="118"/>
      <c r="DA339" s="144"/>
      <c r="DB339" s="118"/>
      <c r="DC339" s="33"/>
      <c r="DD339" s="39"/>
      <c r="DE339" s="11"/>
      <c r="DF339" s="132"/>
      <c r="DG339" s="132"/>
      <c r="DH339" s="132"/>
      <c r="DI339" s="132"/>
      <c r="DJ339" s="132"/>
      <c r="DK339" s="132"/>
      <c r="DL339" s="132"/>
      <c r="DM339" s="132"/>
      <c r="DN339" s="132"/>
      <c r="DO339" s="132"/>
      <c r="DP339" s="132"/>
      <c r="DQ339" s="132"/>
      <c r="DR339" s="132"/>
      <c r="DS339" s="132"/>
      <c r="DT339" s="132"/>
      <c r="DU339" s="132"/>
      <c r="DV339" s="132"/>
      <c r="DW339" s="132"/>
      <c r="DX339" s="132"/>
      <c r="DY339" s="132"/>
      <c r="DZ339" s="132"/>
      <c r="EA339" s="132"/>
      <c r="EB339" s="132"/>
      <c r="EC339" s="132"/>
      <c r="ED339" s="132"/>
      <c r="EE339" s="132"/>
      <c r="EF339" s="132"/>
      <c r="EG339" s="132"/>
      <c r="EH339" s="132"/>
      <c r="EI339" s="132"/>
      <c r="EJ339" s="132"/>
      <c r="EK339" s="132"/>
      <c r="EL339" s="132"/>
      <c r="EM339" s="132"/>
      <c r="EN339" s="132"/>
      <c r="EO339" s="132"/>
      <c r="EP339" s="132"/>
      <c r="EQ339" s="132"/>
      <c r="ER339" s="132"/>
      <c r="ES339" s="132"/>
      <c r="ET339" s="11"/>
      <c r="EU339" s="11"/>
      <c r="EV339" s="11"/>
      <c r="EW339" s="11"/>
      <c r="EX339" s="11"/>
      <c r="EY339" s="11"/>
      <c r="EZ339" s="11"/>
      <c r="FA339" s="11"/>
      <c r="FB339" s="11"/>
      <c r="FC339" s="11"/>
      <c r="FD339" s="11"/>
      <c r="FE339" s="11"/>
      <c r="FF339" s="11"/>
      <c r="FG339" s="11"/>
      <c r="FH339" s="39">
        <f t="shared" si="85"/>
        <v>0</v>
      </c>
      <c r="FI339" s="33">
        <f t="shared" si="86"/>
        <v>0</v>
      </c>
      <c r="FJ339" s="84" t="str">
        <f t="shared" si="87"/>
        <v xml:space="preserve"> </v>
      </c>
    </row>
    <row r="340" spans="1:166" ht="40.5" x14ac:dyDescent="0.25">
      <c r="A340" s="79" t="e">
        <f>#REF!</f>
        <v>#REF!</v>
      </c>
      <c r="B340" s="75" t="e">
        <f>#REF!</f>
        <v>#REF!</v>
      </c>
      <c r="C340" s="75" t="e">
        <f>#REF!</f>
        <v>#REF!</v>
      </c>
      <c r="D340" s="75" t="e">
        <f>#REF!</f>
        <v>#REF!</v>
      </c>
      <c r="E340" s="30">
        <v>1</v>
      </c>
      <c r="F340" s="238">
        <v>0</v>
      </c>
      <c r="G340" s="241">
        <v>0</v>
      </c>
      <c r="H340" s="249">
        <v>215033</v>
      </c>
      <c r="I340" s="249">
        <v>0</v>
      </c>
      <c r="J340" s="249">
        <v>0</v>
      </c>
      <c r="K340" s="249">
        <v>0</v>
      </c>
      <c r="L340" s="274">
        <f>H340</f>
        <v>215033</v>
      </c>
      <c r="M340" s="274"/>
      <c r="N340" s="246"/>
      <c r="O340" s="118"/>
      <c r="P340" s="118"/>
      <c r="Q340" s="52"/>
      <c r="R340" s="52"/>
      <c r="S340" s="5"/>
      <c r="T340" s="118"/>
      <c r="U340" s="118"/>
      <c r="V340" s="118"/>
      <c r="W340" s="11"/>
      <c r="X340" s="11"/>
      <c r="Y340" s="11"/>
      <c r="Z340" s="118"/>
      <c r="AA340" s="118"/>
      <c r="AB340" s="118"/>
      <c r="AC340" s="52"/>
      <c r="AD340" s="52"/>
      <c r="AE340" s="11"/>
      <c r="AF340" s="118"/>
      <c r="AG340" s="144"/>
      <c r="AH340" s="118"/>
      <c r="AI340" s="11"/>
      <c r="AJ340" s="11"/>
      <c r="AK340" s="11"/>
      <c r="AL340" s="118"/>
      <c r="AM340" s="118"/>
      <c r="AN340" s="118"/>
      <c r="AO340" s="76"/>
      <c r="AP340" s="11"/>
      <c r="AQ340" s="11"/>
      <c r="AR340" s="274"/>
      <c r="AS340" s="274"/>
      <c r="AT340" s="274"/>
      <c r="AU340" s="62"/>
      <c r="AV340" s="48"/>
      <c r="AW340" s="11"/>
      <c r="AX340" s="274"/>
      <c r="AY340" s="274"/>
      <c r="AZ340" s="274"/>
      <c r="BA340" s="11"/>
      <c r="BB340" s="11"/>
      <c r="BC340" s="11"/>
      <c r="BD340" s="274"/>
      <c r="BE340" s="274"/>
      <c r="BF340" s="274"/>
      <c r="BG340" s="11"/>
      <c r="BH340" s="11"/>
      <c r="BI340" s="11"/>
      <c r="BJ340" s="274"/>
      <c r="BK340" s="274"/>
      <c r="BL340" s="274"/>
      <c r="BM340" s="11"/>
      <c r="BN340" s="11"/>
      <c r="BO340" s="11"/>
      <c r="BP340" s="275"/>
      <c r="BQ340" s="11"/>
      <c r="BR340" s="11"/>
      <c r="BS340" s="11"/>
      <c r="BT340" s="11"/>
      <c r="BU340" s="11"/>
      <c r="BV340" s="263">
        <v>406000</v>
      </c>
      <c r="BW340" s="144">
        <f>BV340*19%</f>
        <v>77140</v>
      </c>
      <c r="BX340" s="113">
        <f>+BV340+BW340</f>
        <v>483140</v>
      </c>
      <c r="BY340" s="264" t="s">
        <v>231</v>
      </c>
      <c r="BZ340" s="264" t="s">
        <v>45</v>
      </c>
      <c r="CA340" s="11"/>
      <c r="CB340" s="274"/>
      <c r="CC340" s="144"/>
      <c r="CD340" s="274"/>
      <c r="CE340" s="11"/>
      <c r="CF340" s="11"/>
      <c r="CG340" s="11"/>
      <c r="CH340" s="263">
        <v>434420</v>
      </c>
      <c r="CI340" s="265">
        <f>+CH340*0.19</f>
        <v>82539.8</v>
      </c>
      <c r="CJ340" s="263">
        <f>+CH340+CI340</f>
        <v>516959.8</v>
      </c>
      <c r="CK340" s="264" t="s">
        <v>231</v>
      </c>
      <c r="CL340" s="264" t="s">
        <v>45</v>
      </c>
      <c r="CM340" s="11"/>
      <c r="CN340" s="274"/>
      <c r="CO340" s="144"/>
      <c r="CP340" s="274"/>
      <c r="CQ340" s="11"/>
      <c r="CR340" s="11"/>
      <c r="CS340" s="11"/>
      <c r="CT340" s="274"/>
      <c r="CU340" s="144"/>
      <c r="CV340" s="274"/>
      <c r="CW340" s="11"/>
      <c r="CX340" s="11"/>
      <c r="CY340" s="11"/>
      <c r="CZ340" s="118"/>
      <c r="DA340" s="144"/>
      <c r="DB340" s="118"/>
      <c r="DC340" s="33"/>
      <c r="DD340" s="39"/>
      <c r="DE340" s="11"/>
      <c r="DF340" s="11"/>
      <c r="DG340" s="11"/>
      <c r="DH340" s="11"/>
      <c r="DI340" s="11"/>
      <c r="DJ340" s="11"/>
      <c r="DK340" s="11"/>
      <c r="DL340" s="11"/>
      <c r="DM340" s="39"/>
      <c r="DN340" s="39"/>
      <c r="DO340" s="34"/>
      <c r="DP340" s="34"/>
      <c r="DQ340" s="34"/>
      <c r="DR340" s="34"/>
      <c r="DS340" s="34"/>
      <c r="DT340" s="34"/>
      <c r="DU340" s="34"/>
      <c r="DV340" s="34"/>
      <c r="DW340" s="34"/>
      <c r="DX340" s="34"/>
      <c r="DY340" s="44"/>
      <c r="DZ340" s="34"/>
      <c r="EA340" s="34"/>
      <c r="EB340" s="34"/>
      <c r="EC340" s="34"/>
      <c r="ED340" s="34"/>
      <c r="EE340" s="34"/>
      <c r="EF340" s="34"/>
      <c r="EG340" s="34"/>
      <c r="EH340" s="34"/>
      <c r="EI340" s="34"/>
      <c r="EJ340" s="34"/>
      <c r="EK340" s="34"/>
      <c r="EL340" s="34"/>
      <c r="EM340" s="34"/>
      <c r="EN340" s="34"/>
      <c r="EO340" s="11"/>
      <c r="EP340" s="11"/>
      <c r="EQ340" s="11"/>
      <c r="ER340" s="11"/>
      <c r="ES340" s="11"/>
      <c r="ET340" s="11"/>
      <c r="EU340" s="11"/>
      <c r="EV340" s="11"/>
      <c r="EW340" s="11"/>
      <c r="EX340" s="11"/>
      <c r="EY340" s="11"/>
      <c r="EZ340" s="11"/>
      <c r="FA340" s="11"/>
      <c r="FB340" s="11"/>
      <c r="FC340" s="11"/>
      <c r="FD340" s="11"/>
      <c r="FE340" s="11"/>
      <c r="FF340" s="11"/>
      <c r="FG340" s="11"/>
      <c r="FH340" s="39">
        <f t="shared" si="85"/>
        <v>1000099.8</v>
      </c>
      <c r="FI340" s="33">
        <f t="shared" si="86"/>
        <v>2</v>
      </c>
      <c r="FJ340" s="84">
        <f t="shared" si="87"/>
        <v>500049.9</v>
      </c>
    </row>
    <row r="341" spans="1:166" x14ac:dyDescent="0.25">
      <c r="A341" s="79" t="e">
        <f>#REF!</f>
        <v>#REF!</v>
      </c>
      <c r="B341" s="75" t="e">
        <f>#REF!</f>
        <v>#REF!</v>
      </c>
      <c r="C341" s="75" t="e">
        <f>#REF!</f>
        <v>#REF!</v>
      </c>
      <c r="D341" s="75" t="e">
        <f>#REF!</f>
        <v>#REF!</v>
      </c>
      <c r="E341" s="30">
        <v>1</v>
      </c>
      <c r="F341" s="238">
        <v>0</v>
      </c>
      <c r="G341" s="241">
        <v>0</v>
      </c>
      <c r="H341" s="249">
        <v>0</v>
      </c>
      <c r="I341" s="249">
        <v>0</v>
      </c>
      <c r="J341" s="249">
        <v>0</v>
      </c>
      <c r="K341" s="249">
        <v>0</v>
      </c>
      <c r="L341" s="274"/>
      <c r="M341" s="274"/>
      <c r="N341" s="245"/>
      <c r="O341" s="113"/>
      <c r="P341" s="113"/>
      <c r="Q341" s="131"/>
      <c r="R341" s="131"/>
      <c r="S341" s="64"/>
      <c r="T341" s="113"/>
      <c r="U341" s="117"/>
      <c r="V341" s="113"/>
      <c r="W341" s="131"/>
      <c r="X341" s="131"/>
      <c r="Y341" s="11"/>
      <c r="Z341" s="113"/>
      <c r="AA341" s="113"/>
      <c r="AB341" s="113"/>
      <c r="AC341" s="52"/>
      <c r="AD341" s="52"/>
      <c r="AE341" s="11"/>
      <c r="AF341" s="113"/>
      <c r="AG341" s="144"/>
      <c r="AH341" s="113"/>
      <c r="AI341" s="11"/>
      <c r="AJ341" s="11"/>
      <c r="AK341" s="39"/>
      <c r="AL341" s="113"/>
      <c r="AM341" s="113"/>
      <c r="AN341" s="117"/>
      <c r="AO341" s="76"/>
      <c r="AP341" s="39"/>
      <c r="AQ341" s="39"/>
      <c r="AR341" s="275"/>
      <c r="AS341" s="156"/>
      <c r="AT341" s="157"/>
      <c r="AU341" s="62"/>
      <c r="AV341" s="62"/>
      <c r="AW341" s="31"/>
      <c r="AX341" s="116"/>
      <c r="AY341" s="196"/>
      <c r="AZ341" s="143"/>
      <c r="BA341" s="191"/>
      <c r="BB341" s="132"/>
      <c r="BC341" s="132"/>
      <c r="BD341" s="275"/>
      <c r="BE341" s="143"/>
      <c r="BF341" s="143"/>
      <c r="BG341" s="132"/>
      <c r="BH341" s="132"/>
      <c r="BI341" s="132"/>
      <c r="BJ341" s="143"/>
      <c r="BK341" s="143"/>
      <c r="BL341" s="143"/>
      <c r="BM341" s="132"/>
      <c r="BN341" s="132"/>
      <c r="BO341" s="132"/>
      <c r="BP341" s="143"/>
      <c r="BQ341" s="132"/>
      <c r="BR341" s="132"/>
      <c r="BS341" s="132"/>
      <c r="BT341" s="132"/>
      <c r="BU341" s="132"/>
      <c r="BV341" s="210"/>
      <c r="BW341" s="144"/>
      <c r="BX341" s="113"/>
      <c r="BY341" s="273"/>
      <c r="BZ341" s="273"/>
      <c r="CA341" s="132"/>
      <c r="CB341" s="275"/>
      <c r="CC341" s="143"/>
      <c r="CD341" s="275"/>
      <c r="CE341" s="132"/>
      <c r="CF341" s="132"/>
      <c r="CG341" s="36"/>
      <c r="CH341" s="210"/>
      <c r="CI341" s="219"/>
      <c r="CJ341" s="210"/>
      <c r="CK341" s="273"/>
      <c r="CL341" s="273"/>
      <c r="CM341" s="132"/>
      <c r="CN341" s="275">
        <v>1750567</v>
      </c>
      <c r="CO341" s="143">
        <f>+CN341*0.19</f>
        <v>332607.73</v>
      </c>
      <c r="CP341" s="275">
        <f>+CO341+CN341</f>
        <v>2083174.73</v>
      </c>
      <c r="CQ341" s="132"/>
      <c r="CR341" s="132"/>
      <c r="CS341" s="132"/>
      <c r="CT341" s="275"/>
      <c r="CU341" s="143"/>
      <c r="CV341" s="275"/>
      <c r="CW341" s="132"/>
      <c r="CX341" s="132"/>
      <c r="CY341" s="132"/>
      <c r="CZ341" s="113"/>
      <c r="DA341" s="143"/>
      <c r="DB341" s="113"/>
      <c r="DC341" s="33"/>
      <c r="DD341" s="39"/>
      <c r="DE341" s="11"/>
      <c r="DF341" s="132"/>
      <c r="DG341" s="132"/>
      <c r="DH341" s="132"/>
      <c r="DI341" s="132"/>
      <c r="DJ341" s="132"/>
      <c r="DK341" s="132"/>
      <c r="DL341" s="132"/>
      <c r="DM341" s="132"/>
      <c r="DN341" s="132"/>
      <c r="DO341" s="132"/>
      <c r="DP341" s="132"/>
      <c r="DQ341" s="132"/>
      <c r="DR341" s="132"/>
      <c r="DS341" s="132"/>
      <c r="DT341" s="132"/>
      <c r="DU341" s="132"/>
      <c r="DV341" s="132"/>
      <c r="DW341" s="132"/>
      <c r="DX341" s="132"/>
      <c r="DY341" s="132"/>
      <c r="DZ341" s="132"/>
      <c r="EA341" s="132"/>
      <c r="EB341" s="132"/>
      <c r="EC341" s="132"/>
      <c r="ED341" s="132"/>
      <c r="EE341" s="132"/>
      <c r="EF341" s="132"/>
      <c r="EG341" s="132"/>
      <c r="EH341" s="132"/>
      <c r="EI341" s="132"/>
      <c r="EJ341" s="132"/>
      <c r="EK341" s="132"/>
      <c r="EL341" s="132"/>
      <c r="EM341" s="132"/>
      <c r="EN341" s="132"/>
      <c r="EO341" s="132"/>
      <c r="EP341" s="132"/>
      <c r="EQ341" s="132"/>
      <c r="ER341" s="132"/>
      <c r="ES341" s="132"/>
      <c r="ET341" s="11"/>
      <c r="EU341" s="11"/>
      <c r="EV341" s="11"/>
      <c r="EW341" s="11"/>
      <c r="EX341" s="11"/>
      <c r="EY341" s="11"/>
      <c r="EZ341" s="11"/>
      <c r="FA341" s="11"/>
      <c r="FB341" s="11"/>
      <c r="FC341" s="11"/>
      <c r="FD341" s="11"/>
      <c r="FE341" s="11"/>
      <c r="FF341" s="11"/>
      <c r="FG341" s="11"/>
      <c r="FH341" s="39">
        <f t="shared" si="85"/>
        <v>2083174.73</v>
      </c>
      <c r="FI341" s="33">
        <f t="shared" si="86"/>
        <v>1</v>
      </c>
      <c r="FJ341" s="84">
        <f t="shared" si="87"/>
        <v>2083174.73</v>
      </c>
    </row>
    <row r="342" spans="1:166" ht="13.5" x14ac:dyDescent="0.25">
      <c r="A342" s="79" t="e">
        <f>#REF!</f>
        <v>#REF!</v>
      </c>
      <c r="B342" s="75" t="e">
        <f>#REF!</f>
        <v>#REF!</v>
      </c>
      <c r="C342" s="75" t="e">
        <f>#REF!</f>
        <v>#REF!</v>
      </c>
      <c r="D342" s="75" t="e">
        <f>#REF!</f>
        <v>#REF!</v>
      </c>
      <c r="E342" s="30">
        <v>1</v>
      </c>
      <c r="F342" s="238">
        <v>0</v>
      </c>
      <c r="G342" s="241">
        <v>0</v>
      </c>
      <c r="H342" s="249">
        <v>0</v>
      </c>
      <c r="I342" s="249">
        <v>0</v>
      </c>
      <c r="J342" s="249">
        <v>194684.5</v>
      </c>
      <c r="K342" s="249">
        <v>0</v>
      </c>
      <c r="L342" s="274">
        <f>J342</f>
        <v>194684.5</v>
      </c>
      <c r="M342" s="274"/>
      <c r="N342" s="245"/>
      <c r="O342" s="113"/>
      <c r="P342" s="113"/>
      <c r="Q342" s="131"/>
      <c r="R342" s="131"/>
      <c r="S342" s="64"/>
      <c r="T342" s="113"/>
      <c r="U342" s="113"/>
      <c r="V342" s="113"/>
      <c r="W342" s="131"/>
      <c r="X342" s="131"/>
      <c r="Y342" s="11"/>
      <c r="Z342" s="113"/>
      <c r="AA342" s="113"/>
      <c r="AB342" s="113"/>
      <c r="AC342" s="52"/>
      <c r="AD342" s="52"/>
      <c r="AE342" s="11"/>
      <c r="AF342" s="118"/>
      <c r="AG342" s="144"/>
      <c r="AH342" s="113"/>
      <c r="AI342" s="11"/>
      <c r="AJ342" s="11"/>
      <c r="AK342" s="39"/>
      <c r="AL342" s="113"/>
      <c r="AM342" s="113"/>
      <c r="AN342" s="117"/>
      <c r="AO342" s="76"/>
      <c r="AP342" s="39"/>
      <c r="AQ342" s="39"/>
      <c r="AR342" s="275"/>
      <c r="AS342" s="156"/>
      <c r="AT342" s="157"/>
      <c r="AU342" s="62"/>
      <c r="AV342" s="62"/>
      <c r="AW342" s="31"/>
      <c r="AX342" s="116"/>
      <c r="AY342" s="196"/>
      <c r="AZ342" s="143"/>
      <c r="BA342" s="191"/>
      <c r="BB342" s="132"/>
      <c r="BC342" s="132"/>
      <c r="BD342" s="274"/>
      <c r="BE342" s="274"/>
      <c r="BF342" s="274"/>
      <c r="BG342" s="274"/>
      <c r="BH342" s="132"/>
      <c r="BI342" s="132"/>
      <c r="BJ342" s="143"/>
      <c r="BK342" s="143"/>
      <c r="BL342" s="143"/>
      <c r="BM342" s="132"/>
      <c r="BN342" s="132"/>
      <c r="BO342" s="132"/>
      <c r="BP342" s="143"/>
      <c r="BQ342" s="132"/>
      <c r="BR342" s="132"/>
      <c r="BS342" s="132"/>
      <c r="BT342" s="132"/>
      <c r="BU342" s="132"/>
      <c r="BV342" s="263">
        <v>244000</v>
      </c>
      <c r="BW342" s="144">
        <f>BV342*19%</f>
        <v>46360</v>
      </c>
      <c r="BX342" s="113">
        <f>+BV342+BW342</f>
        <v>290360</v>
      </c>
      <c r="BY342" s="264" t="s">
        <v>326</v>
      </c>
      <c r="BZ342" s="264" t="s">
        <v>37</v>
      </c>
      <c r="CA342" s="132"/>
      <c r="CB342" s="274"/>
      <c r="CC342" s="144"/>
      <c r="CD342" s="274"/>
      <c r="CE342" s="132"/>
      <c r="CF342" s="132"/>
      <c r="CG342" s="36"/>
      <c r="CH342" s="263">
        <v>261080.00000000003</v>
      </c>
      <c r="CI342" s="265">
        <f>+CH342*0.19</f>
        <v>49605.200000000004</v>
      </c>
      <c r="CJ342" s="263">
        <f>+CH342+CI342</f>
        <v>310685.2</v>
      </c>
      <c r="CK342" s="264" t="s">
        <v>326</v>
      </c>
      <c r="CL342" s="264" t="s">
        <v>37</v>
      </c>
      <c r="CM342" s="132"/>
      <c r="CN342" s="274"/>
      <c r="CO342" s="144"/>
      <c r="CP342" s="274"/>
      <c r="CQ342" s="132"/>
      <c r="CR342" s="132"/>
      <c r="CS342" s="132"/>
      <c r="CT342" s="274"/>
      <c r="CU342" s="144"/>
      <c r="CV342" s="274"/>
      <c r="CW342" s="132"/>
      <c r="CX342" s="132"/>
      <c r="CY342" s="132"/>
      <c r="CZ342" s="118"/>
      <c r="DA342" s="144"/>
      <c r="DB342" s="118"/>
      <c r="DC342" s="33"/>
      <c r="DD342" s="39"/>
      <c r="DE342" s="11"/>
      <c r="DF342" s="132"/>
      <c r="DG342" s="132"/>
      <c r="DH342" s="132"/>
      <c r="DI342" s="132"/>
      <c r="DJ342" s="132"/>
      <c r="DK342" s="132"/>
      <c r="DL342" s="132"/>
      <c r="DM342" s="132"/>
      <c r="DN342" s="132"/>
      <c r="DO342" s="132"/>
      <c r="DP342" s="132"/>
      <c r="DQ342" s="132"/>
      <c r="DR342" s="132"/>
      <c r="DS342" s="132"/>
      <c r="DT342" s="132"/>
      <c r="DU342" s="132"/>
      <c r="DV342" s="132"/>
      <c r="DW342" s="132"/>
      <c r="DX342" s="132"/>
      <c r="DY342" s="132"/>
      <c r="DZ342" s="132"/>
      <c r="EA342" s="132"/>
      <c r="EB342" s="132"/>
      <c r="EC342" s="132"/>
      <c r="ED342" s="132"/>
      <c r="EE342" s="132"/>
      <c r="EF342" s="132"/>
      <c r="EG342" s="132"/>
      <c r="EH342" s="132"/>
      <c r="EI342" s="132"/>
      <c r="EJ342" s="132"/>
      <c r="EK342" s="132"/>
      <c r="EL342" s="132"/>
      <c r="EM342" s="132"/>
      <c r="EN342" s="132"/>
      <c r="EO342" s="132"/>
      <c r="EP342" s="132"/>
      <c r="EQ342" s="132"/>
      <c r="ER342" s="132"/>
      <c r="ES342" s="132"/>
      <c r="ET342" s="11"/>
      <c r="EU342" s="11"/>
      <c r="EV342" s="11"/>
      <c r="EW342" s="11"/>
      <c r="EX342" s="11"/>
      <c r="EY342" s="11"/>
      <c r="EZ342" s="11"/>
      <c r="FA342" s="11"/>
      <c r="FB342" s="11"/>
      <c r="FC342" s="11"/>
      <c r="FD342" s="11"/>
      <c r="FE342" s="11"/>
      <c r="FF342" s="11"/>
      <c r="FG342" s="11"/>
      <c r="FH342" s="39">
        <f t="shared" si="85"/>
        <v>601045.19999999995</v>
      </c>
      <c r="FI342" s="33">
        <f t="shared" si="86"/>
        <v>2</v>
      </c>
      <c r="FJ342" s="84">
        <f t="shared" si="87"/>
        <v>300522.59999999998</v>
      </c>
    </row>
    <row r="343" spans="1:166" ht="13.5" x14ac:dyDescent="0.25">
      <c r="A343" s="79" t="e">
        <f>#REF!</f>
        <v>#REF!</v>
      </c>
      <c r="B343" s="75" t="e">
        <f>#REF!</f>
        <v>#REF!</v>
      </c>
      <c r="C343" s="75" t="e">
        <f>#REF!</f>
        <v>#REF!</v>
      </c>
      <c r="D343" s="75" t="e">
        <f>#REF!</f>
        <v>#REF!</v>
      </c>
      <c r="E343" s="30">
        <v>1</v>
      </c>
      <c r="F343" s="238">
        <v>858823</v>
      </c>
      <c r="G343" s="241">
        <v>828716</v>
      </c>
      <c r="H343" s="249">
        <v>884643.85481666669</v>
      </c>
      <c r="I343" s="249">
        <v>884527</v>
      </c>
      <c r="J343" s="249">
        <v>915460.59575268812</v>
      </c>
      <c r="K343" s="249">
        <v>892500</v>
      </c>
      <c r="L343" s="274">
        <f>AVERAGE(F343,H343,J343)</f>
        <v>886309.15018978494</v>
      </c>
      <c r="M343" s="274">
        <f>AVERAGE(G343,I343,K343)*E1</f>
        <v>894638.43</v>
      </c>
      <c r="N343" s="245"/>
      <c r="O343" s="113"/>
      <c r="P343" s="113"/>
      <c r="Q343" s="131"/>
      <c r="R343" s="131"/>
      <c r="S343" s="64"/>
      <c r="T343" s="113"/>
      <c r="U343" s="113"/>
      <c r="V343" s="113"/>
      <c r="W343" s="131"/>
      <c r="X343" s="131"/>
      <c r="Y343" s="11"/>
      <c r="Z343" s="113"/>
      <c r="AA343" s="113"/>
      <c r="AB343" s="113"/>
      <c r="AC343" s="52"/>
      <c r="AD343" s="52"/>
      <c r="AE343" s="11"/>
      <c r="AF343" s="118">
        <v>600000</v>
      </c>
      <c r="AG343" s="144">
        <f>AF343*19%</f>
        <v>114000</v>
      </c>
      <c r="AH343" s="113">
        <f>+AF343+AG343</f>
        <v>714000</v>
      </c>
      <c r="AI343" s="11"/>
      <c r="AJ343" s="11"/>
      <c r="AK343" s="39"/>
      <c r="AL343" s="113"/>
      <c r="AM343" s="113"/>
      <c r="AN343" s="117"/>
      <c r="AO343" s="76"/>
      <c r="AP343" s="39"/>
      <c r="AQ343" s="39"/>
      <c r="AR343" s="275"/>
      <c r="AS343" s="156"/>
      <c r="AT343" s="157"/>
      <c r="AU343" s="62"/>
      <c r="AV343" s="62"/>
      <c r="AW343" s="31"/>
      <c r="AX343" s="116"/>
      <c r="AY343" s="196"/>
      <c r="AZ343" s="143"/>
      <c r="BA343" s="191"/>
      <c r="BB343" s="132"/>
      <c r="BC343" s="132"/>
      <c r="BD343" s="274"/>
      <c r="BE343" s="143"/>
      <c r="BF343" s="143"/>
      <c r="BG343" s="132"/>
      <c r="BH343" s="132"/>
      <c r="BI343" s="132"/>
      <c r="BJ343" s="143"/>
      <c r="BK343" s="143"/>
      <c r="BL343" s="143"/>
      <c r="BM343" s="132"/>
      <c r="BN343" s="132"/>
      <c r="BO343" s="132"/>
      <c r="BP343" s="143"/>
      <c r="BQ343" s="132"/>
      <c r="BR343" s="132"/>
      <c r="BS343" s="132"/>
      <c r="BT343" s="132"/>
      <c r="BU343" s="132"/>
      <c r="BV343" s="263">
        <v>1310500</v>
      </c>
      <c r="BW343" s="144">
        <f>BV343*19%</f>
        <v>248995</v>
      </c>
      <c r="BX343" s="113">
        <f>+BV343+BW343</f>
        <v>1559495</v>
      </c>
      <c r="BY343" s="264" t="s">
        <v>340</v>
      </c>
      <c r="BZ343" s="264" t="s">
        <v>88</v>
      </c>
      <c r="CA343" s="132"/>
      <c r="CB343" s="274"/>
      <c r="CC343" s="144"/>
      <c r="CD343" s="274"/>
      <c r="CE343" s="132"/>
      <c r="CF343" s="132"/>
      <c r="CG343" s="36"/>
      <c r="CH343" s="263"/>
      <c r="CI343" s="265"/>
      <c r="CJ343" s="263"/>
      <c r="CK343" s="264"/>
      <c r="CL343" s="264"/>
      <c r="CM343" s="132"/>
      <c r="CN343" s="274"/>
      <c r="CO343" s="144"/>
      <c r="CP343" s="274"/>
      <c r="CQ343" s="132"/>
      <c r="CR343" s="132"/>
      <c r="CS343" s="132"/>
      <c r="CT343" s="274"/>
      <c r="CU343" s="144"/>
      <c r="CV343" s="274"/>
      <c r="CW343" s="132"/>
      <c r="CX343" s="132"/>
      <c r="CY343" s="132"/>
      <c r="CZ343" s="118"/>
      <c r="DA343" s="144"/>
      <c r="DB343" s="118"/>
      <c r="DC343" s="33"/>
      <c r="DD343" s="39"/>
      <c r="DE343" s="11"/>
      <c r="DF343" s="132"/>
      <c r="DG343" s="132"/>
      <c r="DH343" s="132"/>
      <c r="DI343" s="132"/>
      <c r="DJ343" s="132"/>
      <c r="DK343" s="132"/>
      <c r="DL343" s="132"/>
      <c r="DM343" s="132"/>
      <c r="DN343" s="132"/>
      <c r="DO343" s="132"/>
      <c r="DP343" s="132"/>
      <c r="DQ343" s="132"/>
      <c r="DR343" s="132"/>
      <c r="DS343" s="132"/>
      <c r="DT343" s="132"/>
      <c r="DU343" s="132"/>
      <c r="DV343" s="132"/>
      <c r="DW343" s="132"/>
      <c r="DX343" s="132"/>
      <c r="DY343" s="132"/>
      <c r="DZ343" s="132"/>
      <c r="EA343" s="132"/>
      <c r="EB343" s="132"/>
      <c r="EC343" s="132"/>
      <c r="ED343" s="132"/>
      <c r="EE343" s="132"/>
      <c r="EF343" s="132"/>
      <c r="EG343" s="132"/>
      <c r="EH343" s="132"/>
      <c r="EI343" s="132"/>
      <c r="EJ343" s="132"/>
      <c r="EK343" s="132"/>
      <c r="EL343" s="132"/>
      <c r="EM343" s="132"/>
      <c r="EN343" s="132"/>
      <c r="EO343" s="132"/>
      <c r="EP343" s="132"/>
      <c r="EQ343" s="132"/>
      <c r="ER343" s="132"/>
      <c r="ES343" s="132"/>
      <c r="ET343" s="11"/>
      <c r="EU343" s="11"/>
      <c r="EV343" s="11"/>
      <c r="EW343" s="11"/>
      <c r="EX343" s="11"/>
      <c r="EY343" s="11"/>
      <c r="EZ343" s="11"/>
      <c r="FA343" s="11"/>
      <c r="FB343" s="11"/>
      <c r="FC343" s="11"/>
      <c r="FD343" s="11"/>
      <c r="FE343" s="11"/>
      <c r="FF343" s="11"/>
      <c r="FG343" s="11"/>
      <c r="FH343" s="39">
        <f t="shared" si="85"/>
        <v>3168133.43</v>
      </c>
      <c r="FI343" s="33">
        <f t="shared" si="86"/>
        <v>3</v>
      </c>
      <c r="FJ343" s="84">
        <f t="shared" si="87"/>
        <v>1056044.4766666668</v>
      </c>
    </row>
    <row r="344" spans="1:166" x14ac:dyDescent="0.25">
      <c r="A344" s="79" t="e">
        <f>#REF!</f>
        <v>#REF!</v>
      </c>
      <c r="B344" s="75" t="e">
        <f>#REF!</f>
        <v>#REF!</v>
      </c>
      <c r="C344" s="75" t="e">
        <f>#REF!</f>
        <v>#REF!</v>
      </c>
      <c r="D344" s="75" t="e">
        <f>#REF!</f>
        <v>#REF!</v>
      </c>
      <c r="E344" s="30">
        <v>1</v>
      </c>
      <c r="F344" s="238">
        <v>0</v>
      </c>
      <c r="G344" s="241">
        <v>0</v>
      </c>
      <c r="H344" s="249">
        <v>2427585</v>
      </c>
      <c r="I344" s="249">
        <v>0</v>
      </c>
      <c r="J344" s="249">
        <v>0</v>
      </c>
      <c r="K344" s="249">
        <v>0</v>
      </c>
      <c r="L344" s="274">
        <f>H344</f>
        <v>2427585</v>
      </c>
      <c r="M344" s="274"/>
      <c r="N344" s="245"/>
      <c r="O344" s="113"/>
      <c r="P344" s="113"/>
      <c r="Q344" s="131"/>
      <c r="R344" s="131"/>
      <c r="S344" s="64"/>
      <c r="T344" s="113"/>
      <c r="U344" s="113"/>
      <c r="V344" s="113"/>
      <c r="W344" s="131"/>
      <c r="X344" s="131"/>
      <c r="Y344" s="11"/>
      <c r="Z344" s="113"/>
      <c r="AA344" s="113"/>
      <c r="AB344" s="113"/>
      <c r="AC344" s="52"/>
      <c r="AD344" s="52"/>
      <c r="AE344" s="11"/>
      <c r="AF344" s="118"/>
      <c r="AG344" s="144"/>
      <c r="AH344" s="113"/>
      <c r="AI344" s="11"/>
      <c r="AJ344" s="11"/>
      <c r="AK344" s="39"/>
      <c r="AL344" s="113"/>
      <c r="AM344" s="113"/>
      <c r="AN344" s="119"/>
      <c r="AO344" s="76"/>
      <c r="AP344" s="39"/>
      <c r="AQ344" s="39"/>
      <c r="AR344" s="275"/>
      <c r="AS344" s="155"/>
      <c r="AT344" s="143"/>
      <c r="AU344" s="62"/>
      <c r="AV344" s="62"/>
      <c r="AW344" s="31"/>
      <c r="AX344" s="116"/>
      <c r="AY344" s="196"/>
      <c r="AZ344" s="143"/>
      <c r="BA344" s="191"/>
      <c r="BB344" s="132"/>
      <c r="BC344" s="132"/>
      <c r="BD344" s="274"/>
      <c r="BE344" s="143"/>
      <c r="BF344" s="143"/>
      <c r="BG344" s="132"/>
      <c r="BH344" s="132"/>
      <c r="BI344" s="132"/>
      <c r="BJ344" s="143"/>
      <c r="BK344" s="143"/>
      <c r="BL344" s="143"/>
      <c r="BM344" s="132"/>
      <c r="BN344" s="132"/>
      <c r="BO344" s="132"/>
      <c r="BP344" s="143"/>
      <c r="BQ344" s="132"/>
      <c r="BR344" s="132"/>
      <c r="BS344" s="132"/>
      <c r="BT344" s="132"/>
      <c r="BU344" s="132"/>
      <c r="BV344" s="210"/>
      <c r="BW344" s="144"/>
      <c r="BX344" s="113"/>
      <c r="BY344" s="273"/>
      <c r="BZ344" s="273"/>
      <c r="CA344" s="132"/>
      <c r="CB344" s="274"/>
      <c r="CC344" s="144"/>
      <c r="CD344" s="274"/>
      <c r="CE344" s="132"/>
      <c r="CF344" s="132"/>
      <c r="CG344" s="36"/>
      <c r="CH344" s="210"/>
      <c r="CI344" s="219"/>
      <c r="CJ344" s="210"/>
      <c r="CK344" s="273"/>
      <c r="CL344" s="273"/>
      <c r="CM344" s="132"/>
      <c r="CN344" s="274"/>
      <c r="CO344" s="144"/>
      <c r="CP344" s="274"/>
      <c r="CQ344" s="132"/>
      <c r="CR344" s="132"/>
      <c r="CS344" s="132"/>
      <c r="CT344" s="274"/>
      <c r="CU344" s="144"/>
      <c r="CV344" s="274"/>
      <c r="CW344" s="132"/>
      <c r="CX344" s="132"/>
      <c r="CY344" s="132"/>
      <c r="CZ344" s="118"/>
      <c r="DA344" s="144"/>
      <c r="DB344" s="118"/>
      <c r="DC344" s="33"/>
      <c r="DD344" s="39"/>
      <c r="DE344" s="11"/>
      <c r="DF344" s="132"/>
      <c r="DG344" s="132"/>
      <c r="DH344" s="132"/>
      <c r="DI344" s="132"/>
      <c r="DJ344" s="132"/>
      <c r="DK344" s="132"/>
      <c r="DL344" s="132"/>
      <c r="DM344" s="132"/>
      <c r="DN344" s="132"/>
      <c r="DO344" s="132"/>
      <c r="DP344" s="132"/>
      <c r="DQ344" s="132"/>
      <c r="DR344" s="132"/>
      <c r="DS344" s="132"/>
      <c r="DT344" s="132"/>
      <c r="DU344" s="132"/>
      <c r="DV344" s="132"/>
      <c r="DW344" s="132"/>
      <c r="DX344" s="132"/>
      <c r="DY344" s="132"/>
      <c r="DZ344" s="132"/>
      <c r="EA344" s="132"/>
      <c r="EB344" s="132"/>
      <c r="EC344" s="132"/>
      <c r="ED344" s="132"/>
      <c r="EE344" s="132"/>
      <c r="EF344" s="132"/>
      <c r="EG344" s="132"/>
      <c r="EH344" s="132"/>
      <c r="EI344" s="132"/>
      <c r="EJ344" s="132"/>
      <c r="EK344" s="132"/>
      <c r="EL344" s="132"/>
      <c r="EM344" s="132"/>
      <c r="EN344" s="132"/>
      <c r="EO344" s="132"/>
      <c r="EP344" s="132"/>
      <c r="EQ344" s="132"/>
      <c r="ER344" s="132"/>
      <c r="ES344" s="132"/>
      <c r="ET344" s="11"/>
      <c r="EU344" s="11"/>
      <c r="EV344" s="11"/>
      <c r="EW344" s="11"/>
      <c r="EX344" s="11"/>
      <c r="EY344" s="11"/>
      <c r="EZ344" s="11"/>
      <c r="FA344" s="11"/>
      <c r="FB344" s="11"/>
      <c r="FC344" s="11"/>
      <c r="FD344" s="11"/>
      <c r="FE344" s="11"/>
      <c r="FF344" s="11"/>
      <c r="FG344" s="11"/>
      <c r="FH344" s="39">
        <f t="shared" si="85"/>
        <v>0</v>
      </c>
      <c r="FI344" s="33">
        <f t="shared" si="86"/>
        <v>0</v>
      </c>
      <c r="FJ344" s="84" t="str">
        <f t="shared" si="87"/>
        <v xml:space="preserve"> </v>
      </c>
    </row>
    <row r="345" spans="1:166" ht="40.5" x14ac:dyDescent="0.25">
      <c r="A345" s="79" t="e">
        <f>#REF!</f>
        <v>#REF!</v>
      </c>
      <c r="B345" s="75" t="e">
        <f>#REF!</f>
        <v>#REF!</v>
      </c>
      <c r="C345" s="75" t="e">
        <f>#REF!</f>
        <v>#REF!</v>
      </c>
      <c r="D345" s="75" t="e">
        <f>#REF!</f>
        <v>#REF!</v>
      </c>
      <c r="E345" s="30">
        <v>1</v>
      </c>
      <c r="F345" s="238">
        <v>523600</v>
      </c>
      <c r="G345" s="241">
        <v>505274</v>
      </c>
      <c r="H345" s="249">
        <v>575012.89599999995</v>
      </c>
      <c r="I345" s="249">
        <v>575008</v>
      </c>
      <c r="J345" s="249">
        <v>786456.86395161296</v>
      </c>
      <c r="K345" s="249">
        <v>766836</v>
      </c>
      <c r="L345" s="274">
        <f>AVERAGE(F345,H345,J345)</f>
        <v>628356.58665053768</v>
      </c>
      <c r="M345" s="274">
        <f>AVERAGE(G345,I345,K345)*E1</f>
        <v>634177.18000000005</v>
      </c>
      <c r="N345" s="245"/>
      <c r="O345" s="113"/>
      <c r="P345" s="113"/>
      <c r="Q345" s="131"/>
      <c r="R345" s="131"/>
      <c r="S345" s="64"/>
      <c r="T345" s="113"/>
      <c r="U345" s="122"/>
      <c r="V345" s="113"/>
      <c r="W345" s="131"/>
      <c r="X345" s="131"/>
      <c r="Y345" s="11"/>
      <c r="Z345" s="113"/>
      <c r="AA345" s="113"/>
      <c r="AB345" s="113"/>
      <c r="AC345" s="52"/>
      <c r="AD345" s="52"/>
      <c r="AE345" s="11"/>
      <c r="AF345" s="118"/>
      <c r="AG345" s="144"/>
      <c r="AH345" s="113"/>
      <c r="AI345" s="11"/>
      <c r="AJ345" s="11"/>
      <c r="AK345" s="39"/>
      <c r="AL345" s="113">
        <v>350000</v>
      </c>
      <c r="AM345" s="113">
        <f>+AL345*0.19</f>
        <v>66500</v>
      </c>
      <c r="AN345" s="119">
        <f>+AL345+AM345</f>
        <v>416500</v>
      </c>
      <c r="AO345" s="76" t="s">
        <v>333</v>
      </c>
      <c r="AP345" s="39" t="s">
        <v>45</v>
      </c>
      <c r="AQ345" s="39"/>
      <c r="AR345" s="275"/>
      <c r="AS345" s="158"/>
      <c r="AT345" s="159"/>
      <c r="AU345" s="62"/>
      <c r="AV345" s="62"/>
      <c r="AW345" s="31"/>
      <c r="AX345" s="116"/>
      <c r="AY345" s="194"/>
      <c r="AZ345" s="143"/>
      <c r="BA345" s="191"/>
      <c r="BB345" s="132"/>
      <c r="BC345" s="132"/>
      <c r="BD345" s="274"/>
      <c r="BE345" s="143"/>
      <c r="BF345" s="143"/>
      <c r="BG345" s="132"/>
      <c r="BH345" s="132"/>
      <c r="BI345" s="132"/>
      <c r="BJ345" s="143"/>
      <c r="BK345" s="143"/>
      <c r="BL345" s="143"/>
      <c r="BM345" s="132"/>
      <c r="BN345" s="132"/>
      <c r="BO345" s="132"/>
      <c r="BP345" s="143"/>
      <c r="BQ345" s="132"/>
      <c r="BR345" s="132"/>
      <c r="BS345" s="132"/>
      <c r="BT345" s="132"/>
      <c r="BU345" s="132"/>
      <c r="BV345" s="263">
        <v>980000</v>
      </c>
      <c r="BW345" s="144">
        <f>BV345*19%</f>
        <v>186200</v>
      </c>
      <c r="BX345" s="113">
        <f>+BV345+BW345</f>
        <v>1166200</v>
      </c>
      <c r="BY345" s="264" t="s">
        <v>334</v>
      </c>
      <c r="BZ345" s="264" t="s">
        <v>45</v>
      </c>
      <c r="CA345" s="132"/>
      <c r="CB345" s="274"/>
      <c r="CC345" s="144"/>
      <c r="CD345" s="274"/>
      <c r="CE345" s="132"/>
      <c r="CF345" s="132"/>
      <c r="CG345" s="36"/>
      <c r="CH345" s="263"/>
      <c r="CI345" s="265"/>
      <c r="CJ345" s="263"/>
      <c r="CK345" s="264"/>
      <c r="CL345" s="264"/>
      <c r="CM345" s="132"/>
      <c r="CN345" s="274"/>
      <c r="CO345" s="144"/>
      <c r="CP345" s="274"/>
      <c r="CQ345" s="132"/>
      <c r="CR345" s="132"/>
      <c r="CS345" s="132"/>
      <c r="CT345" s="274"/>
      <c r="CU345" s="144"/>
      <c r="CV345" s="274"/>
      <c r="CW345" s="132"/>
      <c r="CX345" s="132"/>
      <c r="CY345" s="132"/>
      <c r="CZ345" s="118">
        <v>243862</v>
      </c>
      <c r="DA345" s="144">
        <f>+CZ345*0.19</f>
        <v>46333.78</v>
      </c>
      <c r="DB345" s="118">
        <f>+CZ345+DA345</f>
        <v>290195.78000000003</v>
      </c>
      <c r="DC345" s="33" t="s">
        <v>82</v>
      </c>
      <c r="DD345" s="39" t="s">
        <v>58</v>
      </c>
      <c r="DE345" s="11" t="s">
        <v>351</v>
      </c>
      <c r="DF345" s="132"/>
      <c r="DG345" s="132"/>
      <c r="DH345" s="132"/>
      <c r="DI345" s="132"/>
      <c r="DJ345" s="132"/>
      <c r="DK345" s="132"/>
      <c r="DL345" s="132"/>
      <c r="DM345" s="132"/>
      <c r="DN345" s="132"/>
      <c r="DO345" s="132"/>
      <c r="DP345" s="132"/>
      <c r="DQ345" s="132"/>
      <c r="DR345" s="132"/>
      <c r="DS345" s="132"/>
      <c r="DT345" s="132"/>
      <c r="DU345" s="132"/>
      <c r="DV345" s="132"/>
      <c r="DW345" s="132"/>
      <c r="DX345" s="132"/>
      <c r="DY345" s="132"/>
      <c r="DZ345" s="132"/>
      <c r="EA345" s="132"/>
      <c r="EB345" s="132"/>
      <c r="EC345" s="132"/>
      <c r="ED345" s="132"/>
      <c r="EE345" s="132"/>
      <c r="EF345" s="132"/>
      <c r="EG345" s="132"/>
      <c r="EH345" s="132"/>
      <c r="EI345" s="132"/>
      <c r="EJ345" s="132"/>
      <c r="EK345" s="132"/>
      <c r="EL345" s="132"/>
      <c r="EM345" s="132"/>
      <c r="EN345" s="132"/>
      <c r="EO345" s="132"/>
      <c r="EP345" s="132"/>
      <c r="EQ345" s="132"/>
      <c r="ER345" s="132"/>
      <c r="ES345" s="132"/>
      <c r="ET345" s="11"/>
      <c r="EU345" s="11"/>
      <c r="EV345" s="11"/>
      <c r="EW345" s="11"/>
      <c r="EX345" s="11"/>
      <c r="EY345" s="11"/>
      <c r="EZ345" s="11"/>
      <c r="FA345" s="11"/>
      <c r="FB345" s="11"/>
      <c r="FC345" s="11"/>
      <c r="FD345" s="11"/>
      <c r="FE345" s="11"/>
      <c r="FF345" s="11"/>
      <c r="FG345" s="11"/>
      <c r="FH345" s="39">
        <f t="shared" si="85"/>
        <v>2507072.96</v>
      </c>
      <c r="FI345" s="33">
        <f t="shared" si="86"/>
        <v>4</v>
      </c>
      <c r="FJ345" s="84">
        <f t="shared" si="87"/>
        <v>626768.24</v>
      </c>
    </row>
    <row r="346" spans="1:166" x14ac:dyDescent="0.25">
      <c r="A346" s="79" t="e">
        <f>#REF!</f>
        <v>#REF!</v>
      </c>
      <c r="B346" s="75" t="e">
        <f>#REF!</f>
        <v>#REF!</v>
      </c>
      <c r="C346" s="75" t="e">
        <f>#REF!</f>
        <v>#REF!</v>
      </c>
      <c r="D346" s="75" t="e">
        <f>#REF!</f>
        <v>#REF!</v>
      </c>
      <c r="E346" s="30">
        <v>1</v>
      </c>
      <c r="F346" s="238">
        <v>0</v>
      </c>
      <c r="G346" s="241">
        <v>0</v>
      </c>
      <c r="H346" s="249">
        <v>2795185.4070000001</v>
      </c>
      <c r="I346" s="249">
        <v>0</v>
      </c>
      <c r="J346" s="249">
        <v>0</v>
      </c>
      <c r="K346" s="249">
        <v>0</v>
      </c>
      <c r="L346" s="274">
        <f>H346</f>
        <v>2795185.4070000001</v>
      </c>
      <c r="M346" s="274"/>
      <c r="N346" s="245"/>
      <c r="O346" s="113"/>
      <c r="P346" s="113"/>
      <c r="Q346" s="131"/>
      <c r="R346" s="131"/>
      <c r="S346" s="64"/>
      <c r="T346" s="113"/>
      <c r="U346" s="117"/>
      <c r="V346" s="113"/>
      <c r="W346" s="131"/>
      <c r="X346" s="131"/>
      <c r="Y346" s="11"/>
      <c r="Z346" s="113"/>
      <c r="AA346" s="113"/>
      <c r="AB346" s="113"/>
      <c r="AC346" s="52"/>
      <c r="AD346" s="52"/>
      <c r="AE346" s="11"/>
      <c r="AF346" s="113"/>
      <c r="AG346" s="144"/>
      <c r="AH346" s="113"/>
      <c r="AI346" s="11"/>
      <c r="AJ346" s="11"/>
      <c r="AK346" s="39"/>
      <c r="AL346" s="113"/>
      <c r="AM346" s="113"/>
      <c r="AN346" s="117"/>
      <c r="AO346" s="76"/>
      <c r="AP346" s="39"/>
      <c r="AQ346" s="39"/>
      <c r="AR346" s="275"/>
      <c r="AS346" s="156"/>
      <c r="AT346" s="157"/>
      <c r="AU346" s="62"/>
      <c r="AV346" s="62"/>
      <c r="AW346" s="31"/>
      <c r="AX346" s="116"/>
      <c r="AY346" s="196"/>
      <c r="AZ346" s="143"/>
      <c r="BA346" s="191"/>
      <c r="BB346" s="132"/>
      <c r="BC346" s="132"/>
      <c r="BD346" s="275"/>
      <c r="BE346" s="143"/>
      <c r="BF346" s="143"/>
      <c r="BG346" s="132"/>
      <c r="BH346" s="132"/>
      <c r="BI346" s="132"/>
      <c r="BJ346" s="143"/>
      <c r="BK346" s="143"/>
      <c r="BL346" s="143"/>
      <c r="BM346" s="132"/>
      <c r="BN346" s="132"/>
      <c r="BO346" s="132"/>
      <c r="BP346" s="143"/>
      <c r="BQ346" s="132"/>
      <c r="BR346" s="132"/>
      <c r="BS346" s="132"/>
      <c r="BT346" s="132"/>
      <c r="BU346" s="132"/>
      <c r="BV346" s="210"/>
      <c r="BW346" s="144"/>
      <c r="BX346" s="113"/>
      <c r="BY346" s="273"/>
      <c r="BZ346" s="273"/>
      <c r="CA346" s="132"/>
      <c r="CB346" s="275"/>
      <c r="CC346" s="143"/>
      <c r="CD346" s="275"/>
      <c r="CE346" s="132"/>
      <c r="CF346" s="132"/>
      <c r="CG346" s="36"/>
      <c r="CH346" s="210"/>
      <c r="CI346" s="219"/>
      <c r="CJ346" s="210"/>
      <c r="CK346" s="273"/>
      <c r="CL346" s="273"/>
      <c r="CM346" s="132"/>
      <c r="CN346" s="275"/>
      <c r="CO346" s="143"/>
      <c r="CP346" s="275"/>
      <c r="CQ346" s="132"/>
      <c r="CR346" s="132"/>
      <c r="CS346" s="132"/>
      <c r="CT346" s="275"/>
      <c r="CU346" s="143"/>
      <c r="CV346" s="275"/>
      <c r="CW346" s="132"/>
      <c r="CX346" s="132"/>
      <c r="CY346" s="132"/>
      <c r="CZ346" s="113"/>
      <c r="DA346" s="143"/>
      <c r="DB346" s="113"/>
      <c r="DC346" s="33"/>
      <c r="DD346" s="39"/>
      <c r="DE346" s="11"/>
      <c r="DF346" s="132"/>
      <c r="DG346" s="132"/>
      <c r="DH346" s="132"/>
      <c r="DI346" s="132"/>
      <c r="DJ346" s="132"/>
      <c r="DK346" s="132"/>
      <c r="DL346" s="132"/>
      <c r="DM346" s="132"/>
      <c r="DN346" s="132"/>
      <c r="DO346" s="132"/>
      <c r="DP346" s="132"/>
      <c r="DQ346" s="132"/>
      <c r="DR346" s="132"/>
      <c r="DS346" s="132"/>
      <c r="DT346" s="132"/>
      <c r="DU346" s="132"/>
      <c r="DV346" s="132"/>
      <c r="DW346" s="132"/>
      <c r="DX346" s="132"/>
      <c r="DY346" s="132"/>
      <c r="DZ346" s="132"/>
      <c r="EA346" s="132"/>
      <c r="EB346" s="132"/>
      <c r="EC346" s="132"/>
      <c r="ED346" s="132"/>
      <c r="EE346" s="132"/>
      <c r="EF346" s="132"/>
      <c r="EG346" s="132"/>
      <c r="EH346" s="132"/>
      <c r="EI346" s="132"/>
      <c r="EJ346" s="132"/>
      <c r="EK346" s="132"/>
      <c r="EL346" s="132"/>
      <c r="EM346" s="132"/>
      <c r="EN346" s="132"/>
      <c r="EO346" s="132"/>
      <c r="EP346" s="132"/>
      <c r="EQ346" s="132"/>
      <c r="ER346" s="132"/>
      <c r="ES346" s="132"/>
      <c r="ET346" s="11"/>
      <c r="EU346" s="11"/>
      <c r="EV346" s="11"/>
      <c r="EW346" s="11"/>
      <c r="EX346" s="11"/>
      <c r="EY346" s="11"/>
      <c r="EZ346" s="11"/>
      <c r="FA346" s="11"/>
      <c r="FB346" s="11"/>
      <c r="FC346" s="11"/>
      <c r="FD346" s="11"/>
      <c r="FE346" s="11"/>
      <c r="FF346" s="11"/>
      <c r="FG346" s="11"/>
      <c r="FH346" s="39">
        <f t="shared" si="85"/>
        <v>0</v>
      </c>
      <c r="FI346" s="33">
        <f t="shared" si="86"/>
        <v>0</v>
      </c>
      <c r="FJ346" s="84" t="str">
        <f t="shared" si="87"/>
        <v xml:space="preserve"> </v>
      </c>
    </row>
    <row r="347" spans="1:166" ht="13.5" x14ac:dyDescent="0.25">
      <c r="A347" s="79" t="e">
        <f>#REF!</f>
        <v>#REF!</v>
      </c>
      <c r="B347" s="75" t="e">
        <f>#REF!</f>
        <v>#REF!</v>
      </c>
      <c r="C347" s="75" t="e">
        <f>#REF!</f>
        <v>#REF!</v>
      </c>
      <c r="D347" s="75" t="e">
        <f>#REF!</f>
        <v>#REF!</v>
      </c>
      <c r="E347" s="30">
        <v>1</v>
      </c>
      <c r="F347" s="238">
        <v>0</v>
      </c>
      <c r="G347" s="241">
        <v>0</v>
      </c>
      <c r="H347" s="249">
        <v>0</v>
      </c>
      <c r="I347" s="249">
        <v>0</v>
      </c>
      <c r="J347" s="249">
        <v>444239.29666666669</v>
      </c>
      <c r="K347" s="249">
        <v>0</v>
      </c>
      <c r="L347" s="274">
        <f>J347</f>
        <v>444239.29666666669</v>
      </c>
      <c r="M347" s="274"/>
      <c r="N347" s="245"/>
      <c r="O347" s="113"/>
      <c r="P347" s="113"/>
      <c r="Q347" s="131"/>
      <c r="R347" s="131"/>
      <c r="S347" s="64"/>
      <c r="T347" s="113"/>
      <c r="U347" s="117"/>
      <c r="V347" s="113"/>
      <c r="W347" s="131"/>
      <c r="X347" s="131"/>
      <c r="Y347" s="11"/>
      <c r="Z347" s="113"/>
      <c r="AA347" s="113"/>
      <c r="AB347" s="113"/>
      <c r="AC347" s="52"/>
      <c r="AD347" s="52"/>
      <c r="AE347" s="11"/>
      <c r="AF347" s="118"/>
      <c r="AG347" s="144"/>
      <c r="AH347" s="113"/>
      <c r="AI347" s="11"/>
      <c r="AJ347" s="11"/>
      <c r="AK347" s="39"/>
      <c r="AL347" s="113"/>
      <c r="AM347" s="113"/>
      <c r="AN347" s="117"/>
      <c r="AO347" s="76"/>
      <c r="AP347" s="39"/>
      <c r="AQ347" s="39"/>
      <c r="AR347" s="275">
        <f>537931/5</f>
        <v>107586.2</v>
      </c>
      <c r="AS347" s="113">
        <f>+AR347*0.19</f>
        <v>20441.378000000001</v>
      </c>
      <c r="AT347" s="119">
        <f>+AR347+AS347</f>
        <v>128027.57799999999</v>
      </c>
      <c r="AU347" s="62" t="s">
        <v>95</v>
      </c>
      <c r="AV347" s="62" t="s">
        <v>45</v>
      </c>
      <c r="AW347" s="31"/>
      <c r="AX347" s="116"/>
      <c r="AY347" s="196"/>
      <c r="AZ347" s="143"/>
      <c r="BA347" s="191"/>
      <c r="BB347" s="132"/>
      <c r="BC347" s="132"/>
      <c r="BD347" s="274"/>
      <c r="BE347" s="143"/>
      <c r="BF347" s="143"/>
      <c r="BG347" s="132"/>
      <c r="BH347" s="132"/>
      <c r="BI347" s="132"/>
      <c r="BJ347" s="143"/>
      <c r="BK347" s="143"/>
      <c r="BL347" s="143"/>
      <c r="BM347" s="132"/>
      <c r="BN347" s="132"/>
      <c r="BO347" s="132"/>
      <c r="BP347" s="143"/>
      <c r="BQ347" s="132"/>
      <c r="BR347" s="132"/>
      <c r="BS347" s="132"/>
      <c r="BT347" s="132"/>
      <c r="BU347" s="132"/>
      <c r="BV347" s="263">
        <v>184500</v>
      </c>
      <c r="BW347" s="144">
        <f t="shared" ref="BW347:BW357" si="92">BV347*19%</f>
        <v>35055</v>
      </c>
      <c r="BX347" s="113">
        <f t="shared" ref="BX347:BX360" si="93">+BV347+BW347</f>
        <v>219555</v>
      </c>
      <c r="BY347" s="264" t="s">
        <v>342</v>
      </c>
      <c r="BZ347" s="264" t="s">
        <v>37</v>
      </c>
      <c r="CA347" s="132"/>
      <c r="CB347" s="274"/>
      <c r="CC347" s="144"/>
      <c r="CD347" s="274"/>
      <c r="CE347" s="132"/>
      <c r="CF347" s="132"/>
      <c r="CG347" s="36"/>
      <c r="CH347" s="263">
        <v>186345</v>
      </c>
      <c r="CI347" s="265">
        <f t="shared" ref="CI347:CI352" si="94">+CH347*0.19</f>
        <v>35405.550000000003</v>
      </c>
      <c r="CJ347" s="263">
        <f t="shared" ref="CJ347:CJ352" si="95">+CH347+CI347</f>
        <v>221750.55</v>
      </c>
      <c r="CK347" s="264" t="s">
        <v>342</v>
      </c>
      <c r="CL347" s="264" t="s">
        <v>37</v>
      </c>
      <c r="CM347" s="132"/>
      <c r="CN347" s="274"/>
      <c r="CO347" s="144"/>
      <c r="CP347" s="274"/>
      <c r="CQ347" s="132"/>
      <c r="CR347" s="132"/>
      <c r="CS347" s="132"/>
      <c r="CT347" s="274"/>
      <c r="CU347" s="144"/>
      <c r="CV347" s="274"/>
      <c r="CW347" s="132"/>
      <c r="CX347" s="132"/>
      <c r="CY347" s="132"/>
      <c r="CZ347" s="118"/>
      <c r="DA347" s="144"/>
      <c r="DB347" s="118"/>
      <c r="DC347" s="33"/>
      <c r="DD347" s="39"/>
      <c r="DE347" s="11"/>
      <c r="DF347" s="132"/>
      <c r="DG347" s="132"/>
      <c r="DH347" s="132"/>
      <c r="DI347" s="132"/>
      <c r="DJ347" s="132"/>
      <c r="DK347" s="132"/>
      <c r="DL347" s="132"/>
      <c r="DM347" s="132"/>
      <c r="DN347" s="132"/>
      <c r="DO347" s="132"/>
      <c r="DP347" s="132"/>
      <c r="DQ347" s="132"/>
      <c r="DR347" s="132"/>
      <c r="DS347" s="132"/>
      <c r="DT347" s="132"/>
      <c r="DU347" s="132"/>
      <c r="DV347" s="132"/>
      <c r="DW347" s="132"/>
      <c r="DX347" s="132"/>
      <c r="DY347" s="132"/>
      <c r="DZ347" s="132"/>
      <c r="EA347" s="132"/>
      <c r="EB347" s="132"/>
      <c r="EC347" s="132"/>
      <c r="ED347" s="132"/>
      <c r="EE347" s="132"/>
      <c r="EF347" s="132"/>
      <c r="EG347" s="132"/>
      <c r="EH347" s="132"/>
      <c r="EI347" s="132"/>
      <c r="EJ347" s="132"/>
      <c r="EK347" s="132"/>
      <c r="EL347" s="132"/>
      <c r="EM347" s="132"/>
      <c r="EN347" s="132"/>
      <c r="EO347" s="132"/>
      <c r="EP347" s="132"/>
      <c r="EQ347" s="132"/>
      <c r="ER347" s="132"/>
      <c r="ES347" s="132"/>
      <c r="ET347" s="11"/>
      <c r="EU347" s="11"/>
      <c r="EV347" s="11"/>
      <c r="EW347" s="11"/>
      <c r="EX347" s="11"/>
      <c r="EY347" s="11"/>
      <c r="EZ347" s="11"/>
      <c r="FA347" s="11"/>
      <c r="FB347" s="11"/>
      <c r="FC347" s="11"/>
      <c r="FD347" s="11"/>
      <c r="FE347" s="11"/>
      <c r="FF347" s="11"/>
      <c r="FG347" s="11"/>
      <c r="FH347" s="39">
        <f t="shared" si="85"/>
        <v>569333.12800000003</v>
      </c>
      <c r="FI347" s="33">
        <f t="shared" si="86"/>
        <v>3</v>
      </c>
      <c r="FJ347" s="84">
        <f t="shared" si="87"/>
        <v>189777.70933333333</v>
      </c>
    </row>
    <row r="348" spans="1:166" ht="27" x14ac:dyDescent="0.25">
      <c r="A348" s="79" t="e">
        <f>#REF!</f>
        <v>#REF!</v>
      </c>
      <c r="B348" s="75" t="e">
        <f>#REF!</f>
        <v>#REF!</v>
      </c>
      <c r="C348" s="75" t="e">
        <f>#REF!</f>
        <v>#REF!</v>
      </c>
      <c r="D348" s="75" t="e">
        <f>#REF!</f>
        <v>#REF!</v>
      </c>
      <c r="E348" s="30">
        <v>1</v>
      </c>
      <c r="F348" s="238">
        <v>380970.56666666665</v>
      </c>
      <c r="G348" s="241">
        <v>60928</v>
      </c>
      <c r="H348" s="249">
        <v>395563.07272533333</v>
      </c>
      <c r="I348" s="249">
        <v>395080</v>
      </c>
      <c r="J348" s="249">
        <v>197731.84335483873</v>
      </c>
      <c r="K348" s="249">
        <v>192780</v>
      </c>
      <c r="L348" s="274">
        <f>AVERAGE(F348,H348,J348)</f>
        <v>324755.16091561288</v>
      </c>
      <c r="M348" s="274">
        <f>AVERAGE(G348,I348,K348)*E1</f>
        <v>222750.54666666666</v>
      </c>
      <c r="N348" s="245"/>
      <c r="O348" s="113"/>
      <c r="P348" s="113"/>
      <c r="Q348" s="131"/>
      <c r="R348" s="131"/>
      <c r="S348" s="64"/>
      <c r="T348" s="113"/>
      <c r="U348" s="117"/>
      <c r="V348" s="113"/>
      <c r="W348" s="131"/>
      <c r="X348" s="131"/>
      <c r="Y348" s="11"/>
      <c r="Z348" s="113"/>
      <c r="AA348" s="113"/>
      <c r="AB348" s="113"/>
      <c r="AC348" s="52"/>
      <c r="AD348" s="52"/>
      <c r="AE348" s="11"/>
      <c r="AF348" s="118">
        <v>110000</v>
      </c>
      <c r="AG348" s="144">
        <f>AF348*19%</f>
        <v>20900</v>
      </c>
      <c r="AH348" s="113">
        <f>+AF348+AG348</f>
        <v>130900</v>
      </c>
      <c r="AI348" s="11"/>
      <c r="AJ348" s="11"/>
      <c r="AK348" s="39"/>
      <c r="AL348" s="113">
        <v>109000</v>
      </c>
      <c r="AM348" s="113">
        <f>+AL348*0.19</f>
        <v>20710</v>
      </c>
      <c r="AN348" s="119">
        <f>+AL348+AM348</f>
        <v>129710</v>
      </c>
      <c r="AO348" s="76" t="s">
        <v>49</v>
      </c>
      <c r="AP348" s="39" t="s">
        <v>45</v>
      </c>
      <c r="AQ348" s="39"/>
      <c r="AR348" s="275"/>
      <c r="AS348" s="156"/>
      <c r="AT348" s="157"/>
      <c r="AU348" s="62"/>
      <c r="AV348" s="62"/>
      <c r="AW348" s="31"/>
      <c r="AX348" s="116"/>
      <c r="AY348" s="196"/>
      <c r="AZ348" s="143"/>
      <c r="BA348" s="191"/>
      <c r="BB348" s="132"/>
      <c r="BC348" s="132"/>
      <c r="BD348" s="274"/>
      <c r="BE348" s="143"/>
      <c r="BF348" s="143"/>
      <c r="BG348" s="132"/>
      <c r="BH348" s="132"/>
      <c r="BI348" s="132"/>
      <c r="BJ348" s="143"/>
      <c r="BK348" s="143"/>
      <c r="BL348" s="143"/>
      <c r="BM348" s="132"/>
      <c r="BN348" s="132"/>
      <c r="BO348" s="132"/>
      <c r="BP348" s="143"/>
      <c r="BQ348" s="132"/>
      <c r="BR348" s="132"/>
      <c r="BS348" s="132"/>
      <c r="BT348" s="132"/>
      <c r="BU348" s="132"/>
      <c r="BV348" s="263">
        <v>174000</v>
      </c>
      <c r="BW348" s="144">
        <f t="shared" si="92"/>
        <v>33060</v>
      </c>
      <c r="BX348" s="113">
        <f t="shared" si="93"/>
        <v>207060</v>
      </c>
      <c r="BY348" s="264" t="s">
        <v>329</v>
      </c>
      <c r="BZ348" s="264" t="s">
        <v>92</v>
      </c>
      <c r="CA348" s="132"/>
      <c r="CB348" s="274"/>
      <c r="CC348" s="144"/>
      <c r="CD348" s="274"/>
      <c r="CE348" s="132"/>
      <c r="CF348" s="132"/>
      <c r="CG348" s="36"/>
      <c r="CH348" s="263">
        <v>175740</v>
      </c>
      <c r="CI348" s="265">
        <f t="shared" si="94"/>
        <v>33390.6</v>
      </c>
      <c r="CJ348" s="263">
        <f t="shared" si="95"/>
        <v>209130.6</v>
      </c>
      <c r="CK348" s="264" t="s">
        <v>329</v>
      </c>
      <c r="CL348" s="264" t="s">
        <v>92</v>
      </c>
      <c r="CM348" s="132"/>
      <c r="CN348" s="274"/>
      <c r="CO348" s="144"/>
      <c r="CP348" s="274"/>
      <c r="CQ348" s="132"/>
      <c r="CR348" s="132"/>
      <c r="CS348" s="132"/>
      <c r="CT348" s="274"/>
      <c r="CU348" s="144"/>
      <c r="CV348" s="274"/>
      <c r="CW348" s="132"/>
      <c r="CX348" s="132"/>
      <c r="CY348" s="132"/>
      <c r="CZ348" s="118"/>
      <c r="DA348" s="144"/>
      <c r="DB348" s="118"/>
      <c r="DC348" s="33"/>
      <c r="DD348" s="39"/>
      <c r="DE348" s="11"/>
      <c r="DF348" s="132"/>
      <c r="DG348" s="132"/>
      <c r="DH348" s="132"/>
      <c r="DI348" s="132"/>
      <c r="DJ348" s="132"/>
      <c r="DK348" s="132"/>
      <c r="DL348" s="132"/>
      <c r="DM348" s="132"/>
      <c r="DN348" s="132"/>
      <c r="DO348" s="132"/>
      <c r="DP348" s="132"/>
      <c r="DQ348" s="132"/>
      <c r="DR348" s="132"/>
      <c r="DS348" s="132"/>
      <c r="DT348" s="132"/>
      <c r="DU348" s="132"/>
      <c r="DV348" s="132"/>
      <c r="DW348" s="132"/>
      <c r="DX348" s="132"/>
      <c r="DY348" s="132"/>
      <c r="DZ348" s="132"/>
      <c r="EA348" s="132"/>
      <c r="EB348" s="132"/>
      <c r="EC348" s="132"/>
      <c r="ED348" s="132"/>
      <c r="EE348" s="132"/>
      <c r="EF348" s="132"/>
      <c r="EG348" s="132"/>
      <c r="EH348" s="132"/>
      <c r="EI348" s="132"/>
      <c r="EJ348" s="132"/>
      <c r="EK348" s="132"/>
      <c r="EL348" s="132"/>
      <c r="EM348" s="132"/>
      <c r="EN348" s="132"/>
      <c r="EO348" s="132"/>
      <c r="EP348" s="132"/>
      <c r="EQ348" s="132"/>
      <c r="ER348" s="132"/>
      <c r="ES348" s="132"/>
      <c r="ET348" s="11"/>
      <c r="EU348" s="11"/>
      <c r="EV348" s="11"/>
      <c r="EW348" s="11"/>
      <c r="EX348" s="11"/>
      <c r="EY348" s="11"/>
      <c r="EZ348" s="11"/>
      <c r="FA348" s="11"/>
      <c r="FB348" s="11"/>
      <c r="FC348" s="11"/>
      <c r="FD348" s="11"/>
      <c r="FE348" s="11"/>
      <c r="FF348" s="11"/>
      <c r="FG348" s="11"/>
      <c r="FH348" s="39">
        <f t="shared" si="85"/>
        <v>899551.14666666661</v>
      </c>
      <c r="FI348" s="33">
        <f t="shared" si="86"/>
        <v>5</v>
      </c>
      <c r="FJ348" s="84">
        <f t="shared" si="87"/>
        <v>179910.22933333332</v>
      </c>
    </row>
    <row r="349" spans="1:166" ht="27" x14ac:dyDescent="0.25">
      <c r="A349" s="79" t="e">
        <f>#REF!</f>
        <v>#REF!</v>
      </c>
      <c r="B349" s="75" t="e">
        <f>#REF!</f>
        <v>#REF!</v>
      </c>
      <c r="C349" s="75" t="e">
        <f>#REF!</f>
        <v>#REF!</v>
      </c>
      <c r="D349" s="75" t="e">
        <f>#REF!</f>
        <v>#REF!</v>
      </c>
      <c r="E349" s="30">
        <v>1</v>
      </c>
      <c r="F349" s="238">
        <v>0</v>
      </c>
      <c r="G349" s="241">
        <v>0</v>
      </c>
      <c r="H349" s="249">
        <v>0</v>
      </c>
      <c r="I349" s="249">
        <v>0</v>
      </c>
      <c r="J349" s="249">
        <v>207763.29</v>
      </c>
      <c r="K349" s="249">
        <v>202538</v>
      </c>
      <c r="L349" s="274">
        <f>J349</f>
        <v>207763.29</v>
      </c>
      <c r="M349" s="274">
        <f>K349*E1</f>
        <v>208614.14</v>
      </c>
      <c r="N349" s="245"/>
      <c r="O349" s="113"/>
      <c r="P349" s="113"/>
      <c r="Q349" s="131"/>
      <c r="R349" s="131"/>
      <c r="S349" s="64"/>
      <c r="T349" s="113"/>
      <c r="U349" s="117"/>
      <c r="V349" s="113"/>
      <c r="W349" s="131"/>
      <c r="X349" s="131"/>
      <c r="Y349" s="11"/>
      <c r="Z349" s="113"/>
      <c r="AA349" s="113"/>
      <c r="AB349" s="113"/>
      <c r="AC349" s="52"/>
      <c r="AD349" s="52"/>
      <c r="AE349" s="11"/>
      <c r="AF349" s="118">
        <v>140000</v>
      </c>
      <c r="AG349" s="144">
        <f>AF349*19%</f>
        <v>26600</v>
      </c>
      <c r="AH349" s="113">
        <f>+AF349+AG349</f>
        <v>166600</v>
      </c>
      <c r="AI349" s="11"/>
      <c r="AJ349" s="11"/>
      <c r="AK349" s="39"/>
      <c r="AL349" s="113">
        <v>145000</v>
      </c>
      <c r="AM349" s="113">
        <f>+AL349*0.19</f>
        <v>27550</v>
      </c>
      <c r="AN349" s="119">
        <f>+AL349+AM349</f>
        <v>172550</v>
      </c>
      <c r="AO349" s="76" t="s">
        <v>49</v>
      </c>
      <c r="AP349" s="39" t="s">
        <v>45</v>
      </c>
      <c r="AQ349" s="39"/>
      <c r="AR349" s="275"/>
      <c r="AS349" s="156"/>
      <c r="AT349" s="157"/>
      <c r="AU349" s="62"/>
      <c r="AV349" s="62"/>
      <c r="AW349" s="31"/>
      <c r="AX349" s="116"/>
      <c r="AY349" s="196"/>
      <c r="AZ349" s="143"/>
      <c r="BA349" s="191"/>
      <c r="BB349" s="132"/>
      <c r="BC349" s="132"/>
      <c r="BD349" s="274"/>
      <c r="BE349" s="143"/>
      <c r="BF349" s="143"/>
      <c r="BG349" s="132"/>
      <c r="BH349" s="132"/>
      <c r="BI349" s="132"/>
      <c r="BJ349" s="143"/>
      <c r="BK349" s="143"/>
      <c r="BL349" s="143"/>
      <c r="BM349" s="132"/>
      <c r="BN349" s="132"/>
      <c r="BO349" s="132"/>
      <c r="BP349" s="143"/>
      <c r="BQ349" s="132"/>
      <c r="BR349" s="132"/>
      <c r="BS349" s="132"/>
      <c r="BT349" s="132"/>
      <c r="BU349" s="132"/>
      <c r="BV349" s="263">
        <v>299300</v>
      </c>
      <c r="BW349" s="144">
        <f t="shared" si="92"/>
        <v>56867</v>
      </c>
      <c r="BX349" s="113">
        <f t="shared" si="93"/>
        <v>356167</v>
      </c>
      <c r="BY349" s="264" t="s">
        <v>352</v>
      </c>
      <c r="BZ349" s="264" t="s">
        <v>92</v>
      </c>
      <c r="CA349" s="132"/>
      <c r="CB349" s="274"/>
      <c r="CC349" s="144"/>
      <c r="CD349" s="274"/>
      <c r="CE349" s="132"/>
      <c r="CF349" s="132"/>
      <c r="CG349" s="36"/>
      <c r="CH349" s="263">
        <v>311272</v>
      </c>
      <c r="CI349" s="265">
        <f t="shared" si="94"/>
        <v>59141.68</v>
      </c>
      <c r="CJ349" s="263">
        <f t="shared" si="95"/>
        <v>370413.68</v>
      </c>
      <c r="CK349" s="264" t="s">
        <v>352</v>
      </c>
      <c r="CL349" s="264" t="s">
        <v>92</v>
      </c>
      <c r="CM349" s="132"/>
      <c r="CN349" s="274"/>
      <c r="CO349" s="144"/>
      <c r="CP349" s="274"/>
      <c r="CQ349" s="132"/>
      <c r="CR349" s="132"/>
      <c r="CS349" s="132"/>
      <c r="CT349" s="274"/>
      <c r="CU349" s="144"/>
      <c r="CV349" s="274"/>
      <c r="CW349" s="132"/>
      <c r="CX349" s="132"/>
      <c r="CY349" s="132"/>
      <c r="CZ349" s="118"/>
      <c r="DA349" s="144"/>
      <c r="DB349" s="118"/>
      <c r="DC349" s="33"/>
      <c r="DD349" s="39"/>
      <c r="DE349" s="11"/>
      <c r="DF349" s="132"/>
      <c r="DG349" s="132"/>
      <c r="DH349" s="132"/>
      <c r="DI349" s="132"/>
      <c r="DJ349" s="132"/>
      <c r="DK349" s="132"/>
      <c r="DL349" s="132"/>
      <c r="DM349" s="132"/>
      <c r="DN349" s="132"/>
      <c r="DO349" s="132"/>
      <c r="DP349" s="132"/>
      <c r="DQ349" s="132"/>
      <c r="DR349" s="132"/>
      <c r="DS349" s="132"/>
      <c r="DT349" s="132"/>
      <c r="DU349" s="132"/>
      <c r="DV349" s="132"/>
      <c r="DW349" s="132"/>
      <c r="DX349" s="132"/>
      <c r="DY349" s="132"/>
      <c r="DZ349" s="132"/>
      <c r="EA349" s="132"/>
      <c r="EB349" s="132"/>
      <c r="EC349" s="132"/>
      <c r="ED349" s="132"/>
      <c r="EE349" s="132"/>
      <c r="EF349" s="132"/>
      <c r="EG349" s="132"/>
      <c r="EH349" s="132"/>
      <c r="EI349" s="132"/>
      <c r="EJ349" s="132"/>
      <c r="EK349" s="132"/>
      <c r="EL349" s="132"/>
      <c r="EM349" s="132"/>
      <c r="EN349" s="132"/>
      <c r="EO349" s="132"/>
      <c r="EP349" s="132"/>
      <c r="EQ349" s="132"/>
      <c r="ER349" s="132"/>
      <c r="ES349" s="132"/>
      <c r="ET349" s="11"/>
      <c r="EU349" s="11"/>
      <c r="EV349" s="11"/>
      <c r="EW349" s="11"/>
      <c r="EX349" s="11"/>
      <c r="EY349" s="11"/>
      <c r="EZ349" s="11"/>
      <c r="FA349" s="11"/>
      <c r="FB349" s="11"/>
      <c r="FC349" s="11"/>
      <c r="FD349" s="11"/>
      <c r="FE349" s="11"/>
      <c r="FF349" s="11"/>
      <c r="FG349" s="11"/>
      <c r="FH349" s="39">
        <f t="shared" si="85"/>
        <v>1274344.82</v>
      </c>
      <c r="FI349" s="33">
        <f t="shared" si="86"/>
        <v>5</v>
      </c>
      <c r="FJ349" s="84">
        <f t="shared" si="87"/>
        <v>254868.96400000001</v>
      </c>
    </row>
    <row r="350" spans="1:166" ht="13.5" x14ac:dyDescent="0.25">
      <c r="A350" s="79" t="e">
        <f>#REF!</f>
        <v>#REF!</v>
      </c>
      <c r="B350" s="75" t="e">
        <f>#REF!</f>
        <v>#REF!</v>
      </c>
      <c r="C350" s="75" t="e">
        <f>#REF!</f>
        <v>#REF!</v>
      </c>
      <c r="D350" s="75" t="e">
        <f>#REF!</f>
        <v>#REF!</v>
      </c>
      <c r="E350" s="30">
        <v>1</v>
      </c>
      <c r="F350" s="238">
        <v>76913.666666666672</v>
      </c>
      <c r="G350" s="241">
        <v>73780</v>
      </c>
      <c r="H350" s="249">
        <v>96153.134238888902</v>
      </c>
      <c r="I350" s="249">
        <v>96152</v>
      </c>
      <c r="J350" s="249">
        <v>85719.666666666672</v>
      </c>
      <c r="K350" s="249">
        <v>0</v>
      </c>
      <c r="L350" s="274">
        <f>AVERAGE(F350,H350,J350)</f>
        <v>86262.155857407415</v>
      </c>
      <c r="M350" s="274">
        <f>AVERAGE(G350,I350)*E1</f>
        <v>87514.98</v>
      </c>
      <c r="N350" s="245"/>
      <c r="O350" s="113"/>
      <c r="P350" s="113"/>
      <c r="Q350" s="131"/>
      <c r="R350" s="131"/>
      <c r="S350" s="64"/>
      <c r="T350" s="113"/>
      <c r="U350" s="113"/>
      <c r="V350" s="113"/>
      <c r="W350" s="131"/>
      <c r="X350" s="131"/>
      <c r="Y350" s="11"/>
      <c r="Z350" s="113"/>
      <c r="AA350" s="113"/>
      <c r="AB350" s="113"/>
      <c r="AC350" s="52"/>
      <c r="AD350" s="52"/>
      <c r="AE350" s="11"/>
      <c r="AF350" s="118"/>
      <c r="AG350" s="144"/>
      <c r="AH350" s="113"/>
      <c r="AI350" s="11"/>
      <c r="AJ350" s="11"/>
      <c r="AK350" s="39"/>
      <c r="AL350" s="113">
        <v>85000</v>
      </c>
      <c r="AM350" s="113">
        <f>+AL350*0.19</f>
        <v>16150</v>
      </c>
      <c r="AN350" s="119">
        <f>+AL350+AM350</f>
        <v>101150</v>
      </c>
      <c r="AO350" s="76" t="s">
        <v>49</v>
      </c>
      <c r="AP350" s="39" t="s">
        <v>45</v>
      </c>
      <c r="AQ350" s="39"/>
      <c r="AR350" s="275"/>
      <c r="AS350" s="156"/>
      <c r="AT350" s="157"/>
      <c r="AU350" s="62"/>
      <c r="AV350" s="62"/>
      <c r="AW350" s="31"/>
      <c r="AX350" s="116"/>
      <c r="AY350" s="116"/>
      <c r="AZ350" s="143"/>
      <c r="BA350" s="191"/>
      <c r="BB350" s="132"/>
      <c r="BC350" s="132"/>
      <c r="BD350" s="274"/>
      <c r="BE350" s="143"/>
      <c r="BF350" s="143"/>
      <c r="BG350" s="132"/>
      <c r="BH350" s="132"/>
      <c r="BI350" s="132"/>
      <c r="BJ350" s="143"/>
      <c r="BK350" s="143"/>
      <c r="BL350" s="143"/>
      <c r="BM350" s="132"/>
      <c r="BN350" s="132"/>
      <c r="BO350" s="132"/>
      <c r="BP350" s="143"/>
      <c r="BQ350" s="132"/>
      <c r="BR350" s="132"/>
      <c r="BS350" s="132"/>
      <c r="BT350" s="132"/>
      <c r="BU350" s="132"/>
      <c r="BV350" s="263">
        <v>100400</v>
      </c>
      <c r="BW350" s="144">
        <f t="shared" si="92"/>
        <v>19076</v>
      </c>
      <c r="BX350" s="113">
        <f t="shared" si="93"/>
        <v>119476</v>
      </c>
      <c r="BY350" s="264" t="s">
        <v>329</v>
      </c>
      <c r="BZ350" s="264" t="s">
        <v>88</v>
      </c>
      <c r="CA350" s="132"/>
      <c r="CB350" s="274"/>
      <c r="CC350" s="144"/>
      <c r="CD350" s="274"/>
      <c r="CE350" s="132"/>
      <c r="CF350" s="132"/>
      <c r="CG350" s="36"/>
      <c r="CH350" s="263">
        <v>107428</v>
      </c>
      <c r="CI350" s="265">
        <f t="shared" si="94"/>
        <v>20411.32</v>
      </c>
      <c r="CJ350" s="263">
        <f t="shared" si="95"/>
        <v>127839.32</v>
      </c>
      <c r="CK350" s="264" t="s">
        <v>329</v>
      </c>
      <c r="CL350" s="264" t="s">
        <v>88</v>
      </c>
      <c r="CM350" s="132"/>
      <c r="CN350" s="274"/>
      <c r="CO350" s="144"/>
      <c r="CP350" s="274"/>
      <c r="CQ350" s="132"/>
      <c r="CR350" s="132"/>
      <c r="CS350" s="132"/>
      <c r="CT350" s="274"/>
      <c r="CU350" s="144"/>
      <c r="CV350" s="274"/>
      <c r="CW350" s="132"/>
      <c r="CX350" s="132"/>
      <c r="CY350" s="132"/>
      <c r="CZ350" s="118">
        <v>60690</v>
      </c>
      <c r="DA350" s="144">
        <f>+CZ350*0.19</f>
        <v>11531.1</v>
      </c>
      <c r="DB350" s="118">
        <f>+CZ350+DA350</f>
        <v>72221.100000000006</v>
      </c>
      <c r="DC350" s="33" t="s">
        <v>248</v>
      </c>
      <c r="DD350" s="39" t="s">
        <v>58</v>
      </c>
      <c r="DE350" s="11" t="s">
        <v>353</v>
      </c>
      <c r="DF350" s="132"/>
      <c r="DG350" s="132"/>
      <c r="DH350" s="132"/>
      <c r="DI350" s="132"/>
      <c r="DJ350" s="132"/>
      <c r="DK350" s="132"/>
      <c r="DL350" s="132"/>
      <c r="DM350" s="132"/>
      <c r="DN350" s="132"/>
      <c r="DO350" s="132"/>
      <c r="DP350" s="132"/>
      <c r="DQ350" s="132"/>
      <c r="DR350" s="132"/>
      <c r="DS350" s="132"/>
      <c r="DT350" s="132"/>
      <c r="DU350" s="132"/>
      <c r="DV350" s="132"/>
      <c r="DW350" s="132"/>
      <c r="DX350" s="132"/>
      <c r="DY350" s="132"/>
      <c r="DZ350" s="132"/>
      <c r="EA350" s="132"/>
      <c r="EB350" s="132"/>
      <c r="EC350" s="132"/>
      <c r="ED350" s="132"/>
      <c r="EE350" s="132"/>
      <c r="EF350" s="132"/>
      <c r="EG350" s="132"/>
      <c r="EH350" s="132"/>
      <c r="EI350" s="132"/>
      <c r="EJ350" s="132"/>
      <c r="EK350" s="132"/>
      <c r="EL350" s="132"/>
      <c r="EM350" s="132"/>
      <c r="EN350" s="132"/>
      <c r="EO350" s="132"/>
      <c r="EP350" s="132"/>
      <c r="EQ350" s="132"/>
      <c r="ER350" s="132"/>
      <c r="ES350" s="132"/>
      <c r="ET350" s="11"/>
      <c r="EU350" s="11"/>
      <c r="EV350" s="11"/>
      <c r="EW350" s="11"/>
      <c r="EX350" s="11"/>
      <c r="EY350" s="11"/>
      <c r="EZ350" s="11"/>
      <c r="FA350" s="11"/>
      <c r="FB350" s="11"/>
      <c r="FC350" s="11"/>
      <c r="FD350" s="11"/>
      <c r="FE350" s="11"/>
      <c r="FF350" s="11"/>
      <c r="FG350" s="11"/>
      <c r="FH350" s="39">
        <f t="shared" si="85"/>
        <v>508201.4</v>
      </c>
      <c r="FI350" s="33">
        <f t="shared" si="86"/>
        <v>5</v>
      </c>
      <c r="FJ350" s="84">
        <f t="shared" si="87"/>
        <v>101640.28</v>
      </c>
    </row>
    <row r="351" spans="1:166" ht="13.5" x14ac:dyDescent="0.25">
      <c r="A351" s="79" t="e">
        <f>#REF!</f>
        <v>#REF!</v>
      </c>
      <c r="B351" s="75" t="e">
        <f>#REF!</f>
        <v>#REF!</v>
      </c>
      <c r="C351" s="75" t="e">
        <f>#REF!</f>
        <v>#REF!</v>
      </c>
      <c r="D351" s="75" t="e">
        <f>#REF!</f>
        <v>#REF!</v>
      </c>
      <c r="E351" s="30">
        <v>1</v>
      </c>
      <c r="F351" s="238">
        <v>122429.58</v>
      </c>
      <c r="G351" s="241">
        <v>120547</v>
      </c>
      <c r="H351" s="249">
        <v>0</v>
      </c>
      <c r="I351" s="249">
        <v>0</v>
      </c>
      <c r="J351" s="249">
        <v>133767.30499999999</v>
      </c>
      <c r="K351" s="249">
        <v>0</v>
      </c>
      <c r="L351" s="274">
        <f>AVERAGE(F351,J351)</f>
        <v>128098.4425</v>
      </c>
      <c r="M351" s="274">
        <f>G351*E1</f>
        <v>124163.41</v>
      </c>
      <c r="N351" s="245"/>
      <c r="O351" s="113"/>
      <c r="P351" s="113"/>
      <c r="Q351" s="131"/>
      <c r="R351" s="131"/>
      <c r="S351" s="64"/>
      <c r="T351" s="113"/>
      <c r="U351" s="113"/>
      <c r="V351" s="113"/>
      <c r="W351" s="131"/>
      <c r="X351" s="131"/>
      <c r="Y351" s="11"/>
      <c r="Z351" s="113"/>
      <c r="AA351" s="113"/>
      <c r="AB351" s="113"/>
      <c r="AC351" s="52"/>
      <c r="AD351" s="52"/>
      <c r="AE351" s="11"/>
      <c r="AF351" s="118"/>
      <c r="AG351" s="144"/>
      <c r="AH351" s="113"/>
      <c r="AI351" s="11"/>
      <c r="AJ351" s="11"/>
      <c r="AK351" s="39"/>
      <c r="AL351" s="113">
        <v>96000</v>
      </c>
      <c r="AM351" s="113">
        <f>+AL351*0.19</f>
        <v>18240</v>
      </c>
      <c r="AN351" s="119">
        <f>+AL351+AM351</f>
        <v>114240</v>
      </c>
      <c r="AO351" s="76" t="s">
        <v>49</v>
      </c>
      <c r="AP351" s="39" t="s">
        <v>45</v>
      </c>
      <c r="AQ351" s="39"/>
      <c r="AR351" s="275"/>
      <c r="AS351" s="156"/>
      <c r="AT351" s="157"/>
      <c r="AU351" s="62"/>
      <c r="AV351" s="62"/>
      <c r="AW351" s="31"/>
      <c r="AX351" s="116"/>
      <c r="AY351" s="194"/>
      <c r="AZ351" s="143"/>
      <c r="BA351" s="191"/>
      <c r="BB351" s="132"/>
      <c r="BC351" s="132"/>
      <c r="BD351" s="274"/>
      <c r="BE351" s="143"/>
      <c r="BF351" s="143"/>
      <c r="BG351" s="132"/>
      <c r="BH351" s="132"/>
      <c r="BI351" s="132"/>
      <c r="BJ351" s="143"/>
      <c r="BK351" s="143"/>
      <c r="BL351" s="143"/>
      <c r="BM351" s="132"/>
      <c r="BN351" s="132"/>
      <c r="BO351" s="132"/>
      <c r="BP351" s="143"/>
      <c r="BQ351" s="132"/>
      <c r="BR351" s="132"/>
      <c r="BS351" s="132"/>
      <c r="BT351" s="132"/>
      <c r="BU351" s="132"/>
      <c r="BV351" s="263">
        <v>241900</v>
      </c>
      <c r="BW351" s="144">
        <f t="shared" si="92"/>
        <v>45961</v>
      </c>
      <c r="BX351" s="113">
        <f t="shared" si="93"/>
        <v>287861</v>
      </c>
      <c r="BY351" s="264" t="s">
        <v>352</v>
      </c>
      <c r="BZ351" s="264" t="s">
        <v>88</v>
      </c>
      <c r="CA351" s="132"/>
      <c r="CB351" s="274"/>
      <c r="CC351" s="144"/>
      <c r="CD351" s="274"/>
      <c r="CE351" s="132"/>
      <c r="CF351" s="132"/>
      <c r="CG351" s="36"/>
      <c r="CH351" s="263">
        <v>249157</v>
      </c>
      <c r="CI351" s="265">
        <f t="shared" si="94"/>
        <v>47339.83</v>
      </c>
      <c r="CJ351" s="263">
        <f t="shared" si="95"/>
        <v>296496.83</v>
      </c>
      <c r="CK351" s="264" t="s">
        <v>352</v>
      </c>
      <c r="CL351" s="264" t="s">
        <v>88</v>
      </c>
      <c r="CM351" s="132"/>
      <c r="CN351" s="274"/>
      <c r="CO351" s="144"/>
      <c r="CP351" s="274"/>
      <c r="CQ351" s="132"/>
      <c r="CR351" s="132"/>
      <c r="CS351" s="132"/>
      <c r="CT351" s="274"/>
      <c r="CU351" s="144"/>
      <c r="CV351" s="274"/>
      <c r="CW351" s="132"/>
      <c r="CX351" s="132"/>
      <c r="CY351" s="132"/>
      <c r="CZ351" s="118">
        <v>52966</v>
      </c>
      <c r="DA351" s="144">
        <f>+CZ351*0.19</f>
        <v>10063.540000000001</v>
      </c>
      <c r="DB351" s="118">
        <f>+CZ351+DA351</f>
        <v>63029.54</v>
      </c>
      <c r="DC351" s="33" t="s">
        <v>354</v>
      </c>
      <c r="DD351" s="39" t="s">
        <v>58</v>
      </c>
      <c r="DE351" s="11" t="s">
        <v>355</v>
      </c>
      <c r="DF351" s="132"/>
      <c r="DG351" s="132"/>
      <c r="DH351" s="132"/>
      <c r="DI351" s="132"/>
      <c r="DJ351" s="132"/>
      <c r="DK351" s="132"/>
      <c r="DL351" s="132"/>
      <c r="DM351" s="132"/>
      <c r="DN351" s="132"/>
      <c r="DO351" s="132"/>
      <c r="DP351" s="132"/>
      <c r="DQ351" s="132"/>
      <c r="DR351" s="132"/>
      <c r="DS351" s="132"/>
      <c r="DT351" s="132"/>
      <c r="DU351" s="132"/>
      <c r="DV351" s="132"/>
      <c r="DW351" s="132"/>
      <c r="DX351" s="132"/>
      <c r="DY351" s="132"/>
      <c r="DZ351" s="132"/>
      <c r="EA351" s="132"/>
      <c r="EB351" s="132"/>
      <c r="EC351" s="132"/>
      <c r="ED351" s="132"/>
      <c r="EE351" s="132"/>
      <c r="EF351" s="132"/>
      <c r="EG351" s="132"/>
      <c r="EH351" s="132"/>
      <c r="EI351" s="132"/>
      <c r="EJ351" s="132"/>
      <c r="EK351" s="132"/>
      <c r="EL351" s="132"/>
      <c r="EM351" s="132"/>
      <c r="EN351" s="132"/>
      <c r="EO351" s="132"/>
      <c r="EP351" s="132"/>
      <c r="EQ351" s="132"/>
      <c r="ER351" s="132"/>
      <c r="ES351" s="132"/>
      <c r="ET351" s="11"/>
      <c r="EU351" s="11"/>
      <c r="EV351" s="11"/>
      <c r="EW351" s="11"/>
      <c r="EX351" s="11"/>
      <c r="EY351" s="11"/>
      <c r="EZ351" s="11"/>
      <c r="FA351" s="11"/>
      <c r="FB351" s="11"/>
      <c r="FC351" s="11"/>
      <c r="FD351" s="11"/>
      <c r="FE351" s="11"/>
      <c r="FF351" s="11"/>
      <c r="FG351" s="11"/>
      <c r="FH351" s="39">
        <f t="shared" si="85"/>
        <v>885790.78</v>
      </c>
      <c r="FI351" s="33">
        <f t="shared" si="86"/>
        <v>5</v>
      </c>
      <c r="FJ351" s="84">
        <f t="shared" si="87"/>
        <v>177158.15600000002</v>
      </c>
    </row>
    <row r="352" spans="1:166" ht="40.5" x14ac:dyDescent="0.25">
      <c r="A352" s="79" t="e">
        <f>#REF!</f>
        <v>#REF!</v>
      </c>
      <c r="B352" s="75" t="e">
        <f>#REF!</f>
        <v>#REF!</v>
      </c>
      <c r="C352" s="75" t="e">
        <f>#REF!</f>
        <v>#REF!</v>
      </c>
      <c r="D352" s="75" t="e">
        <f>#REF!</f>
        <v>#REF!</v>
      </c>
      <c r="E352" s="30">
        <v>1</v>
      </c>
      <c r="F352" s="238">
        <v>0</v>
      </c>
      <c r="G352" s="241">
        <v>0</v>
      </c>
      <c r="H352" s="249">
        <v>0</v>
      </c>
      <c r="I352" s="249">
        <v>0</v>
      </c>
      <c r="J352" s="249">
        <v>0</v>
      </c>
      <c r="K352" s="249">
        <v>0</v>
      </c>
      <c r="L352" s="274"/>
      <c r="M352" s="274"/>
      <c r="N352" s="245"/>
      <c r="O352" s="113"/>
      <c r="P352" s="113"/>
      <c r="Q352" s="131"/>
      <c r="R352" s="131"/>
      <c r="S352" s="64"/>
      <c r="T352" s="113"/>
      <c r="U352" s="113"/>
      <c r="V352" s="113"/>
      <c r="W352" s="131"/>
      <c r="X352" s="131"/>
      <c r="Y352" s="11"/>
      <c r="Z352" s="113"/>
      <c r="AA352" s="113"/>
      <c r="AB352" s="113"/>
      <c r="AC352" s="52"/>
      <c r="AD352" s="52"/>
      <c r="AE352" s="11"/>
      <c r="AF352" s="118">
        <v>22000</v>
      </c>
      <c r="AG352" s="144">
        <f>AF352*19%</f>
        <v>4180</v>
      </c>
      <c r="AH352" s="113">
        <f>+AF352+AG352</f>
        <v>26180</v>
      </c>
      <c r="AI352" s="11"/>
      <c r="AJ352" s="11"/>
      <c r="AK352" s="39"/>
      <c r="AL352" s="113"/>
      <c r="AM352" s="113"/>
      <c r="AN352" s="117"/>
      <c r="AO352" s="76"/>
      <c r="AP352" s="39"/>
      <c r="AQ352" s="39"/>
      <c r="AR352" s="275">
        <v>18098</v>
      </c>
      <c r="AS352" s="113">
        <f>+AR352*0.19</f>
        <v>3438.62</v>
      </c>
      <c r="AT352" s="119">
        <f>+AR352+AS352</f>
        <v>21536.62</v>
      </c>
      <c r="AU352" s="62" t="s">
        <v>356</v>
      </c>
      <c r="AV352" s="62" t="s">
        <v>277</v>
      </c>
      <c r="AW352" s="31"/>
      <c r="AX352" s="116"/>
      <c r="AY352" s="196"/>
      <c r="AZ352" s="143"/>
      <c r="BA352" s="191"/>
      <c r="BB352" s="132"/>
      <c r="BC352" s="132"/>
      <c r="BD352" s="274"/>
      <c r="BE352" s="143"/>
      <c r="BF352" s="143"/>
      <c r="BG352" s="132"/>
      <c r="BH352" s="132"/>
      <c r="BI352" s="132"/>
      <c r="BJ352" s="143"/>
      <c r="BK352" s="143"/>
      <c r="BL352" s="143"/>
      <c r="BM352" s="132"/>
      <c r="BN352" s="132"/>
      <c r="BO352" s="132"/>
      <c r="BP352" s="143"/>
      <c r="BQ352" s="132"/>
      <c r="BR352" s="132"/>
      <c r="BS352" s="132"/>
      <c r="BT352" s="39"/>
      <c r="BU352" s="39"/>
      <c r="BV352" s="263">
        <v>85700</v>
      </c>
      <c r="BW352" s="144">
        <f t="shared" si="92"/>
        <v>16283</v>
      </c>
      <c r="BX352" s="113">
        <f t="shared" si="93"/>
        <v>101983</v>
      </c>
      <c r="BY352" s="264" t="s">
        <v>334</v>
      </c>
      <c r="BZ352" s="264" t="s">
        <v>48</v>
      </c>
      <c r="CA352" s="132"/>
      <c r="CB352" s="274">
        <v>32500</v>
      </c>
      <c r="CC352" s="144">
        <f>+CB352*19%</f>
        <v>6175</v>
      </c>
      <c r="CD352" s="274">
        <f>+CC352+CB352</f>
        <v>38675</v>
      </c>
      <c r="CE352" s="132"/>
      <c r="CF352" s="132"/>
      <c r="CG352" s="36"/>
      <c r="CH352" s="263">
        <v>88271</v>
      </c>
      <c r="CI352" s="265">
        <f t="shared" si="94"/>
        <v>16771.490000000002</v>
      </c>
      <c r="CJ352" s="263">
        <f t="shared" si="95"/>
        <v>105042.49</v>
      </c>
      <c r="CK352" s="264" t="s">
        <v>334</v>
      </c>
      <c r="CL352" s="264" t="s">
        <v>48</v>
      </c>
      <c r="CM352" s="132"/>
      <c r="CN352" s="274"/>
      <c r="CO352" s="144"/>
      <c r="CP352" s="274"/>
      <c r="CQ352" s="132"/>
      <c r="CR352" s="132"/>
      <c r="CS352" s="132"/>
      <c r="CT352" s="274"/>
      <c r="CU352" s="144"/>
      <c r="CV352" s="274"/>
      <c r="CW352" s="132"/>
      <c r="CX352" s="132"/>
      <c r="CY352" s="132"/>
      <c r="CZ352" s="118"/>
      <c r="DA352" s="144"/>
      <c r="DB352" s="118"/>
      <c r="DC352" s="33"/>
      <c r="DD352" s="39"/>
      <c r="DE352" s="11"/>
      <c r="DF352" s="132"/>
      <c r="DG352" s="132"/>
      <c r="DH352" s="132"/>
      <c r="DI352" s="132"/>
      <c r="DJ352" s="132"/>
      <c r="DK352" s="132"/>
      <c r="DL352" s="132"/>
      <c r="DM352" s="132"/>
      <c r="DN352" s="132"/>
      <c r="DO352" s="132"/>
      <c r="DP352" s="132"/>
      <c r="DQ352" s="132"/>
      <c r="DR352" s="132"/>
      <c r="DS352" s="132"/>
      <c r="DT352" s="132"/>
      <c r="DU352" s="132"/>
      <c r="DV352" s="132"/>
      <c r="DW352" s="132"/>
      <c r="DX352" s="132"/>
      <c r="DY352" s="132"/>
      <c r="DZ352" s="132"/>
      <c r="EA352" s="132"/>
      <c r="EB352" s="132"/>
      <c r="EC352" s="132"/>
      <c r="ED352" s="132"/>
      <c r="EE352" s="132"/>
      <c r="EF352" s="132"/>
      <c r="EG352" s="132"/>
      <c r="EH352" s="132"/>
      <c r="EI352" s="132"/>
      <c r="EJ352" s="132"/>
      <c r="EK352" s="132"/>
      <c r="EL352" s="132"/>
      <c r="EM352" s="132"/>
      <c r="EN352" s="132"/>
      <c r="EO352" s="132"/>
      <c r="EP352" s="132"/>
      <c r="EQ352" s="132"/>
      <c r="ER352" s="132"/>
      <c r="ES352" s="132"/>
      <c r="ET352" s="11"/>
      <c r="EU352" s="11"/>
      <c r="EV352" s="11"/>
      <c r="EW352" s="11"/>
      <c r="EX352" s="11"/>
      <c r="EY352" s="11"/>
      <c r="EZ352" s="11"/>
      <c r="FA352" s="11"/>
      <c r="FB352" s="11"/>
      <c r="FC352" s="11"/>
      <c r="FD352" s="11"/>
      <c r="FE352" s="11"/>
      <c r="FF352" s="11"/>
      <c r="FG352" s="11"/>
      <c r="FH352" s="39">
        <f t="shared" si="85"/>
        <v>293417.11</v>
      </c>
      <c r="FI352" s="33">
        <f t="shared" si="86"/>
        <v>5</v>
      </c>
      <c r="FJ352" s="84">
        <f t="shared" si="87"/>
        <v>58683.421999999999</v>
      </c>
    </row>
    <row r="353" spans="1:166" ht="25.5" x14ac:dyDescent="0.25">
      <c r="A353" s="79" t="e">
        <f>#REF!</f>
        <v>#REF!</v>
      </c>
      <c r="B353" s="75" t="e">
        <f>#REF!</f>
        <v>#REF!</v>
      </c>
      <c r="C353" s="75" t="e">
        <f>#REF!</f>
        <v>#REF!</v>
      </c>
      <c r="D353" s="75" t="e">
        <f>#REF!</f>
        <v>#REF!</v>
      </c>
      <c r="E353" s="30">
        <v>1</v>
      </c>
      <c r="F353" s="238">
        <v>340816</v>
      </c>
      <c r="G353" s="241">
        <v>339150</v>
      </c>
      <c r="H353" s="249">
        <v>341209.74719999998</v>
      </c>
      <c r="I353" s="249">
        <v>0</v>
      </c>
      <c r="J353" s="249">
        <v>572181.75</v>
      </c>
      <c r="K353" s="249">
        <v>558110</v>
      </c>
      <c r="L353" s="274">
        <f>AVERAGE(F353,H353,J353)</f>
        <v>418069.16573333339</v>
      </c>
      <c r="M353" s="274">
        <f>AVERAGE(G353,K353)*E1</f>
        <v>462088.9</v>
      </c>
      <c r="N353" s="245"/>
      <c r="O353" s="113"/>
      <c r="P353" s="113"/>
      <c r="Q353" s="131"/>
      <c r="R353" s="131"/>
      <c r="S353" s="64"/>
      <c r="T353" s="113"/>
      <c r="U353" s="113"/>
      <c r="V353" s="113"/>
      <c r="W353" s="131"/>
      <c r="X353" s="131"/>
      <c r="Y353" s="11"/>
      <c r="Z353" s="113"/>
      <c r="AA353" s="113"/>
      <c r="AB353" s="113"/>
      <c r="AC353" s="52"/>
      <c r="AD353" s="52"/>
      <c r="AE353" s="11"/>
      <c r="AF353" s="118"/>
      <c r="AG353" s="144"/>
      <c r="AH353" s="113"/>
      <c r="AI353" s="11"/>
      <c r="AJ353" s="11"/>
      <c r="AK353" s="39"/>
      <c r="AL353" s="113"/>
      <c r="AM353" s="113"/>
      <c r="AN353" s="117"/>
      <c r="AO353" s="76"/>
      <c r="AP353" s="39"/>
      <c r="AQ353" s="39"/>
      <c r="AR353" s="275">
        <f>662400</f>
        <v>662400</v>
      </c>
      <c r="AS353" s="113">
        <f>+AR353*0.19</f>
        <v>125856</v>
      </c>
      <c r="AT353" s="119">
        <f>+AR353+AS353</f>
        <v>788256</v>
      </c>
      <c r="AU353" s="62" t="s">
        <v>357</v>
      </c>
      <c r="AV353" s="62" t="s">
        <v>35</v>
      </c>
      <c r="AW353" s="31"/>
      <c r="AX353" s="116"/>
      <c r="AY353" s="196"/>
      <c r="AZ353" s="143"/>
      <c r="BA353" s="191"/>
      <c r="BB353" s="132"/>
      <c r="BC353" s="132"/>
      <c r="BD353" s="274"/>
      <c r="BE353" s="143"/>
      <c r="BF353" s="143"/>
      <c r="BG353" s="132"/>
      <c r="BH353" s="132"/>
      <c r="BI353" s="132"/>
      <c r="BJ353" s="143"/>
      <c r="BK353" s="143"/>
      <c r="BL353" s="143"/>
      <c r="BM353" s="132"/>
      <c r="BN353" s="132"/>
      <c r="BO353" s="132"/>
      <c r="BP353" s="143"/>
      <c r="BQ353" s="132"/>
      <c r="BR353" s="132"/>
      <c r="BS353" s="132"/>
      <c r="BT353" s="39"/>
      <c r="BU353" s="39"/>
      <c r="BV353" s="263">
        <v>3367000</v>
      </c>
      <c r="BW353" s="144">
        <f t="shared" si="92"/>
        <v>639730</v>
      </c>
      <c r="BX353" s="113">
        <f t="shared" si="93"/>
        <v>4006730</v>
      </c>
      <c r="BY353" s="264" t="s">
        <v>326</v>
      </c>
      <c r="BZ353" s="264" t="s">
        <v>37</v>
      </c>
      <c r="CA353" s="132"/>
      <c r="CB353" s="274"/>
      <c r="CC353" s="144"/>
      <c r="CD353" s="274"/>
      <c r="CE353" s="132"/>
      <c r="CF353" s="132"/>
      <c r="CG353" s="36"/>
      <c r="CH353" s="268"/>
      <c r="CI353" s="265"/>
      <c r="CJ353" s="263"/>
      <c r="CK353" s="264"/>
      <c r="CL353" s="264"/>
      <c r="CM353" s="132"/>
      <c r="CN353" s="274"/>
      <c r="CO353" s="144"/>
      <c r="CP353" s="274"/>
      <c r="CQ353" s="132"/>
      <c r="CR353" s="132"/>
      <c r="CS353" s="132"/>
      <c r="CT353" s="274"/>
      <c r="CU353" s="144"/>
      <c r="CV353" s="274"/>
      <c r="CW353" s="132"/>
      <c r="CX353" s="132"/>
      <c r="CY353" s="132"/>
      <c r="CZ353" s="118"/>
      <c r="DA353" s="144"/>
      <c r="DB353" s="118"/>
      <c r="DC353" s="33"/>
      <c r="DD353" s="39"/>
      <c r="DE353" s="11"/>
      <c r="DF353" s="132"/>
      <c r="DG353" s="132"/>
      <c r="DH353" s="132"/>
      <c r="DI353" s="132"/>
      <c r="DJ353" s="132"/>
      <c r="DK353" s="132"/>
      <c r="DL353" s="132"/>
      <c r="DM353" s="132"/>
      <c r="DN353" s="132"/>
      <c r="DO353" s="132"/>
      <c r="DP353" s="132"/>
      <c r="DQ353" s="132"/>
      <c r="DR353" s="132"/>
      <c r="DS353" s="132"/>
      <c r="DT353" s="132"/>
      <c r="DU353" s="132"/>
      <c r="DV353" s="132"/>
      <c r="DW353" s="132"/>
      <c r="DX353" s="132"/>
      <c r="DY353" s="132"/>
      <c r="DZ353" s="132"/>
      <c r="EA353" s="132"/>
      <c r="EB353" s="132"/>
      <c r="EC353" s="132"/>
      <c r="ED353" s="132"/>
      <c r="EE353" s="132"/>
      <c r="EF353" s="132"/>
      <c r="EG353" s="132"/>
      <c r="EH353" s="132"/>
      <c r="EI353" s="132"/>
      <c r="EJ353" s="132"/>
      <c r="EK353" s="132"/>
      <c r="EL353" s="132"/>
      <c r="EM353" s="132"/>
      <c r="EN353" s="132"/>
      <c r="EO353" s="132"/>
      <c r="EP353" s="132"/>
      <c r="EQ353" s="132"/>
      <c r="ER353" s="132"/>
      <c r="ES353" s="132"/>
      <c r="ET353" s="11"/>
      <c r="EU353" s="11"/>
      <c r="EV353" s="11"/>
      <c r="EW353" s="11"/>
      <c r="EX353" s="11"/>
      <c r="EY353" s="11"/>
      <c r="EZ353" s="11"/>
      <c r="FA353" s="11"/>
      <c r="FB353" s="11"/>
      <c r="FC353" s="11"/>
      <c r="FD353" s="11"/>
      <c r="FE353" s="11"/>
      <c r="FF353" s="11"/>
      <c r="FG353" s="11"/>
      <c r="FH353" s="39">
        <f t="shared" si="85"/>
        <v>5257074.9000000004</v>
      </c>
      <c r="FI353" s="33">
        <f t="shared" si="86"/>
        <v>3</v>
      </c>
      <c r="FJ353" s="84">
        <f t="shared" si="87"/>
        <v>1752358.3</v>
      </c>
    </row>
    <row r="354" spans="1:166" ht="13.5" x14ac:dyDescent="0.25">
      <c r="A354" s="79" t="e">
        <f>#REF!</f>
        <v>#REF!</v>
      </c>
      <c r="B354" s="75" t="e">
        <f>#REF!</f>
        <v>#REF!</v>
      </c>
      <c r="C354" s="75" t="e">
        <f>#REF!</f>
        <v>#REF!</v>
      </c>
      <c r="D354" s="75" t="e">
        <f>#REF!</f>
        <v>#REF!</v>
      </c>
      <c r="E354" s="30">
        <v>1</v>
      </c>
      <c r="F354" s="238">
        <v>0</v>
      </c>
      <c r="G354" s="241">
        <v>0</v>
      </c>
      <c r="H354" s="249">
        <v>0</v>
      </c>
      <c r="I354" s="249">
        <v>0</v>
      </c>
      <c r="J354" s="249">
        <v>5409000</v>
      </c>
      <c r="K354" s="249">
        <v>0</v>
      </c>
      <c r="L354" s="274">
        <f>J354</f>
        <v>5409000</v>
      </c>
      <c r="M354" s="274"/>
      <c r="N354" s="245"/>
      <c r="O354" s="113"/>
      <c r="P354" s="113"/>
      <c r="Q354" s="131"/>
      <c r="R354" s="131"/>
      <c r="S354" s="64"/>
      <c r="T354" s="113"/>
      <c r="U354" s="113"/>
      <c r="V354" s="113"/>
      <c r="W354" s="131"/>
      <c r="X354" s="131"/>
      <c r="Y354" s="11"/>
      <c r="Z354" s="113">
        <v>12963000</v>
      </c>
      <c r="AA354" s="113">
        <v>0</v>
      </c>
      <c r="AB354" s="113">
        <f>+Z354+AA354</f>
        <v>12963000</v>
      </c>
      <c r="AC354" s="52" t="s">
        <v>358</v>
      </c>
      <c r="AD354" s="52" t="s">
        <v>198</v>
      </c>
      <c r="AE354" s="11"/>
      <c r="AF354" s="118"/>
      <c r="AG354" s="144"/>
      <c r="AH354" s="113"/>
      <c r="AI354" s="11"/>
      <c r="AJ354" s="11"/>
      <c r="AK354" s="39"/>
      <c r="AL354" s="113"/>
      <c r="AM354" s="113"/>
      <c r="AN354" s="117"/>
      <c r="AO354" s="76"/>
      <c r="AP354" s="39"/>
      <c r="AQ354" s="39"/>
      <c r="AR354" s="275"/>
      <c r="AS354" s="156"/>
      <c r="AT354" s="157"/>
      <c r="AU354" s="62"/>
      <c r="AV354" s="62"/>
      <c r="AW354" s="31"/>
      <c r="AX354" s="116"/>
      <c r="AY354" s="196"/>
      <c r="AZ354" s="143"/>
      <c r="BA354" s="191"/>
      <c r="BB354" s="132"/>
      <c r="BC354" s="132"/>
      <c r="BD354" s="274"/>
      <c r="BE354" s="143"/>
      <c r="BF354" s="143"/>
      <c r="BG354" s="132"/>
      <c r="BH354" s="132"/>
      <c r="BI354" s="132"/>
      <c r="BJ354" s="143"/>
      <c r="BK354" s="143"/>
      <c r="BL354" s="143"/>
      <c r="BM354" s="132"/>
      <c r="BN354" s="132"/>
      <c r="BO354" s="132"/>
      <c r="BP354" s="143"/>
      <c r="BQ354" s="132"/>
      <c r="BR354" s="132"/>
      <c r="BS354" s="132"/>
      <c r="BT354" s="39"/>
      <c r="BU354" s="39"/>
      <c r="BV354" s="268">
        <v>16000000</v>
      </c>
      <c r="BW354" s="144">
        <f t="shared" si="92"/>
        <v>3040000</v>
      </c>
      <c r="BX354" s="113">
        <f t="shared" si="93"/>
        <v>19040000</v>
      </c>
      <c r="BY354" s="264" t="s">
        <v>359</v>
      </c>
      <c r="BZ354" s="264" t="s">
        <v>360</v>
      </c>
      <c r="CA354" s="132"/>
      <c r="CB354" s="274"/>
      <c r="CC354" s="144"/>
      <c r="CD354" s="274"/>
      <c r="CE354" s="132"/>
      <c r="CF354" s="132"/>
      <c r="CG354" s="36"/>
      <c r="CH354" s="268"/>
      <c r="CI354" s="265"/>
      <c r="CJ354" s="263"/>
      <c r="CK354" s="264"/>
      <c r="CL354" s="264"/>
      <c r="CM354" s="132"/>
      <c r="CN354" s="274"/>
      <c r="CO354" s="144"/>
      <c r="CP354" s="274"/>
      <c r="CQ354" s="132"/>
      <c r="CR354" s="132"/>
      <c r="CS354" s="132"/>
      <c r="CT354" s="274"/>
      <c r="CU354" s="144"/>
      <c r="CV354" s="274"/>
      <c r="CW354" s="132"/>
      <c r="CX354" s="132"/>
      <c r="CY354" s="132"/>
      <c r="CZ354" s="118"/>
      <c r="DA354" s="144"/>
      <c r="DB354" s="118"/>
      <c r="DC354" s="33"/>
      <c r="DD354" s="39"/>
      <c r="DE354" s="11"/>
      <c r="DF354" s="132"/>
      <c r="DG354" s="132"/>
      <c r="DH354" s="132"/>
      <c r="DI354" s="132"/>
      <c r="DJ354" s="132"/>
      <c r="DK354" s="132"/>
      <c r="DL354" s="132"/>
      <c r="DM354" s="132"/>
      <c r="DN354" s="132"/>
      <c r="DO354" s="132"/>
      <c r="DP354" s="132"/>
      <c r="DQ354" s="132"/>
      <c r="DR354" s="132"/>
      <c r="DS354" s="132"/>
      <c r="DT354" s="132"/>
      <c r="DU354" s="132"/>
      <c r="DV354" s="132"/>
      <c r="DW354" s="132"/>
      <c r="DX354" s="132"/>
      <c r="DY354" s="132"/>
      <c r="DZ354" s="132"/>
      <c r="EA354" s="132"/>
      <c r="EB354" s="132"/>
      <c r="EC354" s="132"/>
      <c r="ED354" s="132"/>
      <c r="EE354" s="132"/>
      <c r="EF354" s="132"/>
      <c r="EG354" s="132"/>
      <c r="EH354" s="132"/>
      <c r="EI354" s="132"/>
      <c r="EJ354" s="132"/>
      <c r="EK354" s="132"/>
      <c r="EL354" s="132"/>
      <c r="EM354" s="132"/>
      <c r="EN354" s="132"/>
      <c r="EO354" s="132"/>
      <c r="EP354" s="132"/>
      <c r="EQ354" s="132"/>
      <c r="ER354" s="132"/>
      <c r="ES354" s="132"/>
      <c r="ET354" s="11"/>
      <c r="EU354" s="11"/>
      <c r="EV354" s="11"/>
      <c r="EW354" s="11"/>
      <c r="EX354" s="11"/>
      <c r="EY354" s="11"/>
      <c r="EZ354" s="11"/>
      <c r="FA354" s="11"/>
      <c r="FB354" s="11"/>
      <c r="FC354" s="11"/>
      <c r="FD354" s="11"/>
      <c r="FE354" s="11"/>
      <c r="FF354" s="11"/>
      <c r="FG354" s="11"/>
      <c r="FH354" s="39">
        <f t="shared" si="85"/>
        <v>32003000</v>
      </c>
      <c r="FI354" s="33">
        <f t="shared" si="86"/>
        <v>2</v>
      </c>
      <c r="FJ354" s="84">
        <f t="shared" si="87"/>
        <v>16001500</v>
      </c>
    </row>
    <row r="355" spans="1:166" ht="27" x14ac:dyDescent="0.25">
      <c r="A355" s="79" t="e">
        <f>#REF!</f>
        <v>#REF!</v>
      </c>
      <c r="B355" s="75" t="e">
        <f>#REF!</f>
        <v>#REF!</v>
      </c>
      <c r="C355" s="75" t="e">
        <f>#REF!</f>
        <v>#REF!</v>
      </c>
      <c r="D355" s="75" t="e">
        <f>#REF!</f>
        <v>#REF!</v>
      </c>
      <c r="E355" s="30">
        <v>1</v>
      </c>
      <c r="F355" s="238">
        <v>0</v>
      </c>
      <c r="G355" s="241">
        <v>0</v>
      </c>
      <c r="H355" s="249">
        <v>0</v>
      </c>
      <c r="I355" s="249">
        <v>0</v>
      </c>
      <c r="J355" s="249">
        <v>5409000</v>
      </c>
      <c r="K355" s="249">
        <v>0</v>
      </c>
      <c r="L355" s="274">
        <f>J355</f>
        <v>5409000</v>
      </c>
      <c r="M355" s="274"/>
      <c r="N355" s="245"/>
      <c r="O355" s="113"/>
      <c r="P355" s="113"/>
      <c r="Q355" s="131"/>
      <c r="R355" s="131"/>
      <c r="S355" s="64"/>
      <c r="T355" s="113"/>
      <c r="U355" s="113"/>
      <c r="V355" s="113"/>
      <c r="W355" s="131"/>
      <c r="X355" s="131"/>
      <c r="Y355" s="11"/>
      <c r="Z355" s="113">
        <v>13077000</v>
      </c>
      <c r="AA355" s="113">
        <v>0</v>
      </c>
      <c r="AB355" s="113">
        <f>+Z355+AA355</f>
        <v>13077000</v>
      </c>
      <c r="AC355" s="52" t="s">
        <v>358</v>
      </c>
      <c r="AD355" s="52" t="s">
        <v>198</v>
      </c>
      <c r="AE355" s="11"/>
      <c r="AF355" s="118"/>
      <c r="AG355" s="144"/>
      <c r="AH355" s="113"/>
      <c r="AI355" s="11"/>
      <c r="AJ355" s="11"/>
      <c r="AK355" s="39"/>
      <c r="AL355" s="113"/>
      <c r="AM355" s="113"/>
      <c r="AN355" s="117"/>
      <c r="AO355" s="76"/>
      <c r="AP355" s="39"/>
      <c r="AQ355" s="39"/>
      <c r="AR355" s="275"/>
      <c r="AS355" s="156"/>
      <c r="AT355" s="157"/>
      <c r="AU355" s="62"/>
      <c r="AV355" s="62"/>
      <c r="AW355" s="31"/>
      <c r="AX355" s="116"/>
      <c r="AY355" s="196"/>
      <c r="AZ355" s="143"/>
      <c r="BA355" s="191"/>
      <c r="BB355" s="132"/>
      <c r="BC355" s="132"/>
      <c r="BD355" s="274"/>
      <c r="BE355" s="143"/>
      <c r="BF355" s="143"/>
      <c r="BG355" s="132"/>
      <c r="BH355" s="132"/>
      <c r="BI355" s="132"/>
      <c r="BJ355" s="143"/>
      <c r="BK355" s="143"/>
      <c r="BL355" s="143"/>
      <c r="BM355" s="132"/>
      <c r="BN355" s="132"/>
      <c r="BO355" s="132"/>
      <c r="BP355" s="143"/>
      <c r="BQ355" s="132"/>
      <c r="BR355" s="132"/>
      <c r="BS355" s="132"/>
      <c r="BT355" s="39"/>
      <c r="BU355" s="39"/>
      <c r="BV355" s="268">
        <v>16000000</v>
      </c>
      <c r="BW355" s="144">
        <f t="shared" si="92"/>
        <v>3040000</v>
      </c>
      <c r="BX355" s="113">
        <f t="shared" si="93"/>
        <v>19040000</v>
      </c>
      <c r="BY355" s="264" t="s">
        <v>361</v>
      </c>
      <c r="BZ355" s="264" t="s">
        <v>360</v>
      </c>
      <c r="CA355" s="132"/>
      <c r="CB355" s="274"/>
      <c r="CC355" s="144"/>
      <c r="CD355" s="274"/>
      <c r="CE355" s="132"/>
      <c r="CF355" s="132"/>
      <c r="CG355" s="36"/>
      <c r="CH355" s="268"/>
      <c r="CI355" s="265"/>
      <c r="CJ355" s="263"/>
      <c r="CK355" s="264"/>
      <c r="CL355" s="264"/>
      <c r="CM355" s="132"/>
      <c r="CN355" s="274"/>
      <c r="CO355" s="144"/>
      <c r="CP355" s="274"/>
      <c r="CQ355" s="132"/>
      <c r="CR355" s="132"/>
      <c r="CS355" s="132"/>
      <c r="CT355" s="274"/>
      <c r="CU355" s="144"/>
      <c r="CV355" s="274"/>
      <c r="CW355" s="132"/>
      <c r="CX355" s="132"/>
      <c r="CY355" s="132"/>
      <c r="CZ355" s="118"/>
      <c r="DA355" s="144"/>
      <c r="DB355" s="118"/>
      <c r="DC355" s="33"/>
      <c r="DD355" s="39"/>
      <c r="DE355" s="11"/>
      <c r="DF355" s="132"/>
      <c r="DG355" s="132"/>
      <c r="DH355" s="132"/>
      <c r="DI355" s="132"/>
      <c r="DJ355" s="132"/>
      <c r="DK355" s="132"/>
      <c r="DL355" s="132"/>
      <c r="DM355" s="132"/>
      <c r="DN355" s="132"/>
      <c r="DO355" s="132"/>
      <c r="DP355" s="132"/>
      <c r="DQ355" s="132"/>
      <c r="DR355" s="132"/>
      <c r="DS355" s="132"/>
      <c r="DT355" s="132"/>
      <c r="DU355" s="132"/>
      <c r="DV355" s="132"/>
      <c r="DW355" s="132"/>
      <c r="DX355" s="132"/>
      <c r="DY355" s="132"/>
      <c r="DZ355" s="132"/>
      <c r="EA355" s="132"/>
      <c r="EB355" s="132"/>
      <c r="EC355" s="132"/>
      <c r="ED355" s="132"/>
      <c r="EE355" s="132"/>
      <c r="EF355" s="132"/>
      <c r="EG355" s="132"/>
      <c r="EH355" s="132"/>
      <c r="EI355" s="132"/>
      <c r="EJ355" s="132"/>
      <c r="EK355" s="132"/>
      <c r="EL355" s="132"/>
      <c r="EM355" s="132"/>
      <c r="EN355" s="132"/>
      <c r="EO355" s="132"/>
      <c r="EP355" s="132"/>
      <c r="EQ355" s="132"/>
      <c r="ER355" s="132"/>
      <c r="ES355" s="132"/>
      <c r="ET355" s="11"/>
      <c r="EU355" s="11"/>
      <c r="EV355" s="11"/>
      <c r="EW355" s="11"/>
      <c r="EX355" s="11"/>
      <c r="EY355" s="11"/>
      <c r="EZ355" s="11"/>
      <c r="FA355" s="11"/>
      <c r="FB355" s="11"/>
      <c r="FC355" s="11"/>
      <c r="FD355" s="11"/>
      <c r="FE355" s="11"/>
      <c r="FF355" s="11"/>
      <c r="FG355" s="11"/>
      <c r="FH355" s="39">
        <f t="shared" si="85"/>
        <v>32117000</v>
      </c>
      <c r="FI355" s="33">
        <f t="shared" si="86"/>
        <v>2</v>
      </c>
      <c r="FJ355" s="84">
        <f t="shared" si="87"/>
        <v>16058500</v>
      </c>
    </row>
    <row r="356" spans="1:166" ht="13.5" x14ac:dyDescent="0.25">
      <c r="A356" s="79" t="e">
        <f>#REF!</f>
        <v>#REF!</v>
      </c>
      <c r="B356" s="75" t="e">
        <f>#REF!</f>
        <v>#REF!</v>
      </c>
      <c r="C356" s="75" t="e">
        <f>#REF!</f>
        <v>#REF!</v>
      </c>
      <c r="D356" s="75" t="e">
        <f>#REF!</f>
        <v>#REF!</v>
      </c>
      <c r="E356" s="30">
        <v>1</v>
      </c>
      <c r="F356" s="238">
        <v>0</v>
      </c>
      <c r="G356" s="241">
        <v>0</v>
      </c>
      <c r="H356" s="249">
        <v>0</v>
      </c>
      <c r="I356" s="249">
        <v>0</v>
      </c>
      <c r="J356" s="249">
        <v>4327000</v>
      </c>
      <c r="K356" s="249">
        <v>0</v>
      </c>
      <c r="L356" s="274">
        <f>J356</f>
        <v>4327000</v>
      </c>
      <c r="M356" s="274"/>
      <c r="N356" s="245"/>
      <c r="O356" s="113"/>
      <c r="P356" s="113"/>
      <c r="Q356" s="131"/>
      <c r="R356" s="131"/>
      <c r="S356" s="64"/>
      <c r="T356" s="113"/>
      <c r="U356" s="113"/>
      <c r="V356" s="113"/>
      <c r="W356" s="131"/>
      <c r="X356" s="131"/>
      <c r="Y356" s="11"/>
      <c r="Z356" s="113">
        <v>12163000</v>
      </c>
      <c r="AA356" s="113">
        <v>0</v>
      </c>
      <c r="AB356" s="113">
        <f>+Z356+AA356</f>
        <v>12163000</v>
      </c>
      <c r="AC356" s="52" t="s">
        <v>358</v>
      </c>
      <c r="AD356" s="52" t="s">
        <v>198</v>
      </c>
      <c r="AE356" s="11"/>
      <c r="AF356" s="118"/>
      <c r="AG356" s="144"/>
      <c r="AH356" s="113"/>
      <c r="AI356" s="11"/>
      <c r="AJ356" s="11"/>
      <c r="AK356" s="39"/>
      <c r="AL356" s="113"/>
      <c r="AM356" s="113"/>
      <c r="AN356" s="117"/>
      <c r="AO356" s="76"/>
      <c r="AP356" s="39"/>
      <c r="AQ356" s="39"/>
      <c r="AR356" s="275"/>
      <c r="AS356" s="156"/>
      <c r="AT356" s="157"/>
      <c r="AU356" s="62"/>
      <c r="AV356" s="62"/>
      <c r="AW356" s="31"/>
      <c r="AX356" s="116"/>
      <c r="AY356" s="196"/>
      <c r="AZ356" s="143"/>
      <c r="BA356" s="191"/>
      <c r="BB356" s="132"/>
      <c r="BC356" s="132"/>
      <c r="BD356" s="274"/>
      <c r="BE356" s="143"/>
      <c r="BF356" s="143"/>
      <c r="BG356" s="132"/>
      <c r="BH356" s="132"/>
      <c r="BI356" s="132"/>
      <c r="BJ356" s="143"/>
      <c r="BK356" s="143"/>
      <c r="BL356" s="143"/>
      <c r="BM356" s="132"/>
      <c r="BN356" s="132"/>
      <c r="BO356" s="132"/>
      <c r="BP356" s="143"/>
      <c r="BQ356" s="132"/>
      <c r="BR356" s="132"/>
      <c r="BS356" s="132"/>
      <c r="BT356" s="132"/>
      <c r="BU356" s="132"/>
      <c r="BV356" s="268">
        <v>15000000</v>
      </c>
      <c r="BW356" s="144">
        <f t="shared" si="92"/>
        <v>2850000</v>
      </c>
      <c r="BX356" s="113">
        <f t="shared" si="93"/>
        <v>17850000</v>
      </c>
      <c r="BY356" s="264" t="s">
        <v>359</v>
      </c>
      <c r="BZ356" s="264" t="s">
        <v>360</v>
      </c>
      <c r="CA356" s="132"/>
      <c r="CB356" s="274"/>
      <c r="CC356" s="144"/>
      <c r="CD356" s="274"/>
      <c r="CE356" s="132"/>
      <c r="CF356" s="132"/>
      <c r="CG356" s="36"/>
      <c r="CH356" s="268"/>
      <c r="CI356" s="265"/>
      <c r="CJ356" s="263"/>
      <c r="CK356" s="264"/>
      <c r="CL356" s="264"/>
      <c r="CM356" s="132"/>
      <c r="CN356" s="274"/>
      <c r="CO356" s="144"/>
      <c r="CP356" s="274"/>
      <c r="CQ356" s="132"/>
      <c r="CR356" s="132"/>
      <c r="CS356" s="132"/>
      <c r="CT356" s="274"/>
      <c r="CU356" s="144"/>
      <c r="CV356" s="274"/>
      <c r="CW356" s="132"/>
      <c r="CX356" s="132"/>
      <c r="CY356" s="132"/>
      <c r="CZ356" s="118"/>
      <c r="DA356" s="144"/>
      <c r="DB356" s="118"/>
      <c r="DC356" s="33"/>
      <c r="DD356" s="39"/>
      <c r="DE356" s="11"/>
      <c r="DF356" s="132"/>
      <c r="DG356" s="132"/>
      <c r="DH356" s="132"/>
      <c r="DI356" s="132"/>
      <c r="DJ356" s="132"/>
      <c r="DK356" s="132"/>
      <c r="DL356" s="132"/>
      <c r="DM356" s="132"/>
      <c r="DN356" s="132"/>
      <c r="DO356" s="132"/>
      <c r="DP356" s="132"/>
      <c r="DQ356" s="132"/>
      <c r="DR356" s="132"/>
      <c r="DS356" s="132"/>
      <c r="DT356" s="132"/>
      <c r="DU356" s="132"/>
      <c r="DV356" s="132"/>
      <c r="DW356" s="132"/>
      <c r="DX356" s="132"/>
      <c r="DY356" s="132"/>
      <c r="DZ356" s="132"/>
      <c r="EA356" s="132"/>
      <c r="EB356" s="132"/>
      <c r="EC356" s="132"/>
      <c r="ED356" s="132"/>
      <c r="EE356" s="132"/>
      <c r="EF356" s="132"/>
      <c r="EG356" s="132"/>
      <c r="EH356" s="132"/>
      <c r="EI356" s="132"/>
      <c r="EJ356" s="132"/>
      <c r="EK356" s="132"/>
      <c r="EL356" s="132"/>
      <c r="EM356" s="132"/>
      <c r="EN356" s="132"/>
      <c r="EO356" s="132"/>
      <c r="EP356" s="132"/>
      <c r="EQ356" s="132"/>
      <c r="ER356" s="132"/>
      <c r="ES356" s="132"/>
      <c r="ET356" s="11"/>
      <c r="EU356" s="11"/>
      <c r="EV356" s="11"/>
      <c r="EW356" s="11"/>
      <c r="EX356" s="11"/>
      <c r="EY356" s="11"/>
      <c r="EZ356" s="11"/>
      <c r="FA356" s="11"/>
      <c r="FB356" s="11"/>
      <c r="FC356" s="11"/>
      <c r="FD356" s="11"/>
      <c r="FE356" s="11"/>
      <c r="FF356" s="11"/>
      <c r="FG356" s="11"/>
      <c r="FH356" s="39">
        <f t="shared" si="85"/>
        <v>30013000</v>
      </c>
      <c r="FI356" s="33">
        <f t="shared" si="86"/>
        <v>2</v>
      </c>
      <c r="FJ356" s="84">
        <f t="shared" si="87"/>
        <v>15006500</v>
      </c>
    </row>
    <row r="357" spans="1:166" ht="27" x14ac:dyDescent="0.25">
      <c r="A357" s="79" t="e">
        <f>#REF!</f>
        <v>#REF!</v>
      </c>
      <c r="B357" s="75" t="e">
        <f>#REF!</f>
        <v>#REF!</v>
      </c>
      <c r="C357" s="75" t="e">
        <f>#REF!</f>
        <v>#REF!</v>
      </c>
      <c r="D357" s="75" t="e">
        <f>#REF!</f>
        <v>#REF!</v>
      </c>
      <c r="E357" s="30">
        <v>1</v>
      </c>
      <c r="F357" s="238">
        <v>0</v>
      </c>
      <c r="G357" s="241">
        <v>0</v>
      </c>
      <c r="H357" s="249">
        <v>0</v>
      </c>
      <c r="I357" s="249">
        <v>0</v>
      </c>
      <c r="J357" s="249">
        <v>5409000</v>
      </c>
      <c r="K357" s="249">
        <v>5400000</v>
      </c>
      <c r="L357" s="274">
        <f>J357</f>
        <v>5409000</v>
      </c>
      <c r="M357" s="274">
        <f>K357*E1</f>
        <v>5562000</v>
      </c>
      <c r="N357" s="245"/>
      <c r="O357" s="113"/>
      <c r="P357" s="113"/>
      <c r="Q357" s="131"/>
      <c r="R357" s="131"/>
      <c r="S357" s="64"/>
      <c r="T357" s="113"/>
      <c r="U357" s="113"/>
      <c r="V357" s="113"/>
      <c r="W357" s="131"/>
      <c r="X357" s="131"/>
      <c r="Y357" s="11"/>
      <c r="Z357" s="113">
        <v>12163000</v>
      </c>
      <c r="AA357" s="113">
        <v>0</v>
      </c>
      <c r="AB357" s="113">
        <f>+Z357+AA357</f>
        <v>12163000</v>
      </c>
      <c r="AC357" s="52" t="s">
        <v>358</v>
      </c>
      <c r="AD357" s="52" t="s">
        <v>198</v>
      </c>
      <c r="AE357" s="11"/>
      <c r="AF357" s="118"/>
      <c r="AG357" s="144"/>
      <c r="AH357" s="113"/>
      <c r="AI357" s="11"/>
      <c r="AJ357" s="11"/>
      <c r="AK357" s="39"/>
      <c r="AL357" s="113"/>
      <c r="AM357" s="113"/>
      <c r="AN357" s="119"/>
      <c r="AO357" s="76"/>
      <c r="AP357" s="39"/>
      <c r="AQ357" s="39"/>
      <c r="AR357" s="275"/>
      <c r="AS357" s="161"/>
      <c r="AT357" s="143"/>
      <c r="AU357" s="62"/>
      <c r="AV357" s="62"/>
      <c r="AW357" s="31"/>
      <c r="AX357" s="116"/>
      <c r="AY357" s="116"/>
      <c r="AZ357" s="143"/>
      <c r="BA357" s="191"/>
      <c r="BB357" s="132"/>
      <c r="BC357" s="132"/>
      <c r="BD357" s="274"/>
      <c r="BE357" s="143"/>
      <c r="BF357" s="143"/>
      <c r="BG357" s="132"/>
      <c r="BH357" s="132"/>
      <c r="BI357" s="132"/>
      <c r="BJ357" s="143"/>
      <c r="BK357" s="143"/>
      <c r="BL357" s="143"/>
      <c r="BM357" s="132"/>
      <c r="BN357" s="132"/>
      <c r="BO357" s="132"/>
      <c r="BP357" s="143"/>
      <c r="BQ357" s="132"/>
      <c r="BR357" s="132"/>
      <c r="BS357" s="132"/>
      <c r="BT357" s="132"/>
      <c r="BU357" s="132"/>
      <c r="BV357" s="268">
        <v>15000000</v>
      </c>
      <c r="BW357" s="144">
        <f t="shared" si="92"/>
        <v>2850000</v>
      </c>
      <c r="BX357" s="113">
        <f t="shared" si="93"/>
        <v>17850000</v>
      </c>
      <c r="BY357" s="264" t="s">
        <v>361</v>
      </c>
      <c r="BZ357" s="264" t="s">
        <v>360</v>
      </c>
      <c r="CA357" s="132"/>
      <c r="CB357" s="274"/>
      <c r="CC357" s="144"/>
      <c r="CD357" s="274"/>
      <c r="CE357" s="132"/>
      <c r="CF357" s="132"/>
      <c r="CG357" s="36"/>
      <c r="CH357" s="268"/>
      <c r="CI357" s="265"/>
      <c r="CJ357" s="263"/>
      <c r="CK357" s="264"/>
      <c r="CL357" s="264"/>
      <c r="CM357" s="132"/>
      <c r="CN357" s="274"/>
      <c r="CO357" s="144"/>
      <c r="CP357" s="274"/>
      <c r="CQ357" s="132"/>
      <c r="CR357" s="132"/>
      <c r="CS357" s="132"/>
      <c r="CT357" s="274"/>
      <c r="CU357" s="144"/>
      <c r="CV357" s="274"/>
      <c r="CW357" s="132"/>
      <c r="CX357" s="132"/>
      <c r="CY357" s="132"/>
      <c r="CZ357" s="118"/>
      <c r="DA357" s="144"/>
      <c r="DB357" s="118"/>
      <c r="DC357" s="33"/>
      <c r="DD357" s="39"/>
      <c r="DE357" s="11"/>
      <c r="DF357" s="132"/>
      <c r="DG357" s="132"/>
      <c r="DH357" s="132"/>
      <c r="DI357" s="132"/>
      <c r="DJ357" s="132"/>
      <c r="DK357" s="132"/>
      <c r="DL357" s="132"/>
      <c r="DM357" s="132"/>
      <c r="DN357" s="132"/>
      <c r="DO357" s="132"/>
      <c r="DP357" s="132"/>
      <c r="DQ357" s="132"/>
      <c r="DR357" s="132"/>
      <c r="DS357" s="132"/>
      <c r="DT357" s="132"/>
      <c r="DU357" s="132"/>
      <c r="DV357" s="132"/>
      <c r="DW357" s="132"/>
      <c r="DX357" s="132"/>
      <c r="DY357" s="132"/>
      <c r="DZ357" s="132"/>
      <c r="EA357" s="132"/>
      <c r="EB357" s="132"/>
      <c r="EC357" s="132"/>
      <c r="ED357" s="132"/>
      <c r="EE357" s="132"/>
      <c r="EF357" s="132"/>
      <c r="EG357" s="132"/>
      <c r="EH357" s="132"/>
      <c r="EI357" s="132"/>
      <c r="EJ357" s="132"/>
      <c r="EK357" s="132"/>
      <c r="EL357" s="132"/>
      <c r="EM357" s="132"/>
      <c r="EN357" s="132"/>
      <c r="EO357" s="132"/>
      <c r="EP357" s="132"/>
      <c r="EQ357" s="132"/>
      <c r="ER357" s="132"/>
      <c r="ES357" s="132"/>
      <c r="ET357" s="11"/>
      <c r="EU357" s="11"/>
      <c r="EV357" s="11"/>
      <c r="EW357" s="11"/>
      <c r="EX357" s="11"/>
      <c r="EY357" s="11"/>
      <c r="EZ357" s="11"/>
      <c r="FA357" s="11"/>
      <c r="FB357" s="11"/>
      <c r="FC357" s="11"/>
      <c r="FD357" s="11"/>
      <c r="FE357" s="11"/>
      <c r="FF357" s="11"/>
      <c r="FG357" s="11"/>
      <c r="FH357" s="39">
        <f t="shared" si="85"/>
        <v>35575000</v>
      </c>
      <c r="FI357" s="33">
        <f t="shared" si="86"/>
        <v>3</v>
      </c>
      <c r="FJ357" s="84">
        <f t="shared" si="87"/>
        <v>11858333.333333334</v>
      </c>
    </row>
    <row r="358" spans="1:166" ht="13.5" x14ac:dyDescent="0.25">
      <c r="A358" s="79" t="e">
        <f>#REF!</f>
        <v>#REF!</v>
      </c>
      <c r="B358" s="75" t="e">
        <f>#REF!</f>
        <v>#REF!</v>
      </c>
      <c r="C358" s="75" t="e">
        <f>#REF!</f>
        <v>#REF!</v>
      </c>
      <c r="D358" s="75" t="e">
        <f>#REF!</f>
        <v>#REF!</v>
      </c>
      <c r="E358" s="30">
        <v>1</v>
      </c>
      <c r="F358" s="238">
        <v>1249875</v>
      </c>
      <c r="G358" s="241">
        <v>1249000</v>
      </c>
      <c r="H358" s="249">
        <v>1450864.4889374999</v>
      </c>
      <c r="I358" s="249">
        <v>0</v>
      </c>
      <c r="J358" s="249">
        <v>966225</v>
      </c>
      <c r="K358" s="249">
        <v>0</v>
      </c>
      <c r="L358" s="274">
        <f>AVERAGE(F358,H358,J358)</f>
        <v>1222321.4963125</v>
      </c>
      <c r="M358" s="274">
        <f>G358*E1</f>
        <v>1286470</v>
      </c>
      <c r="N358" s="245"/>
      <c r="O358" s="113"/>
      <c r="P358" s="113"/>
      <c r="Q358" s="131"/>
      <c r="R358" s="131"/>
      <c r="S358" s="64"/>
      <c r="T358" s="113"/>
      <c r="U358" s="113"/>
      <c r="V358" s="113"/>
      <c r="W358" s="131"/>
      <c r="X358" s="131"/>
      <c r="Y358" s="11"/>
      <c r="Z358" s="113"/>
      <c r="AA358" s="113"/>
      <c r="AB358" s="113"/>
      <c r="AC358" s="52"/>
      <c r="AD358" s="52"/>
      <c r="AE358" s="11"/>
      <c r="AF358" s="118">
        <v>1800000</v>
      </c>
      <c r="AG358" s="144">
        <v>0</v>
      </c>
      <c r="AH358" s="113">
        <f>+AF358+AG358</f>
        <v>1800000</v>
      </c>
      <c r="AI358" s="11"/>
      <c r="AJ358" s="11"/>
      <c r="AK358" s="39"/>
      <c r="AL358" s="113"/>
      <c r="AM358" s="113"/>
      <c r="AN358" s="117"/>
      <c r="AO358" s="76"/>
      <c r="AP358" s="39"/>
      <c r="AQ358" s="39"/>
      <c r="AR358" s="275"/>
      <c r="AS358" s="156"/>
      <c r="AT358" s="157"/>
      <c r="AU358" s="62"/>
      <c r="AV358" s="62"/>
      <c r="AW358" s="31"/>
      <c r="AX358" s="116"/>
      <c r="AY358" s="196"/>
      <c r="AZ358" s="143"/>
      <c r="BA358" s="191"/>
      <c r="BB358" s="132"/>
      <c r="BC358" s="132"/>
      <c r="BD358" s="274"/>
      <c r="BE358" s="143"/>
      <c r="BF358" s="143"/>
      <c r="BG358" s="132"/>
      <c r="BH358" s="132"/>
      <c r="BI358" s="132"/>
      <c r="BJ358" s="143"/>
      <c r="BK358" s="143"/>
      <c r="BL358" s="143"/>
      <c r="BM358" s="132"/>
      <c r="BN358" s="132"/>
      <c r="BO358" s="132"/>
      <c r="BP358" s="143"/>
      <c r="BQ358" s="132"/>
      <c r="BR358" s="132"/>
      <c r="BS358" s="132"/>
      <c r="BT358" s="132"/>
      <c r="BU358" s="132"/>
      <c r="BV358" s="268">
        <v>3182800</v>
      </c>
      <c r="BW358" s="144">
        <f>BV358*0</f>
        <v>0</v>
      </c>
      <c r="BX358" s="113">
        <f t="shared" si="93"/>
        <v>3182800</v>
      </c>
      <c r="BY358" s="264" t="s">
        <v>362</v>
      </c>
      <c r="BZ358" s="264" t="s">
        <v>363</v>
      </c>
      <c r="CA358" s="132"/>
      <c r="CB358" s="274"/>
      <c r="CC358" s="144"/>
      <c r="CD358" s="274"/>
      <c r="CE358" s="132"/>
      <c r="CF358" s="132"/>
      <c r="CG358" s="36"/>
      <c r="CH358" s="268"/>
      <c r="CI358" s="265"/>
      <c r="CJ358" s="263"/>
      <c r="CK358" s="264"/>
      <c r="CL358" s="264"/>
      <c r="CM358" s="132"/>
      <c r="CN358" s="274"/>
      <c r="CO358" s="144"/>
      <c r="CP358" s="274"/>
      <c r="CQ358" s="132"/>
      <c r="CR358" s="132"/>
      <c r="CS358" s="132"/>
      <c r="CT358" s="274"/>
      <c r="CU358" s="144"/>
      <c r="CV358" s="274"/>
      <c r="CW358" s="132"/>
      <c r="CX358" s="132"/>
      <c r="CY358" s="132"/>
      <c r="CZ358" s="118"/>
      <c r="DA358" s="144"/>
      <c r="DB358" s="118"/>
      <c r="DC358" s="33"/>
      <c r="DD358" s="39"/>
      <c r="DE358" s="11"/>
      <c r="DF358" s="132"/>
      <c r="DG358" s="132"/>
      <c r="DH358" s="132"/>
      <c r="DI358" s="132"/>
      <c r="DJ358" s="132"/>
      <c r="DK358" s="132"/>
      <c r="DL358" s="132"/>
      <c r="DM358" s="132"/>
      <c r="DN358" s="132"/>
      <c r="DO358" s="132"/>
      <c r="DP358" s="132"/>
      <c r="DQ358" s="132"/>
      <c r="DR358" s="132"/>
      <c r="DS358" s="132"/>
      <c r="DT358" s="132"/>
      <c r="DU358" s="132"/>
      <c r="DV358" s="132"/>
      <c r="DW358" s="132"/>
      <c r="DX358" s="132"/>
      <c r="DY358" s="132"/>
      <c r="DZ358" s="132"/>
      <c r="EA358" s="132"/>
      <c r="EB358" s="132"/>
      <c r="EC358" s="132"/>
      <c r="ED358" s="132"/>
      <c r="EE358" s="132"/>
      <c r="EF358" s="132"/>
      <c r="EG358" s="132"/>
      <c r="EH358" s="132"/>
      <c r="EI358" s="132"/>
      <c r="EJ358" s="132"/>
      <c r="EK358" s="132"/>
      <c r="EL358" s="132"/>
      <c r="EM358" s="132"/>
      <c r="EN358" s="132"/>
      <c r="EO358" s="132"/>
      <c r="EP358" s="132"/>
      <c r="EQ358" s="132"/>
      <c r="ER358" s="132"/>
      <c r="ES358" s="132"/>
      <c r="ET358" s="11"/>
      <c r="EU358" s="11"/>
      <c r="EV358" s="11"/>
      <c r="EW358" s="11"/>
      <c r="EX358" s="11"/>
      <c r="EY358" s="11"/>
      <c r="EZ358" s="11"/>
      <c r="FA358" s="11"/>
      <c r="FB358" s="11"/>
      <c r="FC358" s="11"/>
      <c r="FD358" s="11"/>
      <c r="FE358" s="11"/>
      <c r="FF358" s="11"/>
      <c r="FG358" s="11"/>
      <c r="FH358" s="39">
        <f t="shared" si="85"/>
        <v>6269270</v>
      </c>
      <c r="FI358" s="33">
        <f t="shared" si="86"/>
        <v>3</v>
      </c>
      <c r="FJ358" s="84">
        <f t="shared" si="87"/>
        <v>2089756.6666666667</v>
      </c>
    </row>
    <row r="359" spans="1:166" ht="40.5" x14ac:dyDescent="0.25">
      <c r="A359" s="79" t="e">
        <f>#REF!</f>
        <v>#REF!</v>
      </c>
      <c r="B359" s="75" t="e">
        <f>#REF!</f>
        <v>#REF!</v>
      </c>
      <c r="C359" s="75" t="e">
        <f>#REF!</f>
        <v>#REF!</v>
      </c>
      <c r="D359" s="75" t="e">
        <f>#REF!</f>
        <v>#REF!</v>
      </c>
      <c r="E359" s="30">
        <v>1</v>
      </c>
      <c r="F359" s="238">
        <v>0</v>
      </c>
      <c r="G359" s="241">
        <v>0</v>
      </c>
      <c r="H359" s="249">
        <v>2234082.2000000002</v>
      </c>
      <c r="I359" s="249">
        <v>2233987</v>
      </c>
      <c r="J359" s="249">
        <v>2833967.7450000001</v>
      </c>
      <c r="K359" s="249">
        <v>2734620</v>
      </c>
      <c r="L359" s="274">
        <f>AVERAGE(H359,J359)</f>
        <v>2534024.9725000001</v>
      </c>
      <c r="M359" s="274">
        <f>AVERAGE(I359,K359)*E1</f>
        <v>2558832.605</v>
      </c>
      <c r="N359" s="245"/>
      <c r="O359" s="113"/>
      <c r="P359" s="113"/>
      <c r="Q359" s="131"/>
      <c r="R359" s="131"/>
      <c r="S359" s="64"/>
      <c r="T359" s="113"/>
      <c r="U359" s="117"/>
      <c r="V359" s="113"/>
      <c r="W359" s="131"/>
      <c r="X359" s="131"/>
      <c r="Y359" s="11"/>
      <c r="Z359" s="113"/>
      <c r="AA359" s="113"/>
      <c r="AB359" s="113"/>
      <c r="AC359" s="52"/>
      <c r="AD359" s="52"/>
      <c r="AE359" s="11"/>
      <c r="AF359" s="118"/>
      <c r="AG359" s="144"/>
      <c r="AH359" s="113"/>
      <c r="AI359" s="11"/>
      <c r="AJ359" s="11"/>
      <c r="AK359" s="39"/>
      <c r="AL359" s="113"/>
      <c r="AM359" s="113"/>
      <c r="AN359" s="117"/>
      <c r="AO359" s="76"/>
      <c r="AP359" s="39"/>
      <c r="AQ359" s="39"/>
      <c r="AR359" s="275">
        <v>756000</v>
      </c>
      <c r="AS359" s="113">
        <f>+AR359*0.19</f>
        <v>143640</v>
      </c>
      <c r="AT359" s="119">
        <f>+AR359+AS359</f>
        <v>899640</v>
      </c>
      <c r="AU359" s="62" t="s">
        <v>308</v>
      </c>
      <c r="AV359" s="62" t="s">
        <v>35</v>
      </c>
      <c r="AW359" s="31"/>
      <c r="AX359" s="196"/>
      <c r="AY359" s="196"/>
      <c r="AZ359" s="143"/>
      <c r="BA359" s="191"/>
      <c r="BB359" s="132"/>
      <c r="BC359" s="132"/>
      <c r="BD359" s="274"/>
      <c r="BE359" s="143"/>
      <c r="BF359" s="143"/>
      <c r="BG359" s="132"/>
      <c r="BH359" s="132"/>
      <c r="BI359" s="132"/>
      <c r="BJ359" s="143"/>
      <c r="BK359" s="143"/>
      <c r="BL359" s="143"/>
      <c r="BM359" s="132"/>
      <c r="BN359" s="132"/>
      <c r="BO359" s="132"/>
      <c r="BP359" s="143"/>
      <c r="BQ359" s="132"/>
      <c r="BR359" s="132"/>
      <c r="BS359" s="132"/>
      <c r="BT359" s="132"/>
      <c r="BU359" s="132"/>
      <c r="BV359" s="268">
        <v>3394800</v>
      </c>
      <c r="BW359" s="144">
        <f>BV359*19%</f>
        <v>645012</v>
      </c>
      <c r="BX359" s="113">
        <f t="shared" si="93"/>
        <v>4039812</v>
      </c>
      <c r="BY359" s="264" t="s">
        <v>320</v>
      </c>
      <c r="BZ359" s="264" t="s">
        <v>310</v>
      </c>
      <c r="CA359" s="132"/>
      <c r="CB359" s="274"/>
      <c r="CC359" s="144"/>
      <c r="CD359" s="274"/>
      <c r="CE359" s="132"/>
      <c r="CF359" s="132"/>
      <c r="CG359" s="36"/>
      <c r="CH359" s="268"/>
      <c r="CI359" s="265"/>
      <c r="CJ359" s="263"/>
      <c r="CK359" s="264"/>
      <c r="CL359" s="264"/>
      <c r="CM359" s="132"/>
      <c r="CN359" s="274"/>
      <c r="CO359" s="144"/>
      <c r="CP359" s="274"/>
      <c r="CQ359" s="132"/>
      <c r="CR359" s="132"/>
      <c r="CS359" s="132"/>
      <c r="CT359" s="144">
        <v>1338240</v>
      </c>
      <c r="CU359" s="144">
        <f>CT359*0.19</f>
        <v>254265.60000000001</v>
      </c>
      <c r="CV359" s="144">
        <f>CU359+CT359</f>
        <v>1592505.6</v>
      </c>
      <c r="CW359" s="132"/>
      <c r="CX359" s="132"/>
      <c r="CY359" s="132"/>
      <c r="CZ359" s="118"/>
      <c r="DA359" s="144"/>
      <c r="DB359" s="118"/>
      <c r="DC359" s="33"/>
      <c r="DD359" s="39"/>
      <c r="DE359" s="11"/>
      <c r="DF359" s="132"/>
      <c r="DG359" s="132"/>
      <c r="DH359" s="132"/>
      <c r="DI359" s="132"/>
      <c r="DJ359" s="132"/>
      <c r="DK359" s="132"/>
      <c r="DL359" s="132"/>
      <c r="DM359" s="132"/>
      <c r="DN359" s="132"/>
      <c r="DO359" s="132"/>
      <c r="DP359" s="132"/>
      <c r="DQ359" s="132"/>
      <c r="DR359" s="132"/>
      <c r="DS359" s="132"/>
      <c r="DT359" s="132"/>
      <c r="DU359" s="132"/>
      <c r="DV359" s="132"/>
      <c r="DW359" s="132"/>
      <c r="DX359" s="132"/>
      <c r="DY359" s="132"/>
      <c r="DZ359" s="132"/>
      <c r="EA359" s="132"/>
      <c r="EB359" s="132"/>
      <c r="EC359" s="132"/>
      <c r="ED359" s="132"/>
      <c r="EE359" s="132"/>
      <c r="EF359" s="132"/>
      <c r="EG359" s="132"/>
      <c r="EH359" s="132"/>
      <c r="EI359" s="132"/>
      <c r="EJ359" s="132"/>
      <c r="EK359" s="132"/>
      <c r="EL359" s="132"/>
      <c r="EM359" s="132"/>
      <c r="EN359" s="132"/>
      <c r="EO359" s="132"/>
      <c r="EP359" s="132"/>
      <c r="EQ359" s="132"/>
      <c r="ER359" s="132"/>
      <c r="ES359" s="132"/>
      <c r="ET359" s="11"/>
      <c r="EU359" s="11"/>
      <c r="EV359" s="11"/>
      <c r="EW359" s="11"/>
      <c r="EX359" s="11"/>
      <c r="EY359" s="11"/>
      <c r="EZ359" s="11"/>
      <c r="FA359" s="11"/>
      <c r="FB359" s="11"/>
      <c r="FC359" s="11"/>
      <c r="FD359" s="11"/>
      <c r="FE359" s="11"/>
      <c r="FF359" s="11"/>
      <c r="FG359" s="11"/>
      <c r="FH359" s="39">
        <f t="shared" si="85"/>
        <v>9090790.2050000001</v>
      </c>
      <c r="FI359" s="33">
        <f t="shared" si="86"/>
        <v>4</v>
      </c>
      <c r="FJ359" s="84">
        <f t="shared" si="87"/>
        <v>2272697.55125</v>
      </c>
    </row>
    <row r="360" spans="1:166" ht="13.5" x14ac:dyDescent="0.25">
      <c r="A360" s="79" t="e">
        <f>#REF!</f>
        <v>#REF!</v>
      </c>
      <c r="B360" s="75" t="e">
        <f>#REF!</f>
        <v>#REF!</v>
      </c>
      <c r="C360" s="75" t="e">
        <f>#REF!</f>
        <v>#REF!</v>
      </c>
      <c r="D360" s="75" t="e">
        <f>#REF!</f>
        <v>#REF!</v>
      </c>
      <c r="E360" s="30">
        <v>1</v>
      </c>
      <c r="F360" s="238">
        <v>1489523</v>
      </c>
      <c r="G360" s="241">
        <v>714000</v>
      </c>
      <c r="H360" s="249">
        <v>1334699.0347249999</v>
      </c>
      <c r="I360" s="249">
        <v>0</v>
      </c>
      <c r="J360" s="249">
        <v>800275</v>
      </c>
      <c r="K360" s="249">
        <v>780283</v>
      </c>
      <c r="L360" s="274">
        <f>AVERAGE(F360,H360,J360)</f>
        <v>1208165.6782416666</v>
      </c>
      <c r="M360" s="274">
        <f>AVERAGE(G360,K360)*E1</f>
        <v>769555.745</v>
      </c>
      <c r="N360" s="245"/>
      <c r="O360" s="113"/>
      <c r="P360" s="113"/>
      <c r="Q360" s="131"/>
      <c r="R360" s="131"/>
      <c r="S360" s="64"/>
      <c r="T360" s="113"/>
      <c r="U360" s="122"/>
      <c r="V360" s="113"/>
      <c r="W360" s="131"/>
      <c r="X360" s="131"/>
      <c r="Y360" s="11"/>
      <c r="Z360" s="113"/>
      <c r="AA360" s="113"/>
      <c r="AB360" s="113"/>
      <c r="AC360" s="52"/>
      <c r="AD360" s="52"/>
      <c r="AE360" s="11"/>
      <c r="AF360" s="118"/>
      <c r="AG360" s="144"/>
      <c r="AH360" s="113"/>
      <c r="AI360" s="11"/>
      <c r="AJ360" s="11"/>
      <c r="AK360" s="39"/>
      <c r="AL360" s="113">
        <v>440000</v>
      </c>
      <c r="AM360" s="113">
        <f>+AL360*0.19</f>
        <v>83600</v>
      </c>
      <c r="AN360" s="119">
        <f>+AL360+AM360</f>
        <v>523600</v>
      </c>
      <c r="AO360" s="76" t="s">
        <v>91</v>
      </c>
      <c r="AP360" s="39" t="s">
        <v>45</v>
      </c>
      <c r="AQ360" s="39"/>
      <c r="AR360" s="275"/>
      <c r="AS360" s="158"/>
      <c r="AT360" s="159"/>
      <c r="AU360" s="62"/>
      <c r="AV360" s="62"/>
      <c r="AW360" s="31"/>
      <c r="AX360" s="116"/>
      <c r="AY360" s="196"/>
      <c r="AZ360" s="143"/>
      <c r="BA360" s="191"/>
      <c r="BB360" s="132"/>
      <c r="BC360" s="132"/>
      <c r="BD360" s="274"/>
      <c r="BE360" s="143"/>
      <c r="BF360" s="143"/>
      <c r="BG360" s="132"/>
      <c r="BH360" s="132"/>
      <c r="BI360" s="132"/>
      <c r="BJ360" s="143"/>
      <c r="BK360" s="143"/>
      <c r="BL360" s="143"/>
      <c r="BM360" s="132"/>
      <c r="BN360" s="132"/>
      <c r="BO360" s="132"/>
      <c r="BP360" s="143"/>
      <c r="BQ360" s="132"/>
      <c r="BR360" s="132"/>
      <c r="BS360" s="132"/>
      <c r="BT360" s="132"/>
      <c r="BU360" s="132"/>
      <c r="BV360" s="263">
        <v>687200</v>
      </c>
      <c r="BW360" s="144">
        <f>BV360*19%</f>
        <v>130568</v>
      </c>
      <c r="BX360" s="113">
        <f t="shared" si="93"/>
        <v>817768</v>
      </c>
      <c r="BY360" s="264" t="s">
        <v>332</v>
      </c>
      <c r="BZ360" s="264" t="s">
        <v>88</v>
      </c>
      <c r="CA360" s="132"/>
      <c r="CB360" s="274"/>
      <c r="CC360" s="144"/>
      <c r="CD360" s="274"/>
      <c r="CE360" s="132"/>
      <c r="CF360" s="132"/>
      <c r="CG360" s="36"/>
      <c r="CH360" s="263">
        <v>721560</v>
      </c>
      <c r="CI360" s="265">
        <f>+CH360*0.19</f>
        <v>137096.4</v>
      </c>
      <c r="CJ360" s="263">
        <f>+CH360+CI360</f>
        <v>858656.4</v>
      </c>
      <c r="CK360" s="264" t="s">
        <v>332</v>
      </c>
      <c r="CL360" s="264" t="s">
        <v>88</v>
      </c>
      <c r="CM360" s="132"/>
      <c r="CN360" s="274"/>
      <c r="CO360" s="144"/>
      <c r="CP360" s="274"/>
      <c r="CQ360" s="132"/>
      <c r="CR360" s="132"/>
      <c r="CS360" s="132"/>
      <c r="CT360" s="274"/>
      <c r="CU360" s="144"/>
      <c r="CV360" s="274"/>
      <c r="CW360" s="132"/>
      <c r="CX360" s="132"/>
      <c r="CY360" s="132"/>
      <c r="CZ360" s="118"/>
      <c r="DA360" s="144"/>
      <c r="DB360" s="118"/>
      <c r="DC360" s="33"/>
      <c r="DD360" s="39"/>
      <c r="DE360" s="11"/>
      <c r="DF360" s="132"/>
      <c r="DG360" s="132"/>
      <c r="DH360" s="132"/>
      <c r="DI360" s="132"/>
      <c r="DJ360" s="132"/>
      <c r="DK360" s="132"/>
      <c r="DL360" s="132"/>
      <c r="DM360" s="132"/>
      <c r="DN360" s="132"/>
      <c r="DO360" s="132"/>
      <c r="DP360" s="132"/>
      <c r="DQ360" s="132"/>
      <c r="DR360" s="132"/>
      <c r="DS360" s="132"/>
      <c r="DT360" s="132"/>
      <c r="DU360" s="132"/>
      <c r="DV360" s="132"/>
      <c r="DW360" s="132"/>
      <c r="DX360" s="132"/>
      <c r="DY360" s="132"/>
      <c r="DZ360" s="132"/>
      <c r="EA360" s="132"/>
      <c r="EB360" s="132"/>
      <c r="EC360" s="132"/>
      <c r="ED360" s="132"/>
      <c r="EE360" s="132"/>
      <c r="EF360" s="132"/>
      <c r="EG360" s="132"/>
      <c r="EH360" s="132"/>
      <c r="EI360" s="132"/>
      <c r="EJ360" s="132"/>
      <c r="EK360" s="132"/>
      <c r="EL360" s="132"/>
      <c r="EM360" s="132"/>
      <c r="EN360" s="132"/>
      <c r="EO360" s="132"/>
      <c r="EP360" s="132"/>
      <c r="EQ360" s="132"/>
      <c r="ER360" s="132"/>
      <c r="ES360" s="132"/>
      <c r="ET360" s="11"/>
      <c r="EU360" s="11"/>
      <c r="EV360" s="11"/>
      <c r="EW360" s="11"/>
      <c r="EX360" s="11"/>
      <c r="EY360" s="11"/>
      <c r="EZ360" s="11"/>
      <c r="FA360" s="11"/>
      <c r="FB360" s="11"/>
      <c r="FC360" s="11"/>
      <c r="FD360" s="11"/>
      <c r="FE360" s="11"/>
      <c r="FF360" s="11"/>
      <c r="FG360" s="11"/>
      <c r="FH360" s="39">
        <f t="shared" si="85"/>
        <v>2969580.145</v>
      </c>
      <c r="FI360" s="33">
        <f t="shared" si="86"/>
        <v>4</v>
      </c>
      <c r="FJ360" s="84">
        <f t="shared" si="87"/>
        <v>742395.03625</v>
      </c>
    </row>
    <row r="361" spans="1:166" x14ac:dyDescent="0.25">
      <c r="A361" s="79" t="e">
        <f>#REF!</f>
        <v>#REF!</v>
      </c>
      <c r="B361" s="75" t="e">
        <f>#REF!</f>
        <v>#REF!</v>
      </c>
      <c r="C361" s="75" t="e">
        <f>#REF!</f>
        <v>#REF!</v>
      </c>
      <c r="D361" s="75" t="e">
        <f>#REF!</f>
        <v>#REF!</v>
      </c>
      <c r="E361" s="30">
        <v>1</v>
      </c>
      <c r="F361" s="238">
        <v>0</v>
      </c>
      <c r="G361" s="241">
        <v>0</v>
      </c>
      <c r="H361" s="249">
        <v>0</v>
      </c>
      <c r="I361" s="249">
        <v>0</v>
      </c>
      <c r="J361" s="249">
        <v>0</v>
      </c>
      <c r="K361" s="249">
        <v>0</v>
      </c>
      <c r="L361" s="274"/>
      <c r="M361" s="274"/>
      <c r="N361" s="245"/>
      <c r="O361" s="113"/>
      <c r="P361" s="113"/>
      <c r="Q361" s="131"/>
      <c r="R361" s="131"/>
      <c r="S361" s="64"/>
      <c r="T361" s="113"/>
      <c r="U361" s="113"/>
      <c r="V361" s="113"/>
      <c r="W361" s="131"/>
      <c r="X361" s="131"/>
      <c r="Y361" s="11"/>
      <c r="Z361" s="113"/>
      <c r="AA361" s="113"/>
      <c r="AB361" s="113"/>
      <c r="AC361" s="52"/>
      <c r="AD361" s="52"/>
      <c r="AE361" s="11"/>
      <c r="AF361" s="118"/>
      <c r="AG361" s="144"/>
      <c r="AH361" s="113"/>
      <c r="AI361" s="11"/>
      <c r="AJ361" s="11"/>
      <c r="AK361" s="39"/>
      <c r="AL361" s="113"/>
      <c r="AM361" s="113"/>
      <c r="AN361" s="117"/>
      <c r="AO361" s="76"/>
      <c r="AP361" s="39"/>
      <c r="AQ361" s="39"/>
      <c r="AR361" s="275"/>
      <c r="AS361" s="156"/>
      <c r="AT361" s="157"/>
      <c r="AU361" s="62"/>
      <c r="AV361" s="62"/>
      <c r="AW361" s="31"/>
      <c r="AX361" s="116"/>
      <c r="AY361" s="196"/>
      <c r="AZ361" s="143"/>
      <c r="BA361" s="191"/>
      <c r="BB361" s="132"/>
      <c r="BC361" s="132"/>
      <c r="BD361" s="274"/>
      <c r="BE361" s="143"/>
      <c r="BF361" s="143"/>
      <c r="BG361" s="132"/>
      <c r="BH361" s="132"/>
      <c r="BI361" s="132"/>
      <c r="BJ361" s="143"/>
      <c r="BK361" s="143"/>
      <c r="BL361" s="143"/>
      <c r="BM361" s="132"/>
      <c r="BN361" s="132"/>
      <c r="BO361" s="132"/>
      <c r="BP361" s="143"/>
      <c r="BQ361" s="132"/>
      <c r="BR361" s="132"/>
      <c r="BS361" s="132"/>
      <c r="BT361" s="132"/>
      <c r="BU361" s="132"/>
      <c r="BV361" s="210"/>
      <c r="BW361" s="144"/>
      <c r="BX361" s="113"/>
      <c r="BY361" s="273"/>
      <c r="BZ361" s="273"/>
      <c r="CA361" s="132"/>
      <c r="CB361" s="274"/>
      <c r="CC361" s="144"/>
      <c r="CD361" s="274"/>
      <c r="CE361" s="132"/>
      <c r="CF361" s="132"/>
      <c r="CG361" s="36"/>
      <c r="CH361" s="210"/>
      <c r="CI361" s="219"/>
      <c r="CJ361" s="210"/>
      <c r="CK361" s="273"/>
      <c r="CL361" s="273"/>
      <c r="CM361" s="132"/>
      <c r="CN361" s="274"/>
      <c r="CO361" s="144"/>
      <c r="CP361" s="274"/>
      <c r="CQ361" s="132"/>
      <c r="CR361" s="132"/>
      <c r="CS361" s="132"/>
      <c r="CT361" s="274"/>
      <c r="CU361" s="144"/>
      <c r="CV361" s="274"/>
      <c r="CW361" s="132"/>
      <c r="CX361" s="132"/>
      <c r="CY361" s="132"/>
      <c r="CZ361" s="118">
        <v>285241</v>
      </c>
      <c r="DA361" s="144">
        <f>+CZ361*0.19</f>
        <v>54195.79</v>
      </c>
      <c r="DB361" s="118">
        <f>+CZ361+DA361</f>
        <v>339436.79</v>
      </c>
      <c r="DC361" s="33" t="s">
        <v>89</v>
      </c>
      <c r="DD361" s="39" t="s">
        <v>58</v>
      </c>
      <c r="DE361" s="11">
        <v>1047272500</v>
      </c>
      <c r="DF361" s="132"/>
      <c r="DG361" s="132"/>
      <c r="DH361" s="132"/>
      <c r="DI361" s="132"/>
      <c r="DJ361" s="132"/>
      <c r="DK361" s="132"/>
      <c r="DL361" s="132"/>
      <c r="DM361" s="132"/>
      <c r="DN361" s="132"/>
      <c r="DO361" s="132"/>
      <c r="DP361" s="132"/>
      <c r="DQ361" s="132"/>
      <c r="DR361" s="132"/>
      <c r="DS361" s="132"/>
      <c r="DT361" s="132"/>
      <c r="DU361" s="132"/>
      <c r="DV361" s="132"/>
      <c r="DW361" s="132"/>
      <c r="DX361" s="132"/>
      <c r="DY361" s="132"/>
      <c r="DZ361" s="132"/>
      <c r="EA361" s="132"/>
      <c r="EB361" s="132"/>
      <c r="EC361" s="132"/>
      <c r="ED361" s="132"/>
      <c r="EE361" s="132"/>
      <c r="EF361" s="132"/>
      <c r="EG361" s="132"/>
      <c r="EH361" s="132"/>
      <c r="EI361" s="132"/>
      <c r="EJ361" s="132"/>
      <c r="EK361" s="132"/>
      <c r="EL361" s="132"/>
      <c r="EM361" s="132"/>
      <c r="EN361" s="132"/>
      <c r="EO361" s="132"/>
      <c r="EP361" s="132"/>
      <c r="EQ361" s="132"/>
      <c r="ER361" s="132"/>
      <c r="ES361" s="132"/>
      <c r="ET361" s="11"/>
      <c r="EU361" s="11"/>
      <c r="EV361" s="11"/>
      <c r="EW361" s="11"/>
      <c r="EX361" s="11"/>
      <c r="EY361" s="11"/>
      <c r="EZ361" s="11"/>
      <c r="FA361" s="11"/>
      <c r="FB361" s="11"/>
      <c r="FC361" s="11"/>
      <c r="FD361" s="11"/>
      <c r="FE361" s="11"/>
      <c r="FF361" s="11"/>
      <c r="FG361" s="11"/>
      <c r="FH361" s="39">
        <f t="shared" si="85"/>
        <v>339436.79</v>
      </c>
      <c r="FI361" s="33">
        <f t="shared" si="86"/>
        <v>1</v>
      </c>
      <c r="FJ361" s="84">
        <f t="shared" si="87"/>
        <v>339436.79</v>
      </c>
    </row>
    <row r="362" spans="1:166" ht="40.5" x14ac:dyDescent="0.25">
      <c r="A362" s="79" t="e">
        <f>#REF!</f>
        <v>#REF!</v>
      </c>
      <c r="B362" s="75" t="e">
        <f>#REF!</f>
        <v>#REF!</v>
      </c>
      <c r="C362" s="75" t="e">
        <f>#REF!</f>
        <v>#REF!</v>
      </c>
      <c r="D362" s="75" t="e">
        <f>#REF!</f>
        <v>#REF!</v>
      </c>
      <c r="E362" s="30">
        <v>1</v>
      </c>
      <c r="F362" s="238">
        <v>0</v>
      </c>
      <c r="G362" s="241">
        <v>0</v>
      </c>
      <c r="H362" s="249">
        <v>1565630.6666666667</v>
      </c>
      <c r="I362" s="249">
        <v>153510</v>
      </c>
      <c r="J362" s="249">
        <v>698207.51</v>
      </c>
      <c r="K362" s="249">
        <v>0</v>
      </c>
      <c r="L362" s="274">
        <f>AVERAGE(H362,J362)</f>
        <v>1131919.0883333334</v>
      </c>
      <c r="M362" s="274">
        <f>I362*E1</f>
        <v>158115.30000000002</v>
      </c>
      <c r="N362" s="245"/>
      <c r="O362" s="113"/>
      <c r="P362" s="113"/>
      <c r="Q362" s="131"/>
      <c r="R362" s="131"/>
      <c r="S362" s="64"/>
      <c r="T362" s="113"/>
      <c r="U362" s="113"/>
      <c r="V362" s="113"/>
      <c r="W362" s="131"/>
      <c r="X362" s="131"/>
      <c r="Y362" s="11"/>
      <c r="Z362" s="113"/>
      <c r="AA362" s="113"/>
      <c r="AB362" s="113"/>
      <c r="AC362" s="52"/>
      <c r="AD362" s="52"/>
      <c r="AE362" s="11"/>
      <c r="AF362" s="118">
        <v>250000</v>
      </c>
      <c r="AG362" s="144">
        <f>AF362*19%</f>
        <v>47500</v>
      </c>
      <c r="AH362" s="113">
        <f>+AF362+AG362</f>
        <v>297500</v>
      </c>
      <c r="AI362" s="11"/>
      <c r="AJ362" s="11"/>
      <c r="AK362" s="39"/>
      <c r="AL362" s="113">
        <v>290000</v>
      </c>
      <c r="AM362" s="113">
        <f>+AL362*0.19</f>
        <v>55100</v>
      </c>
      <c r="AN362" s="119">
        <f>+AL362+AM362</f>
        <v>345100</v>
      </c>
      <c r="AO362" s="76" t="s">
        <v>49</v>
      </c>
      <c r="AP362" s="39" t="s">
        <v>45</v>
      </c>
      <c r="AQ362" s="39"/>
      <c r="AR362" s="275"/>
      <c r="AS362" s="156"/>
      <c r="AT362" s="157"/>
      <c r="AU362" s="62"/>
      <c r="AV362" s="62"/>
      <c r="AW362" s="31"/>
      <c r="AX362" s="116"/>
      <c r="AY362" s="196"/>
      <c r="AZ362" s="143"/>
      <c r="BA362" s="191"/>
      <c r="BB362" s="132"/>
      <c r="BC362" s="132"/>
      <c r="BD362" s="274"/>
      <c r="BE362" s="143"/>
      <c r="BF362" s="143"/>
      <c r="BG362" s="132"/>
      <c r="BH362" s="132"/>
      <c r="BI362" s="132"/>
      <c r="BJ362" s="143"/>
      <c r="BK362" s="143"/>
      <c r="BL362" s="143"/>
      <c r="BM362" s="132"/>
      <c r="BN362" s="132"/>
      <c r="BO362" s="132"/>
      <c r="BP362" s="143"/>
      <c r="BQ362" s="132"/>
      <c r="BR362" s="132"/>
      <c r="BS362" s="132"/>
      <c r="BT362" s="132"/>
      <c r="BU362" s="132"/>
      <c r="BV362" s="263">
        <v>476000</v>
      </c>
      <c r="BW362" s="144">
        <f>BV362*19%</f>
        <v>90440</v>
      </c>
      <c r="BX362" s="113">
        <f>+BV362+BW362</f>
        <v>566440</v>
      </c>
      <c r="BY362" s="264" t="s">
        <v>337</v>
      </c>
      <c r="BZ362" s="264" t="s">
        <v>45</v>
      </c>
      <c r="CA362" s="132"/>
      <c r="CB362" s="274"/>
      <c r="CC362" s="144"/>
      <c r="CD362" s="274"/>
      <c r="CE362" s="132"/>
      <c r="CF362" s="132"/>
      <c r="CG362" s="36"/>
      <c r="CH362" s="263">
        <v>480760</v>
      </c>
      <c r="CI362" s="265">
        <f>+CH362*0.19</f>
        <v>91344.4</v>
      </c>
      <c r="CJ362" s="263">
        <f>+CH362+CI362</f>
        <v>572104.4</v>
      </c>
      <c r="CK362" s="264" t="s">
        <v>337</v>
      </c>
      <c r="CL362" s="264" t="s">
        <v>45</v>
      </c>
      <c r="CM362" s="132"/>
      <c r="CN362" s="274"/>
      <c r="CO362" s="144"/>
      <c r="CP362" s="274"/>
      <c r="CQ362" s="132"/>
      <c r="CR362" s="132"/>
      <c r="CS362" s="132"/>
      <c r="CT362" s="274"/>
      <c r="CU362" s="144"/>
      <c r="CV362" s="274"/>
      <c r="CW362" s="132"/>
      <c r="CX362" s="132"/>
      <c r="CY362" s="132"/>
      <c r="CZ362" s="118"/>
      <c r="DA362" s="144"/>
      <c r="DB362" s="118"/>
      <c r="DC362" s="33"/>
      <c r="DD362" s="39"/>
      <c r="DE362" s="11"/>
      <c r="DF362" s="132"/>
      <c r="DG362" s="132"/>
      <c r="DH362" s="132"/>
      <c r="DI362" s="132"/>
      <c r="DJ362" s="132"/>
      <c r="DK362" s="132"/>
      <c r="DL362" s="132"/>
      <c r="DM362" s="132"/>
      <c r="DN362" s="132"/>
      <c r="DO362" s="132"/>
      <c r="DP362" s="132"/>
      <c r="DQ362" s="132"/>
      <c r="DR362" s="132"/>
      <c r="DS362" s="132"/>
      <c r="DT362" s="132"/>
      <c r="DU362" s="132"/>
      <c r="DV362" s="132"/>
      <c r="DW362" s="132"/>
      <c r="DX362" s="132"/>
      <c r="DY362" s="132"/>
      <c r="DZ362" s="132"/>
      <c r="EA362" s="132"/>
      <c r="EB362" s="132"/>
      <c r="EC362" s="132"/>
      <c r="ED362" s="132"/>
      <c r="EE362" s="132"/>
      <c r="EF362" s="132"/>
      <c r="EG362" s="132"/>
      <c r="EH362" s="132"/>
      <c r="EI362" s="132"/>
      <c r="EJ362" s="132"/>
      <c r="EK362" s="132"/>
      <c r="EL362" s="132"/>
      <c r="EM362" s="132"/>
      <c r="EN362" s="132"/>
      <c r="EO362" s="132"/>
      <c r="EP362" s="132"/>
      <c r="EQ362" s="132"/>
      <c r="ER362" s="132"/>
      <c r="ES362" s="132"/>
      <c r="ET362" s="11"/>
      <c r="EU362" s="11"/>
      <c r="EV362" s="11"/>
      <c r="EW362" s="11"/>
      <c r="EX362" s="11"/>
      <c r="EY362" s="11"/>
      <c r="EZ362" s="11"/>
      <c r="FA362" s="11"/>
      <c r="FB362" s="11"/>
      <c r="FC362" s="11"/>
      <c r="FD362" s="11"/>
      <c r="FE362" s="11"/>
      <c r="FF362" s="11"/>
      <c r="FG362" s="11"/>
      <c r="FH362" s="39">
        <f t="shared" si="85"/>
        <v>1939259.7000000002</v>
      </c>
      <c r="FI362" s="33">
        <f t="shared" si="86"/>
        <v>5</v>
      </c>
      <c r="FJ362" s="84">
        <f t="shared" si="87"/>
        <v>387851.94000000006</v>
      </c>
    </row>
    <row r="363" spans="1:166" ht="13.5" x14ac:dyDescent="0.25">
      <c r="A363" s="79" t="e">
        <f>#REF!</f>
        <v>#REF!</v>
      </c>
      <c r="B363" s="75" t="e">
        <f>#REF!</f>
        <v>#REF!</v>
      </c>
      <c r="C363" s="75" t="e">
        <f>#REF!</f>
        <v>#REF!</v>
      </c>
      <c r="D363" s="75" t="e">
        <f>#REF!</f>
        <v>#REF!</v>
      </c>
      <c r="E363" s="30">
        <v>1</v>
      </c>
      <c r="F363" s="238">
        <v>0</v>
      </c>
      <c r="G363" s="241">
        <v>0</v>
      </c>
      <c r="H363" s="249">
        <v>0</v>
      </c>
      <c r="I363" s="249">
        <v>0</v>
      </c>
      <c r="J363" s="249">
        <v>0</v>
      </c>
      <c r="K363" s="249">
        <v>0</v>
      </c>
      <c r="L363" s="274"/>
      <c r="M363" s="274"/>
      <c r="N363" s="245"/>
      <c r="O363" s="113"/>
      <c r="P363" s="113"/>
      <c r="Q363" s="131"/>
      <c r="R363" s="131"/>
      <c r="S363" s="64"/>
      <c r="T363" s="113"/>
      <c r="U363" s="113"/>
      <c r="V363" s="113"/>
      <c r="W363" s="131"/>
      <c r="X363" s="131"/>
      <c r="Y363" s="11"/>
      <c r="Z363" s="113"/>
      <c r="AA363" s="113"/>
      <c r="AB363" s="113"/>
      <c r="AC363" s="52"/>
      <c r="AD363" s="52"/>
      <c r="AE363" s="11"/>
      <c r="AF363" s="118">
        <v>450000</v>
      </c>
      <c r="AG363" s="144">
        <f>AF363*19%</f>
        <v>85500</v>
      </c>
      <c r="AH363" s="113">
        <f>+AF363+AG363</f>
        <v>535500</v>
      </c>
      <c r="AI363" s="11"/>
      <c r="AJ363" s="11"/>
      <c r="AK363" s="39"/>
      <c r="AL363" s="113">
        <v>451000</v>
      </c>
      <c r="AM363" s="113">
        <f>+AL363*0.19</f>
        <v>85690</v>
      </c>
      <c r="AN363" s="119">
        <f>+AL363+AM363</f>
        <v>536690</v>
      </c>
      <c r="AO363" s="76" t="s">
        <v>69</v>
      </c>
      <c r="AP363" s="39" t="s">
        <v>45</v>
      </c>
      <c r="AQ363" s="39"/>
      <c r="AR363" s="275"/>
      <c r="AS363" s="156"/>
      <c r="AT363" s="157"/>
      <c r="AU363" s="62"/>
      <c r="AV363" s="62"/>
      <c r="AW363" s="31"/>
      <c r="AX363" s="116"/>
      <c r="AY363" s="196"/>
      <c r="AZ363" s="143"/>
      <c r="BA363" s="191"/>
      <c r="BB363" s="132"/>
      <c r="BC363" s="132"/>
      <c r="BD363" s="274"/>
      <c r="BE363" s="143"/>
      <c r="BF363" s="143"/>
      <c r="BG363" s="132"/>
      <c r="BH363" s="132"/>
      <c r="BI363" s="132"/>
      <c r="BJ363" s="143"/>
      <c r="BK363" s="143"/>
      <c r="BL363" s="143"/>
      <c r="BM363" s="132"/>
      <c r="BN363" s="132"/>
      <c r="BO363" s="132"/>
      <c r="BP363" s="143"/>
      <c r="BQ363" s="132"/>
      <c r="BR363" s="132"/>
      <c r="BS363" s="132"/>
      <c r="BT363" s="132"/>
      <c r="BU363" s="132"/>
      <c r="BV363" s="268"/>
      <c r="BW363" s="144"/>
      <c r="BX363" s="113"/>
      <c r="BY363" s="264"/>
      <c r="BZ363" s="264"/>
      <c r="CA363" s="132"/>
      <c r="CB363" s="274"/>
      <c r="CC363" s="144"/>
      <c r="CD363" s="274"/>
      <c r="CE363" s="132"/>
      <c r="CF363" s="132"/>
      <c r="CG363" s="36"/>
      <c r="CH363" s="263"/>
      <c r="CI363" s="265"/>
      <c r="CJ363" s="263"/>
      <c r="CK363" s="264"/>
      <c r="CL363" s="264"/>
      <c r="CM363" s="132"/>
      <c r="CN363" s="274"/>
      <c r="CO363" s="144"/>
      <c r="CP363" s="274"/>
      <c r="CQ363" s="132"/>
      <c r="CR363" s="132"/>
      <c r="CS363" s="132"/>
      <c r="CT363" s="274"/>
      <c r="CU363" s="144"/>
      <c r="CV363" s="274"/>
      <c r="CW363" s="132"/>
      <c r="CX363" s="132"/>
      <c r="CY363" s="132"/>
      <c r="CZ363" s="118"/>
      <c r="DA363" s="144"/>
      <c r="DB363" s="118"/>
      <c r="DC363" s="33"/>
      <c r="DD363" s="39"/>
      <c r="DE363" s="11"/>
      <c r="DF363" s="132"/>
      <c r="DG363" s="132"/>
      <c r="DH363" s="132"/>
      <c r="DI363" s="132"/>
      <c r="DJ363" s="132"/>
      <c r="DK363" s="132"/>
      <c r="DL363" s="132"/>
      <c r="DM363" s="132"/>
      <c r="DN363" s="132"/>
      <c r="DO363" s="132"/>
      <c r="DP363" s="132"/>
      <c r="DQ363" s="132"/>
      <c r="DR363" s="132"/>
      <c r="DS363" s="132"/>
      <c r="DT363" s="132"/>
      <c r="DU363" s="132"/>
      <c r="DV363" s="132"/>
      <c r="DW363" s="132"/>
      <c r="DX363" s="132"/>
      <c r="DY363" s="132"/>
      <c r="DZ363" s="132"/>
      <c r="EA363" s="132"/>
      <c r="EB363" s="132"/>
      <c r="EC363" s="132"/>
      <c r="ED363" s="132"/>
      <c r="EE363" s="132"/>
      <c r="EF363" s="132"/>
      <c r="EG363" s="132"/>
      <c r="EH363" s="132"/>
      <c r="EI363" s="132"/>
      <c r="EJ363" s="132"/>
      <c r="EK363" s="132"/>
      <c r="EL363" s="132"/>
      <c r="EM363" s="132"/>
      <c r="EN363" s="132"/>
      <c r="EO363" s="132"/>
      <c r="EP363" s="132"/>
      <c r="EQ363" s="132"/>
      <c r="ER363" s="132"/>
      <c r="ES363" s="132"/>
      <c r="ET363" s="11"/>
      <c r="EU363" s="11"/>
      <c r="EV363" s="11"/>
      <c r="EW363" s="11"/>
      <c r="EX363" s="11"/>
      <c r="EY363" s="11"/>
      <c r="EZ363" s="11"/>
      <c r="FA363" s="11"/>
      <c r="FB363" s="11"/>
      <c r="FC363" s="11"/>
      <c r="FD363" s="11"/>
      <c r="FE363" s="11"/>
      <c r="FF363" s="11"/>
      <c r="FG363" s="11"/>
      <c r="FH363" s="39">
        <f t="shared" si="85"/>
        <v>1072190</v>
      </c>
      <c r="FI363" s="33">
        <f t="shared" si="86"/>
        <v>2</v>
      </c>
      <c r="FJ363" s="84">
        <f t="shared" si="87"/>
        <v>536095</v>
      </c>
    </row>
    <row r="364" spans="1:166" ht="40.5" x14ac:dyDescent="0.25">
      <c r="A364" s="79" t="e">
        <f>#REF!</f>
        <v>#REF!</v>
      </c>
      <c r="B364" s="75" t="e">
        <f>#REF!</f>
        <v>#REF!</v>
      </c>
      <c r="C364" s="75" t="e">
        <f>#REF!</f>
        <v>#REF!</v>
      </c>
      <c r="D364" s="75" t="e">
        <f>#REF!</f>
        <v>#REF!</v>
      </c>
      <c r="E364" s="30">
        <v>1</v>
      </c>
      <c r="F364" s="238">
        <v>46826.5</v>
      </c>
      <c r="G364" s="241">
        <v>46767</v>
      </c>
      <c r="H364" s="249">
        <v>66810.882983333329</v>
      </c>
      <c r="I364" s="249">
        <v>0</v>
      </c>
      <c r="J364" s="249">
        <v>90082.206666666665</v>
      </c>
      <c r="K364" s="249">
        <v>85561</v>
      </c>
      <c r="L364" s="274">
        <f>AVERAGE(F364,H364,J364)</f>
        <v>67906.529883333322</v>
      </c>
      <c r="M364" s="274">
        <f>AVERAGE(G364,K364)*E1</f>
        <v>68148.92</v>
      </c>
      <c r="N364" s="245"/>
      <c r="O364" s="113"/>
      <c r="P364" s="113"/>
      <c r="Q364" s="131"/>
      <c r="R364" s="131"/>
      <c r="S364" s="64"/>
      <c r="T364" s="113"/>
      <c r="U364" s="113"/>
      <c r="V364" s="113"/>
      <c r="W364" s="131"/>
      <c r="X364" s="131"/>
      <c r="Y364" s="11"/>
      <c r="Z364" s="113"/>
      <c r="AA364" s="113"/>
      <c r="AB364" s="113"/>
      <c r="AC364" s="52"/>
      <c r="AD364" s="52"/>
      <c r="AE364" s="11"/>
      <c r="AF364" s="118">
        <v>85000</v>
      </c>
      <c r="AG364" s="144">
        <f>AF364*19%</f>
        <v>16150</v>
      </c>
      <c r="AH364" s="113">
        <f>+AF364+AG364</f>
        <v>101150</v>
      </c>
      <c r="AI364" s="11"/>
      <c r="AJ364" s="11"/>
      <c r="AK364" s="39"/>
      <c r="AL364" s="113"/>
      <c r="AM364" s="113"/>
      <c r="AN364" s="117"/>
      <c r="AO364" s="76"/>
      <c r="AP364" s="39"/>
      <c r="AQ364" s="39"/>
      <c r="AR364" s="275"/>
      <c r="AS364" s="156"/>
      <c r="AT364" s="157"/>
      <c r="AU364" s="62"/>
      <c r="AV364" s="62"/>
      <c r="AW364" s="31"/>
      <c r="AX364" s="116"/>
      <c r="AY364" s="196"/>
      <c r="AZ364" s="143"/>
      <c r="BA364" s="191"/>
      <c r="BB364" s="132"/>
      <c r="BC364" s="132"/>
      <c r="BD364" s="274"/>
      <c r="BE364" s="143"/>
      <c r="BF364" s="143"/>
      <c r="BG364" s="132"/>
      <c r="BH364" s="132"/>
      <c r="BI364" s="132"/>
      <c r="BJ364" s="143"/>
      <c r="BK364" s="143"/>
      <c r="BL364" s="143"/>
      <c r="BM364" s="132"/>
      <c r="BN364" s="132"/>
      <c r="BO364" s="132"/>
      <c r="BP364" s="143"/>
      <c r="BQ364" s="132"/>
      <c r="BR364" s="132"/>
      <c r="BS364" s="132"/>
      <c r="BT364" s="132"/>
      <c r="BU364" s="132"/>
      <c r="BV364" s="263">
        <v>86400</v>
      </c>
      <c r="BW364" s="144">
        <f>BV364*19%</f>
        <v>16416</v>
      </c>
      <c r="BX364" s="113">
        <f>+BV364+BW364</f>
        <v>102816</v>
      </c>
      <c r="BY364" s="264" t="s">
        <v>364</v>
      </c>
      <c r="BZ364" s="264" t="s">
        <v>48</v>
      </c>
      <c r="CA364" s="132"/>
      <c r="CB364" s="217"/>
      <c r="CC364" s="260"/>
      <c r="CD364" s="217"/>
      <c r="CE364" s="132"/>
      <c r="CF364" s="132"/>
      <c r="CG364" s="36"/>
      <c r="CH364" s="263">
        <v>88992</v>
      </c>
      <c r="CI364" s="265">
        <f>+CH364*0.19</f>
        <v>16908.48</v>
      </c>
      <c r="CJ364" s="263">
        <f>+CH364+CI364</f>
        <v>105900.48</v>
      </c>
      <c r="CK364" s="264" t="s">
        <v>364</v>
      </c>
      <c r="CL364" s="264" t="s">
        <v>48</v>
      </c>
      <c r="CM364" s="132"/>
      <c r="CN364" s="274"/>
      <c r="CO364" s="144"/>
      <c r="CP364" s="274"/>
      <c r="CQ364" s="132"/>
      <c r="CR364" s="132"/>
      <c r="CS364" s="132"/>
      <c r="CT364" s="274"/>
      <c r="CU364" s="144"/>
      <c r="CV364" s="274"/>
      <c r="CW364" s="132"/>
      <c r="CX364" s="132"/>
      <c r="CY364" s="132"/>
      <c r="CZ364" s="118"/>
      <c r="DA364" s="144"/>
      <c r="DB364" s="118"/>
      <c r="DC364" s="33"/>
      <c r="DD364" s="39"/>
      <c r="DE364" s="11"/>
      <c r="DF364" s="132"/>
      <c r="DG364" s="132"/>
      <c r="DH364" s="132"/>
      <c r="DI364" s="132"/>
      <c r="DJ364" s="132"/>
      <c r="DK364" s="132"/>
      <c r="DL364" s="132"/>
      <c r="DM364" s="132"/>
      <c r="DN364" s="132"/>
      <c r="DO364" s="132"/>
      <c r="DP364" s="132"/>
      <c r="DQ364" s="132"/>
      <c r="DR364" s="132"/>
      <c r="DS364" s="132"/>
      <c r="DT364" s="132"/>
      <c r="DU364" s="132"/>
      <c r="DV364" s="132"/>
      <c r="DW364" s="132"/>
      <c r="DX364" s="132"/>
      <c r="DY364" s="132"/>
      <c r="DZ364" s="132"/>
      <c r="EA364" s="132"/>
      <c r="EB364" s="132"/>
      <c r="EC364" s="132"/>
      <c r="ED364" s="132"/>
      <c r="EE364" s="132"/>
      <c r="EF364" s="132"/>
      <c r="EG364" s="132"/>
      <c r="EH364" s="132"/>
      <c r="EI364" s="132"/>
      <c r="EJ364" s="132"/>
      <c r="EK364" s="132"/>
      <c r="EL364" s="132"/>
      <c r="EM364" s="132"/>
      <c r="EN364" s="132"/>
      <c r="EO364" s="132"/>
      <c r="EP364" s="132"/>
      <c r="EQ364" s="132"/>
      <c r="ER364" s="132"/>
      <c r="ES364" s="132"/>
      <c r="ET364" s="11"/>
      <c r="EU364" s="11"/>
      <c r="EV364" s="11"/>
      <c r="EW364" s="11"/>
      <c r="EX364" s="11"/>
      <c r="EY364" s="11"/>
      <c r="EZ364" s="11"/>
      <c r="FA364" s="11"/>
      <c r="FB364" s="11"/>
      <c r="FC364" s="11"/>
      <c r="FD364" s="11"/>
      <c r="FE364" s="11"/>
      <c r="FF364" s="11"/>
      <c r="FG364" s="11"/>
      <c r="FH364" s="39">
        <f t="shared" si="85"/>
        <v>378015.39999999997</v>
      </c>
      <c r="FI364" s="33">
        <f t="shared" si="86"/>
        <v>4</v>
      </c>
      <c r="FJ364" s="84">
        <f t="shared" si="87"/>
        <v>94503.849999999991</v>
      </c>
    </row>
    <row r="365" spans="1:166" ht="40.5" x14ac:dyDescent="0.25">
      <c r="A365" s="79" t="e">
        <f>#REF!</f>
        <v>#REF!</v>
      </c>
      <c r="B365" s="75" t="e">
        <f>#REF!</f>
        <v>#REF!</v>
      </c>
      <c r="C365" s="75" t="e">
        <f>#REF!</f>
        <v>#REF!</v>
      </c>
      <c r="D365" s="75" t="e">
        <f>#REF!</f>
        <v>#REF!</v>
      </c>
      <c r="E365" s="30">
        <v>1</v>
      </c>
      <c r="F365" s="238">
        <v>59587.26666666667</v>
      </c>
      <c r="G365" s="241">
        <v>58667</v>
      </c>
      <c r="H365" s="249">
        <v>56120.621982666664</v>
      </c>
      <c r="I365" s="249">
        <v>55930</v>
      </c>
      <c r="J365" s="249">
        <v>80363.873333333337</v>
      </c>
      <c r="K365" s="249">
        <v>76398</v>
      </c>
      <c r="L365" s="274">
        <f>AVERAGE(F365,H365,J365)</f>
        <v>65357.253994222228</v>
      </c>
      <c r="M365" s="274">
        <f>AVERAGE(G365,I365,K365)*E1</f>
        <v>65574.95</v>
      </c>
      <c r="N365" s="245"/>
      <c r="O365" s="113"/>
      <c r="P365" s="113"/>
      <c r="Q365" s="131"/>
      <c r="R365" s="131"/>
      <c r="S365" s="64"/>
      <c r="T365" s="113"/>
      <c r="U365" s="113"/>
      <c r="V365" s="113"/>
      <c r="W365" s="131"/>
      <c r="X365" s="131"/>
      <c r="Y365" s="11"/>
      <c r="Z365" s="113"/>
      <c r="AA365" s="113"/>
      <c r="AB365" s="113"/>
      <c r="AC365" s="52"/>
      <c r="AD365" s="52"/>
      <c r="AE365" s="11"/>
      <c r="AF365" s="118">
        <v>50000</v>
      </c>
      <c r="AG365" s="144">
        <f>AF365*19%</f>
        <v>9500</v>
      </c>
      <c r="AH365" s="113">
        <f>+AF365+AG365</f>
        <v>59500</v>
      </c>
      <c r="AI365" s="11"/>
      <c r="AJ365" s="11"/>
      <c r="AK365" s="39"/>
      <c r="AL365" s="113">
        <v>76000</v>
      </c>
      <c r="AM365" s="113">
        <f>+AL365*0.19</f>
        <v>14440</v>
      </c>
      <c r="AN365" s="119">
        <f>+AL365+AM365</f>
        <v>90440</v>
      </c>
      <c r="AO365" s="76" t="s">
        <v>333</v>
      </c>
      <c r="AP365" s="39" t="s">
        <v>50</v>
      </c>
      <c r="AQ365" s="39"/>
      <c r="AR365" s="275"/>
      <c r="AS365" s="156"/>
      <c r="AT365" s="157"/>
      <c r="AU365" s="62"/>
      <c r="AV365" s="62"/>
      <c r="AW365" s="31"/>
      <c r="AX365" s="116"/>
      <c r="AY365" s="196"/>
      <c r="AZ365" s="143"/>
      <c r="BA365" s="191"/>
      <c r="BB365" s="132"/>
      <c r="BC365" s="132"/>
      <c r="BD365" s="274"/>
      <c r="BE365" s="274"/>
      <c r="BF365" s="274"/>
      <c r="BG365" s="274"/>
      <c r="BH365" s="132"/>
      <c r="BI365" s="132"/>
      <c r="BJ365" s="143"/>
      <c r="BK365" s="143"/>
      <c r="BL365" s="143"/>
      <c r="BM365" s="132"/>
      <c r="BN365" s="132"/>
      <c r="BO365" s="132"/>
      <c r="BP365" s="143"/>
      <c r="BQ365" s="132"/>
      <c r="BR365" s="132"/>
      <c r="BS365" s="132"/>
      <c r="BT365" s="132"/>
      <c r="BU365" s="132"/>
      <c r="BV365" s="263">
        <v>171400</v>
      </c>
      <c r="BW365" s="144">
        <f>BV365*19%</f>
        <v>32566</v>
      </c>
      <c r="BX365" s="113">
        <f>+BV365+BW365</f>
        <v>203966</v>
      </c>
      <c r="BY365" s="264" t="s">
        <v>334</v>
      </c>
      <c r="BZ365" s="264" t="s">
        <v>48</v>
      </c>
      <c r="CA365" s="132"/>
      <c r="CB365" s="274">
        <v>28600</v>
      </c>
      <c r="CC365" s="144">
        <f>+CB365*19%</f>
        <v>5434</v>
      </c>
      <c r="CD365" s="274">
        <f>+CC365+CB365</f>
        <v>34034</v>
      </c>
      <c r="CE365" s="132"/>
      <c r="CF365" s="132"/>
      <c r="CG365" s="36"/>
      <c r="CH365" s="263"/>
      <c r="CI365" s="265"/>
      <c r="CJ365" s="263"/>
      <c r="CK365" s="264"/>
      <c r="CL365" s="264"/>
      <c r="CM365" s="132"/>
      <c r="CN365" s="274"/>
      <c r="CO365" s="144"/>
      <c r="CP365" s="274"/>
      <c r="CQ365" s="132"/>
      <c r="CR365" s="132"/>
      <c r="CS365" s="132"/>
      <c r="CT365" s="274"/>
      <c r="CU365" s="144"/>
      <c r="CV365" s="274"/>
      <c r="CW365" s="132"/>
      <c r="CX365" s="132"/>
      <c r="CY365" s="132"/>
      <c r="CZ365" s="118"/>
      <c r="DA365" s="144"/>
      <c r="DB365" s="118"/>
      <c r="DC365" s="33"/>
      <c r="DD365" s="39"/>
      <c r="DE365" s="11"/>
      <c r="DF365" s="132"/>
      <c r="DG365" s="132"/>
      <c r="DH365" s="132"/>
      <c r="DI365" s="132"/>
      <c r="DJ365" s="132"/>
      <c r="DK365" s="132"/>
      <c r="DL365" s="132"/>
      <c r="DM365" s="132"/>
      <c r="DN365" s="132"/>
      <c r="DO365" s="132"/>
      <c r="DP365" s="132"/>
      <c r="DQ365" s="132"/>
      <c r="DR365" s="132"/>
      <c r="DS365" s="132"/>
      <c r="DT365" s="132"/>
      <c r="DU365" s="132"/>
      <c r="DV365" s="132"/>
      <c r="DW365" s="132"/>
      <c r="DX365" s="132"/>
      <c r="DY365" s="132"/>
      <c r="DZ365" s="132"/>
      <c r="EA365" s="132"/>
      <c r="EB365" s="132"/>
      <c r="EC365" s="132"/>
      <c r="ED365" s="132"/>
      <c r="EE365" s="132"/>
      <c r="EF365" s="132"/>
      <c r="EG365" s="132"/>
      <c r="EH365" s="132"/>
      <c r="EI365" s="132"/>
      <c r="EJ365" s="132"/>
      <c r="EK365" s="132"/>
      <c r="EL365" s="132"/>
      <c r="EM365" s="132"/>
      <c r="EN365" s="132"/>
      <c r="EO365" s="132"/>
      <c r="EP365" s="132"/>
      <c r="EQ365" s="132"/>
      <c r="ER365" s="132"/>
      <c r="ES365" s="132"/>
      <c r="ET365" s="11"/>
      <c r="EU365" s="11"/>
      <c r="EV365" s="11"/>
      <c r="EW365" s="11"/>
      <c r="EX365" s="11"/>
      <c r="EY365" s="11"/>
      <c r="EZ365" s="11"/>
      <c r="FA365" s="11"/>
      <c r="FB365" s="11"/>
      <c r="FC365" s="11"/>
      <c r="FD365" s="11"/>
      <c r="FE365" s="11"/>
      <c r="FF365" s="11"/>
      <c r="FG365" s="11"/>
      <c r="FH365" s="39">
        <f t="shared" si="85"/>
        <v>453514.95</v>
      </c>
      <c r="FI365" s="33">
        <f t="shared" si="86"/>
        <v>5</v>
      </c>
      <c r="FJ365" s="84">
        <f t="shared" si="87"/>
        <v>90702.99</v>
      </c>
    </row>
    <row r="366" spans="1:166" ht="40.5" x14ac:dyDescent="0.25">
      <c r="A366" s="79" t="e">
        <f>#REF!</f>
        <v>#REF!</v>
      </c>
      <c r="B366" s="75" t="e">
        <f>#REF!</f>
        <v>#REF!</v>
      </c>
      <c r="C366" s="75" t="e">
        <f>#REF!</f>
        <v>#REF!</v>
      </c>
      <c r="D366" s="75" t="e">
        <f>#REF!</f>
        <v>#REF!</v>
      </c>
      <c r="E366" s="30">
        <v>1</v>
      </c>
      <c r="F366" s="238">
        <v>0</v>
      </c>
      <c r="G366" s="241">
        <v>0</v>
      </c>
      <c r="H366" s="249">
        <v>210749</v>
      </c>
      <c r="I366" s="249">
        <v>210511</v>
      </c>
      <c r="J366" s="249">
        <v>0</v>
      </c>
      <c r="K366" s="249">
        <v>0</v>
      </c>
      <c r="L366" s="274">
        <f>H366</f>
        <v>210749</v>
      </c>
      <c r="M366" s="274">
        <f>I366*E1</f>
        <v>216826.33000000002</v>
      </c>
      <c r="N366" s="245"/>
      <c r="O366" s="113"/>
      <c r="P366" s="113"/>
      <c r="Q366" s="131"/>
      <c r="R366" s="131"/>
      <c r="S366" s="64"/>
      <c r="T366" s="113"/>
      <c r="U366" s="113"/>
      <c r="V366" s="113"/>
      <c r="W366" s="131"/>
      <c r="X366" s="131"/>
      <c r="Y366" s="11"/>
      <c r="Z366" s="117"/>
      <c r="AA366" s="113"/>
      <c r="AB366" s="113"/>
      <c r="AC366" s="131"/>
      <c r="AD366" s="52"/>
      <c r="AE366" s="11"/>
      <c r="AF366" s="118"/>
      <c r="AG366" s="144"/>
      <c r="AH366" s="113"/>
      <c r="AI366" s="11"/>
      <c r="AJ366" s="11"/>
      <c r="AK366" s="39"/>
      <c r="AL366" s="113"/>
      <c r="AM366" s="113"/>
      <c r="AN366" s="117"/>
      <c r="AO366" s="76"/>
      <c r="AP366" s="39"/>
      <c r="AQ366" s="39"/>
      <c r="AR366" s="275"/>
      <c r="AS366" s="156"/>
      <c r="AT366" s="157"/>
      <c r="AU366" s="62"/>
      <c r="AV366" s="62"/>
      <c r="AW366" s="31"/>
      <c r="AX366" s="116"/>
      <c r="AY366" s="116"/>
      <c r="AZ366" s="143"/>
      <c r="BA366" s="191"/>
      <c r="BB366" s="132"/>
      <c r="BC366" s="132"/>
      <c r="BD366" s="274"/>
      <c r="BE366" s="143"/>
      <c r="BF366" s="143"/>
      <c r="BG366" s="132"/>
      <c r="BH366" s="132"/>
      <c r="BI366" s="132"/>
      <c r="BJ366" s="143"/>
      <c r="BK366" s="143"/>
      <c r="BL366" s="143"/>
      <c r="BM366" s="132"/>
      <c r="BN366" s="132"/>
      <c r="BO366" s="132"/>
      <c r="BP366" s="143"/>
      <c r="BQ366" s="132"/>
      <c r="BR366" s="132"/>
      <c r="BS366" s="132"/>
      <c r="BT366" s="132"/>
      <c r="BU366" s="132"/>
      <c r="BV366" s="263">
        <v>166600</v>
      </c>
      <c r="BW366" s="144">
        <f>BV366*19%</f>
        <v>31654</v>
      </c>
      <c r="BX366" s="113">
        <f>+BV366+BW366</f>
        <v>198254</v>
      </c>
      <c r="BY366" s="264" t="s">
        <v>365</v>
      </c>
      <c r="BZ366" s="264" t="s">
        <v>366</v>
      </c>
      <c r="CA366" s="132"/>
      <c r="CB366" s="274"/>
      <c r="CC366" s="144"/>
      <c r="CD366" s="274"/>
      <c r="CE366" s="132"/>
      <c r="CF366" s="132"/>
      <c r="CG366" s="36"/>
      <c r="CH366" s="263">
        <v>169932</v>
      </c>
      <c r="CI366" s="265">
        <f>+CH366*0.19</f>
        <v>32287.08</v>
      </c>
      <c r="CJ366" s="263">
        <f>+CH366+CI366</f>
        <v>202219.08000000002</v>
      </c>
      <c r="CK366" s="264" t="s">
        <v>365</v>
      </c>
      <c r="CL366" s="264" t="s">
        <v>366</v>
      </c>
      <c r="CM366" s="132"/>
      <c r="CN366" s="274"/>
      <c r="CO366" s="144"/>
      <c r="CP366" s="274"/>
      <c r="CQ366" s="132"/>
      <c r="CR366" s="132"/>
      <c r="CS366" s="132"/>
      <c r="CT366" s="274"/>
      <c r="CU366" s="144"/>
      <c r="CV366" s="274"/>
      <c r="CW366" s="132"/>
      <c r="CX366" s="132"/>
      <c r="CY366" s="132"/>
      <c r="CZ366" s="118"/>
      <c r="DA366" s="144"/>
      <c r="DB366" s="118"/>
      <c r="DC366" s="33"/>
      <c r="DD366" s="39"/>
      <c r="DE366" s="11"/>
      <c r="DF366" s="132"/>
      <c r="DG366" s="132"/>
      <c r="DH366" s="132"/>
      <c r="DI366" s="132"/>
      <c r="DJ366" s="132"/>
      <c r="DK366" s="132"/>
      <c r="DL366" s="132"/>
      <c r="DM366" s="132"/>
      <c r="DN366" s="132"/>
      <c r="DO366" s="132"/>
      <c r="DP366" s="132"/>
      <c r="DQ366" s="132"/>
      <c r="DR366" s="132"/>
      <c r="DS366" s="132"/>
      <c r="DT366" s="132"/>
      <c r="DU366" s="132"/>
      <c r="DV366" s="132"/>
      <c r="DW366" s="132"/>
      <c r="DX366" s="132"/>
      <c r="DY366" s="132"/>
      <c r="DZ366" s="132"/>
      <c r="EA366" s="132"/>
      <c r="EB366" s="132"/>
      <c r="EC366" s="132"/>
      <c r="ED366" s="132"/>
      <c r="EE366" s="132"/>
      <c r="EF366" s="132"/>
      <c r="EG366" s="132"/>
      <c r="EH366" s="132"/>
      <c r="EI366" s="132"/>
      <c r="EJ366" s="132"/>
      <c r="EK366" s="132"/>
      <c r="EL366" s="132"/>
      <c r="EM366" s="132"/>
      <c r="EN366" s="132"/>
      <c r="EO366" s="132"/>
      <c r="EP366" s="132"/>
      <c r="EQ366" s="132"/>
      <c r="ER366" s="132"/>
      <c r="ES366" s="132"/>
      <c r="ET366" s="11"/>
      <c r="EU366" s="11"/>
      <c r="EV366" s="11"/>
      <c r="EW366" s="11"/>
      <c r="EX366" s="11"/>
      <c r="EY366" s="11"/>
      <c r="EZ366" s="11"/>
      <c r="FA366" s="11"/>
      <c r="FB366" s="11"/>
      <c r="FC366" s="11"/>
      <c r="FD366" s="11"/>
      <c r="FE366" s="11"/>
      <c r="FF366" s="11"/>
      <c r="FG366" s="11"/>
      <c r="FH366" s="39">
        <f t="shared" si="85"/>
        <v>617299.41</v>
      </c>
      <c r="FI366" s="33">
        <f t="shared" si="86"/>
        <v>3</v>
      </c>
      <c r="FJ366" s="84">
        <f t="shared" si="87"/>
        <v>205766.47</v>
      </c>
    </row>
    <row r="367" spans="1:166" x14ac:dyDescent="0.25">
      <c r="A367" s="79" t="e">
        <f>#REF!</f>
        <v>#REF!</v>
      </c>
      <c r="B367" s="75" t="e">
        <f>#REF!</f>
        <v>#REF!</v>
      </c>
      <c r="C367" s="75" t="e">
        <f>#REF!</f>
        <v>#REF!</v>
      </c>
      <c r="D367" s="75" t="e">
        <f>#REF!</f>
        <v>#REF!</v>
      </c>
      <c r="E367" s="30">
        <v>1</v>
      </c>
      <c r="F367" s="238">
        <v>0</v>
      </c>
      <c r="G367" s="241">
        <v>0</v>
      </c>
      <c r="H367" s="249">
        <v>65000</v>
      </c>
      <c r="I367" s="249">
        <v>0</v>
      </c>
      <c r="J367" s="249">
        <v>567630</v>
      </c>
      <c r="K367" s="249">
        <v>0</v>
      </c>
      <c r="L367" s="274">
        <f>AVERAGE(H367,J367)</f>
        <v>316315</v>
      </c>
      <c r="M367" s="274"/>
      <c r="N367" s="245"/>
      <c r="O367" s="113"/>
      <c r="P367" s="113"/>
      <c r="Q367" s="131"/>
      <c r="R367" s="131"/>
      <c r="S367" s="64"/>
      <c r="T367" s="113"/>
      <c r="U367" s="113"/>
      <c r="V367" s="113"/>
      <c r="W367" s="131"/>
      <c r="X367" s="131"/>
      <c r="Y367" s="11"/>
      <c r="Z367" s="113"/>
      <c r="AA367" s="113"/>
      <c r="AB367" s="113"/>
      <c r="AC367" s="52"/>
      <c r="AD367" s="52"/>
      <c r="AE367" s="11"/>
      <c r="AF367" s="118"/>
      <c r="AG367" s="144"/>
      <c r="AH367" s="113"/>
      <c r="AI367" s="11"/>
      <c r="AJ367" s="11"/>
      <c r="AK367" s="39"/>
      <c r="AL367" s="113"/>
      <c r="AM367" s="113"/>
      <c r="AN367" s="117"/>
      <c r="AO367" s="76"/>
      <c r="AP367" s="39"/>
      <c r="AQ367" s="39"/>
      <c r="AR367" s="275"/>
      <c r="AS367" s="156"/>
      <c r="AT367" s="157"/>
      <c r="AU367" s="62"/>
      <c r="AV367" s="62"/>
      <c r="AW367" s="31"/>
      <c r="AX367" s="116"/>
      <c r="AY367" s="196"/>
      <c r="AZ367" s="143"/>
      <c r="BA367" s="191"/>
      <c r="BB367" s="132"/>
      <c r="BC367" s="132"/>
      <c r="BD367" s="274"/>
      <c r="BE367" s="143"/>
      <c r="BF367" s="143"/>
      <c r="BG367" s="132"/>
      <c r="BH367" s="132"/>
      <c r="BI367" s="132"/>
      <c r="BJ367" s="143"/>
      <c r="BK367" s="143"/>
      <c r="BL367" s="143"/>
      <c r="BM367" s="132"/>
      <c r="BN367" s="132"/>
      <c r="BO367" s="132"/>
      <c r="BP367" s="143"/>
      <c r="BQ367" s="132"/>
      <c r="BR367" s="132"/>
      <c r="BS367" s="132"/>
      <c r="BT367" s="132"/>
      <c r="BU367" s="132"/>
      <c r="BV367" s="210"/>
      <c r="BW367" s="144"/>
      <c r="BX367" s="113"/>
      <c r="BY367" s="273"/>
      <c r="BZ367" s="273"/>
      <c r="CA367" s="132"/>
      <c r="CB367" s="274"/>
      <c r="CC367" s="144"/>
      <c r="CD367" s="274"/>
      <c r="CE367" s="132"/>
      <c r="CF367" s="132"/>
      <c r="CG367" s="36"/>
      <c r="CH367" s="210"/>
      <c r="CI367" s="219"/>
      <c r="CJ367" s="210"/>
      <c r="CK367" s="273"/>
      <c r="CL367" s="273"/>
      <c r="CM367" s="132"/>
      <c r="CN367" s="274"/>
      <c r="CO367" s="144"/>
      <c r="CP367" s="274"/>
      <c r="CQ367" s="132"/>
      <c r="CR367" s="132"/>
      <c r="CS367" s="132"/>
      <c r="CT367" s="274"/>
      <c r="CU367" s="144"/>
      <c r="CV367" s="274"/>
      <c r="CW367" s="132"/>
      <c r="CX367" s="132"/>
      <c r="CY367" s="132"/>
      <c r="CZ367" s="118"/>
      <c r="DA367" s="144"/>
      <c r="DB367" s="118"/>
      <c r="DC367" s="33"/>
      <c r="DD367" s="39"/>
      <c r="DE367" s="11"/>
      <c r="DF367" s="132"/>
      <c r="DG367" s="132"/>
      <c r="DH367" s="132"/>
      <c r="DI367" s="132"/>
      <c r="DJ367" s="132"/>
      <c r="DK367" s="132"/>
      <c r="DL367" s="132"/>
      <c r="DM367" s="132"/>
      <c r="DN367" s="132"/>
      <c r="DO367" s="132"/>
      <c r="DP367" s="132"/>
      <c r="DQ367" s="132"/>
      <c r="DR367" s="132"/>
      <c r="DS367" s="132"/>
      <c r="DT367" s="132"/>
      <c r="DU367" s="132"/>
      <c r="DV367" s="132"/>
      <c r="DW367" s="132"/>
      <c r="DX367" s="132"/>
      <c r="DY367" s="132"/>
      <c r="DZ367" s="132"/>
      <c r="EA367" s="132"/>
      <c r="EB367" s="132"/>
      <c r="EC367" s="132"/>
      <c r="ED367" s="132"/>
      <c r="EE367" s="132"/>
      <c r="EF367" s="132"/>
      <c r="EG367" s="132"/>
      <c r="EH367" s="132"/>
      <c r="EI367" s="132"/>
      <c r="EJ367" s="132"/>
      <c r="EK367" s="45"/>
      <c r="EL367" s="132"/>
      <c r="EM367" s="132"/>
      <c r="EN367" s="132"/>
      <c r="EO367" s="132"/>
      <c r="EP367" s="132"/>
      <c r="EQ367" s="132"/>
      <c r="ER367" s="132"/>
      <c r="ES367" s="132"/>
      <c r="ET367" s="11"/>
      <c r="EU367" s="11"/>
      <c r="EV367" s="11"/>
      <c r="EW367" s="11"/>
      <c r="EX367" s="11"/>
      <c r="EY367" s="11"/>
      <c r="EZ367" s="11"/>
      <c r="FA367" s="11"/>
      <c r="FB367" s="11"/>
      <c r="FC367" s="11"/>
      <c r="FD367" s="11"/>
      <c r="FE367" s="11"/>
      <c r="FF367" s="11"/>
      <c r="FG367" s="11"/>
      <c r="FH367" s="39">
        <f t="shared" si="85"/>
        <v>0</v>
      </c>
      <c r="FI367" s="33">
        <f t="shared" si="86"/>
        <v>0</v>
      </c>
      <c r="FJ367" s="84" t="str">
        <f t="shared" si="87"/>
        <v xml:space="preserve"> </v>
      </c>
    </row>
    <row r="368" spans="1:166" ht="25.5" x14ac:dyDescent="0.25">
      <c r="A368" s="79" t="e">
        <f>#REF!</f>
        <v>#REF!</v>
      </c>
      <c r="B368" s="75" t="e">
        <f>#REF!</f>
        <v>#REF!</v>
      </c>
      <c r="C368" s="75" t="e">
        <f>#REF!</f>
        <v>#REF!</v>
      </c>
      <c r="D368" s="75" t="e">
        <f>#REF!</f>
        <v>#REF!</v>
      </c>
      <c r="E368" s="30">
        <v>1</v>
      </c>
      <c r="F368" s="238">
        <v>562870</v>
      </c>
      <c r="G368" s="241">
        <v>548709</v>
      </c>
      <c r="H368" s="249">
        <v>477588.2205</v>
      </c>
      <c r="I368" s="249">
        <v>0</v>
      </c>
      <c r="J368" s="249">
        <v>0</v>
      </c>
      <c r="K368" s="249">
        <v>0</v>
      </c>
      <c r="L368" s="274">
        <f>AVERAGE(F368,H368)</f>
        <v>520229.11025000003</v>
      </c>
      <c r="M368" s="274">
        <f>G368*E1</f>
        <v>565170.27</v>
      </c>
      <c r="N368" s="245"/>
      <c r="O368" s="113"/>
      <c r="P368" s="113"/>
      <c r="Q368" s="131"/>
      <c r="R368" s="131"/>
      <c r="S368" s="64"/>
      <c r="T368" s="113">
        <v>423000</v>
      </c>
      <c r="U368" s="113">
        <f>+T368*0</f>
        <v>0</v>
      </c>
      <c r="V368" s="113">
        <f>+T368+U368</f>
        <v>423000</v>
      </c>
      <c r="W368" s="131" t="s">
        <v>109</v>
      </c>
      <c r="X368" s="131" t="s">
        <v>166</v>
      </c>
      <c r="Y368" s="11"/>
      <c r="Z368" s="113"/>
      <c r="AA368" s="113"/>
      <c r="AB368" s="113"/>
      <c r="AC368" s="52"/>
      <c r="AD368" s="52"/>
      <c r="AE368" s="11"/>
      <c r="AF368" s="118"/>
      <c r="AG368" s="144"/>
      <c r="AH368" s="113"/>
      <c r="AI368" s="11"/>
      <c r="AJ368" s="11"/>
      <c r="AK368" s="39"/>
      <c r="AL368" s="113"/>
      <c r="AM368" s="113"/>
      <c r="AN368" s="117"/>
      <c r="AO368" s="76"/>
      <c r="AP368" s="39"/>
      <c r="AQ368" s="39"/>
      <c r="AR368" s="275">
        <v>568800</v>
      </c>
      <c r="AS368" s="113">
        <f>+AR368*0.19</f>
        <v>108072</v>
      </c>
      <c r="AT368" s="119">
        <f>+AR368+AS368</f>
        <v>676872</v>
      </c>
      <c r="AU368" s="62" t="s">
        <v>109</v>
      </c>
      <c r="AV368" s="62" t="s">
        <v>35</v>
      </c>
      <c r="AW368" s="31"/>
      <c r="AX368" s="116"/>
      <c r="AY368" s="116"/>
      <c r="AZ368" s="143"/>
      <c r="BA368" s="191"/>
      <c r="BB368" s="132"/>
      <c r="BC368" s="132"/>
      <c r="BD368" s="274"/>
      <c r="BE368" s="143"/>
      <c r="BF368" s="143"/>
      <c r="BG368" s="132"/>
      <c r="BH368" s="132"/>
      <c r="BI368" s="132"/>
      <c r="BJ368" s="143"/>
      <c r="BK368" s="143"/>
      <c r="BL368" s="143"/>
      <c r="BM368" s="132"/>
      <c r="BN368" s="132"/>
      <c r="BO368" s="132"/>
      <c r="BP368" s="143"/>
      <c r="BQ368" s="132"/>
      <c r="BR368" s="132"/>
      <c r="BS368" s="132"/>
      <c r="BT368" s="132"/>
      <c r="BU368" s="132"/>
      <c r="BV368" s="210"/>
      <c r="BW368" s="144"/>
      <c r="BX368" s="113"/>
      <c r="BY368" s="273"/>
      <c r="BZ368" s="273"/>
      <c r="CA368" s="132"/>
      <c r="CB368" s="274"/>
      <c r="CC368" s="144"/>
      <c r="CD368" s="274"/>
      <c r="CE368" s="132"/>
      <c r="CF368" s="132"/>
      <c r="CG368" s="36"/>
      <c r="CH368" s="210"/>
      <c r="CI368" s="219"/>
      <c r="CJ368" s="210"/>
      <c r="CK368" s="273"/>
      <c r="CL368" s="273"/>
      <c r="CM368" s="132"/>
      <c r="CN368" s="274"/>
      <c r="CO368" s="144"/>
      <c r="CP368" s="274"/>
      <c r="CQ368" s="132"/>
      <c r="CR368" s="132"/>
      <c r="CS368" s="132"/>
      <c r="CT368" s="274"/>
      <c r="CU368" s="144"/>
      <c r="CV368" s="274"/>
      <c r="CW368" s="132"/>
      <c r="CX368" s="132"/>
      <c r="CY368" s="132"/>
      <c r="CZ368" s="118"/>
      <c r="DA368" s="144"/>
      <c r="DB368" s="118"/>
      <c r="DC368" s="33"/>
      <c r="DD368" s="39"/>
      <c r="DE368" s="11"/>
      <c r="DF368" s="132"/>
      <c r="DG368" s="132"/>
      <c r="DH368" s="132"/>
      <c r="DI368" s="132"/>
      <c r="DJ368" s="132"/>
      <c r="DK368" s="132"/>
      <c r="DL368" s="132"/>
      <c r="DM368" s="132"/>
      <c r="DN368" s="132"/>
      <c r="DO368" s="132"/>
      <c r="DP368" s="132"/>
      <c r="DQ368" s="132"/>
      <c r="DR368" s="132"/>
      <c r="DS368" s="132"/>
      <c r="DT368" s="132"/>
      <c r="DU368" s="132"/>
      <c r="DV368" s="132"/>
      <c r="DW368" s="132"/>
      <c r="DX368" s="132"/>
      <c r="DY368" s="132"/>
      <c r="DZ368" s="132"/>
      <c r="EA368" s="132"/>
      <c r="EB368" s="132"/>
      <c r="EC368" s="132"/>
      <c r="ED368" s="132"/>
      <c r="EE368" s="132"/>
      <c r="EF368" s="132"/>
      <c r="EG368" s="132"/>
      <c r="EH368" s="132"/>
      <c r="EI368" s="132"/>
      <c r="EJ368" s="132"/>
      <c r="EK368" s="132"/>
      <c r="EL368" s="132"/>
      <c r="EM368" s="132"/>
      <c r="EN368" s="132"/>
      <c r="EO368" s="132"/>
      <c r="EP368" s="132"/>
      <c r="EQ368" s="132"/>
      <c r="ER368" s="132"/>
      <c r="ES368" s="132"/>
      <c r="ET368" s="11"/>
      <c r="EU368" s="11"/>
      <c r="EV368" s="11"/>
      <c r="EW368" s="11"/>
      <c r="EX368" s="11"/>
      <c r="EY368" s="11"/>
      <c r="EZ368" s="11"/>
      <c r="FA368" s="11"/>
      <c r="FB368" s="11"/>
      <c r="FC368" s="11"/>
      <c r="FD368" s="11"/>
      <c r="FE368" s="11"/>
      <c r="FF368" s="11"/>
      <c r="FG368" s="11"/>
      <c r="FH368" s="39">
        <f t="shared" si="85"/>
        <v>1665042.27</v>
      </c>
      <c r="FI368" s="33">
        <f t="shared" si="86"/>
        <v>3</v>
      </c>
      <c r="FJ368" s="84">
        <f t="shared" si="87"/>
        <v>555014.09</v>
      </c>
    </row>
    <row r="369" spans="1:166" ht="13.5" x14ac:dyDescent="0.25">
      <c r="A369" s="79" t="e">
        <f>#REF!</f>
        <v>#REF!</v>
      </c>
      <c r="B369" s="75" t="e">
        <f>#REF!</f>
        <v>#REF!</v>
      </c>
      <c r="C369" s="75" t="e">
        <f>#REF!</f>
        <v>#REF!</v>
      </c>
      <c r="D369" s="75" t="e">
        <f>#REF!</f>
        <v>#REF!</v>
      </c>
      <c r="E369" s="30">
        <v>1</v>
      </c>
      <c r="F369" s="238">
        <v>1365525</v>
      </c>
      <c r="G369" s="241">
        <v>1344938</v>
      </c>
      <c r="H369" s="249">
        <v>1789081.2537500001</v>
      </c>
      <c r="I369" s="249">
        <v>1785000</v>
      </c>
      <c r="J369" s="249">
        <v>1301092.4500000002</v>
      </c>
      <c r="K369" s="249">
        <v>0</v>
      </c>
      <c r="L369" s="274">
        <f>AVERAGE(F369,H369,J369)</f>
        <v>1485232.9012500001</v>
      </c>
      <c r="M369" s="274">
        <f>AVERAGE(G369,I369)*E1</f>
        <v>1611918.07</v>
      </c>
      <c r="N369" s="245"/>
      <c r="O369" s="113"/>
      <c r="P369" s="113"/>
      <c r="Q369" s="131"/>
      <c r="R369" s="131"/>
      <c r="S369" s="64"/>
      <c r="T369" s="113"/>
      <c r="U369" s="117"/>
      <c r="V369" s="113"/>
      <c r="W369" s="131"/>
      <c r="X369" s="131"/>
      <c r="Y369" s="11"/>
      <c r="Z369" s="113"/>
      <c r="AA369" s="113"/>
      <c r="AB369" s="113"/>
      <c r="AC369" s="52"/>
      <c r="AD369" s="52"/>
      <c r="AE369" s="11"/>
      <c r="AF369" s="118"/>
      <c r="AG369" s="144"/>
      <c r="AH369" s="113"/>
      <c r="AI369" s="11"/>
      <c r="AJ369" s="11"/>
      <c r="AK369" s="39"/>
      <c r="AL369" s="113"/>
      <c r="AM369" s="113"/>
      <c r="AN369" s="117"/>
      <c r="AO369" s="76"/>
      <c r="AP369" s="39"/>
      <c r="AQ369" s="39"/>
      <c r="AR369" s="275"/>
      <c r="AS369" s="156"/>
      <c r="AT369" s="157"/>
      <c r="AU369" s="62"/>
      <c r="AV369" s="62"/>
      <c r="AW369" s="31"/>
      <c r="AX369" s="116"/>
      <c r="AY369" s="116"/>
      <c r="AZ369" s="143"/>
      <c r="BA369" s="132"/>
      <c r="BB369" s="132"/>
      <c r="BC369" s="132"/>
      <c r="BD369" s="274"/>
      <c r="BE369" s="143"/>
      <c r="BF369" s="143"/>
      <c r="BG369" s="132"/>
      <c r="BH369" s="132"/>
      <c r="BI369" s="132"/>
      <c r="BJ369" s="143"/>
      <c r="BK369" s="143"/>
      <c r="BL369" s="143"/>
      <c r="BM369" s="132"/>
      <c r="BN369" s="132"/>
      <c r="BO369" s="132"/>
      <c r="BP369" s="143"/>
      <c r="BQ369" s="132"/>
      <c r="BR369" s="132"/>
      <c r="BS369" s="132"/>
      <c r="BT369" s="132"/>
      <c r="BU369" s="132"/>
      <c r="BV369" s="268">
        <v>3000000</v>
      </c>
      <c r="BW369" s="144">
        <f>BV369*19%</f>
        <v>570000</v>
      </c>
      <c r="BX369" s="113">
        <f>+BV369+BW369</f>
        <v>3570000</v>
      </c>
      <c r="BY369" s="264" t="s">
        <v>362</v>
      </c>
      <c r="BZ369" s="264" t="s">
        <v>131</v>
      </c>
      <c r="CA369" s="132"/>
      <c r="CB369" s="274"/>
      <c r="CC369" s="144"/>
      <c r="CD369" s="274"/>
      <c r="CE369" s="132"/>
      <c r="CF369" s="132"/>
      <c r="CG369" s="36"/>
      <c r="CH369" s="268"/>
      <c r="CI369" s="265"/>
      <c r="CJ369" s="263"/>
      <c r="CK369" s="264"/>
      <c r="CL369" s="264"/>
      <c r="CM369" s="132"/>
      <c r="CN369" s="274"/>
      <c r="CO369" s="144"/>
      <c r="CP369" s="274"/>
      <c r="CQ369" s="132"/>
      <c r="CR369" s="132"/>
      <c r="CS369" s="132"/>
      <c r="CT369" s="274"/>
      <c r="CU369" s="144"/>
      <c r="CV369" s="274"/>
      <c r="CW369" s="132"/>
      <c r="CX369" s="132"/>
      <c r="CY369" s="132"/>
      <c r="CZ369" s="118"/>
      <c r="DA369" s="144"/>
      <c r="DB369" s="118"/>
      <c r="DC369" s="33"/>
      <c r="DD369" s="39"/>
      <c r="DE369" s="11"/>
      <c r="DF369" s="132"/>
      <c r="DG369" s="132"/>
      <c r="DH369" s="132"/>
      <c r="DI369" s="132"/>
      <c r="DJ369" s="132"/>
      <c r="DK369" s="132"/>
      <c r="DL369" s="132"/>
      <c r="DM369" s="132"/>
      <c r="DN369" s="132"/>
      <c r="DO369" s="132"/>
      <c r="DP369" s="132"/>
      <c r="DQ369" s="132"/>
      <c r="DR369" s="132"/>
      <c r="DS369" s="132"/>
      <c r="DT369" s="132"/>
      <c r="DU369" s="132"/>
      <c r="DV369" s="132"/>
      <c r="DW369" s="132"/>
      <c r="DX369" s="132"/>
      <c r="DY369" s="132"/>
      <c r="DZ369" s="132"/>
      <c r="EA369" s="132"/>
      <c r="EB369" s="132"/>
      <c r="EC369" s="132"/>
      <c r="ED369" s="132"/>
      <c r="EE369" s="132"/>
      <c r="EF369" s="132"/>
      <c r="EG369" s="132"/>
      <c r="EH369" s="132"/>
      <c r="EI369" s="132"/>
      <c r="EJ369" s="132"/>
      <c r="EK369" s="132"/>
      <c r="EL369" s="132"/>
      <c r="EM369" s="132"/>
      <c r="EN369" s="132"/>
      <c r="EO369" s="132"/>
      <c r="EP369" s="132"/>
      <c r="EQ369" s="132"/>
      <c r="ER369" s="132"/>
      <c r="ES369" s="132"/>
      <c r="ET369" s="11"/>
      <c r="EU369" s="11"/>
      <c r="EV369" s="11"/>
      <c r="EW369" s="11"/>
      <c r="EX369" s="11"/>
      <c r="EY369" s="11"/>
      <c r="EZ369" s="11"/>
      <c r="FA369" s="11"/>
      <c r="FB369" s="11"/>
      <c r="FC369" s="11"/>
      <c r="FD369" s="11"/>
      <c r="FE369" s="11"/>
      <c r="FF369" s="11"/>
      <c r="FG369" s="11"/>
      <c r="FH369" s="39">
        <f t="shared" si="85"/>
        <v>5181918.07</v>
      </c>
      <c r="FI369" s="33">
        <f t="shared" si="86"/>
        <v>2</v>
      </c>
      <c r="FJ369" s="84">
        <f t="shared" si="87"/>
        <v>2590959.0350000001</v>
      </c>
    </row>
    <row r="370" spans="1:166" ht="13.5" x14ac:dyDescent="0.25">
      <c r="A370" s="79" t="e">
        <f>#REF!</f>
        <v>#REF!</v>
      </c>
      <c r="B370" s="75" t="e">
        <f>#REF!</f>
        <v>#REF!</v>
      </c>
      <c r="C370" s="75" t="e">
        <f>#REF!</f>
        <v>#REF!</v>
      </c>
      <c r="D370" s="75" t="e">
        <f>#REF!</f>
        <v>#REF!</v>
      </c>
      <c r="E370" s="30">
        <v>1</v>
      </c>
      <c r="F370" s="238">
        <v>914247.25</v>
      </c>
      <c r="G370" s="241">
        <v>900473</v>
      </c>
      <c r="H370" s="249">
        <v>945605.93067499995</v>
      </c>
      <c r="I370" s="249">
        <v>0</v>
      </c>
      <c r="J370" s="249">
        <v>472748.32500000001</v>
      </c>
      <c r="K370" s="249">
        <v>0</v>
      </c>
      <c r="L370" s="274">
        <f>AVERAGE(F370,H370,J370)</f>
        <v>777533.83522500005</v>
      </c>
      <c r="M370" s="274">
        <f>G370*E1</f>
        <v>927487.19000000006</v>
      </c>
      <c r="N370" s="245"/>
      <c r="O370" s="113"/>
      <c r="P370" s="113"/>
      <c r="Q370" s="131"/>
      <c r="R370" s="131"/>
      <c r="S370" s="64"/>
      <c r="T370" s="113"/>
      <c r="U370" s="113"/>
      <c r="V370" s="113"/>
      <c r="W370" s="131"/>
      <c r="X370" s="131"/>
      <c r="Y370" s="52"/>
      <c r="Z370" s="113"/>
      <c r="AA370" s="113"/>
      <c r="AB370" s="113"/>
      <c r="AC370" s="131"/>
      <c r="AD370" s="52"/>
      <c r="AE370" s="11"/>
      <c r="AF370" s="118"/>
      <c r="AG370" s="144"/>
      <c r="AH370" s="113"/>
      <c r="AI370" s="11"/>
      <c r="AJ370" s="11"/>
      <c r="AK370" s="39"/>
      <c r="AL370" s="113"/>
      <c r="AM370" s="113"/>
      <c r="AN370" s="117"/>
      <c r="AO370" s="76"/>
      <c r="AP370" s="39"/>
      <c r="AQ370" s="39"/>
      <c r="AR370" s="275">
        <v>42227</v>
      </c>
      <c r="AS370" s="113">
        <f>+AR370*0.19</f>
        <v>8023.13</v>
      </c>
      <c r="AT370" s="119">
        <f>+AR370+AS370</f>
        <v>50250.13</v>
      </c>
      <c r="AU370" s="62" t="s">
        <v>367</v>
      </c>
      <c r="AV370" s="62" t="s">
        <v>212</v>
      </c>
      <c r="AW370" s="31" t="s">
        <v>368</v>
      </c>
      <c r="AX370" s="116"/>
      <c r="AY370" s="196"/>
      <c r="AZ370" s="143"/>
      <c r="BA370" s="191"/>
      <c r="BB370" s="132"/>
      <c r="BC370" s="132"/>
      <c r="BD370" s="274"/>
      <c r="BE370" s="143"/>
      <c r="BF370" s="143"/>
      <c r="BG370" s="132"/>
      <c r="BH370" s="132"/>
      <c r="BI370" s="132"/>
      <c r="BJ370" s="143"/>
      <c r="BK370" s="143"/>
      <c r="BL370" s="143"/>
      <c r="BM370" s="132"/>
      <c r="BN370" s="132"/>
      <c r="BO370" s="132"/>
      <c r="BP370" s="143"/>
      <c r="BQ370" s="132"/>
      <c r="BR370" s="132"/>
      <c r="BS370" s="132"/>
      <c r="BT370" s="132"/>
      <c r="BU370" s="132"/>
      <c r="BV370" s="263">
        <v>957096</v>
      </c>
      <c r="BW370" s="144">
        <f>BV370*19%</f>
        <v>181848.24</v>
      </c>
      <c r="BX370" s="113">
        <f>+BV370+BW370</f>
        <v>1138944.24</v>
      </c>
      <c r="BY370" s="264" t="s">
        <v>369</v>
      </c>
      <c r="BZ370" s="264" t="s">
        <v>131</v>
      </c>
      <c r="CA370" s="132"/>
      <c r="CB370" s="274"/>
      <c r="CC370" s="144"/>
      <c r="CD370" s="274"/>
      <c r="CE370" s="132"/>
      <c r="CF370" s="132"/>
      <c r="CG370" s="36"/>
      <c r="CH370" s="263"/>
      <c r="CI370" s="265"/>
      <c r="CJ370" s="263"/>
      <c r="CK370" s="264"/>
      <c r="CL370" s="264"/>
      <c r="CM370" s="132"/>
      <c r="CN370" s="274"/>
      <c r="CO370" s="144"/>
      <c r="CP370" s="274"/>
      <c r="CQ370" s="132"/>
      <c r="CR370" s="132"/>
      <c r="CS370" s="132"/>
      <c r="CT370" s="274"/>
      <c r="CU370" s="144"/>
      <c r="CV370" s="274"/>
      <c r="CW370" s="132"/>
      <c r="CX370" s="132"/>
      <c r="CY370" s="132"/>
      <c r="CZ370" s="118"/>
      <c r="DA370" s="144"/>
      <c r="DB370" s="118"/>
      <c r="DC370" s="33"/>
      <c r="DD370" s="39"/>
      <c r="DE370" s="11"/>
      <c r="DF370" s="132"/>
      <c r="DG370" s="132"/>
      <c r="DH370" s="132"/>
      <c r="DI370" s="132"/>
      <c r="DJ370" s="132"/>
      <c r="DK370" s="132"/>
      <c r="DL370" s="132"/>
      <c r="DM370" s="132"/>
      <c r="DN370" s="132"/>
      <c r="DO370" s="132"/>
      <c r="DP370" s="132"/>
      <c r="DQ370" s="132"/>
      <c r="DR370" s="132"/>
      <c r="DS370" s="132"/>
      <c r="DT370" s="132"/>
      <c r="DU370" s="132"/>
      <c r="DV370" s="132"/>
      <c r="DW370" s="132"/>
      <c r="DX370" s="132"/>
      <c r="DY370" s="132"/>
      <c r="DZ370" s="132"/>
      <c r="EA370" s="132"/>
      <c r="EB370" s="132"/>
      <c r="EC370" s="132"/>
      <c r="ED370" s="132"/>
      <c r="EE370" s="132"/>
      <c r="EF370" s="132"/>
      <c r="EG370" s="132"/>
      <c r="EH370" s="132"/>
      <c r="EI370" s="132"/>
      <c r="EJ370" s="132"/>
      <c r="EK370" s="132"/>
      <c r="EL370" s="132"/>
      <c r="EM370" s="132"/>
      <c r="EN370" s="132"/>
      <c r="EO370" s="132"/>
      <c r="EP370" s="132"/>
      <c r="EQ370" s="132"/>
      <c r="ER370" s="132"/>
      <c r="ES370" s="132"/>
      <c r="ET370" s="11"/>
      <c r="EU370" s="11"/>
      <c r="EV370" s="11"/>
      <c r="EW370" s="11"/>
      <c r="EX370" s="11"/>
      <c r="EY370" s="11"/>
      <c r="EZ370" s="11"/>
      <c r="FA370" s="11"/>
      <c r="FB370" s="11"/>
      <c r="FC370" s="11"/>
      <c r="FD370" s="11"/>
      <c r="FE370" s="11"/>
      <c r="FF370" s="11"/>
      <c r="FG370" s="11"/>
      <c r="FH370" s="39">
        <f t="shared" si="85"/>
        <v>2116681.56</v>
      </c>
      <c r="FI370" s="33">
        <f t="shared" si="86"/>
        <v>3</v>
      </c>
      <c r="FJ370" s="84">
        <f t="shared" si="87"/>
        <v>705560.52</v>
      </c>
    </row>
    <row r="371" spans="1:166" ht="69.75" customHeight="1" x14ac:dyDescent="0.25">
      <c r="A371" s="79" t="e">
        <f>#REF!</f>
        <v>#REF!</v>
      </c>
      <c r="B371" s="75" t="e">
        <f>#REF!</f>
        <v>#REF!</v>
      </c>
      <c r="C371" s="75" t="e">
        <f>#REF!</f>
        <v>#REF!</v>
      </c>
      <c r="D371" s="75" t="e">
        <f>#REF!</f>
        <v>#REF!</v>
      </c>
      <c r="E371" s="30">
        <v>1</v>
      </c>
      <c r="F371" s="238">
        <v>133880.95000000001</v>
      </c>
      <c r="G371" s="241">
        <v>29750</v>
      </c>
      <c r="H371" s="249">
        <v>127516.60191666667</v>
      </c>
      <c r="I371" s="249">
        <v>65000</v>
      </c>
      <c r="J371" s="249">
        <v>136601.88500000001</v>
      </c>
      <c r="K371" s="249">
        <v>129829</v>
      </c>
      <c r="L371" s="274">
        <f>AVERAGE(F371,H371,J371)</f>
        <v>132666.47897222222</v>
      </c>
      <c r="M371" s="274">
        <f>AVERAGE(G371,I371,K371)*E1</f>
        <v>77105.45666666668</v>
      </c>
      <c r="N371" s="246"/>
      <c r="O371" s="118"/>
      <c r="P371" s="118"/>
      <c r="Q371" s="52"/>
      <c r="R371" s="52"/>
      <c r="S371" s="5"/>
      <c r="T371" s="118"/>
      <c r="U371" s="118"/>
      <c r="V371" s="118"/>
      <c r="W371" s="11"/>
      <c r="X371" s="11"/>
      <c r="Y371" s="11"/>
      <c r="Z371" s="118"/>
      <c r="AA371" s="118"/>
      <c r="AB371" s="118"/>
      <c r="AC371" s="52"/>
      <c r="AD371" s="52"/>
      <c r="AE371" s="11"/>
      <c r="AF371" s="118"/>
      <c r="AG371" s="144"/>
      <c r="AH371" s="118"/>
      <c r="AI371" s="11"/>
      <c r="AJ371" s="11"/>
      <c r="AK371" s="11"/>
      <c r="AL371" s="118"/>
      <c r="AM371" s="118"/>
      <c r="AN371" s="118"/>
      <c r="AO371" s="76"/>
      <c r="AP371" s="11"/>
      <c r="AQ371" s="11"/>
      <c r="AR371" s="274"/>
      <c r="AS371" s="274"/>
      <c r="AT371" s="274"/>
      <c r="AU371" s="62"/>
      <c r="AV371" s="48"/>
      <c r="AW371" s="11"/>
      <c r="AX371" s="274"/>
      <c r="AY371" s="274"/>
      <c r="AZ371" s="274"/>
      <c r="BA371" s="11"/>
      <c r="BB371" s="11"/>
      <c r="BC371" s="11"/>
      <c r="BD371" s="274"/>
      <c r="BE371" s="274"/>
      <c r="BF371" s="274"/>
      <c r="BG371" s="11"/>
      <c r="BH371" s="11"/>
      <c r="BI371" s="11"/>
      <c r="BJ371" s="274"/>
      <c r="BK371" s="274"/>
      <c r="BL371" s="274"/>
      <c r="BM371" s="11"/>
      <c r="BN371" s="11"/>
      <c r="BO371" s="11"/>
      <c r="BP371" s="274"/>
      <c r="BQ371" s="11"/>
      <c r="BR371" s="11"/>
      <c r="BS371" s="11"/>
      <c r="BT371" s="11"/>
      <c r="BU371" s="11"/>
      <c r="BV371" s="263">
        <v>253800</v>
      </c>
      <c r="BW371" s="144">
        <f>BV371*19%</f>
        <v>48222</v>
      </c>
      <c r="BX371" s="113">
        <f>+BV371+BW371</f>
        <v>302022</v>
      </c>
      <c r="BY371" s="264" t="s">
        <v>337</v>
      </c>
      <c r="BZ371" s="264" t="s">
        <v>48</v>
      </c>
      <c r="CA371" s="11"/>
      <c r="CB371" s="274"/>
      <c r="CC371" s="144"/>
      <c r="CD371" s="274"/>
      <c r="CE371" s="11"/>
      <c r="CF371" s="11"/>
      <c r="CG371" s="11"/>
      <c r="CH371" s="263">
        <v>256338</v>
      </c>
      <c r="CI371" s="265">
        <f>+CH371*0.19</f>
        <v>48704.22</v>
      </c>
      <c r="CJ371" s="263">
        <f>+CH371+CI371</f>
        <v>305042.21999999997</v>
      </c>
      <c r="CK371" s="264" t="s">
        <v>337</v>
      </c>
      <c r="CL371" s="264" t="s">
        <v>48</v>
      </c>
      <c r="CM371" s="11"/>
      <c r="CN371" s="274"/>
      <c r="CO371" s="144"/>
      <c r="CP371" s="274"/>
      <c r="CQ371" s="11"/>
      <c r="CR371" s="11"/>
      <c r="CS371" s="11"/>
      <c r="CT371" s="274"/>
      <c r="CU371" s="144"/>
      <c r="CV371" s="274"/>
      <c r="CW371" s="11"/>
      <c r="CX371" s="11"/>
      <c r="CY371" s="11"/>
      <c r="CZ371" s="118"/>
      <c r="DA371" s="144"/>
      <c r="DB371" s="118"/>
      <c r="DC371" s="33"/>
      <c r="DD371" s="39"/>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32"/>
      <c r="EK371" s="132"/>
      <c r="EL371" s="132"/>
      <c r="EM371" s="132"/>
      <c r="EN371" s="132"/>
      <c r="EO371" s="11"/>
      <c r="EP371" s="11"/>
      <c r="EQ371" s="11"/>
      <c r="ER371" s="11"/>
      <c r="ES371" s="11"/>
      <c r="ET371" s="11"/>
      <c r="EU371" s="11"/>
      <c r="EV371" s="11"/>
      <c r="EW371" s="11"/>
      <c r="EX371" s="11"/>
      <c r="EY371" s="11"/>
      <c r="EZ371" s="11"/>
      <c r="FA371" s="11"/>
      <c r="FB371" s="11"/>
      <c r="FC371" s="11"/>
      <c r="FD371" s="11"/>
      <c r="FE371" s="11"/>
      <c r="FF371" s="11"/>
      <c r="FG371" s="11"/>
      <c r="FH371" s="39">
        <f t="shared" si="85"/>
        <v>684169.67666666664</v>
      </c>
      <c r="FI371" s="33">
        <f t="shared" si="86"/>
        <v>3</v>
      </c>
      <c r="FJ371" s="84">
        <f t="shared" si="87"/>
        <v>228056.55888888889</v>
      </c>
    </row>
    <row r="372" spans="1:166" ht="32.25" customHeight="1" x14ac:dyDescent="0.25">
      <c r="A372" s="79" t="e">
        <f>#REF!</f>
        <v>#REF!</v>
      </c>
      <c r="B372" s="75" t="e">
        <f>#REF!</f>
        <v>#REF!</v>
      </c>
      <c r="C372" s="75" t="e">
        <f>#REF!</f>
        <v>#REF!</v>
      </c>
      <c r="D372" s="75" t="e">
        <f>#REF!</f>
        <v>#REF!</v>
      </c>
      <c r="E372" s="30">
        <v>1</v>
      </c>
      <c r="F372" s="238">
        <v>5890500</v>
      </c>
      <c r="G372" s="241">
        <v>0</v>
      </c>
      <c r="H372" s="249">
        <v>0</v>
      </c>
      <c r="I372" s="249">
        <v>0</v>
      </c>
      <c r="J372" s="249">
        <v>0</v>
      </c>
      <c r="K372" s="249">
        <v>0</v>
      </c>
      <c r="L372" s="274">
        <f>F372</f>
        <v>5890500</v>
      </c>
      <c r="M372" s="274"/>
      <c r="N372" s="245"/>
      <c r="O372" s="113"/>
      <c r="P372" s="113"/>
      <c r="Q372" s="131"/>
      <c r="R372" s="131"/>
      <c r="S372" s="64"/>
      <c r="T372" s="113"/>
      <c r="U372" s="113"/>
      <c r="V372" s="113"/>
      <c r="W372" s="131"/>
      <c r="X372" s="131"/>
      <c r="Y372" s="11"/>
      <c r="Z372" s="113"/>
      <c r="AA372" s="113"/>
      <c r="AB372" s="113"/>
      <c r="AC372" s="52"/>
      <c r="AD372" s="52"/>
      <c r="AE372" s="11"/>
      <c r="AF372" s="118"/>
      <c r="AG372" s="144"/>
      <c r="AH372" s="113"/>
      <c r="AI372" s="11"/>
      <c r="AJ372" s="11"/>
      <c r="AK372" s="39"/>
      <c r="AL372" s="113"/>
      <c r="AM372" s="113"/>
      <c r="AN372" s="147"/>
      <c r="AO372" s="76"/>
      <c r="AP372" s="39"/>
      <c r="AQ372" s="39"/>
      <c r="AR372" s="275"/>
      <c r="AS372" s="158"/>
      <c r="AT372" s="159"/>
      <c r="AU372" s="62"/>
      <c r="AV372" s="62"/>
      <c r="AW372" s="31"/>
      <c r="AX372" s="116"/>
      <c r="AY372" s="196"/>
      <c r="AZ372" s="143"/>
      <c r="BA372" s="191"/>
      <c r="BB372" s="132"/>
      <c r="BC372" s="132"/>
      <c r="BD372" s="274"/>
      <c r="BE372" s="274"/>
      <c r="BF372" s="274"/>
      <c r="BG372" s="274"/>
      <c r="BH372" s="132"/>
      <c r="BI372" s="132"/>
      <c r="BJ372" s="143"/>
      <c r="BK372" s="143"/>
      <c r="BL372" s="143"/>
      <c r="BM372" s="132"/>
      <c r="BN372" s="132"/>
      <c r="BO372" s="132"/>
      <c r="BP372" s="143">
        <f>1481140*4</f>
        <v>5924560</v>
      </c>
      <c r="BQ372" s="144">
        <f>BP372*19%</f>
        <v>1125666.3999999999</v>
      </c>
      <c r="BR372" s="113">
        <f>+BP372+BQ372</f>
        <v>7050226.4000000004</v>
      </c>
      <c r="BS372" s="33" t="s">
        <v>370</v>
      </c>
      <c r="BT372" s="204" t="s">
        <v>371</v>
      </c>
      <c r="BU372" s="5" t="s">
        <v>372</v>
      </c>
      <c r="BV372" s="263">
        <v>19000000</v>
      </c>
      <c r="BW372" s="144">
        <v>0</v>
      </c>
      <c r="BX372" s="113">
        <f>+BV372+BW372</f>
        <v>19000000</v>
      </c>
      <c r="BY372" s="273" t="s">
        <v>373</v>
      </c>
      <c r="BZ372" s="273" t="s">
        <v>374</v>
      </c>
      <c r="CA372" s="132"/>
      <c r="CB372" s="274"/>
      <c r="CC372" s="144"/>
      <c r="CD372" s="274"/>
      <c r="CE372" s="132"/>
      <c r="CF372" s="132"/>
      <c r="CG372" s="36"/>
      <c r="CH372" s="210"/>
      <c r="CI372" s="219"/>
      <c r="CJ372" s="210"/>
      <c r="CK372" s="273"/>
      <c r="CL372" s="273"/>
      <c r="CM372" s="132"/>
      <c r="CN372" s="274"/>
      <c r="CO372" s="144"/>
      <c r="CP372" s="274"/>
      <c r="CQ372" s="132"/>
      <c r="CR372" s="132"/>
      <c r="CS372" s="132"/>
      <c r="CT372" s="274"/>
      <c r="CU372" s="144"/>
      <c r="CV372" s="274"/>
      <c r="CW372" s="132"/>
      <c r="CX372" s="132"/>
      <c r="CY372" s="132"/>
      <c r="CZ372" s="118"/>
      <c r="DA372" s="144"/>
      <c r="DB372" s="118"/>
      <c r="DC372" s="33"/>
      <c r="DD372" s="39"/>
      <c r="DE372" s="11"/>
      <c r="DF372" s="132"/>
      <c r="DG372" s="132"/>
      <c r="DH372" s="132"/>
      <c r="DI372" s="132"/>
      <c r="DJ372" s="132"/>
      <c r="DK372" s="132"/>
      <c r="DL372" s="132"/>
      <c r="DM372" s="132"/>
      <c r="DN372" s="132"/>
      <c r="DO372" s="132"/>
      <c r="DP372" s="132"/>
      <c r="DQ372" s="132"/>
      <c r="DR372" s="132"/>
      <c r="DS372" s="132"/>
      <c r="DT372" s="132"/>
      <c r="DU372" s="132"/>
      <c r="DV372" s="132"/>
      <c r="DW372" s="132"/>
      <c r="DX372" s="132"/>
      <c r="DY372" s="132"/>
      <c r="DZ372" s="132"/>
      <c r="EA372" s="132"/>
      <c r="EB372" s="132"/>
      <c r="EC372" s="132"/>
      <c r="ED372" s="132"/>
      <c r="EE372" s="132"/>
      <c r="EF372" s="132"/>
      <c r="EG372" s="132"/>
      <c r="EH372" s="132"/>
      <c r="EI372" s="132"/>
      <c r="EJ372" s="132"/>
      <c r="EK372" s="132"/>
      <c r="EL372" s="132"/>
      <c r="EM372" s="132"/>
      <c r="EN372" s="132"/>
      <c r="EO372" s="132"/>
      <c r="EP372" s="132"/>
      <c r="EQ372" s="132"/>
      <c r="ER372" s="132"/>
      <c r="ES372" s="132"/>
      <c r="ET372" s="11"/>
      <c r="EU372" s="11"/>
      <c r="EV372" s="11"/>
      <c r="EW372" s="11"/>
      <c r="EX372" s="11"/>
      <c r="EY372" s="11"/>
      <c r="EZ372" s="11"/>
      <c r="FA372" s="11"/>
      <c r="FB372" s="11"/>
      <c r="FC372" s="11"/>
      <c r="FD372" s="11"/>
      <c r="FE372" s="11"/>
      <c r="FF372" s="11"/>
      <c r="FG372" s="11"/>
      <c r="FH372" s="39">
        <f t="shared" si="85"/>
        <v>26050226.399999999</v>
      </c>
      <c r="FI372" s="33">
        <f t="shared" si="86"/>
        <v>2</v>
      </c>
      <c r="FJ372" s="84">
        <f t="shared" si="87"/>
        <v>13025113.199999999</v>
      </c>
    </row>
    <row r="373" spans="1:166" x14ac:dyDescent="0.25">
      <c r="A373" s="79" t="e">
        <f>#REF!</f>
        <v>#REF!</v>
      </c>
      <c r="B373" s="75" t="e">
        <f>#REF!</f>
        <v>#REF!</v>
      </c>
      <c r="C373" s="75" t="e">
        <f>#REF!</f>
        <v>#REF!</v>
      </c>
      <c r="D373" s="75" t="e">
        <f>#REF!</f>
        <v>#REF!</v>
      </c>
      <c r="E373" s="30">
        <v>1</v>
      </c>
      <c r="F373" s="238">
        <v>0</v>
      </c>
      <c r="G373" s="241">
        <v>0</v>
      </c>
      <c r="H373" s="249">
        <v>0</v>
      </c>
      <c r="I373" s="249">
        <v>0</v>
      </c>
      <c r="J373" s="249">
        <v>595000</v>
      </c>
      <c r="K373" s="249">
        <v>0</v>
      </c>
      <c r="L373" s="274">
        <f>J373</f>
        <v>595000</v>
      </c>
      <c r="M373" s="274"/>
      <c r="N373" s="245"/>
      <c r="O373" s="113"/>
      <c r="P373" s="113"/>
      <c r="Q373" s="52"/>
      <c r="R373" s="52"/>
      <c r="S373" s="5"/>
      <c r="T373" s="113"/>
      <c r="U373" s="113"/>
      <c r="V373" s="113"/>
      <c r="W373" s="11"/>
      <c r="X373" s="11"/>
      <c r="Y373" s="11"/>
      <c r="Z373" s="113"/>
      <c r="AA373" s="113"/>
      <c r="AB373" s="113"/>
      <c r="AC373" s="52"/>
      <c r="AD373" s="52"/>
      <c r="AE373" s="11"/>
      <c r="AF373" s="118"/>
      <c r="AG373" s="144"/>
      <c r="AH373" s="113"/>
      <c r="AI373" s="11"/>
      <c r="AJ373" s="11"/>
      <c r="AK373" s="11"/>
      <c r="AL373" s="113"/>
      <c r="AM373" s="113"/>
      <c r="AN373" s="113"/>
      <c r="AO373" s="76"/>
      <c r="AP373" s="11"/>
      <c r="AQ373" s="11"/>
      <c r="AR373" s="275"/>
      <c r="AS373" s="275"/>
      <c r="AT373" s="275"/>
      <c r="AU373" s="62"/>
      <c r="AV373" s="48"/>
      <c r="AW373" s="11"/>
      <c r="AX373" s="275"/>
      <c r="AY373" s="275"/>
      <c r="AZ373" s="275"/>
      <c r="BA373" s="11"/>
      <c r="BB373" s="11"/>
      <c r="BC373" s="11"/>
      <c r="BD373" s="274"/>
      <c r="BE373" s="143"/>
      <c r="BF373" s="143"/>
      <c r="BG373" s="132"/>
      <c r="BH373" s="11"/>
      <c r="BI373" s="132"/>
      <c r="BJ373" s="143"/>
      <c r="BK373" s="143"/>
      <c r="BL373" s="143"/>
      <c r="BM373" s="132"/>
      <c r="BN373" s="132"/>
      <c r="BO373" s="132"/>
      <c r="BP373" s="143"/>
      <c r="BQ373" s="132"/>
      <c r="BR373" s="132"/>
      <c r="BS373" s="132"/>
      <c r="BT373" s="132"/>
      <c r="BU373" s="132"/>
      <c r="BV373" s="210"/>
      <c r="BW373" s="144"/>
      <c r="BX373" s="113"/>
      <c r="BY373" s="273"/>
      <c r="BZ373" s="273"/>
      <c r="CA373" s="132"/>
      <c r="CB373" s="274"/>
      <c r="CC373" s="144"/>
      <c r="CD373" s="274"/>
      <c r="CE373" s="132"/>
      <c r="CF373" s="132"/>
      <c r="CG373" s="36"/>
      <c r="CH373" s="210"/>
      <c r="CI373" s="219"/>
      <c r="CJ373" s="210"/>
      <c r="CK373" s="273"/>
      <c r="CL373" s="273"/>
      <c r="CM373" s="132"/>
      <c r="CN373" s="274"/>
      <c r="CO373" s="144"/>
      <c r="CP373" s="274"/>
      <c r="CQ373" s="132"/>
      <c r="CR373" s="132"/>
      <c r="CS373" s="132"/>
      <c r="CT373" s="274"/>
      <c r="CU373" s="144"/>
      <c r="CV373" s="274"/>
      <c r="CW373" s="132"/>
      <c r="CX373" s="132"/>
      <c r="CY373" s="132"/>
      <c r="CZ373" s="118"/>
      <c r="DA373" s="144"/>
      <c r="DB373" s="118"/>
      <c r="DC373" s="33"/>
      <c r="DD373" s="39"/>
      <c r="DE373" s="11"/>
      <c r="DF373" s="132"/>
      <c r="DG373" s="132"/>
      <c r="DH373" s="132"/>
      <c r="DI373" s="132"/>
      <c r="DJ373" s="132"/>
      <c r="DK373" s="132"/>
      <c r="DL373" s="132"/>
      <c r="DM373" s="132"/>
      <c r="DN373" s="132"/>
      <c r="DO373" s="132"/>
      <c r="DP373" s="132"/>
      <c r="DQ373" s="132"/>
      <c r="DR373" s="132"/>
      <c r="DS373" s="132"/>
      <c r="DT373" s="132"/>
      <c r="DU373" s="132"/>
      <c r="DV373" s="132"/>
      <c r="DW373" s="132"/>
      <c r="DX373" s="132"/>
      <c r="DY373" s="132"/>
      <c r="DZ373" s="132"/>
      <c r="EA373" s="132"/>
      <c r="EB373" s="132"/>
      <c r="EC373" s="132"/>
      <c r="ED373" s="132"/>
      <c r="EE373" s="132"/>
      <c r="EF373" s="132"/>
      <c r="EG373" s="132"/>
      <c r="EH373" s="132"/>
      <c r="EI373" s="132"/>
      <c r="EJ373" s="132"/>
      <c r="EK373" s="132"/>
      <c r="EL373" s="132"/>
      <c r="EM373" s="132"/>
      <c r="EN373" s="132"/>
      <c r="EO373" s="132"/>
      <c r="EP373" s="132"/>
      <c r="EQ373" s="132"/>
      <c r="ER373" s="132"/>
      <c r="ES373" s="132"/>
      <c r="ET373" s="11"/>
      <c r="EU373" s="11"/>
      <c r="EV373" s="11"/>
      <c r="EW373" s="11"/>
      <c r="EX373" s="11"/>
      <c r="EY373" s="11"/>
      <c r="EZ373" s="11"/>
      <c r="FA373" s="275"/>
      <c r="FB373" s="275"/>
      <c r="FC373" s="275"/>
      <c r="FD373" s="275"/>
      <c r="FE373" s="275"/>
      <c r="FF373" s="275"/>
      <c r="FG373" s="275"/>
      <c r="FH373" s="39">
        <f t="shared" si="85"/>
        <v>0</v>
      </c>
      <c r="FI373" s="33">
        <f t="shared" si="86"/>
        <v>0</v>
      </c>
      <c r="FJ373" s="84" t="str">
        <f t="shared" si="87"/>
        <v xml:space="preserve"> </v>
      </c>
    </row>
    <row r="374" spans="1:166" x14ac:dyDescent="0.25">
      <c r="A374" s="79" t="e">
        <f>#REF!</f>
        <v>#REF!</v>
      </c>
      <c r="B374" s="75" t="e">
        <f>#REF!</f>
        <v>#REF!</v>
      </c>
      <c r="C374" s="75" t="e">
        <f>#REF!</f>
        <v>#REF!</v>
      </c>
      <c r="D374" s="75" t="e">
        <f>#REF!</f>
        <v>#REF!</v>
      </c>
      <c r="E374" s="30">
        <v>1</v>
      </c>
      <c r="F374" s="238">
        <v>0</v>
      </c>
      <c r="G374" s="241">
        <v>0</v>
      </c>
      <c r="H374" s="249">
        <v>0</v>
      </c>
      <c r="I374" s="249">
        <v>0</v>
      </c>
      <c r="J374" s="249">
        <v>154700</v>
      </c>
      <c r="K374" s="249">
        <v>0</v>
      </c>
      <c r="L374" s="274">
        <f>J374</f>
        <v>154700</v>
      </c>
      <c r="M374" s="274"/>
      <c r="N374" s="245"/>
      <c r="O374" s="113"/>
      <c r="P374" s="113"/>
      <c r="Q374" s="131"/>
      <c r="R374" s="131"/>
      <c r="S374" s="64"/>
      <c r="T374" s="117"/>
      <c r="U374" s="117"/>
      <c r="V374" s="113"/>
      <c r="W374" s="12"/>
      <c r="X374" s="12"/>
      <c r="Y374" s="11"/>
      <c r="Z374" s="113"/>
      <c r="AA374" s="113"/>
      <c r="AB374" s="113"/>
      <c r="AC374" s="52"/>
      <c r="AD374" s="52"/>
      <c r="AE374" s="11"/>
      <c r="AF374" s="118"/>
      <c r="AG374" s="144"/>
      <c r="AH374" s="113"/>
      <c r="AI374" s="11"/>
      <c r="AJ374" s="11"/>
      <c r="AK374" s="11"/>
      <c r="AL374" s="113"/>
      <c r="AM374" s="113"/>
      <c r="AN374" s="113"/>
      <c r="AO374" s="76"/>
      <c r="AP374" s="11"/>
      <c r="AQ374" s="11"/>
      <c r="AR374" s="275"/>
      <c r="AS374" s="275"/>
      <c r="AT374" s="275"/>
      <c r="AU374" s="62"/>
      <c r="AV374" s="48"/>
      <c r="AW374" s="11"/>
      <c r="AX374" s="275"/>
      <c r="AY374" s="275"/>
      <c r="AZ374" s="275"/>
      <c r="BA374" s="11"/>
      <c r="BB374" s="11"/>
      <c r="BC374" s="11"/>
      <c r="BD374" s="274"/>
      <c r="BE374" s="143"/>
      <c r="BF374" s="143"/>
      <c r="BG374" s="132"/>
      <c r="BH374" s="11"/>
      <c r="BI374" s="132"/>
      <c r="BJ374" s="143"/>
      <c r="BK374" s="143"/>
      <c r="BL374" s="143"/>
      <c r="BM374" s="132"/>
      <c r="BN374" s="132"/>
      <c r="BO374" s="132"/>
      <c r="BP374" s="143"/>
      <c r="BQ374" s="132"/>
      <c r="BR374" s="132"/>
      <c r="BS374" s="132"/>
      <c r="BT374" s="132"/>
      <c r="BU374" s="132"/>
      <c r="BV374" s="210"/>
      <c r="BW374" s="144"/>
      <c r="BX374" s="113"/>
      <c r="BY374" s="273"/>
      <c r="BZ374" s="273"/>
      <c r="CA374" s="132"/>
      <c r="CB374" s="274"/>
      <c r="CC374" s="144"/>
      <c r="CD374" s="274"/>
      <c r="CE374" s="132"/>
      <c r="CF374" s="132"/>
      <c r="CG374" s="36"/>
      <c r="CH374" s="210"/>
      <c r="CI374" s="219"/>
      <c r="CJ374" s="210"/>
      <c r="CK374" s="273"/>
      <c r="CL374" s="273"/>
      <c r="CM374" s="132"/>
      <c r="CN374" s="274"/>
      <c r="CO374" s="144"/>
      <c r="CP374" s="274"/>
      <c r="CQ374" s="132"/>
      <c r="CR374" s="132"/>
      <c r="CS374" s="132"/>
      <c r="CT374" s="274"/>
      <c r="CU374" s="144"/>
      <c r="CV374" s="274"/>
      <c r="CW374" s="132"/>
      <c r="CX374" s="132"/>
      <c r="CY374" s="132"/>
      <c r="CZ374" s="118"/>
      <c r="DA374" s="144"/>
      <c r="DB374" s="118"/>
      <c r="DC374" s="33"/>
      <c r="DD374" s="39"/>
      <c r="DE374" s="11"/>
      <c r="DF374" s="132"/>
      <c r="DG374" s="132"/>
      <c r="DH374" s="132"/>
      <c r="DI374" s="132"/>
      <c r="DJ374" s="132"/>
      <c r="DK374" s="132"/>
      <c r="DL374" s="132"/>
      <c r="DM374" s="132"/>
      <c r="DN374" s="132"/>
      <c r="DO374" s="132"/>
      <c r="DP374" s="132"/>
      <c r="DQ374" s="132"/>
      <c r="DR374" s="132"/>
      <c r="DS374" s="132"/>
      <c r="DT374" s="132"/>
      <c r="DU374" s="132"/>
      <c r="DV374" s="132"/>
      <c r="DW374" s="132"/>
      <c r="DX374" s="132"/>
      <c r="DY374" s="132"/>
      <c r="DZ374" s="132"/>
      <c r="EA374" s="132"/>
      <c r="EB374" s="132"/>
      <c r="EC374" s="132"/>
      <c r="ED374" s="132"/>
      <c r="EE374" s="132"/>
      <c r="EF374" s="132"/>
      <c r="EG374" s="132"/>
      <c r="EH374" s="132"/>
      <c r="EI374" s="132"/>
      <c r="EJ374" s="132"/>
      <c r="EK374" s="132"/>
      <c r="EL374" s="132"/>
      <c r="EM374" s="132"/>
      <c r="EN374" s="132"/>
      <c r="EO374" s="132"/>
      <c r="EP374" s="132"/>
      <c r="EQ374" s="132"/>
      <c r="ER374" s="132"/>
      <c r="ES374" s="132"/>
      <c r="ET374" s="11"/>
      <c r="EU374" s="11"/>
      <c r="EV374" s="11"/>
      <c r="EW374" s="11"/>
      <c r="EX374" s="11"/>
      <c r="EY374" s="11"/>
      <c r="EZ374" s="11"/>
      <c r="FA374" s="11"/>
      <c r="FB374" s="11"/>
      <c r="FC374" s="11"/>
      <c r="FD374" s="11"/>
      <c r="FE374" s="11"/>
      <c r="FF374" s="11"/>
      <c r="FG374" s="11"/>
      <c r="FH374" s="39">
        <f t="shared" si="85"/>
        <v>0</v>
      </c>
      <c r="FI374" s="33">
        <f t="shared" si="86"/>
        <v>0</v>
      </c>
      <c r="FJ374" s="84" t="str">
        <f t="shared" si="87"/>
        <v xml:space="preserve"> </v>
      </c>
    </row>
    <row r="375" spans="1:166" ht="83.25" customHeight="1" x14ac:dyDescent="0.25">
      <c r="A375" s="79" t="e">
        <f>#REF!</f>
        <v>#REF!</v>
      </c>
      <c r="B375" s="75" t="e">
        <f>#REF!</f>
        <v>#REF!</v>
      </c>
      <c r="C375" s="75" t="e">
        <f>#REF!</f>
        <v>#REF!</v>
      </c>
      <c r="D375" s="75" t="e">
        <f>#REF!</f>
        <v>#REF!</v>
      </c>
      <c r="E375" s="30">
        <v>1</v>
      </c>
      <c r="F375" s="238">
        <v>0</v>
      </c>
      <c r="G375" s="241">
        <v>0</v>
      </c>
      <c r="H375" s="249">
        <v>0</v>
      </c>
      <c r="I375" s="249">
        <v>0</v>
      </c>
      <c r="J375" s="249">
        <v>3042043.2348605003</v>
      </c>
      <c r="K375" s="249">
        <v>0</v>
      </c>
      <c r="L375" s="274">
        <f>J375</f>
        <v>3042043.2348605003</v>
      </c>
      <c r="M375" s="274"/>
      <c r="N375" s="245"/>
      <c r="O375" s="113"/>
      <c r="P375" s="113"/>
      <c r="Q375" s="131"/>
      <c r="R375" s="131"/>
      <c r="S375" s="64"/>
      <c r="T375" s="117"/>
      <c r="U375" s="117"/>
      <c r="V375" s="113"/>
      <c r="W375" s="12"/>
      <c r="X375" s="12"/>
      <c r="Y375" s="11"/>
      <c r="Z375" s="113"/>
      <c r="AA375" s="113"/>
      <c r="AB375" s="113"/>
      <c r="AC375" s="52"/>
      <c r="AD375" s="52"/>
      <c r="AE375" s="11"/>
      <c r="AF375" s="118"/>
      <c r="AG375" s="144"/>
      <c r="AH375" s="113"/>
      <c r="AI375" s="11"/>
      <c r="AJ375" s="11"/>
      <c r="AK375" s="11"/>
      <c r="AL375" s="113"/>
      <c r="AM375" s="113"/>
      <c r="AN375" s="113"/>
      <c r="AO375" s="76"/>
      <c r="AP375" s="11"/>
      <c r="AQ375" s="11"/>
      <c r="AR375" s="275"/>
      <c r="AS375" s="275"/>
      <c r="AT375" s="275"/>
      <c r="AU375" s="48"/>
      <c r="AV375" s="48"/>
      <c r="AW375" s="11"/>
      <c r="AX375" s="275"/>
      <c r="AY375" s="275"/>
      <c r="AZ375" s="275"/>
      <c r="BA375" s="11"/>
      <c r="BB375" s="11"/>
      <c r="BC375" s="11"/>
      <c r="BD375" s="274"/>
      <c r="BE375" s="143"/>
      <c r="BF375" s="143"/>
      <c r="BG375" s="132"/>
      <c r="BH375" s="11"/>
      <c r="BI375" s="132"/>
      <c r="BJ375" s="143"/>
      <c r="BK375" s="143"/>
      <c r="BL375" s="143"/>
      <c r="BM375" s="132"/>
      <c r="BN375" s="132"/>
      <c r="BO375" s="132"/>
      <c r="BP375" s="143"/>
      <c r="BQ375" s="132"/>
      <c r="BR375" s="132"/>
      <c r="BS375" s="132"/>
      <c r="BT375" s="132"/>
      <c r="BU375" s="132"/>
      <c r="BV375" s="210"/>
      <c r="BW375" s="144"/>
      <c r="BX375" s="113"/>
      <c r="BY375" s="273"/>
      <c r="BZ375" s="273"/>
      <c r="CA375" s="132"/>
      <c r="CB375" s="274"/>
      <c r="CC375" s="144"/>
      <c r="CD375" s="274"/>
      <c r="CE375" s="132"/>
      <c r="CF375" s="132"/>
      <c r="CG375" s="36"/>
      <c r="CH375" s="210"/>
      <c r="CI375" s="219"/>
      <c r="CJ375" s="210"/>
      <c r="CK375" s="273"/>
      <c r="CL375" s="273"/>
      <c r="CM375" s="132"/>
      <c r="CN375" s="274"/>
      <c r="CO375" s="144"/>
      <c r="CP375" s="274"/>
      <c r="CQ375" s="132"/>
      <c r="CR375" s="132"/>
      <c r="CS375" s="132"/>
      <c r="CT375" s="274"/>
      <c r="CU375" s="144"/>
      <c r="CV375" s="274"/>
      <c r="CW375" s="132"/>
      <c r="CX375" s="132"/>
      <c r="CY375" s="132"/>
      <c r="CZ375" s="118">
        <v>3560830</v>
      </c>
      <c r="DA375" s="144">
        <v>0</v>
      </c>
      <c r="DB375" s="118">
        <v>3560830</v>
      </c>
      <c r="DC375" s="33" t="s">
        <v>375</v>
      </c>
      <c r="DD375" s="39" t="s">
        <v>58</v>
      </c>
      <c r="DE375" s="11">
        <v>5100</v>
      </c>
      <c r="DF375" s="132"/>
      <c r="DG375" s="132"/>
      <c r="DH375" s="132"/>
      <c r="DI375" s="132"/>
      <c r="DJ375" s="132"/>
      <c r="DK375" s="132"/>
      <c r="DL375" s="132"/>
      <c r="DM375" s="132"/>
      <c r="DN375" s="132"/>
      <c r="DO375" s="132"/>
      <c r="DP375" s="132"/>
      <c r="DQ375" s="132"/>
      <c r="DR375" s="132"/>
      <c r="DS375" s="132"/>
      <c r="DT375" s="132"/>
      <c r="DU375" s="132"/>
      <c r="DV375" s="132"/>
      <c r="DW375" s="132"/>
      <c r="DX375" s="132"/>
      <c r="DY375" s="132"/>
      <c r="DZ375" s="132"/>
      <c r="EA375" s="132"/>
      <c r="EB375" s="132"/>
      <c r="EC375" s="132"/>
      <c r="ED375" s="132"/>
      <c r="EE375" s="132"/>
      <c r="EF375" s="132"/>
      <c r="EG375" s="132"/>
      <c r="EH375" s="132"/>
      <c r="EI375" s="132"/>
      <c r="EJ375" s="132"/>
      <c r="EK375" s="132"/>
      <c r="EL375" s="132"/>
      <c r="EM375" s="132"/>
      <c r="EN375" s="132"/>
      <c r="EO375" s="132"/>
      <c r="EP375" s="132"/>
      <c r="EQ375" s="132"/>
      <c r="ER375" s="132"/>
      <c r="ES375" s="132"/>
      <c r="ET375" s="11"/>
      <c r="EU375" s="11"/>
      <c r="EV375" s="11"/>
      <c r="EW375" s="11"/>
      <c r="EX375" s="11"/>
      <c r="EY375" s="11"/>
      <c r="EZ375" s="11"/>
      <c r="FA375" s="11"/>
      <c r="FB375" s="11"/>
      <c r="FC375" s="11"/>
      <c r="FD375" s="11"/>
      <c r="FE375" s="11"/>
      <c r="FF375" s="11"/>
      <c r="FG375" s="11"/>
      <c r="FH375" s="39">
        <f t="shared" si="85"/>
        <v>3560830</v>
      </c>
      <c r="FI375" s="33">
        <f t="shared" si="86"/>
        <v>1</v>
      </c>
      <c r="FJ375" s="84">
        <f t="shared" si="87"/>
        <v>3560830</v>
      </c>
    </row>
    <row r="376" spans="1:166" x14ac:dyDescent="0.25">
      <c r="A376" s="79" t="e">
        <f>#REF!</f>
        <v>#REF!</v>
      </c>
      <c r="B376" s="75" t="e">
        <f>#REF!</f>
        <v>#REF!</v>
      </c>
      <c r="C376" s="75" t="e">
        <f>#REF!</f>
        <v>#REF!</v>
      </c>
      <c r="D376" s="75" t="e">
        <f>#REF!</f>
        <v>#REF!</v>
      </c>
      <c r="E376" s="30">
        <v>1</v>
      </c>
      <c r="F376" s="238">
        <v>0</v>
      </c>
      <c r="G376" s="241">
        <v>0</v>
      </c>
      <c r="H376" s="249">
        <v>0</v>
      </c>
      <c r="I376" s="249">
        <v>0</v>
      </c>
      <c r="J376" s="249">
        <v>0</v>
      </c>
      <c r="K376" s="249">
        <v>0</v>
      </c>
      <c r="L376" s="274"/>
      <c r="M376" s="274"/>
      <c r="N376" s="245"/>
      <c r="O376" s="113"/>
      <c r="P376" s="113"/>
      <c r="Q376" s="131"/>
      <c r="R376" s="131"/>
      <c r="S376" s="64"/>
      <c r="T376" s="117"/>
      <c r="U376" s="117"/>
      <c r="V376" s="113"/>
      <c r="W376" s="12"/>
      <c r="X376" s="12"/>
      <c r="Y376" s="11"/>
      <c r="Z376" s="113"/>
      <c r="AA376" s="113"/>
      <c r="AB376" s="113"/>
      <c r="AC376" s="52"/>
      <c r="AD376" s="52"/>
      <c r="AE376" s="11"/>
      <c r="AF376" s="118"/>
      <c r="AG376" s="144"/>
      <c r="AH376" s="113"/>
      <c r="AI376" s="11"/>
      <c r="AJ376" s="11"/>
      <c r="AK376" s="11"/>
      <c r="AL376" s="113"/>
      <c r="AM376" s="113"/>
      <c r="AN376" s="113"/>
      <c r="AO376" s="76"/>
      <c r="AP376" s="11"/>
      <c r="AQ376" s="11"/>
      <c r="AR376" s="275"/>
      <c r="AS376" s="275"/>
      <c r="AT376" s="275"/>
      <c r="AU376" s="48"/>
      <c r="AV376" s="48"/>
      <c r="AW376" s="11"/>
      <c r="AX376" s="275"/>
      <c r="AY376" s="275"/>
      <c r="AZ376" s="275"/>
      <c r="BA376" s="11"/>
      <c r="BB376" s="11"/>
      <c r="BC376" s="11"/>
      <c r="BD376" s="274"/>
      <c r="BE376" s="143"/>
      <c r="BF376" s="143"/>
      <c r="BG376" s="132"/>
      <c r="BH376" s="11"/>
      <c r="BI376" s="132"/>
      <c r="BJ376" s="143"/>
      <c r="BK376" s="143"/>
      <c r="BL376" s="143"/>
      <c r="BM376" s="132"/>
      <c r="BN376" s="132"/>
      <c r="BO376" s="132"/>
      <c r="BP376" s="143"/>
      <c r="BQ376" s="132"/>
      <c r="BR376" s="132"/>
      <c r="BS376" s="132"/>
      <c r="BT376" s="132"/>
      <c r="BU376" s="132"/>
      <c r="BV376" s="210"/>
      <c r="BW376" s="144"/>
      <c r="BX376" s="113"/>
      <c r="BY376" s="273"/>
      <c r="BZ376" s="273"/>
      <c r="CA376" s="132"/>
      <c r="CB376" s="274"/>
      <c r="CC376" s="144"/>
      <c r="CD376" s="274"/>
      <c r="CE376" s="132"/>
      <c r="CF376" s="132"/>
      <c r="CG376" s="36"/>
      <c r="CH376" s="210"/>
      <c r="CI376" s="219"/>
      <c r="CJ376" s="210"/>
      <c r="CK376" s="273"/>
      <c r="CL376" s="273"/>
      <c r="CM376" s="132"/>
      <c r="CN376" s="274"/>
      <c r="CO376" s="144"/>
      <c r="CP376" s="274"/>
      <c r="CQ376" s="132"/>
      <c r="CR376" s="132"/>
      <c r="CS376" s="132"/>
      <c r="CT376" s="274"/>
      <c r="CU376" s="144"/>
      <c r="CV376" s="274"/>
      <c r="CW376" s="132"/>
      <c r="CX376" s="132"/>
      <c r="CY376" s="132"/>
      <c r="CZ376" s="118"/>
      <c r="DA376" s="144"/>
      <c r="DB376" s="118"/>
      <c r="DC376" s="33"/>
      <c r="DD376" s="39"/>
      <c r="DE376" s="11"/>
      <c r="DF376" s="132"/>
      <c r="DG376" s="132"/>
      <c r="DH376" s="132"/>
      <c r="DI376" s="132"/>
      <c r="DJ376" s="132"/>
      <c r="DK376" s="132"/>
      <c r="DL376" s="132"/>
      <c r="DM376" s="132"/>
      <c r="DN376" s="132"/>
      <c r="DO376" s="132"/>
      <c r="DP376" s="132"/>
      <c r="DQ376" s="132"/>
      <c r="DR376" s="132"/>
      <c r="DS376" s="132"/>
      <c r="DT376" s="132"/>
      <c r="DU376" s="132"/>
      <c r="DV376" s="132"/>
      <c r="DW376" s="132"/>
      <c r="DX376" s="132"/>
      <c r="DY376" s="132"/>
      <c r="DZ376" s="132"/>
      <c r="EA376" s="132"/>
      <c r="EB376" s="132"/>
      <c r="EC376" s="132"/>
      <c r="ED376" s="132"/>
      <c r="EE376" s="132"/>
      <c r="EF376" s="132"/>
      <c r="EG376" s="132"/>
      <c r="EH376" s="132"/>
      <c r="EI376" s="132"/>
      <c r="EJ376" s="132"/>
      <c r="EK376" s="132"/>
      <c r="EL376" s="132"/>
      <c r="EM376" s="132"/>
      <c r="EN376" s="132"/>
      <c r="EO376" s="132"/>
      <c r="EP376" s="132"/>
      <c r="EQ376" s="132"/>
      <c r="ER376" s="132"/>
      <c r="ES376" s="132"/>
      <c r="ET376" s="11"/>
      <c r="EU376" s="11"/>
      <c r="EV376" s="11"/>
      <c r="EW376" s="11"/>
      <c r="EX376" s="11"/>
      <c r="EY376" s="11"/>
      <c r="EZ376" s="11"/>
      <c r="FA376" s="11"/>
      <c r="FB376" s="11"/>
      <c r="FC376" s="11"/>
      <c r="FD376" s="11"/>
      <c r="FE376" s="11"/>
      <c r="FF376" s="11"/>
      <c r="FG376" s="11"/>
      <c r="FH376" s="39">
        <f t="shared" si="85"/>
        <v>0</v>
      </c>
      <c r="FI376" s="33">
        <f t="shared" si="86"/>
        <v>0</v>
      </c>
      <c r="FJ376" s="84" t="str">
        <f t="shared" si="87"/>
        <v xml:space="preserve"> </v>
      </c>
    </row>
    <row r="377" spans="1:166" x14ac:dyDescent="0.25">
      <c r="A377" s="79" t="e">
        <f>#REF!</f>
        <v>#REF!</v>
      </c>
      <c r="B377" s="75" t="e">
        <f>#REF!</f>
        <v>#REF!</v>
      </c>
      <c r="C377" s="75" t="e">
        <f>#REF!</f>
        <v>#REF!</v>
      </c>
      <c r="D377" s="75" t="e">
        <f>#REF!</f>
        <v>#REF!</v>
      </c>
      <c r="E377" s="30">
        <v>1</v>
      </c>
      <c r="F377" s="238">
        <v>0</v>
      </c>
      <c r="G377" s="241">
        <v>0</v>
      </c>
      <c r="H377" s="249">
        <v>0</v>
      </c>
      <c r="I377" s="249">
        <v>0</v>
      </c>
      <c r="J377" s="249">
        <v>0</v>
      </c>
      <c r="K377" s="249">
        <v>0</v>
      </c>
      <c r="L377" s="274"/>
      <c r="M377" s="274"/>
      <c r="N377" s="245"/>
      <c r="O377" s="113"/>
      <c r="P377" s="113"/>
      <c r="Q377" s="131"/>
      <c r="R377" s="131"/>
      <c r="S377" s="64"/>
      <c r="T377" s="117"/>
      <c r="U377" s="117"/>
      <c r="V377" s="113"/>
      <c r="W377" s="12"/>
      <c r="X377" s="12"/>
      <c r="Y377" s="11"/>
      <c r="Z377" s="113"/>
      <c r="AA377" s="113"/>
      <c r="AB377" s="113"/>
      <c r="AC377" s="52"/>
      <c r="AD377" s="52"/>
      <c r="AE377" s="11"/>
      <c r="AF377" s="118"/>
      <c r="AG377" s="144"/>
      <c r="AH377" s="113"/>
      <c r="AI377" s="11"/>
      <c r="AJ377" s="11"/>
      <c r="AK377" s="11"/>
      <c r="AL377" s="113"/>
      <c r="AM377" s="113"/>
      <c r="AN377" s="113"/>
      <c r="AO377" s="76"/>
      <c r="AP377" s="11"/>
      <c r="AQ377" s="11"/>
      <c r="AR377" s="275"/>
      <c r="AS377" s="275"/>
      <c r="AT377" s="275"/>
      <c r="AU377" s="48"/>
      <c r="AV377" s="48"/>
      <c r="AW377" s="11"/>
      <c r="AX377" s="275"/>
      <c r="AY377" s="275"/>
      <c r="AZ377" s="275"/>
      <c r="BA377" s="11"/>
      <c r="BB377" s="11"/>
      <c r="BC377" s="11"/>
      <c r="BD377" s="274"/>
      <c r="BE377" s="143"/>
      <c r="BF377" s="143"/>
      <c r="BG377" s="132"/>
      <c r="BH377" s="11"/>
      <c r="BI377" s="132"/>
      <c r="BJ377" s="143"/>
      <c r="BK377" s="143"/>
      <c r="BL377" s="143"/>
      <c r="BM377" s="132"/>
      <c r="BN377" s="132"/>
      <c r="BO377" s="132"/>
      <c r="BP377" s="143"/>
      <c r="BQ377" s="132"/>
      <c r="BR377" s="132"/>
      <c r="BS377" s="132"/>
      <c r="BT377" s="132"/>
      <c r="BU377" s="132"/>
      <c r="BV377" s="210"/>
      <c r="BW377" s="144"/>
      <c r="BX377" s="113"/>
      <c r="BY377" s="273"/>
      <c r="BZ377" s="273"/>
      <c r="CA377" s="132"/>
      <c r="CB377" s="274"/>
      <c r="CC377" s="144"/>
      <c r="CD377" s="274"/>
      <c r="CE377" s="132"/>
      <c r="CF377" s="132"/>
      <c r="CG377" s="36"/>
      <c r="CH377" s="210"/>
      <c r="CI377" s="219"/>
      <c r="CJ377" s="210"/>
      <c r="CK377" s="273"/>
      <c r="CL377" s="273"/>
      <c r="CM377" s="132"/>
      <c r="CN377" s="274"/>
      <c r="CO377" s="144"/>
      <c r="CP377" s="274"/>
      <c r="CQ377" s="132"/>
      <c r="CR377" s="132"/>
      <c r="CS377" s="132"/>
      <c r="CT377" s="274"/>
      <c r="CU377" s="144"/>
      <c r="CV377" s="274"/>
      <c r="CW377" s="132"/>
      <c r="CX377" s="132"/>
      <c r="CY377" s="132"/>
      <c r="CZ377" s="118"/>
      <c r="DA377" s="144"/>
      <c r="DB377" s="118"/>
      <c r="DC377" s="33"/>
      <c r="DD377" s="39"/>
      <c r="DE377" s="11"/>
      <c r="DF377" s="132"/>
      <c r="DG377" s="132"/>
      <c r="DH377" s="132"/>
      <c r="DI377" s="132"/>
      <c r="DJ377" s="132"/>
      <c r="DK377" s="132"/>
      <c r="DL377" s="132"/>
      <c r="DM377" s="132"/>
      <c r="DN377" s="132"/>
      <c r="DO377" s="132"/>
      <c r="DP377" s="132"/>
      <c r="DQ377" s="132"/>
      <c r="DR377" s="132"/>
      <c r="DS377" s="132"/>
      <c r="DT377" s="132"/>
      <c r="DU377" s="132"/>
      <c r="DV377" s="132"/>
      <c r="DW377" s="132"/>
      <c r="DX377" s="132"/>
      <c r="DY377" s="132"/>
      <c r="DZ377" s="132"/>
      <c r="EA377" s="132"/>
      <c r="EB377" s="132"/>
      <c r="EC377" s="132"/>
      <c r="ED377" s="132"/>
      <c r="EE377" s="132"/>
      <c r="EF377" s="132"/>
      <c r="EG377" s="132"/>
      <c r="EH377" s="132"/>
      <c r="EI377" s="132"/>
      <c r="EJ377" s="132"/>
      <c r="EK377" s="132"/>
      <c r="EL377" s="132"/>
      <c r="EM377" s="132"/>
      <c r="EN377" s="132"/>
      <c r="EO377" s="132"/>
      <c r="EP377" s="132"/>
      <c r="EQ377" s="132"/>
      <c r="ER377" s="132"/>
      <c r="ES377" s="132"/>
      <c r="ET377" s="11"/>
      <c r="EU377" s="11"/>
      <c r="EV377" s="11"/>
      <c r="EW377" s="11"/>
      <c r="EX377" s="11"/>
      <c r="EY377" s="11"/>
      <c r="EZ377" s="11"/>
      <c r="FA377" s="11"/>
      <c r="FB377" s="11"/>
      <c r="FC377" s="11"/>
      <c r="FD377" s="11"/>
      <c r="FE377" s="11"/>
      <c r="FF377" s="11"/>
      <c r="FG377" s="11"/>
      <c r="FH377" s="39">
        <f t="shared" si="85"/>
        <v>0</v>
      </c>
      <c r="FI377" s="33">
        <f t="shared" si="86"/>
        <v>0</v>
      </c>
      <c r="FJ377" s="84" t="str">
        <f t="shared" si="87"/>
        <v xml:space="preserve"> </v>
      </c>
    </row>
    <row r="378" spans="1:166" x14ac:dyDescent="0.25">
      <c r="A378" s="79" t="e">
        <f>#REF!</f>
        <v>#REF!</v>
      </c>
      <c r="B378" s="75" t="e">
        <f>#REF!</f>
        <v>#REF!</v>
      </c>
      <c r="C378" s="75" t="e">
        <f>#REF!</f>
        <v>#REF!</v>
      </c>
      <c r="D378" s="75" t="e">
        <f>#REF!</f>
        <v>#REF!</v>
      </c>
      <c r="E378" s="30">
        <v>1</v>
      </c>
      <c r="F378" s="238">
        <v>0</v>
      </c>
      <c r="G378" s="241">
        <v>0</v>
      </c>
      <c r="H378" s="249">
        <v>0</v>
      </c>
      <c r="I378" s="249">
        <v>0</v>
      </c>
      <c r="J378" s="249">
        <v>0</v>
      </c>
      <c r="K378" s="249">
        <v>0</v>
      </c>
      <c r="L378" s="274"/>
      <c r="M378" s="274"/>
      <c r="N378" s="245"/>
      <c r="O378" s="113"/>
      <c r="P378" s="113"/>
      <c r="Q378" s="131"/>
      <c r="R378" s="131"/>
      <c r="S378" s="64"/>
      <c r="T378" s="117"/>
      <c r="U378" s="117"/>
      <c r="V378" s="113"/>
      <c r="W378" s="12"/>
      <c r="X378" s="12"/>
      <c r="Y378" s="11"/>
      <c r="Z378" s="113"/>
      <c r="AA378" s="113"/>
      <c r="AB378" s="113"/>
      <c r="AC378" s="52"/>
      <c r="AD378" s="52"/>
      <c r="AE378" s="11"/>
      <c r="AF378" s="118"/>
      <c r="AG378" s="144"/>
      <c r="AH378" s="113"/>
      <c r="AI378" s="11"/>
      <c r="AJ378" s="11"/>
      <c r="AK378" s="11"/>
      <c r="AL378" s="113"/>
      <c r="AM378" s="113"/>
      <c r="AN378" s="113"/>
      <c r="AO378" s="76"/>
      <c r="AP378" s="11"/>
      <c r="AQ378" s="11"/>
      <c r="AR378" s="275"/>
      <c r="AS378" s="275"/>
      <c r="AT378" s="275"/>
      <c r="AU378" s="48"/>
      <c r="AV378" s="48"/>
      <c r="AW378" s="11"/>
      <c r="AX378" s="275"/>
      <c r="AY378" s="275"/>
      <c r="AZ378" s="275"/>
      <c r="BA378" s="11"/>
      <c r="BB378" s="11"/>
      <c r="BC378" s="11"/>
      <c r="BD378" s="274"/>
      <c r="BE378" s="143"/>
      <c r="BF378" s="143"/>
      <c r="BG378" s="132"/>
      <c r="BH378" s="11"/>
      <c r="BI378" s="132"/>
      <c r="BJ378" s="143"/>
      <c r="BK378" s="143"/>
      <c r="BL378" s="143"/>
      <c r="BM378" s="132"/>
      <c r="BN378" s="132"/>
      <c r="BO378" s="132"/>
      <c r="BP378" s="143"/>
      <c r="BQ378" s="132"/>
      <c r="BR378" s="132"/>
      <c r="BS378" s="132"/>
      <c r="BT378" s="132"/>
      <c r="BU378" s="132"/>
      <c r="BV378" s="210"/>
      <c r="BW378" s="144"/>
      <c r="BX378" s="113"/>
      <c r="BY378" s="273"/>
      <c r="BZ378" s="273"/>
      <c r="CA378" s="132"/>
      <c r="CB378" s="274"/>
      <c r="CC378" s="144"/>
      <c r="CD378" s="274"/>
      <c r="CE378" s="132"/>
      <c r="CF378" s="132"/>
      <c r="CG378" s="36"/>
      <c r="CH378" s="210"/>
      <c r="CI378" s="219"/>
      <c r="CJ378" s="210"/>
      <c r="CK378" s="273"/>
      <c r="CL378" s="273"/>
      <c r="CM378" s="132"/>
      <c r="CN378" s="274"/>
      <c r="CO378" s="144"/>
      <c r="CP378" s="274"/>
      <c r="CQ378" s="132"/>
      <c r="CR378" s="132"/>
      <c r="CS378" s="132"/>
      <c r="CT378" s="274"/>
      <c r="CU378" s="144"/>
      <c r="CV378" s="274"/>
      <c r="CW378" s="132"/>
      <c r="CX378" s="132"/>
      <c r="CY378" s="132"/>
      <c r="CZ378" s="118"/>
      <c r="DA378" s="144"/>
      <c r="DB378" s="118"/>
      <c r="DC378" s="33"/>
      <c r="DD378" s="39"/>
      <c r="DE378" s="11"/>
      <c r="DF378" s="132"/>
      <c r="DG378" s="132"/>
      <c r="DH378" s="132"/>
      <c r="DI378" s="132"/>
      <c r="DJ378" s="132"/>
      <c r="DK378" s="132"/>
      <c r="DL378" s="132"/>
      <c r="DM378" s="132"/>
      <c r="DN378" s="132"/>
      <c r="DO378" s="132"/>
      <c r="DP378" s="132"/>
      <c r="DQ378" s="132"/>
      <c r="DR378" s="132"/>
      <c r="DS378" s="132"/>
      <c r="DT378" s="132"/>
      <c r="DU378" s="132"/>
      <c r="DV378" s="132"/>
      <c r="DW378" s="132"/>
      <c r="DX378" s="132"/>
      <c r="DY378" s="132"/>
      <c r="DZ378" s="132"/>
      <c r="EA378" s="132"/>
      <c r="EB378" s="132"/>
      <c r="EC378" s="132"/>
      <c r="ED378" s="132"/>
      <c r="EE378" s="132"/>
      <c r="EF378" s="132"/>
      <c r="EG378" s="132"/>
      <c r="EH378" s="132"/>
      <c r="EI378" s="132"/>
      <c r="EJ378" s="132"/>
      <c r="EK378" s="132"/>
      <c r="EL378" s="132"/>
      <c r="EM378" s="132"/>
      <c r="EN378" s="132"/>
      <c r="EO378" s="132"/>
      <c r="EP378" s="132"/>
      <c r="EQ378" s="132"/>
      <c r="ER378" s="132"/>
      <c r="ES378" s="132"/>
      <c r="ET378" s="11"/>
      <c r="EU378" s="11"/>
      <c r="EV378" s="11"/>
      <c r="EW378" s="11"/>
      <c r="EX378" s="11"/>
      <c r="EY378" s="11"/>
      <c r="EZ378" s="11"/>
      <c r="FA378" s="11"/>
      <c r="FB378" s="11"/>
      <c r="FC378" s="11"/>
      <c r="FD378" s="11"/>
      <c r="FE378" s="11"/>
      <c r="FF378" s="11"/>
      <c r="FG378" s="11"/>
      <c r="FH378" s="39">
        <f t="shared" si="85"/>
        <v>0</v>
      </c>
      <c r="FI378" s="33">
        <f t="shared" si="86"/>
        <v>0</v>
      </c>
      <c r="FJ378" s="84" t="str">
        <f t="shared" si="87"/>
        <v xml:space="preserve"> </v>
      </c>
    </row>
    <row r="379" spans="1:166" x14ac:dyDescent="0.25">
      <c r="A379" s="79" t="e">
        <f>#REF!</f>
        <v>#REF!</v>
      </c>
      <c r="B379" s="75" t="e">
        <f>#REF!</f>
        <v>#REF!</v>
      </c>
      <c r="C379" s="75" t="e">
        <f>#REF!</f>
        <v>#REF!</v>
      </c>
      <c r="D379" s="75" t="e">
        <f>#REF!</f>
        <v>#REF!</v>
      </c>
      <c r="E379" s="30">
        <v>1</v>
      </c>
      <c r="F379" s="238">
        <v>0</v>
      </c>
      <c r="G379" s="241">
        <v>0</v>
      </c>
      <c r="H379" s="249">
        <v>0</v>
      </c>
      <c r="I379" s="249">
        <v>0</v>
      </c>
      <c r="J379" s="249">
        <v>0</v>
      </c>
      <c r="K379" s="249">
        <v>0</v>
      </c>
      <c r="L379" s="274"/>
      <c r="M379" s="274"/>
      <c r="N379" s="245"/>
      <c r="O379" s="113"/>
      <c r="P379" s="113"/>
      <c r="Q379" s="131"/>
      <c r="R379" s="131"/>
      <c r="S379" s="64"/>
      <c r="T379" s="117"/>
      <c r="U379" s="117"/>
      <c r="V379" s="113"/>
      <c r="W379" s="12"/>
      <c r="X379" s="12"/>
      <c r="Y379" s="11"/>
      <c r="Z379" s="113"/>
      <c r="AA379" s="113"/>
      <c r="AB379" s="113"/>
      <c r="AC379" s="52"/>
      <c r="AD379" s="52"/>
      <c r="AE379" s="11"/>
      <c r="AF379" s="118"/>
      <c r="AG379" s="144"/>
      <c r="AH379" s="113"/>
      <c r="AI379" s="11"/>
      <c r="AJ379" s="11"/>
      <c r="AK379" s="11"/>
      <c r="AL379" s="113"/>
      <c r="AM379" s="113"/>
      <c r="AN379" s="113"/>
      <c r="AO379" s="76"/>
      <c r="AP379" s="11"/>
      <c r="AQ379" s="11"/>
      <c r="AR379" s="275"/>
      <c r="AS379" s="275"/>
      <c r="AT379" s="275"/>
      <c r="AU379" s="48"/>
      <c r="AV379" s="48"/>
      <c r="AW379" s="11"/>
      <c r="AX379" s="275"/>
      <c r="AY379" s="275"/>
      <c r="AZ379" s="275"/>
      <c r="BA379" s="11"/>
      <c r="BB379" s="11"/>
      <c r="BC379" s="11"/>
      <c r="BD379" s="274"/>
      <c r="BE379" s="143"/>
      <c r="BF379" s="143"/>
      <c r="BG379" s="132"/>
      <c r="BH379" s="11"/>
      <c r="BI379" s="132"/>
      <c r="BJ379" s="143"/>
      <c r="BK379" s="143"/>
      <c r="BL379" s="143"/>
      <c r="BM379" s="132"/>
      <c r="BN379" s="132"/>
      <c r="BO379" s="132"/>
      <c r="BP379" s="143"/>
      <c r="BQ379" s="132"/>
      <c r="BR379" s="132"/>
      <c r="BS379" s="132"/>
      <c r="BT379" s="132"/>
      <c r="BU379" s="132"/>
      <c r="BV379" s="210"/>
      <c r="BW379" s="144"/>
      <c r="BX379" s="113"/>
      <c r="BY379" s="273"/>
      <c r="BZ379" s="273"/>
      <c r="CA379" s="132"/>
      <c r="CB379" s="274"/>
      <c r="CC379" s="144"/>
      <c r="CD379" s="274"/>
      <c r="CE379" s="132"/>
      <c r="CF379" s="132"/>
      <c r="CG379" s="36"/>
      <c r="CH379" s="210"/>
      <c r="CI379" s="219"/>
      <c r="CJ379" s="210"/>
      <c r="CK379" s="273"/>
      <c r="CL379" s="273"/>
      <c r="CM379" s="132"/>
      <c r="CN379" s="274"/>
      <c r="CO379" s="144"/>
      <c r="CP379" s="274"/>
      <c r="CQ379" s="132"/>
      <c r="CR379" s="132"/>
      <c r="CS379" s="132"/>
      <c r="CT379" s="274"/>
      <c r="CU379" s="144"/>
      <c r="CV379" s="274"/>
      <c r="CW379" s="132"/>
      <c r="CX379" s="132"/>
      <c r="CY379" s="132"/>
      <c r="CZ379" s="118"/>
      <c r="DA379" s="144"/>
      <c r="DB379" s="118"/>
      <c r="DC379" s="33"/>
      <c r="DD379" s="39"/>
      <c r="DE379" s="11"/>
      <c r="DF379" s="132"/>
      <c r="DG379" s="132"/>
      <c r="DH379" s="132"/>
      <c r="DI379" s="132"/>
      <c r="DJ379" s="132"/>
      <c r="DK379" s="132"/>
      <c r="DL379" s="132"/>
      <c r="DM379" s="132"/>
      <c r="DN379" s="132"/>
      <c r="DO379" s="132"/>
      <c r="DP379" s="132"/>
      <c r="DQ379" s="132"/>
      <c r="DR379" s="132"/>
      <c r="DS379" s="132"/>
      <c r="DT379" s="132"/>
      <c r="DU379" s="132"/>
      <c r="DV379" s="132"/>
      <c r="DW379" s="132"/>
      <c r="DX379" s="132"/>
      <c r="DY379" s="132"/>
      <c r="DZ379" s="132"/>
      <c r="EA379" s="132"/>
      <c r="EB379" s="132"/>
      <c r="EC379" s="132"/>
      <c r="ED379" s="132"/>
      <c r="EE379" s="132"/>
      <c r="EF379" s="132"/>
      <c r="EG379" s="132"/>
      <c r="EH379" s="132"/>
      <c r="EI379" s="132"/>
      <c r="EJ379" s="132"/>
      <c r="EK379" s="132"/>
      <c r="EL379" s="132"/>
      <c r="EM379" s="132"/>
      <c r="EN379" s="132"/>
      <c r="EO379" s="132"/>
      <c r="EP379" s="132"/>
      <c r="EQ379" s="132"/>
      <c r="ER379" s="132"/>
      <c r="ES379" s="132"/>
      <c r="ET379" s="11"/>
      <c r="EU379" s="11"/>
      <c r="EV379" s="11"/>
      <c r="EW379" s="11"/>
      <c r="EX379" s="11"/>
      <c r="EY379" s="11"/>
      <c r="EZ379" s="11"/>
      <c r="FA379" s="11"/>
      <c r="FB379" s="11"/>
      <c r="FC379" s="11"/>
      <c r="FD379" s="11"/>
      <c r="FE379" s="11"/>
      <c r="FF379" s="11"/>
      <c r="FG379" s="11"/>
      <c r="FH379" s="39">
        <f t="shared" si="85"/>
        <v>0</v>
      </c>
      <c r="FI379" s="33">
        <f t="shared" si="86"/>
        <v>0</v>
      </c>
      <c r="FJ379" s="84" t="str">
        <f t="shared" si="87"/>
        <v xml:space="preserve"> </v>
      </c>
    </row>
    <row r="380" spans="1:166" x14ac:dyDescent="0.25">
      <c r="A380" s="79" t="e">
        <f>#REF!</f>
        <v>#REF!</v>
      </c>
      <c r="B380" s="75" t="e">
        <f>#REF!</f>
        <v>#REF!</v>
      </c>
      <c r="C380" s="75" t="e">
        <f>#REF!</f>
        <v>#REF!</v>
      </c>
      <c r="D380" s="75" t="e">
        <f>#REF!</f>
        <v>#REF!</v>
      </c>
      <c r="E380" s="30">
        <v>1</v>
      </c>
      <c r="F380" s="238">
        <v>0</v>
      </c>
      <c r="G380" s="241">
        <v>0</v>
      </c>
      <c r="H380" s="249">
        <v>0</v>
      </c>
      <c r="I380" s="249">
        <v>0</v>
      </c>
      <c r="J380" s="249">
        <v>9996000</v>
      </c>
      <c r="K380" s="249">
        <v>0</v>
      </c>
      <c r="L380" s="274">
        <f>J380</f>
        <v>9996000</v>
      </c>
      <c r="M380" s="274"/>
      <c r="N380" s="245"/>
      <c r="O380" s="113"/>
      <c r="P380" s="113"/>
      <c r="Q380" s="131"/>
      <c r="R380" s="131"/>
      <c r="S380" s="64"/>
      <c r="T380" s="117"/>
      <c r="U380" s="117"/>
      <c r="V380" s="113"/>
      <c r="W380" s="12"/>
      <c r="X380" s="12"/>
      <c r="Y380" s="11"/>
      <c r="Z380" s="113"/>
      <c r="AA380" s="113"/>
      <c r="AB380" s="113"/>
      <c r="AC380" s="52"/>
      <c r="AD380" s="52"/>
      <c r="AE380" s="11"/>
      <c r="AF380" s="118"/>
      <c r="AG380" s="144"/>
      <c r="AH380" s="113"/>
      <c r="AI380" s="11"/>
      <c r="AJ380" s="11"/>
      <c r="AK380" s="11"/>
      <c r="AL380" s="113"/>
      <c r="AM380" s="113"/>
      <c r="AN380" s="113"/>
      <c r="AO380" s="76"/>
      <c r="AP380" s="11"/>
      <c r="AQ380" s="11"/>
      <c r="AR380" s="275"/>
      <c r="AS380" s="275"/>
      <c r="AT380" s="275"/>
      <c r="AU380" s="48"/>
      <c r="AV380" s="48"/>
      <c r="AW380" s="11"/>
      <c r="AX380" s="275"/>
      <c r="AY380" s="275"/>
      <c r="AZ380" s="275"/>
      <c r="BA380" s="11"/>
      <c r="BB380" s="11"/>
      <c r="BC380" s="11"/>
      <c r="BD380" s="274"/>
      <c r="BE380" s="143"/>
      <c r="BF380" s="143"/>
      <c r="BG380" s="132"/>
      <c r="BH380" s="11"/>
      <c r="BI380" s="132"/>
      <c r="BJ380" s="143"/>
      <c r="BK380" s="143"/>
      <c r="BL380" s="143"/>
      <c r="BM380" s="132"/>
      <c r="BN380" s="132"/>
      <c r="BO380" s="132"/>
      <c r="BP380" s="143"/>
      <c r="BQ380" s="132"/>
      <c r="BR380" s="132"/>
      <c r="BS380" s="132"/>
      <c r="BT380" s="132"/>
      <c r="BU380" s="132"/>
      <c r="BV380" s="210"/>
      <c r="BW380" s="144"/>
      <c r="BX380" s="113"/>
      <c r="BY380" s="273"/>
      <c r="BZ380" s="273"/>
      <c r="CA380" s="132"/>
      <c r="CB380" s="274"/>
      <c r="CC380" s="144"/>
      <c r="CD380" s="274"/>
      <c r="CE380" s="132"/>
      <c r="CF380" s="132"/>
      <c r="CG380" s="36"/>
      <c r="CH380" s="210"/>
      <c r="CI380" s="219"/>
      <c r="CJ380" s="210"/>
      <c r="CK380" s="273"/>
      <c r="CL380" s="273"/>
      <c r="CM380" s="132"/>
      <c r="CN380" s="274"/>
      <c r="CO380" s="144"/>
      <c r="CP380" s="274"/>
      <c r="CQ380" s="132"/>
      <c r="CR380" s="132"/>
      <c r="CS380" s="132"/>
      <c r="CT380" s="274"/>
      <c r="CU380" s="144"/>
      <c r="CV380" s="274"/>
      <c r="CW380" s="132"/>
      <c r="CX380" s="132"/>
      <c r="CY380" s="132"/>
      <c r="CZ380" s="118"/>
      <c r="DA380" s="144"/>
      <c r="DB380" s="118"/>
      <c r="DC380" s="33"/>
      <c r="DD380" s="39"/>
      <c r="DE380" s="11"/>
      <c r="DF380" s="132"/>
      <c r="DG380" s="132"/>
      <c r="DH380" s="132"/>
      <c r="DI380" s="132"/>
      <c r="DJ380" s="132"/>
      <c r="DK380" s="132"/>
      <c r="DL380" s="132"/>
      <c r="DM380" s="132"/>
      <c r="DN380" s="132"/>
      <c r="DO380" s="132"/>
      <c r="DP380" s="132"/>
      <c r="DQ380" s="132"/>
      <c r="DR380" s="132"/>
      <c r="DS380" s="132"/>
      <c r="DT380" s="132"/>
      <c r="DU380" s="132"/>
      <c r="DV380" s="132"/>
      <c r="DW380" s="132"/>
      <c r="DX380" s="132"/>
      <c r="DY380" s="132"/>
      <c r="DZ380" s="132"/>
      <c r="EA380" s="132"/>
      <c r="EB380" s="132"/>
      <c r="EC380" s="132"/>
      <c r="ED380" s="132"/>
      <c r="EE380" s="132"/>
      <c r="EF380" s="132"/>
      <c r="EG380" s="132"/>
      <c r="EH380" s="132"/>
      <c r="EI380" s="132"/>
      <c r="EJ380" s="132"/>
      <c r="EK380" s="132"/>
      <c r="EL380" s="132"/>
      <c r="EM380" s="132"/>
      <c r="EN380" s="132"/>
      <c r="EO380" s="132"/>
      <c r="EP380" s="132"/>
      <c r="EQ380" s="132"/>
      <c r="ER380" s="132"/>
      <c r="ES380" s="132"/>
      <c r="ET380" s="11"/>
      <c r="EU380" s="11"/>
      <c r="EV380" s="11"/>
      <c r="EW380" s="11"/>
      <c r="EX380" s="11"/>
      <c r="EY380" s="11"/>
      <c r="EZ380" s="11"/>
      <c r="FA380" s="11"/>
      <c r="FB380" s="11"/>
      <c r="FC380" s="11"/>
      <c r="FD380" s="11"/>
      <c r="FE380" s="11"/>
      <c r="FF380" s="11"/>
      <c r="FG380" s="11"/>
      <c r="FH380" s="39">
        <f t="shared" si="85"/>
        <v>0</v>
      </c>
      <c r="FI380" s="33">
        <f t="shared" si="86"/>
        <v>0</v>
      </c>
      <c r="FJ380" s="84" t="str">
        <f t="shared" si="87"/>
        <v xml:space="preserve"> </v>
      </c>
    </row>
    <row r="381" spans="1:166" x14ac:dyDescent="0.25">
      <c r="A381" s="79" t="e">
        <f>#REF!</f>
        <v>#REF!</v>
      </c>
      <c r="B381" s="75" t="e">
        <f>#REF!</f>
        <v>#REF!</v>
      </c>
      <c r="C381" s="75" t="e">
        <f>#REF!</f>
        <v>#REF!</v>
      </c>
      <c r="D381" s="75" t="e">
        <f>#REF!</f>
        <v>#REF!</v>
      </c>
      <c r="E381" s="30">
        <v>1</v>
      </c>
      <c r="F381" s="238">
        <v>0</v>
      </c>
      <c r="G381" s="241">
        <v>0</v>
      </c>
      <c r="H381" s="249">
        <v>0</v>
      </c>
      <c r="I381" s="249">
        <v>0</v>
      </c>
      <c r="J381" s="249">
        <v>0</v>
      </c>
      <c r="K381" s="249">
        <v>0</v>
      </c>
      <c r="L381" s="274"/>
      <c r="M381" s="274"/>
      <c r="N381" s="245"/>
      <c r="O381" s="113"/>
      <c r="P381" s="113"/>
      <c r="Q381" s="131"/>
      <c r="R381" s="131"/>
      <c r="S381" s="64"/>
      <c r="T381" s="117"/>
      <c r="U381" s="117"/>
      <c r="V381" s="113"/>
      <c r="W381" s="12"/>
      <c r="X381" s="12"/>
      <c r="Y381" s="11"/>
      <c r="Z381" s="113"/>
      <c r="AA381" s="113"/>
      <c r="AB381" s="113"/>
      <c r="AC381" s="52"/>
      <c r="AD381" s="52"/>
      <c r="AE381" s="11"/>
      <c r="AF381" s="118"/>
      <c r="AG381" s="144"/>
      <c r="AH381" s="113"/>
      <c r="AI381" s="11"/>
      <c r="AJ381" s="11"/>
      <c r="AK381" s="11"/>
      <c r="AL381" s="113"/>
      <c r="AM381" s="113"/>
      <c r="AN381" s="113"/>
      <c r="AO381" s="76"/>
      <c r="AP381" s="11"/>
      <c r="AQ381" s="11"/>
      <c r="AR381" s="275"/>
      <c r="AS381" s="275"/>
      <c r="AT381" s="275"/>
      <c r="AU381" s="48"/>
      <c r="AV381" s="48"/>
      <c r="AW381" s="11"/>
      <c r="AX381" s="275"/>
      <c r="AY381" s="275"/>
      <c r="AZ381" s="275"/>
      <c r="BA381" s="11"/>
      <c r="BB381" s="11"/>
      <c r="BC381" s="11"/>
      <c r="BD381" s="274"/>
      <c r="BE381" s="143"/>
      <c r="BF381" s="143"/>
      <c r="BG381" s="132"/>
      <c r="BH381" s="11"/>
      <c r="BI381" s="132"/>
      <c r="BJ381" s="143"/>
      <c r="BK381" s="143"/>
      <c r="BL381" s="143"/>
      <c r="BM381" s="132"/>
      <c r="BN381" s="132"/>
      <c r="BO381" s="132"/>
      <c r="BP381" s="143"/>
      <c r="BQ381" s="132"/>
      <c r="BR381" s="132"/>
      <c r="BS381" s="132"/>
      <c r="BT381" s="132"/>
      <c r="BU381" s="132"/>
      <c r="BV381" s="210"/>
      <c r="BW381" s="144"/>
      <c r="BX381" s="113"/>
      <c r="BY381" s="273"/>
      <c r="BZ381" s="273"/>
      <c r="CA381" s="132"/>
      <c r="CB381" s="274"/>
      <c r="CC381" s="144"/>
      <c r="CD381" s="274"/>
      <c r="CE381" s="132"/>
      <c r="CF381" s="132"/>
      <c r="CG381" s="36"/>
      <c r="CH381" s="210"/>
      <c r="CI381" s="219"/>
      <c r="CJ381" s="210"/>
      <c r="CK381" s="273"/>
      <c r="CL381" s="273"/>
      <c r="CM381" s="132"/>
      <c r="CN381" s="274"/>
      <c r="CO381" s="144"/>
      <c r="CP381" s="274"/>
      <c r="CQ381" s="132"/>
      <c r="CR381" s="132"/>
      <c r="CS381" s="132"/>
      <c r="CT381" s="274"/>
      <c r="CU381" s="144"/>
      <c r="CV381" s="274"/>
      <c r="CW381" s="132"/>
      <c r="CX381" s="132"/>
      <c r="CY381" s="132"/>
      <c r="CZ381" s="118"/>
      <c r="DA381" s="144"/>
      <c r="DB381" s="118"/>
      <c r="DC381" s="33"/>
      <c r="DD381" s="39"/>
      <c r="DE381" s="11"/>
      <c r="DF381" s="132"/>
      <c r="DG381" s="132"/>
      <c r="DH381" s="132"/>
      <c r="DI381" s="132"/>
      <c r="DJ381" s="132"/>
      <c r="DK381" s="132"/>
      <c r="DL381" s="132"/>
      <c r="DM381" s="132"/>
      <c r="DN381" s="132"/>
      <c r="DO381" s="132"/>
      <c r="DP381" s="132"/>
      <c r="DQ381" s="132"/>
      <c r="DR381" s="132"/>
      <c r="DS381" s="132"/>
      <c r="DT381" s="132"/>
      <c r="DU381" s="132"/>
      <c r="DV381" s="132"/>
      <c r="DW381" s="132"/>
      <c r="DX381" s="132"/>
      <c r="DY381" s="132"/>
      <c r="DZ381" s="132"/>
      <c r="EA381" s="132"/>
      <c r="EB381" s="132"/>
      <c r="EC381" s="132"/>
      <c r="ED381" s="132"/>
      <c r="EE381" s="132"/>
      <c r="EF381" s="132"/>
      <c r="EG381" s="132"/>
      <c r="EH381" s="132"/>
      <c r="EI381" s="132"/>
      <c r="EJ381" s="132"/>
      <c r="EK381" s="132"/>
      <c r="EL381" s="132"/>
      <c r="EM381" s="132"/>
      <c r="EN381" s="132"/>
      <c r="EO381" s="132"/>
      <c r="EP381" s="132"/>
      <c r="EQ381" s="132"/>
      <c r="ER381" s="132"/>
      <c r="ES381" s="132"/>
      <c r="ET381" s="11"/>
      <c r="EU381" s="11"/>
      <c r="EV381" s="11"/>
      <c r="EW381" s="11"/>
      <c r="EX381" s="11"/>
      <c r="EY381" s="11"/>
      <c r="EZ381" s="11"/>
      <c r="FA381" s="11"/>
      <c r="FB381" s="11"/>
      <c r="FC381" s="11"/>
      <c r="FD381" s="11"/>
      <c r="FE381" s="11"/>
      <c r="FF381" s="11"/>
      <c r="FG381" s="11"/>
      <c r="FH381" s="39">
        <f t="shared" si="85"/>
        <v>0</v>
      </c>
      <c r="FI381" s="33">
        <f t="shared" si="86"/>
        <v>0</v>
      </c>
      <c r="FJ381" s="84" t="str">
        <f t="shared" si="87"/>
        <v xml:space="preserve"> </v>
      </c>
    </row>
    <row r="382" spans="1:166" x14ac:dyDescent="0.25">
      <c r="A382" s="79" t="e">
        <f>#REF!</f>
        <v>#REF!</v>
      </c>
      <c r="B382" s="75" t="e">
        <f>#REF!</f>
        <v>#REF!</v>
      </c>
      <c r="C382" s="75" t="e">
        <f>#REF!</f>
        <v>#REF!</v>
      </c>
      <c r="D382" s="75" t="e">
        <f>#REF!</f>
        <v>#REF!</v>
      </c>
      <c r="E382" s="30">
        <v>1</v>
      </c>
      <c r="F382" s="238">
        <v>0</v>
      </c>
      <c r="G382" s="241">
        <v>0</v>
      </c>
      <c r="H382" s="249">
        <v>0</v>
      </c>
      <c r="I382" s="249">
        <v>0</v>
      </c>
      <c r="J382" s="249">
        <v>0</v>
      </c>
      <c r="K382" s="249">
        <v>0</v>
      </c>
      <c r="L382" s="274"/>
      <c r="M382" s="274"/>
      <c r="N382" s="245"/>
      <c r="O382" s="113"/>
      <c r="P382" s="113"/>
      <c r="Q382" s="131"/>
      <c r="R382" s="131"/>
      <c r="S382" s="64"/>
      <c r="T382" s="117"/>
      <c r="U382" s="117"/>
      <c r="V382" s="113"/>
      <c r="W382" s="12"/>
      <c r="X382" s="12"/>
      <c r="Y382" s="11"/>
      <c r="Z382" s="113"/>
      <c r="AA382" s="113"/>
      <c r="AB382" s="113"/>
      <c r="AC382" s="52"/>
      <c r="AD382" s="52"/>
      <c r="AE382" s="11"/>
      <c r="AF382" s="118"/>
      <c r="AG382" s="144"/>
      <c r="AH382" s="113"/>
      <c r="AI382" s="11"/>
      <c r="AJ382" s="11"/>
      <c r="AK382" s="11"/>
      <c r="AL382" s="113"/>
      <c r="AM382" s="113"/>
      <c r="AN382" s="113"/>
      <c r="AO382" s="76"/>
      <c r="AP382" s="11"/>
      <c r="AQ382" s="11"/>
      <c r="AR382" s="275"/>
      <c r="AS382" s="275"/>
      <c r="AT382" s="275"/>
      <c r="AU382" s="48"/>
      <c r="AV382" s="48"/>
      <c r="AW382" s="11"/>
      <c r="AX382" s="275"/>
      <c r="AY382" s="275"/>
      <c r="AZ382" s="275"/>
      <c r="BA382" s="11"/>
      <c r="BB382" s="11"/>
      <c r="BC382" s="11"/>
      <c r="BD382" s="274"/>
      <c r="BE382" s="143"/>
      <c r="BF382" s="143"/>
      <c r="BG382" s="132"/>
      <c r="BH382" s="11"/>
      <c r="BI382" s="132"/>
      <c r="BJ382" s="143"/>
      <c r="BK382" s="143"/>
      <c r="BL382" s="143"/>
      <c r="BM382" s="132"/>
      <c r="BN382" s="132"/>
      <c r="BO382" s="132"/>
      <c r="BP382" s="143"/>
      <c r="BQ382" s="132"/>
      <c r="BR382" s="132"/>
      <c r="BS382" s="132"/>
      <c r="BT382" s="132"/>
      <c r="BU382" s="132"/>
      <c r="BV382" s="210"/>
      <c r="BW382" s="144"/>
      <c r="BX382" s="113"/>
      <c r="BY382" s="273"/>
      <c r="BZ382" s="273"/>
      <c r="CA382" s="132"/>
      <c r="CB382" s="274"/>
      <c r="CC382" s="144"/>
      <c r="CD382" s="274"/>
      <c r="CE382" s="132"/>
      <c r="CF382" s="132"/>
      <c r="CG382" s="36"/>
      <c r="CH382" s="210"/>
      <c r="CI382" s="219"/>
      <c r="CJ382" s="210"/>
      <c r="CK382" s="273"/>
      <c r="CL382" s="273"/>
      <c r="CM382" s="132"/>
      <c r="CN382" s="274"/>
      <c r="CO382" s="144"/>
      <c r="CP382" s="274"/>
      <c r="CQ382" s="132"/>
      <c r="CR382" s="132"/>
      <c r="CS382" s="132"/>
      <c r="CT382" s="274"/>
      <c r="CU382" s="144"/>
      <c r="CV382" s="274"/>
      <c r="CW382" s="132"/>
      <c r="CX382" s="132"/>
      <c r="CY382" s="132"/>
      <c r="CZ382" s="118"/>
      <c r="DA382" s="144"/>
      <c r="DB382" s="118"/>
      <c r="DC382" s="33"/>
      <c r="DD382" s="39"/>
      <c r="DE382" s="11"/>
      <c r="DF382" s="132"/>
      <c r="DG382" s="132"/>
      <c r="DH382" s="132"/>
      <c r="DI382" s="132"/>
      <c r="DJ382" s="132"/>
      <c r="DK382" s="132"/>
      <c r="DL382" s="132"/>
      <c r="DM382" s="132"/>
      <c r="DN382" s="132"/>
      <c r="DO382" s="132"/>
      <c r="DP382" s="132"/>
      <c r="DQ382" s="132"/>
      <c r="DR382" s="132"/>
      <c r="DS382" s="132"/>
      <c r="DT382" s="132"/>
      <c r="DU382" s="132"/>
      <c r="DV382" s="132"/>
      <c r="DW382" s="132"/>
      <c r="DX382" s="132"/>
      <c r="DY382" s="132"/>
      <c r="DZ382" s="132"/>
      <c r="EA382" s="132"/>
      <c r="EB382" s="132"/>
      <c r="EC382" s="132"/>
      <c r="ED382" s="132"/>
      <c r="EE382" s="132"/>
      <c r="EF382" s="132"/>
      <c r="EG382" s="132"/>
      <c r="EH382" s="132"/>
      <c r="EI382" s="132"/>
      <c r="EJ382" s="132"/>
      <c r="EK382" s="132"/>
      <c r="EL382" s="132"/>
      <c r="EM382" s="132"/>
      <c r="EN382" s="132"/>
      <c r="EO382" s="132"/>
      <c r="EP382" s="132"/>
      <c r="EQ382" s="132"/>
      <c r="ER382" s="132"/>
      <c r="ES382" s="132"/>
      <c r="ET382" s="11"/>
      <c r="EU382" s="11"/>
      <c r="EV382" s="11"/>
      <c r="EW382" s="11"/>
      <c r="EX382" s="11"/>
      <c r="EY382" s="11"/>
      <c r="EZ382" s="11"/>
      <c r="FA382" s="11"/>
      <c r="FB382" s="11"/>
      <c r="FC382" s="11"/>
      <c r="FD382" s="11"/>
      <c r="FE382" s="11"/>
      <c r="FF382" s="11"/>
      <c r="FG382" s="11"/>
      <c r="FH382" s="39">
        <f t="shared" si="85"/>
        <v>0</v>
      </c>
      <c r="FI382" s="33">
        <f t="shared" si="86"/>
        <v>0</v>
      </c>
      <c r="FJ382" s="84" t="str">
        <f t="shared" si="87"/>
        <v xml:space="preserve"> </v>
      </c>
    </row>
    <row r="383" spans="1:166" x14ac:dyDescent="0.25">
      <c r="A383" s="79" t="e">
        <f>#REF!</f>
        <v>#REF!</v>
      </c>
      <c r="B383" s="75" t="e">
        <f>#REF!</f>
        <v>#REF!</v>
      </c>
      <c r="C383" s="75" t="e">
        <f>#REF!</f>
        <v>#REF!</v>
      </c>
      <c r="D383" s="75" t="e">
        <f>#REF!</f>
        <v>#REF!</v>
      </c>
      <c r="E383" s="30">
        <v>1</v>
      </c>
      <c r="F383" s="238">
        <v>0</v>
      </c>
      <c r="G383" s="241">
        <v>0</v>
      </c>
      <c r="H383" s="249">
        <v>0</v>
      </c>
      <c r="I383" s="249">
        <v>0</v>
      </c>
      <c r="J383" s="249">
        <v>0</v>
      </c>
      <c r="K383" s="249">
        <v>0</v>
      </c>
      <c r="L383" s="274"/>
      <c r="M383" s="274"/>
      <c r="N383" s="245"/>
      <c r="O383" s="113"/>
      <c r="P383" s="113"/>
      <c r="Q383" s="131"/>
      <c r="R383" s="131"/>
      <c r="S383" s="64"/>
      <c r="T383" s="117"/>
      <c r="U383" s="117"/>
      <c r="V383" s="113"/>
      <c r="W383" s="12"/>
      <c r="X383" s="12"/>
      <c r="Y383" s="11"/>
      <c r="Z383" s="113"/>
      <c r="AA383" s="113"/>
      <c r="AB383" s="113"/>
      <c r="AC383" s="52"/>
      <c r="AD383" s="52"/>
      <c r="AE383" s="11"/>
      <c r="AF383" s="118"/>
      <c r="AG383" s="144"/>
      <c r="AH383" s="113"/>
      <c r="AI383" s="11"/>
      <c r="AJ383" s="11"/>
      <c r="AK383" s="11"/>
      <c r="AL383" s="113"/>
      <c r="AM383" s="113"/>
      <c r="AN383" s="113"/>
      <c r="AO383" s="76"/>
      <c r="AP383" s="11"/>
      <c r="AQ383" s="11"/>
      <c r="AR383" s="275"/>
      <c r="AS383" s="275"/>
      <c r="AT383" s="275"/>
      <c r="AU383" s="48"/>
      <c r="AV383" s="48"/>
      <c r="AW383" s="11"/>
      <c r="AX383" s="275"/>
      <c r="AY383" s="275"/>
      <c r="AZ383" s="275"/>
      <c r="BA383" s="11"/>
      <c r="BB383" s="11"/>
      <c r="BC383" s="11"/>
      <c r="BD383" s="274"/>
      <c r="BE383" s="143"/>
      <c r="BF383" s="143"/>
      <c r="BG383" s="132"/>
      <c r="BH383" s="11"/>
      <c r="BI383" s="132"/>
      <c r="BJ383" s="143"/>
      <c r="BK383" s="143"/>
      <c r="BL383" s="143"/>
      <c r="BM383" s="132"/>
      <c r="BN383" s="132"/>
      <c r="BO383" s="132"/>
      <c r="BP383" s="143"/>
      <c r="BQ383" s="132"/>
      <c r="BR383" s="132"/>
      <c r="BS383" s="132"/>
      <c r="BT383" s="132"/>
      <c r="BU383" s="132"/>
      <c r="BV383" s="210"/>
      <c r="BW383" s="144"/>
      <c r="BX383" s="113"/>
      <c r="BY383" s="273"/>
      <c r="BZ383" s="273"/>
      <c r="CA383" s="132"/>
      <c r="CB383" s="274"/>
      <c r="CC383" s="144"/>
      <c r="CD383" s="274"/>
      <c r="CE383" s="132"/>
      <c r="CF383" s="132"/>
      <c r="CG383" s="36"/>
      <c r="CH383" s="210"/>
      <c r="CI383" s="219"/>
      <c r="CJ383" s="210"/>
      <c r="CK383" s="273"/>
      <c r="CL383" s="273"/>
      <c r="CM383" s="132"/>
      <c r="CN383" s="274"/>
      <c r="CO383" s="144"/>
      <c r="CP383" s="274"/>
      <c r="CQ383" s="132"/>
      <c r="CR383" s="132"/>
      <c r="CS383" s="132"/>
      <c r="CT383" s="274"/>
      <c r="CU383" s="144"/>
      <c r="CV383" s="274"/>
      <c r="CW383" s="132"/>
      <c r="CX383" s="132"/>
      <c r="CY383" s="132"/>
      <c r="CZ383" s="118"/>
      <c r="DA383" s="144"/>
      <c r="DB383" s="118"/>
      <c r="DC383" s="33"/>
      <c r="DD383" s="39"/>
      <c r="DE383" s="11"/>
      <c r="DF383" s="132"/>
      <c r="DG383" s="132"/>
      <c r="DH383" s="132"/>
      <c r="DI383" s="132"/>
      <c r="DJ383" s="132"/>
      <c r="DK383" s="132"/>
      <c r="DL383" s="132"/>
      <c r="DM383" s="132"/>
      <c r="DN383" s="132"/>
      <c r="DO383" s="132"/>
      <c r="DP383" s="132"/>
      <c r="DQ383" s="132"/>
      <c r="DR383" s="132"/>
      <c r="DS383" s="132"/>
      <c r="DT383" s="132"/>
      <c r="DU383" s="132"/>
      <c r="DV383" s="132"/>
      <c r="DW383" s="132"/>
      <c r="DX383" s="132"/>
      <c r="DY383" s="132"/>
      <c r="DZ383" s="132"/>
      <c r="EA383" s="132"/>
      <c r="EB383" s="132"/>
      <c r="EC383" s="132"/>
      <c r="ED383" s="132"/>
      <c r="EE383" s="132"/>
      <c r="EF383" s="132"/>
      <c r="EG383" s="132"/>
      <c r="EH383" s="132"/>
      <c r="EI383" s="132"/>
      <c r="EJ383" s="132"/>
      <c r="EK383" s="132"/>
      <c r="EL383" s="132"/>
      <c r="EM383" s="132"/>
      <c r="EN383" s="132"/>
      <c r="EO383" s="132"/>
      <c r="EP383" s="132"/>
      <c r="EQ383" s="132"/>
      <c r="ER383" s="132"/>
      <c r="ES383" s="132"/>
      <c r="ET383" s="11"/>
      <c r="EU383" s="11"/>
      <c r="EV383" s="11"/>
      <c r="EW383" s="11"/>
      <c r="EX383" s="11"/>
      <c r="EY383" s="11"/>
      <c r="EZ383" s="11"/>
      <c r="FA383" s="11"/>
      <c r="FB383" s="11"/>
      <c r="FC383" s="11"/>
      <c r="FD383" s="11"/>
      <c r="FE383" s="11"/>
      <c r="FF383" s="11"/>
      <c r="FG383" s="11"/>
      <c r="FH383" s="39">
        <f t="shared" si="85"/>
        <v>0</v>
      </c>
      <c r="FI383" s="33">
        <f t="shared" si="86"/>
        <v>0</v>
      </c>
      <c r="FJ383" s="84" t="str">
        <f t="shared" si="87"/>
        <v xml:space="preserve"> </v>
      </c>
    </row>
    <row r="384" spans="1:166" x14ac:dyDescent="0.25">
      <c r="A384" s="79" t="e">
        <f>#REF!</f>
        <v>#REF!</v>
      </c>
      <c r="B384" s="75" t="e">
        <f>#REF!</f>
        <v>#REF!</v>
      </c>
      <c r="C384" s="75" t="e">
        <f>#REF!</f>
        <v>#REF!</v>
      </c>
      <c r="D384" s="75" t="e">
        <f>#REF!</f>
        <v>#REF!</v>
      </c>
      <c r="E384" s="30">
        <v>1</v>
      </c>
      <c r="F384" s="238">
        <v>0</v>
      </c>
      <c r="G384" s="241">
        <v>0</v>
      </c>
      <c r="H384" s="249">
        <v>0</v>
      </c>
      <c r="I384" s="249">
        <v>0</v>
      </c>
      <c r="J384" s="249">
        <v>0</v>
      </c>
      <c r="K384" s="249">
        <v>0</v>
      </c>
      <c r="L384" s="274"/>
      <c r="M384" s="274"/>
      <c r="N384" s="245"/>
      <c r="O384" s="113"/>
      <c r="P384" s="113"/>
      <c r="Q384" s="131"/>
      <c r="R384" s="131"/>
      <c r="S384" s="64"/>
      <c r="T384" s="117"/>
      <c r="U384" s="117"/>
      <c r="V384" s="113"/>
      <c r="W384" s="12"/>
      <c r="X384" s="12"/>
      <c r="Y384" s="11"/>
      <c r="Z384" s="113"/>
      <c r="AA384" s="113"/>
      <c r="AB384" s="113"/>
      <c r="AC384" s="52"/>
      <c r="AD384" s="52"/>
      <c r="AE384" s="11"/>
      <c r="AF384" s="118"/>
      <c r="AG384" s="144"/>
      <c r="AH384" s="113"/>
      <c r="AI384" s="11"/>
      <c r="AJ384" s="11"/>
      <c r="AK384" s="11"/>
      <c r="AL384" s="113"/>
      <c r="AM384" s="113"/>
      <c r="AN384" s="113"/>
      <c r="AO384" s="76"/>
      <c r="AP384" s="11"/>
      <c r="AQ384" s="11"/>
      <c r="AR384" s="275"/>
      <c r="AS384" s="275"/>
      <c r="AT384" s="275"/>
      <c r="AU384" s="48"/>
      <c r="AV384" s="48"/>
      <c r="AW384" s="11"/>
      <c r="AX384" s="275"/>
      <c r="AY384" s="275"/>
      <c r="AZ384" s="275"/>
      <c r="BA384" s="11"/>
      <c r="BB384" s="11"/>
      <c r="BC384" s="11"/>
      <c r="BD384" s="274"/>
      <c r="BE384" s="143"/>
      <c r="BF384" s="143"/>
      <c r="BG384" s="132"/>
      <c r="BH384" s="11"/>
      <c r="BI384" s="132"/>
      <c r="BJ384" s="143"/>
      <c r="BK384" s="143"/>
      <c r="BL384" s="143"/>
      <c r="BM384" s="132"/>
      <c r="BN384" s="132"/>
      <c r="BO384" s="132"/>
      <c r="BP384" s="143"/>
      <c r="BQ384" s="132"/>
      <c r="BR384" s="132"/>
      <c r="BS384" s="132"/>
      <c r="BT384" s="132"/>
      <c r="BU384" s="132"/>
      <c r="BV384" s="210"/>
      <c r="BW384" s="144"/>
      <c r="BX384" s="113"/>
      <c r="BY384" s="273"/>
      <c r="BZ384" s="273"/>
      <c r="CA384" s="132"/>
      <c r="CB384" s="274"/>
      <c r="CC384" s="144"/>
      <c r="CD384" s="274"/>
      <c r="CE384" s="132"/>
      <c r="CF384" s="132"/>
      <c r="CG384" s="36"/>
      <c r="CH384" s="210"/>
      <c r="CI384" s="219"/>
      <c r="CJ384" s="210"/>
      <c r="CK384" s="273"/>
      <c r="CL384" s="273"/>
      <c r="CM384" s="132"/>
      <c r="CN384" s="274"/>
      <c r="CO384" s="144"/>
      <c r="CP384" s="274"/>
      <c r="CQ384" s="132"/>
      <c r="CR384" s="132"/>
      <c r="CS384" s="132"/>
      <c r="CT384" s="274"/>
      <c r="CU384" s="144"/>
      <c r="CV384" s="274"/>
      <c r="CW384" s="132"/>
      <c r="CX384" s="132"/>
      <c r="CY384" s="132"/>
      <c r="CZ384" s="118"/>
      <c r="DA384" s="144"/>
      <c r="DB384" s="118"/>
      <c r="DC384" s="33"/>
      <c r="DD384" s="39"/>
      <c r="DE384" s="11"/>
      <c r="DF384" s="132"/>
      <c r="DG384" s="132"/>
      <c r="DH384" s="132"/>
      <c r="DI384" s="132"/>
      <c r="DJ384" s="132"/>
      <c r="DK384" s="132"/>
      <c r="DL384" s="132"/>
      <c r="DM384" s="132"/>
      <c r="DN384" s="132"/>
      <c r="DO384" s="132"/>
      <c r="DP384" s="132"/>
      <c r="DQ384" s="132"/>
      <c r="DR384" s="132"/>
      <c r="DS384" s="132"/>
      <c r="DT384" s="132"/>
      <c r="DU384" s="132"/>
      <c r="DV384" s="132"/>
      <c r="DW384" s="132"/>
      <c r="DX384" s="132"/>
      <c r="DY384" s="132"/>
      <c r="DZ384" s="132"/>
      <c r="EA384" s="132"/>
      <c r="EB384" s="132"/>
      <c r="EC384" s="132"/>
      <c r="ED384" s="132"/>
      <c r="EE384" s="132"/>
      <c r="EF384" s="132"/>
      <c r="EG384" s="132"/>
      <c r="EH384" s="132"/>
      <c r="EI384" s="132"/>
      <c r="EJ384" s="132"/>
      <c r="EK384" s="132"/>
      <c r="EL384" s="132"/>
      <c r="EM384" s="132"/>
      <c r="EN384" s="132"/>
      <c r="EO384" s="132"/>
      <c r="EP384" s="132"/>
      <c r="EQ384" s="132"/>
      <c r="ER384" s="132"/>
      <c r="ES384" s="132"/>
      <c r="ET384" s="11"/>
      <c r="EU384" s="11"/>
      <c r="EV384" s="11"/>
      <c r="EW384" s="11"/>
      <c r="EX384" s="11"/>
      <c r="EY384" s="11"/>
      <c r="EZ384" s="11"/>
      <c r="FA384" s="11"/>
      <c r="FB384" s="11"/>
      <c r="FC384" s="11"/>
      <c r="FD384" s="11"/>
      <c r="FE384" s="11"/>
      <c r="FF384" s="11"/>
      <c r="FG384" s="11"/>
      <c r="FH384" s="39">
        <f t="shared" si="85"/>
        <v>0</v>
      </c>
      <c r="FI384" s="33">
        <f t="shared" si="86"/>
        <v>0</v>
      </c>
      <c r="FJ384" s="84" t="str">
        <f t="shared" si="87"/>
        <v xml:space="preserve"> </v>
      </c>
    </row>
    <row r="385" spans="1:166" x14ac:dyDescent="0.25">
      <c r="A385" s="79" t="e">
        <f>#REF!</f>
        <v>#REF!</v>
      </c>
      <c r="B385" s="75" t="e">
        <f>#REF!</f>
        <v>#REF!</v>
      </c>
      <c r="C385" s="75" t="e">
        <f>#REF!</f>
        <v>#REF!</v>
      </c>
      <c r="D385" s="75" t="e">
        <f>#REF!</f>
        <v>#REF!</v>
      </c>
      <c r="E385" s="30">
        <v>1</v>
      </c>
      <c r="F385" s="238">
        <v>0</v>
      </c>
      <c r="G385" s="241">
        <v>0</v>
      </c>
      <c r="H385" s="249">
        <v>0</v>
      </c>
      <c r="I385" s="249">
        <v>0</v>
      </c>
      <c r="J385" s="249">
        <v>9996000</v>
      </c>
      <c r="K385" s="249">
        <v>0</v>
      </c>
      <c r="L385" s="274">
        <f>J385</f>
        <v>9996000</v>
      </c>
      <c r="M385" s="274"/>
      <c r="N385" s="245"/>
      <c r="O385" s="113"/>
      <c r="P385" s="113"/>
      <c r="Q385" s="131"/>
      <c r="R385" s="131"/>
      <c r="S385" s="64"/>
      <c r="T385" s="117"/>
      <c r="U385" s="117"/>
      <c r="V385" s="113"/>
      <c r="W385" s="12"/>
      <c r="X385" s="12"/>
      <c r="Y385" s="11"/>
      <c r="Z385" s="113"/>
      <c r="AA385" s="113"/>
      <c r="AB385" s="113"/>
      <c r="AC385" s="52"/>
      <c r="AD385" s="52"/>
      <c r="AE385" s="11"/>
      <c r="AF385" s="118"/>
      <c r="AG385" s="144"/>
      <c r="AH385" s="113"/>
      <c r="AI385" s="11"/>
      <c r="AJ385" s="11"/>
      <c r="AK385" s="11"/>
      <c r="AL385" s="113"/>
      <c r="AM385" s="113"/>
      <c r="AN385" s="113"/>
      <c r="AO385" s="76"/>
      <c r="AP385" s="11"/>
      <c r="AQ385" s="11"/>
      <c r="AR385" s="275"/>
      <c r="AS385" s="275"/>
      <c r="AT385" s="275"/>
      <c r="AU385" s="48"/>
      <c r="AV385" s="48"/>
      <c r="AW385" s="11"/>
      <c r="AX385" s="275"/>
      <c r="AY385" s="275"/>
      <c r="AZ385" s="275"/>
      <c r="BA385" s="11"/>
      <c r="BB385" s="11"/>
      <c r="BC385" s="11"/>
      <c r="BD385" s="274"/>
      <c r="BE385" s="143"/>
      <c r="BF385" s="143"/>
      <c r="BG385" s="132"/>
      <c r="BH385" s="11"/>
      <c r="BI385" s="132"/>
      <c r="BJ385" s="143"/>
      <c r="BK385" s="143"/>
      <c r="BL385" s="143"/>
      <c r="BM385" s="132"/>
      <c r="BN385" s="132"/>
      <c r="BO385" s="132"/>
      <c r="BP385" s="143"/>
      <c r="BQ385" s="132"/>
      <c r="BR385" s="132"/>
      <c r="BS385" s="132"/>
      <c r="BT385" s="132"/>
      <c r="BU385" s="132"/>
      <c r="BV385" s="210"/>
      <c r="BW385" s="144"/>
      <c r="BX385" s="113"/>
      <c r="BY385" s="273"/>
      <c r="BZ385" s="273"/>
      <c r="CA385" s="132"/>
      <c r="CB385" s="274"/>
      <c r="CC385" s="144"/>
      <c r="CD385" s="274"/>
      <c r="CE385" s="132"/>
      <c r="CF385" s="132"/>
      <c r="CG385" s="36"/>
      <c r="CH385" s="210"/>
      <c r="CI385" s="219"/>
      <c r="CJ385" s="210"/>
      <c r="CK385" s="273"/>
      <c r="CL385" s="273"/>
      <c r="CM385" s="132"/>
      <c r="CN385" s="274"/>
      <c r="CO385" s="144"/>
      <c r="CP385" s="274"/>
      <c r="CQ385" s="132"/>
      <c r="CR385" s="132"/>
      <c r="CS385" s="132"/>
      <c r="CT385" s="274"/>
      <c r="CU385" s="144"/>
      <c r="CV385" s="274"/>
      <c r="CW385" s="132"/>
      <c r="CX385" s="132"/>
      <c r="CY385" s="132"/>
      <c r="CZ385" s="118"/>
      <c r="DA385" s="144"/>
      <c r="DB385" s="118"/>
      <c r="DC385" s="33"/>
      <c r="DD385" s="39"/>
      <c r="DE385" s="11"/>
      <c r="DF385" s="132"/>
      <c r="DG385" s="132"/>
      <c r="DH385" s="132"/>
      <c r="DI385" s="132"/>
      <c r="DJ385" s="132"/>
      <c r="DK385" s="132"/>
      <c r="DL385" s="132"/>
      <c r="DM385" s="132"/>
      <c r="DN385" s="132"/>
      <c r="DO385" s="132"/>
      <c r="DP385" s="132"/>
      <c r="DQ385" s="132"/>
      <c r="DR385" s="132"/>
      <c r="DS385" s="132"/>
      <c r="DT385" s="132"/>
      <c r="DU385" s="132"/>
      <c r="DV385" s="132"/>
      <c r="DW385" s="132"/>
      <c r="DX385" s="132"/>
      <c r="DY385" s="132"/>
      <c r="DZ385" s="132"/>
      <c r="EA385" s="132"/>
      <c r="EB385" s="132"/>
      <c r="EC385" s="132"/>
      <c r="ED385" s="132"/>
      <c r="EE385" s="132"/>
      <c r="EF385" s="132"/>
      <c r="EG385" s="132"/>
      <c r="EH385" s="132"/>
      <c r="EI385" s="132"/>
      <c r="EJ385" s="132"/>
      <c r="EK385" s="132"/>
      <c r="EL385" s="132"/>
      <c r="EM385" s="132"/>
      <c r="EN385" s="132"/>
      <c r="EO385" s="132"/>
      <c r="EP385" s="132"/>
      <c r="EQ385" s="132"/>
      <c r="ER385" s="132"/>
      <c r="ES385" s="132"/>
      <c r="ET385" s="11"/>
      <c r="EU385" s="11"/>
      <c r="EV385" s="11"/>
      <c r="EW385" s="11"/>
      <c r="EX385" s="11"/>
      <c r="EY385" s="11"/>
      <c r="EZ385" s="11"/>
      <c r="FA385" s="11"/>
      <c r="FB385" s="11"/>
      <c r="FC385" s="11"/>
      <c r="FD385" s="11"/>
      <c r="FE385" s="11"/>
      <c r="FF385" s="11"/>
      <c r="FG385" s="11"/>
      <c r="FH385" s="39">
        <f t="shared" si="85"/>
        <v>0</v>
      </c>
      <c r="FI385" s="33">
        <f t="shared" si="86"/>
        <v>0</v>
      </c>
      <c r="FJ385" s="84" t="str">
        <f t="shared" si="87"/>
        <v xml:space="preserve"> </v>
      </c>
    </row>
    <row r="386" spans="1:166" x14ac:dyDescent="0.25">
      <c r="A386" s="79" t="e">
        <f>#REF!</f>
        <v>#REF!</v>
      </c>
      <c r="B386" s="75" t="e">
        <f>#REF!</f>
        <v>#REF!</v>
      </c>
      <c r="C386" s="75" t="e">
        <f>#REF!</f>
        <v>#REF!</v>
      </c>
      <c r="D386" s="75" t="e">
        <f>#REF!</f>
        <v>#REF!</v>
      </c>
      <c r="E386" s="30">
        <v>1</v>
      </c>
      <c r="F386" s="238">
        <v>0</v>
      </c>
      <c r="G386" s="241">
        <v>0</v>
      </c>
      <c r="H386" s="249">
        <v>0</v>
      </c>
      <c r="I386" s="249">
        <v>0</v>
      </c>
      <c r="J386" s="249">
        <v>9996000</v>
      </c>
      <c r="K386" s="249">
        <v>0</v>
      </c>
      <c r="L386" s="274">
        <f>J386</f>
        <v>9996000</v>
      </c>
      <c r="M386" s="274"/>
      <c r="N386" s="245"/>
      <c r="O386" s="113"/>
      <c r="P386" s="113"/>
      <c r="Q386" s="131"/>
      <c r="R386" s="131"/>
      <c r="S386" s="64"/>
      <c r="T386" s="117"/>
      <c r="U386" s="117"/>
      <c r="V386" s="113"/>
      <c r="W386" s="12"/>
      <c r="X386" s="12"/>
      <c r="Y386" s="11"/>
      <c r="Z386" s="113"/>
      <c r="AA386" s="113"/>
      <c r="AB386" s="113"/>
      <c r="AC386" s="52"/>
      <c r="AD386" s="52"/>
      <c r="AE386" s="11"/>
      <c r="AF386" s="118"/>
      <c r="AG386" s="144"/>
      <c r="AH386" s="113"/>
      <c r="AI386" s="11"/>
      <c r="AJ386" s="11"/>
      <c r="AK386" s="11"/>
      <c r="AL386" s="113"/>
      <c r="AM386" s="113"/>
      <c r="AN386" s="113"/>
      <c r="AO386" s="76"/>
      <c r="AP386" s="11"/>
      <c r="AQ386" s="11"/>
      <c r="AR386" s="275"/>
      <c r="AS386" s="275"/>
      <c r="AT386" s="275"/>
      <c r="AU386" s="48"/>
      <c r="AV386" s="48"/>
      <c r="AW386" s="11"/>
      <c r="AX386" s="275"/>
      <c r="AY386" s="275"/>
      <c r="AZ386" s="275"/>
      <c r="BA386" s="11"/>
      <c r="BB386" s="11"/>
      <c r="BC386" s="11"/>
      <c r="BD386" s="274"/>
      <c r="BE386" s="143"/>
      <c r="BF386" s="143"/>
      <c r="BG386" s="132"/>
      <c r="BH386" s="11"/>
      <c r="BI386" s="132"/>
      <c r="BJ386" s="143"/>
      <c r="BK386" s="143"/>
      <c r="BL386" s="143"/>
      <c r="BM386" s="132"/>
      <c r="BN386" s="132"/>
      <c r="BO386" s="132"/>
      <c r="BP386" s="143"/>
      <c r="BQ386" s="132"/>
      <c r="BR386" s="132"/>
      <c r="BS386" s="132"/>
      <c r="BT386" s="132"/>
      <c r="BU386" s="132"/>
      <c r="BV386" s="210"/>
      <c r="BW386" s="144"/>
      <c r="BX386" s="113"/>
      <c r="BY386" s="273"/>
      <c r="BZ386" s="273"/>
      <c r="CA386" s="132"/>
      <c r="CB386" s="274"/>
      <c r="CC386" s="144"/>
      <c r="CD386" s="274"/>
      <c r="CE386" s="132"/>
      <c r="CF386" s="132"/>
      <c r="CG386" s="36"/>
      <c r="CH386" s="210"/>
      <c r="CI386" s="219"/>
      <c r="CJ386" s="210"/>
      <c r="CK386" s="273"/>
      <c r="CL386" s="273"/>
      <c r="CM386" s="132"/>
      <c r="CN386" s="274"/>
      <c r="CO386" s="144"/>
      <c r="CP386" s="274"/>
      <c r="CQ386" s="132"/>
      <c r="CR386" s="132"/>
      <c r="CS386" s="132"/>
      <c r="CT386" s="274"/>
      <c r="CU386" s="144"/>
      <c r="CV386" s="274"/>
      <c r="CW386" s="132"/>
      <c r="CX386" s="132"/>
      <c r="CY386" s="132"/>
      <c r="CZ386" s="118"/>
      <c r="DA386" s="144"/>
      <c r="DB386" s="118"/>
      <c r="DC386" s="33"/>
      <c r="DD386" s="39"/>
      <c r="DE386" s="11"/>
      <c r="DF386" s="132"/>
      <c r="DG386" s="132"/>
      <c r="DH386" s="132"/>
      <c r="DI386" s="132"/>
      <c r="DJ386" s="132"/>
      <c r="DK386" s="132"/>
      <c r="DL386" s="132"/>
      <c r="DM386" s="132"/>
      <c r="DN386" s="132"/>
      <c r="DO386" s="132"/>
      <c r="DP386" s="132"/>
      <c r="DQ386" s="132"/>
      <c r="DR386" s="132"/>
      <c r="DS386" s="132"/>
      <c r="DT386" s="132"/>
      <c r="DU386" s="132"/>
      <c r="DV386" s="132"/>
      <c r="DW386" s="132"/>
      <c r="DX386" s="132"/>
      <c r="DY386" s="132"/>
      <c r="DZ386" s="132"/>
      <c r="EA386" s="132"/>
      <c r="EB386" s="132"/>
      <c r="EC386" s="132"/>
      <c r="ED386" s="132"/>
      <c r="EE386" s="132"/>
      <c r="EF386" s="132"/>
      <c r="EG386" s="132"/>
      <c r="EH386" s="132"/>
      <c r="EI386" s="132"/>
      <c r="EJ386" s="132"/>
      <c r="EK386" s="132"/>
      <c r="EL386" s="132"/>
      <c r="EM386" s="132"/>
      <c r="EN386" s="132"/>
      <c r="EO386" s="132"/>
      <c r="EP386" s="132"/>
      <c r="EQ386" s="132"/>
      <c r="ER386" s="132"/>
      <c r="ES386" s="132"/>
      <c r="ET386" s="11"/>
      <c r="EU386" s="11"/>
      <c r="EV386" s="11"/>
      <c r="EW386" s="11"/>
      <c r="EX386" s="11"/>
      <c r="EY386" s="11"/>
      <c r="EZ386" s="11"/>
      <c r="FA386" s="11"/>
      <c r="FB386" s="11"/>
      <c r="FC386" s="11"/>
      <c r="FD386" s="11"/>
      <c r="FE386" s="11"/>
      <c r="FF386" s="11"/>
      <c r="FG386" s="11"/>
      <c r="FH386" s="39">
        <f t="shared" si="85"/>
        <v>0</v>
      </c>
      <c r="FI386" s="33">
        <f t="shared" si="86"/>
        <v>0</v>
      </c>
      <c r="FJ386" s="84" t="str">
        <f t="shared" si="87"/>
        <v xml:space="preserve"> </v>
      </c>
    </row>
    <row r="387" spans="1:166" x14ac:dyDescent="0.25">
      <c r="A387" s="79" t="e">
        <f>#REF!</f>
        <v>#REF!</v>
      </c>
      <c r="B387" s="75" t="e">
        <f>#REF!</f>
        <v>#REF!</v>
      </c>
      <c r="C387" s="75" t="e">
        <f>#REF!</f>
        <v>#REF!</v>
      </c>
      <c r="D387" s="75" t="e">
        <f>#REF!</f>
        <v>#REF!</v>
      </c>
      <c r="E387" s="30">
        <v>1</v>
      </c>
      <c r="F387" s="238">
        <v>0</v>
      </c>
      <c r="G387" s="241">
        <v>0</v>
      </c>
      <c r="H387" s="249">
        <v>0</v>
      </c>
      <c r="I387" s="249">
        <v>0</v>
      </c>
      <c r="J387" s="249">
        <v>0</v>
      </c>
      <c r="K387" s="249">
        <v>0</v>
      </c>
      <c r="L387" s="274"/>
      <c r="M387" s="274"/>
      <c r="N387" s="245"/>
      <c r="O387" s="113"/>
      <c r="P387" s="113"/>
      <c r="Q387" s="131"/>
      <c r="R387" s="131"/>
      <c r="S387" s="64"/>
      <c r="T387" s="117"/>
      <c r="U387" s="117"/>
      <c r="V387" s="113"/>
      <c r="W387" s="12"/>
      <c r="X387" s="12"/>
      <c r="Y387" s="11"/>
      <c r="Z387" s="113"/>
      <c r="AA387" s="113"/>
      <c r="AB387" s="113"/>
      <c r="AC387" s="52"/>
      <c r="AD387" s="52"/>
      <c r="AE387" s="11"/>
      <c r="AF387" s="118"/>
      <c r="AG387" s="144"/>
      <c r="AH387" s="113"/>
      <c r="AI387" s="11"/>
      <c r="AJ387" s="11"/>
      <c r="AK387" s="11"/>
      <c r="AL387" s="113"/>
      <c r="AM387" s="113"/>
      <c r="AN387" s="113"/>
      <c r="AO387" s="76"/>
      <c r="AP387" s="11"/>
      <c r="AQ387" s="11"/>
      <c r="AR387" s="275"/>
      <c r="AS387" s="275"/>
      <c r="AT387" s="275"/>
      <c r="AU387" s="48"/>
      <c r="AV387" s="48"/>
      <c r="AW387" s="11"/>
      <c r="AX387" s="275"/>
      <c r="AY387" s="275"/>
      <c r="AZ387" s="275"/>
      <c r="BA387" s="11"/>
      <c r="BB387" s="11"/>
      <c r="BC387" s="11"/>
      <c r="BD387" s="274"/>
      <c r="BE387" s="143"/>
      <c r="BF387" s="143"/>
      <c r="BG387" s="132"/>
      <c r="BH387" s="11"/>
      <c r="BI387" s="132"/>
      <c r="BJ387" s="143"/>
      <c r="BK387" s="143"/>
      <c r="BL387" s="143"/>
      <c r="BM387" s="132"/>
      <c r="BN387" s="132"/>
      <c r="BO387" s="132"/>
      <c r="BP387" s="143"/>
      <c r="BQ387" s="132"/>
      <c r="BR387" s="132"/>
      <c r="BS387" s="132"/>
      <c r="BT387" s="132"/>
      <c r="BU387" s="132"/>
      <c r="BV387" s="210"/>
      <c r="BW387" s="144"/>
      <c r="BX387" s="113"/>
      <c r="BY387" s="273"/>
      <c r="BZ387" s="273"/>
      <c r="CA387" s="132"/>
      <c r="CB387" s="274"/>
      <c r="CC387" s="144"/>
      <c r="CD387" s="274"/>
      <c r="CE387" s="132"/>
      <c r="CF387" s="132"/>
      <c r="CG387" s="36"/>
      <c r="CH387" s="210"/>
      <c r="CI387" s="219"/>
      <c r="CJ387" s="210"/>
      <c r="CK387" s="273"/>
      <c r="CL387" s="273"/>
      <c r="CM387" s="132"/>
      <c r="CN387" s="274"/>
      <c r="CO387" s="144"/>
      <c r="CP387" s="274"/>
      <c r="CQ387" s="132"/>
      <c r="CR387" s="132"/>
      <c r="CS387" s="132"/>
      <c r="CT387" s="274"/>
      <c r="CU387" s="144"/>
      <c r="CV387" s="274"/>
      <c r="CW387" s="132"/>
      <c r="CX387" s="132"/>
      <c r="CY387" s="132"/>
      <c r="CZ387" s="118"/>
      <c r="DA387" s="144"/>
      <c r="DB387" s="118"/>
      <c r="DC387" s="33"/>
      <c r="DD387" s="39"/>
      <c r="DE387" s="11"/>
      <c r="DF387" s="132"/>
      <c r="DG387" s="132"/>
      <c r="DH387" s="132"/>
      <c r="DI387" s="132"/>
      <c r="DJ387" s="132"/>
      <c r="DK387" s="132"/>
      <c r="DL387" s="132"/>
      <c r="DM387" s="132"/>
      <c r="DN387" s="132"/>
      <c r="DO387" s="132"/>
      <c r="DP387" s="132"/>
      <c r="DQ387" s="132"/>
      <c r="DR387" s="132"/>
      <c r="DS387" s="132"/>
      <c r="DT387" s="132"/>
      <c r="DU387" s="132"/>
      <c r="DV387" s="132"/>
      <c r="DW387" s="132"/>
      <c r="DX387" s="132"/>
      <c r="DY387" s="132"/>
      <c r="DZ387" s="132"/>
      <c r="EA387" s="132"/>
      <c r="EB387" s="132"/>
      <c r="EC387" s="132"/>
      <c r="ED387" s="132"/>
      <c r="EE387" s="132"/>
      <c r="EF387" s="132"/>
      <c r="EG387" s="132"/>
      <c r="EH387" s="132"/>
      <c r="EI387" s="132"/>
      <c r="EJ387" s="132"/>
      <c r="EK387" s="132"/>
      <c r="EL387" s="132"/>
      <c r="EM387" s="132"/>
      <c r="EN387" s="132"/>
      <c r="EO387" s="132"/>
      <c r="EP387" s="132"/>
      <c r="EQ387" s="132"/>
      <c r="ER387" s="132"/>
      <c r="ES387" s="132"/>
      <c r="ET387" s="11"/>
      <c r="EU387" s="11"/>
      <c r="EV387" s="11"/>
      <c r="EW387" s="11"/>
      <c r="EX387" s="11"/>
      <c r="EY387" s="11"/>
      <c r="EZ387" s="11"/>
      <c r="FA387" s="11"/>
      <c r="FB387" s="11"/>
      <c r="FC387" s="11"/>
      <c r="FD387" s="11"/>
      <c r="FE387" s="11"/>
      <c r="FF387" s="11"/>
      <c r="FG387" s="11"/>
      <c r="FH387" s="39">
        <f t="shared" ref="FH387:FH450" si="96">SUM(M387,P387,V387,AB387,AH387,AN387,AT387,AZ387,BF387,BL387,BR387,BX387,CD387,CJ387,CP387,CV387,DB387,DH387,DN387,DT387,DZ387,EF387,EL387,ER387,EX387,FD387)</f>
        <v>0</v>
      </c>
      <c r="FI387" s="33">
        <f t="shared" ref="FI387:FI450" si="97">COUNTA(M387,N387,T387,Z387,AF387,AL387,AR387,AX387,BD387,BJ387,BP387,BV387,CB387,CH387,CN387,CT387,CZ387,DF387,DL387,DR387,DX387,ED387,EJ387,EP387,EV387,FB387)</f>
        <v>0</v>
      </c>
      <c r="FJ387" s="84" t="str">
        <f t="shared" ref="FJ387:FJ450" si="98">IFERROR(FH387/FI387," ")</f>
        <v xml:space="preserve"> </v>
      </c>
    </row>
    <row r="388" spans="1:166" x14ac:dyDescent="0.25">
      <c r="A388" s="79" t="e">
        <f>#REF!</f>
        <v>#REF!</v>
      </c>
      <c r="B388" s="75" t="e">
        <f>#REF!</f>
        <v>#REF!</v>
      </c>
      <c r="C388" s="75" t="e">
        <f>#REF!</f>
        <v>#REF!</v>
      </c>
      <c r="D388" s="75" t="e">
        <f>#REF!</f>
        <v>#REF!</v>
      </c>
      <c r="E388" s="30">
        <v>1</v>
      </c>
      <c r="F388" s="238">
        <v>0</v>
      </c>
      <c r="G388" s="241">
        <v>0</v>
      </c>
      <c r="H388" s="249">
        <v>0</v>
      </c>
      <c r="I388" s="249">
        <v>0</v>
      </c>
      <c r="J388" s="249">
        <v>7854000</v>
      </c>
      <c r="K388" s="249">
        <v>0</v>
      </c>
      <c r="L388" s="274">
        <f>J388</f>
        <v>7854000</v>
      </c>
      <c r="M388" s="274"/>
      <c r="N388" s="245"/>
      <c r="O388" s="113"/>
      <c r="P388" s="113"/>
      <c r="Q388" s="131"/>
      <c r="R388" s="131"/>
      <c r="S388" s="64"/>
      <c r="T388" s="117"/>
      <c r="U388" s="117"/>
      <c r="V388" s="113"/>
      <c r="W388" s="12"/>
      <c r="X388" s="12"/>
      <c r="Y388" s="11"/>
      <c r="Z388" s="113"/>
      <c r="AA388" s="113"/>
      <c r="AB388" s="113"/>
      <c r="AC388" s="52"/>
      <c r="AD388" s="52"/>
      <c r="AE388" s="11"/>
      <c r="AF388" s="118"/>
      <c r="AG388" s="144"/>
      <c r="AH388" s="113"/>
      <c r="AI388" s="11"/>
      <c r="AJ388" s="11"/>
      <c r="AK388" s="11"/>
      <c r="AL388" s="113"/>
      <c r="AM388" s="113"/>
      <c r="AN388" s="113"/>
      <c r="AO388" s="76"/>
      <c r="AP388" s="11"/>
      <c r="AQ388" s="11"/>
      <c r="AR388" s="275"/>
      <c r="AS388" s="275"/>
      <c r="AT388" s="275"/>
      <c r="AU388" s="48"/>
      <c r="AV388" s="48"/>
      <c r="AW388" s="11"/>
      <c r="AX388" s="275"/>
      <c r="AY388" s="275"/>
      <c r="AZ388" s="275"/>
      <c r="BA388" s="11"/>
      <c r="BB388" s="11"/>
      <c r="BC388" s="11"/>
      <c r="BD388" s="274"/>
      <c r="BE388" s="143"/>
      <c r="BF388" s="143"/>
      <c r="BG388" s="132"/>
      <c r="BH388" s="11"/>
      <c r="BI388" s="132"/>
      <c r="BJ388" s="143"/>
      <c r="BK388" s="143"/>
      <c r="BL388" s="143"/>
      <c r="BM388" s="132"/>
      <c r="BN388" s="132"/>
      <c r="BO388" s="132"/>
      <c r="BP388" s="143"/>
      <c r="BQ388" s="132"/>
      <c r="BR388" s="132"/>
      <c r="BS388" s="132"/>
      <c r="BT388" s="132"/>
      <c r="BU388" s="132"/>
      <c r="BV388" s="210"/>
      <c r="BW388" s="144"/>
      <c r="BX388" s="113"/>
      <c r="BY388" s="273"/>
      <c r="BZ388" s="273"/>
      <c r="CA388" s="132"/>
      <c r="CB388" s="274"/>
      <c r="CC388" s="144"/>
      <c r="CD388" s="274"/>
      <c r="CE388" s="132"/>
      <c r="CF388" s="132"/>
      <c r="CG388" s="36"/>
      <c r="CH388" s="210"/>
      <c r="CI388" s="219"/>
      <c r="CJ388" s="210"/>
      <c r="CK388" s="273"/>
      <c r="CL388" s="273"/>
      <c r="CM388" s="132"/>
      <c r="CN388" s="274"/>
      <c r="CO388" s="144"/>
      <c r="CP388" s="274"/>
      <c r="CQ388" s="132"/>
      <c r="CR388" s="132"/>
      <c r="CS388" s="132"/>
      <c r="CT388" s="274"/>
      <c r="CU388" s="144"/>
      <c r="CV388" s="274"/>
      <c r="CW388" s="132"/>
      <c r="CX388" s="132"/>
      <c r="CY388" s="132"/>
      <c r="CZ388" s="118"/>
      <c r="DA388" s="144"/>
      <c r="DB388" s="118"/>
      <c r="DC388" s="33"/>
      <c r="DD388" s="39"/>
      <c r="DE388" s="11"/>
      <c r="DF388" s="132"/>
      <c r="DG388" s="132"/>
      <c r="DH388" s="132"/>
      <c r="DI388" s="132"/>
      <c r="DJ388" s="132"/>
      <c r="DK388" s="132"/>
      <c r="DL388" s="132"/>
      <c r="DM388" s="132"/>
      <c r="DN388" s="132"/>
      <c r="DO388" s="132"/>
      <c r="DP388" s="132"/>
      <c r="DQ388" s="132"/>
      <c r="DR388" s="132"/>
      <c r="DS388" s="132"/>
      <c r="DT388" s="132"/>
      <c r="DU388" s="132"/>
      <c r="DV388" s="132"/>
      <c r="DW388" s="132"/>
      <c r="DX388" s="132"/>
      <c r="DY388" s="132"/>
      <c r="DZ388" s="132"/>
      <c r="EA388" s="132"/>
      <c r="EB388" s="132"/>
      <c r="EC388" s="132"/>
      <c r="ED388" s="132"/>
      <c r="EE388" s="132"/>
      <c r="EF388" s="132"/>
      <c r="EG388" s="132"/>
      <c r="EH388" s="132"/>
      <c r="EI388" s="132"/>
      <c r="EJ388" s="132"/>
      <c r="EK388" s="132"/>
      <c r="EL388" s="132"/>
      <c r="EM388" s="132"/>
      <c r="EN388" s="132"/>
      <c r="EO388" s="132"/>
      <c r="EP388" s="132"/>
      <c r="EQ388" s="132"/>
      <c r="ER388" s="132"/>
      <c r="ES388" s="132"/>
      <c r="ET388" s="11"/>
      <c r="EU388" s="11"/>
      <c r="EV388" s="11"/>
      <c r="EW388" s="11"/>
      <c r="EX388" s="11"/>
      <c r="EY388" s="11"/>
      <c r="EZ388" s="11"/>
      <c r="FA388" s="11"/>
      <c r="FB388" s="11"/>
      <c r="FC388" s="11"/>
      <c r="FD388" s="11"/>
      <c r="FE388" s="11"/>
      <c r="FF388" s="11"/>
      <c r="FG388" s="11"/>
      <c r="FH388" s="39">
        <f t="shared" si="96"/>
        <v>0</v>
      </c>
      <c r="FI388" s="33">
        <f t="shared" si="97"/>
        <v>0</v>
      </c>
      <c r="FJ388" s="84" t="str">
        <f t="shared" si="98"/>
        <v xml:space="preserve"> </v>
      </c>
    </row>
    <row r="389" spans="1:166" x14ac:dyDescent="0.25">
      <c r="A389" s="79" t="e">
        <f>#REF!</f>
        <v>#REF!</v>
      </c>
      <c r="B389" s="75" t="e">
        <f>#REF!</f>
        <v>#REF!</v>
      </c>
      <c r="C389" s="75" t="e">
        <f>#REF!</f>
        <v>#REF!</v>
      </c>
      <c r="D389" s="75" t="e">
        <f>#REF!</f>
        <v>#REF!</v>
      </c>
      <c r="E389" s="30">
        <v>1</v>
      </c>
      <c r="F389" s="238">
        <v>0</v>
      </c>
      <c r="G389" s="241">
        <v>0</v>
      </c>
      <c r="H389" s="249">
        <v>0</v>
      </c>
      <c r="I389" s="249">
        <v>0</v>
      </c>
      <c r="J389" s="249">
        <v>7854000</v>
      </c>
      <c r="K389" s="249">
        <v>0</v>
      </c>
      <c r="L389" s="274">
        <f>J389</f>
        <v>7854000</v>
      </c>
      <c r="M389" s="274"/>
      <c r="N389" s="245"/>
      <c r="O389" s="113"/>
      <c r="P389" s="113"/>
      <c r="Q389" s="131"/>
      <c r="R389" s="131"/>
      <c r="S389" s="64"/>
      <c r="T389" s="117"/>
      <c r="U389" s="117"/>
      <c r="V389" s="113"/>
      <c r="W389" s="12"/>
      <c r="X389" s="12"/>
      <c r="Y389" s="11"/>
      <c r="Z389" s="113"/>
      <c r="AA389" s="113"/>
      <c r="AB389" s="113"/>
      <c r="AC389" s="52"/>
      <c r="AD389" s="52"/>
      <c r="AE389" s="11"/>
      <c r="AF389" s="118"/>
      <c r="AG389" s="144"/>
      <c r="AH389" s="113"/>
      <c r="AI389" s="11"/>
      <c r="AJ389" s="11"/>
      <c r="AK389" s="11"/>
      <c r="AL389" s="113"/>
      <c r="AM389" s="113"/>
      <c r="AN389" s="113"/>
      <c r="AO389" s="76"/>
      <c r="AP389" s="11"/>
      <c r="AQ389" s="11"/>
      <c r="AR389" s="275"/>
      <c r="AS389" s="275"/>
      <c r="AT389" s="275"/>
      <c r="AU389" s="48"/>
      <c r="AV389" s="48"/>
      <c r="AW389" s="11"/>
      <c r="AX389" s="275"/>
      <c r="AY389" s="275"/>
      <c r="AZ389" s="275"/>
      <c r="BA389" s="11"/>
      <c r="BB389" s="11"/>
      <c r="BC389" s="11"/>
      <c r="BD389" s="274"/>
      <c r="BE389" s="143"/>
      <c r="BF389" s="143"/>
      <c r="BG389" s="132"/>
      <c r="BH389" s="11"/>
      <c r="BI389" s="132"/>
      <c r="BJ389" s="143"/>
      <c r="BK389" s="143"/>
      <c r="BL389" s="143"/>
      <c r="BM389" s="132"/>
      <c r="BN389" s="132"/>
      <c r="BO389" s="132"/>
      <c r="BP389" s="143"/>
      <c r="BQ389" s="132"/>
      <c r="BR389" s="132"/>
      <c r="BS389" s="132"/>
      <c r="BT389" s="132"/>
      <c r="BU389" s="132"/>
      <c r="BV389" s="210"/>
      <c r="BW389" s="144"/>
      <c r="BX389" s="113"/>
      <c r="BY389" s="273"/>
      <c r="BZ389" s="273"/>
      <c r="CA389" s="132"/>
      <c r="CB389" s="274"/>
      <c r="CC389" s="144"/>
      <c r="CD389" s="274"/>
      <c r="CE389" s="132"/>
      <c r="CF389" s="132"/>
      <c r="CG389" s="36"/>
      <c r="CH389" s="210"/>
      <c r="CI389" s="219"/>
      <c r="CJ389" s="210"/>
      <c r="CK389" s="273"/>
      <c r="CL389" s="273"/>
      <c r="CM389" s="132"/>
      <c r="CN389" s="274"/>
      <c r="CO389" s="144"/>
      <c r="CP389" s="274"/>
      <c r="CQ389" s="132"/>
      <c r="CR389" s="132"/>
      <c r="CS389" s="132"/>
      <c r="CT389" s="274"/>
      <c r="CU389" s="144"/>
      <c r="CV389" s="274"/>
      <c r="CW389" s="132"/>
      <c r="CX389" s="132"/>
      <c r="CY389" s="132"/>
      <c r="CZ389" s="118"/>
      <c r="DA389" s="144"/>
      <c r="DB389" s="118"/>
      <c r="DC389" s="33"/>
      <c r="DD389" s="39"/>
      <c r="DE389" s="11"/>
      <c r="DF389" s="132"/>
      <c r="DG389" s="132"/>
      <c r="DH389" s="132"/>
      <c r="DI389" s="132"/>
      <c r="DJ389" s="132"/>
      <c r="DK389" s="132"/>
      <c r="DL389" s="132"/>
      <c r="DM389" s="132"/>
      <c r="DN389" s="132"/>
      <c r="DO389" s="132"/>
      <c r="DP389" s="132"/>
      <c r="DQ389" s="132"/>
      <c r="DR389" s="132"/>
      <c r="DS389" s="132"/>
      <c r="DT389" s="132"/>
      <c r="DU389" s="132"/>
      <c r="DV389" s="132"/>
      <c r="DW389" s="132"/>
      <c r="DX389" s="132"/>
      <c r="DY389" s="132"/>
      <c r="DZ389" s="132"/>
      <c r="EA389" s="132"/>
      <c r="EB389" s="132"/>
      <c r="EC389" s="132"/>
      <c r="ED389" s="132"/>
      <c r="EE389" s="132"/>
      <c r="EF389" s="132"/>
      <c r="EG389" s="132"/>
      <c r="EH389" s="132"/>
      <c r="EI389" s="132"/>
      <c r="EJ389" s="132"/>
      <c r="EK389" s="132"/>
      <c r="EL389" s="132"/>
      <c r="EM389" s="132"/>
      <c r="EN389" s="132"/>
      <c r="EO389" s="132"/>
      <c r="EP389" s="132"/>
      <c r="EQ389" s="132"/>
      <c r="ER389" s="132"/>
      <c r="ES389" s="132"/>
      <c r="ET389" s="11"/>
      <c r="EU389" s="11"/>
      <c r="EV389" s="11"/>
      <c r="EW389" s="11"/>
      <c r="EX389" s="11"/>
      <c r="EY389" s="11"/>
      <c r="EZ389" s="11"/>
      <c r="FA389" s="11"/>
      <c r="FB389" s="11"/>
      <c r="FC389" s="11"/>
      <c r="FD389" s="11"/>
      <c r="FE389" s="11"/>
      <c r="FF389" s="11"/>
      <c r="FG389" s="11"/>
      <c r="FH389" s="39">
        <f t="shared" si="96"/>
        <v>0</v>
      </c>
      <c r="FI389" s="33">
        <f t="shared" si="97"/>
        <v>0</v>
      </c>
      <c r="FJ389" s="84" t="str">
        <f t="shared" si="98"/>
        <v xml:space="preserve"> </v>
      </c>
    </row>
    <row r="390" spans="1:166" x14ac:dyDescent="0.25">
      <c r="A390" s="79" t="e">
        <f>#REF!</f>
        <v>#REF!</v>
      </c>
      <c r="B390" s="75" t="e">
        <f>#REF!</f>
        <v>#REF!</v>
      </c>
      <c r="C390" s="75" t="e">
        <f>#REF!</f>
        <v>#REF!</v>
      </c>
      <c r="D390" s="75" t="e">
        <f>#REF!</f>
        <v>#REF!</v>
      </c>
      <c r="E390" s="30">
        <v>1</v>
      </c>
      <c r="F390" s="238">
        <v>0</v>
      </c>
      <c r="G390" s="241">
        <v>0</v>
      </c>
      <c r="H390" s="249">
        <v>0</v>
      </c>
      <c r="I390" s="249">
        <v>0</v>
      </c>
      <c r="J390" s="249">
        <v>7854000</v>
      </c>
      <c r="K390" s="249">
        <v>0</v>
      </c>
      <c r="L390" s="274">
        <f>J390</f>
        <v>7854000</v>
      </c>
      <c r="M390" s="274"/>
      <c r="N390" s="245"/>
      <c r="O390" s="113"/>
      <c r="P390" s="113"/>
      <c r="Q390" s="131"/>
      <c r="R390" s="131"/>
      <c r="S390" s="64"/>
      <c r="T390" s="113"/>
      <c r="U390" s="113"/>
      <c r="V390" s="113"/>
      <c r="W390" s="131"/>
      <c r="X390" s="131"/>
      <c r="Y390" s="46"/>
      <c r="Z390" s="143"/>
      <c r="AA390" s="113"/>
      <c r="AB390" s="113"/>
      <c r="AC390" s="131"/>
      <c r="AD390" s="52"/>
      <c r="AE390" s="11"/>
      <c r="AF390" s="118"/>
      <c r="AG390" s="144"/>
      <c r="AH390" s="113"/>
      <c r="AI390" s="11"/>
      <c r="AJ390" s="11"/>
      <c r="AK390" s="39"/>
      <c r="AL390" s="113"/>
      <c r="AM390" s="113"/>
      <c r="AN390" s="117"/>
      <c r="AO390" s="76"/>
      <c r="AP390" s="39"/>
      <c r="AQ390" s="39"/>
      <c r="AR390" s="275"/>
      <c r="AS390" s="156"/>
      <c r="AT390" s="157"/>
      <c r="AU390" s="62"/>
      <c r="AV390" s="62"/>
      <c r="AW390" s="31"/>
      <c r="AX390" s="116"/>
      <c r="AY390" s="194"/>
      <c r="AZ390" s="143"/>
      <c r="BA390" s="191"/>
      <c r="BB390" s="132"/>
      <c r="BC390" s="132"/>
      <c r="BD390" s="274"/>
      <c r="BE390" s="143"/>
      <c r="BF390" s="143"/>
      <c r="BG390" s="132"/>
      <c r="BH390" s="132"/>
      <c r="BI390" s="132"/>
      <c r="BJ390" s="143"/>
      <c r="BK390" s="143"/>
      <c r="BL390" s="143"/>
      <c r="BM390" s="132"/>
      <c r="BN390" s="132"/>
      <c r="BO390" s="132"/>
      <c r="BP390" s="143"/>
      <c r="BQ390" s="132"/>
      <c r="BR390" s="132"/>
      <c r="BS390" s="132"/>
      <c r="BT390" s="132"/>
      <c r="BU390" s="132"/>
      <c r="BV390" s="210"/>
      <c r="BW390" s="144"/>
      <c r="BX390" s="113"/>
      <c r="BY390" s="273"/>
      <c r="BZ390" s="273"/>
      <c r="CA390" s="132"/>
      <c r="CB390" s="274"/>
      <c r="CC390" s="144"/>
      <c r="CD390" s="274"/>
      <c r="CE390" s="132"/>
      <c r="CF390" s="132"/>
      <c r="CG390" s="36"/>
      <c r="CH390" s="210"/>
      <c r="CI390" s="219"/>
      <c r="CJ390" s="210"/>
      <c r="CK390" s="273"/>
      <c r="CL390" s="273"/>
      <c r="CM390" s="132"/>
      <c r="CN390" s="274"/>
      <c r="CO390" s="144"/>
      <c r="CP390" s="274"/>
      <c r="CQ390" s="132"/>
      <c r="CR390" s="132"/>
      <c r="CS390" s="132"/>
      <c r="CT390" s="274"/>
      <c r="CU390" s="144"/>
      <c r="CV390" s="274"/>
      <c r="CW390" s="132"/>
      <c r="CX390" s="132"/>
      <c r="CY390" s="132"/>
      <c r="CZ390" s="118"/>
      <c r="DA390" s="144"/>
      <c r="DB390" s="118"/>
      <c r="DC390" s="33"/>
      <c r="DD390" s="39"/>
      <c r="DE390" s="11"/>
      <c r="DF390" s="132"/>
      <c r="DG390" s="132"/>
      <c r="DH390" s="132"/>
      <c r="DI390" s="132"/>
      <c r="DJ390" s="132"/>
      <c r="DK390" s="132"/>
      <c r="DL390" s="132"/>
      <c r="DM390" s="132"/>
      <c r="DN390" s="132"/>
      <c r="DO390" s="132"/>
      <c r="DP390" s="132"/>
      <c r="DQ390" s="132"/>
      <c r="DR390" s="132"/>
      <c r="DS390" s="132"/>
      <c r="DT390" s="132"/>
      <c r="DU390" s="132"/>
      <c r="DV390" s="132"/>
      <c r="DW390" s="132"/>
      <c r="DX390" s="132"/>
      <c r="DY390" s="132"/>
      <c r="DZ390" s="132"/>
      <c r="EA390" s="132"/>
      <c r="EB390" s="132"/>
      <c r="EC390" s="132"/>
      <c r="ED390" s="132"/>
      <c r="EE390" s="132"/>
      <c r="EF390" s="132"/>
      <c r="EG390" s="132"/>
      <c r="EH390" s="132"/>
      <c r="EI390" s="132"/>
      <c r="EJ390" s="132"/>
      <c r="EK390" s="132"/>
      <c r="EL390" s="132"/>
      <c r="EM390" s="132"/>
      <c r="EN390" s="132"/>
      <c r="EO390" s="132"/>
      <c r="EP390" s="132"/>
      <c r="EQ390" s="132"/>
      <c r="ER390" s="132"/>
      <c r="ES390" s="132"/>
      <c r="ET390" s="11"/>
      <c r="EU390" s="11"/>
      <c r="EV390" s="11"/>
      <c r="EW390" s="11"/>
      <c r="EX390" s="11"/>
      <c r="EY390" s="11"/>
      <c r="EZ390" s="11"/>
      <c r="FA390" s="11"/>
      <c r="FB390" s="11"/>
      <c r="FC390" s="11"/>
      <c r="FD390" s="11"/>
      <c r="FE390" s="11"/>
      <c r="FF390" s="11"/>
      <c r="FG390" s="11"/>
      <c r="FH390" s="39">
        <f t="shared" si="96"/>
        <v>0</v>
      </c>
      <c r="FI390" s="33">
        <f t="shared" si="97"/>
        <v>0</v>
      </c>
      <c r="FJ390" s="84" t="str">
        <f t="shared" si="98"/>
        <v xml:space="preserve"> </v>
      </c>
    </row>
    <row r="391" spans="1:166" x14ac:dyDescent="0.25">
      <c r="A391" s="79" t="e">
        <f>#REF!</f>
        <v>#REF!</v>
      </c>
      <c r="B391" s="75" t="e">
        <f>#REF!</f>
        <v>#REF!</v>
      </c>
      <c r="C391" s="75" t="e">
        <f>#REF!</f>
        <v>#REF!</v>
      </c>
      <c r="D391" s="75" t="e">
        <f>#REF!</f>
        <v>#REF!</v>
      </c>
      <c r="E391" s="30">
        <v>1</v>
      </c>
      <c r="F391" s="238">
        <v>0</v>
      </c>
      <c r="G391" s="241">
        <v>0</v>
      </c>
      <c r="H391" s="249">
        <v>0</v>
      </c>
      <c r="I391" s="249">
        <v>0</v>
      </c>
      <c r="J391" s="249">
        <v>9996000</v>
      </c>
      <c r="K391" s="249">
        <v>0</v>
      </c>
      <c r="L391" s="274">
        <f>J391</f>
        <v>9996000</v>
      </c>
      <c r="M391" s="274"/>
      <c r="N391" s="245"/>
      <c r="O391" s="113"/>
      <c r="P391" s="113"/>
      <c r="Q391" s="131"/>
      <c r="R391" s="131"/>
      <c r="S391" s="64"/>
      <c r="T391" s="113"/>
      <c r="U391" s="117"/>
      <c r="V391" s="113"/>
      <c r="W391" s="131"/>
      <c r="X391" s="131"/>
      <c r="Y391" s="11"/>
      <c r="Z391" s="113"/>
      <c r="AA391" s="113"/>
      <c r="AB391" s="113"/>
      <c r="AC391" s="52"/>
      <c r="AD391" s="52"/>
      <c r="AE391" s="11"/>
      <c r="AF391" s="118"/>
      <c r="AG391" s="144"/>
      <c r="AH391" s="113"/>
      <c r="AI391" s="11"/>
      <c r="AJ391" s="11"/>
      <c r="AK391" s="39"/>
      <c r="AL391" s="113"/>
      <c r="AM391" s="113"/>
      <c r="AN391" s="117"/>
      <c r="AO391" s="76"/>
      <c r="AP391" s="39"/>
      <c r="AQ391" s="39"/>
      <c r="AR391" s="275"/>
      <c r="AS391" s="156"/>
      <c r="AT391" s="157"/>
      <c r="AU391" s="62"/>
      <c r="AV391" s="62"/>
      <c r="AW391" s="31"/>
      <c r="AX391" s="116"/>
      <c r="AY391" s="116"/>
      <c r="AZ391" s="143"/>
      <c r="BA391" s="191"/>
      <c r="BB391" s="132"/>
      <c r="BC391" s="132"/>
      <c r="BD391" s="274"/>
      <c r="BE391" s="143"/>
      <c r="BF391" s="143"/>
      <c r="BG391" s="132"/>
      <c r="BH391" s="132"/>
      <c r="BI391" s="132"/>
      <c r="BJ391" s="143"/>
      <c r="BK391" s="143"/>
      <c r="BL391" s="143"/>
      <c r="BM391" s="132"/>
      <c r="BN391" s="132"/>
      <c r="BO391" s="132"/>
      <c r="BP391" s="143"/>
      <c r="BQ391" s="132"/>
      <c r="BR391" s="132"/>
      <c r="BS391" s="132"/>
      <c r="BT391" s="132"/>
      <c r="BU391" s="132"/>
      <c r="BV391" s="210"/>
      <c r="BW391" s="144"/>
      <c r="BX391" s="113"/>
      <c r="BY391" s="273"/>
      <c r="BZ391" s="273"/>
      <c r="CA391" s="132"/>
      <c r="CB391" s="274"/>
      <c r="CC391" s="144"/>
      <c r="CD391" s="274"/>
      <c r="CE391" s="132"/>
      <c r="CF391" s="132"/>
      <c r="CG391" s="36"/>
      <c r="CH391" s="210"/>
      <c r="CI391" s="219"/>
      <c r="CJ391" s="210"/>
      <c r="CK391" s="273"/>
      <c r="CL391" s="273"/>
      <c r="CM391" s="132"/>
      <c r="CN391" s="274"/>
      <c r="CO391" s="144"/>
      <c r="CP391" s="274"/>
      <c r="CQ391" s="132"/>
      <c r="CR391" s="132"/>
      <c r="CS391" s="132"/>
      <c r="CT391" s="274"/>
      <c r="CU391" s="144"/>
      <c r="CV391" s="274"/>
      <c r="CW391" s="132"/>
      <c r="CX391" s="132"/>
      <c r="CY391" s="132"/>
      <c r="CZ391" s="118"/>
      <c r="DA391" s="144"/>
      <c r="DB391" s="118"/>
      <c r="DC391" s="33"/>
      <c r="DD391" s="39"/>
      <c r="DE391" s="11"/>
      <c r="DF391" s="132"/>
      <c r="DG391" s="132"/>
      <c r="DH391" s="132"/>
      <c r="DI391" s="132"/>
      <c r="DJ391" s="132"/>
      <c r="DK391" s="132"/>
      <c r="DL391" s="132"/>
      <c r="DM391" s="132"/>
      <c r="DN391" s="132"/>
      <c r="DO391" s="132"/>
      <c r="DP391" s="132"/>
      <c r="DQ391" s="132"/>
      <c r="DR391" s="132"/>
      <c r="DS391" s="132"/>
      <c r="DT391" s="132"/>
      <c r="DU391" s="132"/>
      <c r="DV391" s="132"/>
      <c r="DW391" s="132"/>
      <c r="DX391" s="132"/>
      <c r="DY391" s="132"/>
      <c r="DZ391" s="132"/>
      <c r="EA391" s="132"/>
      <c r="EB391" s="132"/>
      <c r="EC391" s="132"/>
      <c r="ED391" s="132"/>
      <c r="EE391" s="132"/>
      <c r="EF391" s="132"/>
      <c r="EG391" s="132"/>
      <c r="EH391" s="132"/>
      <c r="EI391" s="132"/>
      <c r="EJ391" s="132"/>
      <c r="EK391" s="132"/>
      <c r="EL391" s="132"/>
      <c r="EM391" s="132"/>
      <c r="EN391" s="132"/>
      <c r="EO391" s="132"/>
      <c r="EP391" s="132"/>
      <c r="EQ391" s="132"/>
      <c r="ER391" s="132"/>
      <c r="ES391" s="132"/>
      <c r="ET391" s="11"/>
      <c r="EU391" s="11"/>
      <c r="EV391" s="11"/>
      <c r="EW391" s="11"/>
      <c r="EX391" s="11"/>
      <c r="EY391" s="11"/>
      <c r="EZ391" s="11"/>
      <c r="FA391" s="11"/>
      <c r="FB391" s="11"/>
      <c r="FC391" s="11"/>
      <c r="FD391" s="11"/>
      <c r="FE391" s="11"/>
      <c r="FF391" s="11"/>
      <c r="FG391" s="11"/>
      <c r="FH391" s="39">
        <f t="shared" si="96"/>
        <v>0</v>
      </c>
      <c r="FI391" s="33">
        <f t="shared" si="97"/>
        <v>0</v>
      </c>
      <c r="FJ391" s="84" t="str">
        <f t="shared" si="98"/>
        <v xml:space="preserve"> </v>
      </c>
    </row>
    <row r="392" spans="1:166" x14ac:dyDescent="0.25">
      <c r="A392" s="79" t="e">
        <f>#REF!</f>
        <v>#REF!</v>
      </c>
      <c r="B392" s="75" t="e">
        <f>#REF!</f>
        <v>#REF!</v>
      </c>
      <c r="C392" s="75" t="e">
        <f>#REF!</f>
        <v>#REF!</v>
      </c>
      <c r="D392" s="75" t="e">
        <f>#REF!</f>
        <v>#REF!</v>
      </c>
      <c r="E392" s="30">
        <v>1</v>
      </c>
      <c r="F392" s="238">
        <v>190400</v>
      </c>
      <c r="G392" s="241">
        <v>0</v>
      </c>
      <c r="H392" s="249">
        <v>129785.36</v>
      </c>
      <c r="I392" s="249">
        <v>0</v>
      </c>
      <c r="J392" s="249">
        <v>35484.61</v>
      </c>
      <c r="K392" s="249">
        <v>0</v>
      </c>
      <c r="L392" s="274">
        <f>AVERAGE(F392,H392,J392)</f>
        <v>118556.65666666666</v>
      </c>
      <c r="M392" s="274"/>
      <c r="N392" s="245"/>
      <c r="O392" s="113"/>
      <c r="P392" s="113"/>
      <c r="Q392" s="131"/>
      <c r="R392" s="131"/>
      <c r="S392" s="64"/>
      <c r="T392" s="113"/>
      <c r="U392" s="117"/>
      <c r="V392" s="113"/>
      <c r="W392" s="131"/>
      <c r="X392" s="131"/>
      <c r="Y392" s="11"/>
      <c r="Z392" s="113"/>
      <c r="AA392" s="113"/>
      <c r="AB392" s="113"/>
      <c r="AC392" s="52"/>
      <c r="AD392" s="52"/>
      <c r="AE392" s="11"/>
      <c r="AF392" s="118"/>
      <c r="AG392" s="144"/>
      <c r="AH392" s="113"/>
      <c r="AI392" s="11"/>
      <c r="AJ392" s="11"/>
      <c r="AK392" s="39"/>
      <c r="AL392" s="113"/>
      <c r="AM392" s="113"/>
      <c r="AN392" s="117"/>
      <c r="AO392" s="76"/>
      <c r="AP392" s="39"/>
      <c r="AQ392" s="39"/>
      <c r="AR392" s="275">
        <f>29819*10</f>
        <v>298190</v>
      </c>
      <c r="AS392" s="113">
        <f t="shared" ref="AS392:AS398" si="99">+AR392*0.19</f>
        <v>56656.1</v>
      </c>
      <c r="AT392" s="119">
        <f t="shared" ref="AT392:AT398" si="100">+AR392+AS392</f>
        <v>354846.1</v>
      </c>
      <c r="AU392" s="62" t="s">
        <v>44</v>
      </c>
      <c r="AV392" s="62" t="s">
        <v>212</v>
      </c>
      <c r="AW392" s="31"/>
      <c r="AX392" s="116"/>
      <c r="AY392" s="116"/>
      <c r="AZ392" s="143"/>
      <c r="BA392" s="191"/>
      <c r="BB392" s="132"/>
      <c r="BC392" s="132"/>
      <c r="BD392" s="274"/>
      <c r="BE392" s="143"/>
      <c r="BF392" s="143"/>
      <c r="BG392" s="132"/>
      <c r="BH392" s="132"/>
      <c r="BI392" s="132"/>
      <c r="BJ392" s="143"/>
      <c r="BK392" s="143"/>
      <c r="BL392" s="143"/>
      <c r="BM392" s="132"/>
      <c r="BN392" s="132"/>
      <c r="BO392" s="132"/>
      <c r="BP392" s="143"/>
      <c r="BQ392" s="132"/>
      <c r="BR392" s="132"/>
      <c r="BS392" s="132"/>
      <c r="BT392" s="132"/>
      <c r="BU392" s="132"/>
      <c r="BV392" s="210"/>
      <c r="BW392" s="144"/>
      <c r="BX392" s="113"/>
      <c r="BY392" s="273"/>
      <c r="BZ392" s="273"/>
      <c r="CA392" s="132"/>
      <c r="CB392" s="274"/>
      <c r="CC392" s="144"/>
      <c r="CD392" s="274"/>
      <c r="CE392" s="132"/>
      <c r="CF392" s="132"/>
      <c r="CG392" s="36"/>
      <c r="CH392" s="210"/>
      <c r="CI392" s="219"/>
      <c r="CJ392" s="210"/>
      <c r="CK392" s="273"/>
      <c r="CL392" s="273"/>
      <c r="CM392" s="132"/>
      <c r="CN392" s="274"/>
      <c r="CO392" s="144"/>
      <c r="CP392" s="274"/>
      <c r="CQ392" s="132"/>
      <c r="CR392" s="132"/>
      <c r="CS392" s="132"/>
      <c r="CT392" s="274"/>
      <c r="CU392" s="144"/>
      <c r="CV392" s="274"/>
      <c r="CW392" s="132"/>
      <c r="CX392" s="132"/>
      <c r="CY392" s="132"/>
      <c r="CZ392" s="118"/>
      <c r="DA392" s="144"/>
      <c r="DB392" s="118"/>
      <c r="DC392" s="33"/>
      <c r="DD392" s="39"/>
      <c r="DE392" s="11"/>
      <c r="DF392" s="132"/>
      <c r="DG392" s="132"/>
      <c r="DH392" s="132"/>
      <c r="DI392" s="132"/>
      <c r="DJ392" s="132"/>
      <c r="DK392" s="132"/>
      <c r="DL392" s="132"/>
      <c r="DM392" s="132"/>
      <c r="DN392" s="132"/>
      <c r="DO392" s="132"/>
      <c r="DP392" s="132"/>
      <c r="DQ392" s="132"/>
      <c r="DR392" s="132"/>
      <c r="DS392" s="132"/>
      <c r="DT392" s="132"/>
      <c r="DU392" s="132"/>
      <c r="DV392" s="132"/>
      <c r="DW392" s="132"/>
      <c r="DX392" s="132"/>
      <c r="DY392" s="132"/>
      <c r="DZ392" s="132"/>
      <c r="EA392" s="132"/>
      <c r="EB392" s="132"/>
      <c r="EC392" s="132"/>
      <c r="ED392" s="132"/>
      <c r="EE392" s="132"/>
      <c r="EF392" s="132"/>
      <c r="EG392" s="132"/>
      <c r="EH392" s="132"/>
      <c r="EI392" s="132"/>
      <c r="EJ392" s="132"/>
      <c r="EK392" s="132"/>
      <c r="EL392" s="132"/>
      <c r="EM392" s="132"/>
      <c r="EN392" s="132"/>
      <c r="EO392" s="132"/>
      <c r="EP392" s="132"/>
      <c r="EQ392" s="132"/>
      <c r="ER392" s="132"/>
      <c r="ES392" s="132"/>
      <c r="ET392" s="11"/>
      <c r="EU392" s="11"/>
      <c r="EV392" s="11"/>
      <c r="EW392" s="11"/>
      <c r="EX392" s="11"/>
      <c r="EY392" s="11"/>
      <c r="EZ392" s="11"/>
      <c r="FA392" s="11"/>
      <c r="FB392" s="11"/>
      <c r="FC392" s="11"/>
      <c r="FD392" s="11"/>
      <c r="FE392" s="11"/>
      <c r="FF392" s="11"/>
      <c r="FG392" s="11"/>
      <c r="FH392" s="39">
        <f t="shared" si="96"/>
        <v>354846.1</v>
      </c>
      <c r="FI392" s="33">
        <f t="shared" si="97"/>
        <v>1</v>
      </c>
      <c r="FJ392" s="84">
        <f t="shared" si="98"/>
        <v>354846.1</v>
      </c>
    </row>
    <row r="393" spans="1:166" ht="25.5" x14ac:dyDescent="0.25">
      <c r="A393" s="79" t="e">
        <f>#REF!</f>
        <v>#REF!</v>
      </c>
      <c r="B393" s="75" t="e">
        <f>#REF!</f>
        <v>#REF!</v>
      </c>
      <c r="C393" s="75" t="e">
        <f>#REF!</f>
        <v>#REF!</v>
      </c>
      <c r="D393" s="75" t="e">
        <f>#REF!</f>
        <v>#REF!</v>
      </c>
      <c r="E393" s="30">
        <v>1</v>
      </c>
      <c r="F393" s="238">
        <v>535220.35</v>
      </c>
      <c r="G393" s="241">
        <v>0</v>
      </c>
      <c r="H393" s="249">
        <v>621155.55133416667</v>
      </c>
      <c r="I393" s="249">
        <v>0</v>
      </c>
      <c r="J393" s="249">
        <v>0</v>
      </c>
      <c r="K393" s="249">
        <v>0</v>
      </c>
      <c r="L393" s="274">
        <f>AVERAGE(F393,H393)</f>
        <v>578187.95066708326</v>
      </c>
      <c r="M393" s="274"/>
      <c r="N393" s="245"/>
      <c r="O393" s="113"/>
      <c r="P393" s="113"/>
      <c r="Q393" s="131"/>
      <c r="R393" s="131"/>
      <c r="S393" s="64"/>
      <c r="T393" s="113"/>
      <c r="U393" s="113"/>
      <c r="V393" s="113"/>
      <c r="W393" s="131"/>
      <c r="X393" s="131"/>
      <c r="Y393" s="11"/>
      <c r="Z393" s="113"/>
      <c r="AA393" s="113"/>
      <c r="AB393" s="113"/>
      <c r="AC393" s="52"/>
      <c r="AD393" s="52"/>
      <c r="AE393" s="11"/>
      <c r="AF393" s="118"/>
      <c r="AG393" s="144"/>
      <c r="AH393" s="113"/>
      <c r="AI393" s="11"/>
      <c r="AJ393" s="11"/>
      <c r="AK393" s="39"/>
      <c r="AL393" s="113">
        <v>162000</v>
      </c>
      <c r="AM393" s="113">
        <f>+AL393*0.19</f>
        <v>30780</v>
      </c>
      <c r="AN393" s="119">
        <f>+AL393+AM393</f>
        <v>192780</v>
      </c>
      <c r="AO393" s="76" t="s">
        <v>60</v>
      </c>
      <c r="AP393" s="39" t="s">
        <v>45</v>
      </c>
      <c r="AQ393" s="39"/>
      <c r="AR393" s="275">
        <v>1080000</v>
      </c>
      <c r="AS393" s="113">
        <f t="shared" si="99"/>
        <v>205200</v>
      </c>
      <c r="AT393" s="119">
        <f t="shared" si="100"/>
        <v>1285200</v>
      </c>
      <c r="AU393" s="62" t="s">
        <v>95</v>
      </c>
      <c r="AV393" s="62" t="s">
        <v>35</v>
      </c>
      <c r="AW393" s="31"/>
      <c r="AX393" s="116">
        <v>485613.60000000003</v>
      </c>
      <c r="AY393" s="116">
        <f>+AX393*0.19</f>
        <v>92266.584000000003</v>
      </c>
      <c r="AZ393" s="143">
        <f>+AX393+AY393</f>
        <v>577880.18400000001</v>
      </c>
      <c r="BA393" s="191" t="s">
        <v>60</v>
      </c>
      <c r="BB393" s="132" t="s">
        <v>70</v>
      </c>
      <c r="BC393" s="132"/>
      <c r="BD393" s="274"/>
      <c r="BE393" s="143"/>
      <c r="BF393" s="143"/>
      <c r="BG393" s="132"/>
      <c r="BH393" s="132"/>
      <c r="BI393" s="132"/>
      <c r="BJ393" s="143"/>
      <c r="BK393" s="143"/>
      <c r="BL393" s="143"/>
      <c r="BM393" s="132"/>
      <c r="BN393" s="132"/>
      <c r="BO393" s="132"/>
      <c r="BP393" s="143"/>
      <c r="BQ393" s="132"/>
      <c r="BR393" s="132"/>
      <c r="BS393" s="132"/>
      <c r="BT393" s="132"/>
      <c r="BU393" s="132"/>
      <c r="BV393" s="210"/>
      <c r="BW393" s="144"/>
      <c r="BX393" s="113"/>
      <c r="BY393" s="273"/>
      <c r="BZ393" s="273"/>
      <c r="CA393" s="132"/>
      <c r="CB393" s="274"/>
      <c r="CC393" s="144"/>
      <c r="CD393" s="274"/>
      <c r="CE393" s="132"/>
      <c r="CF393" s="132"/>
      <c r="CG393" s="36"/>
      <c r="CH393" s="210"/>
      <c r="CI393" s="219"/>
      <c r="CJ393" s="210"/>
      <c r="CK393" s="273"/>
      <c r="CL393" s="273"/>
      <c r="CM393" s="132"/>
      <c r="CN393" s="274"/>
      <c r="CO393" s="144"/>
      <c r="CP393" s="274"/>
      <c r="CQ393" s="132"/>
      <c r="CR393" s="132"/>
      <c r="CS393" s="132"/>
      <c r="CT393" s="144">
        <v>693750</v>
      </c>
      <c r="CU393" s="144">
        <f>CT393*0.19</f>
        <v>131812.5</v>
      </c>
      <c r="CV393" s="144">
        <f>CU393+CT393</f>
        <v>825562.5</v>
      </c>
      <c r="CW393" s="132"/>
      <c r="CX393" s="132"/>
      <c r="CY393" s="132"/>
      <c r="CZ393" s="118"/>
      <c r="DA393" s="144"/>
      <c r="DB393" s="118"/>
      <c r="DC393" s="33"/>
      <c r="DD393" s="39"/>
      <c r="DE393" s="11"/>
      <c r="DF393" s="132"/>
      <c r="DG393" s="132"/>
      <c r="DH393" s="132"/>
      <c r="DI393" s="132"/>
      <c r="DJ393" s="132"/>
      <c r="DK393" s="132"/>
      <c r="DL393" s="132"/>
      <c r="DM393" s="132"/>
      <c r="DN393" s="132"/>
      <c r="DO393" s="132"/>
      <c r="DP393" s="132"/>
      <c r="DQ393" s="132"/>
      <c r="DR393" s="132"/>
      <c r="DS393" s="132"/>
      <c r="DT393" s="132"/>
      <c r="DU393" s="132"/>
      <c r="DV393" s="132"/>
      <c r="DW393" s="132"/>
      <c r="DX393" s="132"/>
      <c r="DY393" s="132"/>
      <c r="DZ393" s="132"/>
      <c r="EA393" s="132"/>
      <c r="EB393" s="132"/>
      <c r="EC393" s="132"/>
      <c r="ED393" s="132"/>
      <c r="EE393" s="132"/>
      <c r="EF393" s="132"/>
      <c r="EG393" s="132"/>
      <c r="EH393" s="132"/>
      <c r="EI393" s="132"/>
      <c r="EJ393" s="132"/>
      <c r="EK393" s="132"/>
      <c r="EL393" s="132"/>
      <c r="EM393" s="132"/>
      <c r="EN393" s="132"/>
      <c r="EO393" s="132"/>
      <c r="EP393" s="132"/>
      <c r="EQ393" s="132"/>
      <c r="ER393" s="132"/>
      <c r="ES393" s="132"/>
      <c r="ET393" s="11"/>
      <c r="EU393" s="11"/>
      <c r="EV393" s="11"/>
      <c r="EW393" s="11"/>
      <c r="EX393" s="11"/>
      <c r="EY393" s="11"/>
      <c r="EZ393" s="11"/>
      <c r="FA393" s="11"/>
      <c r="FB393" s="11"/>
      <c r="FC393" s="11"/>
      <c r="FD393" s="11"/>
      <c r="FE393" s="11"/>
      <c r="FF393" s="11"/>
      <c r="FG393" s="11"/>
      <c r="FH393" s="39">
        <f t="shared" si="96"/>
        <v>2881422.6839999999</v>
      </c>
      <c r="FI393" s="33">
        <f t="shared" si="97"/>
        <v>4</v>
      </c>
      <c r="FJ393" s="84">
        <f t="shared" si="98"/>
        <v>720355.67099999997</v>
      </c>
    </row>
    <row r="394" spans="1:166" ht="25.5" x14ac:dyDescent="0.25">
      <c r="A394" s="79" t="e">
        <f>#REF!</f>
        <v>#REF!</v>
      </c>
      <c r="B394" s="75" t="e">
        <f>#REF!</f>
        <v>#REF!</v>
      </c>
      <c r="C394" s="75" t="e">
        <f>#REF!</f>
        <v>#REF!</v>
      </c>
      <c r="D394" s="75" t="e">
        <f>#REF!</f>
        <v>#REF!</v>
      </c>
      <c r="E394" s="30">
        <v>1</v>
      </c>
      <c r="F394" s="238">
        <v>1604120</v>
      </c>
      <c r="G394" s="241">
        <v>1564017</v>
      </c>
      <c r="H394" s="249">
        <v>1107779.7322857142</v>
      </c>
      <c r="I394" s="249">
        <v>1107771</v>
      </c>
      <c r="J394" s="249">
        <v>1234034.4624999999</v>
      </c>
      <c r="K394" s="249">
        <v>0</v>
      </c>
      <c r="L394" s="274">
        <f>AVERAGE(F394,H394,J394)</f>
        <v>1315311.3982619047</v>
      </c>
      <c r="M394" s="274">
        <f>AVERAGE(G394,I394)*E1</f>
        <v>1375970.82</v>
      </c>
      <c r="N394" s="245"/>
      <c r="O394" s="113"/>
      <c r="P394" s="113"/>
      <c r="Q394" s="131"/>
      <c r="R394" s="131"/>
      <c r="S394" s="64"/>
      <c r="T394" s="113"/>
      <c r="U394" s="117"/>
      <c r="V394" s="113"/>
      <c r="W394" s="131"/>
      <c r="X394" s="131"/>
      <c r="Y394" s="11"/>
      <c r="Z394" s="113"/>
      <c r="AA394" s="113"/>
      <c r="AB394" s="113"/>
      <c r="AC394" s="52"/>
      <c r="AD394" s="52"/>
      <c r="AE394" s="11"/>
      <c r="AF394" s="118">
        <v>1350000</v>
      </c>
      <c r="AG394" s="144">
        <f>AF394*19%</f>
        <v>256500</v>
      </c>
      <c r="AH394" s="113">
        <f>+AF394+AG394</f>
        <v>1606500</v>
      </c>
      <c r="AI394" s="11"/>
      <c r="AJ394" s="11"/>
      <c r="AK394" s="39"/>
      <c r="AL394" s="113">
        <f>580000*4</f>
        <v>2320000</v>
      </c>
      <c r="AM394" s="113">
        <f>+AL394*0.19</f>
        <v>440800</v>
      </c>
      <c r="AN394" s="119">
        <f>+AL394+AM394</f>
        <v>2760800</v>
      </c>
      <c r="AO394" s="76" t="s">
        <v>34</v>
      </c>
      <c r="AP394" s="39" t="s">
        <v>376</v>
      </c>
      <c r="AQ394" s="39"/>
      <c r="AR394" s="275">
        <v>1080000</v>
      </c>
      <c r="AS394" s="113">
        <f t="shared" si="99"/>
        <v>205200</v>
      </c>
      <c r="AT394" s="119">
        <f t="shared" si="100"/>
        <v>1285200</v>
      </c>
      <c r="AU394" s="62" t="s">
        <v>54</v>
      </c>
      <c r="AV394" s="62" t="s">
        <v>35</v>
      </c>
      <c r="AW394" s="31"/>
      <c r="AX394" s="116"/>
      <c r="AY394" s="116"/>
      <c r="AZ394" s="143"/>
      <c r="BA394" s="191"/>
      <c r="BB394" s="132"/>
      <c r="BC394" s="132"/>
      <c r="BD394" s="274"/>
      <c r="BE394" s="143"/>
      <c r="BF394" s="143"/>
      <c r="BG394" s="132"/>
      <c r="BH394" s="132"/>
      <c r="BI394" s="132"/>
      <c r="BJ394" s="143"/>
      <c r="BK394" s="143"/>
      <c r="BL394" s="143"/>
      <c r="BM394" s="132"/>
      <c r="BN394" s="132"/>
      <c r="BO394" s="132"/>
      <c r="BP394" s="143"/>
      <c r="BQ394" s="132"/>
      <c r="BR394" s="132"/>
      <c r="BS394" s="132"/>
      <c r="BT394" s="132"/>
      <c r="BU394" s="132"/>
      <c r="BV394" s="267">
        <v>1863500</v>
      </c>
      <c r="BW394" s="144">
        <f t="shared" ref="BW394:BW401" si="101">BV394*19%</f>
        <v>354065</v>
      </c>
      <c r="BX394" s="113">
        <f t="shared" ref="BX394:BX401" si="102">+BV394+BW394</f>
        <v>2217565</v>
      </c>
      <c r="BY394" s="264" t="s">
        <v>342</v>
      </c>
      <c r="BZ394" s="264" t="s">
        <v>88</v>
      </c>
      <c r="CA394" s="132"/>
      <c r="CB394" s="274"/>
      <c r="CC394" s="144"/>
      <c r="CD394" s="274"/>
      <c r="CE394" s="132"/>
      <c r="CF394" s="132"/>
      <c r="CG394" s="36"/>
      <c r="CH394" s="268"/>
      <c r="CI394" s="265"/>
      <c r="CJ394" s="263"/>
      <c r="CK394" s="264"/>
      <c r="CL394" s="264"/>
      <c r="CM394" s="132"/>
      <c r="CN394" s="274"/>
      <c r="CO394" s="144"/>
      <c r="CP394" s="274"/>
      <c r="CQ394" s="132"/>
      <c r="CR394" s="132"/>
      <c r="CS394" s="132"/>
      <c r="CT394" s="274"/>
      <c r="CU394" s="144"/>
      <c r="CV394" s="274"/>
      <c r="CW394" s="132"/>
      <c r="CX394" s="132"/>
      <c r="CY394" s="132"/>
      <c r="CZ394" s="118"/>
      <c r="DA394" s="144"/>
      <c r="DB394" s="118"/>
      <c r="DC394" s="33"/>
      <c r="DD394" s="39"/>
      <c r="DE394" s="11"/>
      <c r="DF394" s="132"/>
      <c r="DG394" s="132"/>
      <c r="DH394" s="132"/>
      <c r="DI394" s="132"/>
      <c r="DJ394" s="132"/>
      <c r="DK394" s="132"/>
      <c r="DL394" s="132"/>
      <c r="DM394" s="132"/>
      <c r="DN394" s="132"/>
      <c r="DO394" s="132"/>
      <c r="DP394" s="132"/>
      <c r="DQ394" s="132"/>
      <c r="DR394" s="132"/>
      <c r="DS394" s="132"/>
      <c r="DT394" s="132"/>
      <c r="DU394" s="132"/>
      <c r="DV394" s="132"/>
      <c r="DW394" s="132"/>
      <c r="DX394" s="132"/>
      <c r="DY394" s="132"/>
      <c r="DZ394" s="132"/>
      <c r="EA394" s="132"/>
      <c r="EB394" s="132"/>
      <c r="EC394" s="132"/>
      <c r="ED394" s="132"/>
      <c r="EE394" s="132"/>
      <c r="EF394" s="132"/>
      <c r="EG394" s="132"/>
      <c r="EH394" s="132"/>
      <c r="EI394" s="132"/>
      <c r="EJ394" s="132"/>
      <c r="EK394" s="132"/>
      <c r="EL394" s="132"/>
      <c r="EM394" s="132"/>
      <c r="EN394" s="132"/>
      <c r="EO394" s="132"/>
      <c r="EP394" s="132"/>
      <c r="EQ394" s="132"/>
      <c r="ER394" s="132"/>
      <c r="ES394" s="132"/>
      <c r="ET394" s="11"/>
      <c r="EU394" s="11"/>
      <c r="EV394" s="11"/>
      <c r="EW394" s="11"/>
      <c r="EX394" s="11"/>
      <c r="EY394" s="11"/>
      <c r="EZ394" s="11"/>
      <c r="FA394" s="11"/>
      <c r="FB394" s="11"/>
      <c r="FC394" s="11"/>
      <c r="FD394" s="11"/>
      <c r="FE394" s="11"/>
      <c r="FF394" s="11"/>
      <c r="FG394" s="11"/>
      <c r="FH394" s="39">
        <f t="shared" si="96"/>
        <v>9246035.8200000003</v>
      </c>
      <c r="FI394" s="33">
        <f t="shared" si="97"/>
        <v>5</v>
      </c>
      <c r="FJ394" s="84">
        <f t="shared" si="98"/>
        <v>1849207.1640000001</v>
      </c>
    </row>
    <row r="395" spans="1:166" ht="25.5" x14ac:dyDescent="0.25">
      <c r="A395" s="79" t="e">
        <f>#REF!</f>
        <v>#REF!</v>
      </c>
      <c r="B395" s="75" t="e">
        <f>#REF!</f>
        <v>#REF!</v>
      </c>
      <c r="C395" s="75" t="e">
        <f>#REF!</f>
        <v>#REF!</v>
      </c>
      <c r="D395" s="75" t="e">
        <f>#REF!</f>
        <v>#REF!</v>
      </c>
      <c r="E395" s="30">
        <v>1</v>
      </c>
      <c r="F395" s="238">
        <v>0</v>
      </c>
      <c r="G395" s="241">
        <v>0</v>
      </c>
      <c r="H395" s="249">
        <v>3590230</v>
      </c>
      <c r="I395" s="249">
        <v>0</v>
      </c>
      <c r="J395" s="249">
        <v>0</v>
      </c>
      <c r="K395" s="249">
        <v>0</v>
      </c>
      <c r="L395" s="274">
        <f>H395</f>
        <v>3590230</v>
      </c>
      <c r="M395" s="274"/>
      <c r="N395" s="245"/>
      <c r="O395" s="113"/>
      <c r="P395" s="113"/>
      <c r="Q395" s="131"/>
      <c r="R395" s="131"/>
      <c r="S395" s="64"/>
      <c r="T395" s="113"/>
      <c r="U395" s="117"/>
      <c r="V395" s="113"/>
      <c r="W395" s="131"/>
      <c r="X395" s="131"/>
      <c r="Y395" s="11"/>
      <c r="Z395" s="113"/>
      <c r="AA395" s="113"/>
      <c r="AB395" s="113"/>
      <c r="AC395" s="52"/>
      <c r="AD395" s="52"/>
      <c r="AE395" s="11"/>
      <c r="AF395" s="118"/>
      <c r="AG395" s="144"/>
      <c r="AH395" s="113"/>
      <c r="AI395" s="11"/>
      <c r="AJ395" s="11"/>
      <c r="AK395" s="39"/>
      <c r="AL395" s="113"/>
      <c r="AM395" s="113"/>
      <c r="AN395" s="117"/>
      <c r="AO395" s="76"/>
      <c r="AP395" s="39"/>
      <c r="AQ395" s="39"/>
      <c r="AR395" s="275">
        <v>662400</v>
      </c>
      <c r="AS395" s="113">
        <f t="shared" si="99"/>
        <v>125856</v>
      </c>
      <c r="AT395" s="119">
        <f t="shared" si="100"/>
        <v>788256</v>
      </c>
      <c r="AU395" s="62" t="s">
        <v>204</v>
      </c>
      <c r="AV395" s="62" t="s">
        <v>35</v>
      </c>
      <c r="AW395" s="31"/>
      <c r="AX395" s="116"/>
      <c r="AY395" s="116"/>
      <c r="AZ395" s="195"/>
      <c r="BA395" s="47"/>
      <c r="BB395" s="132"/>
      <c r="BC395" s="132"/>
      <c r="BD395" s="274"/>
      <c r="BE395" s="143"/>
      <c r="BF395" s="143"/>
      <c r="BG395" s="132"/>
      <c r="BH395" s="132"/>
      <c r="BI395" s="132"/>
      <c r="BJ395" s="143"/>
      <c r="BK395" s="143"/>
      <c r="BL395" s="143"/>
      <c r="BM395" s="132"/>
      <c r="BN395" s="132"/>
      <c r="BO395" s="132"/>
      <c r="BP395" s="143"/>
      <c r="BQ395" s="132"/>
      <c r="BR395" s="132"/>
      <c r="BS395" s="132"/>
      <c r="BT395" s="132"/>
      <c r="BU395" s="132"/>
      <c r="BV395" s="268">
        <v>4000000</v>
      </c>
      <c r="BW395" s="144">
        <f t="shared" si="101"/>
        <v>760000</v>
      </c>
      <c r="BX395" s="113">
        <f t="shared" si="102"/>
        <v>4760000</v>
      </c>
      <c r="BY395" s="264" t="s">
        <v>342</v>
      </c>
      <c r="BZ395" s="264" t="s">
        <v>37</v>
      </c>
      <c r="CA395" s="132"/>
      <c r="CB395" s="274"/>
      <c r="CC395" s="144"/>
      <c r="CD395" s="274"/>
      <c r="CE395" s="132"/>
      <c r="CF395" s="132"/>
      <c r="CG395" s="36"/>
      <c r="CH395" s="268">
        <v>4914478</v>
      </c>
      <c r="CI395" s="265">
        <f>+CH395*0.19</f>
        <v>933750.82000000007</v>
      </c>
      <c r="CJ395" s="263">
        <f>+CH395+CI395</f>
        <v>5848228.8200000003</v>
      </c>
      <c r="CK395" s="264" t="s">
        <v>342</v>
      </c>
      <c r="CL395" s="264" t="s">
        <v>37</v>
      </c>
      <c r="CM395" s="132"/>
      <c r="CN395" s="274"/>
      <c r="CO395" s="144"/>
      <c r="CP395" s="274"/>
      <c r="CQ395" s="132"/>
      <c r="CR395" s="132"/>
      <c r="CS395" s="132"/>
      <c r="CT395" s="274"/>
      <c r="CU395" s="144"/>
      <c r="CV395" s="274"/>
      <c r="CW395" s="132"/>
      <c r="CX395" s="132"/>
      <c r="CY395" s="132"/>
      <c r="CZ395" s="118"/>
      <c r="DA395" s="144"/>
      <c r="DB395" s="118"/>
      <c r="DC395" s="33"/>
      <c r="DD395" s="39"/>
      <c r="DE395" s="11"/>
      <c r="DF395" s="132"/>
      <c r="DG395" s="132"/>
      <c r="DH395" s="132"/>
      <c r="DI395" s="132"/>
      <c r="DJ395" s="132"/>
      <c r="DK395" s="132"/>
      <c r="DL395" s="132"/>
      <c r="DM395" s="132"/>
      <c r="DN395" s="132"/>
      <c r="DO395" s="132"/>
      <c r="DP395" s="132"/>
      <c r="DQ395" s="132"/>
      <c r="DR395" s="132"/>
      <c r="DS395" s="132"/>
      <c r="DT395" s="132"/>
      <c r="DU395" s="132"/>
      <c r="DV395" s="132"/>
      <c r="DW395" s="132"/>
      <c r="DX395" s="132"/>
      <c r="DY395" s="132"/>
      <c r="DZ395" s="132"/>
      <c r="EA395" s="132"/>
      <c r="EB395" s="132"/>
      <c r="EC395" s="132"/>
      <c r="ED395" s="132"/>
      <c r="EE395" s="132"/>
      <c r="EF395" s="132"/>
      <c r="EG395" s="132"/>
      <c r="EH395" s="132"/>
      <c r="EI395" s="132"/>
      <c r="EJ395" s="132"/>
      <c r="EK395" s="132"/>
      <c r="EL395" s="132"/>
      <c r="EM395" s="132"/>
      <c r="EN395" s="132"/>
      <c r="EO395" s="132"/>
      <c r="EP395" s="132"/>
      <c r="EQ395" s="132"/>
      <c r="ER395" s="132"/>
      <c r="ES395" s="132"/>
      <c r="ET395" s="11"/>
      <c r="EU395" s="11"/>
      <c r="EV395" s="11"/>
      <c r="EW395" s="11"/>
      <c r="EX395" s="11"/>
      <c r="EY395" s="11"/>
      <c r="EZ395" s="11"/>
      <c r="FA395" s="11"/>
      <c r="FB395" s="11"/>
      <c r="FC395" s="11"/>
      <c r="FD395" s="11"/>
      <c r="FE395" s="11"/>
      <c r="FF395" s="11"/>
      <c r="FG395" s="11"/>
      <c r="FH395" s="39">
        <f t="shared" si="96"/>
        <v>11396484.82</v>
      </c>
      <c r="FI395" s="33">
        <f t="shared" si="97"/>
        <v>3</v>
      </c>
      <c r="FJ395" s="84">
        <f t="shared" si="98"/>
        <v>3798828.2733333334</v>
      </c>
    </row>
    <row r="396" spans="1:166" ht="25.5" x14ac:dyDescent="0.25">
      <c r="A396" s="79" t="e">
        <f>#REF!</f>
        <v>#REF!</v>
      </c>
      <c r="B396" s="75" t="e">
        <f>#REF!</f>
        <v>#REF!</v>
      </c>
      <c r="C396" s="75" t="e">
        <f>#REF!</f>
        <v>#REF!</v>
      </c>
      <c r="D396" s="75" t="e">
        <f>#REF!</f>
        <v>#REF!</v>
      </c>
      <c r="E396" s="30">
        <v>1</v>
      </c>
      <c r="F396" s="238">
        <v>301121.56666666665</v>
      </c>
      <c r="G396" s="241">
        <v>192780</v>
      </c>
      <c r="H396" s="249">
        <v>261732.63996190479</v>
      </c>
      <c r="I396" s="249">
        <v>89250</v>
      </c>
      <c r="J396" s="249">
        <v>375722.66666666669</v>
      </c>
      <c r="K396" s="249">
        <v>0</v>
      </c>
      <c r="L396" s="274">
        <f>AVERAGE(F396,H396,J396)</f>
        <v>312858.95776507939</v>
      </c>
      <c r="M396" s="274">
        <f>AVERAGE(G396,I396)*E1</f>
        <v>145245.45000000001</v>
      </c>
      <c r="N396" s="245"/>
      <c r="O396" s="113"/>
      <c r="P396" s="113"/>
      <c r="Q396" s="131"/>
      <c r="R396" s="131"/>
      <c r="S396" s="64"/>
      <c r="T396" s="113"/>
      <c r="U396" s="117"/>
      <c r="V396" s="113"/>
      <c r="W396" s="131"/>
      <c r="X396" s="131"/>
      <c r="Y396" s="11"/>
      <c r="Z396" s="113"/>
      <c r="AA396" s="113"/>
      <c r="AB396" s="113"/>
      <c r="AC396" s="52"/>
      <c r="AD396" s="52"/>
      <c r="AE396" s="11"/>
      <c r="AF396" s="118">
        <v>410000</v>
      </c>
      <c r="AG396" s="144">
        <f>AF396*19%</f>
        <v>77900</v>
      </c>
      <c r="AH396" s="113">
        <f>+AF396+AG396</f>
        <v>487900</v>
      </c>
      <c r="AI396" s="11"/>
      <c r="AJ396" s="11"/>
      <c r="AK396" s="39"/>
      <c r="AL396" s="113">
        <v>136000</v>
      </c>
      <c r="AM396" s="113">
        <f>+AL396*0.19</f>
        <v>25840</v>
      </c>
      <c r="AN396" s="119">
        <f>+AL396+AM396</f>
        <v>161840</v>
      </c>
      <c r="AO396" s="76" t="s">
        <v>54</v>
      </c>
      <c r="AP396" s="39" t="s">
        <v>45</v>
      </c>
      <c r="AQ396" s="39"/>
      <c r="AR396" s="275">
        <v>331200</v>
      </c>
      <c r="AS396" s="113">
        <f t="shared" si="99"/>
        <v>62928</v>
      </c>
      <c r="AT396" s="119">
        <f t="shared" si="100"/>
        <v>394128</v>
      </c>
      <c r="AU396" s="62" t="s">
        <v>54</v>
      </c>
      <c r="AV396" s="62" t="s">
        <v>35</v>
      </c>
      <c r="AW396" s="31"/>
      <c r="AX396" s="116"/>
      <c r="AY396" s="116"/>
      <c r="AZ396" s="143"/>
      <c r="BA396" s="191"/>
      <c r="BB396" s="132"/>
      <c r="BC396" s="132"/>
      <c r="BD396" s="274"/>
      <c r="BE396" s="143"/>
      <c r="BF396" s="143"/>
      <c r="BG396" s="132"/>
      <c r="BH396" s="132"/>
      <c r="BI396" s="132"/>
      <c r="BJ396" s="143"/>
      <c r="BK396" s="143"/>
      <c r="BL396" s="143"/>
      <c r="BM396" s="132"/>
      <c r="BN396" s="132"/>
      <c r="BO396" s="132"/>
      <c r="BP396" s="143"/>
      <c r="BQ396" s="132"/>
      <c r="BR396" s="132"/>
      <c r="BS396" s="132"/>
      <c r="BT396" s="132"/>
      <c r="BU396" s="132"/>
      <c r="BV396" s="263">
        <v>435000</v>
      </c>
      <c r="BW396" s="144">
        <f t="shared" si="101"/>
        <v>82650</v>
      </c>
      <c r="BX396" s="113">
        <f t="shared" si="102"/>
        <v>517650</v>
      </c>
      <c r="BY396" s="264" t="s">
        <v>342</v>
      </c>
      <c r="BZ396" s="264" t="s">
        <v>88</v>
      </c>
      <c r="CA396" s="132"/>
      <c r="CB396" s="274"/>
      <c r="CC396" s="144"/>
      <c r="CD396" s="274"/>
      <c r="CE396" s="132"/>
      <c r="CF396" s="132"/>
      <c r="CG396" s="36"/>
      <c r="CH396" s="263">
        <v>443700</v>
      </c>
      <c r="CI396" s="265">
        <f>+CH396*0.19</f>
        <v>84303</v>
      </c>
      <c r="CJ396" s="263">
        <f>+CH396+CI396</f>
        <v>528003</v>
      </c>
      <c r="CK396" s="264" t="s">
        <v>342</v>
      </c>
      <c r="CL396" s="264" t="s">
        <v>88</v>
      </c>
      <c r="CM396" s="132"/>
      <c r="CN396" s="274"/>
      <c r="CO396" s="144"/>
      <c r="CP396" s="274"/>
      <c r="CQ396" s="132"/>
      <c r="CR396" s="132"/>
      <c r="CS396" s="132"/>
      <c r="CT396" s="274"/>
      <c r="CU396" s="144"/>
      <c r="CV396" s="274"/>
      <c r="CW396" s="132"/>
      <c r="CX396" s="132"/>
      <c r="CY396" s="132"/>
      <c r="CZ396" s="118"/>
      <c r="DA396" s="144"/>
      <c r="DB396" s="118"/>
      <c r="DC396" s="33"/>
      <c r="DD396" s="39"/>
      <c r="DE396" s="11"/>
      <c r="DF396" s="132"/>
      <c r="DG396" s="132"/>
      <c r="DH396" s="132"/>
      <c r="DI396" s="132"/>
      <c r="DJ396" s="132"/>
      <c r="DK396" s="132"/>
      <c r="DL396" s="132"/>
      <c r="DM396" s="132"/>
      <c r="DN396" s="132"/>
      <c r="DO396" s="132"/>
      <c r="DP396" s="132"/>
      <c r="DQ396" s="132"/>
      <c r="DR396" s="132"/>
      <c r="DS396" s="132"/>
      <c r="DT396" s="132"/>
      <c r="DU396" s="132"/>
      <c r="DV396" s="132"/>
      <c r="DW396" s="132"/>
      <c r="DX396" s="132"/>
      <c r="DY396" s="132"/>
      <c r="DZ396" s="132"/>
      <c r="EA396" s="132"/>
      <c r="EB396" s="132"/>
      <c r="EC396" s="132"/>
      <c r="ED396" s="132"/>
      <c r="EE396" s="132"/>
      <c r="EF396" s="132"/>
      <c r="EG396" s="132"/>
      <c r="EH396" s="132"/>
      <c r="EI396" s="132"/>
      <c r="EJ396" s="132"/>
      <c r="EK396" s="132"/>
      <c r="EL396" s="132"/>
      <c r="EM396" s="132"/>
      <c r="EN396" s="132"/>
      <c r="EO396" s="132"/>
      <c r="EP396" s="132"/>
      <c r="EQ396" s="132"/>
      <c r="ER396" s="132"/>
      <c r="ES396" s="132"/>
      <c r="ET396" s="11"/>
      <c r="EU396" s="11"/>
      <c r="EV396" s="11"/>
      <c r="EW396" s="11"/>
      <c r="EX396" s="11"/>
      <c r="EY396" s="11"/>
      <c r="EZ396" s="11"/>
      <c r="FA396" s="11"/>
      <c r="FB396" s="11"/>
      <c r="FC396" s="11"/>
      <c r="FD396" s="11"/>
      <c r="FE396" s="11"/>
      <c r="FF396" s="11"/>
      <c r="FG396" s="11"/>
      <c r="FH396" s="39">
        <f t="shared" si="96"/>
        <v>2234766.4500000002</v>
      </c>
      <c r="FI396" s="33">
        <f t="shared" si="97"/>
        <v>6</v>
      </c>
      <c r="FJ396" s="84">
        <f t="shared" si="98"/>
        <v>372461.07500000001</v>
      </c>
    </row>
    <row r="397" spans="1:166" ht="25.5" x14ac:dyDescent="0.25">
      <c r="A397" s="79" t="e">
        <f>#REF!</f>
        <v>#REF!</v>
      </c>
      <c r="B397" s="75" t="e">
        <f>#REF!</f>
        <v>#REF!</v>
      </c>
      <c r="C397" s="75" t="e">
        <f>#REF!</f>
        <v>#REF!</v>
      </c>
      <c r="D397" s="75" t="e">
        <f>#REF!</f>
        <v>#REF!</v>
      </c>
      <c r="E397" s="30">
        <v>1</v>
      </c>
      <c r="F397" s="238">
        <v>354620</v>
      </c>
      <c r="G397" s="241">
        <v>273700</v>
      </c>
      <c r="H397" s="249">
        <v>281405.25</v>
      </c>
      <c r="I397" s="249">
        <v>0</v>
      </c>
      <c r="J397" s="249">
        <v>0</v>
      </c>
      <c r="K397" s="249">
        <v>0</v>
      </c>
      <c r="L397" s="274">
        <f>AVERAGE(F397,H397)</f>
        <v>318012.625</v>
      </c>
      <c r="M397" s="274">
        <f>G397*E1</f>
        <v>281911</v>
      </c>
      <c r="N397" s="245"/>
      <c r="O397" s="113"/>
      <c r="P397" s="113"/>
      <c r="Q397" s="131"/>
      <c r="R397" s="131"/>
      <c r="S397" s="64"/>
      <c r="T397" s="113"/>
      <c r="U397" s="113"/>
      <c r="V397" s="113"/>
      <c r="W397" s="131"/>
      <c r="X397" s="131"/>
      <c r="Y397" s="11"/>
      <c r="Z397" s="113"/>
      <c r="AA397" s="113"/>
      <c r="AB397" s="113"/>
      <c r="AC397" s="52"/>
      <c r="AD397" s="52"/>
      <c r="AE397" s="11"/>
      <c r="AF397" s="118">
        <v>820000</v>
      </c>
      <c r="AG397" s="144">
        <f>AF397*19%</f>
        <v>155800</v>
      </c>
      <c r="AH397" s="113">
        <f>+AF397+AG397</f>
        <v>975800</v>
      </c>
      <c r="AI397" s="11"/>
      <c r="AJ397" s="11"/>
      <c r="AK397" s="39"/>
      <c r="AL397" s="113">
        <v>235000</v>
      </c>
      <c r="AM397" s="113">
        <f>+AL397*0.19</f>
        <v>44650</v>
      </c>
      <c r="AN397" s="119">
        <f>+AL397+AM397</f>
        <v>279650</v>
      </c>
      <c r="AO397" s="76" t="s">
        <v>54</v>
      </c>
      <c r="AP397" s="39" t="s">
        <v>45</v>
      </c>
      <c r="AQ397" s="39"/>
      <c r="AR397" s="275">
        <v>228243</v>
      </c>
      <c r="AS397" s="113">
        <f t="shared" si="99"/>
        <v>43366.17</v>
      </c>
      <c r="AT397" s="119">
        <f t="shared" si="100"/>
        <v>271609.17</v>
      </c>
      <c r="AU397" s="62" t="s">
        <v>54</v>
      </c>
      <c r="AV397" s="62" t="s">
        <v>35</v>
      </c>
      <c r="AW397" s="31"/>
      <c r="AX397" s="116"/>
      <c r="AY397" s="196"/>
      <c r="AZ397" s="143"/>
      <c r="BA397" s="191"/>
      <c r="BB397" s="132"/>
      <c r="BC397" s="132"/>
      <c r="BD397" s="274"/>
      <c r="BE397" s="143"/>
      <c r="BF397" s="143"/>
      <c r="BG397" s="132"/>
      <c r="BH397" s="132"/>
      <c r="BI397" s="132"/>
      <c r="BJ397" s="143"/>
      <c r="BK397" s="143"/>
      <c r="BL397" s="143"/>
      <c r="BM397" s="132"/>
      <c r="BN397" s="132"/>
      <c r="BO397" s="132"/>
      <c r="BP397" s="143"/>
      <c r="BQ397" s="132"/>
      <c r="BR397" s="132"/>
      <c r="BS397" s="132"/>
      <c r="BT397" s="132"/>
      <c r="BU397" s="132"/>
      <c r="BV397" s="263">
        <v>610200</v>
      </c>
      <c r="BW397" s="144">
        <f t="shared" si="101"/>
        <v>115938</v>
      </c>
      <c r="BX397" s="113">
        <f t="shared" si="102"/>
        <v>726138</v>
      </c>
      <c r="BY397" s="264" t="s">
        <v>342</v>
      </c>
      <c r="BZ397" s="264" t="s">
        <v>88</v>
      </c>
      <c r="CA397" s="132"/>
      <c r="CB397" s="274"/>
      <c r="CC397" s="144"/>
      <c r="CD397" s="274"/>
      <c r="CE397" s="132"/>
      <c r="CF397" s="132"/>
      <c r="CG397" s="36"/>
      <c r="CH397" s="263">
        <v>652914</v>
      </c>
      <c r="CI397" s="265">
        <f>+CH397*0.19</f>
        <v>124053.66</v>
      </c>
      <c r="CJ397" s="263">
        <f>+CH397+CI397</f>
        <v>776967.66</v>
      </c>
      <c r="CK397" s="264" t="s">
        <v>342</v>
      </c>
      <c r="CL397" s="264" t="s">
        <v>88</v>
      </c>
      <c r="CM397" s="132"/>
      <c r="CN397" s="274"/>
      <c r="CO397" s="144"/>
      <c r="CP397" s="274"/>
      <c r="CQ397" s="132"/>
      <c r="CR397" s="132"/>
      <c r="CS397" s="132"/>
      <c r="CT397" s="274"/>
      <c r="CU397" s="144"/>
      <c r="CV397" s="274"/>
      <c r="CW397" s="132"/>
      <c r="CX397" s="132"/>
      <c r="CY397" s="132"/>
      <c r="CZ397" s="118"/>
      <c r="DA397" s="144"/>
      <c r="DB397" s="118"/>
      <c r="DC397" s="33"/>
      <c r="DD397" s="39"/>
      <c r="DE397" s="11"/>
      <c r="DF397" s="132"/>
      <c r="DG397" s="132"/>
      <c r="DH397" s="132"/>
      <c r="DI397" s="132"/>
      <c r="DJ397" s="132"/>
      <c r="DK397" s="132"/>
      <c r="DL397" s="132"/>
      <c r="DM397" s="132"/>
      <c r="DN397" s="132"/>
      <c r="DO397" s="132"/>
      <c r="DP397" s="132"/>
      <c r="DQ397" s="132"/>
      <c r="DR397" s="132"/>
      <c r="DS397" s="132"/>
      <c r="DT397" s="132"/>
      <c r="DU397" s="132"/>
      <c r="DV397" s="132"/>
      <c r="DW397" s="132"/>
      <c r="DX397" s="132"/>
      <c r="DY397" s="132"/>
      <c r="DZ397" s="132"/>
      <c r="EA397" s="132"/>
      <c r="EB397" s="132"/>
      <c r="EC397" s="132"/>
      <c r="ED397" s="132"/>
      <c r="EE397" s="132"/>
      <c r="EF397" s="132"/>
      <c r="EG397" s="132"/>
      <c r="EH397" s="132"/>
      <c r="EI397" s="132"/>
      <c r="EJ397" s="132"/>
      <c r="EK397" s="132"/>
      <c r="EL397" s="132"/>
      <c r="EM397" s="132"/>
      <c r="EN397" s="132"/>
      <c r="EO397" s="132"/>
      <c r="EP397" s="132"/>
      <c r="EQ397" s="132"/>
      <c r="ER397" s="132"/>
      <c r="ES397" s="132"/>
      <c r="ET397" s="11"/>
      <c r="EU397" s="11"/>
      <c r="EV397" s="11"/>
      <c r="EW397" s="11"/>
      <c r="EX397" s="11"/>
      <c r="EY397" s="11"/>
      <c r="EZ397" s="11"/>
      <c r="FA397" s="11"/>
      <c r="FB397" s="11"/>
      <c r="FC397" s="11"/>
      <c r="FD397" s="11"/>
      <c r="FE397" s="11"/>
      <c r="FF397" s="11"/>
      <c r="FG397" s="11"/>
      <c r="FH397" s="39">
        <f t="shared" si="96"/>
        <v>3312075.83</v>
      </c>
      <c r="FI397" s="33">
        <f t="shared" si="97"/>
        <v>6</v>
      </c>
      <c r="FJ397" s="84">
        <f t="shared" si="98"/>
        <v>552012.63833333331</v>
      </c>
    </row>
    <row r="398" spans="1:166" ht="25.5" x14ac:dyDescent="0.25">
      <c r="A398" s="79" t="e">
        <f>#REF!</f>
        <v>#REF!</v>
      </c>
      <c r="B398" s="75" t="e">
        <f>#REF!</f>
        <v>#REF!</v>
      </c>
      <c r="C398" s="75" t="e">
        <f>#REF!</f>
        <v>#REF!</v>
      </c>
      <c r="D398" s="75" t="e">
        <f>#REF!</f>
        <v>#REF!</v>
      </c>
      <c r="E398" s="30">
        <v>1</v>
      </c>
      <c r="F398" s="238">
        <v>773500</v>
      </c>
      <c r="G398" s="241">
        <v>0</v>
      </c>
      <c r="H398" s="249">
        <v>1664769.3416666668</v>
      </c>
      <c r="I398" s="249">
        <v>0</v>
      </c>
      <c r="J398" s="249">
        <v>618800</v>
      </c>
      <c r="K398" s="249">
        <v>0</v>
      </c>
      <c r="L398" s="274">
        <f>AVERAGE(F398,H398,J398)</f>
        <v>1019023.113888889</v>
      </c>
      <c r="M398" s="274"/>
      <c r="N398" s="245"/>
      <c r="O398" s="113"/>
      <c r="P398" s="113"/>
      <c r="Q398" s="131"/>
      <c r="R398" s="131"/>
      <c r="S398" s="64"/>
      <c r="T398" s="113"/>
      <c r="U398" s="113"/>
      <c r="V398" s="113"/>
      <c r="W398" s="131"/>
      <c r="X398" s="131"/>
      <c r="Y398" s="11"/>
      <c r="Z398" s="113"/>
      <c r="AA398" s="113"/>
      <c r="AB398" s="113"/>
      <c r="AC398" s="52"/>
      <c r="AD398" s="52"/>
      <c r="AE398" s="11"/>
      <c r="AF398" s="118">
        <v>2450000</v>
      </c>
      <c r="AG398" s="144">
        <f>AF398*19%</f>
        <v>465500</v>
      </c>
      <c r="AH398" s="113">
        <f>+AF398+AG398</f>
        <v>2915500</v>
      </c>
      <c r="AI398" s="11"/>
      <c r="AJ398" s="11"/>
      <c r="AK398" s="39"/>
      <c r="AL398" s="113">
        <f>320000*5</f>
        <v>1600000</v>
      </c>
      <c r="AM398" s="113">
        <f>+AL398*0.19</f>
        <v>304000</v>
      </c>
      <c r="AN398" s="119">
        <f>+AL398+AM398</f>
        <v>1904000</v>
      </c>
      <c r="AO398" s="76" t="s">
        <v>54</v>
      </c>
      <c r="AP398" s="39" t="s">
        <v>45</v>
      </c>
      <c r="AQ398" s="39"/>
      <c r="AR398" s="275">
        <f>720000*5</f>
        <v>3600000</v>
      </c>
      <c r="AS398" s="113">
        <f t="shared" si="99"/>
        <v>684000</v>
      </c>
      <c r="AT398" s="119">
        <f t="shared" si="100"/>
        <v>4284000</v>
      </c>
      <c r="AU398" s="62" t="s">
        <v>54</v>
      </c>
      <c r="AV398" s="62" t="s">
        <v>35</v>
      </c>
      <c r="AW398" s="31"/>
      <c r="AX398" s="116"/>
      <c r="AY398" s="116"/>
      <c r="AZ398" s="143"/>
      <c r="BA398" s="191"/>
      <c r="BB398" s="132"/>
      <c r="BC398" s="132"/>
      <c r="BD398" s="274"/>
      <c r="BE398" s="143"/>
      <c r="BF398" s="143"/>
      <c r="BG398" s="132"/>
      <c r="BH398" s="132"/>
      <c r="BI398" s="132"/>
      <c r="BJ398" s="143"/>
      <c r="BK398" s="143"/>
      <c r="BL398" s="143"/>
      <c r="BM398" s="132"/>
      <c r="BN398" s="132"/>
      <c r="BO398" s="132"/>
      <c r="BP398" s="143"/>
      <c r="BQ398" s="132"/>
      <c r="BR398" s="132"/>
      <c r="BS398" s="132"/>
      <c r="BT398" s="132"/>
      <c r="BU398" s="132"/>
      <c r="BV398" s="268">
        <f>5787500/2</f>
        <v>2893750</v>
      </c>
      <c r="BW398" s="144">
        <f t="shared" si="101"/>
        <v>549812.5</v>
      </c>
      <c r="BX398" s="113">
        <f t="shared" si="102"/>
        <v>3443562.5</v>
      </c>
      <c r="BY398" s="264" t="s">
        <v>352</v>
      </c>
      <c r="BZ398" s="264" t="s">
        <v>88</v>
      </c>
      <c r="CA398" s="132"/>
      <c r="CB398" s="274"/>
      <c r="CC398" s="144"/>
      <c r="CD398" s="274"/>
      <c r="CE398" s="132"/>
      <c r="CF398" s="132"/>
      <c r="CG398" s="36"/>
      <c r="CH398" s="268"/>
      <c r="CI398" s="265"/>
      <c r="CJ398" s="263"/>
      <c r="CK398" s="264"/>
      <c r="CL398" s="264"/>
      <c r="CM398" s="132"/>
      <c r="CN398" s="274"/>
      <c r="CO398" s="144"/>
      <c r="CP398" s="274"/>
      <c r="CQ398" s="132"/>
      <c r="CR398" s="132"/>
      <c r="CS398" s="132"/>
      <c r="CT398" s="274"/>
      <c r="CU398" s="144"/>
      <c r="CV398" s="274"/>
      <c r="CW398" s="132"/>
      <c r="CX398" s="132"/>
      <c r="CY398" s="132"/>
      <c r="CZ398" s="118"/>
      <c r="DA398" s="144"/>
      <c r="DB398" s="118"/>
      <c r="DC398" s="33"/>
      <c r="DD398" s="39"/>
      <c r="DE398" s="11"/>
      <c r="DF398" s="132"/>
      <c r="DG398" s="132"/>
      <c r="DH398" s="132"/>
      <c r="DI398" s="132"/>
      <c r="DJ398" s="132"/>
      <c r="DK398" s="132"/>
      <c r="DL398" s="132"/>
      <c r="DM398" s="132"/>
      <c r="DN398" s="132"/>
      <c r="DO398" s="132"/>
      <c r="DP398" s="132"/>
      <c r="DQ398" s="132"/>
      <c r="DR398" s="132"/>
      <c r="DS398" s="132"/>
      <c r="DT398" s="132"/>
      <c r="DU398" s="132"/>
      <c r="DV398" s="132"/>
      <c r="DW398" s="132"/>
      <c r="DX398" s="132"/>
      <c r="DY398" s="132"/>
      <c r="DZ398" s="132"/>
      <c r="EA398" s="132"/>
      <c r="EB398" s="132"/>
      <c r="EC398" s="132"/>
      <c r="ED398" s="132"/>
      <c r="EE398" s="132"/>
      <c r="EF398" s="132"/>
      <c r="EG398" s="132"/>
      <c r="EH398" s="132"/>
      <c r="EI398" s="132"/>
      <c r="EJ398" s="132"/>
      <c r="EK398" s="132"/>
      <c r="EL398" s="132"/>
      <c r="EM398" s="132"/>
      <c r="EN398" s="132"/>
      <c r="EO398" s="132"/>
      <c r="EP398" s="132"/>
      <c r="EQ398" s="132"/>
      <c r="ER398" s="132"/>
      <c r="ES398" s="132"/>
      <c r="ET398" s="11"/>
      <c r="EU398" s="11"/>
      <c r="EV398" s="11"/>
      <c r="EW398" s="11"/>
      <c r="EX398" s="11"/>
      <c r="EY398" s="11"/>
      <c r="EZ398" s="11"/>
      <c r="FA398" s="11"/>
      <c r="FB398" s="11"/>
      <c r="FC398" s="11"/>
      <c r="FD398" s="11"/>
      <c r="FE398" s="11"/>
      <c r="FF398" s="11"/>
      <c r="FG398" s="11"/>
      <c r="FH398" s="39">
        <f t="shared" si="96"/>
        <v>12547062.5</v>
      </c>
      <c r="FI398" s="33">
        <f t="shared" si="97"/>
        <v>4</v>
      </c>
      <c r="FJ398" s="84">
        <f t="shared" si="98"/>
        <v>3136765.625</v>
      </c>
    </row>
    <row r="399" spans="1:166" ht="27" x14ac:dyDescent="0.25">
      <c r="A399" s="79" t="e">
        <f>#REF!</f>
        <v>#REF!</v>
      </c>
      <c r="B399" s="75" t="e">
        <f>#REF!</f>
        <v>#REF!</v>
      </c>
      <c r="C399" s="75" t="e">
        <f>#REF!</f>
        <v>#REF!</v>
      </c>
      <c r="D399" s="75" t="e">
        <f>#REF!</f>
        <v>#REF!</v>
      </c>
      <c r="E399" s="30">
        <v>1</v>
      </c>
      <c r="F399" s="238">
        <v>0</v>
      </c>
      <c r="G399" s="241">
        <v>0</v>
      </c>
      <c r="H399" s="249">
        <v>0</v>
      </c>
      <c r="I399" s="249">
        <v>0</v>
      </c>
      <c r="J399" s="249">
        <v>619990</v>
      </c>
      <c r="K399" s="249">
        <v>0</v>
      </c>
      <c r="L399" s="274">
        <f>J399</f>
        <v>619990</v>
      </c>
      <c r="M399" s="274"/>
      <c r="N399" s="245"/>
      <c r="O399" s="113"/>
      <c r="P399" s="113"/>
      <c r="Q399" s="131"/>
      <c r="R399" s="131"/>
      <c r="S399" s="64"/>
      <c r="T399" s="113"/>
      <c r="U399" s="113"/>
      <c r="V399" s="113"/>
      <c r="W399" s="131"/>
      <c r="X399" s="131"/>
      <c r="Y399" s="11"/>
      <c r="Z399" s="113"/>
      <c r="AA399" s="113"/>
      <c r="AB399" s="113"/>
      <c r="AC399" s="52"/>
      <c r="AD399" s="52"/>
      <c r="AE399" s="11"/>
      <c r="AF399" s="118">
        <v>695000</v>
      </c>
      <c r="AG399" s="144">
        <f>AF399*19%</f>
        <v>132050</v>
      </c>
      <c r="AH399" s="113">
        <f>+AF399+AG399</f>
        <v>827050</v>
      </c>
      <c r="AI399" s="11"/>
      <c r="AJ399" s="11"/>
      <c r="AK399" s="39"/>
      <c r="AL399" s="113"/>
      <c r="AM399" s="113"/>
      <c r="AN399" s="147"/>
      <c r="AO399" s="76"/>
      <c r="AP399" s="39"/>
      <c r="AQ399" s="39"/>
      <c r="AR399" s="275"/>
      <c r="AS399" s="158"/>
      <c r="AT399" s="159"/>
      <c r="AU399" s="62"/>
      <c r="AV399" s="62"/>
      <c r="AW399" s="31"/>
      <c r="AX399" s="116"/>
      <c r="AY399" s="116"/>
      <c r="AZ399" s="143"/>
      <c r="BA399" s="191"/>
      <c r="BB399" s="132"/>
      <c r="BC399" s="132"/>
      <c r="BD399" s="274"/>
      <c r="BE399" s="143"/>
      <c r="BF399" s="143"/>
      <c r="BG399" s="132"/>
      <c r="BH399" s="132"/>
      <c r="BI399" s="132"/>
      <c r="BJ399" s="143"/>
      <c r="BK399" s="143"/>
      <c r="BL399" s="143"/>
      <c r="BM399" s="132"/>
      <c r="BN399" s="132"/>
      <c r="BO399" s="132"/>
      <c r="BP399" s="143"/>
      <c r="BQ399" s="132"/>
      <c r="BR399" s="132"/>
      <c r="BS399" s="132"/>
      <c r="BT399" s="132"/>
      <c r="BU399" s="132"/>
      <c r="BV399" s="263">
        <v>483000</v>
      </c>
      <c r="BW399" s="144">
        <f t="shared" si="101"/>
        <v>91770</v>
      </c>
      <c r="BX399" s="113">
        <f t="shared" si="102"/>
        <v>574770</v>
      </c>
      <c r="BY399" s="264" t="s">
        <v>346</v>
      </c>
      <c r="BZ399" s="264" t="s">
        <v>237</v>
      </c>
      <c r="CA399" s="132"/>
      <c r="CB399" s="274"/>
      <c r="CC399" s="144"/>
      <c r="CD399" s="274"/>
      <c r="CE399" s="132"/>
      <c r="CF399" s="132"/>
      <c r="CG399" s="36"/>
      <c r="CH399" s="263">
        <v>507150</v>
      </c>
      <c r="CI399" s="265">
        <f>+CH399*0.19</f>
        <v>96358.5</v>
      </c>
      <c r="CJ399" s="263">
        <f>+CH399+CI399</f>
        <v>603508.5</v>
      </c>
      <c r="CK399" s="264" t="s">
        <v>346</v>
      </c>
      <c r="CL399" s="264" t="s">
        <v>237</v>
      </c>
      <c r="CM399" s="132"/>
      <c r="CN399" s="274"/>
      <c r="CO399" s="144"/>
      <c r="CP399" s="274"/>
      <c r="CQ399" s="132"/>
      <c r="CR399" s="132"/>
      <c r="CS399" s="132"/>
      <c r="CT399" s="274"/>
      <c r="CU399" s="144"/>
      <c r="CV399" s="274"/>
      <c r="CW399" s="132"/>
      <c r="CX399" s="132"/>
      <c r="CY399" s="132"/>
      <c r="CZ399" s="118"/>
      <c r="DA399" s="144"/>
      <c r="DB399" s="118"/>
      <c r="DC399" s="33"/>
      <c r="DD399" s="39"/>
      <c r="DE399" s="11"/>
      <c r="DF399" s="132"/>
      <c r="DG399" s="132"/>
      <c r="DH399" s="132"/>
      <c r="DI399" s="132"/>
      <c r="DJ399" s="132"/>
      <c r="DK399" s="132"/>
      <c r="DL399" s="132"/>
      <c r="DM399" s="132"/>
      <c r="DN399" s="132"/>
      <c r="DO399" s="132"/>
      <c r="DP399" s="132"/>
      <c r="DQ399" s="132"/>
      <c r="DR399" s="132"/>
      <c r="DS399" s="132"/>
      <c r="DT399" s="132"/>
      <c r="DU399" s="132"/>
      <c r="DV399" s="132"/>
      <c r="DW399" s="132"/>
      <c r="DX399" s="132"/>
      <c r="DY399" s="132"/>
      <c r="DZ399" s="132"/>
      <c r="EA399" s="132"/>
      <c r="EB399" s="132"/>
      <c r="EC399" s="132"/>
      <c r="ED399" s="132"/>
      <c r="EE399" s="132"/>
      <c r="EF399" s="132"/>
      <c r="EG399" s="132"/>
      <c r="EH399" s="132"/>
      <c r="EI399" s="132"/>
      <c r="EJ399" s="132"/>
      <c r="EK399" s="132"/>
      <c r="EL399" s="132"/>
      <c r="EM399" s="132"/>
      <c r="EN399" s="132"/>
      <c r="EO399" s="132"/>
      <c r="EP399" s="132"/>
      <c r="EQ399" s="132"/>
      <c r="ER399" s="132"/>
      <c r="ES399" s="132"/>
      <c r="ET399" s="11"/>
      <c r="EU399" s="11"/>
      <c r="EV399" s="11"/>
      <c r="EW399" s="11"/>
      <c r="EX399" s="11"/>
      <c r="EY399" s="11"/>
      <c r="EZ399" s="11"/>
      <c r="FA399" s="11"/>
      <c r="FB399" s="11"/>
      <c r="FC399" s="11"/>
      <c r="FD399" s="11"/>
      <c r="FE399" s="11"/>
      <c r="FF399" s="11"/>
      <c r="FG399" s="11"/>
      <c r="FH399" s="39">
        <f t="shared" si="96"/>
        <v>2005328.5</v>
      </c>
      <c r="FI399" s="33">
        <f t="shared" si="97"/>
        <v>3</v>
      </c>
      <c r="FJ399" s="84">
        <f t="shared" si="98"/>
        <v>668442.83333333337</v>
      </c>
    </row>
    <row r="400" spans="1:166" ht="25.5" x14ac:dyDescent="0.25">
      <c r="A400" s="79" t="e">
        <f>#REF!</f>
        <v>#REF!</v>
      </c>
      <c r="B400" s="75" t="e">
        <f>#REF!</f>
        <v>#REF!</v>
      </c>
      <c r="C400" s="75" t="e">
        <f>#REF!</f>
        <v>#REF!</v>
      </c>
      <c r="D400" s="75" t="e">
        <f>#REF!</f>
        <v>#REF!</v>
      </c>
      <c r="E400" s="30">
        <v>1</v>
      </c>
      <c r="F400" s="238">
        <v>696586.33333333326</v>
      </c>
      <c r="G400" s="241">
        <v>696507</v>
      </c>
      <c r="H400" s="249">
        <v>554335.10636666662</v>
      </c>
      <c r="I400" s="249">
        <v>0</v>
      </c>
      <c r="J400" s="249">
        <v>604347.45000000007</v>
      </c>
      <c r="K400" s="249">
        <v>0</v>
      </c>
      <c r="L400" s="274">
        <f>AVERAGE(F400,H400,J400)</f>
        <v>618422.96323333343</v>
      </c>
      <c r="M400" s="274">
        <f>G400*E1</f>
        <v>717402.21</v>
      </c>
      <c r="N400" s="245"/>
      <c r="O400" s="113"/>
      <c r="P400" s="113"/>
      <c r="Q400" s="131"/>
      <c r="R400" s="131"/>
      <c r="S400" s="64"/>
      <c r="T400" s="113"/>
      <c r="U400" s="113"/>
      <c r="V400" s="113"/>
      <c r="W400" s="131"/>
      <c r="X400" s="131"/>
      <c r="Y400" s="11"/>
      <c r="Z400" s="113"/>
      <c r="AA400" s="113"/>
      <c r="AB400" s="113"/>
      <c r="AC400" s="52"/>
      <c r="AD400" s="52"/>
      <c r="AE400" s="11"/>
      <c r="AF400" s="118"/>
      <c r="AG400" s="144"/>
      <c r="AH400" s="113"/>
      <c r="AI400" s="11"/>
      <c r="AJ400" s="11"/>
      <c r="AK400" s="39"/>
      <c r="AL400" s="113">
        <v>260000</v>
      </c>
      <c r="AM400" s="113">
        <f>+AL400*0.19</f>
        <v>49400</v>
      </c>
      <c r="AN400" s="119">
        <f>+AL400+AM400</f>
        <v>309400</v>
      </c>
      <c r="AO400" s="76" t="s">
        <v>54</v>
      </c>
      <c r="AP400" s="39" t="s">
        <v>45</v>
      </c>
      <c r="AQ400" s="39"/>
      <c r="AR400" s="275">
        <v>432000</v>
      </c>
      <c r="AS400" s="113">
        <f>+AR400*0.19</f>
        <v>82080</v>
      </c>
      <c r="AT400" s="119">
        <f>+AR400+AS400</f>
        <v>514080</v>
      </c>
      <c r="AU400" s="62" t="s">
        <v>54</v>
      </c>
      <c r="AV400" s="62" t="s">
        <v>35</v>
      </c>
      <c r="AW400" s="31"/>
      <c r="AX400" s="116"/>
      <c r="AY400" s="196"/>
      <c r="AZ400" s="143"/>
      <c r="BA400" s="191"/>
      <c r="BB400" s="132"/>
      <c r="BC400" s="132"/>
      <c r="BD400" s="274"/>
      <c r="BE400" s="143"/>
      <c r="BF400" s="143"/>
      <c r="BG400" s="132"/>
      <c r="BH400" s="132"/>
      <c r="BI400" s="132"/>
      <c r="BJ400" s="143"/>
      <c r="BK400" s="143"/>
      <c r="BL400" s="143"/>
      <c r="BM400" s="132"/>
      <c r="BN400" s="132"/>
      <c r="BO400" s="132"/>
      <c r="BP400" s="143"/>
      <c r="BQ400" s="132"/>
      <c r="BR400" s="132"/>
      <c r="BS400" s="132"/>
      <c r="BT400" s="132"/>
      <c r="BU400" s="132"/>
      <c r="BV400" s="268">
        <v>2012100</v>
      </c>
      <c r="BW400" s="144">
        <f t="shared" si="101"/>
        <v>382299</v>
      </c>
      <c r="BX400" s="113">
        <f t="shared" si="102"/>
        <v>2394399</v>
      </c>
      <c r="BY400" s="264" t="s">
        <v>342</v>
      </c>
      <c r="BZ400" s="264" t="s">
        <v>88</v>
      </c>
      <c r="CA400" s="132"/>
      <c r="CB400" s="274"/>
      <c r="CC400" s="144"/>
      <c r="CD400" s="274"/>
      <c r="CE400" s="132"/>
      <c r="CF400" s="132"/>
      <c r="CG400" s="36"/>
      <c r="CH400" s="268"/>
      <c r="CI400" s="265"/>
      <c r="CJ400" s="263"/>
      <c r="CK400" s="264"/>
      <c r="CL400" s="264"/>
      <c r="CM400" s="132"/>
      <c r="CN400" s="274"/>
      <c r="CO400" s="144"/>
      <c r="CP400" s="274"/>
      <c r="CQ400" s="132"/>
      <c r="CR400" s="132"/>
      <c r="CS400" s="132"/>
      <c r="CT400" s="274"/>
      <c r="CU400" s="144"/>
      <c r="CV400" s="274"/>
      <c r="CW400" s="132"/>
      <c r="CX400" s="132"/>
      <c r="CY400" s="132"/>
      <c r="CZ400" s="118"/>
      <c r="DA400" s="144"/>
      <c r="DB400" s="118"/>
      <c r="DC400" s="33"/>
      <c r="DD400" s="39"/>
      <c r="DE400" s="11"/>
      <c r="DF400" s="132"/>
      <c r="DG400" s="132"/>
      <c r="DH400" s="132"/>
      <c r="DI400" s="132"/>
      <c r="DJ400" s="132"/>
      <c r="DK400" s="132"/>
      <c r="DL400" s="132"/>
      <c r="DM400" s="132"/>
      <c r="DN400" s="132"/>
      <c r="DO400" s="132"/>
      <c r="DP400" s="132"/>
      <c r="DQ400" s="132"/>
      <c r="DR400" s="132"/>
      <c r="DS400" s="132"/>
      <c r="DT400" s="132"/>
      <c r="DU400" s="132"/>
      <c r="DV400" s="132"/>
      <c r="DW400" s="132"/>
      <c r="DX400" s="132"/>
      <c r="DY400" s="132"/>
      <c r="DZ400" s="132"/>
      <c r="EA400" s="132"/>
      <c r="EB400" s="132"/>
      <c r="EC400" s="132"/>
      <c r="ED400" s="132"/>
      <c r="EE400" s="132"/>
      <c r="EF400" s="132"/>
      <c r="EG400" s="132"/>
      <c r="EH400" s="132"/>
      <c r="EI400" s="132"/>
      <c r="EJ400" s="132"/>
      <c r="EK400" s="132"/>
      <c r="EL400" s="132"/>
      <c r="EM400" s="132"/>
      <c r="EN400" s="132"/>
      <c r="EO400" s="132"/>
      <c r="EP400" s="132"/>
      <c r="EQ400" s="132"/>
      <c r="ER400" s="132"/>
      <c r="ES400" s="132"/>
      <c r="ET400" s="11"/>
      <c r="EU400" s="11"/>
      <c r="EV400" s="11"/>
      <c r="EW400" s="11"/>
      <c r="EX400" s="11"/>
      <c r="EY400" s="11"/>
      <c r="EZ400" s="11"/>
      <c r="FA400" s="11"/>
      <c r="FB400" s="11"/>
      <c r="FC400" s="11"/>
      <c r="FD400" s="11"/>
      <c r="FE400" s="11"/>
      <c r="FF400" s="11"/>
      <c r="FG400" s="11"/>
      <c r="FH400" s="39">
        <f t="shared" si="96"/>
        <v>3935281.21</v>
      </c>
      <c r="FI400" s="33">
        <f t="shared" si="97"/>
        <v>4</v>
      </c>
      <c r="FJ400" s="84">
        <f t="shared" si="98"/>
        <v>983820.30249999999</v>
      </c>
    </row>
    <row r="401" spans="1:166" ht="25.5" x14ac:dyDescent="0.25">
      <c r="A401" s="79" t="e">
        <f>#REF!</f>
        <v>#REF!</v>
      </c>
      <c r="B401" s="75" t="e">
        <f>#REF!</f>
        <v>#REF!</v>
      </c>
      <c r="C401" s="75" t="e">
        <f>#REF!</f>
        <v>#REF!</v>
      </c>
      <c r="D401" s="75" t="e">
        <f>#REF!</f>
        <v>#REF!</v>
      </c>
      <c r="E401" s="30">
        <v>1</v>
      </c>
      <c r="F401" s="238">
        <v>0</v>
      </c>
      <c r="G401" s="241">
        <v>0</v>
      </c>
      <c r="H401" s="249">
        <v>639664.66666666663</v>
      </c>
      <c r="I401" s="249">
        <v>0</v>
      </c>
      <c r="J401" s="249">
        <v>687939</v>
      </c>
      <c r="K401" s="249">
        <v>0</v>
      </c>
      <c r="L401" s="274">
        <f>AVERAGE(H401,J401)</f>
        <v>663801.83333333326</v>
      </c>
      <c r="M401" s="274"/>
      <c r="N401" s="245"/>
      <c r="O401" s="113"/>
      <c r="P401" s="113"/>
      <c r="Q401" s="131"/>
      <c r="R401" s="131"/>
      <c r="S401" s="64"/>
      <c r="T401" s="113"/>
      <c r="U401" s="113"/>
      <c r="V401" s="113"/>
      <c r="W401" s="131"/>
      <c r="X401" s="131"/>
      <c r="Y401" s="11"/>
      <c r="Z401" s="113"/>
      <c r="AA401" s="113"/>
      <c r="AB401" s="113"/>
      <c r="AC401" s="52"/>
      <c r="AD401" s="52"/>
      <c r="AE401" s="11"/>
      <c r="AF401" s="118"/>
      <c r="AG401" s="144"/>
      <c r="AH401" s="113"/>
      <c r="AI401" s="11"/>
      <c r="AJ401" s="11"/>
      <c r="AK401" s="39"/>
      <c r="AL401" s="113"/>
      <c r="AM401" s="113"/>
      <c r="AN401" s="119"/>
      <c r="AO401" s="76"/>
      <c r="AP401" s="39"/>
      <c r="AQ401" s="39"/>
      <c r="AR401" s="275">
        <v>727200</v>
      </c>
      <c r="AS401" s="113">
        <f>+AR401*0.19</f>
        <v>138168</v>
      </c>
      <c r="AT401" s="119">
        <f>+AR401+AS401</f>
        <v>865368</v>
      </c>
      <c r="AU401" s="62" t="s">
        <v>34</v>
      </c>
      <c r="AV401" s="62" t="s">
        <v>35</v>
      </c>
      <c r="AW401" s="31"/>
      <c r="AX401" s="116"/>
      <c r="AY401" s="116"/>
      <c r="AZ401" s="143"/>
      <c r="BA401" s="191"/>
      <c r="BB401" s="132"/>
      <c r="BC401" s="132"/>
      <c r="BD401" s="274"/>
      <c r="BE401" s="143"/>
      <c r="BF401" s="143"/>
      <c r="BG401" s="132"/>
      <c r="BH401" s="132"/>
      <c r="BI401" s="132"/>
      <c r="BJ401" s="143"/>
      <c r="BK401" s="143"/>
      <c r="BL401" s="143"/>
      <c r="BM401" s="132"/>
      <c r="BN401" s="132"/>
      <c r="BO401" s="132"/>
      <c r="BP401" s="143"/>
      <c r="BQ401" s="132"/>
      <c r="BR401" s="132"/>
      <c r="BS401" s="132"/>
      <c r="BT401" s="132"/>
      <c r="BU401" s="132"/>
      <c r="BV401" s="263">
        <v>953000</v>
      </c>
      <c r="BW401" s="144">
        <f t="shared" si="101"/>
        <v>181070</v>
      </c>
      <c r="BX401" s="113">
        <f t="shared" si="102"/>
        <v>1134070</v>
      </c>
      <c r="BY401" s="264" t="s">
        <v>340</v>
      </c>
      <c r="BZ401" s="264" t="s">
        <v>88</v>
      </c>
      <c r="CA401" s="132"/>
      <c r="CB401" s="274"/>
      <c r="CC401" s="144"/>
      <c r="CD401" s="274"/>
      <c r="CE401" s="132"/>
      <c r="CF401" s="132"/>
      <c r="CG401" s="36"/>
      <c r="CH401" s="268">
        <v>1010180</v>
      </c>
      <c r="CI401" s="265">
        <f>+CH401*0.19</f>
        <v>191934.2</v>
      </c>
      <c r="CJ401" s="263">
        <f>+CH401+CI401</f>
        <v>1202114.2</v>
      </c>
      <c r="CK401" s="264" t="s">
        <v>340</v>
      </c>
      <c r="CL401" s="264" t="s">
        <v>88</v>
      </c>
      <c r="CM401" s="132"/>
      <c r="CN401" s="274"/>
      <c r="CO401" s="144"/>
      <c r="CP401" s="274"/>
      <c r="CQ401" s="132"/>
      <c r="CR401" s="132"/>
      <c r="CS401" s="132"/>
      <c r="CT401" s="274"/>
      <c r="CU401" s="144"/>
      <c r="CV401" s="274"/>
      <c r="CW401" s="132"/>
      <c r="CX401" s="132"/>
      <c r="CY401" s="132"/>
      <c r="CZ401" s="118"/>
      <c r="DA401" s="144"/>
      <c r="DB401" s="118"/>
      <c r="DC401" s="33"/>
      <c r="DD401" s="39"/>
      <c r="DE401" s="11"/>
      <c r="DF401" s="132"/>
      <c r="DG401" s="132"/>
      <c r="DH401" s="132"/>
      <c r="DI401" s="132"/>
      <c r="DJ401" s="132"/>
      <c r="DK401" s="132"/>
      <c r="DL401" s="132"/>
      <c r="DM401" s="132"/>
      <c r="DN401" s="132"/>
      <c r="DO401" s="132"/>
      <c r="DP401" s="132"/>
      <c r="DQ401" s="132"/>
      <c r="DR401" s="132"/>
      <c r="DS401" s="132"/>
      <c r="DT401" s="132"/>
      <c r="DU401" s="132"/>
      <c r="DV401" s="132"/>
      <c r="DW401" s="132"/>
      <c r="DX401" s="132"/>
      <c r="DY401" s="132"/>
      <c r="DZ401" s="132"/>
      <c r="EA401" s="132"/>
      <c r="EB401" s="132"/>
      <c r="EC401" s="132"/>
      <c r="ED401" s="132"/>
      <c r="EE401" s="132"/>
      <c r="EF401" s="132"/>
      <c r="EG401" s="132"/>
      <c r="EH401" s="132"/>
      <c r="EI401" s="132"/>
      <c r="EJ401" s="132"/>
      <c r="EK401" s="132"/>
      <c r="EL401" s="132"/>
      <c r="EM401" s="132"/>
      <c r="EN401" s="132"/>
      <c r="EO401" s="132"/>
      <c r="EP401" s="132"/>
      <c r="EQ401" s="132"/>
      <c r="ER401" s="132"/>
      <c r="ES401" s="132"/>
      <c r="ET401" s="11"/>
      <c r="EU401" s="11"/>
      <c r="EV401" s="11"/>
      <c r="EW401" s="11"/>
      <c r="EX401" s="11"/>
      <c r="EY401" s="11"/>
      <c r="EZ401" s="11"/>
      <c r="FA401" s="11"/>
      <c r="FB401" s="11"/>
      <c r="FC401" s="11"/>
      <c r="FD401" s="11"/>
      <c r="FE401" s="11"/>
      <c r="FF401" s="11"/>
      <c r="FG401" s="11"/>
      <c r="FH401" s="39">
        <f t="shared" si="96"/>
        <v>3201552.2</v>
      </c>
      <c r="FI401" s="33">
        <f t="shared" si="97"/>
        <v>3</v>
      </c>
      <c r="FJ401" s="84">
        <f t="shared" si="98"/>
        <v>1067184.0666666667</v>
      </c>
    </row>
    <row r="402" spans="1:166" x14ac:dyDescent="0.25">
      <c r="A402" s="79" t="e">
        <f>#REF!</f>
        <v>#REF!</v>
      </c>
      <c r="B402" s="75" t="e">
        <f>#REF!</f>
        <v>#REF!</v>
      </c>
      <c r="C402" s="75" t="e">
        <f>#REF!</f>
        <v>#REF!</v>
      </c>
      <c r="D402" s="75" t="e">
        <f>#REF!</f>
        <v>#REF!</v>
      </c>
      <c r="E402" s="30">
        <v>1</v>
      </c>
      <c r="F402" s="238">
        <v>0</v>
      </c>
      <c r="G402" s="241">
        <v>0</v>
      </c>
      <c r="H402" s="249">
        <v>0</v>
      </c>
      <c r="I402" s="249">
        <v>0</v>
      </c>
      <c r="J402" s="249">
        <v>0</v>
      </c>
      <c r="K402" s="249">
        <v>0</v>
      </c>
      <c r="L402" s="274"/>
      <c r="M402" s="274"/>
      <c r="N402" s="245"/>
      <c r="O402" s="113"/>
      <c r="P402" s="113"/>
      <c r="Q402" s="131"/>
      <c r="R402" s="131"/>
      <c r="S402" s="64"/>
      <c r="T402" s="113"/>
      <c r="U402" s="113"/>
      <c r="V402" s="113"/>
      <c r="W402" s="131"/>
      <c r="X402" s="131"/>
      <c r="Y402" s="11"/>
      <c r="Z402" s="113"/>
      <c r="AA402" s="113"/>
      <c r="AB402" s="113"/>
      <c r="AC402" s="52"/>
      <c r="AD402" s="52"/>
      <c r="AE402" s="11"/>
      <c r="AF402" s="113"/>
      <c r="AG402" s="144"/>
      <c r="AH402" s="113"/>
      <c r="AI402" s="11"/>
      <c r="AJ402" s="11"/>
      <c r="AK402" s="39"/>
      <c r="AL402" s="113"/>
      <c r="AM402" s="113"/>
      <c r="AN402" s="147"/>
      <c r="AO402" s="76"/>
      <c r="AP402" s="39"/>
      <c r="AQ402" s="39"/>
      <c r="AR402" s="275"/>
      <c r="AS402" s="158"/>
      <c r="AT402" s="159"/>
      <c r="AU402" s="62"/>
      <c r="AV402" s="62"/>
      <c r="AW402" s="31"/>
      <c r="AX402" s="116"/>
      <c r="AY402" s="196"/>
      <c r="AZ402" s="143"/>
      <c r="BA402" s="191"/>
      <c r="BB402" s="132"/>
      <c r="BC402" s="132"/>
      <c r="BD402" s="275"/>
      <c r="BE402" s="143"/>
      <c r="BF402" s="143"/>
      <c r="BG402" s="132"/>
      <c r="BH402" s="132"/>
      <c r="BI402" s="132"/>
      <c r="BJ402" s="143"/>
      <c r="BK402" s="143"/>
      <c r="BL402" s="143"/>
      <c r="BM402" s="132"/>
      <c r="BN402" s="132"/>
      <c r="BO402" s="132"/>
      <c r="BP402" s="143"/>
      <c r="BQ402" s="132"/>
      <c r="BR402" s="132"/>
      <c r="BS402" s="132"/>
      <c r="BT402" s="132"/>
      <c r="BU402" s="132"/>
      <c r="BV402" s="210"/>
      <c r="BW402" s="144"/>
      <c r="BX402" s="113"/>
      <c r="BY402" s="273"/>
      <c r="BZ402" s="273"/>
      <c r="CA402" s="132"/>
      <c r="CB402" s="275"/>
      <c r="CC402" s="143"/>
      <c r="CD402" s="275"/>
      <c r="CE402" s="132"/>
      <c r="CF402" s="132"/>
      <c r="CG402" s="36"/>
      <c r="CH402" s="210"/>
      <c r="CI402" s="219"/>
      <c r="CJ402" s="210"/>
      <c r="CK402" s="273"/>
      <c r="CL402" s="273"/>
      <c r="CM402" s="132"/>
      <c r="CN402" s="275"/>
      <c r="CO402" s="143"/>
      <c r="CP402" s="275"/>
      <c r="CQ402" s="132"/>
      <c r="CR402" s="132"/>
      <c r="CS402" s="132"/>
      <c r="CT402" s="275"/>
      <c r="CU402" s="143"/>
      <c r="CV402" s="275"/>
      <c r="CW402" s="132"/>
      <c r="CX402" s="132"/>
      <c r="CY402" s="132"/>
      <c r="CZ402" s="113"/>
      <c r="DA402" s="143"/>
      <c r="DB402" s="113"/>
      <c r="DC402" s="33"/>
      <c r="DD402" s="39"/>
      <c r="DE402" s="11"/>
      <c r="DF402" s="132"/>
      <c r="DG402" s="132"/>
      <c r="DH402" s="132"/>
      <c r="DI402" s="132"/>
      <c r="DJ402" s="132"/>
      <c r="DK402" s="132"/>
      <c r="DL402" s="132"/>
      <c r="DM402" s="132"/>
      <c r="DN402" s="132"/>
      <c r="DO402" s="132"/>
      <c r="DP402" s="132"/>
      <c r="DQ402" s="132"/>
      <c r="DR402" s="132"/>
      <c r="DS402" s="132"/>
      <c r="DT402" s="132"/>
      <c r="DU402" s="132"/>
      <c r="DV402" s="132"/>
      <c r="DW402" s="132"/>
      <c r="DX402" s="132"/>
      <c r="DY402" s="132"/>
      <c r="DZ402" s="132"/>
      <c r="EA402" s="132"/>
      <c r="EB402" s="132"/>
      <c r="EC402" s="132"/>
      <c r="ED402" s="132"/>
      <c r="EE402" s="132"/>
      <c r="EF402" s="132"/>
      <c r="EG402" s="132"/>
      <c r="EH402" s="132"/>
      <c r="EI402" s="132"/>
      <c r="EJ402" s="132"/>
      <c r="EK402" s="132"/>
      <c r="EL402" s="132"/>
      <c r="EM402" s="132"/>
      <c r="EN402" s="132"/>
      <c r="EO402" s="132"/>
      <c r="EP402" s="132"/>
      <c r="EQ402" s="132"/>
      <c r="ER402" s="132"/>
      <c r="ES402" s="132"/>
      <c r="ET402" s="11"/>
      <c r="EU402" s="11"/>
      <c r="EV402" s="11"/>
      <c r="EW402" s="11"/>
      <c r="EX402" s="11"/>
      <c r="EY402" s="11"/>
      <c r="EZ402" s="11"/>
      <c r="FA402" s="11"/>
      <c r="FB402" s="11"/>
      <c r="FC402" s="11"/>
      <c r="FD402" s="11"/>
      <c r="FE402" s="11"/>
      <c r="FF402" s="11"/>
      <c r="FG402" s="11"/>
      <c r="FH402" s="39">
        <f t="shared" si="96"/>
        <v>0</v>
      </c>
      <c r="FI402" s="33">
        <f t="shared" si="97"/>
        <v>0</v>
      </c>
      <c r="FJ402" s="84" t="str">
        <f t="shared" si="98"/>
        <v xml:space="preserve"> </v>
      </c>
    </row>
    <row r="403" spans="1:166" ht="27" x14ac:dyDescent="0.25">
      <c r="A403" s="79" t="e">
        <f>#REF!</f>
        <v>#REF!</v>
      </c>
      <c r="B403" s="75" t="e">
        <f>#REF!</f>
        <v>#REF!</v>
      </c>
      <c r="C403" s="75" t="e">
        <f>#REF!</f>
        <v>#REF!</v>
      </c>
      <c r="D403" s="75" t="e">
        <f>#REF!</f>
        <v>#REF!</v>
      </c>
      <c r="E403" s="30">
        <v>1</v>
      </c>
      <c r="F403" s="238">
        <v>0</v>
      </c>
      <c r="G403" s="241">
        <v>0</v>
      </c>
      <c r="H403" s="249">
        <v>0</v>
      </c>
      <c r="I403" s="249">
        <v>0</v>
      </c>
      <c r="J403" s="249">
        <v>291312</v>
      </c>
      <c r="K403" s="249">
        <v>0</v>
      </c>
      <c r="L403" s="274">
        <f>J403</f>
        <v>291312</v>
      </c>
      <c r="M403" s="274"/>
      <c r="N403" s="245"/>
      <c r="O403" s="113"/>
      <c r="P403" s="113"/>
      <c r="Q403" s="131"/>
      <c r="R403" s="131"/>
      <c r="S403" s="64"/>
      <c r="T403" s="113"/>
      <c r="U403" s="117"/>
      <c r="V403" s="113"/>
      <c r="W403" s="131"/>
      <c r="X403" s="131"/>
      <c r="Y403" s="11"/>
      <c r="Z403" s="113"/>
      <c r="AA403" s="113"/>
      <c r="AB403" s="113"/>
      <c r="AC403" s="52"/>
      <c r="AD403" s="52"/>
      <c r="AE403" s="11"/>
      <c r="AF403" s="118"/>
      <c r="AG403" s="144"/>
      <c r="AH403" s="113"/>
      <c r="AI403" s="11"/>
      <c r="AJ403" s="11"/>
      <c r="AK403" s="39"/>
      <c r="AL403" s="113"/>
      <c r="AM403" s="113"/>
      <c r="AN403" s="117"/>
      <c r="AO403" s="76"/>
      <c r="AP403" s="39"/>
      <c r="AQ403" s="39"/>
      <c r="AR403" s="275">
        <v>244800</v>
      </c>
      <c r="AS403" s="113">
        <f>+AR403*0.19</f>
        <v>46512</v>
      </c>
      <c r="AT403" s="119">
        <f>+AR403+AS403</f>
        <v>291312</v>
      </c>
      <c r="AU403" s="62" t="s">
        <v>204</v>
      </c>
      <c r="AV403" s="62" t="s">
        <v>35</v>
      </c>
      <c r="AW403" s="31"/>
      <c r="AX403" s="116"/>
      <c r="AY403" s="116"/>
      <c r="AZ403" s="143"/>
      <c r="BA403" s="191"/>
      <c r="BB403" s="132"/>
      <c r="BC403" s="132"/>
      <c r="BD403" s="274"/>
      <c r="BE403" s="143"/>
      <c r="BF403" s="143"/>
      <c r="BG403" s="132"/>
      <c r="BH403" s="132"/>
      <c r="BI403" s="132"/>
      <c r="BJ403" s="143"/>
      <c r="BK403" s="143"/>
      <c r="BL403" s="143"/>
      <c r="BM403" s="132"/>
      <c r="BN403" s="132"/>
      <c r="BO403" s="132"/>
      <c r="BP403" s="143"/>
      <c r="BQ403" s="132"/>
      <c r="BR403" s="132"/>
      <c r="BS403" s="132"/>
      <c r="BT403" s="132"/>
      <c r="BU403" s="132"/>
      <c r="BV403" s="263">
        <v>539000</v>
      </c>
      <c r="BW403" s="144">
        <f>BV403*19%</f>
        <v>102410</v>
      </c>
      <c r="BX403" s="113">
        <f>+BV403+BW403</f>
        <v>641410</v>
      </c>
      <c r="BY403" s="264" t="s">
        <v>346</v>
      </c>
      <c r="BZ403" s="264" t="s">
        <v>237</v>
      </c>
      <c r="CA403" s="132"/>
      <c r="CB403" s="274"/>
      <c r="CC403" s="144"/>
      <c r="CD403" s="274"/>
      <c r="CE403" s="132"/>
      <c r="CF403" s="132"/>
      <c r="CG403" s="36"/>
      <c r="CH403" s="263">
        <v>544390</v>
      </c>
      <c r="CI403" s="265">
        <f>+CH403*0.19</f>
        <v>103434.1</v>
      </c>
      <c r="CJ403" s="263">
        <f>+CH403+CI403</f>
        <v>647824.1</v>
      </c>
      <c r="CK403" s="264" t="s">
        <v>346</v>
      </c>
      <c r="CL403" s="264" t="s">
        <v>237</v>
      </c>
      <c r="CM403" s="132"/>
      <c r="CN403" s="274"/>
      <c r="CO403" s="144"/>
      <c r="CP403" s="274"/>
      <c r="CQ403" s="132"/>
      <c r="CR403" s="132"/>
      <c r="CS403" s="132"/>
      <c r="CT403" s="274"/>
      <c r="CU403" s="144"/>
      <c r="CV403" s="274"/>
      <c r="CW403" s="132"/>
      <c r="CX403" s="132"/>
      <c r="CY403" s="132"/>
      <c r="CZ403" s="118"/>
      <c r="DA403" s="144"/>
      <c r="DB403" s="118"/>
      <c r="DC403" s="33"/>
      <c r="DD403" s="39"/>
      <c r="DE403" s="11"/>
      <c r="DF403" s="132"/>
      <c r="DG403" s="132"/>
      <c r="DH403" s="132"/>
      <c r="DI403" s="132"/>
      <c r="DJ403" s="132"/>
      <c r="DK403" s="132"/>
      <c r="DL403" s="132"/>
      <c r="DM403" s="132"/>
      <c r="DN403" s="132"/>
      <c r="DO403" s="132"/>
      <c r="DP403" s="132"/>
      <c r="DQ403" s="132"/>
      <c r="DR403" s="132"/>
      <c r="DS403" s="132"/>
      <c r="DT403" s="132"/>
      <c r="DU403" s="132"/>
      <c r="DV403" s="132"/>
      <c r="DW403" s="132"/>
      <c r="DX403" s="132"/>
      <c r="DY403" s="132"/>
      <c r="DZ403" s="132"/>
      <c r="EA403" s="132"/>
      <c r="EB403" s="132"/>
      <c r="EC403" s="132"/>
      <c r="ED403" s="132"/>
      <c r="EE403" s="132"/>
      <c r="EF403" s="132"/>
      <c r="EG403" s="132"/>
      <c r="EH403" s="132"/>
      <c r="EI403" s="132"/>
      <c r="EJ403" s="132"/>
      <c r="EK403" s="132"/>
      <c r="EL403" s="132"/>
      <c r="EM403" s="132"/>
      <c r="EN403" s="132"/>
      <c r="EO403" s="132"/>
      <c r="EP403" s="132"/>
      <c r="EQ403" s="132"/>
      <c r="ER403" s="132"/>
      <c r="ES403" s="132"/>
      <c r="ET403" s="11"/>
      <c r="EU403" s="11"/>
      <c r="EV403" s="11"/>
      <c r="EW403" s="11"/>
      <c r="EX403" s="11"/>
      <c r="EY403" s="11"/>
      <c r="EZ403" s="11"/>
      <c r="FA403" s="11"/>
      <c r="FB403" s="11"/>
      <c r="FC403" s="11"/>
      <c r="FD403" s="11"/>
      <c r="FE403" s="11"/>
      <c r="FF403" s="11"/>
      <c r="FG403" s="11"/>
      <c r="FH403" s="39">
        <f t="shared" si="96"/>
        <v>1580546.1</v>
      </c>
      <c r="FI403" s="33">
        <f t="shared" si="97"/>
        <v>3</v>
      </c>
      <c r="FJ403" s="84">
        <f t="shared" si="98"/>
        <v>526848.70000000007</v>
      </c>
    </row>
    <row r="404" spans="1:166" x14ac:dyDescent="0.25">
      <c r="A404" s="79" t="e">
        <f>#REF!</f>
        <v>#REF!</v>
      </c>
      <c r="B404" s="75" t="e">
        <f>#REF!</f>
        <v>#REF!</v>
      </c>
      <c r="C404" s="75" t="e">
        <f>#REF!</f>
        <v>#REF!</v>
      </c>
      <c r="D404" s="75" t="e">
        <f>#REF!</f>
        <v>#REF!</v>
      </c>
      <c r="E404" s="30">
        <v>1</v>
      </c>
      <c r="F404" s="238">
        <v>0</v>
      </c>
      <c r="G404" s="241">
        <v>0</v>
      </c>
      <c r="H404" s="249">
        <v>0</v>
      </c>
      <c r="I404" s="249">
        <v>0</v>
      </c>
      <c r="J404" s="249">
        <v>0</v>
      </c>
      <c r="K404" s="249">
        <v>0</v>
      </c>
      <c r="L404" s="274"/>
      <c r="M404" s="274"/>
      <c r="N404" s="245"/>
      <c r="O404" s="113"/>
      <c r="P404" s="113"/>
      <c r="Q404" s="131"/>
      <c r="R404" s="131"/>
      <c r="S404" s="64"/>
      <c r="T404" s="113"/>
      <c r="U404" s="117"/>
      <c r="V404" s="113"/>
      <c r="W404" s="131"/>
      <c r="X404" s="131"/>
      <c r="Y404" s="11"/>
      <c r="Z404" s="113"/>
      <c r="AA404" s="113"/>
      <c r="AB404" s="113"/>
      <c r="AC404" s="52"/>
      <c r="AD404" s="52"/>
      <c r="AE404" s="11"/>
      <c r="AF404" s="113"/>
      <c r="AG404" s="144"/>
      <c r="AH404" s="113"/>
      <c r="AI404" s="11"/>
      <c r="AJ404" s="11"/>
      <c r="AK404" s="39"/>
      <c r="AL404" s="113"/>
      <c r="AM404" s="113"/>
      <c r="AN404" s="117"/>
      <c r="AO404" s="76"/>
      <c r="AP404" s="39"/>
      <c r="AQ404" s="39"/>
      <c r="AR404" s="275"/>
      <c r="AS404" s="156"/>
      <c r="AT404" s="157"/>
      <c r="AU404" s="62"/>
      <c r="AV404" s="62"/>
      <c r="AW404" s="31"/>
      <c r="AX404" s="116"/>
      <c r="AY404" s="194"/>
      <c r="AZ404" s="143"/>
      <c r="BA404" s="191"/>
      <c r="BB404" s="132"/>
      <c r="BC404" s="132"/>
      <c r="BD404" s="275"/>
      <c r="BE404" s="143"/>
      <c r="BF404" s="143"/>
      <c r="BG404" s="132"/>
      <c r="BH404" s="132"/>
      <c r="BI404" s="132"/>
      <c r="BJ404" s="143"/>
      <c r="BK404" s="143"/>
      <c r="BL404" s="143"/>
      <c r="BM404" s="132"/>
      <c r="BN404" s="132"/>
      <c r="BO404" s="132"/>
      <c r="BP404" s="143"/>
      <c r="BQ404" s="132"/>
      <c r="BR404" s="132"/>
      <c r="BS404" s="132"/>
      <c r="BT404" s="132"/>
      <c r="BU404" s="132"/>
      <c r="BV404" s="210"/>
      <c r="BW404" s="144"/>
      <c r="BX404" s="113"/>
      <c r="BY404" s="273"/>
      <c r="BZ404" s="273"/>
      <c r="CA404" s="132"/>
      <c r="CB404" s="275"/>
      <c r="CC404" s="143"/>
      <c r="CD404" s="275"/>
      <c r="CE404" s="132"/>
      <c r="CF404" s="132"/>
      <c r="CG404" s="36"/>
      <c r="CH404" s="210"/>
      <c r="CI404" s="219"/>
      <c r="CJ404" s="210"/>
      <c r="CK404" s="273"/>
      <c r="CL404" s="273"/>
      <c r="CM404" s="132"/>
      <c r="CN404" s="275"/>
      <c r="CO404" s="143"/>
      <c r="CP404" s="275"/>
      <c r="CQ404" s="132"/>
      <c r="CR404" s="132"/>
      <c r="CS404" s="132"/>
      <c r="CT404" s="275"/>
      <c r="CU404" s="143"/>
      <c r="CV404" s="275"/>
      <c r="CW404" s="132"/>
      <c r="CX404" s="132"/>
      <c r="CY404" s="132"/>
      <c r="CZ404" s="113"/>
      <c r="DA404" s="143"/>
      <c r="DB404" s="113"/>
      <c r="DC404" s="33"/>
      <c r="DD404" s="39"/>
      <c r="DE404" s="11"/>
      <c r="DF404" s="132"/>
      <c r="DG404" s="132"/>
      <c r="DH404" s="132"/>
      <c r="DI404" s="132"/>
      <c r="DJ404" s="132"/>
      <c r="DK404" s="132"/>
      <c r="DL404" s="132"/>
      <c r="DM404" s="132"/>
      <c r="DN404" s="132"/>
      <c r="DO404" s="132"/>
      <c r="DP404" s="132"/>
      <c r="DQ404" s="132"/>
      <c r="DR404" s="132"/>
      <c r="DS404" s="132"/>
      <c r="DT404" s="132"/>
      <c r="DU404" s="132"/>
      <c r="DV404" s="132"/>
      <c r="DW404" s="132"/>
      <c r="DX404" s="132"/>
      <c r="DY404" s="132"/>
      <c r="DZ404" s="132"/>
      <c r="EA404" s="132"/>
      <c r="EB404" s="132"/>
      <c r="EC404" s="132"/>
      <c r="ED404" s="132"/>
      <c r="EE404" s="132"/>
      <c r="EF404" s="132"/>
      <c r="EG404" s="132"/>
      <c r="EH404" s="132"/>
      <c r="EI404" s="132"/>
      <c r="EJ404" s="132"/>
      <c r="EK404" s="132"/>
      <c r="EL404" s="132"/>
      <c r="EM404" s="132"/>
      <c r="EN404" s="132"/>
      <c r="EO404" s="132"/>
      <c r="EP404" s="132"/>
      <c r="EQ404" s="132"/>
      <c r="ER404" s="132"/>
      <c r="ES404" s="132"/>
      <c r="ET404" s="11"/>
      <c r="EU404" s="11"/>
      <c r="EV404" s="11"/>
      <c r="EW404" s="11"/>
      <c r="EX404" s="11"/>
      <c r="EY404" s="11"/>
      <c r="EZ404" s="11"/>
      <c r="FA404" s="11"/>
      <c r="FB404" s="11"/>
      <c r="FC404" s="11"/>
      <c r="FD404" s="11"/>
      <c r="FE404" s="11"/>
      <c r="FF404" s="11"/>
      <c r="FG404" s="11"/>
      <c r="FH404" s="39">
        <f t="shared" si="96"/>
        <v>0</v>
      </c>
      <c r="FI404" s="33">
        <f t="shared" si="97"/>
        <v>0</v>
      </c>
      <c r="FJ404" s="84" t="str">
        <f t="shared" si="98"/>
        <v xml:space="preserve"> </v>
      </c>
    </row>
    <row r="405" spans="1:166" ht="25.5" x14ac:dyDescent="0.25">
      <c r="A405" s="79" t="e">
        <f>#REF!</f>
        <v>#REF!</v>
      </c>
      <c r="B405" s="75" t="e">
        <f>#REF!</f>
        <v>#REF!</v>
      </c>
      <c r="C405" s="75" t="e">
        <f>#REF!</f>
        <v>#REF!</v>
      </c>
      <c r="D405" s="75" t="e">
        <f>#REF!</f>
        <v>#REF!</v>
      </c>
      <c r="E405" s="30">
        <v>1</v>
      </c>
      <c r="F405" s="238">
        <v>556602.66666666663</v>
      </c>
      <c r="G405" s="241">
        <v>548233</v>
      </c>
      <c r="H405" s="249">
        <v>410585.02302222216</v>
      </c>
      <c r="I405" s="249">
        <v>410550</v>
      </c>
      <c r="J405" s="249">
        <v>415913.32999999996</v>
      </c>
      <c r="K405" s="249">
        <v>0</v>
      </c>
      <c r="L405" s="274">
        <f>AVERAGE(F405,H405,J405)</f>
        <v>461033.67322962964</v>
      </c>
      <c r="M405" s="274">
        <f>AVERAGE(G405,I405)*E1</f>
        <v>493773.245</v>
      </c>
      <c r="N405" s="245"/>
      <c r="O405" s="113"/>
      <c r="P405" s="113"/>
      <c r="Q405" s="131"/>
      <c r="R405" s="131"/>
      <c r="S405" s="64"/>
      <c r="T405" s="113"/>
      <c r="U405" s="113"/>
      <c r="V405" s="113"/>
      <c r="W405" s="131"/>
      <c r="X405" s="131"/>
      <c r="Y405" s="11"/>
      <c r="Z405" s="113"/>
      <c r="AA405" s="113"/>
      <c r="AB405" s="113"/>
      <c r="AC405" s="52"/>
      <c r="AD405" s="52"/>
      <c r="AE405" s="11"/>
      <c r="AF405" s="118">
        <v>525000</v>
      </c>
      <c r="AG405" s="144">
        <f>AF405*19%</f>
        <v>99750</v>
      </c>
      <c r="AH405" s="113">
        <f>+AF405+AG405</f>
        <v>624750</v>
      </c>
      <c r="AI405" s="11"/>
      <c r="AJ405" s="11"/>
      <c r="AK405" s="39"/>
      <c r="AL405" s="113">
        <v>320000</v>
      </c>
      <c r="AM405" s="113">
        <f>+AL405*0.19</f>
        <v>60800</v>
      </c>
      <c r="AN405" s="119">
        <f>+AL405+AM405</f>
        <v>380800</v>
      </c>
      <c r="AO405" s="76" t="s">
        <v>228</v>
      </c>
      <c r="AP405" s="39" t="s">
        <v>377</v>
      </c>
      <c r="AQ405" s="39"/>
      <c r="AR405" s="275">
        <v>172800</v>
      </c>
      <c r="AS405" s="113">
        <f>+AR405*0.19</f>
        <v>32832</v>
      </c>
      <c r="AT405" s="119">
        <f>+AR405+AS405</f>
        <v>205632</v>
      </c>
      <c r="AU405" s="62" t="s">
        <v>54</v>
      </c>
      <c r="AV405" s="62" t="s">
        <v>35</v>
      </c>
      <c r="AW405" s="31"/>
      <c r="AX405" s="116"/>
      <c r="AY405" s="194"/>
      <c r="AZ405" s="143"/>
      <c r="BA405" s="191"/>
      <c r="BB405" s="132"/>
      <c r="BC405" s="132"/>
      <c r="BD405" s="274"/>
      <c r="BE405" s="143"/>
      <c r="BF405" s="143"/>
      <c r="BG405" s="132"/>
      <c r="BH405" s="132"/>
      <c r="BI405" s="132"/>
      <c r="BJ405" s="143"/>
      <c r="BK405" s="143"/>
      <c r="BL405" s="143"/>
      <c r="BM405" s="132"/>
      <c r="BN405" s="132"/>
      <c r="BO405" s="132"/>
      <c r="BP405" s="143"/>
      <c r="BQ405" s="132"/>
      <c r="BR405" s="132"/>
      <c r="BS405" s="132"/>
      <c r="BT405" s="132"/>
      <c r="BU405" s="132"/>
      <c r="BV405" s="263">
        <v>662500</v>
      </c>
      <c r="BW405" s="144">
        <f>BV405*19%</f>
        <v>125875</v>
      </c>
      <c r="BX405" s="113">
        <f>+BV405+BW405</f>
        <v>788375</v>
      </c>
      <c r="BY405" s="264" t="s">
        <v>342</v>
      </c>
      <c r="BZ405" s="264" t="s">
        <v>88</v>
      </c>
      <c r="CA405" s="132"/>
      <c r="CB405" s="274"/>
      <c r="CC405" s="144"/>
      <c r="CD405" s="274"/>
      <c r="CE405" s="132"/>
      <c r="CF405" s="132"/>
      <c r="CG405" s="36"/>
      <c r="CH405" s="263">
        <v>689000</v>
      </c>
      <c r="CI405" s="265">
        <f>+CH405*0.19</f>
        <v>130910</v>
      </c>
      <c r="CJ405" s="263">
        <f>+CH405+CI405</f>
        <v>819910</v>
      </c>
      <c r="CK405" s="264" t="s">
        <v>342</v>
      </c>
      <c r="CL405" s="264" t="s">
        <v>88</v>
      </c>
      <c r="CM405" s="132"/>
      <c r="CN405" s="274"/>
      <c r="CO405" s="144"/>
      <c r="CP405" s="274"/>
      <c r="CQ405" s="132"/>
      <c r="CR405" s="132"/>
      <c r="CS405" s="132"/>
      <c r="CT405" s="274"/>
      <c r="CU405" s="144"/>
      <c r="CV405" s="274"/>
      <c r="CW405" s="132"/>
      <c r="CX405" s="132"/>
      <c r="CY405" s="132"/>
      <c r="CZ405" s="118"/>
      <c r="DA405" s="144"/>
      <c r="DB405" s="118"/>
      <c r="DC405" s="33"/>
      <c r="DD405" s="39"/>
      <c r="DE405" s="11"/>
      <c r="DF405" s="132"/>
      <c r="DG405" s="132"/>
      <c r="DH405" s="132"/>
      <c r="DI405" s="132"/>
      <c r="DJ405" s="132"/>
      <c r="DK405" s="132"/>
      <c r="DL405" s="132"/>
      <c r="DM405" s="132"/>
      <c r="DN405" s="132"/>
      <c r="DO405" s="132"/>
      <c r="DP405" s="132"/>
      <c r="DQ405" s="132"/>
      <c r="DR405" s="132"/>
      <c r="DS405" s="132"/>
      <c r="DT405" s="132"/>
      <c r="DU405" s="132"/>
      <c r="DV405" s="132"/>
      <c r="DW405" s="132"/>
      <c r="DX405" s="132"/>
      <c r="DY405" s="132"/>
      <c r="DZ405" s="132"/>
      <c r="EA405" s="132"/>
      <c r="EB405" s="132"/>
      <c r="EC405" s="132"/>
      <c r="ED405" s="132"/>
      <c r="EE405" s="132"/>
      <c r="EF405" s="132"/>
      <c r="EG405" s="132"/>
      <c r="EH405" s="132"/>
      <c r="EI405" s="132"/>
      <c r="EJ405" s="132"/>
      <c r="EK405" s="132"/>
      <c r="EL405" s="132"/>
      <c r="EM405" s="132"/>
      <c r="EN405" s="132"/>
      <c r="EO405" s="132"/>
      <c r="EP405" s="132"/>
      <c r="EQ405" s="132"/>
      <c r="ER405" s="132"/>
      <c r="ES405" s="132"/>
      <c r="ET405" s="11"/>
      <c r="EU405" s="11"/>
      <c r="EV405" s="11"/>
      <c r="EW405" s="11"/>
      <c r="EX405" s="11"/>
      <c r="EY405" s="11"/>
      <c r="EZ405" s="11"/>
      <c r="FA405" s="11"/>
      <c r="FB405" s="11"/>
      <c r="FC405" s="11"/>
      <c r="FD405" s="11"/>
      <c r="FE405" s="11"/>
      <c r="FF405" s="11"/>
      <c r="FG405" s="11"/>
      <c r="FH405" s="39">
        <f t="shared" si="96"/>
        <v>3313240.2450000001</v>
      </c>
      <c r="FI405" s="33">
        <f t="shared" si="97"/>
        <v>6</v>
      </c>
      <c r="FJ405" s="84">
        <f t="shared" si="98"/>
        <v>552206.70750000002</v>
      </c>
    </row>
    <row r="406" spans="1:166" ht="27" x14ac:dyDescent="0.25">
      <c r="A406" s="79" t="e">
        <f>#REF!</f>
        <v>#REF!</v>
      </c>
      <c r="B406" s="75" t="e">
        <f>#REF!</f>
        <v>#REF!</v>
      </c>
      <c r="C406" s="75" t="e">
        <f>#REF!</f>
        <v>#REF!</v>
      </c>
      <c r="D406" s="75" t="e">
        <f>#REF!</f>
        <v>#REF!</v>
      </c>
      <c r="E406" s="30">
        <v>1</v>
      </c>
      <c r="F406" s="238">
        <v>391926.5</v>
      </c>
      <c r="G406" s="241">
        <v>378182</v>
      </c>
      <c r="H406" s="249">
        <v>222350.71578999999</v>
      </c>
      <c r="I406" s="249">
        <v>222292</v>
      </c>
      <c r="J406" s="249">
        <v>0</v>
      </c>
      <c r="K406" s="249">
        <v>0</v>
      </c>
      <c r="L406" s="274">
        <f>AVERAGE(F406,H406)</f>
        <v>307138.60789500002</v>
      </c>
      <c r="M406" s="274">
        <f>AVERAGE(G406,I406)*E1</f>
        <v>309244.11</v>
      </c>
      <c r="N406" s="245"/>
      <c r="O406" s="113"/>
      <c r="P406" s="113"/>
      <c r="Q406" s="131"/>
      <c r="R406" s="131"/>
      <c r="S406" s="64"/>
      <c r="T406" s="113"/>
      <c r="U406" s="117"/>
      <c r="V406" s="113"/>
      <c r="W406" s="131"/>
      <c r="X406" s="131"/>
      <c r="Y406" s="11"/>
      <c r="Z406" s="113"/>
      <c r="AA406" s="113"/>
      <c r="AB406" s="113"/>
      <c r="AC406" s="52"/>
      <c r="AD406" s="52"/>
      <c r="AE406" s="11"/>
      <c r="AF406" s="118"/>
      <c r="AG406" s="144"/>
      <c r="AH406" s="113"/>
      <c r="AI406" s="11"/>
      <c r="AJ406" s="11"/>
      <c r="AK406" s="39"/>
      <c r="AL406" s="113">
        <v>205000</v>
      </c>
      <c r="AM406" s="113">
        <f>+AL406*0.19</f>
        <v>38950</v>
      </c>
      <c r="AN406" s="119">
        <f>+AL406+AM406</f>
        <v>243950</v>
      </c>
      <c r="AO406" s="76" t="s">
        <v>34</v>
      </c>
      <c r="AP406" s="39" t="s">
        <v>45</v>
      </c>
      <c r="AQ406" s="39"/>
      <c r="AR406" s="275">
        <v>892800</v>
      </c>
      <c r="AS406" s="113">
        <f>+AR406*0.19</f>
        <v>169632</v>
      </c>
      <c r="AT406" s="119">
        <f>+AR406+AS406</f>
        <v>1062432</v>
      </c>
      <c r="AU406" s="62" t="s">
        <v>54</v>
      </c>
      <c r="AV406" s="62" t="s">
        <v>35</v>
      </c>
      <c r="AW406" s="31"/>
      <c r="AX406" s="116"/>
      <c r="AY406" s="116"/>
      <c r="AZ406" s="143"/>
      <c r="BA406" s="191"/>
      <c r="BB406" s="132"/>
      <c r="BC406" s="132"/>
      <c r="BD406" s="274"/>
      <c r="BE406" s="143"/>
      <c r="BF406" s="143"/>
      <c r="BG406" s="132"/>
      <c r="BH406" s="132"/>
      <c r="BI406" s="132"/>
      <c r="BJ406" s="143"/>
      <c r="BK406" s="143"/>
      <c r="BL406" s="143"/>
      <c r="BM406" s="132"/>
      <c r="BN406" s="132"/>
      <c r="BO406" s="132"/>
      <c r="BP406" s="143"/>
      <c r="BQ406" s="132"/>
      <c r="BR406" s="132"/>
      <c r="BS406" s="132"/>
      <c r="BT406" s="132"/>
      <c r="BU406" s="132"/>
      <c r="BV406" s="263">
        <v>250600</v>
      </c>
      <c r="BW406" s="144">
        <f>BV406*19%</f>
        <v>47614</v>
      </c>
      <c r="BX406" s="113">
        <f>+BV406+BW406</f>
        <v>298214</v>
      </c>
      <c r="BY406" s="264" t="s">
        <v>340</v>
      </c>
      <c r="BZ406" s="264" t="s">
        <v>263</v>
      </c>
      <c r="CA406" s="132"/>
      <c r="CB406" s="274"/>
      <c r="CC406" s="144"/>
      <c r="CD406" s="274"/>
      <c r="CE406" s="132"/>
      <c r="CF406" s="132"/>
      <c r="CG406" s="36"/>
      <c r="CH406" s="263">
        <v>255612</v>
      </c>
      <c r="CI406" s="265">
        <f>+CH406*0.19</f>
        <v>48566.28</v>
      </c>
      <c r="CJ406" s="263">
        <f>+CH406+CI406</f>
        <v>304178.28000000003</v>
      </c>
      <c r="CK406" s="264" t="s">
        <v>340</v>
      </c>
      <c r="CL406" s="264" t="s">
        <v>263</v>
      </c>
      <c r="CM406" s="132"/>
      <c r="CN406" s="274"/>
      <c r="CO406" s="144"/>
      <c r="CP406" s="274"/>
      <c r="CQ406" s="132"/>
      <c r="CR406" s="132"/>
      <c r="CS406" s="132"/>
      <c r="CT406" s="274"/>
      <c r="CU406" s="144"/>
      <c r="CV406" s="274"/>
      <c r="CW406" s="132"/>
      <c r="CX406" s="132"/>
      <c r="CY406" s="132"/>
      <c r="CZ406" s="118"/>
      <c r="DA406" s="144"/>
      <c r="DB406" s="118"/>
      <c r="DC406" s="33"/>
      <c r="DD406" s="39"/>
      <c r="DE406" s="11"/>
      <c r="DF406" s="132"/>
      <c r="DG406" s="132"/>
      <c r="DH406" s="132"/>
      <c r="DI406" s="132"/>
      <c r="DJ406" s="132"/>
      <c r="DK406" s="132"/>
      <c r="DL406" s="132"/>
      <c r="DM406" s="132"/>
      <c r="DN406" s="132"/>
      <c r="DO406" s="132"/>
      <c r="DP406" s="132"/>
      <c r="DQ406" s="132"/>
      <c r="DR406" s="132"/>
      <c r="DS406" s="132"/>
      <c r="DT406" s="132"/>
      <c r="DU406" s="132"/>
      <c r="DV406" s="132"/>
      <c r="DW406" s="132"/>
      <c r="DX406" s="132"/>
      <c r="DY406" s="132"/>
      <c r="DZ406" s="132"/>
      <c r="EA406" s="132"/>
      <c r="EB406" s="132"/>
      <c r="EC406" s="132"/>
      <c r="ED406" s="132"/>
      <c r="EE406" s="132"/>
      <c r="EF406" s="132"/>
      <c r="EG406" s="132"/>
      <c r="EH406" s="132"/>
      <c r="EI406" s="132"/>
      <c r="EJ406" s="132"/>
      <c r="EK406" s="132"/>
      <c r="EL406" s="132"/>
      <c r="EM406" s="132"/>
      <c r="EN406" s="132"/>
      <c r="EO406" s="132"/>
      <c r="EP406" s="132"/>
      <c r="EQ406" s="132"/>
      <c r="ER406" s="132"/>
      <c r="ES406" s="132"/>
      <c r="ET406" s="11"/>
      <c r="EU406" s="11"/>
      <c r="EV406" s="11"/>
      <c r="EW406" s="11"/>
      <c r="EX406" s="11"/>
      <c r="EY406" s="11"/>
      <c r="EZ406" s="11"/>
      <c r="FA406" s="11"/>
      <c r="FB406" s="11"/>
      <c r="FC406" s="11"/>
      <c r="FD406" s="11"/>
      <c r="FE406" s="11"/>
      <c r="FF406" s="11"/>
      <c r="FG406" s="11"/>
      <c r="FH406" s="39">
        <f t="shared" si="96"/>
        <v>2218018.3899999997</v>
      </c>
      <c r="FI406" s="33">
        <f t="shared" si="97"/>
        <v>5</v>
      </c>
      <c r="FJ406" s="84">
        <f t="shared" si="98"/>
        <v>443603.67799999996</v>
      </c>
    </row>
    <row r="407" spans="1:166" ht="25.5" x14ac:dyDescent="0.25">
      <c r="A407" s="79" t="e">
        <f>#REF!</f>
        <v>#REF!</v>
      </c>
      <c r="B407" s="75" t="e">
        <f>#REF!</f>
        <v>#REF!</v>
      </c>
      <c r="C407" s="75" t="e">
        <f>#REF!</f>
        <v>#REF!</v>
      </c>
      <c r="D407" s="75" t="e">
        <f>#REF!</f>
        <v>#REF!</v>
      </c>
      <c r="E407" s="30">
        <v>1</v>
      </c>
      <c r="F407" s="238">
        <v>0</v>
      </c>
      <c r="G407" s="241">
        <v>0</v>
      </c>
      <c r="H407" s="249">
        <v>0</v>
      </c>
      <c r="I407" s="249">
        <v>0</v>
      </c>
      <c r="J407" s="249">
        <v>0</v>
      </c>
      <c r="K407" s="249">
        <v>0</v>
      </c>
      <c r="L407" s="274"/>
      <c r="M407" s="274"/>
      <c r="N407" s="245"/>
      <c r="O407" s="113"/>
      <c r="P407" s="113"/>
      <c r="Q407" s="131"/>
      <c r="R407" s="131"/>
      <c r="S407" s="64"/>
      <c r="T407" s="113"/>
      <c r="U407" s="113"/>
      <c r="V407" s="113"/>
      <c r="W407" s="131"/>
      <c r="X407" s="131"/>
      <c r="Y407" s="11"/>
      <c r="Z407" s="113"/>
      <c r="AA407" s="113"/>
      <c r="AB407" s="113"/>
      <c r="AC407" s="52"/>
      <c r="AD407" s="52"/>
      <c r="AE407" s="11"/>
      <c r="AF407" s="118"/>
      <c r="AG407" s="144"/>
      <c r="AH407" s="113"/>
      <c r="AI407" s="11"/>
      <c r="AJ407" s="11"/>
      <c r="AK407" s="39"/>
      <c r="AL407" s="113"/>
      <c r="AM407" s="113"/>
      <c r="AN407" s="119"/>
      <c r="AO407" s="76"/>
      <c r="AP407" s="39"/>
      <c r="AQ407" s="39"/>
      <c r="AR407" s="275">
        <v>172800</v>
      </c>
      <c r="AS407" s="113">
        <f>+AR407*0.19</f>
        <v>32832</v>
      </c>
      <c r="AT407" s="119">
        <f>+AR407+AS407</f>
        <v>205632</v>
      </c>
      <c r="AU407" s="62" t="s">
        <v>54</v>
      </c>
      <c r="AV407" s="62" t="s">
        <v>35</v>
      </c>
      <c r="AW407" s="11"/>
      <c r="AX407" s="116"/>
      <c r="AY407" s="116"/>
      <c r="AZ407" s="143"/>
      <c r="BA407" s="191"/>
      <c r="BB407" s="132"/>
      <c r="BC407" s="132"/>
      <c r="BD407" s="274"/>
      <c r="BE407" s="143"/>
      <c r="BF407" s="143"/>
      <c r="BG407" s="132"/>
      <c r="BH407" s="132"/>
      <c r="BI407" s="132"/>
      <c r="BJ407" s="143"/>
      <c r="BK407" s="143"/>
      <c r="BL407" s="143"/>
      <c r="BM407" s="132"/>
      <c r="BN407" s="132"/>
      <c r="BO407" s="132"/>
      <c r="BP407" s="143"/>
      <c r="BQ407" s="132"/>
      <c r="BR407" s="132"/>
      <c r="BS407" s="132"/>
      <c r="BT407" s="132"/>
      <c r="BU407" s="132"/>
      <c r="BV407" s="210"/>
      <c r="BW407" s="144"/>
      <c r="BX407" s="113"/>
      <c r="BY407" s="273"/>
      <c r="BZ407" s="273"/>
      <c r="CA407" s="132"/>
      <c r="CB407" s="274"/>
      <c r="CC407" s="144"/>
      <c r="CD407" s="274"/>
      <c r="CE407" s="132"/>
      <c r="CF407" s="132"/>
      <c r="CG407" s="36"/>
      <c r="CH407" s="210"/>
      <c r="CI407" s="219"/>
      <c r="CJ407" s="210"/>
      <c r="CK407" s="273"/>
      <c r="CL407" s="273"/>
      <c r="CM407" s="132"/>
      <c r="CN407" s="274"/>
      <c r="CO407" s="144"/>
      <c r="CP407" s="274"/>
      <c r="CQ407" s="132"/>
      <c r="CR407" s="132"/>
      <c r="CS407" s="132"/>
      <c r="CT407" s="274"/>
      <c r="CU407" s="144"/>
      <c r="CV407" s="274"/>
      <c r="CW407" s="132"/>
      <c r="CX407" s="132"/>
      <c r="CY407" s="132"/>
      <c r="CZ407" s="118"/>
      <c r="DA407" s="144"/>
      <c r="DB407" s="118"/>
      <c r="DC407" s="33"/>
      <c r="DD407" s="39"/>
      <c r="DE407" s="11"/>
      <c r="DF407" s="132"/>
      <c r="DG407" s="132"/>
      <c r="DH407" s="132"/>
      <c r="DI407" s="132"/>
      <c r="DJ407" s="132"/>
      <c r="DK407" s="132"/>
      <c r="DL407" s="132"/>
      <c r="DM407" s="132"/>
      <c r="DN407" s="132"/>
      <c r="DO407" s="132"/>
      <c r="DP407" s="132"/>
      <c r="DQ407" s="132"/>
      <c r="DR407" s="132"/>
      <c r="DS407" s="132"/>
      <c r="DT407" s="132"/>
      <c r="DU407" s="132"/>
      <c r="DV407" s="132"/>
      <c r="DW407" s="132"/>
      <c r="DX407" s="132"/>
      <c r="DY407" s="132"/>
      <c r="DZ407" s="132"/>
      <c r="EA407" s="132"/>
      <c r="EB407" s="132"/>
      <c r="EC407" s="132"/>
      <c r="ED407" s="132"/>
      <c r="EE407" s="132"/>
      <c r="EF407" s="132"/>
      <c r="EG407" s="132"/>
      <c r="EH407" s="132"/>
      <c r="EI407" s="132"/>
      <c r="EJ407" s="132"/>
      <c r="EK407" s="132"/>
      <c r="EL407" s="132"/>
      <c r="EM407" s="132"/>
      <c r="EN407" s="132"/>
      <c r="EO407" s="132"/>
      <c r="EP407" s="132"/>
      <c r="EQ407" s="132"/>
      <c r="ER407" s="132"/>
      <c r="ES407" s="132"/>
      <c r="ET407" s="11"/>
      <c r="EU407" s="11"/>
      <c r="EV407" s="11"/>
      <c r="EW407" s="11"/>
      <c r="EX407" s="11"/>
      <c r="EY407" s="11"/>
      <c r="EZ407" s="11"/>
      <c r="FA407" s="11"/>
      <c r="FB407" s="11"/>
      <c r="FC407" s="11"/>
      <c r="FD407" s="11"/>
      <c r="FE407" s="11"/>
      <c r="FF407" s="11"/>
      <c r="FG407" s="11"/>
      <c r="FH407" s="39">
        <f t="shared" si="96"/>
        <v>205632</v>
      </c>
      <c r="FI407" s="33">
        <f t="shared" si="97"/>
        <v>1</v>
      </c>
      <c r="FJ407" s="84">
        <f t="shared" si="98"/>
        <v>205632</v>
      </c>
    </row>
    <row r="408" spans="1:166" ht="40.5" x14ac:dyDescent="0.25">
      <c r="A408" s="79" t="e">
        <f>#REF!</f>
        <v>#REF!</v>
      </c>
      <c r="B408" s="75" t="e">
        <f>#REF!</f>
        <v>#REF!</v>
      </c>
      <c r="C408" s="75" t="e">
        <f>#REF!</f>
        <v>#REF!</v>
      </c>
      <c r="D408" s="75" t="e">
        <f>#REF!</f>
        <v>#REF!</v>
      </c>
      <c r="E408" s="30">
        <v>1</v>
      </c>
      <c r="F408" s="238">
        <v>34595</v>
      </c>
      <c r="G408" s="241">
        <v>33500</v>
      </c>
      <c r="H408" s="249">
        <v>95409.822822999995</v>
      </c>
      <c r="I408" s="249">
        <v>42000</v>
      </c>
      <c r="J408" s="249">
        <v>52643.4</v>
      </c>
      <c r="K408" s="249">
        <v>42000</v>
      </c>
      <c r="L408" s="274">
        <f>AVERAGE(F408,H408,J408)</f>
        <v>60882.740940999996</v>
      </c>
      <c r="M408" s="274">
        <f>AVERAGE(G408,I408,K408)*E1</f>
        <v>40341.666666666664</v>
      </c>
      <c r="N408" s="245"/>
      <c r="O408" s="119"/>
      <c r="P408" s="113"/>
      <c r="Q408" s="131"/>
      <c r="R408" s="131"/>
      <c r="S408" s="64"/>
      <c r="T408" s="113"/>
      <c r="U408" s="113"/>
      <c r="V408" s="113"/>
      <c r="W408" s="131"/>
      <c r="X408" s="131"/>
      <c r="Y408" s="11"/>
      <c r="Z408" s="113"/>
      <c r="AA408" s="113"/>
      <c r="AB408" s="113"/>
      <c r="AC408" s="52"/>
      <c r="AD408" s="52"/>
      <c r="AE408" s="11"/>
      <c r="AF408" s="118">
        <v>45000</v>
      </c>
      <c r="AG408" s="144">
        <v>0</v>
      </c>
      <c r="AH408" s="113">
        <f>+AF408+AG408</f>
        <v>45000</v>
      </c>
      <c r="AI408" s="11"/>
      <c r="AJ408" s="11"/>
      <c r="AK408" s="39"/>
      <c r="AL408" s="113">
        <v>39000</v>
      </c>
      <c r="AM408" s="113">
        <f>+AL408*0</f>
        <v>0</v>
      </c>
      <c r="AN408" s="119">
        <f>+AL408+AM408</f>
        <v>39000</v>
      </c>
      <c r="AO408" s="76" t="s">
        <v>378</v>
      </c>
      <c r="AP408" s="39" t="s">
        <v>164</v>
      </c>
      <c r="AQ408" s="39"/>
      <c r="AR408" s="275">
        <v>28009</v>
      </c>
      <c r="AS408" s="113">
        <f>+AR408*0</f>
        <v>0</v>
      </c>
      <c r="AT408" s="119">
        <f>+AR408+AS408</f>
        <v>28009</v>
      </c>
      <c r="AU408" s="62" t="s">
        <v>211</v>
      </c>
      <c r="AV408" s="62" t="s">
        <v>212</v>
      </c>
      <c r="AW408" s="11"/>
      <c r="AX408" s="116"/>
      <c r="AY408" s="116"/>
      <c r="AZ408" s="143"/>
      <c r="BA408" s="191"/>
      <c r="BB408" s="132"/>
      <c r="BC408" s="132"/>
      <c r="BD408" s="274"/>
      <c r="BE408" s="143"/>
      <c r="BF408" s="143"/>
      <c r="BG408" s="132"/>
      <c r="BH408" s="132"/>
      <c r="BI408" s="132"/>
      <c r="BJ408" s="143"/>
      <c r="BK408" s="143"/>
      <c r="BL408" s="143"/>
      <c r="BM408" s="52"/>
      <c r="BN408" s="22"/>
      <c r="BO408" s="131"/>
      <c r="BP408" s="113"/>
      <c r="BQ408" s="131"/>
      <c r="BR408" s="132"/>
      <c r="BS408" s="132"/>
      <c r="BT408" s="132"/>
      <c r="BU408" s="132"/>
      <c r="BV408" s="263">
        <v>68600</v>
      </c>
      <c r="BW408" s="144">
        <f>BV408*19%</f>
        <v>13034</v>
      </c>
      <c r="BX408" s="113">
        <f>+BV408+BW408</f>
        <v>81634</v>
      </c>
      <c r="BY408" s="264" t="s">
        <v>329</v>
      </c>
      <c r="BZ408" s="264" t="s">
        <v>48</v>
      </c>
      <c r="CA408" s="132"/>
      <c r="CB408" s="274"/>
      <c r="CC408" s="144"/>
      <c r="CD408" s="274"/>
      <c r="CE408" s="132"/>
      <c r="CF408" s="132"/>
      <c r="CG408" s="36"/>
      <c r="CH408" s="263">
        <v>69286</v>
      </c>
      <c r="CI408" s="265">
        <f>+CH408*0.19</f>
        <v>13164.34</v>
      </c>
      <c r="CJ408" s="263">
        <f>+CH408+CI408</f>
        <v>82450.34</v>
      </c>
      <c r="CK408" s="264" t="s">
        <v>329</v>
      </c>
      <c r="CL408" s="264" t="s">
        <v>48</v>
      </c>
      <c r="CM408" s="132"/>
      <c r="CN408" s="274"/>
      <c r="CO408" s="144"/>
      <c r="CP408" s="274"/>
      <c r="CQ408" s="132"/>
      <c r="CR408" s="132"/>
      <c r="CS408" s="132"/>
      <c r="CT408" s="274"/>
      <c r="CU408" s="144"/>
      <c r="CV408" s="274"/>
      <c r="CW408" s="132"/>
      <c r="CX408" s="132"/>
      <c r="CY408" s="132"/>
      <c r="CZ408" s="118"/>
      <c r="DA408" s="144"/>
      <c r="DB408" s="118"/>
      <c r="DC408" s="33"/>
      <c r="DD408" s="39"/>
      <c r="DE408" s="11"/>
      <c r="DF408" s="132"/>
      <c r="DG408" s="132"/>
      <c r="DH408" s="132"/>
      <c r="DI408" s="132"/>
      <c r="DJ408" s="132"/>
      <c r="DK408" s="132"/>
      <c r="DL408" s="132"/>
      <c r="DM408" s="132"/>
      <c r="DN408" s="132"/>
      <c r="DO408" s="132"/>
      <c r="DP408" s="132"/>
      <c r="DQ408" s="132"/>
      <c r="DR408" s="132"/>
      <c r="DS408" s="132"/>
      <c r="DT408" s="132"/>
      <c r="DU408" s="132"/>
      <c r="DV408" s="132"/>
      <c r="DW408" s="132"/>
      <c r="DX408" s="132"/>
      <c r="DY408" s="132"/>
      <c r="DZ408" s="132"/>
      <c r="EA408" s="132"/>
      <c r="EB408" s="132"/>
      <c r="EC408" s="132"/>
      <c r="ED408" s="132"/>
      <c r="EE408" s="132"/>
      <c r="EF408" s="132"/>
      <c r="EG408" s="132"/>
      <c r="EH408" s="132"/>
      <c r="EI408" s="132"/>
      <c r="EJ408" s="132"/>
      <c r="EK408" s="132"/>
      <c r="EL408" s="132"/>
      <c r="EM408" s="132"/>
      <c r="EN408" s="132"/>
      <c r="EO408" s="132"/>
      <c r="EP408" s="132"/>
      <c r="EQ408" s="132"/>
      <c r="ER408" s="132"/>
      <c r="ES408" s="132"/>
      <c r="ET408" s="11"/>
      <c r="EU408" s="11"/>
      <c r="EV408" s="11"/>
      <c r="EW408" s="11"/>
      <c r="EX408" s="11"/>
      <c r="EY408" s="11"/>
      <c r="EZ408" s="11"/>
      <c r="FA408" s="11"/>
      <c r="FB408" s="11"/>
      <c r="FC408" s="11"/>
      <c r="FD408" s="11"/>
      <c r="FE408" s="11"/>
      <c r="FF408" s="11"/>
      <c r="FG408" s="11"/>
      <c r="FH408" s="39">
        <f t="shared" si="96"/>
        <v>316435.00666666665</v>
      </c>
      <c r="FI408" s="33">
        <f t="shared" si="97"/>
        <v>6</v>
      </c>
      <c r="FJ408" s="84">
        <f t="shared" si="98"/>
        <v>52739.167777777773</v>
      </c>
    </row>
    <row r="409" spans="1:166" ht="27" x14ac:dyDescent="0.25">
      <c r="A409" s="79" t="e">
        <f>#REF!</f>
        <v>#REF!</v>
      </c>
      <c r="B409" s="75" t="e">
        <f>#REF!</f>
        <v>#REF!</v>
      </c>
      <c r="C409" s="75" t="e">
        <f>#REF!</f>
        <v>#REF!</v>
      </c>
      <c r="D409" s="75" t="e">
        <f>#REF!</f>
        <v>#REF!</v>
      </c>
      <c r="E409" s="30">
        <v>1</v>
      </c>
      <c r="F409" s="238">
        <v>0</v>
      </c>
      <c r="G409" s="241">
        <v>0</v>
      </c>
      <c r="H409" s="249">
        <v>0</v>
      </c>
      <c r="I409" s="249">
        <v>0</v>
      </c>
      <c r="J409" s="249">
        <v>0</v>
      </c>
      <c r="K409" s="249">
        <v>0</v>
      </c>
      <c r="L409" s="274"/>
      <c r="M409" s="274"/>
      <c r="N409" s="245"/>
      <c r="O409" s="113"/>
      <c r="P409" s="113"/>
      <c r="Q409" s="131"/>
      <c r="R409" s="131"/>
      <c r="S409" s="64"/>
      <c r="T409" s="113"/>
      <c r="U409" s="117"/>
      <c r="V409" s="113"/>
      <c r="W409" s="131"/>
      <c r="X409" s="131"/>
      <c r="Y409" s="11"/>
      <c r="Z409" s="113"/>
      <c r="AA409" s="113"/>
      <c r="AB409" s="113"/>
      <c r="AC409" s="52"/>
      <c r="AD409" s="52"/>
      <c r="AE409" s="11"/>
      <c r="AF409" s="118"/>
      <c r="AG409" s="144"/>
      <c r="AH409" s="113"/>
      <c r="AI409" s="11"/>
      <c r="AJ409" s="11"/>
      <c r="AK409" s="39"/>
      <c r="AL409" s="113"/>
      <c r="AM409" s="113"/>
      <c r="AN409" s="117"/>
      <c r="AO409" s="76"/>
      <c r="AP409" s="39"/>
      <c r="AQ409" s="39"/>
      <c r="AR409" s="275">
        <v>180000</v>
      </c>
      <c r="AS409" s="113">
        <f>+AR409*0.19</f>
        <v>34200</v>
      </c>
      <c r="AT409" s="119">
        <f>+AR409+AS409</f>
        <v>214200</v>
      </c>
      <c r="AU409" s="62" t="s">
        <v>34</v>
      </c>
      <c r="AV409" s="62" t="s">
        <v>35</v>
      </c>
      <c r="AW409" s="11"/>
      <c r="AX409" s="116"/>
      <c r="AY409" s="116"/>
      <c r="AZ409" s="143"/>
      <c r="BA409" s="191"/>
      <c r="BB409" s="132"/>
      <c r="BC409" s="132"/>
      <c r="BD409" s="274"/>
      <c r="BE409" s="143"/>
      <c r="BF409" s="143"/>
      <c r="BG409" s="132"/>
      <c r="BH409" s="132"/>
      <c r="BI409" s="132"/>
      <c r="BJ409" s="143"/>
      <c r="BK409" s="143"/>
      <c r="BL409" s="143"/>
      <c r="BM409" s="132"/>
      <c r="BN409" s="132"/>
      <c r="BO409" s="132"/>
      <c r="BP409" s="143"/>
      <c r="BQ409" s="132"/>
      <c r="BR409" s="132"/>
      <c r="BS409" s="132"/>
      <c r="BT409" s="132"/>
      <c r="BU409" s="132"/>
      <c r="BV409" s="263">
        <v>205600</v>
      </c>
      <c r="BW409" s="144">
        <f>BV409*19%</f>
        <v>39064</v>
      </c>
      <c r="BX409" s="113">
        <f>+BV409+BW409</f>
        <v>244664</v>
      </c>
      <c r="BY409" s="264" t="s">
        <v>340</v>
      </c>
      <c r="BZ409" s="264" t="s">
        <v>263</v>
      </c>
      <c r="CA409" s="132"/>
      <c r="CB409" s="274"/>
      <c r="CC409" s="144"/>
      <c r="CD409" s="274"/>
      <c r="CE409" s="132"/>
      <c r="CF409" s="132"/>
      <c r="CG409" s="36"/>
      <c r="CH409" s="263">
        <v>215880</v>
      </c>
      <c r="CI409" s="265">
        <f>+CH409*0.19</f>
        <v>41017.199999999997</v>
      </c>
      <c r="CJ409" s="263">
        <f>+CH409+CI409</f>
        <v>256897.2</v>
      </c>
      <c r="CK409" s="264" t="s">
        <v>340</v>
      </c>
      <c r="CL409" s="264" t="s">
        <v>263</v>
      </c>
      <c r="CM409" s="132"/>
      <c r="CN409" s="274"/>
      <c r="CO409" s="144"/>
      <c r="CP409" s="274"/>
      <c r="CQ409" s="132"/>
      <c r="CR409" s="132"/>
      <c r="CS409" s="132"/>
      <c r="CT409" s="274"/>
      <c r="CU409" s="144"/>
      <c r="CV409" s="274"/>
      <c r="CW409" s="132"/>
      <c r="CX409" s="132"/>
      <c r="CY409" s="132"/>
      <c r="CZ409" s="118"/>
      <c r="DA409" s="144"/>
      <c r="DB409" s="118"/>
      <c r="DC409" s="33"/>
      <c r="DD409" s="39"/>
      <c r="DE409" s="11"/>
      <c r="DF409" s="132"/>
      <c r="DG409" s="132"/>
      <c r="DH409" s="132"/>
      <c r="DI409" s="132"/>
      <c r="DJ409" s="132"/>
      <c r="DK409" s="132"/>
      <c r="DL409" s="132"/>
      <c r="DM409" s="132"/>
      <c r="DN409" s="132"/>
      <c r="DO409" s="132"/>
      <c r="DP409" s="132"/>
      <c r="DQ409" s="132"/>
      <c r="DR409" s="132"/>
      <c r="DS409" s="132"/>
      <c r="DT409" s="132"/>
      <c r="DU409" s="132"/>
      <c r="DV409" s="132"/>
      <c r="DW409" s="132"/>
      <c r="DX409" s="132"/>
      <c r="DY409" s="132"/>
      <c r="DZ409" s="132"/>
      <c r="EA409" s="132"/>
      <c r="EB409" s="132"/>
      <c r="EC409" s="132"/>
      <c r="ED409" s="132"/>
      <c r="EE409" s="132"/>
      <c r="EF409" s="132"/>
      <c r="EG409" s="132"/>
      <c r="EH409" s="132"/>
      <c r="EI409" s="132"/>
      <c r="EJ409" s="132"/>
      <c r="EK409" s="132"/>
      <c r="EL409" s="132"/>
      <c r="EM409" s="132"/>
      <c r="EN409" s="132"/>
      <c r="EO409" s="132"/>
      <c r="EP409" s="132"/>
      <c r="EQ409" s="132"/>
      <c r="ER409" s="132"/>
      <c r="ES409" s="132"/>
      <c r="ET409" s="11"/>
      <c r="EU409" s="11"/>
      <c r="EV409" s="11"/>
      <c r="EW409" s="11"/>
      <c r="EX409" s="11"/>
      <c r="EY409" s="11"/>
      <c r="EZ409" s="11"/>
      <c r="FA409" s="11"/>
      <c r="FB409" s="11"/>
      <c r="FC409" s="11"/>
      <c r="FD409" s="11"/>
      <c r="FE409" s="11"/>
      <c r="FF409" s="11"/>
      <c r="FG409" s="11"/>
      <c r="FH409" s="39">
        <f t="shared" si="96"/>
        <v>715761.2</v>
      </c>
      <c r="FI409" s="33">
        <f t="shared" si="97"/>
        <v>3</v>
      </c>
      <c r="FJ409" s="84">
        <f t="shared" si="98"/>
        <v>238587.06666666665</v>
      </c>
    </row>
    <row r="410" spans="1:166" ht="33.75" customHeight="1" x14ac:dyDescent="0.25">
      <c r="A410" s="79" t="e">
        <f>#REF!</f>
        <v>#REF!</v>
      </c>
      <c r="B410" s="75" t="e">
        <f>#REF!</f>
        <v>#REF!</v>
      </c>
      <c r="C410" s="75" t="e">
        <f>#REF!</f>
        <v>#REF!</v>
      </c>
      <c r="D410" s="75" t="e">
        <f>#REF!</f>
        <v>#REF!</v>
      </c>
      <c r="E410" s="30">
        <v>1</v>
      </c>
      <c r="F410" s="238">
        <v>0</v>
      </c>
      <c r="G410" s="241">
        <v>0</v>
      </c>
      <c r="H410" s="249">
        <v>6439660</v>
      </c>
      <c r="I410" s="249">
        <v>0</v>
      </c>
      <c r="J410" s="249">
        <v>7614900</v>
      </c>
      <c r="K410" s="249">
        <v>0</v>
      </c>
      <c r="L410" s="274">
        <f>AVERAGE(H410,J410)</f>
        <v>7027280</v>
      </c>
      <c r="M410" s="274"/>
      <c r="N410" s="245"/>
      <c r="O410" s="113"/>
      <c r="P410" s="113"/>
      <c r="Q410" s="131"/>
      <c r="R410" s="131"/>
      <c r="S410" s="64"/>
      <c r="T410" s="113"/>
      <c r="U410" s="113"/>
      <c r="V410" s="113"/>
      <c r="W410" s="131"/>
      <c r="X410" s="131"/>
      <c r="Y410" s="11"/>
      <c r="Z410" s="113"/>
      <c r="AA410" s="113"/>
      <c r="AB410" s="113"/>
      <c r="AC410" s="52"/>
      <c r="AD410" s="52"/>
      <c r="AE410" s="11"/>
      <c r="AF410" s="118"/>
      <c r="AG410" s="144"/>
      <c r="AH410" s="113"/>
      <c r="AI410" s="11"/>
      <c r="AJ410" s="11"/>
      <c r="AK410" s="39"/>
      <c r="AL410" s="113"/>
      <c r="AM410" s="113"/>
      <c r="AN410" s="119"/>
      <c r="AO410" s="76"/>
      <c r="AP410" s="39"/>
      <c r="AQ410" s="39"/>
      <c r="AR410" s="275"/>
      <c r="AS410" s="275"/>
      <c r="AT410" s="275"/>
      <c r="AU410" s="62"/>
      <c r="AV410" s="62"/>
      <c r="AW410" s="11"/>
      <c r="AX410" s="116"/>
      <c r="AY410" s="196"/>
      <c r="AZ410" s="143"/>
      <c r="BA410" s="191"/>
      <c r="BB410" s="132"/>
      <c r="BC410" s="132"/>
      <c r="BD410" s="274"/>
      <c r="BE410" s="274"/>
      <c r="BF410" s="274"/>
      <c r="BG410" s="274"/>
      <c r="BH410" s="132"/>
      <c r="BI410" s="132"/>
      <c r="BJ410" s="143"/>
      <c r="BK410" s="143"/>
      <c r="BL410" s="143"/>
      <c r="BM410" s="132"/>
      <c r="BN410" s="132"/>
      <c r="BO410" s="132"/>
      <c r="BP410" s="143"/>
      <c r="BQ410" s="132"/>
      <c r="BR410" s="132"/>
      <c r="BS410" s="132"/>
      <c r="BT410" s="132"/>
      <c r="BU410" s="132"/>
      <c r="BV410" s="267"/>
      <c r="BW410" s="143"/>
      <c r="BX410" s="113"/>
      <c r="BY410" s="264"/>
      <c r="BZ410" s="264"/>
      <c r="CA410" s="132"/>
      <c r="CB410" s="274"/>
      <c r="CC410" s="144"/>
      <c r="CD410" s="274"/>
      <c r="CE410" s="132"/>
      <c r="CF410" s="132"/>
      <c r="CG410" s="36"/>
      <c r="CH410" s="268"/>
      <c r="CI410" s="265"/>
      <c r="CJ410" s="263"/>
      <c r="CK410" s="264"/>
      <c r="CL410" s="264"/>
      <c r="CM410" s="132"/>
      <c r="CN410" s="274"/>
      <c r="CO410" s="144"/>
      <c r="CP410" s="274"/>
      <c r="CQ410" s="132"/>
      <c r="CR410" s="132"/>
      <c r="CS410" s="132"/>
      <c r="CT410" s="274"/>
      <c r="CU410" s="144"/>
      <c r="CV410" s="274"/>
      <c r="CW410" s="132"/>
      <c r="CX410" s="132"/>
      <c r="CY410" s="132"/>
      <c r="CZ410" s="118"/>
      <c r="DA410" s="144"/>
      <c r="DB410" s="118"/>
      <c r="DC410" s="33"/>
      <c r="DD410" s="39"/>
      <c r="DE410" s="11"/>
      <c r="DF410" s="132"/>
      <c r="DG410" s="132"/>
      <c r="DH410" s="132"/>
      <c r="DI410" s="132"/>
      <c r="DJ410" s="132"/>
      <c r="DK410" s="132"/>
      <c r="DL410" s="132"/>
      <c r="DM410" s="132"/>
      <c r="DN410" s="132"/>
      <c r="DO410" s="132"/>
      <c r="DP410" s="132"/>
      <c r="DQ410" s="132"/>
      <c r="DR410" s="132"/>
      <c r="DS410" s="132"/>
      <c r="DT410" s="132"/>
      <c r="DU410" s="132"/>
      <c r="DV410" s="132"/>
      <c r="DW410" s="132"/>
      <c r="DX410" s="132"/>
      <c r="DY410" s="132"/>
      <c r="DZ410" s="132"/>
      <c r="EA410" s="132"/>
      <c r="EB410" s="132"/>
      <c r="EC410" s="132"/>
      <c r="ED410" s="132"/>
      <c r="EE410" s="132"/>
      <c r="EF410" s="132"/>
      <c r="EG410" s="132"/>
      <c r="EH410" s="132"/>
      <c r="EI410" s="132"/>
      <c r="EJ410" s="132"/>
      <c r="EK410" s="132"/>
      <c r="EL410" s="132"/>
      <c r="EM410" s="132"/>
      <c r="EN410" s="132"/>
      <c r="EO410" s="132"/>
      <c r="EP410" s="132"/>
      <c r="EQ410" s="132"/>
      <c r="ER410" s="132"/>
      <c r="ES410" s="132"/>
      <c r="ET410" s="11"/>
      <c r="EU410" s="11"/>
      <c r="EV410" s="11"/>
      <c r="EW410" s="11"/>
      <c r="EX410" s="11"/>
      <c r="EY410" s="11"/>
      <c r="EZ410" s="11"/>
      <c r="FA410" s="11"/>
      <c r="FB410" s="11"/>
      <c r="FC410" s="11"/>
      <c r="FD410" s="11"/>
      <c r="FE410" s="11"/>
      <c r="FF410" s="11"/>
      <c r="FG410" s="11"/>
      <c r="FH410" s="39">
        <f t="shared" si="96"/>
        <v>0</v>
      </c>
      <c r="FI410" s="33">
        <f t="shared" si="97"/>
        <v>0</v>
      </c>
      <c r="FJ410" s="84" t="str">
        <f t="shared" si="98"/>
        <v xml:space="preserve"> </v>
      </c>
    </row>
    <row r="411" spans="1:166" ht="27" x14ac:dyDescent="0.25">
      <c r="A411" s="79" t="e">
        <f>#REF!</f>
        <v>#REF!</v>
      </c>
      <c r="B411" s="75" t="e">
        <f>#REF!</f>
        <v>#REF!</v>
      </c>
      <c r="C411" s="75" t="e">
        <f>#REF!</f>
        <v>#REF!</v>
      </c>
      <c r="D411" s="75" t="e">
        <f>#REF!</f>
        <v>#REF!</v>
      </c>
      <c r="E411" s="30">
        <v>1</v>
      </c>
      <c r="F411" s="238">
        <v>339150</v>
      </c>
      <c r="G411" s="241">
        <v>0</v>
      </c>
      <c r="H411" s="249">
        <v>601951.78166666662</v>
      </c>
      <c r="I411" s="249">
        <v>0</v>
      </c>
      <c r="J411" s="249">
        <v>873460</v>
      </c>
      <c r="K411" s="249">
        <v>0</v>
      </c>
      <c r="L411" s="274">
        <f>AVERAGE(F411,H411,J411)</f>
        <v>604853.92722222221</v>
      </c>
      <c r="M411" s="274"/>
      <c r="N411" s="245"/>
      <c r="O411" s="113"/>
      <c r="P411" s="113"/>
      <c r="Q411" s="131"/>
      <c r="R411" s="131"/>
      <c r="S411" s="64"/>
      <c r="T411" s="113"/>
      <c r="U411" s="113"/>
      <c r="V411" s="113"/>
      <c r="W411" s="131"/>
      <c r="X411" s="131"/>
      <c r="Y411" s="11"/>
      <c r="Z411" s="113"/>
      <c r="AA411" s="113"/>
      <c r="AB411" s="113"/>
      <c r="AC411" s="52"/>
      <c r="AD411" s="52"/>
      <c r="AE411" s="11"/>
      <c r="AF411" s="118"/>
      <c r="AG411" s="144"/>
      <c r="AH411" s="113"/>
      <c r="AI411" s="11"/>
      <c r="AJ411" s="11"/>
      <c r="AK411" s="39"/>
      <c r="AL411" s="113"/>
      <c r="AM411" s="113"/>
      <c r="AN411" s="119"/>
      <c r="AO411" s="76"/>
      <c r="AP411" s="39"/>
      <c r="AQ411" s="131"/>
      <c r="AR411" s="113">
        <v>1080000</v>
      </c>
      <c r="AS411" s="113">
        <f>+AR411*0.19</f>
        <v>205200</v>
      </c>
      <c r="AT411" s="119">
        <f>+AR411+AS411</f>
        <v>1285200</v>
      </c>
      <c r="AU411" s="62" t="s">
        <v>78</v>
      </c>
      <c r="AV411" s="62" t="s">
        <v>35</v>
      </c>
      <c r="AW411" s="11"/>
      <c r="AX411" s="116"/>
      <c r="AY411" s="196"/>
      <c r="AZ411" s="143"/>
      <c r="BA411" s="191"/>
      <c r="BB411" s="132"/>
      <c r="BC411" s="132"/>
      <c r="BD411" s="274"/>
      <c r="BE411" s="143"/>
      <c r="BF411" s="143"/>
      <c r="BG411" s="132"/>
      <c r="BH411" s="132"/>
      <c r="BI411" s="132"/>
      <c r="BJ411" s="143"/>
      <c r="BK411" s="143"/>
      <c r="BL411" s="143"/>
      <c r="BM411" s="132"/>
      <c r="BN411" s="132"/>
      <c r="BO411" s="132"/>
      <c r="BP411" s="143"/>
      <c r="BQ411" s="132"/>
      <c r="BR411" s="132"/>
      <c r="BS411" s="132"/>
      <c r="BT411" s="132"/>
      <c r="BU411" s="132"/>
      <c r="BV411" s="268">
        <v>4000000</v>
      </c>
      <c r="BW411" s="144">
        <f>BV411*19%</f>
        <v>760000</v>
      </c>
      <c r="BX411" s="113">
        <f>+BV411+BW411</f>
        <v>4760000</v>
      </c>
      <c r="BY411" s="264" t="s">
        <v>231</v>
      </c>
      <c r="BZ411" s="264" t="s">
        <v>263</v>
      </c>
      <c r="CA411" s="132"/>
      <c r="CB411" s="274"/>
      <c r="CC411" s="144"/>
      <c r="CD411" s="274"/>
      <c r="CE411" s="132"/>
      <c r="CF411" s="132"/>
      <c r="CG411" s="36"/>
      <c r="CH411" s="268"/>
      <c r="CI411" s="265"/>
      <c r="CJ411" s="263"/>
      <c r="CK411" s="264"/>
      <c r="CL411" s="264"/>
      <c r="CM411" s="132"/>
      <c r="CN411" s="274"/>
      <c r="CO411" s="144"/>
      <c r="CP411" s="274"/>
      <c r="CQ411" s="132"/>
      <c r="CR411" s="132"/>
      <c r="CS411" s="132"/>
      <c r="CT411" s="274"/>
      <c r="CU411" s="144"/>
      <c r="CV411" s="274"/>
      <c r="CW411" s="132"/>
      <c r="CX411" s="132"/>
      <c r="CY411" s="132"/>
      <c r="CZ411" s="118"/>
      <c r="DA411" s="144"/>
      <c r="DB411" s="118"/>
      <c r="DC411" s="33"/>
      <c r="DD411" s="39"/>
      <c r="DE411" s="11"/>
      <c r="DF411" s="132"/>
      <c r="DG411" s="132"/>
      <c r="DH411" s="132"/>
      <c r="DI411" s="132"/>
      <c r="DJ411" s="132"/>
      <c r="DK411" s="132"/>
      <c r="DL411" s="132"/>
      <c r="DM411" s="132"/>
      <c r="DN411" s="132"/>
      <c r="DO411" s="132"/>
      <c r="DP411" s="132"/>
      <c r="DQ411" s="132"/>
      <c r="DR411" s="132"/>
      <c r="DS411" s="132"/>
      <c r="DT411" s="132"/>
      <c r="DU411" s="132"/>
      <c r="DV411" s="132"/>
      <c r="DW411" s="132"/>
      <c r="DX411" s="132"/>
      <c r="DY411" s="132"/>
      <c r="DZ411" s="132"/>
      <c r="EA411" s="132"/>
      <c r="EB411" s="132"/>
      <c r="EC411" s="132"/>
      <c r="ED411" s="132"/>
      <c r="EE411" s="132"/>
      <c r="EF411" s="132"/>
      <c r="EG411" s="132"/>
      <c r="EH411" s="132"/>
      <c r="EI411" s="132"/>
      <c r="EJ411" s="132"/>
      <c r="EK411" s="132"/>
      <c r="EL411" s="132"/>
      <c r="EM411" s="132"/>
      <c r="EN411" s="132"/>
      <c r="EO411" s="132"/>
      <c r="EP411" s="132"/>
      <c r="EQ411" s="132"/>
      <c r="ER411" s="132"/>
      <c r="ES411" s="132"/>
      <c r="ET411" s="11"/>
      <c r="EU411" s="11"/>
      <c r="EV411" s="11"/>
      <c r="EW411" s="11"/>
      <c r="EX411" s="11"/>
      <c r="EY411" s="11"/>
      <c r="EZ411" s="11"/>
      <c r="FA411" s="11"/>
      <c r="FB411" s="11"/>
      <c r="FC411" s="11"/>
      <c r="FD411" s="11"/>
      <c r="FE411" s="11"/>
      <c r="FF411" s="11"/>
      <c r="FG411" s="11"/>
      <c r="FH411" s="39">
        <f t="shared" si="96"/>
        <v>6045200</v>
      </c>
      <c r="FI411" s="33">
        <f t="shared" si="97"/>
        <v>2</v>
      </c>
      <c r="FJ411" s="84">
        <f t="shared" si="98"/>
        <v>3022600</v>
      </c>
    </row>
    <row r="412" spans="1:166" ht="13.5" x14ac:dyDescent="0.25">
      <c r="A412" s="79" t="e">
        <f>#REF!</f>
        <v>#REF!</v>
      </c>
      <c r="B412" s="75" t="e">
        <f>#REF!</f>
        <v>#REF!</v>
      </c>
      <c r="C412" s="75" t="e">
        <f>#REF!</f>
        <v>#REF!</v>
      </c>
      <c r="D412" s="75" t="e">
        <f>#REF!</f>
        <v>#REF!</v>
      </c>
      <c r="E412" s="30">
        <v>1</v>
      </c>
      <c r="F412" s="238">
        <v>0</v>
      </c>
      <c r="G412" s="241">
        <v>0</v>
      </c>
      <c r="H412" s="249">
        <v>0</v>
      </c>
      <c r="I412" s="249">
        <v>0</v>
      </c>
      <c r="J412" s="249">
        <v>0</v>
      </c>
      <c r="K412" s="249">
        <v>0</v>
      </c>
      <c r="L412" s="274"/>
      <c r="M412" s="274"/>
      <c r="N412" s="245"/>
      <c r="O412" s="113"/>
      <c r="P412" s="113"/>
      <c r="Q412" s="131"/>
      <c r="R412" s="131"/>
      <c r="S412" s="64"/>
      <c r="T412" s="113"/>
      <c r="U412" s="113"/>
      <c r="V412" s="113"/>
      <c r="W412" s="131"/>
      <c r="X412" s="131"/>
      <c r="Y412" s="11"/>
      <c r="Z412" s="113"/>
      <c r="AA412" s="113"/>
      <c r="AB412" s="113"/>
      <c r="AC412" s="52"/>
      <c r="AD412" s="52"/>
      <c r="AE412" s="11"/>
      <c r="AF412" s="118"/>
      <c r="AG412" s="144"/>
      <c r="AH412" s="113"/>
      <c r="AI412" s="11"/>
      <c r="AJ412" s="11"/>
      <c r="AK412" s="39"/>
      <c r="AL412" s="113"/>
      <c r="AM412" s="113"/>
      <c r="AN412" s="119"/>
      <c r="AO412" s="76"/>
      <c r="AP412" s="131"/>
      <c r="AQ412" s="131"/>
      <c r="AR412" s="113"/>
      <c r="AS412" s="275"/>
      <c r="AT412" s="275"/>
      <c r="AU412" s="62"/>
      <c r="AV412" s="62"/>
      <c r="AW412" s="11"/>
      <c r="AX412" s="116"/>
      <c r="AY412" s="196"/>
      <c r="AZ412" s="143"/>
      <c r="BA412" s="191"/>
      <c r="BB412" s="132"/>
      <c r="BC412" s="132"/>
      <c r="BD412" s="274"/>
      <c r="BE412" s="143"/>
      <c r="BF412" s="143"/>
      <c r="BG412" s="132"/>
      <c r="BH412" s="132"/>
      <c r="BI412" s="132"/>
      <c r="BJ412" s="143"/>
      <c r="BK412" s="143"/>
      <c r="BL412" s="143"/>
      <c r="BM412" s="132"/>
      <c r="BN412" s="132"/>
      <c r="BO412" s="132"/>
      <c r="BP412" s="143"/>
      <c r="BQ412" s="132"/>
      <c r="BR412" s="132"/>
      <c r="BS412" s="132"/>
      <c r="BT412" s="132"/>
      <c r="BU412" s="132"/>
      <c r="BV412" s="263">
        <v>2729200</v>
      </c>
      <c r="BW412" s="144">
        <f>BV412*19%</f>
        <v>518548</v>
      </c>
      <c r="BX412" s="113">
        <f>+BV412+BW412</f>
        <v>3247748</v>
      </c>
      <c r="BY412" s="264" t="s">
        <v>379</v>
      </c>
      <c r="BZ412" s="264" t="s">
        <v>380</v>
      </c>
      <c r="CA412" s="131"/>
      <c r="CB412" s="274"/>
      <c r="CC412" s="144"/>
      <c r="CD412" s="274"/>
      <c r="CE412" s="132"/>
      <c r="CF412" s="132"/>
      <c r="CG412" s="36"/>
      <c r="CH412" s="268">
        <v>2892952</v>
      </c>
      <c r="CI412" s="265">
        <f>+CH412*0.19</f>
        <v>549660.88</v>
      </c>
      <c r="CJ412" s="263">
        <f>+CH412+CI412</f>
        <v>3442612.88</v>
      </c>
      <c r="CK412" s="264" t="s">
        <v>379</v>
      </c>
      <c r="CL412" s="264" t="s">
        <v>380</v>
      </c>
      <c r="CM412" s="132"/>
      <c r="CN412" s="274"/>
      <c r="CO412" s="144"/>
      <c r="CP412" s="274"/>
      <c r="CQ412" s="132"/>
      <c r="CR412" s="132"/>
      <c r="CS412" s="132"/>
      <c r="CT412" s="274"/>
      <c r="CU412" s="144"/>
      <c r="CV412" s="274"/>
      <c r="CW412" s="132"/>
      <c r="CX412" s="132"/>
      <c r="CY412" s="132"/>
      <c r="CZ412" s="118"/>
      <c r="DA412" s="144"/>
      <c r="DB412" s="118"/>
      <c r="DC412" s="33"/>
      <c r="DD412" s="39"/>
      <c r="DE412" s="11"/>
      <c r="DF412" s="132"/>
      <c r="DG412" s="132"/>
      <c r="DH412" s="132"/>
      <c r="DI412" s="132"/>
      <c r="DJ412" s="132"/>
      <c r="DK412" s="132"/>
      <c r="DL412" s="132"/>
      <c r="DM412" s="132"/>
      <c r="DN412" s="132"/>
      <c r="DO412" s="132"/>
      <c r="DP412" s="132"/>
      <c r="DQ412" s="132"/>
      <c r="DR412" s="132"/>
      <c r="DS412" s="132"/>
      <c r="DT412" s="132"/>
      <c r="DU412" s="132"/>
      <c r="DV412" s="132"/>
      <c r="DW412" s="132"/>
      <c r="DX412" s="132"/>
      <c r="DY412" s="132"/>
      <c r="DZ412" s="132"/>
      <c r="EA412" s="132"/>
      <c r="EB412" s="132"/>
      <c r="EC412" s="132"/>
      <c r="ED412" s="132"/>
      <c r="EE412" s="132"/>
      <c r="EF412" s="132"/>
      <c r="EG412" s="132"/>
      <c r="EH412" s="132"/>
      <c r="EI412" s="132"/>
      <c r="EJ412" s="132"/>
      <c r="EK412" s="132"/>
      <c r="EL412" s="132"/>
      <c r="EM412" s="132"/>
      <c r="EN412" s="132"/>
      <c r="EO412" s="132"/>
      <c r="EP412" s="132"/>
      <c r="EQ412" s="132"/>
      <c r="ER412" s="132"/>
      <c r="ES412" s="132"/>
      <c r="ET412" s="11"/>
      <c r="EU412" s="11"/>
      <c r="EV412" s="11"/>
      <c r="EW412" s="11"/>
      <c r="EX412" s="11"/>
      <c r="EY412" s="11"/>
      <c r="EZ412" s="11"/>
      <c r="FA412" s="11"/>
      <c r="FB412" s="11"/>
      <c r="FC412" s="11"/>
      <c r="FD412" s="11"/>
      <c r="FE412" s="11"/>
      <c r="FF412" s="11"/>
      <c r="FG412" s="11"/>
      <c r="FH412" s="39">
        <f t="shared" si="96"/>
        <v>6690360.8799999999</v>
      </c>
      <c r="FI412" s="33">
        <f t="shared" si="97"/>
        <v>2</v>
      </c>
      <c r="FJ412" s="84">
        <f t="shared" si="98"/>
        <v>3345180.44</v>
      </c>
    </row>
    <row r="413" spans="1:166" x14ac:dyDescent="0.25">
      <c r="A413" s="79" t="e">
        <f>#REF!</f>
        <v>#REF!</v>
      </c>
      <c r="B413" s="75" t="e">
        <f>#REF!</f>
        <v>#REF!</v>
      </c>
      <c r="C413" s="75" t="e">
        <f>#REF!</f>
        <v>#REF!</v>
      </c>
      <c r="D413" s="75" t="e">
        <f>#REF!</f>
        <v>#REF!</v>
      </c>
      <c r="E413" s="30">
        <v>1</v>
      </c>
      <c r="F413" s="238">
        <v>0</v>
      </c>
      <c r="G413" s="241">
        <v>0</v>
      </c>
      <c r="H413" s="249">
        <v>0</v>
      </c>
      <c r="I413" s="249">
        <v>0</v>
      </c>
      <c r="J413" s="249">
        <v>0</v>
      </c>
      <c r="K413" s="249">
        <v>0</v>
      </c>
      <c r="L413" s="274"/>
      <c r="M413" s="274"/>
      <c r="N413" s="245"/>
      <c r="O413" s="113"/>
      <c r="P413" s="113"/>
      <c r="Q413" s="131"/>
      <c r="R413" s="131"/>
      <c r="S413" s="64"/>
      <c r="T413" s="113"/>
      <c r="U413" s="113"/>
      <c r="V413" s="113"/>
      <c r="W413" s="131"/>
      <c r="X413" s="131"/>
      <c r="Y413" s="11"/>
      <c r="Z413" s="113"/>
      <c r="AA413" s="113"/>
      <c r="AB413" s="113"/>
      <c r="AC413" s="52"/>
      <c r="AD413" s="52"/>
      <c r="AE413" s="11"/>
      <c r="AF413" s="113"/>
      <c r="AG413" s="144"/>
      <c r="AH413" s="113"/>
      <c r="AI413" s="11"/>
      <c r="AJ413" s="11"/>
      <c r="AK413" s="39"/>
      <c r="AL413" s="113"/>
      <c r="AM413" s="113"/>
      <c r="AN413" s="117"/>
      <c r="AO413" s="76"/>
      <c r="AP413" s="131"/>
      <c r="AQ413" s="131"/>
      <c r="AR413" s="113"/>
      <c r="AS413" s="275"/>
      <c r="AT413" s="275"/>
      <c r="AU413" s="62"/>
      <c r="AV413" s="62"/>
      <c r="AW413" s="11"/>
      <c r="AX413" s="116"/>
      <c r="AY413" s="196"/>
      <c r="AZ413" s="143"/>
      <c r="BA413" s="191"/>
      <c r="BB413" s="132"/>
      <c r="BC413" s="132"/>
      <c r="BD413" s="275"/>
      <c r="BE413" s="143"/>
      <c r="BF413" s="143"/>
      <c r="BG413" s="132"/>
      <c r="BH413" s="132"/>
      <c r="BI413" s="132"/>
      <c r="BJ413" s="143"/>
      <c r="BK413" s="143"/>
      <c r="BL413" s="143"/>
      <c r="BM413" s="132"/>
      <c r="BN413" s="132"/>
      <c r="BO413" s="132"/>
      <c r="BP413" s="143"/>
      <c r="BQ413" s="132"/>
      <c r="BR413" s="132"/>
      <c r="BS413" s="132"/>
      <c r="BT413" s="132"/>
      <c r="BU413" s="132"/>
      <c r="BV413" s="210"/>
      <c r="BW413" s="144"/>
      <c r="BX413" s="113"/>
      <c r="BY413" s="273"/>
      <c r="BZ413" s="273"/>
      <c r="CA413" s="131"/>
      <c r="CB413" s="275"/>
      <c r="CC413" s="143"/>
      <c r="CD413" s="275"/>
      <c r="CE413" s="132"/>
      <c r="CF413" s="132"/>
      <c r="CG413" s="36"/>
      <c r="CH413" s="210"/>
      <c r="CI413" s="219"/>
      <c r="CJ413" s="210"/>
      <c r="CK413" s="273"/>
      <c r="CL413" s="273"/>
      <c r="CM413" s="132"/>
      <c r="CN413" s="275"/>
      <c r="CO413" s="143"/>
      <c r="CP413" s="275"/>
      <c r="CQ413" s="132"/>
      <c r="CR413" s="132"/>
      <c r="CS413" s="132"/>
      <c r="CT413" s="275"/>
      <c r="CU413" s="143"/>
      <c r="CV413" s="275"/>
      <c r="CW413" s="132"/>
      <c r="CX413" s="132"/>
      <c r="CY413" s="132"/>
      <c r="CZ413" s="113"/>
      <c r="DA413" s="143"/>
      <c r="DB413" s="113"/>
      <c r="DC413" s="33"/>
      <c r="DD413" s="39"/>
      <c r="DE413" s="11"/>
      <c r="DF413" s="132"/>
      <c r="DG413" s="132"/>
      <c r="DH413" s="132"/>
      <c r="DI413" s="132"/>
      <c r="DJ413" s="132"/>
      <c r="DK413" s="132"/>
      <c r="DL413" s="132"/>
      <c r="DM413" s="132"/>
      <c r="DN413" s="132"/>
      <c r="DO413" s="132"/>
      <c r="DP413" s="132"/>
      <c r="DQ413" s="132"/>
      <c r="DR413" s="132"/>
      <c r="DS413" s="132"/>
      <c r="DT413" s="132"/>
      <c r="DU413" s="132"/>
      <c r="DV413" s="132"/>
      <c r="DW413" s="132"/>
      <c r="DX413" s="132"/>
      <c r="DY413" s="132"/>
      <c r="DZ413" s="132"/>
      <c r="EA413" s="132"/>
      <c r="EB413" s="132"/>
      <c r="EC413" s="132"/>
      <c r="ED413" s="132"/>
      <c r="EE413" s="132"/>
      <c r="EF413" s="132"/>
      <c r="EG413" s="132"/>
      <c r="EH413" s="132"/>
      <c r="EI413" s="132"/>
      <c r="EJ413" s="132"/>
      <c r="EK413" s="132"/>
      <c r="EL413" s="132"/>
      <c r="EM413" s="132"/>
      <c r="EN413" s="132"/>
      <c r="EO413" s="132"/>
      <c r="EP413" s="132"/>
      <c r="EQ413" s="132"/>
      <c r="ER413" s="132"/>
      <c r="ES413" s="132"/>
      <c r="ET413" s="11"/>
      <c r="EU413" s="11"/>
      <c r="EV413" s="11"/>
      <c r="EW413" s="11"/>
      <c r="EX413" s="11"/>
      <c r="EY413" s="11"/>
      <c r="EZ413" s="11"/>
      <c r="FA413" s="11"/>
      <c r="FB413" s="11"/>
      <c r="FC413" s="11"/>
      <c r="FD413" s="11"/>
      <c r="FE413" s="11"/>
      <c r="FF413" s="11"/>
      <c r="FG413" s="11"/>
      <c r="FH413" s="39">
        <f t="shared" si="96"/>
        <v>0</v>
      </c>
      <c r="FI413" s="33">
        <f t="shared" si="97"/>
        <v>0</v>
      </c>
      <c r="FJ413" s="84" t="str">
        <f t="shared" si="98"/>
        <v xml:space="preserve"> </v>
      </c>
    </row>
    <row r="414" spans="1:166" ht="13.5" x14ac:dyDescent="0.25">
      <c r="A414" s="79" t="e">
        <f>#REF!</f>
        <v>#REF!</v>
      </c>
      <c r="B414" s="75" t="e">
        <f>#REF!</f>
        <v>#REF!</v>
      </c>
      <c r="C414" s="75" t="e">
        <f>#REF!</f>
        <v>#REF!</v>
      </c>
      <c r="D414" s="75" t="e">
        <f>#REF!</f>
        <v>#REF!</v>
      </c>
      <c r="E414" s="30">
        <v>1</v>
      </c>
      <c r="F414" s="238">
        <v>0</v>
      </c>
      <c r="G414" s="241">
        <v>0</v>
      </c>
      <c r="H414" s="249">
        <v>2142000</v>
      </c>
      <c r="I414" s="249">
        <v>0</v>
      </c>
      <c r="J414" s="249">
        <v>0</v>
      </c>
      <c r="K414" s="249">
        <v>0</v>
      </c>
      <c r="L414" s="274">
        <f>H414</f>
        <v>2142000</v>
      </c>
      <c r="M414" s="274"/>
      <c r="N414" s="245"/>
      <c r="O414" s="113"/>
      <c r="P414" s="113"/>
      <c r="Q414" s="131"/>
      <c r="R414" s="131"/>
      <c r="S414" s="64"/>
      <c r="T414" s="113"/>
      <c r="U414" s="113"/>
      <c r="V414" s="113"/>
      <c r="W414" s="131"/>
      <c r="X414" s="131"/>
      <c r="Y414" s="11"/>
      <c r="Z414" s="113"/>
      <c r="AA414" s="113"/>
      <c r="AB414" s="113"/>
      <c r="AC414" s="52"/>
      <c r="AD414" s="52"/>
      <c r="AE414" s="11"/>
      <c r="AF414" s="118"/>
      <c r="AG414" s="144"/>
      <c r="AH414" s="113"/>
      <c r="AI414" s="11"/>
      <c r="AJ414" s="11"/>
      <c r="AK414" s="39"/>
      <c r="AL414" s="113"/>
      <c r="AM414" s="113"/>
      <c r="AN414" s="119"/>
      <c r="AO414" s="76"/>
      <c r="AP414" s="39"/>
      <c r="AQ414" s="39"/>
      <c r="AR414" s="275"/>
      <c r="AS414" s="275"/>
      <c r="AT414" s="275"/>
      <c r="AU414" s="62"/>
      <c r="AV414" s="62"/>
      <c r="AW414" s="11"/>
      <c r="AX414" s="116"/>
      <c r="AY414" s="196"/>
      <c r="AZ414" s="143"/>
      <c r="BA414" s="191"/>
      <c r="BB414" s="132"/>
      <c r="BC414" s="132"/>
      <c r="BD414" s="274"/>
      <c r="BE414" s="274"/>
      <c r="BF414" s="274"/>
      <c r="BG414" s="274"/>
      <c r="BH414" s="132"/>
      <c r="BI414" s="132"/>
      <c r="BJ414" s="143"/>
      <c r="BK414" s="143"/>
      <c r="BL414" s="143"/>
      <c r="BM414" s="132"/>
      <c r="BN414" s="132"/>
      <c r="BO414" s="132"/>
      <c r="BP414" s="143"/>
      <c r="BQ414" s="132"/>
      <c r="BR414" s="132"/>
      <c r="BS414" s="132"/>
      <c r="BT414" s="132"/>
      <c r="BU414" s="132"/>
      <c r="BV414" s="263">
        <v>2729200</v>
      </c>
      <c r="BW414" s="144">
        <f t="shared" ref="BW414:BW426" si="103">BV414*19%</f>
        <v>518548</v>
      </c>
      <c r="BX414" s="113">
        <f t="shared" ref="BX414:BX426" si="104">+BV414+BW414</f>
        <v>3247748</v>
      </c>
      <c r="BY414" s="264" t="s">
        <v>381</v>
      </c>
      <c r="BZ414" s="264" t="s">
        <v>380</v>
      </c>
      <c r="CA414" s="132"/>
      <c r="CB414" s="274"/>
      <c r="CC414" s="144"/>
      <c r="CD414" s="274"/>
      <c r="CE414" s="132"/>
      <c r="CF414" s="132"/>
      <c r="CG414" s="36"/>
      <c r="CH414" s="268">
        <v>2783784</v>
      </c>
      <c r="CI414" s="265">
        <f t="shared" ref="CI414:CI426" si="105">+CH414*0.19</f>
        <v>528918.96</v>
      </c>
      <c r="CJ414" s="263">
        <f t="shared" ref="CJ414:CJ426" si="106">+CH414+CI414</f>
        <v>3312702.96</v>
      </c>
      <c r="CK414" s="264" t="s">
        <v>381</v>
      </c>
      <c r="CL414" s="264" t="s">
        <v>380</v>
      </c>
      <c r="CM414" s="132"/>
      <c r="CN414" s="274"/>
      <c r="CO414" s="144"/>
      <c r="CP414" s="274"/>
      <c r="CQ414" s="132"/>
      <c r="CR414" s="132"/>
      <c r="CS414" s="132"/>
      <c r="CT414" s="274"/>
      <c r="CU414" s="144"/>
      <c r="CV414" s="274"/>
      <c r="CW414" s="132"/>
      <c r="CX414" s="132"/>
      <c r="CY414" s="132"/>
      <c r="CZ414" s="118"/>
      <c r="DA414" s="144"/>
      <c r="DB414" s="118"/>
      <c r="DC414" s="33"/>
      <c r="DD414" s="39"/>
      <c r="DE414" s="11"/>
      <c r="DF414" s="132"/>
      <c r="DG414" s="132"/>
      <c r="DH414" s="132"/>
      <c r="DI414" s="132"/>
      <c r="DJ414" s="132"/>
      <c r="DK414" s="132"/>
      <c r="DL414" s="132"/>
      <c r="DM414" s="132"/>
      <c r="DN414" s="132"/>
      <c r="DO414" s="132"/>
      <c r="DP414" s="132"/>
      <c r="DQ414" s="132"/>
      <c r="DR414" s="132"/>
      <c r="DS414" s="132"/>
      <c r="DT414" s="132"/>
      <c r="DU414" s="132"/>
      <c r="DV414" s="132"/>
      <c r="DW414" s="132"/>
      <c r="DX414" s="132"/>
      <c r="DY414" s="132"/>
      <c r="DZ414" s="132"/>
      <c r="EA414" s="132"/>
      <c r="EB414" s="132"/>
      <c r="EC414" s="132"/>
      <c r="ED414" s="132"/>
      <c r="EE414" s="132"/>
      <c r="EF414" s="132"/>
      <c r="EG414" s="132"/>
      <c r="EH414" s="132"/>
      <c r="EI414" s="132"/>
      <c r="EJ414" s="132"/>
      <c r="EK414" s="132"/>
      <c r="EL414" s="132"/>
      <c r="EM414" s="132"/>
      <c r="EN414" s="132"/>
      <c r="EO414" s="132"/>
      <c r="EP414" s="132"/>
      <c r="EQ414" s="132"/>
      <c r="ER414" s="132"/>
      <c r="ES414" s="132"/>
      <c r="ET414" s="11"/>
      <c r="EU414" s="11"/>
      <c r="EV414" s="11"/>
      <c r="EW414" s="11"/>
      <c r="EX414" s="11"/>
      <c r="EY414" s="11"/>
      <c r="EZ414" s="11"/>
      <c r="FA414" s="11"/>
      <c r="FB414" s="11"/>
      <c r="FC414" s="11"/>
      <c r="FD414" s="11"/>
      <c r="FE414" s="11"/>
      <c r="FF414" s="11"/>
      <c r="FG414" s="11"/>
      <c r="FH414" s="39">
        <f t="shared" si="96"/>
        <v>6560450.96</v>
      </c>
      <c r="FI414" s="33">
        <f t="shared" si="97"/>
        <v>2</v>
      </c>
      <c r="FJ414" s="84">
        <f t="shared" si="98"/>
        <v>3280225.48</v>
      </c>
    </row>
    <row r="415" spans="1:166" ht="13.5" x14ac:dyDescent="0.25">
      <c r="A415" s="79" t="e">
        <f>#REF!</f>
        <v>#REF!</v>
      </c>
      <c r="B415" s="75" t="e">
        <f>#REF!</f>
        <v>#REF!</v>
      </c>
      <c r="C415" s="75" t="e">
        <f>#REF!</f>
        <v>#REF!</v>
      </c>
      <c r="D415" s="75" t="e">
        <f>#REF!</f>
        <v>#REF!</v>
      </c>
      <c r="E415" s="30">
        <v>1</v>
      </c>
      <c r="F415" s="238">
        <v>0</v>
      </c>
      <c r="G415" s="241">
        <v>0</v>
      </c>
      <c r="H415" s="249">
        <v>2142000</v>
      </c>
      <c r="I415" s="249">
        <v>0</v>
      </c>
      <c r="J415" s="249">
        <v>0</v>
      </c>
      <c r="K415" s="249">
        <v>0</v>
      </c>
      <c r="L415" s="274">
        <f>H415</f>
        <v>2142000</v>
      </c>
      <c r="M415" s="274"/>
      <c r="N415" s="245"/>
      <c r="O415" s="113"/>
      <c r="P415" s="113"/>
      <c r="Q415" s="131"/>
      <c r="R415" s="131"/>
      <c r="S415" s="64"/>
      <c r="T415" s="113"/>
      <c r="U415" s="113"/>
      <c r="V415" s="113"/>
      <c r="W415" s="131"/>
      <c r="X415" s="131"/>
      <c r="Y415" s="11"/>
      <c r="Z415" s="113"/>
      <c r="AA415" s="113"/>
      <c r="AB415" s="113"/>
      <c r="AC415" s="52"/>
      <c r="AD415" s="52"/>
      <c r="AE415" s="11"/>
      <c r="AF415" s="118"/>
      <c r="AG415" s="144"/>
      <c r="AH415" s="113"/>
      <c r="AI415" s="11"/>
      <c r="AJ415" s="11"/>
      <c r="AK415" s="39"/>
      <c r="AL415" s="113"/>
      <c r="AM415" s="113"/>
      <c r="AN415" s="117"/>
      <c r="AO415" s="76"/>
      <c r="AP415" s="39"/>
      <c r="AQ415" s="39"/>
      <c r="AR415" s="275"/>
      <c r="AS415" s="275"/>
      <c r="AT415" s="275"/>
      <c r="AU415" s="62"/>
      <c r="AV415" s="62"/>
      <c r="AW415" s="11"/>
      <c r="AX415" s="116"/>
      <c r="AY415" s="196"/>
      <c r="AZ415" s="143"/>
      <c r="BA415" s="191"/>
      <c r="BB415" s="132"/>
      <c r="BC415" s="132"/>
      <c r="BD415" s="274"/>
      <c r="BE415" s="143"/>
      <c r="BF415" s="143"/>
      <c r="BG415" s="132"/>
      <c r="BH415" s="132"/>
      <c r="BI415" s="132"/>
      <c r="BJ415" s="143"/>
      <c r="BK415" s="143"/>
      <c r="BL415" s="143"/>
      <c r="BM415" s="132"/>
      <c r="BN415" s="132"/>
      <c r="BO415" s="132"/>
      <c r="BP415" s="143"/>
      <c r="BQ415" s="132"/>
      <c r="BR415" s="132"/>
      <c r="BS415" s="132"/>
      <c r="BT415" s="132"/>
      <c r="BU415" s="132"/>
      <c r="BV415" s="263">
        <v>4830000</v>
      </c>
      <c r="BW415" s="144">
        <f t="shared" si="103"/>
        <v>917700</v>
      </c>
      <c r="BX415" s="113">
        <f t="shared" si="104"/>
        <v>5747700</v>
      </c>
      <c r="BY415" s="264" t="s">
        <v>382</v>
      </c>
      <c r="BZ415" s="264" t="s">
        <v>383</v>
      </c>
      <c r="CA415" s="132"/>
      <c r="CB415" s="274"/>
      <c r="CC415" s="144"/>
      <c r="CD415" s="274"/>
      <c r="CE415" s="132"/>
      <c r="CF415" s="132"/>
      <c r="CG415" s="36"/>
      <c r="CH415" s="268">
        <v>5168100</v>
      </c>
      <c r="CI415" s="265">
        <f t="shared" si="105"/>
        <v>981939</v>
      </c>
      <c r="CJ415" s="263">
        <f t="shared" si="106"/>
        <v>6150039</v>
      </c>
      <c r="CK415" s="264" t="s">
        <v>382</v>
      </c>
      <c r="CL415" s="264" t="s">
        <v>383</v>
      </c>
      <c r="CM415" s="132"/>
      <c r="CN415" s="274"/>
      <c r="CO415" s="144"/>
      <c r="CP415" s="274"/>
      <c r="CQ415" s="132"/>
      <c r="CR415" s="132"/>
      <c r="CS415" s="132"/>
      <c r="CT415" s="274"/>
      <c r="CU415" s="144"/>
      <c r="CV415" s="274"/>
      <c r="CW415" s="132"/>
      <c r="CX415" s="132"/>
      <c r="CY415" s="132"/>
      <c r="CZ415" s="118"/>
      <c r="DA415" s="144"/>
      <c r="DB415" s="118"/>
      <c r="DC415" s="33"/>
      <c r="DD415" s="39"/>
      <c r="DE415" s="11"/>
      <c r="DF415" s="132"/>
      <c r="DG415" s="132"/>
      <c r="DH415" s="132"/>
      <c r="DI415" s="132"/>
      <c r="DJ415" s="132"/>
      <c r="DK415" s="132"/>
      <c r="DL415" s="132"/>
      <c r="DM415" s="132"/>
      <c r="DN415" s="132"/>
      <c r="DO415" s="132"/>
      <c r="DP415" s="132"/>
      <c r="DQ415" s="132"/>
      <c r="DR415" s="132"/>
      <c r="DS415" s="132"/>
      <c r="DT415" s="132"/>
      <c r="DU415" s="132"/>
      <c r="DV415" s="132"/>
      <c r="DW415" s="132"/>
      <c r="DX415" s="132"/>
      <c r="DY415" s="132"/>
      <c r="DZ415" s="132"/>
      <c r="EA415" s="132"/>
      <c r="EB415" s="132"/>
      <c r="EC415" s="132"/>
      <c r="ED415" s="132"/>
      <c r="EE415" s="132"/>
      <c r="EF415" s="132"/>
      <c r="EG415" s="132"/>
      <c r="EH415" s="132"/>
      <c r="EI415" s="132"/>
      <c r="EJ415" s="132"/>
      <c r="EK415" s="132"/>
      <c r="EL415" s="132"/>
      <c r="EM415" s="132"/>
      <c r="EN415" s="132"/>
      <c r="EO415" s="132"/>
      <c r="EP415" s="132"/>
      <c r="EQ415" s="132"/>
      <c r="ER415" s="132"/>
      <c r="ES415" s="132"/>
      <c r="ET415" s="11"/>
      <c r="EU415" s="11"/>
      <c r="EV415" s="11"/>
      <c r="EW415" s="11"/>
      <c r="EX415" s="11"/>
      <c r="EY415" s="11"/>
      <c r="EZ415" s="11"/>
      <c r="FA415" s="11"/>
      <c r="FB415" s="11"/>
      <c r="FC415" s="11"/>
      <c r="FD415" s="11"/>
      <c r="FE415" s="11"/>
      <c r="FF415" s="11"/>
      <c r="FG415" s="11"/>
      <c r="FH415" s="39">
        <f t="shared" si="96"/>
        <v>11897739</v>
      </c>
      <c r="FI415" s="33">
        <f t="shared" si="97"/>
        <v>2</v>
      </c>
      <c r="FJ415" s="84">
        <f t="shared" si="98"/>
        <v>5948869.5</v>
      </c>
    </row>
    <row r="416" spans="1:166" ht="13.5" x14ac:dyDescent="0.25">
      <c r="A416" s="79" t="e">
        <f>#REF!</f>
        <v>#REF!</v>
      </c>
      <c r="B416" s="75" t="e">
        <f>#REF!</f>
        <v>#REF!</v>
      </c>
      <c r="C416" s="75" t="e">
        <f>#REF!</f>
        <v>#REF!</v>
      </c>
      <c r="D416" s="75" t="e">
        <f>#REF!</f>
        <v>#REF!</v>
      </c>
      <c r="E416" s="30">
        <v>1</v>
      </c>
      <c r="F416" s="238">
        <v>0</v>
      </c>
      <c r="G416" s="241">
        <v>0</v>
      </c>
      <c r="H416" s="249">
        <v>849660</v>
      </c>
      <c r="I416" s="249">
        <v>0</v>
      </c>
      <c r="J416" s="249">
        <v>204680</v>
      </c>
      <c r="K416" s="249">
        <v>0</v>
      </c>
      <c r="L416" s="274">
        <f>AVERAGE(H416,J416)</f>
        <v>527170</v>
      </c>
      <c r="M416" s="274"/>
      <c r="N416" s="245"/>
      <c r="O416" s="113"/>
      <c r="P416" s="113"/>
      <c r="Q416" s="131"/>
      <c r="R416" s="131"/>
      <c r="S416" s="64"/>
      <c r="T416" s="113"/>
      <c r="U416" s="113"/>
      <c r="V416" s="113"/>
      <c r="W416" s="131"/>
      <c r="X416" s="131"/>
      <c r="Y416" s="11"/>
      <c r="Z416" s="113"/>
      <c r="AA416" s="113"/>
      <c r="AB416" s="113"/>
      <c r="AC416" s="52"/>
      <c r="AD416" s="52"/>
      <c r="AE416" s="11"/>
      <c r="AF416" s="118"/>
      <c r="AG416" s="144"/>
      <c r="AH416" s="113"/>
      <c r="AI416" s="11"/>
      <c r="AJ416" s="11"/>
      <c r="AK416" s="39"/>
      <c r="AL416" s="113"/>
      <c r="AM416" s="113"/>
      <c r="AN416" s="119"/>
      <c r="AO416" s="76"/>
      <c r="AP416" s="39"/>
      <c r="AQ416" s="39"/>
      <c r="AR416" s="275"/>
      <c r="AS416" s="275"/>
      <c r="AT416" s="275"/>
      <c r="AU416" s="62"/>
      <c r="AV416" s="62"/>
      <c r="AW416" s="11"/>
      <c r="AX416" s="116"/>
      <c r="AY416" s="196"/>
      <c r="AZ416" s="143"/>
      <c r="BA416" s="191"/>
      <c r="BB416" s="132"/>
      <c r="BC416" s="132"/>
      <c r="BD416" s="274"/>
      <c r="BE416" s="274"/>
      <c r="BF416" s="274"/>
      <c r="BG416" s="274"/>
      <c r="BH416" s="132"/>
      <c r="BI416" s="132"/>
      <c r="BJ416" s="143"/>
      <c r="BK416" s="143"/>
      <c r="BL416" s="143"/>
      <c r="BM416" s="132"/>
      <c r="BN416" s="132"/>
      <c r="BO416" s="132"/>
      <c r="BP416" s="143"/>
      <c r="BQ416" s="132"/>
      <c r="BR416" s="132"/>
      <c r="BS416" s="132"/>
      <c r="BT416" s="132"/>
      <c r="BU416" s="132"/>
      <c r="BV416" s="263">
        <v>2730200</v>
      </c>
      <c r="BW416" s="144">
        <f t="shared" si="103"/>
        <v>518738</v>
      </c>
      <c r="BX416" s="113">
        <f t="shared" si="104"/>
        <v>3248938</v>
      </c>
      <c r="BY416" s="264" t="s">
        <v>259</v>
      </c>
      <c r="BZ416" s="264" t="s">
        <v>384</v>
      </c>
      <c r="CA416" s="132"/>
      <c r="CB416" s="274"/>
      <c r="CC416" s="144"/>
      <c r="CD416" s="274"/>
      <c r="CE416" s="132"/>
      <c r="CF416" s="132"/>
      <c r="CG416" s="36"/>
      <c r="CH416" s="268">
        <v>2757502</v>
      </c>
      <c r="CI416" s="265">
        <f t="shared" si="105"/>
        <v>523925.38</v>
      </c>
      <c r="CJ416" s="263">
        <f t="shared" si="106"/>
        <v>3281427.38</v>
      </c>
      <c r="CK416" s="264" t="s">
        <v>259</v>
      </c>
      <c r="CL416" s="264" t="s">
        <v>384</v>
      </c>
      <c r="CM416" s="132"/>
      <c r="CN416" s="274"/>
      <c r="CO416" s="144"/>
      <c r="CP416" s="274"/>
      <c r="CQ416" s="132"/>
      <c r="CR416" s="132"/>
      <c r="CS416" s="132"/>
      <c r="CT416" s="274"/>
      <c r="CU416" s="144"/>
      <c r="CV416" s="274"/>
      <c r="CW416" s="132"/>
      <c r="CX416" s="132"/>
      <c r="CY416" s="132"/>
      <c r="CZ416" s="118"/>
      <c r="DA416" s="144"/>
      <c r="DB416" s="118"/>
      <c r="DC416" s="33"/>
      <c r="DD416" s="39"/>
      <c r="DE416" s="11"/>
      <c r="DF416" s="132"/>
      <c r="DG416" s="132"/>
      <c r="DH416" s="132"/>
      <c r="DI416" s="132"/>
      <c r="DJ416" s="132"/>
      <c r="DK416" s="132"/>
      <c r="DL416" s="132"/>
      <c r="DM416" s="132"/>
      <c r="DN416" s="132"/>
      <c r="DO416" s="132"/>
      <c r="DP416" s="132"/>
      <c r="DQ416" s="132"/>
      <c r="DR416" s="132"/>
      <c r="DS416" s="132"/>
      <c r="DT416" s="132"/>
      <c r="DU416" s="132"/>
      <c r="DV416" s="132"/>
      <c r="DW416" s="132"/>
      <c r="DX416" s="132"/>
      <c r="DY416" s="132"/>
      <c r="DZ416" s="132"/>
      <c r="EA416" s="132"/>
      <c r="EB416" s="132"/>
      <c r="EC416" s="132"/>
      <c r="ED416" s="132"/>
      <c r="EE416" s="132"/>
      <c r="EF416" s="132"/>
      <c r="EG416" s="132"/>
      <c r="EH416" s="132"/>
      <c r="EI416" s="132"/>
      <c r="EJ416" s="132"/>
      <c r="EK416" s="132"/>
      <c r="EL416" s="132"/>
      <c r="EM416" s="132"/>
      <c r="EN416" s="132"/>
      <c r="EO416" s="132"/>
      <c r="EP416" s="132"/>
      <c r="EQ416" s="132"/>
      <c r="ER416" s="132"/>
      <c r="ES416" s="132"/>
      <c r="ET416" s="11"/>
      <c r="EU416" s="11"/>
      <c r="EV416" s="11"/>
      <c r="EW416" s="11"/>
      <c r="EX416" s="11"/>
      <c r="EY416" s="11"/>
      <c r="EZ416" s="11"/>
      <c r="FA416" s="11"/>
      <c r="FB416" s="11"/>
      <c r="FC416" s="11"/>
      <c r="FD416" s="11"/>
      <c r="FE416" s="11"/>
      <c r="FF416" s="11"/>
      <c r="FG416" s="11"/>
      <c r="FH416" s="39">
        <f t="shared" si="96"/>
        <v>6530365.3799999999</v>
      </c>
      <c r="FI416" s="33">
        <f t="shared" si="97"/>
        <v>2</v>
      </c>
      <c r="FJ416" s="84">
        <f t="shared" si="98"/>
        <v>3265182.69</v>
      </c>
    </row>
    <row r="417" spans="1:166" ht="13.5" x14ac:dyDescent="0.25">
      <c r="A417" s="79" t="e">
        <f>#REF!</f>
        <v>#REF!</v>
      </c>
      <c r="B417" s="75" t="e">
        <f>#REF!</f>
        <v>#REF!</v>
      </c>
      <c r="C417" s="75" t="e">
        <f>#REF!</f>
        <v>#REF!</v>
      </c>
      <c r="D417" s="75" t="e">
        <f>#REF!</f>
        <v>#REF!</v>
      </c>
      <c r="E417" s="30">
        <v>1</v>
      </c>
      <c r="F417" s="238">
        <v>1196312.95</v>
      </c>
      <c r="G417" s="241">
        <v>0</v>
      </c>
      <c r="H417" s="249">
        <v>1166200</v>
      </c>
      <c r="I417" s="249">
        <v>0</v>
      </c>
      <c r="J417" s="249">
        <v>0</v>
      </c>
      <c r="K417" s="249">
        <v>0</v>
      </c>
      <c r="L417" s="274">
        <f>AVERAGE(F417,H417)</f>
        <v>1181256.4750000001</v>
      </c>
      <c r="M417" s="274"/>
      <c r="N417" s="245"/>
      <c r="O417" s="113"/>
      <c r="P417" s="113"/>
      <c r="Q417" s="131"/>
      <c r="R417" s="131"/>
      <c r="S417" s="64"/>
      <c r="T417" s="113"/>
      <c r="U417" s="113"/>
      <c r="V417" s="113"/>
      <c r="W417" s="131"/>
      <c r="X417" s="131"/>
      <c r="Y417" s="11"/>
      <c r="Z417" s="113"/>
      <c r="AA417" s="113"/>
      <c r="AB417" s="113"/>
      <c r="AC417" s="52"/>
      <c r="AD417" s="52"/>
      <c r="AE417" s="11"/>
      <c r="AF417" s="113"/>
      <c r="AG417" s="144"/>
      <c r="AH417" s="113"/>
      <c r="AI417" s="11"/>
      <c r="AJ417" s="11"/>
      <c r="AK417" s="39"/>
      <c r="AL417" s="113"/>
      <c r="AM417" s="113"/>
      <c r="AN417" s="119"/>
      <c r="AO417" s="76"/>
      <c r="AP417" s="39"/>
      <c r="AQ417" s="39"/>
      <c r="AR417" s="275"/>
      <c r="AS417" s="275"/>
      <c r="AT417" s="275"/>
      <c r="AU417" s="62"/>
      <c r="AV417" s="62"/>
      <c r="AW417" s="11"/>
      <c r="AX417" s="116"/>
      <c r="AY417" s="196"/>
      <c r="AZ417" s="143"/>
      <c r="BA417" s="191"/>
      <c r="BB417" s="132"/>
      <c r="BC417" s="132"/>
      <c r="BD417" s="275"/>
      <c r="BE417" s="274"/>
      <c r="BF417" s="274"/>
      <c r="BG417" s="274"/>
      <c r="BH417" s="132"/>
      <c r="BI417" s="132"/>
      <c r="BJ417" s="143"/>
      <c r="BK417" s="143"/>
      <c r="BL417" s="143"/>
      <c r="BM417" s="132"/>
      <c r="BN417" s="132"/>
      <c r="BO417" s="132"/>
      <c r="BP417" s="143"/>
      <c r="BQ417" s="132"/>
      <c r="BR417" s="132"/>
      <c r="BS417" s="132"/>
      <c r="BT417" s="132"/>
      <c r="BU417" s="132"/>
      <c r="BV417" s="267">
        <v>550100</v>
      </c>
      <c r="BW417" s="144">
        <f t="shared" si="103"/>
        <v>104519</v>
      </c>
      <c r="BX417" s="113">
        <f t="shared" si="104"/>
        <v>654619</v>
      </c>
      <c r="BY417" s="264" t="s">
        <v>342</v>
      </c>
      <c r="BZ417" s="264" t="s">
        <v>385</v>
      </c>
      <c r="CA417" s="132"/>
      <c r="CB417" s="275"/>
      <c r="CC417" s="143"/>
      <c r="CD417" s="275"/>
      <c r="CE417" s="132"/>
      <c r="CF417" s="132"/>
      <c r="CG417" s="36"/>
      <c r="CH417" s="267">
        <v>588607</v>
      </c>
      <c r="CI417" s="265">
        <f t="shared" si="105"/>
        <v>111835.33</v>
      </c>
      <c r="CJ417" s="263">
        <f t="shared" si="106"/>
        <v>700442.33</v>
      </c>
      <c r="CK417" s="264" t="s">
        <v>342</v>
      </c>
      <c r="CL417" s="264" t="s">
        <v>385</v>
      </c>
      <c r="CM417" s="132"/>
      <c r="CN417" s="275"/>
      <c r="CO417" s="143"/>
      <c r="CP417" s="275"/>
      <c r="CQ417" s="132"/>
      <c r="CR417" s="132"/>
      <c r="CS417" s="132"/>
      <c r="CT417" s="275"/>
      <c r="CU417" s="143"/>
      <c r="CV417" s="275"/>
      <c r="CW417" s="132"/>
      <c r="CX417" s="132"/>
      <c r="CY417" s="132"/>
      <c r="CZ417" s="113"/>
      <c r="DA417" s="143"/>
      <c r="DB417" s="113"/>
      <c r="DC417" s="33"/>
      <c r="DD417" s="39"/>
      <c r="DE417" s="11"/>
      <c r="DF417" s="132"/>
      <c r="DG417" s="132"/>
      <c r="DH417" s="132"/>
      <c r="DI417" s="132"/>
      <c r="DJ417" s="132"/>
      <c r="DK417" s="132"/>
      <c r="DL417" s="132"/>
      <c r="DM417" s="132"/>
      <c r="DN417" s="132"/>
      <c r="DO417" s="132"/>
      <c r="DP417" s="132"/>
      <c r="DQ417" s="132"/>
      <c r="DR417" s="132"/>
      <c r="DS417" s="132"/>
      <c r="DT417" s="132"/>
      <c r="DU417" s="132"/>
      <c r="DV417" s="132"/>
      <c r="DW417" s="132"/>
      <c r="DX417" s="132"/>
      <c r="DY417" s="132"/>
      <c r="DZ417" s="132"/>
      <c r="EA417" s="132"/>
      <c r="EB417" s="132"/>
      <c r="EC417" s="132"/>
      <c r="ED417" s="132"/>
      <c r="EE417" s="132"/>
      <c r="EF417" s="132"/>
      <c r="EG417" s="132"/>
      <c r="EH417" s="132"/>
      <c r="EI417" s="132"/>
      <c r="EJ417" s="132"/>
      <c r="EK417" s="132"/>
      <c r="EL417" s="132"/>
      <c r="EM417" s="132"/>
      <c r="EN417" s="132"/>
      <c r="EO417" s="132"/>
      <c r="EP417" s="132"/>
      <c r="EQ417" s="132"/>
      <c r="ER417" s="132"/>
      <c r="ES417" s="132"/>
      <c r="ET417" s="11"/>
      <c r="EU417" s="11"/>
      <c r="EV417" s="11"/>
      <c r="EW417" s="11"/>
      <c r="EX417" s="11"/>
      <c r="EY417" s="11"/>
      <c r="EZ417" s="11"/>
      <c r="FA417" s="11"/>
      <c r="FB417" s="11"/>
      <c r="FC417" s="11"/>
      <c r="FD417" s="11"/>
      <c r="FE417" s="11"/>
      <c r="FF417" s="11"/>
      <c r="FG417" s="11"/>
      <c r="FH417" s="39">
        <f t="shared" si="96"/>
        <v>1355061.33</v>
      </c>
      <c r="FI417" s="33">
        <f t="shared" si="97"/>
        <v>2</v>
      </c>
      <c r="FJ417" s="84">
        <f t="shared" si="98"/>
        <v>677530.66500000004</v>
      </c>
    </row>
    <row r="418" spans="1:166" ht="13.5" x14ac:dyDescent="0.25">
      <c r="A418" s="79" t="e">
        <f>#REF!</f>
        <v>#REF!</v>
      </c>
      <c r="B418" s="75" t="e">
        <f>#REF!</f>
        <v>#REF!</v>
      </c>
      <c r="C418" s="75" t="e">
        <f>#REF!</f>
        <v>#REF!</v>
      </c>
      <c r="D418" s="75" t="e">
        <f>#REF!</f>
        <v>#REF!</v>
      </c>
      <c r="E418" s="30">
        <v>1</v>
      </c>
      <c r="F418" s="238">
        <v>0</v>
      </c>
      <c r="G418" s="241">
        <v>0</v>
      </c>
      <c r="H418" s="249">
        <v>0</v>
      </c>
      <c r="I418" s="249">
        <v>0</v>
      </c>
      <c r="J418" s="249">
        <v>152320</v>
      </c>
      <c r="K418" s="249">
        <v>0</v>
      </c>
      <c r="L418" s="274">
        <f>J418</f>
        <v>152320</v>
      </c>
      <c r="M418" s="274"/>
      <c r="N418" s="245"/>
      <c r="O418" s="113"/>
      <c r="P418" s="113"/>
      <c r="Q418" s="131"/>
      <c r="R418" s="131"/>
      <c r="S418" s="64"/>
      <c r="T418" s="113"/>
      <c r="U418" s="113"/>
      <c r="V418" s="113"/>
      <c r="W418" s="131"/>
      <c r="X418" s="131"/>
      <c r="Y418" s="11"/>
      <c r="Z418" s="113"/>
      <c r="AA418" s="113"/>
      <c r="AB418" s="113"/>
      <c r="AC418" s="52"/>
      <c r="AD418" s="52"/>
      <c r="AE418" s="11"/>
      <c r="AF418" s="118"/>
      <c r="AG418" s="144"/>
      <c r="AH418" s="113"/>
      <c r="AI418" s="11"/>
      <c r="AJ418" s="11"/>
      <c r="AK418" s="39"/>
      <c r="AL418" s="113"/>
      <c r="AM418" s="113"/>
      <c r="AN418" s="119"/>
      <c r="AO418" s="76"/>
      <c r="AP418" s="39"/>
      <c r="AQ418" s="39"/>
      <c r="AR418" s="275"/>
      <c r="AS418" s="275"/>
      <c r="AT418" s="275"/>
      <c r="AU418" s="62"/>
      <c r="AV418" s="62"/>
      <c r="AW418" s="11"/>
      <c r="AX418" s="116"/>
      <c r="AY418" s="196"/>
      <c r="AZ418" s="143"/>
      <c r="BA418" s="191"/>
      <c r="BB418" s="132"/>
      <c r="BC418" s="132"/>
      <c r="BD418" s="274"/>
      <c r="BE418" s="143"/>
      <c r="BF418" s="143"/>
      <c r="BG418" s="132"/>
      <c r="BH418" s="132"/>
      <c r="BI418" s="132"/>
      <c r="BJ418" s="143"/>
      <c r="BK418" s="143"/>
      <c r="BL418" s="143"/>
      <c r="BM418" s="132"/>
      <c r="BN418" s="132"/>
      <c r="BO418" s="132"/>
      <c r="BP418" s="143"/>
      <c r="BQ418" s="132"/>
      <c r="BR418" s="132"/>
      <c r="BS418" s="132"/>
      <c r="BT418" s="132"/>
      <c r="BU418" s="132"/>
      <c r="BV418" s="263">
        <v>2730500</v>
      </c>
      <c r="BW418" s="144">
        <f t="shared" si="103"/>
        <v>518795</v>
      </c>
      <c r="BX418" s="113">
        <f t="shared" si="104"/>
        <v>3249295</v>
      </c>
      <c r="BY418" s="264" t="s">
        <v>386</v>
      </c>
      <c r="BZ418" s="264" t="s">
        <v>384</v>
      </c>
      <c r="CA418" s="132"/>
      <c r="CB418" s="274"/>
      <c r="CC418" s="144"/>
      <c r="CD418" s="274"/>
      <c r="CE418" s="132"/>
      <c r="CF418" s="132"/>
      <c r="CG418" s="36"/>
      <c r="CH418" s="268">
        <v>2921635</v>
      </c>
      <c r="CI418" s="265">
        <f t="shared" si="105"/>
        <v>555110.65</v>
      </c>
      <c r="CJ418" s="263">
        <f t="shared" si="106"/>
        <v>3476745.65</v>
      </c>
      <c r="CK418" s="264" t="s">
        <v>386</v>
      </c>
      <c r="CL418" s="264" t="s">
        <v>384</v>
      </c>
      <c r="CM418" s="132"/>
      <c r="CN418" s="274"/>
      <c r="CO418" s="144"/>
      <c r="CP418" s="274"/>
      <c r="CQ418" s="132"/>
      <c r="CR418" s="132"/>
      <c r="CS418" s="132"/>
      <c r="CT418" s="274"/>
      <c r="CU418" s="144"/>
      <c r="CV418" s="274"/>
      <c r="CW418" s="132"/>
      <c r="CX418" s="132"/>
      <c r="CY418" s="132"/>
      <c r="CZ418" s="118"/>
      <c r="DA418" s="144"/>
      <c r="DB418" s="118"/>
      <c r="DC418" s="33"/>
      <c r="DD418" s="39"/>
      <c r="DE418" s="11"/>
      <c r="DF418" s="132"/>
      <c r="DG418" s="132"/>
      <c r="DH418" s="132"/>
      <c r="DI418" s="132"/>
      <c r="DJ418" s="132"/>
      <c r="DK418" s="132"/>
      <c r="DL418" s="132"/>
      <c r="DM418" s="132"/>
      <c r="DN418" s="132"/>
      <c r="DO418" s="132"/>
      <c r="DP418" s="132"/>
      <c r="DQ418" s="132"/>
      <c r="DR418" s="132"/>
      <c r="DS418" s="132"/>
      <c r="DT418" s="132"/>
      <c r="DU418" s="132"/>
      <c r="DV418" s="132"/>
      <c r="DW418" s="132"/>
      <c r="DX418" s="132"/>
      <c r="DY418" s="132"/>
      <c r="DZ418" s="132"/>
      <c r="EA418" s="132"/>
      <c r="EB418" s="132"/>
      <c r="EC418" s="132"/>
      <c r="ED418" s="132"/>
      <c r="EE418" s="132"/>
      <c r="EF418" s="132"/>
      <c r="EG418" s="132"/>
      <c r="EH418" s="132"/>
      <c r="EI418" s="132"/>
      <c r="EJ418" s="132"/>
      <c r="EK418" s="132"/>
      <c r="EL418" s="132"/>
      <c r="EM418" s="132"/>
      <c r="EN418" s="132"/>
      <c r="EO418" s="132"/>
      <c r="EP418" s="132"/>
      <c r="EQ418" s="132"/>
      <c r="ER418" s="132"/>
      <c r="ES418" s="132"/>
      <c r="ET418" s="11"/>
      <c r="EU418" s="11"/>
      <c r="EV418" s="11"/>
      <c r="EW418" s="11"/>
      <c r="EX418" s="11"/>
      <c r="EY418" s="11"/>
      <c r="EZ418" s="11"/>
      <c r="FA418" s="11"/>
      <c r="FB418" s="11"/>
      <c r="FC418" s="11"/>
      <c r="FD418" s="11"/>
      <c r="FE418" s="11"/>
      <c r="FF418" s="11"/>
      <c r="FG418" s="11"/>
      <c r="FH418" s="39">
        <f t="shared" si="96"/>
        <v>6726040.6500000004</v>
      </c>
      <c r="FI418" s="33">
        <f t="shared" si="97"/>
        <v>2</v>
      </c>
      <c r="FJ418" s="84">
        <f t="shared" si="98"/>
        <v>3363020.3250000002</v>
      </c>
    </row>
    <row r="419" spans="1:166" ht="13.5" x14ac:dyDescent="0.25">
      <c r="A419" s="79" t="e">
        <f>#REF!</f>
        <v>#REF!</v>
      </c>
      <c r="B419" s="75" t="e">
        <f>#REF!</f>
        <v>#REF!</v>
      </c>
      <c r="C419" s="75" t="e">
        <f>#REF!</f>
        <v>#REF!</v>
      </c>
      <c r="D419" s="75" t="e">
        <f>#REF!</f>
        <v>#REF!</v>
      </c>
      <c r="E419" s="30">
        <v>1</v>
      </c>
      <c r="F419" s="238">
        <v>0</v>
      </c>
      <c r="G419" s="241">
        <v>0</v>
      </c>
      <c r="H419" s="249">
        <v>0</v>
      </c>
      <c r="I419" s="249">
        <v>0</v>
      </c>
      <c r="J419" s="249">
        <v>0</v>
      </c>
      <c r="K419" s="249">
        <v>0</v>
      </c>
      <c r="L419" s="274"/>
      <c r="M419" s="274"/>
      <c r="N419" s="245"/>
      <c r="O419" s="113"/>
      <c r="P419" s="113"/>
      <c r="Q419" s="131"/>
      <c r="R419" s="131"/>
      <c r="S419" s="64"/>
      <c r="T419" s="113"/>
      <c r="U419" s="113"/>
      <c r="V419" s="113"/>
      <c r="W419" s="131"/>
      <c r="X419" s="131"/>
      <c r="Y419" s="11"/>
      <c r="Z419" s="113"/>
      <c r="AA419" s="113"/>
      <c r="AB419" s="113"/>
      <c r="AC419" s="52"/>
      <c r="AD419" s="52"/>
      <c r="AE419" s="11"/>
      <c r="AF419" s="118"/>
      <c r="AG419" s="144"/>
      <c r="AH419" s="113"/>
      <c r="AI419" s="11"/>
      <c r="AJ419" s="11"/>
      <c r="AK419" s="39"/>
      <c r="AL419" s="113"/>
      <c r="AM419" s="113"/>
      <c r="AN419" s="119"/>
      <c r="AO419" s="76"/>
      <c r="AP419" s="39"/>
      <c r="AQ419" s="39"/>
      <c r="AR419" s="275"/>
      <c r="AS419" s="275"/>
      <c r="AT419" s="275"/>
      <c r="AU419" s="62"/>
      <c r="AV419" s="62"/>
      <c r="AW419" s="11"/>
      <c r="AX419" s="116"/>
      <c r="AY419" s="196"/>
      <c r="AZ419" s="143"/>
      <c r="BA419" s="191"/>
      <c r="BB419" s="132"/>
      <c r="BC419" s="132"/>
      <c r="BD419" s="274"/>
      <c r="BE419" s="274"/>
      <c r="BF419" s="274"/>
      <c r="BG419" s="274"/>
      <c r="BH419" s="132"/>
      <c r="BI419" s="132"/>
      <c r="BJ419" s="143"/>
      <c r="BK419" s="143"/>
      <c r="BL419" s="143"/>
      <c r="BM419" s="132"/>
      <c r="BN419" s="132"/>
      <c r="BO419" s="132"/>
      <c r="BP419" s="143"/>
      <c r="BQ419" s="132"/>
      <c r="BR419" s="132"/>
      <c r="BS419" s="132"/>
      <c r="BT419" s="132"/>
      <c r="BU419" s="132"/>
      <c r="BV419" s="268">
        <v>14892000</v>
      </c>
      <c r="BW419" s="144">
        <f t="shared" si="103"/>
        <v>2829480</v>
      </c>
      <c r="BX419" s="113">
        <f t="shared" si="104"/>
        <v>17721480</v>
      </c>
      <c r="BY419" s="264" t="s">
        <v>386</v>
      </c>
      <c r="BZ419" s="264" t="s">
        <v>384</v>
      </c>
      <c r="CA419" s="132"/>
      <c r="CB419" s="274"/>
      <c r="CC419" s="144"/>
      <c r="CD419" s="274"/>
      <c r="CE419" s="132"/>
      <c r="CF419" s="132"/>
      <c r="CG419" s="36"/>
      <c r="CH419" s="268">
        <v>15189840</v>
      </c>
      <c r="CI419" s="265">
        <f t="shared" si="105"/>
        <v>2886069.6</v>
      </c>
      <c r="CJ419" s="263">
        <f t="shared" si="106"/>
        <v>18075909.600000001</v>
      </c>
      <c r="CK419" s="264" t="s">
        <v>386</v>
      </c>
      <c r="CL419" s="264" t="s">
        <v>384</v>
      </c>
      <c r="CM419" s="132"/>
      <c r="CN419" s="274"/>
      <c r="CO419" s="144"/>
      <c r="CP419" s="274"/>
      <c r="CQ419" s="132"/>
      <c r="CR419" s="132"/>
      <c r="CS419" s="132"/>
      <c r="CT419" s="274"/>
      <c r="CU419" s="144"/>
      <c r="CV419" s="274"/>
      <c r="CW419" s="132"/>
      <c r="CX419" s="132"/>
      <c r="CY419" s="132"/>
      <c r="CZ419" s="118"/>
      <c r="DA419" s="144"/>
      <c r="DB419" s="118"/>
      <c r="DC419" s="33"/>
      <c r="DD419" s="39"/>
      <c r="DE419" s="11"/>
      <c r="DF419" s="132"/>
      <c r="DG419" s="132"/>
      <c r="DH419" s="132"/>
      <c r="DI419" s="132"/>
      <c r="DJ419" s="132"/>
      <c r="DK419" s="132"/>
      <c r="DL419" s="132"/>
      <c r="DM419" s="132"/>
      <c r="DN419" s="132"/>
      <c r="DO419" s="132"/>
      <c r="DP419" s="132"/>
      <c r="DQ419" s="132"/>
      <c r="DR419" s="132"/>
      <c r="DS419" s="132"/>
      <c r="DT419" s="132"/>
      <c r="DU419" s="132"/>
      <c r="DV419" s="132"/>
      <c r="DW419" s="132"/>
      <c r="DX419" s="132"/>
      <c r="DY419" s="132"/>
      <c r="DZ419" s="132"/>
      <c r="EA419" s="132"/>
      <c r="EB419" s="132"/>
      <c r="EC419" s="132"/>
      <c r="ED419" s="132"/>
      <c r="EE419" s="132"/>
      <c r="EF419" s="132"/>
      <c r="EG419" s="132"/>
      <c r="EH419" s="132"/>
      <c r="EI419" s="132"/>
      <c r="EJ419" s="132"/>
      <c r="EK419" s="132"/>
      <c r="EL419" s="132"/>
      <c r="EM419" s="132"/>
      <c r="EN419" s="132"/>
      <c r="EO419" s="132"/>
      <c r="EP419" s="132"/>
      <c r="EQ419" s="132"/>
      <c r="ER419" s="132"/>
      <c r="ES419" s="132"/>
      <c r="ET419" s="11"/>
      <c r="EU419" s="11"/>
      <c r="EV419" s="11"/>
      <c r="EW419" s="11"/>
      <c r="EX419" s="11"/>
      <c r="EY419" s="11"/>
      <c r="EZ419" s="11"/>
      <c r="FA419" s="11"/>
      <c r="FB419" s="11"/>
      <c r="FC419" s="11"/>
      <c r="FD419" s="11"/>
      <c r="FE419" s="11"/>
      <c r="FF419" s="11"/>
      <c r="FG419" s="11"/>
      <c r="FH419" s="39">
        <f t="shared" si="96"/>
        <v>35797389.600000001</v>
      </c>
      <c r="FI419" s="33">
        <f t="shared" si="97"/>
        <v>2</v>
      </c>
      <c r="FJ419" s="84">
        <f t="shared" si="98"/>
        <v>17898694.800000001</v>
      </c>
    </row>
    <row r="420" spans="1:166" ht="13.5" x14ac:dyDescent="0.25">
      <c r="A420" s="79" t="e">
        <f>#REF!</f>
        <v>#REF!</v>
      </c>
      <c r="B420" s="75" t="e">
        <f>#REF!</f>
        <v>#REF!</v>
      </c>
      <c r="C420" s="75" t="e">
        <f>#REF!</f>
        <v>#REF!</v>
      </c>
      <c r="D420" s="75" t="e">
        <f>#REF!</f>
        <v>#REF!</v>
      </c>
      <c r="E420" s="30">
        <v>1</v>
      </c>
      <c r="F420" s="238">
        <v>0</v>
      </c>
      <c r="G420" s="241">
        <v>0</v>
      </c>
      <c r="H420" s="249">
        <v>0</v>
      </c>
      <c r="I420" s="249">
        <v>0</v>
      </c>
      <c r="J420" s="249">
        <v>0</v>
      </c>
      <c r="K420" s="249">
        <v>0</v>
      </c>
      <c r="L420" s="274"/>
      <c r="M420" s="274"/>
      <c r="N420" s="245"/>
      <c r="O420" s="113"/>
      <c r="P420" s="113"/>
      <c r="Q420" s="131"/>
      <c r="R420" s="131"/>
      <c r="S420" s="64"/>
      <c r="T420" s="113"/>
      <c r="U420" s="113"/>
      <c r="V420" s="113"/>
      <c r="W420" s="131"/>
      <c r="X420" s="131"/>
      <c r="Y420" s="11"/>
      <c r="Z420" s="113"/>
      <c r="AA420" s="113"/>
      <c r="AB420" s="113"/>
      <c r="AC420" s="52"/>
      <c r="AD420" s="52"/>
      <c r="AE420" s="11"/>
      <c r="AF420" s="118"/>
      <c r="AG420" s="144"/>
      <c r="AH420" s="113"/>
      <c r="AI420" s="11"/>
      <c r="AJ420" s="11"/>
      <c r="AK420" s="39"/>
      <c r="AL420" s="113"/>
      <c r="AM420" s="113"/>
      <c r="AN420" s="119"/>
      <c r="AO420" s="76"/>
      <c r="AP420" s="39"/>
      <c r="AQ420" s="39"/>
      <c r="AR420" s="275"/>
      <c r="AS420" s="275"/>
      <c r="AT420" s="275"/>
      <c r="AU420" s="62"/>
      <c r="AV420" s="62"/>
      <c r="AW420" s="11"/>
      <c r="AX420" s="116"/>
      <c r="AY420" s="196"/>
      <c r="AZ420" s="143"/>
      <c r="BA420" s="191"/>
      <c r="BB420" s="132"/>
      <c r="BC420" s="132"/>
      <c r="BD420" s="274"/>
      <c r="BE420" s="143"/>
      <c r="BF420" s="143"/>
      <c r="BG420" s="132"/>
      <c r="BH420" s="132"/>
      <c r="BI420" s="132"/>
      <c r="BJ420" s="143"/>
      <c r="BK420" s="143"/>
      <c r="BL420" s="143"/>
      <c r="BM420" s="132"/>
      <c r="BN420" s="132"/>
      <c r="BO420" s="132"/>
      <c r="BP420" s="143"/>
      <c r="BQ420" s="132"/>
      <c r="BR420" s="132"/>
      <c r="BS420" s="132"/>
      <c r="BT420" s="132"/>
      <c r="BU420" s="132"/>
      <c r="BV420" s="268">
        <v>16512600</v>
      </c>
      <c r="BW420" s="144">
        <f t="shared" si="103"/>
        <v>3137394</v>
      </c>
      <c r="BX420" s="113">
        <f t="shared" si="104"/>
        <v>19649994</v>
      </c>
      <c r="BY420" s="264" t="s">
        <v>259</v>
      </c>
      <c r="BZ420" s="264" t="s">
        <v>384</v>
      </c>
      <c r="CA420" s="132"/>
      <c r="CB420" s="274"/>
      <c r="CC420" s="144"/>
      <c r="CD420" s="274"/>
      <c r="CE420" s="132"/>
      <c r="CF420" s="132"/>
      <c r="CG420" s="36"/>
      <c r="CH420" s="268">
        <v>17668482</v>
      </c>
      <c r="CI420" s="265">
        <f t="shared" si="105"/>
        <v>3357011.58</v>
      </c>
      <c r="CJ420" s="263">
        <f t="shared" si="106"/>
        <v>21025493.579999998</v>
      </c>
      <c r="CK420" s="264" t="s">
        <v>259</v>
      </c>
      <c r="CL420" s="264" t="s">
        <v>384</v>
      </c>
      <c r="CM420" s="132"/>
      <c r="CN420" s="274"/>
      <c r="CO420" s="144"/>
      <c r="CP420" s="274"/>
      <c r="CQ420" s="132"/>
      <c r="CR420" s="132"/>
      <c r="CS420" s="132"/>
      <c r="CT420" s="274"/>
      <c r="CU420" s="144"/>
      <c r="CV420" s="274"/>
      <c r="CW420" s="132"/>
      <c r="CX420" s="132"/>
      <c r="CY420" s="132"/>
      <c r="CZ420" s="118"/>
      <c r="DA420" s="144"/>
      <c r="DB420" s="118"/>
      <c r="DC420" s="33"/>
      <c r="DD420" s="39"/>
      <c r="DE420" s="11"/>
      <c r="DF420" s="132"/>
      <c r="DG420" s="132"/>
      <c r="DH420" s="132"/>
      <c r="DI420" s="132"/>
      <c r="DJ420" s="132"/>
      <c r="DK420" s="132"/>
      <c r="DL420" s="132"/>
      <c r="DM420" s="132"/>
      <c r="DN420" s="132"/>
      <c r="DO420" s="132"/>
      <c r="DP420" s="132"/>
      <c r="DQ420" s="132"/>
      <c r="DR420" s="132"/>
      <c r="DS420" s="132"/>
      <c r="DT420" s="132"/>
      <c r="DU420" s="132"/>
      <c r="DV420" s="132"/>
      <c r="DW420" s="132"/>
      <c r="DX420" s="132"/>
      <c r="DY420" s="132"/>
      <c r="DZ420" s="132"/>
      <c r="EA420" s="132"/>
      <c r="EB420" s="132"/>
      <c r="EC420" s="132"/>
      <c r="ED420" s="132"/>
      <c r="EE420" s="132"/>
      <c r="EF420" s="132"/>
      <c r="EG420" s="132"/>
      <c r="EH420" s="132"/>
      <c r="EI420" s="132"/>
      <c r="EJ420" s="132"/>
      <c r="EK420" s="132"/>
      <c r="EL420" s="132"/>
      <c r="EM420" s="132"/>
      <c r="EN420" s="132"/>
      <c r="EO420" s="132"/>
      <c r="EP420" s="132"/>
      <c r="EQ420" s="132"/>
      <c r="ER420" s="132"/>
      <c r="ES420" s="132"/>
      <c r="ET420" s="11"/>
      <c r="EU420" s="11"/>
      <c r="EV420" s="11"/>
      <c r="EW420" s="11"/>
      <c r="EX420" s="11"/>
      <c r="EY420" s="11"/>
      <c r="EZ420" s="11"/>
      <c r="FA420" s="11"/>
      <c r="FB420" s="11"/>
      <c r="FC420" s="11"/>
      <c r="FD420" s="11"/>
      <c r="FE420" s="11"/>
      <c r="FF420" s="11"/>
      <c r="FG420" s="11"/>
      <c r="FH420" s="39">
        <f t="shared" si="96"/>
        <v>40675487.579999998</v>
      </c>
      <c r="FI420" s="33">
        <f t="shared" si="97"/>
        <v>2</v>
      </c>
      <c r="FJ420" s="84">
        <f t="shared" si="98"/>
        <v>20337743.789999999</v>
      </c>
    </row>
    <row r="421" spans="1:166" ht="51" customHeight="1" x14ac:dyDescent="0.25">
      <c r="A421" s="79" t="e">
        <f>#REF!</f>
        <v>#REF!</v>
      </c>
      <c r="B421" s="75" t="e">
        <f>#REF!</f>
        <v>#REF!</v>
      </c>
      <c r="C421" s="75" t="e">
        <f>#REF!</f>
        <v>#REF!</v>
      </c>
      <c r="D421" s="75" t="e">
        <f>#REF!</f>
        <v>#REF!</v>
      </c>
      <c r="E421" s="30">
        <v>1</v>
      </c>
      <c r="F421" s="238">
        <v>0</v>
      </c>
      <c r="G421" s="241">
        <v>0</v>
      </c>
      <c r="H421" s="249">
        <v>0</v>
      </c>
      <c r="I421" s="249">
        <v>0</v>
      </c>
      <c r="J421" s="249">
        <v>0</v>
      </c>
      <c r="K421" s="249">
        <v>0</v>
      </c>
      <c r="L421" s="274"/>
      <c r="M421" s="274"/>
      <c r="N421" s="245"/>
      <c r="O421" s="113"/>
      <c r="P421" s="113"/>
      <c r="Q421" s="131"/>
      <c r="R421" s="131"/>
      <c r="S421" s="64"/>
      <c r="T421" s="113"/>
      <c r="U421" s="113"/>
      <c r="V421" s="113"/>
      <c r="W421" s="131"/>
      <c r="X421" s="131"/>
      <c r="Y421" s="11"/>
      <c r="Z421" s="113"/>
      <c r="AA421" s="113"/>
      <c r="AB421" s="113"/>
      <c r="AC421" s="52"/>
      <c r="AD421" s="52"/>
      <c r="AE421" s="11"/>
      <c r="AF421" s="118"/>
      <c r="AG421" s="144"/>
      <c r="AH421" s="113"/>
      <c r="AI421" s="11"/>
      <c r="AJ421" s="11"/>
      <c r="AK421" s="39"/>
      <c r="AL421" s="113"/>
      <c r="AM421" s="113"/>
      <c r="AN421" s="119"/>
      <c r="AO421" s="76"/>
      <c r="AP421" s="39"/>
      <c r="AQ421" s="39"/>
      <c r="AR421" s="275"/>
      <c r="AS421" s="275"/>
      <c r="AT421" s="275"/>
      <c r="AU421" s="62"/>
      <c r="AV421" s="62"/>
      <c r="AW421" s="11"/>
      <c r="AX421" s="116"/>
      <c r="AY421" s="196"/>
      <c r="AZ421" s="143"/>
      <c r="BA421" s="191"/>
      <c r="BB421" s="132"/>
      <c r="BC421" s="132"/>
      <c r="BD421" s="274"/>
      <c r="BE421" s="143"/>
      <c r="BF421" s="143"/>
      <c r="BG421" s="132"/>
      <c r="BH421" s="132"/>
      <c r="BI421" s="132"/>
      <c r="BJ421" s="143"/>
      <c r="BK421" s="143"/>
      <c r="BL421" s="143"/>
      <c r="BM421" s="132"/>
      <c r="BN421" s="132"/>
      <c r="BO421" s="132"/>
      <c r="BP421" s="143"/>
      <c r="BQ421" s="132"/>
      <c r="BR421" s="132"/>
      <c r="BS421" s="132"/>
      <c r="BT421" s="132"/>
      <c r="BU421" s="132"/>
      <c r="BV421" s="268">
        <v>9183400</v>
      </c>
      <c r="BW421" s="144">
        <f t="shared" si="103"/>
        <v>1744846</v>
      </c>
      <c r="BX421" s="113">
        <f t="shared" si="104"/>
        <v>10928246</v>
      </c>
      <c r="BY421" s="264" t="s">
        <v>386</v>
      </c>
      <c r="BZ421" s="264" t="s">
        <v>384</v>
      </c>
      <c r="CA421" s="132"/>
      <c r="CB421" s="274"/>
      <c r="CC421" s="144"/>
      <c r="CD421" s="274"/>
      <c r="CE421" s="132"/>
      <c r="CF421" s="132"/>
      <c r="CG421" s="36"/>
      <c r="CH421" s="268">
        <v>9734404</v>
      </c>
      <c r="CI421" s="265">
        <f t="shared" si="105"/>
        <v>1849536.76</v>
      </c>
      <c r="CJ421" s="263">
        <f t="shared" si="106"/>
        <v>11583940.76</v>
      </c>
      <c r="CK421" s="264" t="s">
        <v>386</v>
      </c>
      <c r="CL421" s="264" t="s">
        <v>384</v>
      </c>
      <c r="CM421" s="132"/>
      <c r="CN421" s="274"/>
      <c r="CO421" s="144"/>
      <c r="CP421" s="274"/>
      <c r="CQ421" s="132"/>
      <c r="CR421" s="132"/>
      <c r="CS421" s="132"/>
      <c r="CT421" s="274"/>
      <c r="CU421" s="144"/>
      <c r="CV421" s="274"/>
      <c r="CW421" s="132"/>
      <c r="CX421" s="132"/>
      <c r="CY421" s="132"/>
      <c r="CZ421" s="118"/>
      <c r="DA421" s="144"/>
      <c r="DB421" s="118"/>
      <c r="DC421" s="33"/>
      <c r="DD421" s="39"/>
      <c r="DE421" s="11"/>
      <c r="DF421" s="132"/>
      <c r="DG421" s="132"/>
      <c r="DH421" s="132"/>
      <c r="DI421" s="132"/>
      <c r="DJ421" s="132"/>
      <c r="DK421" s="132"/>
      <c r="DL421" s="132"/>
      <c r="DM421" s="132"/>
      <c r="DN421" s="132"/>
      <c r="DO421" s="132"/>
      <c r="DP421" s="132"/>
      <c r="DQ421" s="132"/>
      <c r="DR421" s="132"/>
      <c r="DS421" s="132"/>
      <c r="DT421" s="132"/>
      <c r="DU421" s="132"/>
      <c r="DV421" s="132"/>
      <c r="DW421" s="132"/>
      <c r="DX421" s="132"/>
      <c r="DY421" s="132"/>
      <c r="DZ421" s="132"/>
      <c r="EA421" s="132"/>
      <c r="EB421" s="132"/>
      <c r="EC421" s="132"/>
      <c r="ED421" s="132"/>
      <c r="EE421" s="132"/>
      <c r="EF421" s="132"/>
      <c r="EG421" s="132"/>
      <c r="EH421" s="132"/>
      <c r="EI421" s="132"/>
      <c r="EJ421" s="132"/>
      <c r="EK421" s="132"/>
      <c r="EL421" s="132"/>
      <c r="EM421" s="132"/>
      <c r="EN421" s="132"/>
      <c r="EO421" s="132"/>
      <c r="EP421" s="132"/>
      <c r="EQ421" s="132"/>
      <c r="ER421" s="132"/>
      <c r="ES421" s="132"/>
      <c r="ET421" s="11"/>
      <c r="EU421" s="11"/>
      <c r="EV421" s="11"/>
      <c r="EW421" s="11"/>
      <c r="EX421" s="11"/>
      <c r="EY421" s="11"/>
      <c r="EZ421" s="11"/>
      <c r="FA421" s="11"/>
      <c r="FB421" s="11"/>
      <c r="FC421" s="11"/>
      <c r="FD421" s="11"/>
      <c r="FE421" s="11"/>
      <c r="FF421" s="11"/>
      <c r="FG421" s="11"/>
      <c r="FH421" s="39">
        <f t="shared" si="96"/>
        <v>22512186.759999998</v>
      </c>
      <c r="FI421" s="33">
        <f t="shared" si="97"/>
        <v>2</v>
      </c>
      <c r="FJ421" s="84">
        <f t="shared" si="98"/>
        <v>11256093.379999999</v>
      </c>
    </row>
    <row r="422" spans="1:166" ht="204" customHeight="1" x14ac:dyDescent="0.25">
      <c r="A422" s="79" t="e">
        <f>#REF!</f>
        <v>#REF!</v>
      </c>
      <c r="B422" s="75" t="e">
        <f>#REF!</f>
        <v>#REF!</v>
      </c>
      <c r="C422" s="75" t="e">
        <f>#REF!</f>
        <v>#REF!</v>
      </c>
      <c r="D422" s="75" t="e">
        <f>#REF!</f>
        <v>#REF!</v>
      </c>
      <c r="E422" s="30">
        <v>1</v>
      </c>
      <c r="F422" s="238">
        <v>0</v>
      </c>
      <c r="G422" s="241">
        <v>0</v>
      </c>
      <c r="H422" s="249">
        <v>0</v>
      </c>
      <c r="I422" s="249">
        <v>0</v>
      </c>
      <c r="J422" s="249">
        <v>0</v>
      </c>
      <c r="K422" s="249">
        <v>0</v>
      </c>
      <c r="L422" s="274"/>
      <c r="M422" s="274"/>
      <c r="N422" s="245"/>
      <c r="O422" s="113"/>
      <c r="P422" s="113"/>
      <c r="Q422" s="131"/>
      <c r="R422" s="131"/>
      <c r="S422" s="64"/>
      <c r="T422" s="113"/>
      <c r="U422" s="113"/>
      <c r="V422" s="113"/>
      <c r="W422" s="131"/>
      <c r="X422" s="131"/>
      <c r="Y422" s="11"/>
      <c r="Z422" s="113"/>
      <c r="AA422" s="113"/>
      <c r="AB422" s="113"/>
      <c r="AC422" s="52"/>
      <c r="AD422" s="52"/>
      <c r="AE422" s="11"/>
      <c r="AF422" s="118"/>
      <c r="AG422" s="144"/>
      <c r="AH422" s="113"/>
      <c r="AI422" s="11"/>
      <c r="AJ422" s="11"/>
      <c r="AK422" s="39"/>
      <c r="AL422" s="113"/>
      <c r="AM422" s="113"/>
      <c r="AN422" s="119"/>
      <c r="AO422" s="76"/>
      <c r="AP422" s="39"/>
      <c r="AQ422" s="39"/>
      <c r="AR422" s="275"/>
      <c r="AS422" s="275"/>
      <c r="AT422" s="275"/>
      <c r="AU422" s="62"/>
      <c r="AV422" s="62"/>
      <c r="AW422" s="11"/>
      <c r="AX422" s="116"/>
      <c r="AY422" s="196"/>
      <c r="AZ422" s="143"/>
      <c r="BA422" s="191"/>
      <c r="BB422" s="132"/>
      <c r="BC422" s="132"/>
      <c r="BD422" s="274"/>
      <c r="BE422" s="143"/>
      <c r="BF422" s="143"/>
      <c r="BG422" s="132"/>
      <c r="BH422" s="132"/>
      <c r="BI422" s="132"/>
      <c r="BJ422" s="143"/>
      <c r="BK422" s="143"/>
      <c r="BL422" s="143"/>
      <c r="BM422" s="132"/>
      <c r="BN422" s="132"/>
      <c r="BO422" s="132"/>
      <c r="BP422" s="143"/>
      <c r="BQ422" s="132"/>
      <c r="BR422" s="132"/>
      <c r="BS422" s="132"/>
      <c r="BT422" s="132"/>
      <c r="BU422" s="132"/>
      <c r="BV422" s="268">
        <v>14833600</v>
      </c>
      <c r="BW422" s="144">
        <f t="shared" si="103"/>
        <v>2818384</v>
      </c>
      <c r="BX422" s="113">
        <f t="shared" si="104"/>
        <v>17651984</v>
      </c>
      <c r="BY422" s="264" t="s">
        <v>259</v>
      </c>
      <c r="BZ422" s="264" t="s">
        <v>384</v>
      </c>
      <c r="CA422" s="132"/>
      <c r="CB422" s="274"/>
      <c r="CC422" s="144"/>
      <c r="CD422" s="274"/>
      <c r="CE422" s="132"/>
      <c r="CF422" s="132"/>
      <c r="CG422" s="36"/>
      <c r="CH422" s="268">
        <v>15130272</v>
      </c>
      <c r="CI422" s="265">
        <f t="shared" si="105"/>
        <v>2874751.68</v>
      </c>
      <c r="CJ422" s="263">
        <f t="shared" si="106"/>
        <v>18005023.68</v>
      </c>
      <c r="CK422" s="264" t="s">
        <v>259</v>
      </c>
      <c r="CL422" s="264" t="s">
        <v>384</v>
      </c>
      <c r="CM422" s="132"/>
      <c r="CN422" s="274"/>
      <c r="CO422" s="144"/>
      <c r="CP422" s="274"/>
      <c r="CQ422" s="132"/>
      <c r="CR422" s="132"/>
      <c r="CS422" s="132"/>
      <c r="CT422" s="274"/>
      <c r="CU422" s="144"/>
      <c r="CV422" s="274"/>
      <c r="CW422" s="132"/>
      <c r="CX422" s="132"/>
      <c r="CY422" s="132"/>
      <c r="CZ422" s="118"/>
      <c r="DA422" s="144"/>
      <c r="DB422" s="118"/>
      <c r="DC422" s="33"/>
      <c r="DD422" s="39"/>
      <c r="DE422" s="11"/>
      <c r="DF422" s="132"/>
      <c r="DG422" s="132"/>
      <c r="DH422" s="132"/>
      <c r="DI422" s="132"/>
      <c r="DJ422" s="132"/>
      <c r="DK422" s="132"/>
      <c r="DL422" s="132"/>
      <c r="DM422" s="132"/>
      <c r="DN422" s="132"/>
      <c r="DO422" s="132"/>
      <c r="DP422" s="132"/>
      <c r="DQ422" s="132"/>
      <c r="DR422" s="132"/>
      <c r="DS422" s="132"/>
      <c r="DT422" s="132"/>
      <c r="DU422" s="132"/>
      <c r="DV422" s="132"/>
      <c r="DW422" s="132"/>
      <c r="DX422" s="132"/>
      <c r="DY422" s="132"/>
      <c r="DZ422" s="132"/>
      <c r="EA422" s="132"/>
      <c r="EB422" s="132"/>
      <c r="EC422" s="132"/>
      <c r="ED422" s="132"/>
      <c r="EE422" s="132"/>
      <c r="EF422" s="132"/>
      <c r="EG422" s="132"/>
      <c r="EH422" s="132"/>
      <c r="EI422" s="132"/>
      <c r="EJ422" s="132"/>
      <c r="EK422" s="132"/>
      <c r="EL422" s="132"/>
      <c r="EM422" s="132"/>
      <c r="EN422" s="132"/>
      <c r="EO422" s="132"/>
      <c r="EP422" s="132"/>
      <c r="EQ422" s="132"/>
      <c r="ER422" s="132"/>
      <c r="ES422" s="132"/>
      <c r="ET422" s="11"/>
      <c r="EU422" s="11"/>
      <c r="EV422" s="11"/>
      <c r="EW422" s="11"/>
      <c r="EX422" s="11"/>
      <c r="EY422" s="11"/>
      <c r="EZ422" s="11"/>
      <c r="FA422" s="11"/>
      <c r="FB422" s="11"/>
      <c r="FC422" s="11"/>
      <c r="FD422" s="11"/>
      <c r="FE422" s="11"/>
      <c r="FF422" s="11"/>
      <c r="FG422" s="11"/>
      <c r="FH422" s="39">
        <f t="shared" si="96"/>
        <v>35657007.68</v>
      </c>
      <c r="FI422" s="33">
        <f t="shared" si="97"/>
        <v>2</v>
      </c>
      <c r="FJ422" s="84">
        <f t="shared" si="98"/>
        <v>17828503.84</v>
      </c>
    </row>
    <row r="423" spans="1:166" ht="51" customHeight="1" x14ac:dyDescent="0.25">
      <c r="A423" s="79" t="e">
        <f>#REF!</f>
        <v>#REF!</v>
      </c>
      <c r="B423" s="75" t="e">
        <f>#REF!</f>
        <v>#REF!</v>
      </c>
      <c r="C423" s="75" t="e">
        <f>#REF!</f>
        <v>#REF!</v>
      </c>
      <c r="D423" s="75" t="e">
        <f>#REF!</f>
        <v>#REF!</v>
      </c>
      <c r="E423" s="30">
        <v>1</v>
      </c>
      <c r="F423" s="238">
        <v>0</v>
      </c>
      <c r="G423" s="241">
        <v>0</v>
      </c>
      <c r="H423" s="249">
        <v>0</v>
      </c>
      <c r="I423" s="249">
        <v>0</v>
      </c>
      <c r="J423" s="249">
        <v>0</v>
      </c>
      <c r="K423" s="249">
        <v>0</v>
      </c>
      <c r="L423" s="274"/>
      <c r="M423" s="274"/>
      <c r="N423" s="245"/>
      <c r="O423" s="113"/>
      <c r="P423" s="113"/>
      <c r="Q423" s="131"/>
      <c r="R423" s="131"/>
      <c r="S423" s="64"/>
      <c r="T423" s="113"/>
      <c r="U423" s="113"/>
      <c r="V423" s="113"/>
      <c r="W423" s="131"/>
      <c r="X423" s="131"/>
      <c r="Y423" s="11"/>
      <c r="Z423" s="113"/>
      <c r="AA423" s="113"/>
      <c r="AB423" s="113"/>
      <c r="AC423" s="52"/>
      <c r="AD423" s="52"/>
      <c r="AE423" s="11"/>
      <c r="AF423" s="113"/>
      <c r="AG423" s="144"/>
      <c r="AH423" s="113"/>
      <c r="AI423" s="11"/>
      <c r="AJ423" s="11"/>
      <c r="AK423" s="39"/>
      <c r="AL423" s="113"/>
      <c r="AM423" s="113"/>
      <c r="AN423" s="119"/>
      <c r="AO423" s="76"/>
      <c r="AP423" s="39"/>
      <c r="AQ423" s="39"/>
      <c r="AR423" s="275"/>
      <c r="AS423" s="275"/>
      <c r="AT423" s="275"/>
      <c r="AU423" s="62"/>
      <c r="AV423" s="62"/>
      <c r="AW423" s="11"/>
      <c r="AX423" s="116"/>
      <c r="AY423" s="196"/>
      <c r="AZ423" s="143"/>
      <c r="BA423" s="191"/>
      <c r="BB423" s="132"/>
      <c r="BC423" s="132"/>
      <c r="BD423" s="275"/>
      <c r="BE423" s="143"/>
      <c r="BF423" s="143"/>
      <c r="BG423" s="132"/>
      <c r="BH423" s="132"/>
      <c r="BI423" s="132"/>
      <c r="BJ423" s="143"/>
      <c r="BK423" s="143"/>
      <c r="BL423" s="143"/>
      <c r="BM423" s="132"/>
      <c r="BN423" s="132"/>
      <c r="BO423" s="132"/>
      <c r="BP423" s="143"/>
      <c r="BQ423" s="132"/>
      <c r="BR423" s="132"/>
      <c r="BS423" s="132"/>
      <c r="BT423" s="132"/>
      <c r="BU423" s="132"/>
      <c r="BV423" s="268">
        <v>12731200</v>
      </c>
      <c r="BW423" s="144">
        <f t="shared" si="103"/>
        <v>2418928</v>
      </c>
      <c r="BX423" s="113">
        <f t="shared" si="104"/>
        <v>15150128</v>
      </c>
      <c r="BY423" s="264" t="s">
        <v>386</v>
      </c>
      <c r="BZ423" s="264" t="s">
        <v>384</v>
      </c>
      <c r="CA423" s="132"/>
      <c r="CB423" s="275"/>
      <c r="CC423" s="143"/>
      <c r="CD423" s="275"/>
      <c r="CE423" s="132"/>
      <c r="CF423" s="132"/>
      <c r="CG423" s="36"/>
      <c r="CH423" s="268">
        <v>13367760</v>
      </c>
      <c r="CI423" s="265">
        <f t="shared" si="105"/>
        <v>2539874.4</v>
      </c>
      <c r="CJ423" s="263">
        <f t="shared" si="106"/>
        <v>15907634.4</v>
      </c>
      <c r="CK423" s="264" t="s">
        <v>386</v>
      </c>
      <c r="CL423" s="264" t="s">
        <v>384</v>
      </c>
      <c r="CM423" s="132"/>
      <c r="CN423" s="275"/>
      <c r="CO423" s="143"/>
      <c r="CP423" s="275"/>
      <c r="CQ423" s="132"/>
      <c r="CR423" s="132"/>
      <c r="CS423" s="132"/>
      <c r="CT423" s="275"/>
      <c r="CU423" s="143"/>
      <c r="CV423" s="275"/>
      <c r="CW423" s="132"/>
      <c r="CX423" s="132"/>
      <c r="CY423" s="132"/>
      <c r="CZ423" s="113"/>
      <c r="DA423" s="143"/>
      <c r="DB423" s="113"/>
      <c r="DC423" s="33"/>
      <c r="DD423" s="39"/>
      <c r="DE423" s="11"/>
      <c r="DF423" s="132"/>
      <c r="DG423" s="132"/>
      <c r="DH423" s="132"/>
      <c r="DI423" s="132"/>
      <c r="DJ423" s="132"/>
      <c r="DK423" s="132"/>
      <c r="DL423" s="132"/>
      <c r="DM423" s="132"/>
      <c r="DN423" s="132"/>
      <c r="DO423" s="132"/>
      <c r="DP423" s="132"/>
      <c r="DQ423" s="132"/>
      <c r="DR423" s="132"/>
      <c r="DS423" s="132"/>
      <c r="DT423" s="132"/>
      <c r="DU423" s="132"/>
      <c r="DV423" s="132"/>
      <c r="DW423" s="132"/>
      <c r="DX423" s="132"/>
      <c r="DY423" s="132"/>
      <c r="DZ423" s="132"/>
      <c r="EA423" s="132"/>
      <c r="EB423" s="132"/>
      <c r="EC423" s="132"/>
      <c r="ED423" s="132"/>
      <c r="EE423" s="132"/>
      <c r="EF423" s="132"/>
      <c r="EG423" s="132"/>
      <c r="EH423" s="132"/>
      <c r="EI423" s="132"/>
      <c r="EJ423" s="132"/>
      <c r="EK423" s="132"/>
      <c r="EL423" s="132"/>
      <c r="EM423" s="132"/>
      <c r="EN423" s="132"/>
      <c r="EO423" s="132"/>
      <c r="EP423" s="132"/>
      <c r="EQ423" s="132"/>
      <c r="ER423" s="132"/>
      <c r="ES423" s="132"/>
      <c r="ET423" s="11"/>
      <c r="EU423" s="11"/>
      <c r="EV423" s="11"/>
      <c r="EW423" s="11"/>
      <c r="EX423" s="11"/>
      <c r="EY423" s="11"/>
      <c r="EZ423" s="11"/>
      <c r="FA423" s="11"/>
      <c r="FB423" s="11"/>
      <c r="FC423" s="11"/>
      <c r="FD423" s="11"/>
      <c r="FE423" s="11"/>
      <c r="FF423" s="11"/>
      <c r="FG423" s="11"/>
      <c r="FH423" s="39">
        <f t="shared" si="96"/>
        <v>31057762.399999999</v>
      </c>
      <c r="FI423" s="33">
        <f t="shared" si="97"/>
        <v>2</v>
      </c>
      <c r="FJ423" s="84">
        <f t="shared" si="98"/>
        <v>15528881.199999999</v>
      </c>
    </row>
    <row r="424" spans="1:166" ht="63.75" customHeight="1" x14ac:dyDescent="0.25">
      <c r="A424" s="79" t="e">
        <f>#REF!</f>
        <v>#REF!</v>
      </c>
      <c r="B424" s="75" t="e">
        <f>#REF!</f>
        <v>#REF!</v>
      </c>
      <c r="C424" s="75" t="e">
        <f>#REF!</f>
        <v>#REF!</v>
      </c>
      <c r="D424" s="75" t="e">
        <f>#REF!</f>
        <v>#REF!</v>
      </c>
      <c r="E424" s="30">
        <v>1</v>
      </c>
      <c r="F424" s="238">
        <v>0</v>
      </c>
      <c r="G424" s="241">
        <v>0</v>
      </c>
      <c r="H424" s="249">
        <v>849660</v>
      </c>
      <c r="I424" s="249">
        <v>0</v>
      </c>
      <c r="J424" s="249">
        <v>560609</v>
      </c>
      <c r="K424" s="249">
        <v>0</v>
      </c>
      <c r="L424" s="274">
        <f>AVERAGE(H424,J424)</f>
        <v>705134.5</v>
      </c>
      <c r="M424" s="274"/>
      <c r="N424" s="245"/>
      <c r="O424" s="113"/>
      <c r="P424" s="113"/>
      <c r="Q424" s="131"/>
      <c r="R424" s="131"/>
      <c r="S424" s="64"/>
      <c r="T424" s="113"/>
      <c r="U424" s="113"/>
      <c r="V424" s="113"/>
      <c r="W424" s="131"/>
      <c r="X424" s="131"/>
      <c r="Y424" s="11"/>
      <c r="Z424" s="113"/>
      <c r="AA424" s="113"/>
      <c r="AB424" s="113"/>
      <c r="AC424" s="52"/>
      <c r="AD424" s="52"/>
      <c r="AE424" s="11"/>
      <c r="AF424" s="118"/>
      <c r="AG424" s="144"/>
      <c r="AH424" s="113"/>
      <c r="AI424" s="11"/>
      <c r="AJ424" s="11"/>
      <c r="AK424" s="39"/>
      <c r="AL424" s="113"/>
      <c r="AM424" s="113"/>
      <c r="AN424" s="117"/>
      <c r="AO424" s="76"/>
      <c r="AP424" s="39"/>
      <c r="AQ424" s="39"/>
      <c r="AR424" s="275"/>
      <c r="AS424" s="275"/>
      <c r="AT424" s="275"/>
      <c r="AU424" s="62"/>
      <c r="AV424" s="62"/>
      <c r="AW424" s="11"/>
      <c r="AX424" s="116"/>
      <c r="AY424" s="196"/>
      <c r="AZ424" s="143"/>
      <c r="BA424" s="191"/>
      <c r="BB424" s="132"/>
      <c r="BC424" s="132"/>
      <c r="BD424" s="274"/>
      <c r="BE424" s="143"/>
      <c r="BF424" s="143"/>
      <c r="BG424" s="132"/>
      <c r="BH424" s="132"/>
      <c r="BI424" s="132"/>
      <c r="BJ424" s="143"/>
      <c r="BK424" s="143"/>
      <c r="BL424" s="143"/>
      <c r="BM424" s="132"/>
      <c r="BN424" s="132"/>
      <c r="BO424" s="132"/>
      <c r="BP424" s="143"/>
      <c r="BQ424" s="132"/>
      <c r="BR424" s="132"/>
      <c r="BS424" s="132"/>
      <c r="BT424" s="132"/>
      <c r="BU424" s="132"/>
      <c r="BV424" s="268">
        <v>2730200</v>
      </c>
      <c r="BW424" s="144">
        <f t="shared" si="103"/>
        <v>518738</v>
      </c>
      <c r="BX424" s="113">
        <f t="shared" si="104"/>
        <v>3248938</v>
      </c>
      <c r="BY424" s="264" t="s">
        <v>259</v>
      </c>
      <c r="BZ424" s="264" t="s">
        <v>384</v>
      </c>
      <c r="CA424" s="132"/>
      <c r="CB424" s="274"/>
      <c r="CC424" s="144"/>
      <c r="CD424" s="274"/>
      <c r="CE424" s="132"/>
      <c r="CF424" s="132"/>
      <c r="CG424" s="36"/>
      <c r="CH424" s="268">
        <v>2839408</v>
      </c>
      <c r="CI424" s="265">
        <f t="shared" si="105"/>
        <v>539487.52</v>
      </c>
      <c r="CJ424" s="263">
        <f t="shared" si="106"/>
        <v>3378895.52</v>
      </c>
      <c r="CK424" s="264" t="s">
        <v>259</v>
      </c>
      <c r="CL424" s="264" t="s">
        <v>384</v>
      </c>
      <c r="CM424" s="132"/>
      <c r="CN424" s="274"/>
      <c r="CO424" s="144"/>
      <c r="CP424" s="274"/>
      <c r="CQ424" s="132"/>
      <c r="CR424" s="132"/>
      <c r="CS424" s="132"/>
      <c r="CT424" s="274"/>
      <c r="CU424" s="144"/>
      <c r="CV424" s="274"/>
      <c r="CW424" s="132"/>
      <c r="CX424" s="132"/>
      <c r="CY424" s="132"/>
      <c r="CZ424" s="118"/>
      <c r="DA424" s="144"/>
      <c r="DB424" s="118"/>
      <c r="DC424" s="33"/>
      <c r="DD424" s="39"/>
      <c r="DE424" s="11"/>
      <c r="DF424" s="132"/>
      <c r="DG424" s="132"/>
      <c r="DH424" s="132"/>
      <c r="DI424" s="132"/>
      <c r="DJ424" s="132"/>
      <c r="DK424" s="132"/>
      <c r="DL424" s="132"/>
      <c r="DM424" s="132"/>
      <c r="DN424" s="132"/>
      <c r="DO424" s="132"/>
      <c r="DP424" s="132"/>
      <c r="DQ424" s="132"/>
      <c r="DR424" s="132"/>
      <c r="DS424" s="132"/>
      <c r="DT424" s="132"/>
      <c r="DU424" s="132"/>
      <c r="DV424" s="132"/>
      <c r="DW424" s="132"/>
      <c r="DX424" s="132"/>
      <c r="DY424" s="132"/>
      <c r="DZ424" s="132"/>
      <c r="EA424" s="132"/>
      <c r="EB424" s="132"/>
      <c r="EC424" s="132"/>
      <c r="ED424" s="132"/>
      <c r="EE424" s="132"/>
      <c r="EF424" s="132"/>
      <c r="EG424" s="132"/>
      <c r="EH424" s="132"/>
      <c r="EI424" s="132"/>
      <c r="EJ424" s="132"/>
      <c r="EK424" s="132"/>
      <c r="EL424" s="132"/>
      <c r="EM424" s="132"/>
      <c r="EN424" s="132"/>
      <c r="EO424" s="132"/>
      <c r="EP424" s="132"/>
      <c r="EQ424" s="132"/>
      <c r="ER424" s="132"/>
      <c r="ES424" s="132"/>
      <c r="ET424" s="11"/>
      <c r="EU424" s="11"/>
      <c r="EV424" s="11"/>
      <c r="EW424" s="11"/>
      <c r="EX424" s="11"/>
      <c r="EY424" s="11"/>
      <c r="EZ424" s="11"/>
      <c r="FA424" s="11"/>
      <c r="FB424" s="11"/>
      <c r="FC424" s="11"/>
      <c r="FD424" s="11"/>
      <c r="FE424" s="11"/>
      <c r="FF424" s="11"/>
      <c r="FG424" s="11"/>
      <c r="FH424" s="39">
        <f t="shared" si="96"/>
        <v>6627833.5199999996</v>
      </c>
      <c r="FI424" s="33">
        <f t="shared" si="97"/>
        <v>2</v>
      </c>
      <c r="FJ424" s="84">
        <f t="shared" si="98"/>
        <v>3313916.76</v>
      </c>
    </row>
    <row r="425" spans="1:166" ht="13.5" x14ac:dyDescent="0.25">
      <c r="A425" s="79" t="e">
        <f>#REF!</f>
        <v>#REF!</v>
      </c>
      <c r="B425" s="75" t="e">
        <f>#REF!</f>
        <v>#REF!</v>
      </c>
      <c r="C425" s="75" t="e">
        <f>#REF!</f>
        <v>#REF!</v>
      </c>
      <c r="D425" s="75" t="e">
        <f>#REF!</f>
        <v>#REF!</v>
      </c>
      <c r="E425" s="30">
        <v>1</v>
      </c>
      <c r="F425" s="238">
        <v>0</v>
      </c>
      <c r="G425" s="241">
        <v>0</v>
      </c>
      <c r="H425" s="249">
        <v>866320</v>
      </c>
      <c r="I425" s="249">
        <v>0</v>
      </c>
      <c r="J425" s="249">
        <v>0</v>
      </c>
      <c r="K425" s="249">
        <v>0</v>
      </c>
      <c r="L425" s="274">
        <f>H425</f>
        <v>866320</v>
      </c>
      <c r="M425" s="274"/>
      <c r="N425" s="245"/>
      <c r="O425" s="113"/>
      <c r="P425" s="113"/>
      <c r="Q425" s="131"/>
      <c r="R425" s="131"/>
      <c r="S425" s="64"/>
      <c r="T425" s="113"/>
      <c r="U425" s="113"/>
      <c r="V425" s="113"/>
      <c r="W425" s="131"/>
      <c r="X425" s="131"/>
      <c r="Y425" s="11"/>
      <c r="Z425" s="113"/>
      <c r="AA425" s="113"/>
      <c r="AB425" s="113"/>
      <c r="AC425" s="52"/>
      <c r="AD425" s="52"/>
      <c r="AE425" s="11"/>
      <c r="AF425" s="113"/>
      <c r="AG425" s="144"/>
      <c r="AH425" s="113"/>
      <c r="AI425" s="11"/>
      <c r="AJ425" s="11"/>
      <c r="AK425" s="39"/>
      <c r="AL425" s="113"/>
      <c r="AM425" s="113"/>
      <c r="AN425" s="119"/>
      <c r="AO425" s="76"/>
      <c r="AP425" s="39"/>
      <c r="AQ425" s="39"/>
      <c r="AR425" s="275"/>
      <c r="AS425" s="275"/>
      <c r="AT425" s="275"/>
      <c r="AU425" s="62"/>
      <c r="AV425" s="62"/>
      <c r="AW425" s="11"/>
      <c r="AX425" s="116"/>
      <c r="AY425" s="196"/>
      <c r="AZ425" s="143"/>
      <c r="BA425" s="191"/>
      <c r="BB425" s="132"/>
      <c r="BC425" s="132"/>
      <c r="BD425" s="275"/>
      <c r="BE425" s="274"/>
      <c r="BF425" s="274"/>
      <c r="BG425" s="274"/>
      <c r="BH425" s="132"/>
      <c r="BI425" s="132"/>
      <c r="BJ425" s="143"/>
      <c r="BK425" s="143"/>
      <c r="BL425" s="143"/>
      <c r="BM425" s="132"/>
      <c r="BN425" s="132"/>
      <c r="BO425" s="132"/>
      <c r="BP425" s="143"/>
      <c r="BQ425" s="132"/>
      <c r="BR425" s="132"/>
      <c r="BS425" s="132"/>
      <c r="BT425" s="132"/>
      <c r="BU425" s="132"/>
      <c r="BV425" s="268">
        <v>5504200</v>
      </c>
      <c r="BW425" s="144">
        <f t="shared" si="103"/>
        <v>1045798</v>
      </c>
      <c r="BX425" s="113">
        <f t="shared" si="104"/>
        <v>6549998</v>
      </c>
      <c r="BY425" s="264" t="s">
        <v>259</v>
      </c>
      <c r="BZ425" s="264" t="s">
        <v>384</v>
      </c>
      <c r="CA425" s="132"/>
      <c r="CB425" s="275"/>
      <c r="CC425" s="143"/>
      <c r="CD425" s="275"/>
      <c r="CE425" s="132"/>
      <c r="CF425" s="132"/>
      <c r="CG425" s="36"/>
      <c r="CH425" s="268">
        <v>5669326</v>
      </c>
      <c r="CI425" s="265">
        <f t="shared" si="105"/>
        <v>1077171.94</v>
      </c>
      <c r="CJ425" s="263">
        <f t="shared" si="106"/>
        <v>6746497.9399999995</v>
      </c>
      <c r="CK425" s="264" t="s">
        <v>259</v>
      </c>
      <c r="CL425" s="264" t="s">
        <v>384</v>
      </c>
      <c r="CM425" s="132"/>
      <c r="CN425" s="275"/>
      <c r="CO425" s="143"/>
      <c r="CP425" s="275"/>
      <c r="CQ425" s="132"/>
      <c r="CR425" s="132"/>
      <c r="CS425" s="132"/>
      <c r="CT425" s="275"/>
      <c r="CU425" s="143"/>
      <c r="CV425" s="275"/>
      <c r="CW425" s="132"/>
      <c r="CX425" s="132"/>
      <c r="CY425" s="132"/>
      <c r="CZ425" s="113"/>
      <c r="DA425" s="143"/>
      <c r="DB425" s="113"/>
      <c r="DC425" s="33"/>
      <c r="DD425" s="39"/>
      <c r="DE425" s="11"/>
      <c r="DF425" s="132"/>
      <c r="DG425" s="132"/>
      <c r="DH425" s="132"/>
      <c r="DI425" s="132"/>
      <c r="DJ425" s="132"/>
      <c r="DK425" s="132"/>
      <c r="DL425" s="132"/>
      <c r="DM425" s="132"/>
      <c r="DN425" s="132"/>
      <c r="DO425" s="132"/>
      <c r="DP425" s="132"/>
      <c r="DQ425" s="132"/>
      <c r="DR425" s="132"/>
      <c r="DS425" s="132"/>
      <c r="DT425" s="132"/>
      <c r="DU425" s="132"/>
      <c r="DV425" s="132"/>
      <c r="DW425" s="132"/>
      <c r="DX425" s="132"/>
      <c r="DY425" s="132"/>
      <c r="DZ425" s="132"/>
      <c r="EA425" s="132"/>
      <c r="EB425" s="132"/>
      <c r="EC425" s="132"/>
      <c r="ED425" s="132"/>
      <c r="EE425" s="132"/>
      <c r="EF425" s="132"/>
      <c r="EG425" s="132"/>
      <c r="EH425" s="132"/>
      <c r="EI425" s="132"/>
      <c r="EJ425" s="132"/>
      <c r="EK425" s="132"/>
      <c r="EL425" s="132"/>
      <c r="EM425" s="132"/>
      <c r="EN425" s="132"/>
      <c r="EO425" s="132"/>
      <c r="EP425" s="132"/>
      <c r="EQ425" s="132"/>
      <c r="ER425" s="132"/>
      <c r="ES425" s="132"/>
      <c r="ET425" s="11"/>
      <c r="EU425" s="11"/>
      <c r="EV425" s="11"/>
      <c r="EW425" s="11"/>
      <c r="EX425" s="11"/>
      <c r="EY425" s="11"/>
      <c r="EZ425" s="11"/>
      <c r="FA425" s="11"/>
      <c r="FB425" s="11"/>
      <c r="FC425" s="11"/>
      <c r="FD425" s="11"/>
      <c r="FE425" s="11"/>
      <c r="FF425" s="11"/>
      <c r="FG425" s="11"/>
      <c r="FH425" s="39">
        <f t="shared" si="96"/>
        <v>13296495.939999999</v>
      </c>
      <c r="FI425" s="33">
        <f t="shared" si="97"/>
        <v>2</v>
      </c>
      <c r="FJ425" s="84">
        <f t="shared" si="98"/>
        <v>6648247.9699999997</v>
      </c>
    </row>
    <row r="426" spans="1:166" ht="13.5" x14ac:dyDescent="0.25">
      <c r="A426" s="79" t="e">
        <f>#REF!</f>
        <v>#REF!</v>
      </c>
      <c r="B426" s="75" t="e">
        <f>#REF!</f>
        <v>#REF!</v>
      </c>
      <c r="C426" s="75" t="e">
        <f>#REF!</f>
        <v>#REF!</v>
      </c>
      <c r="D426" s="75" t="e">
        <f>#REF!</f>
        <v>#REF!</v>
      </c>
      <c r="E426" s="30">
        <v>1</v>
      </c>
      <c r="F426" s="238">
        <v>0</v>
      </c>
      <c r="G426" s="241">
        <v>0</v>
      </c>
      <c r="H426" s="249">
        <v>0</v>
      </c>
      <c r="I426" s="249">
        <v>0</v>
      </c>
      <c r="J426" s="249">
        <v>3541346.5</v>
      </c>
      <c r="K426" s="249">
        <v>0</v>
      </c>
      <c r="L426" s="274">
        <f>J426</f>
        <v>3541346.5</v>
      </c>
      <c r="M426" s="274"/>
      <c r="N426" s="245"/>
      <c r="O426" s="113"/>
      <c r="P426" s="113"/>
      <c r="Q426" s="131"/>
      <c r="R426" s="131"/>
      <c r="S426" s="64"/>
      <c r="T426" s="113"/>
      <c r="U426" s="113"/>
      <c r="V426" s="113"/>
      <c r="W426" s="131"/>
      <c r="X426" s="131"/>
      <c r="Y426" s="11"/>
      <c r="Z426" s="113"/>
      <c r="AA426" s="113"/>
      <c r="AB426" s="113"/>
      <c r="AC426" s="52"/>
      <c r="AD426" s="52"/>
      <c r="AE426" s="11"/>
      <c r="AF426" s="118"/>
      <c r="AG426" s="144"/>
      <c r="AH426" s="113"/>
      <c r="AI426" s="11"/>
      <c r="AJ426" s="11"/>
      <c r="AK426" s="39"/>
      <c r="AL426" s="113"/>
      <c r="AM426" s="113"/>
      <c r="AN426" s="119"/>
      <c r="AO426" s="76"/>
      <c r="AP426" s="39"/>
      <c r="AQ426" s="39"/>
      <c r="AR426" s="275"/>
      <c r="AS426" s="275"/>
      <c r="AT426" s="275"/>
      <c r="AU426" s="62"/>
      <c r="AV426" s="62"/>
      <c r="AW426" s="11"/>
      <c r="AX426" s="116"/>
      <c r="AY426" s="196"/>
      <c r="AZ426" s="143"/>
      <c r="BA426" s="191"/>
      <c r="BB426" s="132"/>
      <c r="BC426" s="132"/>
      <c r="BD426" s="274"/>
      <c r="BE426" s="274"/>
      <c r="BF426" s="274"/>
      <c r="BG426" s="274"/>
      <c r="BH426" s="132"/>
      <c r="BI426" s="132"/>
      <c r="BJ426" s="143"/>
      <c r="BK426" s="143"/>
      <c r="BL426" s="143"/>
      <c r="BM426" s="132"/>
      <c r="BN426" s="132"/>
      <c r="BO426" s="132"/>
      <c r="BP426" s="143"/>
      <c r="BQ426" s="132"/>
      <c r="BR426" s="132"/>
      <c r="BS426" s="132"/>
      <c r="BT426" s="132"/>
      <c r="BU426" s="132"/>
      <c r="BV426" s="268">
        <v>4000000</v>
      </c>
      <c r="BW426" s="144">
        <f t="shared" si="103"/>
        <v>760000</v>
      </c>
      <c r="BX426" s="113">
        <f t="shared" si="104"/>
        <v>4760000</v>
      </c>
      <c r="BY426" s="264" t="s">
        <v>236</v>
      </c>
      <c r="BZ426" s="264" t="s">
        <v>324</v>
      </c>
      <c r="CA426" s="132"/>
      <c r="CB426" s="274"/>
      <c r="CC426" s="144"/>
      <c r="CD426" s="274"/>
      <c r="CE426" s="132"/>
      <c r="CF426" s="132"/>
      <c r="CG426" s="36"/>
      <c r="CH426" s="268">
        <v>6649230</v>
      </c>
      <c r="CI426" s="265">
        <f t="shared" si="105"/>
        <v>1263353.7</v>
      </c>
      <c r="CJ426" s="263">
        <f t="shared" si="106"/>
        <v>7912583.7000000002</v>
      </c>
      <c r="CK426" s="264" t="s">
        <v>236</v>
      </c>
      <c r="CL426" s="264" t="s">
        <v>324</v>
      </c>
      <c r="CM426" s="132"/>
      <c r="CN426" s="274"/>
      <c r="CO426" s="144"/>
      <c r="CP426" s="274"/>
      <c r="CQ426" s="132"/>
      <c r="CR426" s="132"/>
      <c r="CS426" s="132"/>
      <c r="CT426" s="274"/>
      <c r="CU426" s="144"/>
      <c r="CV426" s="274"/>
      <c r="CW426" s="132"/>
      <c r="CX426" s="132"/>
      <c r="CY426" s="132"/>
      <c r="CZ426" s="118"/>
      <c r="DA426" s="144"/>
      <c r="DB426" s="118"/>
      <c r="DC426" s="33"/>
      <c r="DD426" s="39"/>
      <c r="DE426" s="11"/>
      <c r="DF426" s="132"/>
      <c r="DG426" s="132"/>
      <c r="DH426" s="132"/>
      <c r="DI426" s="132"/>
      <c r="DJ426" s="132"/>
      <c r="DK426" s="132"/>
      <c r="DL426" s="132"/>
      <c r="DM426" s="132"/>
      <c r="DN426" s="132"/>
      <c r="DO426" s="132"/>
      <c r="DP426" s="132"/>
      <c r="DQ426" s="132"/>
      <c r="DR426" s="132"/>
      <c r="DS426" s="132"/>
      <c r="DT426" s="132"/>
      <c r="DU426" s="132"/>
      <c r="DV426" s="132"/>
      <c r="DW426" s="132"/>
      <c r="DX426" s="132"/>
      <c r="DY426" s="132"/>
      <c r="DZ426" s="132"/>
      <c r="EA426" s="132"/>
      <c r="EB426" s="132"/>
      <c r="EC426" s="132"/>
      <c r="ED426" s="132"/>
      <c r="EE426" s="132"/>
      <c r="EF426" s="132"/>
      <c r="EG426" s="132"/>
      <c r="EH426" s="132"/>
      <c r="EI426" s="132"/>
      <c r="EJ426" s="132"/>
      <c r="EK426" s="132"/>
      <c r="EL426" s="132"/>
      <c r="EM426" s="132"/>
      <c r="EN426" s="132"/>
      <c r="EO426" s="132"/>
      <c r="EP426" s="132"/>
      <c r="EQ426" s="132"/>
      <c r="ER426" s="132"/>
      <c r="ES426" s="132"/>
      <c r="ET426" s="11"/>
      <c r="EU426" s="11"/>
      <c r="EV426" s="11"/>
      <c r="EW426" s="11"/>
      <c r="EX426" s="11"/>
      <c r="EY426" s="11"/>
      <c r="EZ426" s="11"/>
      <c r="FA426" s="11"/>
      <c r="FB426" s="11"/>
      <c r="FC426" s="11"/>
      <c r="FD426" s="11"/>
      <c r="FE426" s="11"/>
      <c r="FF426" s="11"/>
      <c r="FG426" s="11"/>
      <c r="FH426" s="39">
        <f t="shared" si="96"/>
        <v>12672583.699999999</v>
      </c>
      <c r="FI426" s="33">
        <f t="shared" si="97"/>
        <v>2</v>
      </c>
      <c r="FJ426" s="84">
        <f t="shared" si="98"/>
        <v>6336291.8499999996</v>
      </c>
    </row>
    <row r="427" spans="1:166" x14ac:dyDescent="0.25">
      <c r="A427" s="79" t="e">
        <f>#REF!</f>
        <v>#REF!</v>
      </c>
      <c r="B427" s="75" t="e">
        <f>#REF!</f>
        <v>#REF!</v>
      </c>
      <c r="C427" s="75" t="e">
        <f>#REF!</f>
        <v>#REF!</v>
      </c>
      <c r="D427" s="75" t="e">
        <f>#REF!</f>
        <v>#REF!</v>
      </c>
      <c r="E427" s="30">
        <v>1</v>
      </c>
      <c r="F427" s="238">
        <v>0</v>
      </c>
      <c r="G427" s="241">
        <v>0</v>
      </c>
      <c r="H427" s="249">
        <v>0</v>
      </c>
      <c r="I427" s="249">
        <v>0</v>
      </c>
      <c r="J427" s="249">
        <v>0</v>
      </c>
      <c r="K427" s="249">
        <v>0</v>
      </c>
      <c r="L427" s="274"/>
      <c r="M427" s="274"/>
      <c r="N427" s="245"/>
      <c r="O427" s="113"/>
      <c r="P427" s="113"/>
      <c r="Q427" s="131"/>
      <c r="R427" s="131"/>
      <c r="S427" s="64"/>
      <c r="T427" s="113"/>
      <c r="U427" s="113"/>
      <c r="V427" s="113"/>
      <c r="W427" s="131"/>
      <c r="X427" s="131"/>
      <c r="Y427" s="11"/>
      <c r="Z427" s="113"/>
      <c r="AA427" s="113"/>
      <c r="AB427" s="113"/>
      <c r="AC427" s="52"/>
      <c r="AD427" s="52"/>
      <c r="AE427" s="11"/>
      <c r="AF427" s="118"/>
      <c r="AG427" s="144"/>
      <c r="AH427" s="113"/>
      <c r="AI427" s="11"/>
      <c r="AJ427" s="11"/>
      <c r="AK427" s="39"/>
      <c r="AL427" s="113"/>
      <c r="AM427" s="113"/>
      <c r="AN427" s="147"/>
      <c r="AO427" s="76"/>
      <c r="AP427" s="39"/>
      <c r="AQ427" s="39"/>
      <c r="AR427" s="275"/>
      <c r="AS427" s="275"/>
      <c r="AT427" s="275"/>
      <c r="AU427" s="62"/>
      <c r="AV427" s="62"/>
      <c r="AW427" s="11"/>
      <c r="AX427" s="116"/>
      <c r="AY427" s="116"/>
      <c r="AZ427" s="143"/>
      <c r="BA427" s="191"/>
      <c r="BB427" s="132"/>
      <c r="BC427" s="132"/>
      <c r="BD427" s="274"/>
      <c r="BE427" s="143"/>
      <c r="BF427" s="143"/>
      <c r="BG427" s="132"/>
      <c r="BH427" s="132"/>
      <c r="BI427" s="132"/>
      <c r="BJ427" s="143"/>
      <c r="BK427" s="143"/>
      <c r="BL427" s="143"/>
      <c r="BM427" s="132"/>
      <c r="BN427" s="132"/>
      <c r="BO427" s="132"/>
      <c r="BP427" s="143"/>
      <c r="BQ427" s="132"/>
      <c r="BR427" s="132"/>
      <c r="BS427" s="132"/>
      <c r="BT427" s="132"/>
      <c r="BU427" s="132"/>
      <c r="BV427" s="210"/>
      <c r="BW427" s="144"/>
      <c r="BX427" s="113"/>
      <c r="BY427" s="273"/>
      <c r="BZ427" s="273"/>
      <c r="CA427" s="132"/>
      <c r="CB427" s="274"/>
      <c r="CC427" s="144"/>
      <c r="CD427" s="274"/>
      <c r="CE427" s="132"/>
      <c r="CF427" s="132"/>
      <c r="CG427" s="36"/>
      <c r="CH427" s="210"/>
      <c r="CI427" s="219"/>
      <c r="CJ427" s="210"/>
      <c r="CK427" s="273"/>
      <c r="CL427" s="273"/>
      <c r="CM427" s="132"/>
      <c r="CN427" s="274"/>
      <c r="CO427" s="144"/>
      <c r="CP427" s="274"/>
      <c r="CQ427" s="132"/>
      <c r="CR427" s="132"/>
      <c r="CS427" s="132"/>
      <c r="CT427" s="274"/>
      <c r="CU427" s="144"/>
      <c r="CV427" s="274"/>
      <c r="CW427" s="132"/>
      <c r="CX427" s="132"/>
      <c r="CY427" s="132"/>
      <c r="CZ427" s="118"/>
      <c r="DA427" s="144"/>
      <c r="DB427" s="118"/>
      <c r="DC427" s="33"/>
      <c r="DD427" s="39"/>
      <c r="DE427" s="11"/>
      <c r="DF427" s="132"/>
      <c r="DG427" s="132"/>
      <c r="DH427" s="132"/>
      <c r="DI427" s="132"/>
      <c r="DJ427" s="132"/>
      <c r="DK427" s="132"/>
      <c r="DL427" s="132"/>
      <c r="DM427" s="132"/>
      <c r="DN427" s="132"/>
      <c r="DO427" s="132"/>
      <c r="DP427" s="132"/>
      <c r="DQ427" s="132"/>
      <c r="DR427" s="132"/>
      <c r="DS427" s="132"/>
      <c r="DT427" s="132"/>
      <c r="DU427" s="132"/>
      <c r="DV427" s="132"/>
      <c r="DW427" s="132"/>
      <c r="DX427" s="132"/>
      <c r="DY427" s="132"/>
      <c r="DZ427" s="132"/>
      <c r="EA427" s="132"/>
      <c r="EB427" s="132"/>
      <c r="EC427" s="132"/>
      <c r="ED427" s="132"/>
      <c r="EE427" s="132"/>
      <c r="EF427" s="132"/>
      <c r="EG427" s="132"/>
      <c r="EH427" s="132"/>
      <c r="EI427" s="132"/>
      <c r="EJ427" s="132"/>
      <c r="EK427" s="132"/>
      <c r="EL427" s="132"/>
      <c r="EM427" s="132"/>
      <c r="EN427" s="132"/>
      <c r="EO427" s="132"/>
      <c r="EP427" s="132"/>
      <c r="EQ427" s="132"/>
      <c r="ER427" s="132"/>
      <c r="ES427" s="132"/>
      <c r="ET427" s="11"/>
      <c r="EU427" s="11"/>
      <c r="EV427" s="11"/>
      <c r="EW427" s="11"/>
      <c r="EX427" s="11"/>
      <c r="EY427" s="11"/>
      <c r="EZ427" s="11"/>
      <c r="FA427" s="11"/>
      <c r="FB427" s="11"/>
      <c r="FC427" s="11"/>
      <c r="FD427" s="11"/>
      <c r="FE427" s="11"/>
      <c r="FF427" s="11"/>
      <c r="FG427" s="11"/>
      <c r="FH427" s="39">
        <f t="shared" si="96"/>
        <v>0</v>
      </c>
      <c r="FI427" s="33">
        <f t="shared" si="97"/>
        <v>0</v>
      </c>
      <c r="FJ427" s="84" t="str">
        <f t="shared" si="98"/>
        <v xml:space="preserve"> </v>
      </c>
    </row>
    <row r="428" spans="1:166" x14ac:dyDescent="0.25">
      <c r="A428" s="79" t="e">
        <f>#REF!</f>
        <v>#REF!</v>
      </c>
      <c r="B428" s="75" t="e">
        <f>#REF!</f>
        <v>#REF!</v>
      </c>
      <c r="C428" s="75" t="e">
        <f>#REF!</f>
        <v>#REF!</v>
      </c>
      <c r="D428" s="75" t="e">
        <f>#REF!</f>
        <v>#REF!</v>
      </c>
      <c r="E428" s="30">
        <v>1</v>
      </c>
      <c r="F428" s="238">
        <v>0</v>
      </c>
      <c r="G428" s="241">
        <v>0</v>
      </c>
      <c r="H428" s="249">
        <v>0</v>
      </c>
      <c r="I428" s="249">
        <v>0</v>
      </c>
      <c r="J428" s="249">
        <v>0</v>
      </c>
      <c r="K428" s="249">
        <v>0</v>
      </c>
      <c r="L428" s="274"/>
      <c r="M428" s="274"/>
      <c r="N428" s="245"/>
      <c r="O428" s="113"/>
      <c r="P428" s="113"/>
      <c r="Q428" s="131"/>
      <c r="R428" s="131"/>
      <c r="S428" s="64"/>
      <c r="T428" s="113"/>
      <c r="U428" s="113"/>
      <c r="V428" s="113"/>
      <c r="W428" s="131"/>
      <c r="X428" s="131"/>
      <c r="Y428" s="11"/>
      <c r="Z428" s="113"/>
      <c r="AA428" s="113"/>
      <c r="AB428" s="113"/>
      <c r="AC428" s="52"/>
      <c r="AD428" s="52"/>
      <c r="AE428" s="11"/>
      <c r="AF428" s="118"/>
      <c r="AG428" s="144"/>
      <c r="AH428" s="113"/>
      <c r="AI428" s="11"/>
      <c r="AJ428" s="11"/>
      <c r="AK428" s="39"/>
      <c r="AL428" s="113"/>
      <c r="AM428" s="113"/>
      <c r="AN428" s="117"/>
      <c r="AO428" s="76"/>
      <c r="AP428" s="39"/>
      <c r="AQ428" s="39"/>
      <c r="AR428" s="275"/>
      <c r="AS428" s="275"/>
      <c r="AT428" s="275"/>
      <c r="AU428" s="62"/>
      <c r="AV428" s="62"/>
      <c r="AW428" s="11"/>
      <c r="AX428" s="116"/>
      <c r="AY428" s="196"/>
      <c r="AZ428" s="143"/>
      <c r="BA428" s="191"/>
      <c r="BB428" s="132"/>
      <c r="BC428" s="132"/>
      <c r="BD428" s="274"/>
      <c r="BE428" s="143"/>
      <c r="BF428" s="143"/>
      <c r="BG428" s="132"/>
      <c r="BH428" s="132"/>
      <c r="BI428" s="132"/>
      <c r="BJ428" s="143"/>
      <c r="BK428" s="143"/>
      <c r="BL428" s="143"/>
      <c r="BM428" s="132"/>
      <c r="BN428" s="132"/>
      <c r="BO428" s="132"/>
      <c r="BP428" s="143"/>
      <c r="BQ428" s="132"/>
      <c r="BR428" s="132"/>
      <c r="BS428" s="132"/>
      <c r="BT428" s="132"/>
      <c r="BU428" s="132"/>
      <c r="BV428" s="210"/>
      <c r="BW428" s="144"/>
      <c r="BX428" s="113"/>
      <c r="BY428" s="273"/>
      <c r="BZ428" s="273"/>
      <c r="CA428" s="132"/>
      <c r="CB428" s="274"/>
      <c r="CC428" s="144"/>
      <c r="CD428" s="274"/>
      <c r="CE428" s="132"/>
      <c r="CF428" s="132"/>
      <c r="CG428" s="36"/>
      <c r="CH428" s="210"/>
      <c r="CI428" s="219"/>
      <c r="CJ428" s="210"/>
      <c r="CK428" s="273"/>
      <c r="CL428" s="273"/>
      <c r="CM428" s="132"/>
      <c r="CN428" s="274"/>
      <c r="CO428" s="144"/>
      <c r="CP428" s="274"/>
      <c r="CQ428" s="132"/>
      <c r="CR428" s="132"/>
      <c r="CS428" s="132"/>
      <c r="CT428" s="274"/>
      <c r="CU428" s="144"/>
      <c r="CV428" s="274"/>
      <c r="CW428" s="132"/>
      <c r="CX428" s="132"/>
      <c r="CY428" s="132"/>
      <c r="CZ428" s="118"/>
      <c r="DA428" s="144"/>
      <c r="DB428" s="118"/>
      <c r="DC428" s="33"/>
      <c r="DD428" s="39"/>
      <c r="DE428" s="11"/>
      <c r="DF428" s="132"/>
      <c r="DG428" s="132"/>
      <c r="DH428" s="132"/>
      <c r="DI428" s="132"/>
      <c r="DJ428" s="132"/>
      <c r="DK428" s="132"/>
      <c r="DL428" s="132"/>
      <c r="DM428" s="132"/>
      <c r="DN428" s="132"/>
      <c r="DO428" s="132"/>
      <c r="DP428" s="132"/>
      <c r="DQ428" s="132"/>
      <c r="DR428" s="132"/>
      <c r="DS428" s="132"/>
      <c r="DT428" s="132"/>
      <c r="DU428" s="132"/>
      <c r="DV428" s="132"/>
      <c r="DW428" s="132"/>
      <c r="DX428" s="132"/>
      <c r="DY428" s="132"/>
      <c r="DZ428" s="132"/>
      <c r="EA428" s="132"/>
      <c r="EB428" s="132"/>
      <c r="EC428" s="132"/>
      <c r="ED428" s="132"/>
      <c r="EE428" s="132"/>
      <c r="EF428" s="132"/>
      <c r="EG428" s="132"/>
      <c r="EH428" s="132"/>
      <c r="EI428" s="132"/>
      <c r="EJ428" s="132"/>
      <c r="EK428" s="132"/>
      <c r="EL428" s="132"/>
      <c r="EM428" s="132"/>
      <c r="EN428" s="132"/>
      <c r="EO428" s="132"/>
      <c r="EP428" s="132"/>
      <c r="EQ428" s="132"/>
      <c r="ER428" s="132"/>
      <c r="ES428" s="132"/>
      <c r="ET428" s="11"/>
      <c r="EU428" s="11"/>
      <c r="EV428" s="11"/>
      <c r="EW428" s="11"/>
      <c r="EX428" s="11"/>
      <c r="EY428" s="11"/>
      <c r="EZ428" s="11"/>
      <c r="FA428" s="11"/>
      <c r="FB428" s="11"/>
      <c r="FC428" s="11"/>
      <c r="FD428" s="11"/>
      <c r="FE428" s="11"/>
      <c r="FF428" s="11"/>
      <c r="FG428" s="11"/>
      <c r="FH428" s="39">
        <f t="shared" si="96"/>
        <v>0</v>
      </c>
      <c r="FI428" s="33">
        <f t="shared" si="97"/>
        <v>0</v>
      </c>
      <c r="FJ428" s="84" t="str">
        <f t="shared" si="98"/>
        <v xml:space="preserve"> </v>
      </c>
    </row>
    <row r="429" spans="1:166" ht="27" x14ac:dyDescent="0.25">
      <c r="A429" s="79" t="e">
        <f>#REF!</f>
        <v>#REF!</v>
      </c>
      <c r="B429" s="75" t="e">
        <f>#REF!</f>
        <v>#REF!</v>
      </c>
      <c r="C429" s="75" t="e">
        <f>#REF!</f>
        <v>#REF!</v>
      </c>
      <c r="D429" s="75" t="e">
        <f>#REF!</f>
        <v>#REF!</v>
      </c>
      <c r="E429" s="30">
        <v>1</v>
      </c>
      <c r="F429" s="238">
        <v>0</v>
      </c>
      <c r="G429" s="241">
        <v>0</v>
      </c>
      <c r="H429" s="249">
        <v>437285.33333333331</v>
      </c>
      <c r="I429" s="249">
        <v>0</v>
      </c>
      <c r="J429" s="249">
        <v>0</v>
      </c>
      <c r="K429" s="249">
        <v>0</v>
      </c>
      <c r="L429" s="274">
        <f>H429</f>
        <v>437285.33333333331</v>
      </c>
      <c r="M429" s="274"/>
      <c r="N429" s="245"/>
      <c r="O429" s="113"/>
      <c r="P429" s="113"/>
      <c r="Q429" s="131"/>
      <c r="R429" s="131"/>
      <c r="S429" s="64"/>
      <c r="T429" s="113"/>
      <c r="U429" s="113"/>
      <c r="V429" s="113"/>
      <c r="W429" s="131"/>
      <c r="X429" s="131"/>
      <c r="Y429" s="11"/>
      <c r="Z429" s="113"/>
      <c r="AA429" s="113"/>
      <c r="AB429" s="113"/>
      <c r="AC429" s="52"/>
      <c r="AD429" s="52"/>
      <c r="AE429" s="11"/>
      <c r="AF429" s="118"/>
      <c r="AG429" s="144"/>
      <c r="AH429" s="113"/>
      <c r="AI429" s="11"/>
      <c r="AJ429" s="11"/>
      <c r="AK429" s="39"/>
      <c r="AL429" s="113"/>
      <c r="AM429" s="113"/>
      <c r="AN429" s="116"/>
      <c r="AO429" s="76"/>
      <c r="AP429" s="39"/>
      <c r="AQ429" s="39"/>
      <c r="AR429" s="275">
        <v>547200</v>
      </c>
      <c r="AS429" s="113">
        <f>+AR429*0.19</f>
        <v>103968</v>
      </c>
      <c r="AT429" s="119">
        <f>+AR429+AS429</f>
        <v>651168</v>
      </c>
      <c r="AU429" s="62" t="s">
        <v>34</v>
      </c>
      <c r="AV429" s="62" t="s">
        <v>35</v>
      </c>
      <c r="AW429" s="11"/>
      <c r="AX429" s="116"/>
      <c r="AY429" s="196"/>
      <c r="AZ429" s="143"/>
      <c r="BA429" s="191"/>
      <c r="BB429" s="132"/>
      <c r="BC429" s="132"/>
      <c r="BD429" s="274"/>
      <c r="BE429" s="143"/>
      <c r="BF429" s="143"/>
      <c r="BG429" s="132"/>
      <c r="BH429" s="132"/>
      <c r="BI429" s="132"/>
      <c r="BJ429" s="143"/>
      <c r="BK429" s="143"/>
      <c r="BL429" s="143"/>
      <c r="BM429" s="132"/>
      <c r="BN429" s="132"/>
      <c r="BO429" s="132"/>
      <c r="BP429" s="143"/>
      <c r="BQ429" s="132"/>
      <c r="BR429" s="132"/>
      <c r="BS429" s="132"/>
      <c r="BT429" s="132"/>
      <c r="BU429" s="132"/>
      <c r="BV429" s="268">
        <v>2603700</v>
      </c>
      <c r="BW429" s="144">
        <f>BV429*19%</f>
        <v>494703</v>
      </c>
      <c r="BX429" s="113">
        <f>+BV429+BW429</f>
        <v>3098403</v>
      </c>
      <c r="BY429" s="264" t="s">
        <v>337</v>
      </c>
      <c r="BZ429" s="264" t="s">
        <v>263</v>
      </c>
      <c r="CA429" s="132"/>
      <c r="CB429" s="274"/>
      <c r="CC429" s="144"/>
      <c r="CD429" s="274"/>
      <c r="CE429" s="132"/>
      <c r="CF429" s="132"/>
      <c r="CG429" s="36"/>
      <c r="CH429" s="268">
        <v>2655774</v>
      </c>
      <c r="CI429" s="265">
        <f>+CH429*0.19</f>
        <v>504597.06</v>
      </c>
      <c r="CJ429" s="263">
        <f>+CH429+CI429</f>
        <v>3160371.06</v>
      </c>
      <c r="CK429" s="264" t="s">
        <v>337</v>
      </c>
      <c r="CL429" s="264" t="s">
        <v>263</v>
      </c>
      <c r="CM429" s="132"/>
      <c r="CN429" s="274"/>
      <c r="CO429" s="144"/>
      <c r="CP429" s="274"/>
      <c r="CQ429" s="132"/>
      <c r="CR429" s="132"/>
      <c r="CS429" s="132"/>
      <c r="CT429" s="274"/>
      <c r="CU429" s="144"/>
      <c r="CV429" s="274"/>
      <c r="CW429" s="132"/>
      <c r="CX429" s="132"/>
      <c r="CY429" s="132"/>
      <c r="CZ429" s="118"/>
      <c r="DA429" s="144"/>
      <c r="DB429" s="118"/>
      <c r="DC429" s="33"/>
      <c r="DD429" s="39"/>
      <c r="DE429" s="11"/>
      <c r="DF429" s="132"/>
      <c r="DG429" s="132"/>
      <c r="DH429" s="132"/>
      <c r="DI429" s="132"/>
      <c r="DJ429" s="132"/>
      <c r="DK429" s="132"/>
      <c r="DL429" s="132"/>
      <c r="DM429" s="132"/>
      <c r="DN429" s="132"/>
      <c r="DO429" s="132"/>
      <c r="DP429" s="132"/>
      <c r="DQ429" s="132"/>
      <c r="DR429" s="132"/>
      <c r="DS429" s="132"/>
      <c r="DT429" s="132"/>
      <c r="DU429" s="132"/>
      <c r="DV429" s="132"/>
      <c r="DW429" s="132"/>
      <c r="DX429" s="132"/>
      <c r="DY429" s="132"/>
      <c r="DZ429" s="132"/>
      <c r="EA429" s="132"/>
      <c r="EB429" s="132"/>
      <c r="EC429" s="132"/>
      <c r="ED429" s="132"/>
      <c r="EE429" s="132"/>
      <c r="EF429" s="132"/>
      <c r="EG429" s="132"/>
      <c r="EH429" s="132"/>
      <c r="EI429" s="132"/>
      <c r="EJ429" s="132"/>
      <c r="EK429" s="132"/>
      <c r="EL429" s="132"/>
      <c r="EM429" s="132"/>
      <c r="EN429" s="132"/>
      <c r="EO429" s="132"/>
      <c r="EP429" s="132"/>
      <c r="EQ429" s="132"/>
      <c r="ER429" s="132"/>
      <c r="ES429" s="132"/>
      <c r="ET429" s="11"/>
      <c r="EU429" s="11"/>
      <c r="EV429" s="11"/>
      <c r="EW429" s="11"/>
      <c r="EX429" s="11"/>
      <c r="EY429" s="11"/>
      <c r="EZ429" s="11"/>
      <c r="FA429" s="11"/>
      <c r="FB429" s="11"/>
      <c r="FC429" s="11"/>
      <c r="FD429" s="11"/>
      <c r="FE429" s="11"/>
      <c r="FF429" s="11"/>
      <c r="FG429" s="11"/>
      <c r="FH429" s="39">
        <f t="shared" si="96"/>
        <v>6909942.0600000005</v>
      </c>
      <c r="FI429" s="33">
        <f t="shared" si="97"/>
        <v>3</v>
      </c>
      <c r="FJ429" s="84">
        <f t="shared" si="98"/>
        <v>2303314.02</v>
      </c>
    </row>
    <row r="430" spans="1:166" ht="27" x14ac:dyDescent="0.25">
      <c r="A430" s="79" t="e">
        <f>#REF!</f>
        <v>#REF!</v>
      </c>
      <c r="B430" s="75" t="e">
        <f>#REF!</f>
        <v>#REF!</v>
      </c>
      <c r="C430" s="75" t="e">
        <f>#REF!</f>
        <v>#REF!</v>
      </c>
      <c r="D430" s="75" t="e">
        <f>#REF!</f>
        <v>#REF!</v>
      </c>
      <c r="E430" s="30">
        <v>1</v>
      </c>
      <c r="F430" s="238">
        <v>2096581.6666666665</v>
      </c>
      <c r="G430" s="241">
        <v>1991703</v>
      </c>
      <c r="H430" s="249">
        <v>783098.60445833334</v>
      </c>
      <c r="I430" s="249">
        <v>783020</v>
      </c>
      <c r="J430" s="249">
        <v>1164644.0750000002</v>
      </c>
      <c r="K430" s="249">
        <v>1153110</v>
      </c>
      <c r="L430" s="274">
        <f>AVERAGE(F430,H430,J430)</f>
        <v>1348108.1153750001</v>
      </c>
      <c r="M430" s="274">
        <f>AVERAGE(G430,I430,K430)*E1</f>
        <v>1348555.9966666668</v>
      </c>
      <c r="N430" s="245"/>
      <c r="O430" s="113"/>
      <c r="P430" s="113"/>
      <c r="Q430" s="131"/>
      <c r="R430" s="131"/>
      <c r="S430" s="64"/>
      <c r="T430" s="113">
        <v>599000</v>
      </c>
      <c r="U430" s="113">
        <f>+T430*0.19</f>
        <v>113810</v>
      </c>
      <c r="V430" s="113">
        <f>+T430+U430</f>
        <v>712810</v>
      </c>
      <c r="W430" s="131" t="s">
        <v>387</v>
      </c>
      <c r="X430" s="131" t="s">
        <v>388</v>
      </c>
      <c r="Y430" s="11"/>
      <c r="Z430" s="113"/>
      <c r="AA430" s="113"/>
      <c r="AB430" s="113"/>
      <c r="AC430" s="52"/>
      <c r="AD430" s="52"/>
      <c r="AE430" s="11"/>
      <c r="AF430" s="118"/>
      <c r="AG430" s="144"/>
      <c r="AH430" s="113"/>
      <c r="AI430" s="11"/>
      <c r="AJ430" s="11"/>
      <c r="AK430" s="39"/>
      <c r="AL430" s="113"/>
      <c r="AM430" s="113"/>
      <c r="AN430" s="117"/>
      <c r="AO430" s="76"/>
      <c r="AP430" s="39"/>
      <c r="AQ430" s="39"/>
      <c r="AR430" s="275"/>
      <c r="AS430" s="275"/>
      <c r="AT430" s="275"/>
      <c r="AU430" s="62"/>
      <c r="AV430" s="62"/>
      <c r="AW430" s="11"/>
      <c r="AX430" s="116"/>
      <c r="AY430" s="196"/>
      <c r="AZ430" s="143"/>
      <c r="BA430" s="191"/>
      <c r="BB430" s="132"/>
      <c r="BC430" s="132"/>
      <c r="BD430" s="274"/>
      <c r="BE430" s="143"/>
      <c r="BF430" s="143"/>
      <c r="BG430" s="132"/>
      <c r="BH430" s="132"/>
      <c r="BI430" s="132"/>
      <c r="BJ430" s="143"/>
      <c r="BK430" s="143"/>
      <c r="BL430" s="143"/>
      <c r="BM430" s="132"/>
      <c r="BN430" s="132"/>
      <c r="BO430" s="132"/>
      <c r="BP430" s="143"/>
      <c r="BQ430" s="132"/>
      <c r="BR430" s="132"/>
      <c r="BS430" s="132"/>
      <c r="BT430" s="132"/>
      <c r="BU430" s="132"/>
      <c r="BV430" s="263">
        <v>552600</v>
      </c>
      <c r="BW430" s="144">
        <f>BV430*19%</f>
        <v>104994</v>
      </c>
      <c r="BX430" s="113">
        <f>+BV430+BW430</f>
        <v>657594</v>
      </c>
      <c r="BY430" s="264" t="s">
        <v>389</v>
      </c>
      <c r="BZ430" s="264" t="s">
        <v>263</v>
      </c>
      <c r="CA430" s="132"/>
      <c r="CB430" s="274"/>
      <c r="CC430" s="144"/>
      <c r="CD430" s="274"/>
      <c r="CE430" s="132"/>
      <c r="CF430" s="132"/>
      <c r="CG430" s="36"/>
      <c r="CH430" s="263">
        <v>591282</v>
      </c>
      <c r="CI430" s="265">
        <f>+CH430*0.19</f>
        <v>112343.58</v>
      </c>
      <c r="CJ430" s="263">
        <f>+CH430+CI430</f>
        <v>703625.58</v>
      </c>
      <c r="CK430" s="264" t="s">
        <v>389</v>
      </c>
      <c r="CL430" s="264" t="s">
        <v>263</v>
      </c>
      <c r="CM430" s="132"/>
      <c r="CN430" s="274"/>
      <c r="CO430" s="144"/>
      <c r="CP430" s="274"/>
      <c r="CQ430" s="132"/>
      <c r="CR430" s="132"/>
      <c r="CS430" s="132"/>
      <c r="CT430" s="274"/>
      <c r="CU430" s="144"/>
      <c r="CV430" s="274"/>
      <c r="CW430" s="132"/>
      <c r="CX430" s="132"/>
      <c r="CY430" s="132"/>
      <c r="CZ430" s="118"/>
      <c r="DA430" s="144"/>
      <c r="DB430" s="118"/>
      <c r="DC430" s="33"/>
      <c r="DD430" s="39"/>
      <c r="DE430" s="11"/>
      <c r="DF430" s="132"/>
      <c r="DG430" s="132"/>
      <c r="DH430" s="132"/>
      <c r="DI430" s="132"/>
      <c r="DJ430" s="132"/>
      <c r="DK430" s="132"/>
      <c r="DL430" s="132"/>
      <c r="DM430" s="132"/>
      <c r="DN430" s="132"/>
      <c r="DO430" s="132"/>
      <c r="DP430" s="132"/>
      <c r="DQ430" s="132"/>
      <c r="DR430" s="132"/>
      <c r="DS430" s="132"/>
      <c r="DT430" s="132"/>
      <c r="DU430" s="132"/>
      <c r="DV430" s="132"/>
      <c r="DW430" s="132"/>
      <c r="DX430" s="132"/>
      <c r="DY430" s="132"/>
      <c r="DZ430" s="132"/>
      <c r="EA430" s="132"/>
      <c r="EB430" s="132"/>
      <c r="EC430" s="132"/>
      <c r="ED430" s="132"/>
      <c r="EE430" s="132"/>
      <c r="EF430" s="132"/>
      <c r="EG430" s="132"/>
      <c r="EH430" s="132"/>
      <c r="EI430" s="132"/>
      <c r="EJ430" s="132"/>
      <c r="EK430" s="132"/>
      <c r="EL430" s="132"/>
      <c r="EM430" s="132"/>
      <c r="EN430" s="132"/>
      <c r="EO430" s="132"/>
      <c r="EP430" s="132"/>
      <c r="EQ430" s="132"/>
      <c r="ER430" s="132"/>
      <c r="ES430" s="132"/>
      <c r="ET430" s="11"/>
      <c r="EU430" s="11"/>
      <c r="EV430" s="11"/>
      <c r="EW430" s="11"/>
      <c r="EX430" s="11"/>
      <c r="EY430" s="11"/>
      <c r="EZ430" s="11"/>
      <c r="FA430" s="11"/>
      <c r="FB430" s="11"/>
      <c r="FC430" s="11"/>
      <c r="FD430" s="11"/>
      <c r="FE430" s="11"/>
      <c r="FF430" s="11"/>
      <c r="FG430" s="11"/>
      <c r="FH430" s="39">
        <f t="shared" si="96"/>
        <v>3422585.5766666671</v>
      </c>
      <c r="FI430" s="33">
        <f t="shared" si="97"/>
        <v>4</v>
      </c>
      <c r="FJ430" s="84">
        <f t="shared" si="98"/>
        <v>855646.39416666678</v>
      </c>
    </row>
    <row r="431" spans="1:166" ht="51" x14ac:dyDescent="0.25">
      <c r="A431" s="79" t="e">
        <f>#REF!</f>
        <v>#REF!</v>
      </c>
      <c r="B431" s="75" t="e">
        <f>#REF!</f>
        <v>#REF!</v>
      </c>
      <c r="C431" s="75" t="e">
        <f>#REF!</f>
        <v>#REF!</v>
      </c>
      <c r="D431" s="75" t="e">
        <f>#REF!</f>
        <v>#REF!</v>
      </c>
      <c r="E431" s="30">
        <v>1</v>
      </c>
      <c r="F431" s="238">
        <v>0</v>
      </c>
      <c r="G431" s="241">
        <v>0</v>
      </c>
      <c r="H431" s="249">
        <v>0</v>
      </c>
      <c r="I431" s="249">
        <v>0</v>
      </c>
      <c r="J431" s="249">
        <v>2943303.16</v>
      </c>
      <c r="K431" s="249">
        <v>0</v>
      </c>
      <c r="L431" s="274">
        <f>J431</f>
        <v>2943303.16</v>
      </c>
      <c r="M431" s="274"/>
      <c r="N431" s="245"/>
      <c r="O431" s="113"/>
      <c r="P431" s="113"/>
      <c r="Q431" s="131"/>
      <c r="R431" s="131"/>
      <c r="S431" s="64"/>
      <c r="T431" s="113"/>
      <c r="U431" s="113"/>
      <c r="V431" s="113"/>
      <c r="W431" s="131"/>
      <c r="X431" s="131"/>
      <c r="Y431" s="11"/>
      <c r="Z431" s="113"/>
      <c r="AA431" s="113"/>
      <c r="AB431" s="113"/>
      <c r="AC431" s="52"/>
      <c r="AD431" s="52"/>
      <c r="AE431" s="11"/>
      <c r="AF431" s="118"/>
      <c r="AG431" s="144"/>
      <c r="AH431" s="113"/>
      <c r="AI431" s="11"/>
      <c r="AJ431" s="11"/>
      <c r="AK431" s="39"/>
      <c r="AL431" s="113"/>
      <c r="AM431" s="113"/>
      <c r="AN431" s="117"/>
      <c r="AO431" s="76"/>
      <c r="AP431" s="39"/>
      <c r="AQ431" s="39"/>
      <c r="AR431" s="275"/>
      <c r="AS431" s="275"/>
      <c r="AT431" s="275"/>
      <c r="AU431" s="62"/>
      <c r="AV431" s="62"/>
      <c r="AW431" s="11"/>
      <c r="AX431" s="116"/>
      <c r="AY431" s="196"/>
      <c r="AZ431" s="143"/>
      <c r="BA431" s="191"/>
      <c r="BB431" s="132"/>
      <c r="BC431" s="132"/>
      <c r="BD431" s="274"/>
      <c r="BE431" s="143"/>
      <c r="BF431" s="143"/>
      <c r="BG431" s="132"/>
      <c r="BH431" s="132"/>
      <c r="BI431" s="132"/>
      <c r="BJ431" s="143"/>
      <c r="BK431" s="143"/>
      <c r="BL431" s="143"/>
      <c r="BM431" s="132"/>
      <c r="BN431" s="132"/>
      <c r="BO431" s="132"/>
      <c r="BP431" s="143">
        <v>415935</v>
      </c>
      <c r="BQ431" s="144">
        <f>BP431*19%</f>
        <v>79027.649999999994</v>
      </c>
      <c r="BR431" s="113">
        <f>+BP431+BQ431</f>
        <v>494962.65</v>
      </c>
      <c r="BS431" s="33" t="s">
        <v>132</v>
      </c>
      <c r="BT431" s="204" t="s">
        <v>390</v>
      </c>
      <c r="BU431" s="5" t="s">
        <v>391</v>
      </c>
      <c r="BV431" s="268">
        <v>1800000</v>
      </c>
      <c r="BW431" s="144">
        <f>BV431*19%</f>
        <v>342000</v>
      </c>
      <c r="BX431" s="113">
        <f>+BV431+BW431</f>
        <v>2142000</v>
      </c>
      <c r="BY431" s="264" t="s">
        <v>231</v>
      </c>
      <c r="BZ431" s="264" t="s">
        <v>88</v>
      </c>
      <c r="CA431" s="132"/>
      <c r="CB431" s="274"/>
      <c r="CC431" s="144"/>
      <c r="CD431" s="274"/>
      <c r="CE431" s="132"/>
      <c r="CF431" s="132"/>
      <c r="CG431" s="36"/>
      <c r="CH431" s="268">
        <v>2136225</v>
      </c>
      <c r="CI431" s="265">
        <f>+CH431*0.19</f>
        <v>405882.75</v>
      </c>
      <c r="CJ431" s="263">
        <f>+CH431+CI431</f>
        <v>2542107.75</v>
      </c>
      <c r="CK431" s="264" t="s">
        <v>231</v>
      </c>
      <c r="CL431" s="264" t="s">
        <v>88</v>
      </c>
      <c r="CM431" s="132"/>
      <c r="CN431" s="274"/>
      <c r="CO431" s="144"/>
      <c r="CP431" s="274"/>
      <c r="CQ431" s="132"/>
      <c r="CR431" s="132"/>
      <c r="CS431" s="132"/>
      <c r="CT431" s="274"/>
      <c r="CU431" s="144"/>
      <c r="CV431" s="274"/>
      <c r="CW431" s="132"/>
      <c r="CX431" s="132"/>
      <c r="CY431" s="132"/>
      <c r="CZ431" s="118"/>
      <c r="DA431" s="144"/>
      <c r="DB431" s="118"/>
      <c r="DC431" s="33"/>
      <c r="DD431" s="39"/>
      <c r="DE431" s="11"/>
      <c r="DF431" s="132"/>
      <c r="DG431" s="132"/>
      <c r="DH431" s="132"/>
      <c r="DI431" s="132"/>
      <c r="DJ431" s="132"/>
      <c r="DK431" s="132"/>
      <c r="DL431" s="132"/>
      <c r="DM431" s="132"/>
      <c r="DN431" s="132"/>
      <c r="DO431" s="132"/>
      <c r="DP431" s="132"/>
      <c r="DQ431" s="132"/>
      <c r="DR431" s="132"/>
      <c r="DS431" s="132"/>
      <c r="DT431" s="132"/>
      <c r="DU431" s="132"/>
      <c r="DV431" s="132"/>
      <c r="DW431" s="132"/>
      <c r="DX431" s="132"/>
      <c r="DY431" s="132"/>
      <c r="DZ431" s="132"/>
      <c r="EA431" s="132"/>
      <c r="EB431" s="132"/>
      <c r="EC431" s="132"/>
      <c r="ED431" s="132"/>
      <c r="EE431" s="132"/>
      <c r="EF431" s="132"/>
      <c r="EG431" s="132"/>
      <c r="EH431" s="132"/>
      <c r="EI431" s="132"/>
      <c r="EJ431" s="132"/>
      <c r="EK431" s="132"/>
      <c r="EL431" s="132"/>
      <c r="EM431" s="132"/>
      <c r="EN431" s="132"/>
      <c r="EO431" s="132"/>
      <c r="EP431" s="132"/>
      <c r="EQ431" s="132"/>
      <c r="ER431" s="132"/>
      <c r="ES431" s="132"/>
      <c r="ET431" s="11"/>
      <c r="EU431" s="11"/>
      <c r="EV431" s="11"/>
      <c r="EW431" s="11"/>
      <c r="EX431" s="11"/>
      <c r="EY431" s="11"/>
      <c r="EZ431" s="11"/>
      <c r="FA431" s="11"/>
      <c r="FB431" s="11"/>
      <c r="FC431" s="11"/>
      <c r="FD431" s="11"/>
      <c r="FE431" s="11"/>
      <c r="FF431" s="11"/>
      <c r="FG431" s="11"/>
      <c r="FH431" s="39">
        <f t="shared" si="96"/>
        <v>5179070.4000000004</v>
      </c>
      <c r="FI431" s="33">
        <f t="shared" si="97"/>
        <v>3</v>
      </c>
      <c r="FJ431" s="84">
        <f t="shared" si="98"/>
        <v>1726356.8</v>
      </c>
    </row>
    <row r="432" spans="1:166" ht="13.5" x14ac:dyDescent="0.25">
      <c r="A432" s="79" t="e">
        <f>#REF!</f>
        <v>#REF!</v>
      </c>
      <c r="B432" s="75" t="e">
        <f>#REF!</f>
        <v>#REF!</v>
      </c>
      <c r="C432" s="75" t="e">
        <f>#REF!</f>
        <v>#REF!</v>
      </c>
      <c r="D432" s="75" t="e">
        <f>#REF!</f>
        <v>#REF!</v>
      </c>
      <c r="E432" s="30">
        <v>1</v>
      </c>
      <c r="F432" s="238">
        <v>0</v>
      </c>
      <c r="G432" s="241">
        <v>0</v>
      </c>
      <c r="H432" s="249">
        <v>0</v>
      </c>
      <c r="I432" s="249">
        <v>0</v>
      </c>
      <c r="J432" s="249">
        <v>722330</v>
      </c>
      <c r="K432" s="249">
        <v>0</v>
      </c>
      <c r="L432" s="274">
        <f>J432</f>
        <v>722330</v>
      </c>
      <c r="M432" s="274"/>
      <c r="N432" s="245"/>
      <c r="O432" s="113"/>
      <c r="P432" s="113"/>
      <c r="Q432" s="131"/>
      <c r="R432" s="131"/>
      <c r="S432" s="64"/>
      <c r="T432" s="113"/>
      <c r="U432" s="113"/>
      <c r="V432" s="113"/>
      <c r="W432" s="131"/>
      <c r="X432" s="131"/>
      <c r="Y432" s="11"/>
      <c r="Z432" s="113"/>
      <c r="AA432" s="113"/>
      <c r="AB432" s="113"/>
      <c r="AC432" s="52"/>
      <c r="AD432" s="52"/>
      <c r="AE432" s="11"/>
      <c r="AF432" s="118"/>
      <c r="AG432" s="144"/>
      <c r="AH432" s="113"/>
      <c r="AI432" s="11"/>
      <c r="AJ432" s="11"/>
      <c r="AK432" s="39"/>
      <c r="AL432" s="113"/>
      <c r="AM432" s="113"/>
      <c r="AN432" s="117"/>
      <c r="AO432" s="76"/>
      <c r="AP432" s="39"/>
      <c r="AQ432" s="39"/>
      <c r="AR432" s="275"/>
      <c r="AS432" s="275"/>
      <c r="AT432" s="275"/>
      <c r="AU432" s="62"/>
      <c r="AV432" s="62"/>
      <c r="AW432" s="11"/>
      <c r="AX432" s="116"/>
      <c r="AY432" s="196"/>
      <c r="AZ432" s="143"/>
      <c r="BA432" s="191"/>
      <c r="BB432" s="132"/>
      <c r="BC432" s="132"/>
      <c r="BD432" s="274"/>
      <c r="BE432" s="143"/>
      <c r="BF432" s="143"/>
      <c r="BG432" s="132"/>
      <c r="BH432" s="132"/>
      <c r="BI432" s="132"/>
      <c r="BJ432" s="143"/>
      <c r="BK432" s="143"/>
      <c r="BL432" s="143"/>
      <c r="BM432" s="132"/>
      <c r="BN432" s="132"/>
      <c r="BO432" s="132"/>
      <c r="BP432" s="143"/>
      <c r="BQ432" s="132"/>
      <c r="BR432" s="132"/>
      <c r="BS432" s="132"/>
      <c r="BT432" s="132"/>
      <c r="BU432" s="132"/>
      <c r="BV432" s="263">
        <v>639000</v>
      </c>
      <c r="BW432" s="144">
        <f>BV432*19%</f>
        <v>121410</v>
      </c>
      <c r="BX432" s="113">
        <f>+BV432+BW432</f>
        <v>760410</v>
      </c>
      <c r="BY432" s="264" t="s">
        <v>231</v>
      </c>
      <c r="BZ432" s="264" t="s">
        <v>88</v>
      </c>
      <c r="CA432" s="132"/>
      <c r="CB432" s="274"/>
      <c r="CC432" s="144"/>
      <c r="CD432" s="274"/>
      <c r="CE432" s="132"/>
      <c r="CF432" s="132"/>
      <c r="CG432" s="36"/>
      <c r="CH432" s="263">
        <v>645390</v>
      </c>
      <c r="CI432" s="265">
        <f>+CH432*0.19</f>
        <v>122624.1</v>
      </c>
      <c r="CJ432" s="263">
        <f>+CH432+CI432</f>
        <v>768014.1</v>
      </c>
      <c r="CK432" s="264" t="s">
        <v>231</v>
      </c>
      <c r="CL432" s="264" t="s">
        <v>88</v>
      </c>
      <c r="CM432" s="132"/>
      <c r="CN432" s="274"/>
      <c r="CO432" s="144"/>
      <c r="CP432" s="274"/>
      <c r="CQ432" s="132"/>
      <c r="CR432" s="132"/>
      <c r="CS432" s="132"/>
      <c r="CT432" s="274"/>
      <c r="CU432" s="144"/>
      <c r="CV432" s="274"/>
      <c r="CW432" s="132"/>
      <c r="CX432" s="132"/>
      <c r="CY432" s="132"/>
      <c r="CZ432" s="118">
        <v>383055</v>
      </c>
      <c r="DA432" s="144">
        <f>+CZ432*0.19</f>
        <v>72780.45</v>
      </c>
      <c r="DB432" s="118">
        <f>+CZ432+DA432</f>
        <v>455835.45</v>
      </c>
      <c r="DC432" s="33" t="s">
        <v>392</v>
      </c>
      <c r="DD432" s="39" t="s">
        <v>58</v>
      </c>
      <c r="DE432" s="11">
        <v>1101300500</v>
      </c>
      <c r="DF432" s="132"/>
      <c r="DG432" s="132"/>
      <c r="DH432" s="132"/>
      <c r="DI432" s="132"/>
      <c r="DJ432" s="132"/>
      <c r="DK432" s="132"/>
      <c r="DL432" s="132"/>
      <c r="DM432" s="132"/>
      <c r="DN432" s="132"/>
      <c r="DO432" s="132"/>
      <c r="DP432" s="132"/>
      <c r="DQ432" s="132"/>
      <c r="DR432" s="132"/>
      <c r="DS432" s="132"/>
      <c r="DT432" s="132"/>
      <c r="DU432" s="132"/>
      <c r="DV432" s="132"/>
      <c r="DW432" s="132"/>
      <c r="DX432" s="132"/>
      <c r="DY432" s="132"/>
      <c r="DZ432" s="132"/>
      <c r="EA432" s="132"/>
      <c r="EB432" s="132"/>
      <c r="EC432" s="132"/>
      <c r="ED432" s="132"/>
      <c r="EE432" s="132"/>
      <c r="EF432" s="132"/>
      <c r="EG432" s="132"/>
      <c r="EH432" s="132"/>
      <c r="EI432" s="132"/>
      <c r="EJ432" s="132"/>
      <c r="EK432" s="132"/>
      <c r="EL432" s="132"/>
      <c r="EM432" s="132"/>
      <c r="EN432" s="132"/>
      <c r="EO432" s="132"/>
      <c r="EP432" s="132"/>
      <c r="EQ432" s="132"/>
      <c r="ER432" s="132"/>
      <c r="ES432" s="132"/>
      <c r="ET432" s="11"/>
      <c r="EU432" s="11"/>
      <c r="EV432" s="11"/>
      <c r="EW432" s="11"/>
      <c r="EX432" s="11"/>
      <c r="EY432" s="11"/>
      <c r="EZ432" s="11"/>
      <c r="FA432" s="11"/>
      <c r="FB432" s="11"/>
      <c r="FC432" s="11"/>
      <c r="FD432" s="11"/>
      <c r="FE432" s="11"/>
      <c r="FF432" s="11"/>
      <c r="FG432" s="11"/>
      <c r="FH432" s="39">
        <f t="shared" si="96"/>
        <v>1984259.55</v>
      </c>
      <c r="FI432" s="33">
        <f t="shared" si="97"/>
        <v>3</v>
      </c>
      <c r="FJ432" s="84">
        <f t="shared" si="98"/>
        <v>661419.85</v>
      </c>
    </row>
    <row r="433" spans="1:166" ht="13.5" x14ac:dyDescent="0.25">
      <c r="A433" s="79" t="e">
        <f>#REF!</f>
        <v>#REF!</v>
      </c>
      <c r="B433" s="75" t="e">
        <f>#REF!</f>
        <v>#REF!</v>
      </c>
      <c r="C433" s="75" t="e">
        <f>#REF!</f>
        <v>#REF!</v>
      </c>
      <c r="D433" s="75" t="e">
        <f>#REF!</f>
        <v>#REF!</v>
      </c>
      <c r="E433" s="30">
        <v>1</v>
      </c>
      <c r="F433" s="238">
        <v>0</v>
      </c>
      <c r="G433" s="241">
        <v>0</v>
      </c>
      <c r="H433" s="249">
        <v>0</v>
      </c>
      <c r="I433" s="249">
        <v>0</v>
      </c>
      <c r="J433" s="249">
        <v>1458940</v>
      </c>
      <c r="K433" s="249">
        <v>0</v>
      </c>
      <c r="L433" s="274">
        <f>J433</f>
        <v>1458940</v>
      </c>
      <c r="M433" s="274"/>
      <c r="N433" s="245"/>
      <c r="O433" s="113"/>
      <c r="P433" s="113"/>
      <c r="Q433" s="131"/>
      <c r="R433" s="131"/>
      <c r="S433" s="64"/>
      <c r="T433" s="113"/>
      <c r="U433" s="113"/>
      <c r="V433" s="113"/>
      <c r="W433" s="131"/>
      <c r="X433" s="131"/>
      <c r="Y433" s="11"/>
      <c r="Z433" s="113"/>
      <c r="AA433" s="113"/>
      <c r="AB433" s="113"/>
      <c r="AC433" s="52"/>
      <c r="AD433" s="52"/>
      <c r="AE433" s="11"/>
      <c r="AF433" s="118"/>
      <c r="AG433" s="144"/>
      <c r="AH433" s="113"/>
      <c r="AI433" s="11"/>
      <c r="AJ433" s="11"/>
      <c r="AK433" s="39"/>
      <c r="AL433" s="113"/>
      <c r="AM433" s="113"/>
      <c r="AN433" s="117"/>
      <c r="AO433" s="76"/>
      <c r="AP433" s="39"/>
      <c r="AQ433" s="39"/>
      <c r="AR433" s="275"/>
      <c r="AS433" s="275"/>
      <c r="AT433" s="275"/>
      <c r="AU433" s="62"/>
      <c r="AV433" s="62"/>
      <c r="AW433" s="11"/>
      <c r="AX433" s="116"/>
      <c r="AY433" s="196"/>
      <c r="AZ433" s="143"/>
      <c r="BA433" s="191"/>
      <c r="BB433" s="132"/>
      <c r="BC433" s="132"/>
      <c r="BD433" s="274"/>
      <c r="BE433" s="143"/>
      <c r="BF433" s="143"/>
      <c r="BG433" s="132"/>
      <c r="BH433" s="132"/>
      <c r="BI433" s="132"/>
      <c r="BJ433" s="143"/>
      <c r="BK433" s="143"/>
      <c r="BL433" s="143"/>
      <c r="BM433" s="132"/>
      <c r="BN433" s="132"/>
      <c r="BO433" s="132"/>
      <c r="BP433" s="143"/>
      <c r="BQ433" s="132"/>
      <c r="BR433" s="132"/>
      <c r="BS433" s="132"/>
      <c r="BT433" s="132"/>
      <c r="BU433" s="132"/>
      <c r="BV433" s="263">
        <v>1338500</v>
      </c>
      <c r="BW433" s="144">
        <f>BV433*19%</f>
        <v>254315</v>
      </c>
      <c r="BX433" s="113">
        <f>+BV433+BW433</f>
        <v>1592815</v>
      </c>
      <c r="BY433" s="264" t="s">
        <v>231</v>
      </c>
      <c r="BZ433" s="264" t="s">
        <v>88</v>
      </c>
      <c r="CA433" s="132"/>
      <c r="CB433" s="274"/>
      <c r="CC433" s="144"/>
      <c r="CD433" s="274"/>
      <c r="CE433" s="132"/>
      <c r="CF433" s="132"/>
      <c r="CG433" s="36"/>
      <c r="CH433" s="268">
        <v>1418810</v>
      </c>
      <c r="CI433" s="265">
        <f>+CH433*0.19</f>
        <v>269573.90000000002</v>
      </c>
      <c r="CJ433" s="263">
        <f>+CH433+CI433</f>
        <v>1688383.9</v>
      </c>
      <c r="CK433" s="264" t="s">
        <v>231</v>
      </c>
      <c r="CL433" s="264" t="s">
        <v>88</v>
      </c>
      <c r="CM433" s="132"/>
      <c r="CN433" s="274"/>
      <c r="CO433" s="144"/>
      <c r="CP433" s="274"/>
      <c r="CQ433" s="132"/>
      <c r="CR433" s="132"/>
      <c r="CS433" s="132"/>
      <c r="CT433" s="274"/>
      <c r="CU433" s="144"/>
      <c r="CV433" s="274"/>
      <c r="CW433" s="132"/>
      <c r="CX433" s="132"/>
      <c r="CY433" s="132"/>
      <c r="CZ433" s="118"/>
      <c r="DA433" s="144"/>
      <c r="DB433" s="118"/>
      <c r="DC433" s="33"/>
      <c r="DD433" s="39"/>
      <c r="DE433" s="11"/>
      <c r="DF433" s="132"/>
      <c r="DG433" s="132"/>
      <c r="DH433" s="132"/>
      <c r="DI433" s="132"/>
      <c r="DJ433" s="132"/>
      <c r="DK433" s="132"/>
      <c r="DL433" s="132"/>
      <c r="DM433" s="132"/>
      <c r="DN433" s="132"/>
      <c r="DO433" s="132"/>
      <c r="DP433" s="132"/>
      <c r="DQ433" s="132"/>
      <c r="DR433" s="132"/>
      <c r="DS433" s="132"/>
      <c r="DT433" s="132"/>
      <c r="DU433" s="132"/>
      <c r="DV433" s="132"/>
      <c r="DW433" s="132"/>
      <c r="DX433" s="132"/>
      <c r="DY433" s="132"/>
      <c r="DZ433" s="132"/>
      <c r="EA433" s="132"/>
      <c r="EB433" s="132"/>
      <c r="EC433" s="132"/>
      <c r="ED433" s="132"/>
      <c r="EE433" s="132"/>
      <c r="EF433" s="132"/>
      <c r="EG433" s="132"/>
      <c r="EH433" s="132"/>
      <c r="EI433" s="132"/>
      <c r="EJ433" s="132"/>
      <c r="EK433" s="132"/>
      <c r="EL433" s="132"/>
      <c r="EM433" s="132"/>
      <c r="EN433" s="132"/>
      <c r="EO433" s="132"/>
      <c r="EP433" s="132"/>
      <c r="EQ433" s="132"/>
      <c r="ER433" s="132"/>
      <c r="ES433" s="132"/>
      <c r="ET433" s="11"/>
      <c r="EU433" s="11"/>
      <c r="EV433" s="11"/>
      <c r="EW433" s="11"/>
      <c r="EX433" s="11"/>
      <c r="EY433" s="11"/>
      <c r="EZ433" s="11"/>
      <c r="FA433" s="11"/>
      <c r="FB433" s="11"/>
      <c r="FC433" s="11"/>
      <c r="FD433" s="11"/>
      <c r="FE433" s="11"/>
      <c r="FF433" s="11"/>
      <c r="FG433" s="11"/>
      <c r="FH433" s="39">
        <f t="shared" si="96"/>
        <v>3281198.9</v>
      </c>
      <c r="FI433" s="33">
        <f t="shared" si="97"/>
        <v>2</v>
      </c>
      <c r="FJ433" s="84">
        <f t="shared" si="98"/>
        <v>1640599.45</v>
      </c>
    </row>
    <row r="434" spans="1:166" x14ac:dyDescent="0.25">
      <c r="A434" s="79" t="e">
        <f>#REF!</f>
        <v>#REF!</v>
      </c>
      <c r="B434" s="75" t="e">
        <f>#REF!</f>
        <v>#REF!</v>
      </c>
      <c r="C434" s="75" t="e">
        <f>#REF!</f>
        <v>#REF!</v>
      </c>
      <c r="D434" s="75" t="e">
        <f>#REF!</f>
        <v>#REF!</v>
      </c>
      <c r="E434" s="30">
        <v>1</v>
      </c>
      <c r="F434" s="238">
        <v>0</v>
      </c>
      <c r="G434" s="241">
        <v>0</v>
      </c>
      <c r="H434" s="249">
        <v>0</v>
      </c>
      <c r="I434" s="249">
        <v>0</v>
      </c>
      <c r="J434" s="249">
        <v>0</v>
      </c>
      <c r="K434" s="249">
        <v>0</v>
      </c>
      <c r="L434" s="274"/>
      <c r="M434" s="274"/>
      <c r="N434" s="245"/>
      <c r="O434" s="113"/>
      <c r="P434" s="113"/>
      <c r="Q434" s="131"/>
      <c r="R434" s="131"/>
      <c r="S434" s="64"/>
      <c r="T434" s="113"/>
      <c r="U434" s="113"/>
      <c r="V434" s="113"/>
      <c r="W434" s="131"/>
      <c r="X434" s="131"/>
      <c r="Y434" s="52"/>
      <c r="Z434" s="117"/>
      <c r="AA434" s="113"/>
      <c r="AB434" s="113"/>
      <c r="AC434" s="131"/>
      <c r="AD434" s="52"/>
      <c r="AE434" s="11"/>
      <c r="AF434" s="113"/>
      <c r="AG434" s="144"/>
      <c r="AH434" s="113"/>
      <c r="AI434" s="11"/>
      <c r="AJ434" s="11"/>
      <c r="AK434" s="39"/>
      <c r="AL434" s="113"/>
      <c r="AM434" s="113"/>
      <c r="AN434" s="117"/>
      <c r="AO434" s="76"/>
      <c r="AP434" s="39"/>
      <c r="AQ434" s="39"/>
      <c r="AR434" s="275"/>
      <c r="AS434" s="275"/>
      <c r="AT434" s="275"/>
      <c r="AU434" s="62"/>
      <c r="AV434" s="62"/>
      <c r="AW434" s="11"/>
      <c r="AX434" s="116"/>
      <c r="AY434" s="196"/>
      <c r="AZ434" s="143"/>
      <c r="BA434" s="191"/>
      <c r="BB434" s="132"/>
      <c r="BC434" s="132"/>
      <c r="BD434" s="275"/>
      <c r="BE434" s="143"/>
      <c r="BF434" s="143"/>
      <c r="BG434" s="132"/>
      <c r="BH434" s="132"/>
      <c r="BI434" s="132"/>
      <c r="BJ434" s="143"/>
      <c r="BK434" s="143"/>
      <c r="BL434" s="143"/>
      <c r="BM434" s="132"/>
      <c r="BN434" s="132"/>
      <c r="BO434" s="132"/>
      <c r="BP434" s="143"/>
      <c r="BQ434" s="132"/>
      <c r="BR434" s="132"/>
      <c r="BS434" s="132"/>
      <c r="BT434" s="132"/>
      <c r="BU434" s="132"/>
      <c r="BV434" s="210"/>
      <c r="BW434" s="144"/>
      <c r="BX434" s="113"/>
      <c r="BY434" s="273"/>
      <c r="BZ434" s="273"/>
      <c r="CA434" s="132"/>
      <c r="CB434" s="275"/>
      <c r="CC434" s="143"/>
      <c r="CD434" s="275"/>
      <c r="CE434" s="132"/>
      <c r="CF434" s="132"/>
      <c r="CG434" s="36"/>
      <c r="CH434" s="210"/>
      <c r="CI434" s="219"/>
      <c r="CJ434" s="210"/>
      <c r="CK434" s="273"/>
      <c r="CL434" s="273"/>
      <c r="CM434" s="132"/>
      <c r="CN434" s="275"/>
      <c r="CO434" s="143"/>
      <c r="CP434" s="275"/>
      <c r="CQ434" s="132"/>
      <c r="CR434" s="132"/>
      <c r="CS434" s="132"/>
      <c r="CT434" s="275"/>
      <c r="CU434" s="143"/>
      <c r="CV434" s="275"/>
      <c r="CW434" s="132"/>
      <c r="CX434" s="132"/>
      <c r="CY434" s="132"/>
      <c r="CZ434" s="113"/>
      <c r="DA434" s="143"/>
      <c r="DB434" s="113"/>
      <c r="DC434" s="33"/>
      <c r="DD434" s="39"/>
      <c r="DE434" s="11"/>
      <c r="DF434" s="132"/>
      <c r="DG434" s="132"/>
      <c r="DH434" s="132"/>
      <c r="DI434" s="132"/>
      <c r="DJ434" s="132"/>
      <c r="DK434" s="132"/>
      <c r="DL434" s="132"/>
      <c r="DM434" s="132"/>
      <c r="DN434" s="132"/>
      <c r="DO434" s="132"/>
      <c r="DP434" s="132"/>
      <c r="DQ434" s="132"/>
      <c r="DR434" s="132"/>
      <c r="DS434" s="132"/>
      <c r="DT434" s="132"/>
      <c r="DU434" s="132"/>
      <c r="DV434" s="132"/>
      <c r="DW434" s="132"/>
      <c r="DX434" s="132"/>
      <c r="DY434" s="132"/>
      <c r="DZ434" s="132"/>
      <c r="EA434" s="132"/>
      <c r="EB434" s="132"/>
      <c r="EC434" s="132"/>
      <c r="ED434" s="132"/>
      <c r="EE434" s="132"/>
      <c r="EF434" s="132"/>
      <c r="EG434" s="132"/>
      <c r="EH434" s="132"/>
      <c r="EI434" s="132"/>
      <c r="EJ434" s="132"/>
      <c r="EK434" s="132"/>
      <c r="EL434" s="132"/>
      <c r="EM434" s="132"/>
      <c r="EN434" s="132"/>
      <c r="EO434" s="132"/>
      <c r="EP434" s="132"/>
      <c r="EQ434" s="132"/>
      <c r="ER434" s="132"/>
      <c r="ES434" s="132"/>
      <c r="ET434" s="11"/>
      <c r="EU434" s="11"/>
      <c r="EV434" s="11"/>
      <c r="EW434" s="11"/>
      <c r="EX434" s="11"/>
      <c r="EY434" s="11"/>
      <c r="EZ434" s="11"/>
      <c r="FA434" s="11"/>
      <c r="FB434" s="11"/>
      <c r="FC434" s="11"/>
      <c r="FD434" s="11"/>
      <c r="FE434" s="11"/>
      <c r="FF434" s="11"/>
      <c r="FG434" s="11"/>
      <c r="FH434" s="39">
        <f t="shared" si="96"/>
        <v>0</v>
      </c>
      <c r="FI434" s="33">
        <f t="shared" si="97"/>
        <v>0</v>
      </c>
      <c r="FJ434" s="84" t="str">
        <f t="shared" si="98"/>
        <v xml:space="preserve"> </v>
      </c>
    </row>
    <row r="435" spans="1:166" ht="40.5" x14ac:dyDescent="0.25">
      <c r="A435" s="79" t="e">
        <f>#REF!</f>
        <v>#REF!</v>
      </c>
      <c r="B435" s="75" t="e">
        <f>#REF!</f>
        <v>#REF!</v>
      </c>
      <c r="C435" s="75" t="e">
        <f>#REF!</f>
        <v>#REF!</v>
      </c>
      <c r="D435" s="75" t="e">
        <f>#REF!</f>
        <v>#REF!</v>
      </c>
      <c r="E435" s="30">
        <v>1</v>
      </c>
      <c r="F435" s="238">
        <v>0</v>
      </c>
      <c r="G435" s="241">
        <v>0</v>
      </c>
      <c r="H435" s="249">
        <v>616598.5</v>
      </c>
      <c r="I435" s="249">
        <v>616539</v>
      </c>
      <c r="J435" s="249">
        <v>1190000</v>
      </c>
      <c r="K435" s="249">
        <v>1172150</v>
      </c>
      <c r="L435" s="274">
        <f>AVERAGE(H435,J435)</f>
        <v>903299.25</v>
      </c>
      <c r="M435" s="274">
        <f>AVERAGE(I435,K435)*E1</f>
        <v>921174.83500000008</v>
      </c>
      <c r="N435" s="245"/>
      <c r="O435" s="113"/>
      <c r="P435" s="113"/>
      <c r="Q435" s="131"/>
      <c r="R435" s="131"/>
      <c r="S435" s="64"/>
      <c r="T435" s="113"/>
      <c r="U435" s="113"/>
      <c r="V435" s="113"/>
      <c r="W435" s="131"/>
      <c r="X435" s="131"/>
      <c r="Y435" s="11"/>
      <c r="Z435" s="113"/>
      <c r="AA435" s="113"/>
      <c r="AB435" s="113"/>
      <c r="AC435" s="131"/>
      <c r="AD435" s="52"/>
      <c r="AE435" s="11"/>
      <c r="AF435" s="118"/>
      <c r="AG435" s="144"/>
      <c r="AH435" s="113"/>
      <c r="AI435" s="11"/>
      <c r="AJ435" s="11"/>
      <c r="AK435" s="39"/>
      <c r="AL435" s="113"/>
      <c r="AM435" s="113"/>
      <c r="AN435" s="117"/>
      <c r="AO435" s="76"/>
      <c r="AP435" s="39"/>
      <c r="AQ435" s="39"/>
      <c r="AR435" s="275"/>
      <c r="AS435" s="275"/>
      <c r="AT435" s="275"/>
      <c r="AU435" s="62"/>
      <c r="AV435" s="62"/>
      <c r="AW435" s="11"/>
      <c r="AX435" s="116"/>
      <c r="AY435" s="116"/>
      <c r="AZ435" s="143"/>
      <c r="BA435" s="191"/>
      <c r="BB435" s="132"/>
      <c r="BC435" s="132"/>
      <c r="BD435" s="274"/>
      <c r="BE435" s="143"/>
      <c r="BF435" s="143"/>
      <c r="BG435" s="132"/>
      <c r="BH435" s="132"/>
      <c r="BI435" s="132"/>
      <c r="BJ435" s="143"/>
      <c r="BK435" s="143"/>
      <c r="BL435" s="143"/>
      <c r="BM435" s="132"/>
      <c r="BN435" s="132"/>
      <c r="BO435" s="132"/>
      <c r="BP435" s="143"/>
      <c r="BQ435" s="132"/>
      <c r="BR435" s="132"/>
      <c r="BS435" s="132"/>
      <c r="BT435" s="132"/>
      <c r="BU435" s="132"/>
      <c r="BV435" s="263">
        <v>552000</v>
      </c>
      <c r="BW435" s="144">
        <f t="shared" ref="BW435:BW441" si="107">BV435*19%</f>
        <v>104880</v>
      </c>
      <c r="BX435" s="113">
        <f t="shared" ref="BX435:BX441" si="108">+BV435+BW435</f>
        <v>656880</v>
      </c>
      <c r="BY435" s="264" t="s">
        <v>393</v>
      </c>
      <c r="BZ435" s="264" t="s">
        <v>366</v>
      </c>
      <c r="CA435" s="132"/>
      <c r="CB435" s="274"/>
      <c r="CC435" s="144"/>
      <c r="CD435" s="274"/>
      <c r="CE435" s="132"/>
      <c r="CF435" s="132"/>
      <c r="CG435" s="36"/>
      <c r="CH435" s="263">
        <v>585120</v>
      </c>
      <c r="CI435" s="265">
        <f t="shared" ref="CI435:CI441" si="109">+CH435*0.19</f>
        <v>111172.8</v>
      </c>
      <c r="CJ435" s="263">
        <f t="shared" ref="CJ435:CJ441" si="110">+CH435+CI435</f>
        <v>696292.8</v>
      </c>
      <c r="CK435" s="264" t="s">
        <v>393</v>
      </c>
      <c r="CL435" s="264" t="s">
        <v>366</v>
      </c>
      <c r="CM435" s="132"/>
      <c r="CN435" s="274"/>
      <c r="CO435" s="144"/>
      <c r="CP435" s="274"/>
      <c r="CQ435" s="132"/>
      <c r="CR435" s="132"/>
      <c r="CS435" s="132"/>
      <c r="CT435" s="274"/>
      <c r="CU435" s="144"/>
      <c r="CV435" s="274"/>
      <c r="CW435" s="132"/>
      <c r="CX435" s="132"/>
      <c r="CY435" s="132"/>
      <c r="CZ435" s="118"/>
      <c r="DA435" s="144"/>
      <c r="DB435" s="118"/>
      <c r="DC435" s="33"/>
      <c r="DD435" s="39"/>
      <c r="DE435" s="11"/>
      <c r="DF435" s="132"/>
      <c r="DG435" s="132"/>
      <c r="DH435" s="132"/>
      <c r="DI435" s="132"/>
      <c r="DJ435" s="132"/>
      <c r="DK435" s="132"/>
      <c r="DL435" s="132"/>
      <c r="DM435" s="132"/>
      <c r="DN435" s="132"/>
      <c r="DO435" s="132"/>
      <c r="DP435" s="132"/>
      <c r="DQ435" s="132"/>
      <c r="DR435" s="132"/>
      <c r="DS435" s="132"/>
      <c r="DT435" s="132"/>
      <c r="DU435" s="132"/>
      <c r="DV435" s="132"/>
      <c r="DW435" s="132"/>
      <c r="DX435" s="132"/>
      <c r="DY435" s="132"/>
      <c r="DZ435" s="132"/>
      <c r="EA435" s="132"/>
      <c r="EB435" s="132"/>
      <c r="EC435" s="132"/>
      <c r="ED435" s="132"/>
      <c r="EE435" s="132"/>
      <c r="EF435" s="132"/>
      <c r="EG435" s="132"/>
      <c r="EH435" s="132"/>
      <c r="EI435" s="132"/>
      <c r="EJ435" s="132"/>
      <c r="EK435" s="132"/>
      <c r="EL435" s="132"/>
      <c r="EM435" s="132"/>
      <c r="EN435" s="132"/>
      <c r="EO435" s="132"/>
      <c r="EP435" s="132"/>
      <c r="EQ435" s="132"/>
      <c r="ER435" s="132"/>
      <c r="ES435" s="132"/>
      <c r="ET435" s="11"/>
      <c r="EU435" s="11"/>
      <c r="EV435" s="11"/>
      <c r="EW435" s="11"/>
      <c r="EX435" s="11"/>
      <c r="EY435" s="11"/>
      <c r="EZ435" s="11"/>
      <c r="FA435" s="11"/>
      <c r="FB435" s="11"/>
      <c r="FC435" s="11"/>
      <c r="FD435" s="11"/>
      <c r="FE435" s="11"/>
      <c r="FF435" s="11"/>
      <c r="FG435" s="11"/>
      <c r="FH435" s="39">
        <f t="shared" si="96"/>
        <v>2274347.6349999998</v>
      </c>
      <c r="FI435" s="33">
        <f t="shared" si="97"/>
        <v>3</v>
      </c>
      <c r="FJ435" s="84">
        <f t="shared" si="98"/>
        <v>758115.8783333333</v>
      </c>
    </row>
    <row r="436" spans="1:166" ht="40.5" x14ac:dyDescent="0.25">
      <c r="A436" s="79" t="e">
        <f>#REF!</f>
        <v>#REF!</v>
      </c>
      <c r="B436" s="75" t="e">
        <f>#REF!</f>
        <v>#REF!</v>
      </c>
      <c r="C436" s="75" t="e">
        <f>#REF!</f>
        <v>#REF!</v>
      </c>
      <c r="D436" s="75" t="e">
        <f>#REF!</f>
        <v>#REF!</v>
      </c>
      <c r="E436" s="30">
        <v>1</v>
      </c>
      <c r="F436" s="238">
        <v>906780</v>
      </c>
      <c r="G436" s="241">
        <v>861441</v>
      </c>
      <c r="H436" s="249">
        <v>694766.26800000004</v>
      </c>
      <c r="I436" s="249">
        <v>0</v>
      </c>
      <c r="J436" s="249">
        <v>904513.05</v>
      </c>
      <c r="K436" s="249">
        <v>0</v>
      </c>
      <c r="L436" s="274">
        <f>AVERAGE(F436,H436,J436)</f>
        <v>835353.10600000003</v>
      </c>
      <c r="M436" s="274">
        <f>G436*E1</f>
        <v>887284.23</v>
      </c>
      <c r="N436" s="245"/>
      <c r="O436" s="113"/>
      <c r="P436" s="113"/>
      <c r="Q436" s="131"/>
      <c r="R436" s="131"/>
      <c r="S436" s="64"/>
      <c r="T436" s="113"/>
      <c r="U436" s="113"/>
      <c r="V436" s="113"/>
      <c r="W436" s="131"/>
      <c r="X436" s="131"/>
      <c r="Y436" s="11"/>
      <c r="Z436" s="113"/>
      <c r="AA436" s="113"/>
      <c r="AB436" s="113"/>
      <c r="AC436" s="52"/>
      <c r="AD436" s="52"/>
      <c r="AE436" s="11"/>
      <c r="AF436" s="118"/>
      <c r="AG436" s="144"/>
      <c r="AH436" s="113"/>
      <c r="AI436" s="11"/>
      <c r="AJ436" s="11"/>
      <c r="AK436" s="39"/>
      <c r="AL436" s="113"/>
      <c r="AM436" s="113"/>
      <c r="AN436" s="117"/>
      <c r="AO436" s="76"/>
      <c r="AP436" s="39"/>
      <c r="AQ436" s="39"/>
      <c r="AR436" s="275"/>
      <c r="AS436" s="275"/>
      <c r="AT436" s="275"/>
      <c r="AU436" s="62"/>
      <c r="AV436" s="62"/>
      <c r="AW436" s="11"/>
      <c r="AX436" s="116"/>
      <c r="AY436" s="196"/>
      <c r="AZ436" s="143"/>
      <c r="BA436" s="191"/>
      <c r="BB436" s="132"/>
      <c r="BC436" s="132"/>
      <c r="BD436" s="274"/>
      <c r="BE436" s="143"/>
      <c r="BF436" s="143"/>
      <c r="BG436" s="132"/>
      <c r="BH436" s="132"/>
      <c r="BI436" s="132"/>
      <c r="BJ436" s="143"/>
      <c r="BK436" s="143"/>
      <c r="BL436" s="143"/>
      <c r="BM436" s="132"/>
      <c r="BN436" s="132"/>
      <c r="BO436" s="132"/>
      <c r="BP436" s="143"/>
      <c r="BQ436" s="132"/>
      <c r="BR436" s="132"/>
      <c r="BS436" s="132"/>
      <c r="BT436" s="132"/>
      <c r="BU436" s="132"/>
      <c r="BV436" s="263">
        <v>171800</v>
      </c>
      <c r="BW436" s="144">
        <f t="shared" si="107"/>
        <v>32642</v>
      </c>
      <c r="BX436" s="113">
        <f t="shared" si="108"/>
        <v>204442</v>
      </c>
      <c r="BY436" s="264" t="s">
        <v>394</v>
      </c>
      <c r="BZ436" s="264" t="s">
        <v>395</v>
      </c>
      <c r="CA436" s="132"/>
      <c r="CB436" s="274"/>
      <c r="CC436" s="144"/>
      <c r="CD436" s="274"/>
      <c r="CE436" s="132"/>
      <c r="CF436" s="132"/>
      <c r="CG436" s="36"/>
      <c r="CH436" s="263">
        <v>173518</v>
      </c>
      <c r="CI436" s="265">
        <f t="shared" si="109"/>
        <v>32968.42</v>
      </c>
      <c r="CJ436" s="263">
        <f t="shared" si="110"/>
        <v>206486.41999999998</v>
      </c>
      <c r="CK436" s="264" t="s">
        <v>394</v>
      </c>
      <c r="CL436" s="264" t="s">
        <v>395</v>
      </c>
      <c r="CM436" s="132"/>
      <c r="CN436" s="274"/>
      <c r="CO436" s="144"/>
      <c r="CP436" s="274"/>
      <c r="CQ436" s="132"/>
      <c r="CR436" s="132"/>
      <c r="CS436" s="132"/>
      <c r="CT436" s="274"/>
      <c r="CU436" s="144"/>
      <c r="CV436" s="274"/>
      <c r="CW436" s="132"/>
      <c r="CX436" s="132"/>
      <c r="CY436" s="132"/>
      <c r="CZ436" s="118"/>
      <c r="DA436" s="144"/>
      <c r="DB436" s="118"/>
      <c r="DC436" s="33"/>
      <c r="DD436" s="39"/>
      <c r="DE436" s="11"/>
      <c r="DF436" s="132"/>
      <c r="DG436" s="132"/>
      <c r="DH436" s="132"/>
      <c r="DI436" s="132"/>
      <c r="DJ436" s="132"/>
      <c r="DK436" s="132"/>
      <c r="DL436" s="132"/>
      <c r="DM436" s="132"/>
      <c r="DN436" s="132"/>
      <c r="DO436" s="132"/>
      <c r="DP436" s="132"/>
      <c r="DQ436" s="132"/>
      <c r="DR436" s="132"/>
      <c r="DS436" s="132"/>
      <c r="DT436" s="132"/>
      <c r="DU436" s="132"/>
      <c r="DV436" s="132"/>
      <c r="DW436" s="132"/>
      <c r="DX436" s="132"/>
      <c r="DY436" s="132"/>
      <c r="DZ436" s="132"/>
      <c r="EA436" s="132"/>
      <c r="EB436" s="132"/>
      <c r="EC436" s="132"/>
      <c r="ED436" s="132"/>
      <c r="EE436" s="132"/>
      <c r="EF436" s="132"/>
      <c r="EG436" s="132"/>
      <c r="EH436" s="132"/>
      <c r="EI436" s="132"/>
      <c r="EJ436" s="132"/>
      <c r="EK436" s="132"/>
      <c r="EL436" s="132"/>
      <c r="EM436" s="132"/>
      <c r="EN436" s="132"/>
      <c r="EO436" s="132"/>
      <c r="EP436" s="132"/>
      <c r="EQ436" s="132"/>
      <c r="ER436" s="132"/>
      <c r="ES436" s="132"/>
      <c r="ET436" s="11"/>
      <c r="EU436" s="11"/>
      <c r="EV436" s="11"/>
      <c r="EW436" s="11"/>
      <c r="EX436" s="11"/>
      <c r="EY436" s="11"/>
      <c r="EZ436" s="11"/>
      <c r="FA436" s="11"/>
      <c r="FB436" s="11"/>
      <c r="FC436" s="11"/>
      <c r="FD436" s="11"/>
      <c r="FE436" s="11"/>
      <c r="FF436" s="11"/>
      <c r="FG436" s="11"/>
      <c r="FH436" s="39">
        <f t="shared" si="96"/>
        <v>1298212.6499999999</v>
      </c>
      <c r="FI436" s="33">
        <f t="shared" si="97"/>
        <v>3</v>
      </c>
      <c r="FJ436" s="84">
        <f t="shared" si="98"/>
        <v>432737.55</v>
      </c>
    </row>
    <row r="437" spans="1:166" ht="51" x14ac:dyDescent="0.25">
      <c r="A437" s="79" t="e">
        <f>#REF!</f>
        <v>#REF!</v>
      </c>
      <c r="B437" s="75" t="e">
        <f>#REF!</f>
        <v>#REF!</v>
      </c>
      <c r="C437" s="75" t="e">
        <f>#REF!</f>
        <v>#REF!</v>
      </c>
      <c r="D437" s="75" t="e">
        <f>#REF!</f>
        <v>#REF!</v>
      </c>
      <c r="E437" s="30">
        <v>1</v>
      </c>
      <c r="F437" s="238">
        <v>83538</v>
      </c>
      <c r="G437" s="241">
        <v>0</v>
      </c>
      <c r="H437" s="249">
        <v>133641.67670000001</v>
      </c>
      <c r="I437" s="249">
        <v>0</v>
      </c>
      <c r="J437" s="249">
        <v>0</v>
      </c>
      <c r="K437" s="249">
        <v>0</v>
      </c>
      <c r="L437" s="274">
        <f>AVERAGE(F437,H437)</f>
        <v>108589.83835000001</v>
      </c>
      <c r="M437" s="274"/>
      <c r="N437" s="245"/>
      <c r="O437" s="113"/>
      <c r="P437" s="113"/>
      <c r="Q437" s="131"/>
      <c r="R437" s="131"/>
      <c r="S437" s="64"/>
      <c r="T437" s="113"/>
      <c r="U437" s="113"/>
      <c r="V437" s="113"/>
      <c r="W437" s="131"/>
      <c r="X437" s="131"/>
      <c r="Y437" s="11"/>
      <c r="Z437" s="113"/>
      <c r="AA437" s="113"/>
      <c r="AB437" s="113"/>
      <c r="AC437" s="52"/>
      <c r="AD437" s="52"/>
      <c r="AE437" s="11"/>
      <c r="AF437" s="118"/>
      <c r="AG437" s="144"/>
      <c r="AH437" s="113"/>
      <c r="AI437" s="11"/>
      <c r="AJ437" s="11"/>
      <c r="AK437" s="39"/>
      <c r="AL437" s="113"/>
      <c r="AM437" s="113"/>
      <c r="AN437" s="117"/>
      <c r="AO437" s="76"/>
      <c r="AP437" s="39"/>
      <c r="AQ437" s="39"/>
      <c r="AR437" s="275"/>
      <c r="AS437" s="275"/>
      <c r="AT437" s="275"/>
      <c r="AU437" s="62"/>
      <c r="AV437" s="62"/>
      <c r="AW437" s="11"/>
      <c r="AX437" s="116"/>
      <c r="AY437" s="196"/>
      <c r="AZ437" s="143"/>
      <c r="BA437" s="191"/>
      <c r="BB437" s="132"/>
      <c r="BC437" s="132"/>
      <c r="BD437" s="274"/>
      <c r="BE437" s="143"/>
      <c r="BF437" s="143"/>
      <c r="BG437" s="132"/>
      <c r="BH437" s="132"/>
      <c r="BI437" s="132"/>
      <c r="BJ437" s="143"/>
      <c r="BK437" s="143"/>
      <c r="BL437" s="143"/>
      <c r="BM437" s="132"/>
      <c r="BN437" s="132"/>
      <c r="BO437" s="132"/>
      <c r="BP437" s="143">
        <v>379878</v>
      </c>
      <c r="BQ437" s="144">
        <f>BP437*19%</f>
        <v>72176.820000000007</v>
      </c>
      <c r="BR437" s="113">
        <f>+BP437+BQ437</f>
        <v>452054.82</v>
      </c>
      <c r="BS437" s="33" t="s">
        <v>157</v>
      </c>
      <c r="BT437" s="204" t="s">
        <v>396</v>
      </c>
      <c r="BU437" s="5" t="s">
        <v>397</v>
      </c>
      <c r="BV437" s="263">
        <v>258800</v>
      </c>
      <c r="BW437" s="144">
        <f t="shared" si="107"/>
        <v>49172</v>
      </c>
      <c r="BX437" s="113">
        <f t="shared" si="108"/>
        <v>307972</v>
      </c>
      <c r="BY437" s="264" t="s">
        <v>337</v>
      </c>
      <c r="BZ437" s="264" t="s">
        <v>263</v>
      </c>
      <c r="CA437" s="132"/>
      <c r="CB437" s="274"/>
      <c r="CC437" s="144"/>
      <c r="CD437" s="274"/>
      <c r="CE437" s="132"/>
      <c r="CF437" s="132"/>
      <c r="CG437" s="36"/>
      <c r="CH437" s="263">
        <v>271740</v>
      </c>
      <c r="CI437" s="265">
        <f t="shared" si="109"/>
        <v>51630.6</v>
      </c>
      <c r="CJ437" s="263">
        <f t="shared" si="110"/>
        <v>323370.59999999998</v>
      </c>
      <c r="CK437" s="264" t="s">
        <v>337</v>
      </c>
      <c r="CL437" s="264" t="s">
        <v>263</v>
      </c>
      <c r="CM437" s="132"/>
      <c r="CN437" s="274"/>
      <c r="CO437" s="144"/>
      <c r="CP437" s="274"/>
      <c r="CQ437" s="132"/>
      <c r="CR437" s="132"/>
      <c r="CS437" s="132"/>
      <c r="CT437" s="274"/>
      <c r="CU437" s="144"/>
      <c r="CV437" s="274"/>
      <c r="CW437" s="132"/>
      <c r="CX437" s="132"/>
      <c r="CY437" s="132"/>
      <c r="CZ437" s="118"/>
      <c r="DA437" s="144"/>
      <c r="DB437" s="118"/>
      <c r="DC437" s="33"/>
      <c r="DD437" s="39"/>
      <c r="DE437" s="11"/>
      <c r="DF437" s="132"/>
      <c r="DG437" s="132"/>
      <c r="DH437" s="132"/>
      <c r="DI437" s="132"/>
      <c r="DJ437" s="132"/>
      <c r="DK437" s="132"/>
      <c r="DL437" s="132"/>
      <c r="DM437" s="132"/>
      <c r="DN437" s="132"/>
      <c r="DO437" s="132"/>
      <c r="DP437" s="132"/>
      <c r="DQ437" s="132"/>
      <c r="DR437" s="132"/>
      <c r="DS437" s="132"/>
      <c r="DT437" s="132"/>
      <c r="DU437" s="132"/>
      <c r="DV437" s="132"/>
      <c r="DW437" s="132"/>
      <c r="DX437" s="132"/>
      <c r="DY437" s="132"/>
      <c r="DZ437" s="132"/>
      <c r="EA437" s="132"/>
      <c r="EB437" s="132"/>
      <c r="EC437" s="132"/>
      <c r="ED437" s="132"/>
      <c r="EE437" s="132"/>
      <c r="EF437" s="132"/>
      <c r="EG437" s="132"/>
      <c r="EH437" s="132"/>
      <c r="EI437" s="132"/>
      <c r="EJ437" s="132"/>
      <c r="EK437" s="132"/>
      <c r="EL437" s="132"/>
      <c r="EM437" s="132"/>
      <c r="EN437" s="132"/>
      <c r="EO437" s="132"/>
      <c r="EP437" s="132"/>
      <c r="EQ437" s="132"/>
      <c r="ER437" s="132"/>
      <c r="ES437" s="132"/>
      <c r="ET437" s="11"/>
      <c r="EU437" s="11"/>
      <c r="EV437" s="11"/>
      <c r="EW437" s="11"/>
      <c r="EX437" s="11"/>
      <c r="EY437" s="11"/>
      <c r="EZ437" s="11"/>
      <c r="FA437" s="11"/>
      <c r="FB437" s="11"/>
      <c r="FC437" s="11"/>
      <c r="FD437" s="11"/>
      <c r="FE437" s="11"/>
      <c r="FF437" s="11"/>
      <c r="FG437" s="11"/>
      <c r="FH437" s="39">
        <f t="shared" si="96"/>
        <v>1083397.42</v>
      </c>
      <c r="FI437" s="33">
        <f t="shared" si="97"/>
        <v>3</v>
      </c>
      <c r="FJ437" s="84">
        <f t="shared" si="98"/>
        <v>361132.47333333333</v>
      </c>
    </row>
    <row r="438" spans="1:166" ht="13.5" x14ac:dyDescent="0.25">
      <c r="A438" s="79" t="e">
        <f>#REF!</f>
        <v>#REF!</v>
      </c>
      <c r="B438" s="75" t="e">
        <f>#REF!</f>
        <v>#REF!</v>
      </c>
      <c r="C438" s="75" t="e">
        <f>#REF!</f>
        <v>#REF!</v>
      </c>
      <c r="D438" s="75" t="e">
        <f>#REF!</f>
        <v>#REF!</v>
      </c>
      <c r="E438" s="30">
        <v>1</v>
      </c>
      <c r="F438" s="238">
        <v>0</v>
      </c>
      <c r="G438" s="241">
        <v>0</v>
      </c>
      <c r="H438" s="249">
        <v>0</v>
      </c>
      <c r="I438" s="249">
        <v>0</v>
      </c>
      <c r="J438" s="249">
        <v>2729860</v>
      </c>
      <c r="K438" s="249">
        <v>0</v>
      </c>
      <c r="L438" s="274">
        <f>J438</f>
        <v>2729860</v>
      </c>
      <c r="M438" s="274"/>
      <c r="N438" s="245"/>
      <c r="O438" s="113"/>
      <c r="P438" s="113"/>
      <c r="Q438" s="131"/>
      <c r="R438" s="131"/>
      <c r="S438" s="64"/>
      <c r="T438" s="113"/>
      <c r="U438" s="117"/>
      <c r="V438" s="113"/>
      <c r="W438" s="131"/>
      <c r="X438" s="131"/>
      <c r="Y438" s="11"/>
      <c r="Z438" s="113"/>
      <c r="AA438" s="113"/>
      <c r="AB438" s="113"/>
      <c r="AC438" s="52"/>
      <c r="AD438" s="52"/>
      <c r="AE438" s="11"/>
      <c r="AF438" s="118"/>
      <c r="AG438" s="144"/>
      <c r="AH438" s="113"/>
      <c r="AI438" s="11"/>
      <c r="AJ438" s="11"/>
      <c r="AK438" s="39"/>
      <c r="AL438" s="113"/>
      <c r="AM438" s="113"/>
      <c r="AN438" s="117"/>
      <c r="AO438" s="76"/>
      <c r="AP438" s="39"/>
      <c r="AQ438" s="39"/>
      <c r="AR438" s="275"/>
      <c r="AS438" s="275"/>
      <c r="AT438" s="275"/>
      <c r="AU438" s="62"/>
      <c r="AV438" s="62"/>
      <c r="AW438" s="11"/>
      <c r="AX438" s="116"/>
      <c r="AY438" s="196"/>
      <c r="AZ438" s="143"/>
      <c r="BA438" s="191"/>
      <c r="BB438" s="132"/>
      <c r="BC438" s="132"/>
      <c r="BD438" s="274"/>
      <c r="BE438" s="143"/>
      <c r="BF438" s="143"/>
      <c r="BG438" s="132"/>
      <c r="BH438" s="132"/>
      <c r="BI438" s="132"/>
      <c r="BJ438" s="143"/>
      <c r="BK438" s="143"/>
      <c r="BL438" s="143"/>
      <c r="BM438" s="132"/>
      <c r="BN438" s="132"/>
      <c r="BO438" s="132"/>
      <c r="BP438" s="143"/>
      <c r="BQ438" s="132"/>
      <c r="BR438" s="132"/>
      <c r="BS438" s="132"/>
      <c r="BT438" s="132"/>
      <c r="BU438" s="132"/>
      <c r="BV438" s="263">
        <v>2507800</v>
      </c>
      <c r="BW438" s="144">
        <f t="shared" si="107"/>
        <v>476482</v>
      </c>
      <c r="BX438" s="113">
        <f t="shared" si="108"/>
        <v>2984282</v>
      </c>
      <c r="BY438" s="264" t="s">
        <v>231</v>
      </c>
      <c r="BZ438" s="264" t="s">
        <v>88</v>
      </c>
      <c r="CA438" s="132"/>
      <c r="CB438" s="274"/>
      <c r="CC438" s="144"/>
      <c r="CD438" s="274"/>
      <c r="CE438" s="132"/>
      <c r="CF438" s="132"/>
      <c r="CG438" s="36"/>
      <c r="CH438" s="268">
        <v>2683346</v>
      </c>
      <c r="CI438" s="265">
        <f t="shared" si="109"/>
        <v>509835.74</v>
      </c>
      <c r="CJ438" s="263">
        <f t="shared" si="110"/>
        <v>3193181.74</v>
      </c>
      <c r="CK438" s="264" t="s">
        <v>231</v>
      </c>
      <c r="CL438" s="264" t="s">
        <v>88</v>
      </c>
      <c r="CM438" s="132"/>
      <c r="CN438" s="274"/>
      <c r="CO438" s="144"/>
      <c r="CP438" s="274"/>
      <c r="CQ438" s="132"/>
      <c r="CR438" s="132"/>
      <c r="CS438" s="132"/>
      <c r="CT438" s="274"/>
      <c r="CU438" s="144"/>
      <c r="CV438" s="274"/>
      <c r="CW438" s="132"/>
      <c r="CX438" s="132"/>
      <c r="CY438" s="132"/>
      <c r="CZ438" s="118"/>
      <c r="DA438" s="144"/>
      <c r="DB438" s="118"/>
      <c r="DC438" s="33"/>
      <c r="DD438" s="39"/>
      <c r="DE438" s="11"/>
      <c r="DF438" s="132"/>
      <c r="DG438" s="132"/>
      <c r="DH438" s="132"/>
      <c r="DI438" s="132"/>
      <c r="DJ438" s="132"/>
      <c r="DK438" s="132"/>
      <c r="DL438" s="132"/>
      <c r="DM438" s="132"/>
      <c r="DN438" s="132"/>
      <c r="DO438" s="132"/>
      <c r="DP438" s="132"/>
      <c r="DQ438" s="132"/>
      <c r="DR438" s="132"/>
      <c r="DS438" s="132"/>
      <c r="DT438" s="132"/>
      <c r="DU438" s="132"/>
      <c r="DV438" s="132"/>
      <c r="DW438" s="132"/>
      <c r="DX438" s="132"/>
      <c r="DY438" s="132"/>
      <c r="DZ438" s="132"/>
      <c r="EA438" s="132"/>
      <c r="EB438" s="132"/>
      <c r="EC438" s="132"/>
      <c r="ED438" s="132"/>
      <c r="EE438" s="132"/>
      <c r="EF438" s="132"/>
      <c r="EG438" s="132"/>
      <c r="EH438" s="132"/>
      <c r="EI438" s="132"/>
      <c r="EJ438" s="132"/>
      <c r="EK438" s="132"/>
      <c r="EL438" s="132"/>
      <c r="EM438" s="132"/>
      <c r="EN438" s="132"/>
      <c r="EO438" s="132"/>
      <c r="EP438" s="132"/>
      <c r="EQ438" s="132"/>
      <c r="ER438" s="132"/>
      <c r="ES438" s="132"/>
      <c r="ET438" s="11"/>
      <c r="EU438" s="11"/>
      <c r="EV438" s="11"/>
      <c r="EW438" s="11"/>
      <c r="EX438" s="11"/>
      <c r="EY438" s="11"/>
      <c r="EZ438" s="11"/>
      <c r="FA438" s="11"/>
      <c r="FB438" s="11"/>
      <c r="FC438" s="11"/>
      <c r="FD438" s="11"/>
      <c r="FE438" s="11"/>
      <c r="FF438" s="11"/>
      <c r="FG438" s="11"/>
      <c r="FH438" s="39">
        <f t="shared" si="96"/>
        <v>6177463.7400000002</v>
      </c>
      <c r="FI438" s="33">
        <f t="shared" si="97"/>
        <v>2</v>
      </c>
      <c r="FJ438" s="84">
        <f t="shared" si="98"/>
        <v>3088731.87</v>
      </c>
    </row>
    <row r="439" spans="1:166" ht="13.5" x14ac:dyDescent="0.25">
      <c r="A439" s="79" t="e">
        <f>#REF!</f>
        <v>#REF!</v>
      </c>
      <c r="B439" s="75" t="e">
        <f>#REF!</f>
        <v>#REF!</v>
      </c>
      <c r="C439" s="75" t="e">
        <f>#REF!</f>
        <v>#REF!</v>
      </c>
      <c r="D439" s="75" t="e">
        <f>#REF!</f>
        <v>#REF!</v>
      </c>
      <c r="E439" s="30">
        <v>1</v>
      </c>
      <c r="F439" s="238">
        <v>0</v>
      </c>
      <c r="G439" s="241">
        <v>0</v>
      </c>
      <c r="H439" s="249">
        <v>0</v>
      </c>
      <c r="I439" s="249">
        <v>0</v>
      </c>
      <c r="J439" s="249">
        <v>3722320</v>
      </c>
      <c r="K439" s="249">
        <v>3647826</v>
      </c>
      <c r="L439" s="274">
        <f>J439</f>
        <v>3722320</v>
      </c>
      <c r="M439" s="274">
        <f>K439*E1</f>
        <v>3757260.7800000003</v>
      </c>
      <c r="N439" s="245"/>
      <c r="O439" s="113"/>
      <c r="P439" s="113"/>
      <c r="Q439" s="131"/>
      <c r="R439" s="131"/>
      <c r="S439" s="64"/>
      <c r="T439" s="113"/>
      <c r="U439" s="113"/>
      <c r="V439" s="113"/>
      <c r="W439" s="131"/>
      <c r="X439" s="131"/>
      <c r="Y439" s="11"/>
      <c r="Z439" s="113"/>
      <c r="AA439" s="113"/>
      <c r="AB439" s="113"/>
      <c r="AC439" s="52"/>
      <c r="AD439" s="52"/>
      <c r="AE439" s="11"/>
      <c r="AF439" s="118"/>
      <c r="AG439" s="144"/>
      <c r="AH439" s="113"/>
      <c r="AI439" s="11"/>
      <c r="AJ439" s="11"/>
      <c r="AK439" s="39"/>
      <c r="AL439" s="113"/>
      <c r="AM439" s="113"/>
      <c r="AN439" s="147"/>
      <c r="AO439" s="76"/>
      <c r="AP439" s="39"/>
      <c r="AQ439" s="39"/>
      <c r="AR439" s="275"/>
      <c r="AS439" s="275"/>
      <c r="AT439" s="275"/>
      <c r="AU439" s="62"/>
      <c r="AV439" s="62"/>
      <c r="AW439" s="11"/>
      <c r="AX439" s="116"/>
      <c r="AY439" s="196"/>
      <c r="AZ439" s="143"/>
      <c r="BA439" s="191"/>
      <c r="BB439" s="132"/>
      <c r="BC439" s="132"/>
      <c r="BD439" s="274"/>
      <c r="BE439" s="143"/>
      <c r="BF439" s="143"/>
      <c r="BG439" s="132"/>
      <c r="BH439" s="132"/>
      <c r="BI439" s="132"/>
      <c r="BJ439" s="143"/>
      <c r="BK439" s="143"/>
      <c r="BL439" s="143"/>
      <c r="BM439" s="132"/>
      <c r="BN439" s="132"/>
      <c r="BO439" s="132"/>
      <c r="BP439" s="143"/>
      <c r="BQ439" s="132"/>
      <c r="BR439" s="132"/>
      <c r="BS439" s="132"/>
      <c r="BT439" s="132"/>
      <c r="BU439" s="132"/>
      <c r="BV439" s="263">
        <v>3419400</v>
      </c>
      <c r="BW439" s="144">
        <f t="shared" si="107"/>
        <v>649686</v>
      </c>
      <c r="BX439" s="113">
        <f t="shared" si="108"/>
        <v>4069086</v>
      </c>
      <c r="BY439" s="264" t="s">
        <v>231</v>
      </c>
      <c r="BZ439" s="264" t="s">
        <v>88</v>
      </c>
      <c r="CA439" s="132"/>
      <c r="CB439" s="274"/>
      <c r="CC439" s="144"/>
      <c r="CD439" s="274"/>
      <c r="CE439" s="132"/>
      <c r="CF439" s="132"/>
      <c r="CG439" s="36"/>
      <c r="CH439" s="268">
        <v>3590370</v>
      </c>
      <c r="CI439" s="265">
        <f t="shared" si="109"/>
        <v>682170.3</v>
      </c>
      <c r="CJ439" s="263">
        <f t="shared" si="110"/>
        <v>4272540.3</v>
      </c>
      <c r="CK439" s="264" t="s">
        <v>231</v>
      </c>
      <c r="CL439" s="264" t="s">
        <v>88</v>
      </c>
      <c r="CM439" s="132"/>
      <c r="CN439" s="274"/>
      <c r="CO439" s="144"/>
      <c r="CP439" s="274"/>
      <c r="CQ439" s="132"/>
      <c r="CR439" s="132"/>
      <c r="CS439" s="132"/>
      <c r="CT439" s="274"/>
      <c r="CU439" s="144"/>
      <c r="CV439" s="274"/>
      <c r="CW439" s="132"/>
      <c r="CX439" s="132"/>
      <c r="CY439" s="132"/>
      <c r="CZ439" s="118"/>
      <c r="DA439" s="144"/>
      <c r="DB439" s="118"/>
      <c r="DC439" s="33"/>
      <c r="DD439" s="39"/>
      <c r="DE439" s="11"/>
      <c r="DF439" s="132"/>
      <c r="DG439" s="132"/>
      <c r="DH439" s="132"/>
      <c r="DI439" s="132"/>
      <c r="DJ439" s="132"/>
      <c r="DK439" s="132"/>
      <c r="DL439" s="132"/>
      <c r="DM439" s="132"/>
      <c r="DN439" s="132"/>
      <c r="DO439" s="132"/>
      <c r="DP439" s="132"/>
      <c r="DQ439" s="132"/>
      <c r="DR439" s="132"/>
      <c r="DS439" s="132"/>
      <c r="DT439" s="132"/>
      <c r="DU439" s="132"/>
      <c r="DV439" s="132"/>
      <c r="DW439" s="132"/>
      <c r="DX439" s="132"/>
      <c r="DY439" s="132"/>
      <c r="DZ439" s="132"/>
      <c r="EA439" s="132"/>
      <c r="EB439" s="132"/>
      <c r="EC439" s="132"/>
      <c r="ED439" s="132"/>
      <c r="EE439" s="132"/>
      <c r="EF439" s="132"/>
      <c r="EG439" s="132"/>
      <c r="EH439" s="132"/>
      <c r="EI439" s="132"/>
      <c r="EJ439" s="132"/>
      <c r="EK439" s="132"/>
      <c r="EL439" s="132"/>
      <c r="EM439" s="132"/>
      <c r="EN439" s="132"/>
      <c r="EO439" s="132"/>
      <c r="EP439" s="132"/>
      <c r="EQ439" s="132"/>
      <c r="ER439" s="132"/>
      <c r="ES439" s="132"/>
      <c r="ET439" s="11"/>
      <c r="EU439" s="11"/>
      <c r="EV439" s="11"/>
      <c r="EW439" s="11"/>
      <c r="EX439" s="11"/>
      <c r="EY439" s="11"/>
      <c r="EZ439" s="11"/>
      <c r="FA439" s="11"/>
      <c r="FB439" s="11"/>
      <c r="FC439" s="11"/>
      <c r="FD439" s="11"/>
      <c r="FE439" s="11"/>
      <c r="FF439" s="11"/>
      <c r="FG439" s="11"/>
      <c r="FH439" s="39">
        <f t="shared" si="96"/>
        <v>12098887.08</v>
      </c>
      <c r="FI439" s="33">
        <f t="shared" si="97"/>
        <v>3</v>
      </c>
      <c r="FJ439" s="84">
        <f t="shared" si="98"/>
        <v>4032962.36</v>
      </c>
    </row>
    <row r="440" spans="1:166" ht="27" x14ac:dyDescent="0.25">
      <c r="A440" s="79" t="e">
        <f>#REF!</f>
        <v>#REF!</v>
      </c>
      <c r="B440" s="75" t="e">
        <f>#REF!</f>
        <v>#REF!</v>
      </c>
      <c r="C440" s="75" t="e">
        <f>#REF!</f>
        <v>#REF!</v>
      </c>
      <c r="D440" s="75" t="e">
        <f>#REF!</f>
        <v>#REF!</v>
      </c>
      <c r="E440" s="30">
        <v>1</v>
      </c>
      <c r="F440" s="238">
        <v>452200</v>
      </c>
      <c r="G440" s="241">
        <v>438634</v>
      </c>
      <c r="H440" s="249">
        <v>435560.23</v>
      </c>
      <c r="I440" s="249">
        <v>435540</v>
      </c>
      <c r="J440" s="249">
        <v>332622.84999999998</v>
      </c>
      <c r="K440" s="249">
        <v>329630</v>
      </c>
      <c r="L440" s="274">
        <f>AVERAGE(F440,H440,J440)</f>
        <v>406794.36000000004</v>
      </c>
      <c r="M440" s="274">
        <f>AVERAGE(G440,I440,K440)*E1</f>
        <v>413306.04000000004</v>
      </c>
      <c r="N440" s="245"/>
      <c r="O440" s="113"/>
      <c r="P440" s="113"/>
      <c r="Q440" s="131"/>
      <c r="R440" s="131"/>
      <c r="S440" s="64"/>
      <c r="T440" s="113">
        <v>428000</v>
      </c>
      <c r="U440" s="113">
        <f>+T440*0.19</f>
        <v>81320</v>
      </c>
      <c r="V440" s="113">
        <f>+T440+U440</f>
        <v>509320</v>
      </c>
      <c r="W440" s="131" t="s">
        <v>387</v>
      </c>
      <c r="X440" s="131" t="s">
        <v>388</v>
      </c>
      <c r="Y440" s="11"/>
      <c r="Z440" s="113"/>
      <c r="AA440" s="113"/>
      <c r="AB440" s="113"/>
      <c r="AC440" s="52"/>
      <c r="AD440" s="52"/>
      <c r="AE440" s="11"/>
      <c r="AF440" s="118"/>
      <c r="AG440" s="144"/>
      <c r="AH440" s="113"/>
      <c r="AI440" s="11"/>
      <c r="AJ440" s="11"/>
      <c r="AK440" s="39"/>
      <c r="AL440" s="113"/>
      <c r="AM440" s="113"/>
      <c r="AN440" s="117"/>
      <c r="AO440" s="76"/>
      <c r="AP440" s="39"/>
      <c r="AQ440" s="39"/>
      <c r="AR440" s="275"/>
      <c r="AS440" s="275"/>
      <c r="AT440" s="275"/>
      <c r="AU440" s="62"/>
      <c r="AV440" s="62"/>
      <c r="AW440" s="11"/>
      <c r="AX440" s="116"/>
      <c r="AY440" s="196"/>
      <c r="AZ440" s="143"/>
      <c r="BA440" s="191"/>
      <c r="BB440" s="132"/>
      <c r="BC440" s="132"/>
      <c r="BD440" s="274"/>
      <c r="BE440" s="143"/>
      <c r="BF440" s="143"/>
      <c r="BG440" s="132"/>
      <c r="BH440" s="132"/>
      <c r="BI440" s="132"/>
      <c r="BJ440" s="143"/>
      <c r="BK440" s="143"/>
      <c r="BL440" s="143"/>
      <c r="BM440" s="132"/>
      <c r="BN440" s="132"/>
      <c r="BO440" s="132"/>
      <c r="BP440" s="143"/>
      <c r="BQ440" s="132"/>
      <c r="BR440" s="132"/>
      <c r="BS440" s="132"/>
      <c r="BT440" s="132"/>
      <c r="BU440" s="132"/>
      <c r="BV440" s="263">
        <v>348600</v>
      </c>
      <c r="BW440" s="144">
        <f t="shared" si="107"/>
        <v>66234</v>
      </c>
      <c r="BX440" s="113">
        <f t="shared" si="108"/>
        <v>414834</v>
      </c>
      <c r="BY440" s="264" t="s">
        <v>389</v>
      </c>
      <c r="BZ440" s="264" t="s">
        <v>263</v>
      </c>
      <c r="CA440" s="132"/>
      <c r="CB440" s="274"/>
      <c r="CC440" s="144"/>
      <c r="CD440" s="274"/>
      <c r="CE440" s="132"/>
      <c r="CF440" s="132"/>
      <c r="CG440" s="36"/>
      <c r="CH440" s="263">
        <v>352086</v>
      </c>
      <c r="CI440" s="265">
        <f t="shared" si="109"/>
        <v>66896.34</v>
      </c>
      <c r="CJ440" s="263">
        <f t="shared" si="110"/>
        <v>418982.33999999997</v>
      </c>
      <c r="CK440" s="264" t="s">
        <v>389</v>
      </c>
      <c r="CL440" s="264" t="s">
        <v>263</v>
      </c>
      <c r="CM440" s="132"/>
      <c r="CN440" s="274"/>
      <c r="CO440" s="144"/>
      <c r="CP440" s="274"/>
      <c r="CQ440" s="132"/>
      <c r="CR440" s="132"/>
      <c r="CS440" s="132"/>
      <c r="CT440" s="274"/>
      <c r="CU440" s="144"/>
      <c r="CV440" s="274"/>
      <c r="CW440" s="132"/>
      <c r="CX440" s="132"/>
      <c r="CY440" s="132"/>
      <c r="CZ440" s="118"/>
      <c r="DA440" s="144"/>
      <c r="DB440" s="118"/>
      <c r="DC440" s="33"/>
      <c r="DD440" s="39"/>
      <c r="DE440" s="11"/>
      <c r="DF440" s="132"/>
      <c r="DG440" s="132"/>
      <c r="DH440" s="132"/>
      <c r="DI440" s="132"/>
      <c r="DJ440" s="132"/>
      <c r="DK440" s="132"/>
      <c r="DL440" s="132"/>
      <c r="DM440" s="132"/>
      <c r="DN440" s="132"/>
      <c r="DO440" s="132"/>
      <c r="DP440" s="132"/>
      <c r="DQ440" s="132"/>
      <c r="DR440" s="132"/>
      <c r="DS440" s="132"/>
      <c r="DT440" s="132"/>
      <c r="DU440" s="132"/>
      <c r="DV440" s="132"/>
      <c r="DW440" s="132"/>
      <c r="DX440" s="132"/>
      <c r="DY440" s="132"/>
      <c r="DZ440" s="132"/>
      <c r="EA440" s="132"/>
      <c r="EB440" s="132"/>
      <c r="EC440" s="132"/>
      <c r="ED440" s="132"/>
      <c r="EE440" s="132"/>
      <c r="EF440" s="132"/>
      <c r="EG440" s="132"/>
      <c r="EH440" s="132"/>
      <c r="EI440" s="132"/>
      <c r="EJ440" s="132"/>
      <c r="EK440" s="132"/>
      <c r="EL440" s="132"/>
      <c r="EM440" s="132"/>
      <c r="EN440" s="132"/>
      <c r="EO440" s="132"/>
      <c r="EP440" s="132"/>
      <c r="EQ440" s="132"/>
      <c r="ER440" s="132"/>
      <c r="ES440" s="132"/>
      <c r="ET440" s="11"/>
      <c r="EU440" s="11"/>
      <c r="EV440" s="11"/>
      <c r="EW440" s="11"/>
      <c r="EX440" s="11"/>
      <c r="EY440" s="11"/>
      <c r="EZ440" s="11"/>
      <c r="FA440" s="11"/>
      <c r="FB440" s="11"/>
      <c r="FC440" s="11"/>
      <c r="FD440" s="11"/>
      <c r="FE440" s="11"/>
      <c r="FF440" s="11"/>
      <c r="FG440" s="11"/>
      <c r="FH440" s="39">
        <f t="shared" si="96"/>
        <v>1756442.38</v>
      </c>
      <c r="FI440" s="33">
        <f t="shared" si="97"/>
        <v>4</v>
      </c>
      <c r="FJ440" s="84">
        <f t="shared" si="98"/>
        <v>439110.59499999997</v>
      </c>
    </row>
    <row r="441" spans="1:166" ht="40.5" x14ac:dyDescent="0.25">
      <c r="A441" s="79" t="e">
        <f>#REF!</f>
        <v>#REF!</v>
      </c>
      <c r="B441" s="75" t="e">
        <f>#REF!</f>
        <v>#REF!</v>
      </c>
      <c r="C441" s="75" t="e">
        <f>#REF!</f>
        <v>#REF!</v>
      </c>
      <c r="D441" s="75" t="e">
        <f>#REF!</f>
        <v>#REF!</v>
      </c>
      <c r="E441" s="30">
        <v>1</v>
      </c>
      <c r="F441" s="238">
        <v>0</v>
      </c>
      <c r="G441" s="241">
        <v>0</v>
      </c>
      <c r="H441" s="249">
        <v>0</v>
      </c>
      <c r="I441" s="249">
        <v>0</v>
      </c>
      <c r="J441" s="249">
        <v>2039660</v>
      </c>
      <c r="K441" s="249">
        <v>1892100</v>
      </c>
      <c r="L441" s="274">
        <f>J441</f>
        <v>2039660</v>
      </c>
      <c r="M441" s="274">
        <f>K441*E1</f>
        <v>1948863</v>
      </c>
      <c r="N441" s="247">
        <v>700500</v>
      </c>
      <c r="O441" s="113">
        <f>+N441*0.19</f>
        <v>133095</v>
      </c>
      <c r="P441" s="113">
        <f>+O441+N441</f>
        <v>833595</v>
      </c>
      <c r="Q441" s="36" t="s">
        <v>127</v>
      </c>
      <c r="R441" s="132" t="s">
        <v>128</v>
      </c>
      <c r="S441" s="64"/>
      <c r="T441" s="113"/>
      <c r="U441" s="117"/>
      <c r="V441" s="113"/>
      <c r="W441" s="131"/>
      <c r="X441" s="131"/>
      <c r="Y441" s="11"/>
      <c r="Z441" s="113"/>
      <c r="AA441" s="113"/>
      <c r="AB441" s="113"/>
      <c r="AC441" s="52"/>
      <c r="AD441" s="52"/>
      <c r="AE441" s="11"/>
      <c r="AF441" s="118"/>
      <c r="AG441" s="144"/>
      <c r="AH441" s="113"/>
      <c r="AI441" s="11"/>
      <c r="AJ441" s="11"/>
      <c r="AK441" s="39"/>
      <c r="AL441" s="113"/>
      <c r="AM441" s="113"/>
      <c r="AN441" s="117"/>
      <c r="AO441" s="76"/>
      <c r="AP441" s="39"/>
      <c r="AQ441" s="39"/>
      <c r="AR441" s="275"/>
      <c r="AS441" s="275"/>
      <c r="AT441" s="275"/>
      <c r="AU441" s="62"/>
      <c r="AV441" s="62"/>
      <c r="AW441" s="11"/>
      <c r="AX441" s="116"/>
      <c r="AY441" s="116"/>
      <c r="AZ441" s="143"/>
      <c r="BA441" s="191"/>
      <c r="BB441" s="132"/>
      <c r="BC441" s="132"/>
      <c r="BD441" s="274"/>
      <c r="BE441" s="143"/>
      <c r="BF441" s="143"/>
      <c r="BG441" s="132"/>
      <c r="BH441" s="132"/>
      <c r="BI441" s="132"/>
      <c r="BJ441" s="143"/>
      <c r="BK441" s="143"/>
      <c r="BL441" s="143"/>
      <c r="BM441" s="132"/>
      <c r="BN441" s="132"/>
      <c r="BO441" s="132"/>
      <c r="BP441" s="143"/>
      <c r="BQ441" s="132"/>
      <c r="BR441" s="132"/>
      <c r="BS441" s="132"/>
      <c r="BT441" s="132"/>
      <c r="BU441" s="132"/>
      <c r="BV441" s="263">
        <v>522000</v>
      </c>
      <c r="BW441" s="144">
        <f t="shared" si="107"/>
        <v>99180</v>
      </c>
      <c r="BX441" s="113">
        <f t="shared" si="108"/>
        <v>621180</v>
      </c>
      <c r="BY441" s="264" t="s">
        <v>231</v>
      </c>
      <c r="BZ441" s="264" t="s">
        <v>126</v>
      </c>
      <c r="CA441" s="132"/>
      <c r="CB441" s="274"/>
      <c r="CC441" s="144"/>
      <c r="CD441" s="274"/>
      <c r="CE441" s="132"/>
      <c r="CF441" s="132"/>
      <c r="CG441" s="36"/>
      <c r="CH441" s="263">
        <v>532440</v>
      </c>
      <c r="CI441" s="265">
        <f t="shared" si="109"/>
        <v>101163.6</v>
      </c>
      <c r="CJ441" s="263">
        <f t="shared" si="110"/>
        <v>633603.6</v>
      </c>
      <c r="CK441" s="264" t="s">
        <v>231</v>
      </c>
      <c r="CL441" s="264" t="s">
        <v>126</v>
      </c>
      <c r="CM441" s="132"/>
      <c r="CN441" s="274"/>
      <c r="CO441" s="144"/>
      <c r="CP441" s="274"/>
      <c r="CQ441" s="132"/>
      <c r="CR441" s="132"/>
      <c r="CS441" s="132"/>
      <c r="CT441" s="274"/>
      <c r="CU441" s="144"/>
      <c r="CV441" s="274"/>
      <c r="CW441" s="132"/>
      <c r="CX441" s="132"/>
      <c r="CY441" s="132"/>
      <c r="CZ441" s="118">
        <v>1114444</v>
      </c>
      <c r="DA441" s="144">
        <f>+CZ441*0.19</f>
        <v>211744.36000000002</v>
      </c>
      <c r="DB441" s="118">
        <f>+CZ441+DA441</f>
        <v>1326188.3600000001</v>
      </c>
      <c r="DC441" s="33" t="s">
        <v>392</v>
      </c>
      <c r="DD441" s="39" t="s">
        <v>58</v>
      </c>
      <c r="DE441" s="11">
        <v>1025010500</v>
      </c>
      <c r="DF441" s="132"/>
      <c r="DG441" s="132"/>
      <c r="DH441" s="132"/>
      <c r="DI441" s="132"/>
      <c r="DJ441" s="132"/>
      <c r="DK441" s="132"/>
      <c r="DL441" s="132"/>
      <c r="DM441" s="132"/>
      <c r="DN441" s="132"/>
      <c r="DO441" s="132"/>
      <c r="DP441" s="132"/>
      <c r="DQ441" s="132"/>
      <c r="DR441" s="132"/>
      <c r="DS441" s="132"/>
      <c r="DT441" s="132"/>
      <c r="DU441" s="132"/>
      <c r="DV441" s="132"/>
      <c r="DW441" s="132"/>
      <c r="DX441" s="132"/>
      <c r="DY441" s="132"/>
      <c r="DZ441" s="132"/>
      <c r="EA441" s="132"/>
      <c r="EB441" s="132"/>
      <c r="EC441" s="132"/>
      <c r="ED441" s="132"/>
      <c r="EE441" s="132"/>
      <c r="EF441" s="132"/>
      <c r="EG441" s="132"/>
      <c r="EH441" s="132"/>
      <c r="EI441" s="132"/>
      <c r="EJ441" s="132"/>
      <c r="EK441" s="132"/>
      <c r="EL441" s="132"/>
      <c r="EM441" s="132"/>
      <c r="EN441" s="132"/>
      <c r="EO441" s="132"/>
      <c r="EP441" s="132"/>
      <c r="EQ441" s="132"/>
      <c r="ER441" s="132"/>
      <c r="ES441" s="132"/>
      <c r="ET441" s="11"/>
      <c r="EU441" s="11"/>
      <c r="EV441" s="11"/>
      <c r="EW441" s="11"/>
      <c r="EX441" s="11"/>
      <c r="EY441" s="11"/>
      <c r="EZ441" s="11"/>
      <c r="FA441" s="11"/>
      <c r="FB441" s="11"/>
      <c r="FC441" s="11"/>
      <c r="FD441" s="11"/>
      <c r="FE441" s="11"/>
      <c r="FF441" s="11"/>
      <c r="FG441" s="11"/>
      <c r="FH441" s="39">
        <f t="shared" si="96"/>
        <v>5363429.96</v>
      </c>
      <c r="FI441" s="33">
        <f t="shared" si="97"/>
        <v>5</v>
      </c>
      <c r="FJ441" s="84">
        <f t="shared" si="98"/>
        <v>1072685.9920000001</v>
      </c>
    </row>
    <row r="442" spans="1:166" x14ac:dyDescent="0.25">
      <c r="A442" s="79" t="e">
        <f>#REF!</f>
        <v>#REF!</v>
      </c>
      <c r="B442" s="75" t="e">
        <f>#REF!</f>
        <v>#REF!</v>
      </c>
      <c r="C442" s="75" t="e">
        <f>#REF!</f>
        <v>#REF!</v>
      </c>
      <c r="D442" s="75" t="e">
        <f>#REF!</f>
        <v>#REF!</v>
      </c>
      <c r="E442" s="30">
        <v>1</v>
      </c>
      <c r="F442" s="238">
        <v>0</v>
      </c>
      <c r="G442" s="241">
        <v>0</v>
      </c>
      <c r="H442" s="249">
        <v>0</v>
      </c>
      <c r="I442" s="249">
        <v>0</v>
      </c>
      <c r="J442" s="249">
        <v>783020</v>
      </c>
      <c r="K442" s="249">
        <v>0</v>
      </c>
      <c r="L442" s="274">
        <f>J442</f>
        <v>783020</v>
      </c>
      <c r="M442" s="274"/>
      <c r="N442" s="245"/>
      <c r="O442" s="113"/>
      <c r="P442" s="113"/>
      <c r="Q442" s="131"/>
      <c r="R442" s="131"/>
      <c r="S442" s="64"/>
      <c r="T442" s="113"/>
      <c r="U442" s="117"/>
      <c r="V442" s="113"/>
      <c r="W442" s="131"/>
      <c r="X442" s="131"/>
      <c r="Y442" s="11"/>
      <c r="Z442" s="113"/>
      <c r="AA442" s="113"/>
      <c r="AB442" s="113"/>
      <c r="AC442" s="52"/>
      <c r="AD442" s="52"/>
      <c r="AE442" s="11"/>
      <c r="AF442" s="118"/>
      <c r="AG442" s="144"/>
      <c r="AH442" s="113"/>
      <c r="AI442" s="11"/>
      <c r="AJ442" s="11"/>
      <c r="AK442" s="39"/>
      <c r="AL442" s="113"/>
      <c r="AM442" s="113"/>
      <c r="AN442" s="119"/>
      <c r="AO442" s="76"/>
      <c r="AP442" s="39"/>
      <c r="AQ442" s="39"/>
      <c r="AR442" s="275"/>
      <c r="AS442" s="275"/>
      <c r="AT442" s="275"/>
      <c r="AU442" s="62"/>
      <c r="AV442" s="62"/>
      <c r="AW442" s="11"/>
      <c r="AX442" s="116"/>
      <c r="AY442" s="116"/>
      <c r="AZ442" s="143"/>
      <c r="BA442" s="191"/>
      <c r="BB442" s="132"/>
      <c r="BC442" s="132"/>
      <c r="BD442" s="274"/>
      <c r="BE442" s="143"/>
      <c r="BF442" s="143"/>
      <c r="BG442" s="132"/>
      <c r="BH442" s="132"/>
      <c r="BI442" s="132"/>
      <c r="BJ442" s="143"/>
      <c r="BK442" s="143"/>
      <c r="BL442" s="143"/>
      <c r="BM442" s="132"/>
      <c r="BN442" s="132"/>
      <c r="BO442" s="132"/>
      <c r="BP442" s="143"/>
      <c r="BQ442" s="132"/>
      <c r="BR442" s="132"/>
      <c r="BS442" s="132"/>
      <c r="BT442" s="132"/>
      <c r="BU442" s="132"/>
      <c r="BV442" s="210"/>
      <c r="BW442" s="144"/>
      <c r="BX442" s="113"/>
      <c r="BY442" s="273"/>
      <c r="BZ442" s="273"/>
      <c r="CA442" s="132"/>
      <c r="CB442" s="274"/>
      <c r="CC442" s="144"/>
      <c r="CD442" s="274"/>
      <c r="CE442" s="132"/>
      <c r="CF442" s="132"/>
      <c r="CG442" s="36"/>
      <c r="CH442" s="210"/>
      <c r="CI442" s="219"/>
      <c r="CJ442" s="210"/>
      <c r="CK442" s="273"/>
      <c r="CL442" s="273"/>
      <c r="CM442" s="132"/>
      <c r="CN442" s="274"/>
      <c r="CO442" s="144"/>
      <c r="CP442" s="274"/>
      <c r="CQ442" s="132"/>
      <c r="CR442" s="132"/>
      <c r="CS442" s="132"/>
      <c r="CT442" s="274"/>
      <c r="CU442" s="144"/>
      <c r="CV442" s="274"/>
      <c r="CW442" s="132"/>
      <c r="CX442" s="132"/>
      <c r="CY442" s="132"/>
      <c r="CZ442" s="118"/>
      <c r="DA442" s="144"/>
      <c r="DB442" s="118"/>
      <c r="DC442" s="33"/>
      <c r="DD442" s="39"/>
      <c r="DE442" s="11"/>
      <c r="DF442" s="132"/>
      <c r="DG442" s="132"/>
      <c r="DH442" s="132"/>
      <c r="DI442" s="132"/>
      <c r="DJ442" s="132"/>
      <c r="DK442" s="132"/>
      <c r="DL442" s="132"/>
      <c r="DM442" s="132"/>
      <c r="DN442" s="132"/>
      <c r="DO442" s="132"/>
      <c r="DP442" s="132"/>
      <c r="DQ442" s="132"/>
      <c r="DR442" s="132"/>
      <c r="DS442" s="132"/>
      <c r="DT442" s="132"/>
      <c r="DU442" s="132"/>
      <c r="DV442" s="132"/>
      <c r="DW442" s="132"/>
      <c r="DX442" s="132"/>
      <c r="DY442" s="132"/>
      <c r="DZ442" s="132"/>
      <c r="EA442" s="132"/>
      <c r="EB442" s="132"/>
      <c r="EC442" s="132"/>
      <c r="ED442" s="132"/>
      <c r="EE442" s="132"/>
      <c r="EF442" s="132"/>
      <c r="EG442" s="132"/>
      <c r="EH442" s="132"/>
      <c r="EI442" s="132"/>
      <c r="EJ442" s="132"/>
      <c r="EK442" s="132"/>
      <c r="EL442" s="132"/>
      <c r="EM442" s="132"/>
      <c r="EN442" s="132"/>
      <c r="EO442" s="132"/>
      <c r="EP442" s="132"/>
      <c r="EQ442" s="132"/>
      <c r="ER442" s="132"/>
      <c r="ES442" s="132"/>
      <c r="ET442" s="11"/>
      <c r="EU442" s="11"/>
      <c r="EV442" s="11"/>
      <c r="EW442" s="11"/>
      <c r="EX442" s="11"/>
      <c r="EY442" s="11"/>
      <c r="EZ442" s="11"/>
      <c r="FA442" s="11"/>
      <c r="FB442" s="11"/>
      <c r="FC442" s="11"/>
      <c r="FD442" s="11"/>
      <c r="FE442" s="11"/>
      <c r="FF442" s="11"/>
      <c r="FG442" s="11"/>
      <c r="FH442" s="39">
        <f t="shared" si="96"/>
        <v>0</v>
      </c>
      <c r="FI442" s="33">
        <f t="shared" si="97"/>
        <v>0</v>
      </c>
      <c r="FJ442" s="84" t="str">
        <f t="shared" si="98"/>
        <v xml:space="preserve"> </v>
      </c>
    </row>
    <row r="443" spans="1:166" ht="54" x14ac:dyDescent="0.25">
      <c r="A443" s="79" t="e">
        <f>#REF!</f>
        <v>#REF!</v>
      </c>
      <c r="B443" s="75" t="e">
        <f>#REF!</f>
        <v>#REF!</v>
      </c>
      <c r="C443" s="75" t="e">
        <f>#REF!</f>
        <v>#REF!</v>
      </c>
      <c r="D443" s="75" t="e">
        <f>#REF!</f>
        <v>#REF!</v>
      </c>
      <c r="E443" s="30">
        <v>1</v>
      </c>
      <c r="F443" s="238">
        <v>0</v>
      </c>
      <c r="G443" s="241">
        <v>0</v>
      </c>
      <c r="H443" s="249">
        <v>2140810</v>
      </c>
      <c r="I443" s="249">
        <v>0</v>
      </c>
      <c r="J443" s="249">
        <v>2529275</v>
      </c>
      <c r="K443" s="249">
        <v>0</v>
      </c>
      <c r="L443" s="274">
        <f>AVERAGE(H443,J443)</f>
        <v>2335042.5</v>
      </c>
      <c r="M443" s="274"/>
      <c r="N443" s="245"/>
      <c r="O443" s="113"/>
      <c r="P443" s="113"/>
      <c r="Q443" s="52"/>
      <c r="R443" s="52"/>
      <c r="S443" s="5"/>
      <c r="T443" s="113">
        <f>2795000/20</f>
        <v>139750</v>
      </c>
      <c r="U443" s="113">
        <f>+T443*0.19</f>
        <v>26552.5</v>
      </c>
      <c r="V443" s="113">
        <f>+T443+U443</f>
        <v>166302.5</v>
      </c>
      <c r="W443" s="124" t="s">
        <v>398</v>
      </c>
      <c r="X443" s="131" t="s">
        <v>388</v>
      </c>
      <c r="Y443" s="11"/>
      <c r="Z443" s="113"/>
      <c r="AA443" s="113"/>
      <c r="AB443" s="113"/>
      <c r="AC443" s="52"/>
      <c r="AD443" s="52"/>
      <c r="AE443" s="11"/>
      <c r="AF443" s="118"/>
      <c r="AG443" s="144"/>
      <c r="AH443" s="113"/>
      <c r="AI443" s="11"/>
      <c r="AJ443" s="11"/>
      <c r="AK443" s="11"/>
      <c r="AL443" s="113"/>
      <c r="AM443" s="113"/>
      <c r="AN443" s="113"/>
      <c r="AO443" s="76"/>
      <c r="AP443" s="11"/>
      <c r="AQ443" s="11"/>
      <c r="AR443" s="275"/>
      <c r="AS443" s="275"/>
      <c r="AT443" s="275"/>
      <c r="AU443" s="62"/>
      <c r="AV443" s="48"/>
      <c r="AW443" s="11"/>
      <c r="AX443" s="275"/>
      <c r="AY443" s="275"/>
      <c r="AZ443" s="275"/>
      <c r="BA443" s="11"/>
      <c r="BB443" s="11"/>
      <c r="BC443" s="11"/>
      <c r="BD443" s="274"/>
      <c r="BE443" s="143"/>
      <c r="BF443" s="143"/>
      <c r="BG443" s="132"/>
      <c r="BH443" s="11"/>
      <c r="BI443" s="132"/>
      <c r="BJ443" s="143"/>
      <c r="BK443" s="143"/>
      <c r="BL443" s="143"/>
      <c r="BM443" s="132"/>
      <c r="BN443" s="132"/>
      <c r="BO443" s="132"/>
      <c r="BP443" s="143"/>
      <c r="BQ443" s="132"/>
      <c r="BR443" s="132"/>
      <c r="BS443" s="132"/>
      <c r="BT443" s="132"/>
      <c r="BU443" s="132"/>
      <c r="BV443" s="268">
        <f>5400000/20</f>
        <v>270000</v>
      </c>
      <c r="BW443" s="144">
        <f t="shared" ref="BW443:BW448" si="111">BV443*19%</f>
        <v>51300</v>
      </c>
      <c r="BX443" s="113">
        <f t="shared" ref="BX443:BX452" si="112">+BV443+BW443</f>
        <v>321300</v>
      </c>
      <c r="BY443" s="264" t="s">
        <v>399</v>
      </c>
      <c r="BZ443" s="264" t="s">
        <v>400</v>
      </c>
      <c r="CA443" s="132"/>
      <c r="CB443" s="274"/>
      <c r="CC443" s="144"/>
      <c r="CD443" s="274"/>
      <c r="CE443" s="132"/>
      <c r="CF443" s="132"/>
      <c r="CG443" s="36"/>
      <c r="CH443" s="268"/>
      <c r="CI443" s="265"/>
      <c r="CJ443" s="263"/>
      <c r="CK443" s="264"/>
      <c r="CL443" s="264"/>
      <c r="CM443" s="132"/>
      <c r="CN443" s="274"/>
      <c r="CO443" s="144"/>
      <c r="CP443" s="274"/>
      <c r="CQ443" s="132"/>
      <c r="CR443" s="132"/>
      <c r="CS443" s="132"/>
      <c r="CT443" s="274"/>
      <c r="CU443" s="144"/>
      <c r="CV443" s="274"/>
      <c r="CW443" s="132"/>
      <c r="CX443" s="132"/>
      <c r="CY443" s="132"/>
      <c r="CZ443" s="118"/>
      <c r="DA443" s="144"/>
      <c r="DB443" s="118"/>
      <c r="DC443" s="33"/>
      <c r="DD443" s="39"/>
      <c r="DE443" s="11"/>
      <c r="DF443" s="132"/>
      <c r="DG443" s="132"/>
      <c r="DH443" s="132"/>
      <c r="DI443" s="132"/>
      <c r="DJ443" s="132"/>
      <c r="DK443" s="132"/>
      <c r="DL443" s="132"/>
      <c r="DM443" s="132"/>
      <c r="DN443" s="132"/>
      <c r="DO443" s="132"/>
      <c r="DP443" s="132"/>
      <c r="DQ443" s="132"/>
      <c r="DR443" s="132"/>
      <c r="DS443" s="132"/>
      <c r="DT443" s="132"/>
      <c r="DU443" s="132"/>
      <c r="DV443" s="132"/>
      <c r="DW443" s="132"/>
      <c r="DX443" s="132"/>
      <c r="DY443" s="132"/>
      <c r="DZ443" s="132"/>
      <c r="EA443" s="132"/>
      <c r="EB443" s="132"/>
      <c r="EC443" s="132"/>
      <c r="ED443" s="132"/>
      <c r="EE443" s="132"/>
      <c r="EF443" s="132"/>
      <c r="EG443" s="132"/>
      <c r="EH443" s="132"/>
      <c r="EI443" s="132"/>
      <c r="EJ443" s="132"/>
      <c r="EK443" s="132"/>
      <c r="EL443" s="132"/>
      <c r="EM443" s="132"/>
      <c r="EN443" s="132"/>
      <c r="EO443" s="132"/>
      <c r="EP443" s="132"/>
      <c r="EQ443" s="132"/>
      <c r="ER443" s="132"/>
      <c r="ES443" s="132"/>
      <c r="ET443" s="11"/>
      <c r="EU443" s="11"/>
      <c r="EV443" s="11"/>
      <c r="EW443" s="11"/>
      <c r="EX443" s="11"/>
      <c r="EY443" s="11"/>
      <c r="EZ443" s="11"/>
      <c r="FA443" s="11"/>
      <c r="FB443" s="11"/>
      <c r="FC443" s="11"/>
      <c r="FD443" s="11"/>
      <c r="FE443" s="11"/>
      <c r="FF443" s="11"/>
      <c r="FG443" s="11"/>
      <c r="FH443" s="39">
        <f t="shared" si="96"/>
        <v>487602.5</v>
      </c>
      <c r="FI443" s="33">
        <f t="shared" si="97"/>
        <v>2</v>
      </c>
      <c r="FJ443" s="84">
        <f t="shared" si="98"/>
        <v>243801.25</v>
      </c>
    </row>
    <row r="444" spans="1:166" ht="27" x14ac:dyDescent="0.25">
      <c r="A444" s="79" t="e">
        <f>#REF!</f>
        <v>#REF!</v>
      </c>
      <c r="B444" s="75" t="e">
        <f>#REF!</f>
        <v>#REF!</v>
      </c>
      <c r="C444" s="75" t="e">
        <f>#REF!</f>
        <v>#REF!</v>
      </c>
      <c r="D444" s="75" t="e">
        <f>#REF!</f>
        <v>#REF!</v>
      </c>
      <c r="E444" s="30">
        <v>1</v>
      </c>
      <c r="F444" s="238">
        <v>0</v>
      </c>
      <c r="G444" s="241">
        <v>0</v>
      </c>
      <c r="H444" s="249">
        <v>0</v>
      </c>
      <c r="I444" s="249">
        <v>0</v>
      </c>
      <c r="J444" s="249">
        <v>0</v>
      </c>
      <c r="K444" s="249">
        <v>0</v>
      </c>
      <c r="L444" s="274"/>
      <c r="M444" s="274"/>
      <c r="N444" s="245"/>
      <c r="O444" s="113"/>
      <c r="P444" s="113"/>
      <c r="Q444" s="52"/>
      <c r="R444" s="52"/>
      <c r="S444" s="5"/>
      <c r="T444" s="113"/>
      <c r="U444" s="113"/>
      <c r="V444" s="113"/>
      <c r="W444" s="11"/>
      <c r="X444" s="11"/>
      <c r="Y444" s="11"/>
      <c r="Z444" s="113"/>
      <c r="AA444" s="113"/>
      <c r="AB444" s="113"/>
      <c r="AC444" s="52"/>
      <c r="AD444" s="52"/>
      <c r="AE444" s="11"/>
      <c r="AF444" s="118"/>
      <c r="AG444" s="144"/>
      <c r="AH444" s="113"/>
      <c r="AI444" s="11"/>
      <c r="AJ444" s="11"/>
      <c r="AK444" s="11"/>
      <c r="AL444" s="113">
        <v>165000</v>
      </c>
      <c r="AM444" s="113">
        <f>+AL444*0.19</f>
        <v>31350</v>
      </c>
      <c r="AN444" s="119">
        <f>+AL444+AM444</f>
        <v>196350</v>
      </c>
      <c r="AO444" s="76" t="s">
        <v>44</v>
      </c>
      <c r="AP444" s="11" t="s">
        <v>45</v>
      </c>
      <c r="AQ444" s="11"/>
      <c r="AR444" s="275">
        <v>172942</v>
      </c>
      <c r="AS444" s="113">
        <f>+AR444*0.19</f>
        <v>32858.980000000003</v>
      </c>
      <c r="AT444" s="119">
        <f>+AR444+AS444</f>
        <v>205800.98</v>
      </c>
      <c r="AU444" s="62" t="s">
        <v>44</v>
      </c>
      <c r="AV444" s="62" t="s">
        <v>45</v>
      </c>
      <c r="AW444" s="11"/>
      <c r="AX444" s="275"/>
      <c r="AY444" s="275"/>
      <c r="AZ444" s="275"/>
      <c r="BA444" s="11"/>
      <c r="BB444" s="11"/>
      <c r="BC444" s="11"/>
      <c r="BD444" s="274"/>
      <c r="BE444" s="143"/>
      <c r="BF444" s="143"/>
      <c r="BG444" s="132"/>
      <c r="BH444" s="11"/>
      <c r="BI444" s="132"/>
      <c r="BJ444" s="143"/>
      <c r="BK444" s="143"/>
      <c r="BL444" s="143"/>
      <c r="BM444" s="132"/>
      <c r="BN444" s="132"/>
      <c r="BO444" s="132"/>
      <c r="BP444" s="143"/>
      <c r="BQ444" s="132"/>
      <c r="BR444" s="132"/>
      <c r="BS444" s="132"/>
      <c r="BT444" s="132"/>
      <c r="BU444" s="132"/>
      <c r="BV444" s="263">
        <v>923600</v>
      </c>
      <c r="BW444" s="144">
        <f t="shared" si="111"/>
        <v>175484</v>
      </c>
      <c r="BX444" s="113">
        <f t="shared" si="112"/>
        <v>1099084</v>
      </c>
      <c r="BY444" s="264" t="s">
        <v>314</v>
      </c>
      <c r="BZ444" s="264" t="s">
        <v>263</v>
      </c>
      <c r="CA444" s="132"/>
      <c r="CB444" s="274"/>
      <c r="CC444" s="144"/>
      <c r="CD444" s="274"/>
      <c r="CE444" s="132"/>
      <c r="CF444" s="132"/>
      <c r="CG444" s="36"/>
      <c r="CH444" s="263">
        <v>969780</v>
      </c>
      <c r="CI444" s="265">
        <f>+CH444*0.19</f>
        <v>184258.2</v>
      </c>
      <c r="CJ444" s="263">
        <f t="shared" ref="CJ444:CJ452" si="113">+CH444+CI444</f>
        <v>1154038.2</v>
      </c>
      <c r="CK444" s="264" t="s">
        <v>314</v>
      </c>
      <c r="CL444" s="264" t="s">
        <v>263</v>
      </c>
      <c r="CM444" s="132"/>
      <c r="CN444" s="274"/>
      <c r="CO444" s="144"/>
      <c r="CP444" s="274"/>
      <c r="CQ444" s="132"/>
      <c r="CR444" s="132"/>
      <c r="CS444" s="132"/>
      <c r="CT444" s="274"/>
      <c r="CU444" s="144"/>
      <c r="CV444" s="274"/>
      <c r="CW444" s="132"/>
      <c r="CX444" s="132"/>
      <c r="CY444" s="132"/>
      <c r="CZ444" s="118"/>
      <c r="DA444" s="144"/>
      <c r="DB444" s="118"/>
      <c r="DC444" s="33"/>
      <c r="DD444" s="39"/>
      <c r="DE444" s="11"/>
      <c r="DF444" s="132"/>
      <c r="DG444" s="132"/>
      <c r="DH444" s="132"/>
      <c r="DI444" s="132"/>
      <c r="DJ444" s="132"/>
      <c r="DK444" s="132"/>
      <c r="DL444" s="132"/>
      <c r="DM444" s="132"/>
      <c r="DN444" s="132"/>
      <c r="DO444" s="132"/>
      <c r="DP444" s="132"/>
      <c r="DQ444" s="132"/>
      <c r="DR444" s="132"/>
      <c r="DS444" s="132"/>
      <c r="DT444" s="132"/>
      <c r="DU444" s="132"/>
      <c r="DV444" s="132"/>
      <c r="DW444" s="132"/>
      <c r="DX444" s="132"/>
      <c r="DY444" s="132"/>
      <c r="DZ444" s="132"/>
      <c r="EA444" s="132"/>
      <c r="EB444" s="132"/>
      <c r="EC444" s="132"/>
      <c r="ED444" s="132"/>
      <c r="EE444" s="132"/>
      <c r="EF444" s="132"/>
      <c r="EG444" s="132"/>
      <c r="EH444" s="132"/>
      <c r="EI444" s="132"/>
      <c r="EJ444" s="132"/>
      <c r="EK444" s="132"/>
      <c r="EL444" s="132"/>
      <c r="EM444" s="132"/>
      <c r="EN444" s="132"/>
      <c r="EO444" s="132"/>
      <c r="EP444" s="132"/>
      <c r="EQ444" s="132"/>
      <c r="ER444" s="132"/>
      <c r="ES444" s="132"/>
      <c r="ET444" s="11"/>
      <c r="EU444" s="11"/>
      <c r="EV444" s="11"/>
      <c r="EW444" s="11"/>
      <c r="EX444" s="11"/>
      <c r="EY444" s="11"/>
      <c r="EZ444" s="11"/>
      <c r="FA444" s="11"/>
      <c r="FB444" s="11"/>
      <c r="FC444" s="11"/>
      <c r="FD444" s="11"/>
      <c r="FE444" s="11"/>
      <c r="FF444" s="11"/>
      <c r="FG444" s="11"/>
      <c r="FH444" s="39">
        <f t="shared" si="96"/>
        <v>2655273.1799999997</v>
      </c>
      <c r="FI444" s="33">
        <f t="shared" si="97"/>
        <v>4</v>
      </c>
      <c r="FJ444" s="84">
        <f t="shared" si="98"/>
        <v>663818.29499999993</v>
      </c>
    </row>
    <row r="445" spans="1:166" ht="27" x14ac:dyDescent="0.25">
      <c r="A445" s="79" t="e">
        <f>#REF!</f>
        <v>#REF!</v>
      </c>
      <c r="B445" s="75" t="e">
        <f>#REF!</f>
        <v>#REF!</v>
      </c>
      <c r="C445" s="75" t="e">
        <f>#REF!</f>
        <v>#REF!</v>
      </c>
      <c r="D445" s="75" t="e">
        <f>#REF!</f>
        <v>#REF!</v>
      </c>
      <c r="E445" s="30">
        <v>1</v>
      </c>
      <c r="F445" s="238">
        <v>140777</v>
      </c>
      <c r="G445" s="241">
        <v>0</v>
      </c>
      <c r="H445" s="249">
        <v>167364.02518333335</v>
      </c>
      <c r="I445" s="249">
        <v>0</v>
      </c>
      <c r="J445" s="249">
        <v>194755.15048387094</v>
      </c>
      <c r="K445" s="249">
        <v>189924</v>
      </c>
      <c r="L445" s="274">
        <f>AVERAGE(F445,H445,J445)</f>
        <v>167632.05855573475</v>
      </c>
      <c r="M445" s="274">
        <f>K445*E1</f>
        <v>195621.72</v>
      </c>
      <c r="N445" s="245"/>
      <c r="O445" s="113"/>
      <c r="P445" s="113"/>
      <c r="Q445" s="52"/>
      <c r="R445" s="52"/>
      <c r="S445" s="5"/>
      <c r="T445" s="113"/>
      <c r="U445" s="113"/>
      <c r="V445" s="113"/>
      <c r="W445" s="11"/>
      <c r="X445" s="11"/>
      <c r="Y445" s="11"/>
      <c r="Z445" s="113"/>
      <c r="AA445" s="113"/>
      <c r="AB445" s="113"/>
      <c r="AC445" s="52"/>
      <c r="AD445" s="52"/>
      <c r="AE445" s="11"/>
      <c r="AF445" s="118"/>
      <c r="AG445" s="144"/>
      <c r="AH445" s="113"/>
      <c r="AI445" s="11"/>
      <c r="AJ445" s="11"/>
      <c r="AK445" s="11"/>
      <c r="AL445" s="113">
        <v>49000</v>
      </c>
      <c r="AM445" s="113">
        <f>+AL445*0.19</f>
        <v>9310</v>
      </c>
      <c r="AN445" s="119">
        <f>+AL445+AM445</f>
        <v>58310</v>
      </c>
      <c r="AO445" s="76" t="s">
        <v>49</v>
      </c>
      <c r="AP445" s="11" t="s">
        <v>45</v>
      </c>
      <c r="AQ445" s="11"/>
      <c r="AR445" s="275"/>
      <c r="AS445" s="275"/>
      <c r="AT445" s="275"/>
      <c r="AU445" s="62"/>
      <c r="AV445" s="48"/>
      <c r="AW445" s="11"/>
      <c r="AX445" s="275">
        <f>260153.55/4</f>
        <v>65038.387499999997</v>
      </c>
      <c r="AY445" s="116">
        <f>+AX445*0.19</f>
        <v>12357.293625</v>
      </c>
      <c r="AZ445" s="143">
        <f>+AX445+AY445</f>
        <v>77395.681125000003</v>
      </c>
      <c r="BA445" s="191" t="s">
        <v>69</v>
      </c>
      <c r="BB445" s="132" t="s">
        <v>70</v>
      </c>
      <c r="BC445" s="11"/>
      <c r="BD445" s="274"/>
      <c r="BE445" s="143"/>
      <c r="BF445" s="143"/>
      <c r="BG445" s="132"/>
      <c r="BH445" s="11"/>
      <c r="BI445" s="132"/>
      <c r="BJ445" s="143"/>
      <c r="BK445" s="143"/>
      <c r="BL445" s="143"/>
      <c r="BM445" s="132"/>
      <c r="BN445" s="132"/>
      <c r="BO445" s="132"/>
      <c r="BP445" s="143"/>
      <c r="BQ445" s="132"/>
      <c r="BR445" s="132"/>
      <c r="BS445" s="132"/>
      <c r="BT445" s="132"/>
      <c r="BU445" s="132"/>
      <c r="BV445" s="263">
        <v>164500</v>
      </c>
      <c r="BW445" s="144">
        <f t="shared" si="111"/>
        <v>31255</v>
      </c>
      <c r="BX445" s="113">
        <f t="shared" si="112"/>
        <v>195755</v>
      </c>
      <c r="BY445" s="264" t="s">
        <v>327</v>
      </c>
      <c r="BZ445" s="264" t="s">
        <v>63</v>
      </c>
      <c r="CA445" s="132"/>
      <c r="CB445" s="274"/>
      <c r="CC445" s="144"/>
      <c r="CD445" s="274"/>
      <c r="CE445" s="132"/>
      <c r="CF445" s="132"/>
      <c r="CG445" s="36"/>
      <c r="CH445" s="263">
        <v>176015</v>
      </c>
      <c r="CI445" s="265">
        <f>+CH445*0.19</f>
        <v>33442.85</v>
      </c>
      <c r="CJ445" s="263">
        <f t="shared" si="113"/>
        <v>209457.85</v>
      </c>
      <c r="CK445" s="264" t="s">
        <v>327</v>
      </c>
      <c r="CL445" s="264" t="s">
        <v>63</v>
      </c>
      <c r="CM445" s="132"/>
      <c r="CN445" s="274"/>
      <c r="CO445" s="144"/>
      <c r="CP445" s="274"/>
      <c r="CQ445" s="132"/>
      <c r="CR445" s="132"/>
      <c r="CS445" s="132"/>
      <c r="CT445" s="274"/>
      <c r="CU445" s="144"/>
      <c r="CV445" s="274"/>
      <c r="CW445" s="132"/>
      <c r="CX445" s="132"/>
      <c r="CY445" s="132"/>
      <c r="CZ445" s="118">
        <v>92137</v>
      </c>
      <c r="DA445" s="144">
        <f>+CZ445*0.19</f>
        <v>17506.03</v>
      </c>
      <c r="DB445" s="118">
        <f>+CZ445+DA445</f>
        <v>109643.03</v>
      </c>
      <c r="DC445" s="33" t="s">
        <v>401</v>
      </c>
      <c r="DD445" s="39" t="s">
        <v>58</v>
      </c>
      <c r="DE445" s="11" t="s">
        <v>402</v>
      </c>
      <c r="DF445" s="132"/>
      <c r="DG445" s="132"/>
      <c r="DH445" s="132"/>
      <c r="DI445" s="132"/>
      <c r="DJ445" s="132"/>
      <c r="DK445" s="132"/>
      <c r="DL445" s="132"/>
      <c r="DM445" s="132"/>
      <c r="DN445" s="132"/>
      <c r="DO445" s="132"/>
      <c r="DP445" s="132"/>
      <c r="DQ445" s="132"/>
      <c r="DR445" s="132"/>
      <c r="DS445" s="132"/>
      <c r="DT445" s="132"/>
      <c r="DU445" s="132"/>
      <c r="DV445" s="132"/>
      <c r="DW445" s="132"/>
      <c r="DX445" s="132"/>
      <c r="DY445" s="132"/>
      <c r="DZ445" s="132"/>
      <c r="EA445" s="132"/>
      <c r="EB445" s="132"/>
      <c r="EC445" s="132"/>
      <c r="ED445" s="132"/>
      <c r="EE445" s="132"/>
      <c r="EF445" s="132"/>
      <c r="EG445" s="132"/>
      <c r="EH445" s="132"/>
      <c r="EI445" s="132"/>
      <c r="EJ445" s="132"/>
      <c r="EK445" s="132"/>
      <c r="EL445" s="132"/>
      <c r="EM445" s="132"/>
      <c r="EN445" s="132"/>
      <c r="EO445" s="132"/>
      <c r="EP445" s="132"/>
      <c r="EQ445" s="132"/>
      <c r="ER445" s="132"/>
      <c r="ES445" s="132"/>
      <c r="ET445" s="11"/>
      <c r="EU445" s="11"/>
      <c r="EV445" s="11"/>
      <c r="EW445" s="11"/>
      <c r="EX445" s="11"/>
      <c r="EY445" s="11"/>
      <c r="EZ445" s="11"/>
      <c r="FA445" s="11"/>
      <c r="FB445" s="11"/>
      <c r="FC445" s="11"/>
      <c r="FD445" s="11"/>
      <c r="FE445" s="11"/>
      <c r="FF445" s="11"/>
      <c r="FG445" s="11"/>
      <c r="FH445" s="39">
        <f t="shared" si="96"/>
        <v>846183.28112499998</v>
      </c>
      <c r="FI445" s="33">
        <f t="shared" si="97"/>
        <v>6</v>
      </c>
      <c r="FJ445" s="84">
        <f t="shared" si="98"/>
        <v>141030.54685416666</v>
      </c>
    </row>
    <row r="446" spans="1:166" ht="13.5" x14ac:dyDescent="0.25">
      <c r="A446" s="79" t="e">
        <f>#REF!</f>
        <v>#REF!</v>
      </c>
      <c r="B446" s="75" t="e">
        <f>#REF!</f>
        <v>#REF!</v>
      </c>
      <c r="C446" s="75" t="e">
        <f>#REF!</f>
        <v>#REF!</v>
      </c>
      <c r="D446" s="75" t="e">
        <f>#REF!</f>
        <v>#REF!</v>
      </c>
      <c r="E446" s="30">
        <v>1</v>
      </c>
      <c r="F446" s="238">
        <v>0</v>
      </c>
      <c r="G446" s="241">
        <v>0</v>
      </c>
      <c r="H446" s="249">
        <v>0</v>
      </c>
      <c r="I446" s="249">
        <v>0</v>
      </c>
      <c r="J446" s="249">
        <v>0</v>
      </c>
      <c r="K446" s="249">
        <v>0</v>
      </c>
      <c r="L446" s="274"/>
      <c r="M446" s="274"/>
      <c r="N446" s="245"/>
      <c r="O446" s="113"/>
      <c r="P446" s="113"/>
      <c r="Q446" s="52"/>
      <c r="R446" s="52"/>
      <c r="S446" s="5"/>
      <c r="T446" s="113"/>
      <c r="U446" s="113"/>
      <c r="V446" s="113"/>
      <c r="W446" s="11"/>
      <c r="X446" s="11"/>
      <c r="Y446" s="11"/>
      <c r="Z446" s="113"/>
      <c r="AA446" s="113"/>
      <c r="AB446" s="113"/>
      <c r="AC446" s="52"/>
      <c r="AD446" s="52"/>
      <c r="AE446" s="11"/>
      <c r="AF446" s="118">
        <v>350000</v>
      </c>
      <c r="AG446" s="144">
        <f>AF446*19%</f>
        <v>66500</v>
      </c>
      <c r="AH446" s="113">
        <f>+AF446+AG446</f>
        <v>416500</v>
      </c>
      <c r="AI446" s="11"/>
      <c r="AJ446" s="11"/>
      <c r="AK446" s="11"/>
      <c r="AL446" s="113"/>
      <c r="AM446" s="113"/>
      <c r="AN446" s="113"/>
      <c r="AO446" s="76"/>
      <c r="AP446" s="11"/>
      <c r="AQ446" s="11"/>
      <c r="AR446" s="275"/>
      <c r="AS446" s="275"/>
      <c r="AT446" s="275"/>
      <c r="AU446" s="62"/>
      <c r="AV446" s="48"/>
      <c r="AW446" s="11"/>
      <c r="AX446" s="275"/>
      <c r="AY446" s="275"/>
      <c r="AZ446" s="275"/>
      <c r="BA446" s="11"/>
      <c r="BB446" s="11"/>
      <c r="BC446" s="11"/>
      <c r="BD446" s="274"/>
      <c r="BE446" s="143"/>
      <c r="BF446" s="143"/>
      <c r="BG446" s="132"/>
      <c r="BH446" s="11"/>
      <c r="BI446" s="132"/>
      <c r="BJ446" s="143"/>
      <c r="BK446" s="143"/>
      <c r="BL446" s="143"/>
      <c r="BM446" s="132"/>
      <c r="BN446" s="132"/>
      <c r="BO446" s="132"/>
      <c r="BP446" s="143"/>
      <c r="BQ446" s="132"/>
      <c r="BR446" s="132"/>
      <c r="BS446" s="132"/>
      <c r="BT446" s="132"/>
      <c r="BU446" s="132"/>
      <c r="BV446" s="263">
        <v>493900</v>
      </c>
      <c r="BW446" s="144">
        <f t="shared" si="111"/>
        <v>93841</v>
      </c>
      <c r="BX446" s="113">
        <f t="shared" si="112"/>
        <v>587741</v>
      </c>
      <c r="BY446" s="264" t="s">
        <v>403</v>
      </c>
      <c r="BZ446" s="264" t="s">
        <v>88</v>
      </c>
      <c r="CA446" s="132"/>
      <c r="CB446" s="274"/>
      <c r="CC446" s="144"/>
      <c r="CD446" s="274"/>
      <c r="CE446" s="132"/>
      <c r="CF446" s="132"/>
      <c r="CG446" s="36"/>
      <c r="CH446" s="263">
        <v>508717</v>
      </c>
      <c r="CI446" s="265">
        <f>+CH446*0.19</f>
        <v>96656.23</v>
      </c>
      <c r="CJ446" s="263">
        <f t="shared" si="113"/>
        <v>605373.23</v>
      </c>
      <c r="CK446" s="264" t="s">
        <v>403</v>
      </c>
      <c r="CL446" s="264" t="s">
        <v>88</v>
      </c>
      <c r="CM446" s="132"/>
      <c r="CN446" s="274"/>
      <c r="CO446" s="144"/>
      <c r="CP446" s="274"/>
      <c r="CQ446" s="132"/>
      <c r="CR446" s="132"/>
      <c r="CS446" s="132"/>
      <c r="CT446" s="274"/>
      <c r="CU446" s="144"/>
      <c r="CV446" s="274"/>
      <c r="CW446" s="132"/>
      <c r="CX446" s="132"/>
      <c r="CY446" s="132"/>
      <c r="CZ446" s="118">
        <v>194207</v>
      </c>
      <c r="DA446" s="144">
        <f>+CZ446*0.19</f>
        <v>36899.33</v>
      </c>
      <c r="DB446" s="118">
        <f>+CZ446+DA446</f>
        <v>231106.33000000002</v>
      </c>
      <c r="DC446" s="33" t="s">
        <v>404</v>
      </c>
      <c r="DD446" s="39" t="s">
        <v>58</v>
      </c>
      <c r="DE446" s="11" t="s">
        <v>405</v>
      </c>
      <c r="DF446" s="132"/>
      <c r="DG446" s="132"/>
      <c r="DH446" s="132"/>
      <c r="DI446" s="132"/>
      <c r="DJ446" s="132"/>
      <c r="DK446" s="132"/>
      <c r="DL446" s="132"/>
      <c r="DM446" s="132"/>
      <c r="DN446" s="132"/>
      <c r="DO446" s="132"/>
      <c r="DP446" s="132"/>
      <c r="DQ446" s="132"/>
      <c r="DR446" s="132"/>
      <c r="DS446" s="132"/>
      <c r="DT446" s="132"/>
      <c r="DU446" s="132"/>
      <c r="DV446" s="132"/>
      <c r="DW446" s="132"/>
      <c r="DX446" s="132"/>
      <c r="DY446" s="132"/>
      <c r="DZ446" s="132"/>
      <c r="EA446" s="132"/>
      <c r="EB446" s="132"/>
      <c r="EC446" s="132"/>
      <c r="ED446" s="132"/>
      <c r="EE446" s="132"/>
      <c r="EF446" s="132"/>
      <c r="EG446" s="132"/>
      <c r="EH446" s="132"/>
      <c r="EI446" s="132"/>
      <c r="EJ446" s="132"/>
      <c r="EK446" s="132"/>
      <c r="EL446" s="132"/>
      <c r="EM446" s="132"/>
      <c r="EN446" s="132"/>
      <c r="EO446" s="132"/>
      <c r="EP446" s="132"/>
      <c r="EQ446" s="132"/>
      <c r="ER446" s="132"/>
      <c r="ES446" s="132"/>
      <c r="ET446" s="11"/>
      <c r="EU446" s="11"/>
      <c r="EV446" s="11"/>
      <c r="EW446" s="11"/>
      <c r="EX446" s="11"/>
      <c r="EY446" s="11"/>
      <c r="EZ446" s="11"/>
      <c r="FA446" s="11"/>
      <c r="FB446" s="11"/>
      <c r="FC446" s="11"/>
      <c r="FD446" s="11"/>
      <c r="FE446" s="11"/>
      <c r="FF446" s="11"/>
      <c r="FG446" s="11"/>
      <c r="FH446" s="39">
        <f t="shared" si="96"/>
        <v>1840720.56</v>
      </c>
      <c r="FI446" s="33">
        <f t="shared" si="97"/>
        <v>4</v>
      </c>
      <c r="FJ446" s="84">
        <f t="shared" si="98"/>
        <v>460180.14</v>
      </c>
    </row>
    <row r="447" spans="1:166" ht="27" x14ac:dyDescent="0.25">
      <c r="A447" s="79" t="e">
        <f>#REF!</f>
        <v>#REF!</v>
      </c>
      <c r="B447" s="75" t="e">
        <f>#REF!</f>
        <v>#REF!</v>
      </c>
      <c r="C447" s="75" t="e">
        <f>#REF!</f>
        <v>#REF!</v>
      </c>
      <c r="D447" s="75" t="e">
        <f>#REF!</f>
        <v>#REF!</v>
      </c>
      <c r="E447" s="30">
        <v>1</v>
      </c>
      <c r="F447" s="238">
        <v>201050.5</v>
      </c>
      <c r="G447" s="241">
        <v>192899</v>
      </c>
      <c r="H447" s="249">
        <v>194771.00357222222</v>
      </c>
      <c r="I447" s="249">
        <v>194684</v>
      </c>
      <c r="J447" s="249">
        <v>203383.61016129033</v>
      </c>
      <c r="K447" s="249">
        <v>107100</v>
      </c>
      <c r="L447" s="274">
        <f>AVERAGE(F447,H447,J447)</f>
        <v>199735.03791117086</v>
      </c>
      <c r="M447" s="274">
        <f>AVERAGE(G447,I447,K447)*E1</f>
        <v>169841.16333333336</v>
      </c>
      <c r="N447" s="245"/>
      <c r="O447" s="113"/>
      <c r="P447" s="113"/>
      <c r="Q447" s="52"/>
      <c r="R447" s="52"/>
      <c r="S447" s="5"/>
      <c r="T447" s="113"/>
      <c r="U447" s="113"/>
      <c r="V447" s="113"/>
      <c r="W447" s="11"/>
      <c r="X447" s="11"/>
      <c r="Y447" s="11"/>
      <c r="Z447" s="113"/>
      <c r="AA447" s="113"/>
      <c r="AB447" s="113"/>
      <c r="AC447" s="52"/>
      <c r="AD447" s="52"/>
      <c r="AE447" s="11"/>
      <c r="AF447" s="118"/>
      <c r="AG447" s="144"/>
      <c r="AH447" s="113"/>
      <c r="AI447" s="11"/>
      <c r="AJ447" s="11"/>
      <c r="AK447" s="11"/>
      <c r="AL447" s="113">
        <v>210000</v>
      </c>
      <c r="AM447" s="113">
        <f>+AL447*0.19</f>
        <v>39900</v>
      </c>
      <c r="AN447" s="119">
        <f>+AL447+AM447</f>
        <v>249900</v>
      </c>
      <c r="AO447" s="76" t="s">
        <v>69</v>
      </c>
      <c r="AP447" s="11" t="s">
        <v>45</v>
      </c>
      <c r="AQ447" s="11"/>
      <c r="AR447" s="275"/>
      <c r="AS447" s="275"/>
      <c r="AT447" s="275"/>
      <c r="AU447" s="62"/>
      <c r="AV447" s="48"/>
      <c r="AW447" s="11"/>
      <c r="AX447" s="275">
        <v>173216.35836299998</v>
      </c>
      <c r="AY447" s="116">
        <f>+AX447*0.19</f>
        <v>32911.108088969995</v>
      </c>
      <c r="AZ447" s="143">
        <f>+AX447+AY447</f>
        <v>206127.46645196999</v>
      </c>
      <c r="BA447" s="191" t="s">
        <v>69</v>
      </c>
      <c r="BB447" s="132" t="s">
        <v>70</v>
      </c>
      <c r="BC447" s="11"/>
      <c r="BD447" s="274"/>
      <c r="BE447" s="143"/>
      <c r="BF447" s="143"/>
      <c r="BG447" s="132"/>
      <c r="BH447" s="11"/>
      <c r="BI447" s="132"/>
      <c r="BJ447" s="143"/>
      <c r="BK447" s="143"/>
      <c r="BL447" s="143"/>
      <c r="BM447" s="132"/>
      <c r="BN447" s="132"/>
      <c r="BO447" s="132"/>
      <c r="BP447" s="143"/>
      <c r="BQ447" s="132"/>
      <c r="BR447" s="132"/>
      <c r="BS447" s="132"/>
      <c r="BT447" s="132"/>
      <c r="BU447" s="132"/>
      <c r="BV447" s="263">
        <v>184600</v>
      </c>
      <c r="BW447" s="144">
        <f t="shared" si="111"/>
        <v>35074</v>
      </c>
      <c r="BX447" s="113">
        <f t="shared" si="112"/>
        <v>219674</v>
      </c>
      <c r="BY447" s="264" t="s">
        <v>327</v>
      </c>
      <c r="BZ447" s="264" t="s">
        <v>63</v>
      </c>
      <c r="CA447" s="132"/>
      <c r="CB447" s="274"/>
      <c r="CC447" s="144"/>
      <c r="CD447" s="274"/>
      <c r="CE447" s="132"/>
      <c r="CF447" s="132"/>
      <c r="CG447" s="36"/>
      <c r="CH447" s="263">
        <v>193830</v>
      </c>
      <c r="CI447" s="265">
        <f>+CH447*0.19</f>
        <v>36827.699999999997</v>
      </c>
      <c r="CJ447" s="263">
        <f t="shared" si="113"/>
        <v>230657.7</v>
      </c>
      <c r="CK447" s="264" t="s">
        <v>327</v>
      </c>
      <c r="CL447" s="264" t="s">
        <v>63</v>
      </c>
      <c r="CM447" s="132"/>
      <c r="CN447" s="274"/>
      <c r="CO447" s="144"/>
      <c r="CP447" s="274"/>
      <c r="CQ447" s="132"/>
      <c r="CR447" s="132"/>
      <c r="CS447" s="132"/>
      <c r="CT447" s="274"/>
      <c r="CU447" s="144"/>
      <c r="CV447" s="274"/>
      <c r="CW447" s="132"/>
      <c r="CX447" s="132"/>
      <c r="CY447" s="132"/>
      <c r="CZ447" s="118">
        <v>167724</v>
      </c>
      <c r="DA447" s="144">
        <f>+CZ447*0.19</f>
        <v>31867.56</v>
      </c>
      <c r="DB447" s="118">
        <f>+CZ447+DA447</f>
        <v>199591.56</v>
      </c>
      <c r="DC447" s="33" t="s">
        <v>406</v>
      </c>
      <c r="DD447" s="39" t="s">
        <v>58</v>
      </c>
      <c r="DE447" s="11" t="s">
        <v>407</v>
      </c>
      <c r="DF447" s="132"/>
      <c r="DG447" s="132"/>
      <c r="DH447" s="132"/>
      <c r="DI447" s="132"/>
      <c r="DJ447" s="132"/>
      <c r="DK447" s="132"/>
      <c r="DL447" s="132"/>
      <c r="DM447" s="132"/>
      <c r="DN447" s="132"/>
      <c r="DO447" s="132"/>
      <c r="DP447" s="132"/>
      <c r="DQ447" s="132"/>
      <c r="DR447" s="132"/>
      <c r="DS447" s="132"/>
      <c r="DT447" s="132"/>
      <c r="DU447" s="132"/>
      <c r="DV447" s="132"/>
      <c r="DW447" s="132"/>
      <c r="DX447" s="132"/>
      <c r="DY447" s="132"/>
      <c r="DZ447" s="132"/>
      <c r="EA447" s="132"/>
      <c r="EB447" s="132"/>
      <c r="EC447" s="132"/>
      <c r="ED447" s="132"/>
      <c r="EE447" s="132"/>
      <c r="EF447" s="132"/>
      <c r="EG447" s="132"/>
      <c r="EH447" s="132"/>
      <c r="EI447" s="132"/>
      <c r="EJ447" s="132"/>
      <c r="EK447" s="132"/>
      <c r="EL447" s="132"/>
      <c r="EM447" s="132"/>
      <c r="EN447" s="132"/>
      <c r="EO447" s="132"/>
      <c r="EP447" s="132"/>
      <c r="EQ447" s="132"/>
      <c r="ER447" s="132"/>
      <c r="ES447" s="132"/>
      <c r="ET447" s="11"/>
      <c r="EU447" s="11"/>
      <c r="EV447" s="11"/>
      <c r="EW447" s="11"/>
      <c r="EX447" s="11"/>
      <c r="EY447" s="11"/>
      <c r="EZ447" s="11"/>
      <c r="FA447" s="11"/>
      <c r="FB447" s="11"/>
      <c r="FC447" s="11"/>
      <c r="FD447" s="11"/>
      <c r="FE447" s="11"/>
      <c r="FF447" s="11"/>
      <c r="FG447" s="11"/>
      <c r="FH447" s="39">
        <f t="shared" si="96"/>
        <v>1275791.8897853033</v>
      </c>
      <c r="FI447" s="33">
        <f t="shared" si="97"/>
        <v>6</v>
      </c>
      <c r="FJ447" s="84">
        <f t="shared" si="98"/>
        <v>212631.98163088388</v>
      </c>
    </row>
    <row r="448" spans="1:166" ht="13.5" x14ac:dyDescent="0.25">
      <c r="A448" s="79" t="e">
        <f>#REF!</f>
        <v>#REF!</v>
      </c>
      <c r="B448" s="75" t="e">
        <f>#REF!</f>
        <v>#REF!</v>
      </c>
      <c r="C448" s="75" t="e">
        <f>#REF!</f>
        <v>#REF!</v>
      </c>
      <c r="D448" s="75" t="e">
        <f>#REF!</f>
        <v>#REF!</v>
      </c>
      <c r="E448" s="30">
        <v>1</v>
      </c>
      <c r="F448" s="238">
        <v>0</v>
      </c>
      <c r="G448" s="241">
        <v>0</v>
      </c>
      <c r="H448" s="249">
        <v>98770</v>
      </c>
      <c r="I448" s="249">
        <v>0</v>
      </c>
      <c r="J448" s="249">
        <v>0</v>
      </c>
      <c r="K448" s="249">
        <v>0</v>
      </c>
      <c r="L448" s="274">
        <f>H448</f>
        <v>98770</v>
      </c>
      <c r="M448" s="274"/>
      <c r="N448" s="245"/>
      <c r="O448" s="113"/>
      <c r="P448" s="113"/>
      <c r="Q448" s="52"/>
      <c r="R448" s="52"/>
      <c r="S448" s="5"/>
      <c r="T448" s="113"/>
      <c r="U448" s="113"/>
      <c r="V448" s="113"/>
      <c r="W448" s="11"/>
      <c r="X448" s="11"/>
      <c r="Y448" s="11"/>
      <c r="Z448" s="113"/>
      <c r="AA448" s="113"/>
      <c r="AB448" s="113"/>
      <c r="AC448" s="52"/>
      <c r="AD448" s="52"/>
      <c r="AE448" s="11"/>
      <c r="AF448" s="113"/>
      <c r="AG448" s="144"/>
      <c r="AH448" s="113"/>
      <c r="AI448" s="11"/>
      <c r="AJ448" s="11"/>
      <c r="AK448" s="11"/>
      <c r="AL448" s="113"/>
      <c r="AM448" s="113"/>
      <c r="AN448" s="113"/>
      <c r="AO448" s="76"/>
      <c r="AP448" s="11"/>
      <c r="AQ448" s="11"/>
      <c r="AR448" s="275"/>
      <c r="AS448" s="275"/>
      <c r="AT448" s="275"/>
      <c r="AU448" s="62"/>
      <c r="AV448" s="48"/>
      <c r="AW448" s="11"/>
      <c r="AX448" s="275"/>
      <c r="AY448" s="275"/>
      <c r="AZ448" s="275"/>
      <c r="BA448" s="11"/>
      <c r="BB448" s="11"/>
      <c r="BC448" s="11"/>
      <c r="BD448" s="275"/>
      <c r="BE448" s="143"/>
      <c r="BF448" s="143"/>
      <c r="BG448" s="132"/>
      <c r="BH448" s="11"/>
      <c r="BI448" s="132"/>
      <c r="BJ448" s="143"/>
      <c r="BK448" s="143"/>
      <c r="BL448" s="143"/>
      <c r="BM448" s="132"/>
      <c r="BN448" s="132"/>
      <c r="BO448" s="132"/>
      <c r="BP448" s="143"/>
      <c r="BQ448" s="132"/>
      <c r="BR448" s="132"/>
      <c r="BS448" s="132"/>
      <c r="BT448" s="132"/>
      <c r="BU448" s="132"/>
      <c r="BV448" s="267">
        <f>256500/5</f>
        <v>51300</v>
      </c>
      <c r="BW448" s="144">
        <f t="shared" si="111"/>
        <v>9747</v>
      </c>
      <c r="BX448" s="113">
        <f t="shared" si="112"/>
        <v>61047</v>
      </c>
      <c r="BY448" s="264" t="s">
        <v>340</v>
      </c>
      <c r="BZ448" s="264" t="s">
        <v>88</v>
      </c>
      <c r="CA448" s="132"/>
      <c r="CB448" s="275"/>
      <c r="CC448" s="143"/>
      <c r="CD448" s="275"/>
      <c r="CE448" s="132"/>
      <c r="CF448" s="132"/>
      <c r="CG448" s="36"/>
      <c r="CH448" s="267">
        <v>269325</v>
      </c>
      <c r="CI448" s="265">
        <f>+CH448*0.19</f>
        <v>51171.75</v>
      </c>
      <c r="CJ448" s="263">
        <f t="shared" si="113"/>
        <v>320496.75</v>
      </c>
      <c r="CK448" s="264" t="s">
        <v>340</v>
      </c>
      <c r="CL448" s="264" t="s">
        <v>88</v>
      </c>
      <c r="CM448" s="132"/>
      <c r="CN448" s="275"/>
      <c r="CO448" s="143"/>
      <c r="CP448" s="275"/>
      <c r="CQ448" s="132"/>
      <c r="CR448" s="132"/>
      <c r="CS448" s="132"/>
      <c r="CT448" s="275"/>
      <c r="CU448" s="143"/>
      <c r="CV448" s="275"/>
      <c r="CW448" s="132"/>
      <c r="CX448" s="132"/>
      <c r="CY448" s="132"/>
      <c r="CZ448" s="113"/>
      <c r="DA448" s="143"/>
      <c r="DB448" s="113"/>
      <c r="DC448" s="33"/>
      <c r="DD448" s="39"/>
      <c r="DE448" s="11"/>
      <c r="DF448" s="132"/>
      <c r="DG448" s="132"/>
      <c r="DH448" s="132"/>
      <c r="DI448" s="132"/>
      <c r="DJ448" s="132"/>
      <c r="DK448" s="132"/>
      <c r="DL448" s="132"/>
      <c r="DM448" s="132"/>
      <c r="DN448" s="132"/>
      <c r="DO448" s="132"/>
      <c r="DP448" s="132"/>
      <c r="DQ448" s="132"/>
      <c r="DR448" s="132"/>
      <c r="DS448" s="132"/>
      <c r="DT448" s="132"/>
      <c r="DU448" s="132"/>
      <c r="DV448" s="132"/>
      <c r="DW448" s="132"/>
      <c r="DX448" s="132"/>
      <c r="DY448" s="132"/>
      <c r="DZ448" s="132"/>
      <c r="EA448" s="132"/>
      <c r="EB448" s="132"/>
      <c r="EC448" s="132"/>
      <c r="ED448" s="132"/>
      <c r="EE448" s="132"/>
      <c r="EF448" s="132"/>
      <c r="EG448" s="132"/>
      <c r="EH448" s="132"/>
      <c r="EI448" s="132"/>
      <c r="EJ448" s="132"/>
      <c r="EK448" s="132"/>
      <c r="EL448" s="132"/>
      <c r="EM448" s="132"/>
      <c r="EN448" s="132"/>
      <c r="EO448" s="132"/>
      <c r="EP448" s="132"/>
      <c r="EQ448" s="132"/>
      <c r="ER448" s="132"/>
      <c r="ES448" s="132"/>
      <c r="ET448" s="11"/>
      <c r="EU448" s="11"/>
      <c r="EV448" s="11"/>
      <c r="EW448" s="11"/>
      <c r="EX448" s="11"/>
      <c r="EY448" s="11"/>
      <c r="EZ448" s="11"/>
      <c r="FA448" s="11"/>
      <c r="FB448" s="11"/>
      <c r="FC448" s="11"/>
      <c r="FD448" s="11"/>
      <c r="FE448" s="11"/>
      <c r="FF448" s="11"/>
      <c r="FG448" s="11"/>
      <c r="FH448" s="39">
        <f t="shared" si="96"/>
        <v>381543.75</v>
      </c>
      <c r="FI448" s="33">
        <f t="shared" si="97"/>
        <v>2</v>
      </c>
      <c r="FJ448" s="84">
        <f t="shared" si="98"/>
        <v>190771.875</v>
      </c>
    </row>
    <row r="449" spans="1:166" ht="27" x14ac:dyDescent="0.25">
      <c r="A449" s="79" t="e">
        <f>#REF!</f>
        <v>#REF!</v>
      </c>
      <c r="B449" s="75" t="e">
        <f>#REF!</f>
        <v>#REF!</v>
      </c>
      <c r="C449" s="75" t="e">
        <f>#REF!</f>
        <v>#REF!</v>
      </c>
      <c r="D449" s="75" t="e">
        <f>#REF!</f>
        <v>#REF!</v>
      </c>
      <c r="E449" s="30">
        <v>1</v>
      </c>
      <c r="F449" s="238">
        <v>1811800</v>
      </c>
      <c r="G449" s="241">
        <v>1757400</v>
      </c>
      <c r="H449" s="249">
        <v>1823047.1203000001</v>
      </c>
      <c r="I449" s="249">
        <v>1820700</v>
      </c>
      <c r="J449" s="249">
        <v>0</v>
      </c>
      <c r="K449" s="249">
        <v>0</v>
      </c>
      <c r="L449" s="274">
        <f>AVERAGE(F449,H449)</f>
        <v>1817423.56015</v>
      </c>
      <c r="M449" s="274">
        <f>AVERAGE(G449,I449)*E1</f>
        <v>1842721.5</v>
      </c>
      <c r="N449" s="245"/>
      <c r="O449" s="113"/>
      <c r="P449" s="113"/>
      <c r="Q449" s="52"/>
      <c r="R449" s="52"/>
      <c r="S449" s="5"/>
      <c r="T449" s="113"/>
      <c r="U449" s="113"/>
      <c r="V449" s="113"/>
      <c r="W449" s="11"/>
      <c r="X449" s="11"/>
      <c r="Y449" s="11"/>
      <c r="Z449" s="113"/>
      <c r="AA449" s="113"/>
      <c r="AB449" s="113"/>
      <c r="AC449" s="52"/>
      <c r="AD449" s="52"/>
      <c r="AE449" s="11"/>
      <c r="AF449" s="118"/>
      <c r="AG449" s="144"/>
      <c r="AH449" s="113"/>
      <c r="AI449" s="11"/>
      <c r="AJ449" s="11"/>
      <c r="AK449" s="11"/>
      <c r="AL449" s="113"/>
      <c r="AM449" s="113"/>
      <c r="AN449" s="113"/>
      <c r="AO449" s="76"/>
      <c r="AP449" s="11"/>
      <c r="AQ449" s="11"/>
      <c r="AR449" s="275"/>
      <c r="AS449" s="275"/>
      <c r="AT449" s="275"/>
      <c r="AU449" s="48"/>
      <c r="AV449" s="48"/>
      <c r="AW449" s="11"/>
      <c r="AX449" s="275"/>
      <c r="AY449" s="275"/>
      <c r="AZ449" s="275"/>
      <c r="BA449" s="11"/>
      <c r="BB449" s="11"/>
      <c r="BC449" s="11"/>
      <c r="BD449" s="274"/>
      <c r="BE449" s="143"/>
      <c r="BF449" s="143"/>
      <c r="BG449" s="132"/>
      <c r="BH449" s="11"/>
      <c r="BI449" s="132"/>
      <c r="BJ449" s="143"/>
      <c r="BK449" s="143"/>
      <c r="BL449" s="143"/>
      <c r="BM449" s="132"/>
      <c r="BN449" s="132"/>
      <c r="BO449" s="132"/>
      <c r="BP449" s="143"/>
      <c r="BQ449" s="132"/>
      <c r="BR449" s="132"/>
      <c r="BS449" s="132"/>
      <c r="BT449" s="132"/>
      <c r="BU449" s="132"/>
      <c r="BV449" s="263">
        <v>4307400</v>
      </c>
      <c r="BW449" s="144">
        <f>BV449*0</f>
        <v>0</v>
      </c>
      <c r="BX449" s="113">
        <f t="shared" si="112"/>
        <v>4307400</v>
      </c>
      <c r="BY449" s="264" t="s">
        <v>408</v>
      </c>
      <c r="BZ449" s="264" t="s">
        <v>131</v>
      </c>
      <c r="CA449" s="132"/>
      <c r="CB449" s="274"/>
      <c r="CC449" s="144"/>
      <c r="CD449" s="274"/>
      <c r="CE449" s="132"/>
      <c r="CF449" s="132"/>
      <c r="CG449" s="36"/>
      <c r="CH449" s="268">
        <v>4393548</v>
      </c>
      <c r="CI449" s="265">
        <f>+CH449*0</f>
        <v>0</v>
      </c>
      <c r="CJ449" s="263">
        <f t="shared" si="113"/>
        <v>4393548</v>
      </c>
      <c r="CK449" s="264" t="s">
        <v>408</v>
      </c>
      <c r="CL449" s="264" t="s">
        <v>131</v>
      </c>
      <c r="CM449" s="132"/>
      <c r="CN449" s="274"/>
      <c r="CO449" s="144"/>
      <c r="CP449" s="274"/>
      <c r="CQ449" s="132"/>
      <c r="CR449" s="132"/>
      <c r="CS449" s="132"/>
      <c r="CT449" s="274"/>
      <c r="CU449" s="144"/>
      <c r="CV449" s="274"/>
      <c r="CW449" s="132"/>
      <c r="CX449" s="132"/>
      <c r="CY449" s="132"/>
      <c r="CZ449" s="118"/>
      <c r="DA449" s="144"/>
      <c r="DB449" s="118"/>
      <c r="DC449" s="33"/>
      <c r="DD449" s="39"/>
      <c r="DE449" s="11"/>
      <c r="DF449" s="132"/>
      <c r="DG449" s="132"/>
      <c r="DH449" s="132"/>
      <c r="DI449" s="132"/>
      <c r="DJ449" s="132"/>
      <c r="DK449" s="132"/>
      <c r="DL449" s="132"/>
      <c r="DM449" s="132"/>
      <c r="DN449" s="132"/>
      <c r="DO449" s="132"/>
      <c r="DP449" s="132"/>
      <c r="DQ449" s="132"/>
      <c r="DR449" s="132"/>
      <c r="DS449" s="132"/>
      <c r="DT449" s="132"/>
      <c r="DU449" s="132"/>
      <c r="DV449" s="132"/>
      <c r="DW449" s="132"/>
      <c r="DX449" s="132"/>
      <c r="DY449" s="132"/>
      <c r="DZ449" s="132"/>
      <c r="EA449" s="132"/>
      <c r="EB449" s="132"/>
      <c r="EC449" s="132"/>
      <c r="ED449" s="132"/>
      <c r="EE449" s="132"/>
      <c r="EF449" s="132"/>
      <c r="EG449" s="132"/>
      <c r="EH449" s="132"/>
      <c r="EI449" s="132"/>
      <c r="EJ449" s="132"/>
      <c r="EK449" s="132"/>
      <c r="EL449" s="132"/>
      <c r="EM449" s="132"/>
      <c r="EN449" s="132"/>
      <c r="EO449" s="132"/>
      <c r="EP449" s="132"/>
      <c r="EQ449" s="132"/>
      <c r="ER449" s="132"/>
      <c r="ES449" s="132"/>
      <c r="ET449" s="11"/>
      <c r="EU449" s="11"/>
      <c r="EV449" s="11"/>
      <c r="EW449" s="11"/>
      <c r="EX449" s="11"/>
      <c r="EY449" s="11"/>
      <c r="EZ449" s="11"/>
      <c r="FA449" s="11"/>
      <c r="FB449" s="11"/>
      <c r="FC449" s="11"/>
      <c r="FD449" s="11"/>
      <c r="FE449" s="11"/>
      <c r="FF449" s="11"/>
      <c r="FG449" s="11"/>
      <c r="FH449" s="39">
        <f t="shared" si="96"/>
        <v>10543669.5</v>
      </c>
      <c r="FI449" s="33">
        <f t="shared" si="97"/>
        <v>3</v>
      </c>
      <c r="FJ449" s="84">
        <f t="shared" si="98"/>
        <v>3514556.5</v>
      </c>
    </row>
    <row r="450" spans="1:166" ht="27" x14ac:dyDescent="0.25">
      <c r="A450" s="79" t="e">
        <f>#REF!</f>
        <v>#REF!</v>
      </c>
      <c r="B450" s="75" t="e">
        <f>#REF!</f>
        <v>#REF!</v>
      </c>
      <c r="C450" s="75" t="e">
        <f>#REF!</f>
        <v>#REF!</v>
      </c>
      <c r="D450" s="75" t="e">
        <f>#REF!</f>
        <v>#REF!</v>
      </c>
      <c r="E450" s="30">
        <v>1</v>
      </c>
      <c r="F450" s="238">
        <v>1232364</v>
      </c>
      <c r="G450" s="241">
        <v>1182979</v>
      </c>
      <c r="H450" s="249">
        <v>1235220</v>
      </c>
      <c r="I450" s="249">
        <v>0</v>
      </c>
      <c r="J450" s="249">
        <v>981263.09806451609</v>
      </c>
      <c r="K450" s="249">
        <v>956760</v>
      </c>
      <c r="L450" s="274">
        <f>AVERAGE(F450,H450,J450)</f>
        <v>1149615.6993548388</v>
      </c>
      <c r="M450" s="274">
        <f>AVERAGE(G450,K450)*E1</f>
        <v>1101965.585</v>
      </c>
      <c r="N450" s="245"/>
      <c r="O450" s="113"/>
      <c r="P450" s="113"/>
      <c r="Q450" s="52"/>
      <c r="R450" s="52"/>
      <c r="S450" s="5"/>
      <c r="T450" s="113"/>
      <c r="U450" s="113"/>
      <c r="V450" s="113"/>
      <c r="W450" s="11"/>
      <c r="X450" s="11"/>
      <c r="Y450" s="11"/>
      <c r="Z450" s="113"/>
      <c r="AA450" s="113"/>
      <c r="AB450" s="113"/>
      <c r="AC450" s="52"/>
      <c r="AD450" s="52"/>
      <c r="AE450" s="11"/>
      <c r="AF450" s="118">
        <v>950000</v>
      </c>
      <c r="AG450" s="144">
        <f>AF450*19%</f>
        <v>180500</v>
      </c>
      <c r="AH450" s="113">
        <f>+AF450+AG450</f>
        <v>1130500</v>
      </c>
      <c r="AI450" s="11"/>
      <c r="AJ450" s="11"/>
      <c r="AK450" s="11"/>
      <c r="AL450" s="113">
        <v>1070000</v>
      </c>
      <c r="AM450" s="113">
        <f>+AL450*0.19</f>
        <v>203300</v>
      </c>
      <c r="AN450" s="119">
        <f>+AL450+AM450</f>
        <v>1273300</v>
      </c>
      <c r="AO450" s="76" t="s">
        <v>60</v>
      </c>
      <c r="AP450" s="11" t="s">
        <v>45</v>
      </c>
      <c r="AQ450" s="11"/>
      <c r="AR450" s="143">
        <v>720000</v>
      </c>
      <c r="AS450" s="143">
        <f>+AR450*0.19</f>
        <v>136800</v>
      </c>
      <c r="AT450" s="116">
        <f>+AR450+AS450</f>
        <v>856800</v>
      </c>
      <c r="AU450" s="36" t="s">
        <v>60</v>
      </c>
      <c r="AV450" s="36" t="s">
        <v>35</v>
      </c>
      <c r="AW450" s="11"/>
      <c r="AX450" s="275">
        <v>732337.32000000007</v>
      </c>
      <c r="AY450" s="116">
        <f>+AX450*0.19</f>
        <v>139144.09080000001</v>
      </c>
      <c r="AZ450" s="143">
        <f>+AX450+AY450</f>
        <v>871481.41080000007</v>
      </c>
      <c r="BA450" s="191" t="s">
        <v>60</v>
      </c>
      <c r="BB450" s="132" t="s">
        <v>210</v>
      </c>
      <c r="BC450" s="11"/>
      <c r="BD450" s="274"/>
      <c r="BE450" s="143"/>
      <c r="BF450" s="143"/>
      <c r="BG450" s="132"/>
      <c r="BH450" s="11"/>
      <c r="BI450" s="132"/>
      <c r="BJ450" s="143"/>
      <c r="BK450" s="143"/>
      <c r="BL450" s="143"/>
      <c r="BM450" s="132"/>
      <c r="BN450" s="132"/>
      <c r="BO450" s="132"/>
      <c r="BP450" s="143"/>
      <c r="BQ450" s="132"/>
      <c r="BR450" s="132"/>
      <c r="BS450" s="132"/>
      <c r="BT450" s="132"/>
      <c r="BU450" s="132"/>
      <c r="BV450" s="263">
        <v>1121800</v>
      </c>
      <c r="BW450" s="144">
        <f>BV450*19%</f>
        <v>213142</v>
      </c>
      <c r="BX450" s="113">
        <f t="shared" si="112"/>
        <v>1334942</v>
      </c>
      <c r="BY450" s="264" t="s">
        <v>231</v>
      </c>
      <c r="BZ450" s="264" t="s">
        <v>63</v>
      </c>
      <c r="CA450" s="132"/>
      <c r="CB450" s="274"/>
      <c r="CC450" s="144"/>
      <c r="CD450" s="274"/>
      <c r="CE450" s="132"/>
      <c r="CF450" s="132"/>
      <c r="CG450" s="36"/>
      <c r="CH450" s="263">
        <v>1189108</v>
      </c>
      <c r="CI450" s="265">
        <f>+CH450*0.19</f>
        <v>225930.52</v>
      </c>
      <c r="CJ450" s="263">
        <f t="shared" si="113"/>
        <v>1415038.52</v>
      </c>
      <c r="CK450" s="264" t="s">
        <v>231</v>
      </c>
      <c r="CL450" s="264" t="s">
        <v>63</v>
      </c>
      <c r="CM450" s="132"/>
      <c r="CN450" s="274"/>
      <c r="CO450" s="144"/>
      <c r="CP450" s="274"/>
      <c r="CQ450" s="132"/>
      <c r="CR450" s="132"/>
      <c r="CS450" s="132"/>
      <c r="CT450" s="274"/>
      <c r="CU450" s="144"/>
      <c r="CV450" s="274"/>
      <c r="CW450" s="132"/>
      <c r="CX450" s="132"/>
      <c r="CY450" s="132"/>
      <c r="CZ450" s="118"/>
      <c r="DA450" s="144"/>
      <c r="DB450" s="118"/>
      <c r="DC450" s="33"/>
      <c r="DD450" s="39"/>
      <c r="DE450" s="11"/>
      <c r="DF450" s="132"/>
      <c r="DG450" s="132"/>
      <c r="DH450" s="132"/>
      <c r="DI450" s="132"/>
      <c r="DJ450" s="132"/>
      <c r="DK450" s="132"/>
      <c r="DL450" s="132"/>
      <c r="DM450" s="132"/>
      <c r="DN450" s="132"/>
      <c r="DO450" s="132"/>
      <c r="DP450" s="132"/>
      <c r="DQ450" s="132"/>
      <c r="DR450" s="132"/>
      <c r="DS450" s="132"/>
      <c r="DT450" s="132"/>
      <c r="DU450" s="132"/>
      <c r="DV450" s="132"/>
      <c r="DW450" s="132"/>
      <c r="DX450" s="132"/>
      <c r="DY450" s="132"/>
      <c r="DZ450" s="132"/>
      <c r="EA450" s="132"/>
      <c r="EB450" s="132"/>
      <c r="EC450" s="132"/>
      <c r="ED450" s="132"/>
      <c r="EE450" s="132"/>
      <c r="EF450" s="132"/>
      <c r="EG450" s="132"/>
      <c r="EH450" s="132"/>
      <c r="EI450" s="132"/>
      <c r="EJ450" s="132"/>
      <c r="EK450" s="132"/>
      <c r="EL450" s="132"/>
      <c r="EM450" s="132"/>
      <c r="EN450" s="132"/>
      <c r="EO450" s="132"/>
      <c r="EP450" s="132"/>
      <c r="EQ450" s="132"/>
      <c r="ER450" s="132"/>
      <c r="ES450" s="132"/>
      <c r="ET450" s="11"/>
      <c r="EU450" s="11"/>
      <c r="EV450" s="11"/>
      <c r="EW450" s="11"/>
      <c r="EX450" s="11"/>
      <c r="EY450" s="11"/>
      <c r="EZ450" s="11"/>
      <c r="FA450" s="11"/>
      <c r="FB450" s="11"/>
      <c r="FC450" s="11"/>
      <c r="FD450" s="11"/>
      <c r="FE450" s="11"/>
      <c r="FF450" s="11"/>
      <c r="FG450" s="11"/>
      <c r="FH450" s="39">
        <f t="shared" si="96"/>
        <v>7984027.5157999992</v>
      </c>
      <c r="FI450" s="33">
        <f t="shared" si="97"/>
        <v>7</v>
      </c>
      <c r="FJ450" s="84">
        <f t="shared" si="98"/>
        <v>1140575.3594</v>
      </c>
    </row>
    <row r="451" spans="1:166" ht="27" x14ac:dyDescent="0.25">
      <c r="A451" s="79" t="e">
        <f>#REF!</f>
        <v>#REF!</v>
      </c>
      <c r="B451" s="75" t="e">
        <f>#REF!</f>
        <v>#REF!</v>
      </c>
      <c r="C451" s="75" t="e">
        <f>#REF!</f>
        <v>#REF!</v>
      </c>
      <c r="D451" s="75" t="e">
        <f>#REF!</f>
        <v>#REF!</v>
      </c>
      <c r="E451" s="30">
        <v>1</v>
      </c>
      <c r="F451" s="238">
        <v>0</v>
      </c>
      <c r="G451" s="241">
        <v>0</v>
      </c>
      <c r="H451" s="249">
        <v>0</v>
      </c>
      <c r="I451" s="249">
        <v>0</v>
      </c>
      <c r="J451" s="249">
        <v>1555330</v>
      </c>
      <c r="K451" s="249">
        <v>1516417</v>
      </c>
      <c r="L451" s="274">
        <f>J451</f>
        <v>1555330</v>
      </c>
      <c r="M451" s="274">
        <f>K451*E1</f>
        <v>1561909.51</v>
      </c>
      <c r="N451" s="245"/>
      <c r="O451" s="113"/>
      <c r="P451" s="113"/>
      <c r="Q451" s="52"/>
      <c r="R451" s="52"/>
      <c r="S451" s="5"/>
      <c r="T451" s="113"/>
      <c r="U451" s="113"/>
      <c r="V451" s="113"/>
      <c r="W451" s="11"/>
      <c r="X451" s="11"/>
      <c r="Y451" s="11"/>
      <c r="Z451" s="113"/>
      <c r="AA451" s="113"/>
      <c r="AB451" s="113"/>
      <c r="AC451" s="52"/>
      <c r="AD451" s="52"/>
      <c r="AE451" s="11"/>
      <c r="AF451" s="118">
        <v>1400000</v>
      </c>
      <c r="AG451" s="144">
        <f>AF451*19%</f>
        <v>266000</v>
      </c>
      <c r="AH451" s="113">
        <f>+AF451+AG451</f>
        <v>1666000</v>
      </c>
      <c r="AI451" s="11"/>
      <c r="AJ451" s="11"/>
      <c r="AK451" s="11"/>
      <c r="AL451" s="113">
        <f>910000*2</f>
        <v>1820000</v>
      </c>
      <c r="AM451" s="113">
        <f>+AL451*0.19</f>
        <v>345800</v>
      </c>
      <c r="AN451" s="119">
        <f>+AL451+AM451</f>
        <v>2165800</v>
      </c>
      <c r="AO451" s="76" t="s">
        <v>78</v>
      </c>
      <c r="AP451" s="11" t="s">
        <v>45</v>
      </c>
      <c r="AQ451" s="11"/>
      <c r="AR451" s="143">
        <v>2124000</v>
      </c>
      <c r="AS451" s="143">
        <f>+AR451*0.19</f>
        <v>403560</v>
      </c>
      <c r="AT451" s="116">
        <f>+AR451+AS451</f>
        <v>2527560</v>
      </c>
      <c r="AU451" s="36" t="s">
        <v>60</v>
      </c>
      <c r="AV451" s="36" t="s">
        <v>35</v>
      </c>
      <c r="AW451" s="11"/>
      <c r="AX451" s="275"/>
      <c r="AY451" s="275"/>
      <c r="AZ451" s="275"/>
      <c r="BA451" s="11"/>
      <c r="BB451" s="11"/>
      <c r="BC451" s="11"/>
      <c r="BD451" s="274"/>
      <c r="BE451" s="143"/>
      <c r="BF451" s="143"/>
      <c r="BG451" s="132"/>
      <c r="BH451" s="11"/>
      <c r="BI451" s="132"/>
      <c r="BJ451" s="143"/>
      <c r="BK451" s="143"/>
      <c r="BL451" s="143"/>
      <c r="BM451" s="132"/>
      <c r="BN451" s="132"/>
      <c r="BO451" s="132"/>
      <c r="BP451" s="143"/>
      <c r="BQ451" s="132"/>
      <c r="BR451" s="132"/>
      <c r="BS451" s="132"/>
      <c r="BT451" s="132"/>
      <c r="BU451" s="132"/>
      <c r="BV451" s="263">
        <v>1796300</v>
      </c>
      <c r="BW451" s="144">
        <f>BV451*19%</f>
        <v>341297</v>
      </c>
      <c r="BX451" s="113">
        <f t="shared" si="112"/>
        <v>2137597</v>
      </c>
      <c r="BY451" s="264" t="s">
        <v>231</v>
      </c>
      <c r="BZ451" s="264" t="s">
        <v>63</v>
      </c>
      <c r="CA451" s="132"/>
      <c r="CB451" s="274"/>
      <c r="CC451" s="144"/>
      <c r="CD451" s="274"/>
      <c r="CE451" s="132"/>
      <c r="CF451" s="132"/>
      <c r="CG451" s="36"/>
      <c r="CH451" s="263">
        <v>1922041</v>
      </c>
      <c r="CI451" s="265">
        <f>+CH451*0.19</f>
        <v>365187.79</v>
      </c>
      <c r="CJ451" s="263">
        <f t="shared" si="113"/>
        <v>2287228.79</v>
      </c>
      <c r="CK451" s="264" t="s">
        <v>231</v>
      </c>
      <c r="CL451" s="264" t="s">
        <v>63</v>
      </c>
      <c r="CM451" s="132"/>
      <c r="CN451" s="274"/>
      <c r="CO451" s="144"/>
      <c r="CP451" s="274"/>
      <c r="CQ451" s="132"/>
      <c r="CR451" s="132"/>
      <c r="CS451" s="132"/>
      <c r="CT451" s="274"/>
      <c r="CU451" s="144"/>
      <c r="CV451" s="274"/>
      <c r="CW451" s="132"/>
      <c r="CX451" s="132"/>
      <c r="CY451" s="132"/>
      <c r="CZ451" s="118"/>
      <c r="DA451" s="144"/>
      <c r="DB451" s="118"/>
      <c r="DC451" s="33"/>
      <c r="DD451" s="39"/>
      <c r="DE451" s="11"/>
      <c r="DF451" s="132"/>
      <c r="DG451" s="132"/>
      <c r="DH451" s="132"/>
      <c r="DI451" s="132"/>
      <c r="DJ451" s="132"/>
      <c r="DK451" s="132"/>
      <c r="DL451" s="132"/>
      <c r="DM451" s="132"/>
      <c r="DN451" s="132"/>
      <c r="DO451" s="132"/>
      <c r="DP451" s="132"/>
      <c r="DQ451" s="132"/>
      <c r="DR451" s="132"/>
      <c r="DS451" s="132"/>
      <c r="DT451" s="132"/>
      <c r="DU451" s="132"/>
      <c r="DV451" s="132"/>
      <c r="DW451" s="132"/>
      <c r="DX451" s="132"/>
      <c r="DY451" s="132"/>
      <c r="DZ451" s="132"/>
      <c r="EA451" s="132"/>
      <c r="EB451" s="132"/>
      <c r="EC451" s="132"/>
      <c r="ED451" s="132"/>
      <c r="EE451" s="132"/>
      <c r="EF451" s="132"/>
      <c r="EG451" s="132"/>
      <c r="EH451" s="132"/>
      <c r="EI451" s="132"/>
      <c r="EJ451" s="132"/>
      <c r="EK451" s="132"/>
      <c r="EL451" s="132"/>
      <c r="EM451" s="132"/>
      <c r="EN451" s="132"/>
      <c r="EO451" s="132"/>
      <c r="EP451" s="132"/>
      <c r="EQ451" s="132"/>
      <c r="ER451" s="132"/>
      <c r="ES451" s="132"/>
      <c r="ET451" s="11"/>
      <c r="EU451" s="11"/>
      <c r="EV451" s="11"/>
      <c r="EW451" s="11"/>
      <c r="EX451" s="11"/>
      <c r="EY451" s="11"/>
      <c r="EZ451" s="11"/>
      <c r="FA451" s="11"/>
      <c r="FB451" s="11"/>
      <c r="FC451" s="11"/>
      <c r="FD451" s="11"/>
      <c r="FE451" s="11"/>
      <c r="FF451" s="11"/>
      <c r="FG451" s="11"/>
      <c r="FH451" s="39">
        <f t="shared" ref="FH451:FH514" si="114">SUM(M451,P451,V451,AB451,AH451,AN451,AT451,AZ451,BF451,BL451,BR451,BX451,CD451,CJ451,CP451,CV451,DB451,DH451,DN451,DT451,DZ451,EF451,EL451,ER451,EX451,FD451)</f>
        <v>12346095.300000001</v>
      </c>
      <c r="FI451" s="33">
        <f t="shared" ref="FI451:FI514" si="115">COUNTA(M451,N451,T451,Z451,AF451,AL451,AR451,AX451,BD451,BJ451,BP451,BV451,CB451,CH451,CN451,CT451,CZ451,DF451,DL451,DR451,DX451,ED451,EJ451,EP451,EV451,FB451)</f>
        <v>6</v>
      </c>
      <c r="FJ451" s="84">
        <f t="shared" ref="FJ451:FJ514" si="116">IFERROR(FH451/FI451," ")</f>
        <v>2057682.55</v>
      </c>
    </row>
    <row r="452" spans="1:166" ht="13.5" x14ac:dyDescent="0.25">
      <c r="A452" s="79" t="e">
        <f>#REF!</f>
        <v>#REF!</v>
      </c>
      <c r="B452" s="75" t="e">
        <f>#REF!</f>
        <v>#REF!</v>
      </c>
      <c r="C452" s="75" t="e">
        <f>#REF!</f>
        <v>#REF!</v>
      </c>
      <c r="D452" s="75" t="e">
        <f>#REF!</f>
        <v>#REF!</v>
      </c>
      <c r="E452" s="30">
        <v>1</v>
      </c>
      <c r="F452" s="238">
        <v>0</v>
      </c>
      <c r="G452" s="241">
        <v>0</v>
      </c>
      <c r="H452" s="249">
        <v>0</v>
      </c>
      <c r="I452" s="249">
        <v>0</v>
      </c>
      <c r="J452" s="249">
        <v>0</v>
      </c>
      <c r="K452" s="249">
        <v>0</v>
      </c>
      <c r="L452" s="274"/>
      <c r="M452" s="274"/>
      <c r="N452" s="245"/>
      <c r="O452" s="113"/>
      <c r="P452" s="113"/>
      <c r="Q452" s="52"/>
      <c r="R452" s="52"/>
      <c r="S452" s="5"/>
      <c r="T452" s="113"/>
      <c r="U452" s="113"/>
      <c r="V452" s="113"/>
      <c r="W452" s="11"/>
      <c r="X452" s="11"/>
      <c r="Y452" s="11"/>
      <c r="Z452" s="113"/>
      <c r="AA452" s="113"/>
      <c r="AB452" s="113"/>
      <c r="AC452" s="52"/>
      <c r="AD452" s="52"/>
      <c r="AE452" s="11"/>
      <c r="AF452" s="113"/>
      <c r="AG452" s="144"/>
      <c r="AH452" s="113"/>
      <c r="AI452" s="11"/>
      <c r="AJ452" s="11"/>
      <c r="AK452" s="11"/>
      <c r="AL452" s="113"/>
      <c r="AM452" s="113"/>
      <c r="AN452" s="113"/>
      <c r="AO452" s="76"/>
      <c r="AP452" s="11"/>
      <c r="AQ452" s="11"/>
      <c r="AR452" s="275"/>
      <c r="AS452" s="275"/>
      <c r="AT452" s="275"/>
      <c r="AU452" s="48"/>
      <c r="AV452" s="48"/>
      <c r="AW452" s="11"/>
      <c r="AX452" s="275"/>
      <c r="AY452" s="275"/>
      <c r="AZ452" s="275"/>
      <c r="BA452" s="11"/>
      <c r="BB452" s="11"/>
      <c r="BC452" s="11"/>
      <c r="BD452" s="275"/>
      <c r="BE452" s="143"/>
      <c r="BF452" s="143"/>
      <c r="BG452" s="132"/>
      <c r="BH452" s="11"/>
      <c r="BI452" s="132"/>
      <c r="BJ452" s="143"/>
      <c r="BK452" s="143"/>
      <c r="BL452" s="143"/>
      <c r="BM452" s="132"/>
      <c r="BN452" s="132"/>
      <c r="BO452" s="132"/>
      <c r="BP452" s="143"/>
      <c r="BQ452" s="132"/>
      <c r="BR452" s="132"/>
      <c r="BS452" s="132"/>
      <c r="BT452" s="132"/>
      <c r="BU452" s="132"/>
      <c r="BV452" s="267">
        <v>23000</v>
      </c>
      <c r="BW452" s="144">
        <f>BV452*19%</f>
        <v>4370</v>
      </c>
      <c r="BX452" s="113">
        <f t="shared" si="112"/>
        <v>27370</v>
      </c>
      <c r="BY452" s="264" t="s">
        <v>365</v>
      </c>
      <c r="BZ452" s="264" t="s">
        <v>409</v>
      </c>
      <c r="CA452" s="132"/>
      <c r="CB452" s="275"/>
      <c r="CC452" s="143"/>
      <c r="CD452" s="275"/>
      <c r="CE452" s="132"/>
      <c r="CF452" s="132"/>
      <c r="CG452" s="36"/>
      <c r="CH452" s="267">
        <v>23690</v>
      </c>
      <c r="CI452" s="265">
        <f>+CH452*0.19</f>
        <v>4501.1000000000004</v>
      </c>
      <c r="CJ452" s="263">
        <f t="shared" si="113"/>
        <v>28191.1</v>
      </c>
      <c r="CK452" s="264" t="s">
        <v>365</v>
      </c>
      <c r="CL452" s="264" t="s">
        <v>409</v>
      </c>
      <c r="CM452" s="132"/>
      <c r="CN452" s="275"/>
      <c r="CO452" s="143"/>
      <c r="CP452" s="275"/>
      <c r="CQ452" s="132"/>
      <c r="CR452" s="132"/>
      <c r="CS452" s="132"/>
      <c r="CT452" s="275"/>
      <c r="CU452" s="143"/>
      <c r="CV452" s="275"/>
      <c r="CW452" s="132"/>
      <c r="CX452" s="132"/>
      <c r="CY452" s="132"/>
      <c r="CZ452" s="113"/>
      <c r="DA452" s="143"/>
      <c r="DB452" s="113"/>
      <c r="DC452" s="33"/>
      <c r="DD452" s="39"/>
      <c r="DE452" s="11"/>
      <c r="DF452" s="132"/>
      <c r="DG452" s="132"/>
      <c r="DH452" s="132"/>
      <c r="DI452" s="132"/>
      <c r="DJ452" s="132"/>
      <c r="DK452" s="132"/>
      <c r="DL452" s="132"/>
      <c r="DM452" s="132"/>
      <c r="DN452" s="132"/>
      <c r="DO452" s="132"/>
      <c r="DP452" s="132"/>
      <c r="DQ452" s="132"/>
      <c r="DR452" s="132"/>
      <c r="DS452" s="132"/>
      <c r="DT452" s="132"/>
      <c r="DU452" s="132"/>
      <c r="DV452" s="132"/>
      <c r="DW452" s="132"/>
      <c r="DX452" s="132"/>
      <c r="DY452" s="132"/>
      <c r="DZ452" s="132"/>
      <c r="EA452" s="132"/>
      <c r="EB452" s="132"/>
      <c r="EC452" s="132"/>
      <c r="ED452" s="132"/>
      <c r="EE452" s="132"/>
      <c r="EF452" s="132"/>
      <c r="EG452" s="132"/>
      <c r="EH452" s="132"/>
      <c r="EI452" s="132"/>
      <c r="EJ452" s="132"/>
      <c r="EK452" s="132"/>
      <c r="EL452" s="132"/>
      <c r="EM452" s="132"/>
      <c r="EN452" s="132"/>
      <c r="EO452" s="132"/>
      <c r="EP452" s="132"/>
      <c r="EQ452" s="132"/>
      <c r="ER452" s="132"/>
      <c r="ES452" s="132"/>
      <c r="ET452" s="11"/>
      <c r="EU452" s="11"/>
      <c r="EV452" s="11"/>
      <c r="EW452" s="11"/>
      <c r="EX452" s="11"/>
      <c r="EY452" s="11"/>
      <c r="EZ452" s="11"/>
      <c r="FA452" s="11"/>
      <c r="FB452" s="11"/>
      <c r="FC452" s="11"/>
      <c r="FD452" s="11"/>
      <c r="FE452" s="11"/>
      <c r="FF452" s="11"/>
      <c r="FG452" s="11"/>
      <c r="FH452" s="39">
        <f t="shared" si="114"/>
        <v>55561.1</v>
      </c>
      <c r="FI452" s="33">
        <f t="shared" si="115"/>
        <v>2</v>
      </c>
      <c r="FJ452" s="84">
        <f t="shared" si="116"/>
        <v>27780.55</v>
      </c>
    </row>
    <row r="453" spans="1:166" x14ac:dyDescent="0.25">
      <c r="A453" s="79" t="e">
        <f>#REF!</f>
        <v>#REF!</v>
      </c>
      <c r="B453" s="75" t="e">
        <f>#REF!</f>
        <v>#REF!</v>
      </c>
      <c r="C453" s="75" t="e">
        <f>#REF!</f>
        <v>#REF!</v>
      </c>
      <c r="D453" s="75" t="e">
        <f>#REF!</f>
        <v>#REF!</v>
      </c>
      <c r="E453" s="30">
        <v>1</v>
      </c>
      <c r="F453" s="238">
        <v>0</v>
      </c>
      <c r="G453" s="241">
        <v>0</v>
      </c>
      <c r="H453" s="249">
        <v>0</v>
      </c>
      <c r="I453" s="249">
        <v>0</v>
      </c>
      <c r="J453" s="249">
        <v>0</v>
      </c>
      <c r="K453" s="249">
        <v>0</v>
      </c>
      <c r="L453" s="274"/>
      <c r="M453" s="274"/>
      <c r="N453" s="245"/>
      <c r="O453" s="113"/>
      <c r="P453" s="113"/>
      <c r="Q453" s="131"/>
      <c r="R453" s="131"/>
      <c r="S453" s="64"/>
      <c r="T453" s="113"/>
      <c r="U453" s="113"/>
      <c r="V453" s="113"/>
      <c r="W453" s="131"/>
      <c r="X453" s="131"/>
      <c r="Y453" s="11"/>
      <c r="Z453" s="113"/>
      <c r="AA453" s="113"/>
      <c r="AB453" s="113"/>
      <c r="AC453" s="52"/>
      <c r="AD453" s="52"/>
      <c r="AE453" s="11"/>
      <c r="AF453" s="113"/>
      <c r="AG453" s="144"/>
      <c r="AH453" s="113"/>
      <c r="AI453" s="11"/>
      <c r="AJ453" s="11"/>
      <c r="AK453" s="39"/>
      <c r="AL453" s="113"/>
      <c r="AM453" s="113"/>
      <c r="AN453" s="119"/>
      <c r="AO453" s="76"/>
      <c r="AP453" s="39"/>
      <c r="AQ453" s="39"/>
      <c r="AR453" s="275"/>
      <c r="AS453" s="275"/>
      <c r="AT453" s="275"/>
      <c r="AU453" s="48"/>
      <c r="AV453" s="62"/>
      <c r="AW453" s="11"/>
      <c r="AX453" s="116"/>
      <c r="AY453" s="196"/>
      <c r="AZ453" s="143"/>
      <c r="BA453" s="191"/>
      <c r="BB453" s="132"/>
      <c r="BC453" s="132"/>
      <c r="BD453" s="275"/>
      <c r="BE453" s="143"/>
      <c r="BF453" s="143"/>
      <c r="BG453" s="132"/>
      <c r="BH453" s="132"/>
      <c r="BI453" s="132"/>
      <c r="BJ453" s="143"/>
      <c r="BK453" s="143"/>
      <c r="BL453" s="143"/>
      <c r="BM453" s="132"/>
      <c r="BN453" s="132"/>
      <c r="BO453" s="132"/>
      <c r="BP453" s="143"/>
      <c r="BQ453" s="132"/>
      <c r="BR453" s="132"/>
      <c r="BS453" s="132"/>
      <c r="BT453" s="132"/>
      <c r="BU453" s="132"/>
      <c r="BV453" s="210"/>
      <c r="BW453" s="144"/>
      <c r="BX453" s="113"/>
      <c r="BY453" s="273"/>
      <c r="BZ453" s="273"/>
      <c r="CA453" s="132"/>
      <c r="CB453" s="275"/>
      <c r="CC453" s="143"/>
      <c r="CD453" s="275"/>
      <c r="CE453" s="132"/>
      <c r="CF453" s="132"/>
      <c r="CG453" s="36"/>
      <c r="CH453" s="210"/>
      <c r="CI453" s="219"/>
      <c r="CJ453" s="210"/>
      <c r="CK453" s="273"/>
      <c r="CL453" s="273"/>
      <c r="CM453" s="132"/>
      <c r="CN453" s="275"/>
      <c r="CO453" s="143"/>
      <c r="CP453" s="275"/>
      <c r="CQ453" s="132"/>
      <c r="CR453" s="132"/>
      <c r="CS453" s="132"/>
      <c r="CT453" s="275"/>
      <c r="CU453" s="143"/>
      <c r="CV453" s="275"/>
      <c r="CW453" s="132"/>
      <c r="CX453" s="132"/>
      <c r="CY453" s="132"/>
      <c r="CZ453" s="113"/>
      <c r="DA453" s="143"/>
      <c r="DB453" s="113"/>
      <c r="DC453" s="33"/>
      <c r="DD453" s="39"/>
      <c r="DE453" s="11"/>
      <c r="DF453" s="132"/>
      <c r="DG453" s="132"/>
      <c r="DH453" s="132"/>
      <c r="DI453" s="132"/>
      <c r="DJ453" s="132"/>
      <c r="DK453" s="132"/>
      <c r="DL453" s="132"/>
      <c r="DM453" s="132"/>
      <c r="DN453" s="132"/>
      <c r="DO453" s="132"/>
      <c r="DP453" s="132"/>
      <c r="DQ453" s="132"/>
      <c r="DR453" s="132"/>
      <c r="DS453" s="132"/>
      <c r="DT453" s="132"/>
      <c r="DU453" s="132"/>
      <c r="DV453" s="132"/>
      <c r="DW453" s="132"/>
      <c r="DX453" s="132"/>
      <c r="DY453" s="132"/>
      <c r="DZ453" s="132"/>
      <c r="EA453" s="132"/>
      <c r="EB453" s="132"/>
      <c r="EC453" s="132"/>
      <c r="ED453" s="132"/>
      <c r="EE453" s="132"/>
      <c r="EF453" s="132"/>
      <c r="EG453" s="132"/>
      <c r="EH453" s="132"/>
      <c r="EI453" s="132"/>
      <c r="EJ453" s="132"/>
      <c r="EK453" s="132"/>
      <c r="EL453" s="132"/>
      <c r="EM453" s="132"/>
      <c r="EN453" s="132"/>
      <c r="EO453" s="132"/>
      <c r="EP453" s="132"/>
      <c r="EQ453" s="132"/>
      <c r="ER453" s="132"/>
      <c r="ES453" s="132"/>
      <c r="ET453" s="11"/>
      <c r="EU453" s="11"/>
      <c r="EV453" s="11"/>
      <c r="EW453" s="11"/>
      <c r="EX453" s="11"/>
      <c r="EY453" s="11"/>
      <c r="EZ453" s="11"/>
      <c r="FA453" s="11"/>
      <c r="FB453" s="11"/>
      <c r="FC453" s="11"/>
      <c r="FD453" s="11"/>
      <c r="FE453" s="11"/>
      <c r="FF453" s="11"/>
      <c r="FG453" s="11"/>
      <c r="FH453" s="39">
        <f t="shared" si="114"/>
        <v>0</v>
      </c>
      <c r="FI453" s="33">
        <f t="shared" si="115"/>
        <v>0</v>
      </c>
      <c r="FJ453" s="84" t="str">
        <f t="shared" si="116"/>
        <v xml:space="preserve"> </v>
      </c>
    </row>
    <row r="454" spans="1:166" ht="13.5" x14ac:dyDescent="0.25">
      <c r="A454" s="79" t="e">
        <f>#REF!</f>
        <v>#REF!</v>
      </c>
      <c r="B454" s="75" t="e">
        <f>#REF!</f>
        <v>#REF!</v>
      </c>
      <c r="C454" s="75" t="e">
        <f>#REF!</f>
        <v>#REF!</v>
      </c>
      <c r="D454" s="75" t="e">
        <f>#REF!</f>
        <v>#REF!</v>
      </c>
      <c r="E454" s="30">
        <v>1</v>
      </c>
      <c r="F454" s="238">
        <v>0</v>
      </c>
      <c r="G454" s="241">
        <v>0</v>
      </c>
      <c r="H454" s="249">
        <v>0</v>
      </c>
      <c r="I454" s="249">
        <v>0</v>
      </c>
      <c r="J454" s="249">
        <v>0</v>
      </c>
      <c r="K454" s="249">
        <v>0</v>
      </c>
      <c r="L454" s="274"/>
      <c r="M454" s="274"/>
      <c r="N454" s="245"/>
      <c r="O454" s="113"/>
      <c r="P454" s="113"/>
      <c r="Q454" s="131"/>
      <c r="R454" s="131"/>
      <c r="S454" s="64"/>
      <c r="T454" s="113"/>
      <c r="U454" s="113"/>
      <c r="V454" s="113"/>
      <c r="W454" s="131"/>
      <c r="X454" s="131"/>
      <c r="Y454" s="11"/>
      <c r="Z454" s="113"/>
      <c r="AA454" s="113"/>
      <c r="AB454" s="113"/>
      <c r="AC454" s="52"/>
      <c r="AD454" s="52"/>
      <c r="AE454" s="11"/>
      <c r="AF454" s="113"/>
      <c r="AG454" s="144"/>
      <c r="AH454" s="113"/>
      <c r="AI454" s="11"/>
      <c r="AJ454" s="11"/>
      <c r="AK454" s="39"/>
      <c r="AL454" s="113"/>
      <c r="AM454" s="113"/>
      <c r="AN454" s="119"/>
      <c r="AO454" s="76"/>
      <c r="AP454" s="39"/>
      <c r="AQ454" s="39"/>
      <c r="AR454" s="275"/>
      <c r="AS454" s="275"/>
      <c r="AT454" s="275"/>
      <c r="AU454" s="48"/>
      <c r="AV454" s="62"/>
      <c r="AW454" s="11"/>
      <c r="AX454" s="116"/>
      <c r="AY454" s="194"/>
      <c r="AZ454" s="143"/>
      <c r="BA454" s="191"/>
      <c r="BB454" s="132"/>
      <c r="BC454" s="132"/>
      <c r="BD454" s="275"/>
      <c r="BE454" s="143"/>
      <c r="BF454" s="143"/>
      <c r="BG454" s="132"/>
      <c r="BH454" s="132"/>
      <c r="BI454" s="132"/>
      <c r="BJ454" s="143"/>
      <c r="BK454" s="143"/>
      <c r="BL454" s="143"/>
      <c r="BM454" s="132"/>
      <c r="BN454" s="132"/>
      <c r="BO454" s="132"/>
      <c r="BP454" s="143"/>
      <c r="BQ454" s="132"/>
      <c r="BR454" s="132"/>
      <c r="BS454" s="132"/>
      <c r="BT454" s="132"/>
      <c r="BU454" s="132"/>
      <c r="BV454" s="267">
        <v>644000</v>
      </c>
      <c r="BW454" s="144">
        <f>BV454*19%</f>
        <v>122360</v>
      </c>
      <c r="BX454" s="113">
        <f>+BV454+BW454</f>
        <v>766360</v>
      </c>
      <c r="BY454" s="264" t="s">
        <v>379</v>
      </c>
      <c r="BZ454" s="264" t="s">
        <v>409</v>
      </c>
      <c r="CA454" s="132"/>
      <c r="CB454" s="275"/>
      <c r="CC454" s="143"/>
      <c r="CD454" s="275"/>
      <c r="CE454" s="132"/>
      <c r="CF454" s="132"/>
      <c r="CG454" s="36"/>
      <c r="CH454" s="267">
        <v>656880</v>
      </c>
      <c r="CI454" s="265">
        <f>+CH454*0.19</f>
        <v>124807.2</v>
      </c>
      <c r="CJ454" s="263">
        <f>+CH454+CI454</f>
        <v>781687.2</v>
      </c>
      <c r="CK454" s="264" t="s">
        <v>379</v>
      </c>
      <c r="CL454" s="264" t="s">
        <v>409</v>
      </c>
      <c r="CM454" s="132"/>
      <c r="CN454" s="275"/>
      <c r="CO454" s="143"/>
      <c r="CP454" s="275"/>
      <c r="CQ454" s="132"/>
      <c r="CR454" s="132"/>
      <c r="CS454" s="132"/>
      <c r="CT454" s="275"/>
      <c r="CU454" s="143"/>
      <c r="CV454" s="275"/>
      <c r="CW454" s="132"/>
      <c r="CX454" s="132"/>
      <c r="CY454" s="132"/>
      <c r="CZ454" s="113"/>
      <c r="DA454" s="143"/>
      <c r="DB454" s="113"/>
      <c r="DC454" s="33"/>
      <c r="DD454" s="39"/>
      <c r="DE454" s="11"/>
      <c r="DF454" s="132"/>
      <c r="DG454" s="132"/>
      <c r="DH454" s="132"/>
      <c r="DI454" s="132"/>
      <c r="DJ454" s="132"/>
      <c r="DK454" s="132"/>
      <c r="DL454" s="132"/>
      <c r="DM454" s="132"/>
      <c r="DN454" s="132"/>
      <c r="DO454" s="132"/>
      <c r="DP454" s="132"/>
      <c r="DQ454" s="132"/>
      <c r="DR454" s="132"/>
      <c r="DS454" s="132"/>
      <c r="DT454" s="132"/>
      <c r="DU454" s="132"/>
      <c r="DV454" s="132"/>
      <c r="DW454" s="132"/>
      <c r="DX454" s="132"/>
      <c r="DY454" s="132"/>
      <c r="DZ454" s="132"/>
      <c r="EA454" s="132"/>
      <c r="EB454" s="132"/>
      <c r="EC454" s="132"/>
      <c r="ED454" s="132"/>
      <c r="EE454" s="132"/>
      <c r="EF454" s="132"/>
      <c r="EG454" s="132"/>
      <c r="EH454" s="132"/>
      <c r="EI454" s="132"/>
      <c r="EJ454" s="132"/>
      <c r="EK454" s="132"/>
      <c r="EL454" s="132"/>
      <c r="EM454" s="132"/>
      <c r="EN454" s="132"/>
      <c r="EO454" s="132"/>
      <c r="EP454" s="132"/>
      <c r="EQ454" s="132"/>
      <c r="ER454" s="132"/>
      <c r="ES454" s="132"/>
      <c r="ET454" s="11"/>
      <c r="EU454" s="11"/>
      <c r="EV454" s="11"/>
      <c r="EW454" s="11"/>
      <c r="EX454" s="11"/>
      <c r="EY454" s="11"/>
      <c r="EZ454" s="11"/>
      <c r="FA454" s="11"/>
      <c r="FB454" s="11"/>
      <c r="FC454" s="11"/>
      <c r="FD454" s="11"/>
      <c r="FE454" s="11"/>
      <c r="FF454" s="11"/>
      <c r="FG454" s="11"/>
      <c r="FH454" s="39">
        <f t="shared" si="114"/>
        <v>1548047.2</v>
      </c>
      <c r="FI454" s="33">
        <f t="shared" si="115"/>
        <v>2</v>
      </c>
      <c r="FJ454" s="84">
        <f t="shared" si="116"/>
        <v>774023.6</v>
      </c>
    </row>
    <row r="455" spans="1:166" ht="13.5" x14ac:dyDescent="0.25">
      <c r="A455" s="79" t="e">
        <f>#REF!</f>
        <v>#REF!</v>
      </c>
      <c r="B455" s="75" t="e">
        <f>#REF!</f>
        <v>#REF!</v>
      </c>
      <c r="C455" s="75" t="e">
        <f>#REF!</f>
        <v>#REF!</v>
      </c>
      <c r="D455" s="75" t="e">
        <f>#REF!</f>
        <v>#REF!</v>
      </c>
      <c r="E455" s="30">
        <v>1</v>
      </c>
      <c r="F455" s="238">
        <v>0</v>
      </c>
      <c r="G455" s="241">
        <v>0</v>
      </c>
      <c r="H455" s="249">
        <v>0</v>
      </c>
      <c r="I455" s="249">
        <v>0</v>
      </c>
      <c r="J455" s="249">
        <v>0</v>
      </c>
      <c r="K455" s="249">
        <v>0</v>
      </c>
      <c r="L455" s="274"/>
      <c r="M455" s="274"/>
      <c r="N455" s="246"/>
      <c r="O455" s="118"/>
      <c r="P455" s="118"/>
      <c r="Q455" s="52"/>
      <c r="R455" s="52"/>
      <c r="S455" s="5"/>
      <c r="T455" s="118"/>
      <c r="U455" s="118"/>
      <c r="V455" s="118"/>
      <c r="W455" s="11"/>
      <c r="X455" s="11"/>
      <c r="Y455" s="11"/>
      <c r="Z455" s="118"/>
      <c r="AA455" s="118"/>
      <c r="AB455" s="118"/>
      <c r="AC455" s="52"/>
      <c r="AD455" s="52"/>
      <c r="AE455" s="11"/>
      <c r="AF455" s="113"/>
      <c r="AG455" s="144"/>
      <c r="AH455" s="118"/>
      <c r="AI455" s="11"/>
      <c r="AJ455" s="11"/>
      <c r="AK455" s="11"/>
      <c r="AL455" s="118"/>
      <c r="AM455" s="118"/>
      <c r="AN455" s="118"/>
      <c r="AO455" s="76"/>
      <c r="AP455" s="11"/>
      <c r="AQ455" s="11"/>
      <c r="AR455" s="274"/>
      <c r="AS455" s="274"/>
      <c r="AT455" s="274"/>
      <c r="AU455" s="48"/>
      <c r="AV455" s="48"/>
      <c r="AW455" s="11"/>
      <c r="AX455" s="274"/>
      <c r="AY455" s="274"/>
      <c r="AZ455" s="274"/>
      <c r="BA455" s="11"/>
      <c r="BB455" s="11"/>
      <c r="BC455" s="11"/>
      <c r="BD455" s="275"/>
      <c r="BE455" s="274"/>
      <c r="BF455" s="274"/>
      <c r="BG455" s="11"/>
      <c r="BH455" s="11"/>
      <c r="BI455" s="11"/>
      <c r="BJ455" s="274"/>
      <c r="BK455" s="274"/>
      <c r="BL455" s="274"/>
      <c r="BM455" s="11"/>
      <c r="BN455" s="11"/>
      <c r="BO455" s="11"/>
      <c r="BP455" s="275"/>
      <c r="BQ455" s="11"/>
      <c r="BR455" s="11"/>
      <c r="BS455" s="11"/>
      <c r="BT455" s="11"/>
      <c r="BU455" s="11"/>
      <c r="BV455" s="267">
        <v>644000</v>
      </c>
      <c r="BW455" s="144">
        <f>BV455*19%</f>
        <v>122360</v>
      </c>
      <c r="BX455" s="113">
        <f>+BV455+BW455</f>
        <v>766360</v>
      </c>
      <c r="BY455" s="264" t="s">
        <v>379</v>
      </c>
      <c r="BZ455" s="264" t="s">
        <v>409</v>
      </c>
      <c r="CA455" s="11"/>
      <c r="CB455" s="275"/>
      <c r="CC455" s="143"/>
      <c r="CD455" s="275"/>
      <c r="CE455" s="11"/>
      <c r="CF455" s="11"/>
      <c r="CG455" s="11"/>
      <c r="CH455" s="267">
        <v>682640</v>
      </c>
      <c r="CI455" s="265">
        <f>+CH455*0.19</f>
        <v>129701.6</v>
      </c>
      <c r="CJ455" s="263">
        <f>+CH455+CI455</f>
        <v>812341.6</v>
      </c>
      <c r="CK455" s="264" t="s">
        <v>379</v>
      </c>
      <c r="CL455" s="264" t="s">
        <v>409</v>
      </c>
      <c r="CM455" s="11"/>
      <c r="CN455" s="275"/>
      <c r="CO455" s="143"/>
      <c r="CP455" s="275"/>
      <c r="CQ455" s="11"/>
      <c r="CR455" s="11"/>
      <c r="CS455" s="11"/>
      <c r="CT455" s="275"/>
      <c r="CU455" s="143"/>
      <c r="CV455" s="275"/>
      <c r="CW455" s="11"/>
      <c r="CX455" s="11"/>
      <c r="CY455" s="11"/>
      <c r="CZ455" s="113"/>
      <c r="DA455" s="143"/>
      <c r="DB455" s="113"/>
      <c r="DC455" s="33"/>
      <c r="DD455" s="39"/>
      <c r="DE455" s="11"/>
      <c r="DF455" s="11"/>
      <c r="DG455" s="11"/>
      <c r="DH455" s="11"/>
      <c r="DI455" s="11"/>
      <c r="DJ455" s="11"/>
      <c r="DK455" s="11"/>
      <c r="DL455" s="11"/>
      <c r="DM455" s="11"/>
      <c r="DN455" s="11"/>
      <c r="DO455" s="11"/>
      <c r="DP455" s="11"/>
      <c r="DQ455" s="11"/>
      <c r="DR455" s="11"/>
      <c r="DS455" s="11"/>
      <c r="DT455" s="11"/>
      <c r="DU455" s="11"/>
      <c r="DV455" s="11"/>
      <c r="DW455" s="11"/>
      <c r="DX455" s="11"/>
      <c r="DY455" s="11"/>
      <c r="DZ455" s="11"/>
      <c r="EA455" s="11"/>
      <c r="EB455" s="39"/>
      <c r="EC455" s="39"/>
      <c r="ED455" s="39"/>
      <c r="EE455" s="11"/>
      <c r="EF455" s="11"/>
      <c r="EG455" s="39"/>
      <c r="EH455" s="39"/>
      <c r="EI455" s="34"/>
      <c r="EJ455" s="11"/>
      <c r="EK455" s="11"/>
      <c r="EL455" s="11"/>
      <c r="EM455" s="11"/>
      <c r="EN455" s="11"/>
      <c r="EO455" s="11"/>
      <c r="EP455" s="11"/>
      <c r="EQ455" s="39"/>
      <c r="ER455" s="39"/>
      <c r="ES455" s="34"/>
      <c r="ET455" s="11"/>
      <c r="EU455" s="11"/>
      <c r="EV455" s="11"/>
      <c r="EW455" s="11"/>
      <c r="EX455" s="11"/>
      <c r="EY455" s="11"/>
      <c r="EZ455" s="11"/>
      <c r="FA455" s="11"/>
      <c r="FB455" s="11"/>
      <c r="FC455" s="11"/>
      <c r="FD455" s="11"/>
      <c r="FE455" s="11"/>
      <c r="FF455" s="11"/>
      <c r="FG455" s="11"/>
      <c r="FH455" s="39">
        <f t="shared" si="114"/>
        <v>1578701.6</v>
      </c>
      <c r="FI455" s="33">
        <f t="shared" si="115"/>
        <v>2</v>
      </c>
      <c r="FJ455" s="84">
        <f t="shared" si="116"/>
        <v>789350.8</v>
      </c>
    </row>
    <row r="456" spans="1:166" x14ac:dyDescent="0.25">
      <c r="A456" s="79" t="e">
        <f>#REF!</f>
        <v>#REF!</v>
      </c>
      <c r="B456" s="75" t="e">
        <f>#REF!</f>
        <v>#REF!</v>
      </c>
      <c r="C456" s="75" t="e">
        <f>#REF!</f>
        <v>#REF!</v>
      </c>
      <c r="D456" s="75" t="e">
        <f>#REF!</f>
        <v>#REF!</v>
      </c>
      <c r="E456" s="30">
        <v>1</v>
      </c>
      <c r="F456" s="238">
        <v>0</v>
      </c>
      <c r="G456" s="241">
        <v>0</v>
      </c>
      <c r="H456" s="249">
        <v>0</v>
      </c>
      <c r="I456" s="249">
        <v>0</v>
      </c>
      <c r="J456" s="249">
        <v>0</v>
      </c>
      <c r="K456" s="249">
        <v>0</v>
      </c>
      <c r="L456" s="274"/>
      <c r="M456" s="274"/>
      <c r="N456" s="245"/>
      <c r="O456" s="113"/>
      <c r="P456" s="113"/>
      <c r="Q456" s="131"/>
      <c r="R456" s="131"/>
      <c r="S456" s="64"/>
      <c r="T456" s="113"/>
      <c r="U456" s="113"/>
      <c r="V456" s="113"/>
      <c r="W456" s="131"/>
      <c r="X456" s="131"/>
      <c r="Y456" s="11"/>
      <c r="Z456" s="113"/>
      <c r="AA456" s="113"/>
      <c r="AB456" s="113"/>
      <c r="AC456" s="52"/>
      <c r="AD456" s="52"/>
      <c r="AE456" s="11"/>
      <c r="AF456" s="113"/>
      <c r="AG456" s="144"/>
      <c r="AH456" s="113"/>
      <c r="AI456" s="11"/>
      <c r="AJ456" s="11"/>
      <c r="AK456" s="39"/>
      <c r="AL456" s="113"/>
      <c r="AM456" s="113"/>
      <c r="AN456" s="119"/>
      <c r="AO456" s="76"/>
      <c r="AP456" s="39"/>
      <c r="AQ456" s="39"/>
      <c r="AR456" s="275"/>
      <c r="AS456" s="275"/>
      <c r="AT456" s="275"/>
      <c r="AU456" s="48"/>
      <c r="AV456" s="62"/>
      <c r="AW456" s="11"/>
      <c r="AX456" s="116"/>
      <c r="AY456" s="196"/>
      <c r="AZ456" s="143"/>
      <c r="BA456" s="191"/>
      <c r="BB456" s="132"/>
      <c r="BC456" s="132"/>
      <c r="BD456" s="275"/>
      <c r="BE456" s="143"/>
      <c r="BF456" s="143"/>
      <c r="BG456" s="132"/>
      <c r="BH456" s="132"/>
      <c r="BI456" s="132"/>
      <c r="BJ456" s="143"/>
      <c r="BK456" s="143"/>
      <c r="BL456" s="143"/>
      <c r="BM456" s="132"/>
      <c r="BN456" s="132"/>
      <c r="BO456" s="132"/>
      <c r="BP456" s="143"/>
      <c r="BQ456" s="132"/>
      <c r="BR456" s="132"/>
      <c r="BS456" s="132"/>
      <c r="BT456" s="132"/>
      <c r="BU456" s="132"/>
      <c r="BV456" s="210"/>
      <c r="BW456" s="144"/>
      <c r="BX456" s="113"/>
      <c r="BY456" s="273"/>
      <c r="BZ456" s="273"/>
      <c r="CA456" s="132"/>
      <c r="CB456" s="275"/>
      <c r="CC456" s="143"/>
      <c r="CD456" s="275"/>
      <c r="CE456" s="132"/>
      <c r="CF456" s="132"/>
      <c r="CG456" s="36"/>
      <c r="CH456" s="210"/>
      <c r="CI456" s="219"/>
      <c r="CJ456" s="210"/>
      <c r="CK456" s="273"/>
      <c r="CL456" s="273"/>
      <c r="CM456" s="132"/>
      <c r="CN456" s="275"/>
      <c r="CO456" s="143"/>
      <c r="CP456" s="275"/>
      <c r="CQ456" s="132"/>
      <c r="CR456" s="132"/>
      <c r="CS456" s="132"/>
      <c r="CT456" s="275"/>
      <c r="CU456" s="143"/>
      <c r="CV456" s="275"/>
      <c r="CW456" s="132"/>
      <c r="CX456" s="132"/>
      <c r="CY456" s="132"/>
      <c r="CZ456" s="113"/>
      <c r="DA456" s="143"/>
      <c r="DB456" s="113"/>
      <c r="DC456" s="33"/>
      <c r="DD456" s="39"/>
      <c r="DE456" s="11"/>
      <c r="DF456" s="132"/>
      <c r="DG456" s="132"/>
      <c r="DH456" s="132"/>
      <c r="DI456" s="132"/>
      <c r="DJ456" s="132"/>
      <c r="DK456" s="132"/>
      <c r="DL456" s="132"/>
      <c r="DM456" s="132"/>
      <c r="DN456" s="132"/>
      <c r="DO456" s="132"/>
      <c r="DP456" s="132"/>
      <c r="DQ456" s="132"/>
      <c r="DR456" s="132"/>
      <c r="DS456" s="132"/>
      <c r="DT456" s="132"/>
      <c r="DU456" s="132"/>
      <c r="DV456" s="132"/>
      <c r="DW456" s="132"/>
      <c r="DX456" s="132"/>
      <c r="DY456" s="132"/>
      <c r="DZ456" s="132"/>
      <c r="EA456" s="132"/>
      <c r="EB456" s="132"/>
      <c r="EC456" s="132"/>
      <c r="ED456" s="132"/>
      <c r="EE456" s="132"/>
      <c r="EF456" s="132"/>
      <c r="EG456" s="132"/>
      <c r="EH456" s="132"/>
      <c r="EI456" s="132"/>
      <c r="EJ456" s="132"/>
      <c r="EK456" s="132"/>
      <c r="EL456" s="132"/>
      <c r="EM456" s="132"/>
      <c r="EN456" s="132"/>
      <c r="EO456" s="132"/>
      <c r="EP456" s="132"/>
      <c r="EQ456" s="132"/>
      <c r="ER456" s="132"/>
      <c r="ES456" s="132"/>
      <c r="ET456" s="11"/>
      <c r="EU456" s="11"/>
      <c r="EV456" s="11"/>
      <c r="EW456" s="11"/>
      <c r="EX456" s="11"/>
      <c r="EY456" s="11"/>
      <c r="EZ456" s="11"/>
      <c r="FA456" s="11"/>
      <c r="FB456" s="11"/>
      <c r="FC456" s="11"/>
      <c r="FD456" s="11"/>
      <c r="FE456" s="11"/>
      <c r="FF456" s="11"/>
      <c r="FG456" s="11"/>
      <c r="FH456" s="39">
        <f t="shared" si="114"/>
        <v>0</v>
      </c>
      <c r="FI456" s="33">
        <f t="shared" si="115"/>
        <v>0</v>
      </c>
      <c r="FJ456" s="84" t="str">
        <f t="shared" si="116"/>
        <v xml:space="preserve"> </v>
      </c>
    </row>
    <row r="457" spans="1:166" ht="13.5" x14ac:dyDescent="0.25">
      <c r="A457" s="79" t="e">
        <f>#REF!</f>
        <v>#REF!</v>
      </c>
      <c r="B457" s="75" t="e">
        <f>#REF!</f>
        <v>#REF!</v>
      </c>
      <c r="C457" s="75" t="e">
        <f>#REF!</f>
        <v>#REF!</v>
      </c>
      <c r="D457" s="75" t="e">
        <f>#REF!</f>
        <v>#REF!</v>
      </c>
      <c r="E457" s="30">
        <v>1</v>
      </c>
      <c r="F457" s="238">
        <v>0</v>
      </c>
      <c r="G457" s="241">
        <v>0</v>
      </c>
      <c r="H457" s="249">
        <v>0</v>
      </c>
      <c r="I457" s="249">
        <v>0</v>
      </c>
      <c r="J457" s="249">
        <v>0</v>
      </c>
      <c r="K457" s="249">
        <v>0</v>
      </c>
      <c r="L457" s="274"/>
      <c r="M457" s="274"/>
      <c r="N457" s="245"/>
      <c r="O457" s="113"/>
      <c r="P457" s="113"/>
      <c r="Q457" s="131"/>
      <c r="R457" s="131"/>
      <c r="S457" s="64"/>
      <c r="T457" s="113"/>
      <c r="U457" s="117"/>
      <c r="V457" s="113"/>
      <c r="W457" s="131"/>
      <c r="X457" s="131"/>
      <c r="Y457" s="11"/>
      <c r="Z457" s="113"/>
      <c r="AA457" s="113"/>
      <c r="AB457" s="113"/>
      <c r="AC457" s="52"/>
      <c r="AD457" s="52"/>
      <c r="AE457" s="11"/>
      <c r="AF457" s="113"/>
      <c r="AG457" s="144"/>
      <c r="AH457" s="113"/>
      <c r="AI457" s="11"/>
      <c r="AJ457" s="11"/>
      <c r="AK457" s="39"/>
      <c r="AL457" s="113"/>
      <c r="AM457" s="113"/>
      <c r="AN457" s="117"/>
      <c r="AO457" s="76"/>
      <c r="AP457" s="39"/>
      <c r="AQ457" s="39"/>
      <c r="AR457" s="275"/>
      <c r="AS457" s="275"/>
      <c r="AT457" s="275"/>
      <c r="AU457" s="48"/>
      <c r="AV457" s="62"/>
      <c r="AW457" s="11"/>
      <c r="AX457" s="116"/>
      <c r="AY457" s="196"/>
      <c r="AZ457" s="143"/>
      <c r="BA457" s="191"/>
      <c r="BB457" s="132"/>
      <c r="BC457" s="132"/>
      <c r="BD457" s="275"/>
      <c r="BE457" s="143"/>
      <c r="BF457" s="143"/>
      <c r="BG457" s="132"/>
      <c r="BH457" s="132"/>
      <c r="BI457" s="132"/>
      <c r="BJ457" s="143"/>
      <c r="BK457" s="143"/>
      <c r="BL457" s="143"/>
      <c r="BM457" s="132"/>
      <c r="BN457" s="132"/>
      <c r="BO457" s="132"/>
      <c r="BP457" s="143"/>
      <c r="BQ457" s="132"/>
      <c r="BR457" s="132"/>
      <c r="BS457" s="132"/>
      <c r="BT457" s="132"/>
      <c r="BU457" s="132"/>
      <c r="BV457" s="267">
        <v>1610000</v>
      </c>
      <c r="BW457" s="144">
        <f>BV457*19%</f>
        <v>305900</v>
      </c>
      <c r="BX457" s="113">
        <f>+BV457+BW457</f>
        <v>1915900</v>
      </c>
      <c r="BY457" s="264" t="s">
        <v>196</v>
      </c>
      <c r="BZ457" s="264" t="s">
        <v>409</v>
      </c>
      <c r="CA457" s="132"/>
      <c r="CB457" s="275"/>
      <c r="CC457" s="143"/>
      <c r="CD457" s="275"/>
      <c r="CE457" s="132"/>
      <c r="CF457" s="132"/>
      <c r="CG457" s="36"/>
      <c r="CH457" s="267">
        <v>1658300</v>
      </c>
      <c r="CI457" s="265">
        <f>+CH457*0.19</f>
        <v>315077</v>
      </c>
      <c r="CJ457" s="263">
        <f>+CH457+CI457</f>
        <v>1973377</v>
      </c>
      <c r="CK457" s="264" t="s">
        <v>196</v>
      </c>
      <c r="CL457" s="264" t="s">
        <v>409</v>
      </c>
      <c r="CM457" s="132"/>
      <c r="CN457" s="275"/>
      <c r="CO457" s="143"/>
      <c r="CP457" s="275"/>
      <c r="CQ457" s="132"/>
      <c r="CR457" s="132"/>
      <c r="CS457" s="132"/>
      <c r="CT457" s="275"/>
      <c r="CU457" s="143"/>
      <c r="CV457" s="275"/>
      <c r="CW457" s="132"/>
      <c r="CX457" s="132"/>
      <c r="CY457" s="132"/>
      <c r="CZ457" s="113"/>
      <c r="DA457" s="143"/>
      <c r="DB457" s="113"/>
      <c r="DC457" s="33"/>
      <c r="DD457" s="39"/>
      <c r="DE457" s="11"/>
      <c r="DF457" s="132"/>
      <c r="DG457" s="132"/>
      <c r="DH457" s="132"/>
      <c r="DI457" s="132"/>
      <c r="DJ457" s="132"/>
      <c r="DK457" s="132"/>
      <c r="DL457" s="132"/>
      <c r="DM457" s="132"/>
      <c r="DN457" s="132"/>
      <c r="DO457" s="132"/>
      <c r="DP457" s="132"/>
      <c r="DQ457" s="132"/>
      <c r="DR457" s="132"/>
      <c r="DS457" s="132"/>
      <c r="DT457" s="132"/>
      <c r="DU457" s="132"/>
      <c r="DV457" s="132"/>
      <c r="DW457" s="132"/>
      <c r="DX457" s="132"/>
      <c r="DY457" s="132"/>
      <c r="DZ457" s="132"/>
      <c r="EA457" s="132"/>
      <c r="EB457" s="132"/>
      <c r="EC457" s="132"/>
      <c r="ED457" s="132"/>
      <c r="EE457" s="132"/>
      <c r="EF457" s="132"/>
      <c r="EG457" s="132"/>
      <c r="EH457" s="132"/>
      <c r="EI457" s="132"/>
      <c r="EJ457" s="132"/>
      <c r="EK457" s="132"/>
      <c r="EL457" s="132"/>
      <c r="EM457" s="132"/>
      <c r="EN457" s="132"/>
      <c r="EO457" s="132"/>
      <c r="EP457" s="132"/>
      <c r="EQ457" s="132"/>
      <c r="ER457" s="132"/>
      <c r="ES457" s="132"/>
      <c r="ET457" s="11"/>
      <c r="EU457" s="11"/>
      <c r="EV457" s="11"/>
      <c r="EW457" s="11"/>
      <c r="EX457" s="11"/>
      <c r="EY457" s="11"/>
      <c r="EZ457" s="11"/>
      <c r="FA457" s="11"/>
      <c r="FB457" s="11"/>
      <c r="FC457" s="11"/>
      <c r="FD457" s="11"/>
      <c r="FE457" s="11"/>
      <c r="FF457" s="11"/>
      <c r="FG457" s="11"/>
      <c r="FH457" s="39">
        <f t="shared" si="114"/>
        <v>3889277</v>
      </c>
      <c r="FI457" s="33">
        <f t="shared" si="115"/>
        <v>2</v>
      </c>
      <c r="FJ457" s="84">
        <f t="shared" si="116"/>
        <v>1944638.5</v>
      </c>
    </row>
    <row r="458" spans="1:166" x14ac:dyDescent="0.25">
      <c r="A458" s="79" t="e">
        <f>#REF!</f>
        <v>#REF!</v>
      </c>
      <c r="B458" s="75" t="e">
        <f>#REF!</f>
        <v>#REF!</v>
      </c>
      <c r="C458" s="75" t="e">
        <f>#REF!</f>
        <v>#REF!</v>
      </c>
      <c r="D458" s="75" t="e">
        <f>#REF!</f>
        <v>#REF!</v>
      </c>
      <c r="E458" s="30">
        <v>1</v>
      </c>
      <c r="F458" s="238">
        <v>0</v>
      </c>
      <c r="G458" s="241">
        <v>0</v>
      </c>
      <c r="H458" s="249">
        <v>0</v>
      </c>
      <c r="I458" s="249">
        <v>0</v>
      </c>
      <c r="J458" s="249">
        <v>0</v>
      </c>
      <c r="K458" s="249">
        <v>0</v>
      </c>
      <c r="L458" s="274"/>
      <c r="M458" s="274"/>
      <c r="N458" s="245"/>
      <c r="O458" s="113"/>
      <c r="P458" s="113"/>
      <c r="Q458" s="131"/>
      <c r="R458" s="131"/>
      <c r="S458" s="64"/>
      <c r="T458" s="113"/>
      <c r="U458" s="113"/>
      <c r="V458" s="113"/>
      <c r="W458" s="131"/>
      <c r="X458" s="131"/>
      <c r="Y458" s="11"/>
      <c r="Z458" s="113"/>
      <c r="AA458" s="113"/>
      <c r="AB458" s="113"/>
      <c r="AC458" s="52"/>
      <c r="AD458" s="52"/>
      <c r="AE458" s="11"/>
      <c r="AF458" s="113"/>
      <c r="AG458" s="144"/>
      <c r="AH458" s="113"/>
      <c r="AI458" s="11"/>
      <c r="AJ458" s="11"/>
      <c r="AK458" s="39"/>
      <c r="AL458" s="113"/>
      <c r="AM458" s="113"/>
      <c r="AN458" s="117"/>
      <c r="AO458" s="76"/>
      <c r="AP458" s="39"/>
      <c r="AQ458" s="39"/>
      <c r="AR458" s="275"/>
      <c r="AS458" s="275"/>
      <c r="AT458" s="275"/>
      <c r="AU458" s="48"/>
      <c r="AV458" s="62"/>
      <c r="AW458" s="11"/>
      <c r="AX458" s="116"/>
      <c r="AY458" s="194"/>
      <c r="AZ458" s="143"/>
      <c r="BA458" s="191"/>
      <c r="BB458" s="132"/>
      <c r="BC458" s="132"/>
      <c r="BD458" s="275"/>
      <c r="BE458" s="143"/>
      <c r="BF458" s="143"/>
      <c r="BG458" s="132"/>
      <c r="BH458" s="132"/>
      <c r="BI458" s="132"/>
      <c r="BJ458" s="143"/>
      <c r="BK458" s="143"/>
      <c r="BL458" s="143"/>
      <c r="BM458" s="132"/>
      <c r="BN458" s="132"/>
      <c r="BO458" s="132"/>
      <c r="BP458" s="143"/>
      <c r="BQ458" s="132"/>
      <c r="BR458" s="132"/>
      <c r="BS458" s="132"/>
      <c r="BT458" s="132"/>
      <c r="BU458" s="132"/>
      <c r="BV458" s="210"/>
      <c r="BW458" s="144"/>
      <c r="BX458" s="113"/>
      <c r="BY458" s="273"/>
      <c r="BZ458" s="273"/>
      <c r="CA458" s="132"/>
      <c r="CB458" s="275"/>
      <c r="CC458" s="143"/>
      <c r="CD458" s="275"/>
      <c r="CE458" s="132"/>
      <c r="CF458" s="132"/>
      <c r="CG458" s="36"/>
      <c r="CH458" s="210"/>
      <c r="CI458" s="219"/>
      <c r="CJ458" s="210"/>
      <c r="CK458" s="273"/>
      <c r="CL458" s="273"/>
      <c r="CM458" s="132"/>
      <c r="CN458" s="275"/>
      <c r="CO458" s="143"/>
      <c r="CP458" s="275"/>
      <c r="CQ458" s="132"/>
      <c r="CR458" s="132"/>
      <c r="CS458" s="132"/>
      <c r="CT458" s="275"/>
      <c r="CU458" s="143"/>
      <c r="CV458" s="275"/>
      <c r="CW458" s="132"/>
      <c r="CX458" s="132"/>
      <c r="CY458" s="132"/>
      <c r="CZ458" s="113"/>
      <c r="DA458" s="143"/>
      <c r="DB458" s="113"/>
      <c r="DC458" s="33"/>
      <c r="DD458" s="39"/>
      <c r="DE458" s="11"/>
      <c r="DF458" s="132"/>
      <c r="DG458" s="132"/>
      <c r="DH458" s="132"/>
      <c r="DI458" s="132"/>
      <c r="DJ458" s="132"/>
      <c r="DK458" s="132"/>
      <c r="DL458" s="132"/>
      <c r="DM458" s="132"/>
      <c r="DN458" s="132"/>
      <c r="DO458" s="132"/>
      <c r="DP458" s="132"/>
      <c r="DQ458" s="132"/>
      <c r="DR458" s="132"/>
      <c r="DS458" s="132"/>
      <c r="DT458" s="132"/>
      <c r="DU458" s="132"/>
      <c r="DV458" s="132"/>
      <c r="DW458" s="132"/>
      <c r="DX458" s="132"/>
      <c r="DY458" s="132"/>
      <c r="DZ458" s="132"/>
      <c r="EA458" s="132"/>
      <c r="EB458" s="132"/>
      <c r="EC458" s="132"/>
      <c r="ED458" s="132"/>
      <c r="EE458" s="132"/>
      <c r="EF458" s="132"/>
      <c r="EG458" s="132"/>
      <c r="EH458" s="132"/>
      <c r="EI458" s="132"/>
      <c r="EJ458" s="132"/>
      <c r="EK458" s="132"/>
      <c r="EL458" s="132"/>
      <c r="EM458" s="132"/>
      <c r="EN458" s="132"/>
      <c r="EO458" s="132"/>
      <c r="EP458" s="132"/>
      <c r="EQ458" s="132"/>
      <c r="ER458" s="132"/>
      <c r="ES458" s="132"/>
      <c r="ET458" s="11"/>
      <c r="EU458" s="11"/>
      <c r="EV458" s="11"/>
      <c r="EW458" s="11"/>
      <c r="EX458" s="11"/>
      <c r="EY458" s="11"/>
      <c r="EZ458" s="11"/>
      <c r="FA458" s="11"/>
      <c r="FB458" s="11"/>
      <c r="FC458" s="11"/>
      <c r="FD458" s="11"/>
      <c r="FE458" s="11"/>
      <c r="FF458" s="11"/>
      <c r="FG458" s="11"/>
      <c r="FH458" s="39">
        <f t="shared" si="114"/>
        <v>0</v>
      </c>
      <c r="FI458" s="33">
        <f t="shared" si="115"/>
        <v>0</v>
      </c>
      <c r="FJ458" s="84" t="str">
        <f t="shared" si="116"/>
        <v xml:space="preserve"> </v>
      </c>
    </row>
    <row r="459" spans="1:166" x14ac:dyDescent="0.25">
      <c r="A459" s="79" t="e">
        <f>#REF!</f>
        <v>#REF!</v>
      </c>
      <c r="B459" s="75" t="e">
        <f>#REF!</f>
        <v>#REF!</v>
      </c>
      <c r="C459" s="75" t="e">
        <f>#REF!</f>
        <v>#REF!</v>
      </c>
      <c r="D459" s="75" t="e">
        <f>#REF!</f>
        <v>#REF!</v>
      </c>
      <c r="E459" s="30">
        <v>1</v>
      </c>
      <c r="F459" s="238">
        <v>0</v>
      </c>
      <c r="G459" s="241">
        <v>0</v>
      </c>
      <c r="H459" s="249">
        <v>0</v>
      </c>
      <c r="I459" s="249">
        <v>0</v>
      </c>
      <c r="J459" s="249">
        <v>0</v>
      </c>
      <c r="K459" s="249">
        <v>0</v>
      </c>
      <c r="L459" s="274"/>
      <c r="M459" s="274"/>
      <c r="N459" s="245"/>
      <c r="O459" s="113"/>
      <c r="P459" s="113"/>
      <c r="Q459" s="131"/>
      <c r="R459" s="131"/>
      <c r="S459" s="64"/>
      <c r="T459" s="113"/>
      <c r="U459" s="122"/>
      <c r="V459" s="113"/>
      <c r="W459" s="131"/>
      <c r="X459" s="131"/>
      <c r="Y459" s="11"/>
      <c r="Z459" s="113"/>
      <c r="AA459" s="113"/>
      <c r="AB459" s="113"/>
      <c r="AC459" s="52"/>
      <c r="AD459" s="52"/>
      <c r="AE459" s="11"/>
      <c r="AF459" s="113"/>
      <c r="AG459" s="144"/>
      <c r="AH459" s="113"/>
      <c r="AI459" s="11"/>
      <c r="AJ459" s="11"/>
      <c r="AK459" s="39"/>
      <c r="AL459" s="113"/>
      <c r="AM459" s="113"/>
      <c r="AN459" s="147"/>
      <c r="AO459" s="76"/>
      <c r="AP459" s="39"/>
      <c r="AQ459" s="39"/>
      <c r="AR459" s="275"/>
      <c r="AS459" s="275"/>
      <c r="AT459" s="275"/>
      <c r="AU459" s="48"/>
      <c r="AV459" s="62"/>
      <c r="AW459" s="11"/>
      <c r="AX459" s="116"/>
      <c r="AY459" s="116"/>
      <c r="AZ459" s="143"/>
      <c r="BA459" s="191"/>
      <c r="BB459" s="132"/>
      <c r="BC459" s="132"/>
      <c r="BD459" s="275"/>
      <c r="BE459" s="143"/>
      <c r="BF459" s="143"/>
      <c r="BG459" s="132"/>
      <c r="BH459" s="132"/>
      <c r="BI459" s="132"/>
      <c r="BJ459" s="143"/>
      <c r="BK459" s="143"/>
      <c r="BL459" s="143"/>
      <c r="BM459" s="132"/>
      <c r="BN459" s="132"/>
      <c r="BO459" s="132"/>
      <c r="BP459" s="143"/>
      <c r="BQ459" s="132"/>
      <c r="BR459" s="132"/>
      <c r="BS459" s="132"/>
      <c r="BT459" s="132"/>
      <c r="BU459" s="132"/>
      <c r="BV459" s="210"/>
      <c r="BW459" s="144"/>
      <c r="BX459" s="113"/>
      <c r="BY459" s="273"/>
      <c r="BZ459" s="273"/>
      <c r="CA459" s="132"/>
      <c r="CB459" s="275"/>
      <c r="CC459" s="143"/>
      <c r="CD459" s="275"/>
      <c r="CE459" s="132"/>
      <c r="CF459" s="132"/>
      <c r="CG459" s="36"/>
      <c r="CH459" s="210"/>
      <c r="CI459" s="219"/>
      <c r="CJ459" s="210"/>
      <c r="CK459" s="273"/>
      <c r="CL459" s="273"/>
      <c r="CM459" s="132"/>
      <c r="CN459" s="275"/>
      <c r="CO459" s="143"/>
      <c r="CP459" s="275"/>
      <c r="CQ459" s="132"/>
      <c r="CR459" s="132"/>
      <c r="CS459" s="132"/>
      <c r="CT459" s="275"/>
      <c r="CU459" s="143"/>
      <c r="CV459" s="275"/>
      <c r="CW459" s="132"/>
      <c r="CX459" s="132"/>
      <c r="CY459" s="132"/>
      <c r="CZ459" s="113"/>
      <c r="DA459" s="143"/>
      <c r="DB459" s="113"/>
      <c r="DC459" s="33"/>
      <c r="DD459" s="39"/>
      <c r="DE459" s="11"/>
      <c r="DF459" s="132"/>
      <c r="DG459" s="132"/>
      <c r="DH459" s="132"/>
      <c r="DI459" s="132"/>
      <c r="DJ459" s="132"/>
      <c r="DK459" s="132"/>
      <c r="DL459" s="132"/>
      <c r="DM459" s="132"/>
      <c r="DN459" s="132"/>
      <c r="DO459" s="132"/>
      <c r="DP459" s="132"/>
      <c r="DQ459" s="132"/>
      <c r="DR459" s="132"/>
      <c r="DS459" s="132"/>
      <c r="DT459" s="132"/>
      <c r="DU459" s="132"/>
      <c r="DV459" s="132"/>
      <c r="DW459" s="132"/>
      <c r="DX459" s="132"/>
      <c r="DY459" s="132"/>
      <c r="DZ459" s="132"/>
      <c r="EA459" s="132"/>
      <c r="EB459" s="132"/>
      <c r="EC459" s="132"/>
      <c r="ED459" s="132"/>
      <c r="EE459" s="132"/>
      <c r="EF459" s="132"/>
      <c r="EG459" s="132"/>
      <c r="EH459" s="132"/>
      <c r="EI459" s="132"/>
      <c r="EJ459" s="132"/>
      <c r="EK459" s="132"/>
      <c r="EL459" s="132"/>
      <c r="EM459" s="132"/>
      <c r="EN459" s="132"/>
      <c r="EO459" s="132"/>
      <c r="EP459" s="132"/>
      <c r="EQ459" s="132"/>
      <c r="ER459" s="132"/>
      <c r="ES459" s="132"/>
      <c r="ET459" s="11"/>
      <c r="EU459" s="11"/>
      <c r="EV459" s="11"/>
      <c r="EW459" s="11"/>
      <c r="EX459" s="11"/>
      <c r="EY459" s="11"/>
      <c r="EZ459" s="11"/>
      <c r="FA459" s="11"/>
      <c r="FB459" s="11"/>
      <c r="FC459" s="11"/>
      <c r="FD459" s="11"/>
      <c r="FE459" s="11"/>
      <c r="FF459" s="11"/>
      <c r="FG459" s="11"/>
      <c r="FH459" s="39">
        <f t="shared" si="114"/>
        <v>0</v>
      </c>
      <c r="FI459" s="33">
        <f t="shared" si="115"/>
        <v>0</v>
      </c>
      <c r="FJ459" s="84" t="str">
        <f t="shared" si="116"/>
        <v xml:space="preserve"> </v>
      </c>
    </row>
    <row r="460" spans="1:166" x14ac:dyDescent="0.25">
      <c r="A460" s="79" t="e">
        <f>#REF!</f>
        <v>#REF!</v>
      </c>
      <c r="B460" s="75" t="e">
        <f>#REF!</f>
        <v>#REF!</v>
      </c>
      <c r="C460" s="75" t="e">
        <f>#REF!</f>
        <v>#REF!</v>
      </c>
      <c r="D460" s="75" t="e">
        <f>#REF!</f>
        <v>#REF!</v>
      </c>
      <c r="E460" s="30">
        <v>1</v>
      </c>
      <c r="F460" s="238">
        <v>0</v>
      </c>
      <c r="G460" s="241">
        <v>0</v>
      </c>
      <c r="H460" s="249">
        <v>0</v>
      </c>
      <c r="I460" s="249">
        <v>0</v>
      </c>
      <c r="J460" s="249">
        <v>0</v>
      </c>
      <c r="K460" s="249">
        <v>0</v>
      </c>
      <c r="L460" s="274"/>
      <c r="M460" s="274"/>
      <c r="N460" s="245"/>
      <c r="O460" s="113"/>
      <c r="P460" s="113"/>
      <c r="Q460" s="131"/>
      <c r="R460" s="131"/>
      <c r="S460" s="64"/>
      <c r="T460" s="113"/>
      <c r="U460" s="117"/>
      <c r="V460" s="113"/>
      <c r="W460" s="131"/>
      <c r="X460" s="131"/>
      <c r="Y460" s="11"/>
      <c r="Z460" s="113"/>
      <c r="AA460" s="113"/>
      <c r="AB460" s="113"/>
      <c r="AC460" s="52"/>
      <c r="AD460" s="52"/>
      <c r="AE460" s="11"/>
      <c r="AF460" s="113"/>
      <c r="AG460" s="144"/>
      <c r="AH460" s="113"/>
      <c r="AI460" s="11"/>
      <c r="AJ460" s="11"/>
      <c r="AK460" s="39"/>
      <c r="AL460" s="113"/>
      <c r="AM460" s="113"/>
      <c r="AN460" s="117"/>
      <c r="AO460" s="76"/>
      <c r="AP460" s="39"/>
      <c r="AQ460" s="39"/>
      <c r="AR460" s="275"/>
      <c r="AS460" s="275"/>
      <c r="AT460" s="275"/>
      <c r="AU460" s="48"/>
      <c r="AV460" s="62"/>
      <c r="AW460" s="11"/>
      <c r="AX460" s="116"/>
      <c r="AY460" s="116"/>
      <c r="AZ460" s="143"/>
      <c r="BA460" s="191"/>
      <c r="BB460" s="132"/>
      <c r="BC460" s="132"/>
      <c r="BD460" s="275"/>
      <c r="BE460" s="143"/>
      <c r="BF460" s="143"/>
      <c r="BG460" s="132"/>
      <c r="BH460" s="132"/>
      <c r="BI460" s="132"/>
      <c r="BJ460" s="143"/>
      <c r="BK460" s="143"/>
      <c r="BL460" s="143"/>
      <c r="BM460" s="132"/>
      <c r="BN460" s="132"/>
      <c r="BO460" s="132"/>
      <c r="BP460" s="143"/>
      <c r="BQ460" s="132"/>
      <c r="BR460" s="132"/>
      <c r="BS460" s="132"/>
      <c r="BT460" s="132"/>
      <c r="BU460" s="132"/>
      <c r="BV460" s="210"/>
      <c r="BW460" s="144"/>
      <c r="BX460" s="113"/>
      <c r="BY460" s="273"/>
      <c r="BZ460" s="273"/>
      <c r="CA460" s="132"/>
      <c r="CB460" s="275"/>
      <c r="CC460" s="143"/>
      <c r="CD460" s="275"/>
      <c r="CE460" s="132"/>
      <c r="CF460" s="132"/>
      <c r="CG460" s="36"/>
      <c r="CH460" s="210"/>
      <c r="CI460" s="219"/>
      <c r="CJ460" s="210"/>
      <c r="CK460" s="273"/>
      <c r="CL460" s="273"/>
      <c r="CM460" s="132"/>
      <c r="CN460" s="275"/>
      <c r="CO460" s="143"/>
      <c r="CP460" s="275"/>
      <c r="CQ460" s="132"/>
      <c r="CR460" s="132"/>
      <c r="CS460" s="132"/>
      <c r="CT460" s="275"/>
      <c r="CU460" s="143"/>
      <c r="CV460" s="275"/>
      <c r="CW460" s="132"/>
      <c r="CX460" s="132"/>
      <c r="CY460" s="132"/>
      <c r="CZ460" s="113"/>
      <c r="DA460" s="143"/>
      <c r="DB460" s="113"/>
      <c r="DC460" s="33"/>
      <c r="DD460" s="39"/>
      <c r="DE460" s="11"/>
      <c r="DF460" s="132"/>
      <c r="DG460" s="132"/>
      <c r="DH460" s="132"/>
      <c r="DI460" s="132"/>
      <c r="DJ460" s="132"/>
      <c r="DK460" s="132"/>
      <c r="DL460" s="132"/>
      <c r="DM460" s="132"/>
      <c r="DN460" s="132"/>
      <c r="DO460" s="132"/>
      <c r="DP460" s="132"/>
      <c r="DQ460" s="132"/>
      <c r="DR460" s="132"/>
      <c r="DS460" s="132"/>
      <c r="DT460" s="132"/>
      <c r="DU460" s="132"/>
      <c r="DV460" s="132"/>
      <c r="DW460" s="132"/>
      <c r="DX460" s="132"/>
      <c r="DY460" s="132"/>
      <c r="DZ460" s="132"/>
      <c r="EA460" s="132"/>
      <c r="EB460" s="132"/>
      <c r="EC460" s="132"/>
      <c r="ED460" s="132"/>
      <c r="EE460" s="132"/>
      <c r="EF460" s="132"/>
      <c r="EG460" s="132"/>
      <c r="EH460" s="132"/>
      <c r="EI460" s="132"/>
      <c r="EJ460" s="132"/>
      <c r="EK460" s="132"/>
      <c r="EL460" s="132"/>
      <c r="EM460" s="132"/>
      <c r="EN460" s="132"/>
      <c r="EO460" s="132"/>
      <c r="EP460" s="132"/>
      <c r="EQ460" s="132"/>
      <c r="ER460" s="132"/>
      <c r="ES460" s="132"/>
      <c r="ET460" s="11"/>
      <c r="EU460" s="11"/>
      <c r="EV460" s="11"/>
      <c r="EW460" s="11"/>
      <c r="EX460" s="11"/>
      <c r="EY460" s="11"/>
      <c r="EZ460" s="11"/>
      <c r="FA460" s="11"/>
      <c r="FB460" s="11"/>
      <c r="FC460" s="11"/>
      <c r="FD460" s="11"/>
      <c r="FE460" s="11"/>
      <c r="FF460" s="11"/>
      <c r="FG460" s="11"/>
      <c r="FH460" s="39">
        <f t="shared" si="114"/>
        <v>0</v>
      </c>
      <c r="FI460" s="33">
        <f t="shared" si="115"/>
        <v>0</v>
      </c>
      <c r="FJ460" s="84" t="str">
        <f t="shared" si="116"/>
        <v xml:space="preserve"> </v>
      </c>
    </row>
    <row r="461" spans="1:166" x14ac:dyDescent="0.25">
      <c r="A461" s="79" t="e">
        <f>#REF!</f>
        <v>#REF!</v>
      </c>
      <c r="B461" s="75" t="e">
        <f>#REF!</f>
        <v>#REF!</v>
      </c>
      <c r="C461" s="75" t="e">
        <f>#REF!</f>
        <v>#REF!</v>
      </c>
      <c r="D461" s="75" t="e">
        <f>#REF!</f>
        <v>#REF!</v>
      </c>
      <c r="E461" s="30">
        <v>1</v>
      </c>
      <c r="F461" s="238">
        <v>0</v>
      </c>
      <c r="G461" s="241">
        <v>0</v>
      </c>
      <c r="H461" s="249">
        <v>0</v>
      </c>
      <c r="I461" s="249">
        <v>0</v>
      </c>
      <c r="J461" s="249">
        <v>0</v>
      </c>
      <c r="K461" s="249">
        <v>0</v>
      </c>
      <c r="L461" s="274"/>
      <c r="M461" s="274"/>
      <c r="N461" s="246"/>
      <c r="O461" s="118"/>
      <c r="P461" s="118"/>
      <c r="Q461" s="52"/>
      <c r="R461" s="52"/>
      <c r="S461" s="5"/>
      <c r="T461" s="118"/>
      <c r="U461" s="118"/>
      <c r="V461" s="118"/>
      <c r="W461" s="11"/>
      <c r="X461" s="11"/>
      <c r="Y461" s="11"/>
      <c r="Z461" s="118"/>
      <c r="AA461" s="118"/>
      <c r="AB461" s="118"/>
      <c r="AC461" s="52"/>
      <c r="AD461" s="52"/>
      <c r="AE461" s="11"/>
      <c r="AF461" s="113"/>
      <c r="AG461" s="144"/>
      <c r="AH461" s="118"/>
      <c r="AI461" s="11"/>
      <c r="AJ461" s="11"/>
      <c r="AK461" s="11"/>
      <c r="AL461" s="118"/>
      <c r="AM461" s="118"/>
      <c r="AN461" s="118"/>
      <c r="AO461" s="76"/>
      <c r="AP461" s="11"/>
      <c r="AQ461" s="11"/>
      <c r="AR461" s="274"/>
      <c r="AS461" s="274"/>
      <c r="AT461" s="274"/>
      <c r="AU461" s="48"/>
      <c r="AV461" s="48"/>
      <c r="AW461" s="11"/>
      <c r="AX461" s="274"/>
      <c r="AY461" s="274"/>
      <c r="AZ461" s="274"/>
      <c r="BA461" s="11"/>
      <c r="BB461" s="11"/>
      <c r="BC461" s="11"/>
      <c r="BD461" s="275"/>
      <c r="BE461" s="274"/>
      <c r="BF461" s="274"/>
      <c r="BG461" s="11"/>
      <c r="BH461" s="11"/>
      <c r="BI461" s="11"/>
      <c r="BJ461" s="274"/>
      <c r="BK461" s="274"/>
      <c r="BL461" s="274"/>
      <c r="BM461" s="11"/>
      <c r="BN461" s="11"/>
      <c r="BO461" s="11"/>
      <c r="BP461" s="275"/>
      <c r="BQ461" s="11"/>
      <c r="BR461" s="11"/>
      <c r="BS461" s="11"/>
      <c r="BT461" s="11"/>
      <c r="BU461" s="11"/>
      <c r="BV461" s="210"/>
      <c r="BW461" s="144"/>
      <c r="BX461" s="113"/>
      <c r="BY461" s="273"/>
      <c r="BZ461" s="273"/>
      <c r="CA461" s="11"/>
      <c r="CB461" s="275"/>
      <c r="CC461" s="143"/>
      <c r="CD461" s="275"/>
      <c r="CE461" s="11"/>
      <c r="CF461" s="11"/>
      <c r="CG461" s="11"/>
      <c r="CH461" s="210"/>
      <c r="CI461" s="219"/>
      <c r="CJ461" s="210"/>
      <c r="CK461" s="273"/>
      <c r="CL461" s="273"/>
      <c r="CM461" s="11"/>
      <c r="CN461" s="275"/>
      <c r="CO461" s="143"/>
      <c r="CP461" s="275"/>
      <c r="CQ461" s="11"/>
      <c r="CR461" s="11"/>
      <c r="CS461" s="11"/>
      <c r="CT461" s="275"/>
      <c r="CU461" s="143"/>
      <c r="CV461" s="275"/>
      <c r="CW461" s="11"/>
      <c r="CX461" s="11"/>
      <c r="CY461" s="11"/>
      <c r="CZ461" s="113"/>
      <c r="DA461" s="143"/>
      <c r="DB461" s="113"/>
      <c r="DC461" s="33"/>
      <c r="DD461" s="39"/>
      <c r="DE461" s="11"/>
      <c r="DF461" s="11"/>
      <c r="DG461" s="11"/>
      <c r="DH461" s="11"/>
      <c r="DI461" s="11"/>
      <c r="DJ461" s="11"/>
      <c r="DK461" s="11"/>
      <c r="DL461" s="11"/>
      <c r="DM461" s="11"/>
      <c r="DN461" s="11"/>
      <c r="DO461" s="11"/>
      <c r="DP461" s="11"/>
      <c r="DQ461" s="11"/>
      <c r="DR461" s="11"/>
      <c r="DS461" s="11"/>
      <c r="DT461" s="11"/>
      <c r="DU461" s="11"/>
      <c r="DV461" s="11"/>
      <c r="DW461" s="11"/>
      <c r="DX461" s="11"/>
      <c r="DY461" s="11"/>
      <c r="DZ461" s="11"/>
      <c r="EA461" s="11"/>
      <c r="EB461" s="39"/>
      <c r="EC461" s="39"/>
      <c r="ED461" s="39"/>
      <c r="EE461" s="11"/>
      <c r="EF461" s="11"/>
      <c r="EG461" s="39"/>
      <c r="EH461" s="39"/>
      <c r="EI461" s="34"/>
      <c r="EJ461" s="11"/>
      <c r="EK461" s="11"/>
      <c r="EL461" s="11"/>
      <c r="EM461" s="11"/>
      <c r="EN461" s="11"/>
      <c r="EO461" s="11"/>
      <c r="EP461" s="11"/>
      <c r="EQ461" s="39"/>
      <c r="ER461" s="39"/>
      <c r="ES461" s="39"/>
      <c r="ET461" s="11"/>
      <c r="EU461" s="11"/>
      <c r="EV461" s="11"/>
      <c r="EW461" s="11"/>
      <c r="EX461" s="11"/>
      <c r="EY461" s="11"/>
      <c r="EZ461" s="11"/>
      <c r="FA461" s="11"/>
      <c r="FB461" s="11"/>
      <c r="FC461" s="11"/>
      <c r="FD461" s="11"/>
      <c r="FE461" s="11"/>
      <c r="FF461" s="11"/>
      <c r="FG461" s="11"/>
      <c r="FH461" s="39">
        <f t="shared" si="114"/>
        <v>0</v>
      </c>
      <c r="FI461" s="33">
        <f t="shared" si="115"/>
        <v>0</v>
      </c>
      <c r="FJ461" s="84" t="str">
        <f t="shared" si="116"/>
        <v xml:space="preserve"> </v>
      </c>
    </row>
    <row r="462" spans="1:166" ht="27" x14ac:dyDescent="0.25">
      <c r="A462" s="79" t="e">
        <f>#REF!</f>
        <v>#REF!</v>
      </c>
      <c r="B462" s="75" t="e">
        <f>#REF!</f>
        <v>#REF!</v>
      </c>
      <c r="C462" s="75" t="e">
        <f>#REF!</f>
        <v>#REF!</v>
      </c>
      <c r="D462" s="75" t="e">
        <f>#REF!</f>
        <v>#REF!</v>
      </c>
      <c r="E462" s="30">
        <v>1</v>
      </c>
      <c r="F462" s="238">
        <v>0</v>
      </c>
      <c r="G462" s="241">
        <v>0</v>
      </c>
      <c r="H462" s="249">
        <v>1054637.5</v>
      </c>
      <c r="I462" s="249">
        <v>0</v>
      </c>
      <c r="J462" s="249">
        <v>0</v>
      </c>
      <c r="K462" s="249">
        <v>0</v>
      </c>
      <c r="L462" s="274">
        <f>H462</f>
        <v>1054637.5</v>
      </c>
      <c r="M462" s="274"/>
      <c r="N462" s="245"/>
      <c r="O462" s="113"/>
      <c r="P462" s="113"/>
      <c r="Q462" s="131"/>
      <c r="R462" s="131"/>
      <c r="S462" s="64"/>
      <c r="T462" s="113"/>
      <c r="U462" s="117"/>
      <c r="V462" s="113"/>
      <c r="W462" s="131"/>
      <c r="X462" s="131"/>
      <c r="Y462" s="11"/>
      <c r="Z462" s="113"/>
      <c r="AA462" s="113"/>
      <c r="AB462" s="113"/>
      <c r="AC462" s="52"/>
      <c r="AD462" s="52"/>
      <c r="AE462" s="11"/>
      <c r="AF462" s="118"/>
      <c r="AG462" s="144"/>
      <c r="AH462" s="113"/>
      <c r="AI462" s="11"/>
      <c r="AJ462" s="11"/>
      <c r="AK462" s="39"/>
      <c r="AL462" s="113"/>
      <c r="AM462" s="113"/>
      <c r="AN462" s="117"/>
      <c r="AO462" s="76"/>
      <c r="AP462" s="39"/>
      <c r="AQ462" s="39"/>
      <c r="AR462" s="275"/>
      <c r="AS462" s="275"/>
      <c r="AT462" s="275"/>
      <c r="AU462" s="62"/>
      <c r="AV462" s="62"/>
      <c r="AW462" s="11"/>
      <c r="AX462" s="116"/>
      <c r="AY462" s="116"/>
      <c r="AZ462" s="143"/>
      <c r="BA462" s="191"/>
      <c r="BB462" s="132"/>
      <c r="BC462" s="132"/>
      <c r="BD462" s="274"/>
      <c r="BE462" s="143"/>
      <c r="BF462" s="143"/>
      <c r="BG462" s="132"/>
      <c r="BH462" s="132"/>
      <c r="BI462" s="132"/>
      <c r="BJ462" s="143"/>
      <c r="BK462" s="143"/>
      <c r="BL462" s="143"/>
      <c r="BM462" s="132"/>
      <c r="BN462" s="132"/>
      <c r="BO462" s="132"/>
      <c r="BP462" s="143"/>
      <c r="BQ462" s="132"/>
      <c r="BR462" s="132"/>
      <c r="BS462" s="132"/>
      <c r="BT462" s="132"/>
      <c r="BU462" s="132"/>
      <c r="BV462" s="263">
        <v>1119300</v>
      </c>
      <c r="BW462" s="144">
        <f>BV462*19%</f>
        <v>212667</v>
      </c>
      <c r="BX462" s="113">
        <f>+BV462+BW462</f>
        <v>1331967</v>
      </c>
      <c r="BY462" s="264" t="s">
        <v>340</v>
      </c>
      <c r="BZ462" s="264" t="s">
        <v>263</v>
      </c>
      <c r="CA462" s="132"/>
      <c r="CB462" s="274"/>
      <c r="CC462" s="144"/>
      <c r="CD462" s="274"/>
      <c r="CE462" s="132"/>
      <c r="CF462" s="132"/>
      <c r="CG462" s="36"/>
      <c r="CH462" s="268">
        <v>1197651</v>
      </c>
      <c r="CI462" s="265">
        <f>+CH462*0.19</f>
        <v>227553.69</v>
      </c>
      <c r="CJ462" s="263">
        <f>+CH462+CI462</f>
        <v>1425204.69</v>
      </c>
      <c r="CK462" s="264" t="s">
        <v>340</v>
      </c>
      <c r="CL462" s="264" t="s">
        <v>263</v>
      </c>
      <c r="CM462" s="132"/>
      <c r="CN462" s="274"/>
      <c r="CO462" s="144"/>
      <c r="CP462" s="274"/>
      <c r="CQ462" s="132"/>
      <c r="CR462" s="132"/>
      <c r="CS462" s="132"/>
      <c r="CT462" s="274"/>
      <c r="CU462" s="144"/>
      <c r="CV462" s="274"/>
      <c r="CW462" s="132"/>
      <c r="CX462" s="132"/>
      <c r="CY462" s="132"/>
      <c r="CZ462" s="118"/>
      <c r="DA462" s="144"/>
      <c r="DB462" s="118"/>
      <c r="DC462" s="33"/>
      <c r="DD462" s="39"/>
      <c r="DE462" s="11"/>
      <c r="DF462" s="132"/>
      <c r="DG462" s="132"/>
      <c r="DH462" s="132"/>
      <c r="DI462" s="132"/>
      <c r="DJ462" s="132"/>
      <c r="DK462" s="132"/>
      <c r="DL462" s="132"/>
      <c r="DM462" s="132"/>
      <c r="DN462" s="132"/>
      <c r="DO462" s="132"/>
      <c r="DP462" s="132"/>
      <c r="DQ462" s="132"/>
      <c r="DR462" s="132"/>
      <c r="DS462" s="132"/>
      <c r="DT462" s="132"/>
      <c r="DU462" s="132"/>
      <c r="DV462" s="132"/>
      <c r="DW462" s="132"/>
      <c r="DX462" s="132"/>
      <c r="DY462" s="132"/>
      <c r="DZ462" s="132"/>
      <c r="EA462" s="132"/>
      <c r="EB462" s="132"/>
      <c r="EC462" s="132"/>
      <c r="ED462" s="132"/>
      <c r="EE462" s="132"/>
      <c r="EF462" s="132"/>
      <c r="EG462" s="132"/>
      <c r="EH462" s="132"/>
      <c r="EI462" s="132"/>
      <c r="EJ462" s="132"/>
      <c r="EK462" s="132"/>
      <c r="EL462" s="132"/>
      <c r="EM462" s="132"/>
      <c r="EN462" s="132"/>
      <c r="EO462" s="132"/>
      <c r="EP462" s="132"/>
      <c r="EQ462" s="132"/>
      <c r="ER462" s="132"/>
      <c r="ES462" s="132"/>
      <c r="ET462" s="11"/>
      <c r="EU462" s="11"/>
      <c r="EV462" s="11"/>
      <c r="EW462" s="11"/>
      <c r="EX462" s="11"/>
      <c r="EY462" s="11"/>
      <c r="EZ462" s="11"/>
      <c r="FA462" s="11"/>
      <c r="FB462" s="11"/>
      <c r="FC462" s="11"/>
      <c r="FD462" s="11"/>
      <c r="FE462" s="11"/>
      <c r="FF462" s="11"/>
      <c r="FG462" s="11"/>
      <c r="FH462" s="39">
        <f t="shared" si="114"/>
        <v>2757171.69</v>
      </c>
      <c r="FI462" s="33">
        <f t="shared" si="115"/>
        <v>2</v>
      </c>
      <c r="FJ462" s="84">
        <f t="shared" si="116"/>
        <v>1378585.845</v>
      </c>
    </row>
    <row r="463" spans="1:166" ht="27" x14ac:dyDescent="0.25">
      <c r="A463" s="79" t="e">
        <f>#REF!</f>
        <v>#REF!</v>
      </c>
      <c r="B463" s="75" t="e">
        <f>#REF!</f>
        <v>#REF!</v>
      </c>
      <c r="C463" s="75" t="e">
        <f>#REF!</f>
        <v>#REF!</v>
      </c>
      <c r="D463" s="75" t="e">
        <f>#REF!</f>
        <v>#REF!</v>
      </c>
      <c r="E463" s="30">
        <v>1</v>
      </c>
      <c r="F463" s="238">
        <v>0</v>
      </c>
      <c r="G463" s="241">
        <v>0</v>
      </c>
      <c r="H463" s="249">
        <v>516460</v>
      </c>
      <c r="I463" s="249">
        <v>0</v>
      </c>
      <c r="J463" s="249">
        <v>222768</v>
      </c>
      <c r="K463" s="249">
        <v>0</v>
      </c>
      <c r="L463" s="274">
        <f>AVERAGE(H463,J463)</f>
        <v>369614</v>
      </c>
      <c r="M463" s="274"/>
      <c r="N463" s="246"/>
      <c r="O463" s="118"/>
      <c r="P463" s="118"/>
      <c r="Q463" s="52"/>
      <c r="R463" s="52"/>
      <c r="S463" s="5"/>
      <c r="T463" s="118"/>
      <c r="U463" s="118"/>
      <c r="V463" s="118"/>
      <c r="W463" s="11"/>
      <c r="X463" s="11"/>
      <c r="Y463" s="11"/>
      <c r="Z463" s="118"/>
      <c r="AA463" s="118"/>
      <c r="AB463" s="118"/>
      <c r="AC463" s="52"/>
      <c r="AD463" s="52"/>
      <c r="AE463" s="11"/>
      <c r="AF463" s="118"/>
      <c r="AG463" s="144"/>
      <c r="AH463" s="118"/>
      <c r="AI463" s="11"/>
      <c r="AJ463" s="11"/>
      <c r="AK463" s="11"/>
      <c r="AL463" s="118"/>
      <c r="AM463" s="118"/>
      <c r="AN463" s="118"/>
      <c r="AO463" s="76"/>
      <c r="AP463" s="11"/>
      <c r="AQ463" s="11"/>
      <c r="AR463" s="274">
        <v>187200</v>
      </c>
      <c r="AS463" s="143">
        <f>+AR463*0.19</f>
        <v>35568</v>
      </c>
      <c r="AT463" s="116">
        <f>+AR463+AS463</f>
        <v>222768</v>
      </c>
      <c r="AU463" s="163" t="s">
        <v>109</v>
      </c>
      <c r="AV463" s="36" t="s">
        <v>35</v>
      </c>
      <c r="AW463" s="11"/>
      <c r="AX463" s="274"/>
      <c r="AY463" s="274"/>
      <c r="AZ463" s="274"/>
      <c r="BA463" s="11"/>
      <c r="BB463" s="11"/>
      <c r="BC463" s="11"/>
      <c r="BD463" s="274"/>
      <c r="BE463" s="274"/>
      <c r="BF463" s="274"/>
      <c r="BG463" s="11"/>
      <c r="BH463" s="11"/>
      <c r="BI463" s="11"/>
      <c r="BJ463" s="274"/>
      <c r="BK463" s="274"/>
      <c r="BL463" s="274"/>
      <c r="BM463" s="11"/>
      <c r="BN463" s="11"/>
      <c r="BO463" s="11"/>
      <c r="BP463" s="275"/>
      <c r="BQ463" s="11"/>
      <c r="BR463" s="11"/>
      <c r="BS463" s="11"/>
      <c r="BT463" s="11"/>
      <c r="BU463" s="11"/>
      <c r="BV463" s="263">
        <v>389300</v>
      </c>
      <c r="BW463" s="144">
        <f>BV463*19%</f>
        <v>73967</v>
      </c>
      <c r="BX463" s="113">
        <f>+BV463+BW463</f>
        <v>463267</v>
      </c>
      <c r="BY463" s="264" t="s">
        <v>410</v>
      </c>
      <c r="BZ463" s="264" t="s">
        <v>263</v>
      </c>
      <c r="CA463" s="11"/>
      <c r="CB463" s="274"/>
      <c r="CC463" s="144"/>
      <c r="CD463" s="274"/>
      <c r="CE463" s="11"/>
      <c r="CF463" s="11"/>
      <c r="CG463" s="11"/>
      <c r="CH463" s="263">
        <v>397086</v>
      </c>
      <c r="CI463" s="265">
        <f>+CH463*0.19</f>
        <v>75446.34</v>
      </c>
      <c r="CJ463" s="263">
        <f>+CH463+CI463</f>
        <v>472532.33999999997</v>
      </c>
      <c r="CK463" s="264" t="s">
        <v>410</v>
      </c>
      <c r="CL463" s="264" t="s">
        <v>263</v>
      </c>
      <c r="CM463" s="11"/>
      <c r="CN463" s="274"/>
      <c r="CO463" s="144"/>
      <c r="CP463" s="274"/>
      <c r="CQ463" s="11"/>
      <c r="CR463" s="11"/>
      <c r="CS463" s="11"/>
      <c r="CT463" s="274"/>
      <c r="CU463" s="144"/>
      <c r="CV463" s="274"/>
      <c r="CW463" s="11"/>
      <c r="CX463" s="11"/>
      <c r="CY463" s="11"/>
      <c r="CZ463" s="118"/>
      <c r="DA463" s="144"/>
      <c r="DB463" s="118"/>
      <c r="DC463" s="33"/>
      <c r="DD463" s="39"/>
      <c r="DE463" s="11"/>
      <c r="DF463" s="11"/>
      <c r="DG463" s="11"/>
      <c r="DH463" s="11"/>
      <c r="DI463" s="11"/>
      <c r="DJ463" s="11"/>
      <c r="DK463" s="11"/>
      <c r="DL463" s="11"/>
      <c r="DM463" s="11"/>
      <c r="DN463" s="11"/>
      <c r="DO463" s="11"/>
      <c r="DP463" s="11"/>
      <c r="DQ463" s="11"/>
      <c r="DR463" s="11"/>
      <c r="DS463" s="11"/>
      <c r="DT463" s="11"/>
      <c r="DU463" s="11"/>
      <c r="DV463" s="11"/>
      <c r="DW463" s="11"/>
      <c r="DX463" s="11"/>
      <c r="DY463" s="11"/>
      <c r="DZ463" s="11"/>
      <c r="EA463" s="11"/>
      <c r="EB463" s="39"/>
      <c r="EC463" s="39"/>
      <c r="ED463" s="39"/>
      <c r="EE463" s="11"/>
      <c r="EF463" s="11"/>
      <c r="EG463" s="39"/>
      <c r="EH463" s="39"/>
      <c r="EI463" s="34"/>
      <c r="EJ463" s="11"/>
      <c r="EK463" s="11"/>
      <c r="EL463" s="11"/>
      <c r="EM463" s="11"/>
      <c r="EN463" s="11"/>
      <c r="EO463" s="11"/>
      <c r="EP463" s="11"/>
      <c r="EQ463" s="39"/>
      <c r="ER463" s="39"/>
      <c r="ES463" s="39"/>
      <c r="ET463" s="11"/>
      <c r="EU463" s="11"/>
      <c r="EV463" s="11"/>
      <c r="EW463" s="11"/>
      <c r="EX463" s="11"/>
      <c r="EY463" s="11"/>
      <c r="EZ463" s="11"/>
      <c r="FA463" s="11"/>
      <c r="FB463" s="11"/>
      <c r="FC463" s="11"/>
      <c r="FD463" s="11"/>
      <c r="FE463" s="11"/>
      <c r="FF463" s="11"/>
      <c r="FG463" s="11"/>
      <c r="FH463" s="39">
        <f t="shared" si="114"/>
        <v>1158567.3399999999</v>
      </c>
      <c r="FI463" s="33">
        <f t="shared" si="115"/>
        <v>3</v>
      </c>
      <c r="FJ463" s="84">
        <f t="shared" si="116"/>
        <v>386189.11333333328</v>
      </c>
    </row>
    <row r="464" spans="1:166" ht="13.5" x14ac:dyDescent="0.25">
      <c r="A464" s="79" t="e">
        <f>#REF!</f>
        <v>#REF!</v>
      </c>
      <c r="B464" s="75" t="e">
        <f>#REF!</f>
        <v>#REF!</v>
      </c>
      <c r="C464" s="75" t="e">
        <f>#REF!</f>
        <v>#REF!</v>
      </c>
      <c r="D464" s="75" t="e">
        <f>#REF!</f>
        <v>#REF!</v>
      </c>
      <c r="E464" s="30">
        <v>1</v>
      </c>
      <c r="F464" s="238">
        <v>0</v>
      </c>
      <c r="G464" s="241">
        <v>0</v>
      </c>
      <c r="H464" s="249">
        <v>0</v>
      </c>
      <c r="I464" s="249">
        <v>0</v>
      </c>
      <c r="J464" s="249">
        <v>281058.16666666669</v>
      </c>
      <c r="K464" s="249">
        <v>275485</v>
      </c>
      <c r="L464" s="274">
        <f>J464</f>
        <v>281058.16666666669</v>
      </c>
      <c r="M464" s="274">
        <f>K464*E1</f>
        <v>283749.55</v>
      </c>
      <c r="N464" s="245"/>
      <c r="O464" s="113"/>
      <c r="P464" s="113"/>
      <c r="Q464" s="52"/>
      <c r="R464" s="52"/>
      <c r="S464" s="5"/>
      <c r="T464" s="113"/>
      <c r="U464" s="113"/>
      <c r="V464" s="113"/>
      <c r="W464" s="11"/>
      <c r="X464" s="11"/>
      <c r="Y464" s="11"/>
      <c r="Z464" s="113"/>
      <c r="AA464" s="113"/>
      <c r="AB464" s="113"/>
      <c r="AC464" s="52"/>
      <c r="AD464" s="52"/>
      <c r="AE464" s="11"/>
      <c r="AF464" s="118"/>
      <c r="AG464" s="144"/>
      <c r="AH464" s="113"/>
      <c r="AI464" s="11"/>
      <c r="AJ464" s="11"/>
      <c r="AK464" s="11"/>
      <c r="AL464" s="113">
        <v>165000</v>
      </c>
      <c r="AM464" s="113">
        <f>+AL464*0.19</f>
        <v>31350</v>
      </c>
      <c r="AN464" s="119">
        <f>+AL464+AM464</f>
        <v>196350</v>
      </c>
      <c r="AO464" s="76" t="s">
        <v>34</v>
      </c>
      <c r="AP464" s="11" t="s">
        <v>45</v>
      </c>
      <c r="AQ464" s="11"/>
      <c r="AR464" s="275"/>
      <c r="AS464" s="275"/>
      <c r="AT464" s="275"/>
      <c r="AU464" s="62"/>
      <c r="AV464" s="48"/>
      <c r="AW464" s="11"/>
      <c r="AX464" s="176"/>
      <c r="AY464" s="176"/>
      <c r="AZ464" s="195"/>
      <c r="BA464" s="9"/>
      <c r="BB464" s="9"/>
      <c r="BC464" s="9"/>
      <c r="BD464" s="274"/>
      <c r="BE464" s="143"/>
      <c r="BF464" s="143"/>
      <c r="BG464" s="132"/>
      <c r="BH464" s="9"/>
      <c r="BI464" s="132"/>
      <c r="BJ464" s="143"/>
      <c r="BK464" s="143"/>
      <c r="BL464" s="143"/>
      <c r="BM464" s="132"/>
      <c r="BN464" s="132"/>
      <c r="BO464" s="132"/>
      <c r="BP464" s="143"/>
      <c r="BQ464" s="132"/>
      <c r="BR464" s="132"/>
      <c r="BS464" s="132"/>
      <c r="BT464" s="132"/>
      <c r="BU464" s="132"/>
      <c r="BV464" s="263">
        <v>284400</v>
      </c>
      <c r="BW464" s="144">
        <f>BV464*19%</f>
        <v>54036</v>
      </c>
      <c r="BX464" s="113">
        <f>+BV464+BW464</f>
        <v>338436</v>
      </c>
      <c r="BY464" s="264" t="s">
        <v>340</v>
      </c>
      <c r="BZ464" s="264" t="s">
        <v>88</v>
      </c>
      <c r="CA464" s="132"/>
      <c r="CB464" s="274">
        <v>125550</v>
      </c>
      <c r="CC464" s="144">
        <f>+CB464*19%</f>
        <v>23854.5</v>
      </c>
      <c r="CD464" s="274">
        <f>+CB464+CC464</f>
        <v>149404.5</v>
      </c>
      <c r="CE464" s="132"/>
      <c r="CF464" s="132"/>
      <c r="CG464" s="36"/>
      <c r="CH464" s="263">
        <v>287244</v>
      </c>
      <c r="CI464" s="265">
        <f>+CH464*0.19</f>
        <v>54576.36</v>
      </c>
      <c r="CJ464" s="263">
        <f>+CH464+CI464</f>
        <v>341820.36</v>
      </c>
      <c r="CK464" s="264" t="s">
        <v>340</v>
      </c>
      <c r="CL464" s="264" t="s">
        <v>88</v>
      </c>
      <c r="CM464" s="132"/>
      <c r="CN464" s="274"/>
      <c r="CO464" s="144"/>
      <c r="CP464" s="274"/>
      <c r="CQ464" s="132"/>
      <c r="CR464" s="132"/>
      <c r="CS464" s="132"/>
      <c r="CT464" s="274"/>
      <c r="CU464" s="144"/>
      <c r="CV464" s="274"/>
      <c r="CW464" s="132"/>
      <c r="CX464" s="132"/>
      <c r="CY464" s="132"/>
      <c r="CZ464" s="118"/>
      <c r="DA464" s="144"/>
      <c r="DB464" s="118"/>
      <c r="DC464" s="33"/>
      <c r="DD464" s="39"/>
      <c r="DE464" s="11"/>
      <c r="DF464" s="132"/>
      <c r="DG464" s="132"/>
      <c r="DH464" s="132"/>
      <c r="DI464" s="132"/>
      <c r="DJ464" s="132"/>
      <c r="DK464" s="132"/>
      <c r="DL464" s="132"/>
      <c r="DM464" s="132"/>
      <c r="DN464" s="132"/>
      <c r="DO464" s="132"/>
      <c r="DP464" s="132"/>
      <c r="DQ464" s="132"/>
      <c r="DR464" s="132"/>
      <c r="DS464" s="132"/>
      <c r="DT464" s="132"/>
      <c r="DU464" s="132"/>
      <c r="DV464" s="132"/>
      <c r="DW464" s="132"/>
      <c r="DX464" s="132"/>
      <c r="DY464" s="132"/>
      <c r="DZ464" s="132"/>
      <c r="EA464" s="132"/>
      <c r="EB464" s="132"/>
      <c r="EC464" s="132"/>
      <c r="ED464" s="132"/>
      <c r="EE464" s="132"/>
      <c r="EF464" s="132"/>
      <c r="EG464" s="132"/>
      <c r="EH464" s="132"/>
      <c r="EI464" s="132"/>
      <c r="EJ464" s="132"/>
      <c r="EK464" s="132"/>
      <c r="EL464" s="132"/>
      <c r="EM464" s="132"/>
      <c r="EN464" s="132"/>
      <c r="EO464" s="132"/>
      <c r="EP464" s="132"/>
      <c r="EQ464" s="132"/>
      <c r="ER464" s="132"/>
      <c r="ES464" s="132"/>
      <c r="ET464" s="11"/>
      <c r="EU464" s="11"/>
      <c r="EV464" s="11"/>
      <c r="EW464" s="11"/>
      <c r="EX464" s="11"/>
      <c r="EY464" s="11"/>
      <c r="EZ464" s="11"/>
      <c r="FA464" s="11"/>
      <c r="FB464" s="11"/>
      <c r="FC464" s="11"/>
      <c r="FD464" s="11"/>
      <c r="FE464" s="11"/>
      <c r="FF464" s="11"/>
      <c r="FG464" s="11"/>
      <c r="FH464" s="39">
        <f t="shared" si="114"/>
        <v>1309760.4100000001</v>
      </c>
      <c r="FI464" s="33">
        <f t="shared" si="115"/>
        <v>5</v>
      </c>
      <c r="FJ464" s="84">
        <f t="shared" si="116"/>
        <v>261952.08200000002</v>
      </c>
    </row>
    <row r="465" spans="1:166" ht="13.5" x14ac:dyDescent="0.25">
      <c r="A465" s="79" t="e">
        <f>#REF!</f>
        <v>#REF!</v>
      </c>
      <c r="B465" s="75" t="e">
        <f>#REF!</f>
        <v>#REF!</v>
      </c>
      <c r="C465" s="75" t="e">
        <f>#REF!</f>
        <v>#REF!</v>
      </c>
      <c r="D465" s="75" t="e">
        <f>#REF!</f>
        <v>#REF!</v>
      </c>
      <c r="E465" s="30">
        <v>1</v>
      </c>
      <c r="F465" s="238">
        <v>0</v>
      </c>
      <c r="G465" s="241">
        <v>0</v>
      </c>
      <c r="H465" s="249">
        <v>658149.33333333337</v>
      </c>
      <c r="I465" s="249">
        <v>658070</v>
      </c>
      <c r="J465" s="249">
        <v>0</v>
      </c>
      <c r="K465" s="249">
        <v>0</v>
      </c>
      <c r="L465" s="274">
        <f>H465</f>
        <v>658149.33333333337</v>
      </c>
      <c r="M465" s="274">
        <f>I465*E1</f>
        <v>677812.1</v>
      </c>
      <c r="N465" s="245"/>
      <c r="O465" s="113"/>
      <c r="P465" s="113"/>
      <c r="Q465" s="131"/>
      <c r="R465" s="131"/>
      <c r="S465" s="64"/>
      <c r="T465" s="113"/>
      <c r="U465" s="113"/>
      <c r="V465" s="113"/>
      <c r="W465" s="131"/>
      <c r="X465" s="131"/>
      <c r="Y465" s="11"/>
      <c r="Z465" s="113"/>
      <c r="AA465" s="113"/>
      <c r="AB465" s="113"/>
      <c r="AC465" s="52"/>
      <c r="AD465" s="52"/>
      <c r="AE465" s="11"/>
      <c r="AF465" s="118"/>
      <c r="AG465" s="144"/>
      <c r="AH465" s="113"/>
      <c r="AI465" s="11"/>
      <c r="AJ465" s="11"/>
      <c r="AK465" s="39"/>
      <c r="AL465" s="113"/>
      <c r="AM465" s="113"/>
      <c r="AN465" s="117"/>
      <c r="AO465" s="76"/>
      <c r="AP465" s="39"/>
      <c r="AQ465" s="39"/>
      <c r="AR465" s="275"/>
      <c r="AS465" s="275"/>
      <c r="AT465" s="275"/>
      <c r="AU465" s="62"/>
      <c r="AV465" s="62"/>
      <c r="AW465" s="11"/>
      <c r="AX465" s="116"/>
      <c r="AY465" s="196"/>
      <c r="AZ465" s="143"/>
      <c r="BA465" s="191"/>
      <c r="BB465" s="132"/>
      <c r="BC465" s="132"/>
      <c r="BD465" s="274"/>
      <c r="BE465" s="143"/>
      <c r="BF465" s="143"/>
      <c r="BG465" s="132"/>
      <c r="BH465" s="132"/>
      <c r="BI465" s="132"/>
      <c r="BJ465" s="143"/>
      <c r="BK465" s="143"/>
      <c r="BL465" s="143"/>
      <c r="BM465" s="132"/>
      <c r="BN465" s="132"/>
      <c r="BO465" s="132"/>
      <c r="BP465" s="143"/>
      <c r="BQ465" s="132"/>
      <c r="BR465" s="132"/>
      <c r="BS465" s="132"/>
      <c r="BT465" s="132"/>
      <c r="BU465" s="132"/>
      <c r="BV465" s="263"/>
      <c r="BW465" s="144"/>
      <c r="BX465" s="113"/>
      <c r="BY465" s="264"/>
      <c r="BZ465" s="264"/>
      <c r="CA465" s="132"/>
      <c r="CB465" s="274"/>
      <c r="CC465" s="144"/>
      <c r="CD465" s="274"/>
      <c r="CE465" s="132"/>
      <c r="CF465" s="132"/>
      <c r="CG465" s="36"/>
      <c r="CH465" s="268"/>
      <c r="CI465" s="265"/>
      <c r="CJ465" s="263"/>
      <c r="CK465" s="264"/>
      <c r="CL465" s="264"/>
      <c r="CM465" s="132"/>
      <c r="CN465" s="274"/>
      <c r="CO465" s="144"/>
      <c r="CP465" s="274"/>
      <c r="CQ465" s="132"/>
      <c r="CR465" s="132"/>
      <c r="CS465" s="132"/>
      <c r="CT465" s="274"/>
      <c r="CU465" s="144"/>
      <c r="CV465" s="274"/>
      <c r="CW465" s="132"/>
      <c r="CX465" s="132"/>
      <c r="CY465" s="132"/>
      <c r="CZ465" s="118"/>
      <c r="DA465" s="144"/>
      <c r="DB465" s="118"/>
      <c r="DC465" s="33"/>
      <c r="DD465" s="39"/>
      <c r="DE465" s="11"/>
      <c r="DF465" s="132"/>
      <c r="DG465" s="132"/>
      <c r="DH465" s="132"/>
      <c r="DI465" s="132"/>
      <c r="DJ465" s="132"/>
      <c r="DK465" s="132"/>
      <c r="DL465" s="132"/>
      <c r="DM465" s="132"/>
      <c r="DN465" s="132"/>
      <c r="DO465" s="132"/>
      <c r="DP465" s="132"/>
      <c r="DQ465" s="132"/>
      <c r="DR465" s="132"/>
      <c r="DS465" s="132"/>
      <c r="DT465" s="132"/>
      <c r="DU465" s="132"/>
      <c r="DV465" s="132"/>
      <c r="DW465" s="132"/>
      <c r="DX465" s="132"/>
      <c r="DY465" s="132"/>
      <c r="DZ465" s="132"/>
      <c r="EA465" s="132"/>
      <c r="EB465" s="132"/>
      <c r="EC465" s="132"/>
      <c r="ED465" s="132"/>
      <c r="EE465" s="132"/>
      <c r="EF465" s="132"/>
      <c r="EG465" s="132"/>
      <c r="EH465" s="132"/>
      <c r="EI465" s="132"/>
      <c r="EJ465" s="132"/>
      <c r="EK465" s="132"/>
      <c r="EL465" s="132"/>
      <c r="EM465" s="132"/>
      <c r="EN465" s="132"/>
      <c r="EO465" s="132"/>
      <c r="EP465" s="132"/>
      <c r="EQ465" s="132"/>
      <c r="ER465" s="132"/>
      <c r="ES465" s="132"/>
      <c r="ET465" s="11"/>
      <c r="EU465" s="11"/>
      <c r="EV465" s="11"/>
      <c r="EW465" s="11"/>
      <c r="EX465" s="11"/>
      <c r="EY465" s="11"/>
      <c r="EZ465" s="11"/>
      <c r="FA465" s="11"/>
      <c r="FB465" s="11"/>
      <c r="FC465" s="11"/>
      <c r="FD465" s="11"/>
      <c r="FE465" s="11"/>
      <c r="FF465" s="11"/>
      <c r="FG465" s="11"/>
      <c r="FH465" s="39">
        <f t="shared" si="114"/>
        <v>677812.1</v>
      </c>
      <c r="FI465" s="33">
        <f t="shared" si="115"/>
        <v>1</v>
      </c>
      <c r="FJ465" s="84">
        <f t="shared" si="116"/>
        <v>677812.1</v>
      </c>
    </row>
    <row r="466" spans="1:166" ht="27" x14ac:dyDescent="0.25">
      <c r="A466" s="79" t="e">
        <f>#REF!</f>
        <v>#REF!</v>
      </c>
      <c r="B466" s="75" t="e">
        <f>#REF!</f>
        <v>#REF!</v>
      </c>
      <c r="C466" s="75" t="e">
        <f>#REF!</f>
        <v>#REF!</v>
      </c>
      <c r="D466" s="75" t="e">
        <f>#REF!</f>
        <v>#REF!</v>
      </c>
      <c r="E466" s="30">
        <v>1</v>
      </c>
      <c r="F466" s="238">
        <v>338505.41666666663</v>
      </c>
      <c r="G466" s="241">
        <v>324870</v>
      </c>
      <c r="H466" s="249">
        <v>296154.42857142858</v>
      </c>
      <c r="I466" s="249">
        <v>296072</v>
      </c>
      <c r="J466" s="249">
        <v>371511.47419354838</v>
      </c>
      <c r="K466" s="249">
        <v>362236</v>
      </c>
      <c r="L466" s="274">
        <f>AVERAGE(F466,H466,J466)</f>
        <v>335390.4398105478</v>
      </c>
      <c r="M466" s="274">
        <f>AVERAGE(G466,I466,K466)*E1</f>
        <v>337557.78</v>
      </c>
      <c r="N466" s="245"/>
      <c r="O466" s="113"/>
      <c r="P466" s="113"/>
      <c r="Q466" s="131"/>
      <c r="R466" s="131"/>
      <c r="S466" s="64"/>
      <c r="T466" s="113"/>
      <c r="U466" s="113"/>
      <c r="V466" s="113"/>
      <c r="W466" s="131"/>
      <c r="X466" s="131"/>
      <c r="Y466" s="11"/>
      <c r="Z466" s="113"/>
      <c r="AA466" s="113"/>
      <c r="AB466" s="113"/>
      <c r="AC466" s="52"/>
      <c r="AD466" s="52"/>
      <c r="AE466" s="11"/>
      <c r="AF466" s="118"/>
      <c r="AG466" s="144"/>
      <c r="AH466" s="113"/>
      <c r="AI466" s="11"/>
      <c r="AJ466" s="11"/>
      <c r="AK466" s="39"/>
      <c r="AL466" s="113">
        <v>350000</v>
      </c>
      <c r="AM466" s="113">
        <f>+AL466*0.19</f>
        <v>66500</v>
      </c>
      <c r="AN466" s="119">
        <f>+AL466+AM466</f>
        <v>416500</v>
      </c>
      <c r="AO466" s="76" t="s">
        <v>333</v>
      </c>
      <c r="AP466" s="11" t="s">
        <v>45</v>
      </c>
      <c r="AQ466" s="39"/>
      <c r="AR466" s="275"/>
      <c r="AS466" s="275"/>
      <c r="AT466" s="275"/>
      <c r="AU466" s="62"/>
      <c r="AV466" s="62"/>
      <c r="AW466" s="11"/>
      <c r="AX466" s="116">
        <v>415005.39</v>
      </c>
      <c r="AY466" s="116">
        <f>+AX466*0.19</f>
        <v>78851.02410000001</v>
      </c>
      <c r="AZ466" s="143">
        <f>+AX466+AY466</f>
        <v>493856.41410000005</v>
      </c>
      <c r="BA466" s="191" t="s">
        <v>69</v>
      </c>
      <c r="BB466" s="132" t="s">
        <v>70</v>
      </c>
      <c r="BC466" s="132"/>
      <c r="BD466" s="274"/>
      <c r="BE466" s="143"/>
      <c r="BF466" s="143"/>
      <c r="BG466" s="132"/>
      <c r="BH466" s="132"/>
      <c r="BI466" s="132"/>
      <c r="BJ466" s="143"/>
      <c r="BK466" s="143"/>
      <c r="BL466" s="143"/>
      <c r="BM466" s="132"/>
      <c r="BN466" s="132"/>
      <c r="BO466" s="132"/>
      <c r="BP466" s="143"/>
      <c r="BQ466" s="132"/>
      <c r="BR466" s="132"/>
      <c r="BS466" s="132"/>
      <c r="BT466" s="132"/>
      <c r="BU466" s="132"/>
      <c r="BV466" s="263">
        <v>320900</v>
      </c>
      <c r="BW466" s="144">
        <f>BV466*19%</f>
        <v>60971</v>
      </c>
      <c r="BX466" s="113">
        <f t="shared" ref="BX466:BX496" si="117">+BV466+BW466</f>
        <v>381871</v>
      </c>
      <c r="BY466" s="264" t="s">
        <v>327</v>
      </c>
      <c r="BZ466" s="264" t="s">
        <v>63</v>
      </c>
      <c r="CA466" s="132"/>
      <c r="CB466" s="274"/>
      <c r="CC466" s="144"/>
      <c r="CD466" s="274"/>
      <c r="CE466" s="132"/>
      <c r="CF466" s="132"/>
      <c r="CG466" s="36"/>
      <c r="CH466" s="263">
        <v>327318</v>
      </c>
      <c r="CI466" s="265">
        <f>+CH466*0.19</f>
        <v>62190.42</v>
      </c>
      <c r="CJ466" s="263">
        <f>+CH466+CI466</f>
        <v>389508.42</v>
      </c>
      <c r="CK466" s="264" t="s">
        <v>327</v>
      </c>
      <c r="CL466" s="264" t="s">
        <v>63</v>
      </c>
      <c r="CM466" s="132"/>
      <c r="CN466" s="274"/>
      <c r="CO466" s="144"/>
      <c r="CP466" s="274"/>
      <c r="CQ466" s="132"/>
      <c r="CR466" s="132"/>
      <c r="CS466" s="132"/>
      <c r="CT466" s="274"/>
      <c r="CU466" s="144"/>
      <c r="CV466" s="274"/>
      <c r="CW466" s="132"/>
      <c r="CX466" s="132"/>
      <c r="CY466" s="132"/>
      <c r="CZ466" s="118"/>
      <c r="DA466" s="144"/>
      <c r="DB466" s="118"/>
      <c r="DC466" s="33"/>
      <c r="DD466" s="39"/>
      <c r="DE466" s="11"/>
      <c r="DF466" s="132"/>
      <c r="DG466" s="132"/>
      <c r="DH466" s="132"/>
      <c r="DI466" s="132"/>
      <c r="DJ466" s="132"/>
      <c r="DK466" s="132"/>
      <c r="DL466" s="132"/>
      <c r="DM466" s="132"/>
      <c r="DN466" s="132"/>
      <c r="DO466" s="132"/>
      <c r="DP466" s="132"/>
      <c r="DQ466" s="132"/>
      <c r="DR466" s="132"/>
      <c r="DS466" s="132"/>
      <c r="DT466" s="132"/>
      <c r="DU466" s="132"/>
      <c r="DV466" s="132"/>
      <c r="DW466" s="132"/>
      <c r="DX466" s="132"/>
      <c r="DY466" s="132"/>
      <c r="DZ466" s="132"/>
      <c r="EA466" s="132"/>
      <c r="EB466" s="132"/>
      <c r="EC466" s="132"/>
      <c r="ED466" s="132"/>
      <c r="EE466" s="132"/>
      <c r="EF466" s="132"/>
      <c r="EG466" s="132"/>
      <c r="EH466" s="132"/>
      <c r="EI466" s="132"/>
      <c r="EJ466" s="132"/>
      <c r="EK466" s="132"/>
      <c r="EL466" s="132"/>
      <c r="EM466" s="132"/>
      <c r="EN466" s="132"/>
      <c r="EO466" s="132"/>
      <c r="EP466" s="132"/>
      <c r="EQ466" s="132"/>
      <c r="ER466" s="132"/>
      <c r="ES466" s="132"/>
      <c r="ET466" s="11"/>
      <c r="EU466" s="11"/>
      <c r="EV466" s="11"/>
      <c r="EW466" s="11"/>
      <c r="EX466" s="11"/>
      <c r="EY466" s="11"/>
      <c r="EZ466" s="11"/>
      <c r="FA466" s="11"/>
      <c r="FB466" s="11"/>
      <c r="FC466" s="11"/>
      <c r="FD466" s="11"/>
      <c r="FE466" s="11"/>
      <c r="FF466" s="11"/>
      <c r="FG466" s="11"/>
      <c r="FH466" s="39">
        <f t="shared" si="114"/>
        <v>2019293.6140999999</v>
      </c>
      <c r="FI466" s="33">
        <f t="shared" si="115"/>
        <v>5</v>
      </c>
      <c r="FJ466" s="84">
        <f t="shared" si="116"/>
        <v>403858.72281999997</v>
      </c>
    </row>
    <row r="467" spans="1:166" ht="27" x14ac:dyDescent="0.25">
      <c r="A467" s="79" t="e">
        <f>#REF!</f>
        <v>#REF!</v>
      </c>
      <c r="B467" s="75" t="e">
        <f>#REF!</f>
        <v>#REF!</v>
      </c>
      <c r="C467" s="75" t="e">
        <f>#REF!</f>
        <v>#REF!</v>
      </c>
      <c r="D467" s="75" t="e">
        <f>#REF!</f>
        <v>#REF!</v>
      </c>
      <c r="E467" s="30">
        <v>1</v>
      </c>
      <c r="F467" s="238">
        <v>1436925</v>
      </c>
      <c r="G467" s="241">
        <v>1365049</v>
      </c>
      <c r="H467" s="249">
        <v>1167935.7637499999</v>
      </c>
      <c r="I467" s="249">
        <v>0</v>
      </c>
      <c r="J467" s="249">
        <v>836052.4833333334</v>
      </c>
      <c r="K467" s="249">
        <v>0</v>
      </c>
      <c r="L467" s="274">
        <f>AVERAGE(F467,H467,J467)</f>
        <v>1146971.0823611112</v>
      </c>
      <c r="M467" s="274">
        <f>G467*E1</f>
        <v>1406000.47</v>
      </c>
      <c r="N467" s="245"/>
      <c r="O467" s="113"/>
      <c r="P467" s="113"/>
      <c r="Q467" s="131"/>
      <c r="R467" s="131"/>
      <c r="S467" s="64"/>
      <c r="T467" s="113"/>
      <c r="U467" s="113"/>
      <c r="V467" s="113"/>
      <c r="W467" s="131"/>
      <c r="X467" s="131"/>
      <c r="Y467" s="11"/>
      <c r="Z467" s="113"/>
      <c r="AA467" s="113"/>
      <c r="AB467" s="113"/>
      <c r="AC467" s="52"/>
      <c r="AD467" s="52"/>
      <c r="AE467" s="11"/>
      <c r="AF467" s="118"/>
      <c r="AG467" s="144"/>
      <c r="AH467" s="113"/>
      <c r="AI467" s="11"/>
      <c r="AJ467" s="11"/>
      <c r="AK467" s="39"/>
      <c r="AL467" s="113"/>
      <c r="AM467" s="113"/>
      <c r="AN467" s="117"/>
      <c r="AO467" s="76"/>
      <c r="AP467" s="39"/>
      <c r="AQ467" s="39"/>
      <c r="AR467" s="113">
        <v>302400</v>
      </c>
      <c r="AS467" s="143">
        <f>+AR467*0.19</f>
        <v>57456</v>
      </c>
      <c r="AT467" s="116">
        <f>+AR467+AS467</f>
        <v>359856</v>
      </c>
      <c r="AU467" s="62" t="s">
        <v>411</v>
      </c>
      <c r="AV467" s="36" t="s">
        <v>35</v>
      </c>
      <c r="AW467" s="11"/>
      <c r="AX467" s="116"/>
      <c r="AY467" s="196"/>
      <c r="AZ467" s="143"/>
      <c r="BA467" s="191"/>
      <c r="BB467" s="132"/>
      <c r="BC467" s="132"/>
      <c r="BD467" s="274"/>
      <c r="BE467" s="143"/>
      <c r="BF467" s="143"/>
      <c r="BG467" s="132"/>
      <c r="BH467" s="132"/>
      <c r="BI467" s="132"/>
      <c r="BJ467" s="143"/>
      <c r="BK467" s="143"/>
      <c r="BL467" s="143"/>
      <c r="BM467" s="132"/>
      <c r="BN467" s="132"/>
      <c r="BO467" s="132"/>
      <c r="BP467" s="143"/>
      <c r="BQ467" s="132"/>
      <c r="BR467" s="132"/>
      <c r="BS467" s="132"/>
      <c r="BT467" s="132"/>
      <c r="BU467" s="132"/>
      <c r="BV467" s="263">
        <v>405100</v>
      </c>
      <c r="BW467" s="144">
        <f>BV467*0</f>
        <v>0</v>
      </c>
      <c r="BX467" s="113">
        <f t="shared" si="117"/>
        <v>405100</v>
      </c>
      <c r="BY467" s="264" t="s">
        <v>412</v>
      </c>
      <c r="BZ467" s="264" t="s">
        <v>263</v>
      </c>
      <c r="CA467" s="132"/>
      <c r="CB467" s="274"/>
      <c r="CC467" s="144"/>
      <c r="CD467" s="274"/>
      <c r="CE467" s="132"/>
      <c r="CF467" s="132"/>
      <c r="CG467" s="36"/>
      <c r="CH467" s="263">
        <v>429406</v>
      </c>
      <c r="CI467" s="265">
        <f>+CH467*0</f>
        <v>0</v>
      </c>
      <c r="CJ467" s="263">
        <f>+CH467+CI467</f>
        <v>429406</v>
      </c>
      <c r="CK467" s="264" t="s">
        <v>412</v>
      </c>
      <c r="CL467" s="264" t="s">
        <v>263</v>
      </c>
      <c r="CM467" s="132"/>
      <c r="CN467" s="274"/>
      <c r="CO467" s="144"/>
      <c r="CP467" s="274"/>
      <c r="CQ467" s="132"/>
      <c r="CR467" s="132"/>
      <c r="CS467" s="132"/>
      <c r="CT467" s="274"/>
      <c r="CU467" s="144"/>
      <c r="CV467" s="274"/>
      <c r="CW467" s="132"/>
      <c r="CX467" s="132"/>
      <c r="CY467" s="132"/>
      <c r="CZ467" s="118"/>
      <c r="DA467" s="144"/>
      <c r="DB467" s="118"/>
      <c r="DC467" s="33"/>
      <c r="DD467" s="39"/>
      <c r="DE467" s="11"/>
      <c r="DF467" s="132"/>
      <c r="DG467" s="132"/>
      <c r="DH467" s="132"/>
      <c r="DI467" s="132"/>
      <c r="DJ467" s="132"/>
      <c r="DK467" s="132"/>
      <c r="DL467" s="132"/>
      <c r="DM467" s="132"/>
      <c r="DN467" s="132"/>
      <c r="DO467" s="132"/>
      <c r="DP467" s="132"/>
      <c r="DQ467" s="132"/>
      <c r="DR467" s="132"/>
      <c r="DS467" s="132"/>
      <c r="DT467" s="132"/>
      <c r="DU467" s="132"/>
      <c r="DV467" s="132"/>
      <c r="DW467" s="132"/>
      <c r="DX467" s="132"/>
      <c r="DY467" s="132"/>
      <c r="DZ467" s="132"/>
      <c r="EA467" s="132"/>
      <c r="EB467" s="132"/>
      <c r="EC467" s="132"/>
      <c r="ED467" s="132"/>
      <c r="EE467" s="132"/>
      <c r="EF467" s="132"/>
      <c r="EG467" s="132"/>
      <c r="EH467" s="132"/>
      <c r="EI467" s="132"/>
      <c r="EJ467" s="132"/>
      <c r="EK467" s="132"/>
      <c r="EL467" s="132"/>
      <c r="EM467" s="132"/>
      <c r="EN467" s="132"/>
      <c r="EO467" s="132"/>
      <c r="EP467" s="132"/>
      <c r="EQ467" s="132"/>
      <c r="ER467" s="132"/>
      <c r="ES467" s="132"/>
      <c r="ET467" s="11"/>
      <c r="EU467" s="11"/>
      <c r="EV467" s="11"/>
      <c r="EW467" s="11"/>
      <c r="EX467" s="11"/>
      <c r="EY467" s="11"/>
      <c r="EZ467" s="11"/>
      <c r="FA467" s="11"/>
      <c r="FB467" s="11"/>
      <c r="FC467" s="11"/>
      <c r="FD467" s="11"/>
      <c r="FE467" s="11"/>
      <c r="FF467" s="11"/>
      <c r="FG467" s="11"/>
      <c r="FH467" s="39">
        <f t="shared" si="114"/>
        <v>2600362.4699999997</v>
      </c>
      <c r="FI467" s="33">
        <f t="shared" si="115"/>
        <v>4</v>
      </c>
      <c r="FJ467" s="84">
        <f t="shared" si="116"/>
        <v>650090.61749999993</v>
      </c>
    </row>
    <row r="468" spans="1:166" ht="40.5" x14ac:dyDescent="0.25">
      <c r="A468" s="79" t="e">
        <f>#REF!</f>
        <v>#REF!</v>
      </c>
      <c r="B468" s="75" t="e">
        <f>#REF!</f>
        <v>#REF!</v>
      </c>
      <c r="C468" s="75" t="e">
        <f>#REF!</f>
        <v>#REF!</v>
      </c>
      <c r="D468" s="75" t="e">
        <f>#REF!</f>
        <v>#REF!</v>
      </c>
      <c r="E468" s="30">
        <v>1</v>
      </c>
      <c r="F468" s="238">
        <v>0</v>
      </c>
      <c r="G468" s="241">
        <v>0</v>
      </c>
      <c r="H468" s="249">
        <v>611021.25</v>
      </c>
      <c r="I468" s="249">
        <v>610946</v>
      </c>
      <c r="J468" s="249">
        <v>0</v>
      </c>
      <c r="K468" s="249">
        <v>0</v>
      </c>
      <c r="L468" s="274">
        <f>H468</f>
        <v>611021.25</v>
      </c>
      <c r="M468" s="274">
        <f>I468*E1</f>
        <v>629274.38</v>
      </c>
      <c r="N468" s="245"/>
      <c r="O468" s="113"/>
      <c r="P468" s="113"/>
      <c r="Q468" s="131"/>
      <c r="R468" s="131"/>
      <c r="S468" s="64"/>
      <c r="T468" s="113"/>
      <c r="U468" s="113"/>
      <c r="V468" s="113"/>
      <c r="W468" s="131"/>
      <c r="X468" s="131"/>
      <c r="Y468" s="11"/>
      <c r="Z468" s="113"/>
      <c r="AA468" s="113"/>
      <c r="AB468" s="113"/>
      <c r="AC468" s="52"/>
      <c r="AD468" s="52"/>
      <c r="AE468" s="11"/>
      <c r="AF468" s="118"/>
      <c r="AG468" s="144"/>
      <c r="AH468" s="113"/>
      <c r="AI468" s="11"/>
      <c r="AJ468" s="11"/>
      <c r="AK468" s="39"/>
      <c r="AL468" s="113">
        <v>490000</v>
      </c>
      <c r="AM468" s="113">
        <f>+AL468*0.19</f>
        <v>93100</v>
      </c>
      <c r="AN468" s="119">
        <f>+AL468+AM468</f>
        <v>583100</v>
      </c>
      <c r="AO468" s="76" t="s">
        <v>34</v>
      </c>
      <c r="AP468" s="11" t="s">
        <v>45</v>
      </c>
      <c r="AQ468" s="39"/>
      <c r="AR468" s="113">
        <v>471570</v>
      </c>
      <c r="AS468" s="143">
        <f>+AR468*0.19</f>
        <v>89598.3</v>
      </c>
      <c r="AT468" s="116">
        <f>+AR468+AS468</f>
        <v>561168.30000000005</v>
      </c>
      <c r="AU468" s="62" t="s">
        <v>34</v>
      </c>
      <c r="AV468" s="62" t="s">
        <v>45</v>
      </c>
      <c r="AW468" s="11"/>
      <c r="AX468" s="116">
        <f>1761667.556568/4</f>
        <v>440416.889142</v>
      </c>
      <c r="AY468" s="116">
        <f>+AX468*0.19</f>
        <v>83679.208936979994</v>
      </c>
      <c r="AZ468" s="143">
        <f>+AX468+AY468</f>
        <v>524096.09807897999</v>
      </c>
      <c r="BA468" s="191" t="s">
        <v>54</v>
      </c>
      <c r="BB468" s="132" t="s">
        <v>70</v>
      </c>
      <c r="BC468" s="132"/>
      <c r="BD468" s="274"/>
      <c r="BE468" s="143"/>
      <c r="BF468" s="143"/>
      <c r="BG468" s="132"/>
      <c r="BH468" s="132"/>
      <c r="BI468" s="132"/>
      <c r="BJ468" s="143"/>
      <c r="BK468" s="143"/>
      <c r="BL468" s="143"/>
      <c r="BM468" s="132"/>
      <c r="BN468" s="132"/>
      <c r="BO468" s="132"/>
      <c r="BP468" s="143"/>
      <c r="BQ468" s="132"/>
      <c r="BR468" s="132"/>
      <c r="BS468" s="132"/>
      <c r="BT468" s="132"/>
      <c r="BU468" s="132"/>
      <c r="BV468" s="263">
        <v>1372000</v>
      </c>
      <c r="BW468" s="144">
        <f>BV468*19%</f>
        <v>260680</v>
      </c>
      <c r="BX468" s="113">
        <f t="shared" si="117"/>
        <v>1632680</v>
      </c>
      <c r="BY468" s="264" t="s">
        <v>340</v>
      </c>
      <c r="BZ468" s="264" t="s">
        <v>45</v>
      </c>
      <c r="CA468" s="132"/>
      <c r="CB468" s="274"/>
      <c r="CC468" s="144"/>
      <c r="CD468" s="274"/>
      <c r="CE468" s="132"/>
      <c r="CF468" s="132"/>
      <c r="CG468" s="36"/>
      <c r="CH468" s="268"/>
      <c r="CI468" s="265"/>
      <c r="CJ468" s="263"/>
      <c r="CK468" s="264"/>
      <c r="CL468" s="264"/>
      <c r="CM468" s="132"/>
      <c r="CN468" s="274"/>
      <c r="CO468" s="144"/>
      <c r="CP468" s="274"/>
      <c r="CQ468" s="132"/>
      <c r="CR468" s="132"/>
      <c r="CS468" s="132"/>
      <c r="CT468" s="274"/>
      <c r="CU468" s="144"/>
      <c r="CV468" s="274"/>
      <c r="CW468" s="132"/>
      <c r="CX468" s="132"/>
      <c r="CY468" s="132"/>
      <c r="CZ468" s="118"/>
      <c r="DA468" s="144"/>
      <c r="DB468" s="118"/>
      <c r="DC468" s="33"/>
      <c r="DD468" s="39"/>
      <c r="DE468" s="11"/>
      <c r="DF468" s="132"/>
      <c r="DG468" s="132"/>
      <c r="DH468" s="132"/>
      <c r="DI468" s="132"/>
      <c r="DJ468" s="132"/>
      <c r="DK468" s="132"/>
      <c r="DL468" s="132"/>
      <c r="DM468" s="132"/>
      <c r="DN468" s="132"/>
      <c r="DO468" s="132"/>
      <c r="DP468" s="132"/>
      <c r="DQ468" s="132"/>
      <c r="DR468" s="132"/>
      <c r="DS468" s="132"/>
      <c r="DT468" s="132"/>
      <c r="DU468" s="132"/>
      <c r="DV468" s="132"/>
      <c r="DW468" s="132"/>
      <c r="DX468" s="132"/>
      <c r="DY468" s="132"/>
      <c r="DZ468" s="132"/>
      <c r="EA468" s="132"/>
      <c r="EB468" s="132"/>
      <c r="EC468" s="132"/>
      <c r="ED468" s="132"/>
      <c r="EE468" s="132"/>
      <c r="EF468" s="132"/>
      <c r="EG468" s="132"/>
      <c r="EH468" s="132"/>
      <c r="EI468" s="132"/>
      <c r="EJ468" s="132"/>
      <c r="EK468" s="132"/>
      <c r="EL468" s="132"/>
      <c r="EM468" s="132"/>
      <c r="EN468" s="132"/>
      <c r="EO468" s="132"/>
      <c r="EP468" s="132"/>
      <c r="EQ468" s="132"/>
      <c r="ER468" s="132"/>
      <c r="ES468" s="132"/>
      <c r="ET468" s="11"/>
      <c r="EU468" s="11"/>
      <c r="EV468" s="11"/>
      <c r="EW468" s="11"/>
      <c r="EX468" s="11"/>
      <c r="EY468" s="11"/>
      <c r="EZ468" s="11"/>
      <c r="FA468" s="11"/>
      <c r="FB468" s="11"/>
      <c r="FC468" s="11"/>
      <c r="FD468" s="11"/>
      <c r="FE468" s="11"/>
      <c r="FF468" s="11"/>
      <c r="FG468" s="11"/>
      <c r="FH468" s="39">
        <f t="shared" si="114"/>
        <v>3930318.7780789798</v>
      </c>
      <c r="FI468" s="33">
        <f t="shared" si="115"/>
        <v>5</v>
      </c>
      <c r="FJ468" s="84">
        <f t="shared" si="116"/>
        <v>786063.75561579596</v>
      </c>
    </row>
    <row r="469" spans="1:166" ht="13.5" x14ac:dyDescent="0.25">
      <c r="A469" s="79" t="e">
        <f>#REF!</f>
        <v>#REF!</v>
      </c>
      <c r="B469" s="75" t="e">
        <f>#REF!</f>
        <v>#REF!</v>
      </c>
      <c r="C469" s="75" t="e">
        <f>#REF!</f>
        <v>#REF!</v>
      </c>
      <c r="D469" s="75" t="e">
        <f>#REF!</f>
        <v>#REF!</v>
      </c>
      <c r="E469" s="30">
        <v>1</v>
      </c>
      <c r="F469" s="238">
        <v>509510.40000000002</v>
      </c>
      <c r="G469" s="241">
        <v>496706</v>
      </c>
      <c r="H469" s="249">
        <v>513002.1</v>
      </c>
      <c r="I469" s="249">
        <v>512890</v>
      </c>
      <c r="J469" s="249">
        <v>433906.84399999992</v>
      </c>
      <c r="K469" s="249">
        <v>0</v>
      </c>
      <c r="L469" s="274">
        <f>AVERAGE(F469,H469,J469)</f>
        <v>485473.11466666666</v>
      </c>
      <c r="M469" s="274">
        <f>AVERAGE(G469,I469)*E1</f>
        <v>519941.94</v>
      </c>
      <c r="N469" s="245"/>
      <c r="O469" s="117"/>
      <c r="P469" s="113"/>
      <c r="Q469" s="131"/>
      <c r="R469" s="131"/>
      <c r="S469" s="64"/>
      <c r="T469" s="113"/>
      <c r="U469" s="113"/>
      <c r="V469" s="113"/>
      <c r="W469" s="131"/>
      <c r="X469" s="131"/>
      <c r="Y469" s="11"/>
      <c r="Z469" s="113"/>
      <c r="AA469" s="113"/>
      <c r="AB469" s="113"/>
      <c r="AC469" s="52"/>
      <c r="AD469" s="52"/>
      <c r="AE469" s="11"/>
      <c r="AF469" s="118">
        <v>430000</v>
      </c>
      <c r="AG469" s="144">
        <f>AF469*19%</f>
        <v>81700</v>
      </c>
      <c r="AH469" s="113">
        <f>+AF469+AG469</f>
        <v>511700</v>
      </c>
      <c r="AI469" s="11"/>
      <c r="AJ469" s="11"/>
      <c r="AK469" s="39"/>
      <c r="AL469" s="113">
        <v>350000</v>
      </c>
      <c r="AM469" s="113">
        <f>+AL469*0.19</f>
        <v>66500</v>
      </c>
      <c r="AN469" s="119">
        <f>+AL469+AM469</f>
        <v>416500</v>
      </c>
      <c r="AO469" s="76" t="s">
        <v>413</v>
      </c>
      <c r="AP469" s="11" t="s">
        <v>45</v>
      </c>
      <c r="AQ469" s="39"/>
      <c r="AR469" s="113">
        <v>342868</v>
      </c>
      <c r="AS469" s="143">
        <f>+AR469*0.19</f>
        <v>65144.92</v>
      </c>
      <c r="AT469" s="116">
        <f>+AR469+AS469</f>
        <v>408012.92</v>
      </c>
      <c r="AU469" s="62" t="s">
        <v>95</v>
      </c>
      <c r="AV469" s="62" t="s">
        <v>45</v>
      </c>
      <c r="AW469" s="11"/>
      <c r="AX469" s="116"/>
      <c r="AY469" s="196"/>
      <c r="AZ469" s="143"/>
      <c r="BA469" s="191"/>
      <c r="BB469" s="132"/>
      <c r="BC469" s="132"/>
      <c r="BD469" s="274"/>
      <c r="BE469" s="143"/>
      <c r="BF469" s="143"/>
      <c r="BG469" s="132"/>
      <c r="BH469" s="132"/>
      <c r="BI469" s="132"/>
      <c r="BJ469" s="143"/>
      <c r="BK469" s="143"/>
      <c r="BL469" s="143"/>
      <c r="BM469" s="132"/>
      <c r="BN469" s="132"/>
      <c r="BO469" s="132"/>
      <c r="BP469" s="143"/>
      <c r="BQ469" s="132"/>
      <c r="BR469" s="132"/>
      <c r="BS469" s="132"/>
      <c r="BT469" s="132"/>
      <c r="BU469" s="132"/>
      <c r="BV469" s="263">
        <v>582200</v>
      </c>
      <c r="BW469" s="144">
        <f>BV469*19%</f>
        <v>110618</v>
      </c>
      <c r="BX469" s="113">
        <f t="shared" si="117"/>
        <v>692818</v>
      </c>
      <c r="BY469" s="264" t="s">
        <v>352</v>
      </c>
      <c r="BZ469" s="264" t="s">
        <v>88</v>
      </c>
      <c r="CA469" s="132"/>
      <c r="CB469" s="274"/>
      <c r="CC469" s="144"/>
      <c r="CD469" s="274"/>
      <c r="CE469" s="132"/>
      <c r="CF469" s="132"/>
      <c r="CG469" s="36"/>
      <c r="CH469" s="263">
        <v>593844</v>
      </c>
      <c r="CI469" s="265">
        <f>+CH469*0.19</f>
        <v>112830.36</v>
      </c>
      <c r="CJ469" s="263">
        <f>+CH469+CI469</f>
        <v>706674.36</v>
      </c>
      <c r="CK469" s="264" t="s">
        <v>352</v>
      </c>
      <c r="CL469" s="264" t="s">
        <v>88</v>
      </c>
      <c r="CM469" s="132"/>
      <c r="CN469" s="274"/>
      <c r="CO469" s="144"/>
      <c r="CP469" s="274"/>
      <c r="CQ469" s="132"/>
      <c r="CR469" s="132"/>
      <c r="CS469" s="132"/>
      <c r="CT469" s="144">
        <v>438000</v>
      </c>
      <c r="CU469" s="144">
        <f>CT469*0.19</f>
        <v>83220</v>
      </c>
      <c r="CV469" s="144">
        <f>CU469+CT469</f>
        <v>521220</v>
      </c>
      <c r="CW469" s="132"/>
      <c r="CX469" s="132"/>
      <c r="CY469" s="132"/>
      <c r="CZ469" s="118">
        <v>241655</v>
      </c>
      <c r="DA469" s="144">
        <f>+CZ469*0.19</f>
        <v>45914.45</v>
      </c>
      <c r="DB469" s="118">
        <f>+CZ469+DA469</f>
        <v>287569.45</v>
      </c>
      <c r="DC469" s="33" t="s">
        <v>96</v>
      </c>
      <c r="DD469" s="39" t="s">
        <v>58</v>
      </c>
      <c r="DE469" s="11" t="s">
        <v>414</v>
      </c>
      <c r="DF469" s="132"/>
      <c r="DG469" s="132"/>
      <c r="DH469" s="132"/>
      <c r="DI469" s="132"/>
      <c r="DJ469" s="132"/>
      <c r="DK469" s="132"/>
      <c r="DL469" s="132"/>
      <c r="DM469" s="132"/>
      <c r="DN469" s="132"/>
      <c r="DO469" s="132"/>
      <c r="DP469" s="132"/>
      <c r="DQ469" s="132"/>
      <c r="DR469" s="132"/>
      <c r="DS469" s="132"/>
      <c r="DT469" s="132"/>
      <c r="DU469" s="132"/>
      <c r="DV469" s="132"/>
      <c r="DW469" s="132"/>
      <c r="DX469" s="132"/>
      <c r="DY469" s="132"/>
      <c r="DZ469" s="132"/>
      <c r="EA469" s="132"/>
      <c r="EB469" s="132"/>
      <c r="EC469" s="132"/>
      <c r="ED469" s="132"/>
      <c r="EE469" s="132"/>
      <c r="EF469" s="132"/>
      <c r="EG469" s="132"/>
      <c r="EH469" s="132"/>
      <c r="EI469" s="132"/>
      <c r="EJ469" s="132"/>
      <c r="EK469" s="132"/>
      <c r="EL469" s="132"/>
      <c r="EM469" s="132"/>
      <c r="EN469" s="132"/>
      <c r="EO469" s="132"/>
      <c r="EP469" s="132"/>
      <c r="EQ469" s="132"/>
      <c r="ER469" s="132"/>
      <c r="ES469" s="132"/>
      <c r="ET469" s="11"/>
      <c r="EU469" s="11"/>
      <c r="EV469" s="11"/>
      <c r="EW469" s="11"/>
      <c r="EX469" s="11"/>
      <c r="EY469" s="11"/>
      <c r="EZ469" s="11"/>
      <c r="FA469" s="11"/>
      <c r="FB469" s="11"/>
      <c r="FC469" s="11"/>
      <c r="FD469" s="11"/>
      <c r="FE469" s="11"/>
      <c r="FF469" s="11"/>
      <c r="FG469" s="11"/>
      <c r="FH469" s="39">
        <f t="shared" si="114"/>
        <v>4064436.67</v>
      </c>
      <c r="FI469" s="33">
        <f t="shared" si="115"/>
        <v>8</v>
      </c>
      <c r="FJ469" s="84">
        <f t="shared" si="116"/>
        <v>508054.58374999999</v>
      </c>
    </row>
    <row r="470" spans="1:166" ht="13.5" x14ac:dyDescent="0.25">
      <c r="A470" s="79" t="e">
        <f>#REF!</f>
        <v>#REF!</v>
      </c>
      <c r="B470" s="75" t="e">
        <f>#REF!</f>
        <v>#REF!</v>
      </c>
      <c r="C470" s="75" t="e">
        <f>#REF!</f>
        <v>#REF!</v>
      </c>
      <c r="D470" s="75" t="e">
        <f>#REF!</f>
        <v>#REF!</v>
      </c>
      <c r="E470" s="30">
        <v>1</v>
      </c>
      <c r="F470" s="238">
        <v>0</v>
      </c>
      <c r="G470" s="241">
        <v>0</v>
      </c>
      <c r="H470" s="249">
        <v>0</v>
      </c>
      <c r="I470" s="249">
        <v>0</v>
      </c>
      <c r="J470" s="249">
        <v>452200</v>
      </c>
      <c r="K470" s="249">
        <v>0</v>
      </c>
      <c r="L470" s="274">
        <f>J470</f>
        <v>452200</v>
      </c>
      <c r="M470" s="274"/>
      <c r="N470" s="245"/>
      <c r="O470" s="117"/>
      <c r="P470" s="113"/>
      <c r="Q470" s="131"/>
      <c r="R470" s="131"/>
      <c r="S470" s="64"/>
      <c r="T470" s="113"/>
      <c r="U470" s="113"/>
      <c r="V470" s="113"/>
      <c r="W470" s="131"/>
      <c r="X470" s="131"/>
      <c r="Y470" s="11"/>
      <c r="Z470" s="113"/>
      <c r="AA470" s="113"/>
      <c r="AB470" s="113"/>
      <c r="AC470" s="52"/>
      <c r="AD470" s="52"/>
      <c r="AE470" s="11"/>
      <c r="AF470" s="118">
        <v>330000</v>
      </c>
      <c r="AG470" s="144">
        <f>AF470*19%</f>
        <v>62700</v>
      </c>
      <c r="AH470" s="113">
        <f>+AF470+AG470</f>
        <v>392700</v>
      </c>
      <c r="AI470" s="11"/>
      <c r="AJ470" s="11"/>
      <c r="AK470" s="39"/>
      <c r="AL470" s="113"/>
      <c r="AM470" s="113"/>
      <c r="AN470" s="117"/>
      <c r="AO470" s="76"/>
      <c r="AP470" s="39"/>
      <c r="AQ470" s="39"/>
      <c r="AR470" s="113">
        <v>314715</v>
      </c>
      <c r="AS470" s="143">
        <f>+AR470*0</f>
        <v>0</v>
      </c>
      <c r="AT470" s="116">
        <f>+AR470+AS470</f>
        <v>314715</v>
      </c>
      <c r="AU470" s="62" t="s">
        <v>60</v>
      </c>
      <c r="AV470" s="62" t="s">
        <v>45</v>
      </c>
      <c r="AW470" s="11"/>
      <c r="AX470" s="116"/>
      <c r="AY470" s="196"/>
      <c r="AZ470" s="143"/>
      <c r="BA470" s="191"/>
      <c r="BB470" s="132"/>
      <c r="BC470" s="132"/>
      <c r="BD470" s="274"/>
      <c r="BE470" s="143"/>
      <c r="BF470" s="143"/>
      <c r="BG470" s="132"/>
      <c r="BH470" s="132"/>
      <c r="BI470" s="132"/>
      <c r="BJ470" s="143"/>
      <c r="BK470" s="143"/>
      <c r="BL470" s="143"/>
      <c r="BM470" s="132"/>
      <c r="BN470" s="132"/>
      <c r="BO470" s="132"/>
      <c r="BP470" s="143"/>
      <c r="BQ470" s="132"/>
      <c r="BR470" s="132"/>
      <c r="BS470" s="132"/>
      <c r="BT470" s="132"/>
      <c r="BU470" s="132"/>
      <c r="BV470" s="263">
        <v>1262700</v>
      </c>
      <c r="BW470" s="144">
        <f>BV470*19%</f>
        <v>239913</v>
      </c>
      <c r="BX470" s="113">
        <f t="shared" si="117"/>
        <v>1502613</v>
      </c>
      <c r="BY470" s="264" t="s">
        <v>236</v>
      </c>
      <c r="BZ470" s="264" t="s">
        <v>88</v>
      </c>
      <c r="CA470" s="132"/>
      <c r="CB470" s="274"/>
      <c r="CC470" s="144"/>
      <c r="CD470" s="274"/>
      <c r="CE470" s="132"/>
      <c r="CF470" s="132"/>
      <c r="CG470" s="36"/>
      <c r="CH470" s="268"/>
      <c r="CI470" s="265"/>
      <c r="CJ470" s="263"/>
      <c r="CK470" s="264"/>
      <c r="CL470" s="264"/>
      <c r="CM470" s="132"/>
      <c r="CN470" s="274"/>
      <c r="CO470" s="144"/>
      <c r="CP470" s="274"/>
      <c r="CQ470" s="132"/>
      <c r="CR470" s="132"/>
      <c r="CS470" s="132"/>
      <c r="CT470" s="274"/>
      <c r="CU470" s="144"/>
      <c r="CV470" s="274"/>
      <c r="CW470" s="132"/>
      <c r="CX470" s="132"/>
      <c r="CY470" s="132"/>
      <c r="CZ470" s="118"/>
      <c r="DA470" s="144"/>
      <c r="DB470" s="118"/>
      <c r="DC470" s="33"/>
      <c r="DD470" s="39"/>
      <c r="DE470" s="11"/>
      <c r="DF470" s="132"/>
      <c r="DG470" s="132"/>
      <c r="DH470" s="132"/>
      <c r="DI470" s="132"/>
      <c r="DJ470" s="132"/>
      <c r="DK470" s="132"/>
      <c r="DL470" s="132"/>
      <c r="DM470" s="132"/>
      <c r="DN470" s="132"/>
      <c r="DO470" s="132"/>
      <c r="DP470" s="132"/>
      <c r="DQ470" s="132"/>
      <c r="DR470" s="132"/>
      <c r="DS470" s="132"/>
      <c r="DT470" s="132"/>
      <c r="DU470" s="132"/>
      <c r="DV470" s="132"/>
      <c r="DW470" s="132"/>
      <c r="DX470" s="132"/>
      <c r="DY470" s="132"/>
      <c r="DZ470" s="132"/>
      <c r="EA470" s="132"/>
      <c r="EB470" s="132"/>
      <c r="EC470" s="132"/>
      <c r="ED470" s="132"/>
      <c r="EE470" s="132"/>
      <c r="EF470" s="132"/>
      <c r="EG470" s="132"/>
      <c r="EH470" s="132"/>
      <c r="EI470" s="132"/>
      <c r="EJ470" s="132"/>
      <c r="EK470" s="132"/>
      <c r="EL470" s="132"/>
      <c r="EM470" s="132"/>
      <c r="EN470" s="132"/>
      <c r="EO470" s="132"/>
      <c r="EP470" s="132"/>
      <c r="EQ470" s="132"/>
      <c r="ER470" s="132"/>
      <c r="ES470" s="132"/>
      <c r="ET470" s="11"/>
      <c r="EU470" s="11"/>
      <c r="EV470" s="11"/>
      <c r="EW470" s="11"/>
      <c r="EX470" s="11"/>
      <c r="EY470" s="11"/>
      <c r="EZ470" s="11"/>
      <c r="FA470" s="11"/>
      <c r="FB470" s="11"/>
      <c r="FC470" s="11"/>
      <c r="FD470" s="11"/>
      <c r="FE470" s="11"/>
      <c r="FF470" s="11"/>
      <c r="FG470" s="11"/>
      <c r="FH470" s="39">
        <f t="shared" si="114"/>
        <v>2210028</v>
      </c>
      <c r="FI470" s="33">
        <f t="shared" si="115"/>
        <v>3</v>
      </c>
      <c r="FJ470" s="84">
        <f t="shared" si="116"/>
        <v>736676</v>
      </c>
    </row>
    <row r="471" spans="1:166" ht="40.5" x14ac:dyDescent="0.25">
      <c r="A471" s="79" t="e">
        <f>#REF!</f>
        <v>#REF!</v>
      </c>
      <c r="B471" s="75" t="e">
        <f>#REF!</f>
        <v>#REF!</v>
      </c>
      <c r="C471" s="75" t="e">
        <f>#REF!</f>
        <v>#REF!</v>
      </c>
      <c r="D471" s="75" t="e">
        <f>#REF!</f>
        <v>#REF!</v>
      </c>
      <c r="E471" s="30">
        <v>1</v>
      </c>
      <c r="F471" s="238">
        <v>301236</v>
      </c>
      <c r="G471" s="241">
        <v>72800</v>
      </c>
      <c r="H471" s="249">
        <v>359448.36940000003</v>
      </c>
      <c r="I471" s="249">
        <v>82500</v>
      </c>
      <c r="J471" s="249">
        <v>198785</v>
      </c>
      <c r="K471" s="249">
        <v>0</v>
      </c>
      <c r="L471" s="274">
        <f>AVERAGE(F471,H471,J471)</f>
        <v>286489.78979999997</v>
      </c>
      <c r="M471" s="274">
        <f>AVERAGE(G471,I471)*E1</f>
        <v>79979.5</v>
      </c>
      <c r="N471" s="245"/>
      <c r="O471" s="113"/>
      <c r="P471" s="113"/>
      <c r="Q471" s="131"/>
      <c r="R471" s="131"/>
      <c r="S471" s="64"/>
      <c r="T471" s="113"/>
      <c r="U471" s="113"/>
      <c r="V471" s="113"/>
      <c r="W471" s="131"/>
      <c r="X471" s="131"/>
      <c r="Y471" s="11"/>
      <c r="Z471" s="113"/>
      <c r="AA471" s="113"/>
      <c r="AB471" s="113"/>
      <c r="AC471" s="52"/>
      <c r="AD471" s="52"/>
      <c r="AE471" s="11"/>
      <c r="AF471" s="118">
        <v>330000</v>
      </c>
      <c r="AG471" s="144">
        <f>AF471*19%</f>
        <v>62700</v>
      </c>
      <c r="AH471" s="113">
        <f>+AF471+AG471</f>
        <v>392700</v>
      </c>
      <c r="AI471" s="11"/>
      <c r="AJ471" s="11"/>
      <c r="AK471" s="39"/>
      <c r="AL471" s="113">
        <v>326000</v>
      </c>
      <c r="AM471" s="113">
        <f>+AL471*0</f>
        <v>0</v>
      </c>
      <c r="AN471" s="119">
        <f>+AL471+AM471</f>
        <v>326000</v>
      </c>
      <c r="AO471" s="76" t="s">
        <v>60</v>
      </c>
      <c r="AP471" s="11" t="s">
        <v>45</v>
      </c>
      <c r="AQ471" s="39"/>
      <c r="AR471" s="275"/>
      <c r="AS471" s="275"/>
      <c r="AT471" s="275"/>
      <c r="AU471" s="62"/>
      <c r="AV471" s="62"/>
      <c r="AW471" s="11"/>
      <c r="AX471" s="116"/>
      <c r="AY471" s="196"/>
      <c r="AZ471" s="143"/>
      <c r="BA471" s="191"/>
      <c r="BB471" s="132"/>
      <c r="BC471" s="132"/>
      <c r="BD471" s="274"/>
      <c r="BE471" s="143"/>
      <c r="BF471" s="143"/>
      <c r="BG471" s="132"/>
      <c r="BH471" s="132"/>
      <c r="BI471" s="132"/>
      <c r="BJ471" s="143"/>
      <c r="BK471" s="143"/>
      <c r="BL471" s="143"/>
      <c r="BM471" s="132"/>
      <c r="BN471" s="132"/>
      <c r="BO471" s="132"/>
      <c r="BP471" s="143"/>
      <c r="BQ471" s="132"/>
      <c r="BR471" s="132"/>
      <c r="BS471" s="132"/>
      <c r="BT471" s="132"/>
      <c r="BU471" s="132"/>
      <c r="BV471" s="263">
        <v>912800</v>
      </c>
      <c r="BW471" s="144">
        <f>BV471*0</f>
        <v>0</v>
      </c>
      <c r="BX471" s="113">
        <f t="shared" si="117"/>
        <v>912800</v>
      </c>
      <c r="BY471" s="264" t="s">
        <v>231</v>
      </c>
      <c r="BZ471" s="264" t="s">
        <v>45</v>
      </c>
      <c r="CA471" s="132"/>
      <c r="CB471" s="274"/>
      <c r="CC471" s="144"/>
      <c r="CD471" s="274"/>
      <c r="CE471" s="132"/>
      <c r="CF471" s="132"/>
      <c r="CG471" s="36"/>
      <c r="CH471" s="263">
        <v>921928</v>
      </c>
      <c r="CI471" s="265">
        <f>+CH471*0.19</f>
        <v>175166.32</v>
      </c>
      <c r="CJ471" s="263">
        <f t="shared" ref="CJ471:CJ477" si="118">+CH471+CI471</f>
        <v>1097094.32</v>
      </c>
      <c r="CK471" s="264" t="s">
        <v>231</v>
      </c>
      <c r="CL471" s="264" t="s">
        <v>45</v>
      </c>
      <c r="CM471" s="132"/>
      <c r="CN471" s="274"/>
      <c r="CO471" s="144"/>
      <c r="CP471" s="274"/>
      <c r="CQ471" s="132"/>
      <c r="CR471" s="132"/>
      <c r="CS471" s="132"/>
      <c r="CT471" s="144">
        <v>408000</v>
      </c>
      <c r="CU471" s="144">
        <f>+CT471*0</f>
        <v>0</v>
      </c>
      <c r="CV471" s="144">
        <f>CT471</f>
        <v>408000</v>
      </c>
      <c r="CW471" s="132"/>
      <c r="CX471" s="132"/>
      <c r="CY471" s="132"/>
      <c r="CZ471" s="118">
        <v>225103</v>
      </c>
      <c r="DA471" s="144">
        <f>+CZ471*0.19</f>
        <v>42769.57</v>
      </c>
      <c r="DB471" s="118">
        <f>+CZ471+DA471</f>
        <v>267872.57</v>
      </c>
      <c r="DC471" s="33" t="s">
        <v>415</v>
      </c>
      <c r="DD471" s="39" t="s">
        <v>58</v>
      </c>
      <c r="DE471" s="11" t="s">
        <v>416</v>
      </c>
      <c r="DF471" s="132"/>
      <c r="DG471" s="132"/>
      <c r="DH471" s="132"/>
      <c r="DI471" s="132"/>
      <c r="DJ471" s="132"/>
      <c r="DK471" s="132"/>
      <c r="DL471" s="132"/>
      <c r="DM471" s="132"/>
      <c r="DN471" s="132"/>
      <c r="DO471" s="132"/>
      <c r="DP471" s="132"/>
      <c r="DQ471" s="132"/>
      <c r="DR471" s="132"/>
      <c r="DS471" s="132"/>
      <c r="DT471" s="132"/>
      <c r="DU471" s="132"/>
      <c r="DV471" s="132"/>
      <c r="DW471" s="132"/>
      <c r="DX471" s="132"/>
      <c r="DY471" s="132"/>
      <c r="DZ471" s="132"/>
      <c r="EA471" s="132"/>
      <c r="EB471" s="132"/>
      <c r="EC471" s="132"/>
      <c r="ED471" s="132"/>
      <c r="EE471" s="132"/>
      <c r="EF471" s="132"/>
      <c r="EG471" s="132"/>
      <c r="EH471" s="132"/>
      <c r="EI471" s="132"/>
      <c r="EJ471" s="132"/>
      <c r="EK471" s="132"/>
      <c r="EL471" s="132"/>
      <c r="EM471" s="132"/>
      <c r="EN471" s="132"/>
      <c r="EO471" s="132"/>
      <c r="EP471" s="132"/>
      <c r="EQ471" s="132"/>
      <c r="ER471" s="132"/>
      <c r="ES471" s="132"/>
      <c r="ET471" s="11"/>
      <c r="EU471" s="11"/>
      <c r="EV471" s="11"/>
      <c r="EW471" s="11"/>
      <c r="EX471" s="11"/>
      <c r="EY471" s="11"/>
      <c r="EZ471" s="11"/>
      <c r="FA471" s="11"/>
      <c r="FB471" s="11"/>
      <c r="FC471" s="11"/>
      <c r="FD471" s="11"/>
      <c r="FE471" s="11"/>
      <c r="FF471" s="11"/>
      <c r="FG471" s="11"/>
      <c r="FH471" s="39">
        <f t="shared" si="114"/>
        <v>3484446.39</v>
      </c>
      <c r="FI471" s="33">
        <f t="shared" si="115"/>
        <v>7</v>
      </c>
      <c r="FJ471" s="84">
        <f t="shared" si="116"/>
        <v>497778.05571428576</v>
      </c>
    </row>
    <row r="472" spans="1:166" ht="13.5" x14ac:dyDescent="0.25">
      <c r="A472" s="79" t="e">
        <f>#REF!</f>
        <v>#REF!</v>
      </c>
      <c r="B472" s="75" t="e">
        <f>#REF!</f>
        <v>#REF!</v>
      </c>
      <c r="C472" s="75" t="e">
        <f>#REF!</f>
        <v>#REF!</v>
      </c>
      <c r="D472" s="75" t="e">
        <f>#REF!</f>
        <v>#REF!</v>
      </c>
      <c r="E472" s="30">
        <v>1</v>
      </c>
      <c r="F472" s="238">
        <v>0</v>
      </c>
      <c r="G472" s="241">
        <v>0</v>
      </c>
      <c r="H472" s="249">
        <v>0</v>
      </c>
      <c r="I472" s="249">
        <v>0</v>
      </c>
      <c r="J472" s="249">
        <v>606115.79999999993</v>
      </c>
      <c r="K472" s="249">
        <v>0</v>
      </c>
      <c r="L472" s="274">
        <f>J472</f>
        <v>606115.79999999993</v>
      </c>
      <c r="M472" s="274"/>
      <c r="N472" s="245"/>
      <c r="O472" s="113"/>
      <c r="P472" s="113"/>
      <c r="Q472" s="131"/>
      <c r="R472" s="131"/>
      <c r="S472" s="64"/>
      <c r="T472" s="113"/>
      <c r="U472" s="113"/>
      <c r="V472" s="113"/>
      <c r="W472" s="131"/>
      <c r="X472" s="131"/>
      <c r="Y472" s="11"/>
      <c r="Z472" s="113"/>
      <c r="AA472" s="113"/>
      <c r="AB472" s="113"/>
      <c r="AC472" s="52"/>
      <c r="AD472" s="52"/>
      <c r="AE472" s="11"/>
      <c r="AF472" s="118"/>
      <c r="AG472" s="144"/>
      <c r="AH472" s="113"/>
      <c r="AI472" s="11"/>
      <c r="AJ472" s="11"/>
      <c r="AK472" s="39"/>
      <c r="AL472" s="113"/>
      <c r="AM472" s="113"/>
      <c r="AN472" s="117"/>
      <c r="AO472" s="76"/>
      <c r="AP472" s="39"/>
      <c r="AQ472" s="39"/>
      <c r="AR472" s="275"/>
      <c r="AS472" s="275"/>
      <c r="AT472" s="275"/>
      <c r="AU472" s="62"/>
      <c r="AV472" s="62"/>
      <c r="AW472" s="11"/>
      <c r="AX472" s="116"/>
      <c r="AY472" s="196"/>
      <c r="AZ472" s="143"/>
      <c r="BA472" s="191"/>
      <c r="BB472" s="132"/>
      <c r="BC472" s="132"/>
      <c r="BD472" s="274"/>
      <c r="BE472" s="143"/>
      <c r="BF472" s="143"/>
      <c r="BG472" s="132"/>
      <c r="BH472" s="132"/>
      <c r="BI472" s="132"/>
      <c r="BJ472" s="143"/>
      <c r="BK472" s="143"/>
      <c r="BL472" s="143"/>
      <c r="BM472" s="132"/>
      <c r="BN472" s="132"/>
      <c r="BO472" s="132"/>
      <c r="BP472" s="143"/>
      <c r="BQ472" s="132"/>
      <c r="BR472" s="132"/>
      <c r="BS472" s="132"/>
      <c r="BT472" s="132"/>
      <c r="BU472" s="132"/>
      <c r="BV472" s="263">
        <v>1432800</v>
      </c>
      <c r="BW472" s="144">
        <f>BV472*0</f>
        <v>0</v>
      </c>
      <c r="BX472" s="113">
        <f t="shared" si="117"/>
        <v>1432800</v>
      </c>
      <c r="BY472" s="264" t="s">
        <v>236</v>
      </c>
      <c r="BZ472" s="264" t="s">
        <v>88</v>
      </c>
      <c r="CA472" s="132"/>
      <c r="CB472" s="274"/>
      <c r="CC472" s="144"/>
      <c r="CD472" s="274"/>
      <c r="CE472" s="132"/>
      <c r="CF472" s="132"/>
      <c r="CG472" s="36"/>
      <c r="CH472" s="263">
        <v>1475784</v>
      </c>
      <c r="CI472" s="265">
        <f>+CH472*0</f>
        <v>0</v>
      </c>
      <c r="CJ472" s="263">
        <f t="shared" si="118"/>
        <v>1475784</v>
      </c>
      <c r="CK472" s="264" t="s">
        <v>236</v>
      </c>
      <c r="CL472" s="264" t="s">
        <v>88</v>
      </c>
      <c r="CM472" s="132"/>
      <c r="CN472" s="274"/>
      <c r="CO472" s="144"/>
      <c r="CP472" s="274"/>
      <c r="CQ472" s="132"/>
      <c r="CR472" s="132"/>
      <c r="CS472" s="132"/>
      <c r="CT472" s="274"/>
      <c r="CU472" s="144"/>
      <c r="CV472" s="274"/>
      <c r="CW472" s="132"/>
      <c r="CX472" s="132"/>
      <c r="CY472" s="132"/>
      <c r="CZ472" s="118"/>
      <c r="DA472" s="144"/>
      <c r="DB472" s="118"/>
      <c r="DC472" s="33"/>
      <c r="DD472" s="39"/>
      <c r="DE472" s="11"/>
      <c r="DF472" s="132"/>
      <c r="DG472" s="132"/>
      <c r="DH472" s="132"/>
      <c r="DI472" s="132"/>
      <c r="DJ472" s="132"/>
      <c r="DK472" s="132"/>
      <c r="DL472" s="132"/>
      <c r="DM472" s="132"/>
      <c r="DN472" s="132"/>
      <c r="DO472" s="132"/>
      <c r="DP472" s="132"/>
      <c r="DQ472" s="132"/>
      <c r="DR472" s="132"/>
      <c r="DS472" s="132"/>
      <c r="DT472" s="132"/>
      <c r="DU472" s="132"/>
      <c r="DV472" s="132"/>
      <c r="DW472" s="132"/>
      <c r="DX472" s="132"/>
      <c r="DY472" s="132"/>
      <c r="DZ472" s="132"/>
      <c r="EA472" s="132"/>
      <c r="EB472" s="132"/>
      <c r="EC472" s="132"/>
      <c r="ED472" s="132"/>
      <c r="EE472" s="132"/>
      <c r="EF472" s="132"/>
      <c r="EG472" s="132"/>
      <c r="EH472" s="132"/>
      <c r="EI472" s="132"/>
      <c r="EJ472" s="132"/>
      <c r="EK472" s="132"/>
      <c r="EL472" s="132"/>
      <c r="EM472" s="132"/>
      <c r="EN472" s="132"/>
      <c r="EO472" s="132"/>
      <c r="EP472" s="132"/>
      <c r="EQ472" s="132"/>
      <c r="ER472" s="132"/>
      <c r="ES472" s="132"/>
      <c r="ET472" s="11"/>
      <c r="EU472" s="11"/>
      <c r="EV472" s="11"/>
      <c r="EW472" s="11"/>
      <c r="EX472" s="11"/>
      <c r="EY472" s="11"/>
      <c r="EZ472" s="11"/>
      <c r="FA472" s="11"/>
      <c r="FB472" s="11"/>
      <c r="FC472" s="11"/>
      <c r="FD472" s="11"/>
      <c r="FE472" s="11"/>
      <c r="FF472" s="11"/>
      <c r="FG472" s="11"/>
      <c r="FH472" s="39">
        <f t="shared" si="114"/>
        <v>2908584</v>
      </c>
      <c r="FI472" s="33">
        <f t="shared" si="115"/>
        <v>2</v>
      </c>
      <c r="FJ472" s="84">
        <f t="shared" si="116"/>
        <v>1454292</v>
      </c>
    </row>
    <row r="473" spans="1:166" ht="27" x14ac:dyDescent="0.25">
      <c r="A473" s="79" t="e">
        <f>#REF!</f>
        <v>#REF!</v>
      </c>
      <c r="B473" s="75" t="e">
        <f>#REF!</f>
        <v>#REF!</v>
      </c>
      <c r="C473" s="75" t="e">
        <f>#REF!</f>
        <v>#REF!</v>
      </c>
      <c r="D473" s="75" t="e">
        <f>#REF!</f>
        <v>#REF!</v>
      </c>
      <c r="E473" s="30">
        <v>1</v>
      </c>
      <c r="F473" s="238">
        <v>0</v>
      </c>
      <c r="G473" s="241">
        <v>0</v>
      </c>
      <c r="H473" s="249">
        <v>0</v>
      </c>
      <c r="I473" s="249">
        <v>0</v>
      </c>
      <c r="J473" s="249">
        <v>659736</v>
      </c>
      <c r="K473" s="249">
        <v>0</v>
      </c>
      <c r="L473" s="274">
        <f>J473</f>
        <v>659736</v>
      </c>
      <c r="M473" s="274"/>
      <c r="N473" s="245"/>
      <c r="O473" s="113"/>
      <c r="P473" s="113"/>
      <c r="Q473" s="131"/>
      <c r="R473" s="131"/>
      <c r="S473" s="64"/>
      <c r="T473" s="113"/>
      <c r="U473" s="113"/>
      <c r="V473" s="113"/>
      <c r="W473" s="131"/>
      <c r="X473" s="131"/>
      <c r="Y473" s="11"/>
      <c r="Z473" s="113"/>
      <c r="AA473" s="113"/>
      <c r="AB473" s="113"/>
      <c r="AC473" s="52"/>
      <c r="AD473" s="52"/>
      <c r="AE473" s="11"/>
      <c r="AF473" s="118"/>
      <c r="AG473" s="144"/>
      <c r="AH473" s="113"/>
      <c r="AI473" s="11"/>
      <c r="AJ473" s="11"/>
      <c r="AK473" s="39"/>
      <c r="AL473" s="113"/>
      <c r="AM473" s="113"/>
      <c r="AN473" s="117"/>
      <c r="AO473" s="76"/>
      <c r="AP473" s="39"/>
      <c r="AQ473" s="39"/>
      <c r="AR473" s="113"/>
      <c r="AS473" s="143"/>
      <c r="AT473" s="116"/>
      <c r="AU473" s="62"/>
      <c r="AV473" s="36"/>
      <c r="AW473" s="11"/>
      <c r="AX473" s="116"/>
      <c r="AY473" s="196"/>
      <c r="AZ473" s="143"/>
      <c r="BA473" s="191"/>
      <c r="BB473" s="132"/>
      <c r="BC473" s="132"/>
      <c r="BD473" s="274"/>
      <c r="BE473" s="143"/>
      <c r="BF473" s="143"/>
      <c r="BG473" s="132"/>
      <c r="BH473" s="132"/>
      <c r="BI473" s="132"/>
      <c r="BJ473" s="143"/>
      <c r="BK473" s="143"/>
      <c r="BL473" s="143"/>
      <c r="BM473" s="132"/>
      <c r="BN473" s="132"/>
      <c r="BO473" s="132"/>
      <c r="BP473" s="143"/>
      <c r="BQ473" s="132"/>
      <c r="BR473" s="132"/>
      <c r="BS473" s="132"/>
      <c r="BT473" s="132"/>
      <c r="BU473" s="132"/>
      <c r="BV473" s="263">
        <v>1120000</v>
      </c>
      <c r="BW473" s="144">
        <f>BV473*19%</f>
        <v>212800</v>
      </c>
      <c r="BX473" s="113">
        <f t="shared" si="117"/>
        <v>1332800</v>
      </c>
      <c r="BY473" s="264" t="s">
        <v>417</v>
      </c>
      <c r="BZ473" s="264" t="s">
        <v>263</v>
      </c>
      <c r="CA473" s="132"/>
      <c r="CB473" s="274"/>
      <c r="CC473" s="144"/>
      <c r="CD473" s="274"/>
      <c r="CE473" s="132"/>
      <c r="CF473" s="132"/>
      <c r="CG473" s="36"/>
      <c r="CH473" s="263">
        <v>1187200</v>
      </c>
      <c r="CI473" s="265">
        <f>+CH473*0.19</f>
        <v>225568</v>
      </c>
      <c r="CJ473" s="263">
        <f t="shared" si="118"/>
        <v>1412768</v>
      </c>
      <c r="CK473" s="264" t="s">
        <v>417</v>
      </c>
      <c r="CL473" s="264" t="s">
        <v>263</v>
      </c>
      <c r="CM473" s="132"/>
      <c r="CN473" s="274"/>
      <c r="CO473" s="144"/>
      <c r="CP473" s="274"/>
      <c r="CQ473" s="132"/>
      <c r="CR473" s="132"/>
      <c r="CS473" s="132"/>
      <c r="CT473" s="144">
        <v>600000</v>
      </c>
      <c r="CU473" s="144">
        <f>CT473*0.19</f>
        <v>114000</v>
      </c>
      <c r="CV473" s="144">
        <f>CU473+CT473</f>
        <v>714000</v>
      </c>
      <c r="CW473" s="132"/>
      <c r="CX473" s="132"/>
      <c r="CY473" s="132"/>
      <c r="CZ473" s="118"/>
      <c r="DA473" s="144"/>
      <c r="DB473" s="118"/>
      <c r="DC473" s="33"/>
      <c r="DD473" s="39"/>
      <c r="DE473" s="11"/>
      <c r="DF473" s="132"/>
      <c r="DG473" s="132"/>
      <c r="DH473" s="132"/>
      <c r="DI473" s="132"/>
      <c r="DJ473" s="132"/>
      <c r="DK473" s="132"/>
      <c r="DL473" s="132"/>
      <c r="DM473" s="132"/>
      <c r="DN473" s="132"/>
      <c r="DO473" s="132"/>
      <c r="DP473" s="132"/>
      <c r="DQ473" s="132"/>
      <c r="DR473" s="132"/>
      <c r="DS473" s="132"/>
      <c r="DT473" s="132"/>
      <c r="DU473" s="132"/>
      <c r="DV473" s="132"/>
      <c r="DW473" s="132"/>
      <c r="DX473" s="132"/>
      <c r="DY473" s="132"/>
      <c r="DZ473" s="132"/>
      <c r="EA473" s="132"/>
      <c r="EB473" s="132"/>
      <c r="EC473" s="132"/>
      <c r="ED473" s="132"/>
      <c r="EE473" s="132"/>
      <c r="EF473" s="132"/>
      <c r="EG473" s="132"/>
      <c r="EH473" s="132"/>
      <c r="EI473" s="132"/>
      <c r="EJ473" s="132"/>
      <c r="EK473" s="132"/>
      <c r="EL473" s="132"/>
      <c r="EM473" s="132"/>
      <c r="EN473" s="132"/>
      <c r="EO473" s="132"/>
      <c r="EP473" s="132"/>
      <c r="EQ473" s="132"/>
      <c r="ER473" s="132"/>
      <c r="ES473" s="132"/>
      <c r="ET473" s="11"/>
      <c r="EU473" s="11"/>
      <c r="EV473" s="11"/>
      <c r="EW473" s="11"/>
      <c r="EX473" s="11"/>
      <c r="EY473" s="11"/>
      <c r="EZ473" s="11"/>
      <c r="FA473" s="11"/>
      <c r="FB473" s="11"/>
      <c r="FC473" s="11"/>
      <c r="FD473" s="11"/>
      <c r="FE473" s="11"/>
      <c r="FF473" s="11"/>
      <c r="FG473" s="11"/>
      <c r="FH473" s="39">
        <f t="shared" si="114"/>
        <v>3459568</v>
      </c>
      <c r="FI473" s="33">
        <f t="shared" si="115"/>
        <v>3</v>
      </c>
      <c r="FJ473" s="84">
        <f t="shared" si="116"/>
        <v>1153189.3333333333</v>
      </c>
    </row>
    <row r="474" spans="1:166" ht="13.5" x14ac:dyDescent="0.25">
      <c r="A474" s="79" t="e">
        <f>#REF!</f>
        <v>#REF!</v>
      </c>
      <c r="B474" s="75" t="e">
        <f>#REF!</f>
        <v>#REF!</v>
      </c>
      <c r="C474" s="75" t="e">
        <f>#REF!</f>
        <v>#REF!</v>
      </c>
      <c r="D474" s="75" t="e">
        <f>#REF!</f>
        <v>#REF!</v>
      </c>
      <c r="E474" s="30">
        <v>1</v>
      </c>
      <c r="F474" s="238">
        <v>629688.5</v>
      </c>
      <c r="G474" s="241">
        <v>604401</v>
      </c>
      <c r="H474" s="249">
        <v>647875.60518333327</v>
      </c>
      <c r="I474" s="249">
        <v>0</v>
      </c>
      <c r="J474" s="249">
        <v>352753.68333333335</v>
      </c>
      <c r="K474" s="249">
        <v>0</v>
      </c>
      <c r="L474" s="274">
        <f>AVERAGE(F474,H474,J474)</f>
        <v>543439.2628388888</v>
      </c>
      <c r="M474" s="274">
        <f>G474*E1</f>
        <v>622533.03</v>
      </c>
      <c r="N474" s="245"/>
      <c r="O474" s="113"/>
      <c r="P474" s="113"/>
      <c r="Q474" s="131"/>
      <c r="R474" s="131"/>
      <c r="S474" s="64"/>
      <c r="T474" s="113"/>
      <c r="U474" s="113"/>
      <c r="V474" s="113"/>
      <c r="W474" s="131"/>
      <c r="X474" s="131"/>
      <c r="Y474" s="11"/>
      <c r="Z474" s="113"/>
      <c r="AA474" s="113"/>
      <c r="AB474" s="113"/>
      <c r="AC474" s="52"/>
      <c r="AD474" s="52"/>
      <c r="AE474" s="11"/>
      <c r="AF474" s="118">
        <v>220000</v>
      </c>
      <c r="AG474" s="144">
        <f>AF474*19%</f>
        <v>41800</v>
      </c>
      <c r="AH474" s="113">
        <f>+AF474+AG474</f>
        <v>261800</v>
      </c>
      <c r="AI474" s="11"/>
      <c r="AJ474" s="11"/>
      <c r="AK474" s="39"/>
      <c r="AL474" s="113"/>
      <c r="AM474" s="113"/>
      <c r="AN474" s="119"/>
      <c r="AO474" s="76"/>
      <c r="AP474" s="39"/>
      <c r="AQ474" s="39"/>
      <c r="AR474" s="275"/>
      <c r="AS474" s="275"/>
      <c r="AT474" s="275"/>
      <c r="AU474" s="62"/>
      <c r="AV474" s="62"/>
      <c r="AW474" s="11"/>
      <c r="AX474" s="116"/>
      <c r="AY474" s="194"/>
      <c r="AZ474" s="143"/>
      <c r="BA474" s="191"/>
      <c r="BB474" s="132"/>
      <c r="BC474" s="132"/>
      <c r="BD474" s="274"/>
      <c r="BE474" s="143"/>
      <c r="BF474" s="143"/>
      <c r="BG474" s="132"/>
      <c r="BH474" s="132"/>
      <c r="BI474" s="132"/>
      <c r="BJ474" s="143"/>
      <c r="BK474" s="143"/>
      <c r="BL474" s="143"/>
      <c r="BM474" s="132"/>
      <c r="BN474" s="132"/>
      <c r="BO474" s="132"/>
      <c r="BP474" s="143"/>
      <c r="BQ474" s="132"/>
      <c r="BR474" s="132"/>
      <c r="BS474" s="132"/>
      <c r="BT474" s="132"/>
      <c r="BU474" s="132"/>
      <c r="BV474" s="263">
        <v>318500</v>
      </c>
      <c r="BW474" s="144">
        <f>BV474*19%</f>
        <v>60515</v>
      </c>
      <c r="BX474" s="113">
        <f t="shared" si="117"/>
        <v>379015</v>
      </c>
      <c r="BY474" s="264" t="s">
        <v>342</v>
      </c>
      <c r="BZ474" s="264" t="s">
        <v>88</v>
      </c>
      <c r="CA474" s="132"/>
      <c r="CB474" s="274"/>
      <c r="CC474" s="144"/>
      <c r="CD474" s="274"/>
      <c r="CE474" s="132"/>
      <c r="CF474" s="132"/>
      <c r="CG474" s="36"/>
      <c r="CH474" s="263">
        <v>334425</v>
      </c>
      <c r="CI474" s="265">
        <f>+CH474*0.19</f>
        <v>63540.75</v>
      </c>
      <c r="CJ474" s="263">
        <f t="shared" si="118"/>
        <v>397965.75</v>
      </c>
      <c r="CK474" s="264" t="s">
        <v>342</v>
      </c>
      <c r="CL474" s="264" t="s">
        <v>88</v>
      </c>
      <c r="CM474" s="132"/>
      <c r="CN474" s="274"/>
      <c r="CO474" s="144"/>
      <c r="CP474" s="274"/>
      <c r="CQ474" s="132"/>
      <c r="CR474" s="132"/>
      <c r="CS474" s="132"/>
      <c r="CT474" s="274"/>
      <c r="CU474" s="144"/>
      <c r="CV474" s="274"/>
      <c r="CW474" s="132"/>
      <c r="CX474" s="132"/>
      <c r="CY474" s="132"/>
      <c r="CZ474" s="118"/>
      <c r="DA474" s="144"/>
      <c r="DB474" s="118"/>
      <c r="DC474" s="33"/>
      <c r="DD474" s="39"/>
      <c r="DE474" s="11"/>
      <c r="DF474" s="132"/>
      <c r="DG474" s="132"/>
      <c r="DH474" s="132"/>
      <c r="DI474" s="132"/>
      <c r="DJ474" s="132"/>
      <c r="DK474" s="132"/>
      <c r="DL474" s="132"/>
      <c r="DM474" s="132"/>
      <c r="DN474" s="132"/>
      <c r="DO474" s="132"/>
      <c r="DP474" s="132"/>
      <c r="DQ474" s="132"/>
      <c r="DR474" s="132"/>
      <c r="DS474" s="132"/>
      <c r="DT474" s="132"/>
      <c r="DU474" s="132"/>
      <c r="DV474" s="132"/>
      <c r="DW474" s="132"/>
      <c r="DX474" s="132"/>
      <c r="DY474" s="132"/>
      <c r="DZ474" s="132"/>
      <c r="EA474" s="132"/>
      <c r="EB474" s="132"/>
      <c r="EC474" s="132"/>
      <c r="ED474" s="132"/>
      <c r="EE474" s="132"/>
      <c r="EF474" s="132"/>
      <c r="EG474" s="132"/>
      <c r="EH474" s="132"/>
      <c r="EI474" s="132"/>
      <c r="EJ474" s="132"/>
      <c r="EK474" s="132"/>
      <c r="EL474" s="132"/>
      <c r="EM474" s="132"/>
      <c r="EN474" s="132"/>
      <c r="EO474" s="132"/>
      <c r="EP474" s="132"/>
      <c r="EQ474" s="132"/>
      <c r="ER474" s="132"/>
      <c r="ES474" s="132"/>
      <c r="ET474" s="11"/>
      <c r="EU474" s="11"/>
      <c r="EV474" s="11"/>
      <c r="EW474" s="11"/>
      <c r="EX474" s="11"/>
      <c r="EY474" s="11"/>
      <c r="EZ474" s="11"/>
      <c r="FA474" s="11"/>
      <c r="FB474" s="11"/>
      <c r="FC474" s="11"/>
      <c r="FD474" s="11"/>
      <c r="FE474" s="11"/>
      <c r="FF474" s="11"/>
      <c r="FG474" s="11"/>
      <c r="FH474" s="39">
        <f t="shared" si="114"/>
        <v>1661313.78</v>
      </c>
      <c r="FI474" s="33">
        <f t="shared" si="115"/>
        <v>4</v>
      </c>
      <c r="FJ474" s="84">
        <f t="shared" si="116"/>
        <v>415328.44500000001</v>
      </c>
    </row>
    <row r="475" spans="1:166" ht="13.5" x14ac:dyDescent="0.25">
      <c r="A475" s="79" t="e">
        <f>#REF!</f>
        <v>#REF!</v>
      </c>
      <c r="B475" s="75" t="e">
        <f>#REF!</f>
        <v>#REF!</v>
      </c>
      <c r="C475" s="75" t="e">
        <f>#REF!</f>
        <v>#REF!</v>
      </c>
      <c r="D475" s="75" t="e">
        <f>#REF!</f>
        <v>#REF!</v>
      </c>
      <c r="E475" s="30">
        <v>1</v>
      </c>
      <c r="F475" s="238">
        <v>0</v>
      </c>
      <c r="G475" s="241">
        <v>0</v>
      </c>
      <c r="H475" s="249">
        <v>0</v>
      </c>
      <c r="I475" s="249">
        <v>0</v>
      </c>
      <c r="J475" s="249">
        <v>0</v>
      </c>
      <c r="K475" s="249">
        <v>0</v>
      </c>
      <c r="L475" s="274"/>
      <c r="M475" s="274"/>
      <c r="N475" s="245"/>
      <c r="O475" s="113"/>
      <c r="P475" s="113"/>
      <c r="Q475" s="131"/>
      <c r="R475" s="131"/>
      <c r="S475" s="64"/>
      <c r="T475" s="113"/>
      <c r="U475" s="113"/>
      <c r="V475" s="113"/>
      <c r="W475" s="131"/>
      <c r="X475" s="131"/>
      <c r="Y475" s="11"/>
      <c r="Z475" s="113"/>
      <c r="AA475" s="113"/>
      <c r="AB475" s="113"/>
      <c r="AC475" s="52"/>
      <c r="AD475" s="52"/>
      <c r="AE475" s="11"/>
      <c r="AF475" s="118"/>
      <c r="AG475" s="144"/>
      <c r="AH475" s="113"/>
      <c r="AI475" s="11"/>
      <c r="AJ475" s="11"/>
      <c r="AK475" s="39"/>
      <c r="AL475" s="113"/>
      <c r="AM475" s="113"/>
      <c r="AN475" s="117"/>
      <c r="AO475" s="76"/>
      <c r="AP475" s="39"/>
      <c r="AQ475" s="39"/>
      <c r="AR475" s="113">
        <v>945000</v>
      </c>
      <c r="AS475" s="143">
        <f>+AR475*0.19</f>
        <v>179550</v>
      </c>
      <c r="AT475" s="116">
        <f>+AR475+AS475</f>
        <v>1124550</v>
      </c>
      <c r="AU475" s="64" t="s">
        <v>286</v>
      </c>
      <c r="AV475" s="64" t="s">
        <v>123</v>
      </c>
      <c r="AW475" s="11"/>
      <c r="AX475" s="116"/>
      <c r="AY475" s="196"/>
      <c r="AZ475" s="143"/>
      <c r="BA475" s="191"/>
      <c r="BB475" s="132"/>
      <c r="BC475" s="132"/>
      <c r="BD475" s="274"/>
      <c r="BE475" s="143"/>
      <c r="BF475" s="143"/>
      <c r="BG475" s="132"/>
      <c r="BH475" s="132"/>
      <c r="BI475" s="132"/>
      <c r="BJ475" s="143"/>
      <c r="BK475" s="143"/>
      <c r="BL475" s="143"/>
      <c r="BM475" s="132"/>
      <c r="BN475" s="132"/>
      <c r="BO475" s="132"/>
      <c r="BP475" s="143"/>
      <c r="BQ475" s="132"/>
      <c r="BR475" s="132"/>
      <c r="BS475" s="132"/>
      <c r="BT475" s="132"/>
      <c r="BU475" s="132"/>
      <c r="BV475" s="263">
        <v>1150000</v>
      </c>
      <c r="BW475" s="144">
        <f>BV475*19%</f>
        <v>218500</v>
      </c>
      <c r="BX475" s="113">
        <f t="shared" si="117"/>
        <v>1368500</v>
      </c>
      <c r="BY475" s="264" t="s">
        <v>365</v>
      </c>
      <c r="BZ475" s="264" t="s">
        <v>409</v>
      </c>
      <c r="CA475" s="132"/>
      <c r="CB475" s="274"/>
      <c r="CC475" s="144"/>
      <c r="CD475" s="274"/>
      <c r="CE475" s="132"/>
      <c r="CF475" s="132"/>
      <c r="CG475" s="36"/>
      <c r="CH475" s="263">
        <v>1173000</v>
      </c>
      <c r="CI475" s="265">
        <f>+CH475*0.19</f>
        <v>222870</v>
      </c>
      <c r="CJ475" s="263">
        <f t="shared" si="118"/>
        <v>1395870</v>
      </c>
      <c r="CK475" s="264" t="s">
        <v>365</v>
      </c>
      <c r="CL475" s="264" t="s">
        <v>409</v>
      </c>
      <c r="CM475" s="132"/>
      <c r="CN475" s="274"/>
      <c r="CO475" s="144"/>
      <c r="CP475" s="274"/>
      <c r="CQ475" s="132"/>
      <c r="CR475" s="132"/>
      <c r="CS475" s="132"/>
      <c r="CT475" s="274"/>
      <c r="CU475" s="144"/>
      <c r="CV475" s="274"/>
      <c r="CW475" s="132"/>
      <c r="CX475" s="132"/>
      <c r="CY475" s="132"/>
      <c r="CZ475" s="118"/>
      <c r="DA475" s="144"/>
      <c r="DB475" s="118"/>
      <c r="DC475" s="33"/>
      <c r="DD475" s="39"/>
      <c r="DE475" s="11"/>
      <c r="DF475" s="132"/>
      <c r="DG475" s="132"/>
      <c r="DH475" s="132"/>
      <c r="DI475" s="132"/>
      <c r="DJ475" s="132"/>
      <c r="DK475" s="132"/>
      <c r="DL475" s="132"/>
      <c r="DM475" s="132"/>
      <c r="DN475" s="132"/>
      <c r="DO475" s="132"/>
      <c r="DP475" s="132"/>
      <c r="DQ475" s="132"/>
      <c r="DR475" s="132"/>
      <c r="DS475" s="132"/>
      <c r="DT475" s="132"/>
      <c r="DU475" s="132"/>
      <c r="DV475" s="132"/>
      <c r="DW475" s="132"/>
      <c r="DX475" s="132"/>
      <c r="DY475" s="132"/>
      <c r="DZ475" s="132"/>
      <c r="EA475" s="132"/>
      <c r="EB475" s="132"/>
      <c r="EC475" s="132"/>
      <c r="ED475" s="132"/>
      <c r="EE475" s="132"/>
      <c r="EF475" s="132"/>
      <c r="EG475" s="132"/>
      <c r="EH475" s="132"/>
      <c r="EI475" s="132"/>
      <c r="EJ475" s="132"/>
      <c r="EK475" s="132"/>
      <c r="EL475" s="132"/>
      <c r="EM475" s="132"/>
      <c r="EN475" s="132"/>
      <c r="EO475" s="132"/>
      <c r="EP475" s="132"/>
      <c r="EQ475" s="132"/>
      <c r="ER475" s="132"/>
      <c r="ES475" s="132"/>
      <c r="ET475" s="11"/>
      <c r="EU475" s="11"/>
      <c r="EV475" s="11"/>
      <c r="EW475" s="11"/>
      <c r="EX475" s="11"/>
      <c r="EY475" s="11"/>
      <c r="EZ475" s="11"/>
      <c r="FA475" s="11"/>
      <c r="FB475" s="11"/>
      <c r="FC475" s="11"/>
      <c r="FD475" s="11"/>
      <c r="FE475" s="11"/>
      <c r="FF475" s="11"/>
      <c r="FG475" s="11"/>
      <c r="FH475" s="39">
        <f t="shared" si="114"/>
        <v>3888920</v>
      </c>
      <c r="FI475" s="33">
        <f t="shared" si="115"/>
        <v>3</v>
      </c>
      <c r="FJ475" s="84">
        <f t="shared" si="116"/>
        <v>1296306.6666666667</v>
      </c>
    </row>
    <row r="476" spans="1:166" ht="13.5" x14ac:dyDescent="0.25">
      <c r="A476" s="79" t="e">
        <f>#REF!</f>
        <v>#REF!</v>
      </c>
      <c r="B476" s="75" t="e">
        <f>#REF!</f>
        <v>#REF!</v>
      </c>
      <c r="C476" s="75" t="e">
        <f>#REF!</f>
        <v>#REF!</v>
      </c>
      <c r="D476" s="75" t="e">
        <f>#REF!</f>
        <v>#REF!</v>
      </c>
      <c r="E476" s="30">
        <v>1</v>
      </c>
      <c r="F476" s="238">
        <v>343910</v>
      </c>
      <c r="G476" s="241">
        <v>0</v>
      </c>
      <c r="H476" s="249">
        <v>381670.30650000001</v>
      </c>
      <c r="I476" s="249">
        <v>0</v>
      </c>
      <c r="J476" s="249">
        <v>399840</v>
      </c>
      <c r="K476" s="249">
        <v>0</v>
      </c>
      <c r="L476" s="274">
        <f>AVERAGE(F476,H476,J476)</f>
        <v>375140.10216666665</v>
      </c>
      <c r="M476" s="274"/>
      <c r="N476" s="245"/>
      <c r="O476" s="113"/>
      <c r="P476" s="113"/>
      <c r="Q476" s="131"/>
      <c r="R476" s="131"/>
      <c r="S476" s="64"/>
      <c r="T476" s="113"/>
      <c r="U476" s="113"/>
      <c r="V476" s="113"/>
      <c r="W476" s="131"/>
      <c r="X476" s="131"/>
      <c r="Y476" s="11"/>
      <c r="Z476" s="113"/>
      <c r="AA476" s="113"/>
      <c r="AB476" s="113"/>
      <c r="AC476" s="52"/>
      <c r="AD476" s="52"/>
      <c r="AE476" s="11"/>
      <c r="AF476" s="118"/>
      <c r="AG476" s="144"/>
      <c r="AH476" s="113"/>
      <c r="AI476" s="11"/>
      <c r="AJ476" s="11"/>
      <c r="AK476" s="39"/>
      <c r="AL476" s="113"/>
      <c r="AM476" s="113"/>
      <c r="AN476" s="117"/>
      <c r="AO476" s="76"/>
      <c r="AP476" s="39"/>
      <c r="AQ476" s="39"/>
      <c r="AR476" s="275"/>
      <c r="AS476" s="275"/>
      <c r="AT476" s="275"/>
      <c r="AU476" s="62"/>
      <c r="AV476" s="62"/>
      <c r="AW476" s="11"/>
      <c r="AX476" s="116"/>
      <c r="AY476" s="196"/>
      <c r="AZ476" s="143"/>
      <c r="BA476" s="191"/>
      <c r="BB476" s="132"/>
      <c r="BC476" s="132"/>
      <c r="BD476" s="274"/>
      <c r="BE476" s="143"/>
      <c r="BF476" s="143"/>
      <c r="BG476" s="132"/>
      <c r="BH476" s="132"/>
      <c r="BI476" s="132"/>
      <c r="BJ476" s="143"/>
      <c r="BK476" s="143"/>
      <c r="BL476" s="143"/>
      <c r="BM476" s="132"/>
      <c r="BN476" s="132"/>
      <c r="BO476" s="132"/>
      <c r="BP476" s="143"/>
      <c r="BQ476" s="132"/>
      <c r="BR476" s="132"/>
      <c r="BS476" s="132"/>
      <c r="BT476" s="132"/>
      <c r="BU476" s="132"/>
      <c r="BV476" s="263">
        <v>558200</v>
      </c>
      <c r="BW476" s="144">
        <f>BV476*19%</f>
        <v>106058</v>
      </c>
      <c r="BX476" s="113">
        <f t="shared" si="117"/>
        <v>664258</v>
      </c>
      <c r="BY476" s="264" t="s">
        <v>329</v>
      </c>
      <c r="BZ476" s="264" t="s">
        <v>88</v>
      </c>
      <c r="CA476" s="132"/>
      <c r="CB476" s="274"/>
      <c r="CC476" s="144"/>
      <c r="CD476" s="274"/>
      <c r="CE476" s="132"/>
      <c r="CF476" s="132"/>
      <c r="CG476" s="36"/>
      <c r="CH476" s="263">
        <v>597274</v>
      </c>
      <c r="CI476" s="265">
        <f>+CH476*0.19</f>
        <v>113482.06</v>
      </c>
      <c r="CJ476" s="263">
        <f t="shared" si="118"/>
        <v>710756.06</v>
      </c>
      <c r="CK476" s="264" t="s">
        <v>329</v>
      </c>
      <c r="CL476" s="264" t="s">
        <v>88</v>
      </c>
      <c r="CM476" s="132"/>
      <c r="CN476" s="274"/>
      <c r="CO476" s="144"/>
      <c r="CP476" s="274"/>
      <c r="CQ476" s="132"/>
      <c r="CR476" s="132"/>
      <c r="CS476" s="132"/>
      <c r="CT476" s="274"/>
      <c r="CU476" s="144"/>
      <c r="CV476" s="274"/>
      <c r="CW476" s="132"/>
      <c r="CX476" s="132"/>
      <c r="CY476" s="132"/>
      <c r="CZ476" s="118"/>
      <c r="DA476" s="144"/>
      <c r="DB476" s="118"/>
      <c r="DC476" s="33"/>
      <c r="DD476" s="39"/>
      <c r="DE476" s="11"/>
      <c r="DF476" s="132"/>
      <c r="DG476" s="132"/>
      <c r="DH476" s="132"/>
      <c r="DI476" s="132"/>
      <c r="DJ476" s="132"/>
      <c r="DK476" s="132"/>
      <c r="DL476" s="132"/>
      <c r="DM476" s="132"/>
      <c r="DN476" s="132"/>
      <c r="DO476" s="132"/>
      <c r="DP476" s="132"/>
      <c r="DQ476" s="132"/>
      <c r="DR476" s="132"/>
      <c r="DS476" s="132"/>
      <c r="DT476" s="132"/>
      <c r="DU476" s="132"/>
      <c r="DV476" s="132"/>
      <c r="DW476" s="132"/>
      <c r="DX476" s="132"/>
      <c r="DY476" s="132"/>
      <c r="DZ476" s="132"/>
      <c r="EA476" s="132"/>
      <c r="EB476" s="132"/>
      <c r="EC476" s="132"/>
      <c r="ED476" s="132"/>
      <c r="EE476" s="132"/>
      <c r="EF476" s="132"/>
      <c r="EG476" s="132"/>
      <c r="EH476" s="132"/>
      <c r="EI476" s="132"/>
      <c r="EJ476" s="132"/>
      <c r="EK476" s="132"/>
      <c r="EL476" s="132"/>
      <c r="EM476" s="132"/>
      <c r="EN476" s="132"/>
      <c r="EO476" s="132"/>
      <c r="EP476" s="132"/>
      <c r="EQ476" s="132"/>
      <c r="ER476" s="132"/>
      <c r="ES476" s="132"/>
      <c r="ET476" s="11"/>
      <c r="EU476" s="11"/>
      <c r="EV476" s="11"/>
      <c r="EW476" s="11"/>
      <c r="EX476" s="11"/>
      <c r="EY476" s="11"/>
      <c r="EZ476" s="11"/>
      <c r="FA476" s="11"/>
      <c r="FB476" s="11"/>
      <c r="FC476" s="11"/>
      <c r="FD476" s="11"/>
      <c r="FE476" s="11"/>
      <c r="FF476" s="11"/>
      <c r="FG476" s="11"/>
      <c r="FH476" s="39">
        <f t="shared" si="114"/>
        <v>1375014.06</v>
      </c>
      <c r="FI476" s="33">
        <f t="shared" si="115"/>
        <v>2</v>
      </c>
      <c r="FJ476" s="84">
        <f t="shared" si="116"/>
        <v>687507.03</v>
      </c>
    </row>
    <row r="477" spans="1:166" ht="27" x14ac:dyDescent="0.25">
      <c r="A477" s="79" t="e">
        <f>#REF!</f>
        <v>#REF!</v>
      </c>
      <c r="B477" s="75" t="e">
        <f>#REF!</f>
        <v>#REF!</v>
      </c>
      <c r="C477" s="75" t="e">
        <f>#REF!</f>
        <v>#REF!</v>
      </c>
      <c r="D477" s="75" t="e">
        <f>#REF!</f>
        <v>#REF!</v>
      </c>
      <c r="E477" s="30">
        <v>1</v>
      </c>
      <c r="F477" s="238">
        <v>0</v>
      </c>
      <c r="G477" s="241">
        <v>0</v>
      </c>
      <c r="H477" s="249">
        <v>429983.33333333331</v>
      </c>
      <c r="I477" s="249">
        <v>0</v>
      </c>
      <c r="J477" s="249">
        <v>263618</v>
      </c>
      <c r="K477" s="249">
        <v>219000</v>
      </c>
      <c r="L477" s="274">
        <f>AVERAGE(H477,J477)</f>
        <v>346800.66666666663</v>
      </c>
      <c r="M477" s="274">
        <f>K477*E1</f>
        <v>225570</v>
      </c>
      <c r="N477" s="245"/>
      <c r="O477" s="113"/>
      <c r="P477" s="113"/>
      <c r="Q477" s="131"/>
      <c r="R477" s="131"/>
      <c r="S477" s="64"/>
      <c r="T477" s="113"/>
      <c r="U477" s="113"/>
      <c r="V477" s="113"/>
      <c r="W477" s="131"/>
      <c r="X477" s="131"/>
      <c r="Y477" s="11"/>
      <c r="Z477" s="113"/>
      <c r="AA477" s="113"/>
      <c r="AB477" s="113"/>
      <c r="AC477" s="52"/>
      <c r="AD477" s="52"/>
      <c r="AE477" s="11"/>
      <c r="AF477" s="118"/>
      <c r="AG477" s="144"/>
      <c r="AH477" s="113"/>
      <c r="AI477" s="11"/>
      <c r="AJ477" s="11"/>
      <c r="AK477" s="39"/>
      <c r="AL477" s="113"/>
      <c r="AM477" s="113"/>
      <c r="AN477" s="117"/>
      <c r="AO477" s="76"/>
      <c r="AP477" s="39"/>
      <c r="AQ477" s="39"/>
      <c r="AR477" s="113"/>
      <c r="AS477" s="143"/>
      <c r="AT477" s="116"/>
      <c r="AU477" s="64"/>
      <c r="AV477" s="36"/>
      <c r="AW477" s="11"/>
      <c r="AX477" s="116"/>
      <c r="AY477" s="116"/>
      <c r="AZ477" s="143"/>
      <c r="BA477" s="191"/>
      <c r="BB477" s="132"/>
      <c r="BC477" s="132"/>
      <c r="BD477" s="274"/>
      <c r="BE477" s="143"/>
      <c r="BF477" s="143"/>
      <c r="BG477" s="132"/>
      <c r="BH477" s="132"/>
      <c r="BI477" s="132"/>
      <c r="BJ477" s="143"/>
      <c r="BK477" s="143"/>
      <c r="BL477" s="143"/>
      <c r="BM477" s="132"/>
      <c r="BN477" s="132"/>
      <c r="BO477" s="132"/>
      <c r="BP477" s="143"/>
      <c r="BQ477" s="132"/>
      <c r="BR477" s="132"/>
      <c r="BS477" s="132"/>
      <c r="BT477" s="132"/>
      <c r="BU477" s="132"/>
      <c r="BV477" s="263">
        <v>429400</v>
      </c>
      <c r="BW477" s="144">
        <f>BV477*0</f>
        <v>0</v>
      </c>
      <c r="BX477" s="113">
        <f t="shared" si="117"/>
        <v>429400</v>
      </c>
      <c r="BY477" s="264" t="s">
        <v>314</v>
      </c>
      <c r="BZ477" s="264" t="s">
        <v>263</v>
      </c>
      <c r="CA477" s="132"/>
      <c r="CB477" s="274"/>
      <c r="CC477" s="144"/>
      <c r="CD477" s="274"/>
      <c r="CE477" s="132"/>
      <c r="CF477" s="132"/>
      <c r="CG477" s="36"/>
      <c r="CH477" s="263">
        <v>433694</v>
      </c>
      <c r="CI477" s="265">
        <f>+CH477*0</f>
        <v>0</v>
      </c>
      <c r="CJ477" s="263">
        <f t="shared" si="118"/>
        <v>433694</v>
      </c>
      <c r="CK477" s="264" t="s">
        <v>314</v>
      </c>
      <c r="CL477" s="264" t="s">
        <v>263</v>
      </c>
      <c r="CM477" s="132"/>
      <c r="CN477" s="274"/>
      <c r="CO477" s="144"/>
      <c r="CP477" s="274"/>
      <c r="CQ477" s="132"/>
      <c r="CR477" s="132"/>
      <c r="CS477" s="132"/>
      <c r="CT477" s="274"/>
      <c r="CU477" s="144"/>
      <c r="CV477" s="274"/>
      <c r="CW477" s="132"/>
      <c r="CX477" s="132"/>
      <c r="CY477" s="132"/>
      <c r="CZ477" s="118"/>
      <c r="DA477" s="144"/>
      <c r="DB477" s="118"/>
      <c r="DC477" s="33"/>
      <c r="DD477" s="39"/>
      <c r="DE477" s="11"/>
      <c r="DF477" s="132"/>
      <c r="DG477" s="132"/>
      <c r="DH477" s="132"/>
      <c r="DI477" s="132"/>
      <c r="DJ477" s="132"/>
      <c r="DK477" s="132"/>
      <c r="DL477" s="132"/>
      <c r="DM477" s="132"/>
      <c r="DN477" s="132"/>
      <c r="DO477" s="132"/>
      <c r="DP477" s="132"/>
      <c r="DQ477" s="132"/>
      <c r="DR477" s="132"/>
      <c r="DS477" s="132"/>
      <c r="DT477" s="132"/>
      <c r="DU477" s="132"/>
      <c r="DV477" s="132"/>
      <c r="DW477" s="132"/>
      <c r="DX477" s="132"/>
      <c r="DY477" s="132"/>
      <c r="DZ477" s="132"/>
      <c r="EA477" s="132"/>
      <c r="EB477" s="132"/>
      <c r="EC477" s="132"/>
      <c r="ED477" s="132"/>
      <c r="EE477" s="132"/>
      <c r="EF477" s="132"/>
      <c r="EG477" s="132"/>
      <c r="EH477" s="132"/>
      <c r="EI477" s="132"/>
      <c r="EJ477" s="132"/>
      <c r="EK477" s="132"/>
      <c r="EL477" s="132"/>
      <c r="EM477" s="132"/>
      <c r="EN477" s="132"/>
      <c r="EO477" s="132"/>
      <c r="EP477" s="132"/>
      <c r="EQ477" s="132"/>
      <c r="ER477" s="132"/>
      <c r="ES477" s="132"/>
      <c r="ET477" s="11"/>
      <c r="EU477" s="11"/>
      <c r="EV477" s="11"/>
      <c r="EW477" s="11"/>
      <c r="EX477" s="11"/>
      <c r="EY477" s="11"/>
      <c r="EZ477" s="11"/>
      <c r="FA477" s="11"/>
      <c r="FB477" s="11"/>
      <c r="FC477" s="11"/>
      <c r="FD477" s="11"/>
      <c r="FE477" s="11"/>
      <c r="FF477" s="11"/>
      <c r="FG477" s="11"/>
      <c r="FH477" s="39">
        <f t="shared" si="114"/>
        <v>1088664</v>
      </c>
      <c r="FI477" s="33">
        <f t="shared" si="115"/>
        <v>3</v>
      </c>
      <c r="FJ477" s="84">
        <f t="shared" si="116"/>
        <v>362888</v>
      </c>
    </row>
    <row r="478" spans="1:166" ht="13.5" x14ac:dyDescent="0.25">
      <c r="A478" s="79" t="e">
        <f>#REF!</f>
        <v>#REF!</v>
      </c>
      <c r="B478" s="75" t="e">
        <f>#REF!</f>
        <v>#REF!</v>
      </c>
      <c r="C478" s="75" t="e">
        <f>#REF!</f>
        <v>#REF!</v>
      </c>
      <c r="D478" s="75" t="e">
        <f>#REF!</f>
        <v>#REF!</v>
      </c>
      <c r="E478" s="30">
        <v>1</v>
      </c>
      <c r="F478" s="238">
        <v>510800</v>
      </c>
      <c r="G478" s="241">
        <v>0</v>
      </c>
      <c r="H478" s="249">
        <v>799204</v>
      </c>
      <c r="I478" s="249">
        <v>0</v>
      </c>
      <c r="J478" s="249">
        <v>3200000</v>
      </c>
      <c r="K478" s="249">
        <v>2650000</v>
      </c>
      <c r="L478" s="274">
        <f>AVERAGE(F478,H478,J478)</f>
        <v>1503334.6666666667</v>
      </c>
      <c r="M478" s="274">
        <f>K478*E1</f>
        <v>2729500</v>
      </c>
      <c r="N478" s="247">
        <v>2230000</v>
      </c>
      <c r="O478" s="113">
        <f>+N478*0</f>
        <v>0</v>
      </c>
      <c r="P478" s="113">
        <f>+O478+N478</f>
        <v>2230000</v>
      </c>
      <c r="Q478" s="36" t="s">
        <v>418</v>
      </c>
      <c r="R478" s="132" t="s">
        <v>200</v>
      </c>
      <c r="S478" s="64"/>
      <c r="T478" s="113"/>
      <c r="U478" s="113"/>
      <c r="V478" s="113"/>
      <c r="W478" s="131"/>
      <c r="X478" s="131"/>
      <c r="Y478" s="11"/>
      <c r="Z478" s="113"/>
      <c r="AA478" s="113"/>
      <c r="AB478" s="113"/>
      <c r="AC478" s="52"/>
      <c r="AD478" s="52"/>
      <c r="AE478" s="11"/>
      <c r="AF478" s="118"/>
      <c r="AG478" s="144"/>
      <c r="AH478" s="113"/>
      <c r="AI478" s="11"/>
      <c r="AJ478" s="11"/>
      <c r="AK478" s="39"/>
      <c r="AL478" s="113"/>
      <c r="AM478" s="113"/>
      <c r="AN478" s="119"/>
      <c r="AO478" s="76"/>
      <c r="AP478" s="39"/>
      <c r="AQ478" s="39"/>
      <c r="AR478" s="275"/>
      <c r="AS478" s="275"/>
      <c r="AT478" s="275"/>
      <c r="AU478" s="62"/>
      <c r="AV478" s="62"/>
      <c r="AW478" s="11"/>
      <c r="AX478" s="116"/>
      <c r="AY478" s="194"/>
      <c r="AZ478" s="143"/>
      <c r="BA478" s="191"/>
      <c r="BB478" s="132"/>
      <c r="BC478" s="132"/>
      <c r="BD478" s="274"/>
      <c r="BE478" s="143"/>
      <c r="BF478" s="143"/>
      <c r="BG478" s="132"/>
      <c r="BH478" s="132"/>
      <c r="BI478" s="132"/>
      <c r="BJ478" s="143"/>
      <c r="BK478" s="143"/>
      <c r="BL478" s="143"/>
      <c r="BM478" s="132"/>
      <c r="BN478" s="132"/>
      <c r="BO478" s="132"/>
      <c r="BP478" s="143"/>
      <c r="BQ478" s="132"/>
      <c r="BR478" s="132"/>
      <c r="BS478" s="132"/>
      <c r="BT478" s="132"/>
      <c r="BU478" s="132"/>
      <c r="BV478" s="263">
        <v>3144000</v>
      </c>
      <c r="BW478" s="144">
        <f>BV478*0</f>
        <v>0</v>
      </c>
      <c r="BX478" s="113">
        <f t="shared" si="117"/>
        <v>3144000</v>
      </c>
      <c r="BY478" s="264" t="s">
        <v>419</v>
      </c>
      <c r="BZ478" s="264" t="s">
        <v>131</v>
      </c>
      <c r="CA478" s="132"/>
      <c r="CB478" s="274"/>
      <c r="CC478" s="144"/>
      <c r="CD478" s="274"/>
      <c r="CE478" s="132"/>
      <c r="CF478" s="132"/>
      <c r="CG478" s="36"/>
      <c r="CH478" s="268"/>
      <c r="CI478" s="265"/>
      <c r="CJ478" s="263"/>
      <c r="CK478" s="264"/>
      <c r="CL478" s="264"/>
      <c r="CM478" s="132"/>
      <c r="CN478" s="274"/>
      <c r="CO478" s="144"/>
      <c r="CP478" s="274"/>
      <c r="CQ478" s="132"/>
      <c r="CR478" s="132"/>
      <c r="CS478" s="132"/>
      <c r="CT478" s="274"/>
      <c r="CU478" s="144"/>
      <c r="CV478" s="274"/>
      <c r="CW478" s="132"/>
      <c r="CX478" s="132"/>
      <c r="CY478" s="132"/>
      <c r="CZ478" s="118"/>
      <c r="DA478" s="144"/>
      <c r="DB478" s="118"/>
      <c r="DC478" s="33"/>
      <c r="DD478" s="39"/>
      <c r="DE478" s="11"/>
      <c r="DF478" s="132"/>
      <c r="DG478" s="132"/>
      <c r="DH478" s="132"/>
      <c r="DI478" s="132"/>
      <c r="DJ478" s="132"/>
      <c r="DK478" s="132"/>
      <c r="DL478" s="132"/>
      <c r="DM478" s="132"/>
      <c r="DN478" s="132"/>
      <c r="DO478" s="132"/>
      <c r="DP478" s="132"/>
      <c r="DQ478" s="132"/>
      <c r="DR478" s="132"/>
      <c r="DS478" s="132"/>
      <c r="DT478" s="132"/>
      <c r="DU478" s="132"/>
      <c r="DV478" s="132"/>
      <c r="DW478" s="132"/>
      <c r="DX478" s="132"/>
      <c r="DY478" s="132"/>
      <c r="DZ478" s="132"/>
      <c r="EA478" s="132"/>
      <c r="EB478" s="132"/>
      <c r="EC478" s="132"/>
      <c r="ED478" s="132"/>
      <c r="EE478" s="132"/>
      <c r="EF478" s="132"/>
      <c r="EG478" s="132"/>
      <c r="EH478" s="132"/>
      <c r="EI478" s="132"/>
      <c r="EJ478" s="132"/>
      <c r="EK478" s="132"/>
      <c r="EL478" s="132"/>
      <c r="EM478" s="132"/>
      <c r="EN478" s="132"/>
      <c r="EO478" s="132"/>
      <c r="EP478" s="132"/>
      <c r="EQ478" s="132"/>
      <c r="ER478" s="132"/>
      <c r="ES478" s="132"/>
      <c r="ET478" s="11"/>
      <c r="EU478" s="11"/>
      <c r="EV478" s="11"/>
      <c r="EW478" s="11"/>
      <c r="EX478" s="11"/>
      <c r="EY478" s="11"/>
      <c r="EZ478" s="11"/>
      <c r="FA478" s="11"/>
      <c r="FB478" s="11"/>
      <c r="FC478" s="11"/>
      <c r="FD478" s="11"/>
      <c r="FE478" s="11"/>
      <c r="FF478" s="11"/>
      <c r="FG478" s="11"/>
      <c r="FH478" s="39">
        <f t="shared" si="114"/>
        <v>8103500</v>
      </c>
      <c r="FI478" s="33">
        <f t="shared" si="115"/>
        <v>3</v>
      </c>
      <c r="FJ478" s="84">
        <f t="shared" si="116"/>
        <v>2701166.6666666665</v>
      </c>
    </row>
    <row r="479" spans="1:166" ht="13.5" x14ac:dyDescent="0.25">
      <c r="A479" s="79" t="e">
        <f>#REF!</f>
        <v>#REF!</v>
      </c>
      <c r="B479" s="75" t="e">
        <f>#REF!</f>
        <v>#REF!</v>
      </c>
      <c r="C479" s="75" t="e">
        <f>#REF!</f>
        <v>#REF!</v>
      </c>
      <c r="D479" s="75" t="e">
        <f>#REF!</f>
        <v>#REF!</v>
      </c>
      <c r="E479" s="30">
        <v>1</v>
      </c>
      <c r="F479" s="238">
        <v>2130345</v>
      </c>
      <c r="G479" s="241">
        <v>2077000</v>
      </c>
      <c r="H479" s="249">
        <v>896850.625</v>
      </c>
      <c r="I479" s="249">
        <v>0</v>
      </c>
      <c r="J479" s="249">
        <v>1865425</v>
      </c>
      <c r="K479" s="249">
        <v>1560000</v>
      </c>
      <c r="L479" s="274">
        <f>AVERAGE(F479,H479,J479)</f>
        <v>1630873.5416666667</v>
      </c>
      <c r="M479" s="274">
        <f>AVERAGE(G479,K479)*E1</f>
        <v>1873055</v>
      </c>
      <c r="N479" s="245"/>
      <c r="O479" s="113"/>
      <c r="P479" s="113"/>
      <c r="Q479" s="131"/>
      <c r="R479" s="131"/>
      <c r="S479" s="64"/>
      <c r="T479" s="113"/>
      <c r="U479" s="113"/>
      <c r="V479" s="113"/>
      <c r="W479" s="131"/>
      <c r="X479" s="131"/>
      <c r="Y479" s="11"/>
      <c r="Z479" s="113"/>
      <c r="AA479" s="113"/>
      <c r="AB479" s="113"/>
      <c r="AC479" s="52"/>
      <c r="AD479" s="52"/>
      <c r="AE479" s="11"/>
      <c r="AF479" s="118"/>
      <c r="AG479" s="144"/>
      <c r="AH479" s="113"/>
      <c r="AI479" s="11"/>
      <c r="AJ479" s="11"/>
      <c r="AK479" s="39"/>
      <c r="AL479" s="113"/>
      <c r="AM479" s="113"/>
      <c r="AN479" s="117"/>
      <c r="AO479" s="76"/>
      <c r="AP479" s="39"/>
      <c r="AQ479" s="39"/>
      <c r="AR479" s="275"/>
      <c r="AS479" s="275"/>
      <c r="AT479" s="275"/>
      <c r="AU479" s="62"/>
      <c r="AV479" s="62"/>
      <c r="AW479" s="11"/>
      <c r="AX479" s="116"/>
      <c r="AY479" s="194"/>
      <c r="AZ479" s="143"/>
      <c r="BA479" s="191"/>
      <c r="BB479" s="132"/>
      <c r="BC479" s="132"/>
      <c r="BD479" s="274"/>
      <c r="BE479" s="143"/>
      <c r="BF479" s="143"/>
      <c r="BG479" s="132"/>
      <c r="BH479" s="132"/>
      <c r="BI479" s="132"/>
      <c r="BJ479" s="143"/>
      <c r="BK479" s="143"/>
      <c r="BL479" s="143"/>
      <c r="BM479" s="132"/>
      <c r="BN479" s="132"/>
      <c r="BO479" s="132"/>
      <c r="BP479" s="143"/>
      <c r="BQ479" s="132"/>
      <c r="BR479" s="132"/>
      <c r="BS479" s="132"/>
      <c r="BT479" s="132"/>
      <c r="BU479" s="132"/>
      <c r="BV479" s="263">
        <v>2230000</v>
      </c>
      <c r="BW479" s="144">
        <f>BV479*0</f>
        <v>0</v>
      </c>
      <c r="BX479" s="113">
        <f t="shared" si="117"/>
        <v>2230000</v>
      </c>
      <c r="BY479" s="264" t="s">
        <v>420</v>
      </c>
      <c r="BZ479" s="264" t="s">
        <v>200</v>
      </c>
      <c r="CA479" s="132"/>
      <c r="CB479" s="274"/>
      <c r="CC479" s="144"/>
      <c r="CD479" s="274"/>
      <c r="CE479" s="132"/>
      <c r="CF479" s="132"/>
      <c r="CG479" s="36"/>
      <c r="CH479" s="268">
        <v>2274600</v>
      </c>
      <c r="CI479" s="265">
        <f>+CH479*0.19</f>
        <v>432174</v>
      </c>
      <c r="CJ479" s="263">
        <f>+CH479+CI479</f>
        <v>2706774</v>
      </c>
      <c r="CK479" s="264" t="s">
        <v>420</v>
      </c>
      <c r="CL479" s="264" t="s">
        <v>200</v>
      </c>
      <c r="CM479" s="132"/>
      <c r="CN479" s="274"/>
      <c r="CO479" s="144"/>
      <c r="CP479" s="274"/>
      <c r="CQ479" s="132"/>
      <c r="CR479" s="132"/>
      <c r="CS479" s="132"/>
      <c r="CT479" s="274"/>
      <c r="CU479" s="144"/>
      <c r="CV479" s="274"/>
      <c r="CW479" s="132"/>
      <c r="CX479" s="132"/>
      <c r="CY479" s="132"/>
      <c r="CZ479" s="118"/>
      <c r="DA479" s="144"/>
      <c r="DB479" s="118"/>
      <c r="DC479" s="33"/>
      <c r="DD479" s="39"/>
      <c r="DE479" s="11"/>
      <c r="DF479" s="132"/>
      <c r="DG479" s="132"/>
      <c r="DH479" s="132"/>
      <c r="DI479" s="132"/>
      <c r="DJ479" s="132"/>
      <c r="DK479" s="132"/>
      <c r="DL479" s="132"/>
      <c r="DM479" s="132"/>
      <c r="DN479" s="132"/>
      <c r="DO479" s="132"/>
      <c r="DP479" s="132"/>
      <c r="DQ479" s="132"/>
      <c r="DR479" s="132"/>
      <c r="DS479" s="132"/>
      <c r="DT479" s="132"/>
      <c r="DU479" s="132"/>
      <c r="DV479" s="132"/>
      <c r="DW479" s="132"/>
      <c r="DX479" s="132"/>
      <c r="DY479" s="132"/>
      <c r="DZ479" s="132"/>
      <c r="EA479" s="132"/>
      <c r="EB479" s="132"/>
      <c r="EC479" s="132"/>
      <c r="ED479" s="132"/>
      <c r="EE479" s="132"/>
      <c r="EF479" s="132"/>
      <c r="EG479" s="132"/>
      <c r="EH479" s="132"/>
      <c r="EI479" s="132"/>
      <c r="EJ479" s="132"/>
      <c r="EK479" s="132"/>
      <c r="EL479" s="132"/>
      <c r="EM479" s="132"/>
      <c r="EN479" s="132"/>
      <c r="EO479" s="132"/>
      <c r="EP479" s="132"/>
      <c r="EQ479" s="132"/>
      <c r="ER479" s="132"/>
      <c r="ES479" s="132"/>
      <c r="ET479" s="11"/>
      <c r="EU479" s="11"/>
      <c r="EV479" s="11"/>
      <c r="EW479" s="11"/>
      <c r="EX479" s="11"/>
      <c r="EY479" s="11"/>
      <c r="EZ479" s="11"/>
      <c r="FA479" s="11"/>
      <c r="FB479" s="11"/>
      <c r="FC479" s="11"/>
      <c r="FD479" s="11"/>
      <c r="FE479" s="11"/>
      <c r="FF479" s="11"/>
      <c r="FG479" s="11"/>
      <c r="FH479" s="39">
        <f t="shared" si="114"/>
        <v>6809829</v>
      </c>
      <c r="FI479" s="33">
        <f t="shared" si="115"/>
        <v>3</v>
      </c>
      <c r="FJ479" s="84">
        <f t="shared" si="116"/>
        <v>2269943</v>
      </c>
    </row>
    <row r="480" spans="1:166" ht="27" x14ac:dyDescent="0.25">
      <c r="A480" s="79" t="e">
        <f>#REF!</f>
        <v>#REF!</v>
      </c>
      <c r="B480" s="75" t="e">
        <f>#REF!</f>
        <v>#REF!</v>
      </c>
      <c r="C480" s="75" t="e">
        <f>#REF!</f>
        <v>#REF!</v>
      </c>
      <c r="D480" s="75" t="e">
        <f>#REF!</f>
        <v>#REF!</v>
      </c>
      <c r="E480" s="30">
        <v>1</v>
      </c>
      <c r="F480" s="238">
        <v>0</v>
      </c>
      <c r="G480" s="241">
        <v>0</v>
      </c>
      <c r="H480" s="249">
        <v>1456956.6666666667</v>
      </c>
      <c r="I480" s="249">
        <v>0</v>
      </c>
      <c r="J480" s="249">
        <v>0</v>
      </c>
      <c r="K480" s="249">
        <v>0</v>
      </c>
      <c r="L480" s="274">
        <f>H480</f>
        <v>1456956.6666666667</v>
      </c>
      <c r="M480" s="274"/>
      <c r="N480" s="245"/>
      <c r="O480" s="113"/>
      <c r="P480" s="113"/>
      <c r="Q480" s="131"/>
      <c r="R480" s="131"/>
      <c r="S480" s="64"/>
      <c r="T480" s="113"/>
      <c r="U480" s="113"/>
      <c r="V480" s="113"/>
      <c r="W480" s="131"/>
      <c r="X480" s="131"/>
      <c r="Y480" s="11"/>
      <c r="Z480" s="113"/>
      <c r="AA480" s="113"/>
      <c r="AB480" s="113"/>
      <c r="AC480" s="52"/>
      <c r="AD480" s="52"/>
      <c r="AE480" s="11"/>
      <c r="AF480" s="118"/>
      <c r="AG480" s="144"/>
      <c r="AH480" s="113"/>
      <c r="AI480" s="11"/>
      <c r="AJ480" s="11"/>
      <c r="AK480" s="39"/>
      <c r="AL480" s="113"/>
      <c r="AM480" s="113"/>
      <c r="AN480" s="117"/>
      <c r="AO480" s="76"/>
      <c r="AP480" s="39"/>
      <c r="AQ480" s="39"/>
      <c r="AR480" s="275"/>
      <c r="AS480" s="275"/>
      <c r="AT480" s="275"/>
      <c r="AU480" s="62"/>
      <c r="AV480" s="62"/>
      <c r="AW480" s="11"/>
      <c r="AX480" s="116"/>
      <c r="AY480" s="196"/>
      <c r="AZ480" s="143"/>
      <c r="BA480" s="191"/>
      <c r="BB480" s="132"/>
      <c r="BC480" s="132"/>
      <c r="BD480" s="274"/>
      <c r="BE480" s="143"/>
      <c r="BF480" s="143"/>
      <c r="BG480" s="132"/>
      <c r="BH480" s="132"/>
      <c r="BI480" s="132"/>
      <c r="BJ480" s="143"/>
      <c r="BK480" s="143"/>
      <c r="BL480" s="143"/>
      <c r="BM480" s="132"/>
      <c r="BN480" s="132"/>
      <c r="BO480" s="132"/>
      <c r="BP480" s="143"/>
      <c r="BQ480" s="132"/>
      <c r="BR480" s="132"/>
      <c r="BS480" s="132"/>
      <c r="BT480" s="132"/>
      <c r="BU480" s="132"/>
      <c r="BV480" s="263">
        <v>2345000</v>
      </c>
      <c r="BW480" s="144">
        <f t="shared" ref="BW480:BW488" si="119">BV480*19%</f>
        <v>445550</v>
      </c>
      <c r="BX480" s="113">
        <f t="shared" si="117"/>
        <v>2790550</v>
      </c>
      <c r="BY480" s="264" t="s">
        <v>421</v>
      </c>
      <c r="BZ480" s="264" t="s">
        <v>263</v>
      </c>
      <c r="CA480" s="132"/>
      <c r="CB480" s="274"/>
      <c r="CC480" s="144"/>
      <c r="CD480" s="274"/>
      <c r="CE480" s="132"/>
      <c r="CF480" s="132"/>
      <c r="CG480" s="36"/>
      <c r="CH480" s="268">
        <v>2462250</v>
      </c>
      <c r="CI480" s="265">
        <f>+CH480*0.19</f>
        <v>467827.5</v>
      </c>
      <c r="CJ480" s="263">
        <f>+CH480+CI480</f>
        <v>2930077.5</v>
      </c>
      <c r="CK480" s="264" t="s">
        <v>421</v>
      </c>
      <c r="CL480" s="264" t="s">
        <v>263</v>
      </c>
      <c r="CM480" s="132"/>
      <c r="CN480" s="274"/>
      <c r="CO480" s="144"/>
      <c r="CP480" s="274"/>
      <c r="CQ480" s="132"/>
      <c r="CR480" s="132"/>
      <c r="CS480" s="132"/>
      <c r="CT480" s="144">
        <v>1256250</v>
      </c>
      <c r="CU480" s="144">
        <f>CT480*0.19</f>
        <v>238687.5</v>
      </c>
      <c r="CV480" s="144">
        <f>CU480+CT480</f>
        <v>1494937.5</v>
      </c>
      <c r="CW480" s="132"/>
      <c r="CX480" s="132"/>
      <c r="CY480" s="132"/>
      <c r="CZ480" s="118"/>
      <c r="DA480" s="144"/>
      <c r="DB480" s="118"/>
      <c r="DC480" s="33"/>
      <c r="DD480" s="39"/>
      <c r="DE480" s="11"/>
      <c r="DF480" s="132"/>
      <c r="DG480" s="132"/>
      <c r="DH480" s="132"/>
      <c r="DI480" s="132"/>
      <c r="DJ480" s="132"/>
      <c r="DK480" s="132"/>
      <c r="DL480" s="132"/>
      <c r="DM480" s="132"/>
      <c r="DN480" s="132"/>
      <c r="DO480" s="132"/>
      <c r="DP480" s="132"/>
      <c r="DQ480" s="132"/>
      <c r="DR480" s="132"/>
      <c r="DS480" s="132"/>
      <c r="DT480" s="132"/>
      <c r="DU480" s="132"/>
      <c r="DV480" s="132"/>
      <c r="DW480" s="132"/>
      <c r="DX480" s="132"/>
      <c r="DY480" s="132"/>
      <c r="DZ480" s="132"/>
      <c r="EA480" s="132"/>
      <c r="EB480" s="132"/>
      <c r="EC480" s="132"/>
      <c r="ED480" s="132"/>
      <c r="EE480" s="132"/>
      <c r="EF480" s="132"/>
      <c r="EG480" s="132"/>
      <c r="EH480" s="132"/>
      <c r="EI480" s="132"/>
      <c r="EJ480" s="132"/>
      <c r="EK480" s="132"/>
      <c r="EL480" s="132"/>
      <c r="EM480" s="132"/>
      <c r="EN480" s="132"/>
      <c r="EO480" s="132"/>
      <c r="EP480" s="132"/>
      <c r="EQ480" s="132"/>
      <c r="ER480" s="132"/>
      <c r="ES480" s="132"/>
      <c r="ET480" s="11"/>
      <c r="EU480" s="11"/>
      <c r="EV480" s="11"/>
      <c r="EW480" s="11"/>
      <c r="EX480" s="11"/>
      <c r="EY480" s="11"/>
      <c r="EZ480" s="11"/>
      <c r="FA480" s="11"/>
      <c r="FB480" s="11"/>
      <c r="FC480" s="11"/>
      <c r="FD480" s="11"/>
      <c r="FE480" s="11"/>
      <c r="FF480" s="11"/>
      <c r="FG480" s="11"/>
      <c r="FH480" s="39">
        <f t="shared" si="114"/>
        <v>7215565</v>
      </c>
      <c r="FI480" s="33">
        <f t="shared" si="115"/>
        <v>3</v>
      </c>
      <c r="FJ480" s="84">
        <f t="shared" si="116"/>
        <v>2405188.3333333335</v>
      </c>
    </row>
    <row r="481" spans="1:166" ht="27" x14ac:dyDescent="0.25">
      <c r="A481" s="79" t="e">
        <f>#REF!</f>
        <v>#REF!</v>
      </c>
      <c r="B481" s="75" t="e">
        <f>#REF!</f>
        <v>#REF!</v>
      </c>
      <c r="C481" s="75" t="e">
        <f>#REF!</f>
        <v>#REF!</v>
      </c>
      <c r="D481" s="75" t="e">
        <f>#REF!</f>
        <v>#REF!</v>
      </c>
      <c r="E481" s="30">
        <v>1</v>
      </c>
      <c r="F481" s="238">
        <v>1764175</v>
      </c>
      <c r="G481" s="241">
        <v>1737638</v>
      </c>
      <c r="H481" s="249">
        <v>1704154.3006249999</v>
      </c>
      <c r="I481" s="249">
        <v>0</v>
      </c>
      <c r="J481" s="249">
        <v>1565147.5</v>
      </c>
      <c r="K481" s="249">
        <v>1549380</v>
      </c>
      <c r="L481" s="274">
        <f>AVERAGE(F481,H481,J481)</f>
        <v>1677825.6002083335</v>
      </c>
      <c r="M481" s="274">
        <f>AVERAGE(G481,K481)*E1</f>
        <v>1692814.27</v>
      </c>
      <c r="N481" s="245"/>
      <c r="O481" s="113"/>
      <c r="P481" s="113"/>
      <c r="Q481" s="131"/>
      <c r="R481" s="131"/>
      <c r="S481" s="64"/>
      <c r="T481" s="113"/>
      <c r="U481" s="113"/>
      <c r="V481" s="113"/>
      <c r="W481" s="131"/>
      <c r="X481" s="131"/>
      <c r="Y481" s="11"/>
      <c r="Z481" s="113"/>
      <c r="AA481" s="113"/>
      <c r="AB481" s="113"/>
      <c r="AC481" s="52"/>
      <c r="AD481" s="52"/>
      <c r="AE481" s="11"/>
      <c r="AF481" s="118"/>
      <c r="AG481" s="144"/>
      <c r="AH481" s="113"/>
      <c r="AI481" s="11"/>
      <c r="AJ481" s="11"/>
      <c r="AK481" s="39"/>
      <c r="AL481" s="113"/>
      <c r="AM481" s="113"/>
      <c r="AN481" s="117"/>
      <c r="AO481" s="76"/>
      <c r="AP481" s="39"/>
      <c r="AQ481" s="39"/>
      <c r="AR481" s="275"/>
      <c r="AS481" s="275"/>
      <c r="AT481" s="275"/>
      <c r="AU481" s="62"/>
      <c r="AV481" s="62"/>
      <c r="AW481" s="11"/>
      <c r="AX481" s="116"/>
      <c r="AY481" s="196"/>
      <c r="AZ481" s="143"/>
      <c r="BA481" s="191"/>
      <c r="BB481" s="132"/>
      <c r="BC481" s="132"/>
      <c r="BD481" s="274"/>
      <c r="BE481" s="274"/>
      <c r="BF481" s="274"/>
      <c r="BG481" s="274"/>
      <c r="BH481" s="132"/>
      <c r="BI481" s="132"/>
      <c r="BJ481" s="143"/>
      <c r="BK481" s="143"/>
      <c r="BL481" s="143"/>
      <c r="BM481" s="132"/>
      <c r="BN481" s="132"/>
      <c r="BO481" s="132"/>
      <c r="BP481" s="143"/>
      <c r="BQ481" s="132"/>
      <c r="BR481" s="132"/>
      <c r="BS481" s="132"/>
      <c r="BT481" s="132"/>
      <c r="BU481" s="132"/>
      <c r="BV481" s="263">
        <v>2699700</v>
      </c>
      <c r="BW481" s="144">
        <f t="shared" si="119"/>
        <v>512943</v>
      </c>
      <c r="BX481" s="113">
        <f t="shared" si="117"/>
        <v>3212643</v>
      </c>
      <c r="BY481" s="264" t="s">
        <v>421</v>
      </c>
      <c r="BZ481" s="264" t="s">
        <v>263</v>
      </c>
      <c r="CA481" s="132"/>
      <c r="CB481" s="274"/>
      <c r="CC481" s="144"/>
      <c r="CD481" s="274"/>
      <c r="CE481" s="132"/>
      <c r="CF481" s="132"/>
      <c r="CG481" s="36"/>
      <c r="CH481" s="268"/>
      <c r="CI481" s="265"/>
      <c r="CJ481" s="263"/>
      <c r="CK481" s="264"/>
      <c r="CL481" s="264"/>
      <c r="CM481" s="132"/>
      <c r="CN481" s="274"/>
      <c r="CO481" s="144"/>
      <c r="CP481" s="274"/>
      <c r="CQ481" s="132"/>
      <c r="CR481" s="132"/>
      <c r="CS481" s="132"/>
      <c r="CT481" s="144">
        <v>1446250</v>
      </c>
      <c r="CU481" s="144">
        <f>CT481*0.19</f>
        <v>274787.5</v>
      </c>
      <c r="CV481" s="144">
        <f>CU481+CT481</f>
        <v>1721037.5</v>
      </c>
      <c r="CW481" s="132"/>
      <c r="CX481" s="132"/>
      <c r="CY481" s="132"/>
      <c r="CZ481" s="118"/>
      <c r="DA481" s="144"/>
      <c r="DB481" s="118"/>
      <c r="DC481" s="33"/>
      <c r="DD481" s="39"/>
      <c r="DE481" s="11"/>
      <c r="DF481" s="132"/>
      <c r="DG481" s="132"/>
      <c r="DH481" s="132"/>
      <c r="DI481" s="132"/>
      <c r="DJ481" s="132"/>
      <c r="DK481" s="132"/>
      <c r="DL481" s="132"/>
      <c r="DM481" s="132"/>
      <c r="DN481" s="132"/>
      <c r="DO481" s="132"/>
      <c r="DP481" s="132"/>
      <c r="DQ481" s="132"/>
      <c r="DR481" s="132"/>
      <c r="DS481" s="132"/>
      <c r="DT481" s="132"/>
      <c r="DU481" s="132"/>
      <c r="DV481" s="132"/>
      <c r="DW481" s="132"/>
      <c r="DX481" s="132"/>
      <c r="DY481" s="132"/>
      <c r="DZ481" s="132"/>
      <c r="EA481" s="132"/>
      <c r="EB481" s="132"/>
      <c r="EC481" s="132"/>
      <c r="ED481" s="132"/>
      <c r="EE481" s="132"/>
      <c r="EF481" s="132"/>
      <c r="EG481" s="132"/>
      <c r="EH481" s="132"/>
      <c r="EI481" s="132"/>
      <c r="EJ481" s="132"/>
      <c r="EK481" s="132"/>
      <c r="EL481" s="132"/>
      <c r="EM481" s="132"/>
      <c r="EN481" s="132"/>
      <c r="EO481" s="132"/>
      <c r="EP481" s="132"/>
      <c r="EQ481" s="132"/>
      <c r="ER481" s="132"/>
      <c r="ES481" s="132"/>
      <c r="ET481" s="11"/>
      <c r="EU481" s="11"/>
      <c r="EV481" s="11"/>
      <c r="EW481" s="11"/>
      <c r="EX481" s="11"/>
      <c r="EY481" s="11"/>
      <c r="EZ481" s="11"/>
      <c r="FA481" s="11"/>
      <c r="FB481" s="11"/>
      <c r="FC481" s="11"/>
      <c r="FD481" s="11"/>
      <c r="FE481" s="11"/>
      <c r="FF481" s="11"/>
      <c r="FG481" s="11"/>
      <c r="FH481" s="39">
        <f t="shared" si="114"/>
        <v>6626494.7699999996</v>
      </c>
      <c r="FI481" s="33">
        <f t="shared" si="115"/>
        <v>3</v>
      </c>
      <c r="FJ481" s="84">
        <f t="shared" si="116"/>
        <v>2208831.59</v>
      </c>
    </row>
    <row r="482" spans="1:166" ht="27" x14ac:dyDescent="0.25">
      <c r="A482" s="79" t="e">
        <f>#REF!</f>
        <v>#REF!</v>
      </c>
      <c r="B482" s="75" t="e">
        <f>#REF!</f>
        <v>#REF!</v>
      </c>
      <c r="C482" s="75" t="e">
        <f>#REF!</f>
        <v>#REF!</v>
      </c>
      <c r="D482" s="75" t="e">
        <f>#REF!</f>
        <v>#REF!</v>
      </c>
      <c r="E482" s="30">
        <v>1</v>
      </c>
      <c r="F482" s="238">
        <v>932960</v>
      </c>
      <c r="G482" s="241">
        <v>0</v>
      </c>
      <c r="H482" s="249">
        <v>1333957.632</v>
      </c>
      <c r="I482" s="249">
        <v>0</v>
      </c>
      <c r="J482" s="249">
        <v>1283415</v>
      </c>
      <c r="K482" s="249">
        <v>1270920</v>
      </c>
      <c r="L482" s="274">
        <f>AVERAGE(F482,H482,J482)</f>
        <v>1183444.2106666667</v>
      </c>
      <c r="M482" s="274">
        <f>K482*E1</f>
        <v>1309047.6000000001</v>
      </c>
      <c r="N482" s="245"/>
      <c r="O482" s="113"/>
      <c r="P482" s="113"/>
      <c r="Q482" s="131"/>
      <c r="R482" s="131"/>
      <c r="S482" s="64"/>
      <c r="T482" s="113"/>
      <c r="U482" s="117"/>
      <c r="V482" s="113"/>
      <c r="W482" s="131"/>
      <c r="X482" s="131"/>
      <c r="Y482" s="11"/>
      <c r="Z482" s="113"/>
      <c r="AA482" s="113"/>
      <c r="AB482" s="113"/>
      <c r="AC482" s="52"/>
      <c r="AD482" s="52"/>
      <c r="AE482" s="11"/>
      <c r="AF482" s="118"/>
      <c r="AG482" s="144"/>
      <c r="AH482" s="113"/>
      <c r="AI482" s="11"/>
      <c r="AJ482" s="11"/>
      <c r="AK482" s="39"/>
      <c r="AL482" s="113"/>
      <c r="AM482" s="113"/>
      <c r="AN482" s="117"/>
      <c r="AO482" s="76"/>
      <c r="AP482" s="39"/>
      <c r="AQ482" s="39"/>
      <c r="AR482" s="275"/>
      <c r="AS482" s="275"/>
      <c r="AT482" s="275"/>
      <c r="AU482" s="62"/>
      <c r="AV482" s="62"/>
      <c r="AW482" s="11"/>
      <c r="AX482" s="116"/>
      <c r="AY482" s="194"/>
      <c r="AZ482" s="143"/>
      <c r="BA482" s="191"/>
      <c r="BB482" s="132"/>
      <c r="BC482" s="132"/>
      <c r="BD482" s="274"/>
      <c r="BE482" s="143"/>
      <c r="BF482" s="143"/>
      <c r="BG482" s="132"/>
      <c r="BH482" s="132"/>
      <c r="BI482" s="132"/>
      <c r="BJ482" s="143"/>
      <c r="BK482" s="143"/>
      <c r="BL482" s="143"/>
      <c r="BM482" s="132"/>
      <c r="BN482" s="132"/>
      <c r="BO482" s="132"/>
      <c r="BP482" s="143"/>
      <c r="BQ482" s="132"/>
      <c r="BR482" s="132"/>
      <c r="BS482" s="132"/>
      <c r="BT482" s="132"/>
      <c r="BU482" s="132"/>
      <c r="BV482" s="263">
        <v>2345000</v>
      </c>
      <c r="BW482" s="144">
        <f t="shared" si="119"/>
        <v>445550</v>
      </c>
      <c r="BX482" s="113">
        <f t="shared" si="117"/>
        <v>2790550</v>
      </c>
      <c r="BY482" s="264" t="s">
        <v>421</v>
      </c>
      <c r="BZ482" s="264" t="s">
        <v>263</v>
      </c>
      <c r="CA482" s="132"/>
      <c r="CB482" s="274"/>
      <c r="CC482" s="144"/>
      <c r="CD482" s="274"/>
      <c r="CE482" s="132"/>
      <c r="CF482" s="132"/>
      <c r="CG482" s="36"/>
      <c r="CH482" s="268"/>
      <c r="CI482" s="265"/>
      <c r="CJ482" s="263"/>
      <c r="CK482" s="264"/>
      <c r="CL482" s="264"/>
      <c r="CM482" s="132"/>
      <c r="CN482" s="274"/>
      <c r="CO482" s="144"/>
      <c r="CP482" s="274"/>
      <c r="CQ482" s="132"/>
      <c r="CR482" s="132"/>
      <c r="CS482" s="132"/>
      <c r="CT482" s="144">
        <v>1256250</v>
      </c>
      <c r="CU482" s="144">
        <f>CT482*0.19</f>
        <v>238687.5</v>
      </c>
      <c r="CV482" s="144">
        <f>CU482+CT482</f>
        <v>1494937.5</v>
      </c>
      <c r="CW482" s="132"/>
      <c r="CX482" s="132"/>
      <c r="CY482" s="132"/>
      <c r="CZ482" s="118"/>
      <c r="DA482" s="144"/>
      <c r="DB482" s="118"/>
      <c r="DC482" s="33"/>
      <c r="DD482" s="39"/>
      <c r="DE482" s="11"/>
      <c r="DF482" s="132"/>
      <c r="DG482" s="132"/>
      <c r="DH482" s="132"/>
      <c r="DI482" s="132"/>
      <c r="DJ482" s="132"/>
      <c r="DK482" s="132"/>
      <c r="DL482" s="132"/>
      <c r="DM482" s="132"/>
      <c r="DN482" s="132"/>
      <c r="DO482" s="132"/>
      <c r="DP482" s="132"/>
      <c r="DQ482" s="132"/>
      <c r="DR482" s="132"/>
      <c r="DS482" s="132"/>
      <c r="DT482" s="132"/>
      <c r="DU482" s="132"/>
      <c r="DV482" s="132"/>
      <c r="DW482" s="132"/>
      <c r="DX482" s="132"/>
      <c r="DY482" s="132"/>
      <c r="DZ482" s="132"/>
      <c r="EA482" s="132"/>
      <c r="EB482" s="132"/>
      <c r="EC482" s="132"/>
      <c r="ED482" s="132"/>
      <c r="EE482" s="132"/>
      <c r="EF482" s="132"/>
      <c r="EG482" s="132"/>
      <c r="EH482" s="132"/>
      <c r="EI482" s="132"/>
      <c r="EJ482" s="132"/>
      <c r="EK482" s="132"/>
      <c r="EL482" s="132"/>
      <c r="EM482" s="132"/>
      <c r="EN482" s="132"/>
      <c r="EO482" s="132"/>
      <c r="EP482" s="132"/>
      <c r="EQ482" s="132"/>
      <c r="ER482" s="132"/>
      <c r="ES482" s="132"/>
      <c r="ET482" s="11"/>
      <c r="EU482" s="11"/>
      <c r="EV482" s="11"/>
      <c r="EW482" s="11"/>
      <c r="EX482" s="11"/>
      <c r="EY482" s="11"/>
      <c r="EZ482" s="11"/>
      <c r="FA482" s="11"/>
      <c r="FB482" s="11"/>
      <c r="FC482" s="11"/>
      <c r="FD482" s="11"/>
      <c r="FE482" s="11"/>
      <c r="FF482" s="11"/>
      <c r="FG482" s="11"/>
      <c r="FH482" s="39">
        <f t="shared" si="114"/>
        <v>5594535.0999999996</v>
      </c>
      <c r="FI482" s="33">
        <f t="shared" si="115"/>
        <v>3</v>
      </c>
      <c r="FJ482" s="84">
        <f t="shared" si="116"/>
        <v>1864845.0333333332</v>
      </c>
    </row>
    <row r="483" spans="1:166" ht="25.5" x14ac:dyDescent="0.25">
      <c r="A483" s="79" t="e">
        <f>#REF!</f>
        <v>#REF!</v>
      </c>
      <c r="B483" s="75" t="e">
        <f>#REF!</f>
        <v>#REF!</v>
      </c>
      <c r="C483" s="75" t="e">
        <f>#REF!</f>
        <v>#REF!</v>
      </c>
      <c r="D483" s="75" t="e">
        <f>#REF!</f>
        <v>#REF!</v>
      </c>
      <c r="E483" s="30">
        <v>1</v>
      </c>
      <c r="F483" s="238">
        <v>0</v>
      </c>
      <c r="G483" s="241">
        <v>0</v>
      </c>
      <c r="H483" s="249">
        <v>1578712.5</v>
      </c>
      <c r="I483" s="249">
        <v>0</v>
      </c>
      <c r="J483" s="249">
        <v>0</v>
      </c>
      <c r="K483" s="249">
        <v>0</v>
      </c>
      <c r="L483" s="274">
        <f>H483</f>
        <v>1578712.5</v>
      </c>
      <c r="M483" s="274"/>
      <c r="N483" s="245"/>
      <c r="O483" s="113"/>
      <c r="P483" s="113"/>
      <c r="Q483" s="131"/>
      <c r="R483" s="131"/>
      <c r="S483" s="64"/>
      <c r="T483" s="113"/>
      <c r="U483" s="117"/>
      <c r="V483" s="113"/>
      <c r="W483" s="131"/>
      <c r="X483" s="131"/>
      <c r="Y483" s="11"/>
      <c r="Z483" s="113"/>
      <c r="AA483" s="113"/>
      <c r="AB483" s="113"/>
      <c r="AC483" s="52"/>
      <c r="AD483" s="52"/>
      <c r="AE483" s="11"/>
      <c r="AF483" s="118">
        <v>1590000</v>
      </c>
      <c r="AG483" s="144">
        <f>AF483*19%</f>
        <v>302100</v>
      </c>
      <c r="AH483" s="113">
        <f>+AF483+AG483</f>
        <v>1892100</v>
      </c>
      <c r="AI483" s="11"/>
      <c r="AJ483" s="11"/>
      <c r="AK483" s="39"/>
      <c r="AL483" s="113"/>
      <c r="AM483" s="113"/>
      <c r="AN483" s="117"/>
      <c r="AO483" s="76"/>
      <c r="AP483" s="39"/>
      <c r="AQ483" s="39"/>
      <c r="AR483" s="275">
        <f>+(835200/10)*25</f>
        <v>2088000</v>
      </c>
      <c r="AS483" s="143">
        <f>+AR483*0.19</f>
        <v>396720</v>
      </c>
      <c r="AT483" s="116">
        <f>+AR483+AS483</f>
        <v>2484720</v>
      </c>
      <c r="AU483" s="62" t="s">
        <v>204</v>
      </c>
      <c r="AV483" s="36" t="s">
        <v>35</v>
      </c>
      <c r="AW483" s="11"/>
      <c r="AX483" s="116"/>
      <c r="AY483" s="196"/>
      <c r="AZ483" s="143"/>
      <c r="BA483" s="191"/>
      <c r="BB483" s="132"/>
      <c r="BC483" s="132"/>
      <c r="BD483" s="274"/>
      <c r="BE483" s="143"/>
      <c r="BF483" s="143"/>
      <c r="BG483" s="132"/>
      <c r="BH483" s="132"/>
      <c r="BI483" s="132"/>
      <c r="BJ483" s="143"/>
      <c r="BK483" s="143"/>
      <c r="BL483" s="143"/>
      <c r="BM483" s="132"/>
      <c r="BN483" s="132"/>
      <c r="BO483" s="132"/>
      <c r="BP483" s="143"/>
      <c r="BQ483" s="132"/>
      <c r="BR483" s="132"/>
      <c r="BS483" s="132"/>
      <c r="BT483" s="132"/>
      <c r="BU483" s="132"/>
      <c r="BV483" s="263">
        <v>2194400</v>
      </c>
      <c r="BW483" s="144">
        <f t="shared" si="119"/>
        <v>416936</v>
      </c>
      <c r="BX483" s="113">
        <f t="shared" si="117"/>
        <v>2611336</v>
      </c>
      <c r="BY483" s="264" t="s">
        <v>340</v>
      </c>
      <c r="BZ483" s="264" t="s">
        <v>88</v>
      </c>
      <c r="CA483" s="132"/>
      <c r="CB483" s="274"/>
      <c r="CC483" s="144"/>
      <c r="CD483" s="274"/>
      <c r="CE483" s="132"/>
      <c r="CF483" s="132"/>
      <c r="CG483" s="36"/>
      <c r="CH483" s="268"/>
      <c r="CI483" s="265"/>
      <c r="CJ483" s="263"/>
      <c r="CK483" s="264"/>
      <c r="CL483" s="264"/>
      <c r="CM483" s="132"/>
      <c r="CN483" s="274"/>
      <c r="CO483" s="144"/>
      <c r="CP483" s="274"/>
      <c r="CQ483" s="132"/>
      <c r="CR483" s="132"/>
      <c r="CS483" s="132"/>
      <c r="CT483" s="274"/>
      <c r="CU483" s="144"/>
      <c r="CV483" s="274"/>
      <c r="CW483" s="132"/>
      <c r="CX483" s="132"/>
      <c r="CY483" s="132"/>
      <c r="CZ483" s="118"/>
      <c r="DA483" s="144"/>
      <c r="DB483" s="118"/>
      <c r="DC483" s="33"/>
      <c r="DD483" s="39"/>
      <c r="DE483" s="11"/>
      <c r="DF483" s="132"/>
      <c r="DG483" s="132"/>
      <c r="DH483" s="132"/>
      <c r="DI483" s="132"/>
      <c r="DJ483" s="132"/>
      <c r="DK483" s="132"/>
      <c r="DL483" s="132"/>
      <c r="DM483" s="132"/>
      <c r="DN483" s="132"/>
      <c r="DO483" s="132"/>
      <c r="DP483" s="132"/>
      <c r="DQ483" s="132"/>
      <c r="DR483" s="132"/>
      <c r="DS483" s="132"/>
      <c r="DT483" s="132"/>
      <c r="DU483" s="132"/>
      <c r="DV483" s="132"/>
      <c r="DW483" s="132"/>
      <c r="DX483" s="132"/>
      <c r="DY483" s="132"/>
      <c r="DZ483" s="132"/>
      <c r="EA483" s="132"/>
      <c r="EB483" s="132"/>
      <c r="EC483" s="132"/>
      <c r="ED483" s="132"/>
      <c r="EE483" s="132"/>
      <c r="EF483" s="132"/>
      <c r="EG483" s="132"/>
      <c r="EH483" s="132"/>
      <c r="EI483" s="132"/>
      <c r="EJ483" s="132"/>
      <c r="EK483" s="132"/>
      <c r="EL483" s="132"/>
      <c r="EM483" s="132"/>
      <c r="EN483" s="132"/>
      <c r="EO483" s="132"/>
      <c r="EP483" s="132"/>
      <c r="EQ483" s="132"/>
      <c r="ER483" s="132"/>
      <c r="ES483" s="132"/>
      <c r="ET483" s="11"/>
      <c r="EU483" s="11"/>
      <c r="EV483" s="11"/>
      <c r="EW483" s="11"/>
      <c r="EX483" s="11"/>
      <c r="EY483" s="11"/>
      <c r="EZ483" s="11"/>
      <c r="FA483" s="11"/>
      <c r="FB483" s="11"/>
      <c r="FC483" s="11"/>
      <c r="FD483" s="11"/>
      <c r="FE483" s="11"/>
      <c r="FF483" s="11"/>
      <c r="FG483" s="11"/>
      <c r="FH483" s="39">
        <f t="shared" si="114"/>
        <v>6988156</v>
      </c>
      <c r="FI483" s="33">
        <f t="shared" si="115"/>
        <v>3</v>
      </c>
      <c r="FJ483" s="84">
        <f t="shared" si="116"/>
        <v>2329385.3333333335</v>
      </c>
    </row>
    <row r="484" spans="1:166" ht="27" x14ac:dyDescent="0.25">
      <c r="A484" s="79" t="e">
        <f>#REF!</f>
        <v>#REF!</v>
      </c>
      <c r="B484" s="75" t="e">
        <f>#REF!</f>
        <v>#REF!</v>
      </c>
      <c r="C484" s="75" t="e">
        <f>#REF!</f>
        <v>#REF!</v>
      </c>
      <c r="D484" s="75" t="e">
        <f>#REF!</f>
        <v>#REF!</v>
      </c>
      <c r="E484" s="30">
        <v>1</v>
      </c>
      <c r="F484" s="238">
        <v>493342.26666666666</v>
      </c>
      <c r="G484" s="241">
        <v>485877</v>
      </c>
      <c r="H484" s="249">
        <v>823418.47660333337</v>
      </c>
      <c r="I484" s="249">
        <v>0</v>
      </c>
      <c r="J484" s="249">
        <v>510170.85000000003</v>
      </c>
      <c r="K484" s="249">
        <v>504560</v>
      </c>
      <c r="L484" s="274">
        <f>AVERAGE(F484,H484,J484)</f>
        <v>608977.19775666669</v>
      </c>
      <c r="M484" s="274">
        <f>AVERAGE(G484,K484)*E1</f>
        <v>510075.05499999999</v>
      </c>
      <c r="N484" s="245"/>
      <c r="O484" s="113"/>
      <c r="P484" s="113"/>
      <c r="Q484" s="131"/>
      <c r="R484" s="131"/>
      <c r="S484" s="64"/>
      <c r="T484" s="113"/>
      <c r="U484" s="113"/>
      <c r="V484" s="113"/>
      <c r="W484" s="131"/>
      <c r="X484" s="131"/>
      <c r="Y484" s="11"/>
      <c r="Z484" s="113"/>
      <c r="AA484" s="113"/>
      <c r="AB484" s="113"/>
      <c r="AC484" s="52"/>
      <c r="AD484" s="52"/>
      <c r="AE484" s="11"/>
      <c r="AF484" s="118"/>
      <c r="AG484" s="144"/>
      <c r="AH484" s="113"/>
      <c r="AI484" s="11"/>
      <c r="AJ484" s="11"/>
      <c r="AK484" s="39"/>
      <c r="AL484" s="113"/>
      <c r="AM484" s="113"/>
      <c r="AN484" s="117"/>
      <c r="AO484" s="76"/>
      <c r="AP484" s="39"/>
      <c r="AQ484" s="39"/>
      <c r="AR484" s="275"/>
      <c r="AS484" s="275"/>
      <c r="AT484" s="275"/>
      <c r="AU484" s="62"/>
      <c r="AV484" s="62"/>
      <c r="AW484" s="11"/>
      <c r="AX484" s="116"/>
      <c r="AY484" s="116"/>
      <c r="AZ484" s="143"/>
      <c r="BA484" s="191"/>
      <c r="BB484" s="132"/>
      <c r="BC484" s="132"/>
      <c r="BD484" s="274"/>
      <c r="BE484" s="143"/>
      <c r="BF484" s="143"/>
      <c r="BG484" s="132"/>
      <c r="BH484" s="132"/>
      <c r="BI484" s="132"/>
      <c r="BJ484" s="143"/>
      <c r="BK484" s="143"/>
      <c r="BL484" s="143"/>
      <c r="BM484" s="132"/>
      <c r="BN484" s="132"/>
      <c r="BO484" s="132"/>
      <c r="BP484" s="143"/>
      <c r="BQ484" s="132"/>
      <c r="BR484" s="132"/>
      <c r="BS484" s="132"/>
      <c r="BT484" s="132"/>
      <c r="BU484" s="132"/>
      <c r="BV484" s="263">
        <v>1258800</v>
      </c>
      <c r="BW484" s="144">
        <f t="shared" si="119"/>
        <v>239172</v>
      </c>
      <c r="BX484" s="113">
        <f t="shared" si="117"/>
        <v>1497972</v>
      </c>
      <c r="BY484" s="264" t="s">
        <v>231</v>
      </c>
      <c r="BZ484" s="264" t="s">
        <v>263</v>
      </c>
      <c r="CA484" s="132"/>
      <c r="CB484" s="274"/>
      <c r="CC484" s="144"/>
      <c r="CD484" s="274"/>
      <c r="CE484" s="132"/>
      <c r="CF484" s="132"/>
      <c r="CG484" s="36"/>
      <c r="CH484" s="268">
        <v>1346916</v>
      </c>
      <c r="CI484" s="265">
        <f>+CH484*0.19</f>
        <v>255914.04</v>
      </c>
      <c r="CJ484" s="263">
        <f>+CH484+CI484</f>
        <v>1602830.04</v>
      </c>
      <c r="CK484" s="264" t="s">
        <v>231</v>
      </c>
      <c r="CL484" s="264" t="s">
        <v>263</v>
      </c>
      <c r="CM484" s="132"/>
      <c r="CN484" s="274"/>
      <c r="CO484" s="144"/>
      <c r="CP484" s="274"/>
      <c r="CQ484" s="132"/>
      <c r="CR484" s="132"/>
      <c r="CS484" s="132"/>
      <c r="CT484" s="274"/>
      <c r="CU484" s="144"/>
      <c r="CV484" s="274"/>
      <c r="CW484" s="132"/>
      <c r="CX484" s="132"/>
      <c r="CY484" s="132"/>
      <c r="CZ484" s="118"/>
      <c r="DA484" s="144"/>
      <c r="DB484" s="118"/>
      <c r="DC484" s="33"/>
      <c r="DD484" s="39"/>
      <c r="DE484" s="11"/>
      <c r="DF484" s="132"/>
      <c r="DG484" s="132"/>
      <c r="DH484" s="132"/>
      <c r="DI484" s="132"/>
      <c r="DJ484" s="132"/>
      <c r="DK484" s="132"/>
      <c r="DL484" s="132"/>
      <c r="DM484" s="132"/>
      <c r="DN484" s="132"/>
      <c r="DO484" s="132"/>
      <c r="DP484" s="132"/>
      <c r="DQ484" s="132"/>
      <c r="DR484" s="132"/>
      <c r="DS484" s="132"/>
      <c r="DT484" s="132"/>
      <c r="DU484" s="132"/>
      <c r="DV484" s="132"/>
      <c r="DW484" s="132"/>
      <c r="DX484" s="132"/>
      <c r="DY484" s="132"/>
      <c r="DZ484" s="132"/>
      <c r="EA484" s="132"/>
      <c r="EB484" s="132"/>
      <c r="EC484" s="132"/>
      <c r="ED484" s="132"/>
      <c r="EE484" s="132"/>
      <c r="EF484" s="132"/>
      <c r="EG484" s="132"/>
      <c r="EH484" s="132"/>
      <c r="EI484" s="132"/>
      <c r="EJ484" s="132"/>
      <c r="EK484" s="132"/>
      <c r="EL484" s="132"/>
      <c r="EM484" s="132"/>
      <c r="EN484" s="132"/>
      <c r="EO484" s="132"/>
      <c r="EP484" s="132"/>
      <c r="EQ484" s="132"/>
      <c r="ER484" s="132"/>
      <c r="ES484" s="132"/>
      <c r="ET484" s="11"/>
      <c r="EU484" s="11"/>
      <c r="EV484" s="11"/>
      <c r="EW484" s="11"/>
      <c r="EX484" s="11"/>
      <c r="EY484" s="11"/>
      <c r="EZ484" s="11"/>
      <c r="FA484" s="11"/>
      <c r="FB484" s="11"/>
      <c r="FC484" s="11"/>
      <c r="FD484" s="11"/>
      <c r="FE484" s="11"/>
      <c r="FF484" s="11"/>
      <c r="FG484" s="11"/>
      <c r="FH484" s="39">
        <f t="shared" si="114"/>
        <v>3610877.0949999997</v>
      </c>
      <c r="FI484" s="33">
        <f t="shared" si="115"/>
        <v>3</v>
      </c>
      <c r="FJ484" s="84">
        <f t="shared" si="116"/>
        <v>1203625.6983333332</v>
      </c>
    </row>
    <row r="485" spans="1:166" ht="27" x14ac:dyDescent="0.25">
      <c r="A485" s="79" t="e">
        <f>#REF!</f>
        <v>#REF!</v>
      </c>
      <c r="B485" s="75" t="e">
        <f>#REF!</f>
        <v>#REF!</v>
      </c>
      <c r="C485" s="75" t="e">
        <f>#REF!</f>
        <v>#REF!</v>
      </c>
      <c r="D485" s="75" t="e">
        <f>#REF!</f>
        <v>#REF!</v>
      </c>
      <c r="E485" s="30">
        <v>1</v>
      </c>
      <c r="F485" s="238">
        <v>6280869.583333334</v>
      </c>
      <c r="G485" s="241">
        <v>6280820</v>
      </c>
      <c r="H485" s="249">
        <v>6267443.8033472225</v>
      </c>
      <c r="I485" s="249">
        <v>6267373</v>
      </c>
      <c r="J485" s="249">
        <v>6594861</v>
      </c>
      <c r="K485" s="249">
        <v>6528340</v>
      </c>
      <c r="L485" s="274">
        <f>AVERAGE(F485,H485,J485)</f>
        <v>6381058.1288935198</v>
      </c>
      <c r="M485" s="274">
        <f>AVERAGE(G485,I485,K485)*E1</f>
        <v>6549609.6633333331</v>
      </c>
      <c r="N485" s="246"/>
      <c r="O485" s="118"/>
      <c r="P485" s="118"/>
      <c r="Q485" s="52"/>
      <c r="R485" s="52"/>
      <c r="S485" s="5"/>
      <c r="T485" s="118"/>
      <c r="U485" s="118"/>
      <c r="V485" s="118"/>
      <c r="W485" s="11"/>
      <c r="X485" s="11"/>
      <c r="Y485" s="11"/>
      <c r="Z485" s="118"/>
      <c r="AA485" s="118"/>
      <c r="AB485" s="118"/>
      <c r="AC485" s="52"/>
      <c r="AD485" s="52"/>
      <c r="AE485" s="11"/>
      <c r="AF485" s="118"/>
      <c r="AG485" s="144"/>
      <c r="AH485" s="118"/>
      <c r="AI485" s="11"/>
      <c r="AJ485" s="11"/>
      <c r="AK485" s="11"/>
      <c r="AL485" s="118"/>
      <c r="AM485" s="118"/>
      <c r="AN485" s="118"/>
      <c r="AO485" s="76"/>
      <c r="AP485" s="11"/>
      <c r="AQ485" s="11"/>
      <c r="AR485" s="274"/>
      <c r="AS485" s="274"/>
      <c r="AT485" s="274"/>
      <c r="AU485" s="62"/>
      <c r="AV485" s="48"/>
      <c r="AW485" s="11"/>
      <c r="AX485" s="274"/>
      <c r="AY485" s="274"/>
      <c r="AZ485" s="274"/>
      <c r="BA485" s="11"/>
      <c r="BB485" s="11"/>
      <c r="BC485" s="11"/>
      <c r="BD485" s="274"/>
      <c r="BE485" s="274"/>
      <c r="BF485" s="274"/>
      <c r="BG485" s="11"/>
      <c r="BH485" s="11"/>
      <c r="BI485" s="11"/>
      <c r="BJ485" s="274"/>
      <c r="BK485" s="274"/>
      <c r="BL485" s="274"/>
      <c r="BM485" s="11"/>
      <c r="BN485" s="11"/>
      <c r="BO485" s="11"/>
      <c r="BP485" s="275"/>
      <c r="BQ485" s="11"/>
      <c r="BR485" s="11"/>
      <c r="BS485" s="11"/>
      <c r="BT485" s="11"/>
      <c r="BU485" s="11"/>
      <c r="BV485" s="263">
        <v>8353400</v>
      </c>
      <c r="BW485" s="144">
        <f t="shared" si="119"/>
        <v>1587146</v>
      </c>
      <c r="BX485" s="113">
        <f t="shared" si="117"/>
        <v>9940546</v>
      </c>
      <c r="BY485" s="264" t="s">
        <v>236</v>
      </c>
      <c r="BZ485" s="264" t="s">
        <v>263</v>
      </c>
      <c r="CA485" s="11"/>
      <c r="CB485" s="274"/>
      <c r="CC485" s="144"/>
      <c r="CD485" s="274"/>
      <c r="CE485" s="11"/>
      <c r="CF485" s="11"/>
      <c r="CG485" s="11"/>
      <c r="CH485" s="268"/>
      <c r="CI485" s="265"/>
      <c r="CJ485" s="263"/>
      <c r="CK485" s="264"/>
      <c r="CL485" s="264"/>
      <c r="CM485" s="11"/>
      <c r="CN485" s="274"/>
      <c r="CO485" s="144"/>
      <c r="CP485" s="274"/>
      <c r="CQ485" s="11"/>
      <c r="CR485" s="11"/>
      <c r="CS485" s="11"/>
      <c r="CT485" s="144">
        <v>5540000</v>
      </c>
      <c r="CU485" s="144">
        <f>CT485*0.19</f>
        <v>1052600</v>
      </c>
      <c r="CV485" s="144">
        <f>CU485+CT485</f>
        <v>6592600</v>
      </c>
      <c r="CW485" s="11"/>
      <c r="CX485" s="11"/>
      <c r="CY485" s="11"/>
      <c r="CZ485" s="118"/>
      <c r="DA485" s="144"/>
      <c r="DB485" s="118"/>
      <c r="DC485" s="33"/>
      <c r="DD485" s="39"/>
      <c r="DE485" s="11"/>
      <c r="DF485" s="11"/>
      <c r="DG485" s="11"/>
      <c r="DH485" s="39"/>
      <c r="DI485" s="39"/>
      <c r="DJ485" s="34"/>
      <c r="DK485" s="11"/>
      <c r="DL485" s="11"/>
      <c r="DM485" s="11"/>
      <c r="DN485" s="11"/>
      <c r="DO485" s="11"/>
      <c r="DP485" s="11"/>
      <c r="DQ485" s="11"/>
      <c r="DR485" s="11"/>
      <c r="DS485" s="11"/>
      <c r="DT485" s="11"/>
      <c r="DU485" s="11"/>
      <c r="DV485" s="11"/>
      <c r="DW485" s="11"/>
      <c r="DX485" s="11"/>
      <c r="DY485" s="11"/>
      <c r="DZ485" s="11"/>
      <c r="EA485" s="11"/>
      <c r="EB485" s="11"/>
      <c r="EC485" s="11"/>
      <c r="ED485" s="11"/>
      <c r="EE485" s="11"/>
      <c r="EF485" s="11"/>
      <c r="EG485" s="11"/>
      <c r="EH485" s="11"/>
      <c r="EI485" s="11"/>
      <c r="EJ485" s="11"/>
      <c r="EK485" s="11"/>
      <c r="EL485" s="11"/>
      <c r="EM485" s="11"/>
      <c r="EN485" s="11"/>
      <c r="EO485" s="11"/>
      <c r="EP485" s="11"/>
      <c r="EQ485" s="11"/>
      <c r="ER485" s="11"/>
      <c r="ES485" s="11"/>
      <c r="ET485" s="11"/>
      <c r="EU485" s="11"/>
      <c r="EV485" s="11"/>
      <c r="EW485" s="11"/>
      <c r="EX485" s="11"/>
      <c r="EY485" s="11"/>
      <c r="EZ485" s="11"/>
      <c r="FA485" s="11"/>
      <c r="FB485" s="11"/>
      <c r="FC485" s="11"/>
      <c r="FD485" s="11"/>
      <c r="FE485" s="11"/>
      <c r="FF485" s="11"/>
      <c r="FG485" s="11"/>
      <c r="FH485" s="39">
        <f t="shared" si="114"/>
        <v>23082755.663333334</v>
      </c>
      <c r="FI485" s="33">
        <f t="shared" si="115"/>
        <v>3</v>
      </c>
      <c r="FJ485" s="84">
        <f t="shared" si="116"/>
        <v>7694251.8877777783</v>
      </c>
    </row>
    <row r="486" spans="1:166" ht="40.5" x14ac:dyDescent="0.25">
      <c r="A486" s="79" t="e">
        <f>#REF!</f>
        <v>#REF!</v>
      </c>
      <c r="B486" s="75" t="e">
        <f>#REF!</f>
        <v>#REF!</v>
      </c>
      <c r="C486" s="75" t="e">
        <f>#REF!</f>
        <v>#REF!</v>
      </c>
      <c r="D486" s="75" t="e">
        <f>#REF!</f>
        <v>#REF!</v>
      </c>
      <c r="E486" s="30">
        <v>1</v>
      </c>
      <c r="F486" s="238">
        <v>0</v>
      </c>
      <c r="G486" s="241">
        <v>0</v>
      </c>
      <c r="H486" s="249">
        <v>0</v>
      </c>
      <c r="I486" s="249">
        <v>0</v>
      </c>
      <c r="J486" s="249">
        <v>0</v>
      </c>
      <c r="K486" s="249">
        <v>0</v>
      </c>
      <c r="L486" s="274"/>
      <c r="M486" s="274"/>
      <c r="N486" s="246"/>
      <c r="O486" s="118"/>
      <c r="P486" s="118"/>
      <c r="Q486" s="52"/>
      <c r="R486" s="52"/>
      <c r="S486" s="5"/>
      <c r="T486" s="118"/>
      <c r="U486" s="118"/>
      <c r="V486" s="118"/>
      <c r="W486" s="11"/>
      <c r="X486" s="11"/>
      <c r="Y486" s="11"/>
      <c r="Z486" s="118"/>
      <c r="AA486" s="118"/>
      <c r="AB486" s="118"/>
      <c r="AC486" s="52"/>
      <c r="AD486" s="52"/>
      <c r="AE486" s="11"/>
      <c r="AF486" s="118"/>
      <c r="AG486" s="144"/>
      <c r="AH486" s="118"/>
      <c r="AI486" s="11"/>
      <c r="AJ486" s="11"/>
      <c r="AK486" s="11"/>
      <c r="AL486" s="118"/>
      <c r="AM486" s="118"/>
      <c r="AN486" s="118"/>
      <c r="AO486" s="76"/>
      <c r="AP486" s="11"/>
      <c r="AQ486" s="11"/>
      <c r="AR486" s="274">
        <v>627419</v>
      </c>
      <c r="AS486" s="143">
        <f>+AR486*0.19</f>
        <v>119209.61</v>
      </c>
      <c r="AT486" s="116">
        <f>+AR486+AS486</f>
        <v>746628.61</v>
      </c>
      <c r="AU486" s="62" t="s">
        <v>95</v>
      </c>
      <c r="AV486" s="48" t="s">
        <v>45</v>
      </c>
      <c r="AW486" s="11"/>
      <c r="AX486" s="274"/>
      <c r="AY486" s="274"/>
      <c r="AZ486" s="274"/>
      <c r="BA486" s="11"/>
      <c r="BB486" s="11"/>
      <c r="BC486" s="11"/>
      <c r="BD486" s="274"/>
      <c r="BE486" s="274"/>
      <c r="BF486" s="274"/>
      <c r="BG486" s="11"/>
      <c r="BH486" s="11"/>
      <c r="BI486" s="11"/>
      <c r="BJ486" s="274"/>
      <c r="BK486" s="274"/>
      <c r="BL486" s="274"/>
      <c r="BM486" s="11"/>
      <c r="BN486" s="11"/>
      <c r="BO486" s="11"/>
      <c r="BP486" s="275"/>
      <c r="BQ486" s="11"/>
      <c r="BR486" s="11"/>
      <c r="BS486" s="11"/>
      <c r="BT486" s="11"/>
      <c r="BU486" s="11"/>
      <c r="BV486" s="263">
        <v>548000</v>
      </c>
      <c r="BW486" s="144">
        <f t="shared" si="119"/>
        <v>104120</v>
      </c>
      <c r="BX486" s="113">
        <f t="shared" si="117"/>
        <v>652120</v>
      </c>
      <c r="BY486" s="264" t="s">
        <v>422</v>
      </c>
      <c r="BZ486" s="264" t="s">
        <v>126</v>
      </c>
      <c r="CA486" s="11"/>
      <c r="CB486" s="274"/>
      <c r="CC486" s="144"/>
      <c r="CD486" s="274"/>
      <c r="CE486" s="11"/>
      <c r="CF486" s="11"/>
      <c r="CG486" s="11"/>
      <c r="CH486" s="263">
        <v>586360</v>
      </c>
      <c r="CI486" s="265">
        <f>+CH486*0.19</f>
        <v>111408.4</v>
      </c>
      <c r="CJ486" s="263">
        <f t="shared" ref="CJ486:CJ496" si="120">+CH486+CI486</f>
        <v>697768.4</v>
      </c>
      <c r="CK486" s="264" t="s">
        <v>422</v>
      </c>
      <c r="CL486" s="264" t="s">
        <v>126</v>
      </c>
      <c r="CM486" s="11"/>
      <c r="CN486" s="274"/>
      <c r="CO486" s="144"/>
      <c r="CP486" s="274"/>
      <c r="CQ486" s="11"/>
      <c r="CR486" s="11"/>
      <c r="CS486" s="11"/>
      <c r="CT486" s="274"/>
      <c r="CU486" s="144"/>
      <c r="CV486" s="274"/>
      <c r="CW486" s="11"/>
      <c r="CX486" s="11"/>
      <c r="CY486" s="11"/>
      <c r="CZ486" s="118"/>
      <c r="DA486" s="144"/>
      <c r="DB486" s="118"/>
      <c r="DC486" s="33"/>
      <c r="DD486" s="39"/>
      <c r="DE486" s="11"/>
      <c r="DF486" s="11"/>
      <c r="DG486" s="11"/>
      <c r="DH486" s="39"/>
      <c r="DI486" s="39"/>
      <c r="DJ486" s="34"/>
      <c r="DK486" s="11"/>
      <c r="DL486" s="11"/>
      <c r="DM486" s="11"/>
      <c r="DN486" s="11"/>
      <c r="DO486" s="11"/>
      <c r="DP486" s="11"/>
      <c r="DQ486" s="11"/>
      <c r="DR486" s="39"/>
      <c r="DS486" s="39"/>
      <c r="DT486" s="42"/>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39">
        <f t="shared" si="114"/>
        <v>2096517.0099999998</v>
      </c>
      <c r="FI486" s="33">
        <f t="shared" si="115"/>
        <v>3</v>
      </c>
      <c r="FJ486" s="84">
        <f t="shared" si="116"/>
        <v>698839.0033333333</v>
      </c>
    </row>
    <row r="487" spans="1:166" ht="13.5" x14ac:dyDescent="0.25">
      <c r="A487" s="79" t="e">
        <f>#REF!</f>
        <v>#REF!</v>
      </c>
      <c r="B487" s="75" t="e">
        <f>#REF!</f>
        <v>#REF!</v>
      </c>
      <c r="C487" s="75" t="e">
        <f>#REF!</f>
        <v>#REF!</v>
      </c>
      <c r="D487" s="75" t="e">
        <f>#REF!</f>
        <v>#REF!</v>
      </c>
      <c r="E487" s="30">
        <v>1</v>
      </c>
      <c r="F487" s="238">
        <v>0</v>
      </c>
      <c r="G487" s="241">
        <v>0</v>
      </c>
      <c r="H487" s="249">
        <v>0</v>
      </c>
      <c r="I487" s="249">
        <v>0</v>
      </c>
      <c r="J487" s="249">
        <v>0</v>
      </c>
      <c r="K487" s="249">
        <v>0</v>
      </c>
      <c r="L487" s="274"/>
      <c r="M487" s="274"/>
      <c r="N487" s="245"/>
      <c r="O487" s="113"/>
      <c r="P487" s="113"/>
      <c r="Q487" s="131"/>
      <c r="R487" s="131"/>
      <c r="S487" s="64"/>
      <c r="T487" s="113"/>
      <c r="U487" s="113"/>
      <c r="V487" s="113"/>
      <c r="W487" s="131"/>
      <c r="X487" s="131"/>
      <c r="Y487" s="11"/>
      <c r="Z487" s="113"/>
      <c r="AA487" s="113"/>
      <c r="AB487" s="113"/>
      <c r="AC487" s="52"/>
      <c r="AD487" s="52"/>
      <c r="AE487" s="11"/>
      <c r="AF487" s="118"/>
      <c r="AG487" s="144"/>
      <c r="AH487" s="113"/>
      <c r="AI487" s="11"/>
      <c r="AJ487" s="11"/>
      <c r="AK487" s="39"/>
      <c r="AL487" s="113"/>
      <c r="AM487" s="113"/>
      <c r="AN487" s="117"/>
      <c r="AO487" s="76"/>
      <c r="AP487" s="39"/>
      <c r="AQ487" s="39"/>
      <c r="AR487" s="275"/>
      <c r="AS487" s="275"/>
      <c r="AT487" s="275"/>
      <c r="AU487" s="62"/>
      <c r="AV487" s="62"/>
      <c r="AW487" s="11"/>
      <c r="AX487" s="116"/>
      <c r="AY487" s="196"/>
      <c r="AZ487" s="143"/>
      <c r="BA487" s="191"/>
      <c r="BB487" s="132"/>
      <c r="BC487" s="132"/>
      <c r="BD487" s="274"/>
      <c r="BE487" s="143"/>
      <c r="BF487" s="143"/>
      <c r="BG487" s="132"/>
      <c r="BH487" s="132"/>
      <c r="BI487" s="132"/>
      <c r="BJ487" s="143"/>
      <c r="BK487" s="143"/>
      <c r="BL487" s="143"/>
      <c r="BM487" s="132"/>
      <c r="BN487" s="132"/>
      <c r="BO487" s="132"/>
      <c r="BP487" s="143"/>
      <c r="BQ487" s="132"/>
      <c r="BR487" s="132"/>
      <c r="BS487" s="132"/>
      <c r="BT487" s="132"/>
      <c r="BU487" s="132"/>
      <c r="BV487" s="263">
        <v>4360300</v>
      </c>
      <c r="BW487" s="144">
        <f t="shared" si="119"/>
        <v>828457</v>
      </c>
      <c r="BX487" s="113">
        <f t="shared" si="117"/>
        <v>5188757</v>
      </c>
      <c r="BY487" s="264" t="s">
        <v>231</v>
      </c>
      <c r="BZ487" s="264" t="s">
        <v>131</v>
      </c>
      <c r="CA487" s="132"/>
      <c r="CB487" s="274"/>
      <c r="CC487" s="144"/>
      <c r="CD487" s="274"/>
      <c r="CE487" s="132"/>
      <c r="CF487" s="132"/>
      <c r="CG487" s="36"/>
      <c r="CH487" s="268">
        <v>4403903</v>
      </c>
      <c r="CI487" s="265">
        <f>+CH487*0.19</f>
        <v>836741.57000000007</v>
      </c>
      <c r="CJ487" s="263">
        <f t="shared" si="120"/>
        <v>5240644.57</v>
      </c>
      <c r="CK487" s="264" t="s">
        <v>231</v>
      </c>
      <c r="CL487" s="264" t="s">
        <v>131</v>
      </c>
      <c r="CM487" s="132"/>
      <c r="CN487" s="274"/>
      <c r="CO487" s="144"/>
      <c r="CP487" s="274"/>
      <c r="CQ487" s="132"/>
      <c r="CR487" s="132"/>
      <c r="CS487" s="132"/>
      <c r="CT487" s="274"/>
      <c r="CU487" s="144"/>
      <c r="CV487" s="274"/>
      <c r="CW487" s="132"/>
      <c r="CX487" s="132"/>
      <c r="CY487" s="132"/>
      <c r="CZ487" s="118"/>
      <c r="DA487" s="144"/>
      <c r="DB487" s="118"/>
      <c r="DC487" s="33"/>
      <c r="DD487" s="39"/>
      <c r="DE487" s="11"/>
      <c r="DF487" s="132"/>
      <c r="DG487" s="132"/>
      <c r="DH487" s="132"/>
      <c r="DI487" s="132"/>
      <c r="DJ487" s="132"/>
      <c r="DK487" s="132"/>
      <c r="DL487" s="132"/>
      <c r="DM487" s="132"/>
      <c r="DN487" s="132"/>
      <c r="DO487" s="132"/>
      <c r="DP487" s="132"/>
      <c r="DQ487" s="132"/>
      <c r="DR487" s="132"/>
      <c r="DS487" s="132"/>
      <c r="DT487" s="132"/>
      <c r="DU487" s="132"/>
      <c r="DV487" s="132"/>
      <c r="DW487" s="132"/>
      <c r="DX487" s="132"/>
      <c r="DY487" s="132"/>
      <c r="DZ487" s="132"/>
      <c r="EA487" s="132"/>
      <c r="EB487" s="132"/>
      <c r="EC487" s="132"/>
      <c r="ED487" s="132"/>
      <c r="EE487" s="132"/>
      <c r="EF487" s="132"/>
      <c r="EG487" s="132"/>
      <c r="EH487" s="132"/>
      <c r="EI487" s="132"/>
      <c r="EJ487" s="132"/>
      <c r="EK487" s="132"/>
      <c r="EL487" s="132"/>
      <c r="EM487" s="132"/>
      <c r="EN487" s="132"/>
      <c r="EO487" s="132"/>
      <c r="EP487" s="132"/>
      <c r="EQ487" s="132"/>
      <c r="ER487" s="132"/>
      <c r="ES487" s="132"/>
      <c r="ET487" s="11"/>
      <c r="EU487" s="11"/>
      <c r="EV487" s="11"/>
      <c r="EW487" s="11"/>
      <c r="EX487" s="11"/>
      <c r="EY487" s="11"/>
      <c r="EZ487" s="11"/>
      <c r="FA487" s="11"/>
      <c r="FB487" s="11"/>
      <c r="FC487" s="11"/>
      <c r="FD487" s="11"/>
      <c r="FE487" s="11"/>
      <c r="FF487" s="11"/>
      <c r="FG487" s="11"/>
      <c r="FH487" s="39">
        <f t="shared" si="114"/>
        <v>10429401.57</v>
      </c>
      <c r="FI487" s="33">
        <f t="shared" si="115"/>
        <v>2</v>
      </c>
      <c r="FJ487" s="84">
        <f t="shared" si="116"/>
        <v>5214700.7850000001</v>
      </c>
    </row>
    <row r="488" spans="1:166" ht="25.5" x14ac:dyDescent="0.25">
      <c r="A488" s="79" t="e">
        <f>#REF!</f>
        <v>#REF!</v>
      </c>
      <c r="B488" s="75" t="e">
        <f>#REF!</f>
        <v>#REF!</v>
      </c>
      <c r="C488" s="75" t="e">
        <f>#REF!</f>
        <v>#REF!</v>
      </c>
      <c r="D488" s="75" t="e">
        <f>#REF!</f>
        <v>#REF!</v>
      </c>
      <c r="E488" s="30">
        <v>1</v>
      </c>
      <c r="F488" s="238">
        <v>396151</v>
      </c>
      <c r="G488" s="241">
        <v>382228</v>
      </c>
      <c r="H488" s="249">
        <v>871584.19585999998</v>
      </c>
      <c r="I488" s="249">
        <v>0</v>
      </c>
      <c r="J488" s="249">
        <v>0</v>
      </c>
      <c r="K488" s="249">
        <v>0</v>
      </c>
      <c r="L488" s="274">
        <f>AVERAGE(F488,H488)</f>
        <v>633867.59792999993</v>
      </c>
      <c r="M488" s="274">
        <f>G488*E1</f>
        <v>393694.84</v>
      </c>
      <c r="N488" s="245"/>
      <c r="O488" s="113"/>
      <c r="P488" s="113"/>
      <c r="Q488" s="131"/>
      <c r="R488" s="131"/>
      <c r="S488" s="64"/>
      <c r="T488" s="113"/>
      <c r="U488" s="113"/>
      <c r="V488" s="113"/>
      <c r="W488" s="131"/>
      <c r="X488" s="131"/>
      <c r="Y488" s="11"/>
      <c r="Z488" s="113"/>
      <c r="AA488" s="113"/>
      <c r="AB488" s="113"/>
      <c r="AC488" s="52"/>
      <c r="AD488" s="52"/>
      <c r="AE488" s="11"/>
      <c r="AF488" s="118"/>
      <c r="AG488" s="144"/>
      <c r="AH488" s="113"/>
      <c r="AI488" s="11"/>
      <c r="AJ488" s="11"/>
      <c r="AK488" s="39"/>
      <c r="AL488" s="113">
        <v>80000</v>
      </c>
      <c r="AM488" s="113">
        <f>+AL488*0.19</f>
        <v>15200</v>
      </c>
      <c r="AN488" s="119">
        <f>+AL488+AM488</f>
        <v>95200</v>
      </c>
      <c r="AO488" s="76" t="s">
        <v>60</v>
      </c>
      <c r="AP488" s="39" t="s">
        <v>50</v>
      </c>
      <c r="AQ488" s="39"/>
      <c r="AR488" s="275">
        <f>309600*2</f>
        <v>619200</v>
      </c>
      <c r="AS488" s="143">
        <f>+AR488*0.19</f>
        <v>117648</v>
      </c>
      <c r="AT488" s="116">
        <f>+AR488+AS488</f>
        <v>736848</v>
      </c>
      <c r="AU488" s="62" t="s">
        <v>78</v>
      </c>
      <c r="AV488" s="36" t="s">
        <v>35</v>
      </c>
      <c r="AW488" s="11"/>
      <c r="AX488" s="116"/>
      <c r="AY488" s="116"/>
      <c r="AZ488" s="143"/>
      <c r="BA488" s="191"/>
      <c r="BB488" s="132"/>
      <c r="BC488" s="132"/>
      <c r="BD488" s="274"/>
      <c r="BE488" s="143"/>
      <c r="BF488" s="143"/>
      <c r="BG488" s="132"/>
      <c r="BH488" s="132"/>
      <c r="BI488" s="132"/>
      <c r="BJ488" s="143"/>
      <c r="BK488" s="143"/>
      <c r="BL488" s="143"/>
      <c r="BM488" s="132"/>
      <c r="BN488" s="132"/>
      <c r="BO488" s="132"/>
      <c r="BP488" s="143"/>
      <c r="BQ488" s="132"/>
      <c r="BR488" s="132"/>
      <c r="BS488" s="132"/>
      <c r="BT488" s="132"/>
      <c r="BU488" s="132"/>
      <c r="BV488" s="263">
        <v>493100</v>
      </c>
      <c r="BW488" s="144">
        <f t="shared" si="119"/>
        <v>93689</v>
      </c>
      <c r="BX488" s="113">
        <f t="shared" si="117"/>
        <v>586789</v>
      </c>
      <c r="BY488" s="264" t="s">
        <v>352</v>
      </c>
      <c r="BZ488" s="264" t="s">
        <v>88</v>
      </c>
      <c r="CA488" s="132"/>
      <c r="CB488" s="274"/>
      <c r="CC488" s="144"/>
      <c r="CD488" s="274"/>
      <c r="CE488" s="132"/>
      <c r="CF488" s="132"/>
      <c r="CG488" s="36"/>
      <c r="CH488" s="263">
        <v>507893</v>
      </c>
      <c r="CI488" s="265">
        <f>+CH488*0.19</f>
        <v>96499.67</v>
      </c>
      <c r="CJ488" s="263">
        <f t="shared" si="120"/>
        <v>604392.67000000004</v>
      </c>
      <c r="CK488" s="264" t="s">
        <v>352</v>
      </c>
      <c r="CL488" s="264" t="s">
        <v>88</v>
      </c>
      <c r="CM488" s="132"/>
      <c r="CN488" s="274"/>
      <c r="CO488" s="144"/>
      <c r="CP488" s="274"/>
      <c r="CQ488" s="132"/>
      <c r="CR488" s="132"/>
      <c r="CS488" s="132"/>
      <c r="CT488" s="274"/>
      <c r="CU488" s="144"/>
      <c r="CV488" s="274"/>
      <c r="CW488" s="132"/>
      <c r="CX488" s="132"/>
      <c r="CY488" s="132"/>
      <c r="CZ488" s="118"/>
      <c r="DA488" s="144"/>
      <c r="DB488" s="118"/>
      <c r="DC488" s="33"/>
      <c r="DD488" s="39"/>
      <c r="DE488" s="11"/>
      <c r="DF488" s="132"/>
      <c r="DG488" s="132"/>
      <c r="DH488" s="132"/>
      <c r="DI488" s="132"/>
      <c r="DJ488" s="132"/>
      <c r="DK488" s="132"/>
      <c r="DL488" s="132"/>
      <c r="DM488" s="132"/>
      <c r="DN488" s="132"/>
      <c r="DO488" s="132"/>
      <c r="DP488" s="132"/>
      <c r="DQ488" s="132"/>
      <c r="DR488" s="132"/>
      <c r="DS488" s="132"/>
      <c r="DT488" s="132"/>
      <c r="DU488" s="132"/>
      <c r="DV488" s="132"/>
      <c r="DW488" s="132"/>
      <c r="DX488" s="132"/>
      <c r="DY488" s="132"/>
      <c r="DZ488" s="132"/>
      <c r="EA488" s="132"/>
      <c r="EB488" s="132"/>
      <c r="EC488" s="132"/>
      <c r="ED488" s="132"/>
      <c r="EE488" s="132"/>
      <c r="EF488" s="132"/>
      <c r="EG488" s="132"/>
      <c r="EH488" s="132"/>
      <c r="EI488" s="132"/>
      <c r="EJ488" s="132"/>
      <c r="EK488" s="132"/>
      <c r="EL488" s="132"/>
      <c r="EM488" s="132"/>
      <c r="EN488" s="132"/>
      <c r="EO488" s="132"/>
      <c r="EP488" s="132"/>
      <c r="EQ488" s="132"/>
      <c r="ER488" s="132"/>
      <c r="ES488" s="132"/>
      <c r="ET488" s="11"/>
      <c r="EU488" s="11"/>
      <c r="EV488" s="11"/>
      <c r="EW488" s="11"/>
      <c r="EX488" s="11"/>
      <c r="EY488" s="11"/>
      <c r="EZ488" s="11"/>
      <c r="FA488" s="11"/>
      <c r="FB488" s="11"/>
      <c r="FC488" s="11"/>
      <c r="FD488" s="11"/>
      <c r="FE488" s="11"/>
      <c r="FF488" s="11"/>
      <c r="FG488" s="11"/>
      <c r="FH488" s="39">
        <f t="shared" si="114"/>
        <v>2416924.5100000002</v>
      </c>
      <c r="FI488" s="33">
        <f t="shared" si="115"/>
        <v>5</v>
      </c>
      <c r="FJ488" s="84">
        <f t="shared" si="116"/>
        <v>483384.90200000006</v>
      </c>
    </row>
    <row r="489" spans="1:166" ht="13.5" x14ac:dyDescent="0.25">
      <c r="A489" s="79" t="e">
        <f>#REF!</f>
        <v>#REF!</v>
      </c>
      <c r="B489" s="75" t="e">
        <f>#REF!</f>
        <v>#REF!</v>
      </c>
      <c r="C489" s="75" t="e">
        <f>#REF!</f>
        <v>#REF!</v>
      </c>
      <c r="D489" s="75" t="e">
        <f>#REF!</f>
        <v>#REF!</v>
      </c>
      <c r="E489" s="30">
        <v>1</v>
      </c>
      <c r="F489" s="238">
        <v>2285400</v>
      </c>
      <c r="G489" s="241">
        <v>2205400</v>
      </c>
      <c r="H489" s="249">
        <v>2742469.7239333335</v>
      </c>
      <c r="I489" s="249">
        <v>0</v>
      </c>
      <c r="J489" s="249">
        <v>2315670</v>
      </c>
      <c r="K489" s="249">
        <v>0</v>
      </c>
      <c r="L489" s="274">
        <f>AVERAGE(F489,H489,J489)</f>
        <v>2447846.5746444445</v>
      </c>
      <c r="M489" s="274">
        <f>G489*E1</f>
        <v>2271562</v>
      </c>
      <c r="N489" s="245"/>
      <c r="O489" s="113"/>
      <c r="P489" s="113"/>
      <c r="Q489" s="131"/>
      <c r="R489" s="131"/>
      <c r="S489" s="64"/>
      <c r="T489" s="113"/>
      <c r="U489" s="113"/>
      <c r="V489" s="113"/>
      <c r="W489" s="131"/>
      <c r="X489" s="131"/>
      <c r="Y489" s="11"/>
      <c r="Z489" s="113"/>
      <c r="AA489" s="113"/>
      <c r="AB489" s="113"/>
      <c r="AC489" s="52"/>
      <c r="AD489" s="52"/>
      <c r="AE489" s="11"/>
      <c r="AF489" s="118"/>
      <c r="AG489" s="144"/>
      <c r="AH489" s="113"/>
      <c r="AI489" s="11"/>
      <c r="AJ489" s="11"/>
      <c r="AK489" s="39"/>
      <c r="AL489" s="113"/>
      <c r="AM489" s="113"/>
      <c r="AN489" s="119"/>
      <c r="AO489" s="76"/>
      <c r="AP489" s="39"/>
      <c r="AQ489" s="39"/>
      <c r="AR489" s="275"/>
      <c r="AS489" s="275"/>
      <c r="AT489" s="275"/>
      <c r="AU489" s="48"/>
      <c r="AV489" s="62"/>
      <c r="AW489" s="11"/>
      <c r="AX489" s="116"/>
      <c r="AY489" s="194"/>
      <c r="AZ489" s="143"/>
      <c r="BA489" s="191"/>
      <c r="BB489" s="132"/>
      <c r="BC489" s="132"/>
      <c r="BD489" s="274"/>
      <c r="BE489" s="143"/>
      <c r="BF489" s="143"/>
      <c r="BG489" s="132"/>
      <c r="BH489" s="132"/>
      <c r="BI489" s="132"/>
      <c r="BJ489" s="143"/>
      <c r="BK489" s="143"/>
      <c r="BL489" s="143"/>
      <c r="BM489" s="132"/>
      <c r="BN489" s="132"/>
      <c r="BO489" s="132"/>
      <c r="BP489" s="143"/>
      <c r="BQ489" s="132"/>
      <c r="BR489" s="132"/>
      <c r="BS489" s="132"/>
      <c r="BT489" s="132"/>
      <c r="BU489" s="132"/>
      <c r="BV489" s="263">
        <v>3297200</v>
      </c>
      <c r="BW489" s="144">
        <f>BV489*0</f>
        <v>0</v>
      </c>
      <c r="BX489" s="113">
        <f t="shared" si="117"/>
        <v>3297200</v>
      </c>
      <c r="BY489" s="264" t="s">
        <v>423</v>
      </c>
      <c r="BZ489" s="264" t="s">
        <v>131</v>
      </c>
      <c r="CA489" s="132"/>
      <c r="CB489" s="274"/>
      <c r="CC489" s="144"/>
      <c r="CD489" s="274"/>
      <c r="CE489" s="132"/>
      <c r="CF489" s="132"/>
      <c r="CG489" s="36"/>
      <c r="CH489" s="268">
        <v>3429088</v>
      </c>
      <c r="CI489" s="265">
        <f>+CH489*0</f>
        <v>0</v>
      </c>
      <c r="CJ489" s="263">
        <f t="shared" si="120"/>
        <v>3429088</v>
      </c>
      <c r="CK489" s="264" t="s">
        <v>423</v>
      </c>
      <c r="CL489" s="264" t="s">
        <v>131</v>
      </c>
      <c r="CM489" s="132"/>
      <c r="CN489" s="274"/>
      <c r="CO489" s="144"/>
      <c r="CP489" s="274"/>
      <c r="CQ489" s="132"/>
      <c r="CR489" s="132"/>
      <c r="CS489" s="132"/>
      <c r="CT489" s="274"/>
      <c r="CU489" s="144"/>
      <c r="CV489" s="274"/>
      <c r="CW489" s="132"/>
      <c r="CX489" s="132"/>
      <c r="CY489" s="132"/>
      <c r="CZ489" s="118"/>
      <c r="DA489" s="144"/>
      <c r="DB489" s="118"/>
      <c r="DC489" s="33"/>
      <c r="DD489" s="39"/>
      <c r="DE489" s="11"/>
      <c r="DF489" s="132"/>
      <c r="DG489" s="132"/>
      <c r="DH489" s="132"/>
      <c r="DI489" s="132"/>
      <c r="DJ489" s="132"/>
      <c r="DK489" s="132"/>
      <c r="DL489" s="132"/>
      <c r="DM489" s="132"/>
      <c r="DN489" s="132"/>
      <c r="DO489" s="132"/>
      <c r="DP489" s="132"/>
      <c r="DQ489" s="132"/>
      <c r="DR489" s="132"/>
      <c r="DS489" s="132"/>
      <c r="DT489" s="132"/>
      <c r="DU489" s="132"/>
      <c r="DV489" s="132"/>
      <c r="DW489" s="132"/>
      <c r="DX489" s="132"/>
      <c r="DY489" s="132"/>
      <c r="DZ489" s="132"/>
      <c r="EA489" s="132"/>
      <c r="EB489" s="132"/>
      <c r="EC489" s="132"/>
      <c r="ED489" s="132"/>
      <c r="EE489" s="132"/>
      <c r="EF489" s="132"/>
      <c r="EG489" s="132"/>
      <c r="EH489" s="132"/>
      <c r="EI489" s="132"/>
      <c r="EJ489" s="132"/>
      <c r="EK489" s="132"/>
      <c r="EL489" s="132"/>
      <c r="EM489" s="132"/>
      <c r="EN489" s="132"/>
      <c r="EO489" s="132"/>
      <c r="EP489" s="132"/>
      <c r="EQ489" s="132"/>
      <c r="ER489" s="132"/>
      <c r="ES489" s="132"/>
      <c r="ET489" s="11"/>
      <c r="EU489" s="11"/>
      <c r="EV489" s="11"/>
      <c r="EW489" s="11"/>
      <c r="EX489" s="11"/>
      <c r="EY489" s="11"/>
      <c r="EZ489" s="11"/>
      <c r="FA489" s="11"/>
      <c r="FB489" s="11"/>
      <c r="FC489" s="11"/>
      <c r="FD489" s="11"/>
      <c r="FE489" s="11"/>
      <c r="FF489" s="11"/>
      <c r="FG489" s="11"/>
      <c r="FH489" s="39">
        <f t="shared" si="114"/>
        <v>8997850</v>
      </c>
      <c r="FI489" s="33">
        <f t="shared" si="115"/>
        <v>3</v>
      </c>
      <c r="FJ489" s="84">
        <f t="shared" si="116"/>
        <v>2999283.3333333335</v>
      </c>
    </row>
    <row r="490" spans="1:166" ht="13.5" x14ac:dyDescent="0.25">
      <c r="A490" s="79" t="e">
        <f>#REF!</f>
        <v>#REF!</v>
      </c>
      <c r="B490" s="75" t="e">
        <f>#REF!</f>
        <v>#REF!</v>
      </c>
      <c r="C490" s="75" t="e">
        <f>#REF!</f>
        <v>#REF!</v>
      </c>
      <c r="D490" s="75" t="e">
        <f>#REF!</f>
        <v>#REF!</v>
      </c>
      <c r="E490" s="30">
        <v>1</v>
      </c>
      <c r="F490" s="238">
        <v>0</v>
      </c>
      <c r="G490" s="241">
        <v>0</v>
      </c>
      <c r="H490" s="249">
        <v>2185352.2929500001</v>
      </c>
      <c r="I490" s="249">
        <v>0</v>
      </c>
      <c r="J490" s="249">
        <v>3527125</v>
      </c>
      <c r="K490" s="249">
        <v>0</v>
      </c>
      <c r="L490" s="274">
        <f>AVERAGE(H490,J490)</f>
        <v>2856238.6464750003</v>
      </c>
      <c r="M490" s="274"/>
      <c r="N490" s="245"/>
      <c r="O490" s="113"/>
      <c r="P490" s="113"/>
      <c r="Q490" s="131"/>
      <c r="R490" s="131"/>
      <c r="S490" s="64"/>
      <c r="T490" s="113"/>
      <c r="U490" s="113"/>
      <c r="V490" s="113"/>
      <c r="W490" s="131"/>
      <c r="X490" s="131"/>
      <c r="Y490" s="11"/>
      <c r="Z490" s="113"/>
      <c r="AA490" s="113"/>
      <c r="AB490" s="113"/>
      <c r="AC490" s="52"/>
      <c r="AD490" s="52"/>
      <c r="AE490" s="11"/>
      <c r="AF490" s="118"/>
      <c r="AG490" s="144"/>
      <c r="AH490" s="113"/>
      <c r="AI490" s="11"/>
      <c r="AJ490" s="11"/>
      <c r="AK490" s="39"/>
      <c r="AL490" s="113"/>
      <c r="AM490" s="113"/>
      <c r="AN490" s="117"/>
      <c r="AO490" s="76"/>
      <c r="AP490" s="39"/>
      <c r="AQ490" s="39"/>
      <c r="AR490" s="275"/>
      <c r="AS490" s="275"/>
      <c r="AT490" s="275"/>
      <c r="AU490" s="48"/>
      <c r="AV490" s="62"/>
      <c r="AW490" s="11"/>
      <c r="AX490" s="116"/>
      <c r="AY490" s="116"/>
      <c r="AZ490" s="143"/>
      <c r="BA490" s="191"/>
      <c r="BB490" s="132"/>
      <c r="BC490" s="132"/>
      <c r="BD490" s="274"/>
      <c r="BE490" s="143"/>
      <c r="BF490" s="143"/>
      <c r="BG490" s="132"/>
      <c r="BH490" s="132"/>
      <c r="BI490" s="132"/>
      <c r="BJ490" s="143"/>
      <c r="BK490" s="143"/>
      <c r="BL490" s="143"/>
      <c r="BM490" s="132"/>
      <c r="BN490" s="132"/>
      <c r="BO490" s="132"/>
      <c r="BP490" s="143"/>
      <c r="BQ490" s="132"/>
      <c r="BR490" s="132"/>
      <c r="BS490" s="132"/>
      <c r="BT490" s="132"/>
      <c r="BU490" s="132"/>
      <c r="BV490" s="263">
        <v>3007900</v>
      </c>
      <c r="BW490" s="144">
        <f>BV490*0</f>
        <v>0</v>
      </c>
      <c r="BX490" s="113">
        <f t="shared" si="117"/>
        <v>3007900</v>
      </c>
      <c r="BY490" s="264" t="s">
        <v>423</v>
      </c>
      <c r="BZ490" s="264" t="s">
        <v>131</v>
      </c>
      <c r="CA490" s="132"/>
      <c r="CB490" s="274"/>
      <c r="CC490" s="144"/>
      <c r="CD490" s="274"/>
      <c r="CE490" s="132"/>
      <c r="CF490" s="132"/>
      <c r="CG490" s="36"/>
      <c r="CH490" s="268">
        <v>3188374</v>
      </c>
      <c r="CI490" s="265">
        <f>+CH490*0</f>
        <v>0</v>
      </c>
      <c r="CJ490" s="263">
        <f t="shared" si="120"/>
        <v>3188374</v>
      </c>
      <c r="CK490" s="264" t="s">
        <v>423</v>
      </c>
      <c r="CL490" s="264" t="s">
        <v>131</v>
      </c>
      <c r="CM490" s="132"/>
      <c r="CN490" s="274"/>
      <c r="CO490" s="144"/>
      <c r="CP490" s="274"/>
      <c r="CQ490" s="132"/>
      <c r="CR490" s="132"/>
      <c r="CS490" s="132"/>
      <c r="CT490" s="274"/>
      <c r="CU490" s="144"/>
      <c r="CV490" s="274"/>
      <c r="CW490" s="132"/>
      <c r="CX490" s="132"/>
      <c r="CY490" s="132"/>
      <c r="CZ490" s="118"/>
      <c r="DA490" s="144"/>
      <c r="DB490" s="118"/>
      <c r="DC490" s="33"/>
      <c r="DD490" s="39"/>
      <c r="DE490" s="11"/>
      <c r="DF490" s="132"/>
      <c r="DG490" s="132"/>
      <c r="DH490" s="132"/>
      <c r="DI490" s="132"/>
      <c r="DJ490" s="132"/>
      <c r="DK490" s="132"/>
      <c r="DL490" s="132"/>
      <c r="DM490" s="132"/>
      <c r="DN490" s="132"/>
      <c r="DO490" s="132"/>
      <c r="DP490" s="132"/>
      <c r="DQ490" s="132"/>
      <c r="DR490" s="132"/>
      <c r="DS490" s="132"/>
      <c r="DT490" s="132"/>
      <c r="DU490" s="132"/>
      <c r="DV490" s="132"/>
      <c r="DW490" s="132"/>
      <c r="DX490" s="132"/>
      <c r="DY490" s="132"/>
      <c r="DZ490" s="132"/>
      <c r="EA490" s="132"/>
      <c r="EB490" s="132"/>
      <c r="EC490" s="132"/>
      <c r="ED490" s="132"/>
      <c r="EE490" s="132"/>
      <c r="EF490" s="132"/>
      <c r="EG490" s="132"/>
      <c r="EH490" s="132"/>
      <c r="EI490" s="132"/>
      <c r="EJ490" s="132"/>
      <c r="EK490" s="132"/>
      <c r="EL490" s="132"/>
      <c r="EM490" s="132"/>
      <c r="EN490" s="132"/>
      <c r="EO490" s="132"/>
      <c r="EP490" s="132"/>
      <c r="EQ490" s="132"/>
      <c r="ER490" s="132"/>
      <c r="ES490" s="132"/>
      <c r="ET490" s="11"/>
      <c r="EU490" s="11"/>
      <c r="EV490" s="11"/>
      <c r="EW490" s="11"/>
      <c r="EX490" s="11"/>
      <c r="EY490" s="11"/>
      <c r="EZ490" s="11"/>
      <c r="FA490" s="11"/>
      <c r="FB490" s="11"/>
      <c r="FC490" s="11"/>
      <c r="FD490" s="11"/>
      <c r="FE490" s="11"/>
      <c r="FF490" s="11"/>
      <c r="FG490" s="11"/>
      <c r="FH490" s="39">
        <f t="shared" si="114"/>
        <v>6196274</v>
      </c>
      <c r="FI490" s="33">
        <f t="shared" si="115"/>
        <v>2</v>
      </c>
      <c r="FJ490" s="84">
        <f t="shared" si="116"/>
        <v>3098137</v>
      </c>
    </row>
    <row r="491" spans="1:166" ht="40.5" x14ac:dyDescent="0.25">
      <c r="A491" s="79" t="e">
        <f>#REF!</f>
        <v>#REF!</v>
      </c>
      <c r="B491" s="75" t="e">
        <f>#REF!</f>
        <v>#REF!</v>
      </c>
      <c r="C491" s="75" t="e">
        <f>#REF!</f>
        <v>#REF!</v>
      </c>
      <c r="D491" s="75" t="e">
        <f>#REF!</f>
        <v>#REF!</v>
      </c>
      <c r="E491" s="30">
        <v>1</v>
      </c>
      <c r="F491" s="238">
        <v>172550</v>
      </c>
      <c r="G491" s="241">
        <v>166481</v>
      </c>
      <c r="H491" s="249">
        <v>135949.61624999999</v>
      </c>
      <c r="I491" s="249">
        <v>0</v>
      </c>
      <c r="J491" s="249">
        <v>204648.76250000001</v>
      </c>
      <c r="K491" s="249">
        <v>202300</v>
      </c>
      <c r="L491" s="274">
        <f>AVERAGE(F491,H491,J491)</f>
        <v>171049.45958333332</v>
      </c>
      <c r="M491" s="274">
        <f>AVERAGE(G491,K491)*E1</f>
        <v>189922.215</v>
      </c>
      <c r="N491" s="245"/>
      <c r="O491" s="117"/>
      <c r="P491" s="113"/>
      <c r="Q491" s="131"/>
      <c r="R491" s="131"/>
      <c r="S491" s="64"/>
      <c r="T491" s="113"/>
      <c r="U491" s="113"/>
      <c r="V491" s="113"/>
      <c r="W491" s="131"/>
      <c r="X491" s="131"/>
      <c r="Y491" s="11"/>
      <c r="Z491" s="113"/>
      <c r="AA491" s="113"/>
      <c r="AB491" s="113"/>
      <c r="AC491" s="52"/>
      <c r="AD491" s="52"/>
      <c r="AE491" s="11"/>
      <c r="AF491" s="118"/>
      <c r="AG491" s="144"/>
      <c r="AH491" s="113"/>
      <c r="AI491" s="11"/>
      <c r="AJ491" s="11"/>
      <c r="AK491" s="39"/>
      <c r="AL491" s="113">
        <v>280000</v>
      </c>
      <c r="AM491" s="113">
        <f>+AL491*0.19</f>
        <v>53200</v>
      </c>
      <c r="AN491" s="119">
        <f>+AL491+AM491</f>
        <v>333200</v>
      </c>
      <c r="AO491" s="76" t="s">
        <v>95</v>
      </c>
      <c r="AP491" s="39" t="s">
        <v>45</v>
      </c>
      <c r="AQ491" s="39"/>
      <c r="AR491" s="275">
        <f>216000*2</f>
        <v>432000</v>
      </c>
      <c r="AS491" s="143">
        <f>+AR491*0.19</f>
        <v>82080</v>
      </c>
      <c r="AT491" s="116">
        <f>+AR491+AS491</f>
        <v>514080</v>
      </c>
      <c r="AU491" s="62" t="s">
        <v>60</v>
      </c>
      <c r="AV491" s="36" t="s">
        <v>35</v>
      </c>
      <c r="AW491" s="11"/>
      <c r="AX491" s="116"/>
      <c r="AY491" s="116"/>
      <c r="AZ491" s="143"/>
      <c r="BA491" s="191"/>
      <c r="BB491" s="132"/>
      <c r="BC491" s="132"/>
      <c r="BD491" s="274"/>
      <c r="BE491" s="143"/>
      <c r="BF491" s="143"/>
      <c r="BG491" s="132"/>
      <c r="BH491" s="132"/>
      <c r="BI491" s="132"/>
      <c r="BJ491" s="143"/>
      <c r="BK491" s="143"/>
      <c r="BL491" s="143"/>
      <c r="BM491" s="132"/>
      <c r="BN491" s="132"/>
      <c r="BO491" s="132"/>
      <c r="BP491" s="143"/>
      <c r="BQ491" s="132"/>
      <c r="BR491" s="132"/>
      <c r="BS491" s="132"/>
      <c r="BT491" s="132"/>
      <c r="BU491" s="132"/>
      <c r="BV491" s="263">
        <v>208000</v>
      </c>
      <c r="BW491" s="144">
        <f t="shared" ref="BW491:BW496" si="121">BV491*19%</f>
        <v>39520</v>
      </c>
      <c r="BX491" s="113">
        <f t="shared" si="117"/>
        <v>247520</v>
      </c>
      <c r="BY491" s="264" t="s">
        <v>352</v>
      </c>
      <c r="BZ491" s="264" t="s">
        <v>424</v>
      </c>
      <c r="CA491" s="132"/>
      <c r="CB491" s="274">
        <v>98500</v>
      </c>
      <c r="CC491" s="144">
        <f>+CB491*19%</f>
        <v>18715</v>
      </c>
      <c r="CD491" s="274">
        <f>+CB491+CC491</f>
        <v>117215</v>
      </c>
      <c r="CE491" s="132"/>
      <c r="CF491" s="132"/>
      <c r="CG491" s="36"/>
      <c r="CH491" s="263">
        <v>222560</v>
      </c>
      <c r="CI491" s="265">
        <f t="shared" ref="CI491:CI496" si="122">+CH491*0.19</f>
        <v>42286.400000000001</v>
      </c>
      <c r="CJ491" s="263">
        <f t="shared" si="120"/>
        <v>264846.40000000002</v>
      </c>
      <c r="CK491" s="264" t="s">
        <v>352</v>
      </c>
      <c r="CL491" s="264" t="s">
        <v>424</v>
      </c>
      <c r="CM491" s="132"/>
      <c r="CN491" s="274"/>
      <c r="CO491" s="144"/>
      <c r="CP491" s="274"/>
      <c r="CQ491" s="132"/>
      <c r="CR491" s="132"/>
      <c r="CS491" s="132"/>
      <c r="CT491" s="274"/>
      <c r="CU491" s="144"/>
      <c r="CV491" s="274"/>
      <c r="CW491" s="132"/>
      <c r="CX491" s="132"/>
      <c r="CY491" s="132"/>
      <c r="CZ491" s="118"/>
      <c r="DA491" s="144"/>
      <c r="DB491" s="118"/>
      <c r="DC491" s="33"/>
      <c r="DD491" s="39"/>
      <c r="DE491" s="11"/>
      <c r="DF491" s="132"/>
      <c r="DG491" s="132"/>
      <c r="DH491" s="132"/>
      <c r="DI491" s="132"/>
      <c r="DJ491" s="132"/>
      <c r="DK491" s="132"/>
      <c r="DL491" s="132"/>
      <c r="DM491" s="132"/>
      <c r="DN491" s="132"/>
      <c r="DO491" s="132"/>
      <c r="DP491" s="132"/>
      <c r="DQ491" s="132"/>
      <c r="DR491" s="132"/>
      <c r="DS491" s="132"/>
      <c r="DT491" s="132"/>
      <c r="DU491" s="132"/>
      <c r="DV491" s="132"/>
      <c r="DW491" s="132"/>
      <c r="DX491" s="132"/>
      <c r="DY491" s="132"/>
      <c r="DZ491" s="132"/>
      <c r="EA491" s="132"/>
      <c r="EB491" s="132"/>
      <c r="EC491" s="132"/>
      <c r="ED491" s="132"/>
      <c r="EE491" s="132"/>
      <c r="EF491" s="132"/>
      <c r="EG491" s="132"/>
      <c r="EH491" s="132"/>
      <c r="EI491" s="132"/>
      <c r="EJ491" s="132"/>
      <c r="EK491" s="132"/>
      <c r="EL491" s="132"/>
      <c r="EM491" s="132"/>
      <c r="EN491" s="132"/>
      <c r="EO491" s="132"/>
      <c r="EP491" s="132"/>
      <c r="EQ491" s="132"/>
      <c r="ER491" s="132"/>
      <c r="ES491" s="132"/>
      <c r="ET491" s="11"/>
      <c r="EU491" s="11"/>
      <c r="EV491" s="11"/>
      <c r="EW491" s="11"/>
      <c r="EX491" s="11"/>
      <c r="EY491" s="11"/>
      <c r="EZ491" s="11"/>
      <c r="FA491" s="11"/>
      <c r="FB491" s="11"/>
      <c r="FC491" s="11"/>
      <c r="FD491" s="11"/>
      <c r="FE491" s="11"/>
      <c r="FF491" s="11"/>
      <c r="FG491" s="11"/>
      <c r="FH491" s="39">
        <f t="shared" si="114"/>
        <v>1666783.6149999998</v>
      </c>
      <c r="FI491" s="33">
        <f t="shared" si="115"/>
        <v>6</v>
      </c>
      <c r="FJ491" s="84">
        <f t="shared" si="116"/>
        <v>277797.26916666661</v>
      </c>
    </row>
    <row r="492" spans="1:166" ht="40.5" x14ac:dyDescent="0.25">
      <c r="A492" s="79" t="e">
        <f>#REF!</f>
        <v>#REF!</v>
      </c>
      <c r="B492" s="75" t="e">
        <f>#REF!</f>
        <v>#REF!</v>
      </c>
      <c r="C492" s="75" t="e">
        <f>#REF!</f>
        <v>#REF!</v>
      </c>
      <c r="D492" s="75" t="e">
        <f>#REF!</f>
        <v>#REF!</v>
      </c>
      <c r="E492" s="30">
        <v>1</v>
      </c>
      <c r="F492" s="238">
        <v>83300</v>
      </c>
      <c r="G492" s="241">
        <v>83300</v>
      </c>
      <c r="H492" s="249">
        <v>314309.79749999999</v>
      </c>
      <c r="I492" s="249">
        <v>0</v>
      </c>
      <c r="J492" s="249">
        <v>94307.5</v>
      </c>
      <c r="K492" s="249">
        <v>0</v>
      </c>
      <c r="L492" s="274">
        <f>AVERAGE(F492,H492,J492)</f>
        <v>163972.4325</v>
      </c>
      <c r="M492" s="274">
        <f>G492*E1</f>
        <v>85799</v>
      </c>
      <c r="N492" s="245"/>
      <c r="O492" s="113"/>
      <c r="P492" s="113"/>
      <c r="Q492" s="131"/>
      <c r="R492" s="131"/>
      <c r="S492" s="64"/>
      <c r="T492" s="113"/>
      <c r="U492" s="117"/>
      <c r="V492" s="113"/>
      <c r="W492" s="131"/>
      <c r="X492" s="131"/>
      <c r="Y492" s="11"/>
      <c r="Z492" s="113"/>
      <c r="AA492" s="113"/>
      <c r="AB492" s="113"/>
      <c r="AC492" s="52"/>
      <c r="AD492" s="52"/>
      <c r="AE492" s="11"/>
      <c r="AF492" s="118"/>
      <c r="AG492" s="144"/>
      <c r="AH492" s="113"/>
      <c r="AI492" s="11"/>
      <c r="AJ492" s="11"/>
      <c r="AK492" s="39"/>
      <c r="AL492" s="113"/>
      <c r="AM492" s="113"/>
      <c r="AN492" s="117"/>
      <c r="AO492" s="76"/>
      <c r="AP492" s="39"/>
      <c r="AQ492" s="39"/>
      <c r="AR492" s="275"/>
      <c r="AS492" s="275"/>
      <c r="AT492" s="275"/>
      <c r="AU492" s="62"/>
      <c r="AV492" s="62"/>
      <c r="AW492" s="11"/>
      <c r="AX492" s="116"/>
      <c r="AY492" s="196"/>
      <c r="AZ492" s="143"/>
      <c r="BA492" s="191"/>
      <c r="BB492" s="132"/>
      <c r="BC492" s="132"/>
      <c r="BD492" s="274"/>
      <c r="BE492" s="143"/>
      <c r="BF492" s="143"/>
      <c r="BG492" s="132"/>
      <c r="BH492" s="132"/>
      <c r="BI492" s="132"/>
      <c r="BJ492" s="143"/>
      <c r="BK492" s="143"/>
      <c r="BL492" s="143"/>
      <c r="BM492" s="132"/>
      <c r="BN492" s="132"/>
      <c r="BO492" s="132"/>
      <c r="BP492" s="143"/>
      <c r="BQ492" s="132"/>
      <c r="BR492" s="132"/>
      <c r="BS492" s="132"/>
      <c r="BT492" s="132"/>
      <c r="BU492" s="132"/>
      <c r="BV492" s="263">
        <v>238000</v>
      </c>
      <c r="BW492" s="144">
        <f t="shared" si="121"/>
        <v>45220</v>
      </c>
      <c r="BX492" s="113">
        <f t="shared" si="117"/>
        <v>283220</v>
      </c>
      <c r="BY492" s="264" t="s">
        <v>369</v>
      </c>
      <c r="BZ492" s="264" t="s">
        <v>45</v>
      </c>
      <c r="CA492" s="132"/>
      <c r="CB492" s="274"/>
      <c r="CC492" s="144"/>
      <c r="CD492" s="274"/>
      <c r="CE492" s="132"/>
      <c r="CF492" s="132"/>
      <c r="CG492" s="36"/>
      <c r="CH492" s="263">
        <v>252280</v>
      </c>
      <c r="CI492" s="265">
        <f t="shared" si="122"/>
        <v>47933.2</v>
      </c>
      <c r="CJ492" s="263">
        <f t="shared" si="120"/>
        <v>300213.2</v>
      </c>
      <c r="CK492" s="264" t="s">
        <v>369</v>
      </c>
      <c r="CL492" s="264" t="s">
        <v>45</v>
      </c>
      <c r="CM492" s="132"/>
      <c r="CN492" s="274">
        <v>113185</v>
      </c>
      <c r="CO492" s="144">
        <f>+CN492*0.19</f>
        <v>21505.15</v>
      </c>
      <c r="CP492" s="274">
        <f>+CO492+CN492</f>
        <v>134690.15</v>
      </c>
      <c r="CQ492" s="132"/>
      <c r="CR492" s="132"/>
      <c r="CS492" s="132"/>
      <c r="CT492" s="274"/>
      <c r="CU492" s="144"/>
      <c r="CV492" s="274"/>
      <c r="CW492" s="132"/>
      <c r="CX492" s="132"/>
      <c r="CY492" s="132"/>
      <c r="CZ492" s="118"/>
      <c r="DA492" s="144"/>
      <c r="DB492" s="118"/>
      <c r="DC492" s="33"/>
      <c r="DD492" s="39"/>
      <c r="DE492" s="11"/>
      <c r="DF492" s="132"/>
      <c r="DG492" s="132"/>
      <c r="DH492" s="132"/>
      <c r="DI492" s="132"/>
      <c r="DJ492" s="132"/>
      <c r="DK492" s="132"/>
      <c r="DL492" s="132"/>
      <c r="DM492" s="132"/>
      <c r="DN492" s="132"/>
      <c r="DO492" s="132"/>
      <c r="DP492" s="132"/>
      <c r="DQ492" s="132"/>
      <c r="DR492" s="132"/>
      <c r="DS492" s="132"/>
      <c r="DT492" s="132"/>
      <c r="DU492" s="132"/>
      <c r="DV492" s="132"/>
      <c r="DW492" s="132"/>
      <c r="DX492" s="132"/>
      <c r="DY492" s="132"/>
      <c r="DZ492" s="132"/>
      <c r="EA492" s="132"/>
      <c r="EB492" s="132"/>
      <c r="EC492" s="132"/>
      <c r="ED492" s="132"/>
      <c r="EE492" s="132"/>
      <c r="EF492" s="132"/>
      <c r="EG492" s="132"/>
      <c r="EH492" s="132"/>
      <c r="EI492" s="132"/>
      <c r="EJ492" s="132"/>
      <c r="EK492" s="132"/>
      <c r="EL492" s="132"/>
      <c r="EM492" s="132"/>
      <c r="EN492" s="132"/>
      <c r="EO492" s="132"/>
      <c r="EP492" s="132"/>
      <c r="EQ492" s="132"/>
      <c r="ER492" s="132"/>
      <c r="ES492" s="132"/>
      <c r="ET492" s="11"/>
      <c r="EU492" s="11"/>
      <c r="EV492" s="11"/>
      <c r="EW492" s="11"/>
      <c r="EX492" s="11"/>
      <c r="EY492" s="11"/>
      <c r="EZ492" s="11"/>
      <c r="FA492" s="11"/>
      <c r="FB492" s="11"/>
      <c r="FC492" s="11"/>
      <c r="FD492" s="11"/>
      <c r="FE492" s="11"/>
      <c r="FF492" s="11"/>
      <c r="FG492" s="11"/>
      <c r="FH492" s="39">
        <f t="shared" si="114"/>
        <v>803922.35</v>
      </c>
      <c r="FI492" s="33">
        <f t="shared" si="115"/>
        <v>4</v>
      </c>
      <c r="FJ492" s="84">
        <f t="shared" si="116"/>
        <v>200980.58749999999</v>
      </c>
    </row>
    <row r="493" spans="1:166" ht="27" x14ac:dyDescent="0.25">
      <c r="A493" s="79" t="e">
        <f>#REF!</f>
        <v>#REF!</v>
      </c>
      <c r="B493" s="75" t="e">
        <f>#REF!</f>
        <v>#REF!</v>
      </c>
      <c r="C493" s="75" t="e">
        <f>#REF!</f>
        <v>#REF!</v>
      </c>
      <c r="D493" s="75" t="e">
        <f>#REF!</f>
        <v>#REF!</v>
      </c>
      <c r="E493" s="30">
        <v>1</v>
      </c>
      <c r="F493" s="238">
        <v>387821</v>
      </c>
      <c r="G493" s="241">
        <v>376159</v>
      </c>
      <c r="H493" s="249">
        <v>1693416.6301500001</v>
      </c>
      <c r="I493" s="249">
        <v>0</v>
      </c>
      <c r="J493" s="249">
        <v>776192.66666666663</v>
      </c>
      <c r="K493" s="249">
        <v>0</v>
      </c>
      <c r="L493" s="274">
        <f>AVERAGE(F493,H493,J493)</f>
        <v>952476.7656055555</v>
      </c>
      <c r="M493" s="274">
        <f>G493*E1</f>
        <v>387443.77</v>
      </c>
      <c r="N493" s="245"/>
      <c r="O493" s="113"/>
      <c r="P493" s="113"/>
      <c r="Q493" s="131"/>
      <c r="R493" s="131"/>
      <c r="S493" s="64"/>
      <c r="T493" s="113">
        <v>2059000</v>
      </c>
      <c r="U493" s="113">
        <f>+T493*0.19</f>
        <v>391210</v>
      </c>
      <c r="V493" s="113">
        <f>+T493+U493</f>
        <v>2450210</v>
      </c>
      <c r="W493" s="131" t="s">
        <v>425</v>
      </c>
      <c r="X493" s="131" t="s">
        <v>388</v>
      </c>
      <c r="Y493" s="11"/>
      <c r="Z493" s="113"/>
      <c r="AA493" s="113"/>
      <c r="AB493" s="113"/>
      <c r="AC493" s="52"/>
      <c r="AD493" s="52"/>
      <c r="AE493" s="11"/>
      <c r="AF493" s="118"/>
      <c r="AG493" s="144"/>
      <c r="AH493" s="113"/>
      <c r="AI493" s="11"/>
      <c r="AJ493" s="11"/>
      <c r="AK493" s="39"/>
      <c r="AL493" s="113"/>
      <c r="AM493" s="113"/>
      <c r="AN493" s="117"/>
      <c r="AO493" s="76"/>
      <c r="AP493" s="39"/>
      <c r="AQ493" s="39"/>
      <c r="AR493" s="275">
        <f>259200*5</f>
        <v>1296000</v>
      </c>
      <c r="AS493" s="143">
        <f>+AR493*0.19</f>
        <v>246240</v>
      </c>
      <c r="AT493" s="116">
        <f>+AR493+AS493</f>
        <v>1542240</v>
      </c>
      <c r="AU493" s="62" t="s">
        <v>49</v>
      </c>
      <c r="AV493" s="36" t="s">
        <v>35</v>
      </c>
      <c r="AW493" s="11"/>
      <c r="AX493" s="116"/>
      <c r="AY493" s="116"/>
      <c r="AZ493" s="143"/>
      <c r="BA493" s="191"/>
      <c r="BB493" s="132"/>
      <c r="BC493" s="132"/>
      <c r="BD493" s="274"/>
      <c r="BE493" s="143"/>
      <c r="BF493" s="143"/>
      <c r="BG493" s="132"/>
      <c r="BH493" s="132"/>
      <c r="BI493" s="132"/>
      <c r="BJ493" s="143"/>
      <c r="BK493" s="143"/>
      <c r="BL493" s="143"/>
      <c r="BM493" s="132"/>
      <c r="BN493" s="132"/>
      <c r="BO493" s="132"/>
      <c r="BP493" s="143"/>
      <c r="BQ493" s="132"/>
      <c r="BR493" s="132"/>
      <c r="BS493" s="132"/>
      <c r="BT493" s="132"/>
      <c r="BU493" s="132"/>
      <c r="BV493" s="263">
        <v>365600</v>
      </c>
      <c r="BW493" s="144">
        <f t="shared" si="121"/>
        <v>69464</v>
      </c>
      <c r="BX493" s="113">
        <f t="shared" si="117"/>
        <v>435064</v>
      </c>
      <c r="BY493" s="264" t="s">
        <v>389</v>
      </c>
      <c r="BZ493" s="264" t="s">
        <v>263</v>
      </c>
      <c r="CA493" s="132"/>
      <c r="CB493" s="274"/>
      <c r="CC493" s="144"/>
      <c r="CD493" s="274"/>
      <c r="CE493" s="132"/>
      <c r="CF493" s="132"/>
      <c r="CG493" s="36"/>
      <c r="CH493" s="263">
        <v>376568</v>
      </c>
      <c r="CI493" s="265">
        <f t="shared" si="122"/>
        <v>71547.92</v>
      </c>
      <c r="CJ493" s="263">
        <f t="shared" si="120"/>
        <v>448115.92</v>
      </c>
      <c r="CK493" s="264" t="s">
        <v>389</v>
      </c>
      <c r="CL493" s="264" t="s">
        <v>263</v>
      </c>
      <c r="CM493" s="132"/>
      <c r="CN493" s="274"/>
      <c r="CO493" s="144"/>
      <c r="CP493" s="274"/>
      <c r="CQ493" s="132"/>
      <c r="CR493" s="132"/>
      <c r="CS493" s="132"/>
      <c r="CT493" s="274"/>
      <c r="CU493" s="144"/>
      <c r="CV493" s="274"/>
      <c r="CW493" s="132"/>
      <c r="CX493" s="132"/>
      <c r="CY493" s="132"/>
      <c r="CZ493" s="118"/>
      <c r="DA493" s="144"/>
      <c r="DB493" s="118"/>
      <c r="DC493" s="33"/>
      <c r="DD493" s="39"/>
      <c r="DE493" s="11"/>
      <c r="DF493" s="132"/>
      <c r="DG493" s="132"/>
      <c r="DH493" s="132"/>
      <c r="DI493" s="132"/>
      <c r="DJ493" s="132"/>
      <c r="DK493" s="132"/>
      <c r="DL493" s="132"/>
      <c r="DM493" s="132"/>
      <c r="DN493" s="132"/>
      <c r="DO493" s="132"/>
      <c r="DP493" s="132"/>
      <c r="DQ493" s="132"/>
      <c r="DR493" s="132"/>
      <c r="DS493" s="132"/>
      <c r="DT493" s="132"/>
      <c r="DU493" s="132"/>
      <c r="DV493" s="132"/>
      <c r="DW493" s="132"/>
      <c r="DX493" s="132"/>
      <c r="DY493" s="132"/>
      <c r="DZ493" s="132"/>
      <c r="EA493" s="132"/>
      <c r="EB493" s="132"/>
      <c r="EC493" s="132"/>
      <c r="ED493" s="132"/>
      <c r="EE493" s="132"/>
      <c r="EF493" s="132"/>
      <c r="EG493" s="132"/>
      <c r="EH493" s="132"/>
      <c r="EI493" s="132"/>
      <c r="EJ493" s="132"/>
      <c r="EK493" s="132"/>
      <c r="EL493" s="132"/>
      <c r="EM493" s="132"/>
      <c r="EN493" s="132"/>
      <c r="EO493" s="132"/>
      <c r="EP493" s="132"/>
      <c r="EQ493" s="132"/>
      <c r="ER493" s="132"/>
      <c r="ES493" s="132"/>
      <c r="ET493" s="11"/>
      <c r="EU493" s="11"/>
      <c r="EV493" s="11"/>
      <c r="EW493" s="11"/>
      <c r="EX493" s="11"/>
      <c r="EY493" s="11"/>
      <c r="EZ493" s="11"/>
      <c r="FA493" s="11"/>
      <c r="FB493" s="11"/>
      <c r="FC493" s="11"/>
      <c r="FD493" s="11"/>
      <c r="FE493" s="11"/>
      <c r="FF493" s="11"/>
      <c r="FG493" s="11"/>
      <c r="FH493" s="39">
        <f t="shared" si="114"/>
        <v>5263073.6899999995</v>
      </c>
      <c r="FI493" s="33">
        <f t="shared" si="115"/>
        <v>5</v>
      </c>
      <c r="FJ493" s="84">
        <f t="shared" si="116"/>
        <v>1052614.7379999999</v>
      </c>
    </row>
    <row r="494" spans="1:166" ht="40.5" x14ac:dyDescent="0.25">
      <c r="A494" s="79" t="e">
        <f>#REF!</f>
        <v>#REF!</v>
      </c>
      <c r="B494" s="75" t="e">
        <f>#REF!</f>
        <v>#REF!</v>
      </c>
      <c r="C494" s="75" t="e">
        <f>#REF!</f>
        <v>#REF!</v>
      </c>
      <c r="D494" s="75" t="e">
        <f>#REF!</f>
        <v>#REF!</v>
      </c>
      <c r="E494" s="30">
        <v>1</v>
      </c>
      <c r="F494" s="238">
        <v>0</v>
      </c>
      <c r="G494" s="241">
        <v>0</v>
      </c>
      <c r="H494" s="249">
        <v>0</v>
      </c>
      <c r="I494" s="249">
        <v>0</v>
      </c>
      <c r="J494" s="249">
        <v>1332800</v>
      </c>
      <c r="K494" s="249">
        <v>0</v>
      </c>
      <c r="L494" s="274">
        <f>J494</f>
        <v>1332800</v>
      </c>
      <c r="M494" s="274"/>
      <c r="N494" s="245"/>
      <c r="O494" s="113"/>
      <c r="P494" s="113"/>
      <c r="Q494" s="131"/>
      <c r="R494" s="131"/>
      <c r="S494" s="64"/>
      <c r="T494" s="113"/>
      <c r="U494" s="113"/>
      <c r="V494" s="113"/>
      <c r="W494" s="131"/>
      <c r="X494" s="131"/>
      <c r="Y494" s="11"/>
      <c r="Z494" s="113"/>
      <c r="AA494" s="113"/>
      <c r="AB494" s="113"/>
      <c r="AC494" s="52"/>
      <c r="AD494" s="52"/>
      <c r="AE494" s="11"/>
      <c r="AF494" s="118"/>
      <c r="AG494" s="144"/>
      <c r="AH494" s="113"/>
      <c r="AI494" s="11"/>
      <c r="AJ494" s="11"/>
      <c r="AK494" s="39"/>
      <c r="AL494" s="113"/>
      <c r="AM494" s="113"/>
      <c r="AN494" s="147"/>
      <c r="AO494" s="76"/>
      <c r="AP494" s="39"/>
      <c r="AQ494" s="39"/>
      <c r="AR494" s="275"/>
      <c r="AS494" s="275"/>
      <c r="AT494" s="275"/>
      <c r="AU494" s="62"/>
      <c r="AV494" s="62"/>
      <c r="AW494" s="11"/>
      <c r="AX494" s="116"/>
      <c r="AY494" s="116"/>
      <c r="AZ494" s="143"/>
      <c r="BA494" s="191"/>
      <c r="BB494" s="132"/>
      <c r="BC494" s="132"/>
      <c r="BD494" s="274"/>
      <c r="BE494" s="143"/>
      <c r="BF494" s="143"/>
      <c r="BG494" s="132"/>
      <c r="BH494" s="132"/>
      <c r="BI494" s="132"/>
      <c r="BJ494" s="143"/>
      <c r="BK494" s="143"/>
      <c r="BL494" s="143"/>
      <c r="BM494" s="132"/>
      <c r="BN494" s="132"/>
      <c r="BO494" s="132"/>
      <c r="BP494" s="143"/>
      <c r="BQ494" s="132"/>
      <c r="BR494" s="132"/>
      <c r="BS494" s="132"/>
      <c r="BT494" s="132"/>
      <c r="BU494" s="132"/>
      <c r="BV494" s="263">
        <v>1973400</v>
      </c>
      <c r="BW494" s="144">
        <f t="shared" si="121"/>
        <v>374946</v>
      </c>
      <c r="BX494" s="113">
        <f t="shared" si="117"/>
        <v>2348346</v>
      </c>
      <c r="BY494" s="264" t="s">
        <v>320</v>
      </c>
      <c r="BZ494" s="264" t="s">
        <v>313</v>
      </c>
      <c r="CA494" s="132"/>
      <c r="CB494" s="274"/>
      <c r="CC494" s="144"/>
      <c r="CD494" s="274"/>
      <c r="CE494" s="132"/>
      <c r="CF494" s="132"/>
      <c r="CG494" s="36"/>
      <c r="CH494" s="268">
        <v>1993134</v>
      </c>
      <c r="CI494" s="265">
        <f t="shared" si="122"/>
        <v>378695.46</v>
      </c>
      <c r="CJ494" s="263">
        <f t="shared" si="120"/>
        <v>2371829.46</v>
      </c>
      <c r="CK494" s="264" t="s">
        <v>320</v>
      </c>
      <c r="CL494" s="264" t="s">
        <v>313</v>
      </c>
      <c r="CM494" s="132"/>
      <c r="CN494" s="274">
        <v>142434</v>
      </c>
      <c r="CO494" s="144">
        <f>+CN494*0.19</f>
        <v>27062.46</v>
      </c>
      <c r="CP494" s="274">
        <f>+CO494+CN494</f>
        <v>169496.46</v>
      </c>
      <c r="CQ494" s="132"/>
      <c r="CR494" s="132"/>
      <c r="CS494" s="132"/>
      <c r="CT494" s="274"/>
      <c r="CU494" s="144"/>
      <c r="CV494" s="274"/>
      <c r="CW494" s="132"/>
      <c r="CX494" s="132"/>
      <c r="CY494" s="132"/>
      <c r="CZ494" s="118"/>
      <c r="DA494" s="144"/>
      <c r="DB494" s="118"/>
      <c r="DC494" s="33"/>
      <c r="DD494" s="39"/>
      <c r="DE494" s="11"/>
      <c r="DF494" s="132"/>
      <c r="DG494" s="132"/>
      <c r="DH494" s="132"/>
      <c r="DI494" s="132"/>
      <c r="DJ494" s="132"/>
      <c r="DK494" s="132"/>
      <c r="DL494" s="132"/>
      <c r="DM494" s="132"/>
      <c r="DN494" s="132"/>
      <c r="DO494" s="132"/>
      <c r="DP494" s="132"/>
      <c r="DQ494" s="132"/>
      <c r="DR494" s="132"/>
      <c r="DS494" s="132"/>
      <c r="DT494" s="132"/>
      <c r="DU494" s="132"/>
      <c r="DV494" s="132"/>
      <c r="DW494" s="132"/>
      <c r="DX494" s="132"/>
      <c r="DY494" s="132"/>
      <c r="DZ494" s="132"/>
      <c r="EA494" s="132"/>
      <c r="EB494" s="132"/>
      <c r="EC494" s="132"/>
      <c r="ED494" s="132"/>
      <c r="EE494" s="132"/>
      <c r="EF494" s="132"/>
      <c r="EG494" s="132"/>
      <c r="EH494" s="132"/>
      <c r="EI494" s="132"/>
      <c r="EJ494" s="132"/>
      <c r="EK494" s="132"/>
      <c r="EL494" s="132"/>
      <c r="EM494" s="132"/>
      <c r="EN494" s="132"/>
      <c r="EO494" s="132"/>
      <c r="EP494" s="132"/>
      <c r="EQ494" s="132"/>
      <c r="ER494" s="132"/>
      <c r="ES494" s="132"/>
      <c r="ET494" s="11"/>
      <c r="EU494" s="11"/>
      <c r="EV494" s="11"/>
      <c r="EW494" s="11"/>
      <c r="EX494" s="11"/>
      <c r="EY494" s="11"/>
      <c r="EZ494" s="11"/>
      <c r="FA494" s="11"/>
      <c r="FB494" s="11"/>
      <c r="FC494" s="11"/>
      <c r="FD494" s="11"/>
      <c r="FE494" s="11"/>
      <c r="FF494" s="11"/>
      <c r="FG494" s="11"/>
      <c r="FH494" s="39">
        <f t="shared" si="114"/>
        <v>4889671.92</v>
      </c>
      <c r="FI494" s="33">
        <f t="shared" si="115"/>
        <v>3</v>
      </c>
      <c r="FJ494" s="84">
        <f t="shared" si="116"/>
        <v>1629890.64</v>
      </c>
    </row>
    <row r="495" spans="1:166" ht="40.5" x14ac:dyDescent="0.25">
      <c r="A495" s="79" t="e">
        <f>#REF!</f>
        <v>#REF!</v>
      </c>
      <c r="B495" s="75" t="e">
        <f>#REF!</f>
        <v>#REF!</v>
      </c>
      <c r="C495" s="75" t="e">
        <f>#REF!</f>
        <v>#REF!</v>
      </c>
      <c r="D495" s="75" t="e">
        <f>#REF!</f>
        <v>#REF!</v>
      </c>
      <c r="E495" s="30">
        <v>1</v>
      </c>
      <c r="F495" s="238">
        <v>0</v>
      </c>
      <c r="G495" s="241">
        <v>0</v>
      </c>
      <c r="H495" s="249">
        <v>0</v>
      </c>
      <c r="I495" s="249">
        <v>0</v>
      </c>
      <c r="J495" s="249">
        <v>1594600</v>
      </c>
      <c r="K495" s="249">
        <v>0</v>
      </c>
      <c r="L495" s="274">
        <f>J495</f>
        <v>1594600</v>
      </c>
      <c r="M495" s="274"/>
      <c r="N495" s="245"/>
      <c r="O495" s="113"/>
      <c r="P495" s="113"/>
      <c r="Q495" s="131"/>
      <c r="R495" s="131"/>
      <c r="S495" s="64"/>
      <c r="T495" s="113"/>
      <c r="U495" s="113"/>
      <c r="V495" s="113"/>
      <c r="W495" s="131"/>
      <c r="X495" s="131"/>
      <c r="Y495" s="11"/>
      <c r="Z495" s="113"/>
      <c r="AA495" s="113"/>
      <c r="AB495" s="113"/>
      <c r="AC495" s="52"/>
      <c r="AD495" s="52"/>
      <c r="AE495" s="11"/>
      <c r="AF495" s="118"/>
      <c r="AG495" s="144"/>
      <c r="AH495" s="113"/>
      <c r="AI495" s="11"/>
      <c r="AJ495" s="11"/>
      <c r="AK495" s="39"/>
      <c r="AL495" s="113"/>
      <c r="AM495" s="113"/>
      <c r="AN495" s="147"/>
      <c r="AO495" s="76"/>
      <c r="AP495" s="39"/>
      <c r="AQ495" s="39"/>
      <c r="AR495" s="275"/>
      <c r="AS495" s="275"/>
      <c r="AT495" s="275"/>
      <c r="AU495" s="62"/>
      <c r="AV495" s="62"/>
      <c r="AW495" s="11"/>
      <c r="AX495" s="116"/>
      <c r="AY495" s="116"/>
      <c r="AZ495" s="143"/>
      <c r="BA495" s="191"/>
      <c r="BB495" s="132"/>
      <c r="BC495" s="132"/>
      <c r="BD495" s="274"/>
      <c r="BE495" s="143"/>
      <c r="BF495" s="143"/>
      <c r="BG495" s="132"/>
      <c r="BH495" s="132"/>
      <c r="BI495" s="132"/>
      <c r="BJ495" s="143"/>
      <c r="BK495" s="143"/>
      <c r="BL495" s="143"/>
      <c r="BM495" s="132"/>
      <c r="BN495" s="132"/>
      <c r="BO495" s="132"/>
      <c r="BP495" s="143"/>
      <c r="BQ495" s="132"/>
      <c r="BR495" s="132"/>
      <c r="BS495" s="132"/>
      <c r="BT495" s="132"/>
      <c r="BU495" s="132"/>
      <c r="BV495" s="263">
        <v>1297200</v>
      </c>
      <c r="BW495" s="144">
        <f t="shared" si="121"/>
        <v>246468</v>
      </c>
      <c r="BX495" s="113">
        <f t="shared" si="117"/>
        <v>1543668</v>
      </c>
      <c r="BY495" s="264" t="s">
        <v>320</v>
      </c>
      <c r="BZ495" s="264" t="s">
        <v>313</v>
      </c>
      <c r="CA495" s="132"/>
      <c r="CB495" s="274"/>
      <c r="CC495" s="144"/>
      <c r="CD495" s="274"/>
      <c r="CE495" s="132"/>
      <c r="CF495" s="132"/>
      <c r="CG495" s="36"/>
      <c r="CH495" s="268">
        <v>1336116</v>
      </c>
      <c r="CI495" s="265">
        <f t="shared" si="122"/>
        <v>253862.04</v>
      </c>
      <c r="CJ495" s="263">
        <f t="shared" si="120"/>
        <v>1589978.04</v>
      </c>
      <c r="CK495" s="264" t="s">
        <v>320</v>
      </c>
      <c r="CL495" s="264" t="s">
        <v>313</v>
      </c>
      <c r="CM495" s="132"/>
      <c r="CN495" s="274">
        <v>609276</v>
      </c>
      <c r="CO495" s="144">
        <f>+CN495*0.19</f>
        <v>115762.44</v>
      </c>
      <c r="CP495" s="274">
        <f>+CO495+CN495</f>
        <v>725038.44</v>
      </c>
      <c r="CQ495" s="132"/>
      <c r="CR495" s="132"/>
      <c r="CS495" s="132"/>
      <c r="CT495" s="274"/>
      <c r="CU495" s="144"/>
      <c r="CV495" s="274"/>
      <c r="CW495" s="132"/>
      <c r="CX495" s="132"/>
      <c r="CY495" s="132"/>
      <c r="CZ495" s="118"/>
      <c r="DA495" s="144"/>
      <c r="DB495" s="118"/>
      <c r="DC495" s="33"/>
      <c r="DD495" s="39"/>
      <c r="DE495" s="11"/>
      <c r="DF495" s="132"/>
      <c r="DG495" s="132"/>
      <c r="DH495" s="132"/>
      <c r="DI495" s="132"/>
      <c r="DJ495" s="132"/>
      <c r="DK495" s="132"/>
      <c r="DL495" s="132"/>
      <c r="DM495" s="132"/>
      <c r="DN495" s="132"/>
      <c r="DO495" s="132"/>
      <c r="DP495" s="132"/>
      <c r="DQ495" s="132"/>
      <c r="DR495" s="132"/>
      <c r="DS495" s="132"/>
      <c r="DT495" s="132"/>
      <c r="DU495" s="132"/>
      <c r="DV495" s="132"/>
      <c r="DW495" s="132"/>
      <c r="DX495" s="132"/>
      <c r="DY495" s="132"/>
      <c r="DZ495" s="132"/>
      <c r="EA495" s="132"/>
      <c r="EB495" s="132"/>
      <c r="EC495" s="132"/>
      <c r="ED495" s="132"/>
      <c r="EE495" s="132"/>
      <c r="EF495" s="132"/>
      <c r="EG495" s="132"/>
      <c r="EH495" s="132"/>
      <c r="EI495" s="132"/>
      <c r="EJ495" s="132"/>
      <c r="EK495" s="132"/>
      <c r="EL495" s="132"/>
      <c r="EM495" s="132"/>
      <c r="EN495" s="132"/>
      <c r="EO495" s="132"/>
      <c r="EP495" s="132"/>
      <c r="EQ495" s="132"/>
      <c r="ER495" s="132"/>
      <c r="ES495" s="132"/>
      <c r="ET495" s="11"/>
      <c r="EU495" s="11"/>
      <c r="EV495" s="11"/>
      <c r="EW495" s="11"/>
      <c r="EX495" s="11"/>
      <c r="EY495" s="11"/>
      <c r="EZ495" s="11"/>
      <c r="FA495" s="11"/>
      <c r="FB495" s="11"/>
      <c r="FC495" s="11"/>
      <c r="FD495" s="11"/>
      <c r="FE495" s="11"/>
      <c r="FF495" s="11"/>
      <c r="FG495" s="11"/>
      <c r="FH495" s="39">
        <f t="shared" si="114"/>
        <v>3858684.48</v>
      </c>
      <c r="FI495" s="33">
        <f t="shared" si="115"/>
        <v>3</v>
      </c>
      <c r="FJ495" s="84">
        <f t="shared" si="116"/>
        <v>1286228.1599999999</v>
      </c>
    </row>
    <row r="496" spans="1:166" ht="27" x14ac:dyDescent="0.25">
      <c r="A496" s="79" t="e">
        <f>#REF!</f>
        <v>#REF!</v>
      </c>
      <c r="B496" s="75" t="e">
        <f>#REF!</f>
        <v>#REF!</v>
      </c>
      <c r="C496" s="75" t="e">
        <f>#REF!</f>
        <v>#REF!</v>
      </c>
      <c r="D496" s="75" t="e">
        <f>#REF!</f>
        <v>#REF!</v>
      </c>
      <c r="E496" s="30">
        <v>1</v>
      </c>
      <c r="F496" s="238">
        <v>276817.8</v>
      </c>
      <c r="G496" s="241">
        <v>272629</v>
      </c>
      <c r="H496" s="249">
        <v>312969.66263500002</v>
      </c>
      <c r="I496" s="249">
        <v>0</v>
      </c>
      <c r="J496" s="249">
        <v>315945</v>
      </c>
      <c r="K496" s="249">
        <v>312970</v>
      </c>
      <c r="L496" s="274">
        <f>AVERAGE(F496,H496,J496)</f>
        <v>301910.82087833335</v>
      </c>
      <c r="M496" s="274">
        <f>AVERAGE(G496,K496)*E1</f>
        <v>301583.48499999999</v>
      </c>
      <c r="N496" s="245"/>
      <c r="O496" s="113"/>
      <c r="P496" s="113"/>
      <c r="Q496" s="131"/>
      <c r="R496" s="131"/>
      <c r="S496" s="64"/>
      <c r="T496" s="113"/>
      <c r="U496" s="113"/>
      <c r="V496" s="113"/>
      <c r="W496" s="131"/>
      <c r="X496" s="131"/>
      <c r="Y496" s="11"/>
      <c r="Z496" s="113"/>
      <c r="AA496" s="113"/>
      <c r="AB496" s="113"/>
      <c r="AC496" s="52"/>
      <c r="AD496" s="52"/>
      <c r="AE496" s="11"/>
      <c r="AF496" s="118"/>
      <c r="AG496" s="144"/>
      <c r="AH496" s="113"/>
      <c r="AI496" s="11"/>
      <c r="AJ496" s="11"/>
      <c r="AK496" s="39"/>
      <c r="AL496" s="113"/>
      <c r="AM496" s="113"/>
      <c r="AN496" s="117"/>
      <c r="AO496" s="76"/>
      <c r="AP496" s="39"/>
      <c r="AQ496" s="39"/>
      <c r="AR496" s="275"/>
      <c r="AS496" s="275"/>
      <c r="AT496" s="275"/>
      <c r="AU496" s="62"/>
      <c r="AV496" s="62"/>
      <c r="AW496" s="11"/>
      <c r="AX496" s="116"/>
      <c r="AY496" s="196"/>
      <c r="AZ496" s="143"/>
      <c r="BA496" s="191"/>
      <c r="BB496" s="132"/>
      <c r="BC496" s="132"/>
      <c r="BD496" s="274"/>
      <c r="BE496" s="274"/>
      <c r="BF496" s="274"/>
      <c r="BG496" s="274"/>
      <c r="BH496" s="132"/>
      <c r="BI496" s="132"/>
      <c r="BJ496" s="143"/>
      <c r="BK496" s="143"/>
      <c r="BL496" s="143"/>
      <c r="BM496" s="132"/>
      <c r="BN496" s="132"/>
      <c r="BO496" s="132"/>
      <c r="BP496" s="143"/>
      <c r="BQ496" s="132"/>
      <c r="BR496" s="132"/>
      <c r="BS496" s="132"/>
      <c r="BT496" s="132"/>
      <c r="BU496" s="132"/>
      <c r="BV496" s="263">
        <v>320300</v>
      </c>
      <c r="BW496" s="144">
        <f t="shared" si="121"/>
        <v>60857</v>
      </c>
      <c r="BX496" s="113">
        <f t="shared" si="117"/>
        <v>381157</v>
      </c>
      <c r="BY496" s="264" t="s">
        <v>342</v>
      </c>
      <c r="BZ496" s="264" t="s">
        <v>263</v>
      </c>
      <c r="CA496" s="132"/>
      <c r="CB496" s="274"/>
      <c r="CC496" s="144"/>
      <c r="CD496" s="274"/>
      <c r="CE496" s="132"/>
      <c r="CF496" s="132"/>
      <c r="CG496" s="36"/>
      <c r="CH496" s="263">
        <v>323503</v>
      </c>
      <c r="CI496" s="265">
        <f t="shared" si="122"/>
        <v>61465.57</v>
      </c>
      <c r="CJ496" s="263">
        <f t="shared" si="120"/>
        <v>384968.57</v>
      </c>
      <c r="CK496" s="264" t="s">
        <v>342</v>
      </c>
      <c r="CL496" s="264" t="s">
        <v>263</v>
      </c>
      <c r="CM496" s="132"/>
      <c r="CN496" s="274"/>
      <c r="CO496" s="144"/>
      <c r="CP496" s="274"/>
      <c r="CQ496" s="132"/>
      <c r="CR496" s="132"/>
      <c r="CS496" s="132"/>
      <c r="CT496" s="274"/>
      <c r="CU496" s="144"/>
      <c r="CV496" s="274"/>
      <c r="CW496" s="132"/>
      <c r="CX496" s="132"/>
      <c r="CY496" s="132"/>
      <c r="CZ496" s="118">
        <v>256065</v>
      </c>
      <c r="DA496" s="144">
        <f>+CZ496*0.19</f>
        <v>48652.35</v>
      </c>
      <c r="DB496" s="118">
        <f>+CZ496+DA496</f>
        <v>304717.34999999998</v>
      </c>
      <c r="DC496" s="33" t="s">
        <v>426</v>
      </c>
      <c r="DD496" s="39" t="s">
        <v>113</v>
      </c>
      <c r="DE496" s="11" t="s">
        <v>58</v>
      </c>
      <c r="DF496" s="132"/>
      <c r="DG496" s="132"/>
      <c r="DH496" s="132"/>
      <c r="DI496" s="132"/>
      <c r="DJ496" s="132"/>
      <c r="DK496" s="132"/>
      <c r="DL496" s="132"/>
      <c r="DM496" s="132"/>
      <c r="DN496" s="132"/>
      <c r="DO496" s="132"/>
      <c r="DP496" s="132"/>
      <c r="DQ496" s="132"/>
      <c r="DR496" s="132"/>
      <c r="DS496" s="132"/>
      <c r="DT496" s="132"/>
      <c r="DU496" s="132"/>
      <c r="DV496" s="132"/>
      <c r="DW496" s="132"/>
      <c r="DX496" s="132"/>
      <c r="DY496" s="132"/>
      <c r="DZ496" s="132"/>
      <c r="EA496" s="132"/>
      <c r="EB496" s="132"/>
      <c r="EC496" s="132"/>
      <c r="ED496" s="132"/>
      <c r="EE496" s="132"/>
      <c r="EF496" s="132"/>
      <c r="EG496" s="132"/>
      <c r="EH496" s="132"/>
      <c r="EI496" s="132"/>
      <c r="EJ496" s="132"/>
      <c r="EK496" s="132"/>
      <c r="EL496" s="132"/>
      <c r="EM496" s="132"/>
      <c r="EN496" s="132"/>
      <c r="EO496" s="132"/>
      <c r="EP496" s="132"/>
      <c r="EQ496" s="132"/>
      <c r="ER496" s="132"/>
      <c r="ES496" s="132"/>
      <c r="ET496" s="11"/>
      <c r="EU496" s="11"/>
      <c r="EV496" s="11"/>
      <c r="EW496" s="11"/>
      <c r="EX496" s="11"/>
      <c r="EY496" s="11"/>
      <c r="EZ496" s="11"/>
      <c r="FA496" s="11"/>
      <c r="FB496" s="11"/>
      <c r="FC496" s="11"/>
      <c r="FD496" s="11"/>
      <c r="FE496" s="11"/>
      <c r="FF496" s="11"/>
      <c r="FG496" s="11"/>
      <c r="FH496" s="39">
        <f t="shared" si="114"/>
        <v>1372426.4049999998</v>
      </c>
      <c r="FI496" s="33">
        <f t="shared" si="115"/>
        <v>4</v>
      </c>
      <c r="FJ496" s="84">
        <f t="shared" si="116"/>
        <v>343106.60124999995</v>
      </c>
    </row>
    <row r="497" spans="1:166" ht="25.5" x14ac:dyDescent="0.25">
      <c r="A497" s="79" t="e">
        <f>#REF!</f>
        <v>#REF!</v>
      </c>
      <c r="B497" s="75" t="e">
        <f>#REF!</f>
        <v>#REF!</v>
      </c>
      <c r="C497" s="75" t="e">
        <f>#REF!</f>
        <v>#REF!</v>
      </c>
      <c r="D497" s="75" t="e">
        <f>#REF!</f>
        <v>#REF!</v>
      </c>
      <c r="E497" s="30">
        <v>1</v>
      </c>
      <c r="F497" s="238">
        <v>0</v>
      </c>
      <c r="G497" s="241">
        <v>0</v>
      </c>
      <c r="H497" s="249">
        <v>0</v>
      </c>
      <c r="I497" s="249">
        <v>0</v>
      </c>
      <c r="J497" s="249">
        <v>5950</v>
      </c>
      <c r="K497" s="249">
        <v>0</v>
      </c>
      <c r="L497" s="274">
        <f>J497</f>
        <v>5950</v>
      </c>
      <c r="M497" s="274"/>
      <c r="N497" s="245"/>
      <c r="O497" s="113"/>
      <c r="P497" s="113"/>
      <c r="Q497" s="131"/>
      <c r="R497" s="131"/>
      <c r="S497" s="64"/>
      <c r="T497" s="113"/>
      <c r="U497" s="113"/>
      <c r="V497" s="113"/>
      <c r="W497" s="131"/>
      <c r="X497" s="131"/>
      <c r="Y497" s="11"/>
      <c r="Z497" s="113"/>
      <c r="AA497" s="113"/>
      <c r="AB497" s="113"/>
      <c r="AC497" s="52"/>
      <c r="AD497" s="52"/>
      <c r="AE497" s="11"/>
      <c r="AF497" s="118">
        <v>15000</v>
      </c>
      <c r="AG497" s="144">
        <v>0</v>
      </c>
      <c r="AH497" s="113">
        <f>+AF497+AG497</f>
        <v>15000</v>
      </c>
      <c r="AI497" s="11"/>
      <c r="AJ497" s="11"/>
      <c r="AK497" s="39"/>
      <c r="AL497" s="113"/>
      <c r="AM497" s="113"/>
      <c r="AN497" s="117"/>
      <c r="AO497" s="76"/>
      <c r="AP497" s="39"/>
      <c r="AQ497" s="39"/>
      <c r="AR497" s="275">
        <v>122400</v>
      </c>
      <c r="AS497" s="143">
        <f>+AR497*0.19</f>
        <v>23256</v>
      </c>
      <c r="AT497" s="116">
        <f>+AR497+AS497</f>
        <v>145656</v>
      </c>
      <c r="AU497" s="62" t="s">
        <v>427</v>
      </c>
      <c r="AV497" s="36" t="s">
        <v>35</v>
      </c>
      <c r="AW497" s="11"/>
      <c r="AX497" s="116"/>
      <c r="AY497" s="194"/>
      <c r="AZ497" s="143"/>
      <c r="BA497" s="191"/>
      <c r="BB497" s="132"/>
      <c r="BC497" s="132"/>
      <c r="BD497" s="274"/>
      <c r="BE497" s="143"/>
      <c r="BF497" s="143"/>
      <c r="BG497" s="132"/>
      <c r="BH497" s="132"/>
      <c r="BI497" s="132"/>
      <c r="BJ497" s="143"/>
      <c r="BK497" s="143"/>
      <c r="BL497" s="143"/>
      <c r="BM497" s="132"/>
      <c r="BN497" s="132"/>
      <c r="BO497" s="132"/>
      <c r="BP497" s="143"/>
      <c r="BQ497" s="132"/>
      <c r="BR497" s="132"/>
      <c r="BS497" s="132"/>
      <c r="BT497" s="132"/>
      <c r="BU497" s="132"/>
      <c r="BV497" s="210"/>
      <c r="BW497" s="144"/>
      <c r="BX497" s="113"/>
      <c r="BY497" s="273"/>
      <c r="BZ497" s="273"/>
      <c r="CA497" s="132"/>
      <c r="CB497" s="274"/>
      <c r="CC497" s="144"/>
      <c r="CD497" s="274"/>
      <c r="CE497" s="132"/>
      <c r="CF497" s="132"/>
      <c r="CG497" s="36"/>
      <c r="CH497" s="210"/>
      <c r="CI497" s="219"/>
      <c r="CJ497" s="210"/>
      <c r="CK497" s="273"/>
      <c r="CL497" s="273"/>
      <c r="CM497" s="132"/>
      <c r="CN497" s="274"/>
      <c r="CO497" s="144"/>
      <c r="CP497" s="274"/>
      <c r="CQ497" s="132"/>
      <c r="CR497" s="132"/>
      <c r="CS497" s="132"/>
      <c r="CT497" s="274"/>
      <c r="CU497" s="144"/>
      <c r="CV497" s="274"/>
      <c r="CW497" s="132"/>
      <c r="CX497" s="132"/>
      <c r="CY497" s="132"/>
      <c r="CZ497" s="118"/>
      <c r="DA497" s="144"/>
      <c r="DB497" s="118"/>
      <c r="DC497" s="33"/>
      <c r="DD497" s="39"/>
      <c r="DE497" s="11"/>
      <c r="DF497" s="132"/>
      <c r="DG497" s="132"/>
      <c r="DH497" s="132"/>
      <c r="DI497" s="132"/>
      <c r="DJ497" s="132"/>
      <c r="DK497" s="132"/>
      <c r="DL497" s="132"/>
      <c r="DM497" s="132"/>
      <c r="DN497" s="132"/>
      <c r="DO497" s="132"/>
      <c r="DP497" s="132"/>
      <c r="DQ497" s="132"/>
      <c r="DR497" s="132"/>
      <c r="DS497" s="132"/>
      <c r="DT497" s="132"/>
      <c r="DU497" s="132"/>
      <c r="DV497" s="132"/>
      <c r="DW497" s="132"/>
      <c r="DX497" s="132"/>
      <c r="DY497" s="132"/>
      <c r="DZ497" s="132"/>
      <c r="EA497" s="132"/>
      <c r="EB497" s="132"/>
      <c r="EC497" s="132"/>
      <c r="ED497" s="132"/>
      <c r="EE497" s="132"/>
      <c r="EF497" s="132"/>
      <c r="EG497" s="132"/>
      <c r="EH497" s="132"/>
      <c r="EI497" s="132"/>
      <c r="EJ497" s="132"/>
      <c r="EK497" s="132"/>
      <c r="EL497" s="132"/>
      <c r="EM497" s="132"/>
      <c r="EN497" s="132"/>
      <c r="EO497" s="132"/>
      <c r="EP497" s="132"/>
      <c r="EQ497" s="132"/>
      <c r="ER497" s="132"/>
      <c r="ES497" s="132"/>
      <c r="ET497" s="11"/>
      <c r="EU497" s="11"/>
      <c r="EV497" s="11"/>
      <c r="EW497" s="11"/>
      <c r="EX497" s="11"/>
      <c r="EY497" s="11"/>
      <c r="EZ497" s="11"/>
      <c r="FA497" s="11"/>
      <c r="FB497" s="11"/>
      <c r="FC497" s="11"/>
      <c r="FD497" s="11"/>
      <c r="FE497" s="11"/>
      <c r="FF497" s="11"/>
      <c r="FG497" s="11"/>
      <c r="FH497" s="39">
        <f t="shared" si="114"/>
        <v>160656</v>
      </c>
      <c r="FI497" s="33">
        <f t="shared" si="115"/>
        <v>2</v>
      </c>
      <c r="FJ497" s="84">
        <f t="shared" si="116"/>
        <v>80328</v>
      </c>
    </row>
    <row r="498" spans="1:166" ht="27" x14ac:dyDescent="0.25">
      <c r="A498" s="79" t="e">
        <f>#REF!</f>
        <v>#REF!</v>
      </c>
      <c r="B498" s="75" t="e">
        <f>#REF!</f>
        <v>#REF!</v>
      </c>
      <c r="C498" s="75" t="e">
        <f>#REF!</f>
        <v>#REF!</v>
      </c>
      <c r="D498" s="75" t="e">
        <f>#REF!</f>
        <v>#REF!</v>
      </c>
      <c r="E498" s="30">
        <v>1</v>
      </c>
      <c r="F498" s="238">
        <v>0</v>
      </c>
      <c r="G498" s="241">
        <v>0</v>
      </c>
      <c r="H498" s="249">
        <v>512890</v>
      </c>
      <c r="I498" s="249">
        <v>0</v>
      </c>
      <c r="J498" s="249">
        <v>199500</v>
      </c>
      <c r="K498" s="249">
        <v>0</v>
      </c>
      <c r="L498" s="274">
        <f>AVERAGE(H498,J498)</f>
        <v>356195</v>
      </c>
      <c r="M498" s="274"/>
      <c r="N498" s="245"/>
      <c r="O498" s="113"/>
      <c r="P498" s="113"/>
      <c r="Q498" s="131"/>
      <c r="R498" s="131"/>
      <c r="S498" s="64"/>
      <c r="T498" s="113"/>
      <c r="U498" s="113"/>
      <c r="V498" s="113"/>
      <c r="W498" s="131"/>
      <c r="X498" s="131"/>
      <c r="Y498" s="11"/>
      <c r="Z498" s="113"/>
      <c r="AA498" s="113"/>
      <c r="AB498" s="113"/>
      <c r="AC498" s="52"/>
      <c r="AD498" s="52"/>
      <c r="AE498" s="11"/>
      <c r="AF498" s="118"/>
      <c r="AG498" s="144"/>
      <c r="AH498" s="113"/>
      <c r="AI498" s="11"/>
      <c r="AJ498" s="11"/>
      <c r="AK498" s="39"/>
      <c r="AL498" s="113"/>
      <c r="AM498" s="113"/>
      <c r="AN498" s="117"/>
      <c r="AO498" s="76"/>
      <c r="AP498" s="39"/>
      <c r="AQ498" s="39"/>
      <c r="AR498" s="275">
        <f>446400*2</f>
        <v>892800</v>
      </c>
      <c r="AS498" s="143">
        <f>+AR498*0.19</f>
        <v>169632</v>
      </c>
      <c r="AT498" s="116">
        <f>+AR498+AS498</f>
        <v>1062432</v>
      </c>
      <c r="AU498" s="62" t="s">
        <v>109</v>
      </c>
      <c r="AV498" s="36" t="s">
        <v>35</v>
      </c>
      <c r="AW498" s="11"/>
      <c r="AX498" s="116"/>
      <c r="AY498" s="116"/>
      <c r="AZ498" s="143"/>
      <c r="BA498" s="191"/>
      <c r="BB498" s="132"/>
      <c r="BC498" s="132"/>
      <c r="BD498" s="274"/>
      <c r="BE498" s="143"/>
      <c r="BF498" s="143"/>
      <c r="BG498" s="132"/>
      <c r="BH498" s="132"/>
      <c r="BI498" s="132"/>
      <c r="BJ498" s="143"/>
      <c r="BK498" s="143"/>
      <c r="BL498" s="143"/>
      <c r="BM498" s="132"/>
      <c r="BN498" s="132"/>
      <c r="BO498" s="132"/>
      <c r="BP498" s="143"/>
      <c r="BQ498" s="132"/>
      <c r="BR498" s="132"/>
      <c r="BS498" s="132"/>
      <c r="BT498" s="132"/>
      <c r="BU498" s="132"/>
      <c r="BV498" s="263">
        <v>322000</v>
      </c>
      <c r="BW498" s="144">
        <f>BV498*19%</f>
        <v>61180</v>
      </c>
      <c r="BX498" s="113">
        <f>+BV498+BW498</f>
        <v>383180</v>
      </c>
      <c r="BY498" s="264" t="s">
        <v>428</v>
      </c>
      <c r="BZ498" s="264" t="s">
        <v>263</v>
      </c>
      <c r="CA498" s="132"/>
      <c r="CB498" s="274"/>
      <c r="CC498" s="144"/>
      <c r="CD498" s="274"/>
      <c r="CE498" s="132"/>
      <c r="CF498" s="132"/>
      <c r="CG498" s="36"/>
      <c r="CH498" s="263">
        <v>344540</v>
      </c>
      <c r="CI498" s="265">
        <f>+CH498*0.19</f>
        <v>65462.6</v>
      </c>
      <c r="CJ498" s="263">
        <f>+CH498+CI498</f>
        <v>410002.6</v>
      </c>
      <c r="CK498" s="264" t="s">
        <v>428</v>
      </c>
      <c r="CL498" s="264" t="s">
        <v>263</v>
      </c>
      <c r="CM498" s="132"/>
      <c r="CN498" s="274"/>
      <c r="CO498" s="144"/>
      <c r="CP498" s="274"/>
      <c r="CQ498" s="132"/>
      <c r="CR498" s="132"/>
      <c r="CS498" s="132"/>
      <c r="CT498" s="274"/>
      <c r="CU498" s="144"/>
      <c r="CV498" s="274"/>
      <c r="CW498" s="132"/>
      <c r="CX498" s="132"/>
      <c r="CY498" s="132"/>
      <c r="CZ498" s="118">
        <v>85514</v>
      </c>
      <c r="DA498" s="144">
        <f>+CZ498*0.19</f>
        <v>16247.66</v>
      </c>
      <c r="DB498" s="118">
        <f>+CZ498+DA498</f>
        <v>101761.66</v>
      </c>
      <c r="DC498" s="33" t="s">
        <v>429</v>
      </c>
      <c r="DD498" s="39" t="s">
        <v>113</v>
      </c>
      <c r="DE498" s="11" t="s">
        <v>430</v>
      </c>
      <c r="DF498" s="132"/>
      <c r="DG498" s="132"/>
      <c r="DH498" s="132"/>
      <c r="DI498" s="132"/>
      <c r="DJ498" s="132"/>
      <c r="DK498" s="132"/>
      <c r="DL498" s="132"/>
      <c r="DM498" s="132"/>
      <c r="DN498" s="132"/>
      <c r="DO498" s="132"/>
      <c r="DP498" s="132"/>
      <c r="DQ498" s="132"/>
      <c r="DR498" s="132"/>
      <c r="DS498" s="132"/>
      <c r="DT498" s="132"/>
      <c r="DU498" s="132"/>
      <c r="DV498" s="132"/>
      <c r="DW498" s="132"/>
      <c r="DX498" s="132"/>
      <c r="DY498" s="132"/>
      <c r="DZ498" s="132"/>
      <c r="EA498" s="132"/>
      <c r="EB498" s="132"/>
      <c r="EC498" s="132"/>
      <c r="ED498" s="132"/>
      <c r="EE498" s="132"/>
      <c r="EF498" s="132"/>
      <c r="EG498" s="132"/>
      <c r="EH498" s="132"/>
      <c r="EI498" s="132"/>
      <c r="EJ498" s="132"/>
      <c r="EK498" s="132"/>
      <c r="EL498" s="132"/>
      <c r="EM498" s="132"/>
      <c r="EN498" s="132"/>
      <c r="EO498" s="132"/>
      <c r="EP498" s="132"/>
      <c r="EQ498" s="132"/>
      <c r="ER498" s="132"/>
      <c r="ES498" s="132"/>
      <c r="ET498" s="11"/>
      <c r="EU498" s="11"/>
      <c r="EV498" s="11"/>
      <c r="EW498" s="11"/>
      <c r="EX498" s="11"/>
      <c r="EY498" s="11"/>
      <c r="EZ498" s="11"/>
      <c r="FA498" s="11"/>
      <c r="FB498" s="11"/>
      <c r="FC498" s="11"/>
      <c r="FD498" s="11"/>
      <c r="FE498" s="11"/>
      <c r="FF498" s="11"/>
      <c r="FG498" s="11"/>
      <c r="FH498" s="39">
        <f t="shared" si="114"/>
        <v>1957376.26</v>
      </c>
      <c r="FI498" s="33">
        <f t="shared" si="115"/>
        <v>4</v>
      </c>
      <c r="FJ498" s="84">
        <f t="shared" si="116"/>
        <v>489344.065</v>
      </c>
    </row>
    <row r="499" spans="1:166" x14ac:dyDescent="0.25">
      <c r="A499" s="79" t="e">
        <f>#REF!</f>
        <v>#REF!</v>
      </c>
      <c r="B499" s="75" t="e">
        <f>#REF!</f>
        <v>#REF!</v>
      </c>
      <c r="C499" s="75" t="e">
        <f>#REF!</f>
        <v>#REF!</v>
      </c>
      <c r="D499" s="75" t="e">
        <f>#REF!</f>
        <v>#REF!</v>
      </c>
      <c r="E499" s="30">
        <v>1</v>
      </c>
      <c r="F499" s="238">
        <v>0</v>
      </c>
      <c r="G499" s="241">
        <v>0</v>
      </c>
      <c r="H499" s="249">
        <v>833000</v>
      </c>
      <c r="I499" s="249">
        <v>0</v>
      </c>
      <c r="J499" s="249">
        <v>0</v>
      </c>
      <c r="K499" s="249">
        <v>0</v>
      </c>
      <c r="L499" s="274">
        <f>H499</f>
        <v>833000</v>
      </c>
      <c r="M499" s="274"/>
      <c r="N499" s="245"/>
      <c r="O499" s="113"/>
      <c r="P499" s="113"/>
      <c r="Q499" s="131"/>
      <c r="R499" s="131"/>
      <c r="S499" s="64"/>
      <c r="T499" s="113"/>
      <c r="U499" s="113"/>
      <c r="V499" s="113"/>
      <c r="W499" s="131"/>
      <c r="X499" s="131"/>
      <c r="Y499" s="11"/>
      <c r="Z499" s="113"/>
      <c r="AA499" s="113"/>
      <c r="AB499" s="113"/>
      <c r="AC499" s="52"/>
      <c r="AD499" s="52"/>
      <c r="AE499" s="11"/>
      <c r="AF499" s="118"/>
      <c r="AG499" s="144"/>
      <c r="AH499" s="113"/>
      <c r="AI499" s="11"/>
      <c r="AJ499" s="11"/>
      <c r="AK499" s="39"/>
      <c r="AL499" s="113"/>
      <c r="AM499" s="113"/>
      <c r="AN499" s="148"/>
      <c r="AO499" s="76"/>
      <c r="AP499" s="39"/>
      <c r="AQ499" s="39"/>
      <c r="AR499" s="275">
        <v>182000</v>
      </c>
      <c r="AS499" s="143">
        <f>+AR499*0.19</f>
        <v>34580</v>
      </c>
      <c r="AT499" s="116">
        <f>+AR499+AS499</f>
        <v>216580</v>
      </c>
      <c r="AU499" s="62" t="s">
        <v>44</v>
      </c>
      <c r="AV499" s="62" t="s">
        <v>431</v>
      </c>
      <c r="AW499" s="11"/>
      <c r="AX499" s="116"/>
      <c r="AY499" s="116"/>
      <c r="AZ499" s="143"/>
      <c r="BA499" s="191"/>
      <c r="BB499" s="132"/>
      <c r="BC499" s="132"/>
      <c r="BD499" s="274"/>
      <c r="BE499" s="143"/>
      <c r="BF499" s="143"/>
      <c r="BG499" s="132"/>
      <c r="BH499" s="132"/>
      <c r="BI499" s="132"/>
      <c r="BJ499" s="143"/>
      <c r="BK499" s="143"/>
      <c r="BL499" s="143"/>
      <c r="BM499" s="132"/>
      <c r="BN499" s="132"/>
      <c r="BO499" s="132"/>
      <c r="BP499" s="143"/>
      <c r="BQ499" s="132"/>
      <c r="BR499" s="132"/>
      <c r="BS499" s="132"/>
      <c r="BT499" s="132"/>
      <c r="BU499" s="132"/>
      <c r="BV499" s="210"/>
      <c r="BW499" s="144"/>
      <c r="BX499" s="113"/>
      <c r="BY499" s="273"/>
      <c r="BZ499" s="273"/>
      <c r="CA499" s="132"/>
      <c r="CB499" s="274"/>
      <c r="CC499" s="144"/>
      <c r="CD499" s="274"/>
      <c r="CE499" s="132"/>
      <c r="CF499" s="132"/>
      <c r="CG499" s="36"/>
      <c r="CH499" s="210"/>
      <c r="CI499" s="219"/>
      <c r="CJ499" s="210"/>
      <c r="CK499" s="273"/>
      <c r="CL499" s="273"/>
      <c r="CM499" s="132"/>
      <c r="CN499" s="274"/>
      <c r="CO499" s="144"/>
      <c r="CP499" s="274"/>
      <c r="CQ499" s="132"/>
      <c r="CR499" s="132"/>
      <c r="CS499" s="132"/>
      <c r="CT499" s="274"/>
      <c r="CU499" s="144"/>
      <c r="CV499" s="274"/>
      <c r="CW499" s="132"/>
      <c r="CX499" s="132"/>
      <c r="CY499" s="132"/>
      <c r="CZ499" s="118"/>
      <c r="DA499" s="144"/>
      <c r="DB499" s="118"/>
      <c r="DC499" s="33"/>
      <c r="DD499" s="39"/>
      <c r="DE499" s="11"/>
      <c r="DF499" s="132"/>
      <c r="DG499" s="132"/>
      <c r="DH499" s="132"/>
      <c r="DI499" s="132"/>
      <c r="DJ499" s="132"/>
      <c r="DK499" s="132"/>
      <c r="DL499" s="132"/>
      <c r="DM499" s="132"/>
      <c r="DN499" s="132"/>
      <c r="DO499" s="132"/>
      <c r="DP499" s="132"/>
      <c r="DQ499" s="132"/>
      <c r="DR499" s="132"/>
      <c r="DS499" s="132"/>
      <c r="DT499" s="132"/>
      <c r="DU499" s="132"/>
      <c r="DV499" s="132"/>
      <c r="DW499" s="132"/>
      <c r="DX499" s="132"/>
      <c r="DY499" s="132"/>
      <c r="DZ499" s="132"/>
      <c r="EA499" s="132"/>
      <c r="EB499" s="132"/>
      <c r="EC499" s="132"/>
      <c r="ED499" s="132"/>
      <c r="EE499" s="132"/>
      <c r="EF499" s="132"/>
      <c r="EG499" s="132"/>
      <c r="EH499" s="132"/>
      <c r="EI499" s="132"/>
      <c r="EJ499" s="132"/>
      <c r="EK499" s="132"/>
      <c r="EL499" s="132"/>
      <c r="EM499" s="132"/>
      <c r="EN499" s="132"/>
      <c r="EO499" s="132"/>
      <c r="EP499" s="132"/>
      <c r="EQ499" s="132"/>
      <c r="ER499" s="132"/>
      <c r="ES499" s="132"/>
      <c r="ET499" s="11"/>
      <c r="EU499" s="11"/>
      <c r="EV499" s="11"/>
      <c r="EW499" s="11"/>
      <c r="EX499" s="11"/>
      <c r="EY499" s="11"/>
      <c r="EZ499" s="11"/>
      <c r="FA499" s="11"/>
      <c r="FB499" s="11"/>
      <c r="FC499" s="11"/>
      <c r="FD499" s="11"/>
      <c r="FE499" s="11"/>
      <c r="FF499" s="11"/>
      <c r="FG499" s="11"/>
      <c r="FH499" s="39">
        <f t="shared" si="114"/>
        <v>216580</v>
      </c>
      <c r="FI499" s="33">
        <f t="shared" si="115"/>
        <v>1</v>
      </c>
      <c r="FJ499" s="84">
        <f t="shared" si="116"/>
        <v>216580</v>
      </c>
    </row>
    <row r="500" spans="1:166" ht="40.5" x14ac:dyDescent="0.25">
      <c r="A500" s="79" t="e">
        <f>#REF!</f>
        <v>#REF!</v>
      </c>
      <c r="B500" s="75" t="e">
        <f>#REF!</f>
        <v>#REF!</v>
      </c>
      <c r="C500" s="75" t="e">
        <f>#REF!</f>
        <v>#REF!</v>
      </c>
      <c r="D500" s="75" t="e">
        <f>#REF!</f>
        <v>#REF!</v>
      </c>
      <c r="E500" s="30">
        <v>1</v>
      </c>
      <c r="F500" s="238">
        <v>270328.33333333331</v>
      </c>
      <c r="G500" s="241">
        <v>0</v>
      </c>
      <c r="H500" s="249">
        <v>441473.53172222222</v>
      </c>
      <c r="I500" s="249">
        <v>0</v>
      </c>
      <c r="J500" s="249">
        <v>675523.33333333337</v>
      </c>
      <c r="K500" s="249">
        <v>654500</v>
      </c>
      <c r="L500" s="274">
        <f>AVERAGE(F500,H500,J500)</f>
        <v>462441.7327962963</v>
      </c>
      <c r="M500" s="274">
        <f>K500*E1</f>
        <v>674135</v>
      </c>
      <c r="N500" s="247">
        <v>418500</v>
      </c>
      <c r="O500" s="113">
        <f>+N500*0.19</f>
        <v>79515</v>
      </c>
      <c r="P500" s="113">
        <f>+O500+N500</f>
        <v>498015</v>
      </c>
      <c r="Q500" s="36" t="s">
        <v>127</v>
      </c>
      <c r="R500" s="132" t="s">
        <v>128</v>
      </c>
      <c r="S500" s="64" t="s">
        <v>216</v>
      </c>
      <c r="T500" s="113"/>
      <c r="U500" s="113"/>
      <c r="V500" s="113"/>
      <c r="W500" s="131"/>
      <c r="X500" s="131"/>
      <c r="Y500" s="11"/>
      <c r="Z500" s="113"/>
      <c r="AA500" s="113"/>
      <c r="AB500" s="113"/>
      <c r="AC500" s="52"/>
      <c r="AD500" s="52"/>
      <c r="AE500" s="11"/>
      <c r="AF500" s="118"/>
      <c r="AG500" s="144"/>
      <c r="AH500" s="113"/>
      <c r="AI500" s="11"/>
      <c r="AJ500" s="11"/>
      <c r="AK500" s="39"/>
      <c r="AL500" s="113"/>
      <c r="AM500" s="113"/>
      <c r="AN500" s="117"/>
      <c r="AO500" s="76"/>
      <c r="AP500" s="39"/>
      <c r="AQ500" s="39"/>
      <c r="AR500" s="275"/>
      <c r="AS500" s="275"/>
      <c r="AT500" s="275"/>
      <c r="AU500" s="62"/>
      <c r="AV500" s="62"/>
      <c r="AW500" s="11"/>
      <c r="AX500" s="116"/>
      <c r="AY500" s="194"/>
      <c r="AZ500" s="143"/>
      <c r="BA500" s="191"/>
      <c r="BB500" s="132"/>
      <c r="BC500" s="132"/>
      <c r="BD500" s="274"/>
      <c r="BE500" s="143"/>
      <c r="BF500" s="143"/>
      <c r="BG500" s="132"/>
      <c r="BH500" s="132"/>
      <c r="BI500" s="132"/>
      <c r="BJ500" s="143"/>
      <c r="BK500" s="143"/>
      <c r="BL500" s="143"/>
      <c r="BM500" s="132"/>
      <c r="BN500" s="132"/>
      <c r="BO500" s="132"/>
      <c r="BP500" s="143"/>
      <c r="BQ500" s="132"/>
      <c r="BR500" s="132"/>
      <c r="BS500" s="132"/>
      <c r="BT500" s="132"/>
      <c r="BU500" s="132"/>
      <c r="BV500" s="263">
        <v>1331400</v>
      </c>
      <c r="BW500" s="144">
        <f>BV500*19%</f>
        <v>252966</v>
      </c>
      <c r="BX500" s="113">
        <f t="shared" ref="BX500:BX505" si="123">+BV500+BW500</f>
        <v>1584366</v>
      </c>
      <c r="BY500" s="264" t="s">
        <v>432</v>
      </c>
      <c r="BZ500" s="264" t="s">
        <v>126</v>
      </c>
      <c r="CA500" s="132"/>
      <c r="CB500" s="274"/>
      <c r="CC500" s="144"/>
      <c r="CD500" s="274"/>
      <c r="CE500" s="132"/>
      <c r="CF500" s="132"/>
      <c r="CG500" s="36"/>
      <c r="CH500" s="268"/>
      <c r="CI500" s="265"/>
      <c r="CJ500" s="263"/>
      <c r="CK500" s="264"/>
      <c r="CL500" s="264"/>
      <c r="CM500" s="132"/>
      <c r="CN500" s="274"/>
      <c r="CO500" s="144"/>
      <c r="CP500" s="274"/>
      <c r="CQ500" s="132"/>
      <c r="CR500" s="132"/>
      <c r="CS500" s="132"/>
      <c r="CT500" s="274"/>
      <c r="CU500" s="144"/>
      <c r="CV500" s="274"/>
      <c r="CW500" s="132"/>
      <c r="CX500" s="132"/>
      <c r="CY500" s="132"/>
      <c r="CZ500" s="118"/>
      <c r="DA500" s="144"/>
      <c r="DB500" s="118"/>
      <c r="DC500" s="33"/>
      <c r="DD500" s="39"/>
      <c r="DE500" s="11"/>
      <c r="DF500" s="132"/>
      <c r="DG500" s="132"/>
      <c r="DH500" s="132"/>
      <c r="DI500" s="132"/>
      <c r="DJ500" s="132"/>
      <c r="DK500" s="132"/>
      <c r="DL500" s="132"/>
      <c r="DM500" s="132"/>
      <c r="DN500" s="132"/>
      <c r="DO500" s="132"/>
      <c r="DP500" s="132"/>
      <c r="DQ500" s="132"/>
      <c r="DR500" s="132"/>
      <c r="DS500" s="132"/>
      <c r="DT500" s="132"/>
      <c r="DU500" s="132"/>
      <c r="DV500" s="132"/>
      <c r="DW500" s="132"/>
      <c r="DX500" s="132"/>
      <c r="DY500" s="132"/>
      <c r="DZ500" s="132"/>
      <c r="EA500" s="132"/>
      <c r="EB500" s="132"/>
      <c r="EC500" s="132"/>
      <c r="ED500" s="132"/>
      <c r="EE500" s="132"/>
      <c r="EF500" s="132"/>
      <c r="EG500" s="132"/>
      <c r="EH500" s="132"/>
      <c r="EI500" s="132"/>
      <c r="EJ500" s="132"/>
      <c r="EK500" s="132"/>
      <c r="EL500" s="132"/>
      <c r="EM500" s="132"/>
      <c r="EN500" s="132"/>
      <c r="EO500" s="132"/>
      <c r="EP500" s="132"/>
      <c r="EQ500" s="132"/>
      <c r="ER500" s="132"/>
      <c r="ES500" s="132"/>
      <c r="ET500" s="11"/>
      <c r="EU500" s="11"/>
      <c r="EV500" s="11"/>
      <c r="EW500" s="11"/>
      <c r="EX500" s="11"/>
      <c r="EY500" s="11"/>
      <c r="EZ500" s="11"/>
      <c r="FA500" s="11"/>
      <c r="FB500" s="11"/>
      <c r="FC500" s="11"/>
      <c r="FD500" s="11"/>
      <c r="FE500" s="11"/>
      <c r="FF500" s="11"/>
      <c r="FG500" s="11"/>
      <c r="FH500" s="39">
        <f t="shared" si="114"/>
        <v>2756516</v>
      </c>
      <c r="FI500" s="33">
        <f t="shared" si="115"/>
        <v>3</v>
      </c>
      <c r="FJ500" s="84">
        <f t="shared" si="116"/>
        <v>918838.66666666663</v>
      </c>
    </row>
    <row r="501" spans="1:166" ht="13.5" x14ac:dyDescent="0.25">
      <c r="A501" s="79" t="e">
        <f>#REF!</f>
        <v>#REF!</v>
      </c>
      <c r="B501" s="75" t="e">
        <f>#REF!</f>
        <v>#REF!</v>
      </c>
      <c r="C501" s="75" t="e">
        <f>#REF!</f>
        <v>#REF!</v>
      </c>
      <c r="D501" s="75" t="e">
        <f>#REF!</f>
        <v>#REF!</v>
      </c>
      <c r="E501" s="30">
        <v>1</v>
      </c>
      <c r="F501" s="238">
        <v>428677.66666666663</v>
      </c>
      <c r="G501" s="241">
        <v>422212</v>
      </c>
      <c r="H501" s="249">
        <v>392121.46212666668</v>
      </c>
      <c r="I501" s="249">
        <v>392105</v>
      </c>
      <c r="J501" s="249">
        <v>470037.90806451614</v>
      </c>
      <c r="K501" s="249">
        <v>0</v>
      </c>
      <c r="L501" s="274">
        <f>AVERAGE(F501,H501,J501)</f>
        <v>430279.01228594984</v>
      </c>
      <c r="M501" s="274">
        <f>AVERAGE(G501,I501)*E1</f>
        <v>419373.255</v>
      </c>
      <c r="N501" s="245"/>
      <c r="O501" s="113"/>
      <c r="P501" s="113"/>
      <c r="Q501" s="131"/>
      <c r="R501" s="131"/>
      <c r="S501" s="64"/>
      <c r="T501" s="113"/>
      <c r="U501" s="113"/>
      <c r="V501" s="113"/>
      <c r="W501" s="131"/>
      <c r="X501" s="131"/>
      <c r="Y501" s="11"/>
      <c r="Z501" s="113"/>
      <c r="AA501" s="113"/>
      <c r="AB501" s="113"/>
      <c r="AC501" s="52"/>
      <c r="AD501" s="52"/>
      <c r="AE501" s="11"/>
      <c r="AF501" s="118"/>
      <c r="AG501" s="144"/>
      <c r="AH501" s="113"/>
      <c r="AI501" s="11"/>
      <c r="AJ501" s="11"/>
      <c r="AK501" s="39"/>
      <c r="AL501" s="113">
        <v>330000</v>
      </c>
      <c r="AM501" s="113">
        <f>+AL501*0.19</f>
        <v>62700</v>
      </c>
      <c r="AN501" s="119">
        <f>+AL501+AM501</f>
        <v>392700</v>
      </c>
      <c r="AO501" s="76" t="s">
        <v>78</v>
      </c>
      <c r="AP501" s="39" t="s">
        <v>45</v>
      </c>
      <c r="AQ501" s="39"/>
      <c r="AR501" s="275"/>
      <c r="AS501" s="275"/>
      <c r="AT501" s="275"/>
      <c r="AU501" s="62"/>
      <c r="AV501" s="62"/>
      <c r="AW501" s="11"/>
      <c r="AX501" s="116">
        <f>648945.343332/2</f>
        <v>324472.67166599998</v>
      </c>
      <c r="AY501" s="116">
        <f>+AX501*0.19</f>
        <v>61649.807616539998</v>
      </c>
      <c r="AZ501" s="143">
        <f>+AX501+AY501</f>
        <v>386122.47928253998</v>
      </c>
      <c r="BA501" s="191" t="s">
        <v>60</v>
      </c>
      <c r="BB501" s="132" t="s">
        <v>70</v>
      </c>
      <c r="BC501" s="132"/>
      <c r="BD501" s="274"/>
      <c r="BE501" s="143"/>
      <c r="BF501" s="143"/>
      <c r="BG501" s="132"/>
      <c r="BH501" s="132"/>
      <c r="BI501" s="132"/>
      <c r="BJ501" s="143"/>
      <c r="BK501" s="143"/>
      <c r="BL501" s="143"/>
      <c r="BM501" s="132"/>
      <c r="BN501" s="132"/>
      <c r="BO501" s="132"/>
      <c r="BP501" s="143"/>
      <c r="BQ501" s="132"/>
      <c r="BR501" s="132"/>
      <c r="BS501" s="132"/>
      <c r="BT501" s="132"/>
      <c r="BU501" s="132"/>
      <c r="BV501" s="263">
        <v>556900</v>
      </c>
      <c r="BW501" s="144">
        <f>BV501*19%</f>
        <v>105811</v>
      </c>
      <c r="BX501" s="113">
        <f t="shared" si="123"/>
        <v>662711</v>
      </c>
      <c r="BY501" s="264" t="s">
        <v>326</v>
      </c>
      <c r="BZ501" s="264" t="s">
        <v>88</v>
      </c>
      <c r="CA501" s="132"/>
      <c r="CB501" s="274"/>
      <c r="CC501" s="144"/>
      <c r="CD501" s="274"/>
      <c r="CE501" s="132"/>
      <c r="CF501" s="132"/>
      <c r="CG501" s="36"/>
      <c r="CH501" s="263">
        <v>590314</v>
      </c>
      <c r="CI501" s="265">
        <f>+CH501*0.19</f>
        <v>112159.66</v>
      </c>
      <c r="CJ501" s="263">
        <f>+CH501+CI501</f>
        <v>702473.66</v>
      </c>
      <c r="CK501" s="264" t="s">
        <v>326</v>
      </c>
      <c r="CL501" s="264" t="s">
        <v>88</v>
      </c>
      <c r="CM501" s="132"/>
      <c r="CN501" s="274"/>
      <c r="CO501" s="144"/>
      <c r="CP501" s="274"/>
      <c r="CQ501" s="132"/>
      <c r="CR501" s="132"/>
      <c r="CS501" s="132"/>
      <c r="CT501" s="144">
        <v>419000</v>
      </c>
      <c r="CU501" s="144">
        <f>CT501*0.19</f>
        <v>79610</v>
      </c>
      <c r="CV501" s="144">
        <f>CU501+CT501</f>
        <v>498610</v>
      </c>
      <c r="CW501" s="132"/>
      <c r="CX501" s="132"/>
      <c r="CY501" s="132"/>
      <c r="CZ501" s="118">
        <v>231172</v>
      </c>
      <c r="DA501" s="144">
        <f>+CZ501*0.19</f>
        <v>43922.68</v>
      </c>
      <c r="DB501" s="118">
        <f>+CZ501+DA501</f>
        <v>275094.68</v>
      </c>
      <c r="DC501" s="33" t="s">
        <v>433</v>
      </c>
      <c r="DD501" s="39" t="s">
        <v>58</v>
      </c>
      <c r="DE501" s="11" t="s">
        <v>434</v>
      </c>
      <c r="DF501" s="132"/>
      <c r="DG501" s="132"/>
      <c r="DH501" s="132"/>
      <c r="DI501" s="132"/>
      <c r="DJ501" s="132"/>
      <c r="DK501" s="132"/>
      <c r="DL501" s="132"/>
      <c r="DM501" s="132"/>
      <c r="DN501" s="132"/>
      <c r="DO501" s="132"/>
      <c r="DP501" s="132"/>
      <c r="DQ501" s="132"/>
      <c r="DR501" s="132"/>
      <c r="DS501" s="132"/>
      <c r="DT501" s="132"/>
      <c r="DU501" s="132"/>
      <c r="DV501" s="132"/>
      <c r="DW501" s="132"/>
      <c r="DX501" s="132"/>
      <c r="DY501" s="132"/>
      <c r="DZ501" s="132"/>
      <c r="EA501" s="132"/>
      <c r="EB501" s="132"/>
      <c r="EC501" s="132"/>
      <c r="ED501" s="132"/>
      <c r="EE501" s="132"/>
      <c r="EF501" s="132"/>
      <c r="EG501" s="132"/>
      <c r="EH501" s="132"/>
      <c r="EI501" s="132"/>
      <c r="EJ501" s="132"/>
      <c r="EK501" s="132"/>
      <c r="EL501" s="132"/>
      <c r="EM501" s="132"/>
      <c r="EN501" s="132"/>
      <c r="EO501" s="132"/>
      <c r="EP501" s="132"/>
      <c r="EQ501" s="132"/>
      <c r="ER501" s="132"/>
      <c r="ES501" s="132"/>
      <c r="ET501" s="11"/>
      <c r="EU501" s="11"/>
      <c r="EV501" s="11"/>
      <c r="EW501" s="11"/>
      <c r="EX501" s="11"/>
      <c r="EY501" s="11"/>
      <c r="EZ501" s="11"/>
      <c r="FA501" s="11"/>
      <c r="FB501" s="11"/>
      <c r="FC501" s="11"/>
      <c r="FD501" s="11"/>
      <c r="FE501" s="11"/>
      <c r="FF501" s="11"/>
      <c r="FG501" s="11"/>
      <c r="FH501" s="39">
        <f t="shared" si="114"/>
        <v>3337085.07428254</v>
      </c>
      <c r="FI501" s="33">
        <f t="shared" si="115"/>
        <v>7</v>
      </c>
      <c r="FJ501" s="84">
        <f t="shared" si="116"/>
        <v>476726.43918321998</v>
      </c>
    </row>
    <row r="502" spans="1:166" ht="27" x14ac:dyDescent="0.25">
      <c r="A502" s="79" t="e">
        <f>#REF!</f>
        <v>#REF!</v>
      </c>
      <c r="B502" s="75" t="e">
        <f>#REF!</f>
        <v>#REF!</v>
      </c>
      <c r="C502" s="75" t="e">
        <f>#REF!</f>
        <v>#REF!</v>
      </c>
      <c r="D502" s="75" t="e">
        <f>#REF!</f>
        <v>#REF!</v>
      </c>
      <c r="E502" s="30">
        <v>1</v>
      </c>
      <c r="F502" s="238">
        <v>163993.9</v>
      </c>
      <c r="G502" s="241">
        <v>157318</v>
      </c>
      <c r="H502" s="249">
        <v>0</v>
      </c>
      <c r="I502" s="249">
        <v>0</v>
      </c>
      <c r="J502" s="249">
        <v>268643.69</v>
      </c>
      <c r="K502" s="249">
        <v>261919</v>
      </c>
      <c r="L502" s="274">
        <f>AVERAGE(F502,J502)</f>
        <v>216318.79499999998</v>
      </c>
      <c r="M502" s="274">
        <f>AVERAGE(G502,K502)*E1</f>
        <v>215907.05499999999</v>
      </c>
      <c r="N502" s="245"/>
      <c r="O502" s="117"/>
      <c r="P502" s="113"/>
      <c r="Q502" s="131"/>
      <c r="R502" s="131"/>
      <c r="S502" s="64"/>
      <c r="T502" s="113"/>
      <c r="U502" s="113"/>
      <c r="V502" s="113"/>
      <c r="W502" s="131"/>
      <c r="X502" s="131"/>
      <c r="Y502" s="11"/>
      <c r="Z502" s="113"/>
      <c r="AA502" s="113"/>
      <c r="AB502" s="113"/>
      <c r="AC502" s="52"/>
      <c r="AD502" s="52"/>
      <c r="AE502" s="11"/>
      <c r="AF502" s="118"/>
      <c r="AG502" s="144"/>
      <c r="AH502" s="113"/>
      <c r="AI502" s="11"/>
      <c r="AJ502" s="11"/>
      <c r="AK502" s="39"/>
      <c r="AL502" s="113">
        <v>218000</v>
      </c>
      <c r="AM502" s="113">
        <f>+AL502*0.19</f>
        <v>41420</v>
      </c>
      <c r="AN502" s="119">
        <f>+AL502+AM502</f>
        <v>259420</v>
      </c>
      <c r="AO502" s="76" t="s">
        <v>49</v>
      </c>
      <c r="AP502" s="39" t="s">
        <v>45</v>
      </c>
      <c r="AQ502" s="39"/>
      <c r="AR502" s="275">
        <v>219194</v>
      </c>
      <c r="AS502" s="143">
        <f>+AR502*0.19</f>
        <v>41646.86</v>
      </c>
      <c r="AT502" s="116">
        <f>+AR502+AS502</f>
        <v>260840.86</v>
      </c>
      <c r="AU502" s="62" t="s">
        <v>49</v>
      </c>
      <c r="AV502" s="62" t="s">
        <v>45</v>
      </c>
      <c r="AW502" s="11"/>
      <c r="AX502" s="116"/>
      <c r="AY502" s="196"/>
      <c r="AZ502" s="143"/>
      <c r="BA502" s="191"/>
      <c r="BB502" s="132"/>
      <c r="BC502" s="132"/>
      <c r="BD502" s="274"/>
      <c r="BE502" s="143"/>
      <c r="BF502" s="143"/>
      <c r="BG502" s="132"/>
      <c r="BH502" s="132"/>
      <c r="BI502" s="132"/>
      <c r="BJ502" s="143"/>
      <c r="BK502" s="143"/>
      <c r="BL502" s="143"/>
      <c r="BM502" s="132"/>
      <c r="BN502" s="132"/>
      <c r="BO502" s="132"/>
      <c r="BP502" s="143"/>
      <c r="BQ502" s="132"/>
      <c r="BR502" s="132"/>
      <c r="BS502" s="132"/>
      <c r="BT502" s="132"/>
      <c r="BU502" s="132"/>
      <c r="BV502" s="263">
        <v>107700</v>
      </c>
      <c r="BW502" s="144">
        <f>BV502*19%</f>
        <v>20463</v>
      </c>
      <c r="BX502" s="113">
        <f t="shared" si="123"/>
        <v>128163</v>
      </c>
      <c r="BY502" s="264" t="s">
        <v>337</v>
      </c>
      <c r="BZ502" s="264" t="s">
        <v>63</v>
      </c>
      <c r="CA502" s="132"/>
      <c r="CB502" s="274"/>
      <c r="CC502" s="144"/>
      <c r="CD502" s="274"/>
      <c r="CE502" s="132"/>
      <c r="CF502" s="132"/>
      <c r="CG502" s="36"/>
      <c r="CH502" s="263">
        <v>109854</v>
      </c>
      <c r="CI502" s="265">
        <f>+CH502*0.19</f>
        <v>20872.260000000002</v>
      </c>
      <c r="CJ502" s="263">
        <f>+CH502+CI502</f>
        <v>130726.26000000001</v>
      </c>
      <c r="CK502" s="264" t="s">
        <v>337</v>
      </c>
      <c r="CL502" s="264" t="s">
        <v>63</v>
      </c>
      <c r="CM502" s="132"/>
      <c r="CN502" s="274"/>
      <c r="CO502" s="144"/>
      <c r="CP502" s="274"/>
      <c r="CQ502" s="132"/>
      <c r="CR502" s="132"/>
      <c r="CS502" s="132"/>
      <c r="CT502" s="274"/>
      <c r="CU502" s="144"/>
      <c r="CV502" s="274"/>
      <c r="CW502" s="132"/>
      <c r="CX502" s="132"/>
      <c r="CY502" s="132"/>
      <c r="CZ502" s="118">
        <v>301793</v>
      </c>
      <c r="DA502" s="144">
        <f>+CZ502*0.19</f>
        <v>57340.67</v>
      </c>
      <c r="DB502" s="118">
        <f>+CZ502+DA502</f>
        <v>359133.67</v>
      </c>
      <c r="DC502" s="33" t="s">
        <v>435</v>
      </c>
      <c r="DD502" s="39" t="s">
        <v>58</v>
      </c>
      <c r="DE502" s="11">
        <v>1072091000</v>
      </c>
      <c r="DF502" s="132"/>
      <c r="DG502" s="132"/>
      <c r="DH502" s="132"/>
      <c r="DI502" s="132"/>
      <c r="DJ502" s="132"/>
      <c r="DK502" s="132"/>
      <c r="DL502" s="132"/>
      <c r="DM502" s="132"/>
      <c r="DN502" s="132"/>
      <c r="DO502" s="132"/>
      <c r="DP502" s="132"/>
      <c r="DQ502" s="132"/>
      <c r="DR502" s="132"/>
      <c r="DS502" s="132"/>
      <c r="DT502" s="132"/>
      <c r="DU502" s="132"/>
      <c r="DV502" s="132"/>
      <c r="DW502" s="132"/>
      <c r="DX502" s="132"/>
      <c r="DY502" s="132"/>
      <c r="DZ502" s="132"/>
      <c r="EA502" s="132"/>
      <c r="EB502" s="132"/>
      <c r="EC502" s="132"/>
      <c r="ED502" s="132"/>
      <c r="EE502" s="132"/>
      <c r="EF502" s="132"/>
      <c r="EG502" s="132"/>
      <c r="EH502" s="132"/>
      <c r="EI502" s="132"/>
      <c r="EJ502" s="132"/>
      <c r="EK502" s="132"/>
      <c r="EL502" s="132"/>
      <c r="EM502" s="132"/>
      <c r="EN502" s="132"/>
      <c r="EO502" s="132"/>
      <c r="EP502" s="132"/>
      <c r="EQ502" s="132"/>
      <c r="ER502" s="132"/>
      <c r="ES502" s="132"/>
      <c r="ET502" s="11"/>
      <c r="EU502" s="11"/>
      <c r="EV502" s="11"/>
      <c r="EW502" s="11"/>
      <c r="EX502" s="11"/>
      <c r="EY502" s="11"/>
      <c r="EZ502" s="11"/>
      <c r="FA502" s="11"/>
      <c r="FB502" s="11"/>
      <c r="FC502" s="11"/>
      <c r="FD502" s="11"/>
      <c r="FE502" s="11"/>
      <c r="FF502" s="11"/>
      <c r="FG502" s="11"/>
      <c r="FH502" s="39">
        <f t="shared" si="114"/>
        <v>1354190.845</v>
      </c>
      <c r="FI502" s="33">
        <f t="shared" si="115"/>
        <v>6</v>
      </c>
      <c r="FJ502" s="84">
        <f t="shared" si="116"/>
        <v>225698.47416666665</v>
      </c>
    </row>
    <row r="503" spans="1:166" ht="13.5" x14ac:dyDescent="0.25">
      <c r="A503" s="79" t="e">
        <f>#REF!</f>
        <v>#REF!</v>
      </c>
      <c r="B503" s="75" t="e">
        <f>#REF!</f>
        <v>#REF!</v>
      </c>
      <c r="C503" s="75" t="e">
        <f>#REF!</f>
        <v>#REF!</v>
      </c>
      <c r="D503" s="75" t="e">
        <f>#REF!</f>
        <v>#REF!</v>
      </c>
      <c r="E503" s="30">
        <v>1</v>
      </c>
      <c r="F503" s="238">
        <v>0</v>
      </c>
      <c r="G503" s="241">
        <v>0</v>
      </c>
      <c r="H503" s="249">
        <v>0</v>
      </c>
      <c r="I503" s="249">
        <v>0</v>
      </c>
      <c r="J503" s="249">
        <v>0</v>
      </c>
      <c r="K503" s="249">
        <v>0</v>
      </c>
      <c r="L503" s="274"/>
      <c r="M503" s="274"/>
      <c r="N503" s="246"/>
      <c r="O503" s="118"/>
      <c r="P503" s="118"/>
      <c r="Q503" s="52"/>
      <c r="R503" s="52"/>
      <c r="S503" s="5"/>
      <c r="T503" s="118"/>
      <c r="U503" s="118"/>
      <c r="V503" s="118"/>
      <c r="W503" s="11"/>
      <c r="X503" s="11"/>
      <c r="Y503" s="11"/>
      <c r="Z503" s="118"/>
      <c r="AA503" s="118"/>
      <c r="AB503" s="118"/>
      <c r="AC503" s="52"/>
      <c r="AD503" s="52"/>
      <c r="AE503" s="11"/>
      <c r="AF503" s="118"/>
      <c r="AG503" s="144"/>
      <c r="AH503" s="118"/>
      <c r="AI503" s="11"/>
      <c r="AJ503" s="11"/>
      <c r="AK503" s="11"/>
      <c r="AL503" s="118">
        <v>365000</v>
      </c>
      <c r="AM503" s="113">
        <f>+AL503*0.19</f>
        <v>69350</v>
      </c>
      <c r="AN503" s="119">
        <f>+AL503+AM503</f>
        <v>434350</v>
      </c>
      <c r="AO503" s="76" t="s">
        <v>49</v>
      </c>
      <c r="AP503" s="39" t="s">
        <v>45</v>
      </c>
      <c r="AQ503" s="11"/>
      <c r="AR503" s="274">
        <v>260419</v>
      </c>
      <c r="AS503" s="143">
        <f>+AR503*0.19</f>
        <v>49479.61</v>
      </c>
      <c r="AT503" s="116">
        <f>+AR503+AS503</f>
        <v>309898.61</v>
      </c>
      <c r="AU503" s="48" t="s">
        <v>60</v>
      </c>
      <c r="AV503" s="48" t="s">
        <v>45</v>
      </c>
      <c r="AW503" s="11"/>
      <c r="AX503" s="274"/>
      <c r="AY503" s="274"/>
      <c r="AZ503" s="274"/>
      <c r="BA503" s="11"/>
      <c r="BB503" s="11"/>
      <c r="BC503" s="11"/>
      <c r="BD503" s="274"/>
      <c r="BE503" s="274"/>
      <c r="BF503" s="274"/>
      <c r="BG503" s="11"/>
      <c r="BH503" s="11"/>
      <c r="BI503" s="11"/>
      <c r="BJ503" s="274"/>
      <c r="BK503" s="274"/>
      <c r="BL503" s="274"/>
      <c r="BM503" s="11"/>
      <c r="BN503" s="11"/>
      <c r="BO503" s="11"/>
      <c r="BP503" s="275"/>
      <c r="BQ503" s="11"/>
      <c r="BR503" s="11"/>
      <c r="BS503" s="11"/>
      <c r="BT503" s="11"/>
      <c r="BU503" s="11"/>
      <c r="BV503" s="263">
        <v>439900</v>
      </c>
      <c r="BW503" s="144">
        <f>BV503*19%</f>
        <v>83581</v>
      </c>
      <c r="BX503" s="113">
        <f t="shared" si="123"/>
        <v>523481</v>
      </c>
      <c r="BY503" s="264" t="s">
        <v>326</v>
      </c>
      <c r="BZ503" s="264" t="s">
        <v>88</v>
      </c>
      <c r="CA503" s="11"/>
      <c r="CB503" s="274"/>
      <c r="CC503" s="144"/>
      <c r="CD503" s="274"/>
      <c r="CE503" s="11"/>
      <c r="CF503" s="11"/>
      <c r="CG503" s="11"/>
      <c r="CH503" s="263">
        <v>444299</v>
      </c>
      <c r="CI503" s="265">
        <f>+CH503*0.19</f>
        <v>84416.81</v>
      </c>
      <c r="CJ503" s="263">
        <f>+CH503+CI503</f>
        <v>528715.81000000006</v>
      </c>
      <c r="CK503" s="264" t="s">
        <v>326</v>
      </c>
      <c r="CL503" s="264" t="s">
        <v>88</v>
      </c>
      <c r="CM503" s="11"/>
      <c r="CN503" s="274"/>
      <c r="CO503" s="144"/>
      <c r="CP503" s="274"/>
      <c r="CQ503" s="11"/>
      <c r="CR503" s="11"/>
      <c r="CS503" s="11"/>
      <c r="CT503" s="274"/>
      <c r="CU503" s="144"/>
      <c r="CV503" s="274"/>
      <c r="CW503" s="11"/>
      <c r="CX503" s="11"/>
      <c r="CY503" s="11"/>
      <c r="CZ503" s="118"/>
      <c r="DA503" s="144"/>
      <c r="DB503" s="118"/>
      <c r="DC503" s="33"/>
      <c r="DD503" s="39"/>
      <c r="DE503" s="11"/>
      <c r="DF503" s="11"/>
      <c r="DG503" s="11"/>
      <c r="DH503" s="11"/>
      <c r="DI503" s="11"/>
      <c r="DJ503" s="11"/>
      <c r="DK503" s="11"/>
      <c r="DL503" s="11"/>
      <c r="DM503" s="11"/>
      <c r="DN503" s="11"/>
      <c r="DO503" s="11"/>
      <c r="DP503" s="11"/>
      <c r="DQ503" s="11"/>
      <c r="DR503" s="11"/>
      <c r="DS503" s="11"/>
      <c r="DT503" s="11"/>
      <c r="DU503" s="11"/>
      <c r="DV503" s="11"/>
      <c r="DW503" s="11"/>
      <c r="DX503" s="11"/>
      <c r="DY503" s="11"/>
      <c r="DZ503" s="11"/>
      <c r="EA503" s="11"/>
      <c r="EB503" s="39"/>
      <c r="EC503" s="39"/>
      <c r="ED503" s="39"/>
      <c r="EE503" s="11"/>
      <c r="EF503" s="11"/>
      <c r="EG503" s="39"/>
      <c r="EH503" s="39"/>
      <c r="EI503" s="34"/>
      <c r="EJ503" s="11"/>
      <c r="EK503" s="11"/>
      <c r="EL503" s="11"/>
      <c r="EM503" s="11"/>
      <c r="EN503" s="11"/>
      <c r="EO503" s="11"/>
      <c r="EP503" s="11"/>
      <c r="EQ503" s="39"/>
      <c r="ER503" s="39"/>
      <c r="ES503" s="39"/>
      <c r="ET503" s="11"/>
      <c r="EU503" s="11"/>
      <c r="EV503" s="39"/>
      <c r="EW503" s="39"/>
      <c r="EX503" s="40"/>
      <c r="EY503" s="40"/>
      <c r="EZ503" s="40"/>
      <c r="FA503" s="40"/>
      <c r="FB503" s="40"/>
      <c r="FC503" s="40"/>
      <c r="FD503" s="40"/>
      <c r="FE503" s="40"/>
      <c r="FF503" s="40"/>
      <c r="FG503" s="40"/>
      <c r="FH503" s="39">
        <f t="shared" si="114"/>
        <v>1796445.42</v>
      </c>
      <c r="FI503" s="33">
        <f t="shared" si="115"/>
        <v>4</v>
      </c>
      <c r="FJ503" s="84">
        <f t="shared" si="116"/>
        <v>449111.35499999998</v>
      </c>
    </row>
    <row r="504" spans="1:166" ht="27" x14ac:dyDescent="0.25">
      <c r="A504" s="79" t="e">
        <f>#REF!</f>
        <v>#REF!</v>
      </c>
      <c r="B504" s="75" t="e">
        <f>#REF!</f>
        <v>#REF!</v>
      </c>
      <c r="C504" s="75" t="e">
        <f>#REF!</f>
        <v>#REF!</v>
      </c>
      <c r="D504" s="75" t="e">
        <f>#REF!</f>
        <v>#REF!</v>
      </c>
      <c r="E504" s="30">
        <v>1</v>
      </c>
      <c r="F504" s="238">
        <v>0</v>
      </c>
      <c r="G504" s="241">
        <v>0</v>
      </c>
      <c r="H504" s="249">
        <v>1376532.5</v>
      </c>
      <c r="I504" s="249">
        <v>0</v>
      </c>
      <c r="J504" s="249">
        <v>848668.33333333337</v>
      </c>
      <c r="K504" s="249">
        <v>0</v>
      </c>
      <c r="L504" s="274">
        <f>AVERAGE(H504,J504)</f>
        <v>1112600.4166666667</v>
      </c>
      <c r="M504" s="274"/>
      <c r="N504" s="246"/>
      <c r="O504" s="118"/>
      <c r="P504" s="118"/>
      <c r="Q504" s="52"/>
      <c r="R504" s="52"/>
      <c r="S504" s="5"/>
      <c r="T504" s="118"/>
      <c r="U504" s="118"/>
      <c r="V504" s="118"/>
      <c r="W504" s="11"/>
      <c r="X504" s="11"/>
      <c r="Y504" s="11"/>
      <c r="Z504" s="118"/>
      <c r="AA504" s="118"/>
      <c r="AB504" s="118"/>
      <c r="AC504" s="52"/>
      <c r="AD504" s="52"/>
      <c r="AE504" s="11"/>
      <c r="AF504" s="118"/>
      <c r="AG504" s="144"/>
      <c r="AH504" s="118"/>
      <c r="AI504" s="11"/>
      <c r="AJ504" s="11"/>
      <c r="AK504" s="11"/>
      <c r="AL504" s="118"/>
      <c r="AM504" s="118"/>
      <c r="AN504" s="118"/>
      <c r="AO504" s="76"/>
      <c r="AP504" s="11"/>
      <c r="AQ504" s="11"/>
      <c r="AR504" s="274">
        <v>360000</v>
      </c>
      <c r="AS504" s="143">
        <f>+AR504*0.19</f>
        <v>68400</v>
      </c>
      <c r="AT504" s="116">
        <f>+AR504+AS504</f>
        <v>428400</v>
      </c>
      <c r="AU504" s="62" t="s">
        <v>34</v>
      </c>
      <c r="AV504" s="36" t="s">
        <v>35</v>
      </c>
      <c r="AW504" s="11"/>
      <c r="AX504" s="274"/>
      <c r="AY504" s="274"/>
      <c r="AZ504" s="274"/>
      <c r="BA504" s="11"/>
      <c r="BB504" s="11"/>
      <c r="BC504" s="11"/>
      <c r="BD504" s="274"/>
      <c r="BE504" s="274"/>
      <c r="BF504" s="274"/>
      <c r="BG504" s="11"/>
      <c r="BH504" s="11"/>
      <c r="BI504" s="11"/>
      <c r="BJ504" s="274"/>
      <c r="BK504" s="274"/>
      <c r="BL504" s="274"/>
      <c r="BM504" s="11"/>
      <c r="BN504" s="11"/>
      <c r="BO504" s="11"/>
      <c r="BP504" s="275"/>
      <c r="BQ504" s="11"/>
      <c r="BR504" s="11"/>
      <c r="BS504" s="11"/>
      <c r="BT504" s="11"/>
      <c r="BU504" s="11"/>
      <c r="BV504" s="263">
        <v>1575500</v>
      </c>
      <c r="BW504" s="144">
        <f>BV504*19%</f>
        <v>299345</v>
      </c>
      <c r="BX504" s="113">
        <f t="shared" si="123"/>
        <v>1874845</v>
      </c>
      <c r="BY504" s="264" t="s">
        <v>340</v>
      </c>
      <c r="BZ504" s="264" t="s">
        <v>263</v>
      </c>
      <c r="CA504" s="11"/>
      <c r="CB504" s="274"/>
      <c r="CC504" s="144"/>
      <c r="CD504" s="274"/>
      <c r="CE504" s="11"/>
      <c r="CF504" s="11"/>
      <c r="CG504" s="11"/>
      <c r="CH504" s="268">
        <v>1654275</v>
      </c>
      <c r="CI504" s="265">
        <f>+CH504*0.19</f>
        <v>314312.25</v>
      </c>
      <c r="CJ504" s="263">
        <f>+CH504+CI504</f>
        <v>1968587.25</v>
      </c>
      <c r="CK504" s="264" t="s">
        <v>340</v>
      </c>
      <c r="CL504" s="264" t="s">
        <v>263</v>
      </c>
      <c r="CM504" s="11"/>
      <c r="CN504" s="274"/>
      <c r="CO504" s="144"/>
      <c r="CP504" s="274"/>
      <c r="CQ504" s="11"/>
      <c r="CR504" s="11"/>
      <c r="CS504" s="11"/>
      <c r="CT504" s="274"/>
      <c r="CU504" s="144"/>
      <c r="CV504" s="274"/>
      <c r="CW504" s="11"/>
      <c r="CX504" s="11"/>
      <c r="CY504" s="11"/>
      <c r="CZ504" s="118"/>
      <c r="DA504" s="144"/>
      <c r="DB504" s="118"/>
      <c r="DC504" s="33"/>
      <c r="DD504" s="39"/>
      <c r="DE504" s="11"/>
      <c r="DF504" s="11"/>
      <c r="DG504" s="11"/>
      <c r="DH504" s="11"/>
      <c r="DI504" s="11"/>
      <c r="DJ504" s="11"/>
      <c r="DK504" s="11"/>
      <c r="DL504" s="11"/>
      <c r="DM504" s="11"/>
      <c r="DN504" s="11"/>
      <c r="DO504" s="11"/>
      <c r="DP504" s="11"/>
      <c r="DQ504" s="11"/>
      <c r="DR504" s="11"/>
      <c r="DS504" s="11"/>
      <c r="DT504" s="11"/>
      <c r="DU504" s="11"/>
      <c r="DV504" s="11"/>
      <c r="DW504" s="11"/>
      <c r="DX504" s="11"/>
      <c r="DY504" s="11"/>
      <c r="DZ504" s="11"/>
      <c r="EA504" s="11"/>
      <c r="EB504" s="39"/>
      <c r="EC504" s="39"/>
      <c r="ED504" s="39"/>
      <c r="EE504" s="11"/>
      <c r="EF504" s="11"/>
      <c r="EG504" s="39"/>
      <c r="EH504" s="39"/>
      <c r="EI504" s="34"/>
      <c r="EJ504" s="11"/>
      <c r="EK504" s="11"/>
      <c r="EL504" s="11"/>
      <c r="EM504" s="11"/>
      <c r="EN504" s="11"/>
      <c r="EO504" s="11"/>
      <c r="EP504" s="11"/>
      <c r="EQ504" s="39"/>
      <c r="ER504" s="39"/>
      <c r="ES504" s="39"/>
      <c r="ET504" s="11"/>
      <c r="EU504" s="11"/>
      <c r="EV504" s="11"/>
      <c r="EW504" s="11"/>
      <c r="EX504" s="11"/>
      <c r="EY504" s="11"/>
      <c r="EZ504" s="11"/>
      <c r="FA504" s="11"/>
      <c r="FB504" s="11"/>
      <c r="FC504" s="11"/>
      <c r="FD504" s="11"/>
      <c r="FE504" s="11"/>
      <c r="FF504" s="11"/>
      <c r="FG504" s="11"/>
      <c r="FH504" s="39">
        <f t="shared" si="114"/>
        <v>4271832.25</v>
      </c>
      <c r="FI504" s="33">
        <f t="shared" si="115"/>
        <v>3</v>
      </c>
      <c r="FJ504" s="84">
        <f t="shared" si="116"/>
        <v>1423944.0833333333</v>
      </c>
    </row>
    <row r="505" spans="1:166" ht="13.5" x14ac:dyDescent="0.25">
      <c r="A505" s="79" t="e">
        <f>#REF!</f>
        <v>#REF!</v>
      </c>
      <c r="B505" s="75" t="e">
        <f>#REF!</f>
        <v>#REF!</v>
      </c>
      <c r="C505" s="75" t="e">
        <f>#REF!</f>
        <v>#REF!</v>
      </c>
      <c r="D505" s="75" t="e">
        <f>#REF!</f>
        <v>#REF!</v>
      </c>
      <c r="E505" s="30">
        <v>1</v>
      </c>
      <c r="F505" s="238">
        <v>561700</v>
      </c>
      <c r="G505" s="241">
        <v>0</v>
      </c>
      <c r="H505" s="249">
        <v>803824.95445000008</v>
      </c>
      <c r="I505" s="249">
        <v>0</v>
      </c>
      <c r="J505" s="249">
        <v>0</v>
      </c>
      <c r="K505" s="249">
        <v>0</v>
      </c>
      <c r="L505" s="274">
        <f>AVERAGE(F505,H505)</f>
        <v>682762.47722500004</v>
      </c>
      <c r="M505" s="274"/>
      <c r="N505" s="246"/>
      <c r="O505" s="118"/>
      <c r="P505" s="118"/>
      <c r="Q505" s="52"/>
      <c r="R505" s="52"/>
      <c r="S505" s="5"/>
      <c r="T505" s="118"/>
      <c r="U505" s="118"/>
      <c r="V505" s="118"/>
      <c r="W505" s="11"/>
      <c r="X505" s="11"/>
      <c r="Y505" s="11"/>
      <c r="Z505" s="118"/>
      <c r="AA505" s="118"/>
      <c r="AB505" s="118"/>
      <c r="AC505" s="52"/>
      <c r="AD505" s="52"/>
      <c r="AE505" s="11"/>
      <c r="AF505" s="118"/>
      <c r="AG505" s="144"/>
      <c r="AH505" s="118"/>
      <c r="AI505" s="11"/>
      <c r="AJ505" s="11"/>
      <c r="AK505" s="11"/>
      <c r="AL505" s="118"/>
      <c r="AM505" s="118"/>
      <c r="AN505" s="118"/>
      <c r="AO505" s="76"/>
      <c r="AP505" s="11"/>
      <c r="AQ505" s="11"/>
      <c r="AR505" s="274"/>
      <c r="AS505" s="274"/>
      <c r="AT505" s="274"/>
      <c r="AU505" s="48"/>
      <c r="AV505" s="48"/>
      <c r="AW505" s="11"/>
      <c r="AX505" s="274"/>
      <c r="AY505" s="274"/>
      <c r="AZ505" s="274"/>
      <c r="BA505" s="11"/>
      <c r="BB505" s="11"/>
      <c r="BC505" s="11"/>
      <c r="BD505" s="274"/>
      <c r="BE505" s="274"/>
      <c r="BF505" s="274"/>
      <c r="BG505" s="11"/>
      <c r="BH505" s="11"/>
      <c r="BI505" s="11"/>
      <c r="BJ505" s="274"/>
      <c r="BK505" s="274"/>
      <c r="BL505" s="274"/>
      <c r="BM505" s="11"/>
      <c r="BN505" s="11"/>
      <c r="BO505" s="11"/>
      <c r="BP505" s="275"/>
      <c r="BQ505" s="11"/>
      <c r="BR505" s="11"/>
      <c r="BS505" s="11"/>
      <c r="BT505" s="11"/>
      <c r="BU505" s="11"/>
      <c r="BV505" s="263">
        <v>2013000</v>
      </c>
      <c r="BW505" s="144">
        <f>BV505*0</f>
        <v>0</v>
      </c>
      <c r="BX505" s="113">
        <f t="shared" si="123"/>
        <v>2013000</v>
      </c>
      <c r="BY505" s="264" t="s">
        <v>436</v>
      </c>
      <c r="BZ505" s="264" t="s">
        <v>131</v>
      </c>
      <c r="CA505" s="11"/>
      <c r="CB505" s="274"/>
      <c r="CC505" s="144"/>
      <c r="CD505" s="274"/>
      <c r="CE505" s="11"/>
      <c r="CF505" s="11"/>
      <c r="CG505" s="11"/>
      <c r="CH505" s="268">
        <v>2153910</v>
      </c>
      <c r="CI505" s="265">
        <f>+CH505*0</f>
        <v>0</v>
      </c>
      <c r="CJ505" s="263">
        <f>+CH505+CI505</f>
        <v>2153910</v>
      </c>
      <c r="CK505" s="264" t="s">
        <v>436</v>
      </c>
      <c r="CL505" s="264" t="s">
        <v>131</v>
      </c>
      <c r="CM505" s="11"/>
      <c r="CN505" s="274"/>
      <c r="CO505" s="144"/>
      <c r="CP505" s="274"/>
      <c r="CQ505" s="11"/>
      <c r="CR505" s="11"/>
      <c r="CS505" s="11"/>
      <c r="CT505" s="274"/>
      <c r="CU505" s="144"/>
      <c r="CV505" s="274"/>
      <c r="CW505" s="11"/>
      <c r="CX505" s="11"/>
      <c r="CY505" s="11"/>
      <c r="CZ505" s="118"/>
      <c r="DA505" s="144"/>
      <c r="DB505" s="118"/>
      <c r="DC505" s="33"/>
      <c r="DD505" s="39"/>
      <c r="DE505" s="11"/>
      <c r="DF505" s="11"/>
      <c r="DG505" s="11"/>
      <c r="DH505" s="11"/>
      <c r="DI505" s="11"/>
      <c r="DJ505" s="11"/>
      <c r="DK505" s="11"/>
      <c r="DL505" s="11"/>
      <c r="DM505" s="11"/>
      <c r="DN505" s="11"/>
      <c r="DO505" s="11"/>
      <c r="DP505" s="11"/>
      <c r="DQ505" s="11"/>
      <c r="DR505" s="11"/>
      <c r="DS505" s="11"/>
      <c r="DT505" s="11"/>
      <c r="DU505" s="11"/>
      <c r="DV505" s="11"/>
      <c r="DW505" s="11"/>
      <c r="DX505" s="11"/>
      <c r="DY505" s="11"/>
      <c r="DZ505" s="11"/>
      <c r="EA505" s="11"/>
      <c r="EB505" s="39"/>
      <c r="EC505" s="39"/>
      <c r="ED505" s="39"/>
      <c r="EE505" s="11"/>
      <c r="EF505" s="11"/>
      <c r="EG505" s="39"/>
      <c r="EH505" s="39"/>
      <c r="EI505" s="34"/>
      <c r="EJ505" s="11"/>
      <c r="EK505" s="11"/>
      <c r="EL505" s="11"/>
      <c r="EM505" s="11"/>
      <c r="EN505" s="11"/>
      <c r="EO505" s="11"/>
      <c r="EP505" s="11"/>
      <c r="EQ505" s="39"/>
      <c r="ER505" s="39"/>
      <c r="ES505" s="39"/>
      <c r="ET505" s="11"/>
      <c r="EU505" s="11"/>
      <c r="EV505" s="11"/>
      <c r="EW505" s="11"/>
      <c r="EX505" s="11"/>
      <c r="EY505" s="11"/>
      <c r="EZ505" s="11"/>
      <c r="FA505" s="11"/>
      <c r="FB505" s="11"/>
      <c r="FC505" s="11"/>
      <c r="FD505" s="11"/>
      <c r="FE505" s="11"/>
      <c r="FF505" s="11"/>
      <c r="FG505" s="11"/>
      <c r="FH505" s="39">
        <f t="shared" si="114"/>
        <v>4166910</v>
      </c>
      <c r="FI505" s="33">
        <f t="shared" si="115"/>
        <v>2</v>
      </c>
      <c r="FJ505" s="84">
        <f t="shared" si="116"/>
        <v>2083455</v>
      </c>
    </row>
    <row r="506" spans="1:166" ht="25.5" x14ac:dyDescent="0.25">
      <c r="A506" s="79" t="e">
        <f>#REF!</f>
        <v>#REF!</v>
      </c>
      <c r="B506" s="75" t="e">
        <f>#REF!</f>
        <v>#REF!</v>
      </c>
      <c r="C506" s="75" t="e">
        <f>#REF!</f>
        <v>#REF!</v>
      </c>
      <c r="D506" s="75" t="e">
        <f>#REF!</f>
        <v>#REF!</v>
      </c>
      <c r="E506" s="30">
        <v>1</v>
      </c>
      <c r="F506" s="238">
        <v>0</v>
      </c>
      <c r="G506" s="241">
        <v>0</v>
      </c>
      <c r="H506" s="249">
        <v>3626612.5</v>
      </c>
      <c r="I506" s="249">
        <v>0</v>
      </c>
      <c r="J506" s="249">
        <v>3440290</v>
      </c>
      <c r="K506" s="249">
        <v>0</v>
      </c>
      <c r="L506" s="274">
        <f>AVERAGE(H506,J506)</f>
        <v>3533451.25</v>
      </c>
      <c r="M506" s="274"/>
      <c r="N506" s="245"/>
      <c r="O506" s="117"/>
      <c r="P506" s="113"/>
      <c r="Q506" s="131"/>
      <c r="R506" s="131"/>
      <c r="S506" s="64"/>
      <c r="T506" s="113"/>
      <c r="U506" s="113"/>
      <c r="V506" s="113"/>
      <c r="W506" s="131"/>
      <c r="X506" s="131"/>
      <c r="Y506" s="11"/>
      <c r="Z506" s="113"/>
      <c r="AA506" s="113"/>
      <c r="AB506" s="113"/>
      <c r="AC506" s="131"/>
      <c r="AD506" s="52"/>
      <c r="AE506" s="11"/>
      <c r="AF506" s="118"/>
      <c r="AG506" s="144"/>
      <c r="AH506" s="113"/>
      <c r="AI506" s="11"/>
      <c r="AJ506" s="11"/>
      <c r="AK506" s="39"/>
      <c r="AL506" s="113"/>
      <c r="AM506" s="113"/>
      <c r="AN506" s="117"/>
      <c r="AO506" s="76"/>
      <c r="AP506" s="39"/>
      <c r="AQ506" s="39"/>
      <c r="AR506" s="275">
        <v>1800000</v>
      </c>
      <c r="AS506" s="143">
        <f>+AR506*0.19</f>
        <v>342000</v>
      </c>
      <c r="AT506" s="116">
        <f>+AR506+AS506</f>
        <v>2142000</v>
      </c>
      <c r="AU506" s="62" t="s">
        <v>99</v>
      </c>
      <c r="AV506" s="36" t="s">
        <v>35</v>
      </c>
      <c r="AW506" s="11"/>
      <c r="AX506" s="116"/>
      <c r="AY506" s="116"/>
      <c r="AZ506" s="143"/>
      <c r="BA506" s="191"/>
      <c r="BB506" s="132"/>
      <c r="BC506" s="132"/>
      <c r="BD506" s="274"/>
      <c r="BE506" s="143"/>
      <c r="BF506" s="143"/>
      <c r="BG506" s="132"/>
      <c r="BH506" s="132"/>
      <c r="BI506" s="132"/>
      <c r="BJ506" s="143"/>
      <c r="BK506" s="143"/>
      <c r="BL506" s="143"/>
      <c r="BM506" s="52"/>
      <c r="BN506" s="76"/>
      <c r="BO506" s="131"/>
      <c r="BP506" s="113"/>
      <c r="BQ506" s="131"/>
      <c r="BR506" s="132"/>
      <c r="BS506" s="132"/>
      <c r="BT506" s="132"/>
      <c r="BU506" s="132"/>
      <c r="BV506" s="210"/>
      <c r="BW506" s="144"/>
      <c r="BX506" s="113"/>
      <c r="BY506" s="273"/>
      <c r="BZ506" s="273"/>
      <c r="CA506" s="132"/>
      <c r="CB506" s="274"/>
      <c r="CC506" s="144"/>
      <c r="CD506" s="274"/>
      <c r="CE506" s="132"/>
      <c r="CF506" s="132"/>
      <c r="CG506" s="36"/>
      <c r="CH506" s="210"/>
      <c r="CI506" s="219"/>
      <c r="CJ506" s="210"/>
      <c r="CK506" s="273"/>
      <c r="CL506" s="273"/>
      <c r="CM506" s="132"/>
      <c r="CN506" s="274"/>
      <c r="CO506" s="144"/>
      <c r="CP506" s="274"/>
      <c r="CQ506" s="132"/>
      <c r="CR506" s="132"/>
      <c r="CS506" s="132"/>
      <c r="CT506" s="274"/>
      <c r="CU506" s="144"/>
      <c r="CV506" s="274"/>
      <c r="CW506" s="132"/>
      <c r="CX506" s="132"/>
      <c r="CY506" s="132"/>
      <c r="CZ506" s="118"/>
      <c r="DA506" s="144"/>
      <c r="DB506" s="118"/>
      <c r="DC506" s="33"/>
      <c r="DD506" s="39"/>
      <c r="DE506" s="11"/>
      <c r="DF506" s="132"/>
      <c r="DG506" s="132"/>
      <c r="DH506" s="132"/>
      <c r="DI506" s="132"/>
      <c r="DJ506" s="132"/>
      <c r="DK506" s="132"/>
      <c r="DL506" s="132"/>
      <c r="DM506" s="132"/>
      <c r="DN506" s="132"/>
      <c r="DO506" s="132"/>
      <c r="DP506" s="132"/>
      <c r="DQ506" s="132"/>
      <c r="DR506" s="132"/>
      <c r="DS506" s="132"/>
      <c r="DT506" s="132"/>
      <c r="DU506" s="132"/>
      <c r="DV506" s="132"/>
      <c r="DW506" s="132"/>
      <c r="DX506" s="132"/>
      <c r="DY506" s="132"/>
      <c r="DZ506" s="132"/>
      <c r="EA506" s="132"/>
      <c r="EB506" s="132"/>
      <c r="EC506" s="132"/>
      <c r="ED506" s="132"/>
      <c r="EE506" s="132"/>
      <c r="EF506" s="132"/>
      <c r="EG506" s="132"/>
      <c r="EH506" s="132"/>
      <c r="EI506" s="132"/>
      <c r="EJ506" s="132"/>
      <c r="EK506" s="132"/>
      <c r="EL506" s="132"/>
      <c r="EM506" s="132"/>
      <c r="EN506" s="132"/>
      <c r="EO506" s="132"/>
      <c r="EP506" s="132"/>
      <c r="EQ506" s="132"/>
      <c r="ER506" s="132"/>
      <c r="ES506" s="132"/>
      <c r="ET506" s="11"/>
      <c r="EU506" s="11"/>
      <c r="EV506" s="11"/>
      <c r="EW506" s="11"/>
      <c r="EX506" s="11"/>
      <c r="EY506" s="11"/>
      <c r="EZ506" s="11"/>
      <c r="FA506" s="11"/>
      <c r="FB506" s="11"/>
      <c r="FC506" s="11"/>
      <c r="FD506" s="11"/>
      <c r="FE506" s="11"/>
      <c r="FF506" s="11"/>
      <c r="FG506" s="11"/>
      <c r="FH506" s="39">
        <f t="shared" si="114"/>
        <v>2142000</v>
      </c>
      <c r="FI506" s="33">
        <f t="shared" si="115"/>
        <v>1</v>
      </c>
      <c r="FJ506" s="84">
        <f t="shared" si="116"/>
        <v>2142000</v>
      </c>
    </row>
    <row r="507" spans="1:166" ht="27" x14ac:dyDescent="0.25">
      <c r="A507" s="79" t="e">
        <f>#REF!</f>
        <v>#REF!</v>
      </c>
      <c r="B507" s="75" t="e">
        <f>#REF!</f>
        <v>#REF!</v>
      </c>
      <c r="C507" s="75" t="e">
        <f>#REF!</f>
        <v>#REF!</v>
      </c>
      <c r="D507" s="75" t="e">
        <f>#REF!</f>
        <v>#REF!</v>
      </c>
      <c r="E507" s="30">
        <v>1</v>
      </c>
      <c r="F507" s="238">
        <v>1163106</v>
      </c>
      <c r="G507" s="241">
        <v>232432</v>
      </c>
      <c r="H507" s="249">
        <v>1235006.8513888</v>
      </c>
      <c r="I507" s="249">
        <v>0</v>
      </c>
      <c r="J507" s="249">
        <v>733456.5</v>
      </c>
      <c r="K507" s="249">
        <v>0</v>
      </c>
      <c r="L507" s="274">
        <f>AVERAGE(F507,H507,J507)</f>
        <v>1043856.4504629333</v>
      </c>
      <c r="M507" s="274">
        <f>G507*E1</f>
        <v>239404.96</v>
      </c>
      <c r="N507" s="245"/>
      <c r="O507" s="113"/>
      <c r="P507" s="113"/>
      <c r="Q507" s="131"/>
      <c r="R507" s="131"/>
      <c r="S507" s="64"/>
      <c r="T507" s="113"/>
      <c r="U507" s="117"/>
      <c r="V507" s="113"/>
      <c r="W507" s="131"/>
      <c r="X507" s="131"/>
      <c r="Y507" s="11"/>
      <c r="Z507" s="113"/>
      <c r="AA507" s="113"/>
      <c r="AB507" s="113"/>
      <c r="AC507" s="52"/>
      <c r="AD507" s="52"/>
      <c r="AE507" s="11"/>
      <c r="AF507" s="118"/>
      <c r="AG507" s="144"/>
      <c r="AH507" s="113"/>
      <c r="AI507" s="11"/>
      <c r="AJ507" s="11"/>
      <c r="AK507" s="39"/>
      <c r="AL507" s="113"/>
      <c r="AM507" s="113"/>
      <c r="AN507" s="119"/>
      <c r="AO507" s="76"/>
      <c r="AP507" s="39"/>
      <c r="AQ507" s="39"/>
      <c r="AR507" s="275">
        <v>151200</v>
      </c>
      <c r="AS507" s="143">
        <f>+AR507*0.19</f>
        <v>28728</v>
      </c>
      <c r="AT507" s="116">
        <f>+AR507+AS507</f>
        <v>179928</v>
      </c>
      <c r="AU507" s="48" t="s">
        <v>109</v>
      </c>
      <c r="AV507" s="36" t="s">
        <v>35</v>
      </c>
      <c r="AW507" s="11"/>
      <c r="AX507" s="116"/>
      <c r="AY507" s="116"/>
      <c r="AZ507" s="143"/>
      <c r="BA507" s="191"/>
      <c r="BB507" s="132"/>
      <c r="BC507" s="132"/>
      <c r="BD507" s="274"/>
      <c r="BE507" s="143"/>
      <c r="BF507" s="143"/>
      <c r="BG507" s="132"/>
      <c r="BH507" s="132"/>
      <c r="BI507" s="132"/>
      <c r="BJ507" s="143"/>
      <c r="BK507" s="143"/>
      <c r="BL507" s="143"/>
      <c r="BM507" s="132"/>
      <c r="BN507" s="132"/>
      <c r="BO507" s="132"/>
      <c r="BP507" s="143"/>
      <c r="BQ507" s="132"/>
      <c r="BR507" s="132"/>
      <c r="BS507" s="132"/>
      <c r="BT507" s="132"/>
      <c r="BU507" s="132"/>
      <c r="BV507" s="263">
        <v>1095000</v>
      </c>
      <c r="BW507" s="144">
        <f>BV507*19%</f>
        <v>208050</v>
      </c>
      <c r="BX507" s="113">
        <f t="shared" ref="BX507:BX514" si="124">+BV507+BW507</f>
        <v>1303050</v>
      </c>
      <c r="BY507" s="264" t="s">
        <v>340</v>
      </c>
      <c r="BZ507" s="264" t="s">
        <v>263</v>
      </c>
      <c r="CA507" s="132"/>
      <c r="CB507" s="274"/>
      <c r="CC507" s="144"/>
      <c r="CD507" s="274"/>
      <c r="CE507" s="132"/>
      <c r="CF507" s="132"/>
      <c r="CG507" s="36"/>
      <c r="CH507" s="263">
        <v>1171650</v>
      </c>
      <c r="CI507" s="265">
        <f>+CH507*0.19</f>
        <v>222613.5</v>
      </c>
      <c r="CJ507" s="263">
        <f>+CH507+CI507</f>
        <v>1394263.5</v>
      </c>
      <c r="CK507" s="264" t="s">
        <v>340</v>
      </c>
      <c r="CL507" s="264" t="s">
        <v>263</v>
      </c>
      <c r="CM507" s="132"/>
      <c r="CN507" s="274"/>
      <c r="CO507" s="144"/>
      <c r="CP507" s="274"/>
      <c r="CQ507" s="132"/>
      <c r="CR507" s="132"/>
      <c r="CS507" s="132"/>
      <c r="CT507" s="274"/>
      <c r="CU507" s="144"/>
      <c r="CV507" s="274"/>
      <c r="CW507" s="132"/>
      <c r="CX507" s="132"/>
      <c r="CY507" s="132"/>
      <c r="CZ507" s="118"/>
      <c r="DA507" s="144"/>
      <c r="DB507" s="118"/>
      <c r="DC507" s="33"/>
      <c r="DD507" s="39"/>
      <c r="DE507" s="11"/>
      <c r="DF507" s="132"/>
      <c r="DG507" s="132"/>
      <c r="DH507" s="132"/>
      <c r="DI507" s="132"/>
      <c r="DJ507" s="132"/>
      <c r="DK507" s="132"/>
      <c r="DL507" s="132"/>
      <c r="DM507" s="132"/>
      <c r="DN507" s="132"/>
      <c r="DO507" s="132"/>
      <c r="DP507" s="132"/>
      <c r="DQ507" s="132"/>
      <c r="DR507" s="132"/>
      <c r="DS507" s="132"/>
      <c r="DT507" s="132"/>
      <c r="DU507" s="132"/>
      <c r="DV507" s="132"/>
      <c r="DW507" s="132"/>
      <c r="DX507" s="132"/>
      <c r="DY507" s="132"/>
      <c r="DZ507" s="132"/>
      <c r="EA507" s="132"/>
      <c r="EB507" s="132"/>
      <c r="EC507" s="132"/>
      <c r="ED507" s="132"/>
      <c r="EE507" s="132"/>
      <c r="EF507" s="132"/>
      <c r="EG507" s="132"/>
      <c r="EH507" s="132"/>
      <c r="EI507" s="132"/>
      <c r="EJ507" s="132"/>
      <c r="EK507" s="132"/>
      <c r="EL507" s="132"/>
      <c r="EM507" s="132"/>
      <c r="EN507" s="132"/>
      <c r="EO507" s="132"/>
      <c r="EP507" s="132"/>
      <c r="EQ507" s="132"/>
      <c r="ER507" s="132"/>
      <c r="ES507" s="132"/>
      <c r="ET507" s="11"/>
      <c r="EU507" s="11"/>
      <c r="EV507" s="11"/>
      <c r="EW507" s="11"/>
      <c r="EX507" s="11"/>
      <c r="EY507" s="11"/>
      <c r="EZ507" s="11"/>
      <c r="FA507" s="11"/>
      <c r="FB507" s="11"/>
      <c r="FC507" s="11"/>
      <c r="FD507" s="11"/>
      <c r="FE507" s="11"/>
      <c r="FF507" s="11"/>
      <c r="FG507" s="11"/>
      <c r="FH507" s="39">
        <f t="shared" si="114"/>
        <v>3116646.46</v>
      </c>
      <c r="FI507" s="33">
        <f t="shared" si="115"/>
        <v>4</v>
      </c>
      <c r="FJ507" s="84">
        <f t="shared" si="116"/>
        <v>779161.61499999999</v>
      </c>
    </row>
    <row r="508" spans="1:166" ht="27" x14ac:dyDescent="0.25">
      <c r="A508" s="79" t="e">
        <f>#REF!</f>
        <v>#REF!</v>
      </c>
      <c r="B508" s="75" t="e">
        <f>#REF!</f>
        <v>#REF!</v>
      </c>
      <c r="C508" s="75" t="e">
        <f>#REF!</f>
        <v>#REF!</v>
      </c>
      <c r="D508" s="75" t="e">
        <f>#REF!</f>
        <v>#REF!</v>
      </c>
      <c r="E508" s="30">
        <v>1</v>
      </c>
      <c r="F508" s="238">
        <v>0</v>
      </c>
      <c r="G508" s="241">
        <v>0</v>
      </c>
      <c r="H508" s="249">
        <v>0</v>
      </c>
      <c r="I508" s="249">
        <v>0</v>
      </c>
      <c r="J508" s="249">
        <v>479808</v>
      </c>
      <c r="K508" s="249">
        <v>399000</v>
      </c>
      <c r="L508" s="274">
        <f>J508</f>
        <v>479808</v>
      </c>
      <c r="M508" s="274">
        <f>K508*E1</f>
        <v>410970</v>
      </c>
      <c r="N508" s="245"/>
      <c r="O508" s="117"/>
      <c r="P508" s="113"/>
      <c r="Q508" s="131"/>
      <c r="R508" s="131"/>
      <c r="S508" s="64"/>
      <c r="T508" s="113"/>
      <c r="U508" s="113"/>
      <c r="V508" s="113"/>
      <c r="W508" s="131"/>
      <c r="X508" s="131"/>
      <c r="Y508" s="11"/>
      <c r="Z508" s="113"/>
      <c r="AA508" s="113"/>
      <c r="AB508" s="113"/>
      <c r="AC508" s="52"/>
      <c r="AD508" s="52"/>
      <c r="AE508" s="11"/>
      <c r="AF508" s="118"/>
      <c r="AG508" s="144"/>
      <c r="AH508" s="113"/>
      <c r="AI508" s="11"/>
      <c r="AJ508" s="11"/>
      <c r="AK508" s="39"/>
      <c r="AL508" s="113"/>
      <c r="AM508" s="113"/>
      <c r="AN508" s="147"/>
      <c r="AO508" s="76"/>
      <c r="AP508" s="39"/>
      <c r="AQ508" s="39"/>
      <c r="AR508" s="275"/>
      <c r="AS508" s="143"/>
      <c r="AT508" s="116"/>
      <c r="AU508" s="62"/>
      <c r="AV508" s="36"/>
      <c r="AW508" s="11"/>
      <c r="AX508" s="116"/>
      <c r="AY508" s="196"/>
      <c r="AZ508" s="143"/>
      <c r="BA508" s="191"/>
      <c r="BB508" s="132"/>
      <c r="BC508" s="132"/>
      <c r="BD508" s="274"/>
      <c r="BE508" s="143"/>
      <c r="BF508" s="143"/>
      <c r="BG508" s="132"/>
      <c r="BH508" s="132"/>
      <c r="BI508" s="132"/>
      <c r="BJ508" s="143"/>
      <c r="BK508" s="143"/>
      <c r="BL508" s="143"/>
      <c r="BM508" s="132"/>
      <c r="BN508" s="132"/>
      <c r="BO508" s="132"/>
      <c r="BP508" s="143"/>
      <c r="BQ508" s="132"/>
      <c r="BR508" s="132"/>
      <c r="BS508" s="132"/>
      <c r="BT508" s="132"/>
      <c r="BU508" s="132"/>
      <c r="BV508" s="263">
        <v>409200</v>
      </c>
      <c r="BW508" s="144">
        <f>BV508*0</f>
        <v>0</v>
      </c>
      <c r="BX508" s="113">
        <f t="shared" si="124"/>
        <v>409200</v>
      </c>
      <c r="BY508" s="264" t="s">
        <v>437</v>
      </c>
      <c r="BZ508" s="264" t="s">
        <v>263</v>
      </c>
      <c r="CA508" s="132"/>
      <c r="CB508" s="274"/>
      <c r="CC508" s="144"/>
      <c r="CD508" s="274"/>
      <c r="CE508" s="132"/>
      <c r="CF508" s="132"/>
      <c r="CG508" s="36"/>
      <c r="CH508" s="263">
        <v>429660</v>
      </c>
      <c r="CI508" s="265">
        <f>+CH508*0.19</f>
        <v>81635.399999999994</v>
      </c>
      <c r="CJ508" s="263">
        <f>+CH508+CI508</f>
        <v>511295.4</v>
      </c>
      <c r="CK508" s="264" t="s">
        <v>437</v>
      </c>
      <c r="CL508" s="264" t="s">
        <v>263</v>
      </c>
      <c r="CM508" s="132"/>
      <c r="CN508" s="274"/>
      <c r="CO508" s="144"/>
      <c r="CP508" s="274"/>
      <c r="CQ508" s="132"/>
      <c r="CR508" s="132"/>
      <c r="CS508" s="132"/>
      <c r="CT508" s="274"/>
      <c r="CU508" s="144"/>
      <c r="CV508" s="274"/>
      <c r="CW508" s="132"/>
      <c r="CX508" s="132"/>
      <c r="CY508" s="132"/>
      <c r="CZ508" s="118"/>
      <c r="DA508" s="144"/>
      <c r="DB508" s="118"/>
      <c r="DC508" s="33"/>
      <c r="DD508" s="39"/>
      <c r="DE508" s="11"/>
      <c r="DF508" s="132"/>
      <c r="DG508" s="132"/>
      <c r="DH508" s="132"/>
      <c r="DI508" s="132"/>
      <c r="DJ508" s="132"/>
      <c r="DK508" s="132"/>
      <c r="DL508" s="132"/>
      <c r="DM508" s="132"/>
      <c r="DN508" s="132"/>
      <c r="DO508" s="132"/>
      <c r="DP508" s="132"/>
      <c r="DQ508" s="132"/>
      <c r="DR508" s="132"/>
      <c r="DS508" s="132"/>
      <c r="DT508" s="132"/>
      <c r="DU508" s="132"/>
      <c r="DV508" s="132"/>
      <c r="DW508" s="132"/>
      <c r="DX508" s="132"/>
      <c r="DY508" s="132"/>
      <c r="DZ508" s="132"/>
      <c r="EA508" s="132"/>
      <c r="EB508" s="132"/>
      <c r="EC508" s="132"/>
      <c r="ED508" s="132"/>
      <c r="EE508" s="132"/>
      <c r="EF508" s="132"/>
      <c r="EG508" s="132"/>
      <c r="EH508" s="132"/>
      <c r="EI508" s="132"/>
      <c r="EJ508" s="132"/>
      <c r="EK508" s="132"/>
      <c r="EL508" s="132"/>
      <c r="EM508" s="132"/>
      <c r="EN508" s="132"/>
      <c r="EO508" s="132"/>
      <c r="EP508" s="132"/>
      <c r="EQ508" s="132"/>
      <c r="ER508" s="132"/>
      <c r="ES508" s="132"/>
      <c r="ET508" s="11"/>
      <c r="EU508" s="11"/>
      <c r="EV508" s="11"/>
      <c r="EW508" s="11"/>
      <c r="EX508" s="11"/>
      <c r="EY508" s="11"/>
      <c r="EZ508" s="11"/>
      <c r="FA508" s="11"/>
      <c r="FB508" s="11"/>
      <c r="FC508" s="11"/>
      <c r="FD508" s="11"/>
      <c r="FE508" s="11"/>
      <c r="FF508" s="11"/>
      <c r="FG508" s="11"/>
      <c r="FH508" s="39">
        <f t="shared" si="114"/>
        <v>1331465.3999999999</v>
      </c>
      <c r="FI508" s="33">
        <f t="shared" si="115"/>
        <v>3</v>
      </c>
      <c r="FJ508" s="84">
        <f t="shared" si="116"/>
        <v>443821.8</v>
      </c>
    </row>
    <row r="509" spans="1:166" ht="27" x14ac:dyDescent="0.25">
      <c r="A509" s="79" t="e">
        <f>#REF!</f>
        <v>#REF!</v>
      </c>
      <c r="B509" s="75" t="e">
        <f>#REF!</f>
        <v>#REF!</v>
      </c>
      <c r="C509" s="75" t="e">
        <f>#REF!</f>
        <v>#REF!</v>
      </c>
      <c r="D509" s="75" t="e">
        <f>#REF!</f>
        <v>#REF!</v>
      </c>
      <c r="E509" s="30">
        <v>1</v>
      </c>
      <c r="F509" s="238">
        <v>0</v>
      </c>
      <c r="G509" s="241">
        <v>0</v>
      </c>
      <c r="H509" s="249">
        <v>0</v>
      </c>
      <c r="I509" s="249">
        <v>0</v>
      </c>
      <c r="J509" s="249">
        <v>1813560</v>
      </c>
      <c r="K509" s="249">
        <v>0</v>
      </c>
      <c r="L509" s="274">
        <f>J509</f>
        <v>1813560</v>
      </c>
      <c r="M509" s="274"/>
      <c r="N509" s="245"/>
      <c r="O509" s="113"/>
      <c r="P509" s="113"/>
      <c r="Q509" s="131"/>
      <c r="R509" s="131"/>
      <c r="S509" s="64"/>
      <c r="T509" s="113"/>
      <c r="U509" s="113"/>
      <c r="V509" s="113"/>
      <c r="W509" s="131"/>
      <c r="X509" s="131"/>
      <c r="Y509" s="11"/>
      <c r="Z509" s="113"/>
      <c r="AA509" s="113"/>
      <c r="AB509" s="113"/>
      <c r="AC509" s="52"/>
      <c r="AD509" s="52"/>
      <c r="AE509" s="11"/>
      <c r="AF509" s="118"/>
      <c r="AG509" s="144"/>
      <c r="AH509" s="113"/>
      <c r="AI509" s="11"/>
      <c r="AJ509" s="11"/>
      <c r="AK509" s="39"/>
      <c r="AL509" s="113"/>
      <c r="AM509" s="113"/>
      <c r="AN509" s="117"/>
      <c r="AO509" s="76"/>
      <c r="AP509" s="39"/>
      <c r="AQ509" s="39"/>
      <c r="AR509" s="275">
        <f>1728000</f>
        <v>1728000</v>
      </c>
      <c r="AS509" s="143">
        <f>+AR509*0.19</f>
        <v>328320</v>
      </c>
      <c r="AT509" s="116">
        <f>+AR509+AS509</f>
        <v>2056320</v>
      </c>
      <c r="AU509" s="62" t="s">
        <v>34</v>
      </c>
      <c r="AV509" s="36" t="s">
        <v>35</v>
      </c>
      <c r="AW509" s="39"/>
      <c r="AX509" s="116"/>
      <c r="AY509" s="116"/>
      <c r="AZ509" s="143"/>
      <c r="BA509" s="191"/>
      <c r="BB509" s="132"/>
      <c r="BC509" s="132"/>
      <c r="BD509" s="274"/>
      <c r="BE509" s="143"/>
      <c r="BF509" s="143"/>
      <c r="BG509" s="132"/>
      <c r="BH509" s="132"/>
      <c r="BI509" s="132"/>
      <c r="BJ509" s="143"/>
      <c r="BK509" s="143"/>
      <c r="BL509" s="143"/>
      <c r="BM509" s="132"/>
      <c r="BN509" s="132"/>
      <c r="BO509" s="132"/>
      <c r="BP509" s="143"/>
      <c r="BQ509" s="132"/>
      <c r="BR509" s="132"/>
      <c r="BS509" s="132"/>
      <c r="BT509" s="132"/>
      <c r="BU509" s="132"/>
      <c r="BV509" s="263">
        <v>5715500</v>
      </c>
      <c r="BW509" s="144">
        <f t="shared" ref="BW509:BW514" si="125">BV509*19%</f>
        <v>1085945</v>
      </c>
      <c r="BX509" s="113">
        <f t="shared" si="124"/>
        <v>6801445</v>
      </c>
      <c r="BY509" s="264" t="s">
        <v>342</v>
      </c>
      <c r="BZ509" s="264" t="s">
        <v>263</v>
      </c>
      <c r="CA509" s="132"/>
      <c r="CB509" s="274"/>
      <c r="CC509" s="144"/>
      <c r="CD509" s="274"/>
      <c r="CE509" s="132"/>
      <c r="CF509" s="132"/>
      <c r="CG509" s="36"/>
      <c r="CH509" s="263">
        <v>6001275</v>
      </c>
      <c r="CI509" s="265">
        <f>+CH509*0.19</f>
        <v>1140242.25</v>
      </c>
      <c r="CJ509" s="263">
        <f>+CH509+CI509</f>
        <v>7141517.25</v>
      </c>
      <c r="CK509" s="264" t="s">
        <v>342</v>
      </c>
      <c r="CL509" s="264" t="s">
        <v>263</v>
      </c>
      <c r="CM509" s="132"/>
      <c r="CN509" s="274"/>
      <c r="CO509" s="144"/>
      <c r="CP509" s="274"/>
      <c r="CQ509" s="132"/>
      <c r="CR509" s="132"/>
      <c r="CS509" s="132"/>
      <c r="CT509" s="274"/>
      <c r="CU509" s="144"/>
      <c r="CV509" s="274"/>
      <c r="CW509" s="132"/>
      <c r="CX509" s="132"/>
      <c r="CY509" s="132"/>
      <c r="CZ509" s="118"/>
      <c r="DA509" s="144"/>
      <c r="DB509" s="118"/>
      <c r="DC509" s="33"/>
      <c r="DD509" s="39"/>
      <c r="DE509" s="11"/>
      <c r="DF509" s="132"/>
      <c r="DG509" s="132"/>
      <c r="DH509" s="132"/>
      <c r="DI509" s="132"/>
      <c r="DJ509" s="132"/>
      <c r="DK509" s="132"/>
      <c r="DL509" s="132"/>
      <c r="DM509" s="132"/>
      <c r="DN509" s="132"/>
      <c r="DO509" s="132"/>
      <c r="DP509" s="132"/>
      <c r="DQ509" s="132"/>
      <c r="DR509" s="132"/>
      <c r="DS509" s="132"/>
      <c r="DT509" s="132"/>
      <c r="DU509" s="132"/>
      <c r="DV509" s="132"/>
      <c r="DW509" s="132"/>
      <c r="DX509" s="132"/>
      <c r="DY509" s="132"/>
      <c r="DZ509" s="132"/>
      <c r="EA509" s="132"/>
      <c r="EB509" s="132"/>
      <c r="EC509" s="132"/>
      <c r="ED509" s="132"/>
      <c r="EE509" s="132"/>
      <c r="EF509" s="132"/>
      <c r="EG509" s="132"/>
      <c r="EH509" s="132"/>
      <c r="EI509" s="132"/>
      <c r="EJ509" s="132"/>
      <c r="EK509" s="132"/>
      <c r="EL509" s="132"/>
      <c r="EM509" s="132"/>
      <c r="EN509" s="132"/>
      <c r="EO509" s="132"/>
      <c r="EP509" s="132"/>
      <c r="EQ509" s="132"/>
      <c r="ER509" s="132"/>
      <c r="ES509" s="132"/>
      <c r="ET509" s="11"/>
      <c r="EU509" s="11"/>
      <c r="EV509" s="11"/>
      <c r="EW509" s="11"/>
      <c r="EX509" s="11"/>
      <c r="EY509" s="11"/>
      <c r="EZ509" s="11"/>
      <c r="FA509" s="11"/>
      <c r="FB509" s="11"/>
      <c r="FC509" s="11"/>
      <c r="FD509" s="11"/>
      <c r="FE509" s="11"/>
      <c r="FF509" s="11"/>
      <c r="FG509" s="11"/>
      <c r="FH509" s="39">
        <f t="shared" si="114"/>
        <v>15999282.25</v>
      </c>
      <c r="FI509" s="33">
        <f t="shared" si="115"/>
        <v>3</v>
      </c>
      <c r="FJ509" s="84">
        <f t="shared" si="116"/>
        <v>5333094.083333333</v>
      </c>
    </row>
    <row r="510" spans="1:166" ht="27" x14ac:dyDescent="0.25">
      <c r="A510" s="79" t="e">
        <f>#REF!</f>
        <v>#REF!</v>
      </c>
      <c r="B510" s="75" t="e">
        <f>#REF!</f>
        <v>#REF!</v>
      </c>
      <c r="C510" s="75" t="e">
        <f>#REF!</f>
        <v>#REF!</v>
      </c>
      <c r="D510" s="75" t="e">
        <f>#REF!</f>
        <v>#REF!</v>
      </c>
      <c r="E510" s="30">
        <v>1</v>
      </c>
      <c r="F510" s="238">
        <v>283101</v>
      </c>
      <c r="G510" s="241">
        <v>275961</v>
      </c>
      <c r="H510" s="249">
        <v>354655.68215000001</v>
      </c>
      <c r="I510" s="249">
        <v>0</v>
      </c>
      <c r="J510" s="249">
        <v>291144.21000000002</v>
      </c>
      <c r="K510" s="249">
        <v>0</v>
      </c>
      <c r="L510" s="274">
        <f>AVERAGE(F510,H510,J510)</f>
        <v>309633.63071666664</v>
      </c>
      <c r="M510" s="274">
        <f>G510*E1</f>
        <v>284239.83</v>
      </c>
      <c r="N510" s="245"/>
      <c r="O510" s="113"/>
      <c r="P510" s="113"/>
      <c r="Q510" s="131"/>
      <c r="R510" s="131"/>
      <c r="S510" s="64"/>
      <c r="T510" s="113"/>
      <c r="U510" s="113"/>
      <c r="V510" s="113"/>
      <c r="W510" s="131"/>
      <c r="X510" s="131"/>
      <c r="Y510" s="11"/>
      <c r="Z510" s="113"/>
      <c r="AA510" s="113"/>
      <c r="AB510" s="113"/>
      <c r="AC510" s="52"/>
      <c r="AD510" s="52"/>
      <c r="AE510" s="11"/>
      <c r="AF510" s="118">
        <v>350000</v>
      </c>
      <c r="AG510" s="144">
        <f>AF510*19%</f>
        <v>66500</v>
      </c>
      <c r="AH510" s="113">
        <f>+AF510+AG510</f>
        <v>416500</v>
      </c>
      <c r="AI510" s="11"/>
      <c r="AJ510" s="11"/>
      <c r="AK510" s="39"/>
      <c r="AL510" s="113">
        <v>370000</v>
      </c>
      <c r="AM510" s="113">
        <f>+AL510*0.19</f>
        <v>70300</v>
      </c>
      <c r="AN510" s="119">
        <f>+AL510+AM510</f>
        <v>440300</v>
      </c>
      <c r="AO510" s="76" t="s">
        <v>78</v>
      </c>
      <c r="AP510" s="39" t="s">
        <v>45</v>
      </c>
      <c r="AQ510" s="39"/>
      <c r="AR510" s="275">
        <v>280800</v>
      </c>
      <c r="AS510" s="143">
        <f>+AR510*0.19</f>
        <v>53352</v>
      </c>
      <c r="AT510" s="116">
        <f>+AR510+AS510</f>
        <v>334152</v>
      </c>
      <c r="AU510" s="62" t="s">
        <v>54</v>
      </c>
      <c r="AV510" s="36" t="s">
        <v>35</v>
      </c>
      <c r="AW510" s="11"/>
      <c r="AX510" s="116"/>
      <c r="AY510" s="196"/>
      <c r="AZ510" s="143"/>
      <c r="BA510" s="191"/>
      <c r="BB510" s="132"/>
      <c r="BC510" s="132"/>
      <c r="BD510" s="274"/>
      <c r="BE510" s="274"/>
      <c r="BF510" s="274"/>
      <c r="BG510" s="274"/>
      <c r="BH510" s="132"/>
      <c r="BI510" s="132"/>
      <c r="BJ510" s="143"/>
      <c r="BK510" s="143"/>
      <c r="BL510" s="143"/>
      <c r="BM510" s="132"/>
      <c r="BN510" s="132"/>
      <c r="BO510" s="132"/>
      <c r="BP510" s="143"/>
      <c r="BQ510" s="132"/>
      <c r="BR510" s="132"/>
      <c r="BS510" s="132"/>
      <c r="BT510" s="132"/>
      <c r="BU510" s="132"/>
      <c r="BV510" s="263">
        <v>326000</v>
      </c>
      <c r="BW510" s="144">
        <f t="shared" si="125"/>
        <v>61940</v>
      </c>
      <c r="BX510" s="113">
        <f t="shared" si="124"/>
        <v>387940</v>
      </c>
      <c r="BY510" s="264" t="s">
        <v>342</v>
      </c>
      <c r="BZ510" s="264" t="s">
        <v>263</v>
      </c>
      <c r="CA510" s="132"/>
      <c r="CB510" s="274">
        <v>310000</v>
      </c>
      <c r="CC510" s="144">
        <f>+CB510*19%</f>
        <v>58900</v>
      </c>
      <c r="CD510" s="274">
        <f>+CC510+CB510</f>
        <v>368900</v>
      </c>
      <c r="CE510" s="132"/>
      <c r="CF510" s="132"/>
      <c r="CG510" s="36"/>
      <c r="CH510" s="263">
        <v>335780</v>
      </c>
      <c r="CI510" s="265">
        <f>+CH510*0.19</f>
        <v>63798.200000000004</v>
      </c>
      <c r="CJ510" s="263">
        <f>+CH510+CI510</f>
        <v>399578.2</v>
      </c>
      <c r="CK510" s="264" t="s">
        <v>342</v>
      </c>
      <c r="CL510" s="264" t="s">
        <v>263</v>
      </c>
      <c r="CM510" s="132"/>
      <c r="CN510" s="274"/>
      <c r="CO510" s="144"/>
      <c r="CP510" s="274"/>
      <c r="CQ510" s="132"/>
      <c r="CR510" s="132"/>
      <c r="CS510" s="132"/>
      <c r="CT510" s="274"/>
      <c r="CU510" s="144"/>
      <c r="CV510" s="274"/>
      <c r="CW510" s="132"/>
      <c r="CX510" s="132"/>
      <c r="CY510" s="132"/>
      <c r="CZ510" s="118"/>
      <c r="DA510" s="144"/>
      <c r="DB510" s="118"/>
      <c r="DC510" s="33"/>
      <c r="DD510" s="39"/>
      <c r="DE510" s="11"/>
      <c r="DF510" s="132"/>
      <c r="DG510" s="132"/>
      <c r="DH510" s="132"/>
      <c r="DI510" s="132"/>
      <c r="DJ510" s="132"/>
      <c r="DK510" s="132"/>
      <c r="DL510" s="132"/>
      <c r="DM510" s="132"/>
      <c r="DN510" s="132"/>
      <c r="DO510" s="132"/>
      <c r="DP510" s="132"/>
      <c r="DQ510" s="132"/>
      <c r="DR510" s="132"/>
      <c r="DS510" s="132"/>
      <c r="DT510" s="132"/>
      <c r="DU510" s="132"/>
      <c r="DV510" s="132"/>
      <c r="DW510" s="132"/>
      <c r="DX510" s="132"/>
      <c r="DY510" s="132"/>
      <c r="DZ510" s="132"/>
      <c r="EA510" s="132"/>
      <c r="EB510" s="132"/>
      <c r="EC510" s="132"/>
      <c r="ED510" s="132"/>
      <c r="EE510" s="132"/>
      <c r="EF510" s="132"/>
      <c r="EG510" s="132"/>
      <c r="EH510" s="132"/>
      <c r="EI510" s="132"/>
      <c r="EJ510" s="132"/>
      <c r="EK510" s="132"/>
      <c r="EL510" s="132"/>
      <c r="EM510" s="132"/>
      <c r="EN510" s="132"/>
      <c r="EO510" s="132"/>
      <c r="EP510" s="132"/>
      <c r="EQ510" s="132"/>
      <c r="ER510" s="132"/>
      <c r="ES510" s="132"/>
      <c r="ET510" s="11"/>
      <c r="EU510" s="11"/>
      <c r="EV510" s="11"/>
      <c r="EW510" s="11"/>
      <c r="EX510" s="11"/>
      <c r="EY510" s="11"/>
      <c r="EZ510" s="11"/>
      <c r="FA510" s="11"/>
      <c r="FB510" s="11"/>
      <c r="FC510" s="11"/>
      <c r="FD510" s="11"/>
      <c r="FE510" s="11"/>
      <c r="FF510" s="275"/>
      <c r="FG510" s="71"/>
      <c r="FH510" s="39">
        <f t="shared" si="114"/>
        <v>2631610.0300000003</v>
      </c>
      <c r="FI510" s="33">
        <f t="shared" si="115"/>
        <v>7</v>
      </c>
      <c r="FJ510" s="84">
        <f t="shared" si="116"/>
        <v>375944.29000000004</v>
      </c>
    </row>
    <row r="511" spans="1:166" ht="13.5" x14ac:dyDescent="0.25">
      <c r="A511" s="79" t="e">
        <f>#REF!</f>
        <v>#REF!</v>
      </c>
      <c r="B511" s="75" t="e">
        <f>#REF!</f>
        <v>#REF!</v>
      </c>
      <c r="C511" s="75" t="e">
        <f>#REF!</f>
        <v>#REF!</v>
      </c>
      <c r="D511" s="75" t="e">
        <f>#REF!</f>
        <v>#REF!</v>
      </c>
      <c r="E511" s="30">
        <v>1</v>
      </c>
      <c r="F511" s="238">
        <v>0</v>
      </c>
      <c r="G511" s="241">
        <v>0</v>
      </c>
      <c r="H511" s="249">
        <v>0</v>
      </c>
      <c r="I511" s="249">
        <v>0</v>
      </c>
      <c r="J511" s="249">
        <v>0</v>
      </c>
      <c r="K511" s="249">
        <v>0</v>
      </c>
      <c r="L511" s="274"/>
      <c r="M511" s="274"/>
      <c r="N511" s="247">
        <v>1110000</v>
      </c>
      <c r="O511" s="113">
        <f>+N511*0.19</f>
        <v>210900</v>
      </c>
      <c r="P511" s="113">
        <f>+O511+N511</f>
        <v>1320900</v>
      </c>
      <c r="Q511" s="36" t="s">
        <v>127</v>
      </c>
      <c r="R511" s="132" t="s">
        <v>128</v>
      </c>
      <c r="S511" s="64" t="s">
        <v>216</v>
      </c>
      <c r="T511" s="113"/>
      <c r="U511" s="113"/>
      <c r="V511" s="113"/>
      <c r="W511" s="131"/>
      <c r="X511" s="131"/>
      <c r="Y511" s="11"/>
      <c r="Z511" s="113"/>
      <c r="AA511" s="113"/>
      <c r="AB511" s="113"/>
      <c r="AC511" s="52"/>
      <c r="AD511" s="52"/>
      <c r="AE511" s="11"/>
      <c r="AF511" s="118"/>
      <c r="AG511" s="144"/>
      <c r="AH511" s="113"/>
      <c r="AI511" s="11"/>
      <c r="AJ511" s="11"/>
      <c r="AK511" s="39"/>
      <c r="AL511" s="113"/>
      <c r="AM511" s="113"/>
      <c r="AN511" s="119"/>
      <c r="AO511" s="76"/>
      <c r="AP511" s="39"/>
      <c r="AQ511" s="39"/>
      <c r="AR511" s="275"/>
      <c r="AS511" s="275"/>
      <c r="AT511" s="275"/>
      <c r="AU511" s="48"/>
      <c r="AV511" s="62"/>
      <c r="AW511" s="11"/>
      <c r="AX511" s="116"/>
      <c r="AY511" s="194"/>
      <c r="AZ511" s="143"/>
      <c r="BA511" s="191"/>
      <c r="BB511" s="132"/>
      <c r="BC511" s="132"/>
      <c r="BD511" s="274"/>
      <c r="BE511" s="143"/>
      <c r="BF511" s="143"/>
      <c r="BG511" s="132"/>
      <c r="BH511" s="132"/>
      <c r="BI511" s="132"/>
      <c r="BJ511" s="143"/>
      <c r="BK511" s="143"/>
      <c r="BL511" s="143"/>
      <c r="BM511" s="132"/>
      <c r="BN511" s="132"/>
      <c r="BO511" s="132"/>
      <c r="BP511" s="143"/>
      <c r="BQ511" s="132"/>
      <c r="BR511" s="132"/>
      <c r="BS511" s="132"/>
      <c r="BT511" s="132"/>
      <c r="BU511" s="132"/>
      <c r="BV511" s="263">
        <v>2507800</v>
      </c>
      <c r="BW511" s="144">
        <f t="shared" si="125"/>
        <v>476482</v>
      </c>
      <c r="BX511" s="113">
        <f t="shared" si="124"/>
        <v>2984282</v>
      </c>
      <c r="BY511" s="264" t="s">
        <v>231</v>
      </c>
      <c r="BZ511" s="264" t="s">
        <v>88</v>
      </c>
      <c r="CA511" s="132"/>
      <c r="CB511" s="274"/>
      <c r="CC511" s="144"/>
      <c r="CD511" s="274"/>
      <c r="CE511" s="132"/>
      <c r="CF511" s="132"/>
      <c r="CG511" s="36"/>
      <c r="CH511" s="263"/>
      <c r="CI511" s="265"/>
      <c r="CJ511" s="263"/>
      <c r="CK511" s="264"/>
      <c r="CL511" s="264"/>
      <c r="CM511" s="132"/>
      <c r="CN511" s="274"/>
      <c r="CO511" s="144"/>
      <c r="CP511" s="274"/>
      <c r="CQ511" s="132"/>
      <c r="CR511" s="132"/>
      <c r="CS511" s="132"/>
      <c r="CT511" s="274"/>
      <c r="CU511" s="144"/>
      <c r="CV511" s="274"/>
      <c r="CW511" s="132"/>
      <c r="CX511" s="132"/>
      <c r="CY511" s="132"/>
      <c r="CZ511" s="118">
        <v>1504944</v>
      </c>
      <c r="DA511" s="144">
        <f>+CZ511*0.19</f>
        <v>285939.36</v>
      </c>
      <c r="DB511" s="118">
        <f>+CZ511+DA511</f>
        <v>1790883.3599999999</v>
      </c>
      <c r="DC511" s="33" t="s">
        <v>438</v>
      </c>
      <c r="DD511" s="39" t="s">
        <v>58</v>
      </c>
      <c r="DE511" s="11">
        <v>1039790500</v>
      </c>
      <c r="DF511" s="132"/>
      <c r="DG511" s="132"/>
      <c r="DH511" s="132"/>
      <c r="DI511" s="132"/>
      <c r="DJ511" s="132"/>
      <c r="DK511" s="132"/>
      <c r="DL511" s="132"/>
      <c r="DM511" s="132"/>
      <c r="DN511" s="132"/>
      <c r="DO511" s="132"/>
      <c r="DP511" s="132"/>
      <c r="DQ511" s="132"/>
      <c r="DR511" s="132"/>
      <c r="DS511" s="132"/>
      <c r="DT511" s="132"/>
      <c r="DU511" s="132"/>
      <c r="DV511" s="132"/>
      <c r="DW511" s="132"/>
      <c r="DX511" s="132"/>
      <c r="DY511" s="132"/>
      <c r="DZ511" s="132"/>
      <c r="EA511" s="132"/>
      <c r="EB511" s="132"/>
      <c r="EC511" s="132"/>
      <c r="ED511" s="132"/>
      <c r="EE511" s="132"/>
      <c r="EF511" s="132"/>
      <c r="EG511" s="132"/>
      <c r="EH511" s="132"/>
      <c r="EI511" s="132"/>
      <c r="EJ511" s="132"/>
      <c r="EK511" s="132"/>
      <c r="EL511" s="132"/>
      <c r="EM511" s="132"/>
      <c r="EN511" s="132"/>
      <c r="EO511" s="132"/>
      <c r="EP511" s="132"/>
      <c r="EQ511" s="132"/>
      <c r="ER511" s="132"/>
      <c r="ES511" s="132"/>
      <c r="ET511" s="11"/>
      <c r="EU511" s="11"/>
      <c r="EV511" s="11"/>
      <c r="EW511" s="11"/>
      <c r="EX511" s="11"/>
      <c r="EY511" s="11"/>
      <c r="EZ511" s="11"/>
      <c r="FA511" s="11"/>
      <c r="FB511" s="11"/>
      <c r="FC511" s="11"/>
      <c r="FD511" s="11"/>
      <c r="FE511" s="11"/>
      <c r="FF511" s="11"/>
      <c r="FG511" s="11"/>
      <c r="FH511" s="39">
        <f t="shared" si="114"/>
        <v>6096065.3599999994</v>
      </c>
      <c r="FI511" s="33">
        <f t="shared" si="115"/>
        <v>3</v>
      </c>
      <c r="FJ511" s="84">
        <f t="shared" si="116"/>
        <v>2032021.7866666664</v>
      </c>
    </row>
    <row r="512" spans="1:166" ht="13.5" x14ac:dyDescent="0.25">
      <c r="A512" s="79" t="e">
        <f>#REF!</f>
        <v>#REF!</v>
      </c>
      <c r="B512" s="75" t="e">
        <f>#REF!</f>
        <v>#REF!</v>
      </c>
      <c r="C512" s="75" t="e">
        <f>#REF!</f>
        <v>#REF!</v>
      </c>
      <c r="D512" s="75" t="e">
        <f>#REF!</f>
        <v>#REF!</v>
      </c>
      <c r="E512" s="30">
        <v>1</v>
      </c>
      <c r="F512" s="238">
        <v>0</v>
      </c>
      <c r="G512" s="241">
        <v>0</v>
      </c>
      <c r="H512" s="249">
        <v>0</v>
      </c>
      <c r="I512" s="249">
        <v>0</v>
      </c>
      <c r="J512" s="249">
        <v>640618.65</v>
      </c>
      <c r="K512" s="249">
        <v>0</v>
      </c>
      <c r="L512" s="274">
        <f>J512</f>
        <v>640618.65</v>
      </c>
      <c r="M512" s="274"/>
      <c r="N512" s="245"/>
      <c r="O512" s="113"/>
      <c r="P512" s="113"/>
      <c r="Q512" s="131"/>
      <c r="R512" s="131"/>
      <c r="S512" s="64"/>
      <c r="T512" s="113"/>
      <c r="U512" s="113"/>
      <c r="V512" s="113"/>
      <c r="W512" s="131"/>
      <c r="X512" s="131"/>
      <c r="Y512" s="11"/>
      <c r="Z512" s="113"/>
      <c r="AA512" s="113"/>
      <c r="AB512" s="113"/>
      <c r="AC512" s="52"/>
      <c r="AD512" s="52"/>
      <c r="AE512" s="11"/>
      <c r="AF512" s="118"/>
      <c r="AG512" s="144"/>
      <c r="AH512" s="113"/>
      <c r="AI512" s="11"/>
      <c r="AJ512" s="11"/>
      <c r="AK512" s="39"/>
      <c r="AL512" s="113"/>
      <c r="AM512" s="113"/>
      <c r="AN512" s="119"/>
      <c r="AO512" s="76"/>
      <c r="AP512" s="39"/>
      <c r="AQ512" s="39"/>
      <c r="AR512" s="275"/>
      <c r="AS512" s="275"/>
      <c r="AT512" s="275"/>
      <c r="AU512" s="62"/>
      <c r="AV512" s="62"/>
      <c r="AW512" s="11"/>
      <c r="AX512" s="116"/>
      <c r="AY512" s="116"/>
      <c r="AZ512" s="143"/>
      <c r="BA512" s="191"/>
      <c r="BB512" s="132"/>
      <c r="BC512" s="132"/>
      <c r="BD512" s="274"/>
      <c r="BE512" s="143"/>
      <c r="BF512" s="143"/>
      <c r="BG512" s="132"/>
      <c r="BH512" s="132"/>
      <c r="BI512" s="132"/>
      <c r="BJ512" s="143"/>
      <c r="BK512" s="143"/>
      <c r="BL512" s="143"/>
      <c r="BM512" s="132"/>
      <c r="BN512" s="132"/>
      <c r="BO512" s="132"/>
      <c r="BP512" s="143"/>
      <c r="BQ512" s="132"/>
      <c r="BR512" s="132"/>
      <c r="BS512" s="132"/>
      <c r="BT512" s="132"/>
      <c r="BU512" s="132"/>
      <c r="BV512" s="263">
        <v>574200</v>
      </c>
      <c r="BW512" s="144">
        <f t="shared" si="125"/>
        <v>109098</v>
      </c>
      <c r="BX512" s="113">
        <f t="shared" si="124"/>
        <v>683298</v>
      </c>
      <c r="BY512" s="264" t="s">
        <v>439</v>
      </c>
      <c r="BZ512" s="264" t="s">
        <v>88</v>
      </c>
      <c r="CA512" s="131"/>
      <c r="CB512" s="274"/>
      <c r="CC512" s="144"/>
      <c r="CD512" s="274"/>
      <c r="CE512" s="132"/>
      <c r="CF512" s="132"/>
      <c r="CG512" s="36"/>
      <c r="CH512" s="263">
        <v>602910</v>
      </c>
      <c r="CI512" s="265">
        <f>+CH512*0.19</f>
        <v>114552.9</v>
      </c>
      <c r="CJ512" s="263">
        <f>+CH512+CI512</f>
        <v>717462.9</v>
      </c>
      <c r="CK512" s="264" t="s">
        <v>439</v>
      </c>
      <c r="CL512" s="264" t="s">
        <v>88</v>
      </c>
      <c r="CM512" s="132"/>
      <c r="CN512" s="274"/>
      <c r="CO512" s="144"/>
      <c r="CP512" s="274"/>
      <c r="CQ512" s="132"/>
      <c r="CR512" s="132"/>
      <c r="CS512" s="132"/>
      <c r="CT512" s="274"/>
      <c r="CU512" s="144"/>
      <c r="CV512" s="274"/>
      <c r="CW512" s="132"/>
      <c r="CX512" s="132"/>
      <c r="CY512" s="132"/>
      <c r="CZ512" s="118"/>
      <c r="DA512" s="144"/>
      <c r="DB512" s="118"/>
      <c r="DC512" s="33"/>
      <c r="DD512" s="39"/>
      <c r="DE512" s="11"/>
      <c r="DF512" s="132"/>
      <c r="DG512" s="132"/>
      <c r="DH512" s="132"/>
      <c r="DI512" s="132"/>
      <c r="DJ512" s="132"/>
      <c r="DK512" s="132"/>
      <c r="DL512" s="132"/>
      <c r="DM512" s="132"/>
      <c r="DN512" s="132"/>
      <c r="DO512" s="132"/>
      <c r="DP512" s="132"/>
      <c r="DQ512" s="132"/>
      <c r="DR512" s="132"/>
      <c r="DS512" s="132"/>
      <c r="DT512" s="132"/>
      <c r="DU512" s="132"/>
      <c r="DV512" s="132"/>
      <c r="DW512" s="132"/>
      <c r="DX512" s="132"/>
      <c r="DY512" s="132"/>
      <c r="DZ512" s="132"/>
      <c r="EA512" s="132"/>
      <c r="EB512" s="132"/>
      <c r="EC512" s="132"/>
      <c r="ED512" s="132"/>
      <c r="EE512" s="132"/>
      <c r="EF512" s="132"/>
      <c r="EG512" s="132"/>
      <c r="EH512" s="132"/>
      <c r="EI512" s="132"/>
      <c r="EJ512" s="132"/>
      <c r="EK512" s="132"/>
      <c r="EL512" s="132"/>
      <c r="EM512" s="132"/>
      <c r="EN512" s="132"/>
      <c r="EO512" s="132"/>
      <c r="EP512" s="132"/>
      <c r="EQ512" s="132"/>
      <c r="ER512" s="132"/>
      <c r="ES512" s="132"/>
      <c r="ET512" s="11"/>
      <c r="EU512" s="11"/>
      <c r="EV512" s="11"/>
      <c r="EW512" s="11"/>
      <c r="EX512" s="11"/>
      <c r="EY512" s="11"/>
      <c r="EZ512" s="11"/>
      <c r="FA512" s="11"/>
      <c r="FB512" s="11"/>
      <c r="FC512" s="11"/>
      <c r="FD512" s="11"/>
      <c r="FE512" s="11"/>
      <c r="FF512" s="11"/>
      <c r="FG512" s="11"/>
      <c r="FH512" s="39">
        <f t="shared" si="114"/>
        <v>1400760.9</v>
      </c>
      <c r="FI512" s="33">
        <f t="shared" si="115"/>
        <v>2</v>
      </c>
      <c r="FJ512" s="84">
        <f t="shared" si="116"/>
        <v>700380.45</v>
      </c>
    </row>
    <row r="513" spans="1:166" ht="13.5" x14ac:dyDescent="0.25">
      <c r="A513" s="79" t="e">
        <f>#REF!</f>
        <v>#REF!</v>
      </c>
      <c r="B513" s="75" t="e">
        <f>#REF!</f>
        <v>#REF!</v>
      </c>
      <c r="C513" s="75" t="e">
        <f>#REF!</f>
        <v>#REF!</v>
      </c>
      <c r="D513" s="75" t="e">
        <f>#REF!</f>
        <v>#REF!</v>
      </c>
      <c r="E513" s="30">
        <v>1</v>
      </c>
      <c r="F513" s="238">
        <v>0</v>
      </c>
      <c r="G513" s="241">
        <v>0</v>
      </c>
      <c r="H513" s="249">
        <v>0</v>
      </c>
      <c r="I513" s="249">
        <v>0</v>
      </c>
      <c r="J513" s="249">
        <v>718232.43333333323</v>
      </c>
      <c r="K513" s="249">
        <v>0</v>
      </c>
      <c r="L513" s="274">
        <f>J513</f>
        <v>718232.43333333323</v>
      </c>
      <c r="M513" s="274"/>
      <c r="N513" s="245"/>
      <c r="O513" s="113"/>
      <c r="P513" s="113"/>
      <c r="Q513" s="131"/>
      <c r="R513" s="131"/>
      <c r="S513" s="64"/>
      <c r="T513" s="113"/>
      <c r="U513" s="113"/>
      <c r="V513" s="113"/>
      <c r="W513" s="131"/>
      <c r="X513" s="131"/>
      <c r="Y513" s="11"/>
      <c r="Z513" s="113"/>
      <c r="AA513" s="113"/>
      <c r="AB513" s="113"/>
      <c r="AC513" s="52"/>
      <c r="AD513" s="52"/>
      <c r="AE513" s="11"/>
      <c r="AF513" s="118"/>
      <c r="AG513" s="144"/>
      <c r="AH513" s="113"/>
      <c r="AI513" s="11"/>
      <c r="AJ513" s="11"/>
      <c r="AK513" s="39"/>
      <c r="AL513" s="113"/>
      <c r="AM513" s="113"/>
      <c r="AN513" s="117"/>
      <c r="AO513" s="76"/>
      <c r="AP513" s="39"/>
      <c r="AQ513" s="39"/>
      <c r="AR513" s="275"/>
      <c r="AS513" s="275"/>
      <c r="AT513" s="275"/>
      <c r="AU513" s="62"/>
      <c r="AV513" s="62"/>
      <c r="AW513" s="11"/>
      <c r="AX513" s="116"/>
      <c r="AY513" s="116"/>
      <c r="AZ513" s="143"/>
      <c r="BA513" s="191"/>
      <c r="BB513" s="132"/>
      <c r="BC513" s="132"/>
      <c r="BD513" s="274"/>
      <c r="BE513" s="143"/>
      <c r="BF513" s="143"/>
      <c r="BG513" s="132"/>
      <c r="BH513" s="132"/>
      <c r="BI513" s="132"/>
      <c r="BJ513" s="143"/>
      <c r="BK513" s="143"/>
      <c r="BL513" s="143"/>
      <c r="BM513" s="132"/>
      <c r="BN513" s="132"/>
      <c r="BO513" s="132"/>
      <c r="BP513" s="143"/>
      <c r="BQ513" s="132"/>
      <c r="BR513" s="132"/>
      <c r="BS513" s="132"/>
      <c r="BT513" s="132"/>
      <c r="BU513" s="132"/>
      <c r="BV513" s="263">
        <v>1104500</v>
      </c>
      <c r="BW513" s="144">
        <f t="shared" si="125"/>
        <v>209855</v>
      </c>
      <c r="BX513" s="113">
        <f t="shared" si="124"/>
        <v>1314355</v>
      </c>
      <c r="BY513" s="264" t="s">
        <v>337</v>
      </c>
      <c r="BZ513" s="264" t="s">
        <v>88</v>
      </c>
      <c r="CA513" s="132"/>
      <c r="CB513" s="274"/>
      <c r="CC513" s="144"/>
      <c r="CD513" s="274"/>
      <c r="CE513" s="132"/>
      <c r="CF513" s="132"/>
      <c r="CG513" s="36"/>
      <c r="CH513" s="263">
        <v>1170770</v>
      </c>
      <c r="CI513" s="265">
        <f>+CH513*0.19</f>
        <v>222446.3</v>
      </c>
      <c r="CJ513" s="263">
        <f>+CH513+CI513</f>
        <v>1393216.3</v>
      </c>
      <c r="CK513" s="264" t="s">
        <v>337</v>
      </c>
      <c r="CL513" s="264" t="s">
        <v>88</v>
      </c>
      <c r="CM513" s="132"/>
      <c r="CN513" s="274"/>
      <c r="CO513" s="144"/>
      <c r="CP513" s="274"/>
      <c r="CQ513" s="132"/>
      <c r="CR513" s="132"/>
      <c r="CS513" s="132"/>
      <c r="CT513" s="274"/>
      <c r="CU513" s="144"/>
      <c r="CV513" s="274"/>
      <c r="CW513" s="132"/>
      <c r="CX513" s="132"/>
      <c r="CY513" s="132"/>
      <c r="CZ513" s="118"/>
      <c r="DA513" s="144"/>
      <c r="DB513" s="118"/>
      <c r="DC513" s="33"/>
      <c r="DD513" s="39"/>
      <c r="DE513" s="11"/>
      <c r="DF513" s="132"/>
      <c r="DG513" s="132"/>
      <c r="DH513" s="132"/>
      <c r="DI513" s="132"/>
      <c r="DJ513" s="132"/>
      <c r="DK513" s="132"/>
      <c r="DL513" s="132"/>
      <c r="DM513" s="132"/>
      <c r="DN513" s="132"/>
      <c r="DO513" s="132"/>
      <c r="DP513" s="132"/>
      <c r="DQ513" s="132"/>
      <c r="DR513" s="132"/>
      <c r="DS513" s="132"/>
      <c r="DT513" s="132"/>
      <c r="DU513" s="132"/>
      <c r="DV513" s="132"/>
      <c r="DW513" s="132"/>
      <c r="DX513" s="132"/>
      <c r="DY513" s="132"/>
      <c r="DZ513" s="132"/>
      <c r="EA513" s="132"/>
      <c r="EB513" s="132"/>
      <c r="EC513" s="132"/>
      <c r="ED513" s="132"/>
      <c r="EE513" s="132"/>
      <c r="EF513" s="132"/>
      <c r="EG513" s="132"/>
      <c r="EH513" s="132"/>
      <c r="EI513" s="132"/>
      <c r="EJ513" s="132"/>
      <c r="EK513" s="132"/>
      <c r="EL513" s="132"/>
      <c r="EM513" s="132"/>
      <c r="EN513" s="132"/>
      <c r="EO513" s="132"/>
      <c r="EP513" s="132"/>
      <c r="EQ513" s="132"/>
      <c r="ER513" s="132"/>
      <c r="ES513" s="132"/>
      <c r="ET513" s="11"/>
      <c r="EU513" s="11"/>
      <c r="EV513" s="11"/>
      <c r="EW513" s="11"/>
      <c r="EX513" s="11"/>
      <c r="EY513" s="11"/>
      <c r="EZ513" s="11"/>
      <c r="FA513" s="11"/>
      <c r="FB513" s="11"/>
      <c r="FC513" s="11"/>
      <c r="FD513" s="11"/>
      <c r="FE513" s="11"/>
      <c r="FF513" s="11"/>
      <c r="FG513" s="11"/>
      <c r="FH513" s="39">
        <f t="shared" si="114"/>
        <v>2707571.3</v>
      </c>
      <c r="FI513" s="33">
        <f t="shared" si="115"/>
        <v>2</v>
      </c>
      <c r="FJ513" s="84">
        <f t="shared" si="116"/>
        <v>1353785.65</v>
      </c>
    </row>
    <row r="514" spans="1:166" ht="13.5" x14ac:dyDescent="0.25">
      <c r="A514" s="79" t="e">
        <f>#REF!</f>
        <v>#REF!</v>
      </c>
      <c r="B514" s="75" t="e">
        <f>#REF!</f>
        <v>#REF!</v>
      </c>
      <c r="C514" s="75" t="e">
        <f>#REF!</f>
        <v>#REF!</v>
      </c>
      <c r="D514" s="75" t="e">
        <f>#REF!</f>
        <v>#REF!</v>
      </c>
      <c r="E514" s="30">
        <v>1</v>
      </c>
      <c r="F514" s="238">
        <v>0</v>
      </c>
      <c r="G514" s="241">
        <v>0</v>
      </c>
      <c r="H514" s="249">
        <v>0</v>
      </c>
      <c r="I514" s="249">
        <v>0</v>
      </c>
      <c r="J514" s="249">
        <v>1444001.5333333332</v>
      </c>
      <c r="K514" s="249">
        <v>0</v>
      </c>
      <c r="L514" s="274">
        <f>J514</f>
        <v>1444001.5333333332</v>
      </c>
      <c r="M514" s="274"/>
      <c r="N514" s="245"/>
      <c r="O514" s="113"/>
      <c r="P514" s="113"/>
      <c r="Q514" s="114"/>
      <c r="R514" s="114"/>
      <c r="S514" s="126"/>
      <c r="T514" s="113"/>
      <c r="U514" s="113"/>
      <c r="V514" s="113"/>
      <c r="W514" s="9"/>
      <c r="X514" s="9"/>
      <c r="Y514" s="11"/>
      <c r="Z514" s="113"/>
      <c r="AA514" s="113"/>
      <c r="AB514" s="113"/>
      <c r="AC514" s="52"/>
      <c r="AD514" s="52"/>
      <c r="AE514" s="11"/>
      <c r="AF514" s="118"/>
      <c r="AG514" s="144"/>
      <c r="AH514" s="113"/>
      <c r="AI514" s="11"/>
      <c r="AJ514" s="11"/>
      <c r="AK514" s="11"/>
      <c r="AL514" s="113"/>
      <c r="AM514" s="113"/>
      <c r="AN514" s="113"/>
      <c r="AO514" s="76"/>
      <c r="AP514" s="11"/>
      <c r="AQ514" s="11"/>
      <c r="AR514" s="275"/>
      <c r="AS514" s="275"/>
      <c r="AT514" s="275"/>
      <c r="AU514" s="62"/>
      <c r="AV514" s="48"/>
      <c r="AW514" s="11"/>
      <c r="AX514" s="275"/>
      <c r="AY514" s="275"/>
      <c r="AZ514" s="275"/>
      <c r="BA514" s="11"/>
      <c r="BB514" s="11"/>
      <c r="BC514" s="11"/>
      <c r="BD514" s="274"/>
      <c r="BE514" s="143"/>
      <c r="BF514" s="143"/>
      <c r="BG514" s="132"/>
      <c r="BH514" s="11"/>
      <c r="BI514" s="132"/>
      <c r="BJ514" s="143"/>
      <c r="BK514" s="143"/>
      <c r="BL514" s="143"/>
      <c r="BM514" s="132"/>
      <c r="BN514" s="132"/>
      <c r="BO514" s="132"/>
      <c r="BP514" s="143"/>
      <c r="BQ514" s="132"/>
      <c r="BR514" s="132"/>
      <c r="BS514" s="132"/>
      <c r="BT514" s="132"/>
      <c r="BU514" s="132"/>
      <c r="BV514" s="263">
        <v>2209000</v>
      </c>
      <c r="BW514" s="144">
        <f t="shared" si="125"/>
        <v>419710</v>
      </c>
      <c r="BX514" s="113">
        <f t="shared" si="124"/>
        <v>2628710</v>
      </c>
      <c r="BY514" s="264" t="s">
        <v>337</v>
      </c>
      <c r="BZ514" s="264" t="s">
        <v>88</v>
      </c>
      <c r="CA514" s="132"/>
      <c r="CB514" s="274"/>
      <c r="CC514" s="144"/>
      <c r="CD514" s="274"/>
      <c r="CE514" s="132"/>
      <c r="CF514" s="132"/>
      <c r="CG514" s="36"/>
      <c r="CH514" s="263">
        <v>2231090</v>
      </c>
      <c r="CI514" s="265">
        <f>+CH514*0.19</f>
        <v>423907.1</v>
      </c>
      <c r="CJ514" s="263">
        <f>+CH514+CI514</f>
        <v>2654997.1</v>
      </c>
      <c r="CK514" s="264" t="s">
        <v>337</v>
      </c>
      <c r="CL514" s="264" t="s">
        <v>88</v>
      </c>
      <c r="CM514" s="11"/>
      <c r="CN514" s="274"/>
      <c r="CO514" s="144"/>
      <c r="CP514" s="274"/>
      <c r="CQ514" s="9"/>
      <c r="CR514" s="9"/>
      <c r="CS514" s="13"/>
      <c r="CT514" s="274"/>
      <c r="CU514" s="144"/>
      <c r="CV514" s="274"/>
      <c r="CW514" s="132"/>
      <c r="CX514" s="132"/>
      <c r="CY514" s="132"/>
      <c r="CZ514" s="118"/>
      <c r="DA514" s="144"/>
      <c r="DB514" s="118"/>
      <c r="DC514" s="33"/>
      <c r="DD514" s="39"/>
      <c r="DE514" s="11"/>
      <c r="DF514" s="132"/>
      <c r="DG514" s="132"/>
      <c r="DH514" s="132"/>
      <c r="DI514" s="132"/>
      <c r="DJ514" s="132"/>
      <c r="DK514" s="132"/>
      <c r="DL514" s="132"/>
      <c r="DM514" s="132"/>
      <c r="DN514" s="132"/>
      <c r="DO514" s="132"/>
      <c r="DP514" s="132"/>
      <c r="DQ514" s="132"/>
      <c r="DR514" s="132"/>
      <c r="DS514" s="132"/>
      <c r="DT514" s="132"/>
      <c r="DU514" s="132"/>
      <c r="DV514" s="132"/>
      <c r="DW514" s="132"/>
      <c r="DX514" s="132"/>
      <c r="DY514" s="132"/>
      <c r="DZ514" s="132"/>
      <c r="EA514" s="132"/>
      <c r="EB514" s="132"/>
      <c r="EC514" s="132"/>
      <c r="ED514" s="132"/>
      <c r="EE514" s="132"/>
      <c r="EF514" s="132"/>
      <c r="EG514" s="132"/>
      <c r="EH514" s="132"/>
      <c r="EI514" s="132"/>
      <c r="EJ514" s="132"/>
      <c r="EK514" s="132"/>
      <c r="EL514" s="132"/>
      <c r="EM514" s="132"/>
      <c r="EN514" s="132"/>
      <c r="EO514" s="132"/>
      <c r="EP514" s="132"/>
      <c r="EQ514" s="132"/>
      <c r="ER514" s="132"/>
      <c r="ES514" s="132"/>
      <c r="ET514" s="11"/>
      <c r="EU514" s="11"/>
      <c r="EV514" s="11"/>
      <c r="EW514" s="11"/>
      <c r="EX514" s="11"/>
      <c r="EY514" s="11"/>
      <c r="EZ514" s="11"/>
      <c r="FA514" s="11"/>
      <c r="FB514" s="11"/>
      <c r="FC514" s="11"/>
      <c r="FD514" s="11"/>
      <c r="FE514" s="11"/>
      <c r="FF514" s="11"/>
      <c r="FG514" s="11"/>
      <c r="FH514" s="39">
        <f t="shared" si="114"/>
        <v>5283707.0999999996</v>
      </c>
      <c r="FI514" s="33">
        <f t="shared" si="115"/>
        <v>2</v>
      </c>
      <c r="FJ514" s="84">
        <f t="shared" si="116"/>
        <v>2641853.5499999998</v>
      </c>
    </row>
    <row r="515" spans="1:166" x14ac:dyDescent="0.25">
      <c r="A515" s="79" t="e">
        <f>#REF!</f>
        <v>#REF!</v>
      </c>
      <c r="B515" s="75" t="e">
        <f>#REF!</f>
        <v>#REF!</v>
      </c>
      <c r="C515" s="75" t="e">
        <f>#REF!</f>
        <v>#REF!</v>
      </c>
      <c r="D515" s="75" t="e">
        <f>#REF!</f>
        <v>#REF!</v>
      </c>
      <c r="E515" s="30">
        <v>1</v>
      </c>
      <c r="F515" s="238">
        <v>99960</v>
      </c>
      <c r="G515" s="241">
        <v>0</v>
      </c>
      <c r="H515" s="249">
        <v>0</v>
      </c>
      <c r="I515" s="249">
        <v>0</v>
      </c>
      <c r="J515" s="249">
        <v>0</v>
      </c>
      <c r="K515" s="249">
        <v>0</v>
      </c>
      <c r="L515" s="274">
        <f>F515</f>
        <v>99960</v>
      </c>
      <c r="M515" s="274"/>
      <c r="N515" s="245"/>
      <c r="O515" s="113"/>
      <c r="P515" s="113"/>
      <c r="Q515" s="131"/>
      <c r="R515" s="131"/>
      <c r="S515" s="64"/>
      <c r="T515" s="113">
        <f>4500*30</f>
        <v>135000</v>
      </c>
      <c r="U515" s="113">
        <f>+T515*0</f>
        <v>0</v>
      </c>
      <c r="V515" s="113">
        <f>+T515+U515</f>
        <v>135000</v>
      </c>
      <c r="W515" s="130" t="s">
        <v>440</v>
      </c>
      <c r="X515" s="131" t="s">
        <v>138</v>
      </c>
      <c r="Y515" s="11"/>
      <c r="Z515" s="113"/>
      <c r="AA515" s="113"/>
      <c r="AB515" s="113"/>
      <c r="AC515" s="52"/>
      <c r="AD515" s="52"/>
      <c r="AE515" s="11"/>
      <c r="AF515" s="118"/>
      <c r="AG515" s="144"/>
      <c r="AH515" s="113"/>
      <c r="AI515" s="11"/>
      <c r="AJ515" s="11"/>
      <c r="AK515" s="39"/>
      <c r="AL515" s="113"/>
      <c r="AM515" s="113"/>
      <c r="AN515" s="117"/>
      <c r="AO515" s="76"/>
      <c r="AP515" s="39"/>
      <c r="AQ515" s="39"/>
      <c r="AR515" s="275">
        <f>3500*30</f>
        <v>105000</v>
      </c>
      <c r="AS515" s="143">
        <f>+AR515*0.19</f>
        <v>19950</v>
      </c>
      <c r="AT515" s="116">
        <f>+AR515+AS515</f>
        <v>124950</v>
      </c>
      <c r="AU515" s="62" t="s">
        <v>441</v>
      </c>
      <c r="AV515" s="62" t="s">
        <v>220</v>
      </c>
      <c r="AW515" s="11"/>
      <c r="AX515" s="116"/>
      <c r="AY515" s="194"/>
      <c r="AZ515" s="143"/>
      <c r="BA515" s="191"/>
      <c r="BB515" s="132"/>
      <c r="BC515" s="132"/>
      <c r="BD515" s="274"/>
      <c r="BE515" s="143"/>
      <c r="BF515" s="143"/>
      <c r="BG515" s="132"/>
      <c r="BH515" s="132"/>
      <c r="BI515" s="132"/>
      <c r="BJ515" s="143"/>
      <c r="BK515" s="143"/>
      <c r="BL515" s="143"/>
      <c r="BM515" s="132"/>
      <c r="BN515" s="132"/>
      <c r="BO515" s="132"/>
      <c r="BP515" s="143"/>
      <c r="BQ515" s="132"/>
      <c r="BR515" s="132"/>
      <c r="BS515" s="132"/>
      <c r="BT515" s="132"/>
      <c r="BU515" s="132"/>
      <c r="BV515" s="210"/>
      <c r="BW515" s="144"/>
      <c r="BX515" s="113"/>
      <c r="BY515" s="273"/>
      <c r="BZ515" s="273"/>
      <c r="CA515" s="132"/>
      <c r="CB515" s="274">
        <v>285600</v>
      </c>
      <c r="CC515" s="144">
        <f>+CB515*19%</f>
        <v>54264</v>
      </c>
      <c r="CD515" s="274">
        <f>+CC515+CB515</f>
        <v>339864</v>
      </c>
      <c r="CE515" s="132"/>
      <c r="CF515" s="132"/>
      <c r="CG515" s="36"/>
      <c r="CH515" s="210"/>
      <c r="CI515" s="219"/>
      <c r="CJ515" s="210"/>
      <c r="CK515" s="273"/>
      <c r="CL515" s="273"/>
      <c r="CM515" s="132"/>
      <c r="CN515" s="274"/>
      <c r="CO515" s="144"/>
      <c r="CP515" s="274"/>
      <c r="CQ515" s="132"/>
      <c r="CR515" s="132"/>
      <c r="CS515" s="132"/>
      <c r="CT515" s="274"/>
      <c r="CU515" s="144"/>
      <c r="CV515" s="274"/>
      <c r="CW515" s="132"/>
      <c r="CX515" s="132"/>
      <c r="CY515" s="132"/>
      <c r="CZ515" s="118"/>
      <c r="DA515" s="144"/>
      <c r="DB515" s="118"/>
      <c r="DC515" s="33"/>
      <c r="DD515" s="39"/>
      <c r="DE515" s="11"/>
      <c r="DF515" s="132"/>
      <c r="DG515" s="132"/>
      <c r="DH515" s="132"/>
      <c r="DI515" s="132"/>
      <c r="DJ515" s="132"/>
      <c r="DK515" s="132"/>
      <c r="DL515" s="132"/>
      <c r="DM515" s="132"/>
      <c r="DN515" s="132"/>
      <c r="DO515" s="132"/>
      <c r="DP515" s="132"/>
      <c r="DQ515" s="132"/>
      <c r="DR515" s="132"/>
      <c r="DS515" s="132"/>
      <c r="DT515" s="132"/>
      <c r="DU515" s="132"/>
      <c r="DV515" s="132"/>
      <c r="DW515" s="132"/>
      <c r="DX515" s="132"/>
      <c r="DY515" s="132"/>
      <c r="DZ515" s="132"/>
      <c r="EA515" s="132"/>
      <c r="EB515" s="132"/>
      <c r="EC515" s="132"/>
      <c r="ED515" s="132"/>
      <c r="EE515" s="132"/>
      <c r="EF515" s="132"/>
      <c r="EG515" s="37"/>
      <c r="EH515" s="37"/>
      <c r="EI515" s="38"/>
      <c r="EJ515" s="132"/>
      <c r="EK515" s="132"/>
      <c r="EL515" s="132"/>
      <c r="EM515" s="132"/>
      <c r="EN515" s="132"/>
      <c r="EO515" s="132"/>
      <c r="EP515" s="132"/>
      <c r="EQ515" s="132"/>
      <c r="ER515" s="132"/>
      <c r="ES515" s="132"/>
      <c r="ET515" s="11"/>
      <c r="EU515" s="11"/>
      <c r="EV515" s="11"/>
      <c r="EW515" s="11"/>
      <c r="EX515" s="11"/>
      <c r="EY515" s="11"/>
      <c r="EZ515" s="11"/>
      <c r="FA515" s="11"/>
      <c r="FB515" s="11"/>
      <c r="FC515" s="11"/>
      <c r="FD515" s="11"/>
      <c r="FE515" s="11"/>
      <c r="FF515" s="11"/>
      <c r="FG515" s="11"/>
      <c r="FH515" s="39">
        <f t="shared" ref="FH515:FH578" si="126">SUM(M515,P515,V515,AB515,AH515,AN515,AT515,AZ515,BF515,BL515,BR515,BX515,CD515,CJ515,CP515,CV515,DB515,DH515,DN515,DT515,DZ515,EF515,EL515,ER515,EX515,FD515)</f>
        <v>599814</v>
      </c>
      <c r="FI515" s="33">
        <f t="shared" ref="FI515:FI578" si="127">COUNTA(M515,N515,T515,Z515,AF515,AL515,AR515,AX515,BD515,BJ515,BP515,BV515,CB515,CH515,CN515,CT515,CZ515,DF515,DL515,DR515,DX515,ED515,EJ515,EP515,EV515,FB515)</f>
        <v>3</v>
      </c>
      <c r="FJ515" s="84">
        <f t="shared" ref="FJ515:FJ578" si="128">IFERROR(FH515/FI515," ")</f>
        <v>199938</v>
      </c>
    </row>
    <row r="516" spans="1:166" ht="13.5" x14ac:dyDescent="0.25">
      <c r="A516" s="79" t="e">
        <f>#REF!</f>
        <v>#REF!</v>
      </c>
      <c r="B516" s="75" t="e">
        <f>#REF!</f>
        <v>#REF!</v>
      </c>
      <c r="C516" s="75" t="e">
        <f>#REF!</f>
        <v>#REF!</v>
      </c>
      <c r="D516" s="75" t="e">
        <f>#REF!</f>
        <v>#REF!</v>
      </c>
      <c r="E516" s="30">
        <v>1</v>
      </c>
      <c r="F516" s="238">
        <v>0</v>
      </c>
      <c r="G516" s="241">
        <v>0</v>
      </c>
      <c r="H516" s="249">
        <v>1305850.6666666667</v>
      </c>
      <c r="I516" s="249">
        <v>0</v>
      </c>
      <c r="J516" s="249">
        <v>0</v>
      </c>
      <c r="K516" s="249">
        <v>0</v>
      </c>
      <c r="L516" s="274">
        <f>H516</f>
        <v>1305850.6666666667</v>
      </c>
      <c r="M516" s="274"/>
      <c r="N516" s="245"/>
      <c r="O516" s="113"/>
      <c r="P516" s="113"/>
      <c r="Q516" s="131"/>
      <c r="R516" s="131"/>
      <c r="S516" s="64"/>
      <c r="T516" s="113"/>
      <c r="U516" s="117"/>
      <c r="V516" s="113"/>
      <c r="W516" s="131"/>
      <c r="X516" s="131"/>
      <c r="Y516" s="11"/>
      <c r="Z516" s="113"/>
      <c r="AA516" s="113"/>
      <c r="AB516" s="113"/>
      <c r="AC516" s="52"/>
      <c r="AD516" s="52"/>
      <c r="AE516" s="11"/>
      <c r="AF516" s="118"/>
      <c r="AG516" s="144"/>
      <c r="AH516" s="113"/>
      <c r="AI516" s="11"/>
      <c r="AJ516" s="11"/>
      <c r="AK516" s="39"/>
      <c r="AL516" s="113">
        <v>998000</v>
      </c>
      <c r="AM516" s="113">
        <f>+AL516*0.19</f>
        <v>189620</v>
      </c>
      <c r="AN516" s="119">
        <f>+AL516+AM516</f>
        <v>1187620</v>
      </c>
      <c r="AO516" s="76" t="s">
        <v>333</v>
      </c>
      <c r="AP516" s="39" t="s">
        <v>45</v>
      </c>
      <c r="AQ516" s="39"/>
      <c r="AR516" s="275">
        <v>231260</v>
      </c>
      <c r="AS516" s="143">
        <f>+AR516*0.19</f>
        <v>43939.4</v>
      </c>
      <c r="AT516" s="116">
        <f>+AR516+AS516</f>
        <v>275199.40000000002</v>
      </c>
      <c r="AU516" s="62" t="s">
        <v>442</v>
      </c>
      <c r="AV516" s="48" t="s">
        <v>45</v>
      </c>
      <c r="AW516" s="11"/>
      <c r="AX516" s="116"/>
      <c r="AY516" s="116"/>
      <c r="AZ516" s="143"/>
      <c r="BA516" s="191"/>
      <c r="BB516" s="132"/>
      <c r="BC516" s="132"/>
      <c r="BD516" s="274"/>
      <c r="BE516" s="143"/>
      <c r="BF516" s="143"/>
      <c r="BG516" s="132"/>
      <c r="BH516" s="132"/>
      <c r="BI516" s="132"/>
      <c r="BJ516" s="143"/>
      <c r="BK516" s="143"/>
      <c r="BL516" s="143"/>
      <c r="BM516" s="132"/>
      <c r="BN516" s="132"/>
      <c r="BO516" s="132"/>
      <c r="BP516" s="143"/>
      <c r="BQ516" s="132"/>
      <c r="BR516" s="132"/>
      <c r="BS516" s="132"/>
      <c r="BT516" s="132"/>
      <c r="BU516" s="132"/>
      <c r="BV516" s="263">
        <v>446600</v>
      </c>
      <c r="BW516" s="144">
        <f t="shared" ref="BW516:BW521" si="129">BV516*19%</f>
        <v>84854</v>
      </c>
      <c r="BX516" s="113">
        <f t="shared" ref="BX516:BX521" si="130">+BV516+BW516</f>
        <v>531454</v>
      </c>
      <c r="BY516" s="264" t="s">
        <v>329</v>
      </c>
      <c r="BZ516" s="264" t="s">
        <v>88</v>
      </c>
      <c r="CA516" s="132"/>
      <c r="CB516" s="274"/>
      <c r="CC516" s="144"/>
      <c r="CD516" s="274"/>
      <c r="CE516" s="132"/>
      <c r="CF516" s="132"/>
      <c r="CG516" s="36"/>
      <c r="CH516" s="263">
        <v>477862</v>
      </c>
      <c r="CI516" s="265">
        <f>+CH516*0.19</f>
        <v>90793.78</v>
      </c>
      <c r="CJ516" s="263">
        <f>+CH516+CI516</f>
        <v>568655.78</v>
      </c>
      <c r="CK516" s="264" t="s">
        <v>329</v>
      </c>
      <c r="CL516" s="264" t="s">
        <v>88</v>
      </c>
      <c r="CM516" s="132"/>
      <c r="CN516" s="274"/>
      <c r="CO516" s="144"/>
      <c r="CP516" s="274"/>
      <c r="CQ516" s="132"/>
      <c r="CR516" s="132"/>
      <c r="CS516" s="132"/>
      <c r="CT516" s="274"/>
      <c r="CU516" s="144"/>
      <c r="CV516" s="274"/>
      <c r="CW516" s="132"/>
      <c r="CX516" s="132"/>
      <c r="CY516" s="132"/>
      <c r="CZ516" s="118"/>
      <c r="DA516" s="144"/>
      <c r="DB516" s="118"/>
      <c r="DC516" s="33"/>
      <c r="DD516" s="39"/>
      <c r="DE516" s="11"/>
      <c r="DF516" s="132"/>
      <c r="DG516" s="132"/>
      <c r="DH516" s="132"/>
      <c r="DI516" s="132"/>
      <c r="DJ516" s="132"/>
      <c r="DK516" s="132"/>
      <c r="DL516" s="132"/>
      <c r="DM516" s="132"/>
      <c r="DN516" s="132"/>
      <c r="DO516" s="132"/>
      <c r="DP516" s="132"/>
      <c r="DQ516" s="132"/>
      <c r="DR516" s="132"/>
      <c r="DS516" s="132"/>
      <c r="DT516" s="132"/>
      <c r="DU516" s="132"/>
      <c r="DV516" s="132"/>
      <c r="DW516" s="132"/>
      <c r="DX516" s="132"/>
      <c r="DY516" s="132"/>
      <c r="DZ516" s="132"/>
      <c r="EA516" s="132"/>
      <c r="EB516" s="132"/>
      <c r="EC516" s="132"/>
      <c r="ED516" s="132"/>
      <c r="EE516" s="132"/>
      <c r="EF516" s="132"/>
      <c r="EG516" s="132"/>
      <c r="EH516" s="132"/>
      <c r="EI516" s="132"/>
      <c r="EJ516" s="132"/>
      <c r="EK516" s="132"/>
      <c r="EL516" s="132"/>
      <c r="EM516" s="132"/>
      <c r="EN516" s="132"/>
      <c r="EO516" s="132"/>
      <c r="EP516" s="132"/>
      <c r="EQ516" s="132"/>
      <c r="ER516" s="132"/>
      <c r="ES516" s="132"/>
      <c r="ET516" s="11"/>
      <c r="EU516" s="11"/>
      <c r="EV516" s="11"/>
      <c r="EW516" s="11"/>
      <c r="EX516" s="11"/>
      <c r="EY516" s="11"/>
      <c r="EZ516" s="11"/>
      <c r="FA516" s="11"/>
      <c r="FB516" s="11"/>
      <c r="FC516" s="11"/>
      <c r="FD516" s="11"/>
      <c r="FE516" s="11"/>
      <c r="FF516" s="11"/>
      <c r="FG516" s="11"/>
      <c r="FH516" s="39">
        <f t="shared" si="126"/>
        <v>2562929.1799999997</v>
      </c>
      <c r="FI516" s="33">
        <f t="shared" si="127"/>
        <v>4</v>
      </c>
      <c r="FJ516" s="84">
        <f t="shared" si="128"/>
        <v>640732.29499999993</v>
      </c>
    </row>
    <row r="517" spans="1:166" ht="13.5" x14ac:dyDescent="0.25">
      <c r="A517" s="79" t="e">
        <f>#REF!</f>
        <v>#REF!</v>
      </c>
      <c r="B517" s="75" t="e">
        <f>#REF!</f>
        <v>#REF!</v>
      </c>
      <c r="C517" s="75" t="e">
        <f>#REF!</f>
        <v>#REF!</v>
      </c>
      <c r="D517" s="75" t="e">
        <f>#REF!</f>
        <v>#REF!</v>
      </c>
      <c r="E517" s="30">
        <v>1</v>
      </c>
      <c r="F517" s="238">
        <v>0</v>
      </c>
      <c r="G517" s="241">
        <v>0</v>
      </c>
      <c r="H517" s="249">
        <v>1956300.5</v>
      </c>
      <c r="I517" s="249">
        <v>0</v>
      </c>
      <c r="J517" s="249">
        <v>2005745</v>
      </c>
      <c r="K517" s="249">
        <v>2005150</v>
      </c>
      <c r="L517" s="274">
        <f>AVERAGE(H517,J517)</f>
        <v>1981022.75</v>
      </c>
      <c r="M517" s="274">
        <f>K517*E1</f>
        <v>2065304.5</v>
      </c>
      <c r="N517" s="247">
        <v>917000</v>
      </c>
      <c r="O517" s="113">
        <f>+N517*0.19</f>
        <v>174230</v>
      </c>
      <c r="P517" s="113">
        <f>+O517+N517</f>
        <v>1091230</v>
      </c>
      <c r="Q517" s="36" t="s">
        <v>127</v>
      </c>
      <c r="R517" s="132" t="s">
        <v>128</v>
      </c>
      <c r="S517" s="64" t="s">
        <v>216</v>
      </c>
      <c r="T517" s="113"/>
      <c r="U517" s="113"/>
      <c r="V517" s="113"/>
      <c r="W517" s="131"/>
      <c r="X517" s="131"/>
      <c r="Y517" s="11"/>
      <c r="Z517" s="113"/>
      <c r="AA517" s="113"/>
      <c r="AB517" s="113"/>
      <c r="AC517" s="52"/>
      <c r="AD517" s="52"/>
      <c r="AE517" s="11"/>
      <c r="AF517" s="118"/>
      <c r="AG517" s="144"/>
      <c r="AH517" s="113"/>
      <c r="AI517" s="11"/>
      <c r="AJ517" s="11"/>
      <c r="AK517" s="39"/>
      <c r="AL517" s="113"/>
      <c r="AM517" s="113"/>
      <c r="AN517" s="119"/>
      <c r="AO517" s="76"/>
      <c r="AP517" s="39"/>
      <c r="AQ517" s="39"/>
      <c r="AR517" s="275"/>
      <c r="AS517" s="275"/>
      <c r="AT517" s="275"/>
      <c r="AU517" s="62"/>
      <c r="AV517" s="62"/>
      <c r="AW517" s="11"/>
      <c r="AX517" s="116"/>
      <c r="AY517" s="196"/>
      <c r="AZ517" s="143"/>
      <c r="BA517" s="191"/>
      <c r="BB517" s="132"/>
      <c r="BC517" s="132"/>
      <c r="BD517" s="274"/>
      <c r="BE517" s="143"/>
      <c r="BF517" s="143"/>
      <c r="BG517" s="132"/>
      <c r="BH517" s="132"/>
      <c r="BI517" s="132"/>
      <c r="BJ517" s="143"/>
      <c r="BK517" s="143"/>
      <c r="BL517" s="143"/>
      <c r="BM517" s="132"/>
      <c r="BN517" s="132"/>
      <c r="BO517" s="132"/>
      <c r="BP517" s="143"/>
      <c r="BQ517" s="132"/>
      <c r="BR517" s="132"/>
      <c r="BS517" s="132"/>
      <c r="BT517" s="132"/>
      <c r="BU517" s="132"/>
      <c r="BV517" s="263">
        <v>1834000</v>
      </c>
      <c r="BW517" s="144">
        <f t="shared" si="129"/>
        <v>348460</v>
      </c>
      <c r="BX517" s="113">
        <f t="shared" si="130"/>
        <v>2182460</v>
      </c>
      <c r="BY517" s="264" t="s">
        <v>231</v>
      </c>
      <c r="BZ517" s="264" t="s">
        <v>128</v>
      </c>
      <c r="CA517" s="132"/>
      <c r="CB517" s="274"/>
      <c r="CC517" s="144"/>
      <c r="CD517" s="274"/>
      <c r="CE517" s="132"/>
      <c r="CF517" s="132"/>
      <c r="CG517" s="36"/>
      <c r="CH517" s="263"/>
      <c r="CI517" s="265"/>
      <c r="CJ517" s="263"/>
      <c r="CK517" s="264"/>
      <c r="CL517" s="264"/>
      <c r="CM517" s="132"/>
      <c r="CN517" s="274"/>
      <c r="CO517" s="144"/>
      <c r="CP517" s="274"/>
      <c r="CQ517" s="132"/>
      <c r="CR517" s="132"/>
      <c r="CS517" s="132"/>
      <c r="CT517" s="274"/>
      <c r="CU517" s="144"/>
      <c r="CV517" s="274"/>
      <c r="CW517" s="132"/>
      <c r="CX517" s="132"/>
      <c r="CY517" s="132"/>
      <c r="CZ517" s="118"/>
      <c r="DA517" s="144"/>
      <c r="DB517" s="118"/>
      <c r="DC517" s="33"/>
      <c r="DD517" s="39"/>
      <c r="DE517" s="11"/>
      <c r="DF517" s="132"/>
      <c r="DG517" s="132"/>
      <c r="DH517" s="132"/>
      <c r="DI517" s="132"/>
      <c r="DJ517" s="132"/>
      <c r="DK517" s="132"/>
      <c r="DL517" s="132"/>
      <c r="DM517" s="132"/>
      <c r="DN517" s="132"/>
      <c r="DO517" s="132"/>
      <c r="DP517" s="132"/>
      <c r="DQ517" s="132"/>
      <c r="DR517" s="132"/>
      <c r="DS517" s="132"/>
      <c r="DT517" s="132"/>
      <c r="DU517" s="132"/>
      <c r="DV517" s="132"/>
      <c r="DW517" s="132"/>
      <c r="DX517" s="132"/>
      <c r="DY517" s="132"/>
      <c r="DZ517" s="132"/>
      <c r="EA517" s="132"/>
      <c r="EB517" s="132"/>
      <c r="EC517" s="132"/>
      <c r="ED517" s="132"/>
      <c r="EE517" s="132"/>
      <c r="EF517" s="132"/>
      <c r="EG517" s="132"/>
      <c r="EH517" s="132"/>
      <c r="EI517" s="132"/>
      <c r="EJ517" s="132"/>
      <c r="EK517" s="132"/>
      <c r="EL517" s="132"/>
      <c r="EM517" s="132"/>
      <c r="EN517" s="132"/>
      <c r="EO517" s="132"/>
      <c r="EP517" s="132"/>
      <c r="EQ517" s="132"/>
      <c r="ER517" s="132"/>
      <c r="ES517" s="132"/>
      <c r="ET517" s="11"/>
      <c r="EU517" s="11"/>
      <c r="EV517" s="11"/>
      <c r="EW517" s="11"/>
      <c r="EX517" s="11"/>
      <c r="EY517" s="11"/>
      <c r="EZ517" s="11"/>
      <c r="FA517" s="11"/>
      <c r="FB517" s="11"/>
      <c r="FC517" s="11"/>
      <c r="FD517" s="11"/>
      <c r="FE517" s="11"/>
      <c r="FF517" s="11"/>
      <c r="FG517" s="11"/>
      <c r="FH517" s="39">
        <f t="shared" si="126"/>
        <v>5338994.5</v>
      </c>
      <c r="FI517" s="33">
        <f t="shared" si="127"/>
        <v>3</v>
      </c>
      <c r="FJ517" s="84">
        <f t="shared" si="128"/>
        <v>1779664.8333333333</v>
      </c>
    </row>
    <row r="518" spans="1:166" ht="63.75" x14ac:dyDescent="0.25">
      <c r="A518" s="79" t="e">
        <f>#REF!</f>
        <v>#REF!</v>
      </c>
      <c r="B518" s="75" t="e">
        <f>#REF!</f>
        <v>#REF!</v>
      </c>
      <c r="C518" s="75" t="e">
        <f>#REF!</f>
        <v>#REF!</v>
      </c>
      <c r="D518" s="75" t="e">
        <f>#REF!</f>
        <v>#REF!</v>
      </c>
      <c r="E518" s="30">
        <v>1</v>
      </c>
      <c r="F518" s="238">
        <v>0</v>
      </c>
      <c r="G518" s="241">
        <v>0</v>
      </c>
      <c r="H518" s="249">
        <v>1607690</v>
      </c>
      <c r="I518" s="249">
        <v>0</v>
      </c>
      <c r="J518" s="249">
        <v>0</v>
      </c>
      <c r="K518" s="249">
        <v>0</v>
      </c>
      <c r="L518" s="274">
        <f>H518</f>
        <v>1607690</v>
      </c>
      <c r="M518" s="274"/>
      <c r="N518" s="245"/>
      <c r="O518" s="113"/>
      <c r="P518" s="113"/>
      <c r="Q518" s="52"/>
      <c r="R518" s="52"/>
      <c r="S518" s="5"/>
      <c r="T518" s="113"/>
      <c r="U518" s="113"/>
      <c r="V518" s="113"/>
      <c r="W518" s="11"/>
      <c r="X518" s="11"/>
      <c r="Y518" s="11"/>
      <c r="Z518" s="113"/>
      <c r="AA518" s="113"/>
      <c r="AB518" s="113"/>
      <c r="AC518" s="52"/>
      <c r="AD518" s="52"/>
      <c r="AE518" s="11"/>
      <c r="AF518" s="118"/>
      <c r="AG518" s="144"/>
      <c r="AH518" s="113"/>
      <c r="AI518" s="11"/>
      <c r="AJ518" s="11"/>
      <c r="AK518" s="11"/>
      <c r="AL518" s="113"/>
      <c r="AM518" s="113"/>
      <c r="AN518" s="113"/>
      <c r="AO518" s="76"/>
      <c r="AP518" s="11"/>
      <c r="AQ518" s="11"/>
      <c r="AR518" s="275">
        <v>451785</v>
      </c>
      <c r="AS518" s="143">
        <f>+AR518*0.19</f>
        <v>85839.15</v>
      </c>
      <c r="AT518" s="116">
        <f>+AR518+AS518</f>
        <v>537624.15</v>
      </c>
      <c r="AU518" s="48" t="s">
        <v>443</v>
      </c>
      <c r="AV518" s="48" t="s">
        <v>444</v>
      </c>
      <c r="AW518" s="11"/>
      <c r="AX518" s="198"/>
      <c r="AY518" s="198"/>
      <c r="AZ518" s="199"/>
      <c r="BA518" s="6"/>
      <c r="BB518" s="6"/>
      <c r="BC518" s="11"/>
      <c r="BD518" s="274"/>
      <c r="BE518" s="143"/>
      <c r="BF518" s="143"/>
      <c r="BG518" s="132"/>
      <c r="BH518" s="11"/>
      <c r="BI518" s="132"/>
      <c r="BJ518" s="143"/>
      <c r="BK518" s="143"/>
      <c r="BL518" s="143"/>
      <c r="BM518" s="132"/>
      <c r="BN518" s="132"/>
      <c r="BO518" s="132"/>
      <c r="BP518" s="143">
        <v>350200</v>
      </c>
      <c r="BQ518" s="144">
        <f>BP518*19%</f>
        <v>66538</v>
      </c>
      <c r="BR518" s="113">
        <f>+BP518+BQ518</f>
        <v>416738</v>
      </c>
      <c r="BS518" s="205" t="s">
        <v>445</v>
      </c>
      <c r="BT518" s="36" t="s">
        <v>446</v>
      </c>
      <c r="BU518" s="5" t="s">
        <v>447</v>
      </c>
      <c r="BV518" s="263">
        <v>1111000</v>
      </c>
      <c r="BW518" s="144">
        <f t="shared" si="129"/>
        <v>211090</v>
      </c>
      <c r="BX518" s="113">
        <f t="shared" si="130"/>
        <v>1322090</v>
      </c>
      <c r="BY518" s="264" t="s">
        <v>309</v>
      </c>
      <c r="BZ518" s="264" t="s">
        <v>88</v>
      </c>
      <c r="CA518" s="132"/>
      <c r="CB518" s="274"/>
      <c r="CC518" s="144"/>
      <c r="CD518" s="274"/>
      <c r="CE518" s="132"/>
      <c r="CF518" s="132"/>
      <c r="CG518" s="36"/>
      <c r="CH518" s="263">
        <v>1177660</v>
      </c>
      <c r="CI518" s="265">
        <f>+CH518*0.19</f>
        <v>223755.4</v>
      </c>
      <c r="CJ518" s="263">
        <f>+CH518+CI518</f>
        <v>1401415.4</v>
      </c>
      <c r="CK518" s="264" t="s">
        <v>309</v>
      </c>
      <c r="CL518" s="264" t="s">
        <v>88</v>
      </c>
      <c r="CM518" s="132"/>
      <c r="CN518" s="274"/>
      <c r="CO518" s="144"/>
      <c r="CP518" s="274"/>
      <c r="CQ518" s="132"/>
      <c r="CR518" s="132"/>
      <c r="CS518" s="132"/>
      <c r="CT518" s="274"/>
      <c r="CU518" s="144"/>
      <c r="CV518" s="274"/>
      <c r="CW518" s="132"/>
      <c r="CX518" s="132"/>
      <c r="CY518" s="132"/>
      <c r="CZ518" s="118"/>
      <c r="DA518" s="144"/>
      <c r="DB518" s="118"/>
      <c r="DC518" s="33"/>
      <c r="DD518" s="39"/>
      <c r="DE518" s="11"/>
      <c r="DF518" s="132"/>
      <c r="DG518" s="132"/>
      <c r="DH518" s="132"/>
      <c r="DI518" s="132"/>
      <c r="DJ518" s="132"/>
      <c r="DK518" s="132"/>
      <c r="DL518" s="132"/>
      <c r="DM518" s="132"/>
      <c r="DN518" s="132"/>
      <c r="DO518" s="132"/>
      <c r="DP518" s="132"/>
      <c r="DQ518" s="132"/>
      <c r="DR518" s="132"/>
      <c r="DS518" s="132"/>
      <c r="DT518" s="132"/>
      <c r="DU518" s="132"/>
      <c r="DV518" s="132"/>
      <c r="DW518" s="132"/>
      <c r="DX518" s="132"/>
      <c r="DY518" s="132"/>
      <c r="DZ518" s="132"/>
      <c r="EA518" s="132"/>
      <c r="EB518" s="132"/>
      <c r="EC518" s="132"/>
      <c r="ED518" s="132"/>
      <c r="EE518" s="132"/>
      <c r="EF518" s="132"/>
      <c r="EG518" s="132"/>
      <c r="EH518" s="132"/>
      <c r="EI518" s="132"/>
      <c r="EJ518" s="132"/>
      <c r="EK518" s="132"/>
      <c r="EL518" s="132"/>
      <c r="EM518" s="132"/>
      <c r="EN518" s="132"/>
      <c r="EO518" s="132"/>
      <c r="EP518" s="132"/>
      <c r="EQ518" s="132"/>
      <c r="ER518" s="132"/>
      <c r="ES518" s="132"/>
      <c r="ET518" s="11"/>
      <c r="EU518" s="11"/>
      <c r="EV518" s="11"/>
      <c r="EW518" s="11"/>
      <c r="EX518" s="11"/>
      <c r="EY518" s="11"/>
      <c r="EZ518" s="11"/>
      <c r="FA518" s="11"/>
      <c r="FB518" s="11"/>
      <c r="FC518" s="11"/>
      <c r="FD518" s="11"/>
      <c r="FE518" s="11"/>
      <c r="FF518" s="11"/>
      <c r="FG518" s="11"/>
      <c r="FH518" s="39">
        <f t="shared" si="126"/>
        <v>3677867.55</v>
      </c>
      <c r="FI518" s="33">
        <f t="shared" si="127"/>
        <v>4</v>
      </c>
      <c r="FJ518" s="84">
        <f t="shared" si="128"/>
        <v>919466.88749999995</v>
      </c>
    </row>
    <row r="519" spans="1:166" ht="81" x14ac:dyDescent="0.25">
      <c r="A519" s="79" t="e">
        <f>#REF!</f>
        <v>#REF!</v>
      </c>
      <c r="B519" s="75" t="e">
        <f>#REF!</f>
        <v>#REF!</v>
      </c>
      <c r="C519" s="75" t="e">
        <f>#REF!</f>
        <v>#REF!</v>
      </c>
      <c r="D519" s="75" t="e">
        <f>#REF!</f>
        <v>#REF!</v>
      </c>
      <c r="E519" s="30">
        <v>1</v>
      </c>
      <c r="F519" s="238">
        <v>0</v>
      </c>
      <c r="G519" s="241">
        <v>0</v>
      </c>
      <c r="H519" s="249">
        <v>1406580</v>
      </c>
      <c r="I519" s="249">
        <v>1404200</v>
      </c>
      <c r="J519" s="249">
        <v>1093985.3663243002</v>
      </c>
      <c r="K519" s="249">
        <v>1088850</v>
      </c>
      <c r="L519" s="274">
        <f>AVERAGE(H519,J519)</f>
        <v>1250282.68316215</v>
      </c>
      <c r="M519" s="274">
        <f>AVERAGE(I519,K519)*E1</f>
        <v>1283920.75</v>
      </c>
      <c r="N519" s="245"/>
      <c r="O519" s="113"/>
      <c r="P519" s="113"/>
      <c r="Q519" s="131"/>
      <c r="R519" s="131"/>
      <c r="S519" s="64"/>
      <c r="T519" s="113"/>
      <c r="U519" s="113"/>
      <c r="V519" s="113"/>
      <c r="W519" s="131"/>
      <c r="X519" s="131"/>
      <c r="Y519" s="11"/>
      <c r="Z519" s="113"/>
      <c r="AA519" s="113"/>
      <c r="AB519" s="113"/>
      <c r="AC519" s="52"/>
      <c r="AD519" s="52"/>
      <c r="AE519" s="11"/>
      <c r="AF519" s="118"/>
      <c r="AG519" s="144"/>
      <c r="AH519" s="113"/>
      <c r="AI519" s="11"/>
      <c r="AJ519" s="11"/>
      <c r="AK519" s="39"/>
      <c r="AL519" s="113"/>
      <c r="AM519" s="113"/>
      <c r="AN519" s="117"/>
      <c r="AO519" s="76"/>
      <c r="AP519" s="39"/>
      <c r="AQ519" s="39"/>
      <c r="AR519" s="275"/>
      <c r="AS519" s="275"/>
      <c r="AT519" s="275"/>
      <c r="AU519" s="48"/>
      <c r="AV519" s="62"/>
      <c r="AW519" s="11"/>
      <c r="AX519" s="116"/>
      <c r="AY519" s="116"/>
      <c r="AZ519" s="143"/>
      <c r="BA519" s="191"/>
      <c r="BB519" s="132"/>
      <c r="BC519" s="132"/>
      <c r="BD519" s="274"/>
      <c r="BE519" s="143"/>
      <c r="BF519" s="143"/>
      <c r="BG519" s="132"/>
      <c r="BH519" s="132"/>
      <c r="BI519" s="132"/>
      <c r="BJ519" s="143"/>
      <c r="BK519" s="143"/>
      <c r="BL519" s="143"/>
      <c r="BM519" s="132"/>
      <c r="BN519" s="132"/>
      <c r="BO519" s="132"/>
      <c r="BP519" s="143">
        <v>996428</v>
      </c>
      <c r="BQ519" s="144">
        <f>BP519*19%</f>
        <v>189321.32</v>
      </c>
      <c r="BR519" s="113">
        <f>+BP519+BQ519</f>
        <v>1185749.32</v>
      </c>
      <c r="BS519" s="33" t="s">
        <v>370</v>
      </c>
      <c r="BT519" s="36" t="s">
        <v>448</v>
      </c>
      <c r="BU519" s="5" t="s">
        <v>449</v>
      </c>
      <c r="BV519" s="263">
        <v>1615000</v>
      </c>
      <c r="BW519" s="144">
        <f t="shared" si="129"/>
        <v>306850</v>
      </c>
      <c r="BX519" s="113">
        <f t="shared" si="130"/>
        <v>1921850</v>
      </c>
      <c r="BY519" s="264" t="s">
        <v>214</v>
      </c>
      <c r="BZ519" s="264" t="s">
        <v>450</v>
      </c>
      <c r="CA519" s="132"/>
      <c r="CB519" s="274"/>
      <c r="CC519" s="144"/>
      <c r="CD519" s="274"/>
      <c r="CE519" s="132"/>
      <c r="CF519" s="132"/>
      <c r="CG519" s="36"/>
      <c r="CH519" s="263"/>
      <c r="CI519" s="265"/>
      <c r="CJ519" s="263"/>
      <c r="CK519" s="264"/>
      <c r="CL519" s="264"/>
      <c r="CM519" s="132"/>
      <c r="CN519" s="274"/>
      <c r="CO519" s="144"/>
      <c r="CP519" s="274"/>
      <c r="CQ519" s="132"/>
      <c r="CR519" s="132"/>
      <c r="CS519" s="132"/>
      <c r="CT519" s="274"/>
      <c r="CU519" s="144"/>
      <c r="CV519" s="274"/>
      <c r="CW519" s="132"/>
      <c r="CX519" s="132"/>
      <c r="CY519" s="132"/>
      <c r="CZ519" s="118"/>
      <c r="DA519" s="144"/>
      <c r="DB519" s="118"/>
      <c r="DC519" s="33"/>
      <c r="DD519" s="39"/>
      <c r="DE519" s="11"/>
      <c r="DF519" s="132"/>
      <c r="DG519" s="132"/>
      <c r="DH519" s="132"/>
      <c r="DI519" s="132"/>
      <c r="DJ519" s="132"/>
      <c r="DK519" s="132"/>
      <c r="DL519" s="132"/>
      <c r="DM519" s="132"/>
      <c r="DN519" s="132"/>
      <c r="DO519" s="132"/>
      <c r="DP519" s="132"/>
      <c r="DQ519" s="132"/>
      <c r="DR519" s="132"/>
      <c r="DS519" s="132"/>
      <c r="DT519" s="132"/>
      <c r="DU519" s="132"/>
      <c r="DV519" s="132"/>
      <c r="DW519" s="132"/>
      <c r="DX519" s="132"/>
      <c r="DY519" s="132"/>
      <c r="DZ519" s="132"/>
      <c r="EA519" s="132"/>
      <c r="EB519" s="132"/>
      <c r="EC519" s="132"/>
      <c r="ED519" s="132"/>
      <c r="EE519" s="132"/>
      <c r="EF519" s="132"/>
      <c r="EG519" s="132"/>
      <c r="EH519" s="132"/>
      <c r="EI519" s="132"/>
      <c r="EJ519" s="132"/>
      <c r="EK519" s="132"/>
      <c r="EL519" s="132"/>
      <c r="EM519" s="132"/>
      <c r="EN519" s="132"/>
      <c r="EO519" s="132"/>
      <c r="EP519" s="132"/>
      <c r="EQ519" s="132"/>
      <c r="ER519" s="132"/>
      <c r="ES519" s="132"/>
      <c r="ET519" s="11"/>
      <c r="EU519" s="11"/>
      <c r="EV519" s="11"/>
      <c r="EW519" s="11"/>
      <c r="EX519" s="11"/>
      <c r="EY519" s="11"/>
      <c r="EZ519" s="11"/>
      <c r="FA519" s="11"/>
      <c r="FB519" s="11"/>
      <c r="FC519" s="11"/>
      <c r="FD519" s="11"/>
      <c r="FE519" s="11"/>
      <c r="FF519" s="11"/>
      <c r="FG519" s="11"/>
      <c r="FH519" s="39">
        <f t="shared" si="126"/>
        <v>4391520.07</v>
      </c>
      <c r="FI519" s="33">
        <f t="shared" si="127"/>
        <v>3</v>
      </c>
      <c r="FJ519" s="84">
        <f t="shared" si="128"/>
        <v>1463840.0233333334</v>
      </c>
    </row>
    <row r="520" spans="1:166" ht="27" x14ac:dyDescent="0.25">
      <c r="A520" s="79" t="e">
        <f>#REF!</f>
        <v>#REF!</v>
      </c>
      <c r="B520" s="75" t="e">
        <f>#REF!</f>
        <v>#REF!</v>
      </c>
      <c r="C520" s="75" t="e">
        <f>#REF!</f>
        <v>#REF!</v>
      </c>
      <c r="D520" s="75" t="e">
        <f>#REF!</f>
        <v>#REF!</v>
      </c>
      <c r="E520" s="30">
        <v>1</v>
      </c>
      <c r="F520" s="238">
        <v>0</v>
      </c>
      <c r="G520" s="241">
        <v>0</v>
      </c>
      <c r="H520" s="249">
        <v>225159.9</v>
      </c>
      <c r="I520" s="249">
        <v>0</v>
      </c>
      <c r="J520" s="249">
        <v>0</v>
      </c>
      <c r="K520" s="249">
        <v>0</v>
      </c>
      <c r="L520" s="274">
        <f>H520</f>
        <v>225159.9</v>
      </c>
      <c r="M520" s="274"/>
      <c r="N520" s="245"/>
      <c r="O520" s="113"/>
      <c r="P520" s="113"/>
      <c r="Q520" s="131"/>
      <c r="R520" s="131"/>
      <c r="S520" s="64"/>
      <c r="T520" s="113"/>
      <c r="U520" s="113"/>
      <c r="V520" s="113"/>
      <c r="W520" s="131"/>
      <c r="X520" s="131"/>
      <c r="Y520" s="11"/>
      <c r="Z520" s="113"/>
      <c r="AA520" s="113"/>
      <c r="AB520" s="113"/>
      <c r="AC520" s="52"/>
      <c r="AD520" s="52"/>
      <c r="AE520" s="11"/>
      <c r="AF520" s="118"/>
      <c r="AG520" s="144"/>
      <c r="AH520" s="113"/>
      <c r="AI520" s="11"/>
      <c r="AJ520" s="11"/>
      <c r="AK520" s="39"/>
      <c r="AL520" s="113"/>
      <c r="AM520" s="113"/>
      <c r="AN520" s="117"/>
      <c r="AO520" s="76"/>
      <c r="AP520" s="39"/>
      <c r="AQ520" s="39"/>
      <c r="AR520" s="275">
        <v>151200</v>
      </c>
      <c r="AS520" s="143">
        <f>+AR520*0.19</f>
        <v>28728</v>
      </c>
      <c r="AT520" s="116">
        <f>+AR520+AS520</f>
        <v>179928</v>
      </c>
      <c r="AU520" s="62" t="s">
        <v>109</v>
      </c>
      <c r="AV520" s="36" t="s">
        <v>35</v>
      </c>
      <c r="AW520" s="11"/>
      <c r="AX520" s="116"/>
      <c r="AY520" s="116"/>
      <c r="AZ520" s="143"/>
      <c r="BA520" s="191"/>
      <c r="BB520" s="132"/>
      <c r="BC520" s="132"/>
      <c r="BD520" s="274"/>
      <c r="BE520" s="143"/>
      <c r="BF520" s="143"/>
      <c r="BG520" s="132"/>
      <c r="BH520" s="132"/>
      <c r="BI520" s="132"/>
      <c r="BJ520" s="143"/>
      <c r="BK520" s="143"/>
      <c r="BL520" s="143"/>
      <c r="BM520" s="132"/>
      <c r="BN520" s="132"/>
      <c r="BO520" s="132"/>
      <c r="BP520" s="143"/>
      <c r="BQ520" s="132"/>
      <c r="BR520" s="132"/>
      <c r="BS520" s="132"/>
      <c r="BT520" s="132"/>
      <c r="BU520" s="132"/>
      <c r="BV520" s="263">
        <v>422300</v>
      </c>
      <c r="BW520" s="144">
        <f t="shared" si="129"/>
        <v>80237</v>
      </c>
      <c r="BX520" s="113">
        <f t="shared" si="130"/>
        <v>502537</v>
      </c>
      <c r="BY520" s="264" t="s">
        <v>410</v>
      </c>
      <c r="BZ520" s="264" t="s">
        <v>263</v>
      </c>
      <c r="CA520" s="132"/>
      <c r="CB520" s="274"/>
      <c r="CC520" s="144"/>
      <c r="CD520" s="274"/>
      <c r="CE520" s="132"/>
      <c r="CF520" s="132"/>
      <c r="CG520" s="36"/>
      <c r="CH520" s="263">
        <v>426523</v>
      </c>
      <c r="CI520" s="265">
        <f>+CH520*0.19</f>
        <v>81039.37</v>
      </c>
      <c r="CJ520" s="263">
        <f>+CH520+CI520</f>
        <v>507562.37</v>
      </c>
      <c r="CK520" s="264" t="s">
        <v>410</v>
      </c>
      <c r="CL520" s="264" t="s">
        <v>263</v>
      </c>
      <c r="CM520" s="132"/>
      <c r="CN520" s="274"/>
      <c r="CO520" s="144"/>
      <c r="CP520" s="274"/>
      <c r="CQ520" s="132"/>
      <c r="CR520" s="132"/>
      <c r="CS520" s="132"/>
      <c r="CT520" s="274"/>
      <c r="CU520" s="144"/>
      <c r="CV520" s="274"/>
      <c r="CW520" s="132"/>
      <c r="CX520" s="132"/>
      <c r="CY520" s="132"/>
      <c r="CZ520" s="118"/>
      <c r="DA520" s="144"/>
      <c r="DB520" s="118"/>
      <c r="DC520" s="33"/>
      <c r="DD520" s="39"/>
      <c r="DE520" s="11"/>
      <c r="DF520" s="132"/>
      <c r="DG520" s="132"/>
      <c r="DH520" s="132"/>
      <c r="DI520" s="132"/>
      <c r="DJ520" s="132"/>
      <c r="DK520" s="132"/>
      <c r="DL520" s="132"/>
      <c r="DM520" s="132"/>
      <c r="DN520" s="132"/>
      <c r="DO520" s="132"/>
      <c r="DP520" s="132"/>
      <c r="DQ520" s="132"/>
      <c r="DR520" s="132"/>
      <c r="DS520" s="132"/>
      <c r="DT520" s="132"/>
      <c r="DU520" s="132"/>
      <c r="DV520" s="132"/>
      <c r="DW520" s="132"/>
      <c r="DX520" s="132"/>
      <c r="DY520" s="132"/>
      <c r="DZ520" s="132"/>
      <c r="EA520" s="132"/>
      <c r="EB520" s="132"/>
      <c r="EC520" s="132"/>
      <c r="ED520" s="132"/>
      <c r="EE520" s="132"/>
      <c r="EF520" s="132"/>
      <c r="EG520" s="132"/>
      <c r="EH520" s="132"/>
      <c r="EI520" s="132"/>
      <c r="EJ520" s="132"/>
      <c r="EK520" s="132"/>
      <c r="EL520" s="132"/>
      <c r="EM520" s="132"/>
      <c r="EN520" s="132"/>
      <c r="EO520" s="132"/>
      <c r="EP520" s="132"/>
      <c r="EQ520" s="132"/>
      <c r="ER520" s="132"/>
      <c r="ES520" s="132"/>
      <c r="ET520" s="11"/>
      <c r="EU520" s="11"/>
      <c r="EV520" s="11"/>
      <c r="EW520" s="11"/>
      <c r="EX520" s="11"/>
      <c r="EY520" s="11"/>
      <c r="EZ520" s="11"/>
      <c r="FA520" s="11"/>
      <c r="FB520" s="11"/>
      <c r="FC520" s="11"/>
      <c r="FD520" s="11"/>
      <c r="FE520" s="11"/>
      <c r="FF520" s="11"/>
      <c r="FG520" s="11"/>
      <c r="FH520" s="39">
        <f t="shared" si="126"/>
        <v>1190027.3700000001</v>
      </c>
      <c r="FI520" s="33">
        <f t="shared" si="127"/>
        <v>3</v>
      </c>
      <c r="FJ520" s="84">
        <f t="shared" si="128"/>
        <v>396675.79000000004</v>
      </c>
    </row>
    <row r="521" spans="1:166" ht="27" x14ac:dyDescent="0.25">
      <c r="A521" s="79" t="e">
        <f>#REF!</f>
        <v>#REF!</v>
      </c>
      <c r="B521" s="75" t="e">
        <f>#REF!</f>
        <v>#REF!</v>
      </c>
      <c r="C521" s="75" t="e">
        <f>#REF!</f>
        <v>#REF!</v>
      </c>
      <c r="D521" s="75" t="e">
        <f>#REF!</f>
        <v>#REF!</v>
      </c>
      <c r="E521" s="30">
        <v>1</v>
      </c>
      <c r="F521" s="238">
        <v>0</v>
      </c>
      <c r="G521" s="241">
        <v>0</v>
      </c>
      <c r="H521" s="249">
        <v>0</v>
      </c>
      <c r="I521" s="249">
        <v>0</v>
      </c>
      <c r="J521" s="249">
        <v>0</v>
      </c>
      <c r="K521" s="249">
        <v>0</v>
      </c>
      <c r="L521" s="274"/>
      <c r="M521" s="274"/>
      <c r="N521" s="245"/>
      <c r="O521" s="113"/>
      <c r="P521" s="113"/>
      <c r="Q521" s="131"/>
      <c r="R521" s="131"/>
      <c r="S521" s="64"/>
      <c r="T521" s="113"/>
      <c r="U521" s="113"/>
      <c r="V521" s="113"/>
      <c r="W521" s="131"/>
      <c r="X521" s="131"/>
      <c r="Y521" s="52"/>
      <c r="Z521" s="117"/>
      <c r="AA521" s="113"/>
      <c r="AB521" s="113"/>
      <c r="AC521" s="131"/>
      <c r="AD521" s="52"/>
      <c r="AE521" s="11"/>
      <c r="AF521" s="118"/>
      <c r="AG521" s="144"/>
      <c r="AH521" s="113"/>
      <c r="AI521" s="11"/>
      <c r="AJ521" s="11"/>
      <c r="AK521" s="39"/>
      <c r="AL521" s="113"/>
      <c r="AM521" s="113"/>
      <c r="AN521" s="117"/>
      <c r="AO521" s="76"/>
      <c r="AP521" s="39"/>
      <c r="AQ521" s="39"/>
      <c r="AR521" s="275"/>
      <c r="AS521" s="275"/>
      <c r="AT521" s="156"/>
      <c r="AU521" s="62"/>
      <c r="AV521" s="62"/>
      <c r="AW521" s="39"/>
      <c r="AX521" s="116"/>
      <c r="AY521" s="116"/>
      <c r="AZ521" s="143"/>
      <c r="BA521" s="191"/>
      <c r="BB521" s="132"/>
      <c r="BC521" s="132"/>
      <c r="BD521" s="274"/>
      <c r="BE521" s="143"/>
      <c r="BF521" s="143"/>
      <c r="BG521" s="132"/>
      <c r="BH521" s="132"/>
      <c r="BI521" s="132"/>
      <c r="BJ521" s="143"/>
      <c r="BK521" s="143"/>
      <c r="BL521" s="143"/>
      <c r="BM521" s="132"/>
      <c r="BN521" s="132"/>
      <c r="BO521" s="132"/>
      <c r="BP521" s="143"/>
      <c r="BQ521" s="132"/>
      <c r="BR521" s="132"/>
      <c r="BS521" s="132"/>
      <c r="BT521" s="132"/>
      <c r="BU521" s="132"/>
      <c r="BV521" s="263">
        <v>4579800</v>
      </c>
      <c r="BW521" s="144">
        <f t="shared" si="129"/>
        <v>870162</v>
      </c>
      <c r="BX521" s="113">
        <f t="shared" si="130"/>
        <v>5449962</v>
      </c>
      <c r="BY521" s="264" t="s">
        <v>451</v>
      </c>
      <c r="BZ521" s="264" t="s">
        <v>452</v>
      </c>
      <c r="CA521" s="132"/>
      <c r="CB521" s="274"/>
      <c r="CC521" s="144"/>
      <c r="CD521" s="274"/>
      <c r="CE521" s="39"/>
      <c r="CF521" s="39"/>
      <c r="CG521" s="36"/>
      <c r="CH521" s="268">
        <v>4762992</v>
      </c>
      <c r="CI521" s="265">
        <f>+CH521*0.19</f>
        <v>904968.48</v>
      </c>
      <c r="CJ521" s="263">
        <f>+CH521+CI521</f>
        <v>5667960.4800000004</v>
      </c>
      <c r="CK521" s="264" t="s">
        <v>451</v>
      </c>
      <c r="CL521" s="264" t="s">
        <v>452</v>
      </c>
      <c r="CM521" s="132"/>
      <c r="CN521" s="274"/>
      <c r="CO521" s="144"/>
      <c r="CP521" s="274"/>
      <c r="CQ521" s="132"/>
      <c r="CR521" s="132"/>
      <c r="CS521" s="132"/>
      <c r="CT521" s="274"/>
      <c r="CU521" s="144"/>
      <c r="CV521" s="274"/>
      <c r="CW521" s="132"/>
      <c r="CX521" s="132"/>
      <c r="CY521" s="132"/>
      <c r="CZ521" s="118"/>
      <c r="DA521" s="144"/>
      <c r="DB521" s="118"/>
      <c r="DC521" s="33"/>
      <c r="DD521" s="39"/>
      <c r="DE521" s="11"/>
      <c r="DF521" s="132"/>
      <c r="DG521" s="132"/>
      <c r="DH521" s="132"/>
      <c r="DI521" s="132"/>
      <c r="DJ521" s="132"/>
      <c r="DK521" s="132"/>
      <c r="DL521" s="132"/>
      <c r="DM521" s="132"/>
      <c r="DN521" s="132"/>
      <c r="DO521" s="132"/>
      <c r="DP521" s="132"/>
      <c r="DQ521" s="132"/>
      <c r="DR521" s="132"/>
      <c r="DS521" s="132"/>
      <c r="DT521" s="132"/>
      <c r="DU521" s="132"/>
      <c r="DV521" s="132"/>
      <c r="DW521" s="132"/>
      <c r="DX521" s="132"/>
      <c r="DY521" s="132"/>
      <c r="DZ521" s="132"/>
      <c r="EA521" s="132"/>
      <c r="EB521" s="132"/>
      <c r="EC521" s="132"/>
      <c r="ED521" s="132"/>
      <c r="EE521" s="132"/>
      <c r="EF521" s="132"/>
      <c r="EG521" s="132"/>
      <c r="EH521" s="132"/>
      <c r="EI521" s="132"/>
      <c r="EJ521" s="132"/>
      <c r="EK521" s="132"/>
      <c r="EL521" s="132"/>
      <c r="EM521" s="132"/>
      <c r="EN521" s="132"/>
      <c r="EO521" s="132"/>
      <c r="EP521" s="132"/>
      <c r="EQ521" s="132"/>
      <c r="ER521" s="132"/>
      <c r="ES521" s="132"/>
      <c r="ET521" s="11"/>
      <c r="EU521" s="11"/>
      <c r="EV521" s="11"/>
      <c r="EW521" s="11"/>
      <c r="EX521" s="11"/>
      <c r="EY521" s="11"/>
      <c r="EZ521" s="11"/>
      <c r="FA521" s="11"/>
      <c r="FB521" s="11"/>
      <c r="FC521" s="11"/>
      <c r="FD521" s="11"/>
      <c r="FE521" s="11"/>
      <c r="FF521" s="11"/>
      <c r="FG521" s="11"/>
      <c r="FH521" s="39">
        <f t="shared" si="126"/>
        <v>11117922.48</v>
      </c>
      <c r="FI521" s="33">
        <f t="shared" si="127"/>
        <v>2</v>
      </c>
      <c r="FJ521" s="84">
        <f t="shared" si="128"/>
        <v>5558961.2400000002</v>
      </c>
    </row>
    <row r="522" spans="1:166" ht="25.5" x14ac:dyDescent="0.25">
      <c r="A522" s="79" t="e">
        <f>#REF!</f>
        <v>#REF!</v>
      </c>
      <c r="B522" s="75" t="e">
        <f>#REF!</f>
        <v>#REF!</v>
      </c>
      <c r="C522" s="75" t="e">
        <f>#REF!</f>
        <v>#REF!</v>
      </c>
      <c r="D522" s="75" t="e">
        <f>#REF!</f>
        <v>#REF!</v>
      </c>
      <c r="E522" s="30">
        <v>1</v>
      </c>
      <c r="F522" s="238">
        <v>1086192.3333333333</v>
      </c>
      <c r="G522" s="241">
        <v>744940</v>
      </c>
      <c r="H522" s="249">
        <v>1078107.7039950001</v>
      </c>
      <c r="I522" s="249">
        <v>621775</v>
      </c>
      <c r="J522" s="249">
        <v>0</v>
      </c>
      <c r="K522" s="249">
        <v>0</v>
      </c>
      <c r="L522" s="274">
        <f>AVERAGE(F522,H522)</f>
        <v>1082150.0186641668</v>
      </c>
      <c r="M522" s="274">
        <f>AVERAGE(G522,I522)*E1</f>
        <v>703858.22499999998</v>
      </c>
      <c r="N522" s="245"/>
      <c r="O522" s="113"/>
      <c r="P522" s="113"/>
      <c r="Q522" s="131"/>
      <c r="R522" s="131"/>
      <c r="S522" s="64"/>
      <c r="T522" s="113"/>
      <c r="U522" s="113"/>
      <c r="V522" s="113"/>
      <c r="W522" s="131"/>
      <c r="X522" s="131"/>
      <c r="Y522" s="11"/>
      <c r="Z522" s="113"/>
      <c r="AA522" s="113"/>
      <c r="AB522" s="113"/>
      <c r="AC522" s="52"/>
      <c r="AD522" s="52"/>
      <c r="AE522" s="11"/>
      <c r="AF522" s="118">
        <v>825000</v>
      </c>
      <c r="AG522" s="144">
        <f>AF522*19%</f>
        <v>156750</v>
      </c>
      <c r="AH522" s="113">
        <f>+AF522+AG522</f>
        <v>981750</v>
      </c>
      <c r="AI522" s="11"/>
      <c r="AJ522" s="11"/>
      <c r="AK522" s="39"/>
      <c r="AL522" s="113"/>
      <c r="AM522" s="113"/>
      <c r="AN522" s="147"/>
      <c r="AO522" s="76"/>
      <c r="AP522" s="39"/>
      <c r="AQ522" s="39"/>
      <c r="AR522" s="275">
        <v>2685600</v>
      </c>
      <c r="AS522" s="143">
        <f>+AR522*0.19</f>
        <v>510264</v>
      </c>
      <c r="AT522" s="116">
        <f>+AR522+AS522</f>
        <v>3195864</v>
      </c>
      <c r="AU522" s="62" t="s">
        <v>54</v>
      </c>
      <c r="AV522" s="36" t="s">
        <v>35</v>
      </c>
      <c r="AW522" s="11"/>
      <c r="AX522" s="116"/>
      <c r="AY522" s="116"/>
      <c r="AZ522" s="143"/>
      <c r="BA522" s="191"/>
      <c r="BB522" s="132"/>
      <c r="BC522" s="132"/>
      <c r="BD522" s="274"/>
      <c r="BE522" s="143"/>
      <c r="BF522" s="143"/>
      <c r="BG522" s="132"/>
      <c r="BH522" s="132"/>
      <c r="BI522" s="132"/>
      <c r="BJ522" s="143"/>
      <c r="BK522" s="143"/>
      <c r="BL522" s="143"/>
      <c r="BM522" s="132"/>
      <c r="BN522" s="132"/>
      <c r="BO522" s="132"/>
      <c r="BP522" s="143"/>
      <c r="BQ522" s="132"/>
      <c r="BR522" s="132"/>
      <c r="BS522" s="132"/>
      <c r="BT522" s="132"/>
      <c r="BU522" s="132"/>
      <c r="BV522" s="210"/>
      <c r="BW522" s="144"/>
      <c r="BX522" s="113"/>
      <c r="BY522" s="273"/>
      <c r="BZ522" s="273"/>
      <c r="CA522" s="132"/>
      <c r="CB522" s="274"/>
      <c r="CC522" s="144"/>
      <c r="CD522" s="274"/>
      <c r="CE522" s="132"/>
      <c r="CF522" s="132"/>
      <c r="CG522" s="36"/>
      <c r="CH522" s="210"/>
      <c r="CI522" s="219"/>
      <c r="CJ522" s="210"/>
      <c r="CK522" s="273"/>
      <c r="CL522" s="273"/>
      <c r="CM522" s="132"/>
      <c r="CN522" s="274"/>
      <c r="CO522" s="144"/>
      <c r="CP522" s="274"/>
      <c r="CQ522" s="132"/>
      <c r="CR522" s="132"/>
      <c r="CS522" s="132"/>
      <c r="CT522" s="274"/>
      <c r="CU522" s="144"/>
      <c r="CV522" s="274"/>
      <c r="CW522" s="132"/>
      <c r="CX522" s="132"/>
      <c r="CY522" s="132"/>
      <c r="CZ522" s="118"/>
      <c r="DA522" s="144"/>
      <c r="DB522" s="118"/>
      <c r="DC522" s="33"/>
      <c r="DD522" s="39"/>
      <c r="DE522" s="11"/>
      <c r="DF522" s="132"/>
      <c r="DG522" s="132"/>
      <c r="DH522" s="132"/>
      <c r="DI522" s="132"/>
      <c r="DJ522" s="132"/>
      <c r="DK522" s="132"/>
      <c r="DL522" s="132"/>
      <c r="DM522" s="132"/>
      <c r="DN522" s="132"/>
      <c r="DO522" s="132"/>
      <c r="DP522" s="132"/>
      <c r="DQ522" s="132"/>
      <c r="DR522" s="132"/>
      <c r="DS522" s="132"/>
      <c r="DT522" s="132"/>
      <c r="DU522" s="132"/>
      <c r="DV522" s="132"/>
      <c r="DW522" s="132"/>
      <c r="DX522" s="132"/>
      <c r="DY522" s="132"/>
      <c r="DZ522" s="132"/>
      <c r="EA522" s="132"/>
      <c r="EB522" s="132"/>
      <c r="EC522" s="132"/>
      <c r="ED522" s="132"/>
      <c r="EE522" s="132"/>
      <c r="EF522" s="132"/>
      <c r="EG522" s="132"/>
      <c r="EH522" s="132"/>
      <c r="EI522" s="132"/>
      <c r="EJ522" s="132"/>
      <c r="EK522" s="132"/>
      <c r="EL522" s="132"/>
      <c r="EM522" s="132"/>
      <c r="EN522" s="132"/>
      <c r="EO522" s="132"/>
      <c r="EP522" s="132"/>
      <c r="EQ522" s="132"/>
      <c r="ER522" s="132"/>
      <c r="ES522" s="132"/>
      <c r="ET522" s="11"/>
      <c r="EU522" s="11"/>
      <c r="EV522" s="11"/>
      <c r="EW522" s="11"/>
      <c r="EX522" s="11"/>
      <c r="EY522" s="11"/>
      <c r="EZ522" s="11"/>
      <c r="FA522" s="11"/>
      <c r="FB522" s="11"/>
      <c r="FC522" s="11"/>
      <c r="FD522" s="11"/>
      <c r="FE522" s="11"/>
      <c r="FF522" s="11"/>
      <c r="FG522" s="11"/>
      <c r="FH522" s="39">
        <f t="shared" si="126"/>
        <v>4881472.2249999996</v>
      </c>
      <c r="FI522" s="33">
        <f t="shared" si="127"/>
        <v>3</v>
      </c>
      <c r="FJ522" s="84">
        <f t="shared" si="128"/>
        <v>1627157.4083333332</v>
      </c>
    </row>
    <row r="523" spans="1:166" ht="27" x14ac:dyDescent="0.25">
      <c r="A523" s="79" t="e">
        <f>#REF!</f>
        <v>#REF!</v>
      </c>
      <c r="B523" s="75" t="e">
        <f>#REF!</f>
        <v>#REF!</v>
      </c>
      <c r="C523" s="75" t="e">
        <f>#REF!</f>
        <v>#REF!</v>
      </c>
      <c r="D523" s="75" t="e">
        <f>#REF!</f>
        <v>#REF!</v>
      </c>
      <c r="E523" s="30">
        <v>1</v>
      </c>
      <c r="F523" s="238">
        <v>0</v>
      </c>
      <c r="G523" s="241">
        <v>0</v>
      </c>
      <c r="H523" s="249">
        <v>0</v>
      </c>
      <c r="I523" s="249">
        <v>0</v>
      </c>
      <c r="J523" s="249">
        <v>676959.49855800008</v>
      </c>
      <c r="K523" s="249">
        <v>0</v>
      </c>
      <c r="L523" s="274">
        <f>J523</f>
        <v>676959.49855800008</v>
      </c>
      <c r="M523" s="274"/>
      <c r="N523" s="245"/>
      <c r="O523" s="113"/>
      <c r="P523" s="113"/>
      <c r="Q523" s="131"/>
      <c r="R523" s="131"/>
      <c r="S523" s="64"/>
      <c r="T523" s="113"/>
      <c r="U523" s="113"/>
      <c r="V523" s="113"/>
      <c r="W523" s="131"/>
      <c r="X523" s="131"/>
      <c r="Y523" s="11"/>
      <c r="Z523" s="113"/>
      <c r="AA523" s="113"/>
      <c r="AB523" s="113"/>
      <c r="AC523" s="52"/>
      <c r="AD523" s="52"/>
      <c r="AE523" s="11"/>
      <c r="AF523" s="118"/>
      <c r="AG523" s="144"/>
      <c r="AH523" s="113"/>
      <c r="AI523" s="11"/>
      <c r="AJ523" s="11"/>
      <c r="AK523" s="39"/>
      <c r="AL523" s="113"/>
      <c r="AM523" s="113"/>
      <c r="AN523" s="117"/>
      <c r="AO523" s="76"/>
      <c r="AP523" s="39"/>
      <c r="AQ523" s="39"/>
      <c r="AR523" s="275"/>
      <c r="AS523" s="275"/>
      <c r="AT523" s="275"/>
      <c r="AU523" s="48"/>
      <c r="AV523" s="62"/>
      <c r="AW523" s="11"/>
      <c r="AX523" s="116"/>
      <c r="AY523" s="116"/>
      <c r="AZ523" s="143"/>
      <c r="BA523" s="191"/>
      <c r="BB523" s="132"/>
      <c r="BC523" s="132"/>
      <c r="BD523" s="274"/>
      <c r="BE523" s="143"/>
      <c r="BF523" s="143"/>
      <c r="BG523" s="132"/>
      <c r="BH523" s="132"/>
      <c r="BI523" s="132"/>
      <c r="BJ523" s="143"/>
      <c r="BK523" s="143"/>
      <c r="BL523" s="143"/>
      <c r="BM523" s="132"/>
      <c r="BN523" s="132"/>
      <c r="BO523" s="132"/>
      <c r="BP523" s="143"/>
      <c r="BQ523" s="132"/>
      <c r="BR523" s="132"/>
      <c r="BS523" s="132"/>
      <c r="BT523" s="132"/>
      <c r="BU523" s="132"/>
      <c r="BV523" s="263">
        <v>1106000</v>
      </c>
      <c r="BW523" s="144">
        <f>BV523*19%</f>
        <v>210140</v>
      </c>
      <c r="BX523" s="113">
        <f>+BV523+BW523</f>
        <v>1316140</v>
      </c>
      <c r="BY523" s="264" t="s">
        <v>453</v>
      </c>
      <c r="BZ523" s="264" t="s">
        <v>263</v>
      </c>
      <c r="CA523" s="132"/>
      <c r="CB523" s="274"/>
      <c r="CC523" s="144"/>
      <c r="CD523" s="274"/>
      <c r="CE523" s="132"/>
      <c r="CF523" s="132"/>
      <c r="CG523" s="36"/>
      <c r="CH523" s="263">
        <v>1172360</v>
      </c>
      <c r="CI523" s="265">
        <f>+CH523*0.19</f>
        <v>222748.4</v>
      </c>
      <c r="CJ523" s="263">
        <f>+CH523+CI523</f>
        <v>1395108.4</v>
      </c>
      <c r="CK523" s="264" t="s">
        <v>453</v>
      </c>
      <c r="CL523" s="264" t="s">
        <v>263</v>
      </c>
      <c r="CM523" s="132"/>
      <c r="CN523" s="274"/>
      <c r="CO523" s="144"/>
      <c r="CP523" s="274"/>
      <c r="CQ523" s="132"/>
      <c r="CR523" s="132"/>
      <c r="CS523" s="132"/>
      <c r="CT523" s="144">
        <v>592500</v>
      </c>
      <c r="CU523" s="144">
        <f>+CT523*0</f>
        <v>0</v>
      </c>
      <c r="CV523" s="144">
        <f>CT523</f>
        <v>592500</v>
      </c>
      <c r="CW523" s="132"/>
      <c r="CX523" s="132"/>
      <c r="CY523" s="132"/>
      <c r="CZ523" s="118"/>
      <c r="DA523" s="144"/>
      <c r="DB523" s="118"/>
      <c r="DC523" s="33"/>
      <c r="DD523" s="39"/>
      <c r="DE523" s="11"/>
      <c r="DF523" s="132"/>
      <c r="DG523" s="132"/>
      <c r="DH523" s="132"/>
      <c r="DI523" s="132"/>
      <c r="DJ523" s="132"/>
      <c r="DK523" s="132"/>
      <c r="DL523" s="132"/>
      <c r="DM523" s="132"/>
      <c r="DN523" s="132"/>
      <c r="DO523" s="132"/>
      <c r="DP523" s="132"/>
      <c r="DQ523" s="132"/>
      <c r="DR523" s="132"/>
      <c r="DS523" s="132"/>
      <c r="DT523" s="132"/>
      <c r="DU523" s="132"/>
      <c r="DV523" s="132"/>
      <c r="DW523" s="132"/>
      <c r="DX523" s="132"/>
      <c r="DY523" s="132"/>
      <c r="DZ523" s="132"/>
      <c r="EA523" s="132"/>
      <c r="EB523" s="132"/>
      <c r="EC523" s="132"/>
      <c r="ED523" s="132"/>
      <c r="EE523" s="132"/>
      <c r="EF523" s="132"/>
      <c r="EG523" s="132"/>
      <c r="EH523" s="132"/>
      <c r="EI523" s="132"/>
      <c r="EJ523" s="132"/>
      <c r="EK523" s="132"/>
      <c r="EL523" s="132"/>
      <c r="EM523" s="132"/>
      <c r="EN523" s="132"/>
      <c r="EO523" s="132"/>
      <c r="EP523" s="132"/>
      <c r="EQ523" s="132"/>
      <c r="ER523" s="132"/>
      <c r="ES523" s="132"/>
      <c r="ET523" s="11"/>
      <c r="EU523" s="11"/>
      <c r="EV523" s="11"/>
      <c r="EW523" s="11"/>
      <c r="EX523" s="11"/>
      <c r="EY523" s="11"/>
      <c r="EZ523" s="11"/>
      <c r="FA523" s="11"/>
      <c r="FB523" s="11"/>
      <c r="FC523" s="11"/>
      <c r="FD523" s="11"/>
      <c r="FE523" s="11"/>
      <c r="FF523" s="11"/>
      <c r="FG523" s="11"/>
      <c r="FH523" s="39">
        <f t="shared" si="126"/>
        <v>3303748.4</v>
      </c>
      <c r="FI523" s="33">
        <f t="shared" si="127"/>
        <v>3</v>
      </c>
      <c r="FJ523" s="84">
        <f t="shared" si="128"/>
        <v>1101249.4666666666</v>
      </c>
    </row>
    <row r="524" spans="1:166" x14ac:dyDescent="0.25">
      <c r="A524" s="79" t="e">
        <f>#REF!</f>
        <v>#REF!</v>
      </c>
      <c r="B524" s="75" t="e">
        <f>#REF!</f>
        <v>#REF!</v>
      </c>
      <c r="C524" s="75" t="e">
        <f>#REF!</f>
        <v>#REF!</v>
      </c>
      <c r="D524" s="75" t="e">
        <f>#REF!</f>
        <v>#REF!</v>
      </c>
      <c r="E524" s="30">
        <v>1</v>
      </c>
      <c r="F524" s="238">
        <v>249900</v>
      </c>
      <c r="G524" s="241">
        <v>0</v>
      </c>
      <c r="H524" s="249">
        <v>0</v>
      </c>
      <c r="I524" s="249">
        <v>0</v>
      </c>
      <c r="J524" s="249">
        <v>354636.66</v>
      </c>
      <c r="K524" s="249">
        <v>0</v>
      </c>
      <c r="L524" s="274">
        <f>AVERAGE(F524,J524)</f>
        <v>302268.32999999996</v>
      </c>
      <c r="M524" s="274"/>
      <c r="N524" s="245"/>
      <c r="O524" s="113"/>
      <c r="P524" s="113"/>
      <c r="Q524" s="131"/>
      <c r="R524" s="131"/>
      <c r="S524" s="64"/>
      <c r="T524" s="113"/>
      <c r="U524" s="117"/>
      <c r="V524" s="113"/>
      <c r="W524" s="131"/>
      <c r="X524" s="131"/>
      <c r="Y524" s="11"/>
      <c r="Z524" s="113"/>
      <c r="AA524" s="113"/>
      <c r="AB524" s="113"/>
      <c r="AC524" s="52"/>
      <c r="AD524" s="52"/>
      <c r="AE524" s="11"/>
      <c r="AF524" s="118"/>
      <c r="AG524" s="144"/>
      <c r="AH524" s="113"/>
      <c r="AI524" s="11"/>
      <c r="AJ524" s="11"/>
      <c r="AK524" s="39"/>
      <c r="AL524" s="113"/>
      <c r="AM524" s="113"/>
      <c r="AN524" s="117"/>
      <c r="AO524" s="76"/>
      <c r="AP524" s="39"/>
      <c r="AQ524" s="39"/>
      <c r="AR524" s="275">
        <v>180986</v>
      </c>
      <c r="AS524" s="143">
        <f>+AR524*0.19</f>
        <v>34387.340000000004</v>
      </c>
      <c r="AT524" s="116">
        <f>+AR524+AS524</f>
        <v>215373.34</v>
      </c>
      <c r="AU524" s="62" t="s">
        <v>54</v>
      </c>
      <c r="AV524" s="62" t="s">
        <v>377</v>
      </c>
      <c r="AW524" s="11"/>
      <c r="AX524" s="116"/>
      <c r="AY524" s="194"/>
      <c r="AZ524" s="143"/>
      <c r="BA524" s="191"/>
      <c r="BB524" s="132"/>
      <c r="BC524" s="132"/>
      <c r="BD524" s="274"/>
      <c r="BE524" s="143"/>
      <c r="BF524" s="143"/>
      <c r="BG524" s="132"/>
      <c r="BH524" s="132"/>
      <c r="BI524" s="132"/>
      <c r="BJ524" s="143"/>
      <c r="BK524" s="143"/>
      <c r="BL524" s="143"/>
      <c r="BM524" s="132"/>
      <c r="BN524" s="132"/>
      <c r="BO524" s="132"/>
      <c r="BP524" s="143"/>
      <c r="BQ524" s="132"/>
      <c r="BR524" s="132"/>
      <c r="BS524" s="132"/>
      <c r="BT524" s="132"/>
      <c r="BU524" s="132"/>
      <c r="BV524" s="210"/>
      <c r="BW524" s="144"/>
      <c r="BX524" s="113"/>
      <c r="BY524" s="273"/>
      <c r="BZ524" s="273"/>
      <c r="CA524" s="132"/>
      <c r="CB524" s="274"/>
      <c r="CC524" s="144"/>
      <c r="CD524" s="274"/>
      <c r="CE524" s="132"/>
      <c r="CF524" s="132"/>
      <c r="CG524" s="36"/>
      <c r="CH524" s="210"/>
      <c r="CI524" s="219"/>
      <c r="CJ524" s="210"/>
      <c r="CK524" s="273"/>
      <c r="CL524" s="273"/>
      <c r="CM524" s="132"/>
      <c r="CN524" s="274"/>
      <c r="CO524" s="144"/>
      <c r="CP524" s="274"/>
      <c r="CQ524" s="132"/>
      <c r="CR524" s="132"/>
      <c r="CS524" s="132"/>
      <c r="CT524" s="274"/>
      <c r="CU524" s="144"/>
      <c r="CV524" s="274"/>
      <c r="CW524" s="132"/>
      <c r="CX524" s="132"/>
      <c r="CY524" s="132"/>
      <c r="CZ524" s="118"/>
      <c r="DA524" s="144"/>
      <c r="DB524" s="118"/>
      <c r="DC524" s="33"/>
      <c r="DD524" s="39"/>
      <c r="DE524" s="11"/>
      <c r="DF524" s="132"/>
      <c r="DG524" s="132"/>
      <c r="DH524" s="132"/>
      <c r="DI524" s="132"/>
      <c r="DJ524" s="132"/>
      <c r="DK524" s="132"/>
      <c r="DL524" s="132"/>
      <c r="DM524" s="132"/>
      <c r="DN524" s="132"/>
      <c r="DO524" s="132"/>
      <c r="DP524" s="132"/>
      <c r="DQ524" s="132"/>
      <c r="DR524" s="132"/>
      <c r="DS524" s="132"/>
      <c r="DT524" s="132"/>
      <c r="DU524" s="132"/>
      <c r="DV524" s="132"/>
      <c r="DW524" s="132"/>
      <c r="DX524" s="132"/>
      <c r="DY524" s="132"/>
      <c r="DZ524" s="132"/>
      <c r="EA524" s="132"/>
      <c r="EB524" s="132"/>
      <c r="EC524" s="132"/>
      <c r="ED524" s="132"/>
      <c r="EE524" s="132"/>
      <c r="EF524" s="132"/>
      <c r="EG524" s="132"/>
      <c r="EH524" s="132"/>
      <c r="EI524" s="132"/>
      <c r="EJ524" s="132"/>
      <c r="EK524" s="132"/>
      <c r="EL524" s="132"/>
      <c r="EM524" s="132"/>
      <c r="EN524" s="132"/>
      <c r="EO524" s="132"/>
      <c r="EP524" s="132"/>
      <c r="EQ524" s="132"/>
      <c r="ER524" s="132"/>
      <c r="ES524" s="132"/>
      <c r="ET524" s="11"/>
      <c r="EU524" s="11"/>
      <c r="EV524" s="11"/>
      <c r="EW524" s="11"/>
      <c r="EX524" s="11"/>
      <c r="EY524" s="11"/>
      <c r="EZ524" s="11"/>
      <c r="FA524" s="11"/>
      <c r="FB524" s="11"/>
      <c r="FC524" s="11"/>
      <c r="FD524" s="11"/>
      <c r="FE524" s="11"/>
      <c r="FF524" s="11"/>
      <c r="FG524" s="11"/>
      <c r="FH524" s="39">
        <f t="shared" si="126"/>
        <v>215373.34</v>
      </c>
      <c r="FI524" s="33">
        <f t="shared" si="127"/>
        <v>1</v>
      </c>
      <c r="FJ524" s="84">
        <f t="shared" si="128"/>
        <v>215373.34</v>
      </c>
    </row>
    <row r="525" spans="1:166" ht="13.5" x14ac:dyDescent="0.25">
      <c r="A525" s="79" t="e">
        <f>#REF!</f>
        <v>#REF!</v>
      </c>
      <c r="B525" s="75" t="e">
        <f>#REF!</f>
        <v>#REF!</v>
      </c>
      <c r="C525" s="75" t="e">
        <f>#REF!</f>
        <v>#REF!</v>
      </c>
      <c r="D525" s="75" t="e">
        <f>#REF!</f>
        <v>#REF!</v>
      </c>
      <c r="E525" s="30">
        <v>1</v>
      </c>
      <c r="F525" s="238">
        <v>162673</v>
      </c>
      <c r="G525" s="241">
        <v>160174</v>
      </c>
      <c r="H525" s="249">
        <v>146331.78065</v>
      </c>
      <c r="I525" s="249">
        <v>146251</v>
      </c>
      <c r="J525" s="249">
        <v>169244.894</v>
      </c>
      <c r="K525" s="249">
        <v>0</v>
      </c>
      <c r="L525" s="274">
        <f>AVERAGE(F525,H525,J525)</f>
        <v>159416.55821666666</v>
      </c>
      <c r="M525" s="274">
        <f>AVERAGE(G525,I525)*E1</f>
        <v>157808.875</v>
      </c>
      <c r="N525" s="245"/>
      <c r="O525" s="113"/>
      <c r="P525" s="113"/>
      <c r="Q525" s="131"/>
      <c r="R525" s="131"/>
      <c r="S525" s="64"/>
      <c r="T525" s="113"/>
      <c r="U525" s="113"/>
      <c r="V525" s="113"/>
      <c r="W525" s="131"/>
      <c r="X525" s="131"/>
      <c r="Y525" s="11"/>
      <c r="Z525" s="113"/>
      <c r="AA525" s="113"/>
      <c r="AB525" s="113"/>
      <c r="AC525" s="52"/>
      <c r="AD525" s="52"/>
      <c r="AE525" s="11"/>
      <c r="AF525" s="118">
        <v>170000</v>
      </c>
      <c r="AG525" s="144">
        <f>AF525*19%</f>
        <v>32300</v>
      </c>
      <c r="AH525" s="113">
        <f>+AF525+AG525</f>
        <v>202300</v>
      </c>
      <c r="AI525" s="11"/>
      <c r="AJ525" s="11"/>
      <c r="AK525" s="39"/>
      <c r="AL525" s="113">
        <v>139000</v>
      </c>
      <c r="AM525" s="113">
        <f>+AL525*0.19</f>
        <v>26410</v>
      </c>
      <c r="AN525" s="119">
        <f>+AL525+AM525</f>
        <v>165410</v>
      </c>
      <c r="AO525" s="76" t="s">
        <v>44</v>
      </c>
      <c r="AP525" s="39" t="s">
        <v>45</v>
      </c>
      <c r="AQ525" s="39"/>
      <c r="AR525" s="275">
        <v>143783</v>
      </c>
      <c r="AS525" s="143">
        <f>+AR525*0.19</f>
        <v>27318.77</v>
      </c>
      <c r="AT525" s="116">
        <f>+AR525+AS525</f>
        <v>171101.77</v>
      </c>
      <c r="AU525" s="62" t="s">
        <v>44</v>
      </c>
      <c r="AV525" s="62" t="s">
        <v>45</v>
      </c>
      <c r="AW525" s="11"/>
      <c r="AX525" s="116"/>
      <c r="AY525" s="116"/>
      <c r="AZ525" s="143"/>
      <c r="BA525" s="191"/>
      <c r="BB525" s="132"/>
      <c r="BC525" s="132"/>
      <c r="BD525" s="274"/>
      <c r="BE525" s="143"/>
      <c r="BF525" s="143"/>
      <c r="BG525" s="132"/>
      <c r="BH525" s="132"/>
      <c r="BI525" s="132"/>
      <c r="BJ525" s="143"/>
      <c r="BK525" s="143"/>
      <c r="BL525" s="143"/>
      <c r="BM525" s="132"/>
      <c r="BN525" s="132"/>
      <c r="BO525" s="132"/>
      <c r="BP525" s="143"/>
      <c r="BQ525" s="132"/>
      <c r="BR525" s="132"/>
      <c r="BS525" s="132"/>
      <c r="BT525" s="132"/>
      <c r="BU525" s="132"/>
      <c r="BV525" s="263">
        <v>233900</v>
      </c>
      <c r="BW525" s="144">
        <f t="shared" ref="BW525:BW536" si="131">BV525*19%</f>
        <v>44441</v>
      </c>
      <c r="BX525" s="113">
        <f t="shared" ref="BX525:BX536" si="132">+BV525+BW525</f>
        <v>278341</v>
      </c>
      <c r="BY525" s="264" t="s">
        <v>314</v>
      </c>
      <c r="BZ525" s="264" t="s">
        <v>88</v>
      </c>
      <c r="CA525" s="132"/>
      <c r="CB525" s="274"/>
      <c r="CC525" s="144"/>
      <c r="CD525" s="274"/>
      <c r="CE525" s="132"/>
      <c r="CF525" s="132"/>
      <c r="CG525" s="36"/>
      <c r="CH525" s="263">
        <v>238578</v>
      </c>
      <c r="CI525" s="265">
        <f>+CH525*0.19</f>
        <v>45329.82</v>
      </c>
      <c r="CJ525" s="263">
        <f>+CH525+CI525</f>
        <v>283907.82</v>
      </c>
      <c r="CK525" s="264" t="s">
        <v>314</v>
      </c>
      <c r="CL525" s="264" t="s">
        <v>88</v>
      </c>
      <c r="CM525" s="132"/>
      <c r="CN525" s="274"/>
      <c r="CO525" s="144"/>
      <c r="CP525" s="274"/>
      <c r="CQ525" s="132"/>
      <c r="CR525" s="132"/>
      <c r="CS525" s="132"/>
      <c r="CT525" s="274"/>
      <c r="CU525" s="144"/>
      <c r="CV525" s="274"/>
      <c r="CW525" s="132"/>
      <c r="CX525" s="132"/>
      <c r="CY525" s="132"/>
      <c r="CZ525" s="118">
        <v>134587</v>
      </c>
      <c r="DA525" s="144">
        <f>+CZ525*0.19</f>
        <v>25571.53</v>
      </c>
      <c r="DB525" s="118">
        <f>+CZ525+DA525</f>
        <v>160158.53</v>
      </c>
      <c r="DC525" s="33" t="s">
        <v>186</v>
      </c>
      <c r="DD525" s="39"/>
      <c r="DE525" s="11">
        <v>1092930100</v>
      </c>
      <c r="DF525" s="132"/>
      <c r="DG525" s="132"/>
      <c r="DH525" s="132"/>
      <c r="DI525" s="132"/>
      <c r="DJ525" s="132"/>
      <c r="DK525" s="132"/>
      <c r="DL525" s="132"/>
      <c r="DM525" s="132"/>
      <c r="DN525" s="132"/>
      <c r="DO525" s="132"/>
      <c r="DP525" s="132"/>
      <c r="DQ525" s="132"/>
      <c r="DR525" s="132"/>
      <c r="DS525" s="132"/>
      <c r="DT525" s="132"/>
      <c r="DU525" s="132"/>
      <c r="DV525" s="132"/>
      <c r="DW525" s="132"/>
      <c r="DX525" s="132"/>
      <c r="DY525" s="132"/>
      <c r="DZ525" s="132"/>
      <c r="EA525" s="132"/>
      <c r="EB525" s="132"/>
      <c r="EC525" s="132"/>
      <c r="ED525" s="132"/>
      <c r="EE525" s="132"/>
      <c r="EF525" s="132"/>
      <c r="EG525" s="132"/>
      <c r="EH525" s="132"/>
      <c r="EI525" s="132"/>
      <c r="EJ525" s="132"/>
      <c r="EK525" s="132"/>
      <c r="EL525" s="132"/>
      <c r="EM525" s="132"/>
      <c r="EN525" s="132"/>
      <c r="EO525" s="132"/>
      <c r="EP525" s="132"/>
      <c r="EQ525" s="132"/>
      <c r="ER525" s="132"/>
      <c r="ES525" s="132"/>
      <c r="ET525" s="11"/>
      <c r="EU525" s="11"/>
      <c r="EV525" s="11"/>
      <c r="EW525" s="11"/>
      <c r="EX525" s="11"/>
      <c r="EY525" s="11"/>
      <c r="EZ525" s="11"/>
      <c r="FA525" s="11"/>
      <c r="FB525" s="11"/>
      <c r="FC525" s="11"/>
      <c r="FD525" s="11"/>
      <c r="FE525" s="11"/>
      <c r="FF525" s="11"/>
      <c r="FG525" s="11"/>
      <c r="FH525" s="39">
        <f t="shared" si="126"/>
        <v>1419027.9950000001</v>
      </c>
      <c r="FI525" s="33">
        <f t="shared" si="127"/>
        <v>7</v>
      </c>
      <c r="FJ525" s="84">
        <f t="shared" si="128"/>
        <v>202718.285</v>
      </c>
    </row>
    <row r="526" spans="1:166" ht="13.5" x14ac:dyDescent="0.25">
      <c r="A526" s="79" t="e">
        <f>#REF!</f>
        <v>#REF!</v>
      </c>
      <c r="B526" s="75" t="e">
        <f>#REF!</f>
        <v>#REF!</v>
      </c>
      <c r="C526" s="75" t="e">
        <f>#REF!</f>
        <v>#REF!</v>
      </c>
      <c r="D526" s="75" t="e">
        <f>#REF!</f>
        <v>#REF!</v>
      </c>
      <c r="E526" s="30">
        <v>1</v>
      </c>
      <c r="F526" s="238">
        <v>0</v>
      </c>
      <c r="G526" s="241">
        <v>0</v>
      </c>
      <c r="H526" s="249">
        <v>208726</v>
      </c>
      <c r="I526" s="249">
        <v>208250</v>
      </c>
      <c r="J526" s="249">
        <v>0</v>
      </c>
      <c r="K526" s="249">
        <v>0</v>
      </c>
      <c r="L526" s="274">
        <f>H526</f>
        <v>208726</v>
      </c>
      <c r="M526" s="274">
        <f>I526*E1</f>
        <v>214497.5</v>
      </c>
      <c r="N526" s="245"/>
      <c r="O526" s="113"/>
      <c r="P526" s="113"/>
      <c r="Q526" s="131"/>
      <c r="R526" s="131"/>
      <c r="S526" s="64"/>
      <c r="T526" s="113"/>
      <c r="U526" s="117"/>
      <c r="V526" s="113"/>
      <c r="W526" s="131"/>
      <c r="X526" s="131"/>
      <c r="Y526" s="11"/>
      <c r="Z526" s="113"/>
      <c r="AA526" s="113"/>
      <c r="AB526" s="113"/>
      <c r="AC526" s="52"/>
      <c r="AD526" s="52"/>
      <c r="AE526" s="11"/>
      <c r="AF526" s="118">
        <v>250000</v>
      </c>
      <c r="AG526" s="144">
        <f>AF526*19%</f>
        <v>47500</v>
      </c>
      <c r="AH526" s="113">
        <f>+AF526+AG526</f>
        <v>297500</v>
      </c>
      <c r="AI526" s="11"/>
      <c r="AJ526" s="11"/>
      <c r="AK526" s="39"/>
      <c r="AL526" s="113"/>
      <c r="AM526" s="113"/>
      <c r="AN526" s="117"/>
      <c r="AO526" s="76"/>
      <c r="AP526" s="39"/>
      <c r="AQ526" s="39"/>
      <c r="AR526" s="275"/>
      <c r="AS526" s="275"/>
      <c r="AT526" s="275"/>
      <c r="AU526" s="62"/>
      <c r="AV526" s="62"/>
      <c r="AW526" s="11"/>
      <c r="AX526" s="116"/>
      <c r="AY526" s="116"/>
      <c r="AZ526" s="143"/>
      <c r="BA526" s="191"/>
      <c r="BB526" s="132"/>
      <c r="BC526" s="132"/>
      <c r="BD526" s="274"/>
      <c r="BE526" s="143"/>
      <c r="BF526" s="143"/>
      <c r="BG526" s="132"/>
      <c r="BH526" s="132"/>
      <c r="BI526" s="132"/>
      <c r="BJ526" s="143"/>
      <c r="BK526" s="143"/>
      <c r="BL526" s="143"/>
      <c r="BM526" s="132"/>
      <c r="BN526" s="132"/>
      <c r="BO526" s="132"/>
      <c r="BP526" s="143"/>
      <c r="BQ526" s="132"/>
      <c r="BR526" s="132"/>
      <c r="BS526" s="132"/>
      <c r="BT526" s="132"/>
      <c r="BU526" s="132"/>
      <c r="BV526" s="263">
        <v>281800</v>
      </c>
      <c r="BW526" s="144">
        <f t="shared" si="131"/>
        <v>53542</v>
      </c>
      <c r="BX526" s="113">
        <f t="shared" si="132"/>
        <v>335342</v>
      </c>
      <c r="BY526" s="264" t="s">
        <v>337</v>
      </c>
      <c r="BZ526" s="264" t="s">
        <v>88</v>
      </c>
      <c r="CA526" s="132"/>
      <c r="CB526" s="274"/>
      <c r="CC526" s="144"/>
      <c r="CD526" s="274"/>
      <c r="CE526" s="132"/>
      <c r="CF526" s="132"/>
      <c r="CG526" s="36"/>
      <c r="CH526" s="263">
        <v>290254</v>
      </c>
      <c r="CI526" s="265">
        <f>+CH526*0.19</f>
        <v>55148.26</v>
      </c>
      <c r="CJ526" s="263">
        <f>+CH526+CI526</f>
        <v>345402.26</v>
      </c>
      <c r="CK526" s="264" t="s">
        <v>337</v>
      </c>
      <c r="CL526" s="264" t="s">
        <v>88</v>
      </c>
      <c r="CM526" s="132"/>
      <c r="CN526" s="274"/>
      <c r="CO526" s="144"/>
      <c r="CP526" s="274"/>
      <c r="CQ526" s="132"/>
      <c r="CR526" s="132"/>
      <c r="CS526" s="132"/>
      <c r="CT526" s="274"/>
      <c r="CU526" s="144"/>
      <c r="CV526" s="274"/>
      <c r="CW526" s="132"/>
      <c r="CX526" s="132"/>
      <c r="CY526" s="132"/>
      <c r="CZ526" s="118">
        <v>116966</v>
      </c>
      <c r="DA526" s="144">
        <f>+CZ526*0.19</f>
        <v>22223.54</v>
      </c>
      <c r="DB526" s="118">
        <f>+CZ526+DA526</f>
        <v>139189.54</v>
      </c>
      <c r="DC526" s="33" t="s">
        <v>454</v>
      </c>
      <c r="DD526" s="39"/>
      <c r="DE526" s="11">
        <v>1084980500</v>
      </c>
      <c r="DF526" s="132"/>
      <c r="DG526" s="132"/>
      <c r="DH526" s="132"/>
      <c r="DI526" s="132"/>
      <c r="DJ526" s="132"/>
      <c r="DK526" s="132"/>
      <c r="DL526" s="132"/>
      <c r="DM526" s="132"/>
      <c r="DN526" s="132"/>
      <c r="DO526" s="132"/>
      <c r="DP526" s="132"/>
      <c r="DQ526" s="132"/>
      <c r="DR526" s="132"/>
      <c r="DS526" s="132"/>
      <c r="DT526" s="132"/>
      <c r="DU526" s="132"/>
      <c r="DV526" s="132"/>
      <c r="DW526" s="132"/>
      <c r="DX526" s="132"/>
      <c r="DY526" s="132"/>
      <c r="DZ526" s="132"/>
      <c r="EA526" s="132"/>
      <c r="EB526" s="132"/>
      <c r="EC526" s="132"/>
      <c r="ED526" s="132"/>
      <c r="EE526" s="132"/>
      <c r="EF526" s="132"/>
      <c r="EG526" s="132"/>
      <c r="EH526" s="132"/>
      <c r="EI526" s="132"/>
      <c r="EJ526" s="132"/>
      <c r="EK526" s="132"/>
      <c r="EL526" s="132"/>
      <c r="EM526" s="132"/>
      <c r="EN526" s="132"/>
      <c r="EO526" s="132"/>
      <c r="EP526" s="132"/>
      <c r="EQ526" s="132"/>
      <c r="ER526" s="132"/>
      <c r="ES526" s="132"/>
      <c r="ET526" s="11"/>
      <c r="EU526" s="11"/>
      <c r="EV526" s="11"/>
      <c r="EW526" s="11"/>
      <c r="EX526" s="11"/>
      <c r="EY526" s="11"/>
      <c r="EZ526" s="11"/>
      <c r="FA526" s="11"/>
      <c r="FB526" s="11"/>
      <c r="FC526" s="11"/>
      <c r="FD526" s="11"/>
      <c r="FE526" s="11"/>
      <c r="FF526" s="11"/>
      <c r="FG526" s="11"/>
      <c r="FH526" s="39">
        <f t="shared" si="126"/>
        <v>1331931.3</v>
      </c>
      <c r="FI526" s="33">
        <f t="shared" si="127"/>
        <v>5</v>
      </c>
      <c r="FJ526" s="84">
        <f t="shared" si="128"/>
        <v>266386.26</v>
      </c>
    </row>
    <row r="527" spans="1:166" ht="63" customHeight="1" x14ac:dyDescent="0.25">
      <c r="A527" s="79" t="e">
        <f>#REF!</f>
        <v>#REF!</v>
      </c>
      <c r="B527" s="75" t="e">
        <f>#REF!</f>
        <v>#REF!</v>
      </c>
      <c r="C527" s="75" t="e">
        <f>#REF!</f>
        <v>#REF!</v>
      </c>
      <c r="D527" s="75" t="e">
        <f>#REF!</f>
        <v>#REF!</v>
      </c>
      <c r="E527" s="30">
        <v>1</v>
      </c>
      <c r="F527" s="238">
        <v>0</v>
      </c>
      <c r="G527" s="241">
        <v>0</v>
      </c>
      <c r="H527" s="249">
        <v>0</v>
      </c>
      <c r="I527" s="249">
        <v>0</v>
      </c>
      <c r="J527" s="249">
        <v>624607.19999999995</v>
      </c>
      <c r="K527" s="249">
        <v>0</v>
      </c>
      <c r="L527" s="274">
        <f>J527</f>
        <v>624607.19999999995</v>
      </c>
      <c r="M527" s="274"/>
      <c r="N527" s="245"/>
      <c r="O527" s="113"/>
      <c r="P527" s="113"/>
      <c r="Q527" s="131"/>
      <c r="R527" s="131"/>
      <c r="S527" s="64"/>
      <c r="T527" s="113"/>
      <c r="U527" s="113"/>
      <c r="V527" s="113"/>
      <c r="W527" s="131"/>
      <c r="X527" s="131"/>
      <c r="Y527" s="11"/>
      <c r="Z527" s="113"/>
      <c r="AA527" s="113"/>
      <c r="AB527" s="113"/>
      <c r="AC527" s="52"/>
      <c r="AD527" s="52"/>
      <c r="AE527" s="11"/>
      <c r="AF527" s="118"/>
      <c r="AG527" s="144"/>
      <c r="AH527" s="113"/>
      <c r="AI527" s="11"/>
      <c r="AJ527" s="11"/>
      <c r="AK527" s="39"/>
      <c r="AL527" s="113"/>
      <c r="AM527" s="113"/>
      <c r="AN527" s="119"/>
      <c r="AO527" s="76"/>
      <c r="AP527" s="39"/>
      <c r="AQ527" s="39"/>
      <c r="AR527" s="275"/>
      <c r="AS527" s="275"/>
      <c r="AT527" s="275"/>
      <c r="AU527" s="48"/>
      <c r="AV527" s="62"/>
      <c r="AW527" s="11"/>
      <c r="AX527" s="116"/>
      <c r="AY527" s="194"/>
      <c r="AZ527" s="143"/>
      <c r="BA527" s="191"/>
      <c r="BB527" s="132"/>
      <c r="BC527" s="132"/>
      <c r="BD527" s="274"/>
      <c r="BE527" s="143"/>
      <c r="BF527" s="143"/>
      <c r="BG527" s="132"/>
      <c r="BH527" s="132"/>
      <c r="BI527" s="132"/>
      <c r="BJ527" s="143"/>
      <c r="BK527" s="143"/>
      <c r="BL527" s="143"/>
      <c r="BM527" s="132"/>
      <c r="BN527" s="132"/>
      <c r="BO527" s="132"/>
      <c r="BP527" s="143"/>
      <c r="BQ527" s="132"/>
      <c r="BR527" s="132"/>
      <c r="BS527" s="132"/>
      <c r="BT527" s="132"/>
      <c r="BU527" s="132"/>
      <c r="BV527" s="263">
        <v>1537900</v>
      </c>
      <c r="BW527" s="144">
        <f t="shared" si="131"/>
        <v>292201</v>
      </c>
      <c r="BX527" s="113">
        <f t="shared" si="132"/>
        <v>1830101</v>
      </c>
      <c r="BY527" s="264" t="s">
        <v>455</v>
      </c>
      <c r="BZ527" s="264" t="s">
        <v>456</v>
      </c>
      <c r="CA527" s="132"/>
      <c r="CB527" s="274"/>
      <c r="CC527" s="144"/>
      <c r="CD527" s="274"/>
      <c r="CE527" s="132"/>
      <c r="CF527" s="132"/>
      <c r="CG527" s="36"/>
      <c r="CH527" s="263">
        <v>1599416</v>
      </c>
      <c r="CI527" s="265">
        <f>+CH527*0.19</f>
        <v>303889.03999999998</v>
      </c>
      <c r="CJ527" s="263">
        <f>+CH527+CI527</f>
        <v>1903305.04</v>
      </c>
      <c r="CK527" s="264" t="s">
        <v>455</v>
      </c>
      <c r="CL527" s="264" t="s">
        <v>456</v>
      </c>
      <c r="CM527" s="132"/>
      <c r="CN527" s="274"/>
      <c r="CO527" s="144"/>
      <c r="CP527" s="274"/>
      <c r="CQ527" s="132"/>
      <c r="CR527" s="132"/>
      <c r="CS527" s="132"/>
      <c r="CT527" s="274"/>
      <c r="CU527" s="144"/>
      <c r="CV527" s="274"/>
      <c r="CW527" s="132"/>
      <c r="CX527" s="132"/>
      <c r="CY527" s="132"/>
      <c r="CZ527" s="118"/>
      <c r="DA527" s="144"/>
      <c r="DB527" s="118"/>
      <c r="DC527" s="33"/>
      <c r="DD527" s="39"/>
      <c r="DE527" s="11"/>
      <c r="DF527" s="132"/>
      <c r="DG527" s="132"/>
      <c r="DH527" s="132"/>
      <c r="DI527" s="132"/>
      <c r="DJ527" s="132"/>
      <c r="DK527" s="132"/>
      <c r="DL527" s="132"/>
      <c r="DM527" s="132"/>
      <c r="DN527" s="132"/>
      <c r="DO527" s="132"/>
      <c r="DP527" s="132"/>
      <c r="DQ527" s="132"/>
      <c r="DR527" s="132"/>
      <c r="DS527" s="132"/>
      <c r="DT527" s="132"/>
      <c r="DU527" s="132"/>
      <c r="DV527" s="132"/>
      <c r="DW527" s="132"/>
      <c r="DX527" s="132"/>
      <c r="DY527" s="132"/>
      <c r="DZ527" s="132"/>
      <c r="EA527" s="132"/>
      <c r="EB527" s="132"/>
      <c r="EC527" s="132"/>
      <c r="ED527" s="132"/>
      <c r="EE527" s="132"/>
      <c r="EF527" s="132"/>
      <c r="EG527" s="132"/>
      <c r="EH527" s="132"/>
      <c r="EI527" s="132"/>
      <c r="EJ527" s="132"/>
      <c r="EK527" s="132"/>
      <c r="EL527" s="132"/>
      <c r="EM527" s="132"/>
      <c r="EN527" s="132"/>
      <c r="EO527" s="132"/>
      <c r="EP527" s="132"/>
      <c r="EQ527" s="132"/>
      <c r="ER527" s="132"/>
      <c r="ES527" s="132"/>
      <c r="ET527" s="11"/>
      <c r="EU527" s="11"/>
      <c r="EV527" s="11"/>
      <c r="EW527" s="11"/>
      <c r="EX527" s="11"/>
      <c r="EY527" s="11"/>
      <c r="EZ527" s="11"/>
      <c r="FA527" s="11"/>
      <c r="FB527" s="11"/>
      <c r="FC527" s="11"/>
      <c r="FD527" s="11"/>
      <c r="FE527" s="11"/>
      <c r="FF527" s="11"/>
      <c r="FG527" s="11"/>
      <c r="FH527" s="39">
        <f t="shared" si="126"/>
        <v>3733406.04</v>
      </c>
      <c r="FI527" s="33">
        <f t="shared" si="127"/>
        <v>2</v>
      </c>
      <c r="FJ527" s="84">
        <f t="shared" si="128"/>
        <v>1866703.02</v>
      </c>
    </row>
    <row r="528" spans="1:166" ht="27" x14ac:dyDescent="0.25">
      <c r="A528" s="79" t="e">
        <f>#REF!</f>
        <v>#REF!</v>
      </c>
      <c r="B528" s="75" t="e">
        <f>#REF!</f>
        <v>#REF!</v>
      </c>
      <c r="C528" s="75" t="e">
        <f>#REF!</f>
        <v>#REF!</v>
      </c>
      <c r="D528" s="75" t="e">
        <f>#REF!</f>
        <v>#REF!</v>
      </c>
      <c r="E528" s="30">
        <v>1</v>
      </c>
      <c r="F528" s="238">
        <v>603829.80000000005</v>
      </c>
      <c r="G528" s="241">
        <v>594762</v>
      </c>
      <c r="H528" s="249">
        <v>607574.33333333337</v>
      </c>
      <c r="I528" s="249">
        <v>0</v>
      </c>
      <c r="J528" s="249">
        <v>573706.66666666663</v>
      </c>
      <c r="K528" s="249">
        <v>567630</v>
      </c>
      <c r="L528" s="274">
        <f>AVERAGE(F528,H528,J528)</f>
        <v>595036.93333333323</v>
      </c>
      <c r="M528" s="274">
        <f>AVERAGE(G528,K528)*E1</f>
        <v>598631.88</v>
      </c>
      <c r="N528" s="245"/>
      <c r="O528" s="113"/>
      <c r="P528" s="113"/>
      <c r="Q528" s="52"/>
      <c r="R528" s="52"/>
      <c r="S528" s="5"/>
      <c r="T528" s="113"/>
      <c r="U528" s="113"/>
      <c r="V528" s="113"/>
      <c r="W528" s="11"/>
      <c r="X528" s="11"/>
      <c r="Y528" s="11"/>
      <c r="Z528" s="113"/>
      <c r="AA528" s="113"/>
      <c r="AB528" s="113"/>
      <c r="AC528" s="52"/>
      <c r="AD528" s="52"/>
      <c r="AE528" s="11"/>
      <c r="AF528" s="118"/>
      <c r="AG528" s="144"/>
      <c r="AH528" s="113"/>
      <c r="AI528" s="11"/>
      <c r="AJ528" s="11"/>
      <c r="AK528" s="11"/>
      <c r="AL528" s="113"/>
      <c r="AM528" s="113"/>
      <c r="AN528" s="113"/>
      <c r="AO528" s="76"/>
      <c r="AP528" s="11"/>
      <c r="AQ528" s="11"/>
      <c r="AR528" s="275">
        <v>648000</v>
      </c>
      <c r="AS528" s="143">
        <f t="shared" ref="AS528:AS536" si="133">+AR528*0.19</f>
        <v>123120</v>
      </c>
      <c r="AT528" s="116">
        <f t="shared" ref="AT528:AT536" si="134">+AR528+AS528</f>
        <v>771120</v>
      </c>
      <c r="AU528" s="62" t="s">
        <v>264</v>
      </c>
      <c r="AV528" s="36" t="s">
        <v>35</v>
      </c>
      <c r="AW528" s="11"/>
      <c r="AX528" s="275"/>
      <c r="AY528" s="275"/>
      <c r="AZ528" s="275"/>
      <c r="BA528" s="11"/>
      <c r="BB528" s="11"/>
      <c r="BC528" s="11"/>
      <c r="BD528" s="274"/>
      <c r="BE528" s="143"/>
      <c r="BF528" s="143"/>
      <c r="BG528" s="132"/>
      <c r="BH528" s="11"/>
      <c r="BI528" s="132"/>
      <c r="BJ528" s="143"/>
      <c r="BK528" s="143"/>
      <c r="BL528" s="143"/>
      <c r="BM528" s="132"/>
      <c r="BN528" s="132"/>
      <c r="BO528" s="132"/>
      <c r="BP528" s="143"/>
      <c r="BQ528" s="132"/>
      <c r="BR528" s="132"/>
      <c r="BS528" s="132"/>
      <c r="BT528" s="132"/>
      <c r="BU528" s="132"/>
      <c r="BV528" s="263">
        <v>715800</v>
      </c>
      <c r="BW528" s="144">
        <f t="shared" si="131"/>
        <v>136002</v>
      </c>
      <c r="BX528" s="113">
        <f t="shared" si="132"/>
        <v>851802</v>
      </c>
      <c r="BY528" s="264" t="s">
        <v>386</v>
      </c>
      <c r="BZ528" s="264" t="s">
        <v>263</v>
      </c>
      <c r="CA528" s="132"/>
      <c r="CB528" s="274"/>
      <c r="CC528" s="144"/>
      <c r="CD528" s="274"/>
      <c r="CE528" s="132"/>
      <c r="CF528" s="132"/>
      <c r="CG528" s="36"/>
      <c r="CH528" s="263">
        <v>730116</v>
      </c>
      <c r="CI528" s="265">
        <f>+CH528*0.19</f>
        <v>138722.04</v>
      </c>
      <c r="CJ528" s="263">
        <f>+CH528+CI528</f>
        <v>868838.04</v>
      </c>
      <c r="CK528" s="264" t="s">
        <v>386</v>
      </c>
      <c r="CL528" s="264" t="s">
        <v>263</v>
      </c>
      <c r="CM528" s="132"/>
      <c r="CN528" s="274"/>
      <c r="CO528" s="144"/>
      <c r="CP528" s="274"/>
      <c r="CQ528" s="132"/>
      <c r="CR528" s="132"/>
      <c r="CS528" s="132"/>
      <c r="CT528" s="274"/>
      <c r="CU528" s="144"/>
      <c r="CV528" s="274"/>
      <c r="CW528" s="132"/>
      <c r="CX528" s="132"/>
      <c r="CY528" s="132"/>
      <c r="CZ528" s="118"/>
      <c r="DA528" s="144"/>
      <c r="DB528" s="118"/>
      <c r="DC528" s="33"/>
      <c r="DD528" s="39"/>
      <c r="DE528" s="11"/>
      <c r="DF528" s="132"/>
      <c r="DG528" s="132"/>
      <c r="DH528" s="132"/>
      <c r="DI528" s="132"/>
      <c r="DJ528" s="132"/>
      <c r="DK528" s="132"/>
      <c r="DL528" s="132"/>
      <c r="DM528" s="132"/>
      <c r="DN528" s="132"/>
      <c r="DO528" s="132"/>
      <c r="DP528" s="132"/>
      <c r="DQ528" s="132"/>
      <c r="DR528" s="132"/>
      <c r="DS528" s="132"/>
      <c r="DT528" s="132"/>
      <c r="DU528" s="132"/>
      <c r="DV528" s="132"/>
      <c r="DW528" s="132"/>
      <c r="DX528" s="132"/>
      <c r="DY528" s="132"/>
      <c r="DZ528" s="132"/>
      <c r="EA528" s="132"/>
      <c r="EB528" s="132"/>
      <c r="EC528" s="132"/>
      <c r="ED528" s="132"/>
      <c r="EE528" s="132"/>
      <c r="EF528" s="132"/>
      <c r="EG528" s="132"/>
      <c r="EH528" s="132"/>
      <c r="EI528" s="132"/>
      <c r="EJ528" s="132"/>
      <c r="EK528" s="132"/>
      <c r="EL528" s="132"/>
      <c r="EM528" s="132"/>
      <c r="EN528" s="132"/>
      <c r="EO528" s="132"/>
      <c r="EP528" s="132"/>
      <c r="EQ528" s="132"/>
      <c r="ER528" s="132"/>
      <c r="ES528" s="132"/>
      <c r="ET528" s="11"/>
      <c r="EU528" s="11"/>
      <c r="EV528" s="11"/>
      <c r="EW528" s="11"/>
      <c r="EX528" s="11"/>
      <c r="EY528" s="11"/>
      <c r="EZ528" s="11"/>
      <c r="FA528" s="11"/>
      <c r="FB528" s="11"/>
      <c r="FC528" s="11"/>
      <c r="FD528" s="11"/>
      <c r="FE528" s="11"/>
      <c r="FF528" s="11"/>
      <c r="FG528" s="11"/>
      <c r="FH528" s="39">
        <f t="shared" si="126"/>
        <v>3090391.92</v>
      </c>
      <c r="FI528" s="33">
        <f t="shared" si="127"/>
        <v>4</v>
      </c>
      <c r="FJ528" s="84">
        <f t="shared" si="128"/>
        <v>772597.98</v>
      </c>
    </row>
    <row r="529" spans="1:166" ht="13.5" x14ac:dyDescent="0.25">
      <c r="A529" s="79" t="e">
        <f>#REF!</f>
        <v>#REF!</v>
      </c>
      <c r="B529" s="75" t="e">
        <f>#REF!</f>
        <v>#REF!</v>
      </c>
      <c r="C529" s="75" t="e">
        <f>#REF!</f>
        <v>#REF!</v>
      </c>
      <c r="D529" s="75" t="e">
        <f>#REF!</f>
        <v>#REF!</v>
      </c>
      <c r="E529" s="30">
        <v>1</v>
      </c>
      <c r="F529" s="238">
        <v>428400</v>
      </c>
      <c r="G529" s="241">
        <v>413406</v>
      </c>
      <c r="H529" s="249">
        <v>0</v>
      </c>
      <c r="I529" s="249">
        <v>0</v>
      </c>
      <c r="J529" s="249">
        <v>407438.15</v>
      </c>
      <c r="K529" s="249">
        <v>404600</v>
      </c>
      <c r="L529" s="274">
        <f>AVERAGE(F529,J529)</f>
        <v>417919.07500000001</v>
      </c>
      <c r="M529" s="274">
        <f>AVERAGE(G529,K529)*E1</f>
        <v>421273.09</v>
      </c>
      <c r="N529" s="245"/>
      <c r="O529" s="113"/>
      <c r="P529" s="113"/>
      <c r="Q529" s="52"/>
      <c r="R529" s="52"/>
      <c r="S529" s="5"/>
      <c r="T529" s="113">
        <v>207000</v>
      </c>
      <c r="U529" s="113">
        <f>+T529*0.19</f>
        <v>39330</v>
      </c>
      <c r="V529" s="113">
        <f>+T529+U529</f>
        <v>246330</v>
      </c>
      <c r="W529" s="11" t="s">
        <v>304</v>
      </c>
      <c r="X529" s="11" t="s">
        <v>305</v>
      </c>
      <c r="Y529" s="11"/>
      <c r="Z529" s="113"/>
      <c r="AA529" s="113"/>
      <c r="AB529" s="113"/>
      <c r="AC529" s="52"/>
      <c r="AD529" s="52"/>
      <c r="AE529" s="11"/>
      <c r="AF529" s="118"/>
      <c r="AG529" s="144"/>
      <c r="AH529" s="113"/>
      <c r="AI529" s="11"/>
      <c r="AJ529" s="11"/>
      <c r="AK529" s="11"/>
      <c r="AL529" s="113"/>
      <c r="AM529" s="113"/>
      <c r="AN529" s="113"/>
      <c r="AO529" s="76"/>
      <c r="AP529" s="11"/>
      <c r="AQ529" s="11"/>
      <c r="AR529" s="275">
        <v>320000</v>
      </c>
      <c r="AS529" s="143">
        <f t="shared" si="133"/>
        <v>60800</v>
      </c>
      <c r="AT529" s="116">
        <f t="shared" si="134"/>
        <v>380800</v>
      </c>
      <c r="AU529" s="62" t="s">
        <v>304</v>
      </c>
      <c r="AV529" s="48" t="s">
        <v>305</v>
      </c>
      <c r="AW529" s="11"/>
      <c r="AX529" s="275"/>
      <c r="AY529" s="275"/>
      <c r="AZ529" s="275"/>
      <c r="BA529" s="11"/>
      <c r="BB529" s="11"/>
      <c r="BC529" s="11"/>
      <c r="BD529" s="274"/>
      <c r="BE529" s="143"/>
      <c r="BF529" s="143"/>
      <c r="BG529" s="132"/>
      <c r="BH529" s="11"/>
      <c r="BI529" s="132"/>
      <c r="BJ529" s="143"/>
      <c r="BK529" s="143"/>
      <c r="BL529" s="143"/>
      <c r="BM529" s="132"/>
      <c r="BN529" s="132"/>
      <c r="BO529" s="132"/>
      <c r="BP529" s="143"/>
      <c r="BQ529" s="132"/>
      <c r="BR529" s="132"/>
      <c r="BS529" s="132"/>
      <c r="BT529" s="132"/>
      <c r="BU529" s="132"/>
      <c r="BV529" s="263">
        <v>518200</v>
      </c>
      <c r="BW529" s="144">
        <f t="shared" si="131"/>
        <v>98458</v>
      </c>
      <c r="BX529" s="113">
        <f t="shared" si="132"/>
        <v>616658</v>
      </c>
      <c r="BY529" s="264" t="s">
        <v>457</v>
      </c>
      <c r="BZ529" s="264" t="s">
        <v>458</v>
      </c>
      <c r="CA529" s="132"/>
      <c r="CB529" s="274"/>
      <c r="CC529" s="144"/>
      <c r="CD529" s="274"/>
      <c r="CE529" s="132"/>
      <c r="CF529" s="132"/>
      <c r="CG529" s="36"/>
      <c r="CH529" s="263">
        <v>538928</v>
      </c>
      <c r="CI529" s="265">
        <f>+CH529*0.19</f>
        <v>102396.32</v>
      </c>
      <c r="CJ529" s="263">
        <f>+CH529+CI529</f>
        <v>641324.32000000007</v>
      </c>
      <c r="CK529" s="264" t="s">
        <v>457</v>
      </c>
      <c r="CL529" s="264" t="s">
        <v>458</v>
      </c>
      <c r="CM529" s="132"/>
      <c r="CN529" s="274"/>
      <c r="CO529" s="144"/>
      <c r="CP529" s="274"/>
      <c r="CQ529" s="132"/>
      <c r="CR529" s="132"/>
      <c r="CS529" s="132"/>
      <c r="CT529" s="274"/>
      <c r="CU529" s="144"/>
      <c r="CV529" s="274"/>
      <c r="CW529" s="132"/>
      <c r="CX529" s="132"/>
      <c r="CY529" s="132"/>
      <c r="CZ529" s="118"/>
      <c r="DA529" s="144"/>
      <c r="DB529" s="118"/>
      <c r="DC529" s="33"/>
      <c r="DD529" s="39"/>
      <c r="DE529" s="11"/>
      <c r="DF529" s="132"/>
      <c r="DG529" s="132"/>
      <c r="DH529" s="132"/>
      <c r="DI529" s="132"/>
      <c r="DJ529" s="132"/>
      <c r="DK529" s="132"/>
      <c r="DL529" s="132"/>
      <c r="DM529" s="132"/>
      <c r="DN529" s="132"/>
      <c r="DO529" s="132"/>
      <c r="DP529" s="132"/>
      <c r="DQ529" s="132"/>
      <c r="DR529" s="132"/>
      <c r="DS529" s="132"/>
      <c r="DT529" s="132"/>
      <c r="DU529" s="132"/>
      <c r="DV529" s="132"/>
      <c r="DW529" s="132"/>
      <c r="DX529" s="132"/>
      <c r="DY529" s="132"/>
      <c r="DZ529" s="132"/>
      <c r="EA529" s="132"/>
      <c r="EB529" s="132"/>
      <c r="EC529" s="132"/>
      <c r="ED529" s="132"/>
      <c r="EE529" s="132"/>
      <c r="EF529" s="132"/>
      <c r="EG529" s="132"/>
      <c r="EH529" s="132"/>
      <c r="EI529" s="132"/>
      <c r="EJ529" s="132"/>
      <c r="EK529" s="132"/>
      <c r="EL529" s="132"/>
      <c r="EM529" s="132"/>
      <c r="EN529" s="132"/>
      <c r="EO529" s="132"/>
      <c r="EP529" s="132"/>
      <c r="EQ529" s="132"/>
      <c r="ER529" s="132"/>
      <c r="ES529" s="132"/>
      <c r="ET529" s="11"/>
      <c r="EU529" s="11"/>
      <c r="EV529" s="11"/>
      <c r="EW529" s="11"/>
      <c r="EX529" s="11"/>
      <c r="EY529" s="11"/>
      <c r="EZ529" s="11"/>
      <c r="FA529" s="11"/>
      <c r="FB529" s="11"/>
      <c r="FC529" s="11"/>
      <c r="FD529" s="11"/>
      <c r="FE529" s="11"/>
      <c r="FF529" s="11"/>
      <c r="FG529" s="11"/>
      <c r="FH529" s="39">
        <f t="shared" si="126"/>
        <v>2306385.41</v>
      </c>
      <c r="FI529" s="33">
        <f t="shared" si="127"/>
        <v>5</v>
      </c>
      <c r="FJ529" s="84">
        <f t="shared" si="128"/>
        <v>461277.08200000005</v>
      </c>
    </row>
    <row r="530" spans="1:166" ht="40.5" x14ac:dyDescent="0.25">
      <c r="A530" s="79" t="e">
        <f>#REF!</f>
        <v>#REF!</v>
      </c>
      <c r="B530" s="75" t="e">
        <f>#REF!</f>
        <v>#REF!</v>
      </c>
      <c r="C530" s="75" t="e">
        <f>#REF!</f>
        <v>#REF!</v>
      </c>
      <c r="D530" s="75" t="e">
        <f>#REF!</f>
        <v>#REF!</v>
      </c>
      <c r="E530" s="30">
        <v>1</v>
      </c>
      <c r="F530" s="238">
        <v>2142000</v>
      </c>
      <c r="G530" s="241">
        <v>0</v>
      </c>
      <c r="H530" s="249">
        <v>2345757.65</v>
      </c>
      <c r="I530" s="249">
        <v>0</v>
      </c>
      <c r="J530" s="249">
        <v>1697346.6825000001</v>
      </c>
      <c r="K530" s="249">
        <v>0</v>
      </c>
      <c r="L530" s="274">
        <f>AVERAGE(F530,H530,J530)</f>
        <v>2061701.4441666668</v>
      </c>
      <c r="M530" s="274"/>
      <c r="N530" s="245"/>
      <c r="O530" s="113"/>
      <c r="P530" s="113"/>
      <c r="Q530" s="52"/>
      <c r="R530" s="52"/>
      <c r="S530" s="5"/>
      <c r="T530" s="113">
        <v>2538000</v>
      </c>
      <c r="U530" s="113">
        <f>+T530*0.19</f>
        <v>482220</v>
      </c>
      <c r="V530" s="113">
        <f>+T530+U530</f>
        <v>3020220</v>
      </c>
      <c r="W530" s="11" t="s">
        <v>459</v>
      </c>
      <c r="X530" s="11" t="s">
        <v>460</v>
      </c>
      <c r="Y530" s="11"/>
      <c r="Z530" s="113"/>
      <c r="AA530" s="113"/>
      <c r="AB530" s="113"/>
      <c r="AC530" s="52"/>
      <c r="AD530" s="52"/>
      <c r="AE530" s="11"/>
      <c r="AF530" s="118"/>
      <c r="AG530" s="144"/>
      <c r="AH530" s="113"/>
      <c r="AI530" s="11"/>
      <c r="AJ530" s="11"/>
      <c r="AK530" s="11"/>
      <c r="AL530" s="113"/>
      <c r="AM530" s="113"/>
      <c r="AN530" s="113"/>
      <c r="AO530" s="76"/>
      <c r="AP530" s="11"/>
      <c r="AQ530" s="11"/>
      <c r="AR530" s="275">
        <v>386467</v>
      </c>
      <c r="AS530" s="143">
        <f t="shared" si="133"/>
        <v>73428.73</v>
      </c>
      <c r="AT530" s="116">
        <f t="shared" si="134"/>
        <v>459895.73</v>
      </c>
      <c r="AU530" s="48" t="s">
        <v>461</v>
      </c>
      <c r="AV530" s="48" t="s">
        <v>444</v>
      </c>
      <c r="AW530" s="11"/>
      <c r="AX530" s="275"/>
      <c r="AY530" s="275"/>
      <c r="AZ530" s="275"/>
      <c r="BA530" s="11"/>
      <c r="BB530" s="11"/>
      <c r="BC530" s="11"/>
      <c r="BD530" s="274"/>
      <c r="BE530" s="143"/>
      <c r="BF530" s="143"/>
      <c r="BG530" s="132"/>
      <c r="BH530" s="11"/>
      <c r="BI530" s="132"/>
      <c r="BJ530" s="143"/>
      <c r="BK530" s="143"/>
      <c r="BL530" s="143"/>
      <c r="BM530" s="132"/>
      <c r="BN530" s="132"/>
      <c r="BO530" s="132"/>
      <c r="BP530" s="143"/>
      <c r="BQ530" s="132"/>
      <c r="BR530" s="132"/>
      <c r="BS530" s="132"/>
      <c r="BT530" s="132"/>
      <c r="BU530" s="132"/>
      <c r="BV530" s="268">
        <v>4800000</v>
      </c>
      <c r="BW530" s="144">
        <f t="shared" si="131"/>
        <v>912000</v>
      </c>
      <c r="BX530" s="113">
        <f t="shared" si="132"/>
        <v>5712000</v>
      </c>
      <c r="BY530" s="264" t="s">
        <v>462</v>
      </c>
      <c r="BZ530" s="264" t="s">
        <v>463</v>
      </c>
      <c r="CA530" s="132"/>
      <c r="CB530" s="274"/>
      <c r="CC530" s="144"/>
      <c r="CD530" s="274"/>
      <c r="CE530" s="132"/>
      <c r="CF530" s="132"/>
      <c r="CG530" s="36"/>
      <c r="CH530" s="268"/>
      <c r="CI530" s="265"/>
      <c r="CJ530" s="263"/>
      <c r="CK530" s="264"/>
      <c r="CL530" s="264"/>
      <c r="CM530" s="132"/>
      <c r="CN530" s="274"/>
      <c r="CO530" s="144"/>
      <c r="CP530" s="274"/>
      <c r="CQ530" s="132"/>
      <c r="CR530" s="132"/>
      <c r="CS530" s="132"/>
      <c r="CT530" s="274"/>
      <c r="CU530" s="144"/>
      <c r="CV530" s="274"/>
      <c r="CW530" s="132"/>
      <c r="CX530" s="132"/>
      <c r="CY530" s="132"/>
      <c r="CZ530" s="118"/>
      <c r="DA530" s="144"/>
      <c r="DB530" s="118"/>
      <c r="DC530" s="33"/>
      <c r="DD530" s="39"/>
      <c r="DE530" s="11"/>
      <c r="DF530" s="132"/>
      <c r="DG530" s="132"/>
      <c r="DH530" s="132"/>
      <c r="DI530" s="132"/>
      <c r="DJ530" s="132"/>
      <c r="DK530" s="132"/>
      <c r="DL530" s="132"/>
      <c r="DM530" s="132"/>
      <c r="DN530" s="132"/>
      <c r="DO530" s="132"/>
      <c r="DP530" s="132"/>
      <c r="DQ530" s="132"/>
      <c r="DR530" s="132"/>
      <c r="DS530" s="132"/>
      <c r="DT530" s="132"/>
      <c r="DU530" s="132"/>
      <c r="DV530" s="132"/>
      <c r="DW530" s="132"/>
      <c r="DX530" s="132"/>
      <c r="DY530" s="132"/>
      <c r="DZ530" s="132"/>
      <c r="EA530" s="132"/>
      <c r="EB530" s="132"/>
      <c r="EC530" s="132"/>
      <c r="ED530" s="132"/>
      <c r="EE530" s="132"/>
      <c r="EF530" s="132"/>
      <c r="EG530" s="132"/>
      <c r="EH530" s="132"/>
      <c r="EI530" s="132"/>
      <c r="EJ530" s="132"/>
      <c r="EK530" s="132"/>
      <c r="EL530" s="132"/>
      <c r="EM530" s="132"/>
      <c r="EN530" s="132"/>
      <c r="EO530" s="132"/>
      <c r="EP530" s="132"/>
      <c r="EQ530" s="132"/>
      <c r="ER530" s="132"/>
      <c r="ES530" s="132"/>
      <c r="ET530" s="11"/>
      <c r="EU530" s="11"/>
      <c r="EV530" s="11"/>
      <c r="EW530" s="11"/>
      <c r="EX530" s="11"/>
      <c r="EY530" s="11"/>
      <c r="EZ530" s="11"/>
      <c r="FA530" s="11"/>
      <c r="FB530" s="11"/>
      <c r="FC530" s="11"/>
      <c r="FD530" s="11"/>
      <c r="FE530" s="11"/>
      <c r="FF530" s="11"/>
      <c r="FG530" s="11"/>
      <c r="FH530" s="39">
        <f t="shared" si="126"/>
        <v>9192115.7300000004</v>
      </c>
      <c r="FI530" s="33">
        <f t="shared" si="127"/>
        <v>3</v>
      </c>
      <c r="FJ530" s="84">
        <f t="shared" si="128"/>
        <v>3064038.5766666667</v>
      </c>
    </row>
    <row r="531" spans="1:166" ht="27" x14ac:dyDescent="0.25">
      <c r="A531" s="79" t="e">
        <f>#REF!</f>
        <v>#REF!</v>
      </c>
      <c r="B531" s="75" t="e">
        <f>#REF!</f>
        <v>#REF!</v>
      </c>
      <c r="C531" s="75" t="e">
        <f>#REF!</f>
        <v>#REF!</v>
      </c>
      <c r="D531" s="75" t="e">
        <f>#REF!</f>
        <v>#REF!</v>
      </c>
      <c r="E531" s="30">
        <v>1</v>
      </c>
      <c r="F531" s="238">
        <v>0</v>
      </c>
      <c r="G531" s="241">
        <v>0</v>
      </c>
      <c r="H531" s="249">
        <v>506741.66666666669</v>
      </c>
      <c r="I531" s="249">
        <v>0</v>
      </c>
      <c r="J531" s="249">
        <v>219422.91</v>
      </c>
      <c r="K531" s="249">
        <v>217770</v>
      </c>
      <c r="L531" s="274">
        <f>AVERAGE(H531,J531)</f>
        <v>363082.28833333333</v>
      </c>
      <c r="M531" s="274">
        <f>K531*E1</f>
        <v>224303.1</v>
      </c>
      <c r="N531" s="245"/>
      <c r="O531" s="121"/>
      <c r="P531" s="113"/>
      <c r="Q531" s="131"/>
      <c r="R531" s="131"/>
      <c r="S531" s="64"/>
      <c r="T531" s="113">
        <v>852000</v>
      </c>
      <c r="U531" s="113">
        <f>+T531*0.19</f>
        <v>161880</v>
      </c>
      <c r="V531" s="113">
        <f>+T531+U531</f>
        <v>1013880</v>
      </c>
      <c r="W531" s="131" t="s">
        <v>464</v>
      </c>
      <c r="X531" s="131" t="s">
        <v>138</v>
      </c>
      <c r="Y531" s="11"/>
      <c r="Z531" s="113"/>
      <c r="AA531" s="113"/>
      <c r="AB531" s="113"/>
      <c r="AC531" s="52"/>
      <c r="AD531" s="52"/>
      <c r="AE531" s="11"/>
      <c r="AF531" s="118"/>
      <c r="AG531" s="144"/>
      <c r="AH531" s="113"/>
      <c r="AI531" s="11"/>
      <c r="AJ531" s="11"/>
      <c r="AK531" s="39"/>
      <c r="AL531" s="113"/>
      <c r="AM531" s="113"/>
      <c r="AN531" s="119"/>
      <c r="AO531" s="76"/>
      <c r="AP531" s="39"/>
      <c r="AQ531" s="39"/>
      <c r="AR531" s="275">
        <v>337478</v>
      </c>
      <c r="AS531" s="143">
        <f t="shared" si="133"/>
        <v>64120.82</v>
      </c>
      <c r="AT531" s="116">
        <f t="shared" si="134"/>
        <v>401598.82</v>
      </c>
      <c r="AU531" s="48" t="s">
        <v>465</v>
      </c>
      <c r="AV531" s="48" t="s">
        <v>444</v>
      </c>
      <c r="AW531" s="11"/>
      <c r="AX531" s="116"/>
      <c r="AY531" s="196"/>
      <c r="AZ531" s="143"/>
      <c r="BA531" s="191"/>
      <c r="BB531" s="132"/>
      <c r="BC531" s="132"/>
      <c r="BD531" s="274"/>
      <c r="BE531" s="143"/>
      <c r="BF531" s="143"/>
      <c r="BG531" s="132"/>
      <c r="BH531" s="132"/>
      <c r="BI531" s="132"/>
      <c r="BJ531" s="143"/>
      <c r="BK531" s="143"/>
      <c r="BL531" s="143"/>
      <c r="BM531" s="132"/>
      <c r="BN531" s="132"/>
      <c r="BO531" s="132"/>
      <c r="BP531" s="143">
        <v>299224</v>
      </c>
      <c r="BQ531" s="144">
        <f>BP531*19%</f>
        <v>56852.56</v>
      </c>
      <c r="BR531" s="113">
        <f>+BP531+BQ531</f>
        <v>356076.56</v>
      </c>
      <c r="BS531" s="205" t="s">
        <v>445</v>
      </c>
      <c r="BT531" s="36" t="s">
        <v>466</v>
      </c>
      <c r="BU531" s="5" t="s">
        <v>467</v>
      </c>
      <c r="BV531" s="263">
        <v>186600</v>
      </c>
      <c r="BW531" s="144">
        <f t="shared" si="131"/>
        <v>35454</v>
      </c>
      <c r="BX531" s="113">
        <f t="shared" si="132"/>
        <v>222054</v>
      </c>
      <c r="BY531" s="264" t="s">
        <v>320</v>
      </c>
      <c r="BZ531" s="264" t="s">
        <v>263</v>
      </c>
      <c r="CA531" s="132"/>
      <c r="CB531" s="274"/>
      <c r="CC531" s="144"/>
      <c r="CD531" s="274"/>
      <c r="CE531" s="132"/>
      <c r="CF531" s="132"/>
      <c r="CG531" s="36"/>
      <c r="CH531" s="263">
        <v>192198</v>
      </c>
      <c r="CI531" s="265">
        <f>+CH531*0.19</f>
        <v>36517.620000000003</v>
      </c>
      <c r="CJ531" s="263">
        <f>+CH531+CI531</f>
        <v>228715.62</v>
      </c>
      <c r="CK531" s="264" t="s">
        <v>320</v>
      </c>
      <c r="CL531" s="264" t="s">
        <v>263</v>
      </c>
      <c r="CM531" s="132"/>
      <c r="CN531" s="274"/>
      <c r="CO531" s="144"/>
      <c r="CP531" s="274"/>
      <c r="CQ531" s="132"/>
      <c r="CR531" s="132"/>
      <c r="CS531" s="132"/>
      <c r="CT531" s="274"/>
      <c r="CU531" s="144"/>
      <c r="CV531" s="274"/>
      <c r="CW531" s="132"/>
      <c r="CX531" s="132"/>
      <c r="CY531" s="132"/>
      <c r="CZ531" s="118"/>
      <c r="DA531" s="144"/>
      <c r="DB531" s="118"/>
      <c r="DC531" s="33"/>
      <c r="DD531" s="39"/>
      <c r="DE531" s="11"/>
      <c r="DF531" s="132"/>
      <c r="DG531" s="132"/>
      <c r="DH531" s="132"/>
      <c r="DI531" s="132"/>
      <c r="DJ531" s="132"/>
      <c r="DK531" s="132"/>
      <c r="DL531" s="132"/>
      <c r="DM531" s="132"/>
      <c r="DN531" s="132"/>
      <c r="DO531" s="132"/>
      <c r="DP531" s="132"/>
      <c r="DQ531" s="132"/>
      <c r="DR531" s="132"/>
      <c r="DS531" s="132"/>
      <c r="DT531" s="132"/>
      <c r="DU531" s="132"/>
      <c r="DV531" s="132"/>
      <c r="DW531" s="132"/>
      <c r="DX531" s="132"/>
      <c r="DY531" s="132"/>
      <c r="DZ531" s="132"/>
      <c r="EA531" s="132"/>
      <c r="EB531" s="132"/>
      <c r="EC531" s="132"/>
      <c r="ED531" s="132"/>
      <c r="EE531" s="132"/>
      <c r="EF531" s="132"/>
      <c r="EG531" s="132"/>
      <c r="EH531" s="132"/>
      <c r="EI531" s="132"/>
      <c r="EJ531" s="132"/>
      <c r="EK531" s="132"/>
      <c r="EL531" s="132"/>
      <c r="EM531" s="132"/>
      <c r="EN531" s="132"/>
      <c r="EO531" s="132"/>
      <c r="EP531" s="132"/>
      <c r="EQ531" s="132"/>
      <c r="ER531" s="132"/>
      <c r="ES531" s="132"/>
      <c r="ET531" s="11"/>
      <c r="EU531" s="11"/>
      <c r="EV531" s="11"/>
      <c r="EW531" s="11"/>
      <c r="EX531" s="11"/>
      <c r="EY531" s="11"/>
      <c r="EZ531" s="11"/>
      <c r="FA531" s="11"/>
      <c r="FB531" s="11"/>
      <c r="FC531" s="11"/>
      <c r="FD531" s="11"/>
      <c r="FE531" s="11"/>
      <c r="FF531" s="11"/>
      <c r="FG531" s="11"/>
      <c r="FH531" s="39">
        <f t="shared" si="126"/>
        <v>2446628.1000000006</v>
      </c>
      <c r="FI531" s="33">
        <f t="shared" si="127"/>
        <v>6</v>
      </c>
      <c r="FJ531" s="84">
        <f t="shared" si="128"/>
        <v>407771.35000000009</v>
      </c>
    </row>
    <row r="532" spans="1:166" ht="25.5" x14ac:dyDescent="0.25">
      <c r="A532" s="79" t="e">
        <f>#REF!</f>
        <v>#REF!</v>
      </c>
      <c r="B532" s="75" t="e">
        <f>#REF!</f>
        <v>#REF!</v>
      </c>
      <c r="C532" s="75" t="e">
        <f>#REF!</f>
        <v>#REF!</v>
      </c>
      <c r="D532" s="75" t="e">
        <f>#REF!</f>
        <v>#REF!</v>
      </c>
      <c r="E532" s="30">
        <v>1</v>
      </c>
      <c r="F532" s="238">
        <v>573877.5</v>
      </c>
      <c r="G532" s="241">
        <v>559419</v>
      </c>
      <c r="H532" s="249">
        <v>476064.12478125002</v>
      </c>
      <c r="I532" s="249">
        <v>476000</v>
      </c>
      <c r="J532" s="249">
        <v>0</v>
      </c>
      <c r="K532" s="249">
        <v>0</v>
      </c>
      <c r="L532" s="274">
        <f>AVERAGE(F532,H532)</f>
        <v>524970.81239062501</v>
      </c>
      <c r="M532" s="274">
        <f>AVERAGE(G532,I532)*E1</f>
        <v>533240.78500000003</v>
      </c>
      <c r="N532" s="245"/>
      <c r="O532" s="113"/>
      <c r="P532" s="113"/>
      <c r="Q532" s="131"/>
      <c r="R532" s="131"/>
      <c r="S532" s="64"/>
      <c r="T532" s="113"/>
      <c r="U532" s="113"/>
      <c r="V532" s="113"/>
      <c r="W532" s="131"/>
      <c r="X532" s="131"/>
      <c r="Y532" s="11"/>
      <c r="Z532" s="113"/>
      <c r="AA532" s="113"/>
      <c r="AB532" s="113"/>
      <c r="AC532" s="52"/>
      <c r="AD532" s="52"/>
      <c r="AE532" s="11"/>
      <c r="AF532" s="118">
        <v>500000</v>
      </c>
      <c r="AG532" s="144">
        <f>AF532*19%</f>
        <v>95000</v>
      </c>
      <c r="AH532" s="113">
        <f>+AF532+AG532</f>
        <v>595000</v>
      </c>
      <c r="AI532" s="11"/>
      <c r="AJ532" s="11"/>
      <c r="AK532" s="39"/>
      <c r="AL532" s="113">
        <f>470000/5</f>
        <v>94000</v>
      </c>
      <c r="AM532" s="113">
        <f>+AL532*0.19</f>
        <v>17860</v>
      </c>
      <c r="AN532" s="119">
        <f>+AL532+AM532</f>
        <v>111860</v>
      </c>
      <c r="AO532" s="76" t="s">
        <v>34</v>
      </c>
      <c r="AP532" s="39" t="s">
        <v>377</v>
      </c>
      <c r="AQ532" s="39"/>
      <c r="AR532" s="275">
        <v>144000</v>
      </c>
      <c r="AS532" s="143">
        <f t="shared" si="133"/>
        <v>27360</v>
      </c>
      <c r="AT532" s="116">
        <f t="shared" si="134"/>
        <v>171360</v>
      </c>
      <c r="AU532" s="62" t="s">
        <v>109</v>
      </c>
      <c r="AV532" s="36" t="s">
        <v>35</v>
      </c>
      <c r="AW532" s="11"/>
      <c r="AX532" s="116"/>
      <c r="AY532" s="196"/>
      <c r="AZ532" s="143"/>
      <c r="BA532" s="191"/>
      <c r="BB532" s="132"/>
      <c r="BC532" s="132"/>
      <c r="BD532" s="274"/>
      <c r="BE532" s="143"/>
      <c r="BF532" s="143"/>
      <c r="BG532" s="132"/>
      <c r="BH532" s="132"/>
      <c r="BI532" s="132"/>
      <c r="BJ532" s="143"/>
      <c r="BK532" s="143"/>
      <c r="BL532" s="143"/>
      <c r="BM532" s="132"/>
      <c r="BN532" s="132"/>
      <c r="BO532" s="132"/>
      <c r="BP532" s="143"/>
      <c r="BQ532" s="132"/>
      <c r="BR532" s="132"/>
      <c r="BS532" s="132"/>
      <c r="BT532" s="132"/>
      <c r="BU532" s="132"/>
      <c r="BV532" s="263">
        <v>685800</v>
      </c>
      <c r="BW532" s="144">
        <f t="shared" si="131"/>
        <v>130302</v>
      </c>
      <c r="BX532" s="113">
        <f t="shared" si="132"/>
        <v>816102</v>
      </c>
      <c r="BY532" s="264" t="s">
        <v>410</v>
      </c>
      <c r="BZ532" s="264" t="s">
        <v>88</v>
      </c>
      <c r="CA532" s="132"/>
      <c r="CB532" s="274"/>
      <c r="CC532" s="144"/>
      <c r="CD532" s="274"/>
      <c r="CE532" s="132"/>
      <c r="CF532" s="132"/>
      <c r="CG532" s="36"/>
      <c r="CH532" s="263">
        <v>692658</v>
      </c>
      <c r="CI532" s="265">
        <f>+CH532*0.19</f>
        <v>131605.01999999999</v>
      </c>
      <c r="CJ532" s="263">
        <f>+CH532+CI532</f>
        <v>824263.02</v>
      </c>
      <c r="CK532" s="264" t="s">
        <v>410</v>
      </c>
      <c r="CL532" s="264" t="s">
        <v>88</v>
      </c>
      <c r="CM532" s="132"/>
      <c r="CN532" s="274"/>
      <c r="CO532" s="144"/>
      <c r="CP532" s="274"/>
      <c r="CQ532" s="132"/>
      <c r="CR532" s="132"/>
      <c r="CS532" s="132"/>
      <c r="CT532" s="274"/>
      <c r="CU532" s="144"/>
      <c r="CV532" s="274"/>
      <c r="CW532" s="132"/>
      <c r="CX532" s="132"/>
      <c r="CY532" s="132"/>
      <c r="CZ532" s="118">
        <v>1040771</v>
      </c>
      <c r="DA532" s="144">
        <f>+CZ532*0.19</f>
        <v>197746.49</v>
      </c>
      <c r="DB532" s="118">
        <f>+CZ532+DA532</f>
        <v>1238517.49</v>
      </c>
      <c r="DC532" s="33" t="s">
        <v>208</v>
      </c>
      <c r="DD532" s="39" t="s">
        <v>58</v>
      </c>
      <c r="DE532" s="11">
        <v>1052250005</v>
      </c>
      <c r="DF532" s="132"/>
      <c r="DG532" s="132"/>
      <c r="DH532" s="132"/>
      <c r="DI532" s="132"/>
      <c r="DJ532" s="132"/>
      <c r="DK532" s="132"/>
      <c r="DL532" s="132"/>
      <c r="DM532" s="132"/>
      <c r="DN532" s="132"/>
      <c r="DO532" s="132"/>
      <c r="DP532" s="132"/>
      <c r="DQ532" s="132"/>
      <c r="DR532" s="132"/>
      <c r="DS532" s="132"/>
      <c r="DT532" s="132"/>
      <c r="DU532" s="132"/>
      <c r="DV532" s="132"/>
      <c r="DW532" s="132"/>
      <c r="DX532" s="132"/>
      <c r="DY532" s="132"/>
      <c r="DZ532" s="132"/>
      <c r="EA532" s="132"/>
      <c r="EB532" s="132"/>
      <c r="EC532" s="132"/>
      <c r="ED532" s="132"/>
      <c r="EE532" s="132"/>
      <c r="EF532" s="132"/>
      <c r="EG532" s="132"/>
      <c r="EH532" s="132"/>
      <c r="EI532" s="132"/>
      <c r="EJ532" s="132"/>
      <c r="EK532" s="132"/>
      <c r="EL532" s="132"/>
      <c r="EM532" s="132"/>
      <c r="EN532" s="132"/>
      <c r="EO532" s="132"/>
      <c r="EP532" s="132"/>
      <c r="EQ532" s="132"/>
      <c r="ER532" s="132"/>
      <c r="ES532" s="132"/>
      <c r="ET532" s="11"/>
      <c r="EU532" s="11"/>
      <c r="EV532" s="11"/>
      <c r="EW532" s="11"/>
      <c r="EX532" s="11"/>
      <c r="EY532" s="11"/>
      <c r="EZ532" s="11"/>
      <c r="FA532" s="11"/>
      <c r="FB532" s="11"/>
      <c r="FC532" s="11"/>
      <c r="FD532" s="11"/>
      <c r="FE532" s="11"/>
      <c r="FF532" s="11"/>
      <c r="FG532" s="11"/>
      <c r="FH532" s="39">
        <f t="shared" si="126"/>
        <v>4290343.2949999999</v>
      </c>
      <c r="FI532" s="33">
        <f t="shared" si="127"/>
        <v>7</v>
      </c>
      <c r="FJ532" s="84">
        <f t="shared" si="128"/>
        <v>612906.18499999994</v>
      </c>
    </row>
    <row r="533" spans="1:166" ht="25.5" x14ac:dyDescent="0.25">
      <c r="A533" s="79" t="e">
        <f>#REF!</f>
        <v>#REF!</v>
      </c>
      <c r="B533" s="75" t="e">
        <f>#REF!</f>
        <v>#REF!</v>
      </c>
      <c r="C533" s="75" t="e">
        <f>#REF!</f>
        <v>#REF!</v>
      </c>
      <c r="D533" s="75" t="e">
        <f>#REF!</f>
        <v>#REF!</v>
      </c>
      <c r="E533" s="30">
        <v>1</v>
      </c>
      <c r="F533" s="238">
        <v>623004.66666666663</v>
      </c>
      <c r="G533" s="241">
        <v>80325</v>
      </c>
      <c r="H533" s="249">
        <v>326531.359440625</v>
      </c>
      <c r="I533" s="249">
        <v>0</v>
      </c>
      <c r="J533" s="249">
        <v>397103</v>
      </c>
      <c r="K533" s="249">
        <v>0</v>
      </c>
      <c r="L533" s="274">
        <f>AVERAGE(F533,H533,J533)</f>
        <v>448879.67536909721</v>
      </c>
      <c r="M533" s="274">
        <f>G533*E1</f>
        <v>82734.75</v>
      </c>
      <c r="N533" s="245"/>
      <c r="O533" s="113"/>
      <c r="P533" s="113"/>
      <c r="Q533" s="131"/>
      <c r="R533" s="131"/>
      <c r="S533" s="64"/>
      <c r="T533" s="113"/>
      <c r="U533" s="113"/>
      <c r="V533" s="113"/>
      <c r="W533" s="131"/>
      <c r="X533" s="131"/>
      <c r="Y533" s="11"/>
      <c r="Z533" s="113"/>
      <c r="AA533" s="113"/>
      <c r="AB533" s="113"/>
      <c r="AC533" s="52"/>
      <c r="AD533" s="52"/>
      <c r="AE533" s="11"/>
      <c r="AF533" s="118">
        <v>413000</v>
      </c>
      <c r="AG533" s="144">
        <f>AF533*19%</f>
        <v>78470</v>
      </c>
      <c r="AH533" s="113">
        <f>+AF533+AG533</f>
        <v>491470</v>
      </c>
      <c r="AI533" s="11"/>
      <c r="AJ533" s="11"/>
      <c r="AK533" s="39"/>
      <c r="AL533" s="113">
        <v>239000</v>
      </c>
      <c r="AM533" s="113">
        <f>+AL533*0.19</f>
        <v>45410</v>
      </c>
      <c r="AN533" s="119">
        <f>+AL533+AM533</f>
        <v>284410</v>
      </c>
      <c r="AO533" s="76" t="s">
        <v>34</v>
      </c>
      <c r="AP533" s="39" t="s">
        <v>50</v>
      </c>
      <c r="AQ533" s="39"/>
      <c r="AR533" s="275">
        <v>129600</v>
      </c>
      <c r="AS533" s="143">
        <f t="shared" si="133"/>
        <v>24624</v>
      </c>
      <c r="AT533" s="116">
        <f t="shared" si="134"/>
        <v>154224</v>
      </c>
      <c r="AU533" s="62" t="s">
        <v>34</v>
      </c>
      <c r="AV533" s="36" t="s">
        <v>35</v>
      </c>
      <c r="AW533" s="11"/>
      <c r="AX533" s="116"/>
      <c r="AY533" s="196"/>
      <c r="AZ533" s="143"/>
      <c r="BA533" s="191"/>
      <c r="BB533" s="132"/>
      <c r="BC533" s="132"/>
      <c r="BD533" s="274"/>
      <c r="BE533" s="274"/>
      <c r="BF533" s="274"/>
      <c r="BG533" s="274"/>
      <c r="BH533" s="132"/>
      <c r="BI533" s="132"/>
      <c r="BJ533" s="143"/>
      <c r="BK533" s="143"/>
      <c r="BL533" s="143"/>
      <c r="BM533" s="132"/>
      <c r="BN533" s="132"/>
      <c r="BO533" s="132"/>
      <c r="BP533" s="143"/>
      <c r="BQ533" s="132"/>
      <c r="BR533" s="132"/>
      <c r="BS533" s="132"/>
      <c r="BT533" s="132"/>
      <c r="BU533" s="132"/>
      <c r="BV533" s="263">
        <v>571500</v>
      </c>
      <c r="BW533" s="144">
        <f t="shared" si="131"/>
        <v>108585</v>
      </c>
      <c r="BX533" s="113">
        <f t="shared" si="132"/>
        <v>680085</v>
      </c>
      <c r="BY533" s="264" t="s">
        <v>340</v>
      </c>
      <c r="BZ533" s="264" t="s">
        <v>88</v>
      </c>
      <c r="CA533" s="132"/>
      <c r="CB533" s="274"/>
      <c r="CC533" s="144"/>
      <c r="CD533" s="274"/>
      <c r="CE533" s="132"/>
      <c r="CF533" s="132"/>
      <c r="CG533" s="36"/>
      <c r="CH533" s="263">
        <v>605790</v>
      </c>
      <c r="CI533" s="265">
        <f>+CH533*0.19</f>
        <v>115100.1</v>
      </c>
      <c r="CJ533" s="263">
        <f>+CH533+CI533</f>
        <v>720890.1</v>
      </c>
      <c r="CK533" s="264" t="s">
        <v>340</v>
      </c>
      <c r="CL533" s="264" t="s">
        <v>88</v>
      </c>
      <c r="CM533" s="132"/>
      <c r="CN533" s="274"/>
      <c r="CO533" s="144"/>
      <c r="CP533" s="274"/>
      <c r="CQ533" s="132"/>
      <c r="CR533" s="132"/>
      <c r="CS533" s="132"/>
      <c r="CT533" s="274"/>
      <c r="CU533" s="144"/>
      <c r="CV533" s="274"/>
      <c r="CW533" s="132"/>
      <c r="CX533" s="132"/>
      <c r="CY533" s="132"/>
      <c r="CZ533" s="118">
        <v>237241</v>
      </c>
      <c r="DA533" s="144">
        <f>+CZ533*0.19</f>
        <v>45075.79</v>
      </c>
      <c r="DB533" s="118">
        <f>+CZ533+DA533</f>
        <v>282316.78999999998</v>
      </c>
      <c r="DC533" s="33" t="s">
        <v>468</v>
      </c>
      <c r="DD533" s="39" t="s">
        <v>58</v>
      </c>
      <c r="DE533" s="11">
        <v>1060760025</v>
      </c>
      <c r="DF533" s="132"/>
      <c r="DG533" s="132"/>
      <c r="DH533" s="132"/>
      <c r="DI533" s="132"/>
      <c r="DJ533" s="132"/>
      <c r="DK533" s="132"/>
      <c r="DL533" s="132"/>
      <c r="DM533" s="132"/>
      <c r="DN533" s="132"/>
      <c r="DO533" s="132"/>
      <c r="DP533" s="132"/>
      <c r="DQ533" s="132"/>
      <c r="DR533" s="132"/>
      <c r="DS533" s="132"/>
      <c r="DT533" s="132"/>
      <c r="DU533" s="132"/>
      <c r="DV533" s="132"/>
      <c r="DW533" s="132"/>
      <c r="DX533" s="132"/>
      <c r="DY533" s="132"/>
      <c r="DZ533" s="132"/>
      <c r="EA533" s="132"/>
      <c r="EB533" s="132"/>
      <c r="EC533" s="132"/>
      <c r="ED533" s="132"/>
      <c r="EE533" s="132"/>
      <c r="EF533" s="132"/>
      <c r="EG533" s="132"/>
      <c r="EH533" s="132"/>
      <c r="EI533" s="132"/>
      <c r="EJ533" s="132"/>
      <c r="EK533" s="132"/>
      <c r="EL533" s="132"/>
      <c r="EM533" s="132"/>
      <c r="EN533" s="132"/>
      <c r="EO533" s="132"/>
      <c r="EP533" s="132"/>
      <c r="EQ533" s="132"/>
      <c r="ER533" s="132"/>
      <c r="ES533" s="132"/>
      <c r="ET533" s="11"/>
      <c r="EU533" s="11"/>
      <c r="EV533" s="11"/>
      <c r="EW533" s="11"/>
      <c r="EX533" s="11"/>
      <c r="EY533" s="11"/>
      <c r="EZ533" s="11"/>
      <c r="FA533" s="11"/>
      <c r="FB533" s="11"/>
      <c r="FC533" s="11"/>
      <c r="FD533" s="11"/>
      <c r="FE533" s="11"/>
      <c r="FF533" s="11"/>
      <c r="FG533" s="11"/>
      <c r="FH533" s="39">
        <f t="shared" si="126"/>
        <v>2696130.64</v>
      </c>
      <c r="FI533" s="33">
        <f t="shared" si="127"/>
        <v>7</v>
      </c>
      <c r="FJ533" s="84">
        <f t="shared" si="128"/>
        <v>385161.52</v>
      </c>
    </row>
    <row r="534" spans="1:166" ht="40.5" x14ac:dyDescent="0.25">
      <c r="A534" s="79" t="e">
        <f>#REF!</f>
        <v>#REF!</v>
      </c>
      <c r="B534" s="75" t="e">
        <f>#REF!</f>
        <v>#REF!</v>
      </c>
      <c r="C534" s="75" t="e">
        <f>#REF!</f>
        <v>#REF!</v>
      </c>
      <c r="D534" s="75" t="e">
        <f>#REF!</f>
        <v>#REF!</v>
      </c>
      <c r="E534" s="30">
        <v>1</v>
      </c>
      <c r="F534" s="238">
        <v>353444.875</v>
      </c>
      <c r="G534" s="241">
        <v>88179</v>
      </c>
      <c r="H534" s="249">
        <v>265980.0424486</v>
      </c>
      <c r="I534" s="249">
        <v>97580</v>
      </c>
      <c r="J534" s="249">
        <v>502419.19000000006</v>
      </c>
      <c r="K534" s="249">
        <v>490280</v>
      </c>
      <c r="L534" s="274">
        <f>AVERAGE(F534,H534,J534)</f>
        <v>373948.03581620008</v>
      </c>
      <c r="M534" s="274">
        <f>AVERAGE(G534,I534,K534)*E1</f>
        <v>232106.72333333336</v>
      </c>
      <c r="N534" s="245"/>
      <c r="O534" s="113"/>
      <c r="P534" s="113"/>
      <c r="Q534" s="131"/>
      <c r="R534" s="131"/>
      <c r="S534" s="64"/>
      <c r="T534" s="113"/>
      <c r="U534" s="113"/>
      <c r="V534" s="113"/>
      <c r="W534" s="131"/>
      <c r="X534" s="131"/>
      <c r="Y534" s="52"/>
      <c r="Z534" s="117"/>
      <c r="AA534" s="113"/>
      <c r="AB534" s="113"/>
      <c r="AC534" s="131"/>
      <c r="AD534" s="52"/>
      <c r="AE534" s="11"/>
      <c r="AF534" s="118">
        <v>300000</v>
      </c>
      <c r="AG534" s="144">
        <f>AF534*19%</f>
        <v>57000</v>
      </c>
      <c r="AH534" s="113">
        <f>+AF534+AG534</f>
        <v>357000</v>
      </c>
      <c r="AI534" s="11"/>
      <c r="AJ534" s="11"/>
      <c r="AK534" s="39"/>
      <c r="AL534" s="113">
        <v>290000</v>
      </c>
      <c r="AM534" s="113">
        <f>+AL534*0.19</f>
        <v>55100</v>
      </c>
      <c r="AN534" s="119">
        <f>+AL534+AM534</f>
        <v>345100</v>
      </c>
      <c r="AO534" s="76" t="s">
        <v>109</v>
      </c>
      <c r="AP534" s="39" t="s">
        <v>45</v>
      </c>
      <c r="AQ534" s="39"/>
      <c r="AR534" s="275">
        <v>151200</v>
      </c>
      <c r="AS534" s="143">
        <f t="shared" si="133"/>
        <v>28728</v>
      </c>
      <c r="AT534" s="116">
        <f t="shared" si="134"/>
        <v>179928</v>
      </c>
      <c r="AU534" s="62" t="s">
        <v>109</v>
      </c>
      <c r="AV534" s="36" t="s">
        <v>35</v>
      </c>
      <c r="AW534" s="39"/>
      <c r="AX534" s="116"/>
      <c r="AY534" s="196"/>
      <c r="AZ534" s="143"/>
      <c r="BA534" s="191"/>
      <c r="BB534" s="132"/>
      <c r="BC534" s="132"/>
      <c r="BD534" s="274"/>
      <c r="BE534" s="143"/>
      <c r="BF534" s="143"/>
      <c r="BG534" s="132"/>
      <c r="BH534" s="132"/>
      <c r="BI534" s="132"/>
      <c r="BJ534" s="143"/>
      <c r="BK534" s="143"/>
      <c r="BL534" s="143"/>
      <c r="BM534" s="132"/>
      <c r="BN534" s="132"/>
      <c r="BO534" s="132"/>
      <c r="BP534" s="143"/>
      <c r="BQ534" s="132"/>
      <c r="BR534" s="132"/>
      <c r="BS534" s="132"/>
      <c r="BT534" s="132"/>
      <c r="BU534" s="132"/>
      <c r="BV534" s="263">
        <v>559100</v>
      </c>
      <c r="BW534" s="144">
        <f t="shared" si="131"/>
        <v>106229</v>
      </c>
      <c r="BX534" s="113">
        <f t="shared" si="132"/>
        <v>665329</v>
      </c>
      <c r="BY534" s="264" t="s">
        <v>340</v>
      </c>
      <c r="BZ534" s="264" t="s">
        <v>469</v>
      </c>
      <c r="CA534" s="132"/>
      <c r="CB534" s="274"/>
      <c r="CC534" s="144"/>
      <c r="CD534" s="274"/>
      <c r="CE534" s="39"/>
      <c r="CF534" s="39"/>
      <c r="CG534" s="36"/>
      <c r="CH534" s="263">
        <v>570282</v>
      </c>
      <c r="CI534" s="265">
        <f>+CH534*0.19</f>
        <v>108353.58</v>
      </c>
      <c r="CJ534" s="263">
        <f>+CH534+CI534</f>
        <v>678635.58</v>
      </c>
      <c r="CK534" s="264" t="s">
        <v>340</v>
      </c>
      <c r="CL534" s="264" t="s">
        <v>469</v>
      </c>
      <c r="CM534" s="132"/>
      <c r="CN534" s="274"/>
      <c r="CO534" s="144"/>
      <c r="CP534" s="274"/>
      <c r="CQ534" s="132"/>
      <c r="CR534" s="132"/>
      <c r="CS534" s="132"/>
      <c r="CT534" s="274"/>
      <c r="CU534" s="144"/>
      <c r="CV534" s="274"/>
      <c r="CW534" s="132"/>
      <c r="CX534" s="132"/>
      <c r="CY534" s="132"/>
      <c r="CZ534" s="118"/>
      <c r="DA534" s="144"/>
      <c r="DB534" s="118"/>
      <c r="DC534" s="33"/>
      <c r="DD534" s="39"/>
      <c r="DE534" s="11"/>
      <c r="DF534" s="132"/>
      <c r="DG534" s="132"/>
      <c r="DH534" s="132"/>
      <c r="DI534" s="132"/>
      <c r="DJ534" s="132"/>
      <c r="DK534" s="132"/>
      <c r="DL534" s="132"/>
      <c r="DM534" s="132"/>
      <c r="DN534" s="132"/>
      <c r="DO534" s="132"/>
      <c r="DP534" s="132"/>
      <c r="DQ534" s="132"/>
      <c r="DR534" s="132"/>
      <c r="DS534" s="132"/>
      <c r="DT534" s="132"/>
      <c r="DU534" s="132"/>
      <c r="DV534" s="132"/>
      <c r="DW534" s="132"/>
      <c r="DX534" s="132"/>
      <c r="DY534" s="132"/>
      <c r="DZ534" s="132"/>
      <c r="EA534" s="132"/>
      <c r="EB534" s="132"/>
      <c r="EC534" s="132"/>
      <c r="ED534" s="132"/>
      <c r="EE534" s="132"/>
      <c r="EF534" s="132"/>
      <c r="EG534" s="132"/>
      <c r="EH534" s="132"/>
      <c r="EI534" s="132"/>
      <c r="EJ534" s="132"/>
      <c r="EK534" s="132"/>
      <c r="EL534" s="132"/>
      <c r="EM534" s="132"/>
      <c r="EN534" s="132"/>
      <c r="EO534" s="132"/>
      <c r="EP534" s="132"/>
      <c r="EQ534" s="132"/>
      <c r="ER534" s="132"/>
      <c r="ES534" s="132"/>
      <c r="ET534" s="11"/>
      <c r="EU534" s="11"/>
      <c r="EV534" s="11"/>
      <c r="EW534" s="11"/>
      <c r="EX534" s="11"/>
      <c r="EY534" s="11"/>
      <c r="EZ534" s="11"/>
      <c r="FA534" s="11"/>
      <c r="FB534" s="11"/>
      <c r="FC534" s="11"/>
      <c r="FD534" s="11"/>
      <c r="FE534" s="11"/>
      <c r="FF534" s="275"/>
      <c r="FG534" s="71"/>
      <c r="FH534" s="39">
        <f t="shared" si="126"/>
        <v>2458099.3033333332</v>
      </c>
      <c r="FI534" s="33">
        <f t="shared" si="127"/>
        <v>6</v>
      </c>
      <c r="FJ534" s="84">
        <f t="shared" si="128"/>
        <v>409683.21722222219</v>
      </c>
    </row>
    <row r="535" spans="1:166" ht="25.5" x14ac:dyDescent="0.25">
      <c r="A535" s="79" t="e">
        <f>#REF!</f>
        <v>#REF!</v>
      </c>
      <c r="B535" s="75" t="e">
        <f>#REF!</f>
        <v>#REF!</v>
      </c>
      <c r="C535" s="75" t="e">
        <f>#REF!</f>
        <v>#REF!</v>
      </c>
      <c r="D535" s="75" t="e">
        <f>#REF!</f>
        <v>#REF!</v>
      </c>
      <c r="E535" s="30">
        <v>1</v>
      </c>
      <c r="F535" s="238">
        <v>572806.5</v>
      </c>
      <c r="G535" s="241">
        <v>564179</v>
      </c>
      <c r="H535" s="249">
        <v>580267.92098333326</v>
      </c>
      <c r="I535" s="249">
        <v>580244</v>
      </c>
      <c r="J535" s="249">
        <v>539308.9916666667</v>
      </c>
      <c r="K535" s="249">
        <v>0</v>
      </c>
      <c r="L535" s="274">
        <f>AVERAGE(F535,H535,J535)</f>
        <v>564127.80421666661</v>
      </c>
      <c r="M535" s="274">
        <f>AVERAGE(G535,I535)*E1</f>
        <v>589377.84499999997</v>
      </c>
      <c r="N535" s="245"/>
      <c r="O535" s="117"/>
      <c r="P535" s="113"/>
      <c r="Q535" s="131"/>
      <c r="R535" s="131"/>
      <c r="S535" s="64"/>
      <c r="T535" s="113"/>
      <c r="U535" s="113"/>
      <c r="V535" s="113"/>
      <c r="W535" s="131"/>
      <c r="X535" s="131"/>
      <c r="Y535" s="11"/>
      <c r="Z535" s="113"/>
      <c r="AA535" s="113"/>
      <c r="AB535" s="113"/>
      <c r="AC535" s="52"/>
      <c r="AD535" s="52"/>
      <c r="AE535" s="11"/>
      <c r="AF535" s="118">
        <v>490000</v>
      </c>
      <c r="AG535" s="144">
        <f>AF535*19%</f>
        <v>93100</v>
      </c>
      <c r="AH535" s="113">
        <f>+AF535+AG535</f>
        <v>583100</v>
      </c>
      <c r="AI535" s="11"/>
      <c r="AJ535" s="11"/>
      <c r="AK535" s="39"/>
      <c r="AL535" s="113">
        <f>460000/2</f>
        <v>230000</v>
      </c>
      <c r="AM535" s="113">
        <f>+AL535*0.19</f>
        <v>43700</v>
      </c>
      <c r="AN535" s="119">
        <f>+AL535+AM535</f>
        <v>273700</v>
      </c>
      <c r="AO535" s="76" t="s">
        <v>228</v>
      </c>
      <c r="AP535" s="39" t="s">
        <v>45</v>
      </c>
      <c r="AQ535" s="39"/>
      <c r="AR535" s="275">
        <v>302400</v>
      </c>
      <c r="AS535" s="143">
        <f t="shared" si="133"/>
        <v>57456</v>
      </c>
      <c r="AT535" s="116">
        <f t="shared" si="134"/>
        <v>359856</v>
      </c>
      <c r="AU535" s="62" t="s">
        <v>34</v>
      </c>
      <c r="AV535" s="36" t="s">
        <v>35</v>
      </c>
      <c r="AW535" s="11"/>
      <c r="AX535" s="116"/>
      <c r="AY535" s="196"/>
      <c r="AZ535" s="143"/>
      <c r="BA535" s="191"/>
      <c r="BB535" s="132"/>
      <c r="BC535" s="132"/>
      <c r="BD535" s="274"/>
      <c r="BE535" s="143"/>
      <c r="BF535" s="143"/>
      <c r="BG535" s="132"/>
      <c r="BH535" s="132"/>
      <c r="BI535" s="132"/>
      <c r="BJ535" s="143"/>
      <c r="BK535" s="143"/>
      <c r="BL535" s="143"/>
      <c r="BM535" s="132"/>
      <c r="BN535" s="132"/>
      <c r="BO535" s="132"/>
      <c r="BP535" s="143"/>
      <c r="BQ535" s="132"/>
      <c r="BR535" s="132"/>
      <c r="BS535" s="132"/>
      <c r="BT535" s="132"/>
      <c r="BU535" s="132"/>
      <c r="BV535" s="263">
        <v>838700</v>
      </c>
      <c r="BW535" s="144">
        <f t="shared" si="131"/>
        <v>159353</v>
      </c>
      <c r="BX535" s="113">
        <f t="shared" si="132"/>
        <v>998053</v>
      </c>
      <c r="BY535" s="264" t="s">
        <v>340</v>
      </c>
      <c r="BZ535" s="264" t="s">
        <v>88</v>
      </c>
      <c r="CA535" s="132"/>
      <c r="CB535" s="274"/>
      <c r="CC535" s="144"/>
      <c r="CD535" s="274"/>
      <c r="CE535" s="132"/>
      <c r="CF535" s="132"/>
      <c r="CG535" s="36"/>
      <c r="CH535" s="263">
        <v>897409</v>
      </c>
      <c r="CI535" s="265">
        <f>+CH535*0.19</f>
        <v>170507.71</v>
      </c>
      <c r="CJ535" s="263">
        <f>+CH535+CI535</f>
        <v>1067916.71</v>
      </c>
      <c r="CK535" s="264" t="s">
        <v>340</v>
      </c>
      <c r="CL535" s="264" t="s">
        <v>88</v>
      </c>
      <c r="CM535" s="132"/>
      <c r="CN535" s="274"/>
      <c r="CO535" s="144"/>
      <c r="CP535" s="274"/>
      <c r="CQ535" s="132"/>
      <c r="CR535" s="132"/>
      <c r="CS535" s="132"/>
      <c r="CT535" s="274"/>
      <c r="CU535" s="144"/>
      <c r="CV535" s="274"/>
      <c r="CW535" s="132"/>
      <c r="CX535" s="132"/>
      <c r="CY535" s="132"/>
      <c r="CZ535" s="118">
        <v>432686</v>
      </c>
      <c r="DA535" s="144">
        <f>+CZ535*0.19</f>
        <v>82210.34</v>
      </c>
      <c r="DB535" s="118">
        <f>+CZ535+DA535</f>
        <v>514896.33999999997</v>
      </c>
      <c r="DC535" s="33" t="s">
        <v>470</v>
      </c>
      <c r="DD535" s="39" t="s">
        <v>58</v>
      </c>
      <c r="DE535" s="11">
        <v>1159480025</v>
      </c>
      <c r="DF535" s="132"/>
      <c r="DG535" s="132"/>
      <c r="DH535" s="132"/>
      <c r="DI535" s="132"/>
      <c r="DJ535" s="132"/>
      <c r="DK535" s="132"/>
      <c r="DL535" s="132"/>
      <c r="DM535" s="132"/>
      <c r="DN535" s="132"/>
      <c r="DO535" s="132"/>
      <c r="DP535" s="132"/>
      <c r="DQ535" s="132"/>
      <c r="DR535" s="132"/>
      <c r="DS535" s="132"/>
      <c r="DT535" s="132"/>
      <c r="DU535" s="132"/>
      <c r="DV535" s="132"/>
      <c r="DW535" s="132"/>
      <c r="DX535" s="132"/>
      <c r="DY535" s="132"/>
      <c r="DZ535" s="132"/>
      <c r="EA535" s="132"/>
      <c r="EB535" s="132"/>
      <c r="EC535" s="132"/>
      <c r="ED535" s="132"/>
      <c r="EE535" s="132"/>
      <c r="EF535" s="132"/>
      <c r="EG535" s="132"/>
      <c r="EH535" s="132"/>
      <c r="EI535" s="132"/>
      <c r="EJ535" s="132"/>
      <c r="EK535" s="132"/>
      <c r="EL535" s="132"/>
      <c r="EM535" s="132"/>
      <c r="EN535" s="132"/>
      <c r="EO535" s="132"/>
      <c r="EP535" s="132"/>
      <c r="EQ535" s="132"/>
      <c r="ER535" s="132"/>
      <c r="ES535" s="132"/>
      <c r="ET535" s="11"/>
      <c r="EU535" s="11"/>
      <c r="EV535" s="11"/>
      <c r="EW535" s="11"/>
      <c r="EX535" s="11"/>
      <c r="EY535" s="11"/>
      <c r="EZ535" s="11"/>
      <c r="FA535" s="11"/>
      <c r="FB535" s="11"/>
      <c r="FC535" s="11"/>
      <c r="FD535" s="11"/>
      <c r="FE535" s="11"/>
      <c r="FF535" s="11"/>
      <c r="FG535" s="11"/>
      <c r="FH535" s="39">
        <f t="shared" si="126"/>
        <v>4386899.8949999996</v>
      </c>
      <c r="FI535" s="33">
        <f t="shared" si="127"/>
        <v>7</v>
      </c>
      <c r="FJ535" s="84">
        <f t="shared" si="128"/>
        <v>626699.98499999999</v>
      </c>
    </row>
    <row r="536" spans="1:166" ht="40.5" x14ac:dyDescent="0.25">
      <c r="A536" s="79" t="e">
        <f>#REF!</f>
        <v>#REF!</v>
      </c>
      <c r="B536" s="75" t="e">
        <f>#REF!</f>
        <v>#REF!</v>
      </c>
      <c r="C536" s="75" t="e">
        <f>#REF!</f>
        <v>#REF!</v>
      </c>
      <c r="D536" s="75" t="e">
        <f>#REF!</f>
        <v>#REF!</v>
      </c>
      <c r="E536" s="30">
        <v>1</v>
      </c>
      <c r="F536" s="238">
        <v>0</v>
      </c>
      <c r="G536" s="241">
        <v>0</v>
      </c>
      <c r="H536" s="249">
        <v>3649135</v>
      </c>
      <c r="I536" s="249">
        <v>3629500</v>
      </c>
      <c r="J536" s="249">
        <v>4858179.2</v>
      </c>
      <c r="K536" s="249">
        <v>4688600</v>
      </c>
      <c r="L536" s="274">
        <f>AVERAGE(H536,J536)</f>
        <v>4253657.0999999996</v>
      </c>
      <c r="M536" s="274">
        <f>AVERAGE(I536,K536)*E1</f>
        <v>4283821.5</v>
      </c>
      <c r="N536" s="245"/>
      <c r="O536" s="117"/>
      <c r="P536" s="113"/>
      <c r="Q536" s="131"/>
      <c r="R536" s="131"/>
      <c r="S536" s="64"/>
      <c r="T536" s="113"/>
      <c r="U536" s="113"/>
      <c r="V536" s="113"/>
      <c r="W536" s="131"/>
      <c r="X536" s="131"/>
      <c r="Y536" s="11"/>
      <c r="Z536" s="113"/>
      <c r="AA536" s="113"/>
      <c r="AB536" s="113"/>
      <c r="AC536" s="52"/>
      <c r="AD536" s="52"/>
      <c r="AE536" s="11"/>
      <c r="AF536" s="118"/>
      <c r="AG536" s="144"/>
      <c r="AH536" s="113"/>
      <c r="AI536" s="11"/>
      <c r="AJ536" s="11"/>
      <c r="AK536" s="39"/>
      <c r="AL536" s="113"/>
      <c r="AM536" s="113"/>
      <c r="AN536" s="117"/>
      <c r="AO536" s="76"/>
      <c r="AP536" s="39"/>
      <c r="AQ536" s="39"/>
      <c r="AR536" s="275">
        <f>806400*2</f>
        <v>1612800</v>
      </c>
      <c r="AS536" s="143">
        <f t="shared" si="133"/>
        <v>306432</v>
      </c>
      <c r="AT536" s="116">
        <f t="shared" si="134"/>
        <v>1919232</v>
      </c>
      <c r="AU536" s="62" t="s">
        <v>357</v>
      </c>
      <c r="AV536" s="36" t="s">
        <v>35</v>
      </c>
      <c r="AW536" s="11"/>
      <c r="AX536" s="116"/>
      <c r="AY536" s="196"/>
      <c r="AZ536" s="143"/>
      <c r="BA536" s="191"/>
      <c r="BB536" s="132"/>
      <c r="BC536" s="132"/>
      <c r="BD536" s="274"/>
      <c r="BE536" s="143"/>
      <c r="BF536" s="143"/>
      <c r="BG536" s="132"/>
      <c r="BH536" s="132"/>
      <c r="BI536" s="132"/>
      <c r="BJ536" s="143"/>
      <c r="BK536" s="143"/>
      <c r="BL536" s="143"/>
      <c r="BM536" s="132"/>
      <c r="BN536" s="132"/>
      <c r="BO536" s="132"/>
      <c r="BP536" s="143"/>
      <c r="BQ536" s="132"/>
      <c r="BR536" s="132"/>
      <c r="BS536" s="132"/>
      <c r="BT536" s="132"/>
      <c r="BU536" s="132"/>
      <c r="BV536" s="268">
        <v>3800000</v>
      </c>
      <c r="BW536" s="144">
        <f t="shared" si="131"/>
        <v>722000</v>
      </c>
      <c r="BX536" s="113">
        <f t="shared" si="132"/>
        <v>4522000</v>
      </c>
      <c r="BY536" s="264" t="s">
        <v>309</v>
      </c>
      <c r="BZ536" s="264" t="s">
        <v>313</v>
      </c>
      <c r="CA536" s="132"/>
      <c r="CB536" s="274"/>
      <c r="CC536" s="144"/>
      <c r="CD536" s="274"/>
      <c r="CE536" s="132"/>
      <c r="CF536" s="132"/>
      <c r="CG536" s="36"/>
      <c r="CH536" s="268"/>
      <c r="CI536" s="265"/>
      <c r="CJ536" s="263"/>
      <c r="CK536" s="264"/>
      <c r="CL536" s="264"/>
      <c r="CM536" s="132"/>
      <c r="CN536" s="274"/>
      <c r="CO536" s="144"/>
      <c r="CP536" s="274"/>
      <c r="CQ536" s="132"/>
      <c r="CR536" s="132"/>
      <c r="CS536" s="132"/>
      <c r="CT536" s="144">
        <v>2263040</v>
      </c>
      <c r="CU536" s="144">
        <f>CT536*0.19</f>
        <v>429977.59999999998</v>
      </c>
      <c r="CV536" s="144">
        <f>CU536+CT536</f>
        <v>2693017.6000000001</v>
      </c>
      <c r="CW536" s="132"/>
      <c r="CX536" s="132"/>
      <c r="CY536" s="132"/>
      <c r="CZ536" s="118"/>
      <c r="DA536" s="144"/>
      <c r="DB536" s="118"/>
      <c r="DC536" s="33"/>
      <c r="DD536" s="39"/>
      <c r="DE536" s="11"/>
      <c r="DF536" s="132"/>
      <c r="DG536" s="132"/>
      <c r="DH536" s="132"/>
      <c r="DI536" s="132"/>
      <c r="DJ536" s="132"/>
      <c r="DK536" s="132"/>
      <c r="DL536" s="132"/>
      <c r="DM536" s="132"/>
      <c r="DN536" s="132"/>
      <c r="DO536" s="132"/>
      <c r="DP536" s="132"/>
      <c r="DQ536" s="132"/>
      <c r="DR536" s="132"/>
      <c r="DS536" s="132"/>
      <c r="DT536" s="132"/>
      <c r="DU536" s="132"/>
      <c r="DV536" s="132"/>
      <c r="DW536" s="132"/>
      <c r="DX536" s="132"/>
      <c r="DY536" s="132"/>
      <c r="DZ536" s="132"/>
      <c r="EA536" s="132"/>
      <c r="EB536" s="132"/>
      <c r="EC536" s="132"/>
      <c r="ED536" s="132"/>
      <c r="EE536" s="132"/>
      <c r="EF536" s="132"/>
      <c r="EG536" s="132"/>
      <c r="EH536" s="132"/>
      <c r="EI536" s="132"/>
      <c r="EJ536" s="132"/>
      <c r="EK536" s="132"/>
      <c r="EL536" s="132"/>
      <c r="EM536" s="132"/>
      <c r="EN536" s="132"/>
      <c r="EO536" s="132"/>
      <c r="EP536" s="132"/>
      <c r="EQ536" s="132"/>
      <c r="ER536" s="132"/>
      <c r="ES536" s="132"/>
      <c r="ET536" s="11"/>
      <c r="EU536" s="11"/>
      <c r="EV536" s="11"/>
      <c r="EW536" s="11"/>
      <c r="EX536" s="11"/>
      <c r="EY536" s="11"/>
      <c r="EZ536" s="11"/>
      <c r="FA536" s="11"/>
      <c r="FB536" s="11"/>
      <c r="FC536" s="11"/>
      <c r="FD536" s="11"/>
      <c r="FE536" s="11"/>
      <c r="FF536" s="11"/>
      <c r="FG536" s="11"/>
      <c r="FH536" s="39">
        <f t="shared" si="126"/>
        <v>13418071.1</v>
      </c>
      <c r="FI536" s="33">
        <f t="shared" si="127"/>
        <v>4</v>
      </c>
      <c r="FJ536" s="84">
        <f t="shared" si="128"/>
        <v>3354517.7749999999</v>
      </c>
    </row>
    <row r="537" spans="1:166" x14ac:dyDescent="0.25">
      <c r="A537" s="79" t="e">
        <f>#REF!</f>
        <v>#REF!</v>
      </c>
      <c r="B537" s="75" t="e">
        <f>#REF!</f>
        <v>#REF!</v>
      </c>
      <c r="C537" s="75" t="e">
        <f>#REF!</f>
        <v>#REF!</v>
      </c>
      <c r="D537" s="75" t="e">
        <f>#REF!</f>
        <v>#REF!</v>
      </c>
      <c r="E537" s="30">
        <v>1</v>
      </c>
      <c r="F537" s="238">
        <v>0</v>
      </c>
      <c r="G537" s="241">
        <v>0</v>
      </c>
      <c r="H537" s="249">
        <v>0</v>
      </c>
      <c r="I537" s="249">
        <v>0</v>
      </c>
      <c r="J537" s="249">
        <v>0</v>
      </c>
      <c r="K537" s="249">
        <v>0</v>
      </c>
      <c r="L537" s="274"/>
      <c r="M537" s="274"/>
      <c r="N537" s="245"/>
      <c r="O537" s="113"/>
      <c r="P537" s="113"/>
      <c r="Q537" s="131"/>
      <c r="R537" s="131"/>
      <c r="S537" s="64"/>
      <c r="T537" s="113"/>
      <c r="U537" s="113"/>
      <c r="V537" s="113"/>
      <c r="W537" s="131"/>
      <c r="X537" s="131"/>
      <c r="Y537" s="11"/>
      <c r="Z537" s="113"/>
      <c r="AA537" s="113"/>
      <c r="AB537" s="113"/>
      <c r="AC537" s="52"/>
      <c r="AD537" s="52"/>
      <c r="AE537" s="11"/>
      <c r="AF537" s="113"/>
      <c r="AG537" s="144"/>
      <c r="AH537" s="113"/>
      <c r="AI537" s="11"/>
      <c r="AJ537" s="11"/>
      <c r="AK537" s="39"/>
      <c r="AL537" s="113"/>
      <c r="AM537" s="113"/>
      <c r="AN537" s="117"/>
      <c r="AO537" s="76"/>
      <c r="AP537" s="39"/>
      <c r="AQ537" s="39"/>
      <c r="AR537" s="275"/>
      <c r="AS537" s="275"/>
      <c r="AT537" s="275"/>
      <c r="AU537" s="48"/>
      <c r="AV537" s="62"/>
      <c r="AW537" s="11"/>
      <c r="AX537" s="116"/>
      <c r="AY537" s="196"/>
      <c r="AZ537" s="143"/>
      <c r="BA537" s="191"/>
      <c r="BB537" s="132"/>
      <c r="BC537" s="132"/>
      <c r="BD537" s="275"/>
      <c r="BE537" s="143"/>
      <c r="BF537" s="143"/>
      <c r="BG537" s="132"/>
      <c r="BH537" s="132"/>
      <c r="BI537" s="132"/>
      <c r="BJ537" s="143"/>
      <c r="BK537" s="143"/>
      <c r="BL537" s="143"/>
      <c r="BM537" s="132"/>
      <c r="BN537" s="132"/>
      <c r="BO537" s="132"/>
      <c r="BP537" s="143"/>
      <c r="BQ537" s="132"/>
      <c r="BR537" s="132"/>
      <c r="BS537" s="132"/>
      <c r="BT537" s="132"/>
      <c r="BU537" s="132"/>
      <c r="BV537" s="210"/>
      <c r="BW537" s="144"/>
      <c r="BX537" s="113"/>
      <c r="BY537" s="273"/>
      <c r="BZ537" s="273"/>
      <c r="CA537" s="132"/>
      <c r="CB537" s="275"/>
      <c r="CC537" s="143"/>
      <c r="CD537" s="275"/>
      <c r="CE537" s="132"/>
      <c r="CF537" s="132"/>
      <c r="CG537" s="36"/>
      <c r="CH537" s="210"/>
      <c r="CI537" s="219"/>
      <c r="CJ537" s="210"/>
      <c r="CK537" s="273"/>
      <c r="CL537" s="273"/>
      <c r="CM537" s="132"/>
      <c r="CN537" s="275"/>
      <c r="CO537" s="143"/>
      <c r="CP537" s="275"/>
      <c r="CQ537" s="132"/>
      <c r="CR537" s="132"/>
      <c r="CS537" s="132"/>
      <c r="CT537" s="275"/>
      <c r="CU537" s="143"/>
      <c r="CV537" s="275"/>
      <c r="CW537" s="132"/>
      <c r="CX537" s="132"/>
      <c r="CY537" s="132"/>
      <c r="CZ537" s="113"/>
      <c r="DA537" s="143"/>
      <c r="DB537" s="113"/>
      <c r="DC537" s="33"/>
      <c r="DD537" s="39"/>
      <c r="DE537" s="11"/>
      <c r="DF537" s="132"/>
      <c r="DG537" s="132"/>
      <c r="DH537" s="132"/>
      <c r="DI537" s="132"/>
      <c r="DJ537" s="132"/>
      <c r="DK537" s="132"/>
      <c r="DL537" s="132"/>
      <c r="DM537" s="132"/>
      <c r="DN537" s="132"/>
      <c r="DO537" s="132"/>
      <c r="DP537" s="132"/>
      <c r="DQ537" s="132"/>
      <c r="DR537" s="132"/>
      <c r="DS537" s="132"/>
      <c r="DT537" s="132"/>
      <c r="DU537" s="132"/>
      <c r="DV537" s="132"/>
      <c r="DW537" s="132"/>
      <c r="DX537" s="132"/>
      <c r="DY537" s="132"/>
      <c r="DZ537" s="132"/>
      <c r="EA537" s="132"/>
      <c r="EB537" s="132"/>
      <c r="EC537" s="132"/>
      <c r="ED537" s="132"/>
      <c r="EE537" s="132"/>
      <c r="EF537" s="132"/>
      <c r="EG537" s="132"/>
      <c r="EH537" s="132"/>
      <c r="EI537" s="132"/>
      <c r="EJ537" s="132"/>
      <c r="EK537" s="132"/>
      <c r="EL537" s="132"/>
      <c r="EM537" s="132"/>
      <c r="EN537" s="132"/>
      <c r="EO537" s="132"/>
      <c r="EP537" s="132"/>
      <c r="EQ537" s="132"/>
      <c r="ER537" s="132"/>
      <c r="ES537" s="132"/>
      <c r="ET537" s="11"/>
      <c r="EU537" s="11"/>
      <c r="EV537" s="11"/>
      <c r="EW537" s="11"/>
      <c r="EX537" s="11"/>
      <c r="EY537" s="11"/>
      <c r="EZ537" s="11"/>
      <c r="FA537" s="11"/>
      <c r="FB537" s="11"/>
      <c r="FC537" s="11"/>
      <c r="FD537" s="11"/>
      <c r="FE537" s="11"/>
      <c r="FF537" s="11"/>
      <c r="FG537" s="11"/>
      <c r="FH537" s="39">
        <f t="shared" si="126"/>
        <v>0</v>
      </c>
      <c r="FI537" s="33">
        <f t="shared" si="127"/>
        <v>0</v>
      </c>
      <c r="FJ537" s="84" t="str">
        <f t="shared" si="128"/>
        <v xml:space="preserve"> </v>
      </c>
    </row>
    <row r="538" spans="1:166" x14ac:dyDescent="0.25">
      <c r="A538" s="79" t="e">
        <f>#REF!</f>
        <v>#REF!</v>
      </c>
      <c r="B538" s="75" t="e">
        <f>#REF!</f>
        <v>#REF!</v>
      </c>
      <c r="C538" s="75" t="e">
        <f>#REF!</f>
        <v>#REF!</v>
      </c>
      <c r="D538" s="75" t="e">
        <f>#REF!</f>
        <v>#REF!</v>
      </c>
      <c r="E538" s="30">
        <v>1</v>
      </c>
      <c r="F538" s="238">
        <v>0</v>
      </c>
      <c r="G538" s="241">
        <v>0</v>
      </c>
      <c r="H538" s="249">
        <v>0</v>
      </c>
      <c r="I538" s="249">
        <v>0</v>
      </c>
      <c r="J538" s="249">
        <v>0</v>
      </c>
      <c r="K538" s="249">
        <v>0</v>
      </c>
      <c r="L538" s="274"/>
      <c r="M538" s="274"/>
      <c r="N538" s="245"/>
      <c r="O538" s="117"/>
      <c r="P538" s="113"/>
      <c r="Q538" s="131"/>
      <c r="R538" s="131"/>
      <c r="S538" s="64"/>
      <c r="T538" s="113"/>
      <c r="U538" s="113"/>
      <c r="V538" s="113"/>
      <c r="W538" s="131"/>
      <c r="X538" s="131"/>
      <c r="Y538" s="11"/>
      <c r="Z538" s="113"/>
      <c r="AA538" s="113"/>
      <c r="AB538" s="113"/>
      <c r="AC538" s="52"/>
      <c r="AD538" s="52"/>
      <c r="AE538" s="11"/>
      <c r="AF538" s="113"/>
      <c r="AG538" s="144"/>
      <c r="AH538" s="113"/>
      <c r="AI538" s="11"/>
      <c r="AJ538" s="11"/>
      <c r="AK538" s="39"/>
      <c r="AL538" s="113"/>
      <c r="AM538" s="113"/>
      <c r="AN538" s="117"/>
      <c r="AO538" s="76"/>
      <c r="AP538" s="39"/>
      <c r="AQ538" s="39"/>
      <c r="AR538" s="275"/>
      <c r="AS538" s="275"/>
      <c r="AT538" s="275"/>
      <c r="AU538" s="48"/>
      <c r="AV538" s="62"/>
      <c r="AW538" s="11"/>
      <c r="AX538" s="116"/>
      <c r="AY538" s="196"/>
      <c r="AZ538" s="143"/>
      <c r="BA538" s="191"/>
      <c r="BB538" s="132"/>
      <c r="BC538" s="132"/>
      <c r="BD538" s="275"/>
      <c r="BE538" s="143"/>
      <c r="BF538" s="143"/>
      <c r="BG538" s="132"/>
      <c r="BH538" s="132"/>
      <c r="BI538" s="132"/>
      <c r="BJ538" s="143"/>
      <c r="BK538" s="143"/>
      <c r="BL538" s="143"/>
      <c r="BM538" s="132"/>
      <c r="BN538" s="132"/>
      <c r="BO538" s="132"/>
      <c r="BP538" s="143"/>
      <c r="BQ538" s="132"/>
      <c r="BR538" s="132"/>
      <c r="BS538" s="132"/>
      <c r="BT538" s="132"/>
      <c r="BU538" s="132"/>
      <c r="BV538" s="210"/>
      <c r="BW538" s="144"/>
      <c r="BX538" s="113"/>
      <c r="BY538" s="273"/>
      <c r="BZ538" s="273"/>
      <c r="CA538" s="132"/>
      <c r="CB538" s="275"/>
      <c r="CC538" s="143"/>
      <c r="CD538" s="275"/>
      <c r="CE538" s="132"/>
      <c r="CF538" s="132"/>
      <c r="CG538" s="36"/>
      <c r="CH538" s="210"/>
      <c r="CI538" s="219"/>
      <c r="CJ538" s="210"/>
      <c r="CK538" s="273"/>
      <c r="CL538" s="273"/>
      <c r="CM538" s="132"/>
      <c r="CN538" s="275"/>
      <c r="CO538" s="143"/>
      <c r="CP538" s="275"/>
      <c r="CQ538" s="132"/>
      <c r="CR538" s="132"/>
      <c r="CS538" s="132"/>
      <c r="CT538" s="275"/>
      <c r="CU538" s="143"/>
      <c r="CV538" s="275"/>
      <c r="CW538" s="132"/>
      <c r="CX538" s="132"/>
      <c r="CY538" s="132"/>
      <c r="CZ538" s="113"/>
      <c r="DA538" s="143"/>
      <c r="DB538" s="113"/>
      <c r="DC538" s="33"/>
      <c r="DD538" s="39"/>
      <c r="DE538" s="11"/>
      <c r="DF538" s="132"/>
      <c r="DG538" s="132"/>
      <c r="DH538" s="132"/>
      <c r="DI538" s="132"/>
      <c r="DJ538" s="132"/>
      <c r="DK538" s="132"/>
      <c r="DL538" s="132"/>
      <c r="DM538" s="132"/>
      <c r="DN538" s="132"/>
      <c r="DO538" s="132"/>
      <c r="DP538" s="132"/>
      <c r="DQ538" s="132"/>
      <c r="DR538" s="132"/>
      <c r="DS538" s="132"/>
      <c r="DT538" s="132"/>
      <c r="DU538" s="132"/>
      <c r="DV538" s="132"/>
      <c r="DW538" s="132"/>
      <c r="DX538" s="132"/>
      <c r="DY538" s="132"/>
      <c r="DZ538" s="132"/>
      <c r="EA538" s="132"/>
      <c r="EB538" s="132"/>
      <c r="EC538" s="132"/>
      <c r="ED538" s="132"/>
      <c r="EE538" s="132"/>
      <c r="EF538" s="132"/>
      <c r="EG538" s="132"/>
      <c r="EH538" s="132"/>
      <c r="EI538" s="132"/>
      <c r="EJ538" s="132"/>
      <c r="EK538" s="132"/>
      <c r="EL538" s="132"/>
      <c r="EM538" s="132"/>
      <c r="EN538" s="132"/>
      <c r="EO538" s="132"/>
      <c r="EP538" s="132"/>
      <c r="EQ538" s="132"/>
      <c r="ER538" s="132"/>
      <c r="ES538" s="132"/>
      <c r="ET538" s="11"/>
      <c r="EU538" s="11"/>
      <c r="EV538" s="11"/>
      <c r="EW538" s="11"/>
      <c r="EX538" s="11"/>
      <c r="EY538" s="11"/>
      <c r="EZ538" s="11"/>
      <c r="FA538" s="11"/>
      <c r="FB538" s="11"/>
      <c r="FC538" s="11"/>
      <c r="FD538" s="11"/>
      <c r="FE538" s="11"/>
      <c r="FF538" s="11"/>
      <c r="FG538" s="11"/>
      <c r="FH538" s="39">
        <f t="shared" si="126"/>
        <v>0</v>
      </c>
      <c r="FI538" s="33">
        <f t="shared" si="127"/>
        <v>0</v>
      </c>
      <c r="FJ538" s="84" t="str">
        <f t="shared" si="128"/>
        <v xml:space="preserve"> </v>
      </c>
    </row>
    <row r="539" spans="1:166" x14ac:dyDescent="0.25">
      <c r="A539" s="79" t="e">
        <f>#REF!</f>
        <v>#REF!</v>
      </c>
      <c r="B539" s="75" t="e">
        <f>#REF!</f>
        <v>#REF!</v>
      </c>
      <c r="C539" s="75" t="e">
        <f>#REF!</f>
        <v>#REF!</v>
      </c>
      <c r="D539" s="75" t="e">
        <f>#REF!</f>
        <v>#REF!</v>
      </c>
      <c r="E539" s="30">
        <v>1</v>
      </c>
      <c r="F539" s="238">
        <v>0</v>
      </c>
      <c r="G539" s="241">
        <v>0</v>
      </c>
      <c r="H539" s="249">
        <v>0</v>
      </c>
      <c r="I539" s="249">
        <v>0</v>
      </c>
      <c r="J539" s="249">
        <v>0</v>
      </c>
      <c r="K539" s="249">
        <v>0</v>
      </c>
      <c r="L539" s="274"/>
      <c r="M539" s="274"/>
      <c r="N539" s="245"/>
      <c r="O539" s="117"/>
      <c r="P539" s="113"/>
      <c r="Q539" s="131"/>
      <c r="R539" s="131"/>
      <c r="S539" s="64"/>
      <c r="T539" s="113"/>
      <c r="U539" s="113"/>
      <c r="V539" s="113"/>
      <c r="W539" s="131"/>
      <c r="X539" s="131"/>
      <c r="Y539" s="11"/>
      <c r="Z539" s="113"/>
      <c r="AA539" s="113"/>
      <c r="AB539" s="113"/>
      <c r="AC539" s="52"/>
      <c r="AD539" s="52"/>
      <c r="AE539" s="11"/>
      <c r="AF539" s="113"/>
      <c r="AG539" s="144"/>
      <c r="AH539" s="113"/>
      <c r="AI539" s="11"/>
      <c r="AJ539" s="11"/>
      <c r="AK539" s="39"/>
      <c r="AL539" s="113"/>
      <c r="AM539" s="113"/>
      <c r="AN539" s="117"/>
      <c r="AO539" s="76"/>
      <c r="AP539" s="39"/>
      <c r="AQ539" s="39"/>
      <c r="AR539" s="275"/>
      <c r="AS539" s="275"/>
      <c r="AT539" s="275"/>
      <c r="AU539" s="48"/>
      <c r="AV539" s="62"/>
      <c r="AW539" s="11"/>
      <c r="AX539" s="116"/>
      <c r="AY539" s="196"/>
      <c r="AZ539" s="143"/>
      <c r="BA539" s="191"/>
      <c r="BB539" s="132"/>
      <c r="BC539" s="132"/>
      <c r="BD539" s="275"/>
      <c r="BE539" s="143"/>
      <c r="BF539" s="143"/>
      <c r="BG539" s="132"/>
      <c r="BH539" s="132"/>
      <c r="BI539" s="132"/>
      <c r="BJ539" s="143"/>
      <c r="BK539" s="143"/>
      <c r="BL539" s="143"/>
      <c r="BM539" s="132"/>
      <c r="BN539" s="132"/>
      <c r="BO539" s="132"/>
      <c r="BP539" s="143"/>
      <c r="BQ539" s="132"/>
      <c r="BR539" s="132"/>
      <c r="BS539" s="132"/>
      <c r="BT539" s="132"/>
      <c r="BU539" s="132"/>
      <c r="BV539" s="210"/>
      <c r="BW539" s="144"/>
      <c r="BX539" s="113"/>
      <c r="BY539" s="273"/>
      <c r="BZ539" s="273"/>
      <c r="CA539" s="132"/>
      <c r="CB539" s="275"/>
      <c r="CC539" s="143"/>
      <c r="CD539" s="275"/>
      <c r="CE539" s="132"/>
      <c r="CF539" s="132"/>
      <c r="CG539" s="36"/>
      <c r="CH539" s="210"/>
      <c r="CI539" s="219"/>
      <c r="CJ539" s="210"/>
      <c r="CK539" s="273"/>
      <c r="CL539" s="273"/>
      <c r="CM539" s="132"/>
      <c r="CN539" s="275"/>
      <c r="CO539" s="143"/>
      <c r="CP539" s="275"/>
      <c r="CQ539" s="132"/>
      <c r="CR539" s="132"/>
      <c r="CS539" s="132"/>
      <c r="CT539" s="275"/>
      <c r="CU539" s="143"/>
      <c r="CV539" s="275"/>
      <c r="CW539" s="132"/>
      <c r="CX539" s="132"/>
      <c r="CY539" s="132"/>
      <c r="CZ539" s="113"/>
      <c r="DA539" s="143"/>
      <c r="DB539" s="113"/>
      <c r="DC539" s="33"/>
      <c r="DD539" s="39"/>
      <c r="DE539" s="11"/>
      <c r="DF539" s="132"/>
      <c r="DG539" s="132"/>
      <c r="DH539" s="132"/>
      <c r="DI539" s="132"/>
      <c r="DJ539" s="132"/>
      <c r="DK539" s="132"/>
      <c r="DL539" s="132"/>
      <c r="DM539" s="132"/>
      <c r="DN539" s="132"/>
      <c r="DO539" s="132"/>
      <c r="DP539" s="132"/>
      <c r="DQ539" s="132"/>
      <c r="DR539" s="132"/>
      <c r="DS539" s="132"/>
      <c r="DT539" s="132"/>
      <c r="DU539" s="132"/>
      <c r="DV539" s="132"/>
      <c r="DW539" s="132"/>
      <c r="DX539" s="132"/>
      <c r="DY539" s="132"/>
      <c r="DZ539" s="132"/>
      <c r="EA539" s="132"/>
      <c r="EB539" s="132"/>
      <c r="EC539" s="132"/>
      <c r="ED539" s="132"/>
      <c r="EE539" s="132"/>
      <c r="EF539" s="132"/>
      <c r="EG539" s="132"/>
      <c r="EH539" s="132"/>
      <c r="EI539" s="132"/>
      <c r="EJ539" s="132"/>
      <c r="EK539" s="132"/>
      <c r="EL539" s="132"/>
      <c r="EM539" s="132"/>
      <c r="EN539" s="132"/>
      <c r="EO539" s="132"/>
      <c r="EP539" s="132"/>
      <c r="EQ539" s="132"/>
      <c r="ER539" s="132"/>
      <c r="ES539" s="132"/>
      <c r="ET539" s="11"/>
      <c r="EU539" s="11"/>
      <c r="EV539" s="11"/>
      <c r="EW539" s="11"/>
      <c r="EX539" s="11"/>
      <c r="EY539" s="11"/>
      <c r="EZ539" s="11"/>
      <c r="FA539" s="11"/>
      <c r="FB539" s="11"/>
      <c r="FC539" s="11"/>
      <c r="FD539" s="11"/>
      <c r="FE539" s="11"/>
      <c r="FF539" s="11"/>
      <c r="FG539" s="11"/>
      <c r="FH539" s="39">
        <f t="shared" si="126"/>
        <v>0</v>
      </c>
      <c r="FI539" s="33">
        <f t="shared" si="127"/>
        <v>0</v>
      </c>
      <c r="FJ539" s="84" t="str">
        <f t="shared" si="128"/>
        <v xml:space="preserve"> </v>
      </c>
    </row>
    <row r="540" spans="1:166" ht="13.5" x14ac:dyDescent="0.25">
      <c r="A540" s="79" t="e">
        <f>#REF!</f>
        <v>#REF!</v>
      </c>
      <c r="B540" s="75" t="e">
        <f>#REF!</f>
        <v>#REF!</v>
      </c>
      <c r="C540" s="75" t="e">
        <f>#REF!</f>
        <v>#REF!</v>
      </c>
      <c r="D540" s="75" t="e">
        <f>#REF!</f>
        <v>#REF!</v>
      </c>
      <c r="E540" s="30">
        <v>1</v>
      </c>
      <c r="F540" s="238">
        <v>0</v>
      </c>
      <c r="G540" s="241">
        <v>0</v>
      </c>
      <c r="H540" s="249">
        <v>0</v>
      </c>
      <c r="I540" s="249">
        <v>0</v>
      </c>
      <c r="J540" s="249">
        <v>3200000</v>
      </c>
      <c r="K540" s="249">
        <v>2650000</v>
      </c>
      <c r="L540" s="274">
        <f>J540</f>
        <v>3200000</v>
      </c>
      <c r="M540" s="274">
        <f>K540*E1</f>
        <v>2729500</v>
      </c>
      <c r="N540" s="247">
        <v>2230000</v>
      </c>
      <c r="O540" s="113">
        <f>+N540*0</f>
        <v>0</v>
      </c>
      <c r="P540" s="113">
        <f>+O540+N540</f>
        <v>2230000</v>
      </c>
      <c r="Q540" s="36" t="s">
        <v>418</v>
      </c>
      <c r="R540" s="132" t="s">
        <v>200</v>
      </c>
      <c r="S540" s="64" t="s">
        <v>216</v>
      </c>
      <c r="T540" s="113"/>
      <c r="U540" s="113"/>
      <c r="V540" s="113"/>
      <c r="W540" s="131"/>
      <c r="X540" s="131"/>
      <c r="Y540" s="11"/>
      <c r="Z540" s="113"/>
      <c r="AA540" s="113"/>
      <c r="AB540" s="113"/>
      <c r="AC540" s="52"/>
      <c r="AD540" s="52"/>
      <c r="AE540" s="11"/>
      <c r="AF540" s="118"/>
      <c r="AG540" s="144"/>
      <c r="AH540" s="113"/>
      <c r="AI540" s="11"/>
      <c r="AJ540" s="11"/>
      <c r="AK540" s="39"/>
      <c r="AL540" s="113"/>
      <c r="AM540" s="113"/>
      <c r="AN540" s="117"/>
      <c r="AO540" s="76"/>
      <c r="AP540" s="39"/>
      <c r="AQ540" s="39"/>
      <c r="AR540" s="275"/>
      <c r="AS540" s="275"/>
      <c r="AT540" s="275"/>
      <c r="AU540" s="62"/>
      <c r="AV540" s="62"/>
      <c r="AW540" s="11"/>
      <c r="AX540" s="116"/>
      <c r="AY540" s="196"/>
      <c r="AZ540" s="143"/>
      <c r="BA540" s="191"/>
      <c r="BB540" s="132"/>
      <c r="BC540" s="132"/>
      <c r="BD540" s="274"/>
      <c r="BE540" s="143"/>
      <c r="BF540" s="143"/>
      <c r="BG540" s="132"/>
      <c r="BH540" s="132"/>
      <c r="BI540" s="132"/>
      <c r="BJ540" s="143"/>
      <c r="BK540" s="143"/>
      <c r="BL540" s="143"/>
      <c r="BM540" s="132"/>
      <c r="BN540" s="132"/>
      <c r="BO540" s="132"/>
      <c r="BP540" s="143"/>
      <c r="BQ540" s="132"/>
      <c r="BR540" s="132"/>
      <c r="BS540" s="132"/>
      <c r="BT540" s="132"/>
      <c r="BU540" s="132"/>
      <c r="BV540" s="263">
        <v>2282200</v>
      </c>
      <c r="BW540" s="144">
        <f>BV540*0</f>
        <v>0</v>
      </c>
      <c r="BX540" s="113">
        <f>+BV540+BW540</f>
        <v>2282200</v>
      </c>
      <c r="BY540" s="264" t="s">
        <v>419</v>
      </c>
      <c r="BZ540" s="264" t="s">
        <v>131</v>
      </c>
      <c r="CA540" s="132"/>
      <c r="CB540" s="274"/>
      <c r="CC540" s="144"/>
      <c r="CD540" s="274"/>
      <c r="CE540" s="132"/>
      <c r="CF540" s="132"/>
      <c r="CG540" s="36"/>
      <c r="CH540" s="267">
        <v>2396310</v>
      </c>
      <c r="CI540" s="265">
        <f>+CH540*0</f>
        <v>0</v>
      </c>
      <c r="CJ540" s="263">
        <f>+CH540+CI540</f>
        <v>2396310</v>
      </c>
      <c r="CK540" s="264" t="s">
        <v>419</v>
      </c>
      <c r="CL540" s="264" t="s">
        <v>131</v>
      </c>
      <c r="CM540" s="132"/>
      <c r="CN540" s="274"/>
      <c r="CO540" s="144"/>
      <c r="CP540" s="274"/>
      <c r="CQ540" s="132"/>
      <c r="CR540" s="132"/>
      <c r="CS540" s="132"/>
      <c r="CT540" s="274"/>
      <c r="CU540" s="144"/>
      <c r="CV540" s="274"/>
      <c r="CW540" s="132"/>
      <c r="CX540" s="132"/>
      <c r="CY540" s="132"/>
      <c r="CZ540" s="118"/>
      <c r="DA540" s="144"/>
      <c r="DB540" s="118"/>
      <c r="DC540" s="33"/>
      <c r="DD540" s="39"/>
      <c r="DE540" s="11"/>
      <c r="DF540" s="132"/>
      <c r="DG540" s="132"/>
      <c r="DH540" s="132"/>
      <c r="DI540" s="132"/>
      <c r="DJ540" s="132"/>
      <c r="DK540" s="132"/>
      <c r="DL540" s="132"/>
      <c r="DM540" s="132"/>
      <c r="DN540" s="132"/>
      <c r="DO540" s="132"/>
      <c r="DP540" s="132"/>
      <c r="DQ540" s="132"/>
      <c r="DR540" s="132"/>
      <c r="DS540" s="132"/>
      <c r="DT540" s="132"/>
      <c r="DU540" s="132"/>
      <c r="DV540" s="132"/>
      <c r="DW540" s="132"/>
      <c r="DX540" s="132"/>
      <c r="DY540" s="132"/>
      <c r="DZ540" s="132"/>
      <c r="EA540" s="132"/>
      <c r="EB540" s="132"/>
      <c r="EC540" s="132"/>
      <c r="ED540" s="132"/>
      <c r="EE540" s="132"/>
      <c r="EF540" s="132"/>
      <c r="EG540" s="132"/>
      <c r="EH540" s="132"/>
      <c r="EI540" s="132"/>
      <c r="EJ540" s="132"/>
      <c r="EK540" s="132"/>
      <c r="EL540" s="132"/>
      <c r="EM540" s="132"/>
      <c r="EN540" s="132"/>
      <c r="EO540" s="132"/>
      <c r="EP540" s="132"/>
      <c r="EQ540" s="132"/>
      <c r="ER540" s="132"/>
      <c r="ES540" s="132"/>
      <c r="ET540" s="11"/>
      <c r="EU540" s="11"/>
      <c r="EV540" s="11"/>
      <c r="EW540" s="11"/>
      <c r="EX540" s="11"/>
      <c r="EY540" s="11"/>
      <c r="EZ540" s="11"/>
      <c r="FA540" s="11"/>
      <c r="FB540" s="11"/>
      <c r="FC540" s="11"/>
      <c r="FD540" s="11"/>
      <c r="FE540" s="11"/>
      <c r="FF540" s="11"/>
      <c r="FG540" s="11"/>
      <c r="FH540" s="39">
        <f t="shared" si="126"/>
        <v>9638010</v>
      </c>
      <c r="FI540" s="33">
        <f t="shared" si="127"/>
        <v>4</v>
      </c>
      <c r="FJ540" s="84">
        <f t="shared" si="128"/>
        <v>2409502.5</v>
      </c>
    </row>
    <row r="541" spans="1:166" ht="13.5" x14ac:dyDescent="0.25">
      <c r="A541" s="79" t="e">
        <f>#REF!</f>
        <v>#REF!</v>
      </c>
      <c r="B541" s="75" t="e">
        <f>#REF!</f>
        <v>#REF!</v>
      </c>
      <c r="C541" s="75" t="e">
        <f>#REF!</f>
        <v>#REF!</v>
      </c>
      <c r="D541" s="75" t="e">
        <f>#REF!</f>
        <v>#REF!</v>
      </c>
      <c r="E541" s="30">
        <v>1</v>
      </c>
      <c r="F541" s="238">
        <v>0</v>
      </c>
      <c r="G541" s="241">
        <v>0</v>
      </c>
      <c r="H541" s="249">
        <v>761451.25</v>
      </c>
      <c r="I541" s="249">
        <v>0</v>
      </c>
      <c r="J541" s="249">
        <v>0</v>
      </c>
      <c r="K541" s="249">
        <v>0</v>
      </c>
      <c r="L541" s="274">
        <f>H541</f>
        <v>761451.25</v>
      </c>
      <c r="M541" s="274"/>
      <c r="N541" s="245"/>
      <c r="O541" s="117"/>
      <c r="P541" s="113"/>
      <c r="Q541" s="131"/>
      <c r="R541" s="131"/>
      <c r="S541" s="64"/>
      <c r="T541" s="113"/>
      <c r="U541" s="113"/>
      <c r="V541" s="113"/>
      <c r="W541" s="131"/>
      <c r="X541" s="131"/>
      <c r="Y541" s="11"/>
      <c r="Z541" s="113"/>
      <c r="AA541" s="113"/>
      <c r="AB541" s="113"/>
      <c r="AC541" s="52"/>
      <c r="AD541" s="52"/>
      <c r="AE541" s="11"/>
      <c r="AF541" s="118">
        <v>875000</v>
      </c>
      <c r="AG541" s="144">
        <f>AF541*19%</f>
        <v>166250</v>
      </c>
      <c r="AH541" s="113">
        <f>+AF541+AG541</f>
        <v>1041250</v>
      </c>
      <c r="AI541" s="11"/>
      <c r="AJ541" s="11"/>
      <c r="AK541" s="39"/>
      <c r="AL541" s="113"/>
      <c r="AM541" s="113"/>
      <c r="AN541" s="117"/>
      <c r="AO541" s="76"/>
      <c r="AP541" s="39"/>
      <c r="AQ541" s="39"/>
      <c r="AR541" s="275"/>
      <c r="AS541" s="275"/>
      <c r="AT541" s="275"/>
      <c r="AU541" s="62"/>
      <c r="AV541" s="62"/>
      <c r="AW541" s="11"/>
      <c r="AX541" s="116"/>
      <c r="AY541" s="196"/>
      <c r="AZ541" s="143"/>
      <c r="BA541" s="191"/>
      <c r="BB541" s="132"/>
      <c r="BC541" s="132"/>
      <c r="BD541" s="274"/>
      <c r="BE541" s="143"/>
      <c r="BF541" s="143"/>
      <c r="BG541" s="132"/>
      <c r="BH541" s="132"/>
      <c r="BI541" s="132"/>
      <c r="BJ541" s="143"/>
      <c r="BK541" s="143"/>
      <c r="BL541" s="143"/>
      <c r="BM541" s="132"/>
      <c r="BN541" s="132"/>
      <c r="BO541" s="132"/>
      <c r="BP541" s="143"/>
      <c r="BQ541" s="132"/>
      <c r="BR541" s="132"/>
      <c r="BS541" s="132"/>
      <c r="BT541" s="132"/>
      <c r="BU541" s="132"/>
      <c r="BV541" s="263">
        <f>1218700/5</f>
        <v>243740</v>
      </c>
      <c r="BW541" s="144">
        <f>BV541*19%</f>
        <v>46310.6</v>
      </c>
      <c r="BX541" s="113">
        <f>+BV541+BW541</f>
        <v>290050.59999999998</v>
      </c>
      <c r="BY541" s="264" t="s">
        <v>471</v>
      </c>
      <c r="BZ541" s="264" t="s">
        <v>88</v>
      </c>
      <c r="CA541" s="132"/>
      <c r="CB541" s="274"/>
      <c r="CC541" s="144"/>
      <c r="CD541" s="274"/>
      <c r="CE541" s="132"/>
      <c r="CF541" s="132"/>
      <c r="CG541" s="36"/>
      <c r="CH541" s="263">
        <v>1279635</v>
      </c>
      <c r="CI541" s="265">
        <f>+CH541*0.19</f>
        <v>243130.65</v>
      </c>
      <c r="CJ541" s="263">
        <f>+CH541+CI541</f>
        <v>1522765.65</v>
      </c>
      <c r="CK541" s="264" t="s">
        <v>471</v>
      </c>
      <c r="CL541" s="264" t="s">
        <v>88</v>
      </c>
      <c r="CM541" s="132"/>
      <c r="CN541" s="274"/>
      <c r="CO541" s="144"/>
      <c r="CP541" s="274"/>
      <c r="CQ541" s="132"/>
      <c r="CR541" s="132"/>
      <c r="CS541" s="132"/>
      <c r="CT541" s="274"/>
      <c r="CU541" s="144"/>
      <c r="CV541" s="274"/>
      <c r="CW541" s="132"/>
      <c r="CX541" s="132"/>
      <c r="CY541" s="132"/>
      <c r="CZ541" s="118"/>
      <c r="DA541" s="144"/>
      <c r="DB541" s="118"/>
      <c r="DC541" s="33"/>
      <c r="DD541" s="39"/>
      <c r="DE541" s="11"/>
      <c r="DF541" s="132"/>
      <c r="DG541" s="132"/>
      <c r="DH541" s="132"/>
      <c r="DI541" s="132"/>
      <c r="DJ541" s="132"/>
      <c r="DK541" s="132"/>
      <c r="DL541" s="132"/>
      <c r="DM541" s="132"/>
      <c r="DN541" s="132"/>
      <c r="DO541" s="132"/>
      <c r="DP541" s="132"/>
      <c r="DQ541" s="132"/>
      <c r="DR541" s="132"/>
      <c r="DS541" s="132"/>
      <c r="DT541" s="132"/>
      <c r="DU541" s="132"/>
      <c r="DV541" s="132"/>
      <c r="DW541" s="132"/>
      <c r="DX541" s="132"/>
      <c r="DY541" s="132"/>
      <c r="DZ541" s="132"/>
      <c r="EA541" s="132"/>
      <c r="EB541" s="132"/>
      <c r="EC541" s="132"/>
      <c r="ED541" s="132"/>
      <c r="EE541" s="132"/>
      <c r="EF541" s="132"/>
      <c r="EG541" s="132"/>
      <c r="EH541" s="132"/>
      <c r="EI541" s="132"/>
      <c r="EJ541" s="132"/>
      <c r="EK541" s="132"/>
      <c r="EL541" s="132"/>
      <c r="EM541" s="132"/>
      <c r="EN541" s="132"/>
      <c r="EO541" s="132"/>
      <c r="EP541" s="132"/>
      <c r="EQ541" s="132"/>
      <c r="ER541" s="132"/>
      <c r="ES541" s="132"/>
      <c r="ET541" s="11"/>
      <c r="EU541" s="11"/>
      <c r="EV541" s="11"/>
      <c r="EW541" s="11"/>
      <c r="EX541" s="11"/>
      <c r="EY541" s="11"/>
      <c r="EZ541" s="11"/>
      <c r="FA541" s="11"/>
      <c r="FB541" s="11"/>
      <c r="FC541" s="11"/>
      <c r="FD541" s="11"/>
      <c r="FE541" s="11"/>
      <c r="FF541" s="11"/>
      <c r="FG541" s="11"/>
      <c r="FH541" s="39">
        <f t="shared" si="126"/>
        <v>2854066.25</v>
      </c>
      <c r="FI541" s="33">
        <f t="shared" si="127"/>
        <v>3</v>
      </c>
      <c r="FJ541" s="84">
        <f t="shared" si="128"/>
        <v>951355.41666666663</v>
      </c>
    </row>
    <row r="542" spans="1:166" x14ac:dyDescent="0.25">
      <c r="A542" s="79" t="e">
        <f>#REF!</f>
        <v>#REF!</v>
      </c>
      <c r="B542" s="75" t="e">
        <f>#REF!</f>
        <v>#REF!</v>
      </c>
      <c r="C542" s="75" t="e">
        <f>#REF!</f>
        <v>#REF!</v>
      </c>
      <c r="D542" s="75" t="e">
        <f>#REF!</f>
        <v>#REF!</v>
      </c>
      <c r="E542" s="30">
        <v>1</v>
      </c>
      <c r="F542" s="238">
        <v>0</v>
      </c>
      <c r="G542" s="241">
        <v>0</v>
      </c>
      <c r="H542" s="249">
        <v>0</v>
      </c>
      <c r="I542" s="249">
        <v>0</v>
      </c>
      <c r="J542" s="249">
        <v>0</v>
      </c>
      <c r="K542" s="249">
        <v>0</v>
      </c>
      <c r="L542" s="274"/>
      <c r="M542" s="274"/>
      <c r="N542" s="245"/>
      <c r="O542" s="117"/>
      <c r="P542" s="113"/>
      <c r="Q542" s="131"/>
      <c r="R542" s="131"/>
      <c r="S542" s="64"/>
      <c r="T542" s="113"/>
      <c r="U542" s="113"/>
      <c r="V542" s="113"/>
      <c r="W542" s="131"/>
      <c r="X542" s="131"/>
      <c r="Y542" s="11"/>
      <c r="Z542" s="113"/>
      <c r="AA542" s="113"/>
      <c r="AB542" s="113"/>
      <c r="AC542" s="52"/>
      <c r="AD542" s="52"/>
      <c r="AE542" s="11"/>
      <c r="AF542" s="118"/>
      <c r="AG542" s="144"/>
      <c r="AH542" s="113"/>
      <c r="AI542" s="11"/>
      <c r="AJ542" s="11"/>
      <c r="AK542" s="39"/>
      <c r="AL542" s="113"/>
      <c r="AM542" s="113"/>
      <c r="AN542" s="117"/>
      <c r="AO542" s="76"/>
      <c r="AP542" s="39"/>
      <c r="AQ542" s="39"/>
      <c r="AR542" s="275"/>
      <c r="AS542" s="275"/>
      <c r="AT542" s="275"/>
      <c r="AU542" s="62"/>
      <c r="AV542" s="62"/>
      <c r="AW542" s="11"/>
      <c r="AX542" s="116"/>
      <c r="AY542" s="196"/>
      <c r="AZ542" s="143"/>
      <c r="BA542" s="191"/>
      <c r="BB542" s="132"/>
      <c r="BC542" s="132"/>
      <c r="BD542" s="274"/>
      <c r="BE542" s="143"/>
      <c r="BF542" s="143"/>
      <c r="BG542" s="132"/>
      <c r="BH542" s="132"/>
      <c r="BI542" s="132"/>
      <c r="BJ542" s="143"/>
      <c r="BK542" s="143"/>
      <c r="BL542" s="143"/>
      <c r="BM542" s="132"/>
      <c r="BN542" s="132"/>
      <c r="BO542" s="132"/>
      <c r="BP542" s="143"/>
      <c r="BQ542" s="132"/>
      <c r="BR542" s="132"/>
      <c r="BS542" s="132"/>
      <c r="BT542" s="132"/>
      <c r="BU542" s="132"/>
      <c r="BV542" s="210"/>
      <c r="BW542" s="144"/>
      <c r="BX542" s="113"/>
      <c r="BY542" s="273"/>
      <c r="BZ542" s="273"/>
      <c r="CA542" s="132"/>
      <c r="CB542" s="274"/>
      <c r="CC542" s="144"/>
      <c r="CD542" s="274"/>
      <c r="CE542" s="132"/>
      <c r="CF542" s="132"/>
      <c r="CG542" s="36"/>
      <c r="CH542" s="210"/>
      <c r="CI542" s="219"/>
      <c r="CJ542" s="210"/>
      <c r="CK542" s="273"/>
      <c r="CL542" s="273"/>
      <c r="CM542" s="132"/>
      <c r="CN542" s="274"/>
      <c r="CO542" s="144"/>
      <c r="CP542" s="274"/>
      <c r="CQ542" s="132"/>
      <c r="CR542" s="132"/>
      <c r="CS542" s="132"/>
      <c r="CT542" s="274"/>
      <c r="CU542" s="144"/>
      <c r="CV542" s="274"/>
      <c r="CW542" s="132"/>
      <c r="CX542" s="132"/>
      <c r="CY542" s="132"/>
      <c r="CZ542" s="118"/>
      <c r="DA542" s="144"/>
      <c r="DB542" s="118"/>
      <c r="DC542" s="33"/>
      <c r="DD542" s="39"/>
      <c r="DE542" s="11"/>
      <c r="DF542" s="132"/>
      <c r="DG542" s="132"/>
      <c r="DH542" s="132"/>
      <c r="DI542" s="132"/>
      <c r="DJ542" s="132"/>
      <c r="DK542" s="132"/>
      <c r="DL542" s="132"/>
      <c r="DM542" s="132"/>
      <c r="DN542" s="132"/>
      <c r="DO542" s="132"/>
      <c r="DP542" s="132"/>
      <c r="DQ542" s="132"/>
      <c r="DR542" s="132"/>
      <c r="DS542" s="132"/>
      <c r="DT542" s="132"/>
      <c r="DU542" s="132"/>
      <c r="DV542" s="132"/>
      <c r="DW542" s="132"/>
      <c r="DX542" s="132"/>
      <c r="DY542" s="132"/>
      <c r="DZ542" s="132"/>
      <c r="EA542" s="132"/>
      <c r="EB542" s="132"/>
      <c r="EC542" s="132"/>
      <c r="ED542" s="132"/>
      <c r="EE542" s="132"/>
      <c r="EF542" s="132"/>
      <c r="EG542" s="132"/>
      <c r="EH542" s="132"/>
      <c r="EI542" s="132"/>
      <c r="EJ542" s="132"/>
      <c r="EK542" s="132"/>
      <c r="EL542" s="132"/>
      <c r="EM542" s="132"/>
      <c r="EN542" s="132"/>
      <c r="EO542" s="132"/>
      <c r="EP542" s="132"/>
      <c r="EQ542" s="132"/>
      <c r="ER542" s="132"/>
      <c r="ES542" s="132"/>
      <c r="ET542" s="11"/>
      <c r="EU542" s="11"/>
      <c r="EV542" s="11"/>
      <c r="EW542" s="11"/>
      <c r="EX542" s="11"/>
      <c r="EY542" s="11"/>
      <c r="EZ542" s="11"/>
      <c r="FA542" s="11"/>
      <c r="FB542" s="11"/>
      <c r="FC542" s="11"/>
      <c r="FD542" s="11"/>
      <c r="FE542" s="11"/>
      <c r="FF542" s="11"/>
      <c r="FG542" s="11"/>
      <c r="FH542" s="39">
        <f t="shared" si="126"/>
        <v>0</v>
      </c>
      <c r="FI542" s="33">
        <f t="shared" si="127"/>
        <v>0</v>
      </c>
      <c r="FJ542" s="84" t="str">
        <f t="shared" si="128"/>
        <v xml:space="preserve"> </v>
      </c>
    </row>
    <row r="543" spans="1:166" ht="25.5" x14ac:dyDescent="0.25">
      <c r="A543" s="79" t="e">
        <f>#REF!</f>
        <v>#REF!</v>
      </c>
      <c r="B543" s="75" t="e">
        <f>#REF!</f>
        <v>#REF!</v>
      </c>
      <c r="C543" s="75" t="e">
        <f>#REF!</f>
        <v>#REF!</v>
      </c>
      <c r="D543" s="75" t="e">
        <f>#REF!</f>
        <v>#REF!</v>
      </c>
      <c r="E543" s="30">
        <v>1</v>
      </c>
      <c r="F543" s="238">
        <v>330225</v>
      </c>
      <c r="G543" s="241">
        <v>329630</v>
      </c>
      <c r="H543" s="249">
        <v>515096.92937500001</v>
      </c>
      <c r="I543" s="249">
        <v>515032</v>
      </c>
      <c r="J543" s="249">
        <v>321310.34770656266</v>
      </c>
      <c r="K543" s="249">
        <v>317730</v>
      </c>
      <c r="L543" s="274">
        <f>AVERAGE(F543,H543,J543)</f>
        <v>388877.42569385422</v>
      </c>
      <c r="M543" s="274">
        <f>AVERAGE(G543,I543,K543)*E1</f>
        <v>399087.92</v>
      </c>
      <c r="N543" s="245"/>
      <c r="O543" s="113"/>
      <c r="P543" s="113"/>
      <c r="Q543" s="131"/>
      <c r="R543" s="131"/>
      <c r="S543" s="64"/>
      <c r="T543" s="113"/>
      <c r="U543" s="113"/>
      <c r="V543" s="113"/>
      <c r="W543" s="131"/>
      <c r="X543" s="131"/>
      <c r="Y543" s="11"/>
      <c r="Z543" s="113"/>
      <c r="AA543" s="113"/>
      <c r="AB543" s="113"/>
      <c r="AC543" s="52"/>
      <c r="AD543" s="52"/>
      <c r="AE543" s="11"/>
      <c r="AF543" s="118"/>
      <c r="AG543" s="144"/>
      <c r="AH543" s="113"/>
      <c r="AI543" s="11"/>
      <c r="AJ543" s="11"/>
      <c r="AK543" s="39"/>
      <c r="AL543" s="113"/>
      <c r="AM543" s="113"/>
      <c r="AN543" s="117"/>
      <c r="AO543" s="76"/>
      <c r="AP543" s="39"/>
      <c r="AQ543" s="39"/>
      <c r="AR543" s="275"/>
      <c r="AS543" s="275"/>
      <c r="AT543" s="275"/>
      <c r="AU543" s="62"/>
      <c r="AV543" s="62"/>
      <c r="AW543" s="11"/>
      <c r="AX543" s="116"/>
      <c r="AY543" s="196"/>
      <c r="AZ543" s="143"/>
      <c r="BA543" s="191"/>
      <c r="BB543" s="132"/>
      <c r="BC543" s="132"/>
      <c r="BD543" s="274"/>
      <c r="BE543" s="143"/>
      <c r="BF543" s="143"/>
      <c r="BG543" s="132"/>
      <c r="BH543" s="132"/>
      <c r="BI543" s="132"/>
      <c r="BJ543" s="143"/>
      <c r="BK543" s="143"/>
      <c r="BL543" s="143"/>
      <c r="BM543" s="132"/>
      <c r="BN543" s="132"/>
      <c r="BO543" s="132"/>
      <c r="BP543" s="143">
        <f>320511</f>
        <v>320511</v>
      </c>
      <c r="BQ543" s="144">
        <f>BP543*19%</f>
        <v>60897.090000000004</v>
      </c>
      <c r="BR543" s="113">
        <f>+BP543+BQ543</f>
        <v>381408.09</v>
      </c>
      <c r="BS543" s="33" t="s">
        <v>426</v>
      </c>
      <c r="BT543" s="36" t="s">
        <v>472</v>
      </c>
      <c r="BU543" s="5" t="s">
        <v>473</v>
      </c>
      <c r="BV543" s="263">
        <v>447300</v>
      </c>
      <c r="BW543" s="144">
        <f>BV543*19%</f>
        <v>84987</v>
      </c>
      <c r="BX543" s="113">
        <f>+BV543+BW543</f>
        <v>532287</v>
      </c>
      <c r="BY543" s="264" t="s">
        <v>231</v>
      </c>
      <c r="BZ543" s="264" t="s">
        <v>474</v>
      </c>
      <c r="CA543" s="132"/>
      <c r="CB543" s="274"/>
      <c r="CC543" s="144"/>
      <c r="CD543" s="274"/>
      <c r="CE543" s="132"/>
      <c r="CF543" s="132"/>
      <c r="CG543" s="36"/>
      <c r="CH543" s="263">
        <v>460719</v>
      </c>
      <c r="CI543" s="265">
        <f>+CH543*0.19</f>
        <v>87536.61</v>
      </c>
      <c r="CJ543" s="263">
        <f>+CH543+CI543</f>
        <v>548255.61</v>
      </c>
      <c r="CK543" s="264" t="s">
        <v>231</v>
      </c>
      <c r="CL543" s="264" t="s">
        <v>474</v>
      </c>
      <c r="CM543" s="132"/>
      <c r="CN543" s="274"/>
      <c r="CO543" s="144"/>
      <c r="CP543" s="274"/>
      <c r="CQ543" s="132"/>
      <c r="CR543" s="132"/>
      <c r="CS543" s="132"/>
      <c r="CT543" s="144">
        <v>266250</v>
      </c>
      <c r="CU543" s="144">
        <f>CT543*0.19</f>
        <v>50587.5</v>
      </c>
      <c r="CV543" s="144">
        <f>CU543+CT543</f>
        <v>316837.5</v>
      </c>
      <c r="CW543" s="132"/>
      <c r="CX543" s="132"/>
      <c r="CY543" s="132"/>
      <c r="CZ543" s="118"/>
      <c r="DA543" s="144"/>
      <c r="DB543" s="118"/>
      <c r="DC543" s="33"/>
      <c r="DD543" s="39"/>
      <c r="DE543" s="11"/>
      <c r="DF543" s="132"/>
      <c r="DG543" s="132"/>
      <c r="DH543" s="132"/>
      <c r="DI543" s="132"/>
      <c r="DJ543" s="132"/>
      <c r="DK543" s="132"/>
      <c r="DL543" s="132"/>
      <c r="DM543" s="132"/>
      <c r="DN543" s="132"/>
      <c r="DO543" s="132"/>
      <c r="DP543" s="132"/>
      <c r="DQ543" s="132"/>
      <c r="DR543" s="132"/>
      <c r="DS543" s="132"/>
      <c r="DT543" s="132"/>
      <c r="DU543" s="132"/>
      <c r="DV543" s="132"/>
      <c r="DW543" s="132"/>
      <c r="DX543" s="132"/>
      <c r="DY543" s="132"/>
      <c r="DZ543" s="132"/>
      <c r="EA543" s="132"/>
      <c r="EB543" s="132"/>
      <c r="EC543" s="132"/>
      <c r="ED543" s="132"/>
      <c r="EE543" s="132"/>
      <c r="EF543" s="132"/>
      <c r="EG543" s="132"/>
      <c r="EH543" s="132"/>
      <c r="EI543" s="132"/>
      <c r="EJ543" s="132"/>
      <c r="EK543" s="132"/>
      <c r="EL543" s="132"/>
      <c r="EM543" s="132"/>
      <c r="EN543" s="132"/>
      <c r="EO543" s="132"/>
      <c r="EP543" s="132"/>
      <c r="EQ543" s="132"/>
      <c r="ER543" s="132"/>
      <c r="ES543" s="132"/>
      <c r="ET543" s="11"/>
      <c r="EU543" s="11"/>
      <c r="EV543" s="11"/>
      <c r="EW543" s="11"/>
      <c r="EX543" s="11"/>
      <c r="EY543" s="11"/>
      <c r="EZ543" s="11"/>
      <c r="FA543" s="11"/>
      <c r="FB543" s="11"/>
      <c r="FC543" s="11"/>
      <c r="FD543" s="11"/>
      <c r="FE543" s="11"/>
      <c r="FF543" s="11"/>
      <c r="FG543" s="11"/>
      <c r="FH543" s="39">
        <f t="shared" si="126"/>
        <v>2177876.12</v>
      </c>
      <c r="FI543" s="33">
        <f t="shared" si="127"/>
        <v>5</v>
      </c>
      <c r="FJ543" s="84">
        <f t="shared" si="128"/>
        <v>435575.22400000005</v>
      </c>
    </row>
    <row r="544" spans="1:166" ht="25.5" x14ac:dyDescent="0.25">
      <c r="A544" s="79" t="e">
        <f>#REF!</f>
        <v>#REF!</v>
      </c>
      <c r="B544" s="75" t="e">
        <f>#REF!</f>
        <v>#REF!</v>
      </c>
      <c r="C544" s="75" t="e">
        <f>#REF!</f>
        <v>#REF!</v>
      </c>
      <c r="D544" s="75" t="e">
        <f>#REF!</f>
        <v>#REF!</v>
      </c>
      <c r="E544" s="30">
        <v>1</v>
      </c>
      <c r="F544" s="238">
        <v>95666.666666666672</v>
      </c>
      <c r="G544" s="241">
        <v>0</v>
      </c>
      <c r="H544" s="249">
        <v>137242.30322222222</v>
      </c>
      <c r="I544" s="249">
        <v>0</v>
      </c>
      <c r="J544" s="249">
        <v>151000</v>
      </c>
      <c r="K544" s="249">
        <v>0</v>
      </c>
      <c r="L544" s="274">
        <f>AVERAGE(F544,H544,J544)</f>
        <v>127969.65662962962</v>
      </c>
      <c r="M544" s="274"/>
      <c r="N544" s="247">
        <v>114750</v>
      </c>
      <c r="O544" s="113">
        <f>+N544*0</f>
        <v>0</v>
      </c>
      <c r="P544" s="113">
        <f>+O544+N544</f>
        <v>114750</v>
      </c>
      <c r="Q544" s="36" t="s">
        <v>475</v>
      </c>
      <c r="R544" s="132" t="s">
        <v>128</v>
      </c>
      <c r="S544" s="64" t="s">
        <v>216</v>
      </c>
      <c r="T544" s="113"/>
      <c r="U544" s="113"/>
      <c r="V544" s="113"/>
      <c r="W544" s="131"/>
      <c r="X544" s="131"/>
      <c r="Y544" s="11"/>
      <c r="Z544" s="113"/>
      <c r="AA544" s="113"/>
      <c r="AB544" s="113"/>
      <c r="AC544" s="52"/>
      <c r="AD544" s="52"/>
      <c r="AE544" s="11"/>
      <c r="AF544" s="118">
        <v>160000</v>
      </c>
      <c r="AG544" s="144">
        <v>0</v>
      </c>
      <c r="AH544" s="113">
        <f t="shared" ref="AH544:AH556" si="135">+AF544+AG544</f>
        <v>160000</v>
      </c>
      <c r="AI544" s="11"/>
      <c r="AJ544" s="11"/>
      <c r="AK544" s="39"/>
      <c r="AL544" s="113"/>
      <c r="AM544" s="113"/>
      <c r="AN544" s="117"/>
      <c r="AO544" s="76"/>
      <c r="AP544" s="39"/>
      <c r="AQ544" s="39"/>
      <c r="AR544" s="275"/>
      <c r="AS544" s="275"/>
      <c r="AT544" s="275"/>
      <c r="AU544" s="62"/>
      <c r="AV544" s="62"/>
      <c r="AW544" s="11"/>
      <c r="AX544" s="116"/>
      <c r="AY544" s="196"/>
      <c r="AZ544" s="143"/>
      <c r="BA544" s="191"/>
      <c r="BB544" s="132"/>
      <c r="BC544" s="132"/>
      <c r="BD544" s="274"/>
      <c r="BE544" s="143"/>
      <c r="BF544" s="143"/>
      <c r="BG544" s="132"/>
      <c r="BH544" s="132"/>
      <c r="BI544" s="132"/>
      <c r="BJ544" s="274">
        <v>83750</v>
      </c>
      <c r="BK544" s="118">
        <f>+BJ544*0.19</f>
        <v>15912.5</v>
      </c>
      <c r="BL544" s="113">
        <f>+BK544+BJ544</f>
        <v>99662.5</v>
      </c>
      <c r="BM544" s="132"/>
      <c r="BN544" s="132"/>
      <c r="BO544" s="132"/>
      <c r="BP544" s="143"/>
      <c r="BQ544" s="132"/>
      <c r="BR544" s="132"/>
      <c r="BS544" s="132"/>
      <c r="BT544" s="132"/>
      <c r="BU544" s="132"/>
      <c r="BV544" s="210"/>
      <c r="BW544" s="144"/>
      <c r="BX544" s="113"/>
      <c r="BY544" s="273"/>
      <c r="BZ544" s="273"/>
      <c r="CA544" s="132"/>
      <c r="CB544" s="274"/>
      <c r="CC544" s="144"/>
      <c r="CD544" s="274"/>
      <c r="CE544" s="132"/>
      <c r="CF544" s="132"/>
      <c r="CG544" s="36"/>
      <c r="CH544" s="210"/>
      <c r="CI544" s="219"/>
      <c r="CJ544" s="210"/>
      <c r="CK544" s="273"/>
      <c r="CL544" s="273"/>
      <c r="CM544" s="132"/>
      <c r="CN544" s="274"/>
      <c r="CO544" s="144"/>
      <c r="CP544" s="274"/>
      <c r="CQ544" s="132"/>
      <c r="CR544" s="132"/>
      <c r="CS544" s="132"/>
      <c r="CT544" s="274"/>
      <c r="CU544" s="144"/>
      <c r="CV544" s="274"/>
      <c r="CW544" s="132"/>
      <c r="CX544" s="132"/>
      <c r="CY544" s="132"/>
      <c r="CZ544" s="118"/>
      <c r="DA544" s="144"/>
      <c r="DB544" s="118"/>
      <c r="DC544" s="33"/>
      <c r="DD544" s="39"/>
      <c r="DE544" s="11"/>
      <c r="DF544" s="132"/>
      <c r="DG544" s="132"/>
      <c r="DH544" s="132"/>
      <c r="DI544" s="132"/>
      <c r="DJ544" s="132"/>
      <c r="DK544" s="132"/>
      <c r="DL544" s="132"/>
      <c r="DM544" s="132"/>
      <c r="DN544" s="132"/>
      <c r="DO544" s="132"/>
      <c r="DP544" s="132"/>
      <c r="DQ544" s="132"/>
      <c r="DR544" s="132"/>
      <c r="DS544" s="132"/>
      <c r="DT544" s="132"/>
      <c r="DU544" s="132"/>
      <c r="DV544" s="132"/>
      <c r="DW544" s="132"/>
      <c r="DX544" s="132"/>
      <c r="DY544" s="132"/>
      <c r="DZ544" s="132"/>
      <c r="EA544" s="132"/>
      <c r="EB544" s="132"/>
      <c r="EC544" s="132"/>
      <c r="ED544" s="132"/>
      <c r="EE544" s="132"/>
      <c r="EF544" s="132"/>
      <c r="EG544" s="132"/>
      <c r="EH544" s="132"/>
      <c r="EI544" s="132"/>
      <c r="EJ544" s="132"/>
      <c r="EK544" s="132"/>
      <c r="EL544" s="132"/>
      <c r="EM544" s="132"/>
      <c r="EN544" s="132"/>
      <c r="EO544" s="132"/>
      <c r="EP544" s="132"/>
      <c r="EQ544" s="132"/>
      <c r="ER544" s="132"/>
      <c r="ES544" s="132"/>
      <c r="ET544" s="11"/>
      <c r="EU544" s="11"/>
      <c r="EV544" s="11"/>
      <c r="EW544" s="11"/>
      <c r="EX544" s="11"/>
      <c r="EY544" s="11"/>
      <c r="EZ544" s="11"/>
      <c r="FA544" s="11"/>
      <c r="FB544" s="11"/>
      <c r="FC544" s="11"/>
      <c r="FD544" s="11"/>
      <c r="FE544" s="11"/>
      <c r="FF544" s="11"/>
      <c r="FG544" s="11"/>
      <c r="FH544" s="39">
        <f t="shared" si="126"/>
        <v>374412.5</v>
      </c>
      <c r="FI544" s="33">
        <f t="shared" si="127"/>
        <v>3</v>
      </c>
      <c r="FJ544" s="84">
        <f t="shared" si="128"/>
        <v>124804.16666666667</v>
      </c>
    </row>
    <row r="545" spans="1:166" ht="25.5" x14ac:dyDescent="0.25">
      <c r="A545" s="79" t="e">
        <f>#REF!</f>
        <v>#REF!</v>
      </c>
      <c r="B545" s="75" t="e">
        <f>#REF!</f>
        <v>#REF!</v>
      </c>
      <c r="C545" s="75" t="e">
        <f>#REF!</f>
        <v>#REF!</v>
      </c>
      <c r="D545" s="75" t="e">
        <f>#REF!</f>
        <v>#REF!</v>
      </c>
      <c r="E545" s="30">
        <v>1</v>
      </c>
      <c r="F545" s="238">
        <v>0</v>
      </c>
      <c r="G545" s="241">
        <v>0</v>
      </c>
      <c r="H545" s="249">
        <v>132182.1875</v>
      </c>
      <c r="I545" s="249">
        <v>0</v>
      </c>
      <c r="J545" s="249">
        <v>122140</v>
      </c>
      <c r="K545" s="249">
        <v>0</v>
      </c>
      <c r="L545" s="274">
        <f>AVERAGE(H545,J545)</f>
        <v>127161.09375</v>
      </c>
      <c r="M545" s="274"/>
      <c r="N545" s="247">
        <v>114750</v>
      </c>
      <c r="O545" s="113">
        <f>+N545*0</f>
        <v>0</v>
      </c>
      <c r="P545" s="113">
        <f>+O545+N545</f>
        <v>114750</v>
      </c>
      <c r="Q545" s="36" t="s">
        <v>475</v>
      </c>
      <c r="R545" s="132" t="s">
        <v>128</v>
      </c>
      <c r="S545" s="64" t="s">
        <v>216</v>
      </c>
      <c r="T545" s="113"/>
      <c r="U545" s="113"/>
      <c r="V545" s="113"/>
      <c r="W545" s="131"/>
      <c r="X545" s="131"/>
      <c r="Y545" s="11"/>
      <c r="Z545" s="113"/>
      <c r="AA545" s="113"/>
      <c r="AB545" s="113"/>
      <c r="AC545" s="52"/>
      <c r="AD545" s="52"/>
      <c r="AE545" s="11"/>
      <c r="AF545" s="118">
        <v>140000</v>
      </c>
      <c r="AG545" s="144">
        <v>0</v>
      </c>
      <c r="AH545" s="113">
        <f t="shared" si="135"/>
        <v>140000</v>
      </c>
      <c r="AI545" s="11"/>
      <c r="AJ545" s="11"/>
      <c r="AK545" s="39"/>
      <c r="AL545" s="113"/>
      <c r="AM545" s="113"/>
      <c r="AN545" s="117"/>
      <c r="AO545" s="76"/>
      <c r="AP545" s="39"/>
      <c r="AQ545" s="39"/>
      <c r="AR545" s="275"/>
      <c r="AS545" s="275"/>
      <c r="AT545" s="275"/>
      <c r="AU545" s="62"/>
      <c r="AV545" s="62"/>
      <c r="AW545" s="11"/>
      <c r="AX545" s="116"/>
      <c r="AY545" s="196"/>
      <c r="AZ545" s="143"/>
      <c r="BA545" s="191"/>
      <c r="BB545" s="132"/>
      <c r="BC545" s="132"/>
      <c r="BD545" s="274"/>
      <c r="BE545" s="143"/>
      <c r="BF545" s="143"/>
      <c r="BG545" s="132"/>
      <c r="BH545" s="132"/>
      <c r="BI545" s="132"/>
      <c r="BJ545" s="274">
        <v>83750</v>
      </c>
      <c r="BK545" s="118">
        <f>+BJ545*0.19</f>
        <v>15912.5</v>
      </c>
      <c r="BL545" s="113">
        <f>+BK545+BJ545</f>
        <v>99662.5</v>
      </c>
      <c r="BM545" s="132"/>
      <c r="BN545" s="132"/>
      <c r="BO545" s="132"/>
      <c r="BP545" s="143"/>
      <c r="BQ545" s="132"/>
      <c r="BR545" s="132"/>
      <c r="BS545" s="132"/>
      <c r="BT545" s="132"/>
      <c r="BU545" s="132"/>
      <c r="BV545" s="210"/>
      <c r="BW545" s="144"/>
      <c r="BX545" s="113"/>
      <c r="BY545" s="273"/>
      <c r="BZ545" s="273"/>
      <c r="CA545" s="132"/>
      <c r="CB545" s="274"/>
      <c r="CC545" s="144"/>
      <c r="CD545" s="274"/>
      <c r="CE545" s="132"/>
      <c r="CF545" s="132"/>
      <c r="CG545" s="36"/>
      <c r="CH545" s="210"/>
      <c r="CI545" s="219"/>
      <c r="CJ545" s="210"/>
      <c r="CK545" s="273"/>
      <c r="CL545" s="273"/>
      <c r="CM545" s="132"/>
      <c r="CN545" s="274"/>
      <c r="CO545" s="144"/>
      <c r="CP545" s="274"/>
      <c r="CQ545" s="132"/>
      <c r="CR545" s="132"/>
      <c r="CS545" s="132"/>
      <c r="CT545" s="274"/>
      <c r="CU545" s="144"/>
      <c r="CV545" s="274"/>
      <c r="CW545" s="132"/>
      <c r="CX545" s="132"/>
      <c r="CY545" s="132"/>
      <c r="CZ545" s="118"/>
      <c r="DA545" s="144"/>
      <c r="DB545" s="118"/>
      <c r="DC545" s="33"/>
      <c r="DD545" s="39"/>
      <c r="DE545" s="11"/>
      <c r="DF545" s="132"/>
      <c r="DG545" s="132"/>
      <c r="DH545" s="132"/>
      <c r="DI545" s="132"/>
      <c r="DJ545" s="132"/>
      <c r="DK545" s="132"/>
      <c r="DL545" s="132"/>
      <c r="DM545" s="132"/>
      <c r="DN545" s="132"/>
      <c r="DO545" s="132"/>
      <c r="DP545" s="132"/>
      <c r="DQ545" s="132"/>
      <c r="DR545" s="132"/>
      <c r="DS545" s="132"/>
      <c r="DT545" s="132"/>
      <c r="DU545" s="132"/>
      <c r="DV545" s="132"/>
      <c r="DW545" s="132"/>
      <c r="DX545" s="132"/>
      <c r="DY545" s="132"/>
      <c r="DZ545" s="132"/>
      <c r="EA545" s="132"/>
      <c r="EB545" s="132"/>
      <c r="EC545" s="132"/>
      <c r="ED545" s="132"/>
      <c r="EE545" s="132"/>
      <c r="EF545" s="132"/>
      <c r="EG545" s="132"/>
      <c r="EH545" s="132"/>
      <c r="EI545" s="132"/>
      <c r="EJ545" s="132"/>
      <c r="EK545" s="132"/>
      <c r="EL545" s="132"/>
      <c r="EM545" s="132"/>
      <c r="EN545" s="132"/>
      <c r="EO545" s="132"/>
      <c r="EP545" s="132"/>
      <c r="EQ545" s="132"/>
      <c r="ER545" s="132"/>
      <c r="ES545" s="132"/>
      <c r="ET545" s="11"/>
      <c r="EU545" s="11"/>
      <c r="EV545" s="11"/>
      <c r="EW545" s="11"/>
      <c r="EX545" s="11"/>
      <c r="EY545" s="11"/>
      <c r="EZ545" s="11"/>
      <c r="FA545" s="11"/>
      <c r="FB545" s="11"/>
      <c r="FC545" s="11"/>
      <c r="FD545" s="11"/>
      <c r="FE545" s="11"/>
      <c r="FF545" s="11"/>
      <c r="FG545" s="11"/>
      <c r="FH545" s="39">
        <f t="shared" si="126"/>
        <v>354412.5</v>
      </c>
      <c r="FI545" s="33">
        <f t="shared" si="127"/>
        <v>3</v>
      </c>
      <c r="FJ545" s="84">
        <f t="shared" si="128"/>
        <v>118137.5</v>
      </c>
    </row>
    <row r="546" spans="1:166" x14ac:dyDescent="0.25">
      <c r="A546" s="79" t="e">
        <f>#REF!</f>
        <v>#REF!</v>
      </c>
      <c r="B546" s="75" t="e">
        <f>#REF!</f>
        <v>#REF!</v>
      </c>
      <c r="C546" s="75" t="e">
        <f>#REF!</f>
        <v>#REF!</v>
      </c>
      <c r="D546" s="75" t="e">
        <f>#REF!</f>
        <v>#REF!</v>
      </c>
      <c r="E546" s="30">
        <v>1</v>
      </c>
      <c r="F546" s="238">
        <v>0</v>
      </c>
      <c r="G546" s="241">
        <v>0</v>
      </c>
      <c r="H546" s="249">
        <v>129362.91666666667</v>
      </c>
      <c r="I546" s="249">
        <v>0</v>
      </c>
      <c r="J546" s="249">
        <v>140000</v>
      </c>
      <c r="K546" s="249">
        <v>0</v>
      </c>
      <c r="L546" s="274">
        <f>AVERAGE(H546,J546)</f>
        <v>134681.45833333334</v>
      </c>
      <c r="M546" s="274"/>
      <c r="N546" s="245"/>
      <c r="O546" s="113"/>
      <c r="P546" s="113"/>
      <c r="Q546" s="131"/>
      <c r="R546" s="131"/>
      <c r="S546" s="64"/>
      <c r="T546" s="113"/>
      <c r="U546" s="113"/>
      <c r="V546" s="113"/>
      <c r="W546" s="131"/>
      <c r="X546" s="131"/>
      <c r="Y546" s="11"/>
      <c r="Z546" s="113"/>
      <c r="AA546" s="113"/>
      <c r="AB546" s="113"/>
      <c r="AC546" s="52"/>
      <c r="AD546" s="52"/>
      <c r="AE546" s="11"/>
      <c r="AF546" s="118">
        <v>140000</v>
      </c>
      <c r="AG546" s="144">
        <v>0</v>
      </c>
      <c r="AH546" s="113">
        <f t="shared" si="135"/>
        <v>140000</v>
      </c>
      <c r="AI546" s="11"/>
      <c r="AJ546" s="11"/>
      <c r="AK546" s="39"/>
      <c r="AL546" s="113"/>
      <c r="AM546" s="113"/>
      <c r="AN546" s="117"/>
      <c r="AO546" s="76"/>
      <c r="AP546" s="39"/>
      <c r="AQ546" s="39"/>
      <c r="AR546" s="275"/>
      <c r="AS546" s="275"/>
      <c r="AT546" s="275"/>
      <c r="AU546" s="62"/>
      <c r="AV546" s="62"/>
      <c r="AW546" s="11"/>
      <c r="AX546" s="116"/>
      <c r="AY546" s="196"/>
      <c r="AZ546" s="143"/>
      <c r="BA546" s="191"/>
      <c r="BB546" s="132"/>
      <c r="BC546" s="132"/>
      <c r="BD546" s="274"/>
      <c r="BE546" s="143"/>
      <c r="BF546" s="143"/>
      <c r="BG546" s="132"/>
      <c r="BH546" s="132"/>
      <c r="BI546" s="132"/>
      <c r="BJ546" s="274">
        <v>83750</v>
      </c>
      <c r="BK546" s="118">
        <f>+BJ546*0.19</f>
        <v>15912.5</v>
      </c>
      <c r="BL546" s="113">
        <f>+BK546+BJ546</f>
        <v>99662.5</v>
      </c>
      <c r="BM546" s="132"/>
      <c r="BN546" s="132"/>
      <c r="BO546" s="132"/>
      <c r="BP546" s="143"/>
      <c r="BQ546" s="132"/>
      <c r="BR546" s="132"/>
      <c r="BS546" s="132"/>
      <c r="BT546" s="132"/>
      <c r="BU546" s="132"/>
      <c r="BV546" s="210"/>
      <c r="BW546" s="144"/>
      <c r="BX546" s="113"/>
      <c r="BY546" s="273"/>
      <c r="BZ546" s="273"/>
      <c r="CA546" s="132"/>
      <c r="CB546" s="274"/>
      <c r="CC546" s="144"/>
      <c r="CD546" s="274"/>
      <c r="CE546" s="132"/>
      <c r="CF546" s="132"/>
      <c r="CG546" s="36"/>
      <c r="CH546" s="210"/>
      <c r="CI546" s="219"/>
      <c r="CJ546" s="210"/>
      <c r="CK546" s="273"/>
      <c r="CL546" s="273"/>
      <c r="CM546" s="132"/>
      <c r="CN546" s="274"/>
      <c r="CO546" s="144"/>
      <c r="CP546" s="274"/>
      <c r="CQ546" s="132"/>
      <c r="CR546" s="132"/>
      <c r="CS546" s="132"/>
      <c r="CT546" s="274"/>
      <c r="CU546" s="144"/>
      <c r="CV546" s="274"/>
      <c r="CW546" s="132"/>
      <c r="CX546" s="132"/>
      <c r="CY546" s="132"/>
      <c r="CZ546" s="118"/>
      <c r="DA546" s="144"/>
      <c r="DB546" s="118"/>
      <c r="DC546" s="33"/>
      <c r="DD546" s="39"/>
      <c r="DE546" s="11"/>
      <c r="DF546" s="132"/>
      <c r="DG546" s="132"/>
      <c r="DH546" s="132"/>
      <c r="DI546" s="132"/>
      <c r="DJ546" s="132"/>
      <c r="DK546" s="132"/>
      <c r="DL546" s="132"/>
      <c r="DM546" s="132"/>
      <c r="DN546" s="132"/>
      <c r="DO546" s="132"/>
      <c r="DP546" s="132"/>
      <c r="DQ546" s="132"/>
      <c r="DR546" s="132"/>
      <c r="DS546" s="132"/>
      <c r="DT546" s="132"/>
      <c r="DU546" s="132"/>
      <c r="DV546" s="132"/>
      <c r="DW546" s="132"/>
      <c r="DX546" s="132"/>
      <c r="DY546" s="132"/>
      <c r="DZ546" s="132"/>
      <c r="EA546" s="132"/>
      <c r="EB546" s="132"/>
      <c r="EC546" s="132"/>
      <c r="ED546" s="132"/>
      <c r="EE546" s="132"/>
      <c r="EF546" s="132"/>
      <c r="EG546" s="132"/>
      <c r="EH546" s="132"/>
      <c r="EI546" s="132"/>
      <c r="EJ546" s="132"/>
      <c r="EK546" s="132"/>
      <c r="EL546" s="132"/>
      <c r="EM546" s="132"/>
      <c r="EN546" s="132"/>
      <c r="EO546" s="132"/>
      <c r="EP546" s="132"/>
      <c r="EQ546" s="132"/>
      <c r="ER546" s="132"/>
      <c r="ES546" s="132"/>
      <c r="ET546" s="11"/>
      <c r="EU546" s="11"/>
      <c r="EV546" s="11"/>
      <c r="EW546" s="11"/>
      <c r="EX546" s="11"/>
      <c r="EY546" s="11"/>
      <c r="EZ546" s="11"/>
      <c r="FA546" s="11"/>
      <c r="FB546" s="11"/>
      <c r="FC546" s="11"/>
      <c r="FD546" s="11"/>
      <c r="FE546" s="11"/>
      <c r="FF546" s="11"/>
      <c r="FG546" s="11"/>
      <c r="FH546" s="39">
        <f t="shared" si="126"/>
        <v>239662.5</v>
      </c>
      <c r="FI546" s="33">
        <f t="shared" si="127"/>
        <v>2</v>
      </c>
      <c r="FJ546" s="84">
        <f t="shared" si="128"/>
        <v>119831.25</v>
      </c>
    </row>
    <row r="547" spans="1:166" ht="25.5" x14ac:dyDescent="0.25">
      <c r="A547" s="79" t="e">
        <f>#REF!</f>
        <v>#REF!</v>
      </c>
      <c r="B547" s="75" t="e">
        <f>#REF!</f>
        <v>#REF!</v>
      </c>
      <c r="C547" s="75" t="e">
        <f>#REF!</f>
        <v>#REF!</v>
      </c>
      <c r="D547" s="75" t="e">
        <f>#REF!</f>
        <v>#REF!</v>
      </c>
      <c r="E547" s="30">
        <v>1</v>
      </c>
      <c r="F547" s="238">
        <v>72000</v>
      </c>
      <c r="G547" s="241">
        <v>0</v>
      </c>
      <c r="H547" s="249">
        <v>126989.5148</v>
      </c>
      <c r="I547" s="249">
        <v>0</v>
      </c>
      <c r="J547" s="249">
        <v>122140</v>
      </c>
      <c r="K547" s="249">
        <v>0</v>
      </c>
      <c r="L547" s="274">
        <f>AVERAGE(F547,H547,J547)</f>
        <v>107043.1716</v>
      </c>
      <c r="M547" s="274"/>
      <c r="N547" s="247">
        <v>114750</v>
      </c>
      <c r="O547" s="113">
        <f t="shared" ref="O547:O552" si="136">+N547*0</f>
        <v>0</v>
      </c>
      <c r="P547" s="113">
        <f t="shared" ref="P547:P552" si="137">+O547+N547</f>
        <v>114750</v>
      </c>
      <c r="Q547" s="36" t="s">
        <v>475</v>
      </c>
      <c r="R547" s="132" t="s">
        <v>128</v>
      </c>
      <c r="S547" s="64" t="s">
        <v>216</v>
      </c>
      <c r="T547" s="113"/>
      <c r="U547" s="113"/>
      <c r="V547" s="113"/>
      <c r="W547" s="131"/>
      <c r="X547" s="131"/>
      <c r="Y547" s="11"/>
      <c r="Z547" s="113"/>
      <c r="AA547" s="113"/>
      <c r="AB547" s="113"/>
      <c r="AC547" s="52"/>
      <c r="AD547" s="52"/>
      <c r="AE547" s="11"/>
      <c r="AF547" s="118">
        <v>140000</v>
      </c>
      <c r="AG547" s="144">
        <v>0</v>
      </c>
      <c r="AH547" s="113">
        <f t="shared" si="135"/>
        <v>140000</v>
      </c>
      <c r="AI547" s="11"/>
      <c r="AJ547" s="11"/>
      <c r="AK547" s="39"/>
      <c r="AL547" s="113"/>
      <c r="AM547" s="113"/>
      <c r="AN547" s="117"/>
      <c r="AO547" s="76"/>
      <c r="AP547" s="39"/>
      <c r="AQ547" s="39"/>
      <c r="AR547" s="275"/>
      <c r="AS547" s="275"/>
      <c r="AT547" s="275"/>
      <c r="AU547" s="62"/>
      <c r="AV547" s="62"/>
      <c r="AW547" s="11"/>
      <c r="AX547" s="116"/>
      <c r="AY547" s="196"/>
      <c r="AZ547" s="143"/>
      <c r="BA547" s="191"/>
      <c r="BB547" s="132"/>
      <c r="BC547" s="132"/>
      <c r="BD547" s="274"/>
      <c r="BE547" s="143"/>
      <c r="BF547" s="143"/>
      <c r="BG547" s="132"/>
      <c r="BH547" s="132"/>
      <c r="BI547" s="132"/>
      <c r="BJ547" s="274">
        <v>83750</v>
      </c>
      <c r="BK547" s="118">
        <f>+BJ547*0.19</f>
        <v>15912.5</v>
      </c>
      <c r="BL547" s="113">
        <f>+BK547+BJ547</f>
        <v>99662.5</v>
      </c>
      <c r="BM547" s="132"/>
      <c r="BN547" s="132"/>
      <c r="BO547" s="132"/>
      <c r="BP547" s="143"/>
      <c r="BQ547" s="132"/>
      <c r="BR547" s="132"/>
      <c r="BS547" s="132"/>
      <c r="BT547" s="132"/>
      <c r="BU547" s="132"/>
      <c r="BV547" s="210"/>
      <c r="BW547" s="144"/>
      <c r="BX547" s="113"/>
      <c r="BY547" s="273"/>
      <c r="BZ547" s="273"/>
      <c r="CA547" s="132"/>
      <c r="CB547" s="274"/>
      <c r="CC547" s="144"/>
      <c r="CD547" s="274"/>
      <c r="CE547" s="132"/>
      <c r="CF547" s="132"/>
      <c r="CG547" s="36"/>
      <c r="CH547" s="210"/>
      <c r="CI547" s="219"/>
      <c r="CJ547" s="210"/>
      <c r="CK547" s="273"/>
      <c r="CL547" s="273"/>
      <c r="CM547" s="132"/>
      <c r="CN547" s="274"/>
      <c r="CO547" s="144"/>
      <c r="CP547" s="274"/>
      <c r="CQ547" s="132"/>
      <c r="CR547" s="132"/>
      <c r="CS547" s="132"/>
      <c r="CT547" s="274"/>
      <c r="CU547" s="144"/>
      <c r="CV547" s="274"/>
      <c r="CW547" s="132"/>
      <c r="CX547" s="132"/>
      <c r="CY547" s="132"/>
      <c r="CZ547" s="118"/>
      <c r="DA547" s="144"/>
      <c r="DB547" s="118"/>
      <c r="DC547" s="33"/>
      <c r="DD547" s="39"/>
      <c r="DE547" s="11"/>
      <c r="DF547" s="132"/>
      <c r="DG547" s="132"/>
      <c r="DH547" s="132"/>
      <c r="DI547" s="132"/>
      <c r="DJ547" s="132"/>
      <c r="DK547" s="132"/>
      <c r="DL547" s="132"/>
      <c r="DM547" s="132"/>
      <c r="DN547" s="132"/>
      <c r="DO547" s="132"/>
      <c r="DP547" s="132"/>
      <c r="DQ547" s="132"/>
      <c r="DR547" s="132"/>
      <c r="DS547" s="132"/>
      <c r="DT547" s="132"/>
      <c r="DU547" s="132"/>
      <c r="DV547" s="132"/>
      <c r="DW547" s="132"/>
      <c r="DX547" s="132"/>
      <c r="DY547" s="132"/>
      <c r="DZ547" s="132"/>
      <c r="EA547" s="132"/>
      <c r="EB547" s="132"/>
      <c r="EC547" s="132"/>
      <c r="ED547" s="132"/>
      <c r="EE547" s="132"/>
      <c r="EF547" s="132"/>
      <c r="EG547" s="132"/>
      <c r="EH547" s="132"/>
      <c r="EI547" s="132"/>
      <c r="EJ547" s="132"/>
      <c r="EK547" s="132"/>
      <c r="EL547" s="132"/>
      <c r="EM547" s="132"/>
      <c r="EN547" s="132"/>
      <c r="EO547" s="132"/>
      <c r="EP547" s="132"/>
      <c r="EQ547" s="132"/>
      <c r="ER547" s="132"/>
      <c r="ES547" s="132"/>
      <c r="ET547" s="11"/>
      <c r="EU547" s="11"/>
      <c r="EV547" s="11"/>
      <c r="EW547" s="11"/>
      <c r="EX547" s="11"/>
      <c r="EY547" s="11"/>
      <c r="EZ547" s="11"/>
      <c r="FA547" s="11"/>
      <c r="FB547" s="11"/>
      <c r="FC547" s="11"/>
      <c r="FD547" s="11"/>
      <c r="FE547" s="11"/>
      <c r="FF547" s="11"/>
      <c r="FG547" s="11"/>
      <c r="FH547" s="39">
        <f t="shared" si="126"/>
        <v>354412.5</v>
      </c>
      <c r="FI547" s="33">
        <f t="shared" si="127"/>
        <v>3</v>
      </c>
      <c r="FJ547" s="84">
        <f t="shared" si="128"/>
        <v>118137.5</v>
      </c>
    </row>
    <row r="548" spans="1:166" ht="25.5" x14ac:dyDescent="0.25">
      <c r="A548" s="79" t="e">
        <f>#REF!</f>
        <v>#REF!</v>
      </c>
      <c r="B548" s="75" t="e">
        <f>#REF!</f>
        <v>#REF!</v>
      </c>
      <c r="C548" s="75" t="e">
        <f>#REF!</f>
        <v>#REF!</v>
      </c>
      <c r="D548" s="75" t="e">
        <f>#REF!</f>
        <v>#REF!</v>
      </c>
      <c r="E548" s="30">
        <v>1</v>
      </c>
      <c r="F548" s="238">
        <v>0</v>
      </c>
      <c r="G548" s="241">
        <v>0</v>
      </c>
      <c r="H548" s="249">
        <v>135569.6875</v>
      </c>
      <c r="I548" s="249">
        <v>0</v>
      </c>
      <c r="J548" s="249">
        <v>122140</v>
      </c>
      <c r="K548" s="249">
        <v>0</v>
      </c>
      <c r="L548" s="274">
        <f>AVERAGE(H548,J548)</f>
        <v>128854.84375</v>
      </c>
      <c r="M548" s="274"/>
      <c r="N548" s="247">
        <v>114750</v>
      </c>
      <c r="O548" s="113">
        <f t="shared" si="136"/>
        <v>0</v>
      </c>
      <c r="P548" s="113">
        <f t="shared" si="137"/>
        <v>114750</v>
      </c>
      <c r="Q548" s="36" t="s">
        <v>475</v>
      </c>
      <c r="R548" s="132" t="s">
        <v>128</v>
      </c>
      <c r="S548" s="64" t="s">
        <v>216</v>
      </c>
      <c r="T548" s="118"/>
      <c r="U548" s="118"/>
      <c r="V548" s="118"/>
      <c r="W548" s="11"/>
      <c r="X548" s="11"/>
      <c r="Y548" s="11"/>
      <c r="Z548" s="118"/>
      <c r="AA548" s="118"/>
      <c r="AB548" s="118"/>
      <c r="AC548" s="52"/>
      <c r="AD548" s="52"/>
      <c r="AE548" s="11"/>
      <c r="AF548" s="118">
        <v>140000</v>
      </c>
      <c r="AG548" s="144">
        <v>0</v>
      </c>
      <c r="AH548" s="113">
        <f t="shared" si="135"/>
        <v>140000</v>
      </c>
      <c r="AI548" s="11"/>
      <c r="AJ548" s="11"/>
      <c r="AK548" s="11"/>
      <c r="AL548" s="118"/>
      <c r="AM548" s="118"/>
      <c r="AN548" s="118"/>
      <c r="AO548" s="76"/>
      <c r="AP548" s="11"/>
      <c r="AQ548" s="11"/>
      <c r="AR548" s="274"/>
      <c r="AS548" s="274"/>
      <c r="AT548" s="274"/>
      <c r="AU548" s="62"/>
      <c r="AV548" s="48"/>
      <c r="AW548" s="11"/>
      <c r="AX548" s="274"/>
      <c r="AY548" s="274"/>
      <c r="AZ548" s="274"/>
      <c r="BA548" s="11"/>
      <c r="BB548" s="11"/>
      <c r="BC548" s="11"/>
      <c r="BD548" s="274"/>
      <c r="BE548" s="274"/>
      <c r="BF548" s="274"/>
      <c r="BG548" s="11"/>
      <c r="BH548" s="11"/>
      <c r="BI548" s="11"/>
      <c r="BJ548" s="274">
        <v>83750</v>
      </c>
      <c r="BK548" s="118">
        <f>+BJ548*0.19</f>
        <v>15912.5</v>
      </c>
      <c r="BL548" s="113">
        <f>+BK548+BJ548</f>
        <v>99662.5</v>
      </c>
      <c r="BM548" s="11"/>
      <c r="BN548" s="11"/>
      <c r="BO548" s="11"/>
      <c r="BP548" s="275"/>
      <c r="BQ548" s="11"/>
      <c r="BR548" s="11"/>
      <c r="BS548" s="11"/>
      <c r="BT548" s="11"/>
      <c r="BU548" s="11"/>
      <c r="BV548" s="210"/>
      <c r="BW548" s="144"/>
      <c r="BX548" s="113"/>
      <c r="BY548" s="273"/>
      <c r="BZ548" s="273"/>
      <c r="CA548" s="11"/>
      <c r="CB548" s="274"/>
      <c r="CC548" s="144"/>
      <c r="CD548" s="274"/>
      <c r="CE548" s="11"/>
      <c r="CF548" s="11"/>
      <c r="CG548" s="11"/>
      <c r="CH548" s="210"/>
      <c r="CI548" s="219"/>
      <c r="CJ548" s="210"/>
      <c r="CK548" s="273"/>
      <c r="CL548" s="273"/>
      <c r="CM548" s="11"/>
      <c r="CN548" s="274"/>
      <c r="CO548" s="144"/>
      <c r="CP548" s="274"/>
      <c r="CQ548" s="11"/>
      <c r="CR548" s="11"/>
      <c r="CS548" s="11"/>
      <c r="CT548" s="274"/>
      <c r="CU548" s="144"/>
      <c r="CV548" s="274"/>
      <c r="CW548" s="11"/>
      <c r="CX548" s="11"/>
      <c r="CY548" s="11"/>
      <c r="CZ548" s="118"/>
      <c r="DA548" s="144"/>
      <c r="DB548" s="118"/>
      <c r="DC548" s="33"/>
      <c r="DD548" s="39"/>
      <c r="DE548" s="11"/>
      <c r="DF548" s="11"/>
      <c r="DG548" s="11"/>
      <c r="DH548" s="11"/>
      <c r="DI548" s="11"/>
      <c r="DJ548" s="11"/>
      <c r="DK548" s="11"/>
      <c r="DL548" s="11"/>
      <c r="DM548" s="11"/>
      <c r="DN548" s="11"/>
      <c r="DO548" s="11"/>
      <c r="DP548" s="11"/>
      <c r="DQ548" s="11"/>
      <c r="DR548" s="11"/>
      <c r="DS548" s="11"/>
      <c r="DT548" s="11"/>
      <c r="DU548" s="11"/>
      <c r="DV548" s="11"/>
      <c r="DW548" s="11"/>
      <c r="DX548" s="11"/>
      <c r="DY548" s="11"/>
      <c r="DZ548" s="11"/>
      <c r="EA548" s="11"/>
      <c r="EB548" s="39"/>
      <c r="EC548" s="39"/>
      <c r="ED548" s="34"/>
      <c r="EE548" s="11"/>
      <c r="EF548" s="11"/>
      <c r="EG548" s="39"/>
      <c r="EH548" s="39"/>
      <c r="EI548" s="34"/>
      <c r="EJ548" s="11"/>
      <c r="EK548" s="11"/>
      <c r="EL548" s="11"/>
      <c r="EM548" s="11"/>
      <c r="EN548" s="11"/>
      <c r="EO548" s="11"/>
      <c r="EP548" s="11"/>
      <c r="EQ548" s="39"/>
      <c r="ER548" s="39"/>
      <c r="ES548" s="34"/>
      <c r="ET548" s="11"/>
      <c r="EU548" s="11"/>
      <c r="EV548" s="11"/>
      <c r="EW548" s="11"/>
      <c r="EX548" s="11"/>
      <c r="EY548" s="11"/>
      <c r="EZ548" s="11"/>
      <c r="FA548" s="11"/>
      <c r="FB548" s="11"/>
      <c r="FC548" s="11"/>
      <c r="FD548" s="11"/>
      <c r="FE548" s="11"/>
      <c r="FF548" s="11"/>
      <c r="FG548" s="11"/>
      <c r="FH548" s="39">
        <f t="shared" si="126"/>
        <v>354412.5</v>
      </c>
      <c r="FI548" s="33">
        <f t="shared" si="127"/>
        <v>3</v>
      </c>
      <c r="FJ548" s="84">
        <f t="shared" si="128"/>
        <v>118137.5</v>
      </c>
    </row>
    <row r="549" spans="1:166" x14ac:dyDescent="0.25">
      <c r="A549" s="79" t="e">
        <f>#REF!</f>
        <v>#REF!</v>
      </c>
      <c r="B549" s="75" t="e">
        <f>#REF!</f>
        <v>#REF!</v>
      </c>
      <c r="C549" s="75" t="e">
        <f>#REF!</f>
        <v>#REF!</v>
      </c>
      <c r="D549" s="75" t="e">
        <f>#REF!</f>
        <v>#REF!</v>
      </c>
      <c r="E549" s="30">
        <v>1</v>
      </c>
      <c r="F549" s="238">
        <v>0</v>
      </c>
      <c r="G549" s="241">
        <v>0</v>
      </c>
      <c r="H549" s="249">
        <v>149246.25</v>
      </c>
      <c r="I549" s="249">
        <v>149226</v>
      </c>
      <c r="J549" s="249">
        <v>106000</v>
      </c>
      <c r="K549" s="249">
        <v>0</v>
      </c>
      <c r="L549" s="274">
        <f>AVERAGE(H549,J549)</f>
        <v>127623.125</v>
      </c>
      <c r="M549" s="274">
        <f>I549*E1</f>
        <v>153702.78</v>
      </c>
      <c r="N549" s="247">
        <v>62400</v>
      </c>
      <c r="O549" s="113">
        <f t="shared" si="136"/>
        <v>0</v>
      </c>
      <c r="P549" s="113">
        <f t="shared" si="137"/>
        <v>62400</v>
      </c>
      <c r="Q549" s="36" t="s">
        <v>476</v>
      </c>
      <c r="R549" s="132" t="s">
        <v>128</v>
      </c>
      <c r="S549" s="64" t="s">
        <v>216</v>
      </c>
      <c r="T549" s="113"/>
      <c r="U549" s="113"/>
      <c r="V549" s="113"/>
      <c r="W549" s="131"/>
      <c r="X549" s="131"/>
      <c r="Y549" s="11"/>
      <c r="Z549" s="113"/>
      <c r="AA549" s="113"/>
      <c r="AB549" s="113"/>
      <c r="AC549" s="52"/>
      <c r="AD549" s="52"/>
      <c r="AE549" s="11"/>
      <c r="AF549" s="118">
        <v>140000</v>
      </c>
      <c r="AG549" s="144">
        <v>0</v>
      </c>
      <c r="AH549" s="113">
        <f t="shared" si="135"/>
        <v>140000</v>
      </c>
      <c r="AI549" s="11"/>
      <c r="AJ549" s="11"/>
      <c r="AK549" s="39"/>
      <c r="AL549" s="113"/>
      <c r="AM549" s="113"/>
      <c r="AN549" s="119"/>
      <c r="AO549" s="76"/>
      <c r="AP549" s="39"/>
      <c r="AQ549" s="39"/>
      <c r="AR549" s="275"/>
      <c r="AS549" s="275"/>
      <c r="AT549" s="275"/>
      <c r="AU549" s="62"/>
      <c r="AV549" s="62"/>
      <c r="AW549" s="11"/>
      <c r="AX549" s="116"/>
      <c r="AY549" s="116"/>
      <c r="AZ549" s="143"/>
      <c r="BA549" s="191"/>
      <c r="BB549" s="132"/>
      <c r="BC549" s="132"/>
      <c r="BD549" s="274"/>
      <c r="BE549" s="143"/>
      <c r="BF549" s="143"/>
      <c r="BG549" s="132"/>
      <c r="BH549" s="132"/>
      <c r="BI549" s="132"/>
      <c r="BJ549" s="143"/>
      <c r="BK549" s="143"/>
      <c r="BL549" s="143"/>
      <c r="BM549" s="132"/>
      <c r="BN549" s="132"/>
      <c r="BO549" s="132"/>
      <c r="BP549" s="143"/>
      <c r="BQ549" s="132"/>
      <c r="BR549" s="132"/>
      <c r="BS549" s="132"/>
      <c r="BT549" s="132"/>
      <c r="BU549" s="132"/>
      <c r="BV549" s="210"/>
      <c r="BW549" s="144"/>
      <c r="BX549" s="113"/>
      <c r="BY549" s="273"/>
      <c r="BZ549" s="273"/>
      <c r="CA549" s="132"/>
      <c r="CB549" s="274"/>
      <c r="CC549" s="144"/>
      <c r="CD549" s="274"/>
      <c r="CE549" s="132"/>
      <c r="CF549" s="132"/>
      <c r="CG549" s="36"/>
      <c r="CH549" s="210"/>
      <c r="CI549" s="219"/>
      <c r="CJ549" s="210"/>
      <c r="CK549" s="273"/>
      <c r="CL549" s="273"/>
      <c r="CM549" s="132"/>
      <c r="CN549" s="274"/>
      <c r="CO549" s="144"/>
      <c r="CP549" s="274"/>
      <c r="CQ549" s="132"/>
      <c r="CR549" s="132"/>
      <c r="CS549" s="132"/>
      <c r="CT549" s="274"/>
      <c r="CU549" s="144"/>
      <c r="CV549" s="274"/>
      <c r="CW549" s="132"/>
      <c r="CX549" s="132"/>
      <c r="CY549" s="132"/>
      <c r="CZ549" s="118"/>
      <c r="DA549" s="144"/>
      <c r="DB549" s="118"/>
      <c r="DC549" s="33"/>
      <c r="DD549" s="39"/>
      <c r="DE549" s="11"/>
      <c r="DF549" s="132"/>
      <c r="DG549" s="132"/>
      <c r="DH549" s="132"/>
      <c r="DI549" s="132"/>
      <c r="DJ549" s="132"/>
      <c r="DK549" s="132"/>
      <c r="DL549" s="132"/>
      <c r="DM549" s="132"/>
      <c r="DN549" s="132"/>
      <c r="DO549" s="132"/>
      <c r="DP549" s="132"/>
      <c r="DQ549" s="132"/>
      <c r="DR549" s="132"/>
      <c r="DS549" s="132"/>
      <c r="DT549" s="132"/>
      <c r="DU549" s="132"/>
      <c r="DV549" s="132"/>
      <c r="DW549" s="132"/>
      <c r="DX549" s="132"/>
      <c r="DY549" s="132"/>
      <c r="DZ549" s="132"/>
      <c r="EA549" s="132"/>
      <c r="EB549" s="132"/>
      <c r="EC549" s="132"/>
      <c r="ED549" s="132"/>
      <c r="EE549" s="132"/>
      <c r="EF549" s="132"/>
      <c r="EG549" s="132"/>
      <c r="EH549" s="132"/>
      <c r="EI549" s="132"/>
      <c r="EJ549" s="132"/>
      <c r="EK549" s="132"/>
      <c r="EL549" s="132"/>
      <c r="EM549" s="132"/>
      <c r="EN549" s="132"/>
      <c r="EO549" s="132"/>
      <c r="EP549" s="132"/>
      <c r="EQ549" s="132"/>
      <c r="ER549" s="132"/>
      <c r="ES549" s="132"/>
      <c r="ET549" s="11"/>
      <c r="EU549" s="11"/>
      <c r="EV549" s="11"/>
      <c r="EW549" s="11"/>
      <c r="EX549" s="11"/>
      <c r="EY549" s="11"/>
      <c r="EZ549" s="11"/>
      <c r="FA549" s="11"/>
      <c r="FB549" s="11"/>
      <c r="FC549" s="11"/>
      <c r="FD549" s="11"/>
      <c r="FE549" s="11"/>
      <c r="FF549" s="11"/>
      <c r="FG549" s="11"/>
      <c r="FH549" s="39">
        <f t="shared" si="126"/>
        <v>356102.78</v>
      </c>
      <c r="FI549" s="33">
        <f t="shared" si="127"/>
        <v>3</v>
      </c>
      <c r="FJ549" s="84">
        <f t="shared" si="128"/>
        <v>118700.92666666668</v>
      </c>
    </row>
    <row r="550" spans="1:166" ht="25.5" x14ac:dyDescent="0.25">
      <c r="A550" s="79" t="e">
        <f>#REF!</f>
        <v>#REF!</v>
      </c>
      <c r="B550" s="75" t="e">
        <f>#REF!</f>
        <v>#REF!</v>
      </c>
      <c r="C550" s="75" t="e">
        <f>#REF!</f>
        <v>#REF!</v>
      </c>
      <c r="D550" s="75" t="e">
        <f>#REF!</f>
        <v>#REF!</v>
      </c>
      <c r="E550" s="30">
        <v>1</v>
      </c>
      <c r="F550" s="238">
        <v>0</v>
      </c>
      <c r="G550" s="241">
        <v>0</v>
      </c>
      <c r="H550" s="249">
        <v>254200</v>
      </c>
      <c r="I550" s="249">
        <v>0</v>
      </c>
      <c r="J550" s="249">
        <v>151000</v>
      </c>
      <c r="K550" s="249">
        <v>0</v>
      </c>
      <c r="L550" s="274">
        <f>AVERAGE(H550,J550)</f>
        <v>202600</v>
      </c>
      <c r="M550" s="274"/>
      <c r="N550" s="247">
        <v>114750</v>
      </c>
      <c r="O550" s="113">
        <f t="shared" si="136"/>
        <v>0</v>
      </c>
      <c r="P550" s="113">
        <f t="shared" si="137"/>
        <v>114750</v>
      </c>
      <c r="Q550" s="36" t="s">
        <v>475</v>
      </c>
      <c r="R550" s="132" t="s">
        <v>128</v>
      </c>
      <c r="S550" s="64" t="s">
        <v>216</v>
      </c>
      <c r="T550" s="113"/>
      <c r="U550" s="113"/>
      <c r="V550" s="113"/>
      <c r="W550" s="131"/>
      <c r="X550" s="131"/>
      <c r="Y550" s="11"/>
      <c r="Z550" s="113"/>
      <c r="AA550" s="113"/>
      <c r="AB550" s="113"/>
      <c r="AC550" s="52"/>
      <c r="AD550" s="52"/>
      <c r="AE550" s="11"/>
      <c r="AF550" s="118">
        <v>160000</v>
      </c>
      <c r="AG550" s="144">
        <v>0</v>
      </c>
      <c r="AH550" s="113">
        <f t="shared" si="135"/>
        <v>160000</v>
      </c>
      <c r="AI550" s="11"/>
      <c r="AJ550" s="11"/>
      <c r="AK550" s="39"/>
      <c r="AL550" s="113"/>
      <c r="AM550" s="113"/>
      <c r="AN550" s="119"/>
      <c r="AO550" s="76"/>
      <c r="AP550" s="39"/>
      <c r="AQ550" s="39"/>
      <c r="AR550" s="275"/>
      <c r="AS550" s="275"/>
      <c r="AT550" s="275"/>
      <c r="AU550" s="62"/>
      <c r="AV550" s="62"/>
      <c r="AW550" s="11"/>
      <c r="AX550" s="116"/>
      <c r="AY550" s="196"/>
      <c r="AZ550" s="143"/>
      <c r="BA550" s="191"/>
      <c r="BB550" s="132"/>
      <c r="BC550" s="132"/>
      <c r="BD550" s="274"/>
      <c r="BE550" s="143"/>
      <c r="BF550" s="143"/>
      <c r="BG550" s="132"/>
      <c r="BH550" s="132"/>
      <c r="BI550" s="132"/>
      <c r="BJ550" s="143"/>
      <c r="BK550" s="143"/>
      <c r="BL550" s="143"/>
      <c r="BM550" s="132"/>
      <c r="BN550" s="132"/>
      <c r="BO550" s="132"/>
      <c r="BP550" s="143"/>
      <c r="BQ550" s="132"/>
      <c r="BR550" s="132"/>
      <c r="BS550" s="132"/>
      <c r="BT550" s="132"/>
      <c r="BU550" s="132"/>
      <c r="BV550" s="210"/>
      <c r="BW550" s="144"/>
      <c r="BX550" s="113"/>
      <c r="BY550" s="273"/>
      <c r="BZ550" s="273"/>
      <c r="CA550" s="132"/>
      <c r="CB550" s="274"/>
      <c r="CC550" s="144"/>
      <c r="CD550" s="274"/>
      <c r="CE550" s="132"/>
      <c r="CF550" s="132"/>
      <c r="CG550" s="36"/>
      <c r="CH550" s="210"/>
      <c r="CI550" s="219"/>
      <c r="CJ550" s="210"/>
      <c r="CK550" s="273"/>
      <c r="CL550" s="273"/>
      <c r="CM550" s="132"/>
      <c r="CN550" s="274"/>
      <c r="CO550" s="144"/>
      <c r="CP550" s="274"/>
      <c r="CQ550" s="132"/>
      <c r="CR550" s="132"/>
      <c r="CS550" s="132"/>
      <c r="CT550" s="274"/>
      <c r="CU550" s="144"/>
      <c r="CV550" s="274"/>
      <c r="CW550" s="132"/>
      <c r="CX550" s="132"/>
      <c r="CY550" s="132"/>
      <c r="CZ550" s="118"/>
      <c r="DA550" s="144"/>
      <c r="DB550" s="118"/>
      <c r="DC550" s="33"/>
      <c r="DD550" s="39"/>
      <c r="DE550" s="11"/>
      <c r="DF550" s="132"/>
      <c r="DG550" s="132"/>
      <c r="DH550" s="132"/>
      <c r="DI550" s="132"/>
      <c r="DJ550" s="132"/>
      <c r="DK550" s="132"/>
      <c r="DL550" s="132"/>
      <c r="DM550" s="132"/>
      <c r="DN550" s="132"/>
      <c r="DO550" s="132"/>
      <c r="DP550" s="132"/>
      <c r="DQ550" s="132"/>
      <c r="DR550" s="132"/>
      <c r="DS550" s="132"/>
      <c r="DT550" s="132"/>
      <c r="DU550" s="132"/>
      <c r="DV550" s="132"/>
      <c r="DW550" s="132"/>
      <c r="DX550" s="132"/>
      <c r="DY550" s="132"/>
      <c r="DZ550" s="132"/>
      <c r="EA550" s="132"/>
      <c r="EB550" s="132"/>
      <c r="EC550" s="132"/>
      <c r="ED550" s="132"/>
      <c r="EE550" s="132"/>
      <c r="EF550" s="132"/>
      <c r="EG550" s="132"/>
      <c r="EH550" s="132"/>
      <c r="EI550" s="132"/>
      <c r="EJ550" s="132"/>
      <c r="EK550" s="132"/>
      <c r="EL550" s="132"/>
      <c r="EM550" s="132"/>
      <c r="EN550" s="132"/>
      <c r="EO550" s="132"/>
      <c r="EP550" s="132"/>
      <c r="EQ550" s="132"/>
      <c r="ER550" s="132"/>
      <c r="ES550" s="132"/>
      <c r="ET550" s="11"/>
      <c r="EU550" s="11"/>
      <c r="EV550" s="11"/>
      <c r="EW550" s="11"/>
      <c r="EX550" s="11"/>
      <c r="EY550" s="11"/>
      <c r="EZ550" s="11"/>
      <c r="FA550" s="11"/>
      <c r="FB550" s="11"/>
      <c r="FC550" s="11"/>
      <c r="FD550" s="11"/>
      <c r="FE550" s="11"/>
      <c r="FF550" s="11"/>
      <c r="FG550" s="11"/>
      <c r="FH550" s="39">
        <f t="shared" si="126"/>
        <v>274750</v>
      </c>
      <c r="FI550" s="33">
        <f t="shared" si="127"/>
        <v>2</v>
      </c>
      <c r="FJ550" s="84">
        <f t="shared" si="128"/>
        <v>137375</v>
      </c>
    </row>
    <row r="551" spans="1:166" ht="25.5" x14ac:dyDescent="0.25">
      <c r="A551" s="79" t="e">
        <f>#REF!</f>
        <v>#REF!</v>
      </c>
      <c r="B551" s="75" t="e">
        <f>#REF!</f>
        <v>#REF!</v>
      </c>
      <c r="C551" s="75" t="e">
        <f>#REF!</f>
        <v>#REF!</v>
      </c>
      <c r="D551" s="75" t="e">
        <f>#REF!</f>
        <v>#REF!</v>
      </c>
      <c r="E551" s="30">
        <v>1</v>
      </c>
      <c r="F551" s="238">
        <v>107500</v>
      </c>
      <c r="G551" s="241">
        <v>0</v>
      </c>
      <c r="H551" s="249">
        <v>182205</v>
      </c>
      <c r="I551" s="249">
        <v>0</v>
      </c>
      <c r="J551" s="249">
        <v>151000</v>
      </c>
      <c r="K551" s="249">
        <v>0</v>
      </c>
      <c r="L551" s="274">
        <f>AVERAGE(F551,H551,J551)</f>
        <v>146901.66666666666</v>
      </c>
      <c r="M551" s="274"/>
      <c r="N551" s="247">
        <v>114750</v>
      </c>
      <c r="O551" s="113">
        <f t="shared" si="136"/>
        <v>0</v>
      </c>
      <c r="P551" s="113">
        <f t="shared" si="137"/>
        <v>114750</v>
      </c>
      <c r="Q551" s="36" t="s">
        <v>475</v>
      </c>
      <c r="R551" s="132" t="s">
        <v>128</v>
      </c>
      <c r="S551" s="64" t="s">
        <v>216</v>
      </c>
      <c r="T551" s="113"/>
      <c r="U551" s="113"/>
      <c r="V551" s="113"/>
      <c r="W551" s="131"/>
      <c r="X551" s="131"/>
      <c r="Y551" s="11"/>
      <c r="Z551" s="113"/>
      <c r="AA551" s="113"/>
      <c r="AB551" s="113"/>
      <c r="AC551" s="52"/>
      <c r="AD551" s="52"/>
      <c r="AE551" s="11"/>
      <c r="AF551" s="118">
        <v>160000</v>
      </c>
      <c r="AG551" s="144">
        <v>0</v>
      </c>
      <c r="AH551" s="113">
        <f t="shared" si="135"/>
        <v>160000</v>
      </c>
      <c r="AI551" s="11"/>
      <c r="AJ551" s="11"/>
      <c r="AK551" s="39"/>
      <c r="AL551" s="113"/>
      <c r="AM551" s="113"/>
      <c r="AN551" s="147"/>
      <c r="AO551" s="76"/>
      <c r="AP551" s="39"/>
      <c r="AQ551" s="39"/>
      <c r="AR551" s="275"/>
      <c r="AS551" s="275"/>
      <c r="AT551" s="275"/>
      <c r="AU551" s="62"/>
      <c r="AV551" s="62"/>
      <c r="AW551" s="11"/>
      <c r="AX551" s="116"/>
      <c r="AY551" s="196"/>
      <c r="AZ551" s="143"/>
      <c r="BA551" s="191"/>
      <c r="BB551" s="132"/>
      <c r="BC551" s="132"/>
      <c r="BD551" s="274"/>
      <c r="BE551" s="143"/>
      <c r="BF551" s="143"/>
      <c r="BG551" s="132"/>
      <c r="BH551" s="132"/>
      <c r="BI551" s="132"/>
      <c r="BJ551" s="274">
        <v>83750</v>
      </c>
      <c r="BK551" s="118">
        <f>+BJ551*0.19</f>
        <v>15912.5</v>
      </c>
      <c r="BL551" s="113">
        <f>+BK551+BJ551</f>
        <v>99662.5</v>
      </c>
      <c r="BM551" s="132"/>
      <c r="BN551" s="132"/>
      <c r="BO551" s="132"/>
      <c r="BP551" s="143"/>
      <c r="BQ551" s="132"/>
      <c r="BR551" s="132"/>
      <c r="BS551" s="132"/>
      <c r="BT551" s="132"/>
      <c r="BU551" s="132"/>
      <c r="BV551" s="210"/>
      <c r="BW551" s="144"/>
      <c r="BX551" s="113"/>
      <c r="BY551" s="273"/>
      <c r="BZ551" s="273"/>
      <c r="CA551" s="132"/>
      <c r="CB551" s="274"/>
      <c r="CC551" s="144"/>
      <c r="CD551" s="274"/>
      <c r="CE551" s="132"/>
      <c r="CF551" s="132"/>
      <c r="CG551" s="36"/>
      <c r="CH551" s="210"/>
      <c r="CI551" s="219"/>
      <c r="CJ551" s="210"/>
      <c r="CK551" s="273"/>
      <c r="CL551" s="273"/>
      <c r="CM551" s="132"/>
      <c r="CN551" s="274"/>
      <c r="CO551" s="144"/>
      <c r="CP551" s="274"/>
      <c r="CQ551" s="132"/>
      <c r="CR551" s="132"/>
      <c r="CS551" s="132"/>
      <c r="CT551" s="274"/>
      <c r="CU551" s="144"/>
      <c r="CV551" s="274"/>
      <c r="CW551" s="132"/>
      <c r="CX551" s="132"/>
      <c r="CY551" s="132"/>
      <c r="CZ551" s="118"/>
      <c r="DA551" s="144"/>
      <c r="DB551" s="118"/>
      <c r="DC551" s="33"/>
      <c r="DD551" s="39"/>
      <c r="DE551" s="11"/>
      <c r="DF551" s="132"/>
      <c r="DG551" s="132"/>
      <c r="DH551" s="132"/>
      <c r="DI551" s="132"/>
      <c r="DJ551" s="132"/>
      <c r="DK551" s="132"/>
      <c r="DL551" s="132"/>
      <c r="DM551" s="132"/>
      <c r="DN551" s="132"/>
      <c r="DO551" s="132"/>
      <c r="DP551" s="132"/>
      <c r="DQ551" s="132"/>
      <c r="DR551" s="132"/>
      <c r="DS551" s="132"/>
      <c r="DT551" s="132"/>
      <c r="DU551" s="132"/>
      <c r="DV551" s="132"/>
      <c r="DW551" s="132"/>
      <c r="DX551" s="132"/>
      <c r="DY551" s="132"/>
      <c r="DZ551" s="132"/>
      <c r="EA551" s="132"/>
      <c r="EB551" s="132"/>
      <c r="EC551" s="132"/>
      <c r="ED551" s="132"/>
      <c r="EE551" s="132"/>
      <c r="EF551" s="132"/>
      <c r="EG551" s="132"/>
      <c r="EH551" s="132"/>
      <c r="EI551" s="132"/>
      <c r="EJ551" s="132"/>
      <c r="EK551" s="132"/>
      <c r="EL551" s="132"/>
      <c r="EM551" s="132"/>
      <c r="EN551" s="132"/>
      <c r="EO551" s="132"/>
      <c r="EP551" s="132"/>
      <c r="EQ551" s="132"/>
      <c r="ER551" s="132"/>
      <c r="ES551" s="132"/>
      <c r="ET551" s="11"/>
      <c r="EU551" s="11"/>
      <c r="EV551" s="11"/>
      <c r="EW551" s="11"/>
      <c r="EX551" s="11"/>
      <c r="EY551" s="11"/>
      <c r="EZ551" s="11"/>
      <c r="FA551" s="11"/>
      <c r="FB551" s="11"/>
      <c r="FC551" s="11"/>
      <c r="FD551" s="11"/>
      <c r="FE551" s="11"/>
      <c r="FF551" s="11"/>
      <c r="FG551" s="11"/>
      <c r="FH551" s="39">
        <f t="shared" si="126"/>
        <v>374412.5</v>
      </c>
      <c r="FI551" s="33">
        <f t="shared" si="127"/>
        <v>3</v>
      </c>
      <c r="FJ551" s="84">
        <f t="shared" si="128"/>
        <v>124804.16666666667</v>
      </c>
    </row>
    <row r="552" spans="1:166" ht="25.5" x14ac:dyDescent="0.25">
      <c r="A552" s="79" t="e">
        <f>#REF!</f>
        <v>#REF!</v>
      </c>
      <c r="B552" s="75" t="e">
        <f>#REF!</f>
        <v>#REF!</v>
      </c>
      <c r="C552" s="75" t="e">
        <f>#REF!</f>
        <v>#REF!</v>
      </c>
      <c r="D552" s="75" t="e">
        <f>#REF!</f>
        <v>#REF!</v>
      </c>
      <c r="E552" s="30">
        <v>1</v>
      </c>
      <c r="F552" s="238">
        <v>78500</v>
      </c>
      <c r="G552" s="241">
        <v>0</v>
      </c>
      <c r="H552" s="249">
        <v>269950</v>
      </c>
      <c r="I552" s="249">
        <v>0</v>
      </c>
      <c r="J552" s="249">
        <v>160000</v>
      </c>
      <c r="K552" s="249">
        <v>0</v>
      </c>
      <c r="L552" s="274">
        <f>AVERAGE(F552,H552,J552)</f>
        <v>169483.33333333334</v>
      </c>
      <c r="M552" s="274"/>
      <c r="N552" s="247">
        <v>114750</v>
      </c>
      <c r="O552" s="113">
        <f t="shared" si="136"/>
        <v>0</v>
      </c>
      <c r="P552" s="113">
        <f t="shared" si="137"/>
        <v>114750</v>
      </c>
      <c r="Q552" s="36" t="s">
        <v>475</v>
      </c>
      <c r="R552" s="132" t="s">
        <v>128</v>
      </c>
      <c r="S552" s="64" t="s">
        <v>216</v>
      </c>
      <c r="T552" s="118"/>
      <c r="U552" s="118"/>
      <c r="V552" s="118"/>
      <c r="W552" s="11"/>
      <c r="X552" s="11"/>
      <c r="Y552" s="11"/>
      <c r="Z552" s="118"/>
      <c r="AA552" s="118"/>
      <c r="AB552" s="118"/>
      <c r="AC552" s="52"/>
      <c r="AD552" s="52"/>
      <c r="AE552" s="11"/>
      <c r="AF552" s="118">
        <v>160000</v>
      </c>
      <c r="AG552" s="144">
        <v>0</v>
      </c>
      <c r="AH552" s="113">
        <f t="shared" si="135"/>
        <v>160000</v>
      </c>
      <c r="AI552" s="11"/>
      <c r="AJ552" s="11"/>
      <c r="AK552" s="11"/>
      <c r="AL552" s="118"/>
      <c r="AM552" s="118"/>
      <c r="AN552" s="118"/>
      <c r="AO552" s="76"/>
      <c r="AP552" s="11"/>
      <c r="AQ552" s="11"/>
      <c r="AR552" s="274"/>
      <c r="AS552" s="274"/>
      <c r="AT552" s="274"/>
      <c r="AU552" s="62"/>
      <c r="AV552" s="48"/>
      <c r="AW552" s="11"/>
      <c r="AX552" s="274"/>
      <c r="AY552" s="274"/>
      <c r="AZ552" s="274"/>
      <c r="BA552" s="11"/>
      <c r="BB552" s="11"/>
      <c r="BC552" s="11"/>
      <c r="BD552" s="274"/>
      <c r="BE552" s="274"/>
      <c r="BF552" s="274"/>
      <c r="BG552" s="11"/>
      <c r="BH552" s="11"/>
      <c r="BI552" s="11"/>
      <c r="BJ552" s="274"/>
      <c r="BK552" s="274"/>
      <c r="BL552" s="274"/>
      <c r="BM552" s="11"/>
      <c r="BN552" s="11"/>
      <c r="BO552" s="11"/>
      <c r="BP552" s="275"/>
      <c r="BQ552" s="11"/>
      <c r="BR552" s="11"/>
      <c r="BS552" s="11"/>
      <c r="BT552" s="11"/>
      <c r="BU552" s="11"/>
      <c r="BV552" s="210"/>
      <c r="BW552" s="144"/>
      <c r="BX552" s="113"/>
      <c r="BY552" s="273"/>
      <c r="BZ552" s="273"/>
      <c r="CA552" s="11"/>
      <c r="CB552" s="274"/>
      <c r="CC552" s="144"/>
      <c r="CD552" s="274"/>
      <c r="CE552" s="11"/>
      <c r="CF552" s="11"/>
      <c r="CG552" s="11"/>
      <c r="CH552" s="210"/>
      <c r="CI552" s="219"/>
      <c r="CJ552" s="210"/>
      <c r="CK552" s="273"/>
      <c r="CL552" s="273"/>
      <c r="CM552" s="11"/>
      <c r="CN552" s="274"/>
      <c r="CO552" s="144"/>
      <c r="CP552" s="274"/>
      <c r="CQ552" s="11"/>
      <c r="CR552" s="11"/>
      <c r="CS552" s="11"/>
      <c r="CT552" s="274"/>
      <c r="CU552" s="144"/>
      <c r="CV552" s="274"/>
      <c r="CW552" s="11"/>
      <c r="CX552" s="11"/>
      <c r="CY552" s="11"/>
      <c r="CZ552" s="118"/>
      <c r="DA552" s="144"/>
      <c r="DB552" s="118"/>
      <c r="DC552" s="33"/>
      <c r="DD552" s="39"/>
      <c r="DE552" s="11"/>
      <c r="DF552" s="11"/>
      <c r="DG552" s="11"/>
      <c r="DH552" s="11"/>
      <c r="DI552" s="11"/>
      <c r="DJ552" s="11"/>
      <c r="DK552" s="11"/>
      <c r="DL552" s="11"/>
      <c r="DM552" s="11"/>
      <c r="DN552" s="11"/>
      <c r="DO552" s="11"/>
      <c r="DP552" s="11"/>
      <c r="DQ552" s="11"/>
      <c r="DR552" s="11"/>
      <c r="DS552" s="11"/>
      <c r="DT552" s="11"/>
      <c r="DU552" s="11"/>
      <c r="DV552" s="11"/>
      <c r="DW552" s="11"/>
      <c r="DX552" s="11"/>
      <c r="DY552" s="11"/>
      <c r="DZ552" s="11"/>
      <c r="EA552" s="11"/>
      <c r="EB552" s="39"/>
      <c r="EC552" s="39"/>
      <c r="ED552" s="39"/>
      <c r="EE552" s="11"/>
      <c r="EF552" s="11"/>
      <c r="EG552" s="39"/>
      <c r="EH552" s="39"/>
      <c r="EI552" s="34"/>
      <c r="EJ552" s="11"/>
      <c r="EK552" s="11"/>
      <c r="EL552" s="11"/>
      <c r="EM552" s="11"/>
      <c r="EN552" s="11"/>
      <c r="EO552" s="11"/>
      <c r="EP552" s="11"/>
      <c r="EQ552" s="39"/>
      <c r="ER552" s="39"/>
      <c r="ES552" s="39"/>
      <c r="ET552" s="11"/>
      <c r="EU552" s="11"/>
      <c r="EV552" s="39"/>
      <c r="EW552" s="39"/>
      <c r="EX552" s="40"/>
      <c r="EY552" s="40"/>
      <c r="EZ552" s="40"/>
      <c r="FA552" s="40"/>
      <c r="FB552" s="40"/>
      <c r="FC552" s="40"/>
      <c r="FD552" s="40"/>
      <c r="FE552" s="40"/>
      <c r="FF552" s="40"/>
      <c r="FG552" s="40"/>
      <c r="FH552" s="39">
        <f t="shared" si="126"/>
        <v>274750</v>
      </c>
      <c r="FI552" s="33">
        <f t="shared" si="127"/>
        <v>2</v>
      </c>
      <c r="FJ552" s="84">
        <f t="shared" si="128"/>
        <v>137375</v>
      </c>
    </row>
    <row r="553" spans="1:166" x14ac:dyDescent="0.25">
      <c r="A553" s="79" t="e">
        <f>#REF!</f>
        <v>#REF!</v>
      </c>
      <c r="B553" s="75" t="e">
        <f>#REF!</f>
        <v>#REF!</v>
      </c>
      <c r="C553" s="75" t="e">
        <f>#REF!</f>
        <v>#REF!</v>
      </c>
      <c r="D553" s="75" t="e">
        <f>#REF!</f>
        <v>#REF!</v>
      </c>
      <c r="E553" s="30">
        <v>1</v>
      </c>
      <c r="F553" s="238">
        <v>0</v>
      </c>
      <c r="G553" s="241">
        <v>0</v>
      </c>
      <c r="H553" s="249">
        <v>0</v>
      </c>
      <c r="I553" s="249">
        <v>0</v>
      </c>
      <c r="J553" s="249">
        <v>140000</v>
      </c>
      <c r="K553" s="249">
        <v>0</v>
      </c>
      <c r="L553" s="274">
        <f>J553</f>
        <v>140000</v>
      </c>
      <c r="M553" s="274"/>
      <c r="N553" s="245"/>
      <c r="O553" s="113"/>
      <c r="P553" s="113"/>
      <c r="Q553" s="131"/>
      <c r="R553" s="131"/>
      <c r="S553" s="64"/>
      <c r="T553" s="113"/>
      <c r="U553" s="121"/>
      <c r="V553" s="113"/>
      <c r="W553" s="131"/>
      <c r="X553" s="131"/>
      <c r="Y553" s="11"/>
      <c r="Z553" s="113"/>
      <c r="AA553" s="113"/>
      <c r="AB553" s="113"/>
      <c r="AC553" s="52"/>
      <c r="AD553" s="52"/>
      <c r="AE553" s="11"/>
      <c r="AF553" s="118">
        <v>140000</v>
      </c>
      <c r="AG553" s="144">
        <v>0</v>
      </c>
      <c r="AH553" s="113">
        <f t="shared" si="135"/>
        <v>140000</v>
      </c>
      <c r="AI553" s="11"/>
      <c r="AJ553" s="11"/>
      <c r="AK553" s="39"/>
      <c r="AL553" s="113"/>
      <c r="AM553" s="113"/>
      <c r="AN553" s="119"/>
      <c r="AO553" s="76"/>
      <c r="AP553" s="39"/>
      <c r="AQ553" s="39"/>
      <c r="AR553" s="275"/>
      <c r="AS553" s="275"/>
      <c r="AT553" s="275"/>
      <c r="AU553" s="62"/>
      <c r="AV553" s="62"/>
      <c r="AW553" s="11"/>
      <c r="AX553" s="116"/>
      <c r="AY553" s="194"/>
      <c r="AZ553" s="143"/>
      <c r="BA553" s="191"/>
      <c r="BB553" s="132"/>
      <c r="BC553" s="132"/>
      <c r="BD553" s="274"/>
      <c r="BE553" s="143"/>
      <c r="BF553" s="143"/>
      <c r="BG553" s="132"/>
      <c r="BH553" s="132"/>
      <c r="BI553" s="132"/>
      <c r="BJ553" s="143"/>
      <c r="BK553" s="143"/>
      <c r="BL553" s="143"/>
      <c r="BM553" s="132"/>
      <c r="BN553" s="132"/>
      <c r="BO553" s="132"/>
      <c r="BP553" s="143"/>
      <c r="BQ553" s="132"/>
      <c r="BR553" s="132"/>
      <c r="BS553" s="132"/>
      <c r="BT553" s="132"/>
      <c r="BU553" s="132"/>
      <c r="BV553" s="210"/>
      <c r="BW553" s="144"/>
      <c r="BX553" s="113"/>
      <c r="BY553" s="273"/>
      <c r="BZ553" s="273"/>
      <c r="CA553" s="132"/>
      <c r="CB553" s="274"/>
      <c r="CC553" s="144"/>
      <c r="CD553" s="274"/>
      <c r="CE553" s="132"/>
      <c r="CF553" s="132"/>
      <c r="CG553" s="36"/>
      <c r="CH553" s="210"/>
      <c r="CI553" s="219"/>
      <c r="CJ553" s="210"/>
      <c r="CK553" s="273"/>
      <c r="CL553" s="273"/>
      <c r="CM553" s="132"/>
      <c r="CN553" s="274"/>
      <c r="CO553" s="144"/>
      <c r="CP553" s="274"/>
      <c r="CQ553" s="132"/>
      <c r="CR553" s="132"/>
      <c r="CS553" s="132"/>
      <c r="CT553" s="274"/>
      <c r="CU553" s="144"/>
      <c r="CV553" s="274"/>
      <c r="CW553" s="132"/>
      <c r="CX553" s="132"/>
      <c r="CY553" s="132"/>
      <c r="CZ553" s="118"/>
      <c r="DA553" s="144"/>
      <c r="DB553" s="118"/>
      <c r="DC553" s="33"/>
      <c r="DD553" s="39"/>
      <c r="DE553" s="11"/>
      <c r="DF553" s="132"/>
      <c r="DG553" s="132"/>
      <c r="DH553" s="132"/>
      <c r="DI553" s="132"/>
      <c r="DJ553" s="132"/>
      <c r="DK553" s="132"/>
      <c r="DL553" s="132"/>
      <c r="DM553" s="132"/>
      <c r="DN553" s="132"/>
      <c r="DO553" s="132"/>
      <c r="DP553" s="132"/>
      <c r="DQ553" s="132"/>
      <c r="DR553" s="132"/>
      <c r="DS553" s="132"/>
      <c r="DT553" s="132"/>
      <c r="DU553" s="132"/>
      <c r="DV553" s="132"/>
      <c r="DW553" s="132"/>
      <c r="DX553" s="132"/>
      <c r="DY553" s="132"/>
      <c r="DZ553" s="132"/>
      <c r="EA553" s="132"/>
      <c r="EB553" s="132"/>
      <c r="EC553" s="132"/>
      <c r="ED553" s="132"/>
      <c r="EE553" s="132"/>
      <c r="EF553" s="132"/>
      <c r="EG553" s="132"/>
      <c r="EH553" s="132"/>
      <c r="EI553" s="132"/>
      <c r="EJ553" s="132"/>
      <c r="EK553" s="132"/>
      <c r="EL553" s="132"/>
      <c r="EM553" s="132"/>
      <c r="EN553" s="132"/>
      <c r="EO553" s="132"/>
      <c r="EP553" s="132"/>
      <c r="EQ553" s="132"/>
      <c r="ER553" s="132"/>
      <c r="ES553" s="132"/>
      <c r="ET553" s="11"/>
      <c r="EU553" s="11"/>
      <c r="EV553" s="11"/>
      <c r="EW553" s="11"/>
      <c r="EX553" s="11"/>
      <c r="EY553" s="11"/>
      <c r="EZ553" s="11"/>
      <c r="FA553" s="11"/>
      <c r="FB553" s="11"/>
      <c r="FC553" s="11"/>
      <c r="FD553" s="11"/>
      <c r="FE553" s="11"/>
      <c r="FF553" s="11"/>
      <c r="FG553" s="11"/>
      <c r="FH553" s="39">
        <f t="shared" si="126"/>
        <v>140000</v>
      </c>
      <c r="FI553" s="33">
        <f t="shared" si="127"/>
        <v>1</v>
      </c>
      <c r="FJ553" s="84">
        <f t="shared" si="128"/>
        <v>140000</v>
      </c>
    </row>
    <row r="554" spans="1:166" ht="25.5" x14ac:dyDescent="0.25">
      <c r="A554" s="79" t="e">
        <f>#REF!</f>
        <v>#REF!</v>
      </c>
      <c r="B554" s="75" t="e">
        <f>#REF!</f>
        <v>#REF!</v>
      </c>
      <c r="C554" s="75" t="e">
        <f>#REF!</f>
        <v>#REF!</v>
      </c>
      <c r="D554" s="75" t="e">
        <f>#REF!</f>
        <v>#REF!</v>
      </c>
      <c r="E554" s="30">
        <v>1</v>
      </c>
      <c r="F554" s="238">
        <v>85000</v>
      </c>
      <c r="G554" s="241">
        <v>0</v>
      </c>
      <c r="H554" s="249">
        <v>132204.86125000002</v>
      </c>
      <c r="I554" s="249">
        <v>0</v>
      </c>
      <c r="J554" s="249">
        <v>141000</v>
      </c>
      <c r="K554" s="249">
        <v>118000</v>
      </c>
      <c r="L554" s="274">
        <f>AVERAGE(F554,H554,J554)</f>
        <v>119401.62041666667</v>
      </c>
      <c r="M554" s="274">
        <f>K554*E1</f>
        <v>121540</v>
      </c>
      <c r="N554" s="247">
        <v>114750</v>
      </c>
      <c r="O554" s="113">
        <f>+N554*0</f>
        <v>0</v>
      </c>
      <c r="P554" s="113">
        <f>+O554+N554</f>
        <v>114750</v>
      </c>
      <c r="Q554" s="36" t="s">
        <v>475</v>
      </c>
      <c r="R554" s="132" t="s">
        <v>128</v>
      </c>
      <c r="S554" s="64" t="s">
        <v>216</v>
      </c>
      <c r="T554" s="118"/>
      <c r="U554" s="118"/>
      <c r="V554" s="118"/>
      <c r="W554" s="11"/>
      <c r="X554" s="11"/>
      <c r="Y554" s="11"/>
      <c r="Z554" s="118"/>
      <c r="AA554" s="118"/>
      <c r="AB554" s="118"/>
      <c r="AC554" s="52"/>
      <c r="AD554" s="52"/>
      <c r="AE554" s="11"/>
      <c r="AF554" s="118">
        <v>140000</v>
      </c>
      <c r="AG554" s="144">
        <v>0</v>
      </c>
      <c r="AH554" s="113">
        <f t="shared" si="135"/>
        <v>140000</v>
      </c>
      <c r="AI554" s="11"/>
      <c r="AJ554" s="11"/>
      <c r="AK554" s="11"/>
      <c r="AL554" s="118"/>
      <c r="AM554" s="118"/>
      <c r="AN554" s="118"/>
      <c r="AO554" s="76"/>
      <c r="AP554" s="11"/>
      <c r="AQ554" s="11"/>
      <c r="AR554" s="274"/>
      <c r="AS554" s="274"/>
      <c r="AT554" s="274"/>
      <c r="AU554" s="62"/>
      <c r="AV554" s="48"/>
      <c r="AW554" s="11"/>
      <c r="AX554" s="274"/>
      <c r="AY554" s="274"/>
      <c r="AZ554" s="274"/>
      <c r="BA554" s="11"/>
      <c r="BB554" s="11"/>
      <c r="BC554" s="11"/>
      <c r="BD554" s="274"/>
      <c r="BE554" s="274"/>
      <c r="BF554" s="274"/>
      <c r="BG554" s="11"/>
      <c r="BH554" s="11"/>
      <c r="BI554" s="11"/>
      <c r="BJ554" s="274"/>
      <c r="BK554" s="274"/>
      <c r="BL554" s="274"/>
      <c r="BM554" s="11"/>
      <c r="BN554" s="11"/>
      <c r="BO554" s="11"/>
      <c r="BP554" s="275"/>
      <c r="BQ554" s="11"/>
      <c r="BR554" s="11"/>
      <c r="BS554" s="11"/>
      <c r="BT554" s="11"/>
      <c r="BU554" s="11"/>
      <c r="BV554" s="210"/>
      <c r="BW554" s="144"/>
      <c r="BX554" s="113"/>
      <c r="BY554" s="273"/>
      <c r="BZ554" s="273"/>
      <c r="CA554" s="11"/>
      <c r="CB554" s="274"/>
      <c r="CC554" s="144"/>
      <c r="CD554" s="274"/>
      <c r="CE554" s="11"/>
      <c r="CF554" s="11"/>
      <c r="CG554" s="11"/>
      <c r="CH554" s="210"/>
      <c r="CI554" s="219"/>
      <c r="CJ554" s="210"/>
      <c r="CK554" s="273"/>
      <c r="CL554" s="273"/>
      <c r="CM554" s="11"/>
      <c r="CN554" s="274"/>
      <c r="CO554" s="144"/>
      <c r="CP554" s="274"/>
      <c r="CQ554" s="11"/>
      <c r="CR554" s="11"/>
      <c r="CS554" s="11"/>
      <c r="CT554" s="274"/>
      <c r="CU554" s="144"/>
      <c r="CV554" s="274"/>
      <c r="CW554" s="11"/>
      <c r="CX554" s="11"/>
      <c r="CY554" s="11"/>
      <c r="CZ554" s="118"/>
      <c r="DA554" s="144"/>
      <c r="DB554" s="118"/>
      <c r="DC554" s="33"/>
      <c r="DD554" s="39"/>
      <c r="DE554" s="11"/>
      <c r="DF554" s="11"/>
      <c r="DG554" s="11"/>
      <c r="DH554" s="11"/>
      <c r="DI554" s="11"/>
      <c r="DJ554" s="11"/>
      <c r="DK554" s="11"/>
      <c r="DL554" s="11"/>
      <c r="DM554" s="11"/>
      <c r="DN554" s="11"/>
      <c r="DO554" s="11"/>
      <c r="DP554" s="11"/>
      <c r="DQ554" s="11"/>
      <c r="DR554" s="11"/>
      <c r="DS554" s="11"/>
      <c r="DT554" s="11"/>
      <c r="DU554" s="11"/>
      <c r="DV554" s="11"/>
      <c r="DW554" s="11"/>
      <c r="DX554" s="11"/>
      <c r="DY554" s="11"/>
      <c r="DZ554" s="11"/>
      <c r="EA554" s="11"/>
      <c r="EB554" s="39"/>
      <c r="EC554" s="39"/>
      <c r="ED554" s="39"/>
      <c r="EE554" s="11"/>
      <c r="EF554" s="11"/>
      <c r="EG554" s="39"/>
      <c r="EH554" s="39"/>
      <c r="EI554" s="34"/>
      <c r="EJ554" s="11"/>
      <c r="EK554" s="11"/>
      <c r="EL554" s="11"/>
      <c r="EM554" s="11"/>
      <c r="EN554" s="11"/>
      <c r="EO554" s="11"/>
      <c r="EP554" s="11"/>
      <c r="EQ554" s="39"/>
      <c r="ER554" s="39"/>
      <c r="ES554" s="39"/>
      <c r="ET554" s="11"/>
      <c r="EU554" s="11"/>
      <c r="EV554" s="39"/>
      <c r="EW554" s="39"/>
      <c r="EX554" s="40"/>
      <c r="EY554" s="40"/>
      <c r="EZ554" s="40"/>
      <c r="FA554" s="40"/>
      <c r="FB554" s="40"/>
      <c r="FC554" s="40"/>
      <c r="FD554" s="40"/>
      <c r="FE554" s="40"/>
      <c r="FF554" s="40"/>
      <c r="FG554" s="40"/>
      <c r="FH554" s="39">
        <f t="shared" si="126"/>
        <v>376290</v>
      </c>
      <c r="FI554" s="33">
        <f t="shared" si="127"/>
        <v>3</v>
      </c>
      <c r="FJ554" s="84">
        <f t="shared" si="128"/>
        <v>125430</v>
      </c>
    </row>
    <row r="555" spans="1:166" ht="25.5" x14ac:dyDescent="0.25">
      <c r="A555" s="79" t="e">
        <f>#REF!</f>
        <v>#REF!</v>
      </c>
      <c r="B555" s="75" t="e">
        <f>#REF!</f>
        <v>#REF!</v>
      </c>
      <c r="C555" s="75" t="e">
        <f>#REF!</f>
        <v>#REF!</v>
      </c>
      <c r="D555" s="75" t="e">
        <f>#REF!</f>
        <v>#REF!</v>
      </c>
      <c r="E555" s="30">
        <v>1</v>
      </c>
      <c r="F555" s="238">
        <v>75600</v>
      </c>
      <c r="G555" s="241">
        <v>0</v>
      </c>
      <c r="H555" s="249">
        <v>93049.765199999994</v>
      </c>
      <c r="I555" s="249">
        <v>0</v>
      </c>
      <c r="J555" s="249">
        <v>140000</v>
      </c>
      <c r="K555" s="249">
        <v>0</v>
      </c>
      <c r="L555" s="274">
        <f>AVERAGE(F555,H555,J555)</f>
        <v>102883.25506666668</v>
      </c>
      <c r="M555" s="274"/>
      <c r="N555" s="247">
        <v>114750</v>
      </c>
      <c r="O555" s="113">
        <f>+N555*0</f>
        <v>0</v>
      </c>
      <c r="P555" s="113">
        <f>+O555+N555</f>
        <v>114750</v>
      </c>
      <c r="Q555" s="36" t="s">
        <v>475</v>
      </c>
      <c r="R555" s="132" t="s">
        <v>128</v>
      </c>
      <c r="S555" s="64" t="s">
        <v>216</v>
      </c>
      <c r="T555" s="118"/>
      <c r="U555" s="118"/>
      <c r="V555" s="118"/>
      <c r="W555" s="11"/>
      <c r="X555" s="11"/>
      <c r="Y555" s="11"/>
      <c r="Z555" s="118"/>
      <c r="AA555" s="118"/>
      <c r="AB555" s="118"/>
      <c r="AC555" s="52"/>
      <c r="AD555" s="52"/>
      <c r="AE555" s="11"/>
      <c r="AF555" s="118">
        <v>140000</v>
      </c>
      <c r="AG555" s="144">
        <v>0</v>
      </c>
      <c r="AH555" s="113">
        <f t="shared" si="135"/>
        <v>140000</v>
      </c>
      <c r="AI555" s="11"/>
      <c r="AJ555" s="11"/>
      <c r="AK555" s="11"/>
      <c r="AL555" s="118"/>
      <c r="AM555" s="118"/>
      <c r="AN555" s="118"/>
      <c r="AO555" s="76"/>
      <c r="AP555" s="11"/>
      <c r="AQ555" s="11"/>
      <c r="AR555" s="274"/>
      <c r="AS555" s="274"/>
      <c r="AT555" s="274"/>
      <c r="AU555" s="62"/>
      <c r="AV555" s="48"/>
      <c r="AW555" s="11"/>
      <c r="AX555" s="274"/>
      <c r="AY555" s="274"/>
      <c r="AZ555" s="274"/>
      <c r="BA555" s="11"/>
      <c r="BB555" s="11"/>
      <c r="BC555" s="11"/>
      <c r="BD555" s="274"/>
      <c r="BE555" s="274"/>
      <c r="BF555" s="274"/>
      <c r="BG555" s="11"/>
      <c r="BH555" s="11"/>
      <c r="BI555" s="11"/>
      <c r="BJ555" s="274">
        <v>83750</v>
      </c>
      <c r="BK555" s="118">
        <f>+BJ555*0.19</f>
        <v>15912.5</v>
      </c>
      <c r="BL555" s="113">
        <f>+BK555+BJ555</f>
        <v>99662.5</v>
      </c>
      <c r="BM555" s="11"/>
      <c r="BN555" s="11"/>
      <c r="BO555" s="11"/>
      <c r="BP555" s="275"/>
      <c r="BQ555" s="11"/>
      <c r="BR555" s="11"/>
      <c r="BS555" s="11"/>
      <c r="BT555" s="11"/>
      <c r="BU555" s="11"/>
      <c r="BV555" s="210"/>
      <c r="BW555" s="144"/>
      <c r="BX555" s="113"/>
      <c r="BY555" s="273"/>
      <c r="BZ555" s="273"/>
      <c r="CA555" s="11"/>
      <c r="CB555" s="274"/>
      <c r="CC555" s="144"/>
      <c r="CD555" s="274"/>
      <c r="CE555" s="11"/>
      <c r="CF555" s="11"/>
      <c r="CG555" s="11"/>
      <c r="CH555" s="210"/>
      <c r="CI555" s="219"/>
      <c r="CJ555" s="210"/>
      <c r="CK555" s="273"/>
      <c r="CL555" s="273"/>
      <c r="CM555" s="11"/>
      <c r="CN555" s="274"/>
      <c r="CO555" s="144"/>
      <c r="CP555" s="274"/>
      <c r="CQ555" s="11"/>
      <c r="CR555" s="11"/>
      <c r="CS555" s="11"/>
      <c r="CT555" s="274"/>
      <c r="CU555" s="144"/>
      <c r="CV555" s="274"/>
      <c r="CW555" s="11"/>
      <c r="CX555" s="11"/>
      <c r="CY555" s="11"/>
      <c r="CZ555" s="118"/>
      <c r="DA555" s="144"/>
      <c r="DB555" s="118"/>
      <c r="DC555" s="33"/>
      <c r="DD555" s="39"/>
      <c r="DE555" s="11"/>
      <c r="DF555" s="11"/>
      <c r="DG555" s="11"/>
      <c r="DH555" s="11"/>
      <c r="DI555" s="11"/>
      <c r="DJ555" s="11"/>
      <c r="DK555" s="11"/>
      <c r="DL555" s="11"/>
      <c r="DM555" s="11"/>
      <c r="DN555" s="11"/>
      <c r="DO555" s="11"/>
      <c r="DP555" s="11"/>
      <c r="DQ555" s="11"/>
      <c r="DR555" s="11"/>
      <c r="DS555" s="11"/>
      <c r="DT555" s="11"/>
      <c r="DU555" s="11"/>
      <c r="DV555" s="11"/>
      <c r="DW555" s="11"/>
      <c r="DX555" s="11"/>
      <c r="DY555" s="11"/>
      <c r="DZ555" s="11"/>
      <c r="EA555" s="11"/>
      <c r="EB555" s="39"/>
      <c r="EC555" s="39"/>
      <c r="ED555" s="39"/>
      <c r="EE555" s="11"/>
      <c r="EF555" s="11"/>
      <c r="EG555" s="39"/>
      <c r="EH555" s="39"/>
      <c r="EI555" s="34"/>
      <c r="EJ555" s="11"/>
      <c r="EK555" s="11"/>
      <c r="EL555" s="11"/>
      <c r="EM555" s="11"/>
      <c r="EN555" s="11"/>
      <c r="EO555" s="11"/>
      <c r="EP555" s="11"/>
      <c r="EQ555" s="39"/>
      <c r="ER555" s="39"/>
      <c r="ES555" s="39"/>
      <c r="ET555" s="11"/>
      <c r="EU555" s="11"/>
      <c r="EV555" s="39"/>
      <c r="EW555" s="39"/>
      <c r="EX555" s="40"/>
      <c r="EY555" s="40"/>
      <c r="EZ555" s="40"/>
      <c r="FA555" s="40"/>
      <c r="FB555" s="40"/>
      <c r="FC555" s="40"/>
      <c r="FD555" s="40"/>
      <c r="FE555" s="40"/>
      <c r="FF555" s="40"/>
      <c r="FG555" s="40"/>
      <c r="FH555" s="39">
        <f t="shared" si="126"/>
        <v>354412.5</v>
      </c>
      <c r="FI555" s="33">
        <f t="shared" si="127"/>
        <v>3</v>
      </c>
      <c r="FJ555" s="84">
        <f t="shared" si="128"/>
        <v>118137.5</v>
      </c>
    </row>
    <row r="556" spans="1:166" ht="25.5" x14ac:dyDescent="0.25">
      <c r="A556" s="79" t="e">
        <f>#REF!</f>
        <v>#REF!</v>
      </c>
      <c r="B556" s="75" t="e">
        <f>#REF!</f>
        <v>#REF!</v>
      </c>
      <c r="C556" s="75" t="e">
        <f>#REF!</f>
        <v>#REF!</v>
      </c>
      <c r="D556" s="75" t="e">
        <f>#REF!</f>
        <v>#REF!</v>
      </c>
      <c r="E556" s="30">
        <v>1</v>
      </c>
      <c r="F556" s="238">
        <v>107500</v>
      </c>
      <c r="G556" s="241">
        <v>53550</v>
      </c>
      <c r="H556" s="249">
        <v>152950</v>
      </c>
      <c r="I556" s="249">
        <v>0</v>
      </c>
      <c r="J556" s="249">
        <v>119409.16666666667</v>
      </c>
      <c r="K556" s="249">
        <v>0</v>
      </c>
      <c r="L556" s="274">
        <f>AVERAGE(F556,H556,J556)</f>
        <v>126619.72222222223</v>
      </c>
      <c r="M556" s="274">
        <f>G556*E1</f>
        <v>55156.5</v>
      </c>
      <c r="N556" s="247">
        <v>114750</v>
      </c>
      <c r="O556" s="113">
        <f>+N556*0</f>
        <v>0</v>
      </c>
      <c r="P556" s="113">
        <f>+O556+N556</f>
        <v>114750</v>
      </c>
      <c r="Q556" s="36" t="s">
        <v>475</v>
      </c>
      <c r="R556" s="132" t="s">
        <v>128</v>
      </c>
      <c r="S556" s="64" t="s">
        <v>216</v>
      </c>
      <c r="T556" s="118"/>
      <c r="U556" s="118"/>
      <c r="V556" s="118"/>
      <c r="W556" s="11"/>
      <c r="X556" s="11"/>
      <c r="Y556" s="11"/>
      <c r="Z556" s="118"/>
      <c r="AA556" s="118"/>
      <c r="AB556" s="118"/>
      <c r="AC556" s="52"/>
      <c r="AD556" s="52"/>
      <c r="AE556" s="11"/>
      <c r="AF556" s="118">
        <v>140000</v>
      </c>
      <c r="AG556" s="144">
        <v>0</v>
      </c>
      <c r="AH556" s="113">
        <f t="shared" si="135"/>
        <v>140000</v>
      </c>
      <c r="AI556" s="11"/>
      <c r="AJ556" s="11"/>
      <c r="AK556" s="11"/>
      <c r="AL556" s="118"/>
      <c r="AM556" s="118"/>
      <c r="AN556" s="118"/>
      <c r="AO556" s="76"/>
      <c r="AP556" s="11"/>
      <c r="AQ556" s="11"/>
      <c r="AR556" s="274"/>
      <c r="AS556" s="274"/>
      <c r="AT556" s="274"/>
      <c r="AU556" s="62"/>
      <c r="AV556" s="48"/>
      <c r="AW556" s="11"/>
      <c r="AX556" s="274"/>
      <c r="AY556" s="274"/>
      <c r="AZ556" s="274"/>
      <c r="BA556" s="11"/>
      <c r="BB556" s="11"/>
      <c r="BC556" s="11"/>
      <c r="BD556" s="274"/>
      <c r="BE556" s="274"/>
      <c r="BF556" s="274"/>
      <c r="BG556" s="11"/>
      <c r="BH556" s="11"/>
      <c r="BI556" s="11"/>
      <c r="BJ556" s="274">
        <v>83750</v>
      </c>
      <c r="BK556" s="118">
        <f>+BJ556*0.19</f>
        <v>15912.5</v>
      </c>
      <c r="BL556" s="113">
        <f>+BK556+BJ556</f>
        <v>99662.5</v>
      </c>
      <c r="BM556" s="11"/>
      <c r="BN556" s="11"/>
      <c r="BO556" s="11"/>
      <c r="BP556" s="275"/>
      <c r="BQ556" s="11"/>
      <c r="BR556" s="11"/>
      <c r="BS556" s="11"/>
      <c r="BT556" s="11"/>
      <c r="BU556" s="11"/>
      <c r="BV556" s="210"/>
      <c r="BW556" s="144"/>
      <c r="BX556" s="113"/>
      <c r="BY556" s="273"/>
      <c r="BZ556" s="273"/>
      <c r="CA556" s="11"/>
      <c r="CB556" s="274"/>
      <c r="CC556" s="144"/>
      <c r="CD556" s="274"/>
      <c r="CE556" s="11"/>
      <c r="CF556" s="11"/>
      <c r="CG556" s="11"/>
      <c r="CH556" s="210"/>
      <c r="CI556" s="219"/>
      <c r="CJ556" s="210"/>
      <c r="CK556" s="273"/>
      <c r="CL556" s="273"/>
      <c r="CM556" s="11"/>
      <c r="CN556" s="274"/>
      <c r="CO556" s="144"/>
      <c r="CP556" s="274"/>
      <c r="CQ556" s="11"/>
      <c r="CR556" s="11"/>
      <c r="CS556" s="11"/>
      <c r="CT556" s="274"/>
      <c r="CU556" s="144"/>
      <c r="CV556" s="274"/>
      <c r="CW556" s="11"/>
      <c r="CX556" s="11"/>
      <c r="CY556" s="11"/>
      <c r="CZ556" s="118"/>
      <c r="DA556" s="144"/>
      <c r="DB556" s="118"/>
      <c r="DC556" s="33"/>
      <c r="DD556" s="39"/>
      <c r="DE556" s="11"/>
      <c r="DF556" s="11"/>
      <c r="DG556" s="11"/>
      <c r="DH556" s="11"/>
      <c r="DI556" s="11"/>
      <c r="DJ556" s="11"/>
      <c r="DK556" s="11"/>
      <c r="DL556" s="11"/>
      <c r="DM556" s="11"/>
      <c r="DN556" s="11"/>
      <c r="DO556" s="11"/>
      <c r="DP556" s="11"/>
      <c r="DQ556" s="11"/>
      <c r="DR556" s="11"/>
      <c r="DS556" s="11"/>
      <c r="DT556" s="11"/>
      <c r="DU556" s="11"/>
      <c r="DV556" s="11"/>
      <c r="DW556" s="11"/>
      <c r="DX556" s="11"/>
      <c r="DY556" s="11"/>
      <c r="DZ556" s="11"/>
      <c r="EA556" s="11"/>
      <c r="EB556" s="39"/>
      <c r="EC556" s="39"/>
      <c r="ED556" s="39"/>
      <c r="EE556" s="11"/>
      <c r="EF556" s="11"/>
      <c r="EG556" s="39"/>
      <c r="EH556" s="39"/>
      <c r="EI556" s="34"/>
      <c r="EJ556" s="11"/>
      <c r="EK556" s="11"/>
      <c r="EL556" s="11"/>
      <c r="EM556" s="11"/>
      <c r="EN556" s="11"/>
      <c r="EO556" s="11"/>
      <c r="EP556" s="11"/>
      <c r="EQ556" s="39"/>
      <c r="ER556" s="39"/>
      <c r="ES556" s="39"/>
      <c r="ET556" s="11"/>
      <c r="EU556" s="11"/>
      <c r="EV556" s="39"/>
      <c r="EW556" s="39"/>
      <c r="EX556" s="40"/>
      <c r="EY556" s="40"/>
      <c r="EZ556" s="40"/>
      <c r="FA556" s="40"/>
      <c r="FB556" s="40"/>
      <c r="FC556" s="40"/>
      <c r="FD556" s="40"/>
      <c r="FE556" s="40"/>
      <c r="FF556" s="40"/>
      <c r="FG556" s="40"/>
      <c r="FH556" s="39">
        <f t="shared" si="126"/>
        <v>409569</v>
      </c>
      <c r="FI556" s="33">
        <f t="shared" si="127"/>
        <v>4</v>
      </c>
      <c r="FJ556" s="84">
        <f t="shared" si="128"/>
        <v>102392.25</v>
      </c>
    </row>
    <row r="557" spans="1:166" ht="13.5" x14ac:dyDescent="0.25">
      <c r="A557" s="79" t="e">
        <f>#REF!</f>
        <v>#REF!</v>
      </c>
      <c r="B557" s="75" t="e">
        <f>#REF!</f>
        <v>#REF!</v>
      </c>
      <c r="C557" s="75" t="e">
        <f>#REF!</f>
        <v>#REF!</v>
      </c>
      <c r="D557" s="75" t="e">
        <f>#REF!</f>
        <v>#REF!</v>
      </c>
      <c r="E557" s="30">
        <v>1</v>
      </c>
      <c r="F557" s="238">
        <v>0</v>
      </c>
      <c r="G557" s="241">
        <v>0</v>
      </c>
      <c r="H557" s="249">
        <v>0</v>
      </c>
      <c r="I557" s="249">
        <v>0</v>
      </c>
      <c r="J557" s="249">
        <v>162926.86666666667</v>
      </c>
      <c r="K557" s="249">
        <v>154700</v>
      </c>
      <c r="L557" s="274">
        <f>J557</f>
        <v>162926.86666666667</v>
      </c>
      <c r="M557" s="274">
        <f>K557*E1</f>
        <v>159341</v>
      </c>
      <c r="N557" s="246"/>
      <c r="O557" s="118"/>
      <c r="P557" s="118"/>
      <c r="Q557" s="52"/>
      <c r="R557" s="52"/>
      <c r="S557" s="5"/>
      <c r="T557" s="118"/>
      <c r="U557" s="118"/>
      <c r="V557" s="118"/>
      <c r="W557" s="11"/>
      <c r="X557" s="11"/>
      <c r="Y557" s="11"/>
      <c r="Z557" s="118"/>
      <c r="AA557" s="118"/>
      <c r="AB557" s="118"/>
      <c r="AC557" s="52"/>
      <c r="AD557" s="52"/>
      <c r="AE557" s="11"/>
      <c r="AF557" s="118"/>
      <c r="AG557" s="144"/>
      <c r="AH557" s="118"/>
      <c r="AI557" s="11"/>
      <c r="AJ557" s="11"/>
      <c r="AK557" s="11"/>
      <c r="AL557" s="118">
        <v>210000</v>
      </c>
      <c r="AM557" s="113">
        <f>+AL557*0.19</f>
        <v>39900</v>
      </c>
      <c r="AN557" s="119">
        <f>+AL557+AM557</f>
        <v>249900</v>
      </c>
      <c r="AO557" s="76" t="s">
        <v>95</v>
      </c>
      <c r="AP557" s="11" t="s">
        <v>45</v>
      </c>
      <c r="AQ557" s="11"/>
      <c r="AR557" s="274"/>
      <c r="AS557" s="274"/>
      <c r="AT557" s="274"/>
      <c r="AU557" s="62"/>
      <c r="AV557" s="48"/>
      <c r="AW557" s="11"/>
      <c r="AX557" s="274"/>
      <c r="AY557" s="274"/>
      <c r="AZ557" s="274"/>
      <c r="BA557" s="11"/>
      <c r="BB557" s="11"/>
      <c r="BC557" s="11"/>
      <c r="BD557" s="274"/>
      <c r="BE557" s="274"/>
      <c r="BF557" s="274"/>
      <c r="BG557" s="11"/>
      <c r="BH557" s="11"/>
      <c r="BI557" s="11"/>
      <c r="BJ557" s="274"/>
      <c r="BK557" s="274"/>
      <c r="BL557" s="274"/>
      <c r="BM557" s="11"/>
      <c r="BN557" s="11"/>
      <c r="BO557" s="11"/>
      <c r="BP557" s="275"/>
      <c r="BQ557" s="11"/>
      <c r="BR557" s="11"/>
      <c r="BS557" s="11"/>
      <c r="BT557" s="11"/>
      <c r="BU557" s="11"/>
      <c r="BV557" s="263">
        <v>159500</v>
      </c>
      <c r="BW557" s="144">
        <f>BV557*19%</f>
        <v>30305</v>
      </c>
      <c r="BX557" s="113">
        <f>+BV557+BW557</f>
        <v>189805</v>
      </c>
      <c r="BY557" s="264" t="s">
        <v>231</v>
      </c>
      <c r="BZ557" s="264" t="s">
        <v>88</v>
      </c>
      <c r="CA557" s="11"/>
      <c r="CB557" s="274"/>
      <c r="CC557" s="144"/>
      <c r="CD557" s="274"/>
      <c r="CE557" s="11"/>
      <c r="CF557" s="11"/>
      <c r="CG557" s="11"/>
      <c r="CH557" s="263">
        <v>164285</v>
      </c>
      <c r="CI557" s="265">
        <f>+CH557*0.19</f>
        <v>31214.15</v>
      </c>
      <c r="CJ557" s="263">
        <f>+CH557+CI557</f>
        <v>195499.15</v>
      </c>
      <c r="CK557" s="264" t="s">
        <v>231</v>
      </c>
      <c r="CL557" s="264" t="s">
        <v>88</v>
      </c>
      <c r="CM557" s="11"/>
      <c r="CN557" s="274"/>
      <c r="CO557" s="144"/>
      <c r="CP557" s="274"/>
      <c r="CQ557" s="11"/>
      <c r="CR557" s="11"/>
      <c r="CS557" s="11"/>
      <c r="CT557" s="274"/>
      <c r="CU557" s="144"/>
      <c r="CV557" s="274"/>
      <c r="CW557" s="11"/>
      <c r="CX557" s="11"/>
      <c r="CY557" s="11"/>
      <c r="CZ557" s="118"/>
      <c r="DA557" s="144"/>
      <c r="DB557" s="118"/>
      <c r="DC557" s="33"/>
      <c r="DD557" s="39"/>
      <c r="DE557" s="11"/>
      <c r="DF557" s="11"/>
      <c r="DG557" s="11"/>
      <c r="DH557" s="11"/>
      <c r="DI557" s="11"/>
      <c r="DJ557" s="11"/>
      <c r="DK557" s="11"/>
      <c r="DL557" s="11"/>
      <c r="DM557" s="11"/>
      <c r="DN557" s="11"/>
      <c r="DO557" s="11"/>
      <c r="DP557" s="11"/>
      <c r="DQ557" s="11"/>
      <c r="DR557" s="11"/>
      <c r="DS557" s="11"/>
      <c r="DT557" s="11"/>
      <c r="DU557" s="11"/>
      <c r="DV557" s="11"/>
      <c r="DW557" s="11"/>
      <c r="DX557" s="11"/>
      <c r="DY557" s="11"/>
      <c r="DZ557" s="11"/>
      <c r="EA557" s="11"/>
      <c r="EB557" s="39"/>
      <c r="EC557" s="39"/>
      <c r="ED557" s="39"/>
      <c r="EE557" s="11"/>
      <c r="EF557" s="11"/>
      <c r="EG557" s="39"/>
      <c r="EH557" s="39"/>
      <c r="EI557" s="34"/>
      <c r="EJ557" s="11"/>
      <c r="EK557" s="11"/>
      <c r="EL557" s="11"/>
      <c r="EM557" s="11"/>
      <c r="EN557" s="11"/>
      <c r="EO557" s="11"/>
      <c r="EP557" s="11"/>
      <c r="EQ557" s="39"/>
      <c r="ER557" s="39"/>
      <c r="ES557" s="39"/>
      <c r="ET557" s="11"/>
      <c r="EU557" s="11"/>
      <c r="EV557" s="39"/>
      <c r="EW557" s="39"/>
      <c r="EX557" s="40"/>
      <c r="EY557" s="40"/>
      <c r="EZ557" s="40"/>
      <c r="FA557" s="40"/>
      <c r="FB557" s="40"/>
      <c r="FC557" s="40"/>
      <c r="FD557" s="40"/>
      <c r="FE557" s="40"/>
      <c r="FF557" s="40"/>
      <c r="FG557" s="40"/>
      <c r="FH557" s="39">
        <f t="shared" si="126"/>
        <v>794545.15</v>
      </c>
      <c r="FI557" s="33">
        <f t="shared" si="127"/>
        <v>4</v>
      </c>
      <c r="FJ557" s="84">
        <f t="shared" si="128"/>
        <v>198636.28750000001</v>
      </c>
    </row>
    <row r="558" spans="1:166" ht="27" x14ac:dyDescent="0.25">
      <c r="A558" s="79" t="e">
        <f>#REF!</f>
        <v>#REF!</v>
      </c>
      <c r="B558" s="75" t="e">
        <f>#REF!</f>
        <v>#REF!</v>
      </c>
      <c r="C558" s="75" t="e">
        <f>#REF!</f>
        <v>#REF!</v>
      </c>
      <c r="D558" s="75" t="e">
        <f>#REF!</f>
        <v>#REF!</v>
      </c>
      <c r="E558" s="30">
        <v>1</v>
      </c>
      <c r="F558" s="238">
        <v>0</v>
      </c>
      <c r="G558" s="241">
        <v>0</v>
      </c>
      <c r="H558" s="249">
        <v>0</v>
      </c>
      <c r="I558" s="249">
        <v>0</v>
      </c>
      <c r="J558" s="249">
        <v>0</v>
      </c>
      <c r="K558" s="249">
        <v>0</v>
      </c>
      <c r="L558" s="274"/>
      <c r="M558" s="274"/>
      <c r="N558" s="246"/>
      <c r="O558" s="118"/>
      <c r="P558" s="118"/>
      <c r="Q558" s="52"/>
      <c r="R558" s="52"/>
      <c r="S558" s="5"/>
      <c r="T558" s="118"/>
      <c r="U558" s="118"/>
      <c r="V558" s="118"/>
      <c r="W558" s="11"/>
      <c r="X558" s="11"/>
      <c r="Y558" s="11"/>
      <c r="Z558" s="118"/>
      <c r="AA558" s="118"/>
      <c r="AB558" s="118"/>
      <c r="AC558" s="52"/>
      <c r="AD558" s="52"/>
      <c r="AE558" s="11"/>
      <c r="AF558" s="118"/>
      <c r="AG558" s="144"/>
      <c r="AH558" s="118"/>
      <c r="AI558" s="11"/>
      <c r="AJ558" s="11"/>
      <c r="AK558" s="11"/>
      <c r="AL558" s="118"/>
      <c r="AM558" s="118"/>
      <c r="AN558" s="118"/>
      <c r="AO558" s="76"/>
      <c r="AP558" s="11"/>
      <c r="AQ558" s="11"/>
      <c r="AR558" s="274">
        <v>187200</v>
      </c>
      <c r="AS558" s="143">
        <f>+AR558*0.19</f>
        <v>35568</v>
      </c>
      <c r="AT558" s="116">
        <f>+AR558+AS558</f>
        <v>222768</v>
      </c>
      <c r="AU558" s="62" t="s">
        <v>54</v>
      </c>
      <c r="AV558" s="36" t="s">
        <v>35</v>
      </c>
      <c r="AW558" s="11"/>
      <c r="AX558" s="274"/>
      <c r="AY558" s="274"/>
      <c r="AZ558" s="274"/>
      <c r="BA558" s="11"/>
      <c r="BB558" s="11"/>
      <c r="BC558" s="11"/>
      <c r="BD558" s="274"/>
      <c r="BE558" s="274"/>
      <c r="BF558" s="274"/>
      <c r="BG558" s="11"/>
      <c r="BH558" s="11"/>
      <c r="BI558" s="11"/>
      <c r="BJ558" s="274"/>
      <c r="BK558" s="274"/>
      <c r="BL558" s="274"/>
      <c r="BM558" s="11"/>
      <c r="BN558" s="11"/>
      <c r="BO558" s="11"/>
      <c r="BP558" s="275"/>
      <c r="BQ558" s="11"/>
      <c r="BR558" s="11"/>
      <c r="BS558" s="11"/>
      <c r="BT558" s="11"/>
      <c r="BU558" s="11"/>
      <c r="BV558" s="263">
        <v>231800</v>
      </c>
      <c r="BW558" s="144">
        <f>BV558*19%</f>
        <v>44042</v>
      </c>
      <c r="BX558" s="113">
        <f>+BV558+BW558</f>
        <v>275842</v>
      </c>
      <c r="BY558" s="264" t="s">
        <v>342</v>
      </c>
      <c r="BZ558" s="264" t="s">
        <v>477</v>
      </c>
      <c r="CA558" s="11"/>
      <c r="CB558" s="274"/>
      <c r="CC558" s="144"/>
      <c r="CD558" s="274"/>
      <c r="CE558" s="11"/>
      <c r="CF558" s="11"/>
      <c r="CG558" s="11"/>
      <c r="CH558" s="263">
        <v>234118</v>
      </c>
      <c r="CI558" s="265">
        <f>+CH558*0.19</f>
        <v>44482.42</v>
      </c>
      <c r="CJ558" s="263">
        <f>+CH558+CI558</f>
        <v>278600.42</v>
      </c>
      <c r="CK558" s="264" t="s">
        <v>342</v>
      </c>
      <c r="CL558" s="264" t="s">
        <v>477</v>
      </c>
      <c r="CM558" s="11"/>
      <c r="CN558" s="274"/>
      <c r="CO558" s="144"/>
      <c r="CP558" s="274"/>
      <c r="CQ558" s="11"/>
      <c r="CR558" s="11"/>
      <c r="CS558" s="11"/>
      <c r="CT558" s="274"/>
      <c r="CU558" s="144"/>
      <c r="CV558" s="274"/>
      <c r="CW558" s="11"/>
      <c r="CX558" s="11"/>
      <c r="CY558" s="11"/>
      <c r="CZ558" s="118"/>
      <c r="DA558" s="144"/>
      <c r="DB558" s="118"/>
      <c r="DC558" s="33"/>
      <c r="DD558" s="39"/>
      <c r="DE558" s="11"/>
      <c r="DF558" s="11"/>
      <c r="DG558" s="11"/>
      <c r="DH558" s="11"/>
      <c r="DI558" s="11"/>
      <c r="DJ558" s="11"/>
      <c r="DK558" s="11"/>
      <c r="DL558" s="11"/>
      <c r="DM558" s="11"/>
      <c r="DN558" s="11"/>
      <c r="DO558" s="11"/>
      <c r="DP558" s="11"/>
      <c r="DQ558" s="11"/>
      <c r="DR558" s="11"/>
      <c r="DS558" s="11"/>
      <c r="DT558" s="11"/>
      <c r="DU558" s="11"/>
      <c r="DV558" s="11"/>
      <c r="DW558" s="11"/>
      <c r="DX558" s="11"/>
      <c r="DY558" s="11"/>
      <c r="DZ558" s="11"/>
      <c r="EA558" s="11"/>
      <c r="EB558" s="39"/>
      <c r="EC558" s="39"/>
      <c r="ED558" s="39"/>
      <c r="EE558" s="11"/>
      <c r="EF558" s="11"/>
      <c r="EG558" s="39"/>
      <c r="EH558" s="39"/>
      <c r="EI558" s="34"/>
      <c r="EJ558" s="11"/>
      <c r="EK558" s="11"/>
      <c r="EL558" s="11"/>
      <c r="EM558" s="11"/>
      <c r="EN558" s="11"/>
      <c r="EO558" s="11"/>
      <c r="EP558" s="11"/>
      <c r="EQ558" s="39"/>
      <c r="ER558" s="39"/>
      <c r="ES558" s="39"/>
      <c r="ET558" s="11"/>
      <c r="EU558" s="11"/>
      <c r="EV558" s="39"/>
      <c r="EW558" s="39"/>
      <c r="EX558" s="40"/>
      <c r="EY558" s="40"/>
      <c r="EZ558" s="40"/>
      <c r="FA558" s="40"/>
      <c r="FB558" s="40"/>
      <c r="FC558" s="40"/>
      <c r="FD558" s="40"/>
      <c r="FE558" s="40"/>
      <c r="FF558" s="40"/>
      <c r="FG558" s="40"/>
      <c r="FH558" s="39">
        <f t="shared" si="126"/>
        <v>777210.41999999993</v>
      </c>
      <c r="FI558" s="33">
        <f t="shared" si="127"/>
        <v>3</v>
      </c>
      <c r="FJ558" s="84">
        <f t="shared" si="128"/>
        <v>259070.13999999998</v>
      </c>
    </row>
    <row r="559" spans="1:166" x14ac:dyDescent="0.25">
      <c r="A559" s="79" t="e">
        <f>#REF!</f>
        <v>#REF!</v>
      </c>
      <c r="B559" s="75" t="e">
        <f>#REF!</f>
        <v>#REF!</v>
      </c>
      <c r="C559" s="75" t="e">
        <f>#REF!</f>
        <v>#REF!</v>
      </c>
      <c r="D559" s="75" t="e">
        <f>#REF!</f>
        <v>#REF!</v>
      </c>
      <c r="E559" s="30">
        <v>1</v>
      </c>
      <c r="F559" s="238">
        <v>0</v>
      </c>
      <c r="G559" s="241">
        <v>0</v>
      </c>
      <c r="H559" s="249">
        <v>0</v>
      </c>
      <c r="I559" s="249">
        <v>0</v>
      </c>
      <c r="J559" s="249">
        <v>0</v>
      </c>
      <c r="K559" s="249">
        <v>0</v>
      </c>
      <c r="L559" s="274"/>
      <c r="M559" s="274"/>
      <c r="N559" s="246"/>
      <c r="O559" s="118"/>
      <c r="P559" s="118"/>
      <c r="Q559" s="52"/>
      <c r="R559" s="52"/>
      <c r="S559" s="5"/>
      <c r="T559" s="118"/>
      <c r="U559" s="118"/>
      <c r="V559" s="118"/>
      <c r="W559" s="11"/>
      <c r="X559" s="11"/>
      <c r="Y559" s="11"/>
      <c r="Z559" s="118"/>
      <c r="AA559" s="118"/>
      <c r="AB559" s="118"/>
      <c r="AC559" s="52"/>
      <c r="AD559" s="52"/>
      <c r="AE559" s="11"/>
      <c r="AF559" s="113"/>
      <c r="AG559" s="144"/>
      <c r="AH559" s="118"/>
      <c r="AI559" s="11"/>
      <c r="AJ559" s="11"/>
      <c r="AK559" s="11"/>
      <c r="AL559" s="118"/>
      <c r="AM559" s="118"/>
      <c r="AN559" s="118"/>
      <c r="AO559" s="76"/>
      <c r="AP559" s="11"/>
      <c r="AQ559" s="11"/>
      <c r="AR559" s="274"/>
      <c r="AS559" s="274"/>
      <c r="AT559" s="274"/>
      <c r="AU559" s="48"/>
      <c r="AV559" s="48"/>
      <c r="AW559" s="11"/>
      <c r="AX559" s="274"/>
      <c r="AY559" s="274"/>
      <c r="AZ559" s="274"/>
      <c r="BA559" s="11"/>
      <c r="BB559" s="11"/>
      <c r="BC559" s="11"/>
      <c r="BD559" s="275"/>
      <c r="BE559" s="274"/>
      <c r="BF559" s="274"/>
      <c r="BG559" s="11"/>
      <c r="BH559" s="11"/>
      <c r="BI559" s="11"/>
      <c r="BJ559" s="274"/>
      <c r="BK559" s="274"/>
      <c r="BL559" s="274"/>
      <c r="BM559" s="11"/>
      <c r="BN559" s="11"/>
      <c r="BO559" s="11"/>
      <c r="BP559" s="275"/>
      <c r="BQ559" s="11"/>
      <c r="BR559" s="11"/>
      <c r="BS559" s="11"/>
      <c r="BT559" s="11"/>
      <c r="BU559" s="11"/>
      <c r="BV559" s="210"/>
      <c r="BW559" s="144"/>
      <c r="BX559" s="113"/>
      <c r="BY559" s="273"/>
      <c r="BZ559" s="273"/>
      <c r="CA559" s="11"/>
      <c r="CB559" s="275"/>
      <c r="CC559" s="143"/>
      <c r="CD559" s="275"/>
      <c r="CE559" s="11"/>
      <c r="CF559" s="11"/>
      <c r="CG559" s="11"/>
      <c r="CH559" s="210"/>
      <c r="CI559" s="219"/>
      <c r="CJ559" s="210"/>
      <c r="CK559" s="273"/>
      <c r="CL559" s="273"/>
      <c r="CM559" s="11"/>
      <c r="CN559" s="275"/>
      <c r="CO559" s="143"/>
      <c r="CP559" s="275"/>
      <c r="CQ559" s="11"/>
      <c r="CR559" s="11"/>
      <c r="CS559" s="11"/>
      <c r="CT559" s="275"/>
      <c r="CU559" s="143"/>
      <c r="CV559" s="275"/>
      <c r="CW559" s="15"/>
      <c r="CX559" s="74"/>
      <c r="CY559" s="74"/>
      <c r="CZ559" s="113"/>
      <c r="DA559" s="143"/>
      <c r="DB559" s="113"/>
      <c r="DC559" s="33"/>
      <c r="DD559" s="39"/>
      <c r="DE559" s="11"/>
      <c r="DF559" s="11"/>
      <c r="DG559" s="11"/>
      <c r="DH559" s="11"/>
      <c r="DI559" s="11"/>
      <c r="DJ559" s="11"/>
      <c r="DK559" s="11"/>
      <c r="DL559" s="11"/>
      <c r="DM559" s="11"/>
      <c r="DN559" s="11"/>
      <c r="DO559" s="11"/>
      <c r="DP559" s="11"/>
      <c r="DQ559" s="11"/>
      <c r="DR559" s="11"/>
      <c r="DS559" s="11"/>
      <c r="DT559" s="11"/>
      <c r="DU559" s="11"/>
      <c r="DV559" s="11"/>
      <c r="DW559" s="11"/>
      <c r="DX559" s="11"/>
      <c r="DY559" s="11"/>
      <c r="DZ559" s="11"/>
      <c r="EA559" s="11"/>
      <c r="EB559" s="39"/>
      <c r="EC559" s="39"/>
      <c r="ED559" s="39"/>
      <c r="EE559" s="11"/>
      <c r="EF559" s="11"/>
      <c r="EG559" s="39"/>
      <c r="EH559" s="39"/>
      <c r="EI559" s="34"/>
      <c r="EJ559" s="11"/>
      <c r="EK559" s="11"/>
      <c r="EL559" s="11"/>
      <c r="EM559" s="11"/>
      <c r="EN559" s="11"/>
      <c r="EO559" s="11"/>
      <c r="EP559" s="11"/>
      <c r="EQ559" s="39"/>
      <c r="ER559" s="39"/>
      <c r="ES559" s="39"/>
      <c r="ET559" s="11"/>
      <c r="EU559" s="11"/>
      <c r="EV559" s="39"/>
      <c r="EW559" s="39"/>
      <c r="EX559" s="40"/>
      <c r="EY559" s="40"/>
      <c r="EZ559" s="40"/>
      <c r="FA559" s="40"/>
      <c r="FB559" s="40"/>
      <c r="FC559" s="40"/>
      <c r="FD559" s="40"/>
      <c r="FE559" s="40"/>
      <c r="FF559" s="40"/>
      <c r="FG559" s="40"/>
      <c r="FH559" s="39">
        <f t="shared" si="126"/>
        <v>0</v>
      </c>
      <c r="FI559" s="33">
        <f t="shared" si="127"/>
        <v>0</v>
      </c>
      <c r="FJ559" s="84" t="str">
        <f t="shared" si="128"/>
        <v xml:space="preserve"> </v>
      </c>
    </row>
    <row r="560" spans="1:166" x14ac:dyDescent="0.25">
      <c r="A560" s="79" t="e">
        <f>#REF!</f>
        <v>#REF!</v>
      </c>
      <c r="B560" s="75" t="e">
        <f>#REF!</f>
        <v>#REF!</v>
      </c>
      <c r="C560" s="75" t="e">
        <f>#REF!</f>
        <v>#REF!</v>
      </c>
      <c r="D560" s="75" t="e">
        <f>#REF!</f>
        <v>#REF!</v>
      </c>
      <c r="E560" s="30">
        <v>1</v>
      </c>
      <c r="F560" s="238">
        <v>0</v>
      </c>
      <c r="G560" s="241">
        <v>0</v>
      </c>
      <c r="H560" s="249">
        <v>0</v>
      </c>
      <c r="I560" s="249">
        <v>0</v>
      </c>
      <c r="J560" s="249">
        <v>0</v>
      </c>
      <c r="K560" s="249">
        <v>0</v>
      </c>
      <c r="L560" s="274"/>
      <c r="M560" s="274"/>
      <c r="N560" s="245"/>
      <c r="O560" s="113"/>
      <c r="P560" s="113"/>
      <c r="Q560" s="131"/>
      <c r="R560" s="131"/>
      <c r="S560" s="64"/>
      <c r="T560" s="113"/>
      <c r="U560" s="113"/>
      <c r="V560" s="113"/>
      <c r="W560" s="131"/>
      <c r="X560" s="131"/>
      <c r="Y560" s="11"/>
      <c r="Z560" s="113"/>
      <c r="AA560" s="113"/>
      <c r="AB560" s="113"/>
      <c r="AC560" s="131"/>
      <c r="AD560" s="52"/>
      <c r="AE560" s="11"/>
      <c r="AF560" s="113"/>
      <c r="AG560" s="144"/>
      <c r="AH560" s="113"/>
      <c r="AI560" s="11"/>
      <c r="AJ560" s="11"/>
      <c r="AK560" s="39"/>
      <c r="AL560" s="113"/>
      <c r="AM560" s="113"/>
      <c r="AN560" s="117"/>
      <c r="AO560" s="76"/>
      <c r="AP560" s="39"/>
      <c r="AQ560" s="39"/>
      <c r="AR560" s="275"/>
      <c r="AS560" s="275"/>
      <c r="AT560" s="275"/>
      <c r="AU560" s="62"/>
      <c r="AV560" s="62"/>
      <c r="AW560" s="11"/>
      <c r="AX560" s="116"/>
      <c r="AY560" s="196"/>
      <c r="AZ560" s="143"/>
      <c r="BA560" s="191"/>
      <c r="BB560" s="132"/>
      <c r="BC560" s="132"/>
      <c r="BD560" s="275"/>
      <c r="BE560" s="143"/>
      <c r="BF560" s="143"/>
      <c r="BG560" s="132"/>
      <c r="BH560" s="132"/>
      <c r="BI560" s="132"/>
      <c r="BJ560" s="143"/>
      <c r="BK560" s="143"/>
      <c r="BL560" s="143"/>
      <c r="BM560" s="132"/>
      <c r="BN560" s="132"/>
      <c r="BO560" s="132"/>
      <c r="BP560" s="143"/>
      <c r="BQ560" s="132"/>
      <c r="BR560" s="132"/>
      <c r="BS560" s="132"/>
      <c r="BT560" s="132"/>
      <c r="BU560" s="132"/>
      <c r="BV560" s="210"/>
      <c r="BW560" s="144"/>
      <c r="BX560" s="113"/>
      <c r="BY560" s="273"/>
      <c r="BZ560" s="273"/>
      <c r="CA560" s="132"/>
      <c r="CB560" s="275"/>
      <c r="CC560" s="143"/>
      <c r="CD560" s="275"/>
      <c r="CE560" s="132"/>
      <c r="CF560" s="132"/>
      <c r="CG560" s="36"/>
      <c r="CH560" s="210"/>
      <c r="CI560" s="219"/>
      <c r="CJ560" s="210"/>
      <c r="CK560" s="273"/>
      <c r="CL560" s="273"/>
      <c r="CM560" s="132"/>
      <c r="CN560" s="275"/>
      <c r="CO560" s="143"/>
      <c r="CP560" s="275"/>
      <c r="CQ560" s="132"/>
      <c r="CR560" s="132"/>
      <c r="CS560" s="132"/>
      <c r="CT560" s="275"/>
      <c r="CU560" s="143"/>
      <c r="CV560" s="275"/>
      <c r="CW560" s="132"/>
      <c r="CX560" s="132"/>
      <c r="CY560" s="132"/>
      <c r="CZ560" s="113"/>
      <c r="DA560" s="143"/>
      <c r="DB560" s="113"/>
      <c r="DC560" s="33"/>
      <c r="DD560" s="39"/>
      <c r="DE560" s="11"/>
      <c r="DF560" s="132"/>
      <c r="DG560" s="132"/>
      <c r="DH560" s="132"/>
      <c r="DI560" s="132"/>
      <c r="DJ560" s="132"/>
      <c r="DK560" s="132"/>
      <c r="DL560" s="132"/>
      <c r="DM560" s="132"/>
      <c r="DN560" s="132"/>
      <c r="DO560" s="132"/>
      <c r="DP560" s="132"/>
      <c r="DQ560" s="132"/>
      <c r="DR560" s="132"/>
      <c r="DS560" s="132"/>
      <c r="DT560" s="132"/>
      <c r="DU560" s="132"/>
      <c r="DV560" s="132"/>
      <c r="DW560" s="132"/>
      <c r="DX560" s="132"/>
      <c r="DY560" s="132"/>
      <c r="DZ560" s="132"/>
      <c r="EA560" s="132"/>
      <c r="EB560" s="132"/>
      <c r="EC560" s="132"/>
      <c r="ED560" s="132"/>
      <c r="EE560" s="132"/>
      <c r="EF560" s="132"/>
      <c r="EG560" s="132"/>
      <c r="EH560" s="132"/>
      <c r="EI560" s="132"/>
      <c r="EJ560" s="132"/>
      <c r="EK560" s="132"/>
      <c r="EL560" s="132"/>
      <c r="EM560" s="132"/>
      <c r="EN560" s="132"/>
      <c r="EO560" s="132"/>
      <c r="EP560" s="132"/>
      <c r="EQ560" s="132"/>
      <c r="ER560" s="132"/>
      <c r="ES560" s="132"/>
      <c r="ET560" s="11"/>
      <c r="EU560" s="11"/>
      <c r="EV560" s="11"/>
      <c r="EW560" s="11"/>
      <c r="EX560" s="11"/>
      <c r="EY560" s="11"/>
      <c r="EZ560" s="11"/>
      <c r="FA560" s="11"/>
      <c r="FB560" s="11"/>
      <c r="FC560" s="11"/>
      <c r="FD560" s="11"/>
      <c r="FE560" s="11"/>
      <c r="FF560" s="11"/>
      <c r="FG560" s="11"/>
      <c r="FH560" s="39">
        <f t="shared" si="126"/>
        <v>0</v>
      </c>
      <c r="FI560" s="33">
        <f t="shared" si="127"/>
        <v>0</v>
      </c>
      <c r="FJ560" s="84" t="str">
        <f t="shared" si="128"/>
        <v xml:space="preserve"> </v>
      </c>
    </row>
    <row r="561" spans="1:166" ht="13.5" x14ac:dyDescent="0.25">
      <c r="A561" s="79" t="e">
        <f>#REF!</f>
        <v>#REF!</v>
      </c>
      <c r="B561" s="75" t="e">
        <f>#REF!</f>
        <v>#REF!</v>
      </c>
      <c r="C561" s="75" t="e">
        <f>#REF!</f>
        <v>#REF!</v>
      </c>
      <c r="D561" s="75" t="e">
        <f>#REF!</f>
        <v>#REF!</v>
      </c>
      <c r="E561" s="30">
        <v>1</v>
      </c>
      <c r="F561" s="238">
        <v>0</v>
      </c>
      <c r="G561" s="241">
        <v>0</v>
      </c>
      <c r="H561" s="249">
        <v>0</v>
      </c>
      <c r="I561" s="249">
        <v>0</v>
      </c>
      <c r="J561" s="249">
        <v>435813.65</v>
      </c>
      <c r="K561" s="249">
        <v>0</v>
      </c>
      <c r="L561" s="274">
        <f>J561</f>
        <v>435813.65</v>
      </c>
      <c r="M561" s="274"/>
      <c r="N561" s="245"/>
      <c r="O561" s="113"/>
      <c r="P561" s="113"/>
      <c r="Q561" s="131"/>
      <c r="R561" s="131"/>
      <c r="S561" s="64"/>
      <c r="T561" s="113"/>
      <c r="U561" s="113"/>
      <c r="V561" s="113"/>
      <c r="W561" s="131"/>
      <c r="X561" s="131"/>
      <c r="Y561" s="11"/>
      <c r="Z561" s="113"/>
      <c r="AA561" s="113"/>
      <c r="AB561" s="113"/>
      <c r="AC561" s="52"/>
      <c r="AD561" s="52"/>
      <c r="AE561" s="11"/>
      <c r="AF561" s="118">
        <v>160000</v>
      </c>
      <c r="AG561" s="144">
        <f t="shared" ref="AG561:AG567" si="138">AF561*19%</f>
        <v>30400</v>
      </c>
      <c r="AH561" s="113">
        <f t="shared" ref="AH561:AH567" si="139">+AF561+AG561</f>
        <v>190400</v>
      </c>
      <c r="AI561" s="11"/>
      <c r="AJ561" s="11"/>
      <c r="AK561" s="39"/>
      <c r="AL561" s="113">
        <v>150000</v>
      </c>
      <c r="AM561" s="113">
        <f t="shared" ref="AM561:AM568" si="140">+AL561*0.19</f>
        <v>28500</v>
      </c>
      <c r="AN561" s="119">
        <f t="shared" ref="AN561:AN568" si="141">+AL561+AM561</f>
        <v>178500</v>
      </c>
      <c r="AO561" s="76" t="s">
        <v>44</v>
      </c>
      <c r="AP561" s="11" t="s">
        <v>45</v>
      </c>
      <c r="AQ561" s="39"/>
      <c r="AR561" s="275"/>
      <c r="AS561" s="275"/>
      <c r="AT561" s="275"/>
      <c r="AU561" s="62"/>
      <c r="AV561" s="62"/>
      <c r="AW561" s="11"/>
      <c r="AX561" s="116"/>
      <c r="AY561" s="196"/>
      <c r="AZ561" s="143"/>
      <c r="BA561" s="191"/>
      <c r="BB561" s="132"/>
      <c r="BC561" s="132"/>
      <c r="BD561" s="274"/>
      <c r="BE561" s="143"/>
      <c r="BF561" s="143"/>
      <c r="BG561" s="132"/>
      <c r="BH561" s="132"/>
      <c r="BI561" s="132"/>
      <c r="BJ561" s="143"/>
      <c r="BK561" s="143"/>
      <c r="BL561" s="143"/>
      <c r="BM561" s="52"/>
      <c r="BN561" s="52"/>
      <c r="BO561" s="131"/>
      <c r="BP561" s="113"/>
      <c r="BQ561" s="131"/>
      <c r="BR561" s="132"/>
      <c r="BS561" s="132"/>
      <c r="BT561" s="132"/>
      <c r="BU561" s="132"/>
      <c r="BV561" s="263">
        <v>277800</v>
      </c>
      <c r="BW561" s="144">
        <f t="shared" ref="BW561:BW568" si="142">BV561*19%</f>
        <v>52782</v>
      </c>
      <c r="BX561" s="113">
        <f t="shared" ref="BX561:BX568" si="143">+BV561+BW561</f>
        <v>330582</v>
      </c>
      <c r="BY561" s="264" t="s">
        <v>314</v>
      </c>
      <c r="BZ561" s="264" t="s">
        <v>88</v>
      </c>
      <c r="CA561" s="132"/>
      <c r="CB561" s="274"/>
      <c r="CC561" s="144"/>
      <c r="CD561" s="274"/>
      <c r="CE561" s="132"/>
      <c r="CF561" s="132"/>
      <c r="CG561" s="36"/>
      <c r="CH561" s="263">
        <v>280578</v>
      </c>
      <c r="CI561" s="265">
        <f t="shared" ref="CI561:CI568" si="144">+CH561*0.19</f>
        <v>53309.82</v>
      </c>
      <c r="CJ561" s="263">
        <f t="shared" ref="CJ561:CJ568" si="145">+CH561+CI561</f>
        <v>333887.82</v>
      </c>
      <c r="CK561" s="264" t="s">
        <v>314</v>
      </c>
      <c r="CL561" s="264" t="s">
        <v>88</v>
      </c>
      <c r="CM561" s="132"/>
      <c r="CN561" s="274"/>
      <c r="CO561" s="144"/>
      <c r="CP561" s="274"/>
      <c r="CQ561" s="132"/>
      <c r="CR561" s="132"/>
      <c r="CS561" s="132"/>
      <c r="CT561" s="144">
        <v>209000</v>
      </c>
      <c r="CU561" s="144">
        <f t="shared" ref="CU561:CU568" si="146">CT561*0.19</f>
        <v>39710</v>
      </c>
      <c r="CV561" s="144">
        <f t="shared" ref="CV561:CV571" si="147">CU561+CT561</f>
        <v>248710</v>
      </c>
      <c r="CW561" s="132"/>
      <c r="CX561" s="132"/>
      <c r="CY561" s="132"/>
      <c r="CZ561" s="118">
        <v>115310</v>
      </c>
      <c r="DA561" s="144">
        <f>+CZ561*0.19</f>
        <v>21908.9</v>
      </c>
      <c r="DB561" s="118">
        <f>+CZ561+DA561</f>
        <v>137218.9</v>
      </c>
      <c r="DC561" s="33" t="s">
        <v>186</v>
      </c>
      <c r="DD561" s="39" t="s">
        <v>58</v>
      </c>
      <c r="DE561" s="11"/>
      <c r="DF561" s="132"/>
      <c r="DG561" s="132"/>
      <c r="DH561" s="132"/>
      <c r="DI561" s="132"/>
      <c r="DJ561" s="132"/>
      <c r="DK561" s="132"/>
      <c r="DL561" s="132"/>
      <c r="DM561" s="132"/>
      <c r="DN561" s="132"/>
      <c r="DO561" s="132"/>
      <c r="DP561" s="132"/>
      <c r="DQ561" s="132"/>
      <c r="DR561" s="132"/>
      <c r="DS561" s="132"/>
      <c r="DT561" s="132"/>
      <c r="DU561" s="132"/>
      <c r="DV561" s="132"/>
      <c r="DW561" s="132"/>
      <c r="DX561" s="132"/>
      <c r="DY561" s="132"/>
      <c r="DZ561" s="132"/>
      <c r="EA561" s="132"/>
      <c r="EB561" s="132"/>
      <c r="EC561" s="132"/>
      <c r="ED561" s="132"/>
      <c r="EE561" s="132"/>
      <c r="EF561" s="132"/>
      <c r="EG561" s="132"/>
      <c r="EH561" s="132"/>
      <c r="EI561" s="132"/>
      <c r="EJ561" s="132"/>
      <c r="EK561" s="132"/>
      <c r="EL561" s="132"/>
      <c r="EM561" s="132"/>
      <c r="EN561" s="132"/>
      <c r="EO561" s="132"/>
      <c r="EP561" s="132"/>
      <c r="EQ561" s="132"/>
      <c r="ER561" s="132"/>
      <c r="ES561" s="132"/>
      <c r="ET561" s="11"/>
      <c r="EU561" s="11"/>
      <c r="EV561" s="11"/>
      <c r="EW561" s="11"/>
      <c r="EX561" s="11"/>
      <c r="EY561" s="11"/>
      <c r="EZ561" s="11"/>
      <c r="FA561" s="11"/>
      <c r="FB561" s="11"/>
      <c r="FC561" s="11"/>
      <c r="FD561" s="11"/>
      <c r="FE561" s="11"/>
      <c r="FF561" s="11"/>
      <c r="FG561" s="11"/>
      <c r="FH561" s="39">
        <f t="shared" si="126"/>
        <v>1419298.72</v>
      </c>
      <c r="FI561" s="33">
        <f t="shared" si="127"/>
        <v>6</v>
      </c>
      <c r="FJ561" s="84">
        <f t="shared" si="128"/>
        <v>236549.78666666665</v>
      </c>
    </row>
    <row r="562" spans="1:166" ht="13.5" x14ac:dyDescent="0.25">
      <c r="A562" s="79" t="e">
        <f>#REF!</f>
        <v>#REF!</v>
      </c>
      <c r="B562" s="75" t="e">
        <f>#REF!</f>
        <v>#REF!</v>
      </c>
      <c r="C562" s="75" t="e">
        <f>#REF!</f>
        <v>#REF!</v>
      </c>
      <c r="D562" s="75" t="e">
        <f>#REF!</f>
        <v>#REF!</v>
      </c>
      <c r="E562" s="30">
        <v>1</v>
      </c>
      <c r="F562" s="238">
        <v>0</v>
      </c>
      <c r="G562" s="241">
        <v>0</v>
      </c>
      <c r="H562" s="249">
        <v>304793.375</v>
      </c>
      <c r="I562" s="249">
        <v>304759</v>
      </c>
      <c r="J562" s="249">
        <v>205817.04499999998</v>
      </c>
      <c r="K562" s="249">
        <v>0</v>
      </c>
      <c r="L562" s="274">
        <f>AVERAGE(H562,J562)</f>
        <v>255305.21</v>
      </c>
      <c r="M562" s="274">
        <f>I562*E1</f>
        <v>313901.77</v>
      </c>
      <c r="N562" s="245"/>
      <c r="O562" s="113"/>
      <c r="P562" s="113"/>
      <c r="Q562" s="131"/>
      <c r="R562" s="131"/>
      <c r="S562" s="64"/>
      <c r="T562" s="113"/>
      <c r="U562" s="113"/>
      <c r="V562" s="113"/>
      <c r="W562" s="131"/>
      <c r="X562" s="131"/>
      <c r="Y562" s="11"/>
      <c r="Z562" s="113"/>
      <c r="AA562" s="113"/>
      <c r="AB562" s="113"/>
      <c r="AC562" s="52"/>
      <c r="AD562" s="52"/>
      <c r="AE562" s="11"/>
      <c r="AF562" s="118">
        <v>170000</v>
      </c>
      <c r="AG562" s="144">
        <f t="shared" si="138"/>
        <v>32300</v>
      </c>
      <c r="AH562" s="113">
        <f t="shared" si="139"/>
        <v>202300</v>
      </c>
      <c r="AI562" s="11"/>
      <c r="AJ562" s="11"/>
      <c r="AK562" s="39"/>
      <c r="AL562" s="113">
        <v>167000</v>
      </c>
      <c r="AM562" s="113">
        <f t="shared" si="140"/>
        <v>31730</v>
      </c>
      <c r="AN562" s="119">
        <f t="shared" si="141"/>
        <v>198730</v>
      </c>
      <c r="AO562" s="76" t="s">
        <v>44</v>
      </c>
      <c r="AP562" s="39" t="s">
        <v>316</v>
      </c>
      <c r="AQ562" s="39"/>
      <c r="AR562" s="275"/>
      <c r="AS562" s="275"/>
      <c r="AT562" s="275"/>
      <c r="AU562" s="62"/>
      <c r="AV562" s="62"/>
      <c r="AW562" s="11"/>
      <c r="AX562" s="116"/>
      <c r="AY562" s="116"/>
      <c r="AZ562" s="143"/>
      <c r="BA562" s="191"/>
      <c r="BB562" s="132"/>
      <c r="BC562" s="132"/>
      <c r="BD562" s="274"/>
      <c r="BE562" s="143"/>
      <c r="BF562" s="143"/>
      <c r="BG562" s="132"/>
      <c r="BH562" s="132"/>
      <c r="BI562" s="132"/>
      <c r="BJ562" s="143"/>
      <c r="BK562" s="143"/>
      <c r="BL562" s="143"/>
      <c r="BM562" s="132"/>
      <c r="BN562" s="132"/>
      <c r="BO562" s="132"/>
      <c r="BP562" s="143"/>
      <c r="BQ562" s="132"/>
      <c r="BR562" s="132"/>
      <c r="BS562" s="132"/>
      <c r="BT562" s="132"/>
      <c r="BU562" s="132"/>
      <c r="BV562" s="263">
        <v>385500</v>
      </c>
      <c r="BW562" s="144">
        <f t="shared" si="142"/>
        <v>73245</v>
      </c>
      <c r="BX562" s="113">
        <f t="shared" si="143"/>
        <v>458745</v>
      </c>
      <c r="BY562" s="264" t="s">
        <v>337</v>
      </c>
      <c r="BZ562" s="264" t="s">
        <v>88</v>
      </c>
      <c r="CA562" s="132"/>
      <c r="CB562" s="274"/>
      <c r="CC562" s="144"/>
      <c r="CD562" s="274"/>
      <c r="CE562" s="132"/>
      <c r="CF562" s="132"/>
      <c r="CG562" s="36"/>
      <c r="CH562" s="263">
        <v>408630</v>
      </c>
      <c r="CI562" s="265">
        <f t="shared" si="144"/>
        <v>77639.7</v>
      </c>
      <c r="CJ562" s="263">
        <f t="shared" si="145"/>
        <v>486269.7</v>
      </c>
      <c r="CK562" s="264" t="s">
        <v>337</v>
      </c>
      <c r="CL562" s="264" t="s">
        <v>88</v>
      </c>
      <c r="CM562" s="132"/>
      <c r="CN562" s="274"/>
      <c r="CO562" s="144"/>
      <c r="CP562" s="274"/>
      <c r="CQ562" s="132"/>
      <c r="CR562" s="132"/>
      <c r="CS562" s="132"/>
      <c r="CT562" s="144">
        <v>290000</v>
      </c>
      <c r="CU562" s="144">
        <f t="shared" si="146"/>
        <v>55100</v>
      </c>
      <c r="CV562" s="144">
        <f t="shared" si="147"/>
        <v>345100</v>
      </c>
      <c r="CW562" s="132"/>
      <c r="CX562" s="132"/>
      <c r="CY562" s="132"/>
      <c r="CZ562" s="118"/>
      <c r="DA562" s="144"/>
      <c r="DB562" s="118"/>
      <c r="DC562" s="33"/>
      <c r="DD562" s="39"/>
      <c r="DE562" s="11"/>
      <c r="DF562" s="132"/>
      <c r="DG562" s="132"/>
      <c r="DH562" s="132"/>
      <c r="DI562" s="132"/>
      <c r="DJ562" s="132"/>
      <c r="DK562" s="132"/>
      <c r="DL562" s="132"/>
      <c r="DM562" s="132"/>
      <c r="DN562" s="132"/>
      <c r="DO562" s="132"/>
      <c r="DP562" s="132"/>
      <c r="DQ562" s="132"/>
      <c r="DR562" s="132"/>
      <c r="DS562" s="132"/>
      <c r="DT562" s="132"/>
      <c r="DU562" s="132"/>
      <c r="DV562" s="132"/>
      <c r="DW562" s="132"/>
      <c r="DX562" s="132"/>
      <c r="DY562" s="132"/>
      <c r="DZ562" s="132"/>
      <c r="EA562" s="132"/>
      <c r="EB562" s="132"/>
      <c r="EC562" s="132"/>
      <c r="ED562" s="132"/>
      <c r="EE562" s="132"/>
      <c r="EF562" s="132"/>
      <c r="EG562" s="132"/>
      <c r="EH562" s="132"/>
      <c r="EI562" s="132"/>
      <c r="EJ562" s="132"/>
      <c r="EK562" s="132"/>
      <c r="EL562" s="132"/>
      <c r="EM562" s="132"/>
      <c r="EN562" s="132"/>
      <c r="EO562" s="132"/>
      <c r="EP562" s="132"/>
      <c r="EQ562" s="132"/>
      <c r="ER562" s="132"/>
      <c r="ES562" s="132"/>
      <c r="ET562" s="11"/>
      <c r="EU562" s="11"/>
      <c r="EV562" s="11"/>
      <c r="EW562" s="11"/>
      <c r="EX562" s="11"/>
      <c r="EY562" s="11"/>
      <c r="EZ562" s="11"/>
      <c r="FA562" s="11"/>
      <c r="FB562" s="11"/>
      <c r="FC562" s="11"/>
      <c r="FD562" s="11"/>
      <c r="FE562" s="11"/>
      <c r="FF562" s="11"/>
      <c r="FG562" s="11"/>
      <c r="FH562" s="39">
        <f t="shared" si="126"/>
        <v>2005046.47</v>
      </c>
      <c r="FI562" s="33">
        <f t="shared" si="127"/>
        <v>6</v>
      </c>
      <c r="FJ562" s="84">
        <f t="shared" si="128"/>
        <v>334174.41166666668</v>
      </c>
    </row>
    <row r="563" spans="1:166" ht="13.5" x14ac:dyDescent="0.25">
      <c r="A563" s="79" t="e">
        <f>#REF!</f>
        <v>#REF!</v>
      </c>
      <c r="B563" s="75" t="e">
        <f>#REF!</f>
        <v>#REF!</v>
      </c>
      <c r="C563" s="75" t="e">
        <f>#REF!</f>
        <v>#REF!</v>
      </c>
      <c r="D563" s="75" t="e">
        <f>#REF!</f>
        <v>#REF!</v>
      </c>
      <c r="E563" s="30">
        <v>1</v>
      </c>
      <c r="F563" s="238">
        <v>0</v>
      </c>
      <c r="G563" s="241">
        <v>0</v>
      </c>
      <c r="H563" s="249">
        <v>0</v>
      </c>
      <c r="I563" s="249">
        <v>0</v>
      </c>
      <c r="J563" s="249">
        <v>460089.7</v>
      </c>
      <c r="K563" s="249">
        <v>0</v>
      </c>
      <c r="L563" s="274">
        <f t="shared" ref="L563:L568" si="148">J563</f>
        <v>460089.7</v>
      </c>
      <c r="M563" s="274"/>
      <c r="N563" s="245"/>
      <c r="O563" s="113"/>
      <c r="P563" s="113"/>
      <c r="Q563" s="131"/>
      <c r="R563" s="131"/>
      <c r="S563" s="64"/>
      <c r="T563" s="113"/>
      <c r="U563" s="113"/>
      <c r="V563" s="113"/>
      <c r="W563" s="131"/>
      <c r="X563" s="131"/>
      <c r="Y563" s="11"/>
      <c r="Z563" s="113"/>
      <c r="AA563" s="113"/>
      <c r="AB563" s="113"/>
      <c r="AC563" s="52"/>
      <c r="AD563" s="52"/>
      <c r="AE563" s="11"/>
      <c r="AF563" s="118">
        <v>100000</v>
      </c>
      <c r="AG563" s="144">
        <f t="shared" si="138"/>
        <v>19000</v>
      </c>
      <c r="AH563" s="113">
        <f t="shared" si="139"/>
        <v>119000</v>
      </c>
      <c r="AI563" s="11"/>
      <c r="AJ563" s="11"/>
      <c r="AK563" s="39"/>
      <c r="AL563" s="113">
        <v>120000</v>
      </c>
      <c r="AM563" s="113">
        <f t="shared" si="140"/>
        <v>22800</v>
      </c>
      <c r="AN563" s="119">
        <f t="shared" si="141"/>
        <v>142800</v>
      </c>
      <c r="AO563" s="76" t="s">
        <v>44</v>
      </c>
      <c r="AP563" s="11" t="s">
        <v>45</v>
      </c>
      <c r="AQ563" s="39"/>
      <c r="AR563" s="275"/>
      <c r="AS563" s="275"/>
      <c r="AT563" s="275"/>
      <c r="AU563" s="62"/>
      <c r="AV563" s="62"/>
      <c r="AW563" s="11"/>
      <c r="AX563" s="116"/>
      <c r="AY563" s="196"/>
      <c r="AZ563" s="143"/>
      <c r="BA563" s="191"/>
      <c r="BB563" s="132"/>
      <c r="BC563" s="132"/>
      <c r="BD563" s="274"/>
      <c r="BE563" s="143"/>
      <c r="BF563" s="143"/>
      <c r="BG563" s="132"/>
      <c r="BH563" s="132"/>
      <c r="BI563" s="132"/>
      <c r="BJ563" s="143"/>
      <c r="BK563" s="143"/>
      <c r="BL563" s="143"/>
      <c r="BM563" s="132"/>
      <c r="BN563" s="132"/>
      <c r="BO563" s="132"/>
      <c r="BP563" s="143"/>
      <c r="BQ563" s="132"/>
      <c r="BR563" s="132"/>
      <c r="BS563" s="132"/>
      <c r="BT563" s="132"/>
      <c r="BU563" s="132"/>
      <c r="BV563" s="263">
        <v>329600</v>
      </c>
      <c r="BW563" s="144">
        <f t="shared" si="142"/>
        <v>62624</v>
      </c>
      <c r="BX563" s="113">
        <f t="shared" si="143"/>
        <v>392224</v>
      </c>
      <c r="BY563" s="264" t="s">
        <v>314</v>
      </c>
      <c r="BZ563" s="264" t="s">
        <v>88</v>
      </c>
      <c r="CA563" s="132"/>
      <c r="CB563" s="274"/>
      <c r="CC563" s="144"/>
      <c r="CD563" s="274"/>
      <c r="CE563" s="132"/>
      <c r="CF563" s="132"/>
      <c r="CG563" s="36"/>
      <c r="CH563" s="263">
        <v>342784</v>
      </c>
      <c r="CI563" s="265">
        <f t="shared" si="144"/>
        <v>65128.959999999999</v>
      </c>
      <c r="CJ563" s="263">
        <f t="shared" si="145"/>
        <v>407912.96000000002</v>
      </c>
      <c r="CK563" s="264" t="s">
        <v>314</v>
      </c>
      <c r="CL563" s="264" t="s">
        <v>88</v>
      </c>
      <c r="CM563" s="132"/>
      <c r="CN563" s="274"/>
      <c r="CO563" s="144"/>
      <c r="CP563" s="274"/>
      <c r="CQ563" s="132"/>
      <c r="CR563" s="132"/>
      <c r="CS563" s="132"/>
      <c r="CT563" s="144">
        <v>248000</v>
      </c>
      <c r="CU563" s="144">
        <f t="shared" si="146"/>
        <v>47120</v>
      </c>
      <c r="CV563" s="144">
        <f t="shared" si="147"/>
        <v>295120</v>
      </c>
      <c r="CW563" s="132"/>
      <c r="CX563" s="132"/>
      <c r="CY563" s="132"/>
      <c r="CZ563" s="118">
        <v>136828</v>
      </c>
      <c r="DA563" s="144">
        <f t="shared" ref="DA563:DA568" si="149">+CZ563*0.19</f>
        <v>25997.32</v>
      </c>
      <c r="DB563" s="118">
        <f t="shared" ref="DB563:DB568" si="150">+CZ563+DA563</f>
        <v>162825.32</v>
      </c>
      <c r="DC563" s="33" t="s">
        <v>186</v>
      </c>
      <c r="DD563" s="39" t="s">
        <v>58</v>
      </c>
      <c r="DE563" s="11">
        <v>1197790100</v>
      </c>
      <c r="DF563" s="132"/>
      <c r="DG563" s="132"/>
      <c r="DH563" s="132"/>
      <c r="DI563" s="132"/>
      <c r="DJ563" s="132"/>
      <c r="DK563" s="132"/>
      <c r="DL563" s="132"/>
      <c r="DM563" s="132"/>
      <c r="DN563" s="132"/>
      <c r="DO563" s="132"/>
      <c r="DP563" s="132"/>
      <c r="DQ563" s="132"/>
      <c r="DR563" s="132"/>
      <c r="DS563" s="132"/>
      <c r="DT563" s="132"/>
      <c r="DU563" s="132"/>
      <c r="DV563" s="132"/>
      <c r="DW563" s="132"/>
      <c r="DX563" s="132"/>
      <c r="DY563" s="132"/>
      <c r="DZ563" s="132"/>
      <c r="EA563" s="132"/>
      <c r="EB563" s="132"/>
      <c r="EC563" s="132"/>
      <c r="ED563" s="132"/>
      <c r="EE563" s="132"/>
      <c r="EF563" s="132"/>
      <c r="EG563" s="132"/>
      <c r="EH563" s="132"/>
      <c r="EI563" s="132"/>
      <c r="EJ563" s="132"/>
      <c r="EK563" s="132"/>
      <c r="EL563" s="132"/>
      <c r="EM563" s="132"/>
      <c r="EN563" s="132"/>
      <c r="EO563" s="132"/>
      <c r="EP563" s="132"/>
      <c r="EQ563" s="132"/>
      <c r="ER563" s="132"/>
      <c r="ES563" s="132"/>
      <c r="ET563" s="11"/>
      <c r="EU563" s="11"/>
      <c r="EV563" s="11"/>
      <c r="EW563" s="11"/>
      <c r="EX563" s="11"/>
      <c r="EY563" s="11"/>
      <c r="EZ563" s="11"/>
      <c r="FA563" s="11"/>
      <c r="FB563" s="11"/>
      <c r="FC563" s="11"/>
      <c r="FD563" s="11"/>
      <c r="FE563" s="11"/>
      <c r="FF563" s="11"/>
      <c r="FG563" s="11"/>
      <c r="FH563" s="39">
        <f t="shared" si="126"/>
        <v>1519882.28</v>
      </c>
      <c r="FI563" s="33">
        <f t="shared" si="127"/>
        <v>6</v>
      </c>
      <c r="FJ563" s="84">
        <f t="shared" si="128"/>
        <v>253313.71333333335</v>
      </c>
    </row>
    <row r="564" spans="1:166" ht="13.5" x14ac:dyDescent="0.25">
      <c r="A564" s="79" t="e">
        <f>#REF!</f>
        <v>#REF!</v>
      </c>
      <c r="B564" s="75" t="e">
        <f>#REF!</f>
        <v>#REF!</v>
      </c>
      <c r="C564" s="75" t="e">
        <f>#REF!</f>
        <v>#REF!</v>
      </c>
      <c r="D564" s="75" t="e">
        <f>#REF!</f>
        <v>#REF!</v>
      </c>
      <c r="E564" s="30">
        <v>1</v>
      </c>
      <c r="F564" s="238">
        <v>0</v>
      </c>
      <c r="G564" s="241">
        <v>0</v>
      </c>
      <c r="H564" s="249">
        <v>0</v>
      </c>
      <c r="I564" s="249">
        <v>0</v>
      </c>
      <c r="J564" s="249">
        <v>379461.25</v>
      </c>
      <c r="K564" s="249">
        <v>0</v>
      </c>
      <c r="L564" s="274">
        <f t="shared" si="148"/>
        <v>379461.25</v>
      </c>
      <c r="M564" s="274"/>
      <c r="N564" s="245"/>
      <c r="O564" s="113"/>
      <c r="P564" s="113"/>
      <c r="Q564" s="131"/>
      <c r="R564" s="131"/>
      <c r="S564" s="64"/>
      <c r="T564" s="113"/>
      <c r="U564" s="113"/>
      <c r="V564" s="113"/>
      <c r="W564" s="131"/>
      <c r="X564" s="131"/>
      <c r="Y564" s="11"/>
      <c r="Z564" s="113"/>
      <c r="AA564" s="113"/>
      <c r="AB564" s="113"/>
      <c r="AC564" s="52"/>
      <c r="AD564" s="52"/>
      <c r="AE564" s="11"/>
      <c r="AF564" s="118">
        <v>110000</v>
      </c>
      <c r="AG564" s="144">
        <f t="shared" si="138"/>
        <v>20900</v>
      </c>
      <c r="AH564" s="113">
        <f t="shared" si="139"/>
        <v>130900</v>
      </c>
      <c r="AI564" s="11"/>
      <c r="AJ564" s="11"/>
      <c r="AK564" s="39"/>
      <c r="AL564" s="113">
        <v>105000</v>
      </c>
      <c r="AM564" s="113">
        <f t="shared" si="140"/>
        <v>19950</v>
      </c>
      <c r="AN564" s="119">
        <f t="shared" si="141"/>
        <v>124950</v>
      </c>
      <c r="AO564" s="76" t="s">
        <v>44</v>
      </c>
      <c r="AP564" s="11" t="s">
        <v>45</v>
      </c>
      <c r="AQ564" s="39"/>
      <c r="AR564" s="275"/>
      <c r="AS564" s="275"/>
      <c r="AT564" s="275"/>
      <c r="AU564" s="62"/>
      <c r="AV564" s="62"/>
      <c r="AW564" s="11"/>
      <c r="AX564" s="116"/>
      <c r="AY564" s="196"/>
      <c r="AZ564" s="143"/>
      <c r="BA564" s="191"/>
      <c r="BB564" s="132"/>
      <c r="BC564" s="132"/>
      <c r="BD564" s="274"/>
      <c r="BE564" s="143"/>
      <c r="BF564" s="143"/>
      <c r="BG564" s="132"/>
      <c r="BH564" s="132"/>
      <c r="BI564" s="132"/>
      <c r="BJ564" s="143"/>
      <c r="BK564" s="143"/>
      <c r="BL564" s="143"/>
      <c r="BM564" s="132"/>
      <c r="BN564" s="132"/>
      <c r="BO564" s="132"/>
      <c r="BP564" s="143"/>
      <c r="BQ564" s="132"/>
      <c r="BR564" s="132"/>
      <c r="BS564" s="132"/>
      <c r="BT564" s="132"/>
      <c r="BU564" s="132"/>
      <c r="BV564" s="263">
        <v>321300</v>
      </c>
      <c r="BW564" s="144">
        <f t="shared" si="142"/>
        <v>61047</v>
      </c>
      <c r="BX564" s="113">
        <f t="shared" si="143"/>
        <v>382347</v>
      </c>
      <c r="BY564" s="264" t="s">
        <v>314</v>
      </c>
      <c r="BZ564" s="264" t="s">
        <v>88</v>
      </c>
      <c r="CA564" s="132"/>
      <c r="CB564" s="274"/>
      <c r="CC564" s="144"/>
      <c r="CD564" s="274"/>
      <c r="CE564" s="132"/>
      <c r="CF564" s="132"/>
      <c r="CG564" s="36"/>
      <c r="CH564" s="263">
        <v>327726</v>
      </c>
      <c r="CI564" s="265">
        <f t="shared" si="144"/>
        <v>62267.94</v>
      </c>
      <c r="CJ564" s="263">
        <f t="shared" si="145"/>
        <v>389993.94</v>
      </c>
      <c r="CK564" s="264" t="s">
        <v>314</v>
      </c>
      <c r="CL564" s="264" t="s">
        <v>88</v>
      </c>
      <c r="CM564" s="132"/>
      <c r="CN564" s="274"/>
      <c r="CO564" s="144"/>
      <c r="CP564" s="274"/>
      <c r="CQ564" s="132"/>
      <c r="CR564" s="132"/>
      <c r="CS564" s="132"/>
      <c r="CT564" s="144">
        <v>229000</v>
      </c>
      <c r="CU564" s="144">
        <f t="shared" si="146"/>
        <v>43510</v>
      </c>
      <c r="CV564" s="144">
        <f t="shared" si="147"/>
        <v>272510</v>
      </c>
      <c r="CW564" s="132"/>
      <c r="CX564" s="132"/>
      <c r="CY564" s="132"/>
      <c r="CZ564" s="118">
        <v>126345</v>
      </c>
      <c r="DA564" s="144">
        <f t="shared" si="149"/>
        <v>24005.55</v>
      </c>
      <c r="DB564" s="118">
        <f t="shared" si="150"/>
        <v>150350.54999999999</v>
      </c>
      <c r="DC564" s="33" t="s">
        <v>186</v>
      </c>
      <c r="DD564" s="39" t="s">
        <v>58</v>
      </c>
      <c r="DE564" s="11">
        <v>1197810100</v>
      </c>
      <c r="DF564" s="132"/>
      <c r="DG564" s="132"/>
      <c r="DH564" s="132"/>
      <c r="DI564" s="132"/>
      <c r="DJ564" s="132"/>
      <c r="DK564" s="132"/>
      <c r="DL564" s="132"/>
      <c r="DM564" s="132"/>
      <c r="DN564" s="132"/>
      <c r="DO564" s="132"/>
      <c r="DP564" s="132"/>
      <c r="DQ564" s="132"/>
      <c r="DR564" s="132"/>
      <c r="DS564" s="132"/>
      <c r="DT564" s="132"/>
      <c r="DU564" s="132"/>
      <c r="DV564" s="132"/>
      <c r="DW564" s="132"/>
      <c r="DX564" s="132"/>
      <c r="DY564" s="132"/>
      <c r="DZ564" s="132"/>
      <c r="EA564" s="132"/>
      <c r="EB564" s="132"/>
      <c r="EC564" s="132"/>
      <c r="ED564" s="132"/>
      <c r="EE564" s="132"/>
      <c r="EF564" s="132"/>
      <c r="EG564" s="132"/>
      <c r="EH564" s="132"/>
      <c r="EI564" s="132"/>
      <c r="EJ564" s="132"/>
      <c r="EK564" s="132"/>
      <c r="EL564" s="132"/>
      <c r="EM564" s="132"/>
      <c r="EN564" s="132"/>
      <c r="EO564" s="132"/>
      <c r="EP564" s="132"/>
      <c r="EQ564" s="132"/>
      <c r="ER564" s="132"/>
      <c r="ES564" s="132"/>
      <c r="ET564" s="11"/>
      <c r="EU564" s="11"/>
      <c r="EV564" s="11"/>
      <c r="EW564" s="11"/>
      <c r="EX564" s="11"/>
      <c r="EY564" s="11"/>
      <c r="EZ564" s="11"/>
      <c r="FA564" s="11"/>
      <c r="FB564" s="11"/>
      <c r="FC564" s="11"/>
      <c r="FD564" s="11"/>
      <c r="FE564" s="11"/>
      <c r="FF564" s="11"/>
      <c r="FG564" s="11"/>
      <c r="FH564" s="39">
        <f t="shared" si="126"/>
        <v>1451051.49</v>
      </c>
      <c r="FI564" s="33">
        <f t="shared" si="127"/>
        <v>6</v>
      </c>
      <c r="FJ564" s="84">
        <f t="shared" si="128"/>
        <v>241841.91500000001</v>
      </c>
    </row>
    <row r="565" spans="1:166" ht="13.5" x14ac:dyDescent="0.25">
      <c r="A565" s="79" t="e">
        <f>#REF!</f>
        <v>#REF!</v>
      </c>
      <c r="B565" s="75" t="e">
        <f>#REF!</f>
        <v>#REF!</v>
      </c>
      <c r="C565" s="75" t="e">
        <f>#REF!</f>
        <v>#REF!</v>
      </c>
      <c r="D565" s="75" t="e">
        <f>#REF!</f>
        <v>#REF!</v>
      </c>
      <c r="E565" s="30">
        <v>1</v>
      </c>
      <c r="F565" s="238">
        <v>0</v>
      </c>
      <c r="G565" s="241">
        <v>0</v>
      </c>
      <c r="H565" s="249">
        <v>0</v>
      </c>
      <c r="I565" s="249">
        <v>0</v>
      </c>
      <c r="J565" s="249">
        <v>374522.75</v>
      </c>
      <c r="K565" s="249">
        <v>0</v>
      </c>
      <c r="L565" s="274">
        <f t="shared" si="148"/>
        <v>374522.75</v>
      </c>
      <c r="M565" s="274"/>
      <c r="N565" s="245"/>
      <c r="O565" s="113"/>
      <c r="P565" s="113"/>
      <c r="Q565" s="131"/>
      <c r="R565" s="131"/>
      <c r="S565" s="64"/>
      <c r="T565" s="113"/>
      <c r="U565" s="113"/>
      <c r="V565" s="113"/>
      <c r="W565" s="131"/>
      <c r="X565" s="131"/>
      <c r="Y565" s="11"/>
      <c r="Z565" s="113"/>
      <c r="AA565" s="113"/>
      <c r="AB565" s="113"/>
      <c r="AC565" s="131"/>
      <c r="AD565" s="52"/>
      <c r="AE565" s="11"/>
      <c r="AF565" s="118">
        <v>120000</v>
      </c>
      <c r="AG565" s="144">
        <f t="shared" si="138"/>
        <v>22800</v>
      </c>
      <c r="AH565" s="113">
        <f t="shared" si="139"/>
        <v>142800</v>
      </c>
      <c r="AI565" s="11"/>
      <c r="AJ565" s="11"/>
      <c r="AK565" s="39"/>
      <c r="AL565" s="113">
        <v>167000</v>
      </c>
      <c r="AM565" s="113">
        <f t="shared" si="140"/>
        <v>31730</v>
      </c>
      <c r="AN565" s="119">
        <f t="shared" si="141"/>
        <v>198730</v>
      </c>
      <c r="AO565" s="76" t="s">
        <v>150</v>
      </c>
      <c r="AP565" s="11" t="s">
        <v>45</v>
      </c>
      <c r="AQ565" s="39"/>
      <c r="AR565" s="275"/>
      <c r="AS565" s="275"/>
      <c r="AT565" s="275"/>
      <c r="AU565" s="62"/>
      <c r="AV565" s="62"/>
      <c r="AW565" s="11"/>
      <c r="AX565" s="116"/>
      <c r="AY565" s="196"/>
      <c r="AZ565" s="143"/>
      <c r="BA565" s="191"/>
      <c r="BB565" s="132"/>
      <c r="BC565" s="132"/>
      <c r="BD565" s="274"/>
      <c r="BE565" s="143"/>
      <c r="BF565" s="143"/>
      <c r="BG565" s="132"/>
      <c r="BH565" s="132"/>
      <c r="BI565" s="132"/>
      <c r="BJ565" s="143"/>
      <c r="BK565" s="143"/>
      <c r="BL565" s="143"/>
      <c r="BM565" s="132"/>
      <c r="BN565" s="132"/>
      <c r="BO565" s="132"/>
      <c r="BP565" s="143"/>
      <c r="BQ565" s="132"/>
      <c r="BR565" s="132"/>
      <c r="BS565" s="132"/>
      <c r="BT565" s="132"/>
      <c r="BU565" s="132"/>
      <c r="BV565" s="263">
        <v>322700</v>
      </c>
      <c r="BW565" s="144">
        <f t="shared" si="142"/>
        <v>61313</v>
      </c>
      <c r="BX565" s="113">
        <f t="shared" si="143"/>
        <v>384013</v>
      </c>
      <c r="BY565" s="264" t="s">
        <v>314</v>
      </c>
      <c r="BZ565" s="264" t="s">
        <v>88</v>
      </c>
      <c r="CA565" s="132"/>
      <c r="CB565" s="274"/>
      <c r="CC565" s="144"/>
      <c r="CD565" s="274"/>
      <c r="CE565" s="132"/>
      <c r="CF565" s="132"/>
      <c r="CG565" s="36"/>
      <c r="CH565" s="263">
        <v>342062</v>
      </c>
      <c r="CI565" s="265">
        <f t="shared" si="144"/>
        <v>64991.78</v>
      </c>
      <c r="CJ565" s="263">
        <f t="shared" si="145"/>
        <v>407053.78</v>
      </c>
      <c r="CK565" s="264" t="s">
        <v>314</v>
      </c>
      <c r="CL565" s="264" t="s">
        <v>88</v>
      </c>
      <c r="CM565" s="132"/>
      <c r="CN565" s="274"/>
      <c r="CO565" s="144"/>
      <c r="CP565" s="274"/>
      <c r="CQ565" s="132"/>
      <c r="CR565" s="132"/>
      <c r="CS565" s="132"/>
      <c r="CT565" s="144">
        <v>238000</v>
      </c>
      <c r="CU565" s="144">
        <f t="shared" si="146"/>
        <v>45220</v>
      </c>
      <c r="CV565" s="144">
        <f t="shared" si="147"/>
        <v>283220</v>
      </c>
      <c r="CW565" s="132"/>
      <c r="CX565" s="132"/>
      <c r="CY565" s="132"/>
      <c r="CZ565" s="118">
        <v>131310</v>
      </c>
      <c r="DA565" s="144">
        <f t="shared" si="149"/>
        <v>24948.9</v>
      </c>
      <c r="DB565" s="118">
        <f t="shared" si="150"/>
        <v>156258.9</v>
      </c>
      <c r="DC565" s="33" t="s">
        <v>186</v>
      </c>
      <c r="DD565" s="39" t="s">
        <v>58</v>
      </c>
      <c r="DE565" s="11">
        <v>1702260100</v>
      </c>
      <c r="DF565" s="132"/>
      <c r="DG565" s="132"/>
      <c r="DH565" s="132"/>
      <c r="DI565" s="132"/>
      <c r="DJ565" s="132"/>
      <c r="DK565" s="132"/>
      <c r="DL565" s="132"/>
      <c r="DM565" s="132"/>
      <c r="DN565" s="132"/>
      <c r="DO565" s="132"/>
      <c r="DP565" s="132"/>
      <c r="DQ565" s="132"/>
      <c r="DR565" s="132"/>
      <c r="DS565" s="132"/>
      <c r="DT565" s="132"/>
      <c r="DU565" s="132"/>
      <c r="DV565" s="132"/>
      <c r="DW565" s="132"/>
      <c r="DX565" s="132"/>
      <c r="DY565" s="132"/>
      <c r="DZ565" s="132"/>
      <c r="EA565" s="132"/>
      <c r="EB565" s="132"/>
      <c r="EC565" s="132"/>
      <c r="ED565" s="132"/>
      <c r="EE565" s="132"/>
      <c r="EF565" s="132"/>
      <c r="EG565" s="132"/>
      <c r="EH565" s="132"/>
      <c r="EI565" s="132"/>
      <c r="EJ565" s="132"/>
      <c r="EK565" s="132"/>
      <c r="EL565" s="132"/>
      <c r="EM565" s="132"/>
      <c r="EN565" s="132"/>
      <c r="EO565" s="132"/>
      <c r="EP565" s="132"/>
      <c r="EQ565" s="132"/>
      <c r="ER565" s="132"/>
      <c r="ES565" s="132"/>
      <c r="ET565" s="11"/>
      <c r="EU565" s="11"/>
      <c r="EV565" s="11"/>
      <c r="EW565" s="11"/>
      <c r="EX565" s="11"/>
      <c r="EY565" s="11"/>
      <c r="EZ565" s="11"/>
      <c r="FA565" s="11"/>
      <c r="FB565" s="11"/>
      <c r="FC565" s="11"/>
      <c r="FD565" s="11"/>
      <c r="FE565" s="11"/>
      <c r="FF565" s="11"/>
      <c r="FG565" s="11"/>
      <c r="FH565" s="39">
        <f t="shared" si="126"/>
        <v>1572075.68</v>
      </c>
      <c r="FI565" s="33">
        <f t="shared" si="127"/>
        <v>6</v>
      </c>
      <c r="FJ565" s="84">
        <f t="shared" si="128"/>
        <v>262012.61333333331</v>
      </c>
    </row>
    <row r="566" spans="1:166" ht="13.5" x14ac:dyDescent="0.25">
      <c r="A566" s="79" t="e">
        <f>#REF!</f>
        <v>#REF!</v>
      </c>
      <c r="B566" s="75" t="e">
        <f>#REF!</f>
        <v>#REF!</v>
      </c>
      <c r="C566" s="75" t="e">
        <f>#REF!</f>
        <v>#REF!</v>
      </c>
      <c r="D566" s="75" t="e">
        <f>#REF!</f>
        <v>#REF!</v>
      </c>
      <c r="E566" s="30">
        <v>1</v>
      </c>
      <c r="F566" s="238">
        <v>0</v>
      </c>
      <c r="G566" s="241">
        <v>0</v>
      </c>
      <c r="H566" s="249">
        <v>0</v>
      </c>
      <c r="I566" s="249">
        <v>0</v>
      </c>
      <c r="J566" s="249">
        <v>353236.625</v>
      </c>
      <c r="K566" s="249">
        <v>0</v>
      </c>
      <c r="L566" s="274">
        <f t="shared" si="148"/>
        <v>353236.625</v>
      </c>
      <c r="M566" s="274"/>
      <c r="N566" s="245"/>
      <c r="O566" s="113"/>
      <c r="P566" s="113"/>
      <c r="Q566" s="131"/>
      <c r="R566" s="131"/>
      <c r="S566" s="64"/>
      <c r="T566" s="113"/>
      <c r="U566" s="113"/>
      <c r="V566" s="113"/>
      <c r="W566" s="131"/>
      <c r="X566" s="131"/>
      <c r="Y566" s="11"/>
      <c r="Z566" s="113"/>
      <c r="AA566" s="113"/>
      <c r="AB566" s="113"/>
      <c r="AC566" s="52"/>
      <c r="AD566" s="52"/>
      <c r="AE566" s="11"/>
      <c r="AF566" s="118">
        <v>100000</v>
      </c>
      <c r="AG566" s="144">
        <f t="shared" si="138"/>
        <v>19000</v>
      </c>
      <c r="AH566" s="113">
        <f t="shared" si="139"/>
        <v>119000</v>
      </c>
      <c r="AI566" s="11"/>
      <c r="AJ566" s="11"/>
      <c r="AK566" s="39"/>
      <c r="AL566" s="113">
        <v>95000</v>
      </c>
      <c r="AM566" s="113">
        <f t="shared" si="140"/>
        <v>18050</v>
      </c>
      <c r="AN566" s="119">
        <f t="shared" si="141"/>
        <v>113050</v>
      </c>
      <c r="AO566" s="76" t="s">
        <v>44</v>
      </c>
      <c r="AP566" s="11" t="s">
        <v>45</v>
      </c>
      <c r="AQ566" s="39"/>
      <c r="AR566" s="275"/>
      <c r="AS566" s="275"/>
      <c r="AT566" s="275"/>
      <c r="AU566" s="62"/>
      <c r="AV566" s="62"/>
      <c r="AW566" s="11"/>
      <c r="AX566" s="116"/>
      <c r="AY566" s="196"/>
      <c r="AZ566" s="143"/>
      <c r="BA566" s="191"/>
      <c r="BB566" s="132"/>
      <c r="BC566" s="132"/>
      <c r="BD566" s="274"/>
      <c r="BE566" s="143"/>
      <c r="BF566" s="143"/>
      <c r="BG566" s="132"/>
      <c r="BH566" s="132"/>
      <c r="BI566" s="132"/>
      <c r="BJ566" s="143"/>
      <c r="BK566" s="143"/>
      <c r="BL566" s="143"/>
      <c r="BM566" s="132"/>
      <c r="BN566" s="132"/>
      <c r="BO566" s="132"/>
      <c r="BP566" s="143"/>
      <c r="BQ566" s="132"/>
      <c r="BR566" s="132"/>
      <c r="BS566" s="132"/>
      <c r="BT566" s="132"/>
      <c r="BU566" s="132"/>
      <c r="BV566" s="263">
        <v>199400</v>
      </c>
      <c r="BW566" s="144">
        <f t="shared" si="142"/>
        <v>37886</v>
      </c>
      <c r="BX566" s="113">
        <f t="shared" si="143"/>
        <v>237286</v>
      </c>
      <c r="BY566" s="264" t="s">
        <v>314</v>
      </c>
      <c r="BZ566" s="264" t="s">
        <v>88</v>
      </c>
      <c r="CA566" s="132"/>
      <c r="CB566" s="274"/>
      <c r="CC566" s="144"/>
      <c r="CD566" s="274"/>
      <c r="CE566" s="132"/>
      <c r="CF566" s="132"/>
      <c r="CG566" s="36"/>
      <c r="CH566" s="263">
        <v>203388</v>
      </c>
      <c r="CI566" s="265">
        <f t="shared" si="144"/>
        <v>38643.72</v>
      </c>
      <c r="CJ566" s="263">
        <f t="shared" si="145"/>
        <v>242031.72</v>
      </c>
      <c r="CK566" s="264" t="s">
        <v>314</v>
      </c>
      <c r="CL566" s="264" t="s">
        <v>88</v>
      </c>
      <c r="CM566" s="132"/>
      <c r="CN566" s="274"/>
      <c r="CO566" s="144"/>
      <c r="CP566" s="274"/>
      <c r="CQ566" s="132"/>
      <c r="CR566" s="132"/>
      <c r="CS566" s="132"/>
      <c r="CT566" s="144">
        <v>150000</v>
      </c>
      <c r="CU566" s="144">
        <f t="shared" si="146"/>
        <v>28500</v>
      </c>
      <c r="CV566" s="144">
        <f t="shared" si="147"/>
        <v>178500</v>
      </c>
      <c r="CW566" s="132"/>
      <c r="CX566" s="132"/>
      <c r="CY566" s="132"/>
      <c r="CZ566" s="118">
        <v>82759</v>
      </c>
      <c r="DA566" s="144">
        <f t="shared" si="149"/>
        <v>15724.210000000001</v>
      </c>
      <c r="DB566" s="118">
        <f t="shared" si="150"/>
        <v>98483.21</v>
      </c>
      <c r="DC566" s="33" t="s">
        <v>186</v>
      </c>
      <c r="DD566" s="39" t="s">
        <v>58</v>
      </c>
      <c r="DE566" s="11"/>
      <c r="DF566" s="132"/>
      <c r="DG566" s="132"/>
      <c r="DH566" s="132"/>
      <c r="DI566" s="132"/>
      <c r="DJ566" s="132"/>
      <c r="DK566" s="132"/>
      <c r="DL566" s="132"/>
      <c r="DM566" s="132"/>
      <c r="DN566" s="132"/>
      <c r="DO566" s="132"/>
      <c r="DP566" s="132"/>
      <c r="DQ566" s="132"/>
      <c r="DR566" s="132"/>
      <c r="DS566" s="132"/>
      <c r="DT566" s="132"/>
      <c r="DU566" s="132"/>
      <c r="DV566" s="132"/>
      <c r="DW566" s="132"/>
      <c r="DX566" s="132"/>
      <c r="DY566" s="132"/>
      <c r="DZ566" s="132"/>
      <c r="EA566" s="132"/>
      <c r="EB566" s="132"/>
      <c r="EC566" s="132"/>
      <c r="ED566" s="132"/>
      <c r="EE566" s="132"/>
      <c r="EF566" s="132"/>
      <c r="EG566" s="132"/>
      <c r="EH566" s="132"/>
      <c r="EI566" s="132"/>
      <c r="EJ566" s="132"/>
      <c r="EK566" s="132"/>
      <c r="EL566" s="132"/>
      <c r="EM566" s="132"/>
      <c r="EN566" s="132"/>
      <c r="EO566" s="132"/>
      <c r="EP566" s="132"/>
      <c r="EQ566" s="132"/>
      <c r="ER566" s="132"/>
      <c r="ES566" s="132"/>
      <c r="ET566" s="11"/>
      <c r="EU566" s="11"/>
      <c r="EV566" s="11"/>
      <c r="EW566" s="11"/>
      <c r="EX566" s="11"/>
      <c r="EY566" s="11"/>
      <c r="EZ566" s="11"/>
      <c r="FA566" s="11"/>
      <c r="FB566" s="11"/>
      <c r="FC566" s="11"/>
      <c r="FD566" s="11"/>
      <c r="FE566" s="11"/>
      <c r="FF566" s="11"/>
      <c r="FG566" s="11"/>
      <c r="FH566" s="39">
        <f t="shared" si="126"/>
        <v>988350.92999999993</v>
      </c>
      <c r="FI566" s="33">
        <f t="shared" si="127"/>
        <v>6</v>
      </c>
      <c r="FJ566" s="84">
        <f t="shared" si="128"/>
        <v>164725.155</v>
      </c>
    </row>
    <row r="567" spans="1:166" ht="13.5" x14ac:dyDescent="0.25">
      <c r="A567" s="79" t="e">
        <f>#REF!</f>
        <v>#REF!</v>
      </c>
      <c r="B567" s="75" t="e">
        <f>#REF!</f>
        <v>#REF!</v>
      </c>
      <c r="C567" s="75" t="e">
        <f>#REF!</f>
        <v>#REF!</v>
      </c>
      <c r="D567" s="75" t="e">
        <f>#REF!</f>
        <v>#REF!</v>
      </c>
      <c r="E567" s="30">
        <v>1</v>
      </c>
      <c r="F567" s="238">
        <v>0</v>
      </c>
      <c r="G567" s="241">
        <v>0</v>
      </c>
      <c r="H567" s="249">
        <v>0</v>
      </c>
      <c r="I567" s="249">
        <v>0</v>
      </c>
      <c r="J567" s="249">
        <v>383620.25</v>
      </c>
      <c r="K567" s="249">
        <v>0</v>
      </c>
      <c r="L567" s="274">
        <f t="shared" si="148"/>
        <v>383620.25</v>
      </c>
      <c r="M567" s="274"/>
      <c r="N567" s="245"/>
      <c r="O567" s="113"/>
      <c r="P567" s="113"/>
      <c r="Q567" s="131"/>
      <c r="R567" s="131"/>
      <c r="S567" s="64"/>
      <c r="T567" s="113"/>
      <c r="U567" s="113"/>
      <c r="V567" s="113"/>
      <c r="W567" s="131"/>
      <c r="X567" s="131"/>
      <c r="Y567" s="11"/>
      <c r="Z567" s="121"/>
      <c r="AA567" s="113"/>
      <c r="AB567" s="113"/>
      <c r="AC567" s="131"/>
      <c r="AD567" s="52"/>
      <c r="AE567" s="11"/>
      <c r="AF567" s="118">
        <v>100000</v>
      </c>
      <c r="AG567" s="144">
        <f t="shared" si="138"/>
        <v>19000</v>
      </c>
      <c r="AH567" s="113">
        <f t="shared" si="139"/>
        <v>119000</v>
      </c>
      <c r="AI567" s="11"/>
      <c r="AJ567" s="11"/>
      <c r="AK567" s="39"/>
      <c r="AL567" s="113">
        <v>95000</v>
      </c>
      <c r="AM567" s="113">
        <f t="shared" si="140"/>
        <v>18050</v>
      </c>
      <c r="AN567" s="119">
        <f t="shared" si="141"/>
        <v>113050</v>
      </c>
      <c r="AO567" s="76" t="s">
        <v>44</v>
      </c>
      <c r="AP567" s="11" t="s">
        <v>45</v>
      </c>
      <c r="AQ567" s="39"/>
      <c r="AR567" s="275"/>
      <c r="AS567" s="275"/>
      <c r="AT567" s="275"/>
      <c r="AU567" s="62"/>
      <c r="AV567" s="62"/>
      <c r="AW567" s="11"/>
      <c r="AX567" s="116"/>
      <c r="AY567" s="116"/>
      <c r="AZ567" s="143"/>
      <c r="BA567" s="191"/>
      <c r="BB567" s="132"/>
      <c r="BC567" s="132"/>
      <c r="BD567" s="274"/>
      <c r="BE567" s="143"/>
      <c r="BF567" s="143"/>
      <c r="BG567" s="132"/>
      <c r="BH567" s="132"/>
      <c r="BI567" s="132"/>
      <c r="BJ567" s="143"/>
      <c r="BK567" s="143"/>
      <c r="BL567" s="143"/>
      <c r="BM567" s="132"/>
      <c r="BN567" s="132"/>
      <c r="BO567" s="132"/>
      <c r="BP567" s="143"/>
      <c r="BQ567" s="132"/>
      <c r="BR567" s="132"/>
      <c r="BS567" s="132"/>
      <c r="BT567" s="132"/>
      <c r="BU567" s="132"/>
      <c r="BV567" s="263">
        <v>267200</v>
      </c>
      <c r="BW567" s="144">
        <f t="shared" si="142"/>
        <v>50768</v>
      </c>
      <c r="BX567" s="113">
        <f t="shared" si="143"/>
        <v>317968</v>
      </c>
      <c r="BY567" s="264" t="s">
        <v>314</v>
      </c>
      <c r="BZ567" s="264" t="s">
        <v>88</v>
      </c>
      <c r="CA567" s="132"/>
      <c r="CB567" s="274"/>
      <c r="CC567" s="144"/>
      <c r="CD567" s="274"/>
      <c r="CE567" s="132"/>
      <c r="CF567" s="132"/>
      <c r="CG567" s="36"/>
      <c r="CH567" s="263">
        <v>272544</v>
      </c>
      <c r="CI567" s="265">
        <f t="shared" si="144"/>
        <v>51783.360000000001</v>
      </c>
      <c r="CJ567" s="263">
        <f t="shared" si="145"/>
        <v>324327.36</v>
      </c>
      <c r="CK567" s="264" t="s">
        <v>314</v>
      </c>
      <c r="CL567" s="264" t="s">
        <v>88</v>
      </c>
      <c r="CM567" s="132"/>
      <c r="CN567" s="274"/>
      <c r="CO567" s="144"/>
      <c r="CP567" s="274"/>
      <c r="CQ567" s="132"/>
      <c r="CR567" s="132"/>
      <c r="CS567" s="132"/>
      <c r="CT567" s="144">
        <v>201000</v>
      </c>
      <c r="CU567" s="144">
        <f t="shared" si="146"/>
        <v>38190</v>
      </c>
      <c r="CV567" s="144">
        <f t="shared" si="147"/>
        <v>239190</v>
      </c>
      <c r="CW567" s="132"/>
      <c r="CX567" s="132"/>
      <c r="CY567" s="132"/>
      <c r="CZ567" s="118">
        <v>110897</v>
      </c>
      <c r="DA567" s="144">
        <f t="shared" si="149"/>
        <v>21070.43</v>
      </c>
      <c r="DB567" s="118">
        <f t="shared" si="150"/>
        <v>131967.43</v>
      </c>
      <c r="DC567" s="33" t="s">
        <v>186</v>
      </c>
      <c r="DD567" s="39" t="s">
        <v>58</v>
      </c>
      <c r="DE567" s="11"/>
      <c r="DF567" s="132"/>
      <c r="DG567" s="132"/>
      <c r="DH567" s="132"/>
      <c r="DI567" s="132"/>
      <c r="DJ567" s="132"/>
      <c r="DK567" s="132"/>
      <c r="DL567" s="132"/>
      <c r="DM567" s="132"/>
      <c r="DN567" s="132"/>
      <c r="DO567" s="132"/>
      <c r="DP567" s="132"/>
      <c r="DQ567" s="132"/>
      <c r="DR567" s="132"/>
      <c r="DS567" s="132"/>
      <c r="DT567" s="132"/>
      <c r="DU567" s="132"/>
      <c r="DV567" s="132"/>
      <c r="DW567" s="132"/>
      <c r="DX567" s="132"/>
      <c r="DY567" s="132"/>
      <c r="DZ567" s="132"/>
      <c r="EA567" s="132"/>
      <c r="EB567" s="132"/>
      <c r="EC567" s="132"/>
      <c r="ED567" s="132"/>
      <c r="EE567" s="132"/>
      <c r="EF567" s="132"/>
      <c r="EG567" s="132"/>
      <c r="EH567" s="132"/>
      <c r="EI567" s="132"/>
      <c r="EJ567" s="132"/>
      <c r="EK567" s="132"/>
      <c r="EL567" s="132"/>
      <c r="EM567" s="132"/>
      <c r="EN567" s="132"/>
      <c r="EO567" s="132"/>
      <c r="EP567" s="132"/>
      <c r="EQ567" s="132"/>
      <c r="ER567" s="132"/>
      <c r="ES567" s="132"/>
      <c r="ET567" s="11"/>
      <c r="EU567" s="11"/>
      <c r="EV567" s="11"/>
      <c r="EW567" s="11"/>
      <c r="EX567" s="11"/>
      <c r="EY567" s="11"/>
      <c r="EZ567" s="11"/>
      <c r="FA567" s="11"/>
      <c r="FB567" s="11"/>
      <c r="FC567" s="11"/>
      <c r="FD567" s="11"/>
      <c r="FE567" s="11"/>
      <c r="FF567" s="11"/>
      <c r="FG567" s="11"/>
      <c r="FH567" s="39">
        <f t="shared" si="126"/>
        <v>1245502.7899999998</v>
      </c>
      <c r="FI567" s="33">
        <f t="shared" si="127"/>
        <v>6</v>
      </c>
      <c r="FJ567" s="84">
        <f t="shared" si="128"/>
        <v>207583.79833333331</v>
      </c>
    </row>
    <row r="568" spans="1:166" ht="13.5" x14ac:dyDescent="0.25">
      <c r="A568" s="79" t="e">
        <f>#REF!</f>
        <v>#REF!</v>
      </c>
      <c r="B568" s="75" t="e">
        <f>#REF!</f>
        <v>#REF!</v>
      </c>
      <c r="C568" s="75" t="e">
        <f>#REF!</f>
        <v>#REF!</v>
      </c>
      <c r="D568" s="75" t="e">
        <f>#REF!</f>
        <v>#REF!</v>
      </c>
      <c r="E568" s="30">
        <v>1</v>
      </c>
      <c r="F568" s="238">
        <v>0</v>
      </c>
      <c r="G568" s="241">
        <v>0</v>
      </c>
      <c r="H568" s="249">
        <v>0</v>
      </c>
      <c r="I568" s="249">
        <v>0</v>
      </c>
      <c r="J568" s="249">
        <v>297351.25</v>
      </c>
      <c r="K568" s="249">
        <v>291431</v>
      </c>
      <c r="L568" s="274">
        <f t="shared" si="148"/>
        <v>297351.25</v>
      </c>
      <c r="M568" s="274">
        <f>K568*E1</f>
        <v>300173.93</v>
      </c>
      <c r="N568" s="245"/>
      <c r="O568" s="113"/>
      <c r="P568" s="113"/>
      <c r="Q568" s="131"/>
      <c r="R568" s="131"/>
      <c r="S568" s="64"/>
      <c r="T568" s="113"/>
      <c r="U568" s="113"/>
      <c r="V568" s="113"/>
      <c r="W568" s="131"/>
      <c r="X568" s="131"/>
      <c r="Y568" s="11"/>
      <c r="Z568" s="113"/>
      <c r="AA568" s="113"/>
      <c r="AB568" s="113"/>
      <c r="AC568" s="52"/>
      <c r="AD568" s="52"/>
      <c r="AE568" s="11"/>
      <c r="AF568" s="118"/>
      <c r="AG568" s="144"/>
      <c r="AH568" s="113"/>
      <c r="AI568" s="11"/>
      <c r="AJ568" s="11"/>
      <c r="AK568" s="39"/>
      <c r="AL568" s="113">
        <v>95000</v>
      </c>
      <c r="AM568" s="113">
        <f t="shared" si="140"/>
        <v>18050</v>
      </c>
      <c r="AN568" s="119">
        <f t="shared" si="141"/>
        <v>113050</v>
      </c>
      <c r="AO568" s="76" t="s">
        <v>44</v>
      </c>
      <c r="AP568" s="11" t="s">
        <v>45</v>
      </c>
      <c r="AQ568" s="39"/>
      <c r="AR568" s="275"/>
      <c r="AS568" s="275"/>
      <c r="AT568" s="275"/>
      <c r="AU568" s="62"/>
      <c r="AV568" s="62"/>
      <c r="AW568" s="11"/>
      <c r="AX568" s="116"/>
      <c r="AY568" s="196"/>
      <c r="AZ568" s="143"/>
      <c r="BA568" s="191"/>
      <c r="BB568" s="132"/>
      <c r="BC568" s="132"/>
      <c r="BD568" s="274"/>
      <c r="BE568" s="143"/>
      <c r="BF568" s="143"/>
      <c r="BG568" s="132"/>
      <c r="BH568" s="132"/>
      <c r="BI568" s="132"/>
      <c r="BJ568" s="143"/>
      <c r="BK568" s="143"/>
      <c r="BL568" s="143"/>
      <c r="BM568" s="132"/>
      <c r="BN568" s="132"/>
      <c r="BO568" s="132"/>
      <c r="BP568" s="143"/>
      <c r="BQ568" s="132"/>
      <c r="BR568" s="132"/>
      <c r="BS568" s="132"/>
      <c r="BT568" s="132"/>
      <c r="BU568" s="132"/>
      <c r="BV568" s="263">
        <v>277800</v>
      </c>
      <c r="BW568" s="144">
        <f t="shared" si="142"/>
        <v>52782</v>
      </c>
      <c r="BX568" s="113">
        <f t="shared" si="143"/>
        <v>330582</v>
      </c>
      <c r="BY568" s="264" t="s">
        <v>314</v>
      </c>
      <c r="BZ568" s="264" t="s">
        <v>88</v>
      </c>
      <c r="CA568" s="132"/>
      <c r="CB568" s="274"/>
      <c r="CC568" s="144"/>
      <c r="CD568" s="274"/>
      <c r="CE568" s="132"/>
      <c r="CF568" s="132"/>
      <c r="CG568" s="36"/>
      <c r="CH568" s="263">
        <v>288912</v>
      </c>
      <c r="CI568" s="265">
        <f t="shared" si="144"/>
        <v>54893.279999999999</v>
      </c>
      <c r="CJ568" s="263">
        <f t="shared" si="145"/>
        <v>343805.28</v>
      </c>
      <c r="CK568" s="264" t="s">
        <v>314</v>
      </c>
      <c r="CL568" s="264" t="s">
        <v>88</v>
      </c>
      <c r="CM568" s="132"/>
      <c r="CN568" s="274"/>
      <c r="CO568" s="144"/>
      <c r="CP568" s="274"/>
      <c r="CQ568" s="132"/>
      <c r="CR568" s="132"/>
      <c r="CS568" s="132"/>
      <c r="CT568" s="144">
        <v>209000</v>
      </c>
      <c r="CU568" s="144">
        <f t="shared" si="146"/>
        <v>39710</v>
      </c>
      <c r="CV568" s="144">
        <f t="shared" si="147"/>
        <v>248710</v>
      </c>
      <c r="CW568" s="132"/>
      <c r="CX568" s="132"/>
      <c r="CY568" s="132"/>
      <c r="CZ568" s="118">
        <v>115310</v>
      </c>
      <c r="DA568" s="144">
        <f t="shared" si="149"/>
        <v>21908.9</v>
      </c>
      <c r="DB568" s="118">
        <f t="shared" si="150"/>
        <v>137218.9</v>
      </c>
      <c r="DC568" s="33" t="s">
        <v>186</v>
      </c>
      <c r="DD568" s="39" t="s">
        <v>58</v>
      </c>
      <c r="DE568" s="11"/>
      <c r="DF568" s="132"/>
      <c r="DG568" s="132"/>
      <c r="DH568" s="132"/>
      <c r="DI568" s="132"/>
      <c r="DJ568" s="132"/>
      <c r="DK568" s="132"/>
      <c r="DL568" s="132"/>
      <c r="DM568" s="132"/>
      <c r="DN568" s="132"/>
      <c r="DO568" s="132"/>
      <c r="DP568" s="132"/>
      <c r="DQ568" s="132"/>
      <c r="DR568" s="132"/>
      <c r="DS568" s="132"/>
      <c r="DT568" s="132"/>
      <c r="DU568" s="132"/>
      <c r="DV568" s="132"/>
      <c r="DW568" s="132"/>
      <c r="DX568" s="132"/>
      <c r="DY568" s="132"/>
      <c r="DZ568" s="132"/>
      <c r="EA568" s="132"/>
      <c r="EB568" s="132"/>
      <c r="EC568" s="132"/>
      <c r="ED568" s="132"/>
      <c r="EE568" s="132"/>
      <c r="EF568" s="132"/>
      <c r="EG568" s="132"/>
      <c r="EH568" s="132"/>
      <c r="EI568" s="132"/>
      <c r="EJ568" s="132"/>
      <c r="EK568" s="132"/>
      <c r="EL568" s="132"/>
      <c r="EM568" s="132"/>
      <c r="EN568" s="132"/>
      <c r="EO568" s="132"/>
      <c r="EP568" s="132"/>
      <c r="EQ568" s="132"/>
      <c r="ER568" s="132"/>
      <c r="ES568" s="132"/>
      <c r="ET568" s="11"/>
      <c r="EU568" s="11"/>
      <c r="EV568" s="11"/>
      <c r="EW568" s="11"/>
      <c r="EX568" s="11"/>
      <c r="EY568" s="11"/>
      <c r="EZ568" s="11"/>
      <c r="FA568" s="11"/>
      <c r="FB568" s="11"/>
      <c r="FC568" s="11"/>
      <c r="FD568" s="11"/>
      <c r="FE568" s="11"/>
      <c r="FF568" s="11"/>
      <c r="FG568" s="11"/>
      <c r="FH568" s="39">
        <f t="shared" si="126"/>
        <v>1473540.1099999999</v>
      </c>
      <c r="FI568" s="33">
        <f t="shared" si="127"/>
        <v>6</v>
      </c>
      <c r="FJ568" s="84">
        <f t="shared" si="128"/>
        <v>245590.01833333331</v>
      </c>
    </row>
    <row r="569" spans="1:166" x14ac:dyDescent="0.25">
      <c r="A569" s="79" t="e">
        <f>#REF!</f>
        <v>#REF!</v>
      </c>
      <c r="B569" s="75" t="e">
        <f>#REF!</f>
        <v>#REF!</v>
      </c>
      <c r="C569" s="75" t="e">
        <f>#REF!</f>
        <v>#REF!</v>
      </c>
      <c r="D569" s="75" t="e">
        <f>#REF!</f>
        <v>#REF!</v>
      </c>
      <c r="E569" s="30">
        <v>1</v>
      </c>
      <c r="F569" s="238">
        <v>2975000</v>
      </c>
      <c r="G569" s="241">
        <v>0</v>
      </c>
      <c r="H569" s="249">
        <v>3077042.5</v>
      </c>
      <c r="I569" s="249">
        <v>0</v>
      </c>
      <c r="J569" s="249">
        <v>3037259</v>
      </c>
      <c r="K569" s="249">
        <v>0</v>
      </c>
      <c r="L569" s="274">
        <f>AVERAGE(F569,H569,J569)</f>
        <v>3029767.1666666665</v>
      </c>
      <c r="M569" s="274"/>
      <c r="N569" s="245"/>
      <c r="O569" s="113"/>
      <c r="P569" s="113"/>
      <c r="Q569" s="131"/>
      <c r="R569" s="131"/>
      <c r="S569" s="64"/>
      <c r="T569" s="113"/>
      <c r="U569" s="121"/>
      <c r="V569" s="113"/>
      <c r="W569" s="131"/>
      <c r="X569" s="131"/>
      <c r="Y569" s="11"/>
      <c r="Z569" s="113"/>
      <c r="AA569" s="113"/>
      <c r="AB569" s="113"/>
      <c r="AC569" s="52"/>
      <c r="AD569" s="52"/>
      <c r="AE569" s="11"/>
      <c r="AF569" s="118"/>
      <c r="AG569" s="144"/>
      <c r="AH569" s="113"/>
      <c r="AI569" s="11"/>
      <c r="AJ569" s="11"/>
      <c r="AK569" s="39"/>
      <c r="AL569" s="113"/>
      <c r="AM569" s="113"/>
      <c r="AN569" s="147"/>
      <c r="AO569" s="76"/>
      <c r="AP569" s="39"/>
      <c r="AQ569" s="39"/>
      <c r="AR569" s="275"/>
      <c r="AS569" s="275"/>
      <c r="AT569" s="275"/>
      <c r="AU569" s="48"/>
      <c r="AV569" s="62"/>
      <c r="AW569" s="11"/>
      <c r="AX569" s="116"/>
      <c r="AY569" s="116"/>
      <c r="AZ569" s="143"/>
      <c r="BA569" s="191"/>
      <c r="BB569" s="132"/>
      <c r="BC569" s="132"/>
      <c r="BD569" s="274"/>
      <c r="BE569" s="143"/>
      <c r="BF569" s="143"/>
      <c r="BG569" s="132"/>
      <c r="BH569" s="132"/>
      <c r="BI569" s="132"/>
      <c r="BJ569" s="143"/>
      <c r="BK569" s="143"/>
      <c r="BL569" s="143"/>
      <c r="BM569" s="132"/>
      <c r="BN569" s="132"/>
      <c r="BO569" s="132"/>
      <c r="BP569" s="143"/>
      <c r="BQ569" s="132"/>
      <c r="BR569" s="132"/>
      <c r="BS569" s="132"/>
      <c r="BT569" s="132"/>
      <c r="BU569" s="132"/>
      <c r="BV569" s="210"/>
      <c r="BW569" s="144"/>
      <c r="BX569" s="113"/>
      <c r="BY569" s="273"/>
      <c r="BZ569" s="273"/>
      <c r="CA569" s="132"/>
      <c r="CB569" s="274"/>
      <c r="CC569" s="144"/>
      <c r="CD569" s="274"/>
      <c r="CE569" s="132"/>
      <c r="CF569" s="132"/>
      <c r="CG569" s="36"/>
      <c r="CH569" s="210"/>
      <c r="CI569" s="219"/>
      <c r="CJ569" s="210"/>
      <c r="CK569" s="273"/>
      <c r="CL569" s="273"/>
      <c r="CM569" s="132"/>
      <c r="CN569" s="274"/>
      <c r="CO569" s="144"/>
      <c r="CP569" s="274"/>
      <c r="CQ569" s="132"/>
      <c r="CR569" s="132"/>
      <c r="CS569" s="132"/>
      <c r="CT569" s="274">
        <v>1312000</v>
      </c>
      <c r="CU569" s="144">
        <f>CT569*0</f>
        <v>0</v>
      </c>
      <c r="CV569" s="144">
        <f t="shared" si="147"/>
        <v>1312000</v>
      </c>
      <c r="CW569" s="132"/>
      <c r="CX569" s="132"/>
      <c r="CY569" s="132"/>
      <c r="CZ569" s="118"/>
      <c r="DA569" s="144"/>
      <c r="DB569" s="118"/>
      <c r="DC569" s="33"/>
      <c r="DD569" s="39"/>
      <c r="DE569" s="11"/>
      <c r="DF569" s="132"/>
      <c r="DG569" s="132"/>
      <c r="DH569" s="132"/>
      <c r="DI569" s="132"/>
      <c r="DJ569" s="132"/>
      <c r="DK569" s="132"/>
      <c r="DL569" s="132"/>
      <c r="DM569" s="132"/>
      <c r="DN569" s="132"/>
      <c r="DO569" s="132"/>
      <c r="DP569" s="132"/>
      <c r="DQ569" s="132"/>
      <c r="DR569" s="132"/>
      <c r="DS569" s="132"/>
      <c r="DT569" s="132"/>
      <c r="DU569" s="132"/>
      <c r="DV569" s="132"/>
      <c r="DW569" s="132"/>
      <c r="DX569" s="132"/>
      <c r="DY569" s="132"/>
      <c r="DZ569" s="132"/>
      <c r="EA569" s="132"/>
      <c r="EB569" s="132"/>
      <c r="EC569" s="132"/>
      <c r="ED569" s="132"/>
      <c r="EE569" s="132"/>
      <c r="EF569" s="132"/>
      <c r="EG569" s="132"/>
      <c r="EH569" s="132"/>
      <c r="EI569" s="132"/>
      <c r="EJ569" s="132"/>
      <c r="EK569" s="132"/>
      <c r="EL569" s="132"/>
      <c r="EM569" s="132"/>
      <c r="EN569" s="132"/>
      <c r="EO569" s="132"/>
      <c r="EP569" s="132"/>
      <c r="EQ569" s="132"/>
      <c r="ER569" s="132"/>
      <c r="ES569" s="132"/>
      <c r="ET569" s="11"/>
      <c r="EU569" s="11"/>
      <c r="EV569" s="11"/>
      <c r="EW569" s="11"/>
      <c r="EX569" s="11"/>
      <c r="EY569" s="11"/>
      <c r="EZ569" s="11"/>
      <c r="FA569" s="11"/>
      <c r="FB569" s="11"/>
      <c r="FC569" s="11"/>
      <c r="FD569" s="11"/>
      <c r="FE569" s="11"/>
      <c r="FF569" s="11"/>
      <c r="FG569" s="11"/>
      <c r="FH569" s="39">
        <f t="shared" si="126"/>
        <v>1312000</v>
      </c>
      <c r="FI569" s="33">
        <f t="shared" si="127"/>
        <v>1</v>
      </c>
      <c r="FJ569" s="84">
        <f t="shared" si="128"/>
        <v>1312000</v>
      </c>
    </row>
    <row r="570" spans="1:166" x14ac:dyDescent="0.25">
      <c r="A570" s="79" t="e">
        <f>#REF!</f>
        <v>#REF!</v>
      </c>
      <c r="B570" s="75" t="e">
        <f>#REF!</f>
        <v>#REF!</v>
      </c>
      <c r="C570" s="75" t="e">
        <f>#REF!</f>
        <v>#REF!</v>
      </c>
      <c r="D570" s="75" t="e">
        <f>#REF!</f>
        <v>#REF!</v>
      </c>
      <c r="E570" s="30">
        <v>1</v>
      </c>
      <c r="F570" s="238">
        <v>0</v>
      </c>
      <c r="G570" s="241">
        <v>0</v>
      </c>
      <c r="H570" s="249">
        <v>2546000</v>
      </c>
      <c r="I570" s="249">
        <v>0</v>
      </c>
      <c r="J570" s="249">
        <v>0</v>
      </c>
      <c r="K570" s="249">
        <v>0</v>
      </c>
      <c r="L570" s="274">
        <f>H570</f>
        <v>2546000</v>
      </c>
      <c r="M570" s="274"/>
      <c r="N570" s="245"/>
      <c r="O570" s="113"/>
      <c r="P570" s="113"/>
      <c r="Q570" s="131"/>
      <c r="R570" s="131"/>
      <c r="S570" s="64"/>
      <c r="T570" s="113">
        <v>3140000</v>
      </c>
      <c r="U570" s="113">
        <v>0</v>
      </c>
      <c r="V570" s="113">
        <f>+T570+U570</f>
        <v>3140000</v>
      </c>
      <c r="W570" s="131" t="s">
        <v>445</v>
      </c>
      <c r="X570" s="131" t="s">
        <v>138</v>
      </c>
      <c r="Y570" s="11"/>
      <c r="Z570" s="113"/>
      <c r="AA570" s="113"/>
      <c r="AB570" s="113"/>
      <c r="AC570" s="52"/>
      <c r="AD570" s="52"/>
      <c r="AE570" s="11"/>
      <c r="AF570" s="118"/>
      <c r="AG570" s="144"/>
      <c r="AH570" s="113"/>
      <c r="AI570" s="11"/>
      <c r="AJ570" s="11"/>
      <c r="AK570" s="39"/>
      <c r="AL570" s="113"/>
      <c r="AM570" s="113"/>
      <c r="AN570" s="117"/>
      <c r="AO570" s="76"/>
      <c r="AP570" s="39"/>
      <c r="AQ570" s="39"/>
      <c r="AR570" s="275"/>
      <c r="AS570" s="275"/>
      <c r="AT570" s="275"/>
      <c r="AU570" s="48"/>
      <c r="AV570" s="62"/>
      <c r="AW570" s="11"/>
      <c r="AX570" s="116"/>
      <c r="AY570" s="116"/>
      <c r="AZ570" s="143"/>
      <c r="BA570" s="191"/>
      <c r="BB570" s="132"/>
      <c r="BC570" s="132"/>
      <c r="BD570" s="274"/>
      <c r="BE570" s="143"/>
      <c r="BF570" s="143"/>
      <c r="BG570" s="132"/>
      <c r="BH570" s="132"/>
      <c r="BI570" s="132"/>
      <c r="BJ570" s="143"/>
      <c r="BK570" s="143"/>
      <c r="BL570" s="143"/>
      <c r="BM570" s="132"/>
      <c r="BN570" s="132"/>
      <c r="BO570" s="132"/>
      <c r="BP570" s="143"/>
      <c r="BQ570" s="132"/>
      <c r="BR570" s="132"/>
      <c r="BS570" s="132"/>
      <c r="BT570" s="132"/>
      <c r="BU570" s="132"/>
      <c r="BV570" s="210"/>
      <c r="BW570" s="144"/>
      <c r="BX570" s="113"/>
      <c r="BY570" s="273"/>
      <c r="BZ570" s="273"/>
      <c r="CA570" s="132"/>
      <c r="CB570" s="274"/>
      <c r="CC570" s="144"/>
      <c r="CD570" s="274"/>
      <c r="CE570" s="132"/>
      <c r="CF570" s="132"/>
      <c r="CG570" s="36"/>
      <c r="CH570" s="210"/>
      <c r="CI570" s="219"/>
      <c r="CJ570" s="210"/>
      <c r="CK570" s="273"/>
      <c r="CL570" s="273"/>
      <c r="CM570" s="132"/>
      <c r="CN570" s="274"/>
      <c r="CO570" s="144"/>
      <c r="CP570" s="274"/>
      <c r="CQ570" s="132"/>
      <c r="CR570" s="132"/>
      <c r="CS570" s="132"/>
      <c r="CT570" s="274">
        <v>686000</v>
      </c>
      <c r="CU570" s="144">
        <f>CT570*0</f>
        <v>0</v>
      </c>
      <c r="CV570" s="144">
        <f t="shared" si="147"/>
        <v>686000</v>
      </c>
      <c r="CW570" s="132"/>
      <c r="CX570" s="132"/>
      <c r="CY570" s="132"/>
      <c r="CZ570" s="118"/>
      <c r="DA570" s="144"/>
      <c r="DB570" s="118"/>
      <c r="DC570" s="33"/>
      <c r="DD570" s="39"/>
      <c r="DE570" s="11"/>
      <c r="DF570" s="132"/>
      <c r="DG570" s="132"/>
      <c r="DH570" s="132"/>
      <c r="DI570" s="132"/>
      <c r="DJ570" s="132"/>
      <c r="DK570" s="132"/>
      <c r="DL570" s="132"/>
      <c r="DM570" s="132"/>
      <c r="DN570" s="132"/>
      <c r="DO570" s="132"/>
      <c r="DP570" s="132"/>
      <c r="DQ570" s="132"/>
      <c r="DR570" s="132"/>
      <c r="DS570" s="132"/>
      <c r="DT570" s="132"/>
      <c r="DU570" s="132"/>
      <c r="DV570" s="132"/>
      <c r="DW570" s="132"/>
      <c r="DX570" s="132"/>
      <c r="DY570" s="132"/>
      <c r="DZ570" s="132"/>
      <c r="EA570" s="132"/>
      <c r="EB570" s="132"/>
      <c r="EC570" s="132"/>
      <c r="ED570" s="132"/>
      <c r="EE570" s="132"/>
      <c r="EF570" s="132"/>
      <c r="EG570" s="132"/>
      <c r="EH570" s="132"/>
      <c r="EI570" s="132"/>
      <c r="EJ570" s="132"/>
      <c r="EK570" s="132"/>
      <c r="EL570" s="132"/>
      <c r="EM570" s="132"/>
      <c r="EN570" s="132"/>
      <c r="EO570" s="132"/>
      <c r="EP570" s="132"/>
      <c r="EQ570" s="132"/>
      <c r="ER570" s="132"/>
      <c r="ES570" s="132"/>
      <c r="ET570" s="11"/>
      <c r="EU570" s="11"/>
      <c r="EV570" s="11"/>
      <c r="EW570" s="11"/>
      <c r="EX570" s="11"/>
      <c r="EY570" s="11"/>
      <c r="EZ570" s="11"/>
      <c r="FA570" s="11"/>
      <c r="FB570" s="11"/>
      <c r="FC570" s="11"/>
      <c r="FD570" s="11"/>
      <c r="FE570" s="11"/>
      <c r="FF570" s="11"/>
      <c r="FG570" s="11"/>
      <c r="FH570" s="39">
        <f t="shared" si="126"/>
        <v>3826000</v>
      </c>
      <c r="FI570" s="33">
        <f t="shared" si="127"/>
        <v>2</v>
      </c>
      <c r="FJ570" s="84">
        <f t="shared" si="128"/>
        <v>1913000</v>
      </c>
    </row>
    <row r="571" spans="1:166" ht="27" x14ac:dyDescent="0.25">
      <c r="A571" s="79" t="e">
        <f>#REF!</f>
        <v>#REF!</v>
      </c>
      <c r="B571" s="75" t="e">
        <f>#REF!</f>
        <v>#REF!</v>
      </c>
      <c r="C571" s="75" t="e">
        <f>#REF!</f>
        <v>#REF!</v>
      </c>
      <c r="D571" s="75" t="e">
        <f>#REF!</f>
        <v>#REF!</v>
      </c>
      <c r="E571" s="30">
        <v>1</v>
      </c>
      <c r="F571" s="238">
        <v>152245.625</v>
      </c>
      <c r="G571" s="241">
        <v>147560</v>
      </c>
      <c r="H571" s="249">
        <v>157954.82998750001</v>
      </c>
      <c r="I571" s="249">
        <v>0</v>
      </c>
      <c r="J571" s="249">
        <v>137326</v>
      </c>
      <c r="K571" s="249">
        <v>0</v>
      </c>
      <c r="L571" s="274">
        <f>AVERAGE(F571,H571,J571)</f>
        <v>149175.48499583334</v>
      </c>
      <c r="M571" s="274">
        <f>G571*E1</f>
        <v>151986.80000000002</v>
      </c>
      <c r="N571" s="245"/>
      <c r="O571" s="113"/>
      <c r="P571" s="113"/>
      <c r="Q571" s="131"/>
      <c r="R571" s="131"/>
      <c r="S571" s="64"/>
      <c r="T571" s="113"/>
      <c r="U571" s="113"/>
      <c r="V571" s="113"/>
      <c r="W571" s="131"/>
      <c r="X571" s="131"/>
      <c r="Y571" s="11"/>
      <c r="Z571" s="113"/>
      <c r="AA571" s="113"/>
      <c r="AB571" s="113"/>
      <c r="AC571" s="52"/>
      <c r="AD571" s="52"/>
      <c r="AE571" s="11"/>
      <c r="AF571" s="118"/>
      <c r="AG571" s="144"/>
      <c r="AH571" s="113"/>
      <c r="AI571" s="11"/>
      <c r="AJ571" s="11"/>
      <c r="AK571" s="39"/>
      <c r="AL571" s="113">
        <v>490000</v>
      </c>
      <c r="AM571" s="113">
        <f>+AL571*0.19</f>
        <v>93100</v>
      </c>
      <c r="AN571" s="119">
        <f>+AL571+AM571</f>
        <v>583100</v>
      </c>
      <c r="AO571" s="76" t="s">
        <v>95</v>
      </c>
      <c r="AP571" s="11" t="s">
        <v>45</v>
      </c>
      <c r="AQ571" s="39"/>
      <c r="AR571" s="275">
        <v>144000</v>
      </c>
      <c r="AS571" s="143">
        <f>+AR571*0.19</f>
        <v>27360</v>
      </c>
      <c r="AT571" s="116">
        <f>+AR571+AS571</f>
        <v>171360</v>
      </c>
      <c r="AU571" s="62" t="s">
        <v>54</v>
      </c>
      <c r="AV571" s="62" t="s">
        <v>35</v>
      </c>
      <c r="AW571" s="11"/>
      <c r="AX571" s="116"/>
      <c r="AY571" s="196"/>
      <c r="AZ571" s="143"/>
      <c r="BA571" s="191"/>
      <c r="BB571" s="132"/>
      <c r="BC571" s="132"/>
      <c r="BD571" s="274"/>
      <c r="BE571" s="143"/>
      <c r="BF571" s="143"/>
      <c r="BG571" s="132"/>
      <c r="BH571" s="132"/>
      <c r="BI571" s="132"/>
      <c r="BJ571" s="143"/>
      <c r="BK571" s="143"/>
      <c r="BL571" s="143"/>
      <c r="BM571" s="132"/>
      <c r="BN571" s="132"/>
      <c r="BO571" s="132"/>
      <c r="BP571" s="143"/>
      <c r="BQ571" s="132"/>
      <c r="BR571" s="132"/>
      <c r="BS571" s="132"/>
      <c r="BT571" s="132"/>
      <c r="BU571" s="132"/>
      <c r="BV571" s="263">
        <v>275100</v>
      </c>
      <c r="BW571" s="144">
        <f>BV571*19%</f>
        <v>52269</v>
      </c>
      <c r="BX571" s="113">
        <f>+BV571+BW571</f>
        <v>327369</v>
      </c>
      <c r="BY571" s="264" t="s">
        <v>342</v>
      </c>
      <c r="BZ571" s="264" t="s">
        <v>237</v>
      </c>
      <c r="CA571" s="132"/>
      <c r="CB571" s="274"/>
      <c r="CC571" s="144"/>
      <c r="CD571" s="274"/>
      <c r="CE571" s="132"/>
      <c r="CF571" s="132"/>
      <c r="CG571" s="36"/>
      <c r="CH571" s="263">
        <v>288855</v>
      </c>
      <c r="CI571" s="265">
        <f>+CH571*0.19</f>
        <v>54882.45</v>
      </c>
      <c r="CJ571" s="263">
        <f>+CH571+CI571</f>
        <v>343737.45</v>
      </c>
      <c r="CK571" s="264" t="s">
        <v>342</v>
      </c>
      <c r="CL571" s="264" t="s">
        <v>237</v>
      </c>
      <c r="CM571" s="132"/>
      <c r="CN571" s="274"/>
      <c r="CO571" s="144"/>
      <c r="CP571" s="274"/>
      <c r="CQ571" s="132"/>
      <c r="CR571" s="132"/>
      <c r="CS571" s="132"/>
      <c r="CT571" s="274">
        <v>938000</v>
      </c>
      <c r="CU571" s="144">
        <f>CT571*0</f>
        <v>0</v>
      </c>
      <c r="CV571" s="144">
        <f t="shared" si="147"/>
        <v>938000</v>
      </c>
      <c r="CW571" s="132"/>
      <c r="CX571" s="132"/>
      <c r="CY571" s="132"/>
      <c r="CZ571" s="118"/>
      <c r="DA571" s="144"/>
      <c r="DB571" s="118"/>
      <c r="DC571" s="33"/>
      <c r="DD571" s="39"/>
      <c r="DE571" s="11"/>
      <c r="DF571" s="132"/>
      <c r="DG571" s="132"/>
      <c r="DH571" s="132"/>
      <c r="DI571" s="132"/>
      <c r="DJ571" s="132"/>
      <c r="DK571" s="132"/>
      <c r="DL571" s="132"/>
      <c r="DM571" s="132"/>
      <c r="DN571" s="132"/>
      <c r="DO571" s="132"/>
      <c r="DP571" s="132"/>
      <c r="DQ571" s="132"/>
      <c r="DR571" s="132"/>
      <c r="DS571" s="132"/>
      <c r="DT571" s="132"/>
      <c r="DU571" s="132"/>
      <c r="DV571" s="132"/>
      <c r="DW571" s="132"/>
      <c r="DX571" s="132"/>
      <c r="DY571" s="132"/>
      <c r="DZ571" s="132"/>
      <c r="EA571" s="132"/>
      <c r="EB571" s="132"/>
      <c r="EC571" s="132"/>
      <c r="ED571" s="132"/>
      <c r="EE571" s="132"/>
      <c r="EF571" s="132"/>
      <c r="EG571" s="132"/>
      <c r="EH571" s="132"/>
      <c r="EI571" s="132"/>
      <c r="EJ571" s="132"/>
      <c r="EK571" s="132"/>
      <c r="EL571" s="132"/>
      <c r="EM571" s="132"/>
      <c r="EN571" s="132"/>
      <c r="EO571" s="132"/>
      <c r="EP571" s="132"/>
      <c r="EQ571" s="132"/>
      <c r="ER571" s="132"/>
      <c r="ES571" s="132"/>
      <c r="ET571" s="11"/>
      <c r="EU571" s="11"/>
      <c r="EV571" s="11"/>
      <c r="EW571" s="11"/>
      <c r="EX571" s="11"/>
      <c r="EY571" s="11"/>
      <c r="EZ571" s="11"/>
      <c r="FA571" s="11"/>
      <c r="FB571" s="11"/>
      <c r="FC571" s="11"/>
      <c r="FD571" s="11"/>
      <c r="FE571" s="11"/>
      <c r="FF571" s="11"/>
      <c r="FG571" s="11"/>
      <c r="FH571" s="39">
        <f t="shared" si="126"/>
        <v>2515553.25</v>
      </c>
      <c r="FI571" s="33">
        <f t="shared" si="127"/>
        <v>6</v>
      </c>
      <c r="FJ571" s="84">
        <f t="shared" si="128"/>
        <v>419258.875</v>
      </c>
    </row>
    <row r="572" spans="1:166" ht="13.5" x14ac:dyDescent="0.25">
      <c r="A572" s="79" t="e">
        <f>#REF!</f>
        <v>#REF!</v>
      </c>
      <c r="B572" s="75" t="e">
        <f>#REF!</f>
        <v>#REF!</v>
      </c>
      <c r="C572" s="75" t="e">
        <f>#REF!</f>
        <v>#REF!</v>
      </c>
      <c r="D572" s="75" t="e">
        <f>#REF!</f>
        <v>#REF!</v>
      </c>
      <c r="E572" s="30">
        <v>1</v>
      </c>
      <c r="F572" s="238">
        <v>0</v>
      </c>
      <c r="G572" s="241">
        <v>0</v>
      </c>
      <c r="H572" s="249">
        <v>0</v>
      </c>
      <c r="I572" s="249">
        <v>0</v>
      </c>
      <c r="J572" s="249">
        <v>0</v>
      </c>
      <c r="K572" s="249">
        <v>0</v>
      </c>
      <c r="L572" s="274"/>
      <c r="M572" s="274"/>
      <c r="N572" s="245"/>
      <c r="O572" s="113"/>
      <c r="P572" s="113"/>
      <c r="Q572" s="131"/>
      <c r="R572" s="131"/>
      <c r="S572" s="64"/>
      <c r="T572" s="113"/>
      <c r="U572" s="113"/>
      <c r="V572" s="113"/>
      <c r="W572" s="131"/>
      <c r="X572" s="131"/>
      <c r="Y572" s="11"/>
      <c r="Z572" s="113"/>
      <c r="AA572" s="113"/>
      <c r="AB572" s="113"/>
      <c r="AC572" s="52"/>
      <c r="AD572" s="52"/>
      <c r="AE572" s="11"/>
      <c r="AF572" s="118">
        <v>260000</v>
      </c>
      <c r="AG572" s="144">
        <v>0</v>
      </c>
      <c r="AH572" s="113">
        <f>+AF572+AG572</f>
        <v>260000</v>
      </c>
      <c r="AI572" s="11"/>
      <c r="AJ572" s="11"/>
      <c r="AK572" s="39"/>
      <c r="AL572" s="113"/>
      <c r="AM572" s="113"/>
      <c r="AN572" s="117"/>
      <c r="AO572" s="76"/>
      <c r="AP572" s="39"/>
      <c r="AQ572" s="39"/>
      <c r="AR572" s="275"/>
      <c r="AS572" s="275"/>
      <c r="AT572" s="275"/>
      <c r="AU572" s="62"/>
      <c r="AV572" s="62"/>
      <c r="AW572" s="11"/>
      <c r="AX572" s="116"/>
      <c r="AY572" s="196"/>
      <c r="AZ572" s="143"/>
      <c r="BA572" s="191"/>
      <c r="BB572" s="132"/>
      <c r="BC572" s="132"/>
      <c r="BD572" s="274"/>
      <c r="BE572" s="143"/>
      <c r="BF572" s="143"/>
      <c r="BG572" s="132"/>
      <c r="BH572" s="132"/>
      <c r="BI572" s="132"/>
      <c r="BJ572" s="143"/>
      <c r="BK572" s="143"/>
      <c r="BL572" s="143"/>
      <c r="BM572" s="132"/>
      <c r="BN572" s="132"/>
      <c r="BO572" s="132"/>
      <c r="BP572" s="143"/>
      <c r="BQ572" s="132"/>
      <c r="BR572" s="132"/>
      <c r="BS572" s="132"/>
      <c r="BT572" s="132"/>
      <c r="BU572" s="132"/>
      <c r="BV572" s="263">
        <v>353600</v>
      </c>
      <c r="BW572" s="144">
        <f>BV572*19%</f>
        <v>67184</v>
      </c>
      <c r="BX572" s="113">
        <f>+BV572+BW572</f>
        <v>420784</v>
      </c>
      <c r="BY572" s="264" t="s">
        <v>478</v>
      </c>
      <c r="BZ572" s="264" t="s">
        <v>88</v>
      </c>
      <c r="CA572" s="132"/>
      <c r="CB572" s="274"/>
      <c r="CC572" s="144"/>
      <c r="CD572" s="274"/>
      <c r="CE572" s="132"/>
      <c r="CF572" s="132"/>
      <c r="CG572" s="36"/>
      <c r="CH572" s="263">
        <v>371280</v>
      </c>
      <c r="CI572" s="265">
        <f>+CH572*0.19</f>
        <v>70543.199999999997</v>
      </c>
      <c r="CJ572" s="263">
        <f>+CH572+CI572</f>
        <v>441823.2</v>
      </c>
      <c r="CK572" s="264" t="s">
        <v>478</v>
      </c>
      <c r="CL572" s="264" t="s">
        <v>88</v>
      </c>
      <c r="CM572" s="132"/>
      <c r="CN572" s="274"/>
      <c r="CO572" s="144"/>
      <c r="CP572" s="274"/>
      <c r="CQ572" s="132"/>
      <c r="CR572" s="132"/>
      <c r="CS572" s="132"/>
      <c r="CT572" s="274"/>
      <c r="CU572" s="144"/>
      <c r="CV572" s="274"/>
      <c r="CW572" s="132"/>
      <c r="CX572" s="132"/>
      <c r="CY572" s="132"/>
      <c r="CZ572" s="118">
        <v>196475</v>
      </c>
      <c r="DA572" s="144">
        <v>0</v>
      </c>
      <c r="DB572" s="118">
        <v>196475</v>
      </c>
      <c r="DC572" s="33" t="s">
        <v>479</v>
      </c>
      <c r="DD572" s="39" t="s">
        <v>58</v>
      </c>
      <c r="DE572" s="11">
        <v>1102740001</v>
      </c>
      <c r="DF572" s="132"/>
      <c r="DG572" s="132"/>
      <c r="DH572" s="132"/>
      <c r="DI572" s="132"/>
      <c r="DJ572" s="132"/>
      <c r="DK572" s="132"/>
      <c r="DL572" s="132"/>
      <c r="DM572" s="132"/>
      <c r="DN572" s="132"/>
      <c r="DO572" s="132"/>
      <c r="DP572" s="132"/>
      <c r="DQ572" s="132"/>
      <c r="DR572" s="132"/>
      <c r="DS572" s="132"/>
      <c r="DT572" s="132"/>
      <c r="DU572" s="132"/>
      <c r="DV572" s="132"/>
      <c r="DW572" s="132"/>
      <c r="DX572" s="132"/>
      <c r="DY572" s="132"/>
      <c r="DZ572" s="132"/>
      <c r="EA572" s="132"/>
      <c r="EB572" s="132"/>
      <c r="EC572" s="132"/>
      <c r="ED572" s="132"/>
      <c r="EE572" s="132"/>
      <c r="EF572" s="132"/>
      <c r="EG572" s="132"/>
      <c r="EH572" s="132"/>
      <c r="EI572" s="132"/>
      <c r="EJ572" s="132"/>
      <c r="EK572" s="132"/>
      <c r="EL572" s="132"/>
      <c r="EM572" s="132"/>
      <c r="EN572" s="132"/>
      <c r="EO572" s="132"/>
      <c r="EP572" s="132"/>
      <c r="EQ572" s="132"/>
      <c r="ER572" s="132"/>
      <c r="ES572" s="132"/>
      <c r="ET572" s="11"/>
      <c r="EU572" s="11"/>
      <c r="EV572" s="11"/>
      <c r="EW572" s="11"/>
      <c r="EX572" s="11"/>
      <c r="EY572" s="11"/>
      <c r="EZ572" s="11"/>
      <c r="FA572" s="11"/>
      <c r="FB572" s="11"/>
      <c r="FC572" s="11"/>
      <c r="FD572" s="11"/>
      <c r="FE572" s="11"/>
      <c r="FF572" s="11"/>
      <c r="FG572" s="11"/>
      <c r="FH572" s="39">
        <f t="shared" si="126"/>
        <v>1319082.2</v>
      </c>
      <c r="FI572" s="33">
        <f t="shared" si="127"/>
        <v>4</v>
      </c>
      <c r="FJ572" s="84">
        <f t="shared" si="128"/>
        <v>329770.55</v>
      </c>
    </row>
    <row r="573" spans="1:166" ht="13.5" x14ac:dyDescent="0.25">
      <c r="A573" s="79" t="e">
        <f>#REF!</f>
        <v>#REF!</v>
      </c>
      <c r="B573" s="75" t="e">
        <f>#REF!</f>
        <v>#REF!</v>
      </c>
      <c r="C573" s="75" t="e">
        <f>#REF!</f>
        <v>#REF!</v>
      </c>
      <c r="D573" s="75" t="e">
        <f>#REF!</f>
        <v>#REF!</v>
      </c>
      <c r="E573" s="30">
        <v>1</v>
      </c>
      <c r="F573" s="238">
        <v>0</v>
      </c>
      <c r="G573" s="241">
        <v>0</v>
      </c>
      <c r="H573" s="249">
        <v>419475</v>
      </c>
      <c r="I573" s="249">
        <v>0</v>
      </c>
      <c r="J573" s="249">
        <v>491198.33333333331</v>
      </c>
      <c r="K573" s="249">
        <v>0</v>
      </c>
      <c r="L573" s="274">
        <f>AVERAGE(H573,J573)</f>
        <v>455336.66666666663</v>
      </c>
      <c r="M573" s="274"/>
      <c r="N573" s="245"/>
      <c r="O573" s="113"/>
      <c r="P573" s="113"/>
      <c r="Q573" s="131"/>
      <c r="R573" s="131"/>
      <c r="S573" s="64"/>
      <c r="T573" s="113"/>
      <c r="U573" s="113"/>
      <c r="V573" s="113"/>
      <c r="W573" s="131"/>
      <c r="X573" s="131"/>
      <c r="Y573" s="11"/>
      <c r="Z573" s="113"/>
      <c r="AA573" s="113"/>
      <c r="AB573" s="113"/>
      <c r="AC573" s="52"/>
      <c r="AD573" s="52"/>
      <c r="AE573" s="11"/>
      <c r="AF573" s="118"/>
      <c r="AG573" s="144"/>
      <c r="AH573" s="113"/>
      <c r="AI573" s="11"/>
      <c r="AJ573" s="11"/>
      <c r="AK573" s="39"/>
      <c r="AL573" s="113"/>
      <c r="AM573" s="113"/>
      <c r="AN573" s="117"/>
      <c r="AO573" s="76"/>
      <c r="AP573" s="39"/>
      <c r="AQ573" s="39"/>
      <c r="AR573" s="275"/>
      <c r="AS573" s="275"/>
      <c r="AT573" s="275"/>
      <c r="AU573" s="48"/>
      <c r="AV573" s="62"/>
      <c r="AW573" s="11"/>
      <c r="AX573" s="116"/>
      <c r="AY573" s="196"/>
      <c r="AZ573" s="143"/>
      <c r="BA573" s="191"/>
      <c r="BB573" s="132"/>
      <c r="BC573" s="132"/>
      <c r="BD573" s="274"/>
      <c r="BE573" s="274"/>
      <c r="BF573" s="274"/>
      <c r="BG573" s="274"/>
      <c r="BH573" s="132"/>
      <c r="BI573" s="132"/>
      <c r="BJ573" s="143"/>
      <c r="BK573" s="143"/>
      <c r="BL573" s="143"/>
      <c r="BM573" s="132"/>
      <c r="BN573" s="132"/>
      <c r="BO573" s="132"/>
      <c r="BP573" s="143"/>
      <c r="BQ573" s="132"/>
      <c r="BR573" s="132"/>
      <c r="BS573" s="132"/>
      <c r="BT573" s="132"/>
      <c r="BU573" s="132"/>
      <c r="BV573" s="263">
        <v>564000</v>
      </c>
      <c r="BW573" s="144">
        <f>BV573*0</f>
        <v>0</v>
      </c>
      <c r="BX573" s="113">
        <f>+BV573+BW573</f>
        <v>564000</v>
      </c>
      <c r="BY573" s="264" t="s">
        <v>480</v>
      </c>
      <c r="BZ573" s="264" t="s">
        <v>481</v>
      </c>
      <c r="CA573" s="132"/>
      <c r="CB573" s="274"/>
      <c r="CC573" s="144"/>
      <c r="CD573" s="274"/>
      <c r="CE573" s="132"/>
      <c r="CF573" s="132"/>
      <c r="CG573" s="36"/>
      <c r="CH573" s="263">
        <v>603480</v>
      </c>
      <c r="CI573" s="265">
        <f>+CH573*0</f>
        <v>0</v>
      </c>
      <c r="CJ573" s="263">
        <f>+CH573+CI573</f>
        <v>603480</v>
      </c>
      <c r="CK573" s="264" t="s">
        <v>480</v>
      </c>
      <c r="CL573" s="264" t="s">
        <v>481</v>
      </c>
      <c r="CM573" s="132"/>
      <c r="CN573" s="274"/>
      <c r="CO573" s="144"/>
      <c r="CP573" s="274"/>
      <c r="CQ573" s="132"/>
      <c r="CR573" s="132"/>
      <c r="CS573" s="132"/>
      <c r="CT573" s="274"/>
      <c r="CU573" s="144"/>
      <c r="CV573" s="274"/>
      <c r="CW573" s="132"/>
      <c r="CX573" s="132"/>
      <c r="CY573" s="132"/>
      <c r="CZ573" s="118"/>
      <c r="DA573" s="144"/>
      <c r="DB573" s="118"/>
      <c r="DC573" s="33"/>
      <c r="DD573" s="39"/>
      <c r="DE573" s="11"/>
      <c r="DF573" s="132"/>
      <c r="DG573" s="132"/>
      <c r="DH573" s="132"/>
      <c r="DI573" s="132"/>
      <c r="DJ573" s="132"/>
      <c r="DK573" s="132"/>
      <c r="DL573" s="132"/>
      <c r="DM573" s="132"/>
      <c r="DN573" s="132"/>
      <c r="DO573" s="132"/>
      <c r="DP573" s="132"/>
      <c r="DQ573" s="132"/>
      <c r="DR573" s="132"/>
      <c r="DS573" s="132"/>
      <c r="DT573" s="132"/>
      <c r="DU573" s="132"/>
      <c r="DV573" s="132"/>
      <c r="DW573" s="132"/>
      <c r="DX573" s="132"/>
      <c r="DY573" s="132"/>
      <c r="DZ573" s="132"/>
      <c r="EA573" s="132"/>
      <c r="EB573" s="132"/>
      <c r="EC573" s="132"/>
      <c r="ED573" s="132"/>
      <c r="EE573" s="132"/>
      <c r="EF573" s="132"/>
      <c r="EG573" s="132"/>
      <c r="EH573" s="132"/>
      <c r="EI573" s="132"/>
      <c r="EJ573" s="132"/>
      <c r="EK573" s="132"/>
      <c r="EL573" s="132"/>
      <c r="EM573" s="132"/>
      <c r="EN573" s="132"/>
      <c r="EO573" s="132"/>
      <c r="EP573" s="132"/>
      <c r="EQ573" s="132"/>
      <c r="ER573" s="132"/>
      <c r="ES573" s="132"/>
      <c r="ET573" s="11"/>
      <c r="EU573" s="11"/>
      <c r="EV573" s="11"/>
      <c r="EW573" s="11"/>
      <c r="EX573" s="11"/>
      <c r="EY573" s="11"/>
      <c r="EZ573" s="11"/>
      <c r="FA573" s="11"/>
      <c r="FB573" s="11"/>
      <c r="FC573" s="11"/>
      <c r="FD573" s="11"/>
      <c r="FE573" s="11"/>
      <c r="FF573" s="11"/>
      <c r="FG573" s="11"/>
      <c r="FH573" s="39">
        <f t="shared" si="126"/>
        <v>1167480</v>
      </c>
      <c r="FI573" s="33">
        <f t="shared" si="127"/>
        <v>2</v>
      </c>
      <c r="FJ573" s="84">
        <f t="shared" si="128"/>
        <v>583740</v>
      </c>
    </row>
    <row r="574" spans="1:166" x14ac:dyDescent="0.25">
      <c r="A574" s="79" t="e">
        <f>#REF!</f>
        <v>#REF!</v>
      </c>
      <c r="B574" s="75" t="e">
        <f>#REF!</f>
        <v>#REF!</v>
      </c>
      <c r="C574" s="75" t="e">
        <f>#REF!</f>
        <v>#REF!</v>
      </c>
      <c r="D574" s="75" t="e">
        <f>#REF!</f>
        <v>#REF!</v>
      </c>
      <c r="E574" s="30">
        <v>1</v>
      </c>
      <c r="F574" s="238">
        <v>0</v>
      </c>
      <c r="G574" s="241">
        <v>0</v>
      </c>
      <c r="H574" s="249">
        <v>379312.5</v>
      </c>
      <c r="I574" s="249">
        <v>0</v>
      </c>
      <c r="J574" s="249">
        <v>322756.25</v>
      </c>
      <c r="K574" s="249">
        <v>0</v>
      </c>
      <c r="L574" s="274">
        <f>AVERAGE(H574,J574)</f>
        <v>351034.375</v>
      </c>
      <c r="M574" s="274"/>
      <c r="N574" s="245"/>
      <c r="O574" s="113"/>
      <c r="P574" s="113"/>
      <c r="Q574" s="131"/>
      <c r="R574" s="131"/>
      <c r="S574" s="64"/>
      <c r="T574" s="113"/>
      <c r="U574" s="113"/>
      <c r="V574" s="113"/>
      <c r="W574" s="131"/>
      <c r="X574" s="131"/>
      <c r="Y574" s="11"/>
      <c r="Z574" s="113"/>
      <c r="AA574" s="113"/>
      <c r="AB574" s="113"/>
      <c r="AC574" s="52"/>
      <c r="AD574" s="52"/>
      <c r="AE574" s="11"/>
      <c r="AF574" s="118"/>
      <c r="AG574" s="144"/>
      <c r="AH574" s="113"/>
      <c r="AI574" s="11"/>
      <c r="AJ574" s="11"/>
      <c r="AK574" s="39"/>
      <c r="AL574" s="113"/>
      <c r="AM574" s="113"/>
      <c r="AN574" s="117"/>
      <c r="AO574" s="76"/>
      <c r="AP574" s="39"/>
      <c r="AQ574" s="39"/>
      <c r="AR574" s="275"/>
      <c r="AS574" s="275"/>
      <c r="AT574" s="275"/>
      <c r="AU574" s="48"/>
      <c r="AV574" s="62"/>
      <c r="AW574" s="11"/>
      <c r="AX574" s="116"/>
      <c r="AY574" s="196"/>
      <c r="AZ574" s="143"/>
      <c r="BA574" s="191"/>
      <c r="BB574" s="132"/>
      <c r="BC574" s="132"/>
      <c r="BD574" s="274"/>
      <c r="BE574" s="274"/>
      <c r="BF574" s="274"/>
      <c r="BG574" s="274"/>
      <c r="BH574" s="132"/>
      <c r="BI574" s="132"/>
      <c r="BJ574" s="143"/>
      <c r="BK574" s="143"/>
      <c r="BL574" s="143"/>
      <c r="BM574" s="132"/>
      <c r="BN574" s="132"/>
      <c r="BO574" s="132"/>
      <c r="BP574" s="143"/>
      <c r="BQ574" s="132"/>
      <c r="BR574" s="132"/>
      <c r="BS574" s="132"/>
      <c r="BT574" s="132"/>
      <c r="BU574" s="132"/>
      <c r="BV574" s="210"/>
      <c r="BW574" s="144"/>
      <c r="BX574" s="113"/>
      <c r="BY574" s="273"/>
      <c r="BZ574" s="273"/>
      <c r="CA574" s="132"/>
      <c r="CB574" s="274"/>
      <c r="CC574" s="144"/>
      <c r="CD574" s="274"/>
      <c r="CE574" s="132"/>
      <c r="CF574" s="132"/>
      <c r="CG574" s="36"/>
      <c r="CH574" s="210"/>
      <c r="CI574" s="219"/>
      <c r="CJ574" s="210"/>
      <c r="CK574" s="273"/>
      <c r="CL574" s="273"/>
      <c r="CM574" s="132"/>
      <c r="CN574" s="274"/>
      <c r="CO574" s="144"/>
      <c r="CP574" s="274"/>
      <c r="CQ574" s="132"/>
      <c r="CR574" s="132"/>
      <c r="CS574" s="132"/>
      <c r="CT574" s="274"/>
      <c r="CU574" s="144"/>
      <c r="CV574" s="274"/>
      <c r="CW574" s="132"/>
      <c r="CX574" s="132"/>
      <c r="CY574" s="132"/>
      <c r="CZ574" s="118"/>
      <c r="DA574" s="144"/>
      <c r="DB574" s="118"/>
      <c r="DC574" s="33"/>
      <c r="DD574" s="39"/>
      <c r="DE574" s="11"/>
      <c r="DF574" s="132"/>
      <c r="DG574" s="132"/>
      <c r="DH574" s="132"/>
      <c r="DI574" s="132"/>
      <c r="DJ574" s="132"/>
      <c r="DK574" s="132"/>
      <c r="DL574" s="132"/>
      <c r="DM574" s="132"/>
      <c r="DN574" s="132"/>
      <c r="DO574" s="132"/>
      <c r="DP574" s="132"/>
      <c r="DQ574" s="132"/>
      <c r="DR574" s="132"/>
      <c r="DS574" s="132"/>
      <c r="DT574" s="132"/>
      <c r="DU574" s="132"/>
      <c r="DV574" s="132"/>
      <c r="DW574" s="132"/>
      <c r="DX574" s="132"/>
      <c r="DY574" s="132"/>
      <c r="DZ574" s="132"/>
      <c r="EA574" s="132"/>
      <c r="EB574" s="132"/>
      <c r="EC574" s="132"/>
      <c r="ED574" s="132"/>
      <c r="EE574" s="132"/>
      <c r="EF574" s="132"/>
      <c r="EG574" s="132"/>
      <c r="EH574" s="132"/>
      <c r="EI574" s="132"/>
      <c r="EJ574" s="132"/>
      <c r="EK574" s="132"/>
      <c r="EL574" s="132"/>
      <c r="EM574" s="132"/>
      <c r="EN574" s="132"/>
      <c r="EO574" s="132"/>
      <c r="EP574" s="132"/>
      <c r="EQ574" s="132"/>
      <c r="ER574" s="132"/>
      <c r="ES574" s="132"/>
      <c r="ET574" s="11"/>
      <c r="EU574" s="11"/>
      <c r="EV574" s="11"/>
      <c r="EW574" s="11"/>
      <c r="EX574" s="11"/>
      <c r="EY574" s="11"/>
      <c r="EZ574" s="11"/>
      <c r="FA574" s="11"/>
      <c r="FB574" s="11"/>
      <c r="FC574" s="11"/>
      <c r="FD574" s="11"/>
      <c r="FE574" s="11"/>
      <c r="FF574" s="11"/>
      <c r="FG574" s="11"/>
      <c r="FH574" s="39">
        <f t="shared" si="126"/>
        <v>0</v>
      </c>
      <c r="FI574" s="33">
        <f t="shared" si="127"/>
        <v>0</v>
      </c>
      <c r="FJ574" s="84" t="str">
        <f t="shared" si="128"/>
        <v xml:space="preserve"> </v>
      </c>
    </row>
    <row r="575" spans="1:166" x14ac:dyDescent="0.25">
      <c r="A575" s="79" t="e">
        <f>#REF!</f>
        <v>#REF!</v>
      </c>
      <c r="B575" s="75" t="e">
        <f>#REF!</f>
        <v>#REF!</v>
      </c>
      <c r="C575" s="75" t="e">
        <f>#REF!</f>
        <v>#REF!</v>
      </c>
      <c r="D575" s="75" t="e">
        <f>#REF!</f>
        <v>#REF!</v>
      </c>
      <c r="E575" s="30">
        <v>1</v>
      </c>
      <c r="F575" s="238">
        <v>0</v>
      </c>
      <c r="G575" s="241">
        <v>0</v>
      </c>
      <c r="H575" s="249">
        <v>419475</v>
      </c>
      <c r="I575" s="249">
        <v>0</v>
      </c>
      <c r="J575" s="249">
        <v>310337.5</v>
      </c>
      <c r="K575" s="249">
        <v>0</v>
      </c>
      <c r="L575" s="274">
        <f>AVERAGE(H575,J575)</f>
        <v>364906.25</v>
      </c>
      <c r="M575" s="274"/>
      <c r="N575" s="245"/>
      <c r="O575" s="113"/>
      <c r="P575" s="113"/>
      <c r="Q575" s="131"/>
      <c r="R575" s="131"/>
      <c r="S575" s="64"/>
      <c r="T575" s="113"/>
      <c r="U575" s="113"/>
      <c r="V575" s="113"/>
      <c r="W575" s="131"/>
      <c r="X575" s="131"/>
      <c r="Y575" s="11"/>
      <c r="Z575" s="113"/>
      <c r="AA575" s="113"/>
      <c r="AB575" s="113"/>
      <c r="AC575" s="52"/>
      <c r="AD575" s="52"/>
      <c r="AE575" s="11"/>
      <c r="AF575" s="118"/>
      <c r="AG575" s="144"/>
      <c r="AH575" s="113"/>
      <c r="AI575" s="11"/>
      <c r="AJ575" s="11"/>
      <c r="AK575" s="39"/>
      <c r="AL575" s="113"/>
      <c r="AM575" s="113"/>
      <c r="AN575" s="117"/>
      <c r="AO575" s="76"/>
      <c r="AP575" s="39"/>
      <c r="AQ575" s="39"/>
      <c r="AR575" s="275"/>
      <c r="AS575" s="275"/>
      <c r="AT575" s="275"/>
      <c r="AU575" s="48"/>
      <c r="AV575" s="62"/>
      <c r="AW575" s="11"/>
      <c r="AX575" s="116"/>
      <c r="AY575" s="196"/>
      <c r="AZ575" s="143"/>
      <c r="BA575" s="191"/>
      <c r="BB575" s="132"/>
      <c r="BC575" s="132"/>
      <c r="BD575" s="274"/>
      <c r="BE575" s="274"/>
      <c r="BF575" s="274"/>
      <c r="BG575" s="274"/>
      <c r="BH575" s="132"/>
      <c r="BI575" s="132"/>
      <c r="BJ575" s="143"/>
      <c r="BK575" s="143"/>
      <c r="BL575" s="143"/>
      <c r="BM575" s="132"/>
      <c r="BN575" s="132"/>
      <c r="BO575" s="132"/>
      <c r="BP575" s="143"/>
      <c r="BQ575" s="132"/>
      <c r="BR575" s="132"/>
      <c r="BS575" s="132"/>
      <c r="BT575" s="132"/>
      <c r="BU575" s="132"/>
      <c r="BV575" s="210"/>
      <c r="BW575" s="144"/>
      <c r="BX575" s="113"/>
      <c r="BY575" s="273"/>
      <c r="BZ575" s="273"/>
      <c r="CA575" s="132"/>
      <c r="CB575" s="274"/>
      <c r="CC575" s="144"/>
      <c r="CD575" s="274"/>
      <c r="CE575" s="132"/>
      <c r="CF575" s="132"/>
      <c r="CG575" s="36"/>
      <c r="CH575" s="210"/>
      <c r="CI575" s="219"/>
      <c r="CJ575" s="210"/>
      <c r="CK575" s="273"/>
      <c r="CL575" s="273"/>
      <c r="CM575" s="132"/>
      <c r="CN575" s="274"/>
      <c r="CO575" s="144"/>
      <c r="CP575" s="274"/>
      <c r="CQ575" s="132"/>
      <c r="CR575" s="132"/>
      <c r="CS575" s="132"/>
      <c r="CT575" s="274"/>
      <c r="CU575" s="144"/>
      <c r="CV575" s="274"/>
      <c r="CW575" s="132"/>
      <c r="CX575" s="132"/>
      <c r="CY575" s="132"/>
      <c r="CZ575" s="118"/>
      <c r="DA575" s="144"/>
      <c r="DB575" s="118"/>
      <c r="DC575" s="33"/>
      <c r="DD575" s="39"/>
      <c r="DE575" s="11"/>
      <c r="DF575" s="132"/>
      <c r="DG575" s="132"/>
      <c r="DH575" s="132"/>
      <c r="DI575" s="132"/>
      <c r="DJ575" s="132"/>
      <c r="DK575" s="132"/>
      <c r="DL575" s="132"/>
      <c r="DM575" s="132"/>
      <c r="DN575" s="132"/>
      <c r="DO575" s="132"/>
      <c r="DP575" s="132"/>
      <c r="DQ575" s="132"/>
      <c r="DR575" s="132"/>
      <c r="DS575" s="132"/>
      <c r="DT575" s="132"/>
      <c r="DU575" s="132"/>
      <c r="DV575" s="132"/>
      <c r="DW575" s="132"/>
      <c r="DX575" s="132"/>
      <c r="DY575" s="132"/>
      <c r="DZ575" s="132"/>
      <c r="EA575" s="132"/>
      <c r="EB575" s="132"/>
      <c r="EC575" s="132"/>
      <c r="ED575" s="132"/>
      <c r="EE575" s="132"/>
      <c r="EF575" s="132"/>
      <c r="EG575" s="132"/>
      <c r="EH575" s="132"/>
      <c r="EI575" s="132"/>
      <c r="EJ575" s="132"/>
      <c r="EK575" s="132"/>
      <c r="EL575" s="132"/>
      <c r="EM575" s="132"/>
      <c r="EN575" s="132"/>
      <c r="EO575" s="132"/>
      <c r="EP575" s="132"/>
      <c r="EQ575" s="132"/>
      <c r="ER575" s="132"/>
      <c r="ES575" s="132"/>
      <c r="ET575" s="11"/>
      <c r="EU575" s="11"/>
      <c r="EV575" s="11"/>
      <c r="EW575" s="11"/>
      <c r="EX575" s="11"/>
      <c r="EY575" s="11"/>
      <c r="EZ575" s="11"/>
      <c r="FA575" s="11"/>
      <c r="FB575" s="11"/>
      <c r="FC575" s="11"/>
      <c r="FD575" s="11"/>
      <c r="FE575" s="11"/>
      <c r="FF575" s="11"/>
      <c r="FG575" s="11"/>
      <c r="FH575" s="39">
        <f t="shared" si="126"/>
        <v>0</v>
      </c>
      <c r="FI575" s="33">
        <f t="shared" si="127"/>
        <v>0</v>
      </c>
      <c r="FJ575" s="84" t="str">
        <f t="shared" si="128"/>
        <v xml:space="preserve"> </v>
      </c>
    </row>
    <row r="576" spans="1:166" x14ac:dyDescent="0.25">
      <c r="A576" s="79" t="e">
        <f>#REF!</f>
        <v>#REF!</v>
      </c>
      <c r="B576" s="75" t="e">
        <f>#REF!</f>
        <v>#REF!</v>
      </c>
      <c r="C576" s="75" t="e">
        <f>#REF!</f>
        <v>#REF!</v>
      </c>
      <c r="D576" s="75" t="e">
        <f>#REF!</f>
        <v>#REF!</v>
      </c>
      <c r="E576" s="30">
        <v>1</v>
      </c>
      <c r="F576" s="238">
        <v>0</v>
      </c>
      <c r="G576" s="241">
        <v>0</v>
      </c>
      <c r="H576" s="249">
        <v>844900</v>
      </c>
      <c r="I576" s="249">
        <v>0</v>
      </c>
      <c r="J576" s="249">
        <v>1013582.5</v>
      </c>
      <c r="K576" s="249">
        <v>0</v>
      </c>
      <c r="L576" s="274">
        <f>AVERAGE(H576,J576)</f>
        <v>929241.25</v>
      </c>
      <c r="M576" s="274"/>
      <c r="N576" s="245"/>
      <c r="O576" s="113"/>
      <c r="P576" s="113"/>
      <c r="Q576" s="131"/>
      <c r="R576" s="131"/>
      <c r="S576" s="64"/>
      <c r="T576" s="113">
        <v>958000</v>
      </c>
      <c r="U576" s="113">
        <f>+T576*0.19</f>
        <v>182020</v>
      </c>
      <c r="V576" s="113">
        <f>+T576+U576</f>
        <v>1140020</v>
      </c>
      <c r="W576" s="131" t="s">
        <v>482</v>
      </c>
      <c r="X576" s="131" t="s">
        <v>138</v>
      </c>
      <c r="Y576" s="11"/>
      <c r="Z576" s="113"/>
      <c r="AA576" s="113"/>
      <c r="AB576" s="113"/>
      <c r="AC576" s="52"/>
      <c r="AD576" s="52"/>
      <c r="AE576" s="11"/>
      <c r="AF576" s="118"/>
      <c r="AG576" s="144"/>
      <c r="AH576" s="113"/>
      <c r="AI576" s="11"/>
      <c r="AJ576" s="11"/>
      <c r="AK576" s="39"/>
      <c r="AL576" s="113"/>
      <c r="AM576" s="113"/>
      <c r="AN576" s="117"/>
      <c r="AO576" s="76"/>
      <c r="AP576" s="39"/>
      <c r="AQ576" s="39"/>
      <c r="AR576" s="275"/>
      <c r="AS576" s="275"/>
      <c r="AT576" s="275"/>
      <c r="AU576" s="48"/>
      <c r="AV576" s="62"/>
      <c r="AW576" s="11"/>
      <c r="AX576" s="116"/>
      <c r="AY576" s="196"/>
      <c r="AZ576" s="143"/>
      <c r="BA576" s="191"/>
      <c r="BB576" s="132"/>
      <c r="BC576" s="132"/>
      <c r="BD576" s="274"/>
      <c r="BE576" s="143"/>
      <c r="BF576" s="143"/>
      <c r="BG576" s="132"/>
      <c r="BH576" s="132"/>
      <c r="BI576" s="132"/>
      <c r="BJ576" s="143"/>
      <c r="BK576" s="143"/>
      <c r="BL576" s="143"/>
      <c r="BM576" s="132"/>
      <c r="BN576" s="132"/>
      <c r="BO576" s="132"/>
      <c r="BP576" s="143"/>
      <c r="BQ576" s="132"/>
      <c r="BR576" s="132"/>
      <c r="BS576" s="132"/>
      <c r="BT576" s="132"/>
      <c r="BU576" s="132"/>
      <c r="BV576" s="210"/>
      <c r="BW576" s="144"/>
      <c r="BX576" s="113"/>
      <c r="BY576" s="273"/>
      <c r="BZ576" s="273"/>
      <c r="CA576" s="132"/>
      <c r="CB576" s="274"/>
      <c r="CC576" s="144"/>
      <c r="CD576" s="274"/>
      <c r="CE576" s="132"/>
      <c r="CF576" s="132"/>
      <c r="CG576" s="36"/>
      <c r="CH576" s="210"/>
      <c r="CI576" s="219"/>
      <c r="CJ576" s="210"/>
      <c r="CK576" s="273"/>
      <c r="CL576" s="273"/>
      <c r="CM576" s="132"/>
      <c r="CN576" s="274"/>
      <c r="CO576" s="144"/>
      <c r="CP576" s="274"/>
      <c r="CQ576" s="132"/>
      <c r="CR576" s="132"/>
      <c r="CS576" s="132"/>
      <c r="CT576" s="274"/>
      <c r="CU576" s="144"/>
      <c r="CV576" s="274"/>
      <c r="CW576" s="132"/>
      <c r="CX576" s="132"/>
      <c r="CY576" s="132"/>
      <c r="CZ576" s="118"/>
      <c r="DA576" s="144"/>
      <c r="DB576" s="118"/>
      <c r="DC576" s="33"/>
      <c r="DD576" s="39"/>
      <c r="DE576" s="11"/>
      <c r="DF576" s="132"/>
      <c r="DG576" s="132"/>
      <c r="DH576" s="132"/>
      <c r="DI576" s="132"/>
      <c r="DJ576" s="132"/>
      <c r="DK576" s="132"/>
      <c r="DL576" s="132"/>
      <c r="DM576" s="132"/>
      <c r="DN576" s="132"/>
      <c r="DO576" s="132"/>
      <c r="DP576" s="132"/>
      <c r="DQ576" s="132"/>
      <c r="DR576" s="132"/>
      <c r="DS576" s="132"/>
      <c r="DT576" s="132"/>
      <c r="DU576" s="132"/>
      <c r="DV576" s="132"/>
      <c r="DW576" s="132"/>
      <c r="DX576" s="132"/>
      <c r="DY576" s="132"/>
      <c r="DZ576" s="132"/>
      <c r="EA576" s="132"/>
      <c r="EB576" s="132"/>
      <c r="EC576" s="132"/>
      <c r="ED576" s="132"/>
      <c r="EE576" s="132"/>
      <c r="EF576" s="132"/>
      <c r="EG576" s="132"/>
      <c r="EH576" s="132"/>
      <c r="EI576" s="132"/>
      <c r="EJ576" s="132"/>
      <c r="EK576" s="132"/>
      <c r="EL576" s="132"/>
      <c r="EM576" s="132"/>
      <c r="EN576" s="132"/>
      <c r="EO576" s="132"/>
      <c r="EP576" s="132"/>
      <c r="EQ576" s="132"/>
      <c r="ER576" s="132"/>
      <c r="ES576" s="132"/>
      <c r="ET576" s="11"/>
      <c r="EU576" s="11"/>
      <c r="EV576" s="11"/>
      <c r="EW576" s="11"/>
      <c r="EX576" s="11"/>
      <c r="EY576" s="11"/>
      <c r="EZ576" s="11"/>
      <c r="FA576" s="11"/>
      <c r="FB576" s="11"/>
      <c r="FC576" s="11"/>
      <c r="FD576" s="11"/>
      <c r="FE576" s="11"/>
      <c r="FF576" s="11"/>
      <c r="FG576" s="11"/>
      <c r="FH576" s="39">
        <f t="shared" si="126"/>
        <v>1140020</v>
      </c>
      <c r="FI576" s="33">
        <f t="shared" si="127"/>
        <v>1</v>
      </c>
      <c r="FJ576" s="84">
        <f t="shared" si="128"/>
        <v>1140020</v>
      </c>
    </row>
    <row r="577" spans="1:166" x14ac:dyDescent="0.25">
      <c r="A577" s="79" t="e">
        <f>#REF!</f>
        <v>#REF!</v>
      </c>
      <c r="B577" s="75" t="e">
        <f>#REF!</f>
        <v>#REF!</v>
      </c>
      <c r="C577" s="75" t="e">
        <f>#REF!</f>
        <v>#REF!</v>
      </c>
      <c r="D577" s="75" t="e">
        <f>#REF!</f>
        <v>#REF!</v>
      </c>
      <c r="E577" s="30">
        <v>1</v>
      </c>
      <c r="F577" s="238">
        <v>0</v>
      </c>
      <c r="G577" s="241">
        <v>0</v>
      </c>
      <c r="H577" s="249">
        <v>744493.75</v>
      </c>
      <c r="I577" s="249">
        <v>0</v>
      </c>
      <c r="J577" s="249">
        <v>263250</v>
      </c>
      <c r="K577" s="249">
        <v>0</v>
      </c>
      <c r="L577" s="274">
        <f>AVERAGE(H577,J577)</f>
        <v>503871.875</v>
      </c>
      <c r="M577" s="274"/>
      <c r="N577" s="245"/>
      <c r="O577" s="113"/>
      <c r="P577" s="113"/>
      <c r="Q577" s="131"/>
      <c r="R577" s="131"/>
      <c r="S577" s="64"/>
      <c r="T577" s="113"/>
      <c r="U577" s="113"/>
      <c r="V577" s="113"/>
      <c r="W577" s="131"/>
      <c r="X577" s="131"/>
      <c r="Y577" s="11"/>
      <c r="Z577" s="113"/>
      <c r="AA577" s="113"/>
      <c r="AB577" s="113"/>
      <c r="AC577" s="52"/>
      <c r="AD577" s="52"/>
      <c r="AE577" s="11"/>
      <c r="AF577" s="118"/>
      <c r="AG577" s="144"/>
      <c r="AH577" s="113"/>
      <c r="AI577" s="11"/>
      <c r="AJ577" s="11"/>
      <c r="AK577" s="39"/>
      <c r="AL577" s="113"/>
      <c r="AM577" s="113"/>
      <c r="AN577" s="117"/>
      <c r="AO577" s="76"/>
      <c r="AP577" s="39"/>
      <c r="AQ577" s="39"/>
      <c r="AR577" s="275"/>
      <c r="AS577" s="275"/>
      <c r="AT577" s="275"/>
      <c r="AU577" s="62"/>
      <c r="AV577" s="62"/>
      <c r="AW577" s="11"/>
      <c r="AX577" s="116"/>
      <c r="AY577" s="196"/>
      <c r="AZ577" s="143"/>
      <c r="BA577" s="191"/>
      <c r="BB577" s="132"/>
      <c r="BC577" s="132"/>
      <c r="BD577" s="274"/>
      <c r="BE577" s="274"/>
      <c r="BF577" s="274"/>
      <c r="BG577" s="274"/>
      <c r="BH577" s="132"/>
      <c r="BI577" s="132"/>
      <c r="BJ577" s="143"/>
      <c r="BK577" s="143"/>
      <c r="BL577" s="143"/>
      <c r="BM577" s="132"/>
      <c r="BN577" s="132"/>
      <c r="BO577" s="132"/>
      <c r="BP577" s="143"/>
      <c r="BQ577" s="132"/>
      <c r="BR577" s="132"/>
      <c r="BS577" s="132"/>
      <c r="BT577" s="132"/>
      <c r="BU577" s="132"/>
      <c r="BV577" s="210"/>
      <c r="BW577" s="144"/>
      <c r="BX577" s="113"/>
      <c r="BY577" s="273"/>
      <c r="BZ577" s="273"/>
      <c r="CA577" s="132"/>
      <c r="CB577" s="274"/>
      <c r="CC577" s="144"/>
      <c r="CD577" s="274"/>
      <c r="CE577" s="132"/>
      <c r="CF577" s="132"/>
      <c r="CG577" s="36"/>
      <c r="CH577" s="210"/>
      <c r="CI577" s="219"/>
      <c r="CJ577" s="210"/>
      <c r="CK577" s="273"/>
      <c r="CL577" s="273"/>
      <c r="CM577" s="132"/>
      <c r="CN577" s="274"/>
      <c r="CO577" s="144"/>
      <c r="CP577" s="274"/>
      <c r="CQ577" s="132"/>
      <c r="CR577" s="132"/>
      <c r="CS577" s="132"/>
      <c r="CT577" s="274"/>
      <c r="CU577" s="144"/>
      <c r="CV577" s="274"/>
      <c r="CW577" s="132"/>
      <c r="CX577" s="132"/>
      <c r="CY577" s="132"/>
      <c r="CZ577" s="118"/>
      <c r="DA577" s="144"/>
      <c r="DB577" s="118"/>
      <c r="DC577" s="33"/>
      <c r="DD577" s="39"/>
      <c r="DE577" s="11"/>
      <c r="DF577" s="132"/>
      <c r="DG577" s="132"/>
      <c r="DH577" s="132"/>
      <c r="DI577" s="132"/>
      <c r="DJ577" s="132"/>
      <c r="DK577" s="132"/>
      <c r="DL577" s="132"/>
      <c r="DM577" s="132"/>
      <c r="DN577" s="132"/>
      <c r="DO577" s="132"/>
      <c r="DP577" s="132"/>
      <c r="DQ577" s="132"/>
      <c r="DR577" s="132"/>
      <c r="DS577" s="132"/>
      <c r="DT577" s="132"/>
      <c r="DU577" s="132"/>
      <c r="DV577" s="132"/>
      <c r="DW577" s="132"/>
      <c r="DX577" s="132"/>
      <c r="DY577" s="132"/>
      <c r="DZ577" s="132"/>
      <c r="EA577" s="132"/>
      <c r="EB577" s="132"/>
      <c r="EC577" s="132"/>
      <c r="ED577" s="132"/>
      <c r="EE577" s="132"/>
      <c r="EF577" s="132"/>
      <c r="EG577" s="132"/>
      <c r="EH577" s="132"/>
      <c r="EI577" s="132"/>
      <c r="EJ577" s="132"/>
      <c r="EK577" s="132"/>
      <c r="EL577" s="132"/>
      <c r="EM577" s="132"/>
      <c r="EN577" s="132"/>
      <c r="EO577" s="132"/>
      <c r="EP577" s="132"/>
      <c r="EQ577" s="132"/>
      <c r="ER577" s="132"/>
      <c r="ES577" s="132"/>
      <c r="ET577" s="11"/>
      <c r="EU577" s="11"/>
      <c r="EV577" s="11"/>
      <c r="EW577" s="11"/>
      <c r="EX577" s="11"/>
      <c r="EY577" s="11"/>
      <c r="EZ577" s="11"/>
      <c r="FA577" s="11"/>
      <c r="FB577" s="11"/>
      <c r="FC577" s="11"/>
      <c r="FD577" s="11"/>
      <c r="FE577" s="11"/>
      <c r="FF577" s="11"/>
      <c r="FG577" s="11"/>
      <c r="FH577" s="39">
        <f t="shared" si="126"/>
        <v>0</v>
      </c>
      <c r="FI577" s="33">
        <f t="shared" si="127"/>
        <v>0</v>
      </c>
      <c r="FJ577" s="84" t="str">
        <f t="shared" si="128"/>
        <v xml:space="preserve"> </v>
      </c>
    </row>
    <row r="578" spans="1:166" ht="40.5" x14ac:dyDescent="0.25">
      <c r="A578" s="79" t="e">
        <f>#REF!</f>
        <v>#REF!</v>
      </c>
      <c r="B578" s="75" t="e">
        <f>#REF!</f>
        <v>#REF!</v>
      </c>
      <c r="C578" s="75" t="e">
        <f>#REF!</f>
        <v>#REF!</v>
      </c>
      <c r="D578" s="75" t="e">
        <f>#REF!</f>
        <v>#REF!</v>
      </c>
      <c r="E578" s="30">
        <v>1</v>
      </c>
      <c r="F578" s="238">
        <v>0</v>
      </c>
      <c r="G578" s="241">
        <v>0</v>
      </c>
      <c r="H578" s="249">
        <v>0</v>
      </c>
      <c r="I578" s="249">
        <v>0</v>
      </c>
      <c r="J578" s="249">
        <v>0</v>
      </c>
      <c r="K578" s="249">
        <v>0</v>
      </c>
      <c r="L578" s="274"/>
      <c r="M578" s="274"/>
      <c r="N578" s="245"/>
      <c r="O578" s="113"/>
      <c r="P578" s="113"/>
      <c r="Q578" s="131"/>
      <c r="R578" s="131"/>
      <c r="S578" s="64"/>
      <c r="T578" s="113"/>
      <c r="U578" s="113"/>
      <c r="V578" s="113"/>
      <c r="W578" s="131"/>
      <c r="X578" s="131"/>
      <c r="Y578" s="11"/>
      <c r="Z578" s="113"/>
      <c r="AA578" s="113"/>
      <c r="AB578" s="113"/>
      <c r="AC578" s="52"/>
      <c r="AD578" s="52"/>
      <c r="AE578" s="11"/>
      <c r="AF578" s="118"/>
      <c r="AG578" s="144"/>
      <c r="AH578" s="113"/>
      <c r="AI578" s="11"/>
      <c r="AJ578" s="11"/>
      <c r="AK578" s="39"/>
      <c r="AL578" s="113"/>
      <c r="AM578" s="113"/>
      <c r="AN578" s="147"/>
      <c r="AO578" s="76"/>
      <c r="AP578" s="39"/>
      <c r="AQ578" s="39"/>
      <c r="AR578" s="275">
        <v>453600</v>
      </c>
      <c r="AS578" s="143">
        <f>+AR578*0.19</f>
        <v>86184</v>
      </c>
      <c r="AT578" s="116">
        <f>+AR578+AS578</f>
        <v>539784</v>
      </c>
      <c r="AU578" s="62" t="s">
        <v>34</v>
      </c>
      <c r="AV578" s="62" t="s">
        <v>35</v>
      </c>
      <c r="AW578" s="11"/>
      <c r="AX578" s="116"/>
      <c r="AY578" s="196"/>
      <c r="AZ578" s="143"/>
      <c r="BA578" s="191"/>
      <c r="BB578" s="132"/>
      <c r="BC578" s="132"/>
      <c r="BD578" s="274"/>
      <c r="BE578" s="143"/>
      <c r="BF578" s="143"/>
      <c r="BG578" s="132"/>
      <c r="BH578" s="132"/>
      <c r="BI578" s="132"/>
      <c r="BJ578" s="143"/>
      <c r="BK578" s="143"/>
      <c r="BL578" s="143"/>
      <c r="BM578" s="132"/>
      <c r="BN578" s="132"/>
      <c r="BO578" s="132"/>
      <c r="BP578" s="143"/>
      <c r="BQ578" s="132"/>
      <c r="BR578" s="132"/>
      <c r="BS578" s="132"/>
      <c r="BT578" s="132"/>
      <c r="BU578" s="132"/>
      <c r="BV578" s="263">
        <v>1140000</v>
      </c>
      <c r="BW578" s="144">
        <f>BV578*19%</f>
        <v>216600</v>
      </c>
      <c r="BX578" s="113">
        <f>+BV578+BW578</f>
        <v>1356600</v>
      </c>
      <c r="BY578" s="264" t="s">
        <v>340</v>
      </c>
      <c r="BZ578" s="264" t="s">
        <v>75</v>
      </c>
      <c r="CA578" s="132"/>
      <c r="CB578" s="274">
        <v>229500</v>
      </c>
      <c r="CC578" s="144">
        <f>+CB578*19%</f>
        <v>43605</v>
      </c>
      <c r="CD578" s="274">
        <f>+CC578+CB578</f>
        <v>273105</v>
      </c>
      <c r="CE578" s="132"/>
      <c r="CF578" s="132"/>
      <c r="CG578" s="36"/>
      <c r="CH578" s="263"/>
      <c r="CI578" s="265"/>
      <c r="CJ578" s="263"/>
      <c r="CK578" s="264"/>
      <c r="CL578" s="264"/>
      <c r="CM578" s="132"/>
      <c r="CN578" s="274"/>
      <c r="CO578" s="144"/>
      <c r="CP578" s="274"/>
      <c r="CQ578" s="132"/>
      <c r="CR578" s="132"/>
      <c r="CS578" s="132"/>
      <c r="CT578" s="274"/>
      <c r="CU578" s="144"/>
      <c r="CV578" s="274"/>
      <c r="CW578" s="132"/>
      <c r="CX578" s="132"/>
      <c r="CY578" s="132"/>
      <c r="CZ578" s="118"/>
      <c r="DA578" s="144"/>
      <c r="DB578" s="118"/>
      <c r="DC578" s="33"/>
      <c r="DD578" s="39"/>
      <c r="DE578" s="11"/>
      <c r="DF578" s="132"/>
      <c r="DG578" s="132"/>
      <c r="DH578" s="132"/>
      <c r="DI578" s="132"/>
      <c r="DJ578" s="132"/>
      <c r="DK578" s="132"/>
      <c r="DL578" s="132"/>
      <c r="DM578" s="132"/>
      <c r="DN578" s="132"/>
      <c r="DO578" s="132"/>
      <c r="DP578" s="132"/>
      <c r="DQ578" s="132"/>
      <c r="DR578" s="132"/>
      <c r="DS578" s="132"/>
      <c r="DT578" s="132"/>
      <c r="DU578" s="132"/>
      <c r="DV578" s="132"/>
      <c r="DW578" s="132"/>
      <c r="DX578" s="132"/>
      <c r="DY578" s="132"/>
      <c r="DZ578" s="132"/>
      <c r="EA578" s="132"/>
      <c r="EB578" s="132"/>
      <c r="EC578" s="132"/>
      <c r="ED578" s="132"/>
      <c r="EE578" s="132"/>
      <c r="EF578" s="132"/>
      <c r="EG578" s="132"/>
      <c r="EH578" s="132"/>
      <c r="EI578" s="132"/>
      <c r="EJ578" s="132"/>
      <c r="EK578" s="132"/>
      <c r="EL578" s="132"/>
      <c r="EM578" s="132"/>
      <c r="EN578" s="132"/>
      <c r="EO578" s="132"/>
      <c r="EP578" s="132"/>
      <c r="EQ578" s="132"/>
      <c r="ER578" s="132"/>
      <c r="ES578" s="132"/>
      <c r="ET578" s="11"/>
      <c r="EU578" s="11"/>
      <c r="EV578" s="11"/>
      <c r="EW578" s="11"/>
      <c r="EX578" s="11"/>
      <c r="EY578" s="11"/>
      <c r="EZ578" s="11"/>
      <c r="FA578" s="11"/>
      <c r="FB578" s="11"/>
      <c r="FC578" s="11"/>
      <c r="FD578" s="11"/>
      <c r="FE578" s="11"/>
      <c r="FF578" s="11"/>
      <c r="FG578" s="11"/>
      <c r="FH578" s="39">
        <f t="shared" si="126"/>
        <v>2169489</v>
      </c>
      <c r="FI578" s="33">
        <f t="shared" si="127"/>
        <v>3</v>
      </c>
      <c r="FJ578" s="84">
        <f t="shared" si="128"/>
        <v>723163</v>
      </c>
    </row>
    <row r="579" spans="1:166" ht="27" x14ac:dyDescent="0.25">
      <c r="A579" s="79" t="e">
        <f>#REF!</f>
        <v>#REF!</v>
      </c>
      <c r="B579" s="75" t="e">
        <f>#REF!</f>
        <v>#REF!</v>
      </c>
      <c r="C579" s="75" t="e">
        <f>#REF!</f>
        <v>#REF!</v>
      </c>
      <c r="D579" s="75" t="e">
        <f>#REF!</f>
        <v>#REF!</v>
      </c>
      <c r="E579" s="30">
        <v>1</v>
      </c>
      <c r="F579" s="238">
        <v>521733.33333333331</v>
      </c>
      <c r="G579" s="241">
        <v>506000</v>
      </c>
      <c r="H579" s="249">
        <v>547140.81403333333</v>
      </c>
      <c r="I579" s="249">
        <v>0</v>
      </c>
      <c r="J579" s="249">
        <v>249840.16666666666</v>
      </c>
      <c r="K579" s="249">
        <v>247520</v>
      </c>
      <c r="L579" s="274">
        <f>AVERAGE(F579,H579,J579)</f>
        <v>439571.43801111117</v>
      </c>
      <c r="M579" s="274">
        <f>AVERAGE(G579,K579)*E1</f>
        <v>388062.8</v>
      </c>
      <c r="N579" s="245"/>
      <c r="O579" s="113"/>
      <c r="P579" s="113"/>
      <c r="Q579" s="131"/>
      <c r="R579" s="131"/>
      <c r="S579" s="64"/>
      <c r="T579" s="113"/>
      <c r="U579" s="113"/>
      <c r="V579" s="113"/>
      <c r="W579" s="131"/>
      <c r="X579" s="131"/>
      <c r="Y579" s="11"/>
      <c r="Z579" s="113"/>
      <c r="AA579" s="113"/>
      <c r="AB579" s="113"/>
      <c r="AC579" s="52"/>
      <c r="AD579" s="52"/>
      <c r="AE579" s="11"/>
      <c r="AF579" s="118"/>
      <c r="AG579" s="144"/>
      <c r="AH579" s="113"/>
      <c r="AI579" s="11"/>
      <c r="AJ579" s="11"/>
      <c r="AK579" s="39"/>
      <c r="AL579" s="113">
        <v>285000</v>
      </c>
      <c r="AM579" s="113">
        <f>+AL579*0.19</f>
        <v>54150</v>
      </c>
      <c r="AN579" s="119">
        <f>+AL579+AM579</f>
        <v>339150</v>
      </c>
      <c r="AO579" s="76" t="s">
        <v>34</v>
      </c>
      <c r="AP579" s="39" t="s">
        <v>483</v>
      </c>
      <c r="AQ579" s="39"/>
      <c r="AR579" s="275">
        <v>1134000</v>
      </c>
      <c r="AS579" s="143">
        <f>+AR579*0.19</f>
        <v>215460</v>
      </c>
      <c r="AT579" s="116">
        <f>+AR579+AS579</f>
        <v>1349460</v>
      </c>
      <c r="AU579" s="62" t="s">
        <v>150</v>
      </c>
      <c r="AV579" s="62" t="s">
        <v>484</v>
      </c>
      <c r="AW579" s="11"/>
      <c r="AX579" s="116"/>
      <c r="AY579" s="196"/>
      <c r="AZ579" s="143"/>
      <c r="BA579" s="191"/>
      <c r="BB579" s="132"/>
      <c r="BC579" s="132"/>
      <c r="BD579" s="274"/>
      <c r="BE579" s="274"/>
      <c r="BF579" s="274"/>
      <c r="BG579" s="274"/>
      <c r="BH579" s="132"/>
      <c r="BI579" s="132"/>
      <c r="BJ579" s="143"/>
      <c r="BK579" s="143"/>
      <c r="BL579" s="143"/>
      <c r="BM579" s="132"/>
      <c r="BN579" s="132"/>
      <c r="BO579" s="132"/>
      <c r="BP579" s="143"/>
      <c r="BQ579" s="132"/>
      <c r="BR579" s="132"/>
      <c r="BS579" s="132"/>
      <c r="BT579" s="132"/>
      <c r="BU579" s="132"/>
      <c r="BV579" s="263">
        <v>1679000</v>
      </c>
      <c r="BW579" s="144">
        <f>BV579*19%</f>
        <v>319010</v>
      </c>
      <c r="BX579" s="113">
        <f>+BV579+BW579</f>
        <v>1998010</v>
      </c>
      <c r="BY579" s="264" t="s">
        <v>337</v>
      </c>
      <c r="BZ579" s="264" t="s">
        <v>237</v>
      </c>
      <c r="CA579" s="132"/>
      <c r="CB579" s="274"/>
      <c r="CC579" s="144"/>
      <c r="CD579" s="274"/>
      <c r="CE579" s="132"/>
      <c r="CF579" s="132"/>
      <c r="CG579" s="36"/>
      <c r="CH579" s="263">
        <v>1729370</v>
      </c>
      <c r="CI579" s="265">
        <f>+CH579*0.19</f>
        <v>328580.3</v>
      </c>
      <c r="CJ579" s="263">
        <f>+CH579+CI579</f>
        <v>2057950.3</v>
      </c>
      <c r="CK579" s="264" t="s">
        <v>337</v>
      </c>
      <c r="CL579" s="264" t="s">
        <v>237</v>
      </c>
      <c r="CM579" s="132"/>
      <c r="CN579" s="274"/>
      <c r="CO579" s="144"/>
      <c r="CP579" s="274"/>
      <c r="CQ579" s="132"/>
      <c r="CR579" s="132"/>
      <c r="CS579" s="132"/>
      <c r="CT579" s="274"/>
      <c r="CU579" s="144"/>
      <c r="CV579" s="274"/>
      <c r="CW579" s="132"/>
      <c r="CX579" s="132"/>
      <c r="CY579" s="132"/>
      <c r="CZ579" s="118"/>
      <c r="DA579" s="144"/>
      <c r="DB579" s="118"/>
      <c r="DC579" s="33"/>
      <c r="DD579" s="39"/>
      <c r="DE579" s="11"/>
      <c r="DF579" s="132"/>
      <c r="DG579" s="132"/>
      <c r="DH579" s="132"/>
      <c r="DI579" s="132"/>
      <c r="DJ579" s="132"/>
      <c r="DK579" s="132"/>
      <c r="DL579" s="132"/>
      <c r="DM579" s="132"/>
      <c r="DN579" s="132"/>
      <c r="DO579" s="132"/>
      <c r="DP579" s="132"/>
      <c r="DQ579" s="132"/>
      <c r="DR579" s="132"/>
      <c r="DS579" s="132"/>
      <c r="DT579" s="132"/>
      <c r="DU579" s="132"/>
      <c r="DV579" s="132"/>
      <c r="DW579" s="132"/>
      <c r="DX579" s="132"/>
      <c r="DY579" s="132"/>
      <c r="DZ579" s="132"/>
      <c r="EA579" s="132"/>
      <c r="EB579" s="132"/>
      <c r="EC579" s="132"/>
      <c r="ED579" s="132"/>
      <c r="EE579" s="132"/>
      <c r="EF579" s="132"/>
      <c r="EG579" s="132"/>
      <c r="EH579" s="132"/>
      <c r="EI579" s="132"/>
      <c r="EJ579" s="132"/>
      <c r="EK579" s="132"/>
      <c r="EL579" s="132"/>
      <c r="EM579" s="132"/>
      <c r="EN579" s="132"/>
      <c r="EO579" s="132"/>
      <c r="EP579" s="132"/>
      <c r="EQ579" s="132"/>
      <c r="ER579" s="132"/>
      <c r="ES579" s="132"/>
      <c r="ET579" s="11"/>
      <c r="EU579" s="11"/>
      <c r="EV579" s="11"/>
      <c r="EW579" s="11"/>
      <c r="EX579" s="11"/>
      <c r="EY579" s="11"/>
      <c r="EZ579" s="11"/>
      <c r="FA579" s="11"/>
      <c r="FB579" s="11"/>
      <c r="FC579" s="11"/>
      <c r="FD579" s="11"/>
      <c r="FE579" s="11"/>
      <c r="FF579" s="11"/>
      <c r="FG579" s="11"/>
      <c r="FH579" s="39">
        <f t="shared" ref="FH579:FH642" si="151">SUM(M579,P579,V579,AB579,AH579,AN579,AT579,AZ579,BF579,BL579,BR579,BX579,CD579,CJ579,CP579,CV579,DB579,DH579,DN579,DT579,DZ579,EF579,EL579,ER579,EX579,FD579)</f>
        <v>6132633.0999999996</v>
      </c>
      <c r="FI579" s="33">
        <f t="shared" ref="FI579:FI642" si="152">COUNTA(M579,N579,T579,Z579,AF579,AL579,AR579,AX579,BD579,BJ579,BP579,BV579,CB579,CH579,CN579,CT579,CZ579,DF579,DL579,DR579,DX579,ED579,EJ579,EP579,EV579,FB579)</f>
        <v>5</v>
      </c>
      <c r="FJ579" s="84">
        <f t="shared" ref="FJ579:FJ642" si="153">IFERROR(FH579/FI579," ")</f>
        <v>1226526.6199999999</v>
      </c>
    </row>
    <row r="580" spans="1:166" ht="13.5" x14ac:dyDescent="0.25">
      <c r="A580" s="79" t="e">
        <f>#REF!</f>
        <v>#REF!</v>
      </c>
      <c r="B580" s="75" t="e">
        <f>#REF!</f>
        <v>#REF!</v>
      </c>
      <c r="C580" s="75" t="e">
        <f>#REF!</f>
        <v>#REF!</v>
      </c>
      <c r="D580" s="75" t="e">
        <f>#REF!</f>
        <v>#REF!</v>
      </c>
      <c r="E580" s="30">
        <v>1</v>
      </c>
      <c r="F580" s="238">
        <v>480000</v>
      </c>
      <c r="G580" s="241">
        <v>472800</v>
      </c>
      <c r="H580" s="249">
        <v>483681.0533333334</v>
      </c>
      <c r="I580" s="249">
        <v>0</v>
      </c>
      <c r="J580" s="249">
        <v>496440</v>
      </c>
      <c r="K580" s="249">
        <v>484330</v>
      </c>
      <c r="L580" s="274">
        <f>AVERAGE(F580,H580,J580)</f>
        <v>486707.0177777778</v>
      </c>
      <c r="M580" s="274">
        <f>AVERAGE(G580,K580)*E1</f>
        <v>492921.95</v>
      </c>
      <c r="N580" s="245"/>
      <c r="O580" s="113"/>
      <c r="P580" s="113"/>
      <c r="Q580" s="131"/>
      <c r="R580" s="131"/>
      <c r="S580" s="64"/>
      <c r="T580" s="113"/>
      <c r="U580" s="113"/>
      <c r="V580" s="113"/>
      <c r="W580" s="131"/>
      <c r="X580" s="131"/>
      <c r="Y580" s="11"/>
      <c r="Z580" s="113"/>
      <c r="AA580" s="113"/>
      <c r="AB580" s="113"/>
      <c r="AC580" s="52"/>
      <c r="AD580" s="52"/>
      <c r="AE580" s="11"/>
      <c r="AF580" s="118"/>
      <c r="AG580" s="144"/>
      <c r="AH580" s="113"/>
      <c r="AI580" s="11"/>
      <c r="AJ580" s="11"/>
      <c r="AK580" s="39"/>
      <c r="AL580" s="113"/>
      <c r="AM580" s="113"/>
      <c r="AN580" s="117"/>
      <c r="AO580" s="76"/>
      <c r="AP580" s="39"/>
      <c r="AQ580" s="39"/>
      <c r="AR580" s="275"/>
      <c r="AS580" s="275"/>
      <c r="AT580" s="275"/>
      <c r="AU580" s="62"/>
      <c r="AV580" s="62"/>
      <c r="AW580" s="11"/>
      <c r="AX580" s="116"/>
      <c r="AY580" s="196"/>
      <c r="AZ580" s="143"/>
      <c r="BA580" s="191"/>
      <c r="BB580" s="132"/>
      <c r="BC580" s="132"/>
      <c r="BD580" s="274"/>
      <c r="BE580" s="274"/>
      <c r="BF580" s="274"/>
      <c r="BG580" s="274"/>
      <c r="BH580" s="132"/>
      <c r="BI580" s="132"/>
      <c r="BJ580" s="143"/>
      <c r="BK580" s="143"/>
      <c r="BL580" s="143"/>
      <c r="BM580" s="132"/>
      <c r="BN580" s="132"/>
      <c r="BO580" s="132"/>
      <c r="BP580" s="143"/>
      <c r="BQ580" s="132"/>
      <c r="BR580" s="132"/>
      <c r="BS580" s="132"/>
      <c r="BT580" s="132"/>
      <c r="BU580" s="132"/>
      <c r="BV580" s="263">
        <v>460000</v>
      </c>
      <c r="BW580" s="144">
        <f>BV580*19%</f>
        <v>87400</v>
      </c>
      <c r="BX580" s="113">
        <f>+BV580+BW580</f>
        <v>547400</v>
      </c>
      <c r="BY580" s="264" t="s">
        <v>420</v>
      </c>
      <c r="BZ580" s="264" t="s">
        <v>409</v>
      </c>
      <c r="CA580" s="132"/>
      <c r="CB580" s="274"/>
      <c r="CC580" s="144"/>
      <c r="CD580" s="274"/>
      <c r="CE580" s="132"/>
      <c r="CF580" s="132"/>
      <c r="CG580" s="36"/>
      <c r="CH580" s="263">
        <v>483000</v>
      </c>
      <c r="CI580" s="265">
        <f>+CH580*0.19</f>
        <v>91770</v>
      </c>
      <c r="CJ580" s="263">
        <f>+CH580+CI580</f>
        <v>574770</v>
      </c>
      <c r="CK580" s="264" t="s">
        <v>420</v>
      </c>
      <c r="CL580" s="264" t="s">
        <v>409</v>
      </c>
      <c r="CM580" s="132"/>
      <c r="CN580" s="274"/>
      <c r="CO580" s="144"/>
      <c r="CP580" s="274"/>
      <c r="CQ580" s="132"/>
      <c r="CR580" s="132"/>
      <c r="CS580" s="132"/>
      <c r="CT580" s="274"/>
      <c r="CU580" s="144"/>
      <c r="CV580" s="274"/>
      <c r="CW580" s="132"/>
      <c r="CX580" s="132"/>
      <c r="CY580" s="132"/>
      <c r="CZ580" s="118"/>
      <c r="DA580" s="144"/>
      <c r="DB580" s="118"/>
      <c r="DC580" s="33"/>
      <c r="DD580" s="39"/>
      <c r="DE580" s="11"/>
      <c r="DF580" s="132"/>
      <c r="DG580" s="132"/>
      <c r="DH580" s="132"/>
      <c r="DI580" s="132"/>
      <c r="DJ580" s="132"/>
      <c r="DK580" s="132"/>
      <c r="DL580" s="132"/>
      <c r="DM580" s="132"/>
      <c r="DN580" s="132"/>
      <c r="DO580" s="132"/>
      <c r="DP580" s="132"/>
      <c r="DQ580" s="132"/>
      <c r="DR580" s="132"/>
      <c r="DS580" s="132"/>
      <c r="DT580" s="132"/>
      <c r="DU580" s="132"/>
      <c r="DV580" s="132"/>
      <c r="DW580" s="132"/>
      <c r="DX580" s="132"/>
      <c r="DY580" s="132"/>
      <c r="DZ580" s="132"/>
      <c r="EA580" s="132"/>
      <c r="EB580" s="132"/>
      <c r="EC580" s="132"/>
      <c r="ED580" s="132"/>
      <c r="EE580" s="132"/>
      <c r="EF580" s="132"/>
      <c r="EG580" s="132"/>
      <c r="EH580" s="132"/>
      <c r="EI580" s="132"/>
      <c r="EJ580" s="132"/>
      <c r="EK580" s="132"/>
      <c r="EL580" s="132"/>
      <c r="EM580" s="132"/>
      <c r="EN580" s="132"/>
      <c r="EO580" s="132"/>
      <c r="EP580" s="132"/>
      <c r="EQ580" s="132"/>
      <c r="ER580" s="132"/>
      <c r="ES580" s="132"/>
      <c r="ET580" s="11"/>
      <c r="EU580" s="11"/>
      <c r="EV580" s="11"/>
      <c r="EW580" s="11"/>
      <c r="EX580" s="11"/>
      <c r="EY580" s="11"/>
      <c r="EZ580" s="11"/>
      <c r="FA580" s="11"/>
      <c r="FB580" s="11"/>
      <c r="FC580" s="11"/>
      <c r="FD580" s="11"/>
      <c r="FE580" s="11"/>
      <c r="FF580" s="11"/>
      <c r="FG580" s="11"/>
      <c r="FH580" s="39">
        <f t="shared" si="151"/>
        <v>1615091.95</v>
      </c>
      <c r="FI580" s="33">
        <f t="shared" si="152"/>
        <v>3</v>
      </c>
      <c r="FJ580" s="84">
        <f t="shared" si="153"/>
        <v>538363.98333333328</v>
      </c>
    </row>
    <row r="581" spans="1:166" ht="13.5" x14ac:dyDescent="0.25">
      <c r="A581" s="79" t="e">
        <f>#REF!</f>
        <v>#REF!</v>
      </c>
      <c r="B581" s="75" t="e">
        <f>#REF!</f>
        <v>#REF!</v>
      </c>
      <c r="C581" s="75" t="e">
        <f>#REF!</f>
        <v>#REF!</v>
      </c>
      <c r="D581" s="75" t="e">
        <f>#REF!</f>
        <v>#REF!</v>
      </c>
      <c r="E581" s="30">
        <v>1</v>
      </c>
      <c r="F581" s="238">
        <v>924000</v>
      </c>
      <c r="G581" s="241">
        <v>910100</v>
      </c>
      <c r="H581" s="249">
        <v>1614073.6359999999</v>
      </c>
      <c r="I581" s="249">
        <v>0</v>
      </c>
      <c r="J581" s="249">
        <v>955605</v>
      </c>
      <c r="K581" s="249">
        <v>931770</v>
      </c>
      <c r="L581" s="274">
        <f>AVERAGE(F581,H581,J581)</f>
        <v>1164559.5453333333</v>
      </c>
      <c r="M581" s="274">
        <f>AVERAGE(G581,K581)*E1</f>
        <v>948563.05</v>
      </c>
      <c r="N581" s="245"/>
      <c r="O581" s="113"/>
      <c r="P581" s="113"/>
      <c r="Q581" s="131"/>
      <c r="R581" s="131"/>
      <c r="S581" s="64"/>
      <c r="T581" s="113"/>
      <c r="U581" s="113"/>
      <c r="V581" s="113"/>
      <c r="W581" s="131"/>
      <c r="X581" s="131"/>
      <c r="Y581" s="11"/>
      <c r="Z581" s="113"/>
      <c r="AA581" s="113"/>
      <c r="AB581" s="113"/>
      <c r="AC581" s="52"/>
      <c r="AD581" s="52"/>
      <c r="AE581" s="11"/>
      <c r="AF581" s="118"/>
      <c r="AG581" s="144"/>
      <c r="AH581" s="113"/>
      <c r="AI581" s="11"/>
      <c r="AJ581" s="11"/>
      <c r="AK581" s="39"/>
      <c r="AL581" s="113"/>
      <c r="AM581" s="113"/>
      <c r="AN581" s="117"/>
      <c r="AO581" s="76"/>
      <c r="AP581" s="39"/>
      <c r="AQ581" s="39"/>
      <c r="AR581" s="275"/>
      <c r="AS581" s="275"/>
      <c r="AT581" s="275"/>
      <c r="AU581" s="62"/>
      <c r="AV581" s="62"/>
      <c r="AW581" s="11"/>
      <c r="AX581" s="116"/>
      <c r="AY581" s="196"/>
      <c r="AZ581" s="143"/>
      <c r="BA581" s="191"/>
      <c r="BB581" s="132"/>
      <c r="BC581" s="132"/>
      <c r="BD581" s="274"/>
      <c r="BE581" s="143"/>
      <c r="BF581" s="143"/>
      <c r="BG581" s="132"/>
      <c r="BH581" s="132"/>
      <c r="BI581" s="132"/>
      <c r="BJ581" s="143"/>
      <c r="BK581" s="143"/>
      <c r="BL581" s="143"/>
      <c r="BM581" s="132"/>
      <c r="BN581" s="132"/>
      <c r="BO581" s="132"/>
      <c r="BP581" s="143"/>
      <c r="BQ581" s="132"/>
      <c r="BR581" s="132"/>
      <c r="BS581" s="132"/>
      <c r="BT581" s="132"/>
      <c r="BU581" s="132"/>
      <c r="BV581" s="263">
        <v>1518000</v>
      </c>
      <c r="BW581" s="144">
        <f>BV581*19%</f>
        <v>288420</v>
      </c>
      <c r="BX581" s="113">
        <f>+BV581+BW581</f>
        <v>1806420</v>
      </c>
      <c r="BY581" s="264" t="s">
        <v>419</v>
      </c>
      <c r="BZ581" s="264" t="s">
        <v>409</v>
      </c>
      <c r="CA581" s="132"/>
      <c r="CB581" s="274"/>
      <c r="CC581" s="144"/>
      <c r="CD581" s="274"/>
      <c r="CE581" s="132"/>
      <c r="CF581" s="132"/>
      <c r="CG581" s="36"/>
      <c r="CH581" s="263">
        <v>1548360</v>
      </c>
      <c r="CI581" s="265">
        <f>+CH581*0.19</f>
        <v>294188.40000000002</v>
      </c>
      <c r="CJ581" s="263">
        <f>+CH581+CI581</f>
        <v>1842548.4</v>
      </c>
      <c r="CK581" s="264" t="s">
        <v>419</v>
      </c>
      <c r="CL581" s="264" t="s">
        <v>409</v>
      </c>
      <c r="CM581" s="132"/>
      <c r="CN581" s="274"/>
      <c r="CO581" s="144"/>
      <c r="CP581" s="274"/>
      <c r="CQ581" s="132"/>
      <c r="CR581" s="132"/>
      <c r="CS581" s="132"/>
      <c r="CT581" s="274"/>
      <c r="CU581" s="144"/>
      <c r="CV581" s="274"/>
      <c r="CW581" s="132"/>
      <c r="CX581" s="132"/>
      <c r="CY581" s="132"/>
      <c r="CZ581" s="118"/>
      <c r="DA581" s="144"/>
      <c r="DB581" s="118"/>
      <c r="DC581" s="33"/>
      <c r="DD581" s="39"/>
      <c r="DE581" s="11"/>
      <c r="DF581" s="132"/>
      <c r="DG581" s="132"/>
      <c r="DH581" s="132"/>
      <c r="DI581" s="132"/>
      <c r="DJ581" s="132"/>
      <c r="DK581" s="132"/>
      <c r="DL581" s="132"/>
      <c r="DM581" s="132"/>
      <c r="DN581" s="132"/>
      <c r="DO581" s="132"/>
      <c r="DP581" s="132"/>
      <c r="DQ581" s="132"/>
      <c r="DR581" s="132"/>
      <c r="DS581" s="132"/>
      <c r="DT581" s="132"/>
      <c r="DU581" s="132"/>
      <c r="DV581" s="132"/>
      <c r="DW581" s="132"/>
      <c r="DX581" s="132"/>
      <c r="DY581" s="132"/>
      <c r="DZ581" s="132"/>
      <c r="EA581" s="132"/>
      <c r="EB581" s="132"/>
      <c r="EC581" s="132"/>
      <c r="ED581" s="132"/>
      <c r="EE581" s="132"/>
      <c r="EF581" s="132"/>
      <c r="EG581" s="132"/>
      <c r="EH581" s="132"/>
      <c r="EI581" s="132"/>
      <c r="EJ581" s="132"/>
      <c r="EK581" s="132"/>
      <c r="EL581" s="132"/>
      <c r="EM581" s="132"/>
      <c r="EN581" s="132"/>
      <c r="EO581" s="132"/>
      <c r="EP581" s="132"/>
      <c r="EQ581" s="132"/>
      <c r="ER581" s="132"/>
      <c r="ES581" s="132"/>
      <c r="ET581" s="11"/>
      <c r="EU581" s="11"/>
      <c r="EV581" s="11"/>
      <c r="EW581" s="11"/>
      <c r="EX581" s="11"/>
      <c r="EY581" s="11"/>
      <c r="EZ581" s="11"/>
      <c r="FA581" s="11"/>
      <c r="FB581" s="11"/>
      <c r="FC581" s="11"/>
      <c r="FD581" s="11"/>
      <c r="FE581" s="11"/>
      <c r="FF581" s="11"/>
      <c r="FG581" s="11"/>
      <c r="FH581" s="39">
        <f t="shared" si="151"/>
        <v>4597531.4499999993</v>
      </c>
      <c r="FI581" s="33">
        <f t="shared" si="152"/>
        <v>3</v>
      </c>
      <c r="FJ581" s="84">
        <f t="shared" si="153"/>
        <v>1532510.4833333332</v>
      </c>
    </row>
    <row r="582" spans="1:166" ht="13.5" x14ac:dyDescent="0.25">
      <c r="A582" s="79" t="e">
        <f>#REF!</f>
        <v>#REF!</v>
      </c>
      <c r="B582" s="75" t="e">
        <f>#REF!</f>
        <v>#REF!</v>
      </c>
      <c r="C582" s="75" t="e">
        <f>#REF!</f>
        <v>#REF!</v>
      </c>
      <c r="D582" s="75" t="e">
        <f>#REF!</f>
        <v>#REF!</v>
      </c>
      <c r="E582" s="30">
        <v>1</v>
      </c>
      <c r="F582" s="238">
        <v>924000</v>
      </c>
      <c r="G582" s="241">
        <v>0</v>
      </c>
      <c r="H582" s="249">
        <v>955693.2</v>
      </c>
      <c r="I582" s="249">
        <v>0</v>
      </c>
      <c r="J582" s="249">
        <v>88000</v>
      </c>
      <c r="K582" s="249">
        <v>0</v>
      </c>
      <c r="L582" s="274">
        <f>AVERAGE(F582,H582,J582)</f>
        <v>655897.73333333328</v>
      </c>
      <c r="M582" s="274"/>
      <c r="N582" s="245"/>
      <c r="O582" s="113"/>
      <c r="P582" s="113"/>
      <c r="Q582" s="131"/>
      <c r="R582" s="131"/>
      <c r="S582" s="64"/>
      <c r="T582" s="113"/>
      <c r="U582" s="113"/>
      <c r="V582" s="113"/>
      <c r="W582" s="131"/>
      <c r="X582" s="131"/>
      <c r="Y582" s="11"/>
      <c r="Z582" s="113"/>
      <c r="AA582" s="113"/>
      <c r="AB582" s="113"/>
      <c r="AC582" s="52"/>
      <c r="AD582" s="52"/>
      <c r="AE582" s="11"/>
      <c r="AF582" s="118"/>
      <c r="AG582" s="144"/>
      <c r="AH582" s="113"/>
      <c r="AI582" s="11"/>
      <c r="AJ582" s="11"/>
      <c r="AK582" s="39"/>
      <c r="AL582" s="113"/>
      <c r="AM582" s="113"/>
      <c r="AN582" s="117"/>
      <c r="AO582" s="76"/>
      <c r="AP582" s="39"/>
      <c r="AQ582" s="39"/>
      <c r="AR582" s="275"/>
      <c r="AS582" s="275"/>
      <c r="AT582" s="275"/>
      <c r="AU582" s="62"/>
      <c r="AV582" s="62"/>
      <c r="AW582" s="11"/>
      <c r="AX582" s="116"/>
      <c r="AY582" s="196"/>
      <c r="AZ582" s="143"/>
      <c r="BA582" s="191"/>
      <c r="BB582" s="132"/>
      <c r="BC582" s="132"/>
      <c r="BD582" s="274"/>
      <c r="BE582" s="274"/>
      <c r="BF582" s="274"/>
      <c r="BG582" s="274"/>
      <c r="BH582" s="132"/>
      <c r="BI582" s="132"/>
      <c r="BJ582" s="143"/>
      <c r="BK582" s="143"/>
      <c r="BL582" s="143"/>
      <c r="BM582" s="132"/>
      <c r="BN582" s="132"/>
      <c r="BO582" s="132"/>
      <c r="BP582" s="143"/>
      <c r="BQ582" s="132"/>
      <c r="BR582" s="132"/>
      <c r="BS582" s="132"/>
      <c r="BT582" s="132"/>
      <c r="BU582" s="132"/>
      <c r="BV582" s="263">
        <v>1518000</v>
      </c>
      <c r="BW582" s="144">
        <f>BV582*19%</f>
        <v>288420</v>
      </c>
      <c r="BX582" s="113">
        <f>+BV582+BW582</f>
        <v>1806420</v>
      </c>
      <c r="BY582" s="264" t="s">
        <v>485</v>
      </c>
      <c r="BZ582" s="264" t="s">
        <v>409</v>
      </c>
      <c r="CA582" s="132"/>
      <c r="CB582" s="274"/>
      <c r="CC582" s="144"/>
      <c r="CD582" s="274"/>
      <c r="CE582" s="132"/>
      <c r="CF582" s="132"/>
      <c r="CG582" s="36"/>
      <c r="CH582" s="263">
        <v>1578720</v>
      </c>
      <c r="CI582" s="265">
        <f>+CH582*0.19</f>
        <v>299956.8</v>
      </c>
      <c r="CJ582" s="263">
        <f>+CH582+CI582</f>
        <v>1878676.8</v>
      </c>
      <c r="CK582" s="264" t="s">
        <v>485</v>
      </c>
      <c r="CL582" s="264" t="s">
        <v>409</v>
      </c>
      <c r="CM582" s="132"/>
      <c r="CN582" s="274"/>
      <c r="CO582" s="144"/>
      <c r="CP582" s="274"/>
      <c r="CQ582" s="132"/>
      <c r="CR582" s="132"/>
      <c r="CS582" s="132"/>
      <c r="CT582" s="274"/>
      <c r="CU582" s="144"/>
      <c r="CV582" s="274"/>
      <c r="CW582" s="132"/>
      <c r="CX582" s="132"/>
      <c r="CY582" s="132"/>
      <c r="CZ582" s="118"/>
      <c r="DA582" s="144"/>
      <c r="DB582" s="118"/>
      <c r="DC582" s="33"/>
      <c r="DD582" s="39"/>
      <c r="DE582" s="11"/>
      <c r="DF582" s="132"/>
      <c r="DG582" s="132"/>
      <c r="DH582" s="132"/>
      <c r="DI582" s="132"/>
      <c r="DJ582" s="132"/>
      <c r="DK582" s="132"/>
      <c r="DL582" s="132"/>
      <c r="DM582" s="132"/>
      <c r="DN582" s="132"/>
      <c r="DO582" s="132"/>
      <c r="DP582" s="132"/>
      <c r="DQ582" s="132"/>
      <c r="DR582" s="132"/>
      <c r="DS582" s="132"/>
      <c r="DT582" s="132"/>
      <c r="DU582" s="132"/>
      <c r="DV582" s="132"/>
      <c r="DW582" s="132"/>
      <c r="DX582" s="132"/>
      <c r="DY582" s="132"/>
      <c r="DZ582" s="132"/>
      <c r="EA582" s="132"/>
      <c r="EB582" s="132"/>
      <c r="EC582" s="132"/>
      <c r="ED582" s="132"/>
      <c r="EE582" s="132"/>
      <c r="EF582" s="132"/>
      <c r="EG582" s="132"/>
      <c r="EH582" s="132"/>
      <c r="EI582" s="132"/>
      <c r="EJ582" s="132"/>
      <c r="EK582" s="132"/>
      <c r="EL582" s="132"/>
      <c r="EM582" s="132"/>
      <c r="EN582" s="132"/>
      <c r="EO582" s="132"/>
      <c r="EP582" s="132"/>
      <c r="EQ582" s="132"/>
      <c r="ER582" s="132"/>
      <c r="ES582" s="132"/>
      <c r="ET582" s="11"/>
      <c r="EU582" s="11"/>
      <c r="EV582" s="11"/>
      <c r="EW582" s="11"/>
      <c r="EX582" s="11"/>
      <c r="EY582" s="11"/>
      <c r="EZ582" s="11"/>
      <c r="FA582" s="11"/>
      <c r="FB582" s="11"/>
      <c r="FC582" s="11"/>
      <c r="FD582" s="11"/>
      <c r="FE582" s="11"/>
      <c r="FF582" s="11"/>
      <c r="FG582" s="11"/>
      <c r="FH582" s="39">
        <f t="shared" si="151"/>
        <v>3685096.8</v>
      </c>
      <c r="FI582" s="33">
        <f t="shared" si="152"/>
        <v>2</v>
      </c>
      <c r="FJ582" s="84">
        <f t="shared" si="153"/>
        <v>1842548.4</v>
      </c>
    </row>
    <row r="583" spans="1:166" x14ac:dyDescent="0.25">
      <c r="A583" s="79" t="e">
        <f>#REF!</f>
        <v>#REF!</v>
      </c>
      <c r="B583" s="75" t="e">
        <f>#REF!</f>
        <v>#REF!</v>
      </c>
      <c r="C583" s="75" t="e">
        <f>#REF!</f>
        <v>#REF!</v>
      </c>
      <c r="D583" s="75" t="e">
        <f>#REF!</f>
        <v>#REF!</v>
      </c>
      <c r="E583" s="30">
        <v>1</v>
      </c>
      <c r="F583" s="238">
        <v>0</v>
      </c>
      <c r="G583" s="241">
        <v>0</v>
      </c>
      <c r="H583" s="249">
        <v>0</v>
      </c>
      <c r="I583" s="249">
        <v>0</v>
      </c>
      <c r="J583" s="249">
        <v>233000</v>
      </c>
      <c r="K583" s="249">
        <v>0</v>
      </c>
      <c r="L583" s="274">
        <f>J583</f>
        <v>233000</v>
      </c>
      <c r="M583" s="274"/>
      <c r="N583" s="245"/>
      <c r="O583" s="113"/>
      <c r="P583" s="113"/>
      <c r="Q583" s="131"/>
      <c r="R583" s="131"/>
      <c r="S583" s="64"/>
      <c r="T583" s="113"/>
      <c r="U583" s="113"/>
      <c r="V583" s="113"/>
      <c r="W583" s="131"/>
      <c r="X583" s="131"/>
      <c r="Y583" s="11"/>
      <c r="Z583" s="113"/>
      <c r="AA583" s="113"/>
      <c r="AB583" s="113"/>
      <c r="AC583" s="52"/>
      <c r="AD583" s="52"/>
      <c r="AE583" s="11"/>
      <c r="AF583" s="118"/>
      <c r="AG583" s="144"/>
      <c r="AH583" s="113"/>
      <c r="AI583" s="11"/>
      <c r="AJ583" s="11"/>
      <c r="AK583" s="39"/>
      <c r="AL583" s="113"/>
      <c r="AM583" s="113"/>
      <c r="AN583" s="147"/>
      <c r="AO583" s="76"/>
      <c r="AP583" s="39"/>
      <c r="AQ583" s="39"/>
      <c r="AR583" s="275"/>
      <c r="AS583" s="275"/>
      <c r="AT583" s="275"/>
      <c r="AU583" s="62"/>
      <c r="AV583" s="62"/>
      <c r="AW583" s="11"/>
      <c r="AX583" s="116"/>
      <c r="AY583" s="196"/>
      <c r="AZ583" s="143"/>
      <c r="BA583" s="191"/>
      <c r="BB583" s="132"/>
      <c r="BC583" s="132"/>
      <c r="BD583" s="274"/>
      <c r="BE583" s="143"/>
      <c r="BF583" s="143"/>
      <c r="BG583" s="132"/>
      <c r="BH583" s="132"/>
      <c r="BI583" s="132"/>
      <c r="BJ583" s="143"/>
      <c r="BK583" s="143"/>
      <c r="BL583" s="143"/>
      <c r="BM583" s="132"/>
      <c r="BN583" s="132"/>
      <c r="BO583" s="132"/>
      <c r="BP583" s="143"/>
      <c r="BQ583" s="132"/>
      <c r="BR583" s="132"/>
      <c r="BS583" s="132"/>
      <c r="BT583" s="132"/>
      <c r="BU583" s="132"/>
      <c r="BV583" s="210"/>
      <c r="BW583" s="144"/>
      <c r="BX583" s="113"/>
      <c r="BY583" s="273"/>
      <c r="BZ583" s="273"/>
      <c r="CA583" s="132"/>
      <c r="CB583" s="274"/>
      <c r="CC583" s="144"/>
      <c r="CD583" s="274"/>
      <c r="CE583" s="132"/>
      <c r="CF583" s="132"/>
      <c r="CG583" s="36"/>
      <c r="CH583" s="210"/>
      <c r="CI583" s="219"/>
      <c r="CJ583" s="210"/>
      <c r="CK583" s="273"/>
      <c r="CL583" s="273"/>
      <c r="CM583" s="132"/>
      <c r="CN583" s="274"/>
      <c r="CO583" s="144"/>
      <c r="CP583" s="274"/>
      <c r="CQ583" s="132"/>
      <c r="CR583" s="132"/>
      <c r="CS583" s="132"/>
      <c r="CT583" s="274"/>
      <c r="CU583" s="144"/>
      <c r="CV583" s="274"/>
      <c r="CW583" s="132"/>
      <c r="CX583" s="132"/>
      <c r="CY583" s="132"/>
      <c r="CZ583" s="118"/>
      <c r="DA583" s="144"/>
      <c r="DB583" s="118"/>
      <c r="DC583" s="33"/>
      <c r="DD583" s="39"/>
      <c r="DE583" s="11"/>
      <c r="DF583" s="132"/>
      <c r="DG583" s="132"/>
      <c r="DH583" s="132"/>
      <c r="DI583" s="132"/>
      <c r="DJ583" s="132"/>
      <c r="DK583" s="132"/>
      <c r="DL583" s="132"/>
      <c r="DM583" s="132"/>
      <c r="DN583" s="132"/>
      <c r="DO583" s="132"/>
      <c r="DP583" s="132"/>
      <c r="DQ583" s="132"/>
      <c r="DR583" s="132"/>
      <c r="DS583" s="132"/>
      <c r="DT583" s="132"/>
      <c r="DU583" s="132"/>
      <c r="DV583" s="132"/>
      <c r="DW583" s="132"/>
      <c r="DX583" s="132"/>
      <c r="DY583" s="132"/>
      <c r="DZ583" s="132"/>
      <c r="EA583" s="132"/>
      <c r="EB583" s="132"/>
      <c r="EC583" s="132"/>
      <c r="ED583" s="132"/>
      <c r="EE583" s="132"/>
      <c r="EF583" s="132"/>
      <c r="EG583" s="132"/>
      <c r="EH583" s="132"/>
      <c r="EI583" s="132"/>
      <c r="EJ583" s="132"/>
      <c r="EK583" s="132"/>
      <c r="EL583" s="132"/>
      <c r="EM583" s="132"/>
      <c r="EN583" s="132"/>
      <c r="EO583" s="132"/>
      <c r="EP583" s="132"/>
      <c r="EQ583" s="132"/>
      <c r="ER583" s="132"/>
      <c r="ES583" s="132"/>
      <c r="ET583" s="11"/>
      <c r="EU583" s="11"/>
      <c r="EV583" s="11"/>
      <c r="EW583" s="11"/>
      <c r="EX583" s="11"/>
      <c r="EY583" s="11"/>
      <c r="EZ583" s="11"/>
      <c r="FA583" s="11"/>
      <c r="FB583" s="11"/>
      <c r="FC583" s="11"/>
      <c r="FD583" s="11"/>
      <c r="FE583" s="11"/>
      <c r="FF583" s="11"/>
      <c r="FG583" s="11"/>
      <c r="FH583" s="39">
        <f t="shared" si="151"/>
        <v>0</v>
      </c>
      <c r="FI583" s="33">
        <f t="shared" si="152"/>
        <v>0</v>
      </c>
      <c r="FJ583" s="84" t="str">
        <f t="shared" si="153"/>
        <v xml:space="preserve"> </v>
      </c>
    </row>
    <row r="584" spans="1:166" x14ac:dyDescent="0.25">
      <c r="A584" s="79" t="e">
        <f>#REF!</f>
        <v>#REF!</v>
      </c>
      <c r="B584" s="75" t="e">
        <f>#REF!</f>
        <v>#REF!</v>
      </c>
      <c r="C584" s="75" t="e">
        <f>#REF!</f>
        <v>#REF!</v>
      </c>
      <c r="D584" s="75" t="e">
        <f>#REF!</f>
        <v>#REF!</v>
      </c>
      <c r="E584" s="30">
        <v>1</v>
      </c>
      <c r="F584" s="238">
        <v>0</v>
      </c>
      <c r="G584" s="241">
        <v>0</v>
      </c>
      <c r="H584" s="249">
        <v>0</v>
      </c>
      <c r="I584" s="249">
        <v>0</v>
      </c>
      <c r="J584" s="249">
        <v>251090</v>
      </c>
      <c r="K584" s="249">
        <v>0</v>
      </c>
      <c r="L584" s="274">
        <f>J584</f>
        <v>251090</v>
      </c>
      <c r="M584" s="274"/>
      <c r="N584" s="245"/>
      <c r="O584" s="113"/>
      <c r="P584" s="113"/>
      <c r="Q584" s="131"/>
      <c r="R584" s="131"/>
      <c r="S584" s="64"/>
      <c r="T584" s="113"/>
      <c r="U584" s="113"/>
      <c r="V584" s="113"/>
      <c r="W584" s="131"/>
      <c r="X584" s="131"/>
      <c r="Y584" s="11"/>
      <c r="Z584" s="113"/>
      <c r="AA584" s="113"/>
      <c r="AB584" s="113"/>
      <c r="AC584" s="52"/>
      <c r="AD584" s="52"/>
      <c r="AE584" s="11"/>
      <c r="AF584" s="118"/>
      <c r="AG584" s="144"/>
      <c r="AH584" s="113"/>
      <c r="AI584" s="11"/>
      <c r="AJ584" s="11"/>
      <c r="AK584" s="39"/>
      <c r="AL584" s="113"/>
      <c r="AM584" s="113"/>
      <c r="AN584" s="147"/>
      <c r="AO584" s="76"/>
      <c r="AP584" s="39"/>
      <c r="AQ584" s="39"/>
      <c r="AR584" s="275"/>
      <c r="AS584" s="275"/>
      <c r="AT584" s="275"/>
      <c r="AU584" s="62"/>
      <c r="AV584" s="62"/>
      <c r="AW584" s="11"/>
      <c r="AX584" s="116"/>
      <c r="AY584" s="196"/>
      <c r="AZ584" s="143"/>
      <c r="BA584" s="191"/>
      <c r="BB584" s="132"/>
      <c r="BC584" s="132"/>
      <c r="BD584" s="274"/>
      <c r="BE584" s="274"/>
      <c r="BF584" s="274"/>
      <c r="BG584" s="274"/>
      <c r="BH584" s="132"/>
      <c r="BI584" s="132"/>
      <c r="BJ584" s="143"/>
      <c r="BK584" s="143"/>
      <c r="BL584" s="143"/>
      <c r="BM584" s="132"/>
      <c r="BN584" s="132"/>
      <c r="BO584" s="132"/>
      <c r="BP584" s="143"/>
      <c r="BQ584" s="132"/>
      <c r="BR584" s="132"/>
      <c r="BS584" s="132"/>
      <c r="BT584" s="132"/>
      <c r="BU584" s="132"/>
      <c r="BV584" s="210"/>
      <c r="BW584" s="144"/>
      <c r="BX584" s="113"/>
      <c r="BY584" s="273"/>
      <c r="BZ584" s="273"/>
      <c r="CA584" s="132"/>
      <c r="CB584" s="274"/>
      <c r="CC584" s="144"/>
      <c r="CD584" s="274"/>
      <c r="CE584" s="132"/>
      <c r="CF584" s="132"/>
      <c r="CG584" s="36"/>
      <c r="CH584" s="210"/>
      <c r="CI584" s="219"/>
      <c r="CJ584" s="210"/>
      <c r="CK584" s="273"/>
      <c r="CL584" s="273"/>
      <c r="CM584" s="132"/>
      <c r="CN584" s="274"/>
      <c r="CO584" s="144"/>
      <c r="CP584" s="274"/>
      <c r="CQ584" s="132"/>
      <c r="CR584" s="132"/>
      <c r="CS584" s="132"/>
      <c r="CT584" s="274"/>
      <c r="CU584" s="144"/>
      <c r="CV584" s="274"/>
      <c r="CW584" s="132"/>
      <c r="CX584" s="132"/>
      <c r="CY584" s="132"/>
      <c r="CZ584" s="118"/>
      <c r="DA584" s="144"/>
      <c r="DB584" s="118"/>
      <c r="DC584" s="33"/>
      <c r="DD584" s="39"/>
      <c r="DE584" s="11"/>
      <c r="DF584" s="132"/>
      <c r="DG584" s="132"/>
      <c r="DH584" s="132"/>
      <c r="DI584" s="132"/>
      <c r="DJ584" s="132"/>
      <c r="DK584" s="132"/>
      <c r="DL584" s="132"/>
      <c r="DM584" s="132"/>
      <c r="DN584" s="132"/>
      <c r="DO584" s="132"/>
      <c r="DP584" s="132"/>
      <c r="DQ584" s="132"/>
      <c r="DR584" s="132"/>
      <c r="DS584" s="132"/>
      <c r="DT584" s="132"/>
      <c r="DU584" s="132"/>
      <c r="DV584" s="132"/>
      <c r="DW584" s="132"/>
      <c r="DX584" s="132"/>
      <c r="DY584" s="132"/>
      <c r="DZ584" s="132"/>
      <c r="EA584" s="132"/>
      <c r="EB584" s="132"/>
      <c r="EC584" s="132"/>
      <c r="ED584" s="132"/>
      <c r="EE584" s="132"/>
      <c r="EF584" s="132"/>
      <c r="EG584" s="132"/>
      <c r="EH584" s="132"/>
      <c r="EI584" s="132"/>
      <c r="EJ584" s="132"/>
      <c r="EK584" s="132"/>
      <c r="EL584" s="132"/>
      <c r="EM584" s="132"/>
      <c r="EN584" s="132"/>
      <c r="EO584" s="132"/>
      <c r="EP584" s="132"/>
      <c r="EQ584" s="132"/>
      <c r="ER584" s="132"/>
      <c r="ES584" s="132"/>
      <c r="ET584" s="11"/>
      <c r="EU584" s="11"/>
      <c r="EV584" s="11"/>
      <c r="EW584" s="11"/>
      <c r="EX584" s="11"/>
      <c r="EY584" s="11"/>
      <c r="EZ584" s="11"/>
      <c r="FA584" s="11"/>
      <c r="FB584" s="11"/>
      <c r="FC584" s="11"/>
      <c r="FD584" s="11"/>
      <c r="FE584" s="11"/>
      <c r="FF584" s="11"/>
      <c r="FG584" s="11"/>
      <c r="FH584" s="39">
        <f t="shared" si="151"/>
        <v>0</v>
      </c>
      <c r="FI584" s="33">
        <f t="shared" si="152"/>
        <v>0</v>
      </c>
      <c r="FJ584" s="84" t="str">
        <f t="shared" si="153"/>
        <v xml:space="preserve"> </v>
      </c>
    </row>
    <row r="585" spans="1:166" x14ac:dyDescent="0.25">
      <c r="A585" s="79" t="e">
        <f>#REF!</f>
        <v>#REF!</v>
      </c>
      <c r="B585" s="75" t="e">
        <f>#REF!</f>
        <v>#REF!</v>
      </c>
      <c r="C585" s="75" t="e">
        <f>#REF!</f>
        <v>#REF!</v>
      </c>
      <c r="D585" s="75" t="e">
        <f>#REF!</f>
        <v>#REF!</v>
      </c>
      <c r="E585" s="30">
        <v>1</v>
      </c>
      <c r="F585" s="238">
        <v>0</v>
      </c>
      <c r="G585" s="241">
        <v>0</v>
      </c>
      <c r="H585" s="249">
        <v>0</v>
      </c>
      <c r="I585" s="249">
        <v>0</v>
      </c>
      <c r="J585" s="249">
        <v>0</v>
      </c>
      <c r="K585" s="249">
        <v>0</v>
      </c>
      <c r="L585" s="274"/>
      <c r="M585" s="274"/>
      <c r="N585" s="245"/>
      <c r="O585" s="113"/>
      <c r="P585" s="113"/>
      <c r="Q585" s="131"/>
      <c r="R585" s="131"/>
      <c r="S585" s="64"/>
      <c r="T585" s="113"/>
      <c r="U585" s="113"/>
      <c r="V585" s="113"/>
      <c r="W585" s="131"/>
      <c r="X585" s="131"/>
      <c r="Y585" s="11"/>
      <c r="Z585" s="113"/>
      <c r="AA585" s="113"/>
      <c r="AB585" s="113"/>
      <c r="AC585" s="52"/>
      <c r="AD585" s="52"/>
      <c r="AE585" s="11"/>
      <c r="AF585" s="113"/>
      <c r="AG585" s="144"/>
      <c r="AH585" s="113"/>
      <c r="AI585" s="11"/>
      <c r="AJ585" s="11"/>
      <c r="AK585" s="39"/>
      <c r="AL585" s="113"/>
      <c r="AM585" s="113"/>
      <c r="AN585" s="117"/>
      <c r="AO585" s="76"/>
      <c r="AP585" s="39"/>
      <c r="AQ585" s="39"/>
      <c r="AR585" s="275"/>
      <c r="AS585" s="275"/>
      <c r="AT585" s="275"/>
      <c r="AU585" s="62"/>
      <c r="AV585" s="62"/>
      <c r="AW585" s="11"/>
      <c r="AX585" s="116"/>
      <c r="AY585" s="196"/>
      <c r="AZ585" s="143"/>
      <c r="BA585" s="191"/>
      <c r="BB585" s="132"/>
      <c r="BC585" s="132"/>
      <c r="BD585" s="275"/>
      <c r="BE585" s="143"/>
      <c r="BF585" s="143"/>
      <c r="BG585" s="132"/>
      <c r="BH585" s="132"/>
      <c r="BI585" s="132"/>
      <c r="BJ585" s="143"/>
      <c r="BK585" s="143"/>
      <c r="BL585" s="143"/>
      <c r="BM585" s="132"/>
      <c r="BN585" s="132"/>
      <c r="BO585" s="132"/>
      <c r="BP585" s="143"/>
      <c r="BQ585" s="132"/>
      <c r="BR585" s="132"/>
      <c r="BS585" s="132"/>
      <c r="BT585" s="132"/>
      <c r="BU585" s="132"/>
      <c r="BV585" s="210"/>
      <c r="BW585" s="144"/>
      <c r="BX585" s="113"/>
      <c r="BY585" s="273"/>
      <c r="BZ585" s="273"/>
      <c r="CA585" s="132"/>
      <c r="CB585" s="275"/>
      <c r="CC585" s="143"/>
      <c r="CD585" s="275"/>
      <c r="CE585" s="132"/>
      <c r="CF585" s="132"/>
      <c r="CG585" s="36"/>
      <c r="CH585" s="210"/>
      <c r="CI585" s="219"/>
      <c r="CJ585" s="210"/>
      <c r="CK585" s="273"/>
      <c r="CL585" s="273"/>
      <c r="CM585" s="132"/>
      <c r="CN585" s="275"/>
      <c r="CO585" s="143"/>
      <c r="CP585" s="275"/>
      <c r="CQ585" s="132"/>
      <c r="CR585" s="132"/>
      <c r="CS585" s="132"/>
      <c r="CT585" s="275"/>
      <c r="CU585" s="143"/>
      <c r="CV585" s="275"/>
      <c r="CW585" s="132"/>
      <c r="CX585" s="132"/>
      <c r="CY585" s="132"/>
      <c r="CZ585" s="113"/>
      <c r="DA585" s="143"/>
      <c r="DB585" s="113"/>
      <c r="DC585" s="33"/>
      <c r="DD585" s="39"/>
      <c r="DE585" s="11"/>
      <c r="DF585" s="132"/>
      <c r="DG585" s="132"/>
      <c r="DH585" s="132"/>
      <c r="DI585" s="132"/>
      <c r="DJ585" s="132"/>
      <c r="DK585" s="132"/>
      <c r="DL585" s="132"/>
      <c r="DM585" s="132"/>
      <c r="DN585" s="132"/>
      <c r="DO585" s="132"/>
      <c r="DP585" s="132"/>
      <c r="DQ585" s="132"/>
      <c r="DR585" s="132"/>
      <c r="DS585" s="132"/>
      <c r="DT585" s="132"/>
      <c r="DU585" s="132"/>
      <c r="DV585" s="132"/>
      <c r="DW585" s="132"/>
      <c r="DX585" s="132"/>
      <c r="DY585" s="132"/>
      <c r="DZ585" s="132"/>
      <c r="EA585" s="132"/>
      <c r="EB585" s="132"/>
      <c r="EC585" s="132"/>
      <c r="ED585" s="132"/>
      <c r="EE585" s="132"/>
      <c r="EF585" s="132"/>
      <c r="EG585" s="132"/>
      <c r="EH585" s="132"/>
      <c r="EI585" s="132"/>
      <c r="EJ585" s="132"/>
      <c r="EK585" s="132"/>
      <c r="EL585" s="132"/>
      <c r="EM585" s="132"/>
      <c r="EN585" s="132"/>
      <c r="EO585" s="132"/>
      <c r="EP585" s="132"/>
      <c r="EQ585" s="132"/>
      <c r="ER585" s="132"/>
      <c r="ES585" s="132"/>
      <c r="ET585" s="11"/>
      <c r="EU585" s="11"/>
      <c r="EV585" s="11"/>
      <c r="EW585" s="11"/>
      <c r="EX585" s="11"/>
      <c r="EY585" s="11"/>
      <c r="EZ585" s="11"/>
      <c r="FA585" s="11"/>
      <c r="FB585" s="11"/>
      <c r="FC585" s="11"/>
      <c r="FD585" s="11"/>
      <c r="FE585" s="11"/>
      <c r="FF585" s="11"/>
      <c r="FG585" s="11"/>
      <c r="FH585" s="39">
        <f t="shared" si="151"/>
        <v>0</v>
      </c>
      <c r="FI585" s="33">
        <f t="shared" si="152"/>
        <v>0</v>
      </c>
      <c r="FJ585" s="84" t="str">
        <f t="shared" si="153"/>
        <v xml:space="preserve"> </v>
      </c>
    </row>
    <row r="586" spans="1:166" x14ac:dyDescent="0.25">
      <c r="A586" s="79" t="e">
        <f>#REF!</f>
        <v>#REF!</v>
      </c>
      <c r="B586" s="75" t="e">
        <f>#REF!</f>
        <v>#REF!</v>
      </c>
      <c r="C586" s="75" t="e">
        <f>#REF!</f>
        <v>#REF!</v>
      </c>
      <c r="D586" s="75" t="e">
        <f>#REF!</f>
        <v>#REF!</v>
      </c>
      <c r="E586" s="30">
        <v>1</v>
      </c>
      <c r="F586" s="238">
        <v>0</v>
      </c>
      <c r="G586" s="241">
        <v>0</v>
      </c>
      <c r="H586" s="249">
        <v>0</v>
      </c>
      <c r="I586" s="249">
        <v>0</v>
      </c>
      <c r="J586" s="249">
        <v>614040</v>
      </c>
      <c r="K586" s="249">
        <v>0</v>
      </c>
      <c r="L586" s="274">
        <f>J586</f>
        <v>614040</v>
      </c>
      <c r="M586" s="274"/>
      <c r="N586" s="245"/>
      <c r="O586" s="113"/>
      <c r="P586" s="113"/>
      <c r="Q586" s="131"/>
      <c r="R586" s="131"/>
      <c r="S586" s="64"/>
      <c r="T586" s="113"/>
      <c r="U586" s="113"/>
      <c r="V586" s="113"/>
      <c r="W586" s="131"/>
      <c r="X586" s="131"/>
      <c r="Y586" s="11"/>
      <c r="Z586" s="113"/>
      <c r="AA586" s="113"/>
      <c r="AB586" s="113"/>
      <c r="AC586" s="52"/>
      <c r="AD586" s="52"/>
      <c r="AE586" s="11"/>
      <c r="AF586" s="118"/>
      <c r="AG586" s="144"/>
      <c r="AH586" s="113"/>
      <c r="AI586" s="11"/>
      <c r="AJ586" s="11"/>
      <c r="AK586" s="39"/>
      <c r="AL586" s="113"/>
      <c r="AM586" s="113"/>
      <c r="AN586" s="117"/>
      <c r="AO586" s="76"/>
      <c r="AP586" s="39"/>
      <c r="AQ586" s="39"/>
      <c r="AR586" s="275"/>
      <c r="AS586" s="275"/>
      <c r="AT586" s="275"/>
      <c r="AU586" s="62"/>
      <c r="AV586" s="62"/>
      <c r="AW586" s="11"/>
      <c r="AX586" s="116"/>
      <c r="AY586" s="196"/>
      <c r="AZ586" s="143"/>
      <c r="BA586" s="191"/>
      <c r="BB586" s="132"/>
      <c r="BC586" s="132"/>
      <c r="BD586" s="274"/>
      <c r="BE586" s="143"/>
      <c r="BF586" s="143"/>
      <c r="BG586" s="132"/>
      <c r="BH586" s="132"/>
      <c r="BI586" s="132"/>
      <c r="BJ586" s="143"/>
      <c r="BK586" s="143"/>
      <c r="BL586" s="143"/>
      <c r="BM586" s="132"/>
      <c r="BN586" s="132"/>
      <c r="BO586" s="132"/>
      <c r="BP586" s="143"/>
      <c r="BQ586" s="132"/>
      <c r="BR586" s="132"/>
      <c r="BS586" s="132"/>
      <c r="BT586" s="132"/>
      <c r="BU586" s="132"/>
      <c r="BV586" s="210"/>
      <c r="BW586" s="144"/>
      <c r="BX586" s="113"/>
      <c r="BY586" s="273"/>
      <c r="BZ586" s="273"/>
      <c r="CA586" s="132"/>
      <c r="CB586" s="274"/>
      <c r="CC586" s="144"/>
      <c r="CD586" s="274"/>
      <c r="CE586" s="132"/>
      <c r="CF586" s="132"/>
      <c r="CG586" s="36"/>
      <c r="CH586" s="210"/>
      <c r="CI586" s="219"/>
      <c r="CJ586" s="210"/>
      <c r="CK586" s="273"/>
      <c r="CL586" s="273"/>
      <c r="CM586" s="132"/>
      <c r="CN586" s="274"/>
      <c r="CO586" s="144"/>
      <c r="CP586" s="274"/>
      <c r="CQ586" s="132"/>
      <c r="CR586" s="132"/>
      <c r="CS586" s="132"/>
      <c r="CT586" s="274"/>
      <c r="CU586" s="144"/>
      <c r="CV586" s="274"/>
      <c r="CW586" s="132"/>
      <c r="CX586" s="132"/>
      <c r="CY586" s="132"/>
      <c r="CZ586" s="118"/>
      <c r="DA586" s="144"/>
      <c r="DB586" s="118"/>
      <c r="DC586" s="33"/>
      <c r="DD586" s="39"/>
      <c r="DE586" s="11"/>
      <c r="DF586" s="132"/>
      <c r="DG586" s="132"/>
      <c r="DH586" s="132"/>
      <c r="DI586" s="132"/>
      <c r="DJ586" s="132"/>
      <c r="DK586" s="132"/>
      <c r="DL586" s="132"/>
      <c r="DM586" s="132"/>
      <c r="DN586" s="132"/>
      <c r="DO586" s="132"/>
      <c r="DP586" s="132"/>
      <c r="DQ586" s="132"/>
      <c r="DR586" s="132"/>
      <c r="DS586" s="132"/>
      <c r="DT586" s="132"/>
      <c r="DU586" s="132"/>
      <c r="DV586" s="132"/>
      <c r="DW586" s="132"/>
      <c r="DX586" s="132"/>
      <c r="DY586" s="132"/>
      <c r="DZ586" s="132"/>
      <c r="EA586" s="132"/>
      <c r="EB586" s="132"/>
      <c r="EC586" s="132"/>
      <c r="ED586" s="132"/>
      <c r="EE586" s="132"/>
      <c r="EF586" s="132"/>
      <c r="EG586" s="132"/>
      <c r="EH586" s="132"/>
      <c r="EI586" s="132"/>
      <c r="EJ586" s="132"/>
      <c r="EK586" s="132"/>
      <c r="EL586" s="132"/>
      <c r="EM586" s="132"/>
      <c r="EN586" s="132"/>
      <c r="EO586" s="132"/>
      <c r="EP586" s="132"/>
      <c r="EQ586" s="132"/>
      <c r="ER586" s="132"/>
      <c r="ES586" s="132"/>
      <c r="ET586" s="11"/>
      <c r="EU586" s="11"/>
      <c r="EV586" s="11"/>
      <c r="EW586" s="11"/>
      <c r="EX586" s="11"/>
      <c r="EY586" s="11"/>
      <c r="EZ586" s="11"/>
      <c r="FA586" s="11"/>
      <c r="FB586" s="11"/>
      <c r="FC586" s="11"/>
      <c r="FD586" s="11"/>
      <c r="FE586" s="11"/>
      <c r="FF586" s="11"/>
      <c r="FG586" s="11"/>
      <c r="FH586" s="39">
        <f t="shared" si="151"/>
        <v>0</v>
      </c>
      <c r="FI586" s="33">
        <f t="shared" si="152"/>
        <v>0</v>
      </c>
      <c r="FJ586" s="84" t="str">
        <f t="shared" si="153"/>
        <v xml:space="preserve"> </v>
      </c>
    </row>
    <row r="587" spans="1:166" ht="13.5" x14ac:dyDescent="0.25">
      <c r="A587" s="79" t="e">
        <f>#REF!</f>
        <v>#REF!</v>
      </c>
      <c r="B587" s="75" t="e">
        <f>#REF!</f>
        <v>#REF!</v>
      </c>
      <c r="C587" s="75" t="e">
        <f>#REF!</f>
        <v>#REF!</v>
      </c>
      <c r="D587" s="75" t="e">
        <f>#REF!</f>
        <v>#REF!</v>
      </c>
      <c r="E587" s="30">
        <v>1</v>
      </c>
      <c r="F587" s="238">
        <v>0</v>
      </c>
      <c r="G587" s="241">
        <v>0</v>
      </c>
      <c r="H587" s="249">
        <v>0</v>
      </c>
      <c r="I587" s="249">
        <v>0</v>
      </c>
      <c r="J587" s="249">
        <v>178500</v>
      </c>
      <c r="K587" s="249">
        <v>173740</v>
      </c>
      <c r="L587" s="274">
        <f>J587</f>
        <v>178500</v>
      </c>
      <c r="M587" s="274">
        <f>K587*E1</f>
        <v>178952.2</v>
      </c>
      <c r="N587" s="245"/>
      <c r="O587" s="113"/>
      <c r="P587" s="113"/>
      <c r="Q587" s="131"/>
      <c r="R587" s="131"/>
      <c r="S587" s="64"/>
      <c r="T587" s="113"/>
      <c r="U587" s="113"/>
      <c r="V587" s="113"/>
      <c r="W587" s="131"/>
      <c r="X587" s="131"/>
      <c r="Y587" s="11"/>
      <c r="Z587" s="113"/>
      <c r="AA587" s="113"/>
      <c r="AB587" s="113"/>
      <c r="AC587" s="52"/>
      <c r="AD587" s="52"/>
      <c r="AE587" s="11"/>
      <c r="AF587" s="118"/>
      <c r="AG587" s="144"/>
      <c r="AH587" s="113"/>
      <c r="AI587" s="11"/>
      <c r="AJ587" s="11"/>
      <c r="AK587" s="39"/>
      <c r="AL587" s="113"/>
      <c r="AM587" s="113"/>
      <c r="AN587" s="117"/>
      <c r="AO587" s="76"/>
      <c r="AP587" s="39"/>
      <c r="AQ587" s="39"/>
      <c r="AR587" s="275"/>
      <c r="AS587" s="275"/>
      <c r="AT587" s="275"/>
      <c r="AU587" s="62"/>
      <c r="AV587" s="62"/>
      <c r="AW587" s="11"/>
      <c r="AX587" s="116"/>
      <c r="AY587" s="196"/>
      <c r="AZ587" s="143"/>
      <c r="BA587" s="191"/>
      <c r="BB587" s="132"/>
      <c r="BC587" s="132"/>
      <c r="BD587" s="274"/>
      <c r="BE587" s="143"/>
      <c r="BF587" s="143"/>
      <c r="BG587" s="132"/>
      <c r="BH587" s="132"/>
      <c r="BI587" s="132"/>
      <c r="BJ587" s="143"/>
      <c r="BK587" s="143"/>
      <c r="BL587" s="143"/>
      <c r="BM587" s="132"/>
      <c r="BN587" s="132"/>
      <c r="BO587" s="132"/>
      <c r="BP587" s="143"/>
      <c r="BQ587" s="132"/>
      <c r="BR587" s="132"/>
      <c r="BS587" s="132"/>
      <c r="BT587" s="132"/>
      <c r="BU587" s="132"/>
      <c r="BV587" s="263">
        <v>138000</v>
      </c>
      <c r="BW587" s="144">
        <f>BV587*19%</f>
        <v>26220</v>
      </c>
      <c r="BX587" s="113">
        <f>+BV587+BW587</f>
        <v>164220</v>
      </c>
      <c r="BY587" s="264" t="s">
        <v>486</v>
      </c>
      <c r="BZ587" s="264" t="s">
        <v>487</v>
      </c>
      <c r="CA587" s="132"/>
      <c r="CB587" s="274"/>
      <c r="CC587" s="144"/>
      <c r="CD587" s="274"/>
      <c r="CE587" s="132"/>
      <c r="CF587" s="132"/>
      <c r="CG587" s="36"/>
      <c r="CH587" s="263">
        <v>142140</v>
      </c>
      <c r="CI587" s="265">
        <f>+CH587*0.19</f>
        <v>27006.6</v>
      </c>
      <c r="CJ587" s="263">
        <f>+CH587+CI587</f>
        <v>169146.6</v>
      </c>
      <c r="CK587" s="264" t="s">
        <v>486</v>
      </c>
      <c r="CL587" s="264" t="s">
        <v>487</v>
      </c>
      <c r="CM587" s="132"/>
      <c r="CN587" s="274"/>
      <c r="CO587" s="144"/>
      <c r="CP587" s="274"/>
      <c r="CQ587" s="132"/>
      <c r="CR587" s="132"/>
      <c r="CS587" s="132"/>
      <c r="CT587" s="274"/>
      <c r="CU587" s="144"/>
      <c r="CV587" s="274"/>
      <c r="CW587" s="132"/>
      <c r="CX587" s="132"/>
      <c r="CY587" s="132"/>
      <c r="CZ587" s="118"/>
      <c r="DA587" s="144"/>
      <c r="DB587" s="118"/>
      <c r="DC587" s="33"/>
      <c r="DD587" s="39"/>
      <c r="DE587" s="11"/>
      <c r="DF587" s="132"/>
      <c r="DG587" s="132"/>
      <c r="DH587" s="132"/>
      <c r="DI587" s="132"/>
      <c r="DJ587" s="132"/>
      <c r="DK587" s="132"/>
      <c r="DL587" s="132"/>
      <c r="DM587" s="132"/>
      <c r="DN587" s="132"/>
      <c r="DO587" s="132"/>
      <c r="DP587" s="132"/>
      <c r="DQ587" s="132"/>
      <c r="DR587" s="132"/>
      <c r="DS587" s="132"/>
      <c r="DT587" s="132"/>
      <c r="DU587" s="132"/>
      <c r="DV587" s="132"/>
      <c r="DW587" s="132"/>
      <c r="DX587" s="132"/>
      <c r="DY587" s="132"/>
      <c r="DZ587" s="132"/>
      <c r="EA587" s="132"/>
      <c r="EB587" s="132"/>
      <c r="EC587" s="132"/>
      <c r="ED587" s="132"/>
      <c r="EE587" s="132"/>
      <c r="EF587" s="132"/>
      <c r="EG587" s="132"/>
      <c r="EH587" s="132"/>
      <c r="EI587" s="132"/>
      <c r="EJ587" s="132"/>
      <c r="EK587" s="132"/>
      <c r="EL587" s="132"/>
      <c r="EM587" s="132"/>
      <c r="EN587" s="132"/>
      <c r="EO587" s="132"/>
      <c r="EP587" s="132"/>
      <c r="EQ587" s="132"/>
      <c r="ER587" s="132"/>
      <c r="ES587" s="132"/>
      <c r="ET587" s="11"/>
      <c r="EU587" s="11"/>
      <c r="EV587" s="11"/>
      <c r="EW587" s="11"/>
      <c r="EX587" s="11"/>
      <c r="EY587" s="11"/>
      <c r="EZ587" s="11"/>
      <c r="FA587" s="11"/>
      <c r="FB587" s="11"/>
      <c r="FC587" s="11"/>
      <c r="FD587" s="11"/>
      <c r="FE587" s="11"/>
      <c r="FF587" s="11"/>
      <c r="FG587" s="11"/>
      <c r="FH587" s="39">
        <f t="shared" si="151"/>
        <v>512318.80000000005</v>
      </c>
      <c r="FI587" s="33">
        <f t="shared" si="152"/>
        <v>3</v>
      </c>
      <c r="FJ587" s="84">
        <f t="shared" si="153"/>
        <v>170772.93333333335</v>
      </c>
    </row>
    <row r="588" spans="1:166" x14ac:dyDescent="0.25">
      <c r="A588" s="79" t="e">
        <f>#REF!</f>
        <v>#REF!</v>
      </c>
      <c r="B588" s="75" t="e">
        <f>#REF!</f>
        <v>#REF!</v>
      </c>
      <c r="C588" s="75" t="e">
        <f>#REF!</f>
        <v>#REF!</v>
      </c>
      <c r="D588" s="75" t="e">
        <f>#REF!</f>
        <v>#REF!</v>
      </c>
      <c r="E588" s="30">
        <v>1</v>
      </c>
      <c r="F588" s="238">
        <v>0</v>
      </c>
      <c r="G588" s="241">
        <v>0</v>
      </c>
      <c r="H588" s="249">
        <v>0</v>
      </c>
      <c r="I588" s="249">
        <v>0</v>
      </c>
      <c r="J588" s="249">
        <v>426020</v>
      </c>
      <c r="K588" s="249">
        <v>0</v>
      </c>
      <c r="L588" s="274">
        <f>J588</f>
        <v>426020</v>
      </c>
      <c r="M588" s="274"/>
      <c r="N588" s="245"/>
      <c r="O588" s="113"/>
      <c r="P588" s="113"/>
      <c r="Q588" s="131"/>
      <c r="R588" s="131"/>
      <c r="S588" s="64"/>
      <c r="T588" s="113"/>
      <c r="U588" s="113"/>
      <c r="V588" s="113"/>
      <c r="W588" s="131"/>
      <c r="X588" s="131"/>
      <c r="Y588" s="11"/>
      <c r="Z588" s="113"/>
      <c r="AA588" s="113"/>
      <c r="AB588" s="113"/>
      <c r="AC588" s="52"/>
      <c r="AD588" s="52"/>
      <c r="AE588" s="11"/>
      <c r="AF588" s="118"/>
      <c r="AG588" s="144"/>
      <c r="AH588" s="113"/>
      <c r="AI588" s="11"/>
      <c r="AJ588" s="11"/>
      <c r="AK588" s="39"/>
      <c r="AL588" s="113"/>
      <c r="AM588" s="113"/>
      <c r="AN588" s="117"/>
      <c r="AO588" s="76"/>
      <c r="AP588" s="39"/>
      <c r="AQ588" s="39"/>
      <c r="AR588" s="275"/>
      <c r="AS588" s="275"/>
      <c r="AT588" s="275"/>
      <c r="AU588" s="62"/>
      <c r="AV588" s="62"/>
      <c r="AW588" s="11"/>
      <c r="AX588" s="116"/>
      <c r="AY588" s="196"/>
      <c r="AZ588" s="143"/>
      <c r="BA588" s="191"/>
      <c r="BB588" s="132"/>
      <c r="BC588" s="132"/>
      <c r="BD588" s="274"/>
      <c r="BE588" s="143"/>
      <c r="BF588" s="143"/>
      <c r="BG588" s="132"/>
      <c r="BH588" s="132"/>
      <c r="BI588" s="132"/>
      <c r="BJ588" s="143"/>
      <c r="BK588" s="143"/>
      <c r="BL588" s="143"/>
      <c r="BM588" s="132"/>
      <c r="BN588" s="132"/>
      <c r="BO588" s="132"/>
      <c r="BP588" s="143"/>
      <c r="BQ588" s="132"/>
      <c r="BR588" s="132"/>
      <c r="BS588" s="132"/>
      <c r="BT588" s="132"/>
      <c r="BU588" s="132"/>
      <c r="BV588" s="210"/>
      <c r="BW588" s="144"/>
      <c r="BX588" s="113"/>
      <c r="BY588" s="273"/>
      <c r="BZ588" s="273"/>
      <c r="CA588" s="132"/>
      <c r="CB588" s="274"/>
      <c r="CC588" s="144"/>
      <c r="CD588" s="274"/>
      <c r="CE588" s="132"/>
      <c r="CF588" s="132"/>
      <c r="CG588" s="36"/>
      <c r="CH588" s="210"/>
      <c r="CI588" s="219"/>
      <c r="CJ588" s="210"/>
      <c r="CK588" s="273"/>
      <c r="CL588" s="273"/>
      <c r="CM588" s="132"/>
      <c r="CN588" s="274"/>
      <c r="CO588" s="144"/>
      <c r="CP588" s="274"/>
      <c r="CQ588" s="132"/>
      <c r="CR588" s="132"/>
      <c r="CS588" s="132"/>
      <c r="CT588" s="274"/>
      <c r="CU588" s="144"/>
      <c r="CV588" s="274"/>
      <c r="CW588" s="132"/>
      <c r="CX588" s="132"/>
      <c r="CY588" s="132"/>
      <c r="CZ588" s="118"/>
      <c r="DA588" s="144"/>
      <c r="DB588" s="118"/>
      <c r="DC588" s="33"/>
      <c r="DD588" s="39"/>
      <c r="DE588" s="11"/>
      <c r="DF588" s="132"/>
      <c r="DG588" s="132"/>
      <c r="DH588" s="132"/>
      <c r="DI588" s="132"/>
      <c r="DJ588" s="132"/>
      <c r="DK588" s="132"/>
      <c r="DL588" s="132"/>
      <c r="DM588" s="132"/>
      <c r="DN588" s="132"/>
      <c r="DO588" s="132"/>
      <c r="DP588" s="132"/>
      <c r="DQ588" s="132"/>
      <c r="DR588" s="132"/>
      <c r="DS588" s="132"/>
      <c r="DT588" s="132"/>
      <c r="DU588" s="132"/>
      <c r="DV588" s="132"/>
      <c r="DW588" s="132"/>
      <c r="DX588" s="132"/>
      <c r="DY588" s="132"/>
      <c r="DZ588" s="132"/>
      <c r="EA588" s="132"/>
      <c r="EB588" s="132"/>
      <c r="EC588" s="132"/>
      <c r="ED588" s="132"/>
      <c r="EE588" s="132"/>
      <c r="EF588" s="132"/>
      <c r="EG588" s="132"/>
      <c r="EH588" s="132"/>
      <c r="EI588" s="132"/>
      <c r="EJ588" s="132"/>
      <c r="EK588" s="132"/>
      <c r="EL588" s="132"/>
      <c r="EM588" s="132"/>
      <c r="EN588" s="132"/>
      <c r="EO588" s="132"/>
      <c r="EP588" s="132"/>
      <c r="EQ588" s="132"/>
      <c r="ER588" s="132"/>
      <c r="ES588" s="132"/>
      <c r="ET588" s="11"/>
      <c r="EU588" s="11"/>
      <c r="EV588" s="11"/>
      <c r="EW588" s="11"/>
      <c r="EX588" s="11"/>
      <c r="EY588" s="11"/>
      <c r="EZ588" s="11"/>
      <c r="FA588" s="11"/>
      <c r="FB588" s="11"/>
      <c r="FC588" s="11"/>
      <c r="FD588" s="11"/>
      <c r="FE588" s="11"/>
      <c r="FF588" s="11"/>
      <c r="FG588" s="11"/>
      <c r="FH588" s="39">
        <f t="shared" si="151"/>
        <v>0</v>
      </c>
      <c r="FI588" s="33">
        <f t="shared" si="152"/>
        <v>0</v>
      </c>
      <c r="FJ588" s="84" t="str">
        <f t="shared" si="153"/>
        <v xml:space="preserve"> </v>
      </c>
    </row>
    <row r="589" spans="1:166" ht="13.5" x14ac:dyDescent="0.25">
      <c r="A589" s="79" t="e">
        <f>#REF!</f>
        <v>#REF!</v>
      </c>
      <c r="B589" s="75" t="e">
        <f>#REF!</f>
        <v>#REF!</v>
      </c>
      <c r="C589" s="75" t="e">
        <f>#REF!</f>
        <v>#REF!</v>
      </c>
      <c r="D589" s="75" t="e">
        <f>#REF!</f>
        <v>#REF!</v>
      </c>
      <c r="E589" s="30">
        <v>1</v>
      </c>
      <c r="F589" s="238">
        <v>0</v>
      </c>
      <c r="G589" s="241">
        <v>0</v>
      </c>
      <c r="H589" s="249">
        <v>0</v>
      </c>
      <c r="I589" s="249">
        <v>0</v>
      </c>
      <c r="J589" s="249">
        <v>233000</v>
      </c>
      <c r="K589" s="249">
        <v>0</v>
      </c>
      <c r="L589" s="274">
        <f>J589</f>
        <v>233000</v>
      </c>
      <c r="M589" s="274"/>
      <c r="N589" s="245"/>
      <c r="O589" s="113"/>
      <c r="P589" s="113"/>
      <c r="Q589" s="131"/>
      <c r="R589" s="131"/>
      <c r="S589" s="64"/>
      <c r="T589" s="113"/>
      <c r="U589" s="113"/>
      <c r="V589" s="113"/>
      <c r="W589" s="131"/>
      <c r="X589" s="131"/>
      <c r="Y589" s="11"/>
      <c r="Z589" s="113"/>
      <c r="AA589" s="113"/>
      <c r="AB589" s="113"/>
      <c r="AC589" s="131"/>
      <c r="AD589" s="52"/>
      <c r="AE589" s="11"/>
      <c r="AF589" s="118"/>
      <c r="AG589" s="144"/>
      <c r="AH589" s="113"/>
      <c r="AI589" s="11"/>
      <c r="AJ589" s="11"/>
      <c r="AK589" s="39"/>
      <c r="AL589" s="113"/>
      <c r="AM589" s="113"/>
      <c r="AN589" s="117"/>
      <c r="AO589" s="76"/>
      <c r="AP589" s="39"/>
      <c r="AQ589" s="39"/>
      <c r="AR589" s="275"/>
      <c r="AS589" s="275"/>
      <c r="AT589" s="275"/>
      <c r="AU589" s="62"/>
      <c r="AV589" s="62"/>
      <c r="AW589" s="11"/>
      <c r="AX589" s="116"/>
      <c r="AY589" s="196"/>
      <c r="AZ589" s="143"/>
      <c r="BA589" s="191"/>
      <c r="BB589" s="132"/>
      <c r="BC589" s="132"/>
      <c r="BD589" s="274"/>
      <c r="BE589" s="143"/>
      <c r="BF589" s="143"/>
      <c r="BG589" s="132"/>
      <c r="BH589" s="132"/>
      <c r="BI589" s="132"/>
      <c r="BJ589" s="143"/>
      <c r="BK589" s="143"/>
      <c r="BL589" s="143"/>
      <c r="BM589" s="132"/>
      <c r="BN589" s="132"/>
      <c r="BO589" s="132"/>
      <c r="BP589" s="143"/>
      <c r="BQ589" s="132"/>
      <c r="BR589" s="132"/>
      <c r="BS589" s="132"/>
      <c r="BT589" s="132"/>
      <c r="BU589" s="132"/>
      <c r="BV589" s="263">
        <v>333000</v>
      </c>
      <c r="BW589" s="144">
        <f>BV589*19%</f>
        <v>63270</v>
      </c>
      <c r="BX589" s="113">
        <f>+BV589+BW589</f>
        <v>396270</v>
      </c>
      <c r="BY589" s="264" t="s">
        <v>420</v>
      </c>
      <c r="BZ589" s="264" t="s">
        <v>487</v>
      </c>
      <c r="CA589" s="132"/>
      <c r="CB589" s="274"/>
      <c r="CC589" s="144"/>
      <c r="CD589" s="274"/>
      <c r="CE589" s="132"/>
      <c r="CF589" s="132"/>
      <c r="CG589" s="36"/>
      <c r="CH589" s="263">
        <v>346320</v>
      </c>
      <c r="CI589" s="265">
        <f>+CH589*0.19</f>
        <v>65800.800000000003</v>
      </c>
      <c r="CJ589" s="263">
        <f>+CH589+CI589</f>
        <v>412120.8</v>
      </c>
      <c r="CK589" s="264" t="s">
        <v>420</v>
      </c>
      <c r="CL589" s="264" t="s">
        <v>487</v>
      </c>
      <c r="CM589" s="132"/>
      <c r="CN589" s="274"/>
      <c r="CO589" s="144"/>
      <c r="CP589" s="274"/>
      <c r="CQ589" s="132"/>
      <c r="CR589" s="132"/>
      <c r="CS589" s="132"/>
      <c r="CT589" s="274"/>
      <c r="CU589" s="144"/>
      <c r="CV589" s="274"/>
      <c r="CW589" s="132"/>
      <c r="CX589" s="132"/>
      <c r="CY589" s="132"/>
      <c r="CZ589" s="118"/>
      <c r="DA589" s="144"/>
      <c r="DB589" s="118"/>
      <c r="DC589" s="33"/>
      <c r="DD589" s="39"/>
      <c r="DE589" s="11"/>
      <c r="DF589" s="132"/>
      <c r="DG589" s="132"/>
      <c r="DH589" s="132"/>
      <c r="DI589" s="132"/>
      <c r="DJ589" s="132"/>
      <c r="DK589" s="132"/>
      <c r="DL589" s="132"/>
      <c r="DM589" s="132"/>
      <c r="DN589" s="132"/>
      <c r="DO589" s="132"/>
      <c r="DP589" s="132"/>
      <c r="DQ589" s="132"/>
      <c r="DR589" s="132"/>
      <c r="DS589" s="132"/>
      <c r="DT589" s="132"/>
      <c r="DU589" s="132"/>
      <c r="DV589" s="132"/>
      <c r="DW589" s="132"/>
      <c r="DX589" s="132"/>
      <c r="DY589" s="132"/>
      <c r="DZ589" s="132"/>
      <c r="EA589" s="132"/>
      <c r="EB589" s="132"/>
      <c r="EC589" s="132"/>
      <c r="ED589" s="132"/>
      <c r="EE589" s="132"/>
      <c r="EF589" s="132"/>
      <c r="EG589" s="132"/>
      <c r="EH589" s="132"/>
      <c r="EI589" s="132"/>
      <c r="EJ589" s="132"/>
      <c r="EK589" s="132"/>
      <c r="EL589" s="132"/>
      <c r="EM589" s="132"/>
      <c r="EN589" s="132"/>
      <c r="EO589" s="132"/>
      <c r="EP589" s="132"/>
      <c r="EQ589" s="132"/>
      <c r="ER589" s="132"/>
      <c r="ES589" s="132"/>
      <c r="ET589" s="11"/>
      <c r="EU589" s="11"/>
      <c r="EV589" s="11"/>
      <c r="EW589" s="11"/>
      <c r="EX589" s="11"/>
      <c r="EY589" s="11"/>
      <c r="EZ589" s="11"/>
      <c r="FA589" s="11"/>
      <c r="FB589" s="11"/>
      <c r="FC589" s="11"/>
      <c r="FD589" s="11"/>
      <c r="FE589" s="11"/>
      <c r="FF589" s="11"/>
      <c r="FG589" s="11"/>
      <c r="FH589" s="39">
        <f t="shared" si="151"/>
        <v>808390.8</v>
      </c>
      <c r="FI589" s="33">
        <f t="shared" si="152"/>
        <v>2</v>
      </c>
      <c r="FJ589" s="84">
        <f t="shared" si="153"/>
        <v>404195.4</v>
      </c>
    </row>
    <row r="590" spans="1:166" ht="13.5" x14ac:dyDescent="0.25">
      <c r="A590" s="79" t="e">
        <f>#REF!</f>
        <v>#REF!</v>
      </c>
      <c r="B590" s="75" t="e">
        <f>#REF!</f>
        <v>#REF!</v>
      </c>
      <c r="C590" s="75" t="e">
        <f>#REF!</f>
        <v>#REF!</v>
      </c>
      <c r="D590" s="75" t="e">
        <f>#REF!</f>
        <v>#REF!</v>
      </c>
      <c r="E590" s="30">
        <v>1</v>
      </c>
      <c r="F590" s="238">
        <v>300000</v>
      </c>
      <c r="G590" s="241">
        <v>0</v>
      </c>
      <c r="H590" s="249">
        <v>887561.5</v>
      </c>
      <c r="I590" s="249">
        <v>0</v>
      </c>
      <c r="J590" s="249">
        <v>0</v>
      </c>
      <c r="K590" s="249">
        <v>0</v>
      </c>
      <c r="L590" s="274">
        <f>AVERAGE(F590,H590)</f>
        <v>593780.75</v>
      </c>
      <c r="M590" s="274"/>
      <c r="N590" s="245"/>
      <c r="O590" s="113"/>
      <c r="P590" s="113"/>
      <c r="Q590" s="131"/>
      <c r="R590" s="131"/>
      <c r="S590" s="64"/>
      <c r="T590" s="113"/>
      <c r="U590" s="113"/>
      <c r="V590" s="113"/>
      <c r="W590" s="131"/>
      <c r="X590" s="131"/>
      <c r="Y590" s="11"/>
      <c r="Z590" s="113"/>
      <c r="AA590" s="113"/>
      <c r="AB590" s="113"/>
      <c r="AC590" s="131"/>
      <c r="AD590" s="52"/>
      <c r="AE590" s="11"/>
      <c r="AF590" s="113"/>
      <c r="AG590" s="144"/>
      <c r="AH590" s="113"/>
      <c r="AI590" s="11"/>
      <c r="AJ590" s="11"/>
      <c r="AK590" s="39"/>
      <c r="AL590" s="113"/>
      <c r="AM590" s="113"/>
      <c r="AN590" s="117"/>
      <c r="AO590" s="76"/>
      <c r="AP590" s="39"/>
      <c r="AQ590" s="39"/>
      <c r="AR590" s="275"/>
      <c r="AS590" s="275"/>
      <c r="AT590" s="275"/>
      <c r="AU590" s="62"/>
      <c r="AV590" s="62"/>
      <c r="AW590" s="11"/>
      <c r="AX590" s="116"/>
      <c r="AY590" s="196"/>
      <c r="AZ590" s="143"/>
      <c r="BA590" s="191"/>
      <c r="BB590" s="132"/>
      <c r="BC590" s="132"/>
      <c r="BD590" s="275"/>
      <c r="BE590" s="143"/>
      <c r="BF590" s="143"/>
      <c r="BG590" s="132"/>
      <c r="BH590" s="132"/>
      <c r="BI590" s="132"/>
      <c r="BJ590" s="143"/>
      <c r="BK590" s="143"/>
      <c r="BL590" s="143"/>
      <c r="BM590" s="132"/>
      <c r="BN590" s="132"/>
      <c r="BO590" s="132"/>
      <c r="BP590" s="143"/>
      <c r="BQ590" s="132"/>
      <c r="BR590" s="132"/>
      <c r="BS590" s="132"/>
      <c r="BT590" s="132"/>
      <c r="BU590" s="132"/>
      <c r="BV590" s="267">
        <v>460000</v>
      </c>
      <c r="BW590" s="144">
        <f>BV590*19%</f>
        <v>87400</v>
      </c>
      <c r="BX590" s="113">
        <f>+BV590+BW590</f>
        <v>547400</v>
      </c>
      <c r="BY590" s="264" t="s">
        <v>420</v>
      </c>
      <c r="BZ590" s="264" t="s">
        <v>487</v>
      </c>
      <c r="CA590" s="132"/>
      <c r="CB590" s="275"/>
      <c r="CC590" s="143"/>
      <c r="CD590" s="275"/>
      <c r="CE590" s="132"/>
      <c r="CF590" s="132"/>
      <c r="CG590" s="36"/>
      <c r="CH590" s="267">
        <v>464600</v>
      </c>
      <c r="CI590" s="265">
        <f>+CH590*0.19</f>
        <v>88274</v>
      </c>
      <c r="CJ590" s="263">
        <f>+CH590+CI590</f>
        <v>552874</v>
      </c>
      <c r="CK590" s="264" t="s">
        <v>420</v>
      </c>
      <c r="CL590" s="264" t="s">
        <v>487</v>
      </c>
      <c r="CM590" s="132"/>
      <c r="CN590" s="275"/>
      <c r="CO590" s="143"/>
      <c r="CP590" s="275"/>
      <c r="CQ590" s="132"/>
      <c r="CR590" s="132"/>
      <c r="CS590" s="132"/>
      <c r="CT590" s="275"/>
      <c r="CU590" s="143"/>
      <c r="CV590" s="275"/>
      <c r="CW590" s="132"/>
      <c r="CX590" s="132"/>
      <c r="CY590" s="132"/>
      <c r="CZ590" s="113"/>
      <c r="DA590" s="143"/>
      <c r="DB590" s="113"/>
      <c r="DC590" s="33"/>
      <c r="DD590" s="39"/>
      <c r="DE590" s="11"/>
      <c r="DF590" s="132"/>
      <c r="DG590" s="132"/>
      <c r="DH590" s="132"/>
      <c r="DI590" s="132"/>
      <c r="DJ590" s="132"/>
      <c r="DK590" s="132"/>
      <c r="DL590" s="132"/>
      <c r="DM590" s="132"/>
      <c r="DN590" s="132"/>
      <c r="DO590" s="132"/>
      <c r="DP590" s="132"/>
      <c r="DQ590" s="132"/>
      <c r="DR590" s="132"/>
      <c r="DS590" s="132"/>
      <c r="DT590" s="132"/>
      <c r="DU590" s="132"/>
      <c r="DV590" s="132"/>
      <c r="DW590" s="132"/>
      <c r="DX590" s="132"/>
      <c r="DY590" s="132"/>
      <c r="DZ590" s="132"/>
      <c r="EA590" s="132"/>
      <c r="EB590" s="132"/>
      <c r="EC590" s="132"/>
      <c r="ED590" s="132"/>
      <c r="EE590" s="132"/>
      <c r="EF590" s="132"/>
      <c r="EG590" s="132"/>
      <c r="EH590" s="132"/>
      <c r="EI590" s="132"/>
      <c r="EJ590" s="132"/>
      <c r="EK590" s="132"/>
      <c r="EL590" s="132"/>
      <c r="EM590" s="132"/>
      <c r="EN590" s="132"/>
      <c r="EO590" s="132"/>
      <c r="EP590" s="132"/>
      <c r="EQ590" s="132"/>
      <c r="ER590" s="132"/>
      <c r="ES590" s="132"/>
      <c r="ET590" s="11"/>
      <c r="EU590" s="11"/>
      <c r="EV590" s="11"/>
      <c r="EW590" s="11"/>
      <c r="EX590" s="11"/>
      <c r="EY590" s="11"/>
      <c r="EZ590" s="11"/>
      <c r="FA590" s="11"/>
      <c r="FB590" s="11"/>
      <c r="FC590" s="11"/>
      <c r="FD590" s="11"/>
      <c r="FE590" s="11"/>
      <c r="FF590" s="275"/>
      <c r="FG590" s="71"/>
      <c r="FH590" s="39">
        <f t="shared" si="151"/>
        <v>1100274</v>
      </c>
      <c r="FI590" s="33">
        <f t="shared" si="152"/>
        <v>2</v>
      </c>
      <c r="FJ590" s="84">
        <f t="shared" si="153"/>
        <v>550137</v>
      </c>
    </row>
    <row r="591" spans="1:166" ht="13.5" x14ac:dyDescent="0.25">
      <c r="A591" s="79" t="e">
        <f>#REF!</f>
        <v>#REF!</v>
      </c>
      <c r="B591" s="75" t="e">
        <f>#REF!</f>
        <v>#REF!</v>
      </c>
      <c r="C591" s="75" t="e">
        <f>#REF!</f>
        <v>#REF!</v>
      </c>
      <c r="D591" s="75" t="e">
        <f>#REF!</f>
        <v>#REF!</v>
      </c>
      <c r="E591" s="30">
        <v>1</v>
      </c>
      <c r="F591" s="238">
        <v>0</v>
      </c>
      <c r="G591" s="241">
        <v>0</v>
      </c>
      <c r="H591" s="249">
        <v>438158</v>
      </c>
      <c r="I591" s="249">
        <v>0</v>
      </c>
      <c r="J591" s="249">
        <v>354620</v>
      </c>
      <c r="K591" s="249">
        <v>0</v>
      </c>
      <c r="L591" s="274">
        <f>AVERAGE(H591,J591)</f>
        <v>396389</v>
      </c>
      <c r="M591" s="274"/>
      <c r="N591" s="245"/>
      <c r="O591" s="113"/>
      <c r="P591" s="113"/>
      <c r="Q591" s="131"/>
      <c r="R591" s="131"/>
      <c r="S591" s="64"/>
      <c r="T591" s="113"/>
      <c r="U591" s="113"/>
      <c r="V591" s="113"/>
      <c r="W591" s="131"/>
      <c r="X591" s="131"/>
      <c r="Y591" s="11"/>
      <c r="Z591" s="113"/>
      <c r="AA591" s="113"/>
      <c r="AB591" s="113"/>
      <c r="AC591" s="52"/>
      <c r="AD591" s="52"/>
      <c r="AE591" s="11"/>
      <c r="AF591" s="118"/>
      <c r="AG591" s="144"/>
      <c r="AH591" s="113"/>
      <c r="AI591" s="11"/>
      <c r="AJ591" s="11"/>
      <c r="AK591" s="39"/>
      <c r="AL591" s="113"/>
      <c r="AM591" s="113"/>
      <c r="AN591" s="147"/>
      <c r="AO591" s="76"/>
      <c r="AP591" s="39"/>
      <c r="AQ591" s="39"/>
      <c r="AR591" s="275"/>
      <c r="AS591" s="275"/>
      <c r="AT591" s="275"/>
      <c r="AU591" s="62"/>
      <c r="AV591" s="62"/>
      <c r="AW591" s="11"/>
      <c r="AX591" s="116"/>
      <c r="AY591" s="196"/>
      <c r="AZ591" s="143"/>
      <c r="BA591" s="191"/>
      <c r="BB591" s="132"/>
      <c r="BC591" s="132"/>
      <c r="BD591" s="274"/>
      <c r="BE591" s="143"/>
      <c r="BF591" s="143"/>
      <c r="BG591" s="132"/>
      <c r="BH591" s="132"/>
      <c r="BI591" s="132"/>
      <c r="BJ591" s="143"/>
      <c r="BK591" s="143"/>
      <c r="BL591" s="143"/>
      <c r="BM591" s="132"/>
      <c r="BN591" s="132"/>
      <c r="BO591" s="132"/>
      <c r="BP591" s="143"/>
      <c r="BQ591" s="132"/>
      <c r="BR591" s="132"/>
      <c r="BS591" s="132"/>
      <c r="BT591" s="132"/>
      <c r="BU591" s="132"/>
      <c r="BV591" s="263">
        <v>333000</v>
      </c>
      <c r="BW591" s="144">
        <f>BV591*19%</f>
        <v>63270</v>
      </c>
      <c r="BX591" s="113">
        <f>+BV591+BW591</f>
        <v>396270</v>
      </c>
      <c r="BY591" s="264" t="s">
        <v>420</v>
      </c>
      <c r="BZ591" s="264" t="s">
        <v>487</v>
      </c>
      <c r="CA591" s="132"/>
      <c r="CB591" s="274"/>
      <c r="CC591" s="144"/>
      <c r="CD591" s="274"/>
      <c r="CE591" s="132"/>
      <c r="CF591" s="132"/>
      <c r="CG591" s="36"/>
      <c r="CH591" s="263">
        <v>342990</v>
      </c>
      <c r="CI591" s="265">
        <f>+CH591*0.19</f>
        <v>65168.1</v>
      </c>
      <c r="CJ591" s="263">
        <f>+CH591+CI591</f>
        <v>408158.1</v>
      </c>
      <c r="CK591" s="264" t="s">
        <v>420</v>
      </c>
      <c r="CL591" s="264" t="s">
        <v>487</v>
      </c>
      <c r="CM591" s="132"/>
      <c r="CN591" s="274"/>
      <c r="CO591" s="144"/>
      <c r="CP591" s="274"/>
      <c r="CQ591" s="132"/>
      <c r="CR591" s="132"/>
      <c r="CS591" s="132"/>
      <c r="CT591" s="274"/>
      <c r="CU591" s="144"/>
      <c r="CV591" s="274"/>
      <c r="CW591" s="132"/>
      <c r="CX591" s="132"/>
      <c r="CY591" s="132"/>
      <c r="CZ591" s="118"/>
      <c r="DA591" s="144"/>
      <c r="DB591" s="118"/>
      <c r="DC591" s="33"/>
      <c r="DD591" s="39"/>
      <c r="DE591" s="11"/>
      <c r="DF591" s="132"/>
      <c r="DG591" s="132"/>
      <c r="DH591" s="132"/>
      <c r="DI591" s="132"/>
      <c r="DJ591" s="132"/>
      <c r="DK591" s="132"/>
      <c r="DL591" s="132"/>
      <c r="DM591" s="132"/>
      <c r="DN591" s="132"/>
      <c r="DO591" s="132"/>
      <c r="DP591" s="132"/>
      <c r="DQ591" s="132"/>
      <c r="DR591" s="132"/>
      <c r="DS591" s="132"/>
      <c r="DT591" s="132"/>
      <c r="DU591" s="132"/>
      <c r="DV591" s="132"/>
      <c r="DW591" s="132"/>
      <c r="DX591" s="132"/>
      <c r="DY591" s="132"/>
      <c r="DZ591" s="132"/>
      <c r="EA591" s="132"/>
      <c r="EB591" s="132"/>
      <c r="EC591" s="132"/>
      <c r="ED591" s="132"/>
      <c r="EE591" s="132"/>
      <c r="EF591" s="132"/>
      <c r="EG591" s="132"/>
      <c r="EH591" s="132"/>
      <c r="EI591" s="132"/>
      <c r="EJ591" s="132"/>
      <c r="EK591" s="132"/>
      <c r="EL591" s="132"/>
      <c r="EM591" s="132"/>
      <c r="EN591" s="132"/>
      <c r="EO591" s="132"/>
      <c r="EP591" s="132"/>
      <c r="EQ591" s="132"/>
      <c r="ER591" s="132"/>
      <c r="ES591" s="132"/>
      <c r="ET591" s="11"/>
      <c r="EU591" s="11"/>
      <c r="EV591" s="11"/>
      <c r="EW591" s="11"/>
      <c r="EX591" s="11"/>
      <c r="EY591" s="11"/>
      <c r="EZ591" s="11"/>
      <c r="FA591" s="11"/>
      <c r="FB591" s="11"/>
      <c r="FC591" s="11"/>
      <c r="FD591" s="11"/>
      <c r="FE591" s="11"/>
      <c r="FF591" s="11"/>
      <c r="FG591" s="11"/>
      <c r="FH591" s="39">
        <f t="shared" si="151"/>
        <v>804428.1</v>
      </c>
      <c r="FI591" s="33">
        <f t="shared" si="152"/>
        <v>2</v>
      </c>
      <c r="FJ591" s="84">
        <f t="shared" si="153"/>
        <v>402214.05</v>
      </c>
    </row>
    <row r="592" spans="1:166" x14ac:dyDescent="0.25">
      <c r="A592" s="79" t="e">
        <f>#REF!</f>
        <v>#REF!</v>
      </c>
      <c r="B592" s="75" t="e">
        <f>#REF!</f>
        <v>#REF!</v>
      </c>
      <c r="C592" s="75" t="e">
        <f>#REF!</f>
        <v>#REF!</v>
      </c>
      <c r="D592" s="75" t="e">
        <f>#REF!</f>
        <v>#REF!</v>
      </c>
      <c r="E592" s="30">
        <v>1</v>
      </c>
      <c r="F592" s="238">
        <v>0</v>
      </c>
      <c r="G592" s="241">
        <v>0</v>
      </c>
      <c r="H592" s="249">
        <v>0</v>
      </c>
      <c r="I592" s="249">
        <v>0</v>
      </c>
      <c r="J592" s="249">
        <v>168087.5</v>
      </c>
      <c r="K592" s="249">
        <v>164220</v>
      </c>
      <c r="L592" s="274">
        <f>J592</f>
        <v>168087.5</v>
      </c>
      <c r="M592" s="274">
        <f>K592*E1</f>
        <v>169146.6</v>
      </c>
      <c r="N592" s="245"/>
      <c r="O592" s="113"/>
      <c r="P592" s="113"/>
      <c r="Q592" s="131"/>
      <c r="R592" s="131"/>
      <c r="S592" s="64"/>
      <c r="T592" s="113"/>
      <c r="U592" s="113"/>
      <c r="V592" s="113"/>
      <c r="W592" s="131"/>
      <c r="X592" s="131"/>
      <c r="Y592" s="11"/>
      <c r="Z592" s="113"/>
      <c r="AA592" s="113"/>
      <c r="AB592" s="113"/>
      <c r="AC592" s="52"/>
      <c r="AD592" s="52"/>
      <c r="AE592" s="11"/>
      <c r="AF592" s="118"/>
      <c r="AG592" s="144"/>
      <c r="AH592" s="113"/>
      <c r="AI592" s="11"/>
      <c r="AJ592" s="11"/>
      <c r="AK592" s="39"/>
      <c r="AL592" s="113"/>
      <c r="AM592" s="113"/>
      <c r="AN592" s="147"/>
      <c r="AO592" s="76"/>
      <c r="AP592" s="39"/>
      <c r="AQ592" s="39"/>
      <c r="AR592" s="275"/>
      <c r="AS592" s="275"/>
      <c r="AT592" s="275"/>
      <c r="AU592" s="62"/>
      <c r="AV592" s="62"/>
      <c r="AW592" s="11"/>
      <c r="AX592" s="116"/>
      <c r="AY592" s="196"/>
      <c r="AZ592" s="143"/>
      <c r="BA592" s="191"/>
      <c r="BB592" s="132"/>
      <c r="BC592" s="132"/>
      <c r="BD592" s="274"/>
      <c r="BE592" s="143"/>
      <c r="BF592" s="143"/>
      <c r="BG592" s="132"/>
      <c r="BH592" s="132"/>
      <c r="BI592" s="132"/>
      <c r="BJ592" s="143"/>
      <c r="BK592" s="143"/>
      <c r="BL592" s="143"/>
      <c r="BM592" s="132"/>
      <c r="BN592" s="132"/>
      <c r="BO592" s="132"/>
      <c r="BP592" s="143"/>
      <c r="BQ592" s="132"/>
      <c r="BR592" s="132"/>
      <c r="BS592" s="132"/>
      <c r="BT592" s="132"/>
      <c r="BU592" s="132"/>
      <c r="BV592" s="210"/>
      <c r="BW592" s="144"/>
      <c r="BX592" s="113"/>
      <c r="BY592" s="273"/>
      <c r="BZ592" s="273"/>
      <c r="CA592" s="132"/>
      <c r="CB592" s="274"/>
      <c r="CC592" s="144"/>
      <c r="CD592" s="274"/>
      <c r="CE592" s="132"/>
      <c r="CF592" s="132"/>
      <c r="CG592" s="36"/>
      <c r="CH592" s="210"/>
      <c r="CI592" s="219"/>
      <c r="CJ592" s="210"/>
      <c r="CK592" s="273"/>
      <c r="CL592" s="273"/>
      <c r="CM592" s="132"/>
      <c r="CN592" s="274"/>
      <c r="CO592" s="144"/>
      <c r="CP592" s="274"/>
      <c r="CQ592" s="132"/>
      <c r="CR592" s="132"/>
      <c r="CS592" s="132"/>
      <c r="CT592" s="274"/>
      <c r="CU592" s="144"/>
      <c r="CV592" s="274"/>
      <c r="CW592" s="132"/>
      <c r="CX592" s="132"/>
      <c r="CY592" s="132"/>
      <c r="CZ592" s="118"/>
      <c r="DA592" s="144"/>
      <c r="DB592" s="118"/>
      <c r="DC592" s="33"/>
      <c r="DD592" s="39"/>
      <c r="DE592" s="11"/>
      <c r="DF592" s="132"/>
      <c r="DG592" s="132"/>
      <c r="DH592" s="132"/>
      <c r="DI592" s="132"/>
      <c r="DJ592" s="132"/>
      <c r="DK592" s="132"/>
      <c r="DL592" s="132"/>
      <c r="DM592" s="132"/>
      <c r="DN592" s="132"/>
      <c r="DO592" s="132"/>
      <c r="DP592" s="132"/>
      <c r="DQ592" s="132"/>
      <c r="DR592" s="132"/>
      <c r="DS592" s="132"/>
      <c r="DT592" s="132"/>
      <c r="DU592" s="132"/>
      <c r="DV592" s="132"/>
      <c r="DW592" s="132"/>
      <c r="DX592" s="132"/>
      <c r="DY592" s="132"/>
      <c r="DZ592" s="132"/>
      <c r="EA592" s="132"/>
      <c r="EB592" s="132"/>
      <c r="EC592" s="132"/>
      <c r="ED592" s="132"/>
      <c r="EE592" s="132"/>
      <c r="EF592" s="132"/>
      <c r="EG592" s="132"/>
      <c r="EH592" s="132"/>
      <c r="EI592" s="132"/>
      <c r="EJ592" s="132"/>
      <c r="EK592" s="132"/>
      <c r="EL592" s="132"/>
      <c r="EM592" s="132"/>
      <c r="EN592" s="132"/>
      <c r="EO592" s="132"/>
      <c r="EP592" s="132"/>
      <c r="EQ592" s="132"/>
      <c r="ER592" s="132"/>
      <c r="ES592" s="132"/>
      <c r="ET592" s="11"/>
      <c r="EU592" s="11"/>
      <c r="EV592" s="11"/>
      <c r="EW592" s="11"/>
      <c r="EX592" s="11"/>
      <c r="EY592" s="11"/>
      <c r="EZ592" s="11"/>
      <c r="FA592" s="11"/>
      <c r="FB592" s="11"/>
      <c r="FC592" s="11"/>
      <c r="FD592" s="11"/>
      <c r="FE592" s="11"/>
      <c r="FF592" s="11"/>
      <c r="FG592" s="11"/>
      <c r="FH592" s="39">
        <f t="shared" si="151"/>
        <v>169146.6</v>
      </c>
      <c r="FI592" s="33">
        <f t="shared" si="152"/>
        <v>1</v>
      </c>
      <c r="FJ592" s="84">
        <f t="shared" si="153"/>
        <v>169146.6</v>
      </c>
    </row>
    <row r="593" spans="1:166" x14ac:dyDescent="0.25">
      <c r="A593" s="79" t="e">
        <f>#REF!</f>
        <v>#REF!</v>
      </c>
      <c r="B593" s="75" t="e">
        <f>#REF!</f>
        <v>#REF!</v>
      </c>
      <c r="C593" s="75" t="e">
        <f>#REF!</f>
        <v>#REF!</v>
      </c>
      <c r="D593" s="75" t="e">
        <f>#REF!</f>
        <v>#REF!</v>
      </c>
      <c r="E593" s="30">
        <v>1</v>
      </c>
      <c r="F593" s="238">
        <v>0</v>
      </c>
      <c r="G593" s="241">
        <v>0</v>
      </c>
      <c r="H593" s="249">
        <v>0</v>
      </c>
      <c r="I593" s="249">
        <v>0</v>
      </c>
      <c r="J593" s="249">
        <v>155890</v>
      </c>
      <c r="K593" s="249">
        <v>152320</v>
      </c>
      <c r="L593" s="274">
        <f>J593</f>
        <v>155890</v>
      </c>
      <c r="M593" s="274">
        <f>K593*E1</f>
        <v>156889.60000000001</v>
      </c>
      <c r="N593" s="245"/>
      <c r="O593" s="113"/>
      <c r="P593" s="113"/>
      <c r="Q593" s="131"/>
      <c r="R593" s="131"/>
      <c r="S593" s="64"/>
      <c r="T593" s="113"/>
      <c r="U593" s="113"/>
      <c r="V593" s="113"/>
      <c r="W593" s="131"/>
      <c r="X593" s="131"/>
      <c r="Y593" s="11"/>
      <c r="Z593" s="113"/>
      <c r="AA593" s="113"/>
      <c r="AB593" s="113"/>
      <c r="AC593" s="52"/>
      <c r="AD593" s="52"/>
      <c r="AE593" s="11"/>
      <c r="AF593" s="118"/>
      <c r="AG593" s="144"/>
      <c r="AH593" s="113"/>
      <c r="AI593" s="11"/>
      <c r="AJ593" s="11"/>
      <c r="AK593" s="39"/>
      <c r="AL593" s="113"/>
      <c r="AM593" s="113"/>
      <c r="AN593" s="147"/>
      <c r="AO593" s="76"/>
      <c r="AP593" s="39"/>
      <c r="AQ593" s="39"/>
      <c r="AR593" s="275"/>
      <c r="AS593" s="275"/>
      <c r="AT593" s="275"/>
      <c r="AU593" s="62"/>
      <c r="AV593" s="62"/>
      <c r="AW593" s="11"/>
      <c r="AX593" s="116"/>
      <c r="AY593" s="196"/>
      <c r="AZ593" s="143"/>
      <c r="BA593" s="191"/>
      <c r="BB593" s="132"/>
      <c r="BC593" s="132"/>
      <c r="BD593" s="274"/>
      <c r="BE593" s="143"/>
      <c r="BF593" s="143"/>
      <c r="BG593" s="132"/>
      <c r="BH593" s="132"/>
      <c r="BI593" s="132"/>
      <c r="BJ593" s="143"/>
      <c r="BK593" s="143"/>
      <c r="BL593" s="143"/>
      <c r="BM593" s="132"/>
      <c r="BN593" s="132"/>
      <c r="BO593" s="132"/>
      <c r="BP593" s="143"/>
      <c r="BQ593" s="132"/>
      <c r="BR593" s="132"/>
      <c r="BS593" s="132"/>
      <c r="BT593" s="132"/>
      <c r="BU593" s="132"/>
      <c r="BV593" s="210"/>
      <c r="BW593" s="144"/>
      <c r="BX593" s="113"/>
      <c r="BY593" s="273"/>
      <c r="BZ593" s="273"/>
      <c r="CA593" s="132"/>
      <c r="CB593" s="274"/>
      <c r="CC593" s="144"/>
      <c r="CD593" s="274"/>
      <c r="CE593" s="132"/>
      <c r="CF593" s="132"/>
      <c r="CG593" s="36"/>
      <c r="CH593" s="210"/>
      <c r="CI593" s="219"/>
      <c r="CJ593" s="210"/>
      <c r="CK593" s="273"/>
      <c r="CL593" s="273"/>
      <c r="CM593" s="132"/>
      <c r="CN593" s="274"/>
      <c r="CO593" s="144"/>
      <c r="CP593" s="274"/>
      <c r="CQ593" s="132"/>
      <c r="CR593" s="132"/>
      <c r="CS593" s="132"/>
      <c r="CT593" s="274"/>
      <c r="CU593" s="144"/>
      <c r="CV593" s="274"/>
      <c r="CW593" s="132"/>
      <c r="CX593" s="132"/>
      <c r="CY593" s="132"/>
      <c r="CZ593" s="118"/>
      <c r="DA593" s="144"/>
      <c r="DB593" s="118"/>
      <c r="DC593" s="33"/>
      <c r="DD593" s="39"/>
      <c r="DE593" s="11"/>
      <c r="DF593" s="132"/>
      <c r="DG593" s="132"/>
      <c r="DH593" s="132"/>
      <c r="DI593" s="132"/>
      <c r="DJ593" s="132"/>
      <c r="DK593" s="132"/>
      <c r="DL593" s="132"/>
      <c r="DM593" s="132"/>
      <c r="DN593" s="132"/>
      <c r="DO593" s="132"/>
      <c r="DP593" s="132"/>
      <c r="DQ593" s="132"/>
      <c r="DR593" s="132"/>
      <c r="DS593" s="132"/>
      <c r="DT593" s="132"/>
      <c r="DU593" s="132"/>
      <c r="DV593" s="132"/>
      <c r="DW593" s="132"/>
      <c r="DX593" s="132"/>
      <c r="DY593" s="132"/>
      <c r="DZ593" s="132"/>
      <c r="EA593" s="132"/>
      <c r="EB593" s="132"/>
      <c r="EC593" s="132"/>
      <c r="ED593" s="132"/>
      <c r="EE593" s="132"/>
      <c r="EF593" s="132"/>
      <c r="EG593" s="132"/>
      <c r="EH593" s="132"/>
      <c r="EI593" s="132"/>
      <c r="EJ593" s="132"/>
      <c r="EK593" s="132"/>
      <c r="EL593" s="132"/>
      <c r="EM593" s="132"/>
      <c r="EN593" s="132"/>
      <c r="EO593" s="132"/>
      <c r="EP593" s="132"/>
      <c r="EQ593" s="132"/>
      <c r="ER593" s="132"/>
      <c r="ES593" s="132"/>
      <c r="ET593" s="11"/>
      <c r="EU593" s="11"/>
      <c r="EV593" s="11"/>
      <c r="EW593" s="11"/>
      <c r="EX593" s="11"/>
      <c r="EY593" s="11"/>
      <c r="EZ593" s="11"/>
      <c r="FA593" s="11"/>
      <c r="FB593" s="11"/>
      <c r="FC593" s="11"/>
      <c r="FD593" s="11"/>
      <c r="FE593" s="11"/>
      <c r="FF593" s="11"/>
      <c r="FG593" s="11"/>
      <c r="FH593" s="39">
        <f t="shared" si="151"/>
        <v>156889.60000000001</v>
      </c>
      <c r="FI593" s="33">
        <f t="shared" si="152"/>
        <v>1</v>
      </c>
      <c r="FJ593" s="84">
        <f t="shared" si="153"/>
        <v>156889.60000000001</v>
      </c>
    </row>
    <row r="594" spans="1:166" ht="13.5" x14ac:dyDescent="0.25">
      <c r="A594" s="79" t="e">
        <f>#REF!</f>
        <v>#REF!</v>
      </c>
      <c r="B594" s="75" t="e">
        <f>#REF!</f>
        <v>#REF!</v>
      </c>
      <c r="C594" s="75" t="e">
        <f>#REF!</f>
        <v>#REF!</v>
      </c>
      <c r="D594" s="75" t="e">
        <f>#REF!</f>
        <v>#REF!</v>
      </c>
      <c r="E594" s="30">
        <v>1</v>
      </c>
      <c r="F594" s="238">
        <v>0</v>
      </c>
      <c r="G594" s="241">
        <v>0</v>
      </c>
      <c r="H594" s="249">
        <v>0</v>
      </c>
      <c r="I594" s="249">
        <v>0</v>
      </c>
      <c r="J594" s="249">
        <v>491400</v>
      </c>
      <c r="K594" s="249">
        <v>0</v>
      </c>
      <c r="L594" s="274">
        <f>J594</f>
        <v>491400</v>
      </c>
      <c r="M594" s="274"/>
      <c r="N594" s="245"/>
      <c r="O594" s="113"/>
      <c r="P594" s="113"/>
      <c r="Q594" s="131"/>
      <c r="R594" s="131"/>
      <c r="S594" s="64"/>
      <c r="T594" s="113"/>
      <c r="U594" s="113"/>
      <c r="V594" s="113"/>
      <c r="W594" s="131"/>
      <c r="X594" s="131"/>
      <c r="Y594" s="11"/>
      <c r="Z594" s="113"/>
      <c r="AA594" s="113"/>
      <c r="AB594" s="113"/>
      <c r="AC594" s="52"/>
      <c r="AD594" s="52"/>
      <c r="AE594" s="11"/>
      <c r="AF594" s="118"/>
      <c r="AG594" s="144"/>
      <c r="AH594" s="113"/>
      <c r="AI594" s="11"/>
      <c r="AJ594" s="11"/>
      <c r="AK594" s="39"/>
      <c r="AL594" s="113"/>
      <c r="AM594" s="113"/>
      <c r="AN594" s="147"/>
      <c r="AO594" s="76"/>
      <c r="AP594" s="39"/>
      <c r="AQ594" s="39"/>
      <c r="AR594" s="275"/>
      <c r="AS594" s="275"/>
      <c r="AT594" s="275"/>
      <c r="AU594" s="62"/>
      <c r="AV594" s="62"/>
      <c r="AW594" s="11"/>
      <c r="AX594" s="116"/>
      <c r="AY594" s="196"/>
      <c r="AZ594" s="143"/>
      <c r="BA594" s="191"/>
      <c r="BB594" s="132"/>
      <c r="BC594" s="132"/>
      <c r="BD594" s="274"/>
      <c r="BE594" s="143"/>
      <c r="BF594" s="143"/>
      <c r="BG594" s="132"/>
      <c r="BH594" s="132"/>
      <c r="BI594" s="132"/>
      <c r="BJ594" s="143"/>
      <c r="BK594" s="143"/>
      <c r="BL594" s="143"/>
      <c r="BM594" s="132"/>
      <c r="BN594" s="132"/>
      <c r="BO594" s="132"/>
      <c r="BP594" s="143"/>
      <c r="BQ594" s="132"/>
      <c r="BR594" s="132"/>
      <c r="BS594" s="132"/>
      <c r="BT594" s="132"/>
      <c r="BU594" s="132"/>
      <c r="BV594" s="263">
        <v>310500</v>
      </c>
      <c r="BW594" s="144">
        <f>BV594*19%</f>
        <v>58995</v>
      </c>
      <c r="BX594" s="113">
        <f>+BV594+BW594</f>
        <v>369495</v>
      </c>
      <c r="BY594" s="264" t="s">
        <v>420</v>
      </c>
      <c r="BZ594" s="264" t="s">
        <v>409</v>
      </c>
      <c r="CA594" s="132"/>
      <c r="CB594" s="274"/>
      <c r="CC594" s="144"/>
      <c r="CD594" s="274"/>
      <c r="CE594" s="132"/>
      <c r="CF594" s="132"/>
      <c r="CG594" s="36"/>
      <c r="CH594" s="263">
        <v>326025</v>
      </c>
      <c r="CI594" s="265">
        <f>+CH594*0.19</f>
        <v>61944.75</v>
      </c>
      <c r="CJ594" s="263">
        <f>+CH594+CI594</f>
        <v>387969.75</v>
      </c>
      <c r="CK594" s="264" t="s">
        <v>420</v>
      </c>
      <c r="CL594" s="264" t="s">
        <v>409</v>
      </c>
      <c r="CM594" s="132"/>
      <c r="CN594" s="274"/>
      <c r="CO594" s="144"/>
      <c r="CP594" s="274"/>
      <c r="CQ594" s="132"/>
      <c r="CR594" s="132"/>
      <c r="CS594" s="132"/>
      <c r="CT594" s="274"/>
      <c r="CU594" s="144"/>
      <c r="CV594" s="274"/>
      <c r="CW594" s="132"/>
      <c r="CX594" s="132"/>
      <c r="CY594" s="132"/>
      <c r="CZ594" s="118"/>
      <c r="DA594" s="144"/>
      <c r="DB594" s="118"/>
      <c r="DC594" s="33"/>
      <c r="DD594" s="39"/>
      <c r="DE594" s="11"/>
      <c r="DF594" s="132"/>
      <c r="DG594" s="132"/>
      <c r="DH594" s="132"/>
      <c r="DI594" s="132"/>
      <c r="DJ594" s="132"/>
      <c r="DK594" s="132"/>
      <c r="DL594" s="132"/>
      <c r="DM594" s="132"/>
      <c r="DN594" s="132"/>
      <c r="DO594" s="132"/>
      <c r="DP594" s="132"/>
      <c r="DQ594" s="132"/>
      <c r="DR594" s="132"/>
      <c r="DS594" s="132"/>
      <c r="DT594" s="132"/>
      <c r="DU594" s="132"/>
      <c r="DV594" s="132"/>
      <c r="DW594" s="132"/>
      <c r="DX594" s="132"/>
      <c r="DY594" s="132"/>
      <c r="DZ594" s="132"/>
      <c r="EA594" s="132"/>
      <c r="EB594" s="132"/>
      <c r="EC594" s="132"/>
      <c r="ED594" s="132"/>
      <c r="EE594" s="132"/>
      <c r="EF594" s="132"/>
      <c r="EG594" s="132"/>
      <c r="EH594" s="132"/>
      <c r="EI594" s="132"/>
      <c r="EJ594" s="132"/>
      <c r="EK594" s="132"/>
      <c r="EL594" s="132"/>
      <c r="EM594" s="132"/>
      <c r="EN594" s="132"/>
      <c r="EO594" s="132"/>
      <c r="EP594" s="132"/>
      <c r="EQ594" s="132"/>
      <c r="ER594" s="132"/>
      <c r="ES594" s="132"/>
      <c r="ET594" s="11"/>
      <c r="EU594" s="11"/>
      <c r="EV594" s="11"/>
      <c r="EW594" s="11"/>
      <c r="EX594" s="11"/>
      <c r="EY594" s="11"/>
      <c r="EZ594" s="11"/>
      <c r="FA594" s="11"/>
      <c r="FB594" s="11"/>
      <c r="FC594" s="11"/>
      <c r="FD594" s="11"/>
      <c r="FE594" s="11"/>
      <c r="FF594" s="11"/>
      <c r="FG594" s="11"/>
      <c r="FH594" s="39">
        <f t="shared" si="151"/>
        <v>757464.75</v>
      </c>
      <c r="FI594" s="33">
        <f t="shared" si="152"/>
        <v>2</v>
      </c>
      <c r="FJ594" s="84">
        <f t="shared" si="153"/>
        <v>378732.375</v>
      </c>
    </row>
    <row r="595" spans="1:166" ht="13.5" x14ac:dyDescent="0.25">
      <c r="A595" s="79" t="e">
        <f>#REF!</f>
        <v>#REF!</v>
      </c>
      <c r="B595" s="75" t="e">
        <f>#REF!</f>
        <v>#REF!</v>
      </c>
      <c r="C595" s="75" t="e">
        <f>#REF!</f>
        <v>#REF!</v>
      </c>
      <c r="D595" s="75" t="e">
        <f>#REF!</f>
        <v>#REF!</v>
      </c>
      <c r="E595" s="30">
        <v>1</v>
      </c>
      <c r="F595" s="238">
        <v>0</v>
      </c>
      <c r="G595" s="241">
        <v>0</v>
      </c>
      <c r="H595" s="249">
        <v>0</v>
      </c>
      <c r="I595" s="249">
        <v>0</v>
      </c>
      <c r="J595" s="249">
        <v>491400</v>
      </c>
      <c r="K595" s="249">
        <v>0</v>
      </c>
      <c r="L595" s="274">
        <f>J595</f>
        <v>491400</v>
      </c>
      <c r="M595" s="274"/>
      <c r="N595" s="245"/>
      <c r="O595" s="113"/>
      <c r="P595" s="113"/>
      <c r="Q595" s="131"/>
      <c r="R595" s="131"/>
      <c r="S595" s="64"/>
      <c r="T595" s="113"/>
      <c r="U595" s="113"/>
      <c r="V595" s="113"/>
      <c r="W595" s="131"/>
      <c r="X595" s="131"/>
      <c r="Y595" s="11"/>
      <c r="Z595" s="113"/>
      <c r="AA595" s="113"/>
      <c r="AB595" s="113"/>
      <c r="AC595" s="52"/>
      <c r="AD595" s="52"/>
      <c r="AE595" s="11"/>
      <c r="AF595" s="118"/>
      <c r="AG595" s="144"/>
      <c r="AH595" s="113"/>
      <c r="AI595" s="11"/>
      <c r="AJ595" s="112"/>
      <c r="AK595" s="39"/>
      <c r="AL595" s="113"/>
      <c r="AM595" s="113"/>
      <c r="AN595" s="147"/>
      <c r="AO595" s="76"/>
      <c r="AP595" s="39"/>
      <c r="AQ595" s="39"/>
      <c r="AR595" s="275"/>
      <c r="AS595" s="275"/>
      <c r="AT595" s="275"/>
      <c r="AU595" s="62"/>
      <c r="AV595" s="62"/>
      <c r="AW595" s="11"/>
      <c r="AX595" s="116"/>
      <c r="AY595" s="196"/>
      <c r="AZ595" s="143"/>
      <c r="BA595" s="191"/>
      <c r="BB595" s="132"/>
      <c r="BC595" s="132"/>
      <c r="BD595" s="274"/>
      <c r="BE595" s="143"/>
      <c r="BF595" s="143"/>
      <c r="BG595" s="132"/>
      <c r="BH595" s="132"/>
      <c r="BI595" s="132"/>
      <c r="BJ595" s="143"/>
      <c r="BK595" s="143"/>
      <c r="BL595" s="143"/>
      <c r="BM595" s="132"/>
      <c r="BN595" s="132"/>
      <c r="BO595" s="132"/>
      <c r="BP595" s="143"/>
      <c r="BQ595" s="132"/>
      <c r="BR595" s="132"/>
      <c r="BS595" s="112"/>
      <c r="BT595" s="39"/>
      <c r="BU595" s="39"/>
      <c r="BV595" s="263">
        <v>333000</v>
      </c>
      <c r="BW595" s="144">
        <f>BV595*19%</f>
        <v>63270</v>
      </c>
      <c r="BX595" s="113">
        <f>+BV595+BW595</f>
        <v>396270</v>
      </c>
      <c r="BY595" s="264" t="s">
        <v>420</v>
      </c>
      <c r="BZ595" s="264" t="s">
        <v>409</v>
      </c>
      <c r="CA595" s="132"/>
      <c r="CB595" s="274"/>
      <c r="CC595" s="144"/>
      <c r="CD595" s="274"/>
      <c r="CE595" s="132"/>
      <c r="CF595" s="132"/>
      <c r="CG595" s="132"/>
      <c r="CH595" s="263">
        <v>342990</v>
      </c>
      <c r="CI595" s="265">
        <f>+CH595*0.19</f>
        <v>65168.1</v>
      </c>
      <c r="CJ595" s="263">
        <f>+CH595+CI595</f>
        <v>408158.1</v>
      </c>
      <c r="CK595" s="264" t="s">
        <v>420</v>
      </c>
      <c r="CL595" s="264" t="s">
        <v>409</v>
      </c>
      <c r="CM595" s="132"/>
      <c r="CN595" s="274"/>
      <c r="CO595" s="144"/>
      <c r="CP595" s="274"/>
      <c r="CQ595" s="132"/>
      <c r="CR595" s="132"/>
      <c r="CS595" s="132"/>
      <c r="CT595" s="274"/>
      <c r="CU595" s="144"/>
      <c r="CV595" s="274"/>
      <c r="CW595" s="132"/>
      <c r="CX595" s="132"/>
      <c r="CY595" s="132"/>
      <c r="CZ595" s="118"/>
      <c r="DA595" s="144"/>
      <c r="DB595" s="118"/>
      <c r="DC595" s="33"/>
      <c r="DD595" s="39"/>
      <c r="DE595" s="11"/>
      <c r="DF595" s="132"/>
      <c r="DG595" s="132"/>
      <c r="DH595" s="132"/>
      <c r="DI595" s="132"/>
      <c r="DJ595" s="132"/>
      <c r="DK595" s="132"/>
      <c r="DL595" s="132"/>
      <c r="DM595" s="132"/>
      <c r="DN595" s="132"/>
      <c r="DO595" s="132"/>
      <c r="DP595" s="132"/>
      <c r="DQ595" s="132"/>
      <c r="DR595" s="132"/>
      <c r="DS595" s="132"/>
      <c r="DT595" s="132"/>
      <c r="DU595" s="132"/>
      <c r="DV595" s="132"/>
      <c r="DW595" s="132"/>
      <c r="DX595" s="132"/>
      <c r="DY595" s="132"/>
      <c r="DZ595" s="132"/>
      <c r="EA595" s="132"/>
      <c r="EB595" s="132"/>
      <c r="EC595" s="132"/>
      <c r="ED595" s="132"/>
      <c r="EE595" s="132"/>
      <c r="EF595" s="132"/>
      <c r="EG595" s="132"/>
      <c r="EH595" s="132"/>
      <c r="EI595" s="132"/>
      <c r="EJ595" s="132"/>
      <c r="EK595" s="132"/>
      <c r="EL595" s="132"/>
      <c r="EM595" s="132"/>
      <c r="EN595" s="132"/>
      <c r="EO595" s="132"/>
      <c r="EP595" s="132"/>
      <c r="EQ595" s="132"/>
      <c r="ER595" s="132"/>
      <c r="ES595" s="132"/>
      <c r="ET595" s="11"/>
      <c r="EU595" s="11"/>
      <c r="EV595" s="11"/>
      <c r="EW595" s="11"/>
      <c r="EX595" s="11"/>
      <c r="EY595" s="11"/>
      <c r="EZ595" s="11"/>
      <c r="FA595" s="11"/>
      <c r="FB595" s="11"/>
      <c r="FC595" s="11"/>
      <c r="FD595" s="11"/>
      <c r="FE595" s="11"/>
      <c r="FF595" s="11"/>
      <c r="FG595" s="11"/>
      <c r="FH595" s="39">
        <f t="shared" si="151"/>
        <v>804428.1</v>
      </c>
      <c r="FI595" s="33">
        <f t="shared" si="152"/>
        <v>2</v>
      </c>
      <c r="FJ595" s="84">
        <f t="shared" si="153"/>
        <v>402214.05</v>
      </c>
    </row>
    <row r="596" spans="1:166" ht="13.5" x14ac:dyDescent="0.25">
      <c r="A596" s="79" t="e">
        <f>#REF!</f>
        <v>#REF!</v>
      </c>
      <c r="B596" s="75" t="e">
        <f>#REF!</f>
        <v>#REF!</v>
      </c>
      <c r="C596" s="75" t="e">
        <f>#REF!</f>
        <v>#REF!</v>
      </c>
      <c r="D596" s="75" t="e">
        <f>#REF!</f>
        <v>#REF!</v>
      </c>
      <c r="E596" s="30">
        <v>1</v>
      </c>
      <c r="F596" s="238">
        <v>480000</v>
      </c>
      <c r="G596" s="241">
        <v>480000</v>
      </c>
      <c r="H596" s="249">
        <v>788638.38666666672</v>
      </c>
      <c r="I596" s="249">
        <v>0</v>
      </c>
      <c r="J596" s="249">
        <v>504000</v>
      </c>
      <c r="K596" s="249">
        <v>491470</v>
      </c>
      <c r="L596" s="274">
        <f>AVERAGE(F596,H596,J596)</f>
        <v>590879.46222222224</v>
      </c>
      <c r="M596" s="274">
        <f>AVERAGE(G596,K596)*E1</f>
        <v>500307.05</v>
      </c>
      <c r="N596" s="245"/>
      <c r="O596" s="113"/>
      <c r="P596" s="113"/>
      <c r="Q596" s="131"/>
      <c r="R596" s="131"/>
      <c r="S596" s="64"/>
      <c r="T596" s="113"/>
      <c r="U596" s="113"/>
      <c r="V596" s="113"/>
      <c r="W596" s="131"/>
      <c r="X596" s="131"/>
      <c r="Y596" s="11"/>
      <c r="Z596" s="113"/>
      <c r="AA596" s="113"/>
      <c r="AB596" s="113"/>
      <c r="AC596" s="52"/>
      <c r="AD596" s="52"/>
      <c r="AE596" s="11"/>
      <c r="AF596" s="118"/>
      <c r="AG596" s="144"/>
      <c r="AH596" s="113"/>
      <c r="AI596" s="11"/>
      <c r="AJ596" s="11"/>
      <c r="AK596" s="39"/>
      <c r="AL596" s="113"/>
      <c r="AM596" s="113"/>
      <c r="AN596" s="117"/>
      <c r="AO596" s="76"/>
      <c r="AP596" s="39"/>
      <c r="AQ596" s="39"/>
      <c r="AR596" s="275"/>
      <c r="AS596" s="275"/>
      <c r="AT596" s="275"/>
      <c r="AU596" s="62"/>
      <c r="AV596" s="62"/>
      <c r="AW596" s="11"/>
      <c r="AX596" s="116"/>
      <c r="AY596" s="196"/>
      <c r="AZ596" s="143"/>
      <c r="BA596" s="191"/>
      <c r="BB596" s="132"/>
      <c r="BC596" s="132"/>
      <c r="BD596" s="274"/>
      <c r="BE596" s="274"/>
      <c r="BF596" s="274"/>
      <c r="BG596" s="274"/>
      <c r="BH596" s="132"/>
      <c r="BI596" s="132"/>
      <c r="BJ596" s="143"/>
      <c r="BK596" s="143"/>
      <c r="BL596" s="143"/>
      <c r="BM596" s="132"/>
      <c r="BN596" s="132"/>
      <c r="BO596" s="132"/>
      <c r="BP596" s="143"/>
      <c r="BQ596" s="132"/>
      <c r="BR596" s="132"/>
      <c r="BS596" s="132"/>
      <c r="BT596" s="132"/>
      <c r="BU596" s="132"/>
      <c r="BV596" s="263">
        <v>759000</v>
      </c>
      <c r="BW596" s="144">
        <f>BV596*19%</f>
        <v>144210</v>
      </c>
      <c r="BX596" s="113">
        <f>+BV596+BW596</f>
        <v>903210</v>
      </c>
      <c r="BY596" s="264" t="s">
        <v>420</v>
      </c>
      <c r="BZ596" s="264" t="s">
        <v>409</v>
      </c>
      <c r="CA596" s="132"/>
      <c r="CB596" s="274"/>
      <c r="CC596" s="144"/>
      <c r="CD596" s="274"/>
      <c r="CE596" s="132"/>
      <c r="CF596" s="132"/>
      <c r="CG596" s="132"/>
      <c r="CH596" s="263">
        <v>781770</v>
      </c>
      <c r="CI596" s="265">
        <f>+CH596*0.19</f>
        <v>148536.29999999999</v>
      </c>
      <c r="CJ596" s="263">
        <f>+CH596+CI596</f>
        <v>930306.3</v>
      </c>
      <c r="CK596" s="264" t="s">
        <v>420</v>
      </c>
      <c r="CL596" s="264" t="s">
        <v>409</v>
      </c>
      <c r="CM596" s="132"/>
      <c r="CN596" s="274"/>
      <c r="CO596" s="144"/>
      <c r="CP596" s="274"/>
      <c r="CQ596" s="132"/>
      <c r="CR596" s="132"/>
      <c r="CS596" s="132"/>
      <c r="CT596" s="274"/>
      <c r="CU596" s="144"/>
      <c r="CV596" s="274"/>
      <c r="CW596" s="132"/>
      <c r="CX596" s="132"/>
      <c r="CY596" s="132"/>
      <c r="CZ596" s="118"/>
      <c r="DA596" s="144"/>
      <c r="DB596" s="118"/>
      <c r="DC596" s="33"/>
      <c r="DD596" s="39"/>
      <c r="DE596" s="11"/>
      <c r="DF596" s="132"/>
      <c r="DG596" s="132"/>
      <c r="DH596" s="132"/>
      <c r="DI596" s="132"/>
      <c r="DJ596" s="132"/>
      <c r="DK596" s="132"/>
      <c r="DL596" s="132"/>
      <c r="DM596" s="132"/>
      <c r="DN596" s="132"/>
      <c r="DO596" s="132"/>
      <c r="DP596" s="132"/>
      <c r="DQ596" s="132"/>
      <c r="DR596" s="132"/>
      <c r="DS596" s="132"/>
      <c r="DT596" s="132"/>
      <c r="DU596" s="132"/>
      <c r="DV596" s="132"/>
      <c r="DW596" s="132"/>
      <c r="DX596" s="132"/>
      <c r="DY596" s="132"/>
      <c r="DZ596" s="132"/>
      <c r="EA596" s="132"/>
      <c r="EB596" s="132"/>
      <c r="EC596" s="132"/>
      <c r="ED596" s="132"/>
      <c r="EE596" s="132"/>
      <c r="EF596" s="132"/>
      <c r="EG596" s="132"/>
      <c r="EH596" s="132"/>
      <c r="EI596" s="132"/>
      <c r="EJ596" s="132"/>
      <c r="EK596" s="132"/>
      <c r="EL596" s="132"/>
      <c r="EM596" s="132"/>
      <c r="EN596" s="132"/>
      <c r="EO596" s="132"/>
      <c r="EP596" s="132"/>
      <c r="EQ596" s="132"/>
      <c r="ER596" s="132"/>
      <c r="ES596" s="132"/>
      <c r="ET596" s="11"/>
      <c r="EU596" s="11"/>
      <c r="EV596" s="11"/>
      <c r="EW596" s="11"/>
      <c r="EX596" s="11"/>
      <c r="EY596" s="11"/>
      <c r="EZ596" s="11"/>
      <c r="FA596" s="11"/>
      <c r="FB596" s="11"/>
      <c r="FC596" s="11"/>
      <c r="FD596" s="11"/>
      <c r="FE596" s="11"/>
      <c r="FF596" s="11"/>
      <c r="FG596" s="11"/>
      <c r="FH596" s="39">
        <f t="shared" si="151"/>
        <v>2333823.35</v>
      </c>
      <c r="FI596" s="33">
        <f t="shared" si="152"/>
        <v>3</v>
      </c>
      <c r="FJ596" s="84">
        <f t="shared" si="153"/>
        <v>777941.1166666667</v>
      </c>
    </row>
    <row r="597" spans="1:166" ht="13.5" x14ac:dyDescent="0.25">
      <c r="A597" s="79" t="e">
        <f>#REF!</f>
        <v>#REF!</v>
      </c>
      <c r="B597" s="75" t="e">
        <f>#REF!</f>
        <v>#REF!</v>
      </c>
      <c r="C597" s="75" t="e">
        <f>#REF!</f>
        <v>#REF!</v>
      </c>
      <c r="D597" s="75" t="e">
        <f>#REF!</f>
        <v>#REF!</v>
      </c>
      <c r="E597" s="30">
        <v>1</v>
      </c>
      <c r="F597" s="238">
        <v>571200</v>
      </c>
      <c r="G597" s="241">
        <v>556920</v>
      </c>
      <c r="H597" s="249">
        <v>438158</v>
      </c>
      <c r="I597" s="249">
        <v>0</v>
      </c>
      <c r="J597" s="249">
        <v>584766</v>
      </c>
      <c r="K597" s="249">
        <v>0</v>
      </c>
      <c r="L597" s="274">
        <f>AVERAGE(F597,H597,J597)</f>
        <v>531374.66666666663</v>
      </c>
      <c r="M597" s="274">
        <f>G597*E1</f>
        <v>573627.6</v>
      </c>
      <c r="N597" s="245"/>
      <c r="O597" s="113"/>
      <c r="P597" s="113"/>
      <c r="Q597" s="131"/>
      <c r="R597" s="131"/>
      <c r="S597" s="64"/>
      <c r="T597" s="113"/>
      <c r="U597" s="113"/>
      <c r="V597" s="113"/>
      <c r="W597" s="131"/>
      <c r="X597" s="131"/>
      <c r="Y597" s="11"/>
      <c r="Z597" s="113"/>
      <c r="AA597" s="113"/>
      <c r="AB597" s="113"/>
      <c r="AC597" s="52"/>
      <c r="AD597" s="52"/>
      <c r="AE597" s="11"/>
      <c r="AF597" s="118"/>
      <c r="AG597" s="144"/>
      <c r="AH597" s="113"/>
      <c r="AI597" s="11"/>
      <c r="AJ597" s="112"/>
      <c r="AK597" s="39"/>
      <c r="AL597" s="113"/>
      <c r="AM597" s="113"/>
      <c r="AN597" s="147"/>
      <c r="AO597" s="76"/>
      <c r="AP597" s="39"/>
      <c r="AQ597" s="39"/>
      <c r="AR597" s="275"/>
      <c r="AS597" s="275"/>
      <c r="AT597" s="275"/>
      <c r="AU597" s="62"/>
      <c r="AV597" s="62"/>
      <c r="AW597" s="11"/>
      <c r="AX597" s="116"/>
      <c r="AY597" s="196"/>
      <c r="AZ597" s="143"/>
      <c r="BA597" s="191"/>
      <c r="BB597" s="132"/>
      <c r="BC597" s="132"/>
      <c r="BD597" s="274"/>
      <c r="BE597" s="143"/>
      <c r="BF597" s="143"/>
      <c r="BG597" s="132"/>
      <c r="BH597" s="132"/>
      <c r="BI597" s="132"/>
      <c r="BJ597" s="143"/>
      <c r="BK597" s="143"/>
      <c r="BL597" s="143"/>
      <c r="BM597" s="132"/>
      <c r="BN597" s="132"/>
      <c r="BO597" s="132"/>
      <c r="BP597" s="143"/>
      <c r="BQ597" s="132"/>
      <c r="BR597" s="132"/>
      <c r="BS597" s="112"/>
      <c r="BT597" s="39"/>
      <c r="BU597" s="39"/>
      <c r="BV597" s="263">
        <v>333000</v>
      </c>
      <c r="BW597" s="144">
        <f>BV597*19%</f>
        <v>63270</v>
      </c>
      <c r="BX597" s="113">
        <f>+BV597+BW597</f>
        <v>396270</v>
      </c>
      <c r="BY597" s="264" t="s">
        <v>420</v>
      </c>
      <c r="BZ597" s="264" t="s">
        <v>409</v>
      </c>
      <c r="CA597" s="132"/>
      <c r="CB597" s="274"/>
      <c r="CC597" s="144"/>
      <c r="CD597" s="274"/>
      <c r="CE597" s="132"/>
      <c r="CF597" s="132"/>
      <c r="CG597" s="132"/>
      <c r="CH597" s="263">
        <v>336330</v>
      </c>
      <c r="CI597" s="265">
        <f>+CH597*0.19</f>
        <v>63902.700000000004</v>
      </c>
      <c r="CJ597" s="263">
        <f>+CH597+CI597</f>
        <v>400232.7</v>
      </c>
      <c r="CK597" s="264" t="s">
        <v>420</v>
      </c>
      <c r="CL597" s="264" t="s">
        <v>409</v>
      </c>
      <c r="CM597" s="132"/>
      <c r="CN597" s="274"/>
      <c r="CO597" s="144"/>
      <c r="CP597" s="274"/>
      <c r="CQ597" s="132"/>
      <c r="CR597" s="132"/>
      <c r="CS597" s="132"/>
      <c r="CT597" s="274"/>
      <c r="CU597" s="144"/>
      <c r="CV597" s="274"/>
      <c r="CW597" s="132"/>
      <c r="CX597" s="132"/>
      <c r="CY597" s="132"/>
      <c r="CZ597" s="118"/>
      <c r="DA597" s="144"/>
      <c r="DB597" s="118"/>
      <c r="DC597" s="33"/>
      <c r="DD597" s="39"/>
      <c r="DE597" s="11"/>
      <c r="DF597" s="132"/>
      <c r="DG597" s="132"/>
      <c r="DH597" s="132"/>
      <c r="DI597" s="132"/>
      <c r="DJ597" s="132"/>
      <c r="DK597" s="132"/>
      <c r="DL597" s="132"/>
      <c r="DM597" s="132"/>
      <c r="DN597" s="132"/>
      <c r="DO597" s="132"/>
      <c r="DP597" s="132"/>
      <c r="DQ597" s="132"/>
      <c r="DR597" s="132"/>
      <c r="DS597" s="132"/>
      <c r="DT597" s="132"/>
      <c r="DU597" s="132"/>
      <c r="DV597" s="132"/>
      <c r="DW597" s="132"/>
      <c r="DX597" s="132"/>
      <c r="DY597" s="132"/>
      <c r="DZ597" s="132"/>
      <c r="EA597" s="132"/>
      <c r="EB597" s="132"/>
      <c r="EC597" s="132"/>
      <c r="ED597" s="132"/>
      <c r="EE597" s="132"/>
      <c r="EF597" s="132"/>
      <c r="EG597" s="132"/>
      <c r="EH597" s="132"/>
      <c r="EI597" s="132"/>
      <c r="EJ597" s="132"/>
      <c r="EK597" s="132"/>
      <c r="EL597" s="132"/>
      <c r="EM597" s="132"/>
      <c r="EN597" s="132"/>
      <c r="EO597" s="132"/>
      <c r="EP597" s="132"/>
      <c r="EQ597" s="132"/>
      <c r="ER597" s="132"/>
      <c r="ES597" s="132"/>
      <c r="ET597" s="11"/>
      <c r="EU597" s="11"/>
      <c r="EV597" s="11"/>
      <c r="EW597" s="11"/>
      <c r="EX597" s="11"/>
      <c r="EY597" s="11"/>
      <c r="EZ597" s="11"/>
      <c r="FA597" s="11"/>
      <c r="FB597" s="11"/>
      <c r="FC597" s="11"/>
      <c r="FD597" s="11"/>
      <c r="FE597" s="11"/>
      <c r="FF597" s="11"/>
      <c r="FG597" s="11"/>
      <c r="FH597" s="39">
        <f t="shared" si="151"/>
        <v>1370130.3</v>
      </c>
      <c r="FI597" s="33">
        <f t="shared" si="152"/>
        <v>3</v>
      </c>
      <c r="FJ597" s="84">
        <f t="shared" si="153"/>
        <v>456710.10000000003</v>
      </c>
    </row>
    <row r="598" spans="1:166" ht="27" x14ac:dyDescent="0.25">
      <c r="A598" s="79" t="e">
        <f>#REF!</f>
        <v>#REF!</v>
      </c>
      <c r="B598" s="75" t="e">
        <f>#REF!</f>
        <v>#REF!</v>
      </c>
      <c r="C598" s="75" t="e">
        <f>#REF!</f>
        <v>#REF!</v>
      </c>
      <c r="D598" s="75" t="e">
        <f>#REF!</f>
        <v>#REF!</v>
      </c>
      <c r="E598" s="30">
        <v>1</v>
      </c>
      <c r="F598" s="238">
        <v>750000</v>
      </c>
      <c r="G598" s="241">
        <v>0</v>
      </c>
      <c r="H598" s="249">
        <v>923112.75</v>
      </c>
      <c r="I598" s="249">
        <v>0</v>
      </c>
      <c r="J598" s="249">
        <v>470500</v>
      </c>
      <c r="K598" s="249">
        <v>0</v>
      </c>
      <c r="L598" s="274">
        <f>AVERAGE(F598,H598,J598)</f>
        <v>714537.58333333337</v>
      </c>
      <c r="M598" s="274"/>
      <c r="N598" s="245"/>
      <c r="O598" s="113"/>
      <c r="P598" s="113"/>
      <c r="Q598" s="131"/>
      <c r="R598" s="131"/>
      <c r="S598" s="64"/>
      <c r="T598" s="113"/>
      <c r="U598" s="113"/>
      <c r="V598" s="113"/>
      <c r="W598" s="131"/>
      <c r="X598" s="131"/>
      <c r="Y598" s="11"/>
      <c r="Z598" s="113"/>
      <c r="AA598" s="113"/>
      <c r="AB598" s="113"/>
      <c r="AC598" s="52"/>
      <c r="AD598" s="52"/>
      <c r="AE598" s="11"/>
      <c r="AF598" s="118"/>
      <c r="AG598" s="144"/>
      <c r="AH598" s="113"/>
      <c r="AI598" s="11"/>
      <c r="AJ598" s="11"/>
      <c r="AK598" s="39"/>
      <c r="AL598" s="113"/>
      <c r="AM598" s="113"/>
      <c r="AN598" s="117"/>
      <c r="AO598" s="76"/>
      <c r="AP598" s="39"/>
      <c r="AQ598" s="39"/>
      <c r="AR598" s="275"/>
      <c r="AS598" s="275"/>
      <c r="AT598" s="275"/>
      <c r="AU598" s="62"/>
      <c r="AV598" s="62"/>
      <c r="AW598" s="11"/>
      <c r="AX598" s="116"/>
      <c r="AY598" s="194"/>
      <c r="AZ598" s="143"/>
      <c r="BA598" s="191"/>
      <c r="BB598" s="132"/>
      <c r="BC598" s="132"/>
      <c r="BD598" s="274"/>
      <c r="BE598" s="143"/>
      <c r="BF598" s="143"/>
      <c r="BG598" s="132"/>
      <c r="BH598" s="132"/>
      <c r="BI598" s="132"/>
      <c r="BJ598" s="143"/>
      <c r="BK598" s="143"/>
      <c r="BL598" s="143"/>
      <c r="BM598" s="132"/>
      <c r="BN598" s="132"/>
      <c r="BO598" s="132"/>
      <c r="BP598" s="143"/>
      <c r="BQ598" s="132"/>
      <c r="BR598" s="132"/>
      <c r="BS598" s="132"/>
      <c r="BT598" s="132"/>
      <c r="BU598" s="132"/>
      <c r="BV598" s="263">
        <v>405100</v>
      </c>
      <c r="BW598" s="144">
        <f>BV598*19%</f>
        <v>76969</v>
      </c>
      <c r="BX598" s="113">
        <f>+BV598+BW598</f>
        <v>482069</v>
      </c>
      <c r="BY598" s="264" t="s">
        <v>337</v>
      </c>
      <c r="BZ598" s="264" t="s">
        <v>477</v>
      </c>
      <c r="CA598" s="132"/>
      <c r="CB598" s="274"/>
      <c r="CC598" s="144"/>
      <c r="CD598" s="274"/>
      <c r="CE598" s="132"/>
      <c r="CF598" s="132"/>
      <c r="CG598" s="132"/>
      <c r="CH598" s="263">
        <v>409151</v>
      </c>
      <c r="CI598" s="265">
        <f>+CH598*0.19</f>
        <v>77738.69</v>
      </c>
      <c r="CJ598" s="263">
        <f>+CH598+CI598</f>
        <v>486889.69</v>
      </c>
      <c r="CK598" s="264" t="s">
        <v>337</v>
      </c>
      <c r="CL598" s="264" t="s">
        <v>477</v>
      </c>
      <c r="CM598" s="132"/>
      <c r="CN598" s="274"/>
      <c r="CO598" s="144"/>
      <c r="CP598" s="274"/>
      <c r="CQ598" s="132"/>
      <c r="CR598" s="132"/>
      <c r="CS598" s="132"/>
      <c r="CT598" s="274"/>
      <c r="CU598" s="144"/>
      <c r="CV598" s="274"/>
      <c r="CW598" s="132"/>
      <c r="CX598" s="132"/>
      <c r="CY598" s="132"/>
      <c r="CZ598" s="118"/>
      <c r="DA598" s="144"/>
      <c r="DB598" s="118"/>
      <c r="DC598" s="33"/>
      <c r="DD598" s="39"/>
      <c r="DE598" s="11"/>
      <c r="DF598" s="132"/>
      <c r="DG598" s="132"/>
      <c r="DH598" s="132"/>
      <c r="DI598" s="132"/>
      <c r="DJ598" s="132"/>
      <c r="DK598" s="132"/>
      <c r="DL598" s="132"/>
      <c r="DM598" s="132"/>
      <c r="DN598" s="132"/>
      <c r="DO598" s="132"/>
      <c r="DP598" s="132"/>
      <c r="DQ598" s="132"/>
      <c r="DR598" s="132"/>
      <c r="DS598" s="132"/>
      <c r="DT598" s="132"/>
      <c r="DU598" s="132"/>
      <c r="DV598" s="132"/>
      <c r="DW598" s="132"/>
      <c r="DX598" s="132"/>
      <c r="DY598" s="132"/>
      <c r="DZ598" s="132"/>
      <c r="EA598" s="132"/>
      <c r="EB598" s="132"/>
      <c r="EC598" s="132"/>
      <c r="ED598" s="132"/>
      <c r="EE598" s="132"/>
      <c r="EF598" s="132"/>
      <c r="EG598" s="132"/>
      <c r="EH598" s="132"/>
      <c r="EI598" s="132"/>
      <c r="EJ598" s="132"/>
      <c r="EK598" s="132"/>
      <c r="EL598" s="132"/>
      <c r="EM598" s="132"/>
      <c r="EN598" s="132"/>
      <c r="EO598" s="132"/>
      <c r="EP598" s="132"/>
      <c r="EQ598" s="132"/>
      <c r="ER598" s="132"/>
      <c r="ES598" s="132"/>
      <c r="ET598" s="11"/>
      <c r="EU598" s="11"/>
      <c r="EV598" s="11"/>
      <c r="EW598" s="11"/>
      <c r="EX598" s="11"/>
      <c r="EY598" s="11"/>
      <c r="EZ598" s="11"/>
      <c r="FA598" s="11"/>
      <c r="FB598" s="11"/>
      <c r="FC598" s="11"/>
      <c r="FD598" s="11"/>
      <c r="FE598" s="11"/>
      <c r="FF598" s="11"/>
      <c r="FG598" s="11"/>
      <c r="FH598" s="39">
        <f t="shared" si="151"/>
        <v>968958.69</v>
      </c>
      <c r="FI598" s="33">
        <f t="shared" si="152"/>
        <v>2</v>
      </c>
      <c r="FJ598" s="84">
        <f t="shared" si="153"/>
        <v>484479.34499999997</v>
      </c>
    </row>
    <row r="599" spans="1:166" ht="38.25" x14ac:dyDescent="0.25">
      <c r="A599" s="79" t="e">
        <f>#REF!</f>
        <v>#REF!</v>
      </c>
      <c r="B599" s="75" t="e">
        <f>#REF!</f>
        <v>#REF!</v>
      </c>
      <c r="C599" s="75" t="e">
        <f>#REF!</f>
        <v>#REF!</v>
      </c>
      <c r="D599" s="75" t="e">
        <f>#REF!</f>
        <v>#REF!</v>
      </c>
      <c r="E599" s="30">
        <v>1</v>
      </c>
      <c r="F599" s="238">
        <v>2459766.6666666665</v>
      </c>
      <c r="G599" s="241">
        <v>2398200</v>
      </c>
      <c r="H599" s="249">
        <v>2819786.314683333</v>
      </c>
      <c r="I599" s="249">
        <v>2819705</v>
      </c>
      <c r="J599" s="249">
        <v>1889437.2728845999</v>
      </c>
      <c r="K599" s="249">
        <v>0</v>
      </c>
      <c r="L599" s="274">
        <f>AVERAGE(F599,H599,J599)</f>
        <v>2389663.4180781995</v>
      </c>
      <c r="M599" s="274">
        <f>AVERAGE(G599,I599)*E1</f>
        <v>2687221.0750000002</v>
      </c>
      <c r="N599" s="246"/>
      <c r="O599" s="118"/>
      <c r="P599" s="118"/>
      <c r="Q599" s="52"/>
      <c r="R599" s="52"/>
      <c r="S599" s="5"/>
      <c r="T599" s="118"/>
      <c r="U599" s="118"/>
      <c r="V599" s="118"/>
      <c r="W599" s="11"/>
      <c r="X599" s="11"/>
      <c r="Y599" s="11"/>
      <c r="Z599" s="118"/>
      <c r="AA599" s="118"/>
      <c r="AB599" s="118"/>
      <c r="AC599" s="52"/>
      <c r="AD599" s="52"/>
      <c r="AE599" s="11"/>
      <c r="AF599" s="118"/>
      <c r="AG599" s="144"/>
      <c r="AH599" s="118"/>
      <c r="AI599" s="11"/>
      <c r="AJ599" s="11"/>
      <c r="AK599" s="11"/>
      <c r="AL599" s="118"/>
      <c r="AM599" s="118"/>
      <c r="AN599" s="118"/>
      <c r="AO599" s="76"/>
      <c r="AP599" s="11"/>
      <c r="AQ599" s="11"/>
      <c r="AR599" s="274"/>
      <c r="AS599" s="274"/>
      <c r="AT599" s="274"/>
      <c r="AU599" s="62"/>
      <c r="AV599" s="48"/>
      <c r="AW599" s="11"/>
      <c r="AX599" s="274"/>
      <c r="AY599" s="274"/>
      <c r="AZ599" s="274"/>
      <c r="BA599" s="11"/>
      <c r="BB599" s="11"/>
      <c r="BC599" s="11"/>
      <c r="BD599" s="274"/>
      <c r="BE599" s="274"/>
      <c r="BF599" s="274"/>
      <c r="BG599" s="11"/>
      <c r="BH599" s="11"/>
      <c r="BI599" s="11"/>
      <c r="BJ599" s="274"/>
      <c r="BK599" s="274"/>
      <c r="BL599" s="274"/>
      <c r="BM599" s="11"/>
      <c r="BN599" s="11"/>
      <c r="BO599" s="11"/>
      <c r="BP599" s="274">
        <v>2095662</v>
      </c>
      <c r="BQ599" s="144">
        <f>BP599*19%</f>
        <v>398175.78</v>
      </c>
      <c r="BR599" s="113">
        <f>+BP599+BQ599</f>
        <v>2493837.7800000003</v>
      </c>
      <c r="BS599" s="33" t="s">
        <v>157</v>
      </c>
      <c r="BT599" s="36" t="s">
        <v>488</v>
      </c>
      <c r="BU599" s="5" t="s">
        <v>489</v>
      </c>
      <c r="BV599" s="210"/>
      <c r="BW599" s="144"/>
      <c r="BX599" s="113"/>
      <c r="BY599" s="273"/>
      <c r="BZ599" s="273"/>
      <c r="CA599" s="11"/>
      <c r="CB599" s="274"/>
      <c r="CC599" s="144"/>
      <c r="CD599" s="274"/>
      <c r="CE599" s="11"/>
      <c r="CF599" s="11"/>
      <c r="CG599" s="11"/>
      <c r="CH599" s="210"/>
      <c r="CI599" s="219"/>
      <c r="CJ599" s="210"/>
      <c r="CK599" s="273"/>
      <c r="CL599" s="273"/>
      <c r="CM599" s="11"/>
      <c r="CN599" s="274"/>
      <c r="CO599" s="144"/>
      <c r="CP599" s="274"/>
      <c r="CQ599" s="11"/>
      <c r="CR599" s="11"/>
      <c r="CS599" s="11"/>
      <c r="CT599" s="274"/>
      <c r="CU599" s="144"/>
      <c r="CV599" s="274"/>
      <c r="CW599" s="11"/>
      <c r="CX599" s="11"/>
      <c r="CY599" s="11"/>
      <c r="CZ599" s="118"/>
      <c r="DA599" s="144"/>
      <c r="DB599" s="118"/>
      <c r="DC599" s="33"/>
      <c r="DD599" s="39"/>
      <c r="DE599" s="11"/>
      <c r="DF599" s="11"/>
      <c r="DG599" s="11"/>
      <c r="DH599" s="11"/>
      <c r="DI599" s="11"/>
      <c r="DJ599" s="11"/>
      <c r="DK599" s="11"/>
      <c r="DL599" s="11"/>
      <c r="DM599" s="11"/>
      <c r="DN599" s="11"/>
      <c r="DO599" s="11"/>
      <c r="DP599" s="11"/>
      <c r="DQ599" s="11"/>
      <c r="DR599" s="11"/>
      <c r="DS599" s="11"/>
      <c r="DT599" s="11"/>
      <c r="DU599" s="11"/>
      <c r="DV599" s="11"/>
      <c r="DW599" s="11"/>
      <c r="DX599" s="11"/>
      <c r="DY599" s="11"/>
      <c r="DZ599" s="11"/>
      <c r="EA599" s="11"/>
      <c r="EB599" s="39"/>
      <c r="EC599" s="39"/>
      <c r="ED599" s="39"/>
      <c r="EE599" s="11"/>
      <c r="EF599" s="11"/>
      <c r="EG599" s="39"/>
      <c r="EH599" s="39"/>
      <c r="EI599" s="34"/>
      <c r="EJ599" s="11"/>
      <c r="EK599" s="11"/>
      <c r="EL599" s="11"/>
      <c r="EM599" s="11"/>
      <c r="EN599" s="11"/>
      <c r="EO599" s="11"/>
      <c r="EP599" s="11"/>
      <c r="EQ599" s="39"/>
      <c r="ER599" s="39"/>
      <c r="ES599" s="39"/>
      <c r="ET599" s="11"/>
      <c r="EU599" s="11"/>
      <c r="EV599" s="39"/>
      <c r="EW599" s="39"/>
      <c r="EX599" s="40"/>
      <c r="EY599" s="40"/>
      <c r="EZ599" s="40"/>
      <c r="FA599" s="40"/>
      <c r="FB599" s="40"/>
      <c r="FC599" s="40"/>
      <c r="FD599" s="40"/>
      <c r="FE599" s="40"/>
      <c r="FF599" s="40"/>
      <c r="FG599" s="40"/>
      <c r="FH599" s="39">
        <f t="shared" si="151"/>
        <v>5181058.8550000004</v>
      </c>
      <c r="FI599" s="33">
        <f t="shared" si="152"/>
        <v>2</v>
      </c>
      <c r="FJ599" s="84">
        <f t="shared" si="153"/>
        <v>2590529.4275000002</v>
      </c>
    </row>
    <row r="600" spans="1:166" x14ac:dyDescent="0.25">
      <c r="A600" s="79" t="e">
        <f>#REF!</f>
        <v>#REF!</v>
      </c>
      <c r="B600" s="75" t="e">
        <f>#REF!</f>
        <v>#REF!</v>
      </c>
      <c r="C600" s="75" t="e">
        <f>#REF!</f>
        <v>#REF!</v>
      </c>
      <c r="D600" s="75" t="e">
        <f>#REF!</f>
        <v>#REF!</v>
      </c>
      <c r="E600" s="30">
        <v>1</v>
      </c>
      <c r="F600" s="238">
        <v>0</v>
      </c>
      <c r="G600" s="241">
        <v>0</v>
      </c>
      <c r="H600" s="249">
        <v>0</v>
      </c>
      <c r="I600" s="249">
        <v>0</v>
      </c>
      <c r="J600" s="249">
        <v>922250</v>
      </c>
      <c r="K600" s="249">
        <v>0</v>
      </c>
      <c r="L600" s="274">
        <f>J600</f>
        <v>922250</v>
      </c>
      <c r="M600" s="274"/>
      <c r="N600" s="245"/>
      <c r="O600" s="113"/>
      <c r="P600" s="113"/>
      <c r="Q600" s="131"/>
      <c r="R600" s="131"/>
      <c r="S600" s="64"/>
      <c r="T600" s="113"/>
      <c r="U600" s="113"/>
      <c r="V600" s="113"/>
      <c r="W600" s="131"/>
      <c r="X600" s="131"/>
      <c r="Y600" s="11"/>
      <c r="Z600" s="113"/>
      <c r="AA600" s="113"/>
      <c r="AB600" s="113"/>
      <c r="AC600" s="52"/>
      <c r="AD600" s="52"/>
      <c r="AE600" s="11"/>
      <c r="AF600" s="118"/>
      <c r="AG600" s="144"/>
      <c r="AH600" s="113"/>
      <c r="AI600" s="11"/>
      <c r="AJ600" s="11"/>
      <c r="AK600" s="39"/>
      <c r="AL600" s="113"/>
      <c r="AM600" s="113"/>
      <c r="AN600" s="117"/>
      <c r="AO600" s="76"/>
      <c r="AP600" s="39"/>
      <c r="AQ600" s="39"/>
      <c r="AR600" s="275"/>
      <c r="AS600" s="275"/>
      <c r="AT600" s="275"/>
      <c r="AU600" s="62"/>
      <c r="AV600" s="62"/>
      <c r="AW600" s="11"/>
      <c r="AX600" s="116"/>
      <c r="AY600" s="194"/>
      <c r="AZ600" s="143"/>
      <c r="BA600" s="191"/>
      <c r="BB600" s="132"/>
      <c r="BC600" s="132"/>
      <c r="BD600" s="274"/>
      <c r="BE600" s="143"/>
      <c r="BF600" s="143"/>
      <c r="BG600" s="132"/>
      <c r="BH600" s="132"/>
      <c r="BI600" s="132"/>
      <c r="BJ600" s="143"/>
      <c r="BK600" s="143"/>
      <c r="BL600" s="143"/>
      <c r="BM600" s="132"/>
      <c r="BN600" s="132"/>
      <c r="BO600" s="132"/>
      <c r="BP600" s="143"/>
      <c r="BQ600" s="132"/>
      <c r="BR600" s="132"/>
      <c r="BS600" s="132"/>
      <c r="BT600" s="132"/>
      <c r="BU600" s="132"/>
      <c r="BV600" s="210"/>
      <c r="BW600" s="144"/>
      <c r="BX600" s="113"/>
      <c r="BY600" s="273"/>
      <c r="BZ600" s="273"/>
      <c r="CA600" s="132"/>
      <c r="CB600" s="274"/>
      <c r="CC600" s="144"/>
      <c r="CD600" s="274"/>
      <c r="CE600" s="132"/>
      <c r="CF600" s="132"/>
      <c r="CG600" s="132"/>
      <c r="CH600" s="210"/>
      <c r="CI600" s="219"/>
      <c r="CJ600" s="210"/>
      <c r="CK600" s="273"/>
      <c r="CL600" s="273"/>
      <c r="CM600" s="132"/>
      <c r="CN600" s="274"/>
      <c r="CO600" s="144"/>
      <c r="CP600" s="274"/>
      <c r="CQ600" s="132"/>
      <c r="CR600" s="132"/>
      <c r="CS600" s="132"/>
      <c r="CT600" s="274"/>
      <c r="CU600" s="144"/>
      <c r="CV600" s="274"/>
      <c r="CW600" s="132"/>
      <c r="CX600" s="132"/>
      <c r="CY600" s="132"/>
      <c r="CZ600" s="118"/>
      <c r="DA600" s="144"/>
      <c r="DB600" s="118"/>
      <c r="DC600" s="33"/>
      <c r="DD600" s="39"/>
      <c r="DE600" s="11"/>
      <c r="DF600" s="132"/>
      <c r="DG600" s="132"/>
      <c r="DH600" s="132"/>
      <c r="DI600" s="132"/>
      <c r="DJ600" s="132"/>
      <c r="DK600" s="132"/>
      <c r="DL600" s="132"/>
      <c r="DM600" s="132"/>
      <c r="DN600" s="132"/>
      <c r="DO600" s="132"/>
      <c r="DP600" s="132"/>
      <c r="DQ600" s="132"/>
      <c r="DR600" s="132"/>
      <c r="DS600" s="132"/>
      <c r="DT600" s="132"/>
      <c r="DU600" s="132"/>
      <c r="DV600" s="132"/>
      <c r="DW600" s="132"/>
      <c r="DX600" s="132"/>
      <c r="DY600" s="132"/>
      <c r="DZ600" s="132"/>
      <c r="EA600" s="132"/>
      <c r="EB600" s="132"/>
      <c r="EC600" s="132"/>
      <c r="ED600" s="132"/>
      <c r="EE600" s="132"/>
      <c r="EF600" s="132"/>
      <c r="EG600" s="132"/>
      <c r="EH600" s="132"/>
      <c r="EI600" s="132"/>
      <c r="EJ600" s="132"/>
      <c r="EK600" s="132"/>
      <c r="EL600" s="132"/>
      <c r="EM600" s="132"/>
      <c r="EN600" s="132"/>
      <c r="EO600" s="132"/>
      <c r="EP600" s="132"/>
      <c r="EQ600" s="132"/>
      <c r="ER600" s="132"/>
      <c r="ES600" s="132"/>
      <c r="ET600" s="11"/>
      <c r="EU600" s="11"/>
      <c r="EV600" s="11"/>
      <c r="EW600" s="11"/>
      <c r="EX600" s="11"/>
      <c r="EY600" s="11"/>
      <c r="EZ600" s="11"/>
      <c r="FA600" s="11"/>
      <c r="FB600" s="11"/>
      <c r="FC600" s="11"/>
      <c r="FD600" s="11"/>
      <c r="FE600" s="11"/>
      <c r="FF600" s="11"/>
      <c r="FG600" s="11"/>
      <c r="FH600" s="39">
        <f t="shared" si="151"/>
        <v>0</v>
      </c>
      <c r="FI600" s="33">
        <f t="shared" si="152"/>
        <v>0</v>
      </c>
      <c r="FJ600" s="84" t="str">
        <f t="shared" si="153"/>
        <v xml:space="preserve"> </v>
      </c>
    </row>
    <row r="601" spans="1:166" x14ac:dyDescent="0.25">
      <c r="A601" s="79" t="e">
        <f>#REF!</f>
        <v>#REF!</v>
      </c>
      <c r="B601" s="75" t="e">
        <f>#REF!</f>
        <v>#REF!</v>
      </c>
      <c r="C601" s="75" t="e">
        <f>#REF!</f>
        <v>#REF!</v>
      </c>
      <c r="D601" s="75" t="e">
        <f>#REF!</f>
        <v>#REF!</v>
      </c>
      <c r="E601" s="30">
        <v>1</v>
      </c>
      <c r="F601" s="238">
        <v>0</v>
      </c>
      <c r="G601" s="241">
        <v>0</v>
      </c>
      <c r="H601" s="249">
        <v>0</v>
      </c>
      <c r="I601" s="249">
        <v>0</v>
      </c>
      <c r="J601" s="249">
        <v>922250</v>
      </c>
      <c r="K601" s="249">
        <v>0</v>
      </c>
      <c r="L601" s="274">
        <f>J601</f>
        <v>922250</v>
      </c>
      <c r="M601" s="274"/>
      <c r="N601" s="245"/>
      <c r="O601" s="113"/>
      <c r="P601" s="113"/>
      <c r="Q601" s="131"/>
      <c r="R601" s="131"/>
      <c r="S601" s="64"/>
      <c r="T601" s="113"/>
      <c r="U601" s="121"/>
      <c r="V601" s="113"/>
      <c r="W601" s="131"/>
      <c r="X601" s="131"/>
      <c r="Y601" s="11"/>
      <c r="Z601" s="113"/>
      <c r="AA601" s="113"/>
      <c r="AB601" s="113"/>
      <c r="AC601" s="52"/>
      <c r="AD601" s="52"/>
      <c r="AE601" s="11"/>
      <c r="AF601" s="118"/>
      <c r="AG601" s="144"/>
      <c r="AH601" s="113"/>
      <c r="AI601" s="11"/>
      <c r="AJ601" s="11"/>
      <c r="AK601" s="39"/>
      <c r="AL601" s="113"/>
      <c r="AM601" s="113"/>
      <c r="AN601" s="119"/>
      <c r="AO601" s="76"/>
      <c r="AP601" s="39"/>
      <c r="AQ601" s="39"/>
      <c r="AR601" s="275"/>
      <c r="AS601" s="275"/>
      <c r="AT601" s="275"/>
      <c r="AU601" s="62"/>
      <c r="AV601" s="62"/>
      <c r="AW601" s="11"/>
      <c r="AX601" s="116"/>
      <c r="AY601" s="116"/>
      <c r="AZ601" s="143"/>
      <c r="BA601" s="191"/>
      <c r="BB601" s="132"/>
      <c r="BC601" s="132"/>
      <c r="BD601" s="274"/>
      <c r="BE601" s="143"/>
      <c r="BF601" s="143"/>
      <c r="BG601" s="132"/>
      <c r="BH601" s="132"/>
      <c r="BI601" s="132"/>
      <c r="BJ601" s="143"/>
      <c r="BK601" s="143"/>
      <c r="BL601" s="143"/>
      <c r="BM601" s="132"/>
      <c r="BN601" s="132"/>
      <c r="BO601" s="132"/>
      <c r="BP601" s="143"/>
      <c r="BQ601" s="132"/>
      <c r="BR601" s="132"/>
      <c r="BS601" s="132"/>
      <c r="BT601" s="132"/>
      <c r="BU601" s="132"/>
      <c r="BV601" s="210"/>
      <c r="BW601" s="144"/>
      <c r="BX601" s="113"/>
      <c r="BY601" s="273"/>
      <c r="BZ601" s="273"/>
      <c r="CA601" s="132"/>
      <c r="CB601" s="274"/>
      <c r="CC601" s="144"/>
      <c r="CD601" s="274"/>
      <c r="CE601" s="132"/>
      <c r="CF601" s="132"/>
      <c r="CG601" s="132"/>
      <c r="CH601" s="210"/>
      <c r="CI601" s="219"/>
      <c r="CJ601" s="210"/>
      <c r="CK601" s="273"/>
      <c r="CL601" s="273"/>
      <c r="CM601" s="132"/>
      <c r="CN601" s="274"/>
      <c r="CO601" s="144"/>
      <c r="CP601" s="274"/>
      <c r="CQ601" s="132"/>
      <c r="CR601" s="132"/>
      <c r="CS601" s="132"/>
      <c r="CT601" s="274"/>
      <c r="CU601" s="144"/>
      <c r="CV601" s="274"/>
      <c r="CW601" s="132"/>
      <c r="CX601" s="132"/>
      <c r="CY601" s="132"/>
      <c r="CZ601" s="118"/>
      <c r="DA601" s="144"/>
      <c r="DB601" s="118"/>
      <c r="DC601" s="33"/>
      <c r="DD601" s="39"/>
      <c r="DE601" s="11"/>
      <c r="DF601" s="132"/>
      <c r="DG601" s="132"/>
      <c r="DH601" s="132"/>
      <c r="DI601" s="132"/>
      <c r="DJ601" s="132"/>
      <c r="DK601" s="132"/>
      <c r="DL601" s="132"/>
      <c r="DM601" s="132"/>
      <c r="DN601" s="132"/>
      <c r="DO601" s="132"/>
      <c r="DP601" s="132"/>
      <c r="DQ601" s="132"/>
      <c r="DR601" s="132"/>
      <c r="DS601" s="132"/>
      <c r="DT601" s="132"/>
      <c r="DU601" s="132"/>
      <c r="DV601" s="132"/>
      <c r="DW601" s="132"/>
      <c r="DX601" s="132"/>
      <c r="DY601" s="132"/>
      <c r="DZ601" s="132"/>
      <c r="EA601" s="132"/>
      <c r="EB601" s="132"/>
      <c r="EC601" s="132"/>
      <c r="ED601" s="132"/>
      <c r="EE601" s="132"/>
      <c r="EF601" s="132"/>
      <c r="EG601" s="132"/>
      <c r="EH601" s="132"/>
      <c r="EI601" s="132"/>
      <c r="EJ601" s="132"/>
      <c r="EK601" s="132"/>
      <c r="EL601" s="132"/>
      <c r="EM601" s="132"/>
      <c r="EN601" s="132"/>
      <c r="EO601" s="132"/>
      <c r="EP601" s="132"/>
      <c r="EQ601" s="132"/>
      <c r="ER601" s="132"/>
      <c r="ES601" s="132"/>
      <c r="ET601" s="11"/>
      <c r="EU601" s="11"/>
      <c r="EV601" s="11"/>
      <c r="EW601" s="11"/>
      <c r="EX601" s="11"/>
      <c r="EY601" s="11"/>
      <c r="EZ601" s="11"/>
      <c r="FA601" s="11"/>
      <c r="FB601" s="11"/>
      <c r="FC601" s="11"/>
      <c r="FD601" s="11"/>
      <c r="FE601" s="11"/>
      <c r="FF601" s="11"/>
      <c r="FG601" s="11"/>
      <c r="FH601" s="39">
        <f t="shared" si="151"/>
        <v>0</v>
      </c>
      <c r="FI601" s="33">
        <f t="shared" si="152"/>
        <v>0</v>
      </c>
      <c r="FJ601" s="84" t="str">
        <f t="shared" si="153"/>
        <v xml:space="preserve"> </v>
      </c>
    </row>
    <row r="602" spans="1:166" x14ac:dyDescent="0.25">
      <c r="A602" s="79" t="e">
        <f>#REF!</f>
        <v>#REF!</v>
      </c>
      <c r="B602" s="75" t="e">
        <f>#REF!</f>
        <v>#REF!</v>
      </c>
      <c r="C602" s="75" t="e">
        <f>#REF!</f>
        <v>#REF!</v>
      </c>
      <c r="D602" s="75" t="e">
        <f>#REF!</f>
        <v>#REF!</v>
      </c>
      <c r="E602" s="30">
        <v>1</v>
      </c>
      <c r="F602" s="238">
        <v>0</v>
      </c>
      <c r="G602" s="241">
        <v>0</v>
      </c>
      <c r="H602" s="249">
        <v>0</v>
      </c>
      <c r="I602" s="249">
        <v>0</v>
      </c>
      <c r="J602" s="249">
        <v>922250</v>
      </c>
      <c r="K602" s="249">
        <v>0</v>
      </c>
      <c r="L602" s="274">
        <f>J602</f>
        <v>922250</v>
      </c>
      <c r="M602" s="274"/>
      <c r="N602" s="245"/>
      <c r="O602" s="113"/>
      <c r="P602" s="113"/>
      <c r="Q602" s="131"/>
      <c r="R602" s="131"/>
      <c r="S602" s="64"/>
      <c r="T602" s="113"/>
      <c r="U602" s="113"/>
      <c r="V602" s="113"/>
      <c r="W602" s="131"/>
      <c r="X602" s="131"/>
      <c r="Y602" s="11"/>
      <c r="Z602" s="113"/>
      <c r="AA602" s="113"/>
      <c r="AB602" s="113"/>
      <c r="AC602" s="52"/>
      <c r="AD602" s="52"/>
      <c r="AE602" s="11"/>
      <c r="AF602" s="118"/>
      <c r="AG602" s="144"/>
      <c r="AH602" s="113"/>
      <c r="AI602" s="11"/>
      <c r="AJ602" s="11"/>
      <c r="AK602" s="39"/>
      <c r="AL602" s="113"/>
      <c r="AM602" s="113"/>
      <c r="AN602" s="119"/>
      <c r="AO602" s="76"/>
      <c r="AP602" s="39"/>
      <c r="AQ602" s="39"/>
      <c r="AR602" s="275"/>
      <c r="AS602" s="275"/>
      <c r="AT602" s="275"/>
      <c r="AU602" s="62"/>
      <c r="AV602" s="62"/>
      <c r="AW602" s="11"/>
      <c r="AX602" s="116"/>
      <c r="AY602" s="116"/>
      <c r="AZ602" s="143"/>
      <c r="BA602" s="191"/>
      <c r="BB602" s="132"/>
      <c r="BC602" s="132"/>
      <c r="BD602" s="274"/>
      <c r="BE602" s="143"/>
      <c r="BF602" s="143"/>
      <c r="BG602" s="132"/>
      <c r="BH602" s="132"/>
      <c r="BI602" s="132"/>
      <c r="BJ602" s="143"/>
      <c r="BK602" s="143"/>
      <c r="BL602" s="143"/>
      <c r="BM602" s="132"/>
      <c r="BN602" s="132"/>
      <c r="BO602" s="132"/>
      <c r="BP602" s="143"/>
      <c r="BQ602" s="132"/>
      <c r="BR602" s="132"/>
      <c r="BS602" s="132"/>
      <c r="BT602" s="132"/>
      <c r="BU602" s="132"/>
      <c r="BV602" s="210"/>
      <c r="BW602" s="144"/>
      <c r="BX602" s="113"/>
      <c r="BY602" s="273"/>
      <c r="BZ602" s="273"/>
      <c r="CA602" s="132"/>
      <c r="CB602" s="274"/>
      <c r="CC602" s="144"/>
      <c r="CD602" s="274"/>
      <c r="CE602" s="132"/>
      <c r="CF602" s="132"/>
      <c r="CG602" s="132"/>
      <c r="CH602" s="210"/>
      <c r="CI602" s="219"/>
      <c r="CJ602" s="210"/>
      <c r="CK602" s="273"/>
      <c r="CL602" s="273"/>
      <c r="CM602" s="132"/>
      <c r="CN602" s="274"/>
      <c r="CO602" s="144"/>
      <c r="CP602" s="274"/>
      <c r="CQ602" s="132"/>
      <c r="CR602" s="132"/>
      <c r="CS602" s="132"/>
      <c r="CT602" s="274"/>
      <c r="CU602" s="144"/>
      <c r="CV602" s="274"/>
      <c r="CW602" s="132"/>
      <c r="CX602" s="132"/>
      <c r="CY602" s="132"/>
      <c r="CZ602" s="118"/>
      <c r="DA602" s="144"/>
      <c r="DB602" s="118"/>
      <c r="DC602" s="33"/>
      <c r="DD602" s="39"/>
      <c r="DE602" s="11"/>
      <c r="DF602" s="132"/>
      <c r="DG602" s="132"/>
      <c r="DH602" s="132"/>
      <c r="DI602" s="132"/>
      <c r="DJ602" s="132"/>
      <c r="DK602" s="132"/>
      <c r="DL602" s="132"/>
      <c r="DM602" s="132"/>
      <c r="DN602" s="132"/>
      <c r="DO602" s="132"/>
      <c r="DP602" s="132"/>
      <c r="DQ602" s="132"/>
      <c r="DR602" s="132"/>
      <c r="DS602" s="132"/>
      <c r="DT602" s="132"/>
      <c r="DU602" s="132"/>
      <c r="DV602" s="132"/>
      <c r="DW602" s="132"/>
      <c r="DX602" s="132"/>
      <c r="DY602" s="132"/>
      <c r="DZ602" s="132"/>
      <c r="EA602" s="132"/>
      <c r="EB602" s="132"/>
      <c r="EC602" s="132"/>
      <c r="ED602" s="132"/>
      <c r="EE602" s="132"/>
      <c r="EF602" s="132"/>
      <c r="EG602" s="132"/>
      <c r="EH602" s="132"/>
      <c r="EI602" s="132"/>
      <c r="EJ602" s="132"/>
      <c r="EK602" s="132"/>
      <c r="EL602" s="132"/>
      <c r="EM602" s="132"/>
      <c r="EN602" s="132"/>
      <c r="EO602" s="132"/>
      <c r="EP602" s="132"/>
      <c r="EQ602" s="132"/>
      <c r="ER602" s="132"/>
      <c r="ES602" s="132"/>
      <c r="ET602" s="11"/>
      <c r="EU602" s="11"/>
      <c r="EV602" s="11"/>
      <c r="EW602" s="11"/>
      <c r="EX602" s="11"/>
      <c r="EY602" s="11"/>
      <c r="EZ602" s="11"/>
      <c r="FA602" s="11"/>
      <c r="FB602" s="11"/>
      <c r="FC602" s="11"/>
      <c r="FD602" s="11"/>
      <c r="FE602" s="11"/>
      <c r="FF602" s="11"/>
      <c r="FG602" s="11"/>
      <c r="FH602" s="39">
        <f t="shared" si="151"/>
        <v>0</v>
      </c>
      <c r="FI602" s="33">
        <f t="shared" si="152"/>
        <v>0</v>
      </c>
      <c r="FJ602" s="84" t="str">
        <f t="shared" si="153"/>
        <v xml:space="preserve"> </v>
      </c>
    </row>
    <row r="603" spans="1:166" x14ac:dyDescent="0.25">
      <c r="A603" s="79" t="e">
        <f>#REF!</f>
        <v>#REF!</v>
      </c>
      <c r="B603" s="75" t="e">
        <f>#REF!</f>
        <v>#REF!</v>
      </c>
      <c r="C603" s="75" t="e">
        <f>#REF!</f>
        <v>#REF!</v>
      </c>
      <c r="D603" s="75" t="e">
        <f>#REF!</f>
        <v>#REF!</v>
      </c>
      <c r="E603" s="30">
        <v>1</v>
      </c>
      <c r="F603" s="238">
        <v>0</v>
      </c>
      <c r="G603" s="241">
        <v>0</v>
      </c>
      <c r="H603" s="249">
        <v>0</v>
      </c>
      <c r="I603" s="249">
        <v>0</v>
      </c>
      <c r="J603" s="249">
        <v>922250</v>
      </c>
      <c r="K603" s="249">
        <v>0</v>
      </c>
      <c r="L603" s="274">
        <f>J603</f>
        <v>922250</v>
      </c>
      <c r="M603" s="274"/>
      <c r="N603" s="245"/>
      <c r="O603" s="113"/>
      <c r="P603" s="113"/>
      <c r="Q603" s="131"/>
      <c r="R603" s="131"/>
      <c r="S603" s="64"/>
      <c r="T603" s="113"/>
      <c r="U603" s="117"/>
      <c r="V603" s="113"/>
      <c r="W603" s="131"/>
      <c r="X603" s="131"/>
      <c r="Y603" s="11"/>
      <c r="Z603" s="113"/>
      <c r="AA603" s="113"/>
      <c r="AB603" s="113"/>
      <c r="AC603" s="52"/>
      <c r="AD603" s="52"/>
      <c r="AE603" s="11"/>
      <c r="AF603" s="118"/>
      <c r="AG603" s="144"/>
      <c r="AH603" s="113"/>
      <c r="AI603" s="11"/>
      <c r="AJ603" s="11"/>
      <c r="AK603" s="39"/>
      <c r="AL603" s="113"/>
      <c r="AM603" s="113"/>
      <c r="AN603" s="117"/>
      <c r="AO603" s="76"/>
      <c r="AP603" s="39"/>
      <c r="AQ603" s="39"/>
      <c r="AR603" s="275"/>
      <c r="AS603" s="275"/>
      <c r="AT603" s="275"/>
      <c r="AU603" s="62"/>
      <c r="AV603" s="62"/>
      <c r="AW603" s="11"/>
      <c r="AX603" s="116"/>
      <c r="AY603" s="116"/>
      <c r="AZ603" s="143"/>
      <c r="BA603" s="191"/>
      <c r="BB603" s="132"/>
      <c r="BC603" s="132"/>
      <c r="BD603" s="274"/>
      <c r="BE603" s="143"/>
      <c r="BF603" s="143"/>
      <c r="BG603" s="132"/>
      <c r="BH603" s="132"/>
      <c r="BI603" s="132"/>
      <c r="BJ603" s="143"/>
      <c r="BK603" s="143"/>
      <c r="BL603" s="143"/>
      <c r="BM603" s="132"/>
      <c r="BN603" s="132"/>
      <c r="BO603" s="132"/>
      <c r="BP603" s="143"/>
      <c r="BQ603" s="132"/>
      <c r="BR603" s="132"/>
      <c r="BS603" s="132"/>
      <c r="BT603" s="132"/>
      <c r="BU603" s="132"/>
      <c r="BV603" s="210"/>
      <c r="BW603" s="144"/>
      <c r="BX603" s="113"/>
      <c r="BY603" s="273"/>
      <c r="BZ603" s="273"/>
      <c r="CA603" s="132"/>
      <c r="CB603" s="274"/>
      <c r="CC603" s="144"/>
      <c r="CD603" s="274"/>
      <c r="CE603" s="132"/>
      <c r="CF603" s="132"/>
      <c r="CG603" s="132"/>
      <c r="CH603" s="210"/>
      <c r="CI603" s="219"/>
      <c r="CJ603" s="210"/>
      <c r="CK603" s="273"/>
      <c r="CL603" s="273"/>
      <c r="CM603" s="132"/>
      <c r="CN603" s="274"/>
      <c r="CO603" s="144"/>
      <c r="CP603" s="274"/>
      <c r="CQ603" s="132"/>
      <c r="CR603" s="132"/>
      <c r="CS603" s="132"/>
      <c r="CT603" s="274"/>
      <c r="CU603" s="144"/>
      <c r="CV603" s="274"/>
      <c r="CW603" s="132"/>
      <c r="CX603" s="132"/>
      <c r="CY603" s="132"/>
      <c r="CZ603" s="118"/>
      <c r="DA603" s="144"/>
      <c r="DB603" s="118"/>
      <c r="DC603" s="33"/>
      <c r="DD603" s="39"/>
      <c r="DE603" s="11"/>
      <c r="DF603" s="132"/>
      <c r="DG603" s="132"/>
      <c r="DH603" s="132"/>
      <c r="DI603" s="132"/>
      <c r="DJ603" s="132"/>
      <c r="DK603" s="132"/>
      <c r="DL603" s="132"/>
      <c r="DM603" s="132"/>
      <c r="DN603" s="132"/>
      <c r="DO603" s="132"/>
      <c r="DP603" s="132"/>
      <c r="DQ603" s="132"/>
      <c r="DR603" s="132"/>
      <c r="DS603" s="132"/>
      <c r="DT603" s="132"/>
      <c r="DU603" s="132"/>
      <c r="DV603" s="132"/>
      <c r="DW603" s="132"/>
      <c r="DX603" s="132"/>
      <c r="DY603" s="132"/>
      <c r="DZ603" s="132"/>
      <c r="EA603" s="132"/>
      <c r="EB603" s="132"/>
      <c r="EC603" s="132"/>
      <c r="ED603" s="132"/>
      <c r="EE603" s="132"/>
      <c r="EF603" s="132"/>
      <c r="EG603" s="132"/>
      <c r="EH603" s="132"/>
      <c r="EI603" s="132"/>
      <c r="EJ603" s="132"/>
      <c r="EK603" s="132"/>
      <c r="EL603" s="132"/>
      <c r="EM603" s="132"/>
      <c r="EN603" s="132"/>
      <c r="EO603" s="132"/>
      <c r="EP603" s="132"/>
      <c r="EQ603" s="132"/>
      <c r="ER603" s="132"/>
      <c r="ES603" s="132"/>
      <c r="ET603" s="11"/>
      <c r="EU603" s="11"/>
      <c r="EV603" s="11"/>
      <c r="EW603" s="11"/>
      <c r="EX603" s="11"/>
      <c r="EY603" s="11"/>
      <c r="EZ603" s="11"/>
      <c r="FA603" s="11"/>
      <c r="FB603" s="11"/>
      <c r="FC603" s="11"/>
      <c r="FD603" s="11"/>
      <c r="FE603" s="11"/>
      <c r="FF603" s="11"/>
      <c r="FG603" s="11"/>
      <c r="FH603" s="39">
        <f t="shared" si="151"/>
        <v>0</v>
      </c>
      <c r="FI603" s="33">
        <f t="shared" si="152"/>
        <v>0</v>
      </c>
      <c r="FJ603" s="84" t="str">
        <f t="shared" si="153"/>
        <v xml:space="preserve"> </v>
      </c>
    </row>
    <row r="604" spans="1:166" ht="13.5" x14ac:dyDescent="0.25">
      <c r="A604" s="79" t="e">
        <f>#REF!</f>
        <v>#REF!</v>
      </c>
      <c r="B604" s="75" t="e">
        <f>#REF!</f>
        <v>#REF!</v>
      </c>
      <c r="C604" s="75" t="e">
        <f>#REF!</f>
        <v>#REF!</v>
      </c>
      <c r="D604" s="75" t="e">
        <f>#REF!</f>
        <v>#REF!</v>
      </c>
      <c r="E604" s="30">
        <v>1</v>
      </c>
      <c r="F604" s="238">
        <v>480000</v>
      </c>
      <c r="G604" s="241">
        <v>0</v>
      </c>
      <c r="H604" s="249">
        <v>590792.16</v>
      </c>
      <c r="I604" s="249">
        <v>0</v>
      </c>
      <c r="J604" s="249">
        <v>307000</v>
      </c>
      <c r="K604" s="249">
        <v>0</v>
      </c>
      <c r="L604" s="274">
        <f>AVERAGE(F604,H604,J604)</f>
        <v>459264.0533333334</v>
      </c>
      <c r="M604" s="274"/>
      <c r="N604" s="245"/>
      <c r="O604" s="113"/>
      <c r="P604" s="113"/>
      <c r="Q604" s="131"/>
      <c r="R604" s="131"/>
      <c r="S604" s="64"/>
      <c r="T604" s="113"/>
      <c r="U604" s="121"/>
      <c r="V604" s="113"/>
      <c r="W604" s="131"/>
      <c r="X604" s="131"/>
      <c r="Y604" s="11"/>
      <c r="Z604" s="113">
        <v>314000</v>
      </c>
      <c r="AA604" s="113">
        <f>+Z604*0</f>
        <v>0</v>
      </c>
      <c r="AB604" s="113">
        <f>+Z604+AA604</f>
        <v>314000</v>
      </c>
      <c r="AC604" s="52" t="s">
        <v>490</v>
      </c>
      <c r="AD604" s="52" t="s">
        <v>280</v>
      </c>
      <c r="AE604" s="11"/>
      <c r="AF604" s="118"/>
      <c r="AG604" s="144"/>
      <c r="AH604" s="113"/>
      <c r="AI604" s="11"/>
      <c r="AJ604" s="11"/>
      <c r="AK604" s="39"/>
      <c r="AL604" s="113"/>
      <c r="AM604" s="113"/>
      <c r="AN604" s="117"/>
      <c r="AO604" s="76"/>
      <c r="AP604" s="39"/>
      <c r="AQ604" s="39"/>
      <c r="AR604" s="275"/>
      <c r="AS604" s="275"/>
      <c r="AT604" s="275"/>
      <c r="AU604" s="62"/>
      <c r="AV604" s="62"/>
      <c r="AW604" s="11"/>
      <c r="AX604" s="116"/>
      <c r="AY604" s="116"/>
      <c r="AZ604" s="143"/>
      <c r="BA604" s="191"/>
      <c r="BB604" s="132"/>
      <c r="BC604" s="132"/>
      <c r="BD604" s="274"/>
      <c r="BE604" s="143"/>
      <c r="BF604" s="143"/>
      <c r="BG604" s="132"/>
      <c r="BH604" s="132"/>
      <c r="BI604" s="132"/>
      <c r="BJ604" s="143"/>
      <c r="BK604" s="143"/>
      <c r="BL604" s="143"/>
      <c r="BM604" s="132"/>
      <c r="BN604" s="132"/>
      <c r="BO604" s="132"/>
      <c r="BP604" s="143"/>
      <c r="BQ604" s="132"/>
      <c r="BR604" s="132"/>
      <c r="BS604" s="132"/>
      <c r="BT604" s="132"/>
      <c r="BU604" s="132"/>
      <c r="BV604" s="263">
        <v>1172000</v>
      </c>
      <c r="BW604" s="144">
        <f>BV604*0</f>
        <v>0</v>
      </c>
      <c r="BX604" s="113">
        <f>+BV604+BW604</f>
        <v>1172000</v>
      </c>
      <c r="BY604" s="264" t="s">
        <v>491</v>
      </c>
      <c r="BZ604" s="264" t="s">
        <v>492</v>
      </c>
      <c r="CA604" s="132"/>
      <c r="CB604" s="274"/>
      <c r="CC604" s="144"/>
      <c r="CD604" s="274"/>
      <c r="CE604" s="132"/>
      <c r="CF604" s="132"/>
      <c r="CG604" s="132"/>
      <c r="CH604" s="263">
        <v>1230600</v>
      </c>
      <c r="CI604" s="265">
        <f>+CH604*0</f>
        <v>0</v>
      </c>
      <c r="CJ604" s="263">
        <f>+CH604+CI604</f>
        <v>1230600</v>
      </c>
      <c r="CK604" s="264" t="s">
        <v>491</v>
      </c>
      <c r="CL604" s="264" t="s">
        <v>492</v>
      </c>
      <c r="CM604" s="132"/>
      <c r="CN604" s="274"/>
      <c r="CO604" s="144"/>
      <c r="CP604" s="274"/>
      <c r="CQ604" s="132"/>
      <c r="CR604" s="132"/>
      <c r="CS604" s="132"/>
      <c r="CT604" s="274"/>
      <c r="CU604" s="144"/>
      <c r="CV604" s="274"/>
      <c r="CW604" s="132"/>
      <c r="CX604" s="132"/>
      <c r="CY604" s="132"/>
      <c r="CZ604" s="118"/>
      <c r="DA604" s="144"/>
      <c r="DB604" s="118"/>
      <c r="DC604" s="33"/>
      <c r="DD604" s="39"/>
      <c r="DE604" s="11"/>
      <c r="DF604" s="132"/>
      <c r="DG604" s="132"/>
      <c r="DH604" s="132"/>
      <c r="DI604" s="132"/>
      <c r="DJ604" s="132"/>
      <c r="DK604" s="132"/>
      <c r="DL604" s="132"/>
      <c r="DM604" s="132"/>
      <c r="DN604" s="132"/>
      <c r="DO604" s="132"/>
      <c r="DP604" s="132"/>
      <c r="DQ604" s="132"/>
      <c r="DR604" s="132"/>
      <c r="DS604" s="132"/>
      <c r="DT604" s="132"/>
      <c r="DU604" s="132"/>
      <c r="DV604" s="132"/>
      <c r="DW604" s="132"/>
      <c r="DX604" s="132"/>
      <c r="DY604" s="132"/>
      <c r="DZ604" s="132"/>
      <c r="EA604" s="132"/>
      <c r="EB604" s="132"/>
      <c r="EC604" s="132"/>
      <c r="ED604" s="132"/>
      <c r="EE604" s="132"/>
      <c r="EF604" s="132"/>
      <c r="EG604" s="132"/>
      <c r="EH604" s="132"/>
      <c r="EI604" s="132"/>
      <c r="EJ604" s="132"/>
      <c r="EK604" s="132"/>
      <c r="EL604" s="132"/>
      <c r="EM604" s="132"/>
      <c r="EN604" s="132"/>
      <c r="EO604" s="132"/>
      <c r="EP604" s="132"/>
      <c r="EQ604" s="132"/>
      <c r="ER604" s="132"/>
      <c r="ES604" s="132"/>
      <c r="ET604" s="11"/>
      <c r="EU604" s="11"/>
      <c r="EV604" s="11"/>
      <c r="EW604" s="11"/>
      <c r="EX604" s="11"/>
      <c r="EY604" s="11"/>
      <c r="EZ604" s="11"/>
      <c r="FA604" s="11"/>
      <c r="FB604" s="11"/>
      <c r="FC604" s="11"/>
      <c r="FD604" s="11"/>
      <c r="FE604" s="11"/>
      <c r="FF604" s="11"/>
      <c r="FG604" s="11"/>
      <c r="FH604" s="39">
        <f t="shared" si="151"/>
        <v>2716600</v>
      </c>
      <c r="FI604" s="33">
        <f t="shared" si="152"/>
        <v>3</v>
      </c>
      <c r="FJ604" s="84">
        <f t="shared" si="153"/>
        <v>905533.33333333337</v>
      </c>
    </row>
    <row r="605" spans="1:166" x14ac:dyDescent="0.25">
      <c r="A605" s="79" t="e">
        <f>#REF!</f>
        <v>#REF!</v>
      </c>
      <c r="B605" s="75" t="e">
        <f>#REF!</f>
        <v>#REF!</v>
      </c>
      <c r="C605" s="75" t="e">
        <f>#REF!</f>
        <v>#REF!</v>
      </c>
      <c r="D605" s="75" t="e">
        <f>#REF!</f>
        <v>#REF!</v>
      </c>
      <c r="E605" s="30">
        <v>1</v>
      </c>
      <c r="F605" s="238">
        <v>7801069</v>
      </c>
      <c r="G605" s="241">
        <v>0</v>
      </c>
      <c r="H605" s="249">
        <v>9601688.3433729988</v>
      </c>
      <c r="I605" s="249">
        <v>0</v>
      </c>
      <c r="J605" s="249">
        <v>172550</v>
      </c>
      <c r="K605" s="249">
        <v>0</v>
      </c>
      <c r="L605" s="274">
        <f>AVERAGE(F605,H605,J605)</f>
        <v>5858435.7811243339</v>
      </c>
      <c r="M605" s="274"/>
      <c r="N605" s="245"/>
      <c r="O605" s="113"/>
      <c r="P605" s="113"/>
      <c r="Q605" s="131"/>
      <c r="R605" s="131"/>
      <c r="S605" s="64"/>
      <c r="T605" s="113"/>
      <c r="U605" s="113"/>
      <c r="V605" s="113"/>
      <c r="W605" s="131"/>
      <c r="X605" s="131"/>
      <c r="Y605" s="11"/>
      <c r="Z605" s="113"/>
      <c r="AA605" s="113"/>
      <c r="AB605" s="113"/>
      <c r="AC605" s="52"/>
      <c r="AD605" s="52"/>
      <c r="AE605" s="11"/>
      <c r="AF605" s="118"/>
      <c r="AG605" s="144"/>
      <c r="AH605" s="113"/>
      <c r="AI605" s="11"/>
      <c r="AJ605" s="11"/>
      <c r="AK605" s="39"/>
      <c r="AL605" s="113"/>
      <c r="AM605" s="113"/>
      <c r="AN605" s="119"/>
      <c r="AO605" s="76"/>
      <c r="AP605" s="39"/>
      <c r="AQ605" s="39"/>
      <c r="AR605" s="275"/>
      <c r="AS605" s="275"/>
      <c r="AT605" s="275"/>
      <c r="AU605" s="62"/>
      <c r="AV605" s="62"/>
      <c r="AW605" s="11"/>
      <c r="AX605" s="116"/>
      <c r="AY605" s="116"/>
      <c r="AZ605" s="143"/>
      <c r="BA605" s="191"/>
      <c r="BB605" s="132"/>
      <c r="BC605" s="132"/>
      <c r="BD605" s="274"/>
      <c r="BE605" s="143"/>
      <c r="BF605" s="143"/>
      <c r="BG605" s="132"/>
      <c r="BH605" s="132"/>
      <c r="BI605" s="132"/>
      <c r="BJ605" s="143"/>
      <c r="BK605" s="143"/>
      <c r="BL605" s="143"/>
      <c r="BM605" s="132"/>
      <c r="BN605" s="132"/>
      <c r="BO605" s="132"/>
      <c r="BP605" s="143"/>
      <c r="BQ605" s="132"/>
      <c r="BR605" s="132"/>
      <c r="BS605" s="132"/>
      <c r="BT605" s="132"/>
      <c r="BU605" s="132"/>
      <c r="BV605" s="210"/>
      <c r="BW605" s="144"/>
      <c r="BX605" s="113"/>
      <c r="BY605" s="273"/>
      <c r="BZ605" s="273"/>
      <c r="CA605" s="132"/>
      <c r="CB605" s="274"/>
      <c r="CC605" s="144"/>
      <c r="CD605" s="274"/>
      <c r="CE605" s="132"/>
      <c r="CF605" s="132"/>
      <c r="CG605" s="132"/>
      <c r="CH605" s="210"/>
      <c r="CI605" s="219"/>
      <c r="CJ605" s="210"/>
      <c r="CK605" s="273"/>
      <c r="CL605" s="273"/>
      <c r="CM605" s="132"/>
      <c r="CN605" s="274"/>
      <c r="CO605" s="144"/>
      <c r="CP605" s="274"/>
      <c r="CQ605" s="132"/>
      <c r="CR605" s="132"/>
      <c r="CS605" s="132"/>
      <c r="CT605" s="274"/>
      <c r="CU605" s="144"/>
      <c r="CV605" s="274"/>
      <c r="CW605" s="132"/>
      <c r="CX605" s="132"/>
      <c r="CY605" s="132"/>
      <c r="CZ605" s="118"/>
      <c r="DA605" s="144"/>
      <c r="DB605" s="118"/>
      <c r="DC605" s="33"/>
      <c r="DD605" s="39"/>
      <c r="DE605" s="11"/>
      <c r="DF605" s="132"/>
      <c r="DG605" s="132"/>
      <c r="DH605" s="132"/>
      <c r="DI605" s="132"/>
      <c r="DJ605" s="132"/>
      <c r="DK605" s="132"/>
      <c r="DL605" s="132"/>
      <c r="DM605" s="132"/>
      <c r="DN605" s="132"/>
      <c r="DO605" s="132"/>
      <c r="DP605" s="132"/>
      <c r="DQ605" s="132"/>
      <c r="DR605" s="132"/>
      <c r="DS605" s="132"/>
      <c r="DT605" s="132"/>
      <c r="DU605" s="132"/>
      <c r="DV605" s="132"/>
      <c r="DW605" s="132"/>
      <c r="DX605" s="132"/>
      <c r="DY605" s="132"/>
      <c r="DZ605" s="132"/>
      <c r="EA605" s="132"/>
      <c r="EB605" s="132"/>
      <c r="EC605" s="132"/>
      <c r="ED605" s="132"/>
      <c r="EE605" s="132"/>
      <c r="EF605" s="132"/>
      <c r="EG605" s="132"/>
      <c r="EH605" s="132"/>
      <c r="EI605" s="132"/>
      <c r="EJ605" s="132"/>
      <c r="EK605" s="132"/>
      <c r="EL605" s="132"/>
      <c r="EM605" s="132"/>
      <c r="EN605" s="132"/>
      <c r="EO605" s="132"/>
      <c r="EP605" s="132"/>
      <c r="EQ605" s="132"/>
      <c r="ER605" s="132"/>
      <c r="ES605" s="132"/>
      <c r="ET605" s="11"/>
      <c r="EU605" s="11"/>
      <c r="EV605" s="11"/>
      <c r="EW605" s="11"/>
      <c r="EX605" s="11"/>
      <c r="EY605" s="11"/>
      <c r="EZ605" s="11"/>
      <c r="FA605" s="11"/>
      <c r="FB605" s="11"/>
      <c r="FC605" s="11"/>
      <c r="FD605" s="11"/>
      <c r="FE605" s="11"/>
      <c r="FF605" s="11"/>
      <c r="FG605" s="11"/>
      <c r="FH605" s="39">
        <f t="shared" si="151"/>
        <v>0</v>
      </c>
      <c r="FI605" s="33">
        <f t="shared" si="152"/>
        <v>0</v>
      </c>
      <c r="FJ605" s="84" t="str">
        <f t="shared" si="153"/>
        <v xml:space="preserve"> </v>
      </c>
    </row>
    <row r="606" spans="1:166" ht="13.5" x14ac:dyDescent="0.25">
      <c r="A606" s="79" t="e">
        <f>#REF!</f>
        <v>#REF!</v>
      </c>
      <c r="B606" s="75" t="e">
        <f>#REF!</f>
        <v>#REF!</v>
      </c>
      <c r="C606" s="75" t="e">
        <f>#REF!</f>
        <v>#REF!</v>
      </c>
      <c r="D606" s="75" t="e">
        <f>#REF!</f>
        <v>#REF!</v>
      </c>
      <c r="E606" s="30">
        <v>1</v>
      </c>
      <c r="F606" s="238">
        <v>924000</v>
      </c>
      <c r="G606" s="241">
        <v>0</v>
      </c>
      <c r="H606" s="249">
        <v>1137274.9080000001</v>
      </c>
      <c r="I606" s="249">
        <v>0</v>
      </c>
      <c r="J606" s="249">
        <v>307000</v>
      </c>
      <c r="K606" s="249">
        <v>0</v>
      </c>
      <c r="L606" s="274">
        <f>AVERAGE(F606,H606,J606)</f>
        <v>789424.96933333331</v>
      </c>
      <c r="M606" s="274"/>
      <c r="N606" s="245"/>
      <c r="O606" s="113"/>
      <c r="P606" s="113"/>
      <c r="Q606" s="131"/>
      <c r="R606" s="131"/>
      <c r="S606" s="64"/>
      <c r="T606" s="113"/>
      <c r="U606" s="117"/>
      <c r="V606" s="113"/>
      <c r="W606" s="131"/>
      <c r="X606" s="131"/>
      <c r="Y606" s="11"/>
      <c r="Z606" s="113">
        <v>314000</v>
      </c>
      <c r="AA606" s="113">
        <f>+Z606*0</f>
        <v>0</v>
      </c>
      <c r="AB606" s="113">
        <f>+Z606+AA606</f>
        <v>314000</v>
      </c>
      <c r="AC606" s="52" t="s">
        <v>490</v>
      </c>
      <c r="AD606" s="52" t="s">
        <v>280</v>
      </c>
      <c r="AE606" s="11"/>
      <c r="AF606" s="118"/>
      <c r="AG606" s="144"/>
      <c r="AH606" s="113"/>
      <c r="AI606" s="11"/>
      <c r="AJ606" s="11"/>
      <c r="AK606" s="39"/>
      <c r="AL606" s="113"/>
      <c r="AM606" s="113"/>
      <c r="AN606" s="117"/>
      <c r="AO606" s="76"/>
      <c r="AP606" s="39"/>
      <c r="AQ606" s="39"/>
      <c r="AR606" s="275"/>
      <c r="AS606" s="275"/>
      <c r="AT606" s="275"/>
      <c r="AU606" s="62"/>
      <c r="AV606" s="62"/>
      <c r="AW606" s="11"/>
      <c r="AX606" s="116"/>
      <c r="AY606" s="194"/>
      <c r="AZ606" s="143"/>
      <c r="BA606" s="191"/>
      <c r="BB606" s="132"/>
      <c r="BC606" s="132"/>
      <c r="BD606" s="274"/>
      <c r="BE606" s="143"/>
      <c r="BF606" s="143"/>
      <c r="BG606" s="132"/>
      <c r="BH606" s="132"/>
      <c r="BI606" s="132"/>
      <c r="BJ606" s="143"/>
      <c r="BK606" s="143"/>
      <c r="BL606" s="143"/>
      <c r="BM606" s="132"/>
      <c r="BN606" s="132"/>
      <c r="BO606" s="132"/>
      <c r="BP606" s="143"/>
      <c r="BQ606" s="132"/>
      <c r="BR606" s="132"/>
      <c r="BS606" s="132"/>
      <c r="BT606" s="132"/>
      <c r="BU606" s="132"/>
      <c r="BV606" s="263">
        <v>1172000</v>
      </c>
      <c r="BW606" s="144">
        <f>BV606*0</f>
        <v>0</v>
      </c>
      <c r="BX606" s="113">
        <f t="shared" ref="BX606:BX620" si="154">+BV606+BW606</f>
        <v>1172000</v>
      </c>
      <c r="BY606" s="264" t="s">
        <v>491</v>
      </c>
      <c r="BZ606" s="264" t="s">
        <v>492</v>
      </c>
      <c r="CA606" s="132"/>
      <c r="CB606" s="274"/>
      <c r="CC606" s="144"/>
      <c r="CD606" s="274"/>
      <c r="CE606" s="132"/>
      <c r="CF606" s="132"/>
      <c r="CG606" s="132"/>
      <c r="CH606" s="263">
        <v>1230600</v>
      </c>
      <c r="CI606" s="265">
        <f>+CH606*0</f>
        <v>0</v>
      </c>
      <c r="CJ606" s="263">
        <f>+CH606+CI606</f>
        <v>1230600</v>
      </c>
      <c r="CK606" s="264" t="s">
        <v>491</v>
      </c>
      <c r="CL606" s="264" t="s">
        <v>492</v>
      </c>
      <c r="CM606" s="132"/>
      <c r="CN606" s="274"/>
      <c r="CO606" s="144"/>
      <c r="CP606" s="274"/>
      <c r="CQ606" s="132"/>
      <c r="CR606" s="132"/>
      <c r="CS606" s="132"/>
      <c r="CT606" s="274"/>
      <c r="CU606" s="144"/>
      <c r="CV606" s="274"/>
      <c r="CW606" s="132"/>
      <c r="CX606" s="132"/>
      <c r="CY606" s="132"/>
      <c r="CZ606" s="118"/>
      <c r="DA606" s="144"/>
      <c r="DB606" s="118"/>
      <c r="DC606" s="33"/>
      <c r="DD606" s="39"/>
      <c r="DE606" s="11"/>
      <c r="DF606" s="132"/>
      <c r="DG606" s="132"/>
      <c r="DH606" s="132"/>
      <c r="DI606" s="132"/>
      <c r="DJ606" s="132"/>
      <c r="DK606" s="132"/>
      <c r="DL606" s="132"/>
      <c r="DM606" s="132"/>
      <c r="DN606" s="132"/>
      <c r="DO606" s="132"/>
      <c r="DP606" s="132"/>
      <c r="DQ606" s="132"/>
      <c r="DR606" s="132"/>
      <c r="DS606" s="132"/>
      <c r="DT606" s="132"/>
      <c r="DU606" s="132"/>
      <c r="DV606" s="132"/>
      <c r="DW606" s="132"/>
      <c r="DX606" s="132"/>
      <c r="DY606" s="132"/>
      <c r="DZ606" s="132"/>
      <c r="EA606" s="132"/>
      <c r="EB606" s="132"/>
      <c r="EC606" s="132"/>
      <c r="ED606" s="132"/>
      <c r="EE606" s="132"/>
      <c r="EF606" s="132"/>
      <c r="EG606" s="132"/>
      <c r="EH606" s="132"/>
      <c r="EI606" s="132"/>
      <c r="EJ606" s="132"/>
      <c r="EK606" s="132"/>
      <c r="EL606" s="132"/>
      <c r="EM606" s="132"/>
      <c r="EN606" s="132"/>
      <c r="EO606" s="132"/>
      <c r="EP606" s="132"/>
      <c r="EQ606" s="132"/>
      <c r="ER606" s="132"/>
      <c r="ES606" s="132"/>
      <c r="ET606" s="11"/>
      <c r="EU606" s="11"/>
      <c r="EV606" s="11"/>
      <c r="EW606" s="11"/>
      <c r="EX606" s="11"/>
      <c r="EY606" s="11"/>
      <c r="EZ606" s="11"/>
      <c r="FA606" s="11"/>
      <c r="FB606" s="11"/>
      <c r="FC606" s="11"/>
      <c r="FD606" s="11"/>
      <c r="FE606" s="11"/>
      <c r="FF606" s="11"/>
      <c r="FG606" s="11"/>
      <c r="FH606" s="39">
        <f t="shared" si="151"/>
        <v>2716600</v>
      </c>
      <c r="FI606" s="33">
        <f t="shared" si="152"/>
        <v>3</v>
      </c>
      <c r="FJ606" s="84">
        <f t="shared" si="153"/>
        <v>905533.33333333337</v>
      </c>
    </row>
    <row r="607" spans="1:166" ht="27" x14ac:dyDescent="0.25">
      <c r="A607" s="79" t="e">
        <f>#REF!</f>
        <v>#REF!</v>
      </c>
      <c r="B607" s="75" t="e">
        <f>#REF!</f>
        <v>#REF!</v>
      </c>
      <c r="C607" s="75" t="e">
        <f>#REF!</f>
        <v>#REF!</v>
      </c>
      <c r="D607" s="75" t="e">
        <f>#REF!</f>
        <v>#REF!</v>
      </c>
      <c r="E607" s="30">
        <v>1</v>
      </c>
      <c r="F607" s="238">
        <v>200000</v>
      </c>
      <c r="G607" s="241">
        <v>200000</v>
      </c>
      <c r="H607" s="249">
        <v>189402.35</v>
      </c>
      <c r="I607" s="249">
        <v>0</v>
      </c>
      <c r="J607" s="249">
        <v>151710</v>
      </c>
      <c r="K607" s="249">
        <v>0</v>
      </c>
      <c r="L607" s="274">
        <f>AVERAGE(F607,H607,J607)</f>
        <v>180370.78333333333</v>
      </c>
      <c r="M607" s="274">
        <f>G607*E1</f>
        <v>206000</v>
      </c>
      <c r="N607" s="245"/>
      <c r="O607" s="113"/>
      <c r="P607" s="113"/>
      <c r="Q607" s="131"/>
      <c r="R607" s="131"/>
      <c r="S607" s="64"/>
      <c r="T607" s="113"/>
      <c r="U607" s="117"/>
      <c r="V607" s="113"/>
      <c r="W607" s="131"/>
      <c r="X607" s="131"/>
      <c r="Y607" s="11"/>
      <c r="Z607" s="113"/>
      <c r="AA607" s="113"/>
      <c r="AB607" s="113"/>
      <c r="AC607" s="52"/>
      <c r="AD607" s="52"/>
      <c r="AE607" s="11"/>
      <c r="AF607" s="118"/>
      <c r="AG607" s="144"/>
      <c r="AH607" s="113"/>
      <c r="AI607" s="11"/>
      <c r="AJ607" s="11"/>
      <c r="AK607" s="39"/>
      <c r="AL607" s="113"/>
      <c r="AM607" s="113"/>
      <c r="AN607" s="117"/>
      <c r="AO607" s="76"/>
      <c r="AP607" s="39"/>
      <c r="AQ607" s="39"/>
      <c r="AR607" s="275"/>
      <c r="AS607" s="143"/>
      <c r="AT607" s="116"/>
      <c r="AU607" s="62"/>
      <c r="AV607" s="62"/>
      <c r="AW607" s="11"/>
      <c r="AX607" s="116"/>
      <c r="AY607" s="116"/>
      <c r="AZ607" s="143"/>
      <c r="BA607" s="191"/>
      <c r="BB607" s="132"/>
      <c r="BC607" s="132"/>
      <c r="BD607" s="274"/>
      <c r="BE607" s="143"/>
      <c r="BF607" s="143"/>
      <c r="BG607" s="132"/>
      <c r="BH607" s="132"/>
      <c r="BI607" s="132"/>
      <c r="BJ607" s="143"/>
      <c r="BK607" s="143"/>
      <c r="BL607" s="143"/>
      <c r="BM607" s="132"/>
      <c r="BN607" s="132"/>
      <c r="BO607" s="132"/>
      <c r="BP607" s="143"/>
      <c r="BQ607" s="132"/>
      <c r="BR607" s="132"/>
      <c r="BS607" s="132"/>
      <c r="BT607" s="132"/>
      <c r="BU607" s="132"/>
      <c r="BV607" s="263">
        <v>329800</v>
      </c>
      <c r="BW607" s="144">
        <f t="shared" ref="BW607:BW620" si="155">BV607*19%</f>
        <v>62662</v>
      </c>
      <c r="BX607" s="113">
        <f t="shared" si="154"/>
        <v>392462</v>
      </c>
      <c r="BY607" s="264" t="s">
        <v>340</v>
      </c>
      <c r="BZ607" s="264" t="s">
        <v>237</v>
      </c>
      <c r="CA607" s="132"/>
      <c r="CB607" s="274"/>
      <c r="CC607" s="144"/>
      <c r="CD607" s="274"/>
      <c r="CE607" s="132"/>
      <c r="CF607" s="132"/>
      <c r="CG607" s="132"/>
      <c r="CH607" s="263">
        <v>342992</v>
      </c>
      <c r="CI607" s="265">
        <f>+CH607*0.19</f>
        <v>65168.480000000003</v>
      </c>
      <c r="CJ607" s="263">
        <f>+CH607+CI607</f>
        <v>408160.48</v>
      </c>
      <c r="CK607" s="264" t="s">
        <v>340</v>
      </c>
      <c r="CL607" s="264" t="s">
        <v>237</v>
      </c>
      <c r="CM607" s="132"/>
      <c r="CN607" s="274"/>
      <c r="CO607" s="144"/>
      <c r="CP607" s="274"/>
      <c r="CQ607" s="132"/>
      <c r="CR607" s="132"/>
      <c r="CS607" s="132"/>
      <c r="CT607" s="274"/>
      <c r="CU607" s="144"/>
      <c r="CV607" s="274"/>
      <c r="CW607" s="132"/>
      <c r="CX607" s="132"/>
      <c r="CY607" s="132"/>
      <c r="CZ607" s="118"/>
      <c r="DA607" s="144"/>
      <c r="DB607" s="118"/>
      <c r="DC607" s="33"/>
      <c r="DD607" s="39"/>
      <c r="DE607" s="11"/>
      <c r="DF607" s="132"/>
      <c r="DG607" s="132"/>
      <c r="DH607" s="132"/>
      <c r="DI607" s="132"/>
      <c r="DJ607" s="132"/>
      <c r="DK607" s="132"/>
      <c r="DL607" s="132"/>
      <c r="DM607" s="132"/>
      <c r="DN607" s="132"/>
      <c r="DO607" s="132"/>
      <c r="DP607" s="132"/>
      <c r="DQ607" s="132"/>
      <c r="DR607" s="132"/>
      <c r="DS607" s="132"/>
      <c r="DT607" s="132"/>
      <c r="DU607" s="132"/>
      <c r="DV607" s="132"/>
      <c r="DW607" s="132"/>
      <c r="DX607" s="132"/>
      <c r="DY607" s="132"/>
      <c r="DZ607" s="132"/>
      <c r="EA607" s="132"/>
      <c r="EB607" s="132"/>
      <c r="EC607" s="132"/>
      <c r="ED607" s="132"/>
      <c r="EE607" s="132"/>
      <c r="EF607" s="132"/>
      <c r="EG607" s="132"/>
      <c r="EH607" s="132"/>
      <c r="EI607" s="132"/>
      <c r="EJ607" s="132"/>
      <c r="EK607" s="132"/>
      <c r="EL607" s="132"/>
      <c r="EM607" s="132"/>
      <c r="EN607" s="132"/>
      <c r="EO607" s="132"/>
      <c r="EP607" s="132"/>
      <c r="EQ607" s="132"/>
      <c r="ER607" s="132"/>
      <c r="ES607" s="132"/>
      <c r="ET607" s="11"/>
      <c r="EU607" s="11"/>
      <c r="EV607" s="11"/>
      <c r="EW607" s="11"/>
      <c r="EX607" s="11"/>
      <c r="EY607" s="11"/>
      <c r="EZ607" s="11"/>
      <c r="FA607" s="11"/>
      <c r="FB607" s="11"/>
      <c r="FC607" s="11"/>
      <c r="FD607" s="11"/>
      <c r="FE607" s="11"/>
      <c r="FF607" s="11"/>
      <c r="FG607" s="11"/>
      <c r="FH607" s="39">
        <f t="shared" si="151"/>
        <v>1006622.48</v>
      </c>
      <c r="FI607" s="33">
        <f t="shared" si="152"/>
        <v>3</v>
      </c>
      <c r="FJ607" s="84">
        <f t="shared" si="153"/>
        <v>335540.82666666666</v>
      </c>
    </row>
    <row r="608" spans="1:166" ht="40.5" x14ac:dyDescent="0.25">
      <c r="A608" s="79" t="e">
        <f>#REF!</f>
        <v>#REF!</v>
      </c>
      <c r="B608" s="75" t="e">
        <f>#REF!</f>
        <v>#REF!</v>
      </c>
      <c r="C608" s="75" t="e">
        <f>#REF!</f>
        <v>#REF!</v>
      </c>
      <c r="D608" s="75" t="e">
        <f>#REF!</f>
        <v>#REF!</v>
      </c>
      <c r="E608" s="30">
        <v>1</v>
      </c>
      <c r="F608" s="238">
        <v>0</v>
      </c>
      <c r="G608" s="241">
        <v>0</v>
      </c>
      <c r="H608" s="249">
        <v>0</v>
      </c>
      <c r="I608" s="249">
        <v>0</v>
      </c>
      <c r="J608" s="249">
        <v>0</v>
      </c>
      <c r="K608" s="249">
        <v>0</v>
      </c>
      <c r="L608" s="274"/>
      <c r="M608" s="274"/>
      <c r="N608" s="245"/>
      <c r="O608" s="113"/>
      <c r="P608" s="113"/>
      <c r="Q608" s="131"/>
      <c r="R608" s="131"/>
      <c r="S608" s="64"/>
      <c r="T608" s="113"/>
      <c r="U608" s="117"/>
      <c r="V608" s="113"/>
      <c r="W608" s="131"/>
      <c r="X608" s="131"/>
      <c r="Y608" s="11"/>
      <c r="Z608" s="113"/>
      <c r="AA608" s="113"/>
      <c r="AB608" s="113"/>
      <c r="AC608" s="52"/>
      <c r="AD608" s="52"/>
      <c r="AE608" s="11"/>
      <c r="AF608" s="118"/>
      <c r="AG608" s="144"/>
      <c r="AH608" s="113"/>
      <c r="AI608" s="11"/>
      <c r="AJ608" s="11"/>
      <c r="AK608" s="39"/>
      <c r="AL608" s="113">
        <v>150000</v>
      </c>
      <c r="AM608" s="113">
        <f>+AL608*0.19</f>
        <v>28500</v>
      </c>
      <c r="AN608" s="119">
        <f>+AL608+AM608</f>
        <v>178500</v>
      </c>
      <c r="AO608" s="76" t="s">
        <v>60</v>
      </c>
      <c r="AP608" s="39" t="s">
        <v>45</v>
      </c>
      <c r="AQ608" s="39"/>
      <c r="AR608" s="275"/>
      <c r="AS608" s="275"/>
      <c r="AT608" s="275"/>
      <c r="AU608" s="62"/>
      <c r="AV608" s="62"/>
      <c r="AW608" s="11"/>
      <c r="AX608" s="116">
        <v>147343.01999999999</v>
      </c>
      <c r="AY608" s="116">
        <f>+AX608*0.19</f>
        <v>27995.173799999997</v>
      </c>
      <c r="AZ608" s="143">
        <f>+AX608+AY608</f>
        <v>175338.19379999998</v>
      </c>
      <c r="BA608" s="191" t="s">
        <v>60</v>
      </c>
      <c r="BB608" s="132" t="s">
        <v>70</v>
      </c>
      <c r="BC608" s="132"/>
      <c r="BD608" s="274"/>
      <c r="BE608" s="143"/>
      <c r="BF608" s="143"/>
      <c r="BG608" s="132"/>
      <c r="BH608" s="132"/>
      <c r="BI608" s="132"/>
      <c r="BJ608" s="143"/>
      <c r="BK608" s="143"/>
      <c r="BL608" s="143"/>
      <c r="BM608" s="132"/>
      <c r="BN608" s="132"/>
      <c r="BO608" s="132"/>
      <c r="BP608" s="143"/>
      <c r="BQ608" s="132"/>
      <c r="BR608" s="132"/>
      <c r="BS608" s="132"/>
      <c r="BT608" s="132"/>
      <c r="BU608" s="132"/>
      <c r="BV608" s="263">
        <v>600000</v>
      </c>
      <c r="BW608" s="144">
        <f t="shared" si="155"/>
        <v>114000</v>
      </c>
      <c r="BX608" s="113">
        <f t="shared" si="154"/>
        <v>714000</v>
      </c>
      <c r="BY608" s="264" t="s">
        <v>231</v>
      </c>
      <c r="BZ608" s="264" t="s">
        <v>45</v>
      </c>
      <c r="CA608" s="132"/>
      <c r="CB608" s="274"/>
      <c r="CC608" s="144"/>
      <c r="CD608" s="274"/>
      <c r="CE608" s="132"/>
      <c r="CF608" s="132"/>
      <c r="CG608" s="132"/>
      <c r="CH608" s="263">
        <v>618000</v>
      </c>
      <c r="CI608" s="265">
        <f>+CH608*0.19</f>
        <v>117420</v>
      </c>
      <c r="CJ608" s="263">
        <f>+CH608+CI608</f>
        <v>735420</v>
      </c>
      <c r="CK608" s="264" t="s">
        <v>231</v>
      </c>
      <c r="CL608" s="264" t="s">
        <v>45</v>
      </c>
      <c r="CM608" s="132"/>
      <c r="CN608" s="274"/>
      <c r="CO608" s="144"/>
      <c r="CP608" s="274"/>
      <c r="CQ608" s="132"/>
      <c r="CR608" s="132"/>
      <c r="CS608" s="132"/>
      <c r="CT608" s="274"/>
      <c r="CU608" s="144"/>
      <c r="CV608" s="274"/>
      <c r="CW608" s="132"/>
      <c r="CX608" s="132"/>
      <c r="CY608" s="132"/>
      <c r="CZ608" s="118"/>
      <c r="DA608" s="144"/>
      <c r="DB608" s="118"/>
      <c r="DC608" s="33"/>
      <c r="DD608" s="39"/>
      <c r="DE608" s="11"/>
      <c r="DF608" s="132"/>
      <c r="DG608" s="132"/>
      <c r="DH608" s="132"/>
      <c r="DI608" s="132"/>
      <c r="DJ608" s="132"/>
      <c r="DK608" s="132"/>
      <c r="DL608" s="132"/>
      <c r="DM608" s="132"/>
      <c r="DN608" s="132"/>
      <c r="DO608" s="132"/>
      <c r="DP608" s="132"/>
      <c r="DQ608" s="132"/>
      <c r="DR608" s="132"/>
      <c r="DS608" s="132"/>
      <c r="DT608" s="132"/>
      <c r="DU608" s="132"/>
      <c r="DV608" s="132"/>
      <c r="DW608" s="132"/>
      <c r="DX608" s="132"/>
      <c r="DY608" s="132"/>
      <c r="DZ608" s="132"/>
      <c r="EA608" s="132"/>
      <c r="EB608" s="132"/>
      <c r="EC608" s="132"/>
      <c r="ED608" s="132"/>
      <c r="EE608" s="132"/>
      <c r="EF608" s="132"/>
      <c r="EG608" s="132"/>
      <c r="EH608" s="132"/>
      <c r="EI608" s="132"/>
      <c r="EJ608" s="132"/>
      <c r="EK608" s="132"/>
      <c r="EL608" s="132"/>
      <c r="EM608" s="132"/>
      <c r="EN608" s="132"/>
      <c r="EO608" s="132"/>
      <c r="EP608" s="132"/>
      <c r="EQ608" s="132"/>
      <c r="ER608" s="132"/>
      <c r="ES608" s="132"/>
      <c r="ET608" s="11"/>
      <c r="EU608" s="11"/>
      <c r="EV608" s="11"/>
      <c r="EW608" s="11"/>
      <c r="EX608" s="11"/>
      <c r="EY608" s="11"/>
      <c r="EZ608" s="11"/>
      <c r="FA608" s="11"/>
      <c r="FB608" s="11"/>
      <c r="FC608" s="11"/>
      <c r="FD608" s="11"/>
      <c r="FE608" s="11"/>
      <c r="FF608" s="11"/>
      <c r="FG608" s="11"/>
      <c r="FH608" s="39">
        <f t="shared" si="151"/>
        <v>1803258.1938</v>
      </c>
      <c r="FI608" s="33">
        <f t="shared" si="152"/>
        <v>4</v>
      </c>
      <c r="FJ608" s="84">
        <f t="shared" si="153"/>
        <v>450814.54845</v>
      </c>
    </row>
    <row r="609" spans="1:166" ht="27" x14ac:dyDescent="0.25">
      <c r="A609" s="79" t="e">
        <f>#REF!</f>
        <v>#REF!</v>
      </c>
      <c r="B609" s="75" t="e">
        <f>#REF!</f>
        <v>#REF!</v>
      </c>
      <c r="C609" s="75" t="e">
        <f>#REF!</f>
        <v>#REF!</v>
      </c>
      <c r="D609" s="75" t="e">
        <f>#REF!</f>
        <v>#REF!</v>
      </c>
      <c r="E609" s="30">
        <v>1</v>
      </c>
      <c r="F609" s="238">
        <v>116739</v>
      </c>
      <c r="G609" s="241">
        <v>114954</v>
      </c>
      <c r="H609" s="249">
        <v>122715.62953999999</v>
      </c>
      <c r="I609" s="249">
        <v>122689</v>
      </c>
      <c r="J609" s="249">
        <v>155247.23333333334</v>
      </c>
      <c r="K609" s="249">
        <v>0</v>
      </c>
      <c r="L609" s="274">
        <f>AVERAGE(F609,H609,J609)</f>
        <v>131567.28762444443</v>
      </c>
      <c r="M609" s="274">
        <f>AVERAGE(G609,I609)*E1</f>
        <v>122386.145</v>
      </c>
      <c r="N609" s="245"/>
      <c r="O609" s="113"/>
      <c r="P609" s="113"/>
      <c r="Q609" s="131"/>
      <c r="R609" s="131"/>
      <c r="S609" s="64"/>
      <c r="T609" s="113"/>
      <c r="U609" s="117"/>
      <c r="V609" s="113"/>
      <c r="W609" s="131"/>
      <c r="X609" s="131"/>
      <c r="Y609" s="11"/>
      <c r="Z609" s="113"/>
      <c r="AA609" s="113"/>
      <c r="AB609" s="113"/>
      <c r="AC609" s="52"/>
      <c r="AD609" s="52"/>
      <c r="AE609" s="11"/>
      <c r="AF609" s="118"/>
      <c r="AG609" s="144"/>
      <c r="AH609" s="113"/>
      <c r="AI609" s="11"/>
      <c r="AJ609" s="11"/>
      <c r="AK609" s="39"/>
      <c r="AL609" s="113"/>
      <c r="AM609" s="113"/>
      <c r="AN609" s="117"/>
      <c r="AO609" s="76"/>
      <c r="AP609" s="39"/>
      <c r="AQ609" s="39"/>
      <c r="AR609" s="275">
        <f>+(216000/10)*25</f>
        <v>540000</v>
      </c>
      <c r="AS609" s="143">
        <f t="shared" ref="AS609:AS616" si="156">+AR609*0.19</f>
        <v>102600</v>
      </c>
      <c r="AT609" s="116">
        <f t="shared" ref="AT609:AT616" si="157">+AR609+AS609</f>
        <v>642600</v>
      </c>
      <c r="AU609" s="62" t="s">
        <v>204</v>
      </c>
      <c r="AV609" s="62" t="s">
        <v>35</v>
      </c>
      <c r="AW609" s="11"/>
      <c r="AX609" s="116"/>
      <c r="AY609" s="194"/>
      <c r="AZ609" s="143"/>
      <c r="BA609" s="191"/>
      <c r="BB609" s="132"/>
      <c r="BC609" s="132"/>
      <c r="BD609" s="274"/>
      <c r="BE609" s="143"/>
      <c r="BF609" s="143"/>
      <c r="BG609" s="132"/>
      <c r="BH609" s="132"/>
      <c r="BI609" s="132"/>
      <c r="BJ609" s="143"/>
      <c r="BK609" s="143"/>
      <c r="BL609" s="143"/>
      <c r="BM609" s="132"/>
      <c r="BN609" s="132"/>
      <c r="BO609" s="132"/>
      <c r="BP609" s="143"/>
      <c r="BQ609" s="132"/>
      <c r="BR609" s="132"/>
      <c r="BS609" s="132"/>
      <c r="BT609" s="132"/>
      <c r="BU609" s="132"/>
      <c r="BV609" s="263">
        <v>339200</v>
      </c>
      <c r="BW609" s="144">
        <f t="shared" si="155"/>
        <v>64448</v>
      </c>
      <c r="BX609" s="113">
        <f t="shared" si="154"/>
        <v>403648</v>
      </c>
      <c r="BY609" s="264" t="s">
        <v>340</v>
      </c>
      <c r="BZ609" s="264" t="s">
        <v>477</v>
      </c>
      <c r="CA609" s="132"/>
      <c r="CB609" s="274"/>
      <c r="CC609" s="144"/>
      <c r="CD609" s="274"/>
      <c r="CE609" s="132"/>
      <c r="CF609" s="132"/>
      <c r="CG609" s="132"/>
      <c r="CH609" s="263">
        <v>356160</v>
      </c>
      <c r="CI609" s="265">
        <f>+CH609*0.19</f>
        <v>67670.399999999994</v>
      </c>
      <c r="CJ609" s="263">
        <f>+CH609+CI609</f>
        <v>423830.4</v>
      </c>
      <c r="CK609" s="264" t="s">
        <v>340</v>
      </c>
      <c r="CL609" s="264" t="s">
        <v>477</v>
      </c>
      <c r="CM609" s="132"/>
      <c r="CN609" s="274"/>
      <c r="CO609" s="144"/>
      <c r="CP609" s="274"/>
      <c r="CQ609" s="132"/>
      <c r="CR609" s="132"/>
      <c r="CS609" s="132"/>
      <c r="CT609" s="274"/>
      <c r="CU609" s="144"/>
      <c r="CV609" s="274"/>
      <c r="CW609" s="132"/>
      <c r="CX609" s="132"/>
      <c r="CY609" s="132"/>
      <c r="CZ609" s="118"/>
      <c r="DA609" s="144"/>
      <c r="DB609" s="118"/>
      <c r="DC609" s="33"/>
      <c r="DD609" s="39"/>
      <c r="DE609" s="11"/>
      <c r="DF609" s="132"/>
      <c r="DG609" s="132"/>
      <c r="DH609" s="132"/>
      <c r="DI609" s="132"/>
      <c r="DJ609" s="132"/>
      <c r="DK609" s="132"/>
      <c r="DL609" s="132"/>
      <c r="DM609" s="132"/>
      <c r="DN609" s="132"/>
      <c r="DO609" s="132"/>
      <c r="DP609" s="132"/>
      <c r="DQ609" s="132"/>
      <c r="DR609" s="132"/>
      <c r="DS609" s="132"/>
      <c r="DT609" s="132"/>
      <c r="DU609" s="132"/>
      <c r="DV609" s="132"/>
      <c r="DW609" s="132"/>
      <c r="DX609" s="132"/>
      <c r="DY609" s="132"/>
      <c r="DZ609" s="132"/>
      <c r="EA609" s="132"/>
      <c r="EB609" s="132"/>
      <c r="EC609" s="132"/>
      <c r="ED609" s="132"/>
      <c r="EE609" s="132"/>
      <c r="EF609" s="132"/>
      <c r="EG609" s="132"/>
      <c r="EH609" s="132"/>
      <c r="EI609" s="132"/>
      <c r="EJ609" s="132"/>
      <c r="EK609" s="132"/>
      <c r="EL609" s="132"/>
      <c r="EM609" s="132"/>
      <c r="EN609" s="132"/>
      <c r="EO609" s="132"/>
      <c r="EP609" s="132"/>
      <c r="EQ609" s="132"/>
      <c r="ER609" s="132"/>
      <c r="ES609" s="132"/>
      <c r="ET609" s="11"/>
      <c r="EU609" s="11"/>
      <c r="EV609" s="11"/>
      <c r="EW609" s="11"/>
      <c r="EX609" s="11"/>
      <c r="EY609" s="11"/>
      <c r="EZ609" s="11"/>
      <c r="FA609" s="11"/>
      <c r="FB609" s="11"/>
      <c r="FC609" s="11"/>
      <c r="FD609" s="11"/>
      <c r="FE609" s="11"/>
      <c r="FF609" s="11"/>
      <c r="FG609" s="11"/>
      <c r="FH609" s="39">
        <f t="shared" si="151"/>
        <v>1592464.5449999999</v>
      </c>
      <c r="FI609" s="33">
        <f t="shared" si="152"/>
        <v>4</v>
      </c>
      <c r="FJ609" s="84">
        <f t="shared" si="153"/>
        <v>398116.13624999998</v>
      </c>
    </row>
    <row r="610" spans="1:166" ht="40.5" x14ac:dyDescent="0.25">
      <c r="A610" s="79" t="e">
        <f>#REF!</f>
        <v>#REF!</v>
      </c>
      <c r="B610" s="75" t="e">
        <f>#REF!</f>
        <v>#REF!</v>
      </c>
      <c r="C610" s="75" t="e">
        <f>#REF!</f>
        <v>#REF!</v>
      </c>
      <c r="D610" s="75" t="e">
        <f>#REF!</f>
        <v>#REF!</v>
      </c>
      <c r="E610" s="30">
        <v>1</v>
      </c>
      <c r="F610" s="238">
        <v>0</v>
      </c>
      <c r="G610" s="241">
        <v>0</v>
      </c>
      <c r="H610" s="249">
        <v>194390.875</v>
      </c>
      <c r="I610" s="249">
        <v>117810</v>
      </c>
      <c r="J610" s="249">
        <v>260193.5</v>
      </c>
      <c r="K610" s="249">
        <v>0</v>
      </c>
      <c r="L610" s="274">
        <f>AVERAGE(H610,J610)</f>
        <v>227292.1875</v>
      </c>
      <c r="M610" s="274">
        <f>I610*E1</f>
        <v>121344.3</v>
      </c>
      <c r="N610" s="245"/>
      <c r="O610" s="113"/>
      <c r="P610" s="113"/>
      <c r="Q610" s="131"/>
      <c r="R610" s="131"/>
      <c r="S610" s="64"/>
      <c r="T610" s="113"/>
      <c r="U610" s="113"/>
      <c r="V610" s="113"/>
      <c r="W610" s="131"/>
      <c r="X610" s="131"/>
      <c r="Y610" s="52"/>
      <c r="Z610" s="117"/>
      <c r="AA610" s="113"/>
      <c r="AB610" s="113"/>
      <c r="AC610" s="131"/>
      <c r="AD610" s="52"/>
      <c r="AE610" s="11"/>
      <c r="AF610" s="118">
        <v>400000</v>
      </c>
      <c r="AG610" s="144">
        <f>AF610*19%</f>
        <v>76000</v>
      </c>
      <c r="AH610" s="113">
        <f>+AF610+AG610</f>
        <v>476000</v>
      </c>
      <c r="AI610" s="11"/>
      <c r="AJ610" s="11"/>
      <c r="AK610" s="39"/>
      <c r="AL610" s="113">
        <v>190000</v>
      </c>
      <c r="AM610" s="113">
        <f>+AL610*0.19</f>
        <v>36100</v>
      </c>
      <c r="AN610" s="119">
        <f t="shared" ref="AN610:AN618" si="158">+AL610+AM610</f>
        <v>226100</v>
      </c>
      <c r="AO610" s="76" t="s">
        <v>60</v>
      </c>
      <c r="AP610" s="39" t="s">
        <v>45</v>
      </c>
      <c r="AQ610" s="39"/>
      <c r="AR610" s="275">
        <f>273600*2</f>
        <v>547200</v>
      </c>
      <c r="AS610" s="143">
        <f t="shared" si="156"/>
        <v>103968</v>
      </c>
      <c r="AT610" s="116">
        <f t="shared" si="157"/>
        <v>651168</v>
      </c>
      <c r="AU610" s="62" t="s">
        <v>78</v>
      </c>
      <c r="AV610" s="62" t="s">
        <v>35</v>
      </c>
      <c r="AW610" s="11"/>
      <c r="AX610" s="116"/>
      <c r="AY610" s="196"/>
      <c r="AZ610" s="143"/>
      <c r="BA610" s="191"/>
      <c r="BB610" s="132"/>
      <c r="BC610" s="132"/>
      <c r="BD610" s="274"/>
      <c r="BE610" s="143"/>
      <c r="BF610" s="143"/>
      <c r="BG610" s="132"/>
      <c r="BH610" s="132"/>
      <c r="BI610" s="132"/>
      <c r="BJ610" s="143"/>
      <c r="BK610" s="143"/>
      <c r="BL610" s="143"/>
      <c r="BM610" s="132"/>
      <c r="BN610" s="132"/>
      <c r="BO610" s="132"/>
      <c r="BP610" s="143"/>
      <c r="BQ610" s="132"/>
      <c r="BR610" s="132"/>
      <c r="BS610" s="132"/>
      <c r="BT610" s="132"/>
      <c r="BU610" s="132"/>
      <c r="BV610" s="263">
        <v>760000</v>
      </c>
      <c r="BW610" s="144">
        <f t="shared" si="155"/>
        <v>144400</v>
      </c>
      <c r="BX610" s="113">
        <f t="shared" si="154"/>
        <v>904400</v>
      </c>
      <c r="BY610" s="264" t="s">
        <v>231</v>
      </c>
      <c r="BZ610" s="264" t="s">
        <v>45</v>
      </c>
      <c r="CA610" s="132"/>
      <c r="CB610" s="274"/>
      <c r="CC610" s="144"/>
      <c r="CD610" s="274"/>
      <c r="CE610" s="132"/>
      <c r="CF610" s="132"/>
      <c r="CG610" s="132"/>
      <c r="CH610" s="263">
        <v>805600</v>
      </c>
      <c r="CI610" s="265">
        <f>+CH610*0.19</f>
        <v>153064</v>
      </c>
      <c r="CJ610" s="263">
        <f>+CH610+CI610</f>
        <v>958664</v>
      </c>
      <c r="CK610" s="264" t="s">
        <v>231</v>
      </c>
      <c r="CL610" s="264" t="s">
        <v>45</v>
      </c>
      <c r="CM610" s="132"/>
      <c r="CN610" s="274"/>
      <c r="CO610" s="144"/>
      <c r="CP610" s="274"/>
      <c r="CQ610" s="132"/>
      <c r="CR610" s="132"/>
      <c r="CS610" s="132"/>
      <c r="CT610" s="274"/>
      <c r="CU610" s="144"/>
      <c r="CV610" s="274"/>
      <c r="CW610" s="132"/>
      <c r="CX610" s="132"/>
      <c r="CY610" s="132"/>
      <c r="CZ610" s="118"/>
      <c r="DA610" s="144"/>
      <c r="DB610" s="118"/>
      <c r="DC610" s="33"/>
      <c r="DD610" s="39"/>
      <c r="DE610" s="11"/>
      <c r="DF610" s="132"/>
      <c r="DG610" s="132"/>
      <c r="DH610" s="132"/>
      <c r="DI610" s="132"/>
      <c r="DJ610" s="132"/>
      <c r="DK610" s="132"/>
      <c r="DL610" s="132"/>
      <c r="DM610" s="132"/>
      <c r="DN610" s="132"/>
      <c r="DO610" s="132"/>
      <c r="DP610" s="132"/>
      <c r="DQ610" s="132"/>
      <c r="DR610" s="132"/>
      <c r="DS610" s="132"/>
      <c r="DT610" s="132"/>
      <c r="DU610" s="132"/>
      <c r="DV610" s="132"/>
      <c r="DW610" s="132"/>
      <c r="DX610" s="132"/>
      <c r="DY610" s="132"/>
      <c r="DZ610" s="132"/>
      <c r="EA610" s="132"/>
      <c r="EB610" s="132"/>
      <c r="EC610" s="132"/>
      <c r="ED610" s="132"/>
      <c r="EE610" s="132"/>
      <c r="EF610" s="132"/>
      <c r="EG610" s="132"/>
      <c r="EH610" s="132"/>
      <c r="EI610" s="132"/>
      <c r="EJ610" s="132"/>
      <c r="EK610" s="132"/>
      <c r="EL610" s="132"/>
      <c r="EM610" s="132"/>
      <c r="EN610" s="132"/>
      <c r="EO610" s="132"/>
      <c r="EP610" s="132"/>
      <c r="EQ610" s="132"/>
      <c r="ER610" s="132"/>
      <c r="ES610" s="132"/>
      <c r="ET610" s="11"/>
      <c r="EU610" s="11"/>
      <c r="EV610" s="11"/>
      <c r="EW610" s="11"/>
      <c r="EX610" s="11"/>
      <c r="EY610" s="11"/>
      <c r="EZ610" s="11"/>
      <c r="FA610" s="11"/>
      <c r="FB610" s="11"/>
      <c r="FC610" s="11"/>
      <c r="FD610" s="11"/>
      <c r="FE610" s="11"/>
      <c r="FF610" s="11"/>
      <c r="FG610" s="11"/>
      <c r="FH610" s="39">
        <f t="shared" si="151"/>
        <v>3337676.3</v>
      </c>
      <c r="FI610" s="33">
        <f t="shared" si="152"/>
        <v>6</v>
      </c>
      <c r="FJ610" s="84">
        <f t="shared" si="153"/>
        <v>556279.3833333333</v>
      </c>
    </row>
    <row r="611" spans="1:166" ht="40.5" x14ac:dyDescent="0.25">
      <c r="A611" s="79" t="e">
        <f>#REF!</f>
        <v>#REF!</v>
      </c>
      <c r="B611" s="75" t="e">
        <f>#REF!</f>
        <v>#REF!</v>
      </c>
      <c r="C611" s="75" t="e">
        <f>#REF!</f>
        <v>#REF!</v>
      </c>
      <c r="D611" s="75" t="e">
        <f>#REF!</f>
        <v>#REF!</v>
      </c>
      <c r="E611" s="30">
        <v>1</v>
      </c>
      <c r="F611" s="238">
        <v>0</v>
      </c>
      <c r="G611" s="241">
        <v>0</v>
      </c>
      <c r="H611" s="249">
        <v>103704</v>
      </c>
      <c r="I611" s="249">
        <v>0</v>
      </c>
      <c r="J611" s="249">
        <v>0</v>
      </c>
      <c r="K611" s="249">
        <v>0</v>
      </c>
      <c r="L611" s="274">
        <f>H611</f>
        <v>103704</v>
      </c>
      <c r="M611" s="274"/>
      <c r="N611" s="245"/>
      <c r="O611" s="117"/>
      <c r="P611" s="113"/>
      <c r="Q611" s="131"/>
      <c r="R611" s="131"/>
      <c r="S611" s="64"/>
      <c r="T611" s="113"/>
      <c r="U611" s="113"/>
      <c r="V611" s="113"/>
      <c r="W611" s="131"/>
      <c r="X611" s="131"/>
      <c r="Y611" s="11"/>
      <c r="Z611" s="113"/>
      <c r="AA611" s="113"/>
      <c r="AB611" s="113"/>
      <c r="AC611" s="52"/>
      <c r="AD611" s="52"/>
      <c r="AE611" s="11"/>
      <c r="AF611" s="118">
        <v>420000</v>
      </c>
      <c r="AG611" s="144">
        <f>AF611*19%</f>
        <v>79800</v>
      </c>
      <c r="AH611" s="113">
        <f>+AF611+AG611</f>
        <v>499800</v>
      </c>
      <c r="AI611" s="11"/>
      <c r="AJ611" s="11"/>
      <c r="AK611" s="39"/>
      <c r="AL611" s="113">
        <v>393000</v>
      </c>
      <c r="AM611" s="113">
        <f>+AL611*0.19</f>
        <v>74670</v>
      </c>
      <c r="AN611" s="119">
        <f t="shared" si="158"/>
        <v>467670</v>
      </c>
      <c r="AO611" s="76" t="s">
        <v>60</v>
      </c>
      <c r="AP611" s="39" t="s">
        <v>45</v>
      </c>
      <c r="AQ611" s="39"/>
      <c r="AR611" s="275">
        <v>705600</v>
      </c>
      <c r="AS611" s="143">
        <f t="shared" si="156"/>
        <v>134064</v>
      </c>
      <c r="AT611" s="116">
        <f t="shared" si="157"/>
        <v>839664</v>
      </c>
      <c r="AU611" s="62" t="s">
        <v>78</v>
      </c>
      <c r="AV611" s="62" t="s">
        <v>35</v>
      </c>
      <c r="AW611" s="11"/>
      <c r="AX611" s="116"/>
      <c r="AY611" s="116"/>
      <c r="AZ611" s="143"/>
      <c r="BA611" s="191"/>
      <c r="BB611" s="132"/>
      <c r="BC611" s="132"/>
      <c r="BD611" s="274"/>
      <c r="BE611" s="143"/>
      <c r="BF611" s="143"/>
      <c r="BG611" s="132"/>
      <c r="BH611" s="132"/>
      <c r="BI611" s="132"/>
      <c r="BJ611" s="143"/>
      <c r="BK611" s="143"/>
      <c r="BL611" s="143"/>
      <c r="BM611" s="132"/>
      <c r="BN611" s="132"/>
      <c r="BO611" s="132"/>
      <c r="BP611" s="143"/>
      <c r="BQ611" s="132"/>
      <c r="BR611" s="132"/>
      <c r="BS611" s="132"/>
      <c r="BT611" s="132"/>
      <c r="BU611" s="132"/>
      <c r="BV611" s="263">
        <v>1572000</v>
      </c>
      <c r="BW611" s="144">
        <f t="shared" si="155"/>
        <v>298680</v>
      </c>
      <c r="BX611" s="113">
        <f t="shared" si="154"/>
        <v>1870680</v>
      </c>
      <c r="BY611" s="264" t="s">
        <v>231</v>
      </c>
      <c r="BZ611" s="264" t="s">
        <v>45</v>
      </c>
      <c r="CA611" s="132"/>
      <c r="CB611" s="274"/>
      <c r="CC611" s="144"/>
      <c r="CD611" s="274"/>
      <c r="CE611" s="132"/>
      <c r="CF611" s="132"/>
      <c r="CG611" s="132"/>
      <c r="CH611" s="263"/>
      <c r="CI611" s="265"/>
      <c r="CJ611" s="263"/>
      <c r="CK611" s="264"/>
      <c r="CL611" s="264"/>
      <c r="CM611" s="132"/>
      <c r="CN611" s="274"/>
      <c r="CO611" s="144"/>
      <c r="CP611" s="274"/>
      <c r="CQ611" s="132"/>
      <c r="CR611" s="132"/>
      <c r="CS611" s="132"/>
      <c r="CT611" s="274"/>
      <c r="CU611" s="144"/>
      <c r="CV611" s="274"/>
      <c r="CW611" s="132"/>
      <c r="CX611" s="132"/>
      <c r="CY611" s="132"/>
      <c r="CZ611" s="118"/>
      <c r="DA611" s="144"/>
      <c r="DB611" s="118"/>
      <c r="DC611" s="33"/>
      <c r="DD611" s="39"/>
      <c r="DE611" s="11"/>
      <c r="DF611" s="132"/>
      <c r="DG611" s="132"/>
      <c r="DH611" s="132"/>
      <c r="DI611" s="132"/>
      <c r="DJ611" s="132"/>
      <c r="DK611" s="132"/>
      <c r="DL611" s="132"/>
      <c r="DM611" s="132"/>
      <c r="DN611" s="132"/>
      <c r="DO611" s="132"/>
      <c r="DP611" s="132"/>
      <c r="DQ611" s="132"/>
      <c r="DR611" s="132"/>
      <c r="DS611" s="132"/>
      <c r="DT611" s="132"/>
      <c r="DU611" s="132"/>
      <c r="DV611" s="132"/>
      <c r="DW611" s="132"/>
      <c r="DX611" s="132"/>
      <c r="DY611" s="132"/>
      <c r="DZ611" s="132"/>
      <c r="EA611" s="132"/>
      <c r="EB611" s="132"/>
      <c r="EC611" s="132"/>
      <c r="ED611" s="132"/>
      <c r="EE611" s="132"/>
      <c r="EF611" s="132"/>
      <c r="EG611" s="132"/>
      <c r="EH611" s="132"/>
      <c r="EI611" s="132"/>
      <c r="EJ611" s="132"/>
      <c r="EK611" s="132"/>
      <c r="EL611" s="132"/>
      <c r="EM611" s="132"/>
      <c r="EN611" s="132"/>
      <c r="EO611" s="132"/>
      <c r="EP611" s="132"/>
      <c r="EQ611" s="132"/>
      <c r="ER611" s="132"/>
      <c r="ES611" s="132"/>
      <c r="ET611" s="11"/>
      <c r="EU611" s="11"/>
      <c r="EV611" s="11"/>
      <c r="EW611" s="11"/>
      <c r="EX611" s="11"/>
      <c r="EY611" s="11"/>
      <c r="EZ611" s="11"/>
      <c r="FA611" s="11"/>
      <c r="FB611" s="11"/>
      <c r="FC611" s="11"/>
      <c r="FD611" s="11"/>
      <c r="FE611" s="11"/>
      <c r="FF611" s="275"/>
      <c r="FG611" s="71"/>
      <c r="FH611" s="39">
        <f t="shared" si="151"/>
        <v>3677814</v>
      </c>
      <c r="FI611" s="33">
        <f t="shared" si="152"/>
        <v>4</v>
      </c>
      <c r="FJ611" s="84">
        <f t="shared" si="153"/>
        <v>919453.5</v>
      </c>
    </row>
    <row r="612" spans="1:166" ht="27" x14ac:dyDescent="0.25">
      <c r="A612" s="79" t="e">
        <f>#REF!</f>
        <v>#REF!</v>
      </c>
      <c r="B612" s="75" t="e">
        <f>#REF!</f>
        <v>#REF!</v>
      </c>
      <c r="C612" s="75" t="e">
        <f>#REF!</f>
        <v>#REF!</v>
      </c>
      <c r="D612" s="75" t="e">
        <f>#REF!</f>
        <v>#REF!</v>
      </c>
      <c r="E612" s="30">
        <v>1</v>
      </c>
      <c r="F612" s="238">
        <v>505670.66666666663</v>
      </c>
      <c r="G612" s="241">
        <v>0</v>
      </c>
      <c r="H612" s="249">
        <v>543190.19508888887</v>
      </c>
      <c r="I612" s="249">
        <v>0</v>
      </c>
      <c r="J612" s="249">
        <v>533913.33333333337</v>
      </c>
      <c r="K612" s="249">
        <v>0</v>
      </c>
      <c r="L612" s="274">
        <f>AVERAGE(F612,H612,J612)</f>
        <v>527591.39836296299</v>
      </c>
      <c r="M612" s="274"/>
      <c r="N612" s="245"/>
      <c r="O612" s="113"/>
      <c r="P612" s="113"/>
      <c r="Q612" s="52"/>
      <c r="R612" s="52"/>
      <c r="S612" s="5"/>
      <c r="T612" s="113"/>
      <c r="U612" s="113"/>
      <c r="V612" s="113"/>
      <c r="W612" s="11"/>
      <c r="X612" s="11"/>
      <c r="Y612" s="11"/>
      <c r="Z612" s="113"/>
      <c r="AA612" s="113"/>
      <c r="AB612" s="113"/>
      <c r="AC612" s="52"/>
      <c r="AD612" s="52"/>
      <c r="AE612" s="11"/>
      <c r="AF612" s="118"/>
      <c r="AG612" s="144"/>
      <c r="AH612" s="113"/>
      <c r="AI612" s="11"/>
      <c r="AJ612" s="11"/>
      <c r="AK612" s="11"/>
      <c r="AL612" s="113">
        <v>398000</v>
      </c>
      <c r="AM612" s="113">
        <f>+AL612*0.19</f>
        <v>75620</v>
      </c>
      <c r="AN612" s="119">
        <f t="shared" si="158"/>
        <v>473620</v>
      </c>
      <c r="AO612" s="76" t="s">
        <v>95</v>
      </c>
      <c r="AP612" s="11" t="s">
        <v>45</v>
      </c>
      <c r="AQ612" s="11"/>
      <c r="AR612" s="275">
        <v>432000</v>
      </c>
      <c r="AS612" s="143">
        <f t="shared" si="156"/>
        <v>82080</v>
      </c>
      <c r="AT612" s="116">
        <f t="shared" si="157"/>
        <v>514080</v>
      </c>
      <c r="AU612" s="62" t="s">
        <v>95</v>
      </c>
      <c r="AV612" s="62" t="s">
        <v>35</v>
      </c>
      <c r="AW612" s="11"/>
      <c r="AX612" s="275"/>
      <c r="AY612" s="275"/>
      <c r="AZ612" s="275"/>
      <c r="BA612" s="11"/>
      <c r="BB612" s="11"/>
      <c r="BC612" s="11"/>
      <c r="BD612" s="274"/>
      <c r="BE612" s="143"/>
      <c r="BF612" s="143"/>
      <c r="BG612" s="132"/>
      <c r="BH612" s="11"/>
      <c r="BI612" s="132"/>
      <c r="BJ612" s="143"/>
      <c r="BK612" s="143"/>
      <c r="BL612" s="143"/>
      <c r="BM612" s="132"/>
      <c r="BN612" s="132"/>
      <c r="BO612" s="132"/>
      <c r="BP612" s="143"/>
      <c r="BQ612" s="132"/>
      <c r="BR612" s="132"/>
      <c r="BS612" s="132"/>
      <c r="BT612" s="132"/>
      <c r="BU612" s="132"/>
      <c r="BV612" s="263">
        <v>577900</v>
      </c>
      <c r="BW612" s="144">
        <f t="shared" si="155"/>
        <v>109801</v>
      </c>
      <c r="BX612" s="113">
        <f t="shared" si="154"/>
        <v>687701</v>
      </c>
      <c r="BY612" s="264" t="s">
        <v>352</v>
      </c>
      <c r="BZ612" s="264" t="s">
        <v>63</v>
      </c>
      <c r="CA612" s="132"/>
      <c r="CB612" s="274"/>
      <c r="CC612" s="144"/>
      <c r="CD612" s="274"/>
      <c r="CE612" s="132"/>
      <c r="CF612" s="132"/>
      <c r="CG612" s="132"/>
      <c r="CH612" s="263">
        <v>595237</v>
      </c>
      <c r="CI612" s="265">
        <f>+CH612*0.19</f>
        <v>113095.03</v>
      </c>
      <c r="CJ612" s="263">
        <f>+CH612+CI612</f>
        <v>708332.03</v>
      </c>
      <c r="CK612" s="264" t="s">
        <v>352</v>
      </c>
      <c r="CL612" s="264" t="s">
        <v>63</v>
      </c>
      <c r="CM612" s="132"/>
      <c r="CN612" s="274"/>
      <c r="CO612" s="144"/>
      <c r="CP612" s="274"/>
      <c r="CQ612" s="132"/>
      <c r="CR612" s="132"/>
      <c r="CS612" s="132"/>
      <c r="CT612" s="274"/>
      <c r="CU612" s="144"/>
      <c r="CV612" s="274"/>
      <c r="CW612" s="132"/>
      <c r="CX612" s="132"/>
      <c r="CY612" s="132"/>
      <c r="CZ612" s="118"/>
      <c r="DA612" s="144"/>
      <c r="DB612" s="118"/>
      <c r="DC612" s="33"/>
      <c r="DD612" s="39"/>
      <c r="DE612" s="11"/>
      <c r="DF612" s="132"/>
      <c r="DG612" s="132"/>
      <c r="DH612" s="132"/>
      <c r="DI612" s="132"/>
      <c r="DJ612" s="132"/>
      <c r="DK612" s="132"/>
      <c r="DL612" s="132"/>
      <c r="DM612" s="132"/>
      <c r="DN612" s="132"/>
      <c r="DO612" s="132"/>
      <c r="DP612" s="132"/>
      <c r="DQ612" s="132"/>
      <c r="DR612" s="132"/>
      <c r="DS612" s="132"/>
      <c r="DT612" s="132"/>
      <c r="DU612" s="132"/>
      <c r="DV612" s="132"/>
      <c r="DW612" s="132"/>
      <c r="DX612" s="132"/>
      <c r="DY612" s="132"/>
      <c r="DZ612" s="132"/>
      <c r="EA612" s="132"/>
      <c r="EB612" s="132"/>
      <c r="EC612" s="132"/>
      <c r="ED612" s="132"/>
      <c r="EE612" s="132"/>
      <c r="EF612" s="132"/>
      <c r="EG612" s="132"/>
      <c r="EH612" s="132"/>
      <c r="EI612" s="132"/>
      <c r="EJ612" s="132"/>
      <c r="EK612" s="132"/>
      <c r="EL612" s="132"/>
      <c r="EM612" s="132"/>
      <c r="EN612" s="132"/>
      <c r="EO612" s="132"/>
      <c r="EP612" s="132"/>
      <c r="EQ612" s="132"/>
      <c r="ER612" s="132"/>
      <c r="ES612" s="132"/>
      <c r="ET612" s="11"/>
      <c r="EU612" s="11"/>
      <c r="EV612" s="11"/>
      <c r="EW612" s="11"/>
      <c r="EX612" s="11"/>
      <c r="EY612" s="11"/>
      <c r="EZ612" s="11"/>
      <c r="FA612" s="11"/>
      <c r="FB612" s="11"/>
      <c r="FC612" s="11"/>
      <c r="FD612" s="11"/>
      <c r="FE612" s="11"/>
      <c r="FF612" s="11"/>
      <c r="FG612" s="11"/>
      <c r="FH612" s="39">
        <f t="shared" si="151"/>
        <v>2383733.0300000003</v>
      </c>
      <c r="FI612" s="33">
        <f t="shared" si="152"/>
        <v>4</v>
      </c>
      <c r="FJ612" s="84">
        <f t="shared" si="153"/>
        <v>595933.25750000007</v>
      </c>
    </row>
    <row r="613" spans="1:166" ht="27" x14ac:dyDescent="0.25">
      <c r="A613" s="79" t="e">
        <f>#REF!</f>
        <v>#REF!</v>
      </c>
      <c r="B613" s="75" t="e">
        <f>#REF!</f>
        <v>#REF!</v>
      </c>
      <c r="C613" s="75" t="e">
        <f>#REF!</f>
        <v>#REF!</v>
      </c>
      <c r="D613" s="75" t="e">
        <f>#REF!</f>
        <v>#REF!</v>
      </c>
      <c r="E613" s="30">
        <v>1</v>
      </c>
      <c r="F613" s="238">
        <v>0</v>
      </c>
      <c r="G613" s="241">
        <v>0</v>
      </c>
      <c r="H613" s="249">
        <v>0</v>
      </c>
      <c r="I613" s="249">
        <v>0</v>
      </c>
      <c r="J613" s="249">
        <v>0</v>
      </c>
      <c r="K613" s="249">
        <v>0</v>
      </c>
      <c r="L613" s="274"/>
      <c r="M613" s="274"/>
      <c r="N613" s="245"/>
      <c r="O613" s="122"/>
      <c r="P613" s="113"/>
      <c r="Q613" s="131"/>
      <c r="R613" s="131"/>
      <c r="S613" s="64"/>
      <c r="T613" s="113"/>
      <c r="U613" s="113"/>
      <c r="V613" s="113"/>
      <c r="W613" s="131"/>
      <c r="X613" s="131"/>
      <c r="Y613" s="11"/>
      <c r="Z613" s="113"/>
      <c r="AA613" s="113"/>
      <c r="AB613" s="113"/>
      <c r="AC613" s="131"/>
      <c r="AD613" s="52"/>
      <c r="AE613" s="11"/>
      <c r="AF613" s="118">
        <v>220000</v>
      </c>
      <c r="AG613" s="144">
        <f>AF613*19%</f>
        <v>41800</v>
      </c>
      <c r="AH613" s="113">
        <f>+AF613+AG613</f>
        <v>261800</v>
      </c>
      <c r="AI613" s="11"/>
      <c r="AJ613" s="11"/>
      <c r="AK613" s="39"/>
      <c r="AL613" s="113">
        <v>320000</v>
      </c>
      <c r="AM613" s="113">
        <f>+AL613*0.19</f>
        <v>60800</v>
      </c>
      <c r="AN613" s="119">
        <f t="shared" si="158"/>
        <v>380800</v>
      </c>
      <c r="AO613" s="76" t="s">
        <v>95</v>
      </c>
      <c r="AP613" s="39" t="s">
        <v>45</v>
      </c>
      <c r="AQ613" s="39"/>
      <c r="AR613" s="275">
        <v>504000</v>
      </c>
      <c r="AS613" s="143">
        <f t="shared" si="156"/>
        <v>95760</v>
      </c>
      <c r="AT613" s="116">
        <f t="shared" si="157"/>
        <v>599760</v>
      </c>
      <c r="AU613" s="62" t="s">
        <v>60</v>
      </c>
      <c r="AV613" s="62" t="s">
        <v>35</v>
      </c>
      <c r="AW613" s="39"/>
      <c r="AX613" s="116"/>
      <c r="AY613" s="116"/>
      <c r="AZ613" s="143"/>
      <c r="BA613" s="191"/>
      <c r="BB613" s="132"/>
      <c r="BC613" s="132"/>
      <c r="BD613" s="274"/>
      <c r="BE613" s="143"/>
      <c r="BF613" s="143"/>
      <c r="BG613" s="132"/>
      <c r="BH613" s="132"/>
      <c r="BI613" s="132"/>
      <c r="BJ613" s="143"/>
      <c r="BK613" s="143"/>
      <c r="BL613" s="143"/>
      <c r="BM613" s="132"/>
      <c r="BN613" s="132"/>
      <c r="BO613" s="132"/>
      <c r="BP613" s="143"/>
      <c r="BQ613" s="132"/>
      <c r="BR613" s="132"/>
      <c r="BS613" s="132"/>
      <c r="BT613" s="132"/>
      <c r="BU613" s="132"/>
      <c r="BV613" s="263">
        <v>214500</v>
      </c>
      <c r="BW613" s="144">
        <f t="shared" si="155"/>
        <v>40755</v>
      </c>
      <c r="BX613" s="113">
        <f t="shared" si="154"/>
        <v>255255</v>
      </c>
      <c r="BY613" s="264" t="s">
        <v>231</v>
      </c>
      <c r="BZ613" s="264" t="s">
        <v>63</v>
      </c>
      <c r="CA613" s="132"/>
      <c r="CB613" s="274"/>
      <c r="CC613" s="144"/>
      <c r="CD613" s="274"/>
      <c r="CE613" s="39"/>
      <c r="CF613" s="39"/>
      <c r="CG613" s="132"/>
      <c r="CH613" s="263">
        <v>216645</v>
      </c>
      <c r="CI613" s="265">
        <f>+CH613*0.19</f>
        <v>41162.550000000003</v>
      </c>
      <c r="CJ613" s="263">
        <f>+CH613+CI613</f>
        <v>257807.55</v>
      </c>
      <c r="CK613" s="264" t="s">
        <v>231</v>
      </c>
      <c r="CL613" s="264" t="s">
        <v>63</v>
      </c>
      <c r="CM613" s="132"/>
      <c r="CN613" s="274"/>
      <c r="CO613" s="144"/>
      <c r="CP613" s="274"/>
      <c r="CQ613" s="132"/>
      <c r="CR613" s="132"/>
      <c r="CS613" s="132"/>
      <c r="CT613" s="274"/>
      <c r="CU613" s="144"/>
      <c r="CV613" s="274"/>
      <c r="CW613" s="132"/>
      <c r="CX613" s="132"/>
      <c r="CY613" s="132"/>
      <c r="CZ613" s="118"/>
      <c r="DA613" s="144"/>
      <c r="DB613" s="118"/>
      <c r="DC613" s="33"/>
      <c r="DD613" s="39"/>
      <c r="DE613" s="11"/>
      <c r="DF613" s="132"/>
      <c r="DG613" s="132"/>
      <c r="DH613" s="132"/>
      <c r="DI613" s="132"/>
      <c r="DJ613" s="132"/>
      <c r="DK613" s="132"/>
      <c r="DL613" s="132"/>
      <c r="DM613" s="132"/>
      <c r="DN613" s="132"/>
      <c r="DO613" s="132"/>
      <c r="DP613" s="132"/>
      <c r="DQ613" s="132"/>
      <c r="DR613" s="132"/>
      <c r="DS613" s="132"/>
      <c r="DT613" s="132"/>
      <c r="DU613" s="132"/>
      <c r="DV613" s="132"/>
      <c r="DW613" s="132"/>
      <c r="DX613" s="132"/>
      <c r="DY613" s="132"/>
      <c r="DZ613" s="132"/>
      <c r="EA613" s="132"/>
      <c r="EB613" s="132"/>
      <c r="EC613" s="132"/>
      <c r="ED613" s="132"/>
      <c r="EE613" s="132"/>
      <c r="EF613" s="132"/>
      <c r="EG613" s="132"/>
      <c r="EH613" s="132"/>
      <c r="EI613" s="132"/>
      <c r="EJ613" s="132"/>
      <c r="EK613" s="132"/>
      <c r="EL613" s="132"/>
      <c r="EM613" s="132"/>
      <c r="EN613" s="132"/>
      <c r="EO613" s="132"/>
      <c r="EP613" s="132"/>
      <c r="EQ613" s="132"/>
      <c r="ER613" s="132"/>
      <c r="ES613" s="132"/>
      <c r="ET613" s="11"/>
      <c r="EU613" s="11"/>
      <c r="EV613" s="11"/>
      <c r="EW613" s="11"/>
      <c r="EX613" s="11"/>
      <c r="EY613" s="11"/>
      <c r="EZ613" s="11"/>
      <c r="FA613" s="11"/>
      <c r="FB613" s="11"/>
      <c r="FC613" s="11"/>
      <c r="FD613" s="11"/>
      <c r="FE613" s="11"/>
      <c r="FF613" s="275"/>
      <c r="FG613" s="71"/>
      <c r="FH613" s="39">
        <f t="shared" si="151"/>
        <v>1755422.55</v>
      </c>
      <c r="FI613" s="33">
        <f t="shared" si="152"/>
        <v>5</v>
      </c>
      <c r="FJ613" s="84">
        <f t="shared" si="153"/>
        <v>351084.51</v>
      </c>
    </row>
    <row r="614" spans="1:166" ht="40.5" x14ac:dyDescent="0.25">
      <c r="A614" s="79" t="e">
        <f>#REF!</f>
        <v>#REF!</v>
      </c>
      <c r="B614" s="75" t="e">
        <f>#REF!</f>
        <v>#REF!</v>
      </c>
      <c r="C614" s="75" t="e">
        <f>#REF!</f>
        <v>#REF!</v>
      </c>
      <c r="D614" s="75" t="e">
        <f>#REF!</f>
        <v>#REF!</v>
      </c>
      <c r="E614" s="30">
        <v>1</v>
      </c>
      <c r="F614" s="238">
        <v>0</v>
      </c>
      <c r="G614" s="241">
        <v>0</v>
      </c>
      <c r="H614" s="249">
        <v>416818.58333333331</v>
      </c>
      <c r="I614" s="249">
        <v>185045</v>
      </c>
      <c r="J614" s="249">
        <v>418908.4375</v>
      </c>
      <c r="K614" s="249">
        <v>0</v>
      </c>
      <c r="L614" s="274">
        <f>AVERAGE(H614,J614)</f>
        <v>417863.51041666663</v>
      </c>
      <c r="M614" s="274">
        <f>I614*E1</f>
        <v>190596.35</v>
      </c>
      <c r="N614" s="245"/>
      <c r="O614" s="117"/>
      <c r="P614" s="113"/>
      <c r="Q614" s="131"/>
      <c r="R614" s="131"/>
      <c r="S614" s="64"/>
      <c r="T614" s="113"/>
      <c r="U614" s="113"/>
      <c r="V614" s="113"/>
      <c r="W614" s="131"/>
      <c r="X614" s="131"/>
      <c r="Y614" s="11"/>
      <c r="Z614" s="113"/>
      <c r="AA614" s="113"/>
      <c r="AB614" s="113"/>
      <c r="AC614" s="131"/>
      <c r="AD614" s="52"/>
      <c r="AE614" s="11"/>
      <c r="AF614" s="118">
        <v>800000</v>
      </c>
      <c r="AG614" s="144">
        <f>AF614*19%</f>
        <v>152000</v>
      </c>
      <c r="AH614" s="113">
        <f>+AF614+AG614</f>
        <v>952000</v>
      </c>
      <c r="AI614" s="11"/>
      <c r="AJ614" s="11"/>
      <c r="AK614" s="39"/>
      <c r="AL614" s="113">
        <v>398000</v>
      </c>
      <c r="AM614" s="113">
        <f>+AL614*0.19</f>
        <v>75620</v>
      </c>
      <c r="AN614" s="119">
        <f t="shared" si="158"/>
        <v>473620</v>
      </c>
      <c r="AO614" s="76" t="s">
        <v>60</v>
      </c>
      <c r="AP614" s="39" t="s">
        <v>45</v>
      </c>
      <c r="AQ614" s="39"/>
      <c r="AR614" s="275">
        <v>378060</v>
      </c>
      <c r="AS614" s="143">
        <f t="shared" si="156"/>
        <v>71831.399999999994</v>
      </c>
      <c r="AT614" s="116">
        <f t="shared" si="157"/>
        <v>449891.4</v>
      </c>
      <c r="AU614" s="62" t="s">
        <v>60</v>
      </c>
      <c r="AV614" s="62" t="s">
        <v>45</v>
      </c>
      <c r="AW614" s="11"/>
      <c r="AX614" s="116"/>
      <c r="AY614" s="116"/>
      <c r="AZ614" s="143"/>
      <c r="BA614" s="191"/>
      <c r="BB614" s="132"/>
      <c r="BC614" s="132"/>
      <c r="BD614" s="274"/>
      <c r="BE614" s="143"/>
      <c r="BF614" s="143"/>
      <c r="BG614" s="132"/>
      <c r="BH614" s="132"/>
      <c r="BI614" s="132"/>
      <c r="BJ614" s="143"/>
      <c r="BK614" s="143"/>
      <c r="BL614" s="143"/>
      <c r="BM614" s="132"/>
      <c r="BN614" s="132"/>
      <c r="BO614" s="132"/>
      <c r="BP614" s="143"/>
      <c r="BQ614" s="132"/>
      <c r="BR614" s="132"/>
      <c r="BS614" s="132"/>
      <c r="BT614" s="132"/>
      <c r="BU614" s="132"/>
      <c r="BV614" s="263">
        <v>1592000</v>
      </c>
      <c r="BW614" s="144">
        <f t="shared" si="155"/>
        <v>302480</v>
      </c>
      <c r="BX614" s="113">
        <f t="shared" si="154"/>
        <v>1894480</v>
      </c>
      <c r="BY614" s="264" t="s">
        <v>231</v>
      </c>
      <c r="BZ614" s="264" t="s">
        <v>45</v>
      </c>
      <c r="CA614" s="132"/>
      <c r="CB614" s="274"/>
      <c r="CC614" s="144"/>
      <c r="CD614" s="274"/>
      <c r="CE614" s="132"/>
      <c r="CF614" s="132"/>
      <c r="CG614" s="132"/>
      <c r="CH614" s="263"/>
      <c r="CI614" s="265"/>
      <c r="CJ614" s="263"/>
      <c r="CK614" s="264"/>
      <c r="CL614" s="264"/>
      <c r="CM614" s="132"/>
      <c r="CN614" s="274"/>
      <c r="CO614" s="144"/>
      <c r="CP614" s="274"/>
      <c r="CQ614" s="132"/>
      <c r="CR614" s="132"/>
      <c r="CS614" s="132"/>
      <c r="CT614" s="274"/>
      <c r="CU614" s="144"/>
      <c r="CV614" s="274"/>
      <c r="CW614" s="132"/>
      <c r="CX614" s="132"/>
      <c r="CY614" s="132"/>
      <c r="CZ614" s="118"/>
      <c r="DA614" s="144"/>
      <c r="DB614" s="118"/>
      <c r="DC614" s="33"/>
      <c r="DD614" s="39"/>
      <c r="DE614" s="11"/>
      <c r="DF614" s="132"/>
      <c r="DG614" s="132"/>
      <c r="DH614" s="132"/>
      <c r="DI614" s="132"/>
      <c r="DJ614" s="132"/>
      <c r="DK614" s="132"/>
      <c r="DL614" s="132"/>
      <c r="DM614" s="132"/>
      <c r="DN614" s="132"/>
      <c r="DO614" s="132"/>
      <c r="DP614" s="132"/>
      <c r="DQ614" s="132"/>
      <c r="DR614" s="132"/>
      <c r="DS614" s="132"/>
      <c r="DT614" s="132"/>
      <c r="DU614" s="132"/>
      <c r="DV614" s="132"/>
      <c r="DW614" s="132"/>
      <c r="DX614" s="132"/>
      <c r="DY614" s="132"/>
      <c r="DZ614" s="132"/>
      <c r="EA614" s="132"/>
      <c r="EB614" s="132"/>
      <c r="EC614" s="132"/>
      <c r="ED614" s="132"/>
      <c r="EE614" s="132"/>
      <c r="EF614" s="132"/>
      <c r="EG614" s="132"/>
      <c r="EH614" s="132"/>
      <c r="EI614" s="132"/>
      <c r="EJ614" s="132"/>
      <c r="EK614" s="132"/>
      <c r="EL614" s="132"/>
      <c r="EM614" s="132"/>
      <c r="EN614" s="132"/>
      <c r="EO614" s="132"/>
      <c r="EP614" s="132"/>
      <c r="EQ614" s="132"/>
      <c r="ER614" s="132"/>
      <c r="ES614" s="132"/>
      <c r="ET614" s="11"/>
      <c r="EU614" s="11"/>
      <c r="EV614" s="11"/>
      <c r="EW614" s="11"/>
      <c r="EX614" s="11"/>
      <c r="EY614" s="11"/>
      <c r="EZ614" s="11"/>
      <c r="FA614" s="11"/>
      <c r="FB614" s="11"/>
      <c r="FC614" s="11"/>
      <c r="FD614" s="11"/>
      <c r="FE614" s="11"/>
      <c r="FF614" s="11"/>
      <c r="FG614" s="11"/>
      <c r="FH614" s="39">
        <f t="shared" si="151"/>
        <v>3960587.75</v>
      </c>
      <c r="FI614" s="33">
        <f t="shared" si="152"/>
        <v>5</v>
      </c>
      <c r="FJ614" s="84">
        <f t="shared" si="153"/>
        <v>792117.55</v>
      </c>
    </row>
    <row r="615" spans="1:166" ht="27" x14ac:dyDescent="0.25">
      <c r="A615" s="79" t="e">
        <f>#REF!</f>
        <v>#REF!</v>
      </c>
      <c r="B615" s="75" t="e">
        <f>#REF!</f>
        <v>#REF!</v>
      </c>
      <c r="C615" s="75" t="e">
        <f>#REF!</f>
        <v>#REF!</v>
      </c>
      <c r="D615" s="75" t="e">
        <f>#REF!</f>
        <v>#REF!</v>
      </c>
      <c r="E615" s="30">
        <v>1</v>
      </c>
      <c r="F615" s="238">
        <v>320600</v>
      </c>
      <c r="G615" s="241">
        <v>309300</v>
      </c>
      <c r="H615" s="249">
        <v>308275.99224444444</v>
      </c>
      <c r="I615" s="249">
        <v>0</v>
      </c>
      <c r="J615" s="249">
        <v>341860.35866935481</v>
      </c>
      <c r="K615" s="249">
        <v>333319</v>
      </c>
      <c r="L615" s="274">
        <f>AVERAGE(F615,H615,J615)</f>
        <v>323578.78363793308</v>
      </c>
      <c r="M615" s="274">
        <f>AVERAGE(G615,K615)*E1</f>
        <v>330948.78500000003</v>
      </c>
      <c r="N615" s="245"/>
      <c r="O615" s="113"/>
      <c r="P615" s="113"/>
      <c r="Q615" s="131"/>
      <c r="R615" s="131"/>
      <c r="S615" s="64"/>
      <c r="T615" s="113"/>
      <c r="U615" s="113"/>
      <c r="V615" s="113"/>
      <c r="W615" s="131"/>
      <c r="X615" s="131"/>
      <c r="Y615" s="11"/>
      <c r="Z615" s="113"/>
      <c r="AA615" s="113"/>
      <c r="AB615" s="113"/>
      <c r="AC615" s="52"/>
      <c r="AD615" s="52"/>
      <c r="AE615" s="11"/>
      <c r="AF615" s="118">
        <v>300000</v>
      </c>
      <c r="AG615" s="144">
        <f>AF615*19%</f>
        <v>57000</v>
      </c>
      <c r="AH615" s="113">
        <f>+AF615+AG615</f>
        <v>357000</v>
      </c>
      <c r="AI615" s="11"/>
      <c r="AJ615" s="11"/>
      <c r="AK615" s="39"/>
      <c r="AL615" s="113">
        <v>310000</v>
      </c>
      <c r="AM615" s="113">
        <f>+AL615*0</f>
        <v>0</v>
      </c>
      <c r="AN615" s="119">
        <f t="shared" si="158"/>
        <v>310000</v>
      </c>
      <c r="AO615" s="76" t="s">
        <v>95</v>
      </c>
      <c r="AP615" s="39" t="s">
        <v>45</v>
      </c>
      <c r="AQ615" s="39"/>
      <c r="AR615" s="275">
        <f>525600*2</f>
        <v>1051200</v>
      </c>
      <c r="AS615" s="143">
        <f t="shared" si="156"/>
        <v>199728</v>
      </c>
      <c r="AT615" s="116">
        <f t="shared" si="157"/>
        <v>1250928</v>
      </c>
      <c r="AU615" s="62" t="s">
        <v>60</v>
      </c>
      <c r="AV615" s="62" t="s">
        <v>35</v>
      </c>
      <c r="AW615" s="11"/>
      <c r="AX615" s="116">
        <f>184078.41*2</f>
        <v>368156.82</v>
      </c>
      <c r="AY615" s="116">
        <f>+AX615*0.19</f>
        <v>69949.795800000007</v>
      </c>
      <c r="AZ615" s="143">
        <f>+AX615+AY615</f>
        <v>438106.61580000003</v>
      </c>
      <c r="BA615" s="191" t="s">
        <v>60</v>
      </c>
      <c r="BB615" s="132" t="s">
        <v>70</v>
      </c>
      <c r="BC615" s="132"/>
      <c r="BD615" s="274"/>
      <c r="BE615" s="274"/>
      <c r="BF615" s="274"/>
      <c r="BG615" s="274"/>
      <c r="BH615" s="132"/>
      <c r="BI615" s="132"/>
      <c r="BJ615" s="143"/>
      <c r="BK615" s="143"/>
      <c r="BL615" s="143"/>
      <c r="BM615" s="132"/>
      <c r="BN615" s="132"/>
      <c r="BO615" s="132"/>
      <c r="BP615" s="143"/>
      <c r="BQ615" s="132"/>
      <c r="BR615" s="132"/>
      <c r="BS615" s="132"/>
      <c r="BT615" s="132"/>
      <c r="BU615" s="132"/>
      <c r="BV615" s="263">
        <v>432900</v>
      </c>
      <c r="BW615" s="144">
        <f t="shared" si="155"/>
        <v>82251</v>
      </c>
      <c r="BX615" s="113">
        <f t="shared" si="154"/>
        <v>515151</v>
      </c>
      <c r="BY615" s="264" t="s">
        <v>352</v>
      </c>
      <c r="BZ615" s="264" t="s">
        <v>63</v>
      </c>
      <c r="CA615" s="132"/>
      <c r="CB615" s="274"/>
      <c r="CC615" s="144"/>
      <c r="CD615" s="274"/>
      <c r="CE615" s="132"/>
      <c r="CF615" s="132"/>
      <c r="CG615" s="132"/>
      <c r="CH615" s="263">
        <v>441558</v>
      </c>
      <c r="CI615" s="265">
        <f>+CH615*0.19</f>
        <v>83896.02</v>
      </c>
      <c r="CJ615" s="263">
        <f>+CH615+CI615</f>
        <v>525454.02</v>
      </c>
      <c r="CK615" s="264" t="s">
        <v>352</v>
      </c>
      <c r="CL615" s="264" t="s">
        <v>63</v>
      </c>
      <c r="CM615" s="132"/>
      <c r="CN615" s="274"/>
      <c r="CO615" s="144"/>
      <c r="CP615" s="274"/>
      <c r="CQ615" s="132"/>
      <c r="CR615" s="132"/>
      <c r="CS615" s="132"/>
      <c r="CT615" s="274"/>
      <c r="CU615" s="144"/>
      <c r="CV615" s="274"/>
      <c r="CW615" s="132"/>
      <c r="CX615" s="132"/>
      <c r="CY615" s="132"/>
      <c r="CZ615" s="118"/>
      <c r="DA615" s="144"/>
      <c r="DB615" s="118"/>
      <c r="DC615" s="33"/>
      <c r="DD615" s="39"/>
      <c r="DE615" s="11"/>
      <c r="DF615" s="132"/>
      <c r="DG615" s="132"/>
      <c r="DH615" s="132"/>
      <c r="DI615" s="132"/>
      <c r="DJ615" s="132"/>
      <c r="DK615" s="132"/>
      <c r="DL615" s="132"/>
      <c r="DM615" s="132"/>
      <c r="DN615" s="132"/>
      <c r="DO615" s="132"/>
      <c r="DP615" s="132"/>
      <c r="DQ615" s="132"/>
      <c r="DR615" s="132"/>
      <c r="DS615" s="132"/>
      <c r="DT615" s="132"/>
      <c r="DU615" s="132"/>
      <c r="DV615" s="132"/>
      <c r="DW615" s="132"/>
      <c r="DX615" s="132"/>
      <c r="DY615" s="132"/>
      <c r="DZ615" s="132"/>
      <c r="EA615" s="132"/>
      <c r="EB615" s="132"/>
      <c r="EC615" s="132"/>
      <c r="ED615" s="132"/>
      <c r="EE615" s="132"/>
      <c r="EF615" s="132"/>
      <c r="EG615" s="132"/>
      <c r="EH615" s="132"/>
      <c r="EI615" s="132"/>
      <c r="EJ615" s="132"/>
      <c r="EK615" s="132"/>
      <c r="EL615" s="132"/>
      <c r="EM615" s="132"/>
      <c r="EN615" s="132"/>
      <c r="EO615" s="132"/>
      <c r="EP615" s="132"/>
      <c r="EQ615" s="132"/>
      <c r="ER615" s="132"/>
      <c r="ES615" s="132"/>
      <c r="ET615" s="11"/>
      <c r="EU615" s="11"/>
      <c r="EV615" s="11"/>
      <c r="EW615" s="11"/>
      <c r="EX615" s="11"/>
      <c r="EY615" s="11"/>
      <c r="EZ615" s="11"/>
      <c r="FA615" s="11"/>
      <c r="FB615" s="11"/>
      <c r="FC615" s="11"/>
      <c r="FD615" s="11"/>
      <c r="FE615" s="11"/>
      <c r="FF615" s="11"/>
      <c r="FG615" s="11"/>
      <c r="FH615" s="39">
        <f t="shared" si="151"/>
        <v>3727588.4208</v>
      </c>
      <c r="FI615" s="33">
        <f t="shared" si="152"/>
        <v>7</v>
      </c>
      <c r="FJ615" s="84">
        <f t="shared" si="153"/>
        <v>532512.63154285715</v>
      </c>
    </row>
    <row r="616" spans="1:166" ht="27" x14ac:dyDescent="0.25">
      <c r="A616" s="79" t="e">
        <f>#REF!</f>
        <v>#REF!</v>
      </c>
      <c r="B616" s="75" t="e">
        <f>#REF!</f>
        <v>#REF!</v>
      </c>
      <c r="C616" s="75" t="e">
        <f>#REF!</f>
        <v>#REF!</v>
      </c>
      <c r="D616" s="75" t="e">
        <f>#REF!</f>
        <v>#REF!</v>
      </c>
      <c r="E616" s="30">
        <v>1</v>
      </c>
      <c r="F616" s="238">
        <v>147698.83333333334</v>
      </c>
      <c r="G616" s="241">
        <v>143157</v>
      </c>
      <c r="H616" s="249">
        <v>199797.4892574074</v>
      </c>
      <c r="I616" s="249">
        <v>71400</v>
      </c>
      <c r="J616" s="249">
        <v>236656.15731182796</v>
      </c>
      <c r="K616" s="249">
        <v>230741</v>
      </c>
      <c r="L616" s="274">
        <f>AVERAGE(F616,H616,J616)</f>
        <v>194717.49330085624</v>
      </c>
      <c r="M616" s="274">
        <f>AVERAGE(G616,I616,K616)*E1</f>
        <v>152885.64666666667</v>
      </c>
      <c r="N616" s="245"/>
      <c r="O616" s="113"/>
      <c r="P616" s="113"/>
      <c r="Q616" s="131"/>
      <c r="R616" s="131"/>
      <c r="S616" s="64"/>
      <c r="T616" s="113"/>
      <c r="U616" s="113"/>
      <c r="V616" s="113"/>
      <c r="W616" s="131"/>
      <c r="X616" s="131"/>
      <c r="Y616" s="11"/>
      <c r="Z616" s="113"/>
      <c r="AA616" s="113"/>
      <c r="AB616" s="113"/>
      <c r="AC616" s="52"/>
      <c r="AD616" s="52"/>
      <c r="AE616" s="11"/>
      <c r="AF616" s="118">
        <v>90000</v>
      </c>
      <c r="AG616" s="144">
        <f>AF616*19%</f>
        <v>17100</v>
      </c>
      <c r="AH616" s="113">
        <f>+AF616+AG616</f>
        <v>107100</v>
      </c>
      <c r="AI616" s="11"/>
      <c r="AJ616" s="11"/>
      <c r="AK616" s="39"/>
      <c r="AL616" s="113">
        <v>105000</v>
      </c>
      <c r="AM616" s="113">
        <f>+AL616*0.19</f>
        <v>19950</v>
      </c>
      <c r="AN616" s="119">
        <f t="shared" si="158"/>
        <v>124950</v>
      </c>
      <c r="AO616" s="76" t="s">
        <v>95</v>
      </c>
      <c r="AP616" s="39" t="s">
        <v>45</v>
      </c>
      <c r="AQ616" s="39"/>
      <c r="AR616" s="275">
        <v>439200</v>
      </c>
      <c r="AS616" s="143">
        <f t="shared" si="156"/>
        <v>83448</v>
      </c>
      <c r="AT616" s="116">
        <f t="shared" si="157"/>
        <v>522648</v>
      </c>
      <c r="AU616" s="62" t="s">
        <v>60</v>
      </c>
      <c r="AV616" s="62" t="s">
        <v>35</v>
      </c>
      <c r="AW616" s="11"/>
      <c r="AX616" s="116">
        <v>368251.32</v>
      </c>
      <c r="AY616" s="116">
        <f>+AX616*0.19</f>
        <v>69967.750800000009</v>
      </c>
      <c r="AZ616" s="143">
        <f>+AX616+AY616</f>
        <v>438219.07079999999</v>
      </c>
      <c r="BA616" s="191" t="s">
        <v>60</v>
      </c>
      <c r="BB616" s="132" t="s">
        <v>70</v>
      </c>
      <c r="BC616" s="132"/>
      <c r="BD616" s="274"/>
      <c r="BE616" s="143"/>
      <c r="BF616" s="143"/>
      <c r="BG616" s="132"/>
      <c r="BH616" s="132"/>
      <c r="BI616" s="132"/>
      <c r="BJ616" s="143"/>
      <c r="BK616" s="143"/>
      <c r="BL616" s="143"/>
      <c r="BM616" s="132"/>
      <c r="BN616" s="132"/>
      <c r="BO616" s="132"/>
      <c r="BP616" s="143"/>
      <c r="BQ616" s="132"/>
      <c r="BR616" s="132"/>
      <c r="BS616" s="132"/>
      <c r="BT616" s="132"/>
      <c r="BU616" s="132"/>
      <c r="BV616" s="263">
        <v>218600</v>
      </c>
      <c r="BW616" s="144">
        <f t="shared" si="155"/>
        <v>41534</v>
      </c>
      <c r="BX616" s="113">
        <f t="shared" si="154"/>
        <v>260134</v>
      </c>
      <c r="BY616" s="264" t="s">
        <v>231</v>
      </c>
      <c r="BZ616" s="264" t="s">
        <v>63</v>
      </c>
      <c r="CA616" s="132"/>
      <c r="CB616" s="274">
        <v>79650</v>
      </c>
      <c r="CC616" s="144">
        <f>+CB616*19%</f>
        <v>15133.5</v>
      </c>
      <c r="CD616" s="274">
        <f>+CC616+CB616</f>
        <v>94783.5</v>
      </c>
      <c r="CE616" s="132"/>
      <c r="CF616" s="132"/>
      <c r="CG616" s="132"/>
      <c r="CH616" s="263">
        <v>227344</v>
      </c>
      <c r="CI616" s="265">
        <f>+CH616*0.19</f>
        <v>43195.360000000001</v>
      </c>
      <c r="CJ616" s="263">
        <f>+CH616+CI616</f>
        <v>270539.36</v>
      </c>
      <c r="CK616" s="264" t="s">
        <v>231</v>
      </c>
      <c r="CL616" s="264" t="s">
        <v>63</v>
      </c>
      <c r="CM616" s="132"/>
      <c r="CN616" s="274"/>
      <c r="CO616" s="144"/>
      <c r="CP616" s="274"/>
      <c r="CQ616" s="132"/>
      <c r="CR616" s="132"/>
      <c r="CS616" s="132"/>
      <c r="CT616" s="274"/>
      <c r="CU616" s="144"/>
      <c r="CV616" s="274"/>
      <c r="CW616" s="132"/>
      <c r="CX616" s="132"/>
      <c r="CY616" s="132"/>
      <c r="CZ616" s="118">
        <v>66206</v>
      </c>
      <c r="DA616" s="144">
        <f>+CZ616*0.19</f>
        <v>12579.14</v>
      </c>
      <c r="DB616" s="118">
        <f>+CZ616+DA616</f>
        <v>78785.14</v>
      </c>
      <c r="DC616" s="33" t="s">
        <v>76</v>
      </c>
      <c r="DD616" s="39" t="s">
        <v>58</v>
      </c>
      <c r="DE616" s="11">
        <v>1066570500</v>
      </c>
      <c r="DF616" s="132"/>
      <c r="DG616" s="132"/>
      <c r="DH616" s="132"/>
      <c r="DI616" s="132"/>
      <c r="DJ616" s="132"/>
      <c r="DK616" s="132"/>
      <c r="DL616" s="132"/>
      <c r="DM616" s="132"/>
      <c r="DN616" s="132"/>
      <c r="DO616" s="132"/>
      <c r="DP616" s="132"/>
      <c r="DQ616" s="132"/>
      <c r="DR616" s="132"/>
      <c r="DS616" s="132"/>
      <c r="DT616" s="132"/>
      <c r="DU616" s="132"/>
      <c r="DV616" s="132"/>
      <c r="DW616" s="132"/>
      <c r="DX616" s="132"/>
      <c r="DY616" s="132"/>
      <c r="DZ616" s="132"/>
      <c r="EA616" s="132"/>
      <c r="EB616" s="132"/>
      <c r="EC616" s="132"/>
      <c r="ED616" s="132"/>
      <c r="EE616" s="132"/>
      <c r="EF616" s="132"/>
      <c r="EG616" s="132"/>
      <c r="EH616" s="132"/>
      <c r="EI616" s="132"/>
      <c r="EJ616" s="132"/>
      <c r="EK616" s="132"/>
      <c r="EL616" s="132"/>
      <c r="EM616" s="132"/>
      <c r="EN616" s="132"/>
      <c r="EO616" s="132"/>
      <c r="EP616" s="132"/>
      <c r="EQ616" s="132"/>
      <c r="ER616" s="132"/>
      <c r="ES616" s="132"/>
      <c r="ET616" s="11"/>
      <c r="EU616" s="11"/>
      <c r="EV616" s="11"/>
      <c r="EW616" s="11"/>
      <c r="EX616" s="11"/>
      <c r="EY616" s="11"/>
      <c r="EZ616" s="11"/>
      <c r="FA616" s="11"/>
      <c r="FB616" s="11"/>
      <c r="FC616" s="11"/>
      <c r="FD616" s="11"/>
      <c r="FE616" s="11"/>
      <c r="FF616" s="11"/>
      <c r="FG616" s="11"/>
      <c r="FH616" s="39">
        <f t="shared" si="151"/>
        <v>2050044.7174666666</v>
      </c>
      <c r="FI616" s="33">
        <f t="shared" si="152"/>
        <v>9</v>
      </c>
      <c r="FJ616" s="84">
        <f t="shared" si="153"/>
        <v>227782.74638518516</v>
      </c>
    </row>
    <row r="617" spans="1:166" ht="27" x14ac:dyDescent="0.25">
      <c r="A617" s="79" t="e">
        <f>#REF!</f>
        <v>#REF!</v>
      </c>
      <c r="B617" s="75" t="e">
        <f>#REF!</f>
        <v>#REF!</v>
      </c>
      <c r="C617" s="75" t="e">
        <f>#REF!</f>
        <v>#REF!</v>
      </c>
      <c r="D617" s="75" t="e">
        <f>#REF!</f>
        <v>#REF!</v>
      </c>
      <c r="E617" s="30">
        <v>1</v>
      </c>
      <c r="F617" s="238">
        <v>0</v>
      </c>
      <c r="G617" s="241">
        <v>0</v>
      </c>
      <c r="H617" s="249">
        <v>225608.8</v>
      </c>
      <c r="I617" s="249">
        <v>0</v>
      </c>
      <c r="J617" s="249">
        <v>191735.87096774194</v>
      </c>
      <c r="K617" s="249">
        <v>0</v>
      </c>
      <c r="L617" s="274">
        <f>AVERAGE(H617,J617)</f>
        <v>208672.33548387096</v>
      </c>
      <c r="M617" s="274"/>
      <c r="N617" s="245"/>
      <c r="O617" s="113"/>
      <c r="P617" s="113"/>
      <c r="Q617" s="131"/>
      <c r="R617" s="131"/>
      <c r="S617" s="64"/>
      <c r="T617" s="113"/>
      <c r="U617" s="121"/>
      <c r="V617" s="113"/>
      <c r="W617" s="131"/>
      <c r="X617" s="131"/>
      <c r="Y617" s="11"/>
      <c r="Z617" s="113"/>
      <c r="AA617" s="113"/>
      <c r="AB617" s="113"/>
      <c r="AC617" s="52"/>
      <c r="AD617" s="52"/>
      <c r="AE617" s="11"/>
      <c r="AF617" s="118">
        <v>110000</v>
      </c>
      <c r="AG617" s="144">
        <f>AF617*19%</f>
        <v>20900</v>
      </c>
      <c r="AH617" s="113">
        <f>+AF617+AG617</f>
        <v>130900</v>
      </c>
      <c r="AI617" s="11"/>
      <c r="AJ617" s="11"/>
      <c r="AK617" s="39"/>
      <c r="AL617" s="113">
        <v>107000</v>
      </c>
      <c r="AM617" s="113">
        <f>+AL617*0.19</f>
        <v>20330</v>
      </c>
      <c r="AN617" s="119">
        <f t="shared" si="158"/>
        <v>127330</v>
      </c>
      <c r="AO617" s="76" t="s">
        <v>60</v>
      </c>
      <c r="AP617" s="39" t="s">
        <v>45</v>
      </c>
      <c r="AQ617" s="39"/>
      <c r="AR617" s="275"/>
      <c r="AS617" s="275"/>
      <c r="AT617" s="275"/>
      <c r="AU617" s="62"/>
      <c r="AV617" s="62"/>
      <c r="AW617" s="11"/>
      <c r="AX617" s="116">
        <v>142282.71</v>
      </c>
      <c r="AY617" s="116">
        <f>+AX617*0.19</f>
        <v>27033.714899999999</v>
      </c>
      <c r="AZ617" s="143">
        <f>+AX617+AY617</f>
        <v>169316.42489999998</v>
      </c>
      <c r="BA617" s="191" t="s">
        <v>60</v>
      </c>
      <c r="BB617" s="132" t="s">
        <v>70</v>
      </c>
      <c r="BC617" s="132"/>
      <c r="BD617" s="274"/>
      <c r="BE617" s="143"/>
      <c r="BF617" s="143"/>
      <c r="BG617" s="132"/>
      <c r="BH617" s="132"/>
      <c r="BI617" s="132"/>
      <c r="BJ617" s="143"/>
      <c r="BK617" s="143"/>
      <c r="BL617" s="143"/>
      <c r="BM617" s="132"/>
      <c r="BN617" s="132"/>
      <c r="BO617" s="132"/>
      <c r="BP617" s="143"/>
      <c r="BQ617" s="132"/>
      <c r="BR617" s="132"/>
      <c r="BS617" s="132"/>
      <c r="BT617" s="132"/>
      <c r="BU617" s="132"/>
      <c r="BV617" s="263">
        <v>146300</v>
      </c>
      <c r="BW617" s="144">
        <f t="shared" si="155"/>
        <v>27797</v>
      </c>
      <c r="BX617" s="113">
        <f t="shared" si="154"/>
        <v>174097</v>
      </c>
      <c r="BY617" s="264" t="s">
        <v>231</v>
      </c>
      <c r="BZ617" s="264" t="s">
        <v>63</v>
      </c>
      <c r="CA617" s="132"/>
      <c r="CB617" s="274"/>
      <c r="CC617" s="144"/>
      <c r="CD617" s="274"/>
      <c r="CE617" s="132"/>
      <c r="CF617" s="132"/>
      <c r="CG617" s="132"/>
      <c r="CH617" s="263">
        <v>155078</v>
      </c>
      <c r="CI617" s="265">
        <f>+CH617*0.19</f>
        <v>29464.82</v>
      </c>
      <c r="CJ617" s="263">
        <f>+CH617+CI617</f>
        <v>184542.82</v>
      </c>
      <c r="CK617" s="264" t="s">
        <v>231</v>
      </c>
      <c r="CL617" s="264" t="s">
        <v>63</v>
      </c>
      <c r="CM617" s="132"/>
      <c r="CN617" s="274"/>
      <c r="CO617" s="144"/>
      <c r="CP617" s="274"/>
      <c r="CQ617" s="132"/>
      <c r="CR617" s="132"/>
      <c r="CS617" s="132"/>
      <c r="CT617" s="274"/>
      <c r="CU617" s="144"/>
      <c r="CV617" s="274"/>
      <c r="CW617" s="132"/>
      <c r="CX617" s="132"/>
      <c r="CY617" s="132"/>
      <c r="CZ617" s="118"/>
      <c r="DA617" s="144"/>
      <c r="DB617" s="118"/>
      <c r="DC617" s="33"/>
      <c r="DD617" s="39"/>
      <c r="DE617" s="11"/>
      <c r="DF617" s="132"/>
      <c r="DG617" s="132"/>
      <c r="DH617" s="132"/>
      <c r="DI617" s="132"/>
      <c r="DJ617" s="132"/>
      <c r="DK617" s="132"/>
      <c r="DL617" s="132"/>
      <c r="DM617" s="132"/>
      <c r="DN617" s="132"/>
      <c r="DO617" s="132"/>
      <c r="DP617" s="132"/>
      <c r="DQ617" s="132"/>
      <c r="DR617" s="132"/>
      <c r="DS617" s="132"/>
      <c r="DT617" s="132"/>
      <c r="DU617" s="132"/>
      <c r="DV617" s="132"/>
      <c r="DW617" s="132"/>
      <c r="DX617" s="132"/>
      <c r="DY617" s="132"/>
      <c r="DZ617" s="132"/>
      <c r="EA617" s="132"/>
      <c r="EB617" s="132"/>
      <c r="EC617" s="132"/>
      <c r="ED617" s="132"/>
      <c r="EE617" s="132"/>
      <c r="EF617" s="132"/>
      <c r="EG617" s="132"/>
      <c r="EH617" s="132"/>
      <c r="EI617" s="132"/>
      <c r="EJ617" s="132"/>
      <c r="EK617" s="132"/>
      <c r="EL617" s="132"/>
      <c r="EM617" s="132"/>
      <c r="EN617" s="132"/>
      <c r="EO617" s="132"/>
      <c r="EP617" s="132"/>
      <c r="EQ617" s="132"/>
      <c r="ER617" s="132"/>
      <c r="ES617" s="132"/>
      <c r="ET617" s="11"/>
      <c r="EU617" s="11"/>
      <c r="EV617" s="11"/>
      <c r="EW617" s="11"/>
      <c r="EX617" s="11"/>
      <c r="EY617" s="11"/>
      <c r="EZ617" s="11"/>
      <c r="FA617" s="11"/>
      <c r="FB617" s="11"/>
      <c r="FC617" s="11"/>
      <c r="FD617" s="11"/>
      <c r="FE617" s="11"/>
      <c r="FF617" s="11"/>
      <c r="FG617" s="11"/>
      <c r="FH617" s="39">
        <f t="shared" si="151"/>
        <v>786186.24490000005</v>
      </c>
      <c r="FI617" s="33">
        <f t="shared" si="152"/>
        <v>5</v>
      </c>
      <c r="FJ617" s="84">
        <f t="shared" si="153"/>
        <v>157237.24898</v>
      </c>
    </row>
    <row r="618" spans="1:166" ht="27" x14ac:dyDescent="0.25">
      <c r="A618" s="79" t="e">
        <f>#REF!</f>
        <v>#REF!</v>
      </c>
      <c r="B618" s="75" t="e">
        <f>#REF!</f>
        <v>#REF!</v>
      </c>
      <c r="C618" s="75" t="e">
        <f>#REF!</f>
        <v>#REF!</v>
      </c>
      <c r="D618" s="75" t="e">
        <f>#REF!</f>
        <v>#REF!</v>
      </c>
      <c r="E618" s="30">
        <v>1</v>
      </c>
      <c r="F618" s="238">
        <v>153787.66666666666</v>
      </c>
      <c r="G618" s="241">
        <v>0</v>
      </c>
      <c r="H618" s="249">
        <v>197549.56484814815</v>
      </c>
      <c r="I618" s="249">
        <v>0</v>
      </c>
      <c r="J618" s="249">
        <v>166849.51612903224</v>
      </c>
      <c r="K618" s="249">
        <v>0</v>
      </c>
      <c r="L618" s="274">
        <f>AVERAGE(F618,H618,J618)</f>
        <v>172728.91588128233</v>
      </c>
      <c r="M618" s="274"/>
      <c r="N618" s="245"/>
      <c r="O618" s="113"/>
      <c r="P618" s="113"/>
      <c r="Q618" s="131"/>
      <c r="R618" s="131"/>
      <c r="S618" s="64"/>
      <c r="T618" s="113"/>
      <c r="U618" s="113"/>
      <c r="V618" s="113"/>
      <c r="W618" s="131"/>
      <c r="X618" s="131"/>
      <c r="Y618" s="11"/>
      <c r="Z618" s="113"/>
      <c r="AA618" s="113"/>
      <c r="AB618" s="113"/>
      <c r="AC618" s="52"/>
      <c r="AD618" s="52"/>
      <c r="AE618" s="11"/>
      <c r="AF618" s="118"/>
      <c r="AG618" s="144"/>
      <c r="AH618" s="113"/>
      <c r="AI618" s="11"/>
      <c r="AJ618" s="11"/>
      <c r="AK618" s="39"/>
      <c r="AL618" s="113">
        <v>140000</v>
      </c>
      <c r="AM618" s="113">
        <f>+AL618*0.19</f>
        <v>26600</v>
      </c>
      <c r="AN618" s="119">
        <f t="shared" si="158"/>
        <v>166600</v>
      </c>
      <c r="AO618" s="76" t="s">
        <v>95</v>
      </c>
      <c r="AP618" s="39" t="s">
        <v>45</v>
      </c>
      <c r="AQ618" s="39"/>
      <c r="AR618" s="275">
        <f>216000*2</f>
        <v>432000</v>
      </c>
      <c r="AS618" s="143">
        <f>+AR618*0.19</f>
        <v>82080</v>
      </c>
      <c r="AT618" s="116">
        <f>+AR618+AS618</f>
        <v>514080</v>
      </c>
      <c r="AU618" s="62" t="s">
        <v>78</v>
      </c>
      <c r="AV618" s="62" t="s">
        <v>35</v>
      </c>
      <c r="AW618" s="11"/>
      <c r="AX618" s="116"/>
      <c r="AY618" s="196"/>
      <c r="AZ618" s="143"/>
      <c r="BA618" s="191"/>
      <c r="BB618" s="132"/>
      <c r="BC618" s="132"/>
      <c r="BD618" s="274"/>
      <c r="BE618" s="143"/>
      <c r="BF618" s="143"/>
      <c r="BG618" s="132"/>
      <c r="BH618" s="132"/>
      <c r="BI618" s="132"/>
      <c r="BJ618" s="143"/>
      <c r="BK618" s="143"/>
      <c r="BL618" s="143"/>
      <c r="BM618" s="132"/>
      <c r="BN618" s="132"/>
      <c r="BO618" s="132"/>
      <c r="BP618" s="143"/>
      <c r="BQ618" s="132"/>
      <c r="BR618" s="132"/>
      <c r="BS618" s="132"/>
      <c r="BT618" s="132"/>
      <c r="BU618" s="132"/>
      <c r="BV618" s="263">
        <v>310900</v>
      </c>
      <c r="BW618" s="144">
        <f t="shared" si="155"/>
        <v>59071</v>
      </c>
      <c r="BX618" s="113">
        <f t="shared" si="154"/>
        <v>369971</v>
      </c>
      <c r="BY618" s="264" t="s">
        <v>231</v>
      </c>
      <c r="BZ618" s="264" t="s">
        <v>477</v>
      </c>
      <c r="CA618" s="132"/>
      <c r="CB618" s="274"/>
      <c r="CC618" s="144"/>
      <c r="CD618" s="274"/>
      <c r="CE618" s="132"/>
      <c r="CF618" s="132"/>
      <c r="CG618" s="132"/>
      <c r="CH618" s="263">
        <v>314009</v>
      </c>
      <c r="CI618" s="265">
        <f>+CH618*0.19</f>
        <v>59661.71</v>
      </c>
      <c r="CJ618" s="263">
        <f>+CH618+CI618</f>
        <v>373670.71</v>
      </c>
      <c r="CK618" s="264" t="s">
        <v>231</v>
      </c>
      <c r="CL618" s="264" t="s">
        <v>477</v>
      </c>
      <c r="CM618" s="132"/>
      <c r="CN618" s="274"/>
      <c r="CO618" s="144"/>
      <c r="CP618" s="274"/>
      <c r="CQ618" s="132"/>
      <c r="CR618" s="132"/>
      <c r="CS618" s="132"/>
      <c r="CT618" s="274"/>
      <c r="CU618" s="144"/>
      <c r="CV618" s="274"/>
      <c r="CW618" s="132"/>
      <c r="CX618" s="132"/>
      <c r="CY618" s="132"/>
      <c r="CZ618" s="118"/>
      <c r="DA618" s="144"/>
      <c r="DB618" s="118"/>
      <c r="DC618" s="33"/>
      <c r="DD618" s="39"/>
      <c r="DE618" s="11"/>
      <c r="DF618" s="132"/>
      <c r="DG618" s="132"/>
      <c r="DH618" s="132"/>
      <c r="DI618" s="132"/>
      <c r="DJ618" s="132"/>
      <c r="DK618" s="132"/>
      <c r="DL618" s="132"/>
      <c r="DM618" s="132"/>
      <c r="DN618" s="132"/>
      <c r="DO618" s="132"/>
      <c r="DP618" s="132"/>
      <c r="DQ618" s="132"/>
      <c r="DR618" s="132"/>
      <c r="DS618" s="132"/>
      <c r="DT618" s="132"/>
      <c r="DU618" s="132"/>
      <c r="DV618" s="132"/>
      <c r="DW618" s="132"/>
      <c r="DX618" s="132"/>
      <c r="DY618" s="132"/>
      <c r="DZ618" s="132"/>
      <c r="EA618" s="132"/>
      <c r="EB618" s="132"/>
      <c r="EC618" s="132"/>
      <c r="ED618" s="132"/>
      <c r="EE618" s="132"/>
      <c r="EF618" s="132"/>
      <c r="EG618" s="132"/>
      <c r="EH618" s="132"/>
      <c r="EI618" s="132"/>
      <c r="EJ618" s="132"/>
      <c r="EK618" s="132"/>
      <c r="EL618" s="132"/>
      <c r="EM618" s="132"/>
      <c r="EN618" s="132"/>
      <c r="EO618" s="132"/>
      <c r="EP618" s="132"/>
      <c r="EQ618" s="132"/>
      <c r="ER618" s="132"/>
      <c r="ES618" s="132"/>
      <c r="ET618" s="11"/>
      <c r="EU618" s="11"/>
      <c r="EV618" s="11"/>
      <c r="EW618" s="11"/>
      <c r="EX618" s="11"/>
      <c r="EY618" s="11"/>
      <c r="EZ618" s="11"/>
      <c r="FA618" s="11"/>
      <c r="FB618" s="11"/>
      <c r="FC618" s="11"/>
      <c r="FD618" s="11"/>
      <c r="FE618" s="11"/>
      <c r="FF618" s="11"/>
      <c r="FG618" s="11"/>
      <c r="FH618" s="39">
        <f t="shared" si="151"/>
        <v>1424321.71</v>
      </c>
      <c r="FI618" s="33">
        <f t="shared" si="152"/>
        <v>4</v>
      </c>
      <c r="FJ618" s="84">
        <f t="shared" si="153"/>
        <v>356080.42749999999</v>
      </c>
    </row>
    <row r="619" spans="1:166" ht="13.5" x14ac:dyDescent="0.25">
      <c r="A619" s="79" t="e">
        <f>#REF!</f>
        <v>#REF!</v>
      </c>
      <c r="B619" s="75" t="e">
        <f>#REF!</f>
        <v>#REF!</v>
      </c>
      <c r="C619" s="75" t="e">
        <f>#REF!</f>
        <v>#REF!</v>
      </c>
      <c r="D619" s="75" t="e">
        <f>#REF!</f>
        <v>#REF!</v>
      </c>
      <c r="E619" s="30">
        <v>1</v>
      </c>
      <c r="F619" s="238">
        <v>0</v>
      </c>
      <c r="G619" s="241">
        <v>0</v>
      </c>
      <c r="H619" s="249">
        <v>349860</v>
      </c>
      <c r="I619" s="249">
        <v>0</v>
      </c>
      <c r="J619" s="249">
        <v>0</v>
      </c>
      <c r="K619" s="249">
        <v>0</v>
      </c>
      <c r="L619" s="274">
        <f>H619</f>
        <v>349860</v>
      </c>
      <c r="M619" s="274"/>
      <c r="N619" s="245"/>
      <c r="O619" s="113"/>
      <c r="P619" s="113"/>
      <c r="Q619" s="131"/>
      <c r="R619" s="131"/>
      <c r="S619" s="64"/>
      <c r="T619" s="113"/>
      <c r="U619" s="113"/>
      <c r="V619" s="113"/>
      <c r="W619" s="131"/>
      <c r="X619" s="131"/>
      <c r="Y619" s="11"/>
      <c r="Z619" s="113"/>
      <c r="AA619" s="113"/>
      <c r="AB619" s="113"/>
      <c r="AC619" s="52"/>
      <c r="AD619" s="52"/>
      <c r="AE619" s="11"/>
      <c r="AF619" s="118"/>
      <c r="AG619" s="144"/>
      <c r="AH619" s="113"/>
      <c r="AI619" s="11"/>
      <c r="AJ619" s="11"/>
      <c r="AK619" s="39"/>
      <c r="AL619" s="113"/>
      <c r="AM619" s="113"/>
      <c r="AN619" s="117"/>
      <c r="AO619" s="76"/>
      <c r="AP619" s="39"/>
      <c r="AQ619" s="39"/>
      <c r="AR619" s="275"/>
      <c r="AS619" s="275"/>
      <c r="AT619" s="275"/>
      <c r="AU619" s="62"/>
      <c r="AV619" s="62"/>
      <c r="AW619" s="11"/>
      <c r="AX619" s="116"/>
      <c r="AY619" s="196"/>
      <c r="AZ619" s="143"/>
      <c r="BA619" s="191"/>
      <c r="BB619" s="132"/>
      <c r="BC619" s="132"/>
      <c r="BD619" s="274"/>
      <c r="BE619" s="143"/>
      <c r="BF619" s="143"/>
      <c r="BG619" s="132"/>
      <c r="BH619" s="132"/>
      <c r="BI619" s="132"/>
      <c r="BJ619" s="143"/>
      <c r="BK619" s="143"/>
      <c r="BL619" s="143"/>
      <c r="BM619" s="132"/>
      <c r="BN619" s="132"/>
      <c r="BO619" s="132"/>
      <c r="BP619" s="143"/>
      <c r="BQ619" s="132"/>
      <c r="BR619" s="132"/>
      <c r="BS619" s="132"/>
      <c r="BT619" s="132"/>
      <c r="BU619" s="132"/>
      <c r="BV619" s="263">
        <v>1396000</v>
      </c>
      <c r="BW619" s="144">
        <f t="shared" si="155"/>
        <v>265240</v>
      </c>
      <c r="BX619" s="113">
        <f t="shared" si="154"/>
        <v>1661240</v>
      </c>
      <c r="BY619" s="264" t="s">
        <v>314</v>
      </c>
      <c r="BZ619" s="264" t="s">
        <v>338</v>
      </c>
      <c r="CA619" s="132"/>
      <c r="CB619" s="274"/>
      <c r="CC619" s="144"/>
      <c r="CD619" s="274"/>
      <c r="CE619" s="132"/>
      <c r="CF619" s="132"/>
      <c r="CG619" s="132"/>
      <c r="CH619" s="263">
        <v>1437880</v>
      </c>
      <c r="CI619" s="265">
        <f>+CH619*0.19</f>
        <v>273197.2</v>
      </c>
      <c r="CJ619" s="263">
        <f>+CH619+CI619</f>
        <v>1711077.2</v>
      </c>
      <c r="CK619" s="264" t="s">
        <v>314</v>
      </c>
      <c r="CL619" s="264" t="s">
        <v>338</v>
      </c>
      <c r="CM619" s="132"/>
      <c r="CN619" s="274"/>
      <c r="CO619" s="144"/>
      <c r="CP619" s="274"/>
      <c r="CQ619" s="132"/>
      <c r="CR619" s="132"/>
      <c r="CS619" s="132"/>
      <c r="CT619" s="274"/>
      <c r="CU619" s="144"/>
      <c r="CV619" s="274"/>
      <c r="CW619" s="132"/>
      <c r="CX619" s="132"/>
      <c r="CY619" s="132"/>
      <c r="CZ619" s="118"/>
      <c r="DA619" s="144"/>
      <c r="DB619" s="118"/>
      <c r="DC619" s="33"/>
      <c r="DD619" s="39"/>
      <c r="DE619" s="11"/>
      <c r="DF619" s="132"/>
      <c r="DG619" s="132"/>
      <c r="DH619" s="132"/>
      <c r="DI619" s="132"/>
      <c r="DJ619" s="132"/>
      <c r="DK619" s="132"/>
      <c r="DL619" s="132"/>
      <c r="DM619" s="132"/>
      <c r="DN619" s="132"/>
      <c r="DO619" s="132"/>
      <c r="DP619" s="132"/>
      <c r="DQ619" s="132"/>
      <c r="DR619" s="132"/>
      <c r="DS619" s="132"/>
      <c r="DT619" s="132"/>
      <c r="DU619" s="132"/>
      <c r="DV619" s="132"/>
      <c r="DW619" s="132"/>
      <c r="DX619" s="132"/>
      <c r="DY619" s="132"/>
      <c r="DZ619" s="132"/>
      <c r="EA619" s="132"/>
      <c r="EB619" s="132"/>
      <c r="EC619" s="132"/>
      <c r="ED619" s="132"/>
      <c r="EE619" s="132"/>
      <c r="EF619" s="132"/>
      <c r="EG619" s="132"/>
      <c r="EH619" s="132"/>
      <c r="EI619" s="132"/>
      <c r="EJ619" s="132"/>
      <c r="EK619" s="132"/>
      <c r="EL619" s="132"/>
      <c r="EM619" s="132"/>
      <c r="EN619" s="132"/>
      <c r="EO619" s="132"/>
      <c r="EP619" s="132"/>
      <c r="EQ619" s="132"/>
      <c r="ER619" s="132"/>
      <c r="ES619" s="132"/>
      <c r="ET619" s="11"/>
      <c r="EU619" s="11"/>
      <c r="EV619" s="11"/>
      <c r="EW619" s="11"/>
      <c r="EX619" s="11"/>
      <c r="EY619" s="11"/>
      <c r="EZ619" s="11"/>
      <c r="FA619" s="11"/>
      <c r="FB619" s="11"/>
      <c r="FC619" s="11"/>
      <c r="FD619" s="11"/>
      <c r="FE619" s="11"/>
      <c r="FF619" s="11"/>
      <c r="FG619" s="11"/>
      <c r="FH619" s="39">
        <f t="shared" si="151"/>
        <v>3372317.2</v>
      </c>
      <c r="FI619" s="33">
        <f t="shared" si="152"/>
        <v>2</v>
      </c>
      <c r="FJ619" s="84">
        <f t="shared" si="153"/>
        <v>1686158.6</v>
      </c>
    </row>
    <row r="620" spans="1:166" ht="38.25" x14ac:dyDescent="0.25">
      <c r="A620" s="79" t="e">
        <f>#REF!</f>
        <v>#REF!</v>
      </c>
      <c r="B620" s="75" t="e">
        <f>#REF!</f>
        <v>#REF!</v>
      </c>
      <c r="C620" s="75" t="e">
        <f>#REF!</f>
        <v>#REF!</v>
      </c>
      <c r="D620" s="75" t="e">
        <f>#REF!</f>
        <v>#REF!</v>
      </c>
      <c r="E620" s="30">
        <v>1</v>
      </c>
      <c r="F620" s="238">
        <v>0</v>
      </c>
      <c r="G620" s="241">
        <v>0</v>
      </c>
      <c r="H620" s="249">
        <v>0</v>
      </c>
      <c r="I620" s="249">
        <v>0</v>
      </c>
      <c r="J620" s="249">
        <v>538008.98229119997</v>
      </c>
      <c r="K620" s="249">
        <v>0</v>
      </c>
      <c r="L620" s="274">
        <f>J620</f>
        <v>538008.98229119997</v>
      </c>
      <c r="M620" s="274"/>
      <c r="N620" s="245"/>
      <c r="O620" s="113"/>
      <c r="P620" s="113"/>
      <c r="Q620" s="131"/>
      <c r="R620" s="131"/>
      <c r="S620" s="64"/>
      <c r="T620" s="113"/>
      <c r="U620" s="113"/>
      <c r="V620" s="113"/>
      <c r="W620" s="131"/>
      <c r="X620" s="131"/>
      <c r="Y620" s="11"/>
      <c r="Z620" s="113"/>
      <c r="AA620" s="113"/>
      <c r="AB620" s="113"/>
      <c r="AC620" s="52"/>
      <c r="AD620" s="52"/>
      <c r="AE620" s="11"/>
      <c r="AF620" s="118"/>
      <c r="AG620" s="144"/>
      <c r="AH620" s="113"/>
      <c r="AI620" s="11"/>
      <c r="AJ620" s="112"/>
      <c r="AK620" s="39"/>
      <c r="AL620" s="113"/>
      <c r="AM620" s="113"/>
      <c r="AN620" s="147"/>
      <c r="AO620" s="76"/>
      <c r="AP620" s="39"/>
      <c r="AQ620" s="39"/>
      <c r="AR620" s="275">
        <f>410400*2</f>
        <v>820800</v>
      </c>
      <c r="AS620" s="143">
        <f>+AR620*0.19</f>
        <v>155952</v>
      </c>
      <c r="AT620" s="116">
        <f>+AR620+AS620</f>
        <v>976752</v>
      </c>
      <c r="AU620" s="62" t="s">
        <v>78</v>
      </c>
      <c r="AV620" s="62" t="s">
        <v>35</v>
      </c>
      <c r="AW620" s="11"/>
      <c r="AX620" s="116"/>
      <c r="AY620" s="196"/>
      <c r="AZ620" s="143"/>
      <c r="BA620" s="191"/>
      <c r="BB620" s="132"/>
      <c r="BC620" s="132"/>
      <c r="BD620" s="274"/>
      <c r="BE620" s="143"/>
      <c r="BF620" s="143"/>
      <c r="BG620" s="132"/>
      <c r="BH620" s="132"/>
      <c r="BI620" s="132"/>
      <c r="BJ620" s="143"/>
      <c r="BK620" s="143"/>
      <c r="BL620" s="143"/>
      <c r="BM620" s="132"/>
      <c r="BN620" s="132"/>
      <c r="BO620" s="132"/>
      <c r="BP620" s="143">
        <v>556235</v>
      </c>
      <c r="BQ620" s="144">
        <f>BP620*19%</f>
        <v>105684.65</v>
      </c>
      <c r="BR620" s="113">
        <f>+BP620+BQ620</f>
        <v>661919.65</v>
      </c>
      <c r="BS620" s="33" t="s">
        <v>132</v>
      </c>
      <c r="BT620" s="36" t="s">
        <v>493</v>
      </c>
      <c r="BU620" s="5" t="s">
        <v>134</v>
      </c>
      <c r="BV620" s="263">
        <v>1166600</v>
      </c>
      <c r="BW620" s="144">
        <f t="shared" si="155"/>
        <v>221654</v>
      </c>
      <c r="BX620" s="113">
        <f t="shared" si="154"/>
        <v>1388254</v>
      </c>
      <c r="BY620" s="264" t="s">
        <v>231</v>
      </c>
      <c r="BZ620" s="264" t="s">
        <v>88</v>
      </c>
      <c r="CA620" s="132"/>
      <c r="CB620" s="274"/>
      <c r="CC620" s="144"/>
      <c r="CD620" s="274"/>
      <c r="CE620" s="132"/>
      <c r="CF620" s="132"/>
      <c r="CG620" s="132"/>
      <c r="CH620" s="263"/>
      <c r="CI620" s="265"/>
      <c r="CJ620" s="263"/>
      <c r="CK620" s="264"/>
      <c r="CL620" s="264"/>
      <c r="CM620" s="132"/>
      <c r="CN620" s="274"/>
      <c r="CO620" s="144"/>
      <c r="CP620" s="274"/>
      <c r="CQ620" s="132"/>
      <c r="CR620" s="132"/>
      <c r="CS620" s="132"/>
      <c r="CT620" s="274"/>
      <c r="CU620" s="144"/>
      <c r="CV620" s="274"/>
      <c r="CW620" s="132"/>
      <c r="CX620" s="132"/>
      <c r="CY620" s="132"/>
      <c r="CZ620" s="118"/>
      <c r="DA620" s="144"/>
      <c r="DB620" s="118"/>
      <c r="DC620" s="33"/>
      <c r="DD620" s="39"/>
      <c r="DE620" s="11"/>
      <c r="DF620" s="132"/>
      <c r="DG620" s="132"/>
      <c r="DH620" s="132"/>
      <c r="DI620" s="132"/>
      <c r="DJ620" s="132"/>
      <c r="DK620" s="132"/>
      <c r="DL620" s="132"/>
      <c r="DM620" s="132"/>
      <c r="DN620" s="132"/>
      <c r="DO620" s="132"/>
      <c r="DP620" s="132"/>
      <c r="DQ620" s="132"/>
      <c r="DR620" s="132"/>
      <c r="DS620" s="132"/>
      <c r="DT620" s="132"/>
      <c r="DU620" s="132"/>
      <c r="DV620" s="132"/>
      <c r="DW620" s="132"/>
      <c r="DX620" s="132"/>
      <c r="DY620" s="132"/>
      <c r="DZ620" s="132"/>
      <c r="EA620" s="132"/>
      <c r="EB620" s="132"/>
      <c r="EC620" s="132"/>
      <c r="ED620" s="132"/>
      <c r="EE620" s="132"/>
      <c r="EF620" s="132"/>
      <c r="EG620" s="132"/>
      <c r="EH620" s="132"/>
      <c r="EI620" s="132"/>
      <c r="EJ620" s="132"/>
      <c r="EK620" s="132"/>
      <c r="EL620" s="132"/>
      <c r="EM620" s="132"/>
      <c r="EN620" s="132"/>
      <c r="EO620" s="132"/>
      <c r="EP620" s="132"/>
      <c r="EQ620" s="132"/>
      <c r="ER620" s="132"/>
      <c r="ES620" s="132"/>
      <c r="ET620" s="11"/>
      <c r="EU620" s="11"/>
      <c r="EV620" s="11"/>
      <c r="EW620" s="11"/>
      <c r="EX620" s="11"/>
      <c r="EY620" s="11"/>
      <c r="EZ620" s="11"/>
      <c r="FA620" s="11"/>
      <c r="FB620" s="11"/>
      <c r="FC620" s="11"/>
      <c r="FD620" s="11"/>
      <c r="FE620" s="11"/>
      <c r="FF620" s="11"/>
      <c r="FG620" s="11"/>
      <c r="FH620" s="39">
        <f t="shared" si="151"/>
        <v>3026925.65</v>
      </c>
      <c r="FI620" s="33">
        <f t="shared" si="152"/>
        <v>3</v>
      </c>
      <c r="FJ620" s="84">
        <f t="shared" si="153"/>
        <v>1008975.2166666667</v>
      </c>
    </row>
    <row r="621" spans="1:166" x14ac:dyDescent="0.25">
      <c r="A621" s="79" t="e">
        <f>#REF!</f>
        <v>#REF!</v>
      </c>
      <c r="B621" s="75" t="e">
        <f>#REF!</f>
        <v>#REF!</v>
      </c>
      <c r="C621" s="75" t="e">
        <f>#REF!</f>
        <v>#REF!</v>
      </c>
      <c r="D621" s="75" t="e">
        <f>#REF!</f>
        <v>#REF!</v>
      </c>
      <c r="E621" s="30">
        <v>1</v>
      </c>
      <c r="F621" s="238">
        <v>0</v>
      </c>
      <c r="G621" s="241">
        <v>0</v>
      </c>
      <c r="H621" s="249">
        <v>0</v>
      </c>
      <c r="I621" s="249">
        <v>0</v>
      </c>
      <c r="J621" s="249">
        <v>0</v>
      </c>
      <c r="K621" s="249">
        <v>0</v>
      </c>
      <c r="L621" s="274"/>
      <c r="M621" s="274"/>
      <c r="N621" s="245"/>
      <c r="O621" s="113"/>
      <c r="P621" s="113"/>
      <c r="Q621" s="131"/>
      <c r="R621" s="131"/>
      <c r="S621" s="64"/>
      <c r="T621" s="113"/>
      <c r="U621" s="113"/>
      <c r="V621" s="113"/>
      <c r="W621" s="131"/>
      <c r="X621" s="131"/>
      <c r="Y621" s="11"/>
      <c r="Z621" s="113"/>
      <c r="AA621" s="113"/>
      <c r="AB621" s="113"/>
      <c r="AC621" s="52"/>
      <c r="AD621" s="52"/>
      <c r="AE621" s="11"/>
      <c r="AF621" s="118"/>
      <c r="AG621" s="144"/>
      <c r="AH621" s="113"/>
      <c r="AI621" s="11"/>
      <c r="AJ621" s="11"/>
      <c r="AK621" s="39"/>
      <c r="AL621" s="113"/>
      <c r="AM621" s="113"/>
      <c r="AN621" s="117"/>
      <c r="AO621" s="76"/>
      <c r="AP621" s="39"/>
      <c r="AQ621" s="39"/>
      <c r="AR621" s="275"/>
      <c r="AS621" s="275"/>
      <c r="AT621" s="275"/>
      <c r="AU621" s="62"/>
      <c r="AV621" s="62"/>
      <c r="AW621" s="11"/>
      <c r="AX621" s="116"/>
      <c r="AY621" s="196"/>
      <c r="AZ621" s="143"/>
      <c r="BA621" s="191"/>
      <c r="BB621" s="132"/>
      <c r="BC621" s="132"/>
      <c r="BD621" s="274"/>
      <c r="BE621" s="143"/>
      <c r="BF621" s="143"/>
      <c r="BG621" s="132"/>
      <c r="BH621" s="132"/>
      <c r="BI621" s="132"/>
      <c r="BJ621" s="143"/>
      <c r="BK621" s="143"/>
      <c r="BL621" s="143"/>
      <c r="BM621" s="132"/>
      <c r="BN621" s="132"/>
      <c r="BO621" s="132"/>
      <c r="BP621" s="143"/>
      <c r="BQ621" s="132"/>
      <c r="BR621" s="132"/>
      <c r="BS621" s="132"/>
      <c r="BT621" s="132"/>
      <c r="BU621" s="132"/>
      <c r="BV621" s="210"/>
      <c r="BW621" s="144"/>
      <c r="BX621" s="113"/>
      <c r="BY621" s="273"/>
      <c r="BZ621" s="273"/>
      <c r="CA621" s="132"/>
      <c r="CB621" s="274"/>
      <c r="CC621" s="144"/>
      <c r="CD621" s="274"/>
      <c r="CE621" s="132"/>
      <c r="CF621" s="132"/>
      <c r="CG621" s="132"/>
      <c r="CH621" s="210"/>
      <c r="CI621" s="219"/>
      <c r="CJ621" s="210"/>
      <c r="CK621" s="273"/>
      <c r="CL621" s="273"/>
      <c r="CM621" s="132"/>
      <c r="CN621" s="274"/>
      <c r="CO621" s="144"/>
      <c r="CP621" s="274"/>
      <c r="CQ621" s="132"/>
      <c r="CR621" s="132"/>
      <c r="CS621" s="132"/>
      <c r="CT621" s="274"/>
      <c r="CU621" s="144"/>
      <c r="CV621" s="274"/>
      <c r="CW621" s="132"/>
      <c r="CX621" s="132"/>
      <c r="CY621" s="132"/>
      <c r="CZ621" s="118"/>
      <c r="DA621" s="144"/>
      <c r="DB621" s="118"/>
      <c r="DC621" s="33"/>
      <c r="DD621" s="39"/>
      <c r="DE621" s="11"/>
      <c r="DF621" s="132"/>
      <c r="DG621" s="132"/>
      <c r="DH621" s="132"/>
      <c r="DI621" s="132"/>
      <c r="DJ621" s="132"/>
      <c r="DK621" s="132"/>
      <c r="DL621" s="132"/>
      <c r="DM621" s="132"/>
      <c r="DN621" s="132"/>
      <c r="DO621" s="132"/>
      <c r="DP621" s="132"/>
      <c r="DQ621" s="132"/>
      <c r="DR621" s="132"/>
      <c r="DS621" s="132"/>
      <c r="DT621" s="132"/>
      <c r="DU621" s="132"/>
      <c r="DV621" s="132"/>
      <c r="DW621" s="132"/>
      <c r="DX621" s="132"/>
      <c r="DY621" s="132"/>
      <c r="DZ621" s="132"/>
      <c r="EA621" s="132"/>
      <c r="EB621" s="132"/>
      <c r="EC621" s="132"/>
      <c r="ED621" s="132"/>
      <c r="EE621" s="132"/>
      <c r="EF621" s="132"/>
      <c r="EG621" s="132"/>
      <c r="EH621" s="132"/>
      <c r="EI621" s="132"/>
      <c r="EJ621" s="132"/>
      <c r="EK621" s="132"/>
      <c r="EL621" s="132"/>
      <c r="EM621" s="132"/>
      <c r="EN621" s="132"/>
      <c r="EO621" s="132"/>
      <c r="EP621" s="132"/>
      <c r="EQ621" s="132"/>
      <c r="ER621" s="132"/>
      <c r="ES621" s="132"/>
      <c r="ET621" s="11"/>
      <c r="EU621" s="11"/>
      <c r="EV621" s="11"/>
      <c r="EW621" s="11"/>
      <c r="EX621" s="11"/>
      <c r="EY621" s="11"/>
      <c r="EZ621" s="11"/>
      <c r="FA621" s="11"/>
      <c r="FB621" s="11"/>
      <c r="FC621" s="11"/>
      <c r="FD621" s="11"/>
      <c r="FE621" s="11"/>
      <c r="FF621" s="11"/>
      <c r="FG621" s="11"/>
      <c r="FH621" s="39">
        <f t="shared" si="151"/>
        <v>0</v>
      </c>
      <c r="FI621" s="33">
        <f t="shared" si="152"/>
        <v>0</v>
      </c>
      <c r="FJ621" s="84" t="str">
        <f t="shared" si="153"/>
        <v xml:space="preserve"> </v>
      </c>
    </row>
    <row r="622" spans="1:166" ht="13.5" x14ac:dyDescent="0.25">
      <c r="A622" s="79" t="e">
        <f>#REF!</f>
        <v>#REF!</v>
      </c>
      <c r="B622" s="75" t="e">
        <f>#REF!</f>
        <v>#REF!</v>
      </c>
      <c r="C622" s="75" t="e">
        <f>#REF!</f>
        <v>#REF!</v>
      </c>
      <c r="D622" s="75" t="e">
        <f>#REF!</f>
        <v>#REF!</v>
      </c>
      <c r="E622" s="30">
        <v>1</v>
      </c>
      <c r="F622" s="238">
        <v>0</v>
      </c>
      <c r="G622" s="241">
        <v>0</v>
      </c>
      <c r="H622" s="249">
        <v>0</v>
      </c>
      <c r="I622" s="249">
        <v>0</v>
      </c>
      <c r="J622" s="249">
        <v>0</v>
      </c>
      <c r="K622" s="249">
        <v>0</v>
      </c>
      <c r="L622" s="274"/>
      <c r="M622" s="274"/>
      <c r="N622" s="245"/>
      <c r="O622" s="113"/>
      <c r="P622" s="113"/>
      <c r="Q622" s="131"/>
      <c r="R622" s="131"/>
      <c r="S622" s="64"/>
      <c r="T622" s="113"/>
      <c r="U622" s="121"/>
      <c r="V622" s="113"/>
      <c r="W622" s="131"/>
      <c r="X622" s="131"/>
      <c r="Y622" s="11"/>
      <c r="Z622" s="113"/>
      <c r="AA622" s="113"/>
      <c r="AB622" s="113"/>
      <c r="AC622" s="52"/>
      <c r="AD622" s="52"/>
      <c r="AE622" s="11"/>
      <c r="AF622" s="113"/>
      <c r="AG622" s="144"/>
      <c r="AH622" s="113"/>
      <c r="AI622" s="11"/>
      <c r="AJ622" s="11"/>
      <c r="AK622" s="39"/>
      <c r="AL622" s="113"/>
      <c r="AM622" s="113"/>
      <c r="AN622" s="117"/>
      <c r="AO622" s="76"/>
      <c r="AP622" s="39"/>
      <c r="AQ622" s="39"/>
      <c r="AR622" s="275"/>
      <c r="AS622" s="275"/>
      <c r="AT622" s="275"/>
      <c r="AU622" s="48"/>
      <c r="AV622" s="62"/>
      <c r="AW622" s="11"/>
      <c r="AX622" s="116"/>
      <c r="AY622" s="116"/>
      <c r="AZ622" s="143"/>
      <c r="BA622" s="191"/>
      <c r="BB622" s="132"/>
      <c r="BC622" s="132"/>
      <c r="BD622" s="275"/>
      <c r="BE622" s="143"/>
      <c r="BF622" s="143"/>
      <c r="BG622" s="132"/>
      <c r="BH622" s="132"/>
      <c r="BI622" s="132"/>
      <c r="BJ622" s="143"/>
      <c r="BK622" s="143"/>
      <c r="BL622" s="143"/>
      <c r="BM622" s="132"/>
      <c r="BN622" s="132"/>
      <c r="BO622" s="132"/>
      <c r="BP622" s="143"/>
      <c r="BQ622" s="132"/>
      <c r="BR622" s="132"/>
      <c r="BS622" s="132"/>
      <c r="BT622" s="132"/>
      <c r="BU622" s="132"/>
      <c r="BV622" s="267">
        <v>966000</v>
      </c>
      <c r="BW622" s="144">
        <f>BV622*19%</f>
        <v>183540</v>
      </c>
      <c r="BX622" s="113">
        <f>+BV622+BW622</f>
        <v>1149540</v>
      </c>
      <c r="BY622" s="264" t="s">
        <v>494</v>
      </c>
      <c r="BZ622" s="264" t="s">
        <v>487</v>
      </c>
      <c r="CA622" s="132"/>
      <c r="CB622" s="275"/>
      <c r="CC622" s="143"/>
      <c r="CD622" s="275"/>
      <c r="CE622" s="132"/>
      <c r="CF622" s="132"/>
      <c r="CG622" s="132"/>
      <c r="CH622" s="267">
        <v>975660</v>
      </c>
      <c r="CI622" s="265">
        <f>+CH622*0.19</f>
        <v>185375.4</v>
      </c>
      <c r="CJ622" s="263">
        <f>+CH622+CI622</f>
        <v>1161035.3999999999</v>
      </c>
      <c r="CK622" s="264" t="s">
        <v>494</v>
      </c>
      <c r="CL622" s="264" t="s">
        <v>487</v>
      </c>
      <c r="CM622" s="132"/>
      <c r="CN622" s="275"/>
      <c r="CO622" s="143"/>
      <c r="CP622" s="275"/>
      <c r="CQ622" s="132"/>
      <c r="CR622" s="132"/>
      <c r="CS622" s="132"/>
      <c r="CT622" s="275"/>
      <c r="CU622" s="143"/>
      <c r="CV622" s="275"/>
      <c r="CW622" s="132"/>
      <c r="CX622" s="132"/>
      <c r="CY622" s="132"/>
      <c r="CZ622" s="113"/>
      <c r="DA622" s="143"/>
      <c r="DB622" s="113"/>
      <c r="DC622" s="33"/>
      <c r="DD622" s="39"/>
      <c r="DE622" s="11"/>
      <c r="DF622" s="132"/>
      <c r="DG622" s="132"/>
      <c r="DH622" s="132"/>
      <c r="DI622" s="132"/>
      <c r="DJ622" s="132"/>
      <c r="DK622" s="132"/>
      <c r="DL622" s="132"/>
      <c r="DM622" s="132"/>
      <c r="DN622" s="132"/>
      <c r="DO622" s="132"/>
      <c r="DP622" s="132"/>
      <c r="DQ622" s="132"/>
      <c r="DR622" s="132"/>
      <c r="DS622" s="132"/>
      <c r="DT622" s="132"/>
      <c r="DU622" s="132"/>
      <c r="DV622" s="132"/>
      <c r="DW622" s="132"/>
      <c r="DX622" s="132"/>
      <c r="DY622" s="132"/>
      <c r="DZ622" s="132"/>
      <c r="EA622" s="132"/>
      <c r="EB622" s="132"/>
      <c r="EC622" s="132"/>
      <c r="ED622" s="132"/>
      <c r="EE622" s="132"/>
      <c r="EF622" s="132"/>
      <c r="EG622" s="132"/>
      <c r="EH622" s="132"/>
      <c r="EI622" s="132"/>
      <c r="EJ622" s="132"/>
      <c r="EK622" s="132"/>
      <c r="EL622" s="132"/>
      <c r="EM622" s="132"/>
      <c r="EN622" s="132"/>
      <c r="EO622" s="132"/>
      <c r="EP622" s="132"/>
      <c r="EQ622" s="132"/>
      <c r="ER622" s="132"/>
      <c r="ES622" s="132"/>
      <c r="ET622" s="11"/>
      <c r="EU622" s="11"/>
      <c r="EV622" s="11"/>
      <c r="EW622" s="11"/>
      <c r="EX622" s="11"/>
      <c r="EY622" s="11"/>
      <c r="EZ622" s="11"/>
      <c r="FA622" s="11"/>
      <c r="FB622" s="11"/>
      <c r="FC622" s="11"/>
      <c r="FD622" s="11"/>
      <c r="FE622" s="11"/>
      <c r="FF622" s="11"/>
      <c r="FG622" s="11"/>
      <c r="FH622" s="39">
        <f t="shared" si="151"/>
        <v>2310575.4</v>
      </c>
      <c r="FI622" s="33">
        <f t="shared" si="152"/>
        <v>2</v>
      </c>
      <c r="FJ622" s="84">
        <f t="shared" si="153"/>
        <v>1155287.7</v>
      </c>
    </row>
    <row r="623" spans="1:166" ht="51" x14ac:dyDescent="0.25">
      <c r="A623" s="79" t="e">
        <f>#REF!</f>
        <v>#REF!</v>
      </c>
      <c r="B623" s="75" t="e">
        <f>#REF!</f>
        <v>#REF!</v>
      </c>
      <c r="C623" s="75" t="e">
        <f>#REF!</f>
        <v>#REF!</v>
      </c>
      <c r="D623" s="75" t="e">
        <f>#REF!</f>
        <v>#REF!</v>
      </c>
      <c r="E623" s="30">
        <v>1</v>
      </c>
      <c r="F623" s="238">
        <v>0</v>
      </c>
      <c r="G623" s="241">
        <v>0</v>
      </c>
      <c r="H623" s="249">
        <v>1053150</v>
      </c>
      <c r="I623" s="249">
        <v>0</v>
      </c>
      <c r="J623" s="249">
        <v>1475821.6666666667</v>
      </c>
      <c r="K623" s="249">
        <v>0</v>
      </c>
      <c r="L623" s="274">
        <f>AVERAGE(H623,J623)</f>
        <v>1264485.8333333335</v>
      </c>
      <c r="M623" s="274"/>
      <c r="N623" s="245"/>
      <c r="O623" s="113"/>
      <c r="P623" s="113"/>
      <c r="Q623" s="131"/>
      <c r="R623" s="131"/>
      <c r="S623" s="64"/>
      <c r="T623" s="113">
        <v>2523000</v>
      </c>
      <c r="U623" s="113">
        <f>+T623*0.19</f>
        <v>479370</v>
      </c>
      <c r="V623" s="113">
        <f>+T623+U623</f>
        <v>3002370</v>
      </c>
      <c r="W623" s="131" t="s">
        <v>281</v>
      </c>
      <c r="X623" s="131" t="s">
        <v>495</v>
      </c>
      <c r="Y623" s="11"/>
      <c r="Z623" s="113"/>
      <c r="AA623" s="113"/>
      <c r="AB623" s="113"/>
      <c r="AC623" s="52"/>
      <c r="AD623" s="52"/>
      <c r="AE623" s="11"/>
      <c r="AF623" s="118"/>
      <c r="AG623" s="144"/>
      <c r="AH623" s="113"/>
      <c r="AI623" s="11"/>
      <c r="AJ623" s="11"/>
      <c r="AK623" s="39"/>
      <c r="AL623" s="113"/>
      <c r="AM623" s="113"/>
      <c r="AN623" s="117"/>
      <c r="AO623" s="76"/>
      <c r="AP623" s="39"/>
      <c r="AQ623" s="39"/>
      <c r="AR623" s="275">
        <v>589680</v>
      </c>
      <c r="AS623" s="143">
        <f>+AR623*0.19</f>
        <v>112039.2</v>
      </c>
      <c r="AT623" s="116">
        <f>+AR623+AS623</f>
        <v>701719.2</v>
      </c>
      <c r="AU623" s="62" t="s">
        <v>496</v>
      </c>
      <c r="AV623" s="62" t="s">
        <v>35</v>
      </c>
      <c r="AW623" s="11"/>
      <c r="AX623" s="116"/>
      <c r="AY623" s="116"/>
      <c r="AZ623" s="143"/>
      <c r="BA623" s="191"/>
      <c r="BB623" s="132"/>
      <c r="BC623" s="132"/>
      <c r="BD623" s="274"/>
      <c r="BE623" s="143"/>
      <c r="BF623" s="143"/>
      <c r="BG623" s="132"/>
      <c r="BH623" s="132"/>
      <c r="BI623" s="132"/>
      <c r="BJ623" s="143"/>
      <c r="BK623" s="143"/>
      <c r="BL623" s="143"/>
      <c r="BM623" s="132"/>
      <c r="BN623" s="132"/>
      <c r="BO623" s="132"/>
      <c r="BP623" s="143">
        <v>1552210</v>
      </c>
      <c r="BQ623" s="144">
        <f>BP623*19%</f>
        <v>294919.90000000002</v>
      </c>
      <c r="BR623" s="113">
        <f>+BP623+BQ623</f>
        <v>1847129.9</v>
      </c>
      <c r="BS623" s="33" t="s">
        <v>497</v>
      </c>
      <c r="BT623" s="36" t="s">
        <v>498</v>
      </c>
      <c r="BU623" s="5" t="s">
        <v>499</v>
      </c>
      <c r="BV623" s="210"/>
      <c r="BW623" s="144"/>
      <c r="BX623" s="113"/>
      <c r="BY623" s="273"/>
      <c r="BZ623" s="273"/>
      <c r="CA623" s="132"/>
      <c r="CB623" s="274"/>
      <c r="CC623" s="144"/>
      <c r="CD623" s="274"/>
      <c r="CE623" s="132"/>
      <c r="CF623" s="132"/>
      <c r="CG623" s="132"/>
      <c r="CH623" s="210"/>
      <c r="CI623" s="219"/>
      <c r="CJ623" s="210"/>
      <c r="CK623" s="273"/>
      <c r="CL623" s="273"/>
      <c r="CM623" s="132"/>
      <c r="CN623" s="274"/>
      <c r="CO623" s="144"/>
      <c r="CP623" s="274"/>
      <c r="CQ623" s="132"/>
      <c r="CR623" s="132"/>
      <c r="CS623" s="132"/>
      <c r="CT623" s="274"/>
      <c r="CU623" s="144"/>
      <c r="CV623" s="274"/>
      <c r="CW623" s="132"/>
      <c r="CX623" s="132"/>
      <c r="CY623" s="132"/>
      <c r="CZ623" s="118"/>
      <c r="DA623" s="144"/>
      <c r="DB623" s="118"/>
      <c r="DC623" s="33"/>
      <c r="DD623" s="39"/>
      <c r="DE623" s="11"/>
      <c r="DF623" s="132"/>
      <c r="DG623" s="132"/>
      <c r="DH623" s="132"/>
      <c r="DI623" s="132"/>
      <c r="DJ623" s="132"/>
      <c r="DK623" s="132"/>
      <c r="DL623" s="132"/>
      <c r="DM623" s="132"/>
      <c r="DN623" s="132"/>
      <c r="DO623" s="132"/>
      <c r="DP623" s="132"/>
      <c r="DQ623" s="132"/>
      <c r="DR623" s="132"/>
      <c r="DS623" s="132"/>
      <c r="DT623" s="132"/>
      <c r="DU623" s="132"/>
      <c r="DV623" s="132"/>
      <c r="DW623" s="132"/>
      <c r="DX623" s="132"/>
      <c r="DY623" s="132"/>
      <c r="DZ623" s="132"/>
      <c r="EA623" s="132"/>
      <c r="EB623" s="132"/>
      <c r="EC623" s="132"/>
      <c r="ED623" s="132"/>
      <c r="EE623" s="132"/>
      <c r="EF623" s="132"/>
      <c r="EG623" s="132"/>
      <c r="EH623" s="132"/>
      <c r="EI623" s="132"/>
      <c r="EJ623" s="132"/>
      <c r="EK623" s="132"/>
      <c r="EL623" s="132"/>
      <c r="EM623" s="132"/>
      <c r="EN623" s="132"/>
      <c r="EO623" s="132"/>
      <c r="EP623" s="132"/>
      <c r="EQ623" s="132"/>
      <c r="ER623" s="132"/>
      <c r="ES623" s="132"/>
      <c r="ET623" s="11"/>
      <c r="EU623" s="11"/>
      <c r="EV623" s="11"/>
      <c r="EW623" s="11"/>
      <c r="EX623" s="11"/>
      <c r="EY623" s="11"/>
      <c r="EZ623" s="11"/>
      <c r="FA623" s="11"/>
      <c r="FB623" s="11"/>
      <c r="FC623" s="11"/>
      <c r="FD623" s="11"/>
      <c r="FE623" s="11"/>
      <c r="FF623" s="11"/>
      <c r="FG623" s="11"/>
      <c r="FH623" s="39">
        <f t="shared" si="151"/>
        <v>5551219.0999999996</v>
      </c>
      <c r="FI623" s="33">
        <f t="shared" si="152"/>
        <v>3</v>
      </c>
      <c r="FJ623" s="84">
        <f t="shared" si="153"/>
        <v>1850406.3666666665</v>
      </c>
    </row>
    <row r="624" spans="1:166" ht="38.25" x14ac:dyDescent="0.25">
      <c r="A624" s="79" t="e">
        <f>#REF!</f>
        <v>#REF!</v>
      </c>
      <c r="B624" s="75" t="e">
        <f>#REF!</f>
        <v>#REF!</v>
      </c>
      <c r="C624" s="75" t="e">
        <f>#REF!</f>
        <v>#REF!</v>
      </c>
      <c r="D624" s="75" t="e">
        <f>#REF!</f>
        <v>#REF!</v>
      </c>
      <c r="E624" s="30">
        <v>1</v>
      </c>
      <c r="F624" s="238">
        <v>0</v>
      </c>
      <c r="G624" s="241">
        <v>0</v>
      </c>
      <c r="H624" s="249">
        <v>409201.33333333331</v>
      </c>
      <c r="I624" s="249">
        <v>0</v>
      </c>
      <c r="J624" s="249">
        <v>562087.61250000005</v>
      </c>
      <c r="K624" s="249">
        <v>0</v>
      </c>
      <c r="L624" s="274">
        <f>AVERAGE(H624,J624)</f>
        <v>485644.47291666665</v>
      </c>
      <c r="M624" s="274"/>
      <c r="N624" s="245"/>
      <c r="O624" s="113"/>
      <c r="P624" s="113"/>
      <c r="Q624" s="131"/>
      <c r="R624" s="131"/>
      <c r="S624" s="64"/>
      <c r="T624" s="113">
        <v>486000</v>
      </c>
      <c r="U624" s="113">
        <f>+T624*0.19</f>
        <v>92340</v>
      </c>
      <c r="V624" s="113">
        <f>+T624+U624</f>
        <v>578340</v>
      </c>
      <c r="W624" s="131" t="s">
        <v>500</v>
      </c>
      <c r="X624" s="131" t="s">
        <v>138</v>
      </c>
      <c r="Y624" s="11"/>
      <c r="Z624" s="113"/>
      <c r="AA624" s="113"/>
      <c r="AB624" s="113"/>
      <c r="AC624" s="52"/>
      <c r="AD624" s="52"/>
      <c r="AE624" s="11"/>
      <c r="AF624" s="118"/>
      <c r="AG624" s="144"/>
      <c r="AH624" s="113"/>
      <c r="AI624" s="11"/>
      <c r="AJ624" s="11"/>
      <c r="AK624" s="39"/>
      <c r="AL624" s="113"/>
      <c r="AM624" s="113"/>
      <c r="AN624" s="117"/>
      <c r="AO624" s="76"/>
      <c r="AP624" s="39"/>
      <c r="AQ624" s="39"/>
      <c r="AR624" s="275">
        <v>524880</v>
      </c>
      <c r="AS624" s="143">
        <f>+AR624*0.19</f>
        <v>99727.2</v>
      </c>
      <c r="AT624" s="116">
        <f>+AR624+AS624</f>
        <v>624607.19999999995</v>
      </c>
      <c r="AU624" s="62" t="s">
        <v>465</v>
      </c>
      <c r="AV624" s="62" t="s">
        <v>501</v>
      </c>
      <c r="AW624" s="11"/>
      <c r="AX624" s="116"/>
      <c r="AY624" s="196"/>
      <c r="AZ624" s="143"/>
      <c r="BA624" s="191"/>
      <c r="BB624" s="132"/>
      <c r="BC624" s="132"/>
      <c r="BD624" s="274"/>
      <c r="BE624" s="143"/>
      <c r="BF624" s="143"/>
      <c r="BG624" s="132"/>
      <c r="BH624" s="132"/>
      <c r="BI624" s="132"/>
      <c r="BJ624" s="143"/>
      <c r="BK624" s="143"/>
      <c r="BL624" s="143"/>
      <c r="BM624" s="132"/>
      <c r="BN624" s="132"/>
      <c r="BO624" s="132"/>
      <c r="BP624" s="143">
        <v>789655</v>
      </c>
      <c r="BQ624" s="144">
        <f>BP624*19%</f>
        <v>150034.45000000001</v>
      </c>
      <c r="BR624" s="113">
        <f>+BP624+BQ624</f>
        <v>939689.45</v>
      </c>
      <c r="BS624" s="33" t="s">
        <v>502</v>
      </c>
      <c r="BT624" s="204" t="s">
        <v>503</v>
      </c>
      <c r="BU624" s="5" t="s">
        <v>504</v>
      </c>
      <c r="BV624" s="210"/>
      <c r="BW624" s="144"/>
      <c r="BX624" s="113"/>
      <c r="BY624" s="273"/>
      <c r="BZ624" s="273"/>
      <c r="CA624" s="132"/>
      <c r="CB624" s="274"/>
      <c r="CC624" s="144"/>
      <c r="CD624" s="274"/>
      <c r="CE624" s="132"/>
      <c r="CF624" s="132"/>
      <c r="CG624" s="132"/>
      <c r="CH624" s="210"/>
      <c r="CI624" s="219"/>
      <c r="CJ624" s="210"/>
      <c r="CK624" s="273"/>
      <c r="CL624" s="273"/>
      <c r="CM624" s="132"/>
      <c r="CN624" s="274"/>
      <c r="CO624" s="144"/>
      <c r="CP624" s="274"/>
      <c r="CQ624" s="132"/>
      <c r="CR624" s="132"/>
      <c r="CS624" s="132"/>
      <c r="CT624" s="274"/>
      <c r="CU624" s="144"/>
      <c r="CV624" s="274"/>
      <c r="CW624" s="132"/>
      <c r="CX624" s="132"/>
      <c r="CY624" s="132"/>
      <c r="CZ624" s="118"/>
      <c r="DA624" s="144"/>
      <c r="DB624" s="118"/>
      <c r="DC624" s="33"/>
      <c r="DD624" s="39"/>
      <c r="DE624" s="11"/>
      <c r="DF624" s="132"/>
      <c r="DG624" s="132"/>
      <c r="DH624" s="132"/>
      <c r="DI624" s="132"/>
      <c r="DJ624" s="132"/>
      <c r="DK624" s="132"/>
      <c r="DL624" s="132"/>
      <c r="DM624" s="132"/>
      <c r="DN624" s="132"/>
      <c r="DO624" s="132"/>
      <c r="DP624" s="132"/>
      <c r="DQ624" s="132"/>
      <c r="DR624" s="132"/>
      <c r="DS624" s="132"/>
      <c r="DT624" s="132"/>
      <c r="DU624" s="132"/>
      <c r="DV624" s="132"/>
      <c r="DW624" s="132"/>
      <c r="DX624" s="132"/>
      <c r="DY624" s="132"/>
      <c r="DZ624" s="132"/>
      <c r="EA624" s="132"/>
      <c r="EB624" s="132"/>
      <c r="EC624" s="132"/>
      <c r="ED624" s="132"/>
      <c r="EE624" s="132"/>
      <c r="EF624" s="132"/>
      <c r="EG624" s="132"/>
      <c r="EH624" s="132"/>
      <c r="EI624" s="132"/>
      <c r="EJ624" s="132"/>
      <c r="EK624" s="132"/>
      <c r="EL624" s="132"/>
      <c r="EM624" s="132"/>
      <c r="EN624" s="132"/>
      <c r="EO624" s="132"/>
      <c r="EP624" s="132"/>
      <c r="EQ624" s="132"/>
      <c r="ER624" s="132"/>
      <c r="ES624" s="132"/>
      <c r="ET624" s="11"/>
      <c r="EU624" s="11"/>
      <c r="EV624" s="11"/>
      <c r="EW624" s="11"/>
      <c r="EX624" s="11"/>
      <c r="EY624" s="11"/>
      <c r="EZ624" s="11"/>
      <c r="FA624" s="11"/>
      <c r="FB624" s="11"/>
      <c r="FC624" s="11"/>
      <c r="FD624" s="11"/>
      <c r="FE624" s="11"/>
      <c r="FF624" s="11"/>
      <c r="FG624" s="11"/>
      <c r="FH624" s="39">
        <f t="shared" si="151"/>
        <v>2142636.65</v>
      </c>
      <c r="FI624" s="33">
        <f t="shared" si="152"/>
        <v>3</v>
      </c>
      <c r="FJ624" s="84">
        <f t="shared" si="153"/>
        <v>714212.21666666667</v>
      </c>
    </row>
    <row r="625" spans="1:166" x14ac:dyDescent="0.25">
      <c r="A625" s="79" t="e">
        <f>#REF!</f>
        <v>#REF!</v>
      </c>
      <c r="B625" s="75" t="e">
        <f>#REF!</f>
        <v>#REF!</v>
      </c>
      <c r="C625" s="75" t="e">
        <f>#REF!</f>
        <v>#REF!</v>
      </c>
      <c r="D625" s="75" t="e">
        <f>#REF!</f>
        <v>#REF!</v>
      </c>
      <c r="E625" s="30">
        <v>1</v>
      </c>
      <c r="F625" s="238">
        <v>0</v>
      </c>
      <c r="G625" s="241">
        <v>0</v>
      </c>
      <c r="H625" s="249">
        <v>0</v>
      </c>
      <c r="I625" s="249">
        <v>0</v>
      </c>
      <c r="J625" s="249">
        <v>0</v>
      </c>
      <c r="K625" s="249">
        <v>0</v>
      </c>
      <c r="L625" s="274"/>
      <c r="M625" s="274"/>
      <c r="N625" s="245"/>
      <c r="O625" s="113"/>
      <c r="P625" s="113"/>
      <c r="Q625" s="131"/>
      <c r="R625" s="131"/>
      <c r="S625" s="64"/>
      <c r="T625" s="113"/>
      <c r="U625" s="121"/>
      <c r="V625" s="113"/>
      <c r="W625" s="131"/>
      <c r="X625" s="131"/>
      <c r="Y625" s="11"/>
      <c r="Z625" s="113"/>
      <c r="AA625" s="113"/>
      <c r="AB625" s="113"/>
      <c r="AC625" s="52"/>
      <c r="AD625" s="52"/>
      <c r="AE625" s="11"/>
      <c r="AF625" s="118"/>
      <c r="AG625" s="144"/>
      <c r="AH625" s="113"/>
      <c r="AI625" s="11"/>
      <c r="AJ625" s="11"/>
      <c r="AK625" s="39"/>
      <c r="AL625" s="113"/>
      <c r="AM625" s="113"/>
      <c r="AN625" s="147"/>
      <c r="AO625" s="76"/>
      <c r="AP625" s="39"/>
      <c r="AQ625" s="39"/>
      <c r="AR625" s="275"/>
      <c r="AS625" s="275"/>
      <c r="AT625" s="275"/>
      <c r="AU625" s="62"/>
      <c r="AV625" s="62"/>
      <c r="AW625" s="11"/>
      <c r="AX625" s="116"/>
      <c r="AY625" s="194"/>
      <c r="AZ625" s="143"/>
      <c r="BA625" s="191"/>
      <c r="BB625" s="132"/>
      <c r="BC625" s="132"/>
      <c r="BD625" s="274"/>
      <c r="BE625" s="143"/>
      <c r="BF625" s="143"/>
      <c r="BG625" s="132"/>
      <c r="BH625" s="132"/>
      <c r="BI625" s="132"/>
      <c r="BJ625" s="143"/>
      <c r="BK625" s="143"/>
      <c r="BL625" s="143"/>
      <c r="BM625" s="132"/>
      <c r="BN625" s="132"/>
      <c r="BO625" s="132"/>
      <c r="BP625" s="143"/>
      <c r="BQ625" s="132"/>
      <c r="BR625" s="132"/>
      <c r="BS625" s="132"/>
      <c r="BT625" s="132"/>
      <c r="BU625" s="132"/>
      <c r="BV625" s="210"/>
      <c r="BW625" s="144"/>
      <c r="BX625" s="113"/>
      <c r="BY625" s="273"/>
      <c r="BZ625" s="273"/>
      <c r="CA625" s="132"/>
      <c r="CB625" s="274"/>
      <c r="CC625" s="144"/>
      <c r="CD625" s="274"/>
      <c r="CE625" s="132"/>
      <c r="CF625" s="132"/>
      <c r="CG625" s="132"/>
      <c r="CH625" s="210"/>
      <c r="CI625" s="219"/>
      <c r="CJ625" s="210"/>
      <c r="CK625" s="273"/>
      <c r="CL625" s="273"/>
      <c r="CM625" s="132"/>
      <c r="CN625" s="274"/>
      <c r="CO625" s="144"/>
      <c r="CP625" s="274"/>
      <c r="CQ625" s="132"/>
      <c r="CR625" s="132"/>
      <c r="CS625" s="132"/>
      <c r="CT625" s="274"/>
      <c r="CU625" s="144"/>
      <c r="CV625" s="274"/>
      <c r="CW625" s="132"/>
      <c r="CX625" s="132"/>
      <c r="CY625" s="132"/>
      <c r="CZ625" s="118"/>
      <c r="DA625" s="144"/>
      <c r="DB625" s="118"/>
      <c r="DC625" s="33"/>
      <c r="DD625" s="39"/>
      <c r="DE625" s="11"/>
      <c r="DF625" s="132"/>
      <c r="DG625" s="132"/>
      <c r="DH625" s="132"/>
      <c r="DI625" s="132"/>
      <c r="DJ625" s="132"/>
      <c r="DK625" s="132"/>
      <c r="DL625" s="132"/>
      <c r="DM625" s="132"/>
      <c r="DN625" s="132"/>
      <c r="DO625" s="132"/>
      <c r="DP625" s="132"/>
      <c r="DQ625" s="132"/>
      <c r="DR625" s="132"/>
      <c r="DS625" s="132"/>
      <c r="DT625" s="132"/>
      <c r="DU625" s="132"/>
      <c r="DV625" s="132"/>
      <c r="DW625" s="132"/>
      <c r="DX625" s="132"/>
      <c r="DY625" s="132"/>
      <c r="DZ625" s="132"/>
      <c r="EA625" s="132"/>
      <c r="EB625" s="132"/>
      <c r="EC625" s="132"/>
      <c r="ED625" s="132"/>
      <c r="EE625" s="132"/>
      <c r="EF625" s="132"/>
      <c r="EG625" s="132"/>
      <c r="EH625" s="132"/>
      <c r="EI625" s="132"/>
      <c r="EJ625" s="132"/>
      <c r="EK625" s="132"/>
      <c r="EL625" s="132"/>
      <c r="EM625" s="132"/>
      <c r="EN625" s="132"/>
      <c r="EO625" s="132"/>
      <c r="EP625" s="132"/>
      <c r="EQ625" s="132"/>
      <c r="ER625" s="132"/>
      <c r="ES625" s="132"/>
      <c r="ET625" s="11"/>
      <c r="EU625" s="11"/>
      <c r="EV625" s="11"/>
      <c r="EW625" s="11"/>
      <c r="EX625" s="11"/>
      <c r="EY625" s="11"/>
      <c r="EZ625" s="11"/>
      <c r="FA625" s="11"/>
      <c r="FB625" s="11"/>
      <c r="FC625" s="11"/>
      <c r="FD625" s="11"/>
      <c r="FE625" s="11"/>
      <c r="FF625" s="11"/>
      <c r="FG625" s="11"/>
      <c r="FH625" s="39">
        <f t="shared" si="151"/>
        <v>0</v>
      </c>
      <c r="FI625" s="33">
        <f t="shared" si="152"/>
        <v>0</v>
      </c>
      <c r="FJ625" s="84" t="str">
        <f t="shared" si="153"/>
        <v xml:space="preserve"> </v>
      </c>
    </row>
    <row r="626" spans="1:166" x14ac:dyDescent="0.25">
      <c r="A626" s="79" t="e">
        <f>#REF!</f>
        <v>#REF!</v>
      </c>
      <c r="B626" s="75" t="e">
        <f>#REF!</f>
        <v>#REF!</v>
      </c>
      <c r="C626" s="75" t="e">
        <f>#REF!</f>
        <v>#REF!</v>
      </c>
      <c r="D626" s="75" t="e">
        <f>#REF!</f>
        <v>#REF!</v>
      </c>
      <c r="E626" s="30">
        <v>1</v>
      </c>
      <c r="F626" s="238">
        <v>0</v>
      </c>
      <c r="G626" s="241">
        <v>0</v>
      </c>
      <c r="H626" s="249">
        <v>0</v>
      </c>
      <c r="I626" s="249">
        <v>0</v>
      </c>
      <c r="J626" s="249">
        <v>0</v>
      </c>
      <c r="K626" s="249">
        <v>0</v>
      </c>
      <c r="L626" s="274"/>
      <c r="M626" s="274"/>
      <c r="N626" s="245"/>
      <c r="O626" s="113"/>
      <c r="P626" s="113"/>
      <c r="Q626" s="131"/>
      <c r="R626" s="131"/>
      <c r="S626" s="64"/>
      <c r="T626" s="113"/>
      <c r="U626" s="113"/>
      <c r="V626" s="113"/>
      <c r="W626" s="131"/>
      <c r="X626" s="131"/>
      <c r="Y626" s="11"/>
      <c r="Z626" s="113"/>
      <c r="AA626" s="113"/>
      <c r="AB626" s="113"/>
      <c r="AC626" s="52"/>
      <c r="AD626" s="52"/>
      <c r="AE626" s="11"/>
      <c r="AF626" s="113"/>
      <c r="AG626" s="144"/>
      <c r="AH626" s="113"/>
      <c r="AI626" s="11"/>
      <c r="AJ626" s="11"/>
      <c r="AK626" s="39"/>
      <c r="AL626" s="113"/>
      <c r="AM626" s="113"/>
      <c r="AN626" s="117"/>
      <c r="AO626" s="76"/>
      <c r="AP626" s="39"/>
      <c r="AQ626" s="39"/>
      <c r="AR626" s="275"/>
      <c r="AS626" s="275"/>
      <c r="AT626" s="275"/>
      <c r="AU626" s="62"/>
      <c r="AV626" s="62"/>
      <c r="AW626" s="11"/>
      <c r="AX626" s="116"/>
      <c r="AY626" s="196"/>
      <c r="AZ626" s="143"/>
      <c r="BA626" s="191"/>
      <c r="BB626" s="132"/>
      <c r="BC626" s="132"/>
      <c r="BD626" s="275"/>
      <c r="BE626" s="143"/>
      <c r="BF626" s="143"/>
      <c r="BG626" s="132"/>
      <c r="BH626" s="132"/>
      <c r="BI626" s="132"/>
      <c r="BJ626" s="143"/>
      <c r="BK626" s="143"/>
      <c r="BL626" s="143"/>
      <c r="BM626" s="132"/>
      <c r="BN626" s="132"/>
      <c r="BO626" s="132"/>
      <c r="BP626" s="143"/>
      <c r="BQ626" s="132"/>
      <c r="BR626" s="132"/>
      <c r="BS626" s="132"/>
      <c r="BT626" s="132"/>
      <c r="BU626" s="132"/>
      <c r="BV626" s="210"/>
      <c r="BW626" s="144"/>
      <c r="BX626" s="113"/>
      <c r="BY626" s="273"/>
      <c r="BZ626" s="273"/>
      <c r="CA626" s="132"/>
      <c r="CB626" s="275"/>
      <c r="CC626" s="143"/>
      <c r="CD626" s="275"/>
      <c r="CE626" s="132"/>
      <c r="CF626" s="132"/>
      <c r="CG626" s="132"/>
      <c r="CH626" s="210"/>
      <c r="CI626" s="219"/>
      <c r="CJ626" s="210"/>
      <c r="CK626" s="273"/>
      <c r="CL626" s="273"/>
      <c r="CM626" s="132"/>
      <c r="CN626" s="275"/>
      <c r="CO626" s="143"/>
      <c r="CP626" s="275"/>
      <c r="CQ626" s="132"/>
      <c r="CR626" s="132"/>
      <c r="CS626" s="132"/>
      <c r="CT626" s="275"/>
      <c r="CU626" s="143"/>
      <c r="CV626" s="275"/>
      <c r="CW626" s="15"/>
      <c r="CX626" s="74"/>
      <c r="CY626" s="74"/>
      <c r="CZ626" s="113"/>
      <c r="DA626" s="143"/>
      <c r="DB626" s="113"/>
      <c r="DC626" s="33"/>
      <c r="DD626" s="39"/>
      <c r="DE626" s="11"/>
      <c r="DF626" s="37"/>
      <c r="DG626" s="37"/>
      <c r="DH626" s="37"/>
      <c r="DI626" s="37"/>
      <c r="DJ626" s="37"/>
      <c r="DK626" s="132"/>
      <c r="DL626" s="132"/>
      <c r="DM626" s="132"/>
      <c r="DN626" s="132"/>
      <c r="DO626" s="132"/>
      <c r="DP626" s="132"/>
      <c r="DQ626" s="132"/>
      <c r="DR626" s="132"/>
      <c r="DS626" s="132"/>
      <c r="DT626" s="132"/>
      <c r="DU626" s="132"/>
      <c r="DV626" s="132"/>
      <c r="DW626" s="132"/>
      <c r="DX626" s="132"/>
      <c r="DY626" s="132"/>
      <c r="DZ626" s="132"/>
      <c r="EA626" s="132"/>
      <c r="EB626" s="132"/>
      <c r="EC626" s="132"/>
      <c r="ED626" s="132"/>
      <c r="EE626" s="132"/>
      <c r="EF626" s="132"/>
      <c r="EG626" s="132"/>
      <c r="EH626" s="132"/>
      <c r="EI626" s="132"/>
      <c r="EJ626" s="132"/>
      <c r="EK626" s="132"/>
      <c r="EL626" s="132"/>
      <c r="EM626" s="132"/>
      <c r="EN626" s="132"/>
      <c r="EO626" s="132"/>
      <c r="EP626" s="132"/>
      <c r="EQ626" s="132"/>
      <c r="ER626" s="132"/>
      <c r="ES626" s="132"/>
      <c r="ET626" s="11"/>
      <c r="EU626" s="11"/>
      <c r="EV626" s="11"/>
      <c r="EW626" s="11"/>
      <c r="EX626" s="11"/>
      <c r="EY626" s="11"/>
      <c r="EZ626" s="11"/>
      <c r="FA626" s="11"/>
      <c r="FB626" s="11"/>
      <c r="FC626" s="11"/>
      <c r="FD626" s="11"/>
      <c r="FE626" s="11"/>
      <c r="FF626" s="11"/>
      <c r="FG626" s="11"/>
      <c r="FH626" s="39">
        <f t="shared" si="151"/>
        <v>0</v>
      </c>
      <c r="FI626" s="33">
        <f t="shared" si="152"/>
        <v>0</v>
      </c>
      <c r="FJ626" s="84" t="str">
        <f t="shared" si="153"/>
        <v xml:space="preserve"> </v>
      </c>
    </row>
    <row r="627" spans="1:166" ht="27" x14ac:dyDescent="0.25">
      <c r="A627" s="79" t="e">
        <f>#REF!</f>
        <v>#REF!</v>
      </c>
      <c r="B627" s="75" t="e">
        <f>#REF!</f>
        <v>#REF!</v>
      </c>
      <c r="C627" s="75" t="e">
        <f>#REF!</f>
        <v>#REF!</v>
      </c>
      <c r="D627" s="75" t="e">
        <f>#REF!</f>
        <v>#REF!</v>
      </c>
      <c r="E627" s="30">
        <v>1</v>
      </c>
      <c r="F627" s="238">
        <v>0</v>
      </c>
      <c r="G627" s="241">
        <v>0</v>
      </c>
      <c r="H627" s="249">
        <v>954668.71428571432</v>
      </c>
      <c r="I627" s="249">
        <v>0</v>
      </c>
      <c r="J627" s="249">
        <v>0</v>
      </c>
      <c r="K627" s="249">
        <v>0</v>
      </c>
      <c r="L627" s="274">
        <f>H627</f>
        <v>954668.71428571432</v>
      </c>
      <c r="M627" s="274"/>
      <c r="N627" s="245"/>
      <c r="O627" s="113"/>
      <c r="P627" s="113"/>
      <c r="Q627" s="131"/>
      <c r="R627" s="131"/>
      <c r="S627" s="64"/>
      <c r="T627" s="113"/>
      <c r="U627" s="121"/>
      <c r="V627" s="113"/>
      <c r="W627" s="131"/>
      <c r="X627" s="131"/>
      <c r="Y627" s="11"/>
      <c r="Z627" s="113"/>
      <c r="AA627" s="113"/>
      <c r="AB627" s="113"/>
      <c r="AC627" s="52"/>
      <c r="AD627" s="52"/>
      <c r="AE627" s="11"/>
      <c r="AF627" s="118">
        <v>1550000</v>
      </c>
      <c r="AG627" s="144">
        <f>AF627*19%</f>
        <v>294500</v>
      </c>
      <c r="AH627" s="113">
        <f>+AF627+AG627</f>
        <v>1844500</v>
      </c>
      <c r="AI627" s="11"/>
      <c r="AJ627" s="11"/>
      <c r="AK627" s="39"/>
      <c r="AL627" s="113">
        <v>860000</v>
      </c>
      <c r="AM627" s="113">
        <f>+AL627*0.19</f>
        <v>163400</v>
      </c>
      <c r="AN627" s="119">
        <f>+AL627+AM627</f>
        <v>1023400</v>
      </c>
      <c r="AO627" s="76" t="s">
        <v>95</v>
      </c>
      <c r="AP627" s="39" t="s">
        <v>45</v>
      </c>
      <c r="AQ627" s="39"/>
      <c r="AR627" s="275">
        <v>1159200</v>
      </c>
      <c r="AS627" s="143">
        <f>+AR627*0.19</f>
        <v>220248</v>
      </c>
      <c r="AT627" s="116">
        <f>+AR627+AS627</f>
        <v>1379448</v>
      </c>
      <c r="AU627" s="62" t="s">
        <v>95</v>
      </c>
      <c r="AV627" s="62" t="s">
        <v>35</v>
      </c>
      <c r="AW627" s="11"/>
      <c r="AX627" s="116">
        <f>248765.52*2</f>
        <v>497531.04</v>
      </c>
      <c r="AY627" s="116">
        <f>+AX627*0.19</f>
        <v>94530.897599999997</v>
      </c>
      <c r="AZ627" s="143">
        <f>+AX627+AY627</f>
        <v>592061.93759999995</v>
      </c>
      <c r="BA627" s="191" t="s">
        <v>60</v>
      </c>
      <c r="BB627" s="132" t="s">
        <v>70</v>
      </c>
      <c r="BC627" s="132"/>
      <c r="BD627" s="274"/>
      <c r="BE627" s="143"/>
      <c r="BF627" s="143"/>
      <c r="BG627" s="132"/>
      <c r="BH627" s="132"/>
      <c r="BI627" s="132"/>
      <c r="BJ627" s="143"/>
      <c r="BK627" s="143"/>
      <c r="BL627" s="143"/>
      <c r="BM627" s="132"/>
      <c r="BN627" s="132"/>
      <c r="BO627" s="132"/>
      <c r="BP627" s="143"/>
      <c r="BQ627" s="132"/>
      <c r="BR627" s="132"/>
      <c r="BS627" s="132"/>
      <c r="BT627" s="132"/>
      <c r="BU627" s="132"/>
      <c r="BV627" s="263">
        <v>1664400</v>
      </c>
      <c r="BW627" s="144">
        <f>BV627*19%</f>
        <v>316236</v>
      </c>
      <c r="BX627" s="113">
        <f>+BV627+BW627</f>
        <v>1980636</v>
      </c>
      <c r="BY627" s="264" t="s">
        <v>505</v>
      </c>
      <c r="BZ627" s="264" t="s">
        <v>63</v>
      </c>
      <c r="CA627" s="132"/>
      <c r="CB627" s="274"/>
      <c r="CC627" s="144"/>
      <c r="CD627" s="274"/>
      <c r="CE627" s="132"/>
      <c r="CF627" s="132"/>
      <c r="CG627" s="132"/>
      <c r="CH627" s="263"/>
      <c r="CI627" s="265"/>
      <c r="CJ627" s="263"/>
      <c r="CK627" s="264"/>
      <c r="CL627" s="264"/>
      <c r="CM627" s="132"/>
      <c r="CN627" s="274"/>
      <c r="CO627" s="144"/>
      <c r="CP627" s="274"/>
      <c r="CQ627" s="132"/>
      <c r="CR627" s="132"/>
      <c r="CS627" s="132"/>
      <c r="CT627" s="274"/>
      <c r="CU627" s="144"/>
      <c r="CV627" s="274"/>
      <c r="CW627" s="132"/>
      <c r="CX627" s="132"/>
      <c r="CY627" s="132"/>
      <c r="CZ627" s="118"/>
      <c r="DA627" s="144"/>
      <c r="DB627" s="118"/>
      <c r="DC627" s="33"/>
      <c r="DD627" s="39"/>
      <c r="DE627" s="11"/>
      <c r="DF627" s="132"/>
      <c r="DG627" s="132"/>
      <c r="DH627" s="132"/>
      <c r="DI627" s="132"/>
      <c r="DJ627" s="132"/>
      <c r="DK627" s="132"/>
      <c r="DL627" s="132"/>
      <c r="DM627" s="132"/>
      <c r="DN627" s="132"/>
      <c r="DO627" s="132"/>
      <c r="DP627" s="132"/>
      <c r="DQ627" s="132"/>
      <c r="DR627" s="132"/>
      <c r="DS627" s="132"/>
      <c r="DT627" s="132"/>
      <c r="DU627" s="132"/>
      <c r="DV627" s="132"/>
      <c r="DW627" s="132"/>
      <c r="DX627" s="132"/>
      <c r="DY627" s="132"/>
      <c r="DZ627" s="132"/>
      <c r="EA627" s="132"/>
      <c r="EB627" s="132"/>
      <c r="EC627" s="132"/>
      <c r="ED627" s="132"/>
      <c r="EE627" s="132"/>
      <c r="EF627" s="132"/>
      <c r="EG627" s="132"/>
      <c r="EH627" s="132"/>
      <c r="EI627" s="132"/>
      <c r="EJ627" s="132"/>
      <c r="EK627" s="132"/>
      <c r="EL627" s="132"/>
      <c r="EM627" s="132"/>
      <c r="EN627" s="132"/>
      <c r="EO627" s="132"/>
      <c r="EP627" s="132"/>
      <c r="EQ627" s="132"/>
      <c r="ER627" s="132"/>
      <c r="ES627" s="132"/>
      <c r="ET627" s="11"/>
      <c r="EU627" s="11"/>
      <c r="EV627" s="11"/>
      <c r="EW627" s="11"/>
      <c r="EX627" s="11"/>
      <c r="EY627" s="11"/>
      <c r="EZ627" s="11"/>
      <c r="FA627" s="11"/>
      <c r="FB627" s="11"/>
      <c r="FC627" s="11"/>
      <c r="FD627" s="11"/>
      <c r="FE627" s="11"/>
      <c r="FF627" s="11"/>
      <c r="FG627" s="11"/>
      <c r="FH627" s="39">
        <f t="shared" si="151"/>
        <v>6820045.9375999998</v>
      </c>
      <c r="FI627" s="33">
        <f t="shared" si="152"/>
        <v>5</v>
      </c>
      <c r="FJ627" s="84">
        <f t="shared" si="153"/>
        <v>1364009.1875199999</v>
      </c>
    </row>
    <row r="628" spans="1:166" ht="13.5" x14ac:dyDescent="0.25">
      <c r="A628" s="79" t="e">
        <f>#REF!</f>
        <v>#REF!</v>
      </c>
      <c r="B628" s="75" t="e">
        <f>#REF!</f>
        <v>#REF!</v>
      </c>
      <c r="C628" s="75" t="e">
        <f>#REF!</f>
        <v>#REF!</v>
      </c>
      <c r="D628" s="75" t="e">
        <f>#REF!</f>
        <v>#REF!</v>
      </c>
      <c r="E628" s="30">
        <v>1</v>
      </c>
      <c r="F628" s="238">
        <v>268900</v>
      </c>
      <c r="G628" s="241">
        <v>262100</v>
      </c>
      <c r="H628" s="249">
        <v>260051.67282500002</v>
      </c>
      <c r="I628" s="249">
        <v>0</v>
      </c>
      <c r="J628" s="249">
        <v>312602.5</v>
      </c>
      <c r="K628" s="249">
        <v>0</v>
      </c>
      <c r="L628" s="274">
        <f>AVERAGE(F628,H628,J628)</f>
        <v>280518.05760833336</v>
      </c>
      <c r="M628" s="274">
        <f>G628*E1</f>
        <v>269963</v>
      </c>
      <c r="N628" s="245"/>
      <c r="O628" s="117"/>
      <c r="P628" s="113"/>
      <c r="Q628" s="131"/>
      <c r="R628" s="131"/>
      <c r="S628" s="64"/>
      <c r="T628" s="113"/>
      <c r="U628" s="113"/>
      <c r="V628" s="113"/>
      <c r="W628" s="131"/>
      <c r="X628" s="131"/>
      <c r="Y628" s="11"/>
      <c r="Z628" s="113"/>
      <c r="AA628" s="113"/>
      <c r="AB628" s="113"/>
      <c r="AC628" s="52"/>
      <c r="AD628" s="52"/>
      <c r="AE628" s="11"/>
      <c r="AF628" s="118">
        <v>350000</v>
      </c>
      <c r="AG628" s="144">
        <v>0</v>
      </c>
      <c r="AH628" s="113">
        <f>+AF628+AG628</f>
        <v>350000</v>
      </c>
      <c r="AI628" s="11"/>
      <c r="AJ628" s="11"/>
      <c r="AK628" s="39"/>
      <c r="AL628" s="113"/>
      <c r="AM628" s="113"/>
      <c r="AN628" s="117"/>
      <c r="AO628" s="76"/>
      <c r="AP628" s="39"/>
      <c r="AQ628" s="39"/>
      <c r="AR628" s="275"/>
      <c r="AS628" s="275"/>
      <c r="AT628" s="275"/>
      <c r="AU628" s="62"/>
      <c r="AV628" s="62"/>
      <c r="AW628" s="11"/>
      <c r="AX628" s="116"/>
      <c r="AY628" s="196"/>
      <c r="AZ628" s="143"/>
      <c r="BA628" s="191"/>
      <c r="BB628" s="132"/>
      <c r="BC628" s="132"/>
      <c r="BD628" s="274"/>
      <c r="BE628" s="143"/>
      <c r="BF628" s="143"/>
      <c r="BG628" s="132"/>
      <c r="BH628" s="132"/>
      <c r="BI628" s="132"/>
      <c r="BJ628" s="143"/>
      <c r="BK628" s="143"/>
      <c r="BL628" s="143"/>
      <c r="BM628" s="132"/>
      <c r="BN628" s="132"/>
      <c r="BO628" s="132"/>
      <c r="BP628" s="143"/>
      <c r="BQ628" s="132"/>
      <c r="BR628" s="132"/>
      <c r="BS628" s="132"/>
      <c r="BT628" s="132"/>
      <c r="BU628" s="132"/>
      <c r="BV628" s="263">
        <v>450000</v>
      </c>
      <c r="BW628" s="144">
        <f>BV628*0</f>
        <v>0</v>
      </c>
      <c r="BX628" s="113">
        <f>+BV628+BW628</f>
        <v>450000</v>
      </c>
      <c r="BY628" s="264" t="s">
        <v>334</v>
      </c>
      <c r="BZ628" s="264" t="s">
        <v>88</v>
      </c>
      <c r="CA628" s="132"/>
      <c r="CB628" s="274"/>
      <c r="CC628" s="144"/>
      <c r="CD628" s="274"/>
      <c r="CE628" s="132"/>
      <c r="CF628" s="132"/>
      <c r="CG628" s="132"/>
      <c r="CH628" s="263">
        <v>472500</v>
      </c>
      <c r="CI628" s="265">
        <f>+CH628*0</f>
        <v>0</v>
      </c>
      <c r="CJ628" s="263">
        <f>+CH628+CI628</f>
        <v>472500</v>
      </c>
      <c r="CK628" s="264" t="s">
        <v>334</v>
      </c>
      <c r="CL628" s="264" t="s">
        <v>88</v>
      </c>
      <c r="CM628" s="132"/>
      <c r="CN628" s="274"/>
      <c r="CO628" s="144"/>
      <c r="CP628" s="274"/>
      <c r="CQ628" s="132"/>
      <c r="CR628" s="132"/>
      <c r="CS628" s="132"/>
      <c r="CT628" s="274"/>
      <c r="CU628" s="144"/>
      <c r="CV628" s="274"/>
      <c r="CW628" s="132"/>
      <c r="CX628" s="132"/>
      <c r="CY628" s="132"/>
      <c r="CZ628" s="118"/>
      <c r="DA628" s="144"/>
      <c r="DB628" s="118"/>
      <c r="DC628" s="33"/>
      <c r="DD628" s="39"/>
      <c r="DE628" s="11"/>
      <c r="DF628" s="132"/>
      <c r="DG628" s="132"/>
      <c r="DH628" s="132"/>
      <c r="DI628" s="132"/>
      <c r="DJ628" s="132"/>
      <c r="DK628" s="132"/>
      <c r="DL628" s="132"/>
      <c r="DM628" s="132"/>
      <c r="DN628" s="132"/>
      <c r="DO628" s="132"/>
      <c r="DP628" s="132"/>
      <c r="DQ628" s="132"/>
      <c r="DR628" s="132"/>
      <c r="DS628" s="132"/>
      <c r="DT628" s="132"/>
      <c r="DU628" s="132"/>
      <c r="DV628" s="132"/>
      <c r="DW628" s="132"/>
      <c r="DX628" s="132"/>
      <c r="DY628" s="132"/>
      <c r="DZ628" s="132"/>
      <c r="EA628" s="132"/>
      <c r="EB628" s="132"/>
      <c r="EC628" s="132"/>
      <c r="ED628" s="132"/>
      <c r="EE628" s="132"/>
      <c r="EF628" s="132"/>
      <c r="EG628" s="132"/>
      <c r="EH628" s="132"/>
      <c r="EI628" s="132"/>
      <c r="EJ628" s="132"/>
      <c r="EK628" s="132"/>
      <c r="EL628" s="132"/>
      <c r="EM628" s="132"/>
      <c r="EN628" s="132"/>
      <c r="EO628" s="132"/>
      <c r="EP628" s="132"/>
      <c r="EQ628" s="132"/>
      <c r="ER628" s="132"/>
      <c r="ES628" s="132"/>
      <c r="ET628" s="11"/>
      <c r="EU628" s="11"/>
      <c r="EV628" s="11"/>
      <c r="EW628" s="11"/>
      <c r="EX628" s="11"/>
      <c r="EY628" s="11"/>
      <c r="EZ628" s="11"/>
      <c r="FA628" s="11"/>
      <c r="FB628" s="11"/>
      <c r="FC628" s="11"/>
      <c r="FD628" s="11"/>
      <c r="FE628" s="11"/>
      <c r="FF628" s="11"/>
      <c r="FG628" s="11"/>
      <c r="FH628" s="39">
        <f t="shared" si="151"/>
        <v>1542463</v>
      </c>
      <c r="FI628" s="33">
        <f t="shared" si="152"/>
        <v>4</v>
      </c>
      <c r="FJ628" s="84">
        <f t="shared" si="153"/>
        <v>385615.75</v>
      </c>
    </row>
    <row r="629" spans="1:166" ht="13.5" x14ac:dyDescent="0.25">
      <c r="A629" s="79" t="e">
        <f>#REF!</f>
        <v>#REF!</v>
      </c>
      <c r="B629" s="75" t="e">
        <f>#REF!</f>
        <v>#REF!</v>
      </c>
      <c r="C629" s="75" t="e">
        <f>#REF!</f>
        <v>#REF!</v>
      </c>
      <c r="D629" s="75" t="e">
        <f>#REF!</f>
        <v>#REF!</v>
      </c>
      <c r="E629" s="30">
        <v>1</v>
      </c>
      <c r="F629" s="238">
        <v>0</v>
      </c>
      <c r="G629" s="241">
        <v>0</v>
      </c>
      <c r="H629" s="249">
        <v>1307081.125</v>
      </c>
      <c r="I629" s="249">
        <v>1306977</v>
      </c>
      <c r="J629" s="249">
        <v>0</v>
      </c>
      <c r="K629" s="249">
        <v>0</v>
      </c>
      <c r="L629" s="274">
        <f>H629</f>
        <v>1307081.125</v>
      </c>
      <c r="M629" s="274">
        <f>I629*E1</f>
        <v>1346186.31</v>
      </c>
      <c r="N629" s="245"/>
      <c r="O629" s="113"/>
      <c r="P629" s="113"/>
      <c r="Q629" s="131"/>
      <c r="R629" s="131"/>
      <c r="S629" s="64"/>
      <c r="T629" s="113"/>
      <c r="U629" s="113"/>
      <c r="V629" s="113"/>
      <c r="W629" s="131"/>
      <c r="X629" s="131"/>
      <c r="Y629" s="11"/>
      <c r="Z629" s="113"/>
      <c r="AA629" s="113"/>
      <c r="AB629" s="113"/>
      <c r="AC629" s="52"/>
      <c r="AD629" s="52"/>
      <c r="AE629" s="11"/>
      <c r="AF629" s="118">
        <v>1300000</v>
      </c>
      <c r="AG629" s="144">
        <f>AF629*19%</f>
        <v>247000</v>
      </c>
      <c r="AH629" s="113">
        <f>+AF629+AG629</f>
        <v>1547000</v>
      </c>
      <c r="AI629" s="11"/>
      <c r="AJ629" s="11"/>
      <c r="AK629" s="39"/>
      <c r="AL629" s="113"/>
      <c r="AM629" s="113"/>
      <c r="AN629" s="117"/>
      <c r="AO629" s="76"/>
      <c r="AP629" s="39"/>
      <c r="AQ629" s="39"/>
      <c r="AR629" s="275"/>
      <c r="AS629" s="275"/>
      <c r="AT629" s="275"/>
      <c r="AU629" s="62"/>
      <c r="AV629" s="62"/>
      <c r="AW629" s="11"/>
      <c r="AX629" s="116"/>
      <c r="AY629" s="196"/>
      <c r="AZ629" s="143"/>
      <c r="BA629" s="191"/>
      <c r="BB629" s="132"/>
      <c r="BC629" s="132"/>
      <c r="BD629" s="274"/>
      <c r="BE629" s="143"/>
      <c r="BF629" s="143"/>
      <c r="BG629" s="132"/>
      <c r="BH629" s="132"/>
      <c r="BI629" s="132"/>
      <c r="BJ629" s="143"/>
      <c r="BK629" s="143"/>
      <c r="BL629" s="143"/>
      <c r="BM629" s="132"/>
      <c r="BN629" s="132"/>
      <c r="BO629" s="132"/>
      <c r="BP629" s="143"/>
      <c r="BQ629" s="132"/>
      <c r="BR629" s="132"/>
      <c r="BS629" s="132"/>
      <c r="BT629" s="132"/>
      <c r="BU629" s="132"/>
      <c r="BV629" s="263">
        <v>1504400</v>
      </c>
      <c r="BW629" s="144">
        <f>BV629*19%</f>
        <v>285836</v>
      </c>
      <c r="BX629" s="113">
        <f>+BV629+BW629</f>
        <v>1790236</v>
      </c>
      <c r="BY629" s="264" t="s">
        <v>506</v>
      </c>
      <c r="BZ629" s="264" t="s">
        <v>88</v>
      </c>
      <c r="CA629" s="132"/>
      <c r="CB629" s="274"/>
      <c r="CC629" s="144"/>
      <c r="CD629" s="274"/>
      <c r="CE629" s="132"/>
      <c r="CF629" s="132"/>
      <c r="CG629" s="132"/>
      <c r="CH629" s="263"/>
      <c r="CI629" s="265"/>
      <c r="CJ629" s="263"/>
      <c r="CK629" s="264"/>
      <c r="CL629" s="264"/>
      <c r="CM629" s="132"/>
      <c r="CN629" s="274"/>
      <c r="CO629" s="144"/>
      <c r="CP629" s="274"/>
      <c r="CQ629" s="132"/>
      <c r="CR629" s="132"/>
      <c r="CS629" s="132"/>
      <c r="CT629" s="144">
        <v>1312000</v>
      </c>
      <c r="CU629" s="144">
        <f>CT629*0.19</f>
        <v>249280</v>
      </c>
      <c r="CV629" s="144">
        <f>CU629+CT629</f>
        <v>1561280</v>
      </c>
      <c r="CW629" s="132"/>
      <c r="CX629" s="132"/>
      <c r="CY629" s="132"/>
      <c r="CZ629" s="118">
        <v>787000</v>
      </c>
      <c r="DA629" s="144">
        <f>+CZ629*0.19</f>
        <v>149530</v>
      </c>
      <c r="DB629" s="118">
        <f>+CZ629+DA629</f>
        <v>936530</v>
      </c>
      <c r="DC629" s="33" t="s">
        <v>507</v>
      </c>
      <c r="DD629" s="39" t="s">
        <v>58</v>
      </c>
      <c r="DE629" s="11">
        <v>1111740001</v>
      </c>
      <c r="DF629" s="132"/>
      <c r="DG629" s="132"/>
      <c r="DH629" s="132"/>
      <c r="DI629" s="132"/>
      <c r="DJ629" s="132"/>
      <c r="DK629" s="132"/>
      <c r="DL629" s="132"/>
      <c r="DM629" s="132"/>
      <c r="DN629" s="132"/>
      <c r="DO629" s="132"/>
      <c r="DP629" s="132"/>
      <c r="DQ629" s="132"/>
      <c r="DR629" s="132"/>
      <c r="DS629" s="132"/>
      <c r="DT629" s="132"/>
      <c r="DU629" s="132"/>
      <c r="DV629" s="132"/>
      <c r="DW629" s="132"/>
      <c r="DX629" s="132"/>
      <c r="DY629" s="132"/>
      <c r="DZ629" s="132"/>
      <c r="EA629" s="132"/>
      <c r="EB629" s="132"/>
      <c r="EC629" s="132"/>
      <c r="ED629" s="132"/>
      <c r="EE629" s="132"/>
      <c r="EF629" s="132"/>
      <c r="EG629" s="132"/>
      <c r="EH629" s="132"/>
      <c r="EI629" s="132"/>
      <c r="EJ629" s="132"/>
      <c r="EK629" s="132"/>
      <c r="EL629" s="132"/>
      <c r="EM629" s="132"/>
      <c r="EN629" s="132"/>
      <c r="EO629" s="132"/>
      <c r="EP629" s="132"/>
      <c r="EQ629" s="132"/>
      <c r="ER629" s="132"/>
      <c r="ES629" s="132"/>
      <c r="ET629" s="11"/>
      <c r="EU629" s="11"/>
      <c r="EV629" s="11"/>
      <c r="EW629" s="11"/>
      <c r="EX629" s="11"/>
      <c r="EY629" s="11"/>
      <c r="EZ629" s="11"/>
      <c r="FA629" s="11"/>
      <c r="FB629" s="11"/>
      <c r="FC629" s="11"/>
      <c r="FD629" s="11"/>
      <c r="FE629" s="11"/>
      <c r="FF629" s="11"/>
      <c r="FG629" s="11"/>
      <c r="FH629" s="39">
        <f t="shared" si="151"/>
        <v>7181232.3100000005</v>
      </c>
      <c r="FI629" s="33">
        <f t="shared" si="152"/>
        <v>5</v>
      </c>
      <c r="FJ629" s="84">
        <f t="shared" si="153"/>
        <v>1436246.4620000001</v>
      </c>
    </row>
    <row r="630" spans="1:166" ht="63" customHeight="1" x14ac:dyDescent="0.25">
      <c r="A630" s="79" t="e">
        <f>#REF!</f>
        <v>#REF!</v>
      </c>
      <c r="B630" s="75" t="e">
        <f>#REF!</f>
        <v>#REF!</v>
      </c>
      <c r="C630" s="75" t="e">
        <f>#REF!</f>
        <v>#REF!</v>
      </c>
      <c r="D630" s="75" t="e">
        <f>#REF!</f>
        <v>#REF!</v>
      </c>
      <c r="E630" s="30">
        <v>1</v>
      </c>
      <c r="F630" s="238">
        <v>0</v>
      </c>
      <c r="G630" s="241">
        <v>0</v>
      </c>
      <c r="H630" s="249">
        <v>0</v>
      </c>
      <c r="I630" s="249">
        <v>0</v>
      </c>
      <c r="J630" s="249">
        <v>672000</v>
      </c>
      <c r="K630" s="249">
        <v>670000</v>
      </c>
      <c r="L630" s="274">
        <f>J630</f>
        <v>672000</v>
      </c>
      <c r="M630" s="274">
        <f>K630*E1</f>
        <v>690100</v>
      </c>
      <c r="N630" s="245"/>
      <c r="O630" s="113"/>
      <c r="P630" s="113"/>
      <c r="Q630" s="131"/>
      <c r="R630" s="131"/>
      <c r="S630" s="64"/>
      <c r="T630" s="113"/>
      <c r="U630" s="113"/>
      <c r="V630" s="113"/>
      <c r="W630" s="131"/>
      <c r="X630" s="131"/>
      <c r="Y630" s="11"/>
      <c r="Z630" s="113">
        <v>700000</v>
      </c>
      <c r="AA630" s="113">
        <v>0</v>
      </c>
      <c r="AB630" s="113">
        <f>+Z630+AA630</f>
        <v>700000</v>
      </c>
      <c r="AC630" s="52" t="s">
        <v>508</v>
      </c>
      <c r="AD630" s="52" t="s">
        <v>280</v>
      </c>
      <c r="AE630" s="11"/>
      <c r="AF630" s="118"/>
      <c r="AG630" s="144"/>
      <c r="AH630" s="113"/>
      <c r="AI630" s="11"/>
      <c r="AJ630" s="11"/>
      <c r="AK630" s="39"/>
      <c r="AL630" s="113"/>
      <c r="AM630" s="113"/>
      <c r="AN630" s="119"/>
      <c r="AO630" s="76"/>
      <c r="AP630" s="39"/>
      <c r="AQ630" s="39"/>
      <c r="AR630" s="275"/>
      <c r="AS630" s="275"/>
      <c r="AT630" s="275"/>
      <c r="AU630" s="62"/>
      <c r="AV630" s="62"/>
      <c r="AW630" s="11"/>
      <c r="AX630" s="116"/>
      <c r="AY630" s="196"/>
      <c r="AZ630" s="143"/>
      <c r="BA630" s="191"/>
      <c r="BB630" s="132"/>
      <c r="BC630" s="132"/>
      <c r="BD630" s="274"/>
      <c r="BE630" s="143"/>
      <c r="BF630" s="143"/>
      <c r="BG630" s="132"/>
      <c r="BH630" s="132"/>
      <c r="BI630" s="132"/>
      <c r="BJ630" s="143"/>
      <c r="BK630" s="143"/>
      <c r="BL630" s="143"/>
      <c r="BM630" s="132"/>
      <c r="BN630" s="132"/>
      <c r="BO630" s="132"/>
      <c r="BP630" s="143"/>
      <c r="BQ630" s="132"/>
      <c r="BR630" s="132"/>
      <c r="BS630" s="132"/>
      <c r="BT630" s="132"/>
      <c r="BU630" s="132"/>
      <c r="BV630" s="263"/>
      <c r="BW630" s="144"/>
      <c r="BX630" s="113"/>
      <c r="BY630" s="264"/>
      <c r="BZ630" s="264"/>
      <c r="CA630" s="132"/>
      <c r="CB630" s="274"/>
      <c r="CC630" s="144"/>
      <c r="CD630" s="274"/>
      <c r="CE630" s="132"/>
      <c r="CF630" s="132"/>
      <c r="CG630" s="132"/>
      <c r="CH630" s="263"/>
      <c r="CI630" s="265"/>
      <c r="CJ630" s="263"/>
      <c r="CK630" s="264"/>
      <c r="CL630" s="264"/>
      <c r="CM630" s="132"/>
      <c r="CN630" s="274"/>
      <c r="CO630" s="144"/>
      <c r="CP630" s="274"/>
      <c r="CQ630" s="132"/>
      <c r="CR630" s="132"/>
      <c r="CS630" s="132"/>
      <c r="CT630" s="274">
        <v>686000</v>
      </c>
      <c r="CU630" s="144">
        <f>CT630*0</f>
        <v>0</v>
      </c>
      <c r="CV630" s="144">
        <f>CU630+CT630</f>
        <v>686000</v>
      </c>
      <c r="CW630" s="132"/>
      <c r="CX630" s="132"/>
      <c r="CY630" s="132"/>
      <c r="CZ630" s="118"/>
      <c r="DA630" s="144"/>
      <c r="DB630" s="118"/>
      <c r="DC630" s="33"/>
      <c r="DD630" s="39"/>
      <c r="DE630" s="11"/>
      <c r="DF630" s="132"/>
      <c r="DG630" s="132"/>
      <c r="DH630" s="132"/>
      <c r="DI630" s="132"/>
      <c r="DJ630" s="132"/>
      <c r="DK630" s="132"/>
      <c r="DL630" s="132"/>
      <c r="DM630" s="132"/>
      <c r="DN630" s="132"/>
      <c r="DO630" s="132"/>
      <c r="DP630" s="132"/>
      <c r="DQ630" s="132"/>
      <c r="DR630" s="132"/>
      <c r="DS630" s="132"/>
      <c r="DT630" s="132"/>
      <c r="DU630" s="132"/>
      <c r="DV630" s="132"/>
      <c r="DW630" s="132"/>
      <c r="DX630" s="132"/>
      <c r="DY630" s="132"/>
      <c r="DZ630" s="132"/>
      <c r="EA630" s="132"/>
      <c r="EB630" s="132"/>
      <c r="EC630" s="132"/>
      <c r="ED630" s="132"/>
      <c r="EE630" s="132"/>
      <c r="EF630" s="132"/>
      <c r="EG630" s="132"/>
      <c r="EH630" s="132"/>
      <c r="EI630" s="132"/>
      <c r="EJ630" s="132"/>
      <c r="EK630" s="132"/>
      <c r="EL630" s="132"/>
      <c r="EM630" s="132"/>
      <c r="EN630" s="132"/>
      <c r="EO630" s="132"/>
      <c r="EP630" s="132"/>
      <c r="EQ630" s="132"/>
      <c r="ER630" s="132"/>
      <c r="ES630" s="132"/>
      <c r="ET630" s="11"/>
      <c r="EU630" s="11"/>
      <c r="EV630" s="11"/>
      <c r="EW630" s="11"/>
      <c r="EX630" s="11"/>
      <c r="EY630" s="11"/>
      <c r="EZ630" s="11"/>
      <c r="FA630" s="11"/>
      <c r="FB630" s="11"/>
      <c r="FC630" s="11"/>
      <c r="FD630" s="11"/>
      <c r="FE630" s="11"/>
      <c r="FF630" s="11"/>
      <c r="FG630" s="11"/>
      <c r="FH630" s="39">
        <f t="shared" si="151"/>
        <v>2076100</v>
      </c>
      <c r="FI630" s="33">
        <f t="shared" si="152"/>
        <v>3</v>
      </c>
      <c r="FJ630" s="84">
        <f t="shared" si="153"/>
        <v>692033.33333333337</v>
      </c>
    </row>
    <row r="631" spans="1:166" ht="13.5" x14ac:dyDescent="0.25">
      <c r="A631" s="79" t="e">
        <f>#REF!</f>
        <v>#REF!</v>
      </c>
      <c r="B631" s="75" t="e">
        <f>#REF!</f>
        <v>#REF!</v>
      </c>
      <c r="C631" s="75" t="e">
        <f>#REF!</f>
        <v>#REF!</v>
      </c>
      <c r="D631" s="75" t="e">
        <f>#REF!</f>
        <v>#REF!</v>
      </c>
      <c r="E631" s="30">
        <v>1</v>
      </c>
      <c r="F631" s="238">
        <v>0</v>
      </c>
      <c r="G631" s="241">
        <v>0</v>
      </c>
      <c r="H631" s="249">
        <v>683060</v>
      </c>
      <c r="I631" s="249">
        <v>681870</v>
      </c>
      <c r="J631" s="249">
        <v>0</v>
      </c>
      <c r="K631" s="249">
        <v>0</v>
      </c>
      <c r="L631" s="274">
        <f>H631</f>
        <v>683060</v>
      </c>
      <c r="M631" s="274">
        <f>I631*E1</f>
        <v>702326.1</v>
      </c>
      <c r="N631" s="245"/>
      <c r="O631" s="113"/>
      <c r="P631" s="113"/>
      <c r="Q631" s="131"/>
      <c r="R631" s="131"/>
      <c r="S631" s="64"/>
      <c r="T631" s="113"/>
      <c r="U631" s="121"/>
      <c r="V631" s="113"/>
      <c r="W631" s="131"/>
      <c r="X631" s="131"/>
      <c r="Y631" s="11"/>
      <c r="Z631" s="117"/>
      <c r="AA631" s="113"/>
      <c r="AB631" s="113"/>
      <c r="AC631" s="131"/>
      <c r="AD631" s="52"/>
      <c r="AE631" s="11"/>
      <c r="AF631" s="118">
        <v>670000</v>
      </c>
      <c r="AG631" s="144">
        <f>AF631*19%</f>
        <v>127300</v>
      </c>
      <c r="AH631" s="113">
        <f>+AF631+AG631</f>
        <v>797300</v>
      </c>
      <c r="AI631" s="11"/>
      <c r="AJ631" s="11"/>
      <c r="AK631" s="39"/>
      <c r="AL631" s="113"/>
      <c r="AM631" s="113"/>
      <c r="AN631" s="119"/>
      <c r="AO631" s="76"/>
      <c r="AP631" s="39"/>
      <c r="AQ631" s="39"/>
      <c r="AR631" s="275"/>
      <c r="AS631" s="275"/>
      <c r="AT631" s="275"/>
      <c r="AU631" s="62"/>
      <c r="AV631" s="62"/>
      <c r="AW631" s="11"/>
      <c r="AX631" s="116"/>
      <c r="AY631" s="116"/>
      <c r="AZ631" s="143"/>
      <c r="BA631" s="191"/>
      <c r="BB631" s="132"/>
      <c r="BC631" s="132"/>
      <c r="BD631" s="274"/>
      <c r="BE631" s="143"/>
      <c r="BF631" s="143"/>
      <c r="BG631" s="132"/>
      <c r="BH631" s="132"/>
      <c r="BI631" s="132"/>
      <c r="BJ631" s="143"/>
      <c r="BK631" s="143"/>
      <c r="BL631" s="143"/>
      <c r="BM631" s="132"/>
      <c r="BN631" s="132"/>
      <c r="BO631" s="132"/>
      <c r="BP631" s="143"/>
      <c r="BQ631" s="132"/>
      <c r="BR631" s="132"/>
      <c r="BS631" s="132"/>
      <c r="BT631" s="132"/>
      <c r="BU631" s="132"/>
      <c r="BV631" s="263">
        <v>911800</v>
      </c>
      <c r="BW631" s="144">
        <f>BV631*19%</f>
        <v>173242</v>
      </c>
      <c r="BX631" s="113">
        <f t="shared" ref="BX631:BX643" si="159">+BV631+BW631</f>
        <v>1085042</v>
      </c>
      <c r="BY631" s="264" t="s">
        <v>509</v>
      </c>
      <c r="BZ631" s="264" t="s">
        <v>88</v>
      </c>
      <c r="CA631" s="132"/>
      <c r="CB631" s="274"/>
      <c r="CC631" s="144"/>
      <c r="CD631" s="274"/>
      <c r="CE631" s="132"/>
      <c r="CF631" s="132"/>
      <c r="CG631" s="132"/>
      <c r="CH631" s="263">
        <v>920918</v>
      </c>
      <c r="CI631" s="265">
        <f>+CH631*0.19</f>
        <v>174974.42</v>
      </c>
      <c r="CJ631" s="263">
        <f>+CH631+CI631</f>
        <v>1095892.42</v>
      </c>
      <c r="CK631" s="264" t="s">
        <v>509</v>
      </c>
      <c r="CL631" s="264" t="s">
        <v>88</v>
      </c>
      <c r="CM631" s="132"/>
      <c r="CN631" s="274"/>
      <c r="CO631" s="144"/>
      <c r="CP631" s="274"/>
      <c r="CQ631" s="132"/>
      <c r="CR631" s="132"/>
      <c r="CS631" s="132"/>
      <c r="CT631" s="144">
        <v>686000</v>
      </c>
      <c r="CU631" s="144">
        <f>CT631*0.19</f>
        <v>130340</v>
      </c>
      <c r="CV631" s="144">
        <f>CU631+CT631</f>
        <v>816340</v>
      </c>
      <c r="CW631" s="132"/>
      <c r="CX631" s="132"/>
      <c r="CY631" s="132"/>
      <c r="CZ631" s="118">
        <v>412000</v>
      </c>
      <c r="DA631" s="144">
        <f>+CZ631*0.19</f>
        <v>78280</v>
      </c>
      <c r="DB631" s="118">
        <f>+CZ631+DA631</f>
        <v>490280</v>
      </c>
      <c r="DC631" s="33" t="s">
        <v>510</v>
      </c>
      <c r="DD631" s="39" t="s">
        <v>58</v>
      </c>
      <c r="DE631" s="11">
        <v>1080470001</v>
      </c>
      <c r="DF631" s="132"/>
      <c r="DG631" s="132"/>
      <c r="DH631" s="132"/>
      <c r="DI631" s="132"/>
      <c r="DJ631" s="132"/>
      <c r="DK631" s="132"/>
      <c r="DL631" s="132"/>
      <c r="DM631" s="132"/>
      <c r="DN631" s="132"/>
      <c r="DO631" s="132"/>
      <c r="DP631" s="132"/>
      <c r="DQ631" s="132"/>
      <c r="DR631" s="132"/>
      <c r="DS631" s="132"/>
      <c r="DT631" s="132"/>
      <c r="DU631" s="132"/>
      <c r="DV631" s="132"/>
      <c r="DW631" s="132"/>
      <c r="DX631" s="132"/>
      <c r="DY631" s="132"/>
      <c r="DZ631" s="132"/>
      <c r="EA631" s="132"/>
      <c r="EB631" s="132"/>
      <c r="EC631" s="132"/>
      <c r="ED631" s="132"/>
      <c r="EE631" s="132"/>
      <c r="EF631" s="132"/>
      <c r="EG631" s="132"/>
      <c r="EH631" s="132"/>
      <c r="EI631" s="132"/>
      <c r="EJ631" s="132"/>
      <c r="EK631" s="132"/>
      <c r="EL631" s="132"/>
      <c r="EM631" s="132"/>
      <c r="EN631" s="132"/>
      <c r="EO631" s="132"/>
      <c r="EP631" s="132"/>
      <c r="EQ631" s="132"/>
      <c r="ER631" s="132"/>
      <c r="ES631" s="132"/>
      <c r="ET631" s="11"/>
      <c r="EU631" s="11"/>
      <c r="EV631" s="11"/>
      <c r="EW631" s="11"/>
      <c r="EX631" s="11"/>
      <c r="EY631" s="11"/>
      <c r="EZ631" s="11"/>
      <c r="FA631" s="11"/>
      <c r="FB631" s="11"/>
      <c r="FC631" s="11"/>
      <c r="FD631" s="11"/>
      <c r="FE631" s="11"/>
      <c r="FF631" s="275"/>
      <c r="FG631" s="71"/>
      <c r="FH631" s="39">
        <f t="shared" si="151"/>
        <v>4987180.5199999996</v>
      </c>
      <c r="FI631" s="33">
        <f t="shared" si="152"/>
        <v>6</v>
      </c>
      <c r="FJ631" s="84">
        <f t="shared" si="153"/>
        <v>831196.7533333333</v>
      </c>
    </row>
    <row r="632" spans="1:166" ht="25.5" x14ac:dyDescent="0.25">
      <c r="A632" s="79" t="e">
        <f>#REF!</f>
        <v>#REF!</v>
      </c>
      <c r="B632" s="75" t="e">
        <f>#REF!</f>
        <v>#REF!</v>
      </c>
      <c r="C632" s="75" t="e">
        <f>#REF!</f>
        <v>#REF!</v>
      </c>
      <c r="D632" s="75" t="e">
        <f>#REF!</f>
        <v>#REF!</v>
      </c>
      <c r="E632" s="30">
        <v>1</v>
      </c>
      <c r="F632" s="238">
        <v>1850450</v>
      </c>
      <c r="G632" s="241">
        <v>0</v>
      </c>
      <c r="H632" s="249">
        <v>573956.73916666664</v>
      </c>
      <c r="I632" s="249">
        <v>0</v>
      </c>
      <c r="J632" s="249">
        <v>0</v>
      </c>
      <c r="K632" s="249">
        <v>0</v>
      </c>
      <c r="L632" s="274">
        <f>AVERAGE(F632,H632)</f>
        <v>1212203.3695833334</v>
      </c>
      <c r="M632" s="274"/>
      <c r="N632" s="245"/>
      <c r="O632" s="113"/>
      <c r="P632" s="113"/>
      <c r="Q632" s="131"/>
      <c r="R632" s="131"/>
      <c r="S632" s="64"/>
      <c r="T632" s="113"/>
      <c r="U632" s="113"/>
      <c r="V632" s="113"/>
      <c r="W632" s="131"/>
      <c r="X632" s="131"/>
      <c r="Y632" s="11"/>
      <c r="Z632" s="121"/>
      <c r="AA632" s="113"/>
      <c r="AB632" s="113"/>
      <c r="AC632" s="131"/>
      <c r="AD632" s="52"/>
      <c r="AE632" s="11"/>
      <c r="AF632" s="118">
        <v>400000</v>
      </c>
      <c r="AG632" s="144">
        <f>AF632*19%</f>
        <v>76000</v>
      </c>
      <c r="AH632" s="113">
        <f>+AF632+AG632</f>
        <v>476000</v>
      </c>
      <c r="AI632" s="11"/>
      <c r="AJ632" s="11"/>
      <c r="AK632" s="39"/>
      <c r="AL632" s="113">
        <v>275000</v>
      </c>
      <c r="AM632" s="113">
        <f>+AL632*0.19</f>
        <v>52250</v>
      </c>
      <c r="AN632" s="119">
        <f>+AL632+AM632</f>
        <v>327250</v>
      </c>
      <c r="AO632" s="76" t="s">
        <v>60</v>
      </c>
      <c r="AP632" s="39" t="s">
        <v>45</v>
      </c>
      <c r="AQ632" s="39"/>
      <c r="AR632" s="275">
        <v>648000</v>
      </c>
      <c r="AS632" s="143">
        <f>+AR632*0.19</f>
        <v>123120</v>
      </c>
      <c r="AT632" s="116">
        <f>+AR632+AS632</f>
        <v>771120</v>
      </c>
      <c r="AU632" s="62" t="s">
        <v>54</v>
      </c>
      <c r="AV632" s="62" t="s">
        <v>35</v>
      </c>
      <c r="AW632" s="39"/>
      <c r="AX632" s="116"/>
      <c r="AY632" s="116"/>
      <c r="AZ632" s="143"/>
      <c r="BA632" s="191"/>
      <c r="BB632" s="132"/>
      <c r="BC632" s="132"/>
      <c r="BD632" s="274"/>
      <c r="BE632" s="143"/>
      <c r="BF632" s="143"/>
      <c r="BG632" s="132"/>
      <c r="BH632" s="132"/>
      <c r="BI632" s="132"/>
      <c r="BJ632" s="143"/>
      <c r="BK632" s="143"/>
      <c r="BL632" s="143"/>
      <c r="BM632" s="132"/>
      <c r="BN632" s="132"/>
      <c r="BO632" s="132"/>
      <c r="BP632" s="143"/>
      <c r="BQ632" s="132"/>
      <c r="BR632" s="132"/>
      <c r="BS632" s="132"/>
      <c r="BT632" s="132"/>
      <c r="BU632" s="132"/>
      <c r="BV632" s="263">
        <v>890500</v>
      </c>
      <c r="BW632" s="144">
        <f>BV632*19%</f>
        <v>169195</v>
      </c>
      <c r="BX632" s="113">
        <f t="shared" si="159"/>
        <v>1059695</v>
      </c>
      <c r="BY632" s="264" t="s">
        <v>326</v>
      </c>
      <c r="BZ632" s="264" t="s">
        <v>88</v>
      </c>
      <c r="CA632" s="132"/>
      <c r="CB632" s="274"/>
      <c r="CC632" s="144"/>
      <c r="CD632" s="274"/>
      <c r="CE632" s="132"/>
      <c r="CF632" s="132"/>
      <c r="CG632" s="132"/>
      <c r="CH632" s="263">
        <v>952835</v>
      </c>
      <c r="CI632" s="265">
        <f>+CH632*0.19</f>
        <v>181038.65</v>
      </c>
      <c r="CJ632" s="263">
        <f>+CH632+CI632</f>
        <v>1133873.6499999999</v>
      </c>
      <c r="CK632" s="264" t="s">
        <v>326</v>
      </c>
      <c r="CL632" s="264" t="s">
        <v>88</v>
      </c>
      <c r="CM632" s="132"/>
      <c r="CN632" s="274"/>
      <c r="CO632" s="144"/>
      <c r="CP632" s="274"/>
      <c r="CQ632" s="132"/>
      <c r="CR632" s="132"/>
      <c r="CS632" s="132"/>
      <c r="CT632" s="274"/>
      <c r="CU632" s="144"/>
      <c r="CV632" s="274"/>
      <c r="CW632" s="132"/>
      <c r="CX632" s="132"/>
      <c r="CY632" s="132"/>
      <c r="CZ632" s="118"/>
      <c r="DA632" s="144"/>
      <c r="DB632" s="118"/>
      <c r="DC632" s="33"/>
      <c r="DD632" s="39"/>
      <c r="DE632" s="11"/>
      <c r="DF632" s="132"/>
      <c r="DG632" s="132"/>
      <c r="DH632" s="132"/>
      <c r="DI632" s="132"/>
      <c r="DJ632" s="132"/>
      <c r="DK632" s="132"/>
      <c r="DL632" s="132"/>
      <c r="DM632" s="132"/>
      <c r="DN632" s="132"/>
      <c r="DO632" s="132"/>
      <c r="DP632" s="132"/>
      <c r="DQ632" s="132"/>
      <c r="DR632" s="132"/>
      <c r="DS632" s="132"/>
      <c r="DT632" s="132"/>
      <c r="DU632" s="132"/>
      <c r="DV632" s="132"/>
      <c r="DW632" s="132"/>
      <c r="DX632" s="132"/>
      <c r="DY632" s="132"/>
      <c r="DZ632" s="132"/>
      <c r="EA632" s="132"/>
      <c r="EB632" s="132"/>
      <c r="EC632" s="132"/>
      <c r="ED632" s="132"/>
      <c r="EE632" s="132"/>
      <c r="EF632" s="132"/>
      <c r="EG632" s="132"/>
      <c r="EH632" s="132"/>
      <c r="EI632" s="132"/>
      <c r="EJ632" s="132"/>
      <c r="EK632" s="132"/>
      <c r="EL632" s="132"/>
      <c r="EM632" s="132"/>
      <c r="EN632" s="132"/>
      <c r="EO632" s="132"/>
      <c r="EP632" s="132"/>
      <c r="EQ632" s="132"/>
      <c r="ER632" s="132"/>
      <c r="ES632" s="132"/>
      <c r="ET632" s="11"/>
      <c r="EU632" s="11"/>
      <c r="EV632" s="11"/>
      <c r="EW632" s="11"/>
      <c r="EX632" s="11"/>
      <c r="EY632" s="11"/>
      <c r="EZ632" s="11"/>
      <c r="FA632" s="11"/>
      <c r="FB632" s="11"/>
      <c r="FC632" s="11"/>
      <c r="FD632" s="11"/>
      <c r="FE632" s="11"/>
      <c r="FF632" s="275"/>
      <c r="FG632" s="71"/>
      <c r="FH632" s="39">
        <f t="shared" si="151"/>
        <v>3767938.65</v>
      </c>
      <c r="FI632" s="33">
        <f t="shared" si="152"/>
        <v>5</v>
      </c>
      <c r="FJ632" s="84">
        <f t="shared" si="153"/>
        <v>753587.73</v>
      </c>
    </row>
    <row r="633" spans="1:166" ht="13.5" x14ac:dyDescent="0.25">
      <c r="A633" s="79" t="e">
        <f>#REF!</f>
        <v>#REF!</v>
      </c>
      <c r="B633" s="75" t="e">
        <f>#REF!</f>
        <v>#REF!</v>
      </c>
      <c r="C633" s="75" t="e">
        <f>#REF!</f>
        <v>#REF!</v>
      </c>
      <c r="D633" s="75" t="e">
        <f>#REF!</f>
        <v>#REF!</v>
      </c>
      <c r="E633" s="30">
        <v>1</v>
      </c>
      <c r="F633" s="238">
        <v>245774.66666666669</v>
      </c>
      <c r="G633" s="241">
        <v>238357</v>
      </c>
      <c r="H633" s="249">
        <v>254884.05943333334</v>
      </c>
      <c r="I633" s="249">
        <v>151130</v>
      </c>
      <c r="J633" s="249">
        <v>301337.75</v>
      </c>
      <c r="K633" s="249">
        <v>0</v>
      </c>
      <c r="L633" s="274">
        <f>AVERAGE(F633,H633,J633)</f>
        <v>267332.15870000003</v>
      </c>
      <c r="M633" s="274">
        <f>AVERAGE(G633,I633)*E1</f>
        <v>200585.80499999999</v>
      </c>
      <c r="N633" s="245"/>
      <c r="O633" s="113"/>
      <c r="P633" s="113"/>
      <c r="Q633" s="131"/>
      <c r="R633" s="131"/>
      <c r="S633" s="64"/>
      <c r="T633" s="113"/>
      <c r="U633" s="113"/>
      <c r="V633" s="113"/>
      <c r="W633" s="131"/>
      <c r="X633" s="131"/>
      <c r="Y633" s="11"/>
      <c r="Z633" s="119"/>
      <c r="AA633" s="113"/>
      <c r="AB633" s="113"/>
      <c r="AC633" s="131"/>
      <c r="AD633" s="52"/>
      <c r="AE633" s="11"/>
      <c r="AF633" s="118">
        <v>200000</v>
      </c>
      <c r="AG633" s="144">
        <f>AF633*19%</f>
        <v>38000</v>
      </c>
      <c r="AH633" s="113">
        <f>+AF633+AG633</f>
        <v>238000</v>
      </c>
      <c r="AI633" s="11"/>
      <c r="AJ633" s="11"/>
      <c r="AK633" s="39"/>
      <c r="AL633" s="113">
        <v>187000</v>
      </c>
      <c r="AM633" s="113">
        <f>+AL633*0.19</f>
        <v>35530</v>
      </c>
      <c r="AN633" s="119">
        <f>+AL633+AM633</f>
        <v>222530</v>
      </c>
      <c r="AO633" s="76" t="s">
        <v>49</v>
      </c>
      <c r="AP633" s="39" t="s">
        <v>45</v>
      </c>
      <c r="AQ633" s="39"/>
      <c r="AR633" s="275">
        <v>188024</v>
      </c>
      <c r="AS633" s="143">
        <f>+AR633*0.19</f>
        <v>35724.559999999998</v>
      </c>
      <c r="AT633" s="116">
        <f>+AR633+AS633</f>
        <v>223748.56</v>
      </c>
      <c r="AU633" s="62" t="s">
        <v>49</v>
      </c>
      <c r="AV633" s="62" t="s">
        <v>45</v>
      </c>
      <c r="AW633" s="11"/>
      <c r="AX633" s="116"/>
      <c r="AY633" s="196"/>
      <c r="AZ633" s="143"/>
      <c r="BA633" s="191"/>
      <c r="BB633" s="132"/>
      <c r="BC633" s="132"/>
      <c r="BD633" s="274"/>
      <c r="BE633" s="143"/>
      <c r="BF633" s="143"/>
      <c r="BG633" s="132"/>
      <c r="BH633" s="132"/>
      <c r="BI633" s="132"/>
      <c r="BJ633" s="143"/>
      <c r="BK633" s="143"/>
      <c r="BL633" s="143"/>
      <c r="BM633" s="132"/>
      <c r="BN633" s="132"/>
      <c r="BO633" s="132"/>
      <c r="BP633" s="143"/>
      <c r="BQ633" s="132"/>
      <c r="BR633" s="132"/>
      <c r="BS633" s="132"/>
      <c r="BT633" s="132"/>
      <c r="BU633" s="132"/>
      <c r="BV633" s="263">
        <v>321700</v>
      </c>
      <c r="BW633" s="144">
        <f>BV633*19%</f>
        <v>61123</v>
      </c>
      <c r="BX633" s="113">
        <f t="shared" si="159"/>
        <v>382823</v>
      </c>
      <c r="BY633" s="264" t="s">
        <v>329</v>
      </c>
      <c r="BZ633" s="264" t="s">
        <v>88</v>
      </c>
      <c r="CA633" s="132"/>
      <c r="CB633" s="274">
        <v>125600</v>
      </c>
      <c r="CC633" s="144">
        <f>+CB633*19%</f>
        <v>23864</v>
      </c>
      <c r="CD633" s="274">
        <f>+CC633+CB633</f>
        <v>149464</v>
      </c>
      <c r="CE633" s="132"/>
      <c r="CF633" s="132"/>
      <c r="CG633" s="132"/>
      <c r="CH633" s="263">
        <v>334568</v>
      </c>
      <c r="CI633" s="265">
        <f>+CH633*0.19</f>
        <v>63567.92</v>
      </c>
      <c r="CJ633" s="263">
        <f>+CH633+CI633</f>
        <v>398135.92</v>
      </c>
      <c r="CK633" s="264" t="s">
        <v>329</v>
      </c>
      <c r="CL633" s="264" t="s">
        <v>88</v>
      </c>
      <c r="CM633" s="132"/>
      <c r="CN633" s="274"/>
      <c r="CO633" s="144"/>
      <c r="CP633" s="274"/>
      <c r="CQ633" s="132"/>
      <c r="CR633" s="132"/>
      <c r="CS633" s="132"/>
      <c r="CT633" s="274"/>
      <c r="CU633" s="144"/>
      <c r="CV633" s="274"/>
      <c r="CW633" s="132"/>
      <c r="CX633" s="132"/>
      <c r="CY633" s="132"/>
      <c r="CZ633" s="118"/>
      <c r="DA633" s="144"/>
      <c r="DB633" s="118"/>
      <c r="DC633" s="33"/>
      <c r="DD633" s="39"/>
      <c r="DE633" s="11"/>
      <c r="DF633" s="132"/>
      <c r="DG633" s="132"/>
      <c r="DH633" s="132"/>
      <c r="DI633" s="132"/>
      <c r="DJ633" s="132"/>
      <c r="DK633" s="132"/>
      <c r="DL633" s="132"/>
      <c r="DM633" s="132"/>
      <c r="DN633" s="132"/>
      <c r="DO633" s="132"/>
      <c r="DP633" s="132"/>
      <c r="DQ633" s="132"/>
      <c r="DR633" s="132"/>
      <c r="DS633" s="132"/>
      <c r="DT633" s="132"/>
      <c r="DU633" s="132"/>
      <c r="DV633" s="132"/>
      <c r="DW633" s="132"/>
      <c r="DX633" s="132"/>
      <c r="DY633" s="132"/>
      <c r="DZ633" s="132"/>
      <c r="EA633" s="132"/>
      <c r="EB633" s="132"/>
      <c r="EC633" s="132"/>
      <c r="ED633" s="132"/>
      <c r="EE633" s="132"/>
      <c r="EF633" s="132"/>
      <c r="EG633" s="132"/>
      <c r="EH633" s="132"/>
      <c r="EI633" s="132"/>
      <c r="EJ633" s="132"/>
      <c r="EK633" s="132"/>
      <c r="EL633" s="132"/>
      <c r="EM633" s="132"/>
      <c r="EN633" s="132"/>
      <c r="EO633" s="132"/>
      <c r="EP633" s="132"/>
      <c r="EQ633" s="132"/>
      <c r="ER633" s="132"/>
      <c r="ES633" s="132"/>
      <c r="ET633" s="11"/>
      <c r="EU633" s="11"/>
      <c r="EV633" s="11"/>
      <c r="EW633" s="11"/>
      <c r="EX633" s="11"/>
      <c r="EY633" s="11"/>
      <c r="EZ633" s="11"/>
      <c r="FA633" s="11"/>
      <c r="FB633" s="11"/>
      <c r="FC633" s="11"/>
      <c r="FD633" s="11"/>
      <c r="FE633" s="11"/>
      <c r="FF633" s="11"/>
      <c r="FG633" s="11"/>
      <c r="FH633" s="39">
        <f t="shared" si="151"/>
        <v>1815287.2849999999</v>
      </c>
      <c r="FI633" s="33">
        <f t="shared" si="152"/>
        <v>7</v>
      </c>
      <c r="FJ633" s="84">
        <f t="shared" si="153"/>
        <v>259326.75499999998</v>
      </c>
    </row>
    <row r="634" spans="1:166" ht="27" x14ac:dyDescent="0.25">
      <c r="A634" s="79" t="e">
        <f>#REF!</f>
        <v>#REF!</v>
      </c>
      <c r="B634" s="75" t="e">
        <f>#REF!</f>
        <v>#REF!</v>
      </c>
      <c r="C634" s="75" t="e">
        <f>#REF!</f>
        <v>#REF!</v>
      </c>
      <c r="D634" s="75" t="e">
        <f>#REF!</f>
        <v>#REF!</v>
      </c>
      <c r="E634" s="30">
        <v>1</v>
      </c>
      <c r="F634" s="238">
        <v>0</v>
      </c>
      <c r="G634" s="241">
        <v>0</v>
      </c>
      <c r="H634" s="249">
        <v>9093821.333333334</v>
      </c>
      <c r="I634" s="249">
        <v>9093742</v>
      </c>
      <c r="J634" s="249">
        <v>0</v>
      </c>
      <c r="K634" s="249">
        <v>0</v>
      </c>
      <c r="L634" s="274">
        <f>H634</f>
        <v>9093821.333333334</v>
      </c>
      <c r="M634" s="274">
        <f>I634*E1</f>
        <v>9366554.2599999998</v>
      </c>
      <c r="N634" s="245"/>
      <c r="O634" s="113"/>
      <c r="P634" s="113"/>
      <c r="Q634" s="131"/>
      <c r="R634" s="131"/>
      <c r="S634" s="64"/>
      <c r="T634" s="113"/>
      <c r="U634" s="113"/>
      <c r="V634" s="113"/>
      <c r="W634" s="131"/>
      <c r="X634" s="131"/>
      <c r="Y634" s="11"/>
      <c r="Z634" s="119"/>
      <c r="AA634" s="113"/>
      <c r="AB634" s="113"/>
      <c r="AC634" s="131"/>
      <c r="AD634" s="52"/>
      <c r="AE634" s="11"/>
      <c r="AF634" s="118"/>
      <c r="AG634" s="144"/>
      <c r="AH634" s="113"/>
      <c r="AI634" s="11"/>
      <c r="AJ634" s="11"/>
      <c r="AK634" s="39"/>
      <c r="AL634" s="113"/>
      <c r="AM634" s="113"/>
      <c r="AN634" s="119"/>
      <c r="AO634" s="76"/>
      <c r="AP634" s="39"/>
      <c r="AQ634" s="39"/>
      <c r="AR634" s="275"/>
      <c r="AS634" s="275"/>
      <c r="AT634" s="275"/>
      <c r="AU634" s="62"/>
      <c r="AV634" s="62"/>
      <c r="AW634" s="39"/>
      <c r="AX634" s="116"/>
      <c r="AY634" s="196"/>
      <c r="AZ634" s="143"/>
      <c r="BA634" s="191"/>
      <c r="BB634" s="132"/>
      <c r="BC634" s="132"/>
      <c r="BD634" s="274"/>
      <c r="BE634" s="143"/>
      <c r="BF634" s="143"/>
      <c r="BG634" s="132"/>
      <c r="BH634" s="132"/>
      <c r="BI634" s="132"/>
      <c r="BJ634" s="143"/>
      <c r="BK634" s="143"/>
      <c r="BL634" s="143"/>
      <c r="BM634" s="132"/>
      <c r="BN634" s="132"/>
      <c r="BO634" s="132"/>
      <c r="BP634" s="143"/>
      <c r="BQ634" s="132"/>
      <c r="BR634" s="132"/>
      <c r="BS634" s="132"/>
      <c r="BT634" s="132"/>
      <c r="BU634" s="132"/>
      <c r="BV634" s="263">
        <v>5756800</v>
      </c>
      <c r="BW634" s="144">
        <f>BV634*19%</f>
        <v>1093792</v>
      </c>
      <c r="BX634" s="113">
        <f t="shared" si="159"/>
        <v>6850592</v>
      </c>
      <c r="BY634" s="264" t="s">
        <v>342</v>
      </c>
      <c r="BZ634" s="264" t="s">
        <v>477</v>
      </c>
      <c r="CA634" s="132"/>
      <c r="CB634" s="274"/>
      <c r="CC634" s="144"/>
      <c r="CD634" s="274"/>
      <c r="CE634" s="132"/>
      <c r="CF634" s="132"/>
      <c r="CG634" s="132"/>
      <c r="CH634" s="268">
        <v>5987072</v>
      </c>
      <c r="CI634" s="265">
        <f>+CH634*0.19</f>
        <v>1137543.6799999999</v>
      </c>
      <c r="CJ634" s="263">
        <f>+CH634+CI634</f>
        <v>7124615.6799999997</v>
      </c>
      <c r="CK634" s="264" t="s">
        <v>342</v>
      </c>
      <c r="CL634" s="264" t="s">
        <v>477</v>
      </c>
      <c r="CM634" s="132"/>
      <c r="CN634" s="274"/>
      <c r="CO634" s="144"/>
      <c r="CP634" s="274"/>
      <c r="CQ634" s="132"/>
      <c r="CR634" s="132"/>
      <c r="CS634" s="132"/>
      <c r="CT634" s="274"/>
      <c r="CU634" s="144"/>
      <c r="CV634" s="274"/>
      <c r="CW634" s="132"/>
      <c r="CX634" s="132"/>
      <c r="CY634" s="132"/>
      <c r="CZ634" s="118"/>
      <c r="DA634" s="144"/>
      <c r="DB634" s="118"/>
      <c r="DC634" s="33"/>
      <c r="DD634" s="39"/>
      <c r="DE634" s="11"/>
      <c r="DF634" s="132"/>
      <c r="DG634" s="132"/>
      <c r="DH634" s="132"/>
      <c r="DI634" s="132"/>
      <c r="DJ634" s="132"/>
      <c r="DK634" s="132"/>
      <c r="DL634" s="132"/>
      <c r="DM634" s="132"/>
      <c r="DN634" s="132"/>
      <c r="DO634" s="132"/>
      <c r="DP634" s="132"/>
      <c r="DQ634" s="132"/>
      <c r="DR634" s="132"/>
      <c r="DS634" s="132"/>
      <c r="DT634" s="132"/>
      <c r="DU634" s="132"/>
      <c r="DV634" s="132"/>
      <c r="DW634" s="132"/>
      <c r="DX634" s="132"/>
      <c r="DY634" s="132"/>
      <c r="DZ634" s="132"/>
      <c r="EA634" s="132"/>
      <c r="EB634" s="132"/>
      <c r="EC634" s="132"/>
      <c r="ED634" s="132"/>
      <c r="EE634" s="132"/>
      <c r="EF634" s="132"/>
      <c r="EG634" s="132"/>
      <c r="EH634" s="132"/>
      <c r="EI634" s="132"/>
      <c r="EJ634" s="132"/>
      <c r="EK634" s="132"/>
      <c r="EL634" s="132"/>
      <c r="EM634" s="132"/>
      <c r="EN634" s="132"/>
      <c r="EO634" s="132"/>
      <c r="EP634" s="132"/>
      <c r="EQ634" s="132"/>
      <c r="ER634" s="132"/>
      <c r="ES634" s="132"/>
      <c r="ET634" s="11"/>
      <c r="EU634" s="11"/>
      <c r="EV634" s="11"/>
      <c r="EW634" s="11"/>
      <c r="EX634" s="11"/>
      <c r="EY634" s="11"/>
      <c r="EZ634" s="11"/>
      <c r="FA634" s="11"/>
      <c r="FB634" s="11"/>
      <c r="FC634" s="11"/>
      <c r="FD634" s="11"/>
      <c r="FE634" s="11"/>
      <c r="FF634" s="11"/>
      <c r="FG634" s="11"/>
      <c r="FH634" s="39">
        <f t="shared" si="151"/>
        <v>23341761.939999998</v>
      </c>
      <c r="FI634" s="33">
        <f t="shared" si="152"/>
        <v>3</v>
      </c>
      <c r="FJ634" s="84">
        <f t="shared" si="153"/>
        <v>7780587.3133333325</v>
      </c>
    </row>
    <row r="635" spans="1:166" ht="27" customHeight="1" x14ac:dyDescent="0.25">
      <c r="A635" s="79" t="e">
        <f>#REF!</f>
        <v>#REF!</v>
      </c>
      <c r="B635" s="75" t="e">
        <f>#REF!</f>
        <v>#REF!</v>
      </c>
      <c r="C635" s="75" t="e">
        <f>#REF!</f>
        <v>#REF!</v>
      </c>
      <c r="D635" s="75" t="e">
        <f>#REF!</f>
        <v>#REF!</v>
      </c>
      <c r="E635" s="30">
        <v>1</v>
      </c>
      <c r="F635" s="238">
        <v>0</v>
      </c>
      <c r="G635" s="241">
        <v>0</v>
      </c>
      <c r="H635" s="249">
        <v>836376.625</v>
      </c>
      <c r="I635" s="249">
        <v>836332</v>
      </c>
      <c r="J635" s="249">
        <v>608245.59250000003</v>
      </c>
      <c r="K635" s="249">
        <v>0</v>
      </c>
      <c r="L635" s="274">
        <f>AVERAGE(H635,J635)</f>
        <v>722311.10875000001</v>
      </c>
      <c r="M635" s="274">
        <f>I635*E1</f>
        <v>861421.96000000008</v>
      </c>
      <c r="N635" s="245"/>
      <c r="O635" s="113"/>
      <c r="P635" s="113"/>
      <c r="Q635" s="131"/>
      <c r="R635" s="131"/>
      <c r="S635" s="64"/>
      <c r="T635" s="113"/>
      <c r="U635" s="113"/>
      <c r="V635" s="113"/>
      <c r="W635" s="131"/>
      <c r="X635" s="131"/>
      <c r="Y635" s="11"/>
      <c r="Z635" s="117"/>
      <c r="AA635" s="113"/>
      <c r="AB635" s="113"/>
      <c r="AC635" s="131"/>
      <c r="AD635" s="52"/>
      <c r="AE635" s="11"/>
      <c r="AF635" s="118">
        <v>920000</v>
      </c>
      <c r="AG635" s="144">
        <f>AF635*19%</f>
        <v>174800</v>
      </c>
      <c r="AH635" s="113">
        <f>+AF635+AG635</f>
        <v>1094800</v>
      </c>
      <c r="AI635" s="11"/>
      <c r="AJ635" s="11"/>
      <c r="AK635" s="39"/>
      <c r="AL635" s="113">
        <f>299000*5</f>
        <v>1495000</v>
      </c>
      <c r="AM635" s="113">
        <f>+AL635*0.19</f>
        <v>284050</v>
      </c>
      <c r="AN635" s="119">
        <f>+AL635+AM635</f>
        <v>1779050</v>
      </c>
      <c r="AO635" s="76" t="s">
        <v>109</v>
      </c>
      <c r="AP635" s="39" t="s">
        <v>45</v>
      </c>
      <c r="AQ635" s="39"/>
      <c r="AR635" s="275">
        <f>279523*5</f>
        <v>1397615</v>
      </c>
      <c r="AS635" s="143">
        <f>+AR635*0.19</f>
        <v>265546.84999999998</v>
      </c>
      <c r="AT635" s="116">
        <f>+AR635+AS635</f>
        <v>1663161.85</v>
      </c>
      <c r="AU635" s="62" t="s">
        <v>109</v>
      </c>
      <c r="AV635" s="62" t="s">
        <v>45</v>
      </c>
      <c r="AW635" s="39"/>
      <c r="AX635" s="116"/>
      <c r="AY635" s="194"/>
      <c r="AZ635" s="143"/>
      <c r="BA635" s="191"/>
      <c r="BB635" s="132"/>
      <c r="BC635" s="132"/>
      <c r="BD635" s="274"/>
      <c r="BE635" s="143"/>
      <c r="BF635" s="143"/>
      <c r="BG635" s="132"/>
      <c r="BH635" s="132"/>
      <c r="BI635" s="132"/>
      <c r="BJ635" s="143"/>
      <c r="BK635" s="143"/>
      <c r="BL635" s="143"/>
      <c r="BM635" s="132"/>
      <c r="BN635" s="132"/>
      <c r="BO635" s="132"/>
      <c r="BP635" s="143"/>
      <c r="BQ635" s="132"/>
      <c r="BR635" s="132"/>
      <c r="BS635" s="132"/>
      <c r="BT635" s="132"/>
      <c r="BU635" s="132"/>
      <c r="BV635" s="263">
        <v>1246700</v>
      </c>
      <c r="BW635" s="144">
        <f>BV635*19%</f>
        <v>236873</v>
      </c>
      <c r="BX635" s="113">
        <f t="shared" si="159"/>
        <v>1483573</v>
      </c>
      <c r="BY635" s="264" t="s">
        <v>340</v>
      </c>
      <c r="BZ635" s="264" t="s">
        <v>88</v>
      </c>
      <c r="CA635" s="132"/>
      <c r="CB635" s="274"/>
      <c r="CC635" s="144"/>
      <c r="CD635" s="274"/>
      <c r="CE635" s="132"/>
      <c r="CF635" s="132"/>
      <c r="CG635" s="132"/>
      <c r="CH635" s="268"/>
      <c r="CI635" s="265"/>
      <c r="CJ635" s="263"/>
      <c r="CK635" s="264"/>
      <c r="CL635" s="264"/>
      <c r="CM635" s="132"/>
      <c r="CN635" s="274"/>
      <c r="CO635" s="144"/>
      <c r="CP635" s="274"/>
      <c r="CQ635" s="132"/>
      <c r="CR635" s="132"/>
      <c r="CS635" s="132"/>
      <c r="CT635" s="144">
        <v>938000</v>
      </c>
      <c r="CU635" s="144">
        <f>CT635*0.19</f>
        <v>178220</v>
      </c>
      <c r="CV635" s="144">
        <f>CU635+CT635</f>
        <v>1116220</v>
      </c>
      <c r="CW635" s="132"/>
      <c r="CX635" s="132"/>
      <c r="CY635" s="132"/>
      <c r="CZ635" s="118">
        <v>517517</v>
      </c>
      <c r="DA635" s="144">
        <f>+CZ635*0.19</f>
        <v>98328.23</v>
      </c>
      <c r="DB635" s="118">
        <f>+CZ635+DA635</f>
        <v>615845.23</v>
      </c>
      <c r="DC635" s="33" t="s">
        <v>341</v>
      </c>
      <c r="DD635" s="39" t="s">
        <v>58</v>
      </c>
      <c r="DE635" s="11">
        <v>1081750025</v>
      </c>
      <c r="DF635" s="132"/>
      <c r="DG635" s="132"/>
      <c r="DH635" s="132"/>
      <c r="DI635" s="132"/>
      <c r="DJ635" s="132"/>
      <c r="DK635" s="132"/>
      <c r="DL635" s="132"/>
      <c r="DM635" s="132"/>
      <c r="DN635" s="132"/>
      <c r="DO635" s="132"/>
      <c r="DP635" s="132"/>
      <c r="DQ635" s="132"/>
      <c r="DR635" s="132"/>
      <c r="DS635" s="132"/>
      <c r="DT635" s="132"/>
      <c r="DU635" s="132"/>
      <c r="DV635" s="132"/>
      <c r="DW635" s="132"/>
      <c r="DX635" s="132"/>
      <c r="DY635" s="132"/>
      <c r="DZ635" s="132"/>
      <c r="EA635" s="132"/>
      <c r="EB635" s="132"/>
      <c r="EC635" s="132"/>
      <c r="ED635" s="132"/>
      <c r="EE635" s="132"/>
      <c r="EF635" s="132"/>
      <c r="EG635" s="132"/>
      <c r="EH635" s="132"/>
      <c r="EI635" s="132"/>
      <c r="EJ635" s="132"/>
      <c r="EK635" s="132"/>
      <c r="EL635" s="132"/>
      <c r="EM635" s="132"/>
      <c r="EN635" s="132"/>
      <c r="EO635" s="132"/>
      <c r="EP635" s="132"/>
      <c r="EQ635" s="132"/>
      <c r="ER635" s="132"/>
      <c r="ES635" s="132"/>
      <c r="ET635" s="11"/>
      <c r="EU635" s="11"/>
      <c r="EV635" s="11"/>
      <c r="EW635" s="11"/>
      <c r="EX635" s="11"/>
      <c r="EY635" s="11"/>
      <c r="EZ635" s="11"/>
      <c r="FA635" s="11"/>
      <c r="FB635" s="11"/>
      <c r="FC635" s="11"/>
      <c r="FD635" s="11"/>
      <c r="FE635" s="11"/>
      <c r="FF635" s="275"/>
      <c r="FG635" s="71"/>
      <c r="FH635" s="39">
        <f t="shared" si="151"/>
        <v>8614072.040000001</v>
      </c>
      <c r="FI635" s="33">
        <f t="shared" si="152"/>
        <v>7</v>
      </c>
      <c r="FJ635" s="84">
        <f t="shared" si="153"/>
        <v>1230581.7200000002</v>
      </c>
    </row>
    <row r="636" spans="1:166" ht="27" customHeight="1" x14ac:dyDescent="0.25">
      <c r="A636" s="79" t="e">
        <f>#REF!</f>
        <v>#REF!</v>
      </c>
      <c r="B636" s="75" t="e">
        <f>#REF!</f>
        <v>#REF!</v>
      </c>
      <c r="C636" s="75" t="e">
        <f>#REF!</f>
        <v>#REF!</v>
      </c>
      <c r="D636" s="75" t="e">
        <f>#REF!</f>
        <v>#REF!</v>
      </c>
      <c r="E636" s="30">
        <v>1</v>
      </c>
      <c r="F636" s="238">
        <v>0</v>
      </c>
      <c r="G636" s="241">
        <v>0</v>
      </c>
      <c r="H636" s="249">
        <v>0</v>
      </c>
      <c r="I636" s="249">
        <v>0</v>
      </c>
      <c r="J636" s="249">
        <v>300125</v>
      </c>
      <c r="K636" s="249">
        <v>249000</v>
      </c>
      <c r="L636" s="274">
        <f>J636</f>
        <v>300125</v>
      </c>
      <c r="M636" s="274">
        <f>K636*E1</f>
        <v>256470</v>
      </c>
      <c r="N636" s="245"/>
      <c r="O636" s="113"/>
      <c r="P636" s="113"/>
      <c r="Q636" s="131"/>
      <c r="R636" s="131"/>
      <c r="S636" s="64"/>
      <c r="T636" s="113"/>
      <c r="U636" s="113"/>
      <c r="V636" s="113"/>
      <c r="W636" s="131"/>
      <c r="X636" s="131"/>
      <c r="Y636" s="11"/>
      <c r="Z636" s="117"/>
      <c r="AA636" s="113"/>
      <c r="AB636" s="113"/>
      <c r="AC636" s="131"/>
      <c r="AD636" s="52"/>
      <c r="AE636" s="11"/>
      <c r="AF636" s="118">
        <v>350000</v>
      </c>
      <c r="AG636" s="144">
        <v>0</v>
      </c>
      <c r="AH636" s="113">
        <f>+AF636+AG636</f>
        <v>350000</v>
      </c>
      <c r="AI636" s="11"/>
      <c r="AJ636" s="11"/>
      <c r="AK636" s="39"/>
      <c r="AL636" s="113"/>
      <c r="AM636" s="113"/>
      <c r="AN636" s="117"/>
      <c r="AO636" s="76"/>
      <c r="AP636" s="39"/>
      <c r="AQ636" s="39"/>
      <c r="AR636" s="275"/>
      <c r="AS636" s="275"/>
      <c r="AT636" s="275"/>
      <c r="AU636" s="62"/>
      <c r="AV636" s="62"/>
      <c r="AW636" s="11"/>
      <c r="AX636" s="116"/>
      <c r="AY636" s="116"/>
      <c r="AZ636" s="143"/>
      <c r="BA636" s="191"/>
      <c r="BB636" s="132"/>
      <c r="BC636" s="132"/>
      <c r="BD636" s="274"/>
      <c r="BE636" s="143"/>
      <c r="BF636" s="143"/>
      <c r="BG636" s="132"/>
      <c r="BH636" s="132"/>
      <c r="BI636" s="132"/>
      <c r="BJ636" s="143"/>
      <c r="BK636" s="143"/>
      <c r="BL636" s="143"/>
      <c r="BM636" s="132"/>
      <c r="BN636" s="132"/>
      <c r="BO636" s="132"/>
      <c r="BP636" s="143"/>
      <c r="BQ636" s="132"/>
      <c r="BR636" s="132"/>
      <c r="BS636" s="132"/>
      <c r="BT636" s="132"/>
      <c r="BU636" s="132"/>
      <c r="BV636" s="263">
        <v>660000</v>
      </c>
      <c r="BW636" s="144">
        <f>BV636*0</f>
        <v>0</v>
      </c>
      <c r="BX636" s="113">
        <f t="shared" si="159"/>
        <v>660000</v>
      </c>
      <c r="BY636" s="264" t="s">
        <v>352</v>
      </c>
      <c r="BZ636" s="264" t="s">
        <v>164</v>
      </c>
      <c r="CA636" s="132"/>
      <c r="CB636" s="274">
        <v>856000</v>
      </c>
      <c r="CC636" s="144">
        <f>+CB636*19%</f>
        <v>162640</v>
      </c>
      <c r="CD636" s="274">
        <f>+CC636+CB636</f>
        <v>1018640</v>
      </c>
      <c r="CE636" s="132"/>
      <c r="CF636" s="132"/>
      <c r="CG636" s="132"/>
      <c r="CH636" s="263">
        <v>699600</v>
      </c>
      <c r="CI636" s="265">
        <f>+CH636*0</f>
        <v>0</v>
      </c>
      <c r="CJ636" s="263">
        <f>+CH636+CI636</f>
        <v>699600</v>
      </c>
      <c r="CK636" s="264" t="s">
        <v>352</v>
      </c>
      <c r="CL636" s="264" t="s">
        <v>164</v>
      </c>
      <c r="CM636" s="132"/>
      <c r="CN636" s="274"/>
      <c r="CO636" s="144"/>
      <c r="CP636" s="274"/>
      <c r="CQ636" s="132"/>
      <c r="CR636" s="132"/>
      <c r="CS636" s="132"/>
      <c r="CT636" s="274"/>
      <c r="CU636" s="144"/>
      <c r="CV636" s="274"/>
      <c r="CW636" s="132"/>
      <c r="CX636" s="132"/>
      <c r="CY636" s="132"/>
      <c r="CZ636" s="118"/>
      <c r="DA636" s="144"/>
      <c r="DB636" s="118"/>
      <c r="DC636" s="33"/>
      <c r="DD636" s="39"/>
      <c r="DE636" s="11"/>
      <c r="DF636" s="132"/>
      <c r="DG636" s="132"/>
      <c r="DH636" s="132"/>
      <c r="DI636" s="132"/>
      <c r="DJ636" s="132"/>
      <c r="DK636" s="132"/>
      <c r="DL636" s="132"/>
      <c r="DM636" s="132"/>
      <c r="DN636" s="132"/>
      <c r="DO636" s="132"/>
      <c r="DP636" s="132"/>
      <c r="DQ636" s="132"/>
      <c r="DR636" s="132"/>
      <c r="DS636" s="132"/>
      <c r="DT636" s="132"/>
      <c r="DU636" s="132"/>
      <c r="DV636" s="132"/>
      <c r="DW636" s="132"/>
      <c r="DX636" s="132"/>
      <c r="DY636" s="132"/>
      <c r="DZ636" s="132"/>
      <c r="EA636" s="132"/>
      <c r="EB636" s="132"/>
      <c r="EC636" s="132"/>
      <c r="ED636" s="132"/>
      <c r="EE636" s="132"/>
      <c r="EF636" s="132"/>
      <c r="EG636" s="132"/>
      <c r="EH636" s="132"/>
      <c r="EI636" s="132"/>
      <c r="EJ636" s="132"/>
      <c r="EK636" s="132"/>
      <c r="EL636" s="132"/>
      <c r="EM636" s="132"/>
      <c r="EN636" s="132"/>
      <c r="EO636" s="132"/>
      <c r="EP636" s="132"/>
      <c r="EQ636" s="132"/>
      <c r="ER636" s="132"/>
      <c r="ES636" s="132"/>
      <c r="ET636" s="11"/>
      <c r="EU636" s="11"/>
      <c r="EV636" s="11"/>
      <c r="EW636" s="11"/>
      <c r="EX636" s="11"/>
      <c r="EY636" s="11"/>
      <c r="EZ636" s="11"/>
      <c r="FA636" s="11"/>
      <c r="FB636" s="11"/>
      <c r="FC636" s="11"/>
      <c r="FD636" s="11"/>
      <c r="FE636" s="11"/>
      <c r="FF636" s="275"/>
      <c r="FG636" s="71"/>
      <c r="FH636" s="39">
        <f t="shared" si="151"/>
        <v>2984710</v>
      </c>
      <c r="FI636" s="33">
        <f t="shared" si="152"/>
        <v>5</v>
      </c>
      <c r="FJ636" s="84">
        <f t="shared" si="153"/>
        <v>596942</v>
      </c>
    </row>
    <row r="637" spans="1:166" ht="27" customHeight="1" x14ac:dyDescent="0.25">
      <c r="A637" s="79" t="e">
        <f>#REF!</f>
        <v>#REF!</v>
      </c>
      <c r="B637" s="75" t="e">
        <f>#REF!</f>
        <v>#REF!</v>
      </c>
      <c r="C637" s="75" t="e">
        <f>#REF!</f>
        <v>#REF!</v>
      </c>
      <c r="D637" s="75" t="e">
        <f>#REF!</f>
        <v>#REF!</v>
      </c>
      <c r="E637" s="30">
        <v>1</v>
      </c>
      <c r="F637" s="238">
        <v>167224.75</v>
      </c>
      <c r="G637" s="241">
        <v>161364</v>
      </c>
      <c r="H637" s="249">
        <v>132902.07984642856</v>
      </c>
      <c r="I637" s="249">
        <v>73185</v>
      </c>
      <c r="J637" s="249">
        <v>231034.6283870968</v>
      </c>
      <c r="K637" s="249">
        <v>225267</v>
      </c>
      <c r="L637" s="274">
        <f>AVERAGE(F637,H637,J637)</f>
        <v>177053.81941117512</v>
      </c>
      <c r="M637" s="274">
        <f>AVERAGE(G637,I637,K637)*E1</f>
        <v>157870.16</v>
      </c>
      <c r="N637" s="245"/>
      <c r="O637" s="113"/>
      <c r="P637" s="113"/>
      <c r="Q637" s="131"/>
      <c r="R637" s="131"/>
      <c r="S637" s="64"/>
      <c r="T637" s="113"/>
      <c r="U637" s="117"/>
      <c r="V637" s="113"/>
      <c r="W637" s="131"/>
      <c r="X637" s="131"/>
      <c r="Y637" s="11"/>
      <c r="Z637" s="113"/>
      <c r="AA637" s="113"/>
      <c r="AB637" s="113"/>
      <c r="AC637" s="131"/>
      <c r="AD637" s="52"/>
      <c r="AE637" s="11"/>
      <c r="AF637" s="118">
        <v>130000</v>
      </c>
      <c r="AG637" s="144">
        <f>AF637*19%</f>
        <v>24700</v>
      </c>
      <c r="AH637" s="113">
        <f>+AF637+AG637</f>
        <v>154700</v>
      </c>
      <c r="AI637" s="11"/>
      <c r="AJ637" s="11"/>
      <c r="AK637" s="39"/>
      <c r="AL637" s="113">
        <v>130000</v>
      </c>
      <c r="AM637" s="113">
        <f>+AL637*0.19</f>
        <v>24700</v>
      </c>
      <c r="AN637" s="119">
        <f>+AL637+AM637</f>
        <v>154700</v>
      </c>
      <c r="AO637" s="76" t="s">
        <v>95</v>
      </c>
      <c r="AP637" s="39" t="s">
        <v>45</v>
      </c>
      <c r="AQ637" s="39"/>
      <c r="AR637" s="275">
        <v>381600</v>
      </c>
      <c r="AS637" s="143">
        <f>+AR637*0.19</f>
        <v>72504</v>
      </c>
      <c r="AT637" s="116">
        <f>+AR637+AS637</f>
        <v>454104</v>
      </c>
      <c r="AU637" s="62" t="s">
        <v>60</v>
      </c>
      <c r="AV637" s="36" t="s">
        <v>35</v>
      </c>
      <c r="AW637" s="39"/>
      <c r="AX637" s="116"/>
      <c r="AY637" s="116"/>
      <c r="AZ637" s="143"/>
      <c r="BA637" s="191"/>
      <c r="BB637" s="132"/>
      <c r="BC637" s="132"/>
      <c r="BD637" s="274"/>
      <c r="BE637" s="143"/>
      <c r="BF637" s="143"/>
      <c r="BG637" s="132"/>
      <c r="BH637" s="132"/>
      <c r="BI637" s="132"/>
      <c r="BJ637" s="143"/>
      <c r="BK637" s="143"/>
      <c r="BL637" s="143"/>
      <c r="BM637" s="132"/>
      <c r="BN637" s="132"/>
      <c r="BO637" s="132"/>
      <c r="BP637" s="143"/>
      <c r="BQ637" s="132"/>
      <c r="BR637" s="132"/>
      <c r="BS637" s="132"/>
      <c r="BT637" s="132"/>
      <c r="BU637" s="132"/>
      <c r="BV637" s="263">
        <v>171100</v>
      </c>
      <c r="BW637" s="144">
        <f>BV637*19%</f>
        <v>32509</v>
      </c>
      <c r="BX637" s="113">
        <f t="shared" si="159"/>
        <v>203609</v>
      </c>
      <c r="BY637" s="264" t="s">
        <v>231</v>
      </c>
      <c r="BZ637" s="264" t="s">
        <v>63</v>
      </c>
      <c r="CA637" s="132"/>
      <c r="CB637" s="274"/>
      <c r="CC637" s="144"/>
      <c r="CD637" s="274"/>
      <c r="CE637" s="39"/>
      <c r="CF637" s="39"/>
      <c r="CG637" s="132"/>
      <c r="CH637" s="263">
        <v>179655</v>
      </c>
      <c r="CI637" s="265">
        <f>+CH637*0</f>
        <v>0</v>
      </c>
      <c r="CJ637" s="263">
        <f>+CH637+CI637</f>
        <v>179655</v>
      </c>
      <c r="CK637" s="264" t="s">
        <v>231</v>
      </c>
      <c r="CL637" s="264" t="s">
        <v>63</v>
      </c>
      <c r="CM637" s="132"/>
      <c r="CN637" s="274"/>
      <c r="CO637" s="144"/>
      <c r="CP637" s="274"/>
      <c r="CQ637" s="132"/>
      <c r="CR637" s="132"/>
      <c r="CS637" s="132"/>
      <c r="CT637" s="274"/>
      <c r="CU637" s="144"/>
      <c r="CV637" s="274"/>
      <c r="CW637" s="132"/>
      <c r="CX637" s="132"/>
      <c r="CY637" s="132"/>
      <c r="CZ637" s="118"/>
      <c r="DA637" s="144"/>
      <c r="DB637" s="118"/>
      <c r="DC637" s="33"/>
      <c r="DD637" s="39"/>
      <c r="DE637" s="11"/>
      <c r="DF637" s="132"/>
      <c r="DG637" s="132"/>
      <c r="DH637" s="132"/>
      <c r="DI637" s="132"/>
      <c r="DJ637" s="132"/>
      <c r="DK637" s="132"/>
      <c r="DL637" s="132"/>
      <c r="DM637" s="132"/>
      <c r="DN637" s="132"/>
      <c r="DO637" s="132"/>
      <c r="DP637" s="132"/>
      <c r="DQ637" s="132"/>
      <c r="DR637" s="132"/>
      <c r="DS637" s="132"/>
      <c r="DT637" s="132"/>
      <c r="DU637" s="132"/>
      <c r="DV637" s="132"/>
      <c r="DW637" s="132"/>
      <c r="DX637" s="132"/>
      <c r="DY637" s="132"/>
      <c r="DZ637" s="132"/>
      <c r="EA637" s="132"/>
      <c r="EB637" s="132"/>
      <c r="EC637" s="132"/>
      <c r="ED637" s="132"/>
      <c r="EE637" s="132"/>
      <c r="EF637" s="132"/>
      <c r="EG637" s="132"/>
      <c r="EH637" s="132"/>
      <c r="EI637" s="132"/>
      <c r="EJ637" s="132"/>
      <c r="EK637" s="132"/>
      <c r="EL637" s="132"/>
      <c r="EM637" s="132"/>
      <c r="EN637" s="132"/>
      <c r="EO637" s="132"/>
      <c r="EP637" s="132"/>
      <c r="EQ637" s="132"/>
      <c r="ER637" s="132"/>
      <c r="ES637" s="132"/>
      <c r="ET637" s="11"/>
      <c r="EU637" s="11"/>
      <c r="EV637" s="11"/>
      <c r="EW637" s="11"/>
      <c r="EX637" s="11"/>
      <c r="EY637" s="11"/>
      <c r="EZ637" s="11"/>
      <c r="FA637" s="11"/>
      <c r="FB637" s="11"/>
      <c r="FC637" s="11"/>
      <c r="FD637" s="11"/>
      <c r="FE637" s="11"/>
      <c r="FF637" s="275"/>
      <c r="FG637" s="71"/>
      <c r="FH637" s="39">
        <f t="shared" si="151"/>
        <v>1304638.1600000001</v>
      </c>
      <c r="FI637" s="33">
        <f t="shared" si="152"/>
        <v>6</v>
      </c>
      <c r="FJ637" s="84">
        <f t="shared" si="153"/>
        <v>217439.69333333336</v>
      </c>
    </row>
    <row r="638" spans="1:166" ht="27" customHeight="1" x14ac:dyDescent="0.25">
      <c r="A638" s="79" t="e">
        <f>#REF!</f>
        <v>#REF!</v>
      </c>
      <c r="B638" s="75" t="e">
        <f>#REF!</f>
        <v>#REF!</v>
      </c>
      <c r="C638" s="75" t="e">
        <f>#REF!</f>
        <v>#REF!</v>
      </c>
      <c r="D638" s="75" t="e">
        <f>#REF!</f>
        <v>#REF!</v>
      </c>
      <c r="E638" s="30">
        <v>1</v>
      </c>
      <c r="F638" s="238">
        <v>130658.33333333333</v>
      </c>
      <c r="G638" s="241">
        <v>127300</v>
      </c>
      <c r="H638" s="249">
        <v>182350.29957166666</v>
      </c>
      <c r="I638" s="249">
        <v>182308</v>
      </c>
      <c r="J638" s="249">
        <v>181341.25</v>
      </c>
      <c r="K638" s="249">
        <v>149300</v>
      </c>
      <c r="L638" s="274">
        <f>AVERAGE(F638,H638,J638)</f>
        <v>164783.29430166667</v>
      </c>
      <c r="M638" s="274">
        <f>AVERAGE(G638,I638,K638)*E1</f>
        <v>157558.41333333336</v>
      </c>
      <c r="N638" s="247">
        <v>291000</v>
      </c>
      <c r="O638" s="113">
        <f>+N638*0</f>
        <v>0</v>
      </c>
      <c r="P638" s="113">
        <f>+O638+N638</f>
        <v>291000</v>
      </c>
      <c r="Q638" s="36" t="s">
        <v>511</v>
      </c>
      <c r="R638" s="132" t="s">
        <v>128</v>
      </c>
      <c r="S638" s="64"/>
      <c r="T638" s="113"/>
      <c r="U638" s="117"/>
      <c r="V638" s="113"/>
      <c r="W638" s="131"/>
      <c r="X638" s="131"/>
      <c r="Y638" s="11"/>
      <c r="Z638" s="113"/>
      <c r="AA638" s="113"/>
      <c r="AB638" s="113"/>
      <c r="AC638" s="52"/>
      <c r="AD638" s="52"/>
      <c r="AE638" s="11"/>
      <c r="AF638" s="118">
        <v>130000</v>
      </c>
      <c r="AG638" s="144">
        <v>0</v>
      </c>
      <c r="AH638" s="113">
        <f>+AF638+AG638</f>
        <v>130000</v>
      </c>
      <c r="AI638" s="11"/>
      <c r="AJ638" s="11"/>
      <c r="AK638" s="39"/>
      <c r="AL638" s="113"/>
      <c r="AM638" s="113"/>
      <c r="AN638" s="117"/>
      <c r="AO638" s="76"/>
      <c r="AP638" s="39"/>
      <c r="AQ638" s="39"/>
      <c r="AR638" s="275"/>
      <c r="AS638" s="275"/>
      <c r="AT638" s="275"/>
      <c r="AU638" s="62"/>
      <c r="AV638" s="62"/>
      <c r="AW638" s="11"/>
      <c r="AX638" s="116"/>
      <c r="AY638" s="116"/>
      <c r="AZ638" s="143"/>
      <c r="BA638" s="191"/>
      <c r="BB638" s="132"/>
      <c r="BC638" s="132"/>
      <c r="BD638" s="274"/>
      <c r="BE638" s="143"/>
      <c r="BF638" s="143"/>
      <c r="BG638" s="132"/>
      <c r="BH638" s="132"/>
      <c r="BI638" s="132"/>
      <c r="BJ638" s="143"/>
      <c r="BK638" s="143"/>
      <c r="BL638" s="143"/>
      <c r="BM638" s="132"/>
      <c r="BN638" s="132"/>
      <c r="BO638" s="132"/>
      <c r="BP638" s="143"/>
      <c r="BQ638" s="132"/>
      <c r="BR638" s="132"/>
      <c r="BS638" s="132"/>
      <c r="BT638" s="132"/>
      <c r="BU638" s="132"/>
      <c r="BV638" s="263">
        <v>465600</v>
      </c>
      <c r="BW638" s="144">
        <f>BV638*0</f>
        <v>0</v>
      </c>
      <c r="BX638" s="113">
        <f t="shared" si="159"/>
        <v>465600</v>
      </c>
      <c r="BY638" s="264" t="s">
        <v>512</v>
      </c>
      <c r="BZ638" s="264" t="s">
        <v>128</v>
      </c>
      <c r="CA638" s="132"/>
      <c r="CB638" s="274"/>
      <c r="CC638" s="144"/>
      <c r="CD638" s="274"/>
      <c r="CE638" s="39"/>
      <c r="CF638" s="11"/>
      <c r="CG638" s="132"/>
      <c r="CH638" s="263"/>
      <c r="CI638" s="265"/>
      <c r="CJ638" s="263"/>
      <c r="CK638" s="264"/>
      <c r="CL638" s="264"/>
      <c r="CM638" s="132"/>
      <c r="CN638" s="274"/>
      <c r="CO638" s="144"/>
      <c r="CP638" s="274"/>
      <c r="CQ638" s="132"/>
      <c r="CR638" s="132"/>
      <c r="CS638" s="132"/>
      <c r="CT638" s="274"/>
      <c r="CU638" s="144"/>
      <c r="CV638" s="274"/>
      <c r="CW638" s="132"/>
      <c r="CX638" s="132"/>
      <c r="CY638" s="132"/>
      <c r="CZ638" s="118">
        <v>98351</v>
      </c>
      <c r="DA638" s="144">
        <f>+CZ638*0.19</f>
        <v>18686.689999999999</v>
      </c>
      <c r="DB638" s="118">
        <f>+CZ638+DA638</f>
        <v>117037.69</v>
      </c>
      <c r="DC638" s="33" t="s">
        <v>513</v>
      </c>
      <c r="DD638" s="39" t="s">
        <v>58</v>
      </c>
      <c r="DE638" s="11">
        <v>1133000001</v>
      </c>
      <c r="DF638" s="132"/>
      <c r="DG638" s="132"/>
      <c r="DH638" s="132"/>
      <c r="DI638" s="132"/>
      <c r="DJ638" s="132"/>
      <c r="DK638" s="132"/>
      <c r="DL638" s="132"/>
      <c r="DM638" s="132"/>
      <c r="DN638" s="132"/>
      <c r="DO638" s="132"/>
      <c r="DP638" s="132"/>
      <c r="DQ638" s="132"/>
      <c r="DR638" s="132"/>
      <c r="DS638" s="132"/>
      <c r="DT638" s="132"/>
      <c r="DU638" s="132"/>
      <c r="DV638" s="132"/>
      <c r="DW638" s="132"/>
      <c r="DX638" s="132"/>
      <c r="DY638" s="132"/>
      <c r="DZ638" s="132"/>
      <c r="EA638" s="132"/>
      <c r="EB638" s="132"/>
      <c r="EC638" s="132"/>
      <c r="ED638" s="132"/>
      <c r="EE638" s="132"/>
      <c r="EF638" s="132"/>
      <c r="EG638" s="132"/>
      <c r="EH638" s="132"/>
      <c r="EI638" s="132"/>
      <c r="EJ638" s="132"/>
      <c r="EK638" s="132"/>
      <c r="EL638" s="132"/>
      <c r="EM638" s="132"/>
      <c r="EN638" s="132"/>
      <c r="EO638" s="132"/>
      <c r="EP638" s="132"/>
      <c r="EQ638" s="132"/>
      <c r="ER638" s="132"/>
      <c r="ES638" s="132"/>
      <c r="ET638" s="11"/>
      <c r="EU638" s="11"/>
      <c r="EV638" s="11"/>
      <c r="EW638" s="11"/>
      <c r="EX638" s="11"/>
      <c r="EY638" s="11"/>
      <c r="EZ638" s="11"/>
      <c r="FA638" s="11"/>
      <c r="FB638" s="11"/>
      <c r="FC638" s="11"/>
      <c r="FD638" s="11"/>
      <c r="FE638" s="11"/>
      <c r="FF638" s="11"/>
      <c r="FG638" s="11"/>
      <c r="FH638" s="39">
        <f t="shared" si="151"/>
        <v>1161196.1033333333</v>
      </c>
      <c r="FI638" s="33">
        <f t="shared" si="152"/>
        <v>5</v>
      </c>
      <c r="FJ638" s="84">
        <f t="shared" si="153"/>
        <v>232239.22066666666</v>
      </c>
    </row>
    <row r="639" spans="1:166" ht="27" customHeight="1" x14ac:dyDescent="0.25">
      <c r="A639" s="79" t="e">
        <f>#REF!</f>
        <v>#REF!</v>
      </c>
      <c r="B639" s="75" t="e">
        <f>#REF!</f>
        <v>#REF!</v>
      </c>
      <c r="C639" s="75" t="e">
        <f>#REF!</f>
        <v>#REF!</v>
      </c>
      <c r="D639" s="75" t="e">
        <f>#REF!</f>
        <v>#REF!</v>
      </c>
      <c r="E639" s="30">
        <v>1</v>
      </c>
      <c r="F639" s="238">
        <v>0</v>
      </c>
      <c r="G639" s="241">
        <v>0</v>
      </c>
      <c r="H639" s="249">
        <v>4343500</v>
      </c>
      <c r="I639" s="249">
        <v>0</v>
      </c>
      <c r="J639" s="249">
        <v>0</v>
      </c>
      <c r="K639" s="249">
        <v>0</v>
      </c>
      <c r="L639" s="274">
        <f>H639</f>
        <v>4343500</v>
      </c>
      <c r="M639" s="274"/>
      <c r="N639" s="245"/>
      <c r="O639" s="113"/>
      <c r="P639" s="113"/>
      <c r="Q639" s="131"/>
      <c r="R639" s="131"/>
      <c r="S639" s="64"/>
      <c r="T639" s="113"/>
      <c r="U639" s="121"/>
      <c r="V639" s="113"/>
      <c r="W639" s="131"/>
      <c r="X639" s="131"/>
      <c r="Y639" s="11"/>
      <c r="Z639" s="113"/>
      <c r="AA639" s="113"/>
      <c r="AB639" s="113"/>
      <c r="AC639" s="52"/>
      <c r="AD639" s="52"/>
      <c r="AE639" s="11"/>
      <c r="AF639" s="113"/>
      <c r="AG639" s="144"/>
      <c r="AH639" s="113"/>
      <c r="AI639" s="11"/>
      <c r="AJ639" s="11"/>
      <c r="AK639" s="39"/>
      <c r="AL639" s="113"/>
      <c r="AM639" s="113"/>
      <c r="AN639" s="119"/>
      <c r="AO639" s="76"/>
      <c r="AP639" s="39"/>
      <c r="AQ639" s="39"/>
      <c r="AR639" s="275"/>
      <c r="AS639" s="275"/>
      <c r="AT639" s="275"/>
      <c r="AU639" s="62"/>
      <c r="AV639" s="62"/>
      <c r="AW639" s="39"/>
      <c r="AX639" s="116"/>
      <c r="AY639" s="116"/>
      <c r="AZ639" s="143"/>
      <c r="BA639" s="191"/>
      <c r="BB639" s="132"/>
      <c r="BC639" s="132"/>
      <c r="BD639" s="275"/>
      <c r="BE639" s="143"/>
      <c r="BF639" s="143"/>
      <c r="BG639" s="132"/>
      <c r="BH639" s="132"/>
      <c r="BI639" s="132"/>
      <c r="BJ639" s="143"/>
      <c r="BK639" s="143"/>
      <c r="BL639" s="143"/>
      <c r="BM639" s="132"/>
      <c r="BN639" s="132"/>
      <c r="BO639" s="132"/>
      <c r="BP639" s="143"/>
      <c r="BQ639" s="132"/>
      <c r="BR639" s="132"/>
      <c r="BS639" s="132"/>
      <c r="BT639" s="132"/>
      <c r="BU639" s="132"/>
      <c r="BV639" s="267">
        <f>50880000/100</f>
        <v>508800</v>
      </c>
      <c r="BW639" s="144">
        <f>BV639*19%</f>
        <v>96672</v>
      </c>
      <c r="BX639" s="113">
        <f t="shared" si="159"/>
        <v>605472</v>
      </c>
      <c r="BY639" s="264" t="s">
        <v>514</v>
      </c>
      <c r="BZ639" s="264" t="s">
        <v>88</v>
      </c>
      <c r="CA639" s="132"/>
      <c r="CB639" s="275"/>
      <c r="CC639" s="143"/>
      <c r="CD639" s="275"/>
      <c r="CE639" s="39"/>
      <c r="CF639" s="39"/>
      <c r="CG639" s="132"/>
      <c r="CH639" s="267">
        <f>52915200/100</f>
        <v>529152</v>
      </c>
      <c r="CI639" s="265">
        <f>+CH639*0.19</f>
        <v>100538.88</v>
      </c>
      <c r="CJ639" s="263">
        <f>+CH639+CI639</f>
        <v>629690.88</v>
      </c>
      <c r="CK639" s="264" t="s">
        <v>514</v>
      </c>
      <c r="CL639" s="264" t="s">
        <v>88</v>
      </c>
      <c r="CM639" s="132"/>
      <c r="CN639" s="275"/>
      <c r="CO639" s="143"/>
      <c r="CP639" s="275"/>
      <c r="CQ639" s="132"/>
      <c r="CR639" s="132"/>
      <c r="CS639" s="132"/>
      <c r="CT639" s="275"/>
      <c r="CU639" s="143"/>
      <c r="CV639" s="275"/>
      <c r="CW639" s="132"/>
      <c r="CX639" s="132"/>
      <c r="CY639" s="132"/>
      <c r="CZ639" s="113"/>
      <c r="DA639" s="143"/>
      <c r="DB639" s="113"/>
      <c r="DC639" s="33"/>
      <c r="DD639" s="39"/>
      <c r="DE639" s="11"/>
      <c r="DF639" s="132"/>
      <c r="DG639" s="132"/>
      <c r="DH639" s="132"/>
      <c r="DI639" s="132"/>
      <c r="DJ639" s="132"/>
      <c r="DK639" s="132"/>
      <c r="DL639" s="132"/>
      <c r="DM639" s="132"/>
      <c r="DN639" s="132"/>
      <c r="DO639" s="132"/>
      <c r="DP639" s="132"/>
      <c r="DQ639" s="132"/>
      <c r="DR639" s="132"/>
      <c r="DS639" s="132"/>
      <c r="DT639" s="132"/>
      <c r="DU639" s="132"/>
      <c r="DV639" s="132"/>
      <c r="DW639" s="132"/>
      <c r="DX639" s="132"/>
      <c r="DY639" s="132"/>
      <c r="DZ639" s="132"/>
      <c r="EA639" s="132"/>
      <c r="EB639" s="132"/>
      <c r="EC639" s="132"/>
      <c r="ED639" s="132"/>
      <c r="EE639" s="132"/>
      <c r="EF639" s="132"/>
      <c r="EG639" s="132"/>
      <c r="EH639" s="132"/>
      <c r="EI639" s="132"/>
      <c r="EJ639" s="132"/>
      <c r="EK639" s="132"/>
      <c r="EL639" s="132"/>
      <c r="EM639" s="132"/>
      <c r="EN639" s="132"/>
      <c r="EO639" s="132"/>
      <c r="EP639" s="132"/>
      <c r="EQ639" s="132"/>
      <c r="ER639" s="132"/>
      <c r="ES639" s="132"/>
      <c r="ET639" s="11"/>
      <c r="EU639" s="11"/>
      <c r="EV639" s="11"/>
      <c r="EW639" s="11"/>
      <c r="EX639" s="11"/>
      <c r="EY639" s="11"/>
      <c r="EZ639" s="11"/>
      <c r="FA639" s="11"/>
      <c r="FB639" s="11"/>
      <c r="FC639" s="11"/>
      <c r="FD639" s="11"/>
      <c r="FE639" s="11"/>
      <c r="FF639" s="275"/>
      <c r="FG639" s="71"/>
      <c r="FH639" s="39">
        <f t="shared" si="151"/>
        <v>1235162.8799999999</v>
      </c>
      <c r="FI639" s="33">
        <f t="shared" si="152"/>
        <v>2</v>
      </c>
      <c r="FJ639" s="84">
        <f t="shared" si="153"/>
        <v>617581.43999999994</v>
      </c>
    </row>
    <row r="640" spans="1:166" ht="27" customHeight="1" x14ac:dyDescent="0.25">
      <c r="A640" s="79" t="e">
        <f>#REF!</f>
        <v>#REF!</v>
      </c>
      <c r="B640" s="75" t="e">
        <f>#REF!</f>
        <v>#REF!</v>
      </c>
      <c r="C640" s="75" t="e">
        <f>#REF!</f>
        <v>#REF!</v>
      </c>
      <c r="D640" s="75" t="e">
        <f>#REF!</f>
        <v>#REF!</v>
      </c>
      <c r="E640" s="30">
        <v>1</v>
      </c>
      <c r="F640" s="238">
        <v>0</v>
      </c>
      <c r="G640" s="241">
        <v>0</v>
      </c>
      <c r="H640" s="249">
        <v>0</v>
      </c>
      <c r="I640" s="249">
        <v>0</v>
      </c>
      <c r="J640" s="249">
        <v>0</v>
      </c>
      <c r="K640" s="249">
        <v>0</v>
      </c>
      <c r="L640" s="274"/>
      <c r="M640" s="274"/>
      <c r="N640" s="245"/>
      <c r="O640" s="113"/>
      <c r="P640" s="113"/>
      <c r="Q640" s="131"/>
      <c r="R640" s="131"/>
      <c r="S640" s="64"/>
      <c r="T640" s="113"/>
      <c r="U640" s="113"/>
      <c r="V640" s="113"/>
      <c r="W640" s="131"/>
      <c r="X640" s="131"/>
      <c r="Y640" s="11"/>
      <c r="Z640" s="113"/>
      <c r="AA640" s="113"/>
      <c r="AB640" s="113"/>
      <c r="AC640" s="52"/>
      <c r="AD640" s="52"/>
      <c r="AE640" s="11"/>
      <c r="AF640" s="118"/>
      <c r="AG640" s="144"/>
      <c r="AH640" s="113"/>
      <c r="AI640" s="11"/>
      <c r="AJ640" s="11"/>
      <c r="AK640" s="39"/>
      <c r="AL640" s="113"/>
      <c r="AM640" s="113"/>
      <c r="AN640" s="117"/>
      <c r="AO640" s="76"/>
      <c r="AP640" s="39"/>
      <c r="AQ640" s="39"/>
      <c r="AR640" s="275"/>
      <c r="AS640" s="275"/>
      <c r="AT640" s="275"/>
      <c r="AU640" s="62"/>
      <c r="AV640" s="62"/>
      <c r="AW640" s="11"/>
      <c r="AX640" s="116"/>
      <c r="AY640" s="196"/>
      <c r="AZ640" s="143"/>
      <c r="BA640" s="191"/>
      <c r="BB640" s="132"/>
      <c r="BC640" s="132"/>
      <c r="BD640" s="274"/>
      <c r="BE640" s="143"/>
      <c r="BF640" s="143"/>
      <c r="BG640" s="132"/>
      <c r="BH640" s="132"/>
      <c r="BI640" s="132"/>
      <c r="BJ640" s="143"/>
      <c r="BK640" s="143"/>
      <c r="BL640" s="143"/>
      <c r="BM640" s="132"/>
      <c r="BN640" s="132"/>
      <c r="BO640" s="132"/>
      <c r="BP640" s="143"/>
      <c r="BQ640" s="132"/>
      <c r="BR640" s="132"/>
      <c r="BS640" s="132"/>
      <c r="BT640" s="132"/>
      <c r="BU640" s="132"/>
      <c r="BV640" s="263">
        <v>393200</v>
      </c>
      <c r="BW640" s="144">
        <f>BV640*19%</f>
        <v>74708</v>
      </c>
      <c r="BX640" s="113">
        <f t="shared" si="159"/>
        <v>467908</v>
      </c>
      <c r="BY640" s="264" t="s">
        <v>342</v>
      </c>
      <c r="BZ640" s="264" t="s">
        <v>88</v>
      </c>
      <c r="CA640" s="132"/>
      <c r="CB640" s="274"/>
      <c r="CC640" s="144"/>
      <c r="CD640" s="274"/>
      <c r="CE640" s="132"/>
      <c r="CF640" s="132"/>
      <c r="CG640" s="132"/>
      <c r="CH640" s="263">
        <v>416792</v>
      </c>
      <c r="CI640" s="265">
        <f>+CH640*0.19</f>
        <v>79190.48</v>
      </c>
      <c r="CJ640" s="263">
        <f>+CH640+CI640</f>
        <v>495982.48</v>
      </c>
      <c r="CK640" s="264" t="s">
        <v>342</v>
      </c>
      <c r="CL640" s="264" t="s">
        <v>88</v>
      </c>
      <c r="CM640" s="132"/>
      <c r="CN640" s="274"/>
      <c r="CO640" s="144"/>
      <c r="CP640" s="274"/>
      <c r="CQ640" s="132"/>
      <c r="CR640" s="132"/>
      <c r="CS640" s="132"/>
      <c r="CT640" s="274"/>
      <c r="CU640" s="144"/>
      <c r="CV640" s="274"/>
      <c r="CW640" s="132"/>
      <c r="CX640" s="132"/>
      <c r="CY640" s="132"/>
      <c r="CZ640" s="118">
        <v>91034</v>
      </c>
      <c r="DA640" s="144">
        <f>+CZ640*0.19</f>
        <v>17296.46</v>
      </c>
      <c r="DB640" s="118">
        <f>+CZ640+DA640</f>
        <v>108330.45999999999</v>
      </c>
      <c r="DC640" s="33" t="s">
        <v>57</v>
      </c>
      <c r="DD640" s="39" t="s">
        <v>58</v>
      </c>
      <c r="DE640" s="11">
        <v>8211970100</v>
      </c>
      <c r="DF640" s="132"/>
      <c r="DG640" s="132"/>
      <c r="DH640" s="132"/>
      <c r="DI640" s="132"/>
      <c r="DJ640" s="132"/>
      <c r="DK640" s="132"/>
      <c r="DL640" s="132"/>
      <c r="DM640" s="132"/>
      <c r="DN640" s="132"/>
      <c r="DO640" s="132"/>
      <c r="DP640" s="132"/>
      <c r="DQ640" s="132"/>
      <c r="DR640" s="132"/>
      <c r="DS640" s="132"/>
      <c r="DT640" s="132"/>
      <c r="DU640" s="132"/>
      <c r="DV640" s="132"/>
      <c r="DW640" s="132"/>
      <c r="DX640" s="132"/>
      <c r="DY640" s="132"/>
      <c r="DZ640" s="132"/>
      <c r="EA640" s="132"/>
      <c r="EB640" s="132"/>
      <c r="EC640" s="132"/>
      <c r="ED640" s="132"/>
      <c r="EE640" s="132"/>
      <c r="EF640" s="132"/>
      <c r="EG640" s="132"/>
      <c r="EH640" s="132"/>
      <c r="EI640" s="132"/>
      <c r="EJ640" s="132"/>
      <c r="EK640" s="132"/>
      <c r="EL640" s="132"/>
      <c r="EM640" s="132"/>
      <c r="EN640" s="132"/>
      <c r="EO640" s="132"/>
      <c r="EP640" s="132"/>
      <c r="EQ640" s="132"/>
      <c r="ER640" s="132"/>
      <c r="ES640" s="132"/>
      <c r="ET640" s="11"/>
      <c r="EU640" s="11"/>
      <c r="EV640" s="11"/>
      <c r="EW640" s="11"/>
      <c r="EX640" s="11"/>
      <c r="EY640" s="11"/>
      <c r="EZ640" s="11"/>
      <c r="FA640" s="11"/>
      <c r="FB640" s="11"/>
      <c r="FC640" s="11"/>
      <c r="FD640" s="11"/>
      <c r="FE640" s="11"/>
      <c r="FF640" s="11"/>
      <c r="FG640" s="11"/>
      <c r="FH640" s="39">
        <f t="shared" si="151"/>
        <v>1072220.94</v>
      </c>
      <c r="FI640" s="33">
        <f t="shared" si="152"/>
        <v>3</v>
      </c>
      <c r="FJ640" s="84">
        <f t="shared" si="153"/>
        <v>357406.98</v>
      </c>
    </row>
    <row r="641" spans="1:166" ht="27" customHeight="1" x14ac:dyDescent="0.25">
      <c r="A641" s="79" t="e">
        <f>#REF!</f>
        <v>#REF!</v>
      </c>
      <c r="B641" s="75" t="e">
        <f>#REF!</f>
        <v>#REF!</v>
      </c>
      <c r="C641" s="75" t="e">
        <f>#REF!</f>
        <v>#REF!</v>
      </c>
      <c r="D641" s="75" t="e">
        <f>#REF!</f>
        <v>#REF!</v>
      </c>
      <c r="E641" s="30">
        <v>1</v>
      </c>
      <c r="F641" s="238">
        <v>0</v>
      </c>
      <c r="G641" s="241">
        <v>0</v>
      </c>
      <c r="H641" s="249">
        <v>0</v>
      </c>
      <c r="I641" s="249">
        <v>0</v>
      </c>
      <c r="J641" s="249">
        <v>547400</v>
      </c>
      <c r="K641" s="249">
        <v>535500</v>
      </c>
      <c r="L641" s="274">
        <f>J641</f>
        <v>547400</v>
      </c>
      <c r="M641" s="274">
        <f>K641*E1</f>
        <v>551565</v>
      </c>
      <c r="N641" s="245"/>
      <c r="O641" s="113"/>
      <c r="P641" s="113"/>
      <c r="Q641" s="131"/>
      <c r="R641" s="131"/>
      <c r="S641" s="64"/>
      <c r="T641" s="113"/>
      <c r="U641" s="113"/>
      <c r="V641" s="113"/>
      <c r="W641" s="131"/>
      <c r="X641" s="131"/>
      <c r="Y641" s="11"/>
      <c r="Z641" s="113"/>
      <c r="AA641" s="113"/>
      <c r="AB641" s="113"/>
      <c r="AC641" s="52"/>
      <c r="AD641" s="52"/>
      <c r="AE641" s="11"/>
      <c r="AF641" s="118"/>
      <c r="AG641" s="144"/>
      <c r="AH641" s="113"/>
      <c r="AI641" s="11"/>
      <c r="AJ641" s="11"/>
      <c r="AK641" s="39"/>
      <c r="AL641" s="113"/>
      <c r="AM641" s="113"/>
      <c r="AN641" s="117"/>
      <c r="AO641" s="76"/>
      <c r="AP641" s="39"/>
      <c r="AQ641" s="39"/>
      <c r="AR641" s="275">
        <v>720000</v>
      </c>
      <c r="AS641" s="143">
        <f>+AR641*0.19</f>
        <v>136800</v>
      </c>
      <c r="AT641" s="116">
        <f>+AR641+AS641</f>
        <v>856800</v>
      </c>
      <c r="AU641" s="62" t="s">
        <v>60</v>
      </c>
      <c r="AV641" s="36" t="s">
        <v>35</v>
      </c>
      <c r="AW641" s="11"/>
      <c r="AX641" s="116"/>
      <c r="AY641" s="196"/>
      <c r="AZ641" s="143"/>
      <c r="BA641" s="191"/>
      <c r="BB641" s="132"/>
      <c r="BC641" s="132"/>
      <c r="BD641" s="274"/>
      <c r="BE641" s="143"/>
      <c r="BF641" s="143"/>
      <c r="BG641" s="132"/>
      <c r="BH641" s="132"/>
      <c r="BI641" s="132"/>
      <c r="BJ641" s="143"/>
      <c r="BK641" s="143"/>
      <c r="BL641" s="143"/>
      <c r="BM641" s="132"/>
      <c r="BN641" s="132"/>
      <c r="BO641" s="132"/>
      <c r="BP641" s="143"/>
      <c r="BQ641" s="132"/>
      <c r="BR641" s="132"/>
      <c r="BS641" s="132"/>
      <c r="BT641" s="132"/>
      <c r="BU641" s="132"/>
      <c r="BV641" s="263">
        <f>2762900/2</f>
        <v>1381450</v>
      </c>
      <c r="BW641" s="144">
        <f>BV641*19%</f>
        <v>262475.5</v>
      </c>
      <c r="BX641" s="113">
        <f t="shared" si="159"/>
        <v>1643925.5</v>
      </c>
      <c r="BY641" s="264" t="s">
        <v>352</v>
      </c>
      <c r="BZ641" s="264" t="s">
        <v>88</v>
      </c>
      <c r="CA641" s="132"/>
      <c r="CB641" s="274"/>
      <c r="CC641" s="144"/>
      <c r="CD641" s="274"/>
      <c r="CE641" s="132"/>
      <c r="CF641" s="132"/>
      <c r="CG641" s="132"/>
      <c r="CH641" s="268"/>
      <c r="CI641" s="265"/>
      <c r="CJ641" s="263"/>
      <c r="CK641" s="264"/>
      <c r="CL641" s="264"/>
      <c r="CM641" s="132"/>
      <c r="CN641" s="274"/>
      <c r="CO641" s="144"/>
      <c r="CP641" s="274"/>
      <c r="CQ641" s="132"/>
      <c r="CR641" s="132"/>
      <c r="CS641" s="132"/>
      <c r="CT641" s="274"/>
      <c r="CU641" s="144"/>
      <c r="CV641" s="274"/>
      <c r="CW641" s="132"/>
      <c r="CX641" s="132"/>
      <c r="CY641" s="132"/>
      <c r="CZ641" s="118"/>
      <c r="DA641" s="144"/>
      <c r="DB641" s="118"/>
      <c r="DC641" s="33"/>
      <c r="DD641" s="39"/>
      <c r="DE641" s="11"/>
      <c r="DF641" s="132"/>
      <c r="DG641" s="132"/>
      <c r="DH641" s="132"/>
      <c r="DI641" s="132"/>
      <c r="DJ641" s="132"/>
      <c r="DK641" s="132"/>
      <c r="DL641" s="132"/>
      <c r="DM641" s="132"/>
      <c r="DN641" s="132"/>
      <c r="DO641" s="132"/>
      <c r="DP641" s="132"/>
      <c r="DQ641" s="132"/>
      <c r="DR641" s="132"/>
      <c r="DS641" s="132"/>
      <c r="DT641" s="132"/>
      <c r="DU641" s="132"/>
      <c r="DV641" s="132"/>
      <c r="DW641" s="132"/>
      <c r="DX641" s="132"/>
      <c r="DY641" s="132"/>
      <c r="DZ641" s="132"/>
      <c r="EA641" s="132"/>
      <c r="EB641" s="132"/>
      <c r="EC641" s="132"/>
      <c r="ED641" s="132"/>
      <c r="EE641" s="132"/>
      <c r="EF641" s="132"/>
      <c r="EG641" s="132"/>
      <c r="EH641" s="132"/>
      <c r="EI641" s="132"/>
      <c r="EJ641" s="132"/>
      <c r="EK641" s="132"/>
      <c r="EL641" s="132"/>
      <c r="EM641" s="132"/>
      <c r="EN641" s="132"/>
      <c r="EO641" s="132"/>
      <c r="EP641" s="132"/>
      <c r="EQ641" s="132"/>
      <c r="ER641" s="132"/>
      <c r="ES641" s="132"/>
      <c r="ET641" s="11"/>
      <c r="EU641" s="11"/>
      <c r="EV641" s="11"/>
      <c r="EW641" s="11"/>
      <c r="EX641" s="11"/>
      <c r="EY641" s="11"/>
      <c r="EZ641" s="11"/>
      <c r="FA641" s="11"/>
      <c r="FB641" s="11"/>
      <c r="FC641" s="11"/>
      <c r="FD641" s="11"/>
      <c r="FE641" s="11"/>
      <c r="FF641" s="11"/>
      <c r="FG641" s="11"/>
      <c r="FH641" s="39">
        <f t="shared" si="151"/>
        <v>3052290.5</v>
      </c>
      <c r="FI641" s="33">
        <f t="shared" si="152"/>
        <v>3</v>
      </c>
      <c r="FJ641" s="84">
        <f t="shared" si="153"/>
        <v>1017430.1666666666</v>
      </c>
    </row>
    <row r="642" spans="1:166" ht="38.25" x14ac:dyDescent="0.25">
      <c r="A642" s="79" t="e">
        <f>#REF!</f>
        <v>#REF!</v>
      </c>
      <c r="B642" s="75" t="e">
        <f>#REF!</f>
        <v>#REF!</v>
      </c>
      <c r="C642" s="75" t="e">
        <f>#REF!</f>
        <v>#REF!</v>
      </c>
      <c r="D642" s="75" t="e">
        <f>#REF!</f>
        <v>#REF!</v>
      </c>
      <c r="E642" s="30">
        <v>1</v>
      </c>
      <c r="F642" s="238">
        <v>0</v>
      </c>
      <c r="G642" s="241">
        <v>0</v>
      </c>
      <c r="H642" s="249">
        <v>1222189.5</v>
      </c>
      <c r="I642" s="249">
        <v>0</v>
      </c>
      <c r="J642" s="249">
        <v>1122586.4655376</v>
      </c>
      <c r="K642" s="249">
        <v>0</v>
      </c>
      <c r="L642" s="274">
        <f>AVERAGE(H642,J642)</f>
        <v>1172387.9827688001</v>
      </c>
      <c r="M642" s="274"/>
      <c r="N642" s="245"/>
      <c r="O642" s="113"/>
      <c r="P642" s="113"/>
      <c r="Q642" s="131"/>
      <c r="R642" s="131"/>
      <c r="S642" s="64"/>
      <c r="T642" s="113"/>
      <c r="U642" s="113"/>
      <c r="V642" s="113"/>
      <c r="W642" s="131"/>
      <c r="X642" s="131"/>
      <c r="Y642" s="11"/>
      <c r="Z642" s="113"/>
      <c r="AA642" s="113"/>
      <c r="AB642" s="113"/>
      <c r="AC642" s="52"/>
      <c r="AD642" s="52"/>
      <c r="AE642" s="11"/>
      <c r="AF642" s="118"/>
      <c r="AG642" s="144"/>
      <c r="AH642" s="113"/>
      <c r="AI642" s="11"/>
      <c r="AJ642" s="11"/>
      <c r="AK642" s="39"/>
      <c r="AL642" s="113"/>
      <c r="AM642" s="113"/>
      <c r="AN642" s="117"/>
      <c r="AO642" s="76"/>
      <c r="AP642" s="39"/>
      <c r="AQ642" s="39"/>
      <c r="AR642" s="275">
        <v>648000</v>
      </c>
      <c r="AS642" s="143">
        <f>+AR642*0.19</f>
        <v>123120</v>
      </c>
      <c r="AT642" s="116">
        <f>+AR642+AS642</f>
        <v>771120</v>
      </c>
      <c r="AU642" s="62" t="s">
        <v>95</v>
      </c>
      <c r="AV642" s="36" t="s">
        <v>35</v>
      </c>
      <c r="AW642" s="11"/>
      <c r="AX642" s="116"/>
      <c r="AY642" s="196"/>
      <c r="AZ642" s="143"/>
      <c r="BA642" s="191"/>
      <c r="BB642" s="132"/>
      <c r="BC642" s="132"/>
      <c r="BD642" s="274"/>
      <c r="BE642" s="143"/>
      <c r="BF642" s="143"/>
      <c r="BG642" s="132"/>
      <c r="BH642" s="132"/>
      <c r="BI642" s="132"/>
      <c r="BJ642" s="143"/>
      <c r="BK642" s="143"/>
      <c r="BL642" s="143"/>
      <c r="BM642" s="132"/>
      <c r="BN642" s="132"/>
      <c r="BO642" s="132"/>
      <c r="BP642" s="143">
        <v>1062805</v>
      </c>
      <c r="BQ642" s="144">
        <f>BP642*19%</f>
        <v>201932.95</v>
      </c>
      <c r="BR642" s="113">
        <f>+BP642+BQ642</f>
        <v>1264737.95</v>
      </c>
      <c r="BS642" s="33" t="s">
        <v>515</v>
      </c>
      <c r="BT642" s="36" t="s">
        <v>516</v>
      </c>
      <c r="BU642" s="5" t="s">
        <v>517</v>
      </c>
      <c r="BV642" s="263">
        <v>3170100</v>
      </c>
      <c r="BW642" s="144">
        <f>BV642*19%</f>
        <v>602319</v>
      </c>
      <c r="BX642" s="113">
        <f t="shared" si="159"/>
        <v>3772419</v>
      </c>
      <c r="BY642" s="264" t="s">
        <v>352</v>
      </c>
      <c r="BZ642" s="264" t="s">
        <v>338</v>
      </c>
      <c r="CA642" s="132"/>
      <c r="CB642" s="274"/>
      <c r="CC642" s="144"/>
      <c r="CD642" s="274"/>
      <c r="CE642" s="132"/>
      <c r="CF642" s="132"/>
      <c r="CG642" s="132"/>
      <c r="CH642" s="268"/>
      <c r="CI642" s="265"/>
      <c r="CJ642" s="263"/>
      <c r="CK642" s="264"/>
      <c r="CL642" s="264"/>
      <c r="CM642" s="132"/>
      <c r="CN642" s="274"/>
      <c r="CO642" s="144"/>
      <c r="CP642" s="274"/>
      <c r="CQ642" s="132"/>
      <c r="CR642" s="132"/>
      <c r="CS642" s="132"/>
      <c r="CT642" s="274"/>
      <c r="CU642" s="144"/>
      <c r="CV642" s="274"/>
      <c r="CW642" s="132"/>
      <c r="CX642" s="132"/>
      <c r="CY642" s="132"/>
      <c r="CZ642" s="118"/>
      <c r="DA642" s="144"/>
      <c r="DB642" s="118"/>
      <c r="DC642" s="33"/>
      <c r="DD642" s="39"/>
      <c r="DE642" s="11"/>
      <c r="DF642" s="132"/>
      <c r="DG642" s="132"/>
      <c r="DH642" s="132"/>
      <c r="DI642" s="132"/>
      <c r="DJ642" s="132"/>
      <c r="DK642" s="132"/>
      <c r="DL642" s="132"/>
      <c r="DM642" s="132"/>
      <c r="DN642" s="132"/>
      <c r="DO642" s="132"/>
      <c r="DP642" s="132"/>
      <c r="DQ642" s="132"/>
      <c r="DR642" s="132"/>
      <c r="DS642" s="132"/>
      <c r="DT642" s="132"/>
      <c r="DU642" s="132"/>
      <c r="DV642" s="132"/>
      <c r="DW642" s="132"/>
      <c r="DX642" s="132"/>
      <c r="DY642" s="132"/>
      <c r="DZ642" s="132"/>
      <c r="EA642" s="132"/>
      <c r="EB642" s="132"/>
      <c r="EC642" s="132"/>
      <c r="ED642" s="132"/>
      <c r="EE642" s="132"/>
      <c r="EF642" s="132"/>
      <c r="EG642" s="132"/>
      <c r="EH642" s="132"/>
      <c r="EI642" s="132"/>
      <c r="EJ642" s="132"/>
      <c r="EK642" s="132"/>
      <c r="EL642" s="132"/>
      <c r="EM642" s="132"/>
      <c r="EN642" s="132"/>
      <c r="EO642" s="132"/>
      <c r="EP642" s="132"/>
      <c r="EQ642" s="132"/>
      <c r="ER642" s="132"/>
      <c r="ES642" s="132"/>
      <c r="ET642" s="11"/>
      <c r="EU642" s="11"/>
      <c r="EV642" s="11"/>
      <c r="EW642" s="11"/>
      <c r="EX642" s="11"/>
      <c r="EY642" s="11"/>
      <c r="EZ642" s="11"/>
      <c r="FA642" s="11"/>
      <c r="FB642" s="11"/>
      <c r="FC642" s="11"/>
      <c r="FD642" s="11"/>
      <c r="FE642" s="11"/>
      <c r="FF642" s="11"/>
      <c r="FG642" s="11"/>
      <c r="FH642" s="39">
        <f t="shared" si="151"/>
        <v>5808276.9500000002</v>
      </c>
      <c r="FI642" s="33">
        <f t="shared" si="152"/>
        <v>3</v>
      </c>
      <c r="FJ642" s="84">
        <f t="shared" si="153"/>
        <v>1936092.3166666667</v>
      </c>
    </row>
    <row r="643" spans="1:166" ht="27" x14ac:dyDescent="0.25">
      <c r="A643" s="79" t="e">
        <f>#REF!</f>
        <v>#REF!</v>
      </c>
      <c r="B643" s="75" t="e">
        <f>#REF!</f>
        <v>#REF!</v>
      </c>
      <c r="C643" s="75" t="e">
        <f>#REF!</f>
        <v>#REF!</v>
      </c>
      <c r="D643" s="75" t="e">
        <f>#REF!</f>
        <v>#REF!</v>
      </c>
      <c r="E643" s="30">
        <v>1</v>
      </c>
      <c r="F643" s="238">
        <v>298372.66666666669</v>
      </c>
      <c r="G643" s="241">
        <v>297500</v>
      </c>
      <c r="H643" s="249">
        <v>622330.36982666666</v>
      </c>
      <c r="I643" s="249">
        <v>0</v>
      </c>
      <c r="J643" s="249">
        <v>512073.20564213331</v>
      </c>
      <c r="K643" s="249">
        <v>506940</v>
      </c>
      <c r="L643" s="274">
        <f>AVERAGE(F643,H643,J643)</f>
        <v>477592.0807118222</v>
      </c>
      <c r="M643" s="274">
        <f>AVERAGE(G643,K643)*E1</f>
        <v>414286.60000000003</v>
      </c>
      <c r="N643" s="245"/>
      <c r="O643" s="113"/>
      <c r="P643" s="113"/>
      <c r="Q643" s="131"/>
      <c r="R643" s="131"/>
      <c r="S643" s="64"/>
      <c r="T643" s="113"/>
      <c r="U643" s="113"/>
      <c r="V643" s="113"/>
      <c r="W643" s="131"/>
      <c r="X643" s="131"/>
      <c r="Y643" s="11"/>
      <c r="Z643" s="113"/>
      <c r="AA643" s="113"/>
      <c r="AB643" s="113"/>
      <c r="AC643" s="52"/>
      <c r="AD643" s="52"/>
      <c r="AE643" s="11"/>
      <c r="AF643" s="118"/>
      <c r="AG643" s="144"/>
      <c r="AH643" s="113"/>
      <c r="AI643" s="11"/>
      <c r="AJ643" s="11"/>
      <c r="AK643" s="39"/>
      <c r="AL643" s="113">
        <v>334000</v>
      </c>
      <c r="AM643" s="113">
        <f>+AL643*0.19</f>
        <v>63460</v>
      </c>
      <c r="AN643" s="119">
        <f>+AL643+AM643</f>
        <v>397460</v>
      </c>
      <c r="AO643" s="76" t="s">
        <v>60</v>
      </c>
      <c r="AP643" s="39" t="s">
        <v>45</v>
      </c>
      <c r="AQ643" s="39"/>
      <c r="AR643" s="275">
        <v>194400</v>
      </c>
      <c r="AS643" s="143">
        <f>+AR643*0.19</f>
        <v>36936</v>
      </c>
      <c r="AT643" s="116">
        <f>+AR643+AS643</f>
        <v>231336</v>
      </c>
      <c r="AU643" s="62" t="s">
        <v>60</v>
      </c>
      <c r="AV643" s="36" t="s">
        <v>35</v>
      </c>
      <c r="AW643" s="11"/>
      <c r="AX643" s="116"/>
      <c r="AY643" s="196"/>
      <c r="AZ643" s="143"/>
      <c r="BA643" s="191"/>
      <c r="BB643" s="132"/>
      <c r="BC643" s="132"/>
      <c r="BD643" s="274"/>
      <c r="BE643" s="143"/>
      <c r="BF643" s="143"/>
      <c r="BG643" s="132"/>
      <c r="BH643" s="132"/>
      <c r="BI643" s="132"/>
      <c r="BJ643" s="143"/>
      <c r="BK643" s="143"/>
      <c r="BL643" s="143"/>
      <c r="BM643" s="132"/>
      <c r="BN643" s="132"/>
      <c r="BO643" s="132"/>
      <c r="BP643" s="143">
        <v>407243</v>
      </c>
      <c r="BQ643" s="144">
        <f>BP643*19%</f>
        <v>77376.17</v>
      </c>
      <c r="BR643" s="113">
        <f>+BP643+BQ643</f>
        <v>484619.17</v>
      </c>
      <c r="BS643" s="33" t="s">
        <v>132</v>
      </c>
      <c r="BT643" s="36" t="s">
        <v>518</v>
      </c>
      <c r="BU643" s="5" t="s">
        <v>519</v>
      </c>
      <c r="BV643" s="263">
        <v>644500</v>
      </c>
      <c r="BW643" s="144">
        <f>BV643*19%</f>
        <v>122455</v>
      </c>
      <c r="BX643" s="113">
        <f t="shared" si="159"/>
        <v>766955</v>
      </c>
      <c r="BY643" s="264" t="s">
        <v>231</v>
      </c>
      <c r="BZ643" s="264" t="s">
        <v>477</v>
      </c>
      <c r="CA643" s="132"/>
      <c r="CB643" s="274"/>
      <c r="CC643" s="144"/>
      <c r="CD643" s="274"/>
      <c r="CE643" s="132"/>
      <c r="CF643" s="132"/>
      <c r="CG643" s="132"/>
      <c r="CH643" s="263">
        <v>670280</v>
      </c>
      <c r="CI643" s="265">
        <f>+CH643*0.19</f>
        <v>127353.2</v>
      </c>
      <c r="CJ643" s="263">
        <f>+CH643+CI643</f>
        <v>797633.2</v>
      </c>
      <c r="CK643" s="264" t="s">
        <v>231</v>
      </c>
      <c r="CL643" s="264" t="s">
        <v>477</v>
      </c>
      <c r="CM643" s="132"/>
      <c r="CN643" s="274"/>
      <c r="CO643" s="144"/>
      <c r="CP643" s="274"/>
      <c r="CQ643" s="132"/>
      <c r="CR643" s="132"/>
      <c r="CS643" s="132"/>
      <c r="CT643" s="274"/>
      <c r="CU643" s="144"/>
      <c r="CV643" s="274"/>
      <c r="CW643" s="132"/>
      <c r="CX643" s="132"/>
      <c r="CY643" s="132"/>
      <c r="CZ643" s="118"/>
      <c r="DA643" s="144"/>
      <c r="DB643" s="118"/>
      <c r="DC643" s="33"/>
      <c r="DD643" s="39"/>
      <c r="DE643" s="11"/>
      <c r="DF643" s="132"/>
      <c r="DG643" s="132"/>
      <c r="DH643" s="132"/>
      <c r="DI643" s="132"/>
      <c r="DJ643" s="132"/>
      <c r="DK643" s="132"/>
      <c r="DL643" s="132"/>
      <c r="DM643" s="132"/>
      <c r="DN643" s="132"/>
      <c r="DO643" s="132"/>
      <c r="DP643" s="132"/>
      <c r="DQ643" s="132"/>
      <c r="DR643" s="132"/>
      <c r="DS643" s="132"/>
      <c r="DT643" s="132"/>
      <c r="DU643" s="132"/>
      <c r="DV643" s="132"/>
      <c r="DW643" s="132"/>
      <c r="DX643" s="132"/>
      <c r="DY643" s="132"/>
      <c r="DZ643" s="132"/>
      <c r="EA643" s="132"/>
      <c r="EB643" s="132"/>
      <c r="EC643" s="132"/>
      <c r="ED643" s="132"/>
      <c r="EE643" s="132"/>
      <c r="EF643" s="132"/>
      <c r="EG643" s="132"/>
      <c r="EH643" s="132"/>
      <c r="EI643" s="132"/>
      <c r="EJ643" s="132"/>
      <c r="EK643" s="132"/>
      <c r="EL643" s="132"/>
      <c r="EM643" s="132"/>
      <c r="EN643" s="132"/>
      <c r="EO643" s="132"/>
      <c r="EP643" s="132"/>
      <c r="EQ643" s="132"/>
      <c r="ER643" s="132"/>
      <c r="ES643" s="132"/>
      <c r="ET643" s="11"/>
      <c r="EU643" s="11"/>
      <c r="EV643" s="11"/>
      <c r="EW643" s="11"/>
      <c r="EX643" s="11"/>
      <c r="EY643" s="11"/>
      <c r="EZ643" s="11"/>
      <c r="FA643" s="11"/>
      <c r="FB643" s="11"/>
      <c r="FC643" s="11"/>
      <c r="FD643" s="11"/>
      <c r="FE643" s="11"/>
      <c r="FF643" s="11"/>
      <c r="FG643" s="11"/>
      <c r="FH643" s="39">
        <f t="shared" ref="FH643:FH706" si="160">SUM(M643,P643,V643,AB643,AH643,AN643,AT643,AZ643,BF643,BL643,BR643,BX643,CD643,CJ643,CP643,CV643,DB643,DH643,DN643,DT643,DZ643,EF643,EL643,ER643,EX643,FD643)</f>
        <v>3092289.9699999997</v>
      </c>
      <c r="FI643" s="33">
        <f t="shared" ref="FI643:FI706" si="161">COUNTA(M643,N643,T643,Z643,AF643,AL643,AR643,AX643,BD643,BJ643,BP643,BV643,CB643,CH643,CN643,CT643,CZ643,DF643,DL643,DR643,DX643,ED643,EJ643,EP643,EV643,FB643)</f>
        <v>6</v>
      </c>
      <c r="FJ643" s="84">
        <f t="shared" ref="FJ643:FJ706" si="162">IFERROR(FH643/FI643," ")</f>
        <v>515381.66166666662</v>
      </c>
    </row>
    <row r="644" spans="1:166" x14ac:dyDescent="0.25">
      <c r="A644" s="79" t="e">
        <f>#REF!</f>
        <v>#REF!</v>
      </c>
      <c r="B644" s="75" t="e">
        <f>#REF!</f>
        <v>#REF!</v>
      </c>
      <c r="C644" s="75" t="e">
        <f>#REF!</f>
        <v>#REF!</v>
      </c>
      <c r="D644" s="75" t="e">
        <f>#REF!</f>
        <v>#REF!</v>
      </c>
      <c r="E644" s="30">
        <v>1</v>
      </c>
      <c r="F644" s="238">
        <v>0</v>
      </c>
      <c r="G644" s="241">
        <v>0</v>
      </c>
      <c r="H644" s="249">
        <v>1879491</v>
      </c>
      <c r="I644" s="249">
        <v>0</v>
      </c>
      <c r="J644" s="249">
        <v>2365690.25</v>
      </c>
      <c r="K644" s="249">
        <v>0</v>
      </c>
      <c r="L644" s="274">
        <f>AVERAGE(H644,J644)</f>
        <v>2122590.625</v>
      </c>
      <c r="M644" s="274"/>
      <c r="N644" s="245"/>
      <c r="O644" s="113"/>
      <c r="P644" s="113"/>
      <c r="Q644" s="131"/>
      <c r="R644" s="131"/>
      <c r="S644" s="64"/>
      <c r="T644" s="113">
        <v>2444000</v>
      </c>
      <c r="U644" s="113">
        <f>+T644*0.19</f>
        <v>464360</v>
      </c>
      <c r="V644" s="113">
        <f>+T644+U644</f>
        <v>2908360</v>
      </c>
      <c r="W644" s="131" t="s">
        <v>367</v>
      </c>
      <c r="X644" s="131" t="s">
        <v>138</v>
      </c>
      <c r="Y644" s="11"/>
      <c r="Z644" s="113"/>
      <c r="AA644" s="113"/>
      <c r="AB644" s="113"/>
      <c r="AC644" s="52"/>
      <c r="AD644" s="52"/>
      <c r="AE644" s="11"/>
      <c r="AF644" s="118"/>
      <c r="AG644" s="144"/>
      <c r="AH644" s="113"/>
      <c r="AI644" s="11"/>
      <c r="AJ644" s="39"/>
      <c r="AK644" s="39"/>
      <c r="AL644" s="113"/>
      <c r="AM644" s="113"/>
      <c r="AN644" s="147"/>
      <c r="AO644" s="76"/>
      <c r="AP644" s="39"/>
      <c r="AQ644" s="39"/>
      <c r="AR644" s="275"/>
      <c r="AS644" s="275"/>
      <c r="AT644" s="275"/>
      <c r="AU644" s="62"/>
      <c r="AV644" s="62"/>
      <c r="AW644" s="11"/>
      <c r="AX644" s="116"/>
      <c r="AY644" s="196"/>
      <c r="AZ644" s="143"/>
      <c r="BA644" s="191"/>
      <c r="BB644" s="132"/>
      <c r="BC644" s="132"/>
      <c r="BD644" s="274"/>
      <c r="BE644" s="143"/>
      <c r="BF644" s="143"/>
      <c r="BG644" s="132"/>
      <c r="BH644" s="132"/>
      <c r="BI644" s="132"/>
      <c r="BJ644" s="143"/>
      <c r="BK644" s="143"/>
      <c r="BL644" s="143"/>
      <c r="BM644" s="132"/>
      <c r="BN644" s="132"/>
      <c r="BO644" s="132"/>
      <c r="BP644" s="143"/>
      <c r="BQ644" s="132"/>
      <c r="BR644" s="132"/>
      <c r="BS644" s="39"/>
      <c r="BT644" s="39"/>
      <c r="BU644" s="39"/>
      <c r="BV644" s="210"/>
      <c r="BW644" s="144"/>
      <c r="BX644" s="113"/>
      <c r="BY644" s="273"/>
      <c r="BZ644" s="273"/>
      <c r="CA644" s="132"/>
      <c r="CB644" s="274"/>
      <c r="CC644" s="144"/>
      <c r="CD644" s="274"/>
      <c r="CE644" s="132"/>
      <c r="CF644" s="132"/>
      <c r="CG644" s="132"/>
      <c r="CH644" s="210"/>
      <c r="CI644" s="219"/>
      <c r="CJ644" s="210"/>
      <c r="CK644" s="273"/>
      <c r="CL644" s="273"/>
      <c r="CM644" s="132"/>
      <c r="CN644" s="274"/>
      <c r="CO644" s="144"/>
      <c r="CP644" s="274"/>
      <c r="CQ644" s="132"/>
      <c r="CR644" s="132"/>
      <c r="CS644" s="132"/>
      <c r="CT644" s="274"/>
      <c r="CU644" s="144"/>
      <c r="CV644" s="274"/>
      <c r="CW644" s="132"/>
      <c r="CX644" s="132"/>
      <c r="CY644" s="132"/>
      <c r="CZ644" s="118"/>
      <c r="DA644" s="144"/>
      <c r="DB644" s="118"/>
      <c r="DC644" s="33"/>
      <c r="DD644" s="39"/>
      <c r="DE644" s="11"/>
      <c r="DF644" s="132"/>
      <c r="DG644" s="132"/>
      <c r="DH644" s="132"/>
      <c r="DI644" s="132"/>
      <c r="DJ644" s="132"/>
      <c r="DK644" s="132"/>
      <c r="DL644" s="132"/>
      <c r="DM644" s="132"/>
      <c r="DN644" s="132"/>
      <c r="DO644" s="132"/>
      <c r="DP644" s="132"/>
      <c r="DQ644" s="132"/>
      <c r="DR644" s="132"/>
      <c r="DS644" s="132"/>
      <c r="DT644" s="132"/>
      <c r="DU644" s="132"/>
      <c r="DV644" s="132"/>
      <c r="DW644" s="132"/>
      <c r="DX644" s="132"/>
      <c r="DY644" s="132"/>
      <c r="DZ644" s="132"/>
      <c r="EA644" s="132"/>
      <c r="EB644" s="132"/>
      <c r="EC644" s="132"/>
      <c r="ED644" s="132"/>
      <c r="EE644" s="132"/>
      <c r="EF644" s="132"/>
      <c r="EG644" s="132"/>
      <c r="EH644" s="132"/>
      <c r="EI644" s="132"/>
      <c r="EJ644" s="132"/>
      <c r="EK644" s="132"/>
      <c r="EL644" s="132"/>
      <c r="EM644" s="132"/>
      <c r="EN644" s="132"/>
      <c r="EO644" s="132"/>
      <c r="EP644" s="132"/>
      <c r="EQ644" s="132"/>
      <c r="ER644" s="132"/>
      <c r="ES644" s="132"/>
      <c r="ET644" s="11"/>
      <c r="EU644" s="11"/>
      <c r="EV644" s="11"/>
      <c r="EW644" s="11"/>
      <c r="EX644" s="11"/>
      <c r="EY644" s="11"/>
      <c r="EZ644" s="11"/>
      <c r="FA644" s="11"/>
      <c r="FB644" s="11"/>
      <c r="FC644" s="11"/>
      <c r="FD644" s="11"/>
      <c r="FE644" s="11"/>
      <c r="FF644" s="11"/>
      <c r="FG644" s="11"/>
      <c r="FH644" s="39">
        <f t="shared" si="160"/>
        <v>2908360</v>
      </c>
      <c r="FI644" s="33">
        <f t="shared" si="161"/>
        <v>1</v>
      </c>
      <c r="FJ644" s="84">
        <f t="shared" si="162"/>
        <v>2908360</v>
      </c>
    </row>
    <row r="645" spans="1:166" x14ac:dyDescent="0.25">
      <c r="A645" s="79" t="e">
        <f>#REF!</f>
        <v>#REF!</v>
      </c>
      <c r="B645" s="75" t="e">
        <f>#REF!</f>
        <v>#REF!</v>
      </c>
      <c r="C645" s="75" t="e">
        <f>#REF!</f>
        <v>#REF!</v>
      </c>
      <c r="D645" s="75" t="e">
        <f>#REF!</f>
        <v>#REF!</v>
      </c>
      <c r="E645" s="30">
        <v>1</v>
      </c>
      <c r="F645" s="238">
        <v>0</v>
      </c>
      <c r="G645" s="241">
        <v>0</v>
      </c>
      <c r="H645" s="249">
        <v>1707804.3333333333</v>
      </c>
      <c r="I645" s="249">
        <v>0</v>
      </c>
      <c r="J645" s="249">
        <v>2357845</v>
      </c>
      <c r="K645" s="249">
        <v>0</v>
      </c>
      <c r="L645" s="274">
        <f>AVERAGE(H645,J645)</f>
        <v>2032824.6666666665</v>
      </c>
      <c r="M645" s="274"/>
      <c r="N645" s="245"/>
      <c r="O645" s="113"/>
      <c r="P645" s="113"/>
      <c r="Q645" s="52"/>
      <c r="R645" s="52"/>
      <c r="S645" s="5"/>
      <c r="T645" s="113">
        <v>2003000</v>
      </c>
      <c r="U645" s="113">
        <f>+T645*0.19</f>
        <v>380570</v>
      </c>
      <c r="V645" s="113">
        <f>+T645+U645</f>
        <v>2383570</v>
      </c>
      <c r="W645" s="131" t="s">
        <v>367</v>
      </c>
      <c r="X645" s="131" t="s">
        <v>138</v>
      </c>
      <c r="Y645" s="11"/>
      <c r="Z645" s="113"/>
      <c r="AA645" s="113"/>
      <c r="AB645" s="113"/>
      <c r="AC645" s="52"/>
      <c r="AD645" s="52"/>
      <c r="AE645" s="11"/>
      <c r="AF645" s="118"/>
      <c r="AG645" s="144"/>
      <c r="AH645" s="113"/>
      <c r="AI645" s="11"/>
      <c r="AJ645" s="11"/>
      <c r="AK645" s="11"/>
      <c r="AL645" s="113"/>
      <c r="AM645" s="113"/>
      <c r="AN645" s="113"/>
      <c r="AO645" s="76"/>
      <c r="AP645" s="11"/>
      <c r="AQ645" s="11"/>
      <c r="AR645" s="275"/>
      <c r="AS645" s="275"/>
      <c r="AT645" s="275"/>
      <c r="AU645" s="62"/>
      <c r="AV645" s="48"/>
      <c r="AW645" s="11"/>
      <c r="AX645" s="275"/>
      <c r="AY645" s="275"/>
      <c r="AZ645" s="275"/>
      <c r="BA645" s="11"/>
      <c r="BB645" s="11"/>
      <c r="BC645" s="11"/>
      <c r="BD645" s="274"/>
      <c r="BE645" s="143"/>
      <c r="BF645" s="143"/>
      <c r="BG645" s="132"/>
      <c r="BH645" s="11"/>
      <c r="BI645" s="132"/>
      <c r="BJ645" s="143"/>
      <c r="BK645" s="143"/>
      <c r="BL645" s="143"/>
      <c r="BM645" s="132"/>
      <c r="BN645" s="132"/>
      <c r="BO645" s="132"/>
      <c r="BP645" s="143"/>
      <c r="BQ645" s="132"/>
      <c r="BR645" s="132"/>
      <c r="BS645" s="132"/>
      <c r="BT645" s="132"/>
      <c r="BU645" s="132"/>
      <c r="BV645" s="210"/>
      <c r="BW645" s="144"/>
      <c r="BX645" s="113"/>
      <c r="BY645" s="273"/>
      <c r="BZ645" s="273"/>
      <c r="CA645" s="132"/>
      <c r="CB645" s="274"/>
      <c r="CC645" s="144"/>
      <c r="CD645" s="274"/>
      <c r="CE645" s="132"/>
      <c r="CF645" s="132"/>
      <c r="CG645" s="132"/>
      <c r="CH645" s="210"/>
      <c r="CI645" s="219"/>
      <c r="CJ645" s="210"/>
      <c r="CK645" s="273"/>
      <c r="CL645" s="273"/>
      <c r="CM645" s="132"/>
      <c r="CN645" s="274"/>
      <c r="CO645" s="144"/>
      <c r="CP645" s="274"/>
      <c r="CQ645" s="132"/>
      <c r="CR645" s="132"/>
      <c r="CS645" s="132"/>
      <c r="CT645" s="274"/>
      <c r="CU645" s="144"/>
      <c r="CV645" s="274"/>
      <c r="CW645" s="132"/>
      <c r="CX645" s="132"/>
      <c r="CY645" s="132"/>
      <c r="CZ645" s="118"/>
      <c r="DA645" s="144"/>
      <c r="DB645" s="118"/>
      <c r="DC645" s="33"/>
      <c r="DD645" s="39"/>
      <c r="DE645" s="11"/>
      <c r="DF645" s="132"/>
      <c r="DG645" s="132"/>
      <c r="DH645" s="132"/>
      <c r="DI645" s="132"/>
      <c r="DJ645" s="132"/>
      <c r="DK645" s="132"/>
      <c r="DL645" s="132"/>
      <c r="DM645" s="132"/>
      <c r="DN645" s="132"/>
      <c r="DO645" s="132"/>
      <c r="DP645" s="132"/>
      <c r="DQ645" s="132"/>
      <c r="DR645" s="132"/>
      <c r="DS645" s="132"/>
      <c r="DT645" s="132"/>
      <c r="DU645" s="132"/>
      <c r="DV645" s="132"/>
      <c r="DW645" s="132"/>
      <c r="DX645" s="132"/>
      <c r="DY645" s="132"/>
      <c r="DZ645" s="132"/>
      <c r="EA645" s="132"/>
      <c r="EB645" s="132"/>
      <c r="EC645" s="132"/>
      <c r="ED645" s="132"/>
      <c r="EE645" s="132"/>
      <c r="EF645" s="132"/>
      <c r="EG645" s="132"/>
      <c r="EH645" s="132"/>
      <c r="EI645" s="132"/>
      <c r="EJ645" s="132"/>
      <c r="EK645" s="132"/>
      <c r="EL645" s="132"/>
      <c r="EM645" s="132"/>
      <c r="EN645" s="132"/>
      <c r="EO645" s="132"/>
      <c r="EP645" s="132"/>
      <c r="EQ645" s="132"/>
      <c r="ER645" s="132"/>
      <c r="ES645" s="132"/>
      <c r="ET645" s="11"/>
      <c r="EU645" s="11"/>
      <c r="EV645" s="11"/>
      <c r="EW645" s="11"/>
      <c r="EX645" s="11"/>
      <c r="EY645" s="11"/>
      <c r="EZ645" s="11"/>
      <c r="FA645" s="11"/>
      <c r="FB645" s="11"/>
      <c r="FC645" s="11"/>
      <c r="FD645" s="11"/>
      <c r="FE645" s="11"/>
      <c r="FF645" s="11"/>
      <c r="FG645" s="11"/>
      <c r="FH645" s="39">
        <f t="shared" si="160"/>
        <v>2383570</v>
      </c>
      <c r="FI645" s="33">
        <f t="shared" si="161"/>
        <v>1</v>
      </c>
      <c r="FJ645" s="84">
        <f t="shared" si="162"/>
        <v>2383570</v>
      </c>
    </row>
    <row r="646" spans="1:166" ht="38.25" x14ac:dyDescent="0.25">
      <c r="A646" s="79" t="e">
        <f>#REF!</f>
        <v>#REF!</v>
      </c>
      <c r="B646" s="75" t="e">
        <f>#REF!</f>
        <v>#REF!</v>
      </c>
      <c r="C646" s="75" t="e">
        <f>#REF!</f>
        <v>#REF!</v>
      </c>
      <c r="D646" s="75" t="e">
        <f>#REF!</f>
        <v>#REF!</v>
      </c>
      <c r="E646" s="30">
        <v>1</v>
      </c>
      <c r="F646" s="238">
        <v>0</v>
      </c>
      <c r="G646" s="241">
        <v>0</v>
      </c>
      <c r="H646" s="249">
        <v>0</v>
      </c>
      <c r="I646" s="249">
        <v>0</v>
      </c>
      <c r="J646" s="249">
        <v>0</v>
      </c>
      <c r="K646" s="249">
        <v>0</v>
      </c>
      <c r="L646" s="274"/>
      <c r="M646" s="274"/>
      <c r="N646" s="245"/>
      <c r="O646" s="113"/>
      <c r="P646" s="113"/>
      <c r="Q646" s="131"/>
      <c r="R646" s="131"/>
      <c r="S646" s="64"/>
      <c r="T646" s="113">
        <v>218000</v>
      </c>
      <c r="U646" s="113">
        <f>+T646*0.19</f>
        <v>41420</v>
      </c>
      <c r="V646" s="113">
        <f>+T646+U646</f>
        <v>259420</v>
      </c>
      <c r="W646" s="131" t="s">
        <v>44</v>
      </c>
      <c r="X646" s="131" t="s">
        <v>166</v>
      </c>
      <c r="Y646" s="11"/>
      <c r="Z646" s="113"/>
      <c r="AA646" s="113"/>
      <c r="AB646" s="113"/>
      <c r="AC646" s="52"/>
      <c r="AD646" s="52"/>
      <c r="AE646" s="11"/>
      <c r="AF646" s="118"/>
      <c r="AG646" s="144"/>
      <c r="AH646" s="113"/>
      <c r="AI646" s="11"/>
      <c r="AJ646" s="11"/>
      <c r="AK646" s="39"/>
      <c r="AL646" s="113"/>
      <c r="AM646" s="113"/>
      <c r="AN646" s="119"/>
      <c r="AO646" s="76"/>
      <c r="AP646" s="39"/>
      <c r="AQ646" s="39"/>
      <c r="AR646" s="275"/>
      <c r="AS646" s="143"/>
      <c r="AT646" s="116"/>
      <c r="AU646" s="62"/>
      <c r="AV646" s="36"/>
      <c r="AW646" s="11"/>
      <c r="AX646" s="116"/>
      <c r="AY646" s="196"/>
      <c r="AZ646" s="143"/>
      <c r="BA646" s="191"/>
      <c r="BB646" s="132"/>
      <c r="BC646" s="132"/>
      <c r="BD646" s="274"/>
      <c r="BE646" s="143"/>
      <c r="BF646" s="143"/>
      <c r="BG646" s="132"/>
      <c r="BH646" s="132"/>
      <c r="BI646" s="132"/>
      <c r="BJ646" s="143"/>
      <c r="BK646" s="143"/>
      <c r="BL646" s="143"/>
      <c r="BM646" s="132"/>
      <c r="BN646" s="132"/>
      <c r="BO646" s="132"/>
      <c r="BP646" s="143">
        <v>253252</v>
      </c>
      <c r="BQ646" s="144">
        <f>BP646*19%</f>
        <v>48117.88</v>
      </c>
      <c r="BR646" s="113">
        <f>+BP646+BQ646</f>
        <v>301369.88</v>
      </c>
      <c r="BS646" s="33" t="s">
        <v>39</v>
      </c>
      <c r="BT646" s="36" t="s">
        <v>520</v>
      </c>
      <c r="BU646" s="5" t="s">
        <v>521</v>
      </c>
      <c r="BV646" s="263">
        <v>632500</v>
      </c>
      <c r="BW646" s="144">
        <f>BV646*19%</f>
        <v>120175</v>
      </c>
      <c r="BX646" s="113">
        <f>+BV646+BW646</f>
        <v>752675</v>
      </c>
      <c r="BY646" s="264" t="s">
        <v>314</v>
      </c>
      <c r="BZ646" s="264" t="s">
        <v>477</v>
      </c>
      <c r="CA646" s="132"/>
      <c r="CB646" s="274"/>
      <c r="CC646" s="144"/>
      <c r="CD646" s="274"/>
      <c r="CE646" s="132"/>
      <c r="CF646" s="132"/>
      <c r="CG646" s="132"/>
      <c r="CH646" s="263">
        <v>657800</v>
      </c>
      <c r="CI646" s="265">
        <f>+CH646*0.19</f>
        <v>124982</v>
      </c>
      <c r="CJ646" s="263">
        <f>+CH646+CI646</f>
        <v>782782</v>
      </c>
      <c r="CK646" s="264" t="s">
        <v>314</v>
      </c>
      <c r="CL646" s="264" t="s">
        <v>477</v>
      </c>
      <c r="CM646" s="132"/>
      <c r="CN646" s="274"/>
      <c r="CO646" s="144"/>
      <c r="CP646" s="274"/>
      <c r="CQ646" s="132"/>
      <c r="CR646" s="132"/>
      <c r="CS646" s="132"/>
      <c r="CT646" s="144">
        <v>85000</v>
      </c>
      <c r="CU646" s="144">
        <f>CT646*0.19</f>
        <v>16150</v>
      </c>
      <c r="CV646" s="144">
        <f>CU646+CT646</f>
        <v>101150</v>
      </c>
      <c r="CW646" s="132"/>
      <c r="CX646" s="132"/>
      <c r="CY646" s="132"/>
      <c r="CZ646" s="118">
        <v>70914</v>
      </c>
      <c r="DA646" s="144">
        <f>+CZ646*0.19</f>
        <v>13473.66</v>
      </c>
      <c r="DB646" s="118">
        <f>+CZ646+DA646</f>
        <v>84387.66</v>
      </c>
      <c r="DC646" s="33" t="s">
        <v>522</v>
      </c>
      <c r="DD646" s="39" t="s">
        <v>58</v>
      </c>
      <c r="DE646" s="11" t="s">
        <v>523</v>
      </c>
      <c r="DF646" s="132"/>
      <c r="DG646" s="132"/>
      <c r="DH646" s="132"/>
      <c r="DI646" s="132"/>
      <c r="DJ646" s="132"/>
      <c r="DK646" s="132"/>
      <c r="DL646" s="132"/>
      <c r="DM646" s="132"/>
      <c r="DN646" s="132"/>
      <c r="DO646" s="132"/>
      <c r="DP646" s="132"/>
      <c r="DQ646" s="132"/>
      <c r="DR646" s="132"/>
      <c r="DS646" s="132"/>
      <c r="DT646" s="132"/>
      <c r="DU646" s="132"/>
      <c r="DV646" s="132"/>
      <c r="DW646" s="132"/>
      <c r="DX646" s="132"/>
      <c r="DY646" s="132"/>
      <c r="DZ646" s="132"/>
      <c r="EA646" s="132"/>
      <c r="EB646" s="132"/>
      <c r="EC646" s="132"/>
      <c r="ED646" s="132"/>
      <c r="EE646" s="132"/>
      <c r="EF646" s="132"/>
      <c r="EG646" s="132"/>
      <c r="EH646" s="132"/>
      <c r="EI646" s="132"/>
      <c r="EJ646" s="132"/>
      <c r="EK646" s="132"/>
      <c r="EL646" s="132"/>
      <c r="EM646" s="132"/>
      <c r="EN646" s="132"/>
      <c r="EO646" s="132"/>
      <c r="EP646" s="132"/>
      <c r="EQ646" s="132"/>
      <c r="ER646" s="132"/>
      <c r="ES646" s="132"/>
      <c r="ET646" s="11"/>
      <c r="EU646" s="11"/>
      <c r="EV646" s="11"/>
      <c r="EW646" s="11"/>
      <c r="EX646" s="11"/>
      <c r="EY646" s="11"/>
      <c r="EZ646" s="11"/>
      <c r="FA646" s="11"/>
      <c r="FB646" s="11"/>
      <c r="FC646" s="11"/>
      <c r="FD646" s="11"/>
      <c r="FE646" s="11"/>
      <c r="FF646" s="11"/>
      <c r="FG646" s="11"/>
      <c r="FH646" s="39">
        <f t="shared" si="160"/>
        <v>2281784.54</v>
      </c>
      <c r="FI646" s="33">
        <f t="shared" si="161"/>
        <v>6</v>
      </c>
      <c r="FJ646" s="84">
        <f t="shared" si="162"/>
        <v>380297.42333333334</v>
      </c>
    </row>
    <row r="647" spans="1:166" ht="76.5" x14ac:dyDescent="0.25">
      <c r="A647" s="79" t="e">
        <f>#REF!</f>
        <v>#REF!</v>
      </c>
      <c r="B647" s="75" t="e">
        <f>#REF!</f>
        <v>#REF!</v>
      </c>
      <c r="C647" s="75" t="e">
        <f>#REF!</f>
        <v>#REF!</v>
      </c>
      <c r="D647" s="75" t="e">
        <f>#REF!</f>
        <v>#REF!</v>
      </c>
      <c r="E647" s="30">
        <v>1</v>
      </c>
      <c r="F647" s="238">
        <v>0</v>
      </c>
      <c r="G647" s="241">
        <v>0</v>
      </c>
      <c r="H647" s="249">
        <v>1576750</v>
      </c>
      <c r="I647" s="249">
        <v>0</v>
      </c>
      <c r="J647" s="249">
        <v>0</v>
      </c>
      <c r="K647" s="249">
        <v>0</v>
      </c>
      <c r="L647" s="274">
        <f>H647</f>
        <v>1576750</v>
      </c>
      <c r="M647" s="274"/>
      <c r="N647" s="245"/>
      <c r="O647" s="113"/>
      <c r="P647" s="113"/>
      <c r="Q647" s="131"/>
      <c r="R647" s="131"/>
      <c r="S647" s="64"/>
      <c r="T647" s="113">
        <v>1462000</v>
      </c>
      <c r="U647" s="113">
        <f>+T647*0.19</f>
        <v>277780</v>
      </c>
      <c r="V647" s="113">
        <f>+T647+U647</f>
        <v>1739780</v>
      </c>
      <c r="W647" s="131" t="s">
        <v>54</v>
      </c>
      <c r="X647" s="131" t="s">
        <v>305</v>
      </c>
      <c r="Y647" s="11"/>
      <c r="Z647" s="113"/>
      <c r="AA647" s="113"/>
      <c r="AB647" s="113"/>
      <c r="AC647" s="52"/>
      <c r="AD647" s="52"/>
      <c r="AE647" s="11"/>
      <c r="AF647" s="118"/>
      <c r="AG647" s="144"/>
      <c r="AH647" s="113"/>
      <c r="AI647" s="11"/>
      <c r="AJ647" s="11"/>
      <c r="AK647" s="39"/>
      <c r="AL647" s="113"/>
      <c r="AM647" s="113"/>
      <c r="AN647" s="116"/>
      <c r="AO647" s="76"/>
      <c r="AP647" s="39"/>
      <c r="AQ647" s="39"/>
      <c r="AR647" s="275">
        <v>2880000</v>
      </c>
      <c r="AS647" s="143">
        <f>+AR647*0.19</f>
        <v>547200</v>
      </c>
      <c r="AT647" s="116">
        <f>+AR647+AS647</f>
        <v>3427200</v>
      </c>
      <c r="AU647" s="62" t="s">
        <v>54</v>
      </c>
      <c r="AV647" s="36" t="s">
        <v>35</v>
      </c>
      <c r="AW647" s="11"/>
      <c r="AX647" s="116"/>
      <c r="AY647" s="196"/>
      <c r="AZ647" s="143"/>
      <c r="BA647" s="191"/>
      <c r="BB647" s="132"/>
      <c r="BC647" s="132"/>
      <c r="BD647" s="274"/>
      <c r="BE647" s="143"/>
      <c r="BF647" s="143"/>
      <c r="BG647" s="132"/>
      <c r="BH647" s="132"/>
      <c r="BI647" s="132"/>
      <c r="BJ647" s="143"/>
      <c r="BK647" s="143"/>
      <c r="BL647" s="143"/>
      <c r="BM647" s="132"/>
      <c r="BN647" s="132"/>
      <c r="BO647" s="132"/>
      <c r="BP647" s="143">
        <v>253252</v>
      </c>
      <c r="BQ647" s="144">
        <f>BP647*19%</f>
        <v>48117.88</v>
      </c>
      <c r="BR647" s="113">
        <f>+BP647+BQ647</f>
        <v>301369.88</v>
      </c>
      <c r="BS647" s="33" t="s">
        <v>39</v>
      </c>
      <c r="BT647" s="36" t="s">
        <v>524</v>
      </c>
      <c r="BU647" s="5" t="s">
        <v>525</v>
      </c>
      <c r="BV647" s="210"/>
      <c r="BW647" s="144"/>
      <c r="BX647" s="113"/>
      <c r="BY647" s="273"/>
      <c r="BZ647" s="273"/>
      <c r="CA647" s="132"/>
      <c r="CB647" s="274"/>
      <c r="CC647" s="144"/>
      <c r="CD647" s="274"/>
      <c r="CE647" s="132"/>
      <c r="CF647" s="132"/>
      <c r="CG647" s="132"/>
      <c r="CH647" s="210"/>
      <c r="CI647" s="219"/>
      <c r="CJ647" s="210"/>
      <c r="CK647" s="273"/>
      <c r="CL647" s="273"/>
      <c r="CM647" s="132"/>
      <c r="CN647" s="274"/>
      <c r="CO647" s="144"/>
      <c r="CP647" s="274"/>
      <c r="CQ647" s="132"/>
      <c r="CR647" s="132"/>
      <c r="CS647" s="132"/>
      <c r="CT647" s="274"/>
      <c r="CU647" s="144"/>
      <c r="CV647" s="274"/>
      <c r="CW647" s="132"/>
      <c r="CX647" s="132"/>
      <c r="CY647" s="132"/>
      <c r="CZ647" s="118"/>
      <c r="DA647" s="144"/>
      <c r="DB647" s="118"/>
      <c r="DC647" s="33"/>
      <c r="DD647" s="39"/>
      <c r="DE647" s="11"/>
      <c r="DF647" s="132"/>
      <c r="DG647" s="132"/>
      <c r="DH647" s="132"/>
      <c r="DI647" s="132"/>
      <c r="DJ647" s="132"/>
      <c r="DK647" s="132"/>
      <c r="DL647" s="132"/>
      <c r="DM647" s="132"/>
      <c r="DN647" s="132"/>
      <c r="DO647" s="132"/>
      <c r="DP647" s="132"/>
      <c r="DQ647" s="132"/>
      <c r="DR647" s="132"/>
      <c r="DS647" s="132"/>
      <c r="DT647" s="132"/>
      <c r="DU647" s="132"/>
      <c r="DV647" s="132"/>
      <c r="DW647" s="132"/>
      <c r="DX647" s="132"/>
      <c r="DY647" s="132"/>
      <c r="DZ647" s="132"/>
      <c r="EA647" s="132"/>
      <c r="EB647" s="132"/>
      <c r="EC647" s="132"/>
      <c r="ED647" s="132"/>
      <c r="EE647" s="132"/>
      <c r="EF647" s="132"/>
      <c r="EG647" s="132"/>
      <c r="EH647" s="132"/>
      <c r="EI647" s="132"/>
      <c r="EJ647" s="132"/>
      <c r="EK647" s="132"/>
      <c r="EL647" s="132"/>
      <c r="EM647" s="132"/>
      <c r="EN647" s="132"/>
      <c r="EO647" s="132"/>
      <c r="EP647" s="132"/>
      <c r="EQ647" s="132"/>
      <c r="ER647" s="132"/>
      <c r="ES647" s="132"/>
      <c r="ET647" s="11"/>
      <c r="EU647" s="11"/>
      <c r="EV647" s="11"/>
      <c r="EW647" s="11"/>
      <c r="EX647" s="11"/>
      <c r="EY647" s="11"/>
      <c r="EZ647" s="11"/>
      <c r="FA647" s="11"/>
      <c r="FB647" s="11"/>
      <c r="FC647" s="11"/>
      <c r="FD647" s="11"/>
      <c r="FE647" s="11"/>
      <c r="FF647" s="11"/>
      <c r="FG647" s="11"/>
      <c r="FH647" s="39">
        <f t="shared" si="160"/>
        <v>5468349.8799999999</v>
      </c>
      <c r="FI647" s="33">
        <f t="shared" si="161"/>
        <v>3</v>
      </c>
      <c r="FJ647" s="84">
        <f t="shared" si="162"/>
        <v>1822783.2933333332</v>
      </c>
    </row>
    <row r="648" spans="1:166" ht="27" x14ac:dyDescent="0.25">
      <c r="A648" s="79" t="e">
        <f>#REF!</f>
        <v>#REF!</v>
      </c>
      <c r="B648" s="75" t="e">
        <f>#REF!</f>
        <v>#REF!</v>
      </c>
      <c r="C648" s="75" t="e">
        <f>#REF!</f>
        <v>#REF!</v>
      </c>
      <c r="D648" s="75" t="e">
        <f>#REF!</f>
        <v>#REF!</v>
      </c>
      <c r="E648" s="30">
        <v>1</v>
      </c>
      <c r="F648" s="238">
        <v>282654.75</v>
      </c>
      <c r="G648" s="241">
        <v>274057</v>
      </c>
      <c r="H648" s="249">
        <v>336094.03849062498</v>
      </c>
      <c r="I648" s="249">
        <v>336056</v>
      </c>
      <c r="J648" s="249">
        <v>318443.4405504</v>
      </c>
      <c r="K648" s="249">
        <v>315350</v>
      </c>
      <c r="L648" s="274">
        <f>AVERAGE(F648,H648,J648)</f>
        <v>312397.40968034166</v>
      </c>
      <c r="M648" s="274">
        <f>AVERAGE(G648,I648,K648)*E1</f>
        <v>317742.29666666669</v>
      </c>
      <c r="N648" s="245"/>
      <c r="O648" s="113"/>
      <c r="P648" s="113"/>
      <c r="Q648" s="131"/>
      <c r="R648" s="131"/>
      <c r="S648" s="64"/>
      <c r="T648" s="113">
        <v>356000</v>
      </c>
      <c r="U648" s="113">
        <f>+T648*0.19</f>
        <v>67640</v>
      </c>
      <c r="V648" s="113">
        <f>+T648+U648</f>
        <v>423640</v>
      </c>
      <c r="W648" s="131" t="s">
        <v>180</v>
      </c>
      <c r="X648" s="131" t="s">
        <v>305</v>
      </c>
      <c r="Y648" s="11"/>
      <c r="Z648" s="113"/>
      <c r="AA648" s="113"/>
      <c r="AB648" s="113"/>
      <c r="AC648" s="52"/>
      <c r="AD648" s="52"/>
      <c r="AE648" s="11"/>
      <c r="AF648" s="118"/>
      <c r="AG648" s="144"/>
      <c r="AH648" s="113"/>
      <c r="AI648" s="11"/>
      <c r="AJ648" s="11"/>
      <c r="AK648" s="39"/>
      <c r="AL648" s="113">
        <v>290000</v>
      </c>
      <c r="AM648" s="113">
        <f>+AL648*0.19</f>
        <v>55100</v>
      </c>
      <c r="AN648" s="119">
        <f>+AL648+AM648</f>
        <v>345100</v>
      </c>
      <c r="AO648" s="76" t="s">
        <v>150</v>
      </c>
      <c r="AP648" s="39" t="s">
        <v>45</v>
      </c>
      <c r="AQ648" s="39"/>
      <c r="AR648" s="275">
        <v>216000</v>
      </c>
      <c r="AS648" s="143">
        <f>+AR648*0.19</f>
        <v>41040</v>
      </c>
      <c r="AT648" s="116">
        <f>+AR648+AS648</f>
        <v>257040</v>
      </c>
      <c r="AU648" s="62" t="s">
        <v>157</v>
      </c>
      <c r="AV648" s="36" t="s">
        <v>35</v>
      </c>
      <c r="AW648" s="11"/>
      <c r="AX648" s="116">
        <v>1385001.57</v>
      </c>
      <c r="AY648" s="116">
        <f>+AX648*0.19</f>
        <v>263150.29830000002</v>
      </c>
      <c r="AZ648" s="143">
        <f>+AX648+AY648</f>
        <v>1648151.8683000002</v>
      </c>
      <c r="BA648" s="191" t="s">
        <v>150</v>
      </c>
      <c r="BB648" s="132" t="s">
        <v>70</v>
      </c>
      <c r="BC648" s="132"/>
      <c r="BD648" s="274"/>
      <c r="BE648" s="143"/>
      <c r="BF648" s="143"/>
      <c r="BG648" s="132"/>
      <c r="BH648" s="132"/>
      <c r="BI648" s="132"/>
      <c r="BJ648" s="143"/>
      <c r="BK648" s="143"/>
      <c r="BL648" s="143"/>
      <c r="BM648" s="132"/>
      <c r="BN648" s="132"/>
      <c r="BO648" s="132"/>
      <c r="BP648" s="143">
        <v>407243</v>
      </c>
      <c r="BQ648" s="144">
        <f>BP648*19%</f>
        <v>77376.17</v>
      </c>
      <c r="BR648" s="113">
        <f>+BP648+BQ648</f>
        <v>484619.17</v>
      </c>
      <c r="BS648" s="33" t="s">
        <v>526</v>
      </c>
      <c r="BT648" s="36" t="s">
        <v>527</v>
      </c>
      <c r="BU648" s="5" t="s">
        <v>528</v>
      </c>
      <c r="BV648" s="263">
        <v>368000</v>
      </c>
      <c r="BW648" s="144">
        <f>BV648*19%</f>
        <v>69920</v>
      </c>
      <c r="BX648" s="113">
        <f>+BV648+BW648</f>
        <v>437920</v>
      </c>
      <c r="BY648" s="264" t="s">
        <v>337</v>
      </c>
      <c r="BZ648" s="264" t="s">
        <v>477</v>
      </c>
      <c r="CA648" s="132"/>
      <c r="CB648" s="274"/>
      <c r="CC648" s="144"/>
      <c r="CD648" s="274"/>
      <c r="CE648" s="132"/>
      <c r="CF648" s="132"/>
      <c r="CG648" s="132"/>
      <c r="CH648" s="263">
        <v>393760</v>
      </c>
      <c r="CI648" s="265">
        <f>+CH648*0.19</f>
        <v>74814.399999999994</v>
      </c>
      <c r="CJ648" s="263">
        <f>+CH648+CI648</f>
        <v>468574.4</v>
      </c>
      <c r="CK648" s="264" t="s">
        <v>337</v>
      </c>
      <c r="CL648" s="264" t="s">
        <v>477</v>
      </c>
      <c r="CM648" s="132"/>
      <c r="CN648" s="274"/>
      <c r="CO648" s="144"/>
      <c r="CP648" s="274"/>
      <c r="CQ648" s="132"/>
      <c r="CR648" s="132"/>
      <c r="CS648" s="132"/>
      <c r="CT648" s="274"/>
      <c r="CU648" s="144"/>
      <c r="CV648" s="274"/>
      <c r="CW648" s="132"/>
      <c r="CX648" s="132"/>
      <c r="CY648" s="132"/>
      <c r="CZ648" s="118">
        <v>108457</v>
      </c>
      <c r="DA648" s="144">
        <f>+CZ648*0.19</f>
        <v>20606.830000000002</v>
      </c>
      <c r="DB648" s="118">
        <f>+CZ648+DA648</f>
        <v>129063.83</v>
      </c>
      <c r="DC648" s="33" t="s">
        <v>186</v>
      </c>
      <c r="DD648" s="39" t="s">
        <v>58</v>
      </c>
      <c r="DE648" s="11" t="s">
        <v>529</v>
      </c>
      <c r="DF648" s="132"/>
      <c r="DG648" s="132"/>
      <c r="DH648" s="132"/>
      <c r="DI648" s="132"/>
      <c r="DJ648" s="132"/>
      <c r="DK648" s="132"/>
      <c r="DL648" s="132"/>
      <c r="DM648" s="132"/>
      <c r="DN648" s="132"/>
      <c r="DO648" s="132"/>
      <c r="DP648" s="132"/>
      <c r="DQ648" s="132"/>
      <c r="DR648" s="132"/>
      <c r="DS648" s="132"/>
      <c r="DT648" s="132"/>
      <c r="DU648" s="132"/>
      <c r="DV648" s="132"/>
      <c r="DW648" s="132"/>
      <c r="DX648" s="132"/>
      <c r="DY648" s="132"/>
      <c r="DZ648" s="132"/>
      <c r="EA648" s="132"/>
      <c r="EB648" s="132"/>
      <c r="EC648" s="132"/>
      <c r="ED648" s="132"/>
      <c r="EE648" s="132"/>
      <c r="EF648" s="132"/>
      <c r="EG648" s="132"/>
      <c r="EH648" s="132"/>
      <c r="EI648" s="132"/>
      <c r="EJ648" s="132"/>
      <c r="EK648" s="132"/>
      <c r="EL648" s="132"/>
      <c r="EM648" s="132"/>
      <c r="EN648" s="132"/>
      <c r="EO648" s="132"/>
      <c r="EP648" s="132"/>
      <c r="EQ648" s="132"/>
      <c r="ER648" s="132"/>
      <c r="ES648" s="132"/>
      <c r="ET648" s="11"/>
      <c r="EU648" s="11"/>
      <c r="EV648" s="11"/>
      <c r="EW648" s="11"/>
      <c r="EX648" s="11"/>
      <c r="EY648" s="11"/>
      <c r="EZ648" s="11"/>
      <c r="FA648" s="11"/>
      <c r="FB648" s="11"/>
      <c r="FC648" s="11"/>
      <c r="FD648" s="11"/>
      <c r="FE648" s="11"/>
      <c r="FF648" s="11"/>
      <c r="FG648" s="11"/>
      <c r="FH648" s="39">
        <f t="shared" si="160"/>
        <v>4511851.5649666674</v>
      </c>
      <c r="FI648" s="33">
        <f t="shared" si="161"/>
        <v>9</v>
      </c>
      <c r="FJ648" s="84">
        <f t="shared" si="162"/>
        <v>501316.84055185196</v>
      </c>
    </row>
    <row r="649" spans="1:166" ht="25.5" x14ac:dyDescent="0.25">
      <c r="A649" s="79" t="e">
        <f>#REF!</f>
        <v>#REF!</v>
      </c>
      <c r="B649" s="75" t="e">
        <f>#REF!</f>
        <v>#REF!</v>
      </c>
      <c r="C649" s="75" t="e">
        <f>#REF!</f>
        <v>#REF!</v>
      </c>
      <c r="D649" s="75" t="e">
        <f>#REF!</f>
        <v>#REF!</v>
      </c>
      <c r="E649" s="30">
        <v>1</v>
      </c>
      <c r="F649" s="238">
        <v>374612</v>
      </c>
      <c r="G649" s="241">
        <v>363307</v>
      </c>
      <c r="H649" s="249">
        <v>316620.96145</v>
      </c>
      <c r="I649" s="249">
        <v>316540</v>
      </c>
      <c r="J649" s="249">
        <v>375936.47000000003</v>
      </c>
      <c r="K649" s="249">
        <v>0</v>
      </c>
      <c r="L649" s="274">
        <f>AVERAGE(F649,H649,J649)</f>
        <v>355723.14381666668</v>
      </c>
      <c r="M649" s="274">
        <f>AVERAGE(G649,I649)*E1</f>
        <v>350121.20500000002</v>
      </c>
      <c r="N649" s="245"/>
      <c r="O649" s="113"/>
      <c r="P649" s="113"/>
      <c r="Q649" s="131"/>
      <c r="R649" s="131"/>
      <c r="S649" s="64"/>
      <c r="T649" s="113"/>
      <c r="U649" s="117"/>
      <c r="V649" s="113"/>
      <c r="W649" s="131"/>
      <c r="X649" s="131"/>
      <c r="Y649" s="11"/>
      <c r="Z649" s="113"/>
      <c r="AA649" s="113"/>
      <c r="AB649" s="113"/>
      <c r="AC649" s="52"/>
      <c r="AD649" s="52"/>
      <c r="AE649" s="11"/>
      <c r="AF649" s="118">
        <v>420000</v>
      </c>
      <c r="AG649" s="144">
        <f>AF649*19%</f>
        <v>79800</v>
      </c>
      <c r="AH649" s="113">
        <f>+AF649+AG649</f>
        <v>499800</v>
      </c>
      <c r="AI649" s="11"/>
      <c r="AJ649" s="11"/>
      <c r="AK649" s="39"/>
      <c r="AL649" s="113">
        <v>345000</v>
      </c>
      <c r="AM649" s="113">
        <f>+AL649*0.19</f>
        <v>65550</v>
      </c>
      <c r="AN649" s="119">
        <f>+AL649+AM649</f>
        <v>410550</v>
      </c>
      <c r="AO649" s="76" t="s">
        <v>150</v>
      </c>
      <c r="AP649" s="39" t="s">
        <v>45</v>
      </c>
      <c r="AQ649" s="39"/>
      <c r="AR649" s="275">
        <v>288000</v>
      </c>
      <c r="AS649" s="143">
        <f>+AR649*0.19</f>
        <v>54720</v>
      </c>
      <c r="AT649" s="116">
        <f>+AR649+AS649</f>
        <v>342720</v>
      </c>
      <c r="AU649" s="62" t="s">
        <v>157</v>
      </c>
      <c r="AV649" s="36" t="s">
        <v>35</v>
      </c>
      <c r="AW649" s="11"/>
      <c r="AX649" s="116">
        <v>1042794.36</v>
      </c>
      <c r="AY649" s="116">
        <f>+AX649*0.19</f>
        <v>198130.9284</v>
      </c>
      <c r="AZ649" s="143">
        <f>+AX649+AY649</f>
        <v>1240925.2884</v>
      </c>
      <c r="BA649" s="191" t="s">
        <v>150</v>
      </c>
      <c r="BB649" s="132" t="s">
        <v>70</v>
      </c>
      <c r="BC649" s="132"/>
      <c r="BD649" s="274"/>
      <c r="BE649" s="143"/>
      <c r="BF649" s="143"/>
      <c r="BG649" s="132"/>
      <c r="BH649" s="132"/>
      <c r="BI649" s="132"/>
      <c r="BJ649" s="143"/>
      <c r="BK649" s="143"/>
      <c r="BL649" s="143"/>
      <c r="BM649" s="132"/>
      <c r="BN649" s="132"/>
      <c r="BO649" s="132"/>
      <c r="BP649" s="143"/>
      <c r="BQ649" s="132"/>
      <c r="BR649" s="132"/>
      <c r="BS649" s="132"/>
      <c r="BT649" s="132"/>
      <c r="BU649" s="132"/>
      <c r="BV649" s="263">
        <v>537100</v>
      </c>
      <c r="BW649" s="144">
        <f>BV649*19%</f>
        <v>102049</v>
      </c>
      <c r="BX649" s="113">
        <f>+BV649+BW649</f>
        <v>639149</v>
      </c>
      <c r="BY649" s="264" t="s">
        <v>337</v>
      </c>
      <c r="BZ649" s="264" t="s">
        <v>88</v>
      </c>
      <c r="CA649" s="132"/>
      <c r="CB649" s="274"/>
      <c r="CC649" s="144"/>
      <c r="CD649" s="274"/>
      <c r="CE649" s="132"/>
      <c r="CF649" s="132"/>
      <c r="CG649" s="132"/>
      <c r="CH649" s="263">
        <v>553213</v>
      </c>
      <c r="CI649" s="265">
        <f>+CH649*0.19</f>
        <v>105110.47</v>
      </c>
      <c r="CJ649" s="263">
        <f>+CH649+CI649</f>
        <v>658323.47</v>
      </c>
      <c r="CK649" s="264" t="s">
        <v>337</v>
      </c>
      <c r="CL649" s="264" t="s">
        <v>88</v>
      </c>
      <c r="CM649" s="132"/>
      <c r="CN649" s="274"/>
      <c r="CO649" s="144"/>
      <c r="CP649" s="274"/>
      <c r="CQ649" s="132"/>
      <c r="CR649" s="132"/>
      <c r="CS649" s="132"/>
      <c r="CT649" s="274"/>
      <c r="CU649" s="144"/>
      <c r="CV649" s="274"/>
      <c r="CW649" s="132"/>
      <c r="CX649" s="132"/>
      <c r="CY649" s="132"/>
      <c r="CZ649" s="118">
        <v>433000</v>
      </c>
      <c r="DA649" s="144">
        <f>+CZ649*0.19</f>
        <v>82270</v>
      </c>
      <c r="DB649" s="118">
        <f>+CZ649+DA649</f>
        <v>515270</v>
      </c>
      <c r="DC649" s="33" t="s">
        <v>454</v>
      </c>
      <c r="DD649" s="39" t="s">
        <v>58</v>
      </c>
      <c r="DE649" s="11">
        <v>8221870500</v>
      </c>
      <c r="DF649" s="132"/>
      <c r="DG649" s="132"/>
      <c r="DH649" s="132"/>
      <c r="DI649" s="132"/>
      <c r="DJ649" s="132"/>
      <c r="DK649" s="132"/>
      <c r="DL649" s="132"/>
      <c r="DM649" s="132"/>
      <c r="DN649" s="132"/>
      <c r="DO649" s="132"/>
      <c r="DP649" s="132"/>
      <c r="DQ649" s="132"/>
      <c r="DR649" s="132"/>
      <c r="DS649" s="132"/>
      <c r="DT649" s="132"/>
      <c r="DU649" s="132"/>
      <c r="DV649" s="132"/>
      <c r="DW649" s="132"/>
      <c r="DX649" s="132"/>
      <c r="DY649" s="132"/>
      <c r="DZ649" s="132"/>
      <c r="EA649" s="132"/>
      <c r="EB649" s="132"/>
      <c r="EC649" s="132"/>
      <c r="ED649" s="132"/>
      <c r="EE649" s="132"/>
      <c r="EF649" s="132"/>
      <c r="EG649" s="132"/>
      <c r="EH649" s="132"/>
      <c r="EI649" s="132"/>
      <c r="EJ649" s="132"/>
      <c r="EK649" s="132"/>
      <c r="EL649" s="132"/>
      <c r="EM649" s="132"/>
      <c r="EN649" s="132"/>
      <c r="EO649" s="132"/>
      <c r="EP649" s="132"/>
      <c r="EQ649" s="132"/>
      <c r="ER649" s="132"/>
      <c r="ES649" s="132"/>
      <c r="ET649" s="11"/>
      <c r="EU649" s="11"/>
      <c r="EV649" s="11"/>
      <c r="EW649" s="11"/>
      <c r="EX649" s="11"/>
      <c r="EY649" s="11"/>
      <c r="EZ649" s="11"/>
      <c r="FA649" s="11"/>
      <c r="FB649" s="11"/>
      <c r="FC649" s="11"/>
      <c r="FD649" s="11"/>
      <c r="FE649" s="11"/>
      <c r="FF649" s="11"/>
      <c r="FG649" s="11"/>
      <c r="FH649" s="39">
        <f t="shared" si="160"/>
        <v>4656858.9633999998</v>
      </c>
      <c r="FI649" s="33">
        <f t="shared" si="161"/>
        <v>8</v>
      </c>
      <c r="FJ649" s="84">
        <f t="shared" si="162"/>
        <v>582107.37042499997</v>
      </c>
    </row>
    <row r="650" spans="1:166" ht="27" x14ac:dyDescent="0.25">
      <c r="A650" s="79" t="e">
        <f>#REF!</f>
        <v>#REF!</v>
      </c>
      <c r="B650" s="75" t="e">
        <f>#REF!</f>
        <v>#REF!</v>
      </c>
      <c r="C650" s="75" t="e">
        <f>#REF!</f>
        <v>#REF!</v>
      </c>
      <c r="D650" s="75" t="e">
        <f>#REF!</f>
        <v>#REF!</v>
      </c>
      <c r="E650" s="30">
        <v>1</v>
      </c>
      <c r="F650" s="238">
        <v>0</v>
      </c>
      <c r="G650" s="241">
        <v>0</v>
      </c>
      <c r="H650" s="249">
        <v>180782.4</v>
      </c>
      <c r="I650" s="249">
        <v>0</v>
      </c>
      <c r="J650" s="249">
        <v>307841.53470117023</v>
      </c>
      <c r="K650" s="249">
        <v>300118</v>
      </c>
      <c r="L650" s="274">
        <f>AVERAGE(H650,J650)</f>
        <v>244311.9673505851</v>
      </c>
      <c r="M650" s="274">
        <f>K650*E1</f>
        <v>309121.53999999998</v>
      </c>
      <c r="N650" s="245"/>
      <c r="O650" s="113"/>
      <c r="P650" s="113"/>
      <c r="Q650" s="131"/>
      <c r="R650" s="131"/>
      <c r="S650" s="64"/>
      <c r="T650" s="113">
        <v>341000</v>
      </c>
      <c r="U650" s="113">
        <f>+T650*0.19</f>
        <v>64790</v>
      </c>
      <c r="V650" s="113">
        <f>+T650+U650</f>
        <v>405790</v>
      </c>
      <c r="W650" s="131" t="s">
        <v>60</v>
      </c>
      <c r="X650" s="131" t="s">
        <v>138</v>
      </c>
      <c r="Y650" s="11"/>
      <c r="Z650" s="113"/>
      <c r="AA650" s="113"/>
      <c r="AB650" s="113"/>
      <c r="AC650" s="52"/>
      <c r="AD650" s="52"/>
      <c r="AE650" s="11"/>
      <c r="AF650" s="118">
        <v>250000</v>
      </c>
      <c r="AG650" s="144">
        <f>AF650*19%</f>
        <v>47500</v>
      </c>
      <c r="AH650" s="113">
        <f>+AF650+AG650</f>
        <v>297500</v>
      </c>
      <c r="AI650" s="11"/>
      <c r="AJ650" s="11"/>
      <c r="AK650" s="39"/>
      <c r="AL650" s="113">
        <v>138000</v>
      </c>
      <c r="AM650" s="113">
        <f>+AL650*0</f>
        <v>0</v>
      </c>
      <c r="AN650" s="119">
        <f>+AL650+AM650</f>
        <v>138000</v>
      </c>
      <c r="AO650" s="76" t="s">
        <v>95</v>
      </c>
      <c r="AP650" s="39" t="s">
        <v>45</v>
      </c>
      <c r="AQ650" s="39"/>
      <c r="AR650" s="275">
        <f>144000/2</f>
        <v>72000</v>
      </c>
      <c r="AS650" s="143">
        <f>+AR650*0.19</f>
        <v>13680</v>
      </c>
      <c r="AT650" s="116">
        <f>+AR650+AS650</f>
        <v>85680</v>
      </c>
      <c r="AU650" s="62" t="s">
        <v>530</v>
      </c>
      <c r="AV650" s="36" t="s">
        <v>35</v>
      </c>
      <c r="AW650" s="11"/>
      <c r="AX650" s="116"/>
      <c r="AY650" s="196"/>
      <c r="AZ650" s="143"/>
      <c r="BA650" s="191"/>
      <c r="BB650" s="132"/>
      <c r="BC650" s="132"/>
      <c r="BD650" s="274"/>
      <c r="BE650" s="143"/>
      <c r="BF650" s="143"/>
      <c r="BG650" s="132"/>
      <c r="BH650" s="132"/>
      <c r="BI650" s="132"/>
      <c r="BJ650" s="143"/>
      <c r="BK650" s="143"/>
      <c r="BL650" s="143"/>
      <c r="BM650" s="132"/>
      <c r="BN650" s="132"/>
      <c r="BO650" s="132"/>
      <c r="BP650" s="143">
        <v>285617</v>
      </c>
      <c r="BQ650" s="144">
        <f>BP650*19%</f>
        <v>54267.23</v>
      </c>
      <c r="BR650" s="113">
        <f>+BP650+BQ650</f>
        <v>339884.23</v>
      </c>
      <c r="BS650" s="132" t="s">
        <v>60</v>
      </c>
      <c r="BT650" s="36" t="s">
        <v>531</v>
      </c>
      <c r="BU650" s="5" t="s">
        <v>532</v>
      </c>
      <c r="BV650" s="263">
        <v>215900</v>
      </c>
      <c r="BW650" s="144">
        <f>BV650*19%</f>
        <v>41021</v>
      </c>
      <c r="BX650" s="113">
        <f>+BV650+BW650</f>
        <v>256921</v>
      </c>
      <c r="BY650" s="264" t="s">
        <v>231</v>
      </c>
      <c r="BZ650" s="264" t="s">
        <v>63</v>
      </c>
      <c r="CA650" s="132"/>
      <c r="CB650" s="274"/>
      <c r="CC650" s="144"/>
      <c r="CD650" s="274"/>
      <c r="CE650" s="132"/>
      <c r="CF650" s="132"/>
      <c r="CG650" s="132"/>
      <c r="CH650" s="263">
        <v>222377</v>
      </c>
      <c r="CI650" s="265">
        <f>+CH650*0.19</f>
        <v>42251.63</v>
      </c>
      <c r="CJ650" s="263">
        <f>+CH650+CI650</f>
        <v>264628.63</v>
      </c>
      <c r="CK650" s="264" t="s">
        <v>231</v>
      </c>
      <c r="CL650" s="264" t="s">
        <v>63</v>
      </c>
      <c r="CM650" s="132"/>
      <c r="CN650" s="274"/>
      <c r="CO650" s="144"/>
      <c r="CP650" s="274"/>
      <c r="CQ650" s="132"/>
      <c r="CR650" s="132"/>
      <c r="CS650" s="132"/>
      <c r="CT650" s="274"/>
      <c r="CU650" s="144"/>
      <c r="CV650" s="274"/>
      <c r="CW650" s="132"/>
      <c r="CX650" s="132"/>
      <c r="CY650" s="132"/>
      <c r="CZ650" s="118"/>
      <c r="DA650" s="144"/>
      <c r="DB650" s="118"/>
      <c r="DC650" s="33"/>
      <c r="DD650" s="39"/>
      <c r="DE650" s="11"/>
      <c r="DF650" s="132"/>
      <c r="DG650" s="132"/>
      <c r="DH650" s="132"/>
      <c r="DI650" s="132"/>
      <c r="DJ650" s="132"/>
      <c r="DK650" s="132"/>
      <c r="DL650" s="132"/>
      <c r="DM650" s="132"/>
      <c r="DN650" s="132"/>
      <c r="DO650" s="132"/>
      <c r="DP650" s="132"/>
      <c r="DQ650" s="132"/>
      <c r="DR650" s="132"/>
      <c r="DS650" s="132"/>
      <c r="DT650" s="132"/>
      <c r="DU650" s="132"/>
      <c r="DV650" s="132"/>
      <c r="DW650" s="132"/>
      <c r="DX650" s="132"/>
      <c r="DY650" s="132"/>
      <c r="DZ650" s="132"/>
      <c r="EA650" s="132"/>
      <c r="EB650" s="132"/>
      <c r="EC650" s="132"/>
      <c r="ED650" s="132"/>
      <c r="EE650" s="132"/>
      <c r="EF650" s="132"/>
      <c r="EG650" s="132"/>
      <c r="EH650" s="132"/>
      <c r="EI650" s="132"/>
      <c r="EJ650" s="132"/>
      <c r="EK650" s="132"/>
      <c r="EL650" s="132"/>
      <c r="EM650" s="132"/>
      <c r="EN650" s="132"/>
      <c r="EO650" s="132"/>
      <c r="EP650" s="132"/>
      <c r="EQ650" s="132"/>
      <c r="ER650" s="132"/>
      <c r="ES650" s="132"/>
      <c r="ET650" s="11"/>
      <c r="EU650" s="11"/>
      <c r="EV650" s="11"/>
      <c r="EW650" s="11"/>
      <c r="EX650" s="11"/>
      <c r="EY650" s="11"/>
      <c r="EZ650" s="11"/>
      <c r="FA650" s="11"/>
      <c r="FB650" s="11"/>
      <c r="FC650" s="11"/>
      <c r="FD650" s="11"/>
      <c r="FE650" s="11"/>
      <c r="FF650" s="11"/>
      <c r="FG650" s="11"/>
      <c r="FH650" s="39">
        <f t="shared" si="160"/>
        <v>2097525.4</v>
      </c>
      <c r="FI650" s="33">
        <f t="shared" si="161"/>
        <v>8</v>
      </c>
      <c r="FJ650" s="84">
        <f t="shared" si="162"/>
        <v>262190.67499999999</v>
      </c>
    </row>
    <row r="651" spans="1:166" ht="27" x14ac:dyDescent="0.25">
      <c r="A651" s="79" t="e">
        <f>#REF!</f>
        <v>#REF!</v>
      </c>
      <c r="B651" s="75" t="e">
        <f>#REF!</f>
        <v>#REF!</v>
      </c>
      <c r="C651" s="75" t="e">
        <f>#REF!</f>
        <v>#REF!</v>
      </c>
      <c r="D651" s="75" t="e">
        <f>#REF!</f>
        <v>#REF!</v>
      </c>
      <c r="E651" s="30">
        <v>1</v>
      </c>
      <c r="F651" s="238">
        <v>0</v>
      </c>
      <c r="G651" s="241">
        <v>0</v>
      </c>
      <c r="H651" s="249">
        <v>364956.66666666669</v>
      </c>
      <c r="I651" s="249">
        <v>0</v>
      </c>
      <c r="J651" s="249">
        <v>214262.5</v>
      </c>
      <c r="K651" s="249">
        <v>0</v>
      </c>
      <c r="L651" s="274">
        <f>AVERAGE(H651,J651)</f>
        <v>289609.58333333337</v>
      </c>
      <c r="M651" s="274"/>
      <c r="N651" s="245"/>
      <c r="O651" s="113"/>
      <c r="P651" s="113"/>
      <c r="Q651" s="131"/>
      <c r="R651" s="131"/>
      <c r="S651" s="64"/>
      <c r="T651" s="113"/>
      <c r="U651" s="113"/>
      <c r="V651" s="113"/>
      <c r="W651" s="131"/>
      <c r="X651" s="131"/>
      <c r="Y651" s="11"/>
      <c r="Z651" s="113"/>
      <c r="AA651" s="113"/>
      <c r="AB651" s="113"/>
      <c r="AC651" s="52"/>
      <c r="AD651" s="52"/>
      <c r="AE651" s="11"/>
      <c r="AF651" s="118"/>
      <c r="AG651" s="144"/>
      <c r="AH651" s="113"/>
      <c r="AI651" s="11"/>
      <c r="AJ651" s="11"/>
      <c r="AK651" s="39"/>
      <c r="AL651" s="113"/>
      <c r="AM651" s="113"/>
      <c r="AN651" s="117"/>
      <c r="AO651" s="76"/>
      <c r="AP651" s="39"/>
      <c r="AQ651" s="39"/>
      <c r="AR651" s="275"/>
      <c r="AS651" s="275"/>
      <c r="AT651" s="275"/>
      <c r="AU651" s="62"/>
      <c r="AV651" s="48"/>
      <c r="AW651" s="11"/>
      <c r="AX651" s="116"/>
      <c r="AY651" s="196"/>
      <c r="AZ651" s="143"/>
      <c r="BA651" s="191"/>
      <c r="BB651" s="132"/>
      <c r="BC651" s="132"/>
      <c r="BD651" s="274"/>
      <c r="BE651" s="143"/>
      <c r="BF651" s="143"/>
      <c r="BG651" s="132"/>
      <c r="BH651" s="132"/>
      <c r="BI651" s="132"/>
      <c r="BJ651" s="143"/>
      <c r="BK651" s="143"/>
      <c r="BL651" s="143"/>
      <c r="BM651" s="132"/>
      <c r="BN651" s="132"/>
      <c r="BO651" s="132"/>
      <c r="BP651" s="143"/>
      <c r="BQ651" s="132"/>
      <c r="BR651" s="132"/>
      <c r="BS651" s="132"/>
      <c r="BT651" s="132"/>
      <c r="BU651" s="132"/>
      <c r="BV651" s="263">
        <v>1207500</v>
      </c>
      <c r="BW651" s="144">
        <f>BV651*19%</f>
        <v>229425</v>
      </c>
      <c r="BX651" s="113">
        <f>+BV651+BW651</f>
        <v>1436925</v>
      </c>
      <c r="BY651" s="264" t="s">
        <v>312</v>
      </c>
      <c r="BZ651" s="264" t="s">
        <v>477</v>
      </c>
      <c r="CA651" s="132"/>
      <c r="CB651" s="274"/>
      <c r="CC651" s="144"/>
      <c r="CD651" s="274"/>
      <c r="CE651" s="132"/>
      <c r="CF651" s="132"/>
      <c r="CG651" s="132"/>
      <c r="CH651" s="263">
        <v>1255800</v>
      </c>
      <c r="CI651" s="265">
        <f>+CH651*0.19</f>
        <v>238602</v>
      </c>
      <c r="CJ651" s="263">
        <f>+CH651+CI651</f>
        <v>1494402</v>
      </c>
      <c r="CK651" s="264" t="s">
        <v>312</v>
      </c>
      <c r="CL651" s="264" t="s">
        <v>477</v>
      </c>
      <c r="CM651" s="132"/>
      <c r="CN651" s="274"/>
      <c r="CO651" s="144"/>
      <c r="CP651" s="274"/>
      <c r="CQ651" s="132"/>
      <c r="CR651" s="132"/>
      <c r="CS651" s="132"/>
      <c r="CT651" s="144">
        <v>360000</v>
      </c>
      <c r="CU651" s="144">
        <f>+CT651*0</f>
        <v>0</v>
      </c>
      <c r="CV651" s="144">
        <f>CT651</f>
        <v>360000</v>
      </c>
      <c r="CW651" s="132"/>
      <c r="CX651" s="132"/>
      <c r="CY651" s="132"/>
      <c r="CZ651" s="118"/>
      <c r="DA651" s="144"/>
      <c r="DB651" s="118"/>
      <c r="DC651" s="33"/>
      <c r="DD651" s="39"/>
      <c r="DE651" s="11"/>
      <c r="DF651" s="132"/>
      <c r="DG651" s="132"/>
      <c r="DH651" s="132"/>
      <c r="DI651" s="132"/>
      <c r="DJ651" s="132"/>
      <c r="DK651" s="132"/>
      <c r="DL651" s="132"/>
      <c r="DM651" s="132"/>
      <c r="DN651" s="132"/>
      <c r="DO651" s="132"/>
      <c r="DP651" s="132"/>
      <c r="DQ651" s="132"/>
      <c r="DR651" s="132"/>
      <c r="DS651" s="132"/>
      <c r="DT651" s="132"/>
      <c r="DU651" s="132"/>
      <c r="DV651" s="132"/>
      <c r="DW651" s="132"/>
      <c r="DX651" s="132"/>
      <c r="DY651" s="132"/>
      <c r="DZ651" s="132"/>
      <c r="EA651" s="132"/>
      <c r="EB651" s="132"/>
      <c r="EC651" s="132"/>
      <c r="ED651" s="132"/>
      <c r="EE651" s="132"/>
      <c r="EF651" s="132"/>
      <c r="EG651" s="132"/>
      <c r="EH651" s="132"/>
      <c r="EI651" s="132"/>
      <c r="EJ651" s="132"/>
      <c r="EK651" s="132"/>
      <c r="EL651" s="132"/>
      <c r="EM651" s="132"/>
      <c r="EN651" s="132"/>
      <c r="EO651" s="132"/>
      <c r="EP651" s="132"/>
      <c r="EQ651" s="132"/>
      <c r="ER651" s="132"/>
      <c r="ES651" s="132"/>
      <c r="ET651" s="11"/>
      <c r="EU651" s="11"/>
      <c r="EV651" s="11"/>
      <c r="EW651" s="11"/>
      <c r="EX651" s="11"/>
      <c r="EY651" s="11"/>
      <c r="EZ651" s="11"/>
      <c r="FA651" s="11"/>
      <c r="FB651" s="11"/>
      <c r="FC651" s="11"/>
      <c r="FD651" s="11"/>
      <c r="FE651" s="11"/>
      <c r="FF651" s="11"/>
      <c r="FG651" s="11"/>
      <c r="FH651" s="39">
        <f t="shared" si="160"/>
        <v>3291327</v>
      </c>
      <c r="FI651" s="33">
        <f t="shared" si="161"/>
        <v>3</v>
      </c>
      <c r="FJ651" s="84">
        <f t="shared" si="162"/>
        <v>1097109</v>
      </c>
    </row>
    <row r="652" spans="1:166" x14ac:dyDescent="0.25">
      <c r="A652" s="79" t="e">
        <f>#REF!</f>
        <v>#REF!</v>
      </c>
      <c r="B652" s="75" t="e">
        <f>#REF!</f>
        <v>#REF!</v>
      </c>
      <c r="C652" s="75" t="e">
        <f>#REF!</f>
        <v>#REF!</v>
      </c>
      <c r="D652" s="75" t="e">
        <f>#REF!</f>
        <v>#REF!</v>
      </c>
      <c r="E652" s="30">
        <v>1</v>
      </c>
      <c r="F652" s="238">
        <v>23582.825000000001</v>
      </c>
      <c r="G652" s="241">
        <v>23205</v>
      </c>
      <c r="H652" s="249">
        <v>42724.117948750005</v>
      </c>
      <c r="I652" s="249">
        <v>0</v>
      </c>
      <c r="J652" s="249">
        <v>77292.88</v>
      </c>
      <c r="K652" s="249">
        <v>0</v>
      </c>
      <c r="L652" s="274">
        <f>AVERAGE(F652,H652,J652)</f>
        <v>47866.607649583333</v>
      </c>
      <c r="M652" s="274">
        <f>G652*E1</f>
        <v>23901.15</v>
      </c>
      <c r="N652" s="245"/>
      <c r="O652" s="113"/>
      <c r="P652" s="113"/>
      <c r="Q652" s="131"/>
      <c r="R652" s="131"/>
      <c r="S652" s="64"/>
      <c r="T652" s="113"/>
      <c r="U652" s="122"/>
      <c r="V652" s="113"/>
      <c r="W652" s="131"/>
      <c r="X652" s="131"/>
      <c r="Y652" s="11"/>
      <c r="Z652" s="113"/>
      <c r="AA652" s="113"/>
      <c r="AB652" s="113"/>
      <c r="AC652" s="52"/>
      <c r="AD652" s="52"/>
      <c r="AE652" s="11"/>
      <c r="AF652" s="118">
        <v>20000</v>
      </c>
      <c r="AG652" s="144">
        <f>AF652*19%</f>
        <v>3800</v>
      </c>
      <c r="AH652" s="113">
        <f>+AF652+AG652</f>
        <v>23800</v>
      </c>
      <c r="AI652" s="11"/>
      <c r="AJ652" s="11"/>
      <c r="AK652" s="39"/>
      <c r="AL652" s="113">
        <v>186000</v>
      </c>
      <c r="AM652" s="113">
        <f>+AL652*0.19</f>
        <v>35340</v>
      </c>
      <c r="AN652" s="119">
        <f>+AL652+AM652</f>
        <v>221340</v>
      </c>
      <c r="AO652" s="76" t="s">
        <v>533</v>
      </c>
      <c r="AP652" s="39" t="s">
        <v>50</v>
      </c>
      <c r="AQ652" s="39"/>
      <c r="AR652" s="275"/>
      <c r="AS652" s="275"/>
      <c r="AT652" s="275"/>
      <c r="AU652" s="62"/>
      <c r="AV652" s="48"/>
      <c r="AW652" s="11"/>
      <c r="AX652" s="116"/>
      <c r="AY652" s="194"/>
      <c r="AZ652" s="143"/>
      <c r="BA652" s="191"/>
      <c r="BB652" s="132"/>
      <c r="BC652" s="132"/>
      <c r="BD652" s="274"/>
      <c r="BE652" s="143"/>
      <c r="BF652" s="143"/>
      <c r="BG652" s="132"/>
      <c r="BH652" s="132"/>
      <c r="BI652" s="132"/>
      <c r="BJ652" s="143"/>
      <c r="BK652" s="143"/>
      <c r="BL652" s="143"/>
      <c r="BM652" s="132"/>
      <c r="BN652" s="132"/>
      <c r="BO652" s="132"/>
      <c r="BP652" s="143"/>
      <c r="BQ652" s="132"/>
      <c r="BR652" s="132"/>
      <c r="BS652" s="132"/>
      <c r="BT652" s="132"/>
      <c r="BU652" s="132"/>
      <c r="BV652" s="210"/>
      <c r="BW652" s="144"/>
      <c r="BX652" s="113"/>
      <c r="BY652" s="273"/>
      <c r="BZ652" s="273"/>
      <c r="CA652" s="132"/>
      <c r="CB652" s="274"/>
      <c r="CC652" s="144"/>
      <c r="CD652" s="274"/>
      <c r="CE652" s="132"/>
      <c r="CF652" s="132"/>
      <c r="CG652" s="132"/>
      <c r="CH652" s="210"/>
      <c r="CI652" s="219"/>
      <c r="CJ652" s="210"/>
      <c r="CK652" s="273"/>
      <c r="CL652" s="273"/>
      <c r="CM652" s="132"/>
      <c r="CN652" s="274"/>
      <c r="CO652" s="144"/>
      <c r="CP652" s="274"/>
      <c r="CQ652" s="132"/>
      <c r="CR652" s="132"/>
      <c r="CS652" s="132"/>
      <c r="CT652" s="274"/>
      <c r="CU652" s="144"/>
      <c r="CV652" s="274"/>
      <c r="CW652" s="132"/>
      <c r="CX652" s="132"/>
      <c r="CY652" s="132"/>
      <c r="CZ652" s="118"/>
      <c r="DA652" s="144"/>
      <c r="DB652" s="118"/>
      <c r="DC652" s="33"/>
      <c r="DD652" s="39"/>
      <c r="DE652" s="11"/>
      <c r="DF652" s="132"/>
      <c r="DG652" s="132"/>
      <c r="DH652" s="132"/>
      <c r="DI652" s="132"/>
      <c r="DJ652" s="132"/>
      <c r="DK652" s="132"/>
      <c r="DL652" s="132"/>
      <c r="DM652" s="132"/>
      <c r="DN652" s="132"/>
      <c r="DO652" s="132"/>
      <c r="DP652" s="132"/>
      <c r="DQ652" s="132"/>
      <c r="DR652" s="132"/>
      <c r="DS652" s="132"/>
      <c r="DT652" s="132"/>
      <c r="DU652" s="132"/>
      <c r="DV652" s="132"/>
      <c r="DW652" s="132"/>
      <c r="DX652" s="132"/>
      <c r="DY652" s="132"/>
      <c r="DZ652" s="132"/>
      <c r="EA652" s="132"/>
      <c r="EB652" s="132"/>
      <c r="EC652" s="132"/>
      <c r="ED652" s="132"/>
      <c r="EE652" s="132"/>
      <c r="EF652" s="132"/>
      <c r="EG652" s="132"/>
      <c r="EH652" s="132"/>
      <c r="EI652" s="132"/>
      <c r="EJ652" s="132"/>
      <c r="EK652" s="132"/>
      <c r="EL652" s="132"/>
      <c r="EM652" s="132"/>
      <c r="EN652" s="132"/>
      <c r="EO652" s="132"/>
      <c r="EP652" s="132"/>
      <c r="EQ652" s="132"/>
      <c r="ER652" s="132"/>
      <c r="ES652" s="132"/>
      <c r="ET652" s="11"/>
      <c r="EU652" s="11"/>
      <c r="EV652" s="11"/>
      <c r="EW652" s="11"/>
      <c r="EX652" s="11"/>
      <c r="EY652" s="11"/>
      <c r="EZ652" s="11"/>
      <c r="FA652" s="11"/>
      <c r="FB652" s="11"/>
      <c r="FC652" s="11"/>
      <c r="FD652" s="11"/>
      <c r="FE652" s="11"/>
      <c r="FF652" s="11"/>
      <c r="FG652" s="11"/>
      <c r="FH652" s="39">
        <f t="shared" si="160"/>
        <v>269041.15000000002</v>
      </c>
      <c r="FI652" s="33">
        <f t="shared" si="161"/>
        <v>3</v>
      </c>
      <c r="FJ652" s="84">
        <f t="shared" si="162"/>
        <v>89680.383333333346</v>
      </c>
    </row>
    <row r="653" spans="1:166" ht="40.5" x14ac:dyDescent="0.25">
      <c r="A653" s="79" t="e">
        <f>#REF!</f>
        <v>#REF!</v>
      </c>
      <c r="B653" s="75" t="e">
        <f>#REF!</f>
        <v>#REF!</v>
      </c>
      <c r="C653" s="75" t="e">
        <f>#REF!</f>
        <v>#REF!</v>
      </c>
      <c r="D653" s="75" t="e">
        <f>#REF!</f>
        <v>#REF!</v>
      </c>
      <c r="E653" s="30">
        <v>1</v>
      </c>
      <c r="F653" s="238">
        <v>17850</v>
      </c>
      <c r="G653" s="241">
        <v>0</v>
      </c>
      <c r="H653" s="249">
        <v>17104.085000000003</v>
      </c>
      <c r="I653" s="249">
        <v>0</v>
      </c>
      <c r="J653" s="249">
        <v>14875</v>
      </c>
      <c r="K653" s="249">
        <v>0</v>
      </c>
      <c r="L653" s="274">
        <f>AVERAGE(F653,H653,J653)</f>
        <v>16609.695000000003</v>
      </c>
      <c r="M653" s="274"/>
      <c r="N653" s="245"/>
      <c r="O653" s="113"/>
      <c r="P653" s="113"/>
      <c r="Q653" s="131"/>
      <c r="R653" s="131"/>
      <c r="S653" s="64"/>
      <c r="T653" s="113"/>
      <c r="U653" s="113"/>
      <c r="V653" s="113"/>
      <c r="W653" s="131"/>
      <c r="X653" s="131"/>
      <c r="Y653" s="11"/>
      <c r="Z653" s="113"/>
      <c r="AA653" s="113"/>
      <c r="AB653" s="113"/>
      <c r="AC653" s="52"/>
      <c r="AD653" s="52"/>
      <c r="AE653" s="11"/>
      <c r="AF653" s="118">
        <v>13500</v>
      </c>
      <c r="AG653" s="144">
        <f>AF653*19%</f>
        <v>2565</v>
      </c>
      <c r="AH653" s="113">
        <f>+AF653+AG653</f>
        <v>16065</v>
      </c>
      <c r="AI653" s="11"/>
      <c r="AJ653" s="11"/>
      <c r="AK653" s="39"/>
      <c r="AL653" s="113"/>
      <c r="AM653" s="113"/>
      <c r="AN653" s="113"/>
      <c r="AO653" s="76"/>
      <c r="AP653" s="11"/>
      <c r="AQ653" s="11"/>
      <c r="AR653" s="275"/>
      <c r="AS653" s="275"/>
      <c r="AT653" s="275"/>
      <c r="AU653" s="62"/>
      <c r="AV653" s="48"/>
      <c r="AW653" s="11"/>
      <c r="AX653" s="116"/>
      <c r="AY653" s="194"/>
      <c r="AZ653" s="143"/>
      <c r="BA653" s="191"/>
      <c r="BB653" s="132"/>
      <c r="BC653" s="132"/>
      <c r="BD653" s="274"/>
      <c r="BE653" s="143"/>
      <c r="BF653" s="143"/>
      <c r="BG653" s="132"/>
      <c r="BH653" s="132"/>
      <c r="BI653" s="132"/>
      <c r="BJ653" s="143"/>
      <c r="BK653" s="143"/>
      <c r="BL653" s="143"/>
      <c r="BM653" s="132"/>
      <c r="BN653" s="132"/>
      <c r="BO653" s="132"/>
      <c r="BP653" s="143"/>
      <c r="BQ653" s="132"/>
      <c r="BR653" s="132"/>
      <c r="BS653" s="132"/>
      <c r="BT653" s="132"/>
      <c r="BU653" s="132"/>
      <c r="BV653" s="263">
        <v>27600</v>
      </c>
      <c r="BW653" s="144">
        <f>BV653*19%</f>
        <v>5244</v>
      </c>
      <c r="BX653" s="113">
        <f>+BV653+BW653</f>
        <v>32844</v>
      </c>
      <c r="BY653" s="264" t="s">
        <v>231</v>
      </c>
      <c r="BZ653" s="264" t="s">
        <v>164</v>
      </c>
      <c r="CA653" s="132"/>
      <c r="CB653" s="274">
        <v>65200</v>
      </c>
      <c r="CC653" s="144">
        <f>+CB653*19%</f>
        <v>12388</v>
      </c>
      <c r="CD653" s="274">
        <f>+CC653+CB653</f>
        <v>77588</v>
      </c>
      <c r="CE653" s="132"/>
      <c r="CF653" s="132"/>
      <c r="CG653" s="132"/>
      <c r="CH653" s="263">
        <v>28980</v>
      </c>
      <c r="CI653" s="265">
        <f>+CH653*0.19</f>
        <v>5506.2</v>
      </c>
      <c r="CJ653" s="263">
        <f>+CH653+CI653</f>
        <v>34486.199999999997</v>
      </c>
      <c r="CK653" s="264" t="s">
        <v>231</v>
      </c>
      <c r="CL653" s="264" t="s">
        <v>164</v>
      </c>
      <c r="CM653" s="132"/>
      <c r="CN653" s="274"/>
      <c r="CO653" s="144"/>
      <c r="CP653" s="274"/>
      <c r="CQ653" s="132"/>
      <c r="CR653" s="132"/>
      <c r="CS653" s="132"/>
      <c r="CT653" s="274"/>
      <c r="CU653" s="144"/>
      <c r="CV653" s="274"/>
      <c r="CW653" s="132"/>
      <c r="CX653" s="132"/>
      <c r="CY653" s="132"/>
      <c r="CZ653" s="118"/>
      <c r="DA653" s="144"/>
      <c r="DB653" s="118"/>
      <c r="DC653" s="33"/>
      <c r="DD653" s="39"/>
      <c r="DE653" s="11"/>
      <c r="DF653" s="132"/>
      <c r="DG653" s="132"/>
      <c r="DH653" s="132"/>
      <c r="DI653" s="132"/>
      <c r="DJ653" s="132"/>
      <c r="DK653" s="132"/>
      <c r="DL653" s="132"/>
      <c r="DM653" s="132"/>
      <c r="DN653" s="132"/>
      <c r="DO653" s="132"/>
      <c r="DP653" s="132"/>
      <c r="DQ653" s="132"/>
      <c r="DR653" s="132"/>
      <c r="DS653" s="132"/>
      <c r="DT653" s="132"/>
      <c r="DU653" s="132"/>
      <c r="DV653" s="132"/>
      <c r="DW653" s="132"/>
      <c r="DX653" s="132"/>
      <c r="DY653" s="132"/>
      <c r="DZ653" s="132"/>
      <c r="EA653" s="132"/>
      <c r="EB653" s="132"/>
      <c r="EC653" s="132"/>
      <c r="ED653" s="132"/>
      <c r="EE653" s="132"/>
      <c r="EF653" s="132"/>
      <c r="EG653" s="132"/>
      <c r="EH653" s="132"/>
      <c r="EI653" s="132"/>
      <c r="EJ653" s="132"/>
      <c r="EK653" s="132"/>
      <c r="EL653" s="132"/>
      <c r="EM653" s="132"/>
      <c r="EN653" s="132"/>
      <c r="EO653" s="132"/>
      <c r="EP653" s="132"/>
      <c r="EQ653" s="132"/>
      <c r="ER653" s="132"/>
      <c r="ES653" s="132"/>
      <c r="ET653" s="11"/>
      <c r="EU653" s="11"/>
      <c r="EV653" s="11"/>
      <c r="EW653" s="11"/>
      <c r="EX653" s="11"/>
      <c r="EY653" s="11"/>
      <c r="EZ653" s="11"/>
      <c r="FA653" s="11"/>
      <c r="FB653" s="11"/>
      <c r="FC653" s="11"/>
      <c r="FD653" s="11"/>
      <c r="FE653" s="11"/>
      <c r="FF653" s="11"/>
      <c r="FG653" s="11"/>
      <c r="FH653" s="39">
        <f t="shared" si="160"/>
        <v>160983.20000000001</v>
      </c>
      <c r="FI653" s="33">
        <f t="shared" si="161"/>
        <v>4</v>
      </c>
      <c r="FJ653" s="84">
        <f t="shared" si="162"/>
        <v>40245.800000000003</v>
      </c>
    </row>
    <row r="654" spans="1:166" ht="13.5" x14ac:dyDescent="0.25">
      <c r="A654" s="79" t="e">
        <f>#REF!</f>
        <v>#REF!</v>
      </c>
      <c r="B654" s="75" t="e">
        <f>#REF!</f>
        <v>#REF!</v>
      </c>
      <c r="C654" s="75" t="e">
        <f>#REF!</f>
        <v>#REF!</v>
      </c>
      <c r="D654" s="75" t="e">
        <f>#REF!</f>
        <v>#REF!</v>
      </c>
      <c r="E654" s="30">
        <v>1</v>
      </c>
      <c r="F654" s="238">
        <v>0</v>
      </c>
      <c r="G654" s="241">
        <v>0</v>
      </c>
      <c r="H654" s="249">
        <v>0</v>
      </c>
      <c r="I654" s="249">
        <v>0</v>
      </c>
      <c r="J654" s="249">
        <v>295120</v>
      </c>
      <c r="K654" s="249">
        <v>0</v>
      </c>
      <c r="L654" s="274">
        <f>J654</f>
        <v>295120</v>
      </c>
      <c r="M654" s="274"/>
      <c r="N654" s="246"/>
      <c r="O654" s="118"/>
      <c r="P654" s="118"/>
      <c r="Q654" s="52"/>
      <c r="R654" s="52"/>
      <c r="S654" s="5"/>
      <c r="T654" s="118"/>
      <c r="U654" s="118"/>
      <c r="V654" s="118"/>
      <c r="W654" s="11"/>
      <c r="X654" s="11"/>
      <c r="Y654" s="11"/>
      <c r="Z654" s="118"/>
      <c r="AA654" s="118"/>
      <c r="AB654" s="118"/>
      <c r="AC654" s="52"/>
      <c r="AD654" s="52"/>
      <c r="AE654" s="11"/>
      <c r="AF654" s="118"/>
      <c r="AG654" s="144"/>
      <c r="AH654" s="269"/>
      <c r="AI654" s="11"/>
      <c r="AJ654" s="11"/>
      <c r="AK654" s="11"/>
      <c r="AL654" s="118">
        <v>213000</v>
      </c>
      <c r="AM654" s="113">
        <f>+AL654*0.19</f>
        <v>40470</v>
      </c>
      <c r="AN654" s="119">
        <f>+AL654+AM654</f>
        <v>253470</v>
      </c>
      <c r="AO654" s="76" t="s">
        <v>34</v>
      </c>
      <c r="AP654" s="11" t="s">
        <v>45</v>
      </c>
      <c r="AQ654" s="11"/>
      <c r="AR654" s="274"/>
      <c r="AS654" s="274"/>
      <c r="AT654" s="274"/>
      <c r="AU654" s="62"/>
      <c r="AV654" s="48"/>
      <c r="AW654" s="11"/>
      <c r="AX654" s="274"/>
      <c r="AY654" s="274"/>
      <c r="AZ654" s="274"/>
      <c r="BA654" s="11"/>
      <c r="BB654" s="11"/>
      <c r="BC654" s="11"/>
      <c r="BD654" s="274"/>
      <c r="BE654" s="274"/>
      <c r="BF654" s="274"/>
      <c r="BG654" s="11"/>
      <c r="BH654" s="11"/>
      <c r="BI654" s="11"/>
      <c r="BJ654" s="274"/>
      <c r="BK654" s="274"/>
      <c r="BL654" s="274"/>
      <c r="BM654" s="11"/>
      <c r="BN654" s="11"/>
      <c r="BO654" s="11"/>
      <c r="BP654" s="274"/>
      <c r="BQ654" s="11"/>
      <c r="BR654" s="11"/>
      <c r="BS654" s="11"/>
      <c r="BT654" s="11"/>
      <c r="BU654" s="11"/>
      <c r="BV654" s="263">
        <f>+(269800/25)*10</f>
        <v>107920</v>
      </c>
      <c r="BW654" s="144">
        <f>BV654*19%</f>
        <v>20504.8</v>
      </c>
      <c r="BX654" s="113">
        <f>+BV654+BW654</f>
        <v>128424.8</v>
      </c>
      <c r="BY654" s="264" t="s">
        <v>340</v>
      </c>
      <c r="BZ654" s="264" t="s">
        <v>88</v>
      </c>
      <c r="CA654" s="11"/>
      <c r="CB654" s="274"/>
      <c r="CC654" s="274"/>
      <c r="CD654" s="274"/>
      <c r="CE654" s="11"/>
      <c r="CF654" s="11"/>
      <c r="CG654" s="11"/>
      <c r="CH654" s="263">
        <v>285988</v>
      </c>
      <c r="CI654" s="265">
        <f>+CH654*0.19</f>
        <v>54337.72</v>
      </c>
      <c r="CJ654" s="263">
        <f>+CH654+CI654</f>
        <v>340325.72</v>
      </c>
      <c r="CK654" s="264" t="s">
        <v>340</v>
      </c>
      <c r="CL654" s="264" t="s">
        <v>88</v>
      </c>
      <c r="CM654" s="11"/>
      <c r="CN654" s="274"/>
      <c r="CO654" s="144"/>
      <c r="CP654" s="274"/>
      <c r="CQ654" s="11"/>
      <c r="CR654" s="11"/>
      <c r="CS654" s="11"/>
      <c r="CT654" s="274"/>
      <c r="CU654" s="144"/>
      <c r="CV654" s="274"/>
      <c r="CW654" s="11"/>
      <c r="CX654" s="11"/>
      <c r="CY654" s="11"/>
      <c r="CZ654" s="118"/>
      <c r="DA654" s="144"/>
      <c r="DB654" s="118"/>
      <c r="DC654" s="33"/>
      <c r="DD654" s="39"/>
      <c r="DE654" s="11"/>
      <c r="DF654" s="11"/>
      <c r="DG654" s="11"/>
      <c r="DH654" s="11"/>
      <c r="DI654" s="11"/>
      <c r="DJ654" s="11"/>
      <c r="DK654" s="11"/>
      <c r="DL654" s="11"/>
      <c r="DM654" s="11"/>
      <c r="DN654" s="11"/>
      <c r="DO654" s="11"/>
      <c r="DP654" s="11"/>
      <c r="DQ654" s="11"/>
      <c r="DR654" s="11"/>
      <c r="DS654" s="11"/>
      <c r="DT654" s="11"/>
      <c r="DU654" s="11"/>
      <c r="DV654" s="11"/>
      <c r="DW654" s="11"/>
      <c r="DX654" s="11"/>
      <c r="DY654" s="11"/>
      <c r="DZ654" s="11"/>
      <c r="EA654" s="11"/>
      <c r="EB654" s="11"/>
      <c r="EC654" s="11"/>
      <c r="ED654" s="11"/>
      <c r="EE654" s="11"/>
      <c r="EF654" s="11"/>
      <c r="EG654" s="11"/>
      <c r="EH654" s="11"/>
      <c r="EI654" s="11"/>
      <c r="EJ654" s="11"/>
      <c r="EK654" s="11"/>
      <c r="EL654" s="11"/>
      <c r="EM654" s="11"/>
      <c r="EN654" s="11"/>
      <c r="EO654" s="11"/>
      <c r="EP654" s="11"/>
      <c r="EQ654" s="11"/>
      <c r="ER654" s="11"/>
      <c r="ES654" s="11"/>
      <c r="ET654" s="11"/>
      <c r="EU654" s="11"/>
      <c r="EV654" s="11"/>
      <c r="EW654" s="11"/>
      <c r="EX654" s="11"/>
      <c r="EY654" s="11"/>
      <c r="EZ654" s="11"/>
      <c r="FA654" s="11"/>
      <c r="FB654" s="11"/>
      <c r="FC654" s="11"/>
      <c r="FD654" s="11"/>
      <c r="FE654" s="11"/>
      <c r="FF654" s="11"/>
      <c r="FG654" s="11"/>
      <c r="FH654" s="39">
        <f t="shared" si="160"/>
        <v>722220.52</v>
      </c>
      <c r="FI654" s="33">
        <f t="shared" si="161"/>
        <v>3</v>
      </c>
      <c r="FJ654" s="84">
        <f t="shared" si="162"/>
        <v>240740.17333333334</v>
      </c>
    </row>
    <row r="655" spans="1:166" x14ac:dyDescent="0.25">
      <c r="A655" s="79" t="e">
        <f>#REF!</f>
        <v>#REF!</v>
      </c>
      <c r="B655" s="75" t="e">
        <f>#REF!</f>
        <v>#REF!</v>
      </c>
      <c r="C655" s="75" t="e">
        <f>#REF!</f>
        <v>#REF!</v>
      </c>
      <c r="D655" s="75" t="e">
        <f>#REF!</f>
        <v>#REF!</v>
      </c>
      <c r="E655" s="30">
        <v>1</v>
      </c>
      <c r="F655" s="238">
        <v>49980</v>
      </c>
      <c r="G655" s="241">
        <v>0</v>
      </c>
      <c r="H655" s="249">
        <v>51694.313999999998</v>
      </c>
      <c r="I655" s="249">
        <v>0</v>
      </c>
      <c r="J655" s="249">
        <v>499056.25</v>
      </c>
      <c r="K655" s="249">
        <v>0</v>
      </c>
      <c r="L655" s="274">
        <f>AVERAGE(F655,H655,J655)</f>
        <v>200243.52133333334</v>
      </c>
      <c r="M655" s="274"/>
      <c r="N655" s="246"/>
      <c r="O655" s="118"/>
      <c r="P655" s="118"/>
      <c r="Q655" s="52"/>
      <c r="R655" s="52"/>
      <c r="S655" s="5"/>
      <c r="T655" s="118"/>
      <c r="U655" s="118"/>
      <c r="V655" s="118"/>
      <c r="W655" s="11"/>
      <c r="X655" s="11"/>
      <c r="Y655" s="11"/>
      <c r="Z655" s="118"/>
      <c r="AA655" s="118"/>
      <c r="AB655" s="118"/>
      <c r="AC655" s="52"/>
      <c r="AD655" s="52"/>
      <c r="AE655" s="11"/>
      <c r="AF655" s="118">
        <v>550000</v>
      </c>
      <c r="AG655" s="144">
        <f>AF655*19%</f>
        <v>104500</v>
      </c>
      <c r="AH655" s="113">
        <f>+AF655+AG655</f>
        <v>654500</v>
      </c>
      <c r="AI655" s="11"/>
      <c r="AJ655" s="11"/>
      <c r="AK655" s="11"/>
      <c r="AL655" s="118"/>
      <c r="AM655" s="118"/>
      <c r="AN655" s="118"/>
      <c r="AO655" s="76"/>
      <c r="AP655" s="11"/>
      <c r="AQ655" s="11"/>
      <c r="AR655" s="274"/>
      <c r="AS655" s="274"/>
      <c r="AT655" s="274"/>
      <c r="AU655" s="62"/>
      <c r="AV655" s="48"/>
      <c r="AW655" s="11"/>
      <c r="AX655" s="274"/>
      <c r="AY655" s="274"/>
      <c r="AZ655" s="274"/>
      <c r="BA655" s="11"/>
      <c r="BB655" s="11"/>
      <c r="BC655" s="11"/>
      <c r="BD655" s="274"/>
      <c r="BE655" s="274"/>
      <c r="BF655" s="274"/>
      <c r="BG655" s="11"/>
      <c r="BH655" s="11"/>
      <c r="BI655" s="11"/>
      <c r="BJ655" s="274"/>
      <c r="BK655" s="274"/>
      <c r="BL655" s="274"/>
      <c r="BM655" s="11"/>
      <c r="BN655" s="11"/>
      <c r="BO655" s="11"/>
      <c r="BP655" s="274"/>
      <c r="BQ655" s="11"/>
      <c r="BR655" s="11"/>
      <c r="BS655" s="11"/>
      <c r="BT655" s="11"/>
      <c r="BU655" s="11"/>
      <c r="BV655" s="210"/>
      <c r="BW655" s="144"/>
      <c r="BX655" s="113"/>
      <c r="BY655" s="273"/>
      <c r="BZ655" s="273"/>
      <c r="CA655" s="11"/>
      <c r="CB655" s="274"/>
      <c r="CC655" s="274"/>
      <c r="CD655" s="274"/>
      <c r="CE655" s="11"/>
      <c r="CF655" s="11"/>
      <c r="CG655" s="11"/>
      <c r="CH655" s="210"/>
      <c r="CI655" s="219"/>
      <c r="CJ655" s="210"/>
      <c r="CK655" s="273"/>
      <c r="CL655" s="273"/>
      <c r="CM655" s="11"/>
      <c r="CN655" s="274"/>
      <c r="CO655" s="144"/>
      <c r="CP655" s="274"/>
      <c r="CQ655" s="11"/>
      <c r="CR655" s="11"/>
      <c r="CS655" s="11"/>
      <c r="CT655" s="274"/>
      <c r="CU655" s="144"/>
      <c r="CV655" s="274"/>
      <c r="CW655" s="11"/>
      <c r="CX655" s="11"/>
      <c r="CY655" s="11"/>
      <c r="CZ655" s="118"/>
      <c r="DA655" s="144"/>
      <c r="DB655" s="118"/>
      <c r="DC655" s="33"/>
      <c r="DD655" s="39"/>
      <c r="DE655" s="11"/>
      <c r="DF655" s="11"/>
      <c r="DG655" s="11"/>
      <c r="DH655" s="11"/>
      <c r="DI655" s="11"/>
      <c r="DJ655" s="11"/>
      <c r="DK655" s="11"/>
      <c r="DL655" s="11"/>
      <c r="DM655" s="11"/>
      <c r="DN655" s="11"/>
      <c r="DO655" s="11"/>
      <c r="DP655" s="11"/>
      <c r="DQ655" s="11"/>
      <c r="DR655" s="11"/>
      <c r="DS655" s="11"/>
      <c r="DT655" s="11"/>
      <c r="DU655" s="11"/>
      <c r="DV655" s="11"/>
      <c r="DW655" s="11"/>
      <c r="DX655" s="11"/>
      <c r="DY655" s="11"/>
      <c r="DZ655" s="11"/>
      <c r="EA655" s="11"/>
      <c r="EB655" s="11"/>
      <c r="EC655" s="11"/>
      <c r="ED655" s="11"/>
      <c r="EE655" s="11"/>
      <c r="EF655" s="11"/>
      <c r="EG655" s="11"/>
      <c r="EH655" s="11"/>
      <c r="EI655" s="11"/>
      <c r="EJ655" s="11"/>
      <c r="EK655" s="11"/>
      <c r="EL655" s="11"/>
      <c r="EM655" s="11"/>
      <c r="EN655" s="11"/>
      <c r="EO655" s="11"/>
      <c r="EP655" s="11"/>
      <c r="EQ655" s="11"/>
      <c r="ER655" s="11"/>
      <c r="ES655" s="11"/>
      <c r="ET655" s="11"/>
      <c r="EU655" s="11"/>
      <c r="EV655" s="11"/>
      <c r="EW655" s="11"/>
      <c r="EX655" s="11"/>
      <c r="EY655" s="11"/>
      <c r="EZ655" s="11"/>
      <c r="FA655" s="11"/>
      <c r="FB655" s="11"/>
      <c r="FC655" s="11"/>
      <c r="FD655" s="11"/>
      <c r="FE655" s="11"/>
      <c r="FF655" s="11"/>
      <c r="FG655" s="11"/>
      <c r="FH655" s="39">
        <f t="shared" si="160"/>
        <v>654500</v>
      </c>
      <c r="FI655" s="33">
        <f t="shared" si="161"/>
        <v>1</v>
      </c>
      <c r="FJ655" s="84">
        <f t="shared" si="162"/>
        <v>654500</v>
      </c>
    </row>
    <row r="656" spans="1:166" ht="13.5" x14ac:dyDescent="0.25">
      <c r="A656" s="79" t="e">
        <f>#REF!</f>
        <v>#REF!</v>
      </c>
      <c r="B656" s="75" t="e">
        <f>#REF!</f>
        <v>#REF!</v>
      </c>
      <c r="C656" s="75" t="e">
        <f>#REF!</f>
        <v>#REF!</v>
      </c>
      <c r="D656" s="75" t="e">
        <f>#REF!</f>
        <v>#REF!</v>
      </c>
      <c r="E656" s="30">
        <v>1</v>
      </c>
      <c r="F656" s="238">
        <v>0</v>
      </c>
      <c r="G656" s="241">
        <v>0</v>
      </c>
      <c r="H656" s="249">
        <v>0</v>
      </c>
      <c r="I656" s="249">
        <v>0</v>
      </c>
      <c r="J656" s="249">
        <v>261000</v>
      </c>
      <c r="K656" s="249">
        <v>0</v>
      </c>
      <c r="L656" s="274">
        <f>J656</f>
        <v>261000</v>
      </c>
      <c r="M656" s="274"/>
      <c r="N656" s="246"/>
      <c r="O656" s="118"/>
      <c r="P656" s="118"/>
      <c r="Q656" s="52"/>
      <c r="R656" s="52"/>
      <c r="S656" s="5"/>
      <c r="T656" s="118"/>
      <c r="U656" s="118"/>
      <c r="V656" s="118"/>
      <c r="W656" s="11"/>
      <c r="X656" s="11"/>
      <c r="Y656" s="11"/>
      <c r="Z656" s="118">
        <v>283000</v>
      </c>
      <c r="AA656" s="118">
        <f>+Z656*0</f>
        <v>0</v>
      </c>
      <c r="AB656" s="118">
        <f>+Z656+AA656</f>
        <v>283000</v>
      </c>
      <c r="AC656" s="52" t="s">
        <v>534</v>
      </c>
      <c r="AD656" s="52" t="s">
        <v>280</v>
      </c>
      <c r="AE656" s="11"/>
      <c r="AF656" s="118"/>
      <c r="AG656" s="144"/>
      <c r="AH656" s="269"/>
      <c r="AI656" s="11"/>
      <c r="AJ656" s="11"/>
      <c r="AK656" s="11"/>
      <c r="AL656" s="118"/>
      <c r="AM656" s="118"/>
      <c r="AN656" s="118"/>
      <c r="AO656" s="76"/>
      <c r="AP656" s="11"/>
      <c r="AQ656" s="11"/>
      <c r="AR656" s="274"/>
      <c r="AS656" s="274"/>
      <c r="AT656" s="274"/>
      <c r="AU656" s="62"/>
      <c r="AV656" s="48"/>
      <c r="AW656" s="11"/>
      <c r="AX656" s="274"/>
      <c r="AY656" s="274"/>
      <c r="AZ656" s="274"/>
      <c r="BA656" s="11"/>
      <c r="BB656" s="11"/>
      <c r="BC656" s="11"/>
      <c r="BD656" s="274"/>
      <c r="BE656" s="274"/>
      <c r="BF656" s="274"/>
      <c r="BG656" s="11"/>
      <c r="BH656" s="11"/>
      <c r="BI656" s="11"/>
      <c r="BJ656" s="274"/>
      <c r="BK656" s="274"/>
      <c r="BL656" s="274"/>
      <c r="BM656" s="11"/>
      <c r="BN656" s="11"/>
      <c r="BO656" s="11"/>
      <c r="BP656" s="274"/>
      <c r="BQ656" s="11"/>
      <c r="BR656" s="11"/>
      <c r="BS656" s="11"/>
      <c r="BT656" s="11"/>
      <c r="BU656" s="11"/>
      <c r="BV656" s="263">
        <v>816000</v>
      </c>
      <c r="BW656" s="144">
        <f>BV656*0</f>
        <v>0</v>
      </c>
      <c r="BX656" s="113">
        <f>+BV656+BW656</f>
        <v>816000</v>
      </c>
      <c r="BY656" s="264" t="s">
        <v>535</v>
      </c>
      <c r="BZ656" s="264" t="s">
        <v>198</v>
      </c>
      <c r="CA656" s="11"/>
      <c r="CB656" s="274"/>
      <c r="CC656" s="274"/>
      <c r="CD656" s="274"/>
      <c r="CE656" s="11"/>
      <c r="CF656" s="11"/>
      <c r="CG656" s="11"/>
      <c r="CH656" s="263">
        <v>873120</v>
      </c>
      <c r="CI656" s="265">
        <f>+CH656*0</f>
        <v>0</v>
      </c>
      <c r="CJ656" s="263">
        <f>+CH656+CI656</f>
        <v>873120</v>
      </c>
      <c r="CK656" s="264" t="s">
        <v>535</v>
      </c>
      <c r="CL656" s="264" t="s">
        <v>198</v>
      </c>
      <c r="CM656" s="11"/>
      <c r="CN656" s="274"/>
      <c r="CO656" s="144"/>
      <c r="CP656" s="274"/>
      <c r="CQ656" s="11"/>
      <c r="CR656" s="11"/>
      <c r="CS656" s="11"/>
      <c r="CT656" s="274"/>
      <c r="CU656" s="144"/>
      <c r="CV656" s="274"/>
      <c r="CW656" s="11"/>
      <c r="CX656" s="11"/>
      <c r="CY656" s="11"/>
      <c r="CZ656" s="118"/>
      <c r="DA656" s="144"/>
      <c r="DB656" s="118"/>
      <c r="DC656" s="33"/>
      <c r="DD656" s="39"/>
      <c r="DE656" s="11"/>
      <c r="DF656" s="11"/>
      <c r="DG656" s="11"/>
      <c r="DH656" s="11"/>
      <c r="DI656" s="11"/>
      <c r="DJ656" s="11"/>
      <c r="DK656" s="11"/>
      <c r="DL656" s="11"/>
      <c r="DM656" s="11"/>
      <c r="DN656" s="11"/>
      <c r="DO656" s="11"/>
      <c r="DP656" s="11"/>
      <c r="DQ656" s="11"/>
      <c r="DR656" s="11"/>
      <c r="DS656" s="11"/>
      <c r="DT656" s="11"/>
      <c r="DU656" s="11"/>
      <c r="DV656" s="11"/>
      <c r="DW656" s="11"/>
      <c r="DX656" s="11"/>
      <c r="DY656" s="11"/>
      <c r="DZ656" s="11"/>
      <c r="EA656" s="11"/>
      <c r="EB656" s="11"/>
      <c r="EC656" s="11"/>
      <c r="ED656" s="11"/>
      <c r="EE656" s="11"/>
      <c r="EF656" s="11"/>
      <c r="EG656" s="11"/>
      <c r="EH656" s="11"/>
      <c r="EI656" s="11"/>
      <c r="EJ656" s="11"/>
      <c r="EK656" s="11"/>
      <c r="EL656" s="11"/>
      <c r="EM656" s="11"/>
      <c r="EN656" s="11"/>
      <c r="EO656" s="11"/>
      <c r="EP656" s="11"/>
      <c r="EQ656" s="11"/>
      <c r="ER656" s="11"/>
      <c r="ES656" s="11"/>
      <c r="ET656" s="11"/>
      <c r="EU656" s="11"/>
      <c r="EV656" s="11"/>
      <c r="EW656" s="11"/>
      <c r="EX656" s="11"/>
      <c r="EY656" s="11"/>
      <c r="EZ656" s="11"/>
      <c r="FA656" s="11"/>
      <c r="FB656" s="11"/>
      <c r="FC656" s="11"/>
      <c r="FD656" s="11"/>
      <c r="FE656" s="11"/>
      <c r="FF656" s="11"/>
      <c r="FG656" s="11"/>
      <c r="FH656" s="39">
        <f t="shared" si="160"/>
        <v>1972120</v>
      </c>
      <c r="FI656" s="33">
        <f t="shared" si="161"/>
        <v>3</v>
      </c>
      <c r="FJ656" s="84">
        <f t="shared" si="162"/>
        <v>657373.33333333337</v>
      </c>
    </row>
    <row r="657" spans="1:166" ht="41.25" customHeight="1" x14ac:dyDescent="0.25">
      <c r="A657" s="79" t="e">
        <f>#REF!</f>
        <v>#REF!</v>
      </c>
      <c r="B657" s="75" t="e">
        <f>#REF!</f>
        <v>#REF!</v>
      </c>
      <c r="C657" s="75" t="e">
        <f>#REF!</f>
        <v>#REF!</v>
      </c>
      <c r="D657" s="75" t="e">
        <f>#REF!</f>
        <v>#REF!</v>
      </c>
      <c r="E657" s="30">
        <v>1</v>
      </c>
      <c r="F657" s="238">
        <v>0</v>
      </c>
      <c r="G657" s="241">
        <v>0</v>
      </c>
      <c r="H657" s="249">
        <v>0</v>
      </c>
      <c r="I657" s="249">
        <v>0</v>
      </c>
      <c r="J657" s="249">
        <v>0</v>
      </c>
      <c r="K657" s="249">
        <v>0</v>
      </c>
      <c r="L657" s="274"/>
      <c r="M657" s="274"/>
      <c r="N657" s="246"/>
      <c r="O657" s="118"/>
      <c r="P657" s="118"/>
      <c r="Q657" s="52"/>
      <c r="R657" s="52"/>
      <c r="S657" s="5"/>
      <c r="T657" s="118"/>
      <c r="U657" s="118"/>
      <c r="V657" s="118"/>
      <c r="W657" s="11"/>
      <c r="X657" s="11"/>
      <c r="Y657" s="11"/>
      <c r="Z657" s="118"/>
      <c r="AA657" s="118"/>
      <c r="AB657" s="118"/>
      <c r="AC657" s="52"/>
      <c r="AD657" s="52"/>
      <c r="AE657" s="11"/>
      <c r="AF657" s="113"/>
      <c r="AG657" s="144"/>
      <c r="AH657" s="269"/>
      <c r="AI657" s="11"/>
      <c r="AJ657" s="11"/>
      <c r="AK657" s="11"/>
      <c r="AL657" s="118"/>
      <c r="AM657" s="118"/>
      <c r="AN657" s="118"/>
      <c r="AO657" s="76"/>
      <c r="AP657" s="11"/>
      <c r="AQ657" s="11"/>
      <c r="AR657" s="274"/>
      <c r="AS657" s="274"/>
      <c r="AT657" s="274"/>
      <c r="AU657" s="48"/>
      <c r="AV657" s="48"/>
      <c r="AW657" s="11"/>
      <c r="AX657" s="274"/>
      <c r="AY657" s="274"/>
      <c r="AZ657" s="274"/>
      <c r="BA657" s="11"/>
      <c r="BB657" s="11"/>
      <c r="BC657" s="11"/>
      <c r="BD657" s="275"/>
      <c r="BE657" s="274"/>
      <c r="BF657" s="274"/>
      <c r="BG657" s="11"/>
      <c r="BH657" s="11"/>
      <c r="BI657" s="11"/>
      <c r="BJ657" s="274"/>
      <c r="BK657" s="274"/>
      <c r="BL657" s="274"/>
      <c r="BM657" s="11"/>
      <c r="BN657" s="11"/>
      <c r="BO657" s="11"/>
      <c r="BP657" s="274"/>
      <c r="BQ657" s="11"/>
      <c r="BR657" s="11"/>
      <c r="BS657" s="11"/>
      <c r="BT657" s="11"/>
      <c r="BU657" s="11"/>
      <c r="BV657" s="267">
        <v>966000</v>
      </c>
      <c r="BW657" s="144">
        <f>BV657*19%</f>
        <v>183540</v>
      </c>
      <c r="BX657" s="113">
        <f>+BV657+BW657</f>
        <v>1149540</v>
      </c>
      <c r="BY657" s="264" t="s">
        <v>536</v>
      </c>
      <c r="BZ657" s="264" t="s">
        <v>487</v>
      </c>
      <c r="CA657" s="11"/>
      <c r="CB657" s="274"/>
      <c r="CC657" s="274"/>
      <c r="CD657" s="274"/>
      <c r="CE657" s="11"/>
      <c r="CF657" s="11"/>
      <c r="CG657" s="11"/>
      <c r="CH657" s="267">
        <v>1004640</v>
      </c>
      <c r="CI657" s="265">
        <f>+CH657*0.19</f>
        <v>190881.6</v>
      </c>
      <c r="CJ657" s="263">
        <f>+CH657+CI657</f>
        <v>1195521.6000000001</v>
      </c>
      <c r="CK657" s="264" t="s">
        <v>536</v>
      </c>
      <c r="CL657" s="264" t="s">
        <v>487</v>
      </c>
      <c r="CM657" s="11"/>
      <c r="CN657" s="275"/>
      <c r="CO657" s="143"/>
      <c r="CP657" s="275"/>
      <c r="CQ657" s="11"/>
      <c r="CR657" s="11"/>
      <c r="CS657" s="11"/>
      <c r="CT657" s="275"/>
      <c r="CU657" s="143"/>
      <c r="CV657" s="275"/>
      <c r="CW657" s="11"/>
      <c r="CX657" s="11"/>
      <c r="CY657" s="11"/>
      <c r="CZ657" s="113"/>
      <c r="DA657" s="143"/>
      <c r="DB657" s="113"/>
      <c r="DC657" s="33"/>
      <c r="DD657" s="39"/>
      <c r="DE657" s="11"/>
      <c r="DF657" s="11"/>
      <c r="DG657" s="11"/>
      <c r="DH657" s="11"/>
      <c r="DI657" s="11"/>
      <c r="DJ657" s="11"/>
      <c r="DK657" s="11"/>
      <c r="DL657" s="11"/>
      <c r="DM657" s="11"/>
      <c r="DN657" s="11"/>
      <c r="DO657" s="11"/>
      <c r="DP657" s="11"/>
      <c r="DQ657" s="11"/>
      <c r="DR657" s="11"/>
      <c r="DS657" s="11"/>
      <c r="DT657" s="11"/>
      <c r="DU657" s="11"/>
      <c r="DV657" s="11"/>
      <c r="DW657" s="11"/>
      <c r="DX657" s="11"/>
      <c r="DY657" s="11"/>
      <c r="DZ657" s="11"/>
      <c r="EA657" s="11"/>
      <c r="EB657" s="11"/>
      <c r="EC657" s="11"/>
      <c r="ED657" s="11"/>
      <c r="EE657" s="11"/>
      <c r="EF657" s="11"/>
      <c r="EG657" s="11"/>
      <c r="EH657" s="11"/>
      <c r="EI657" s="11"/>
      <c r="EJ657" s="11"/>
      <c r="EK657" s="11"/>
      <c r="EL657" s="11"/>
      <c r="EM657" s="11"/>
      <c r="EN657" s="11"/>
      <c r="EO657" s="11"/>
      <c r="EP657" s="11"/>
      <c r="EQ657" s="11"/>
      <c r="ER657" s="11"/>
      <c r="ES657" s="11"/>
      <c r="ET657" s="11"/>
      <c r="EU657" s="11"/>
      <c r="EV657" s="11"/>
      <c r="EW657" s="11"/>
      <c r="EX657" s="11"/>
      <c r="EY657" s="11"/>
      <c r="EZ657" s="11"/>
      <c r="FA657" s="11"/>
      <c r="FB657" s="11"/>
      <c r="FC657" s="11"/>
      <c r="FD657" s="11"/>
      <c r="FE657" s="11"/>
      <c r="FF657" s="11"/>
      <c r="FG657" s="11"/>
      <c r="FH657" s="39">
        <f t="shared" si="160"/>
        <v>2345061.6</v>
      </c>
      <c r="FI657" s="33">
        <f t="shared" si="161"/>
        <v>2</v>
      </c>
      <c r="FJ657" s="84">
        <f t="shared" si="162"/>
        <v>1172530.8</v>
      </c>
    </row>
    <row r="658" spans="1:166" ht="41.25" customHeight="1" x14ac:dyDescent="0.25">
      <c r="A658" s="79" t="e">
        <f>#REF!</f>
        <v>#REF!</v>
      </c>
      <c r="B658" s="75" t="e">
        <f>#REF!</f>
        <v>#REF!</v>
      </c>
      <c r="C658" s="75" t="e">
        <f>#REF!</f>
        <v>#REF!</v>
      </c>
      <c r="D658" s="75" t="e">
        <f>#REF!</f>
        <v>#REF!</v>
      </c>
      <c r="E658" s="30">
        <v>1</v>
      </c>
      <c r="F658" s="238">
        <v>0</v>
      </c>
      <c r="G658" s="241">
        <v>0</v>
      </c>
      <c r="H658" s="249">
        <v>1279250</v>
      </c>
      <c r="I658" s="249">
        <v>1279250</v>
      </c>
      <c r="J658" s="249">
        <v>450000</v>
      </c>
      <c r="K658" s="249">
        <v>450000</v>
      </c>
      <c r="L658" s="274">
        <f>AVERAGE(H658,J658)</f>
        <v>864625</v>
      </c>
      <c r="M658" s="274">
        <f>AVERAGE(I658,K658)*E1</f>
        <v>890563.75</v>
      </c>
      <c r="N658" s="246"/>
      <c r="O658" s="118"/>
      <c r="P658" s="118"/>
      <c r="Q658" s="52"/>
      <c r="R658" s="52"/>
      <c r="S658" s="5"/>
      <c r="T658" s="118"/>
      <c r="U658" s="118"/>
      <c r="V658" s="118"/>
      <c r="W658" s="11"/>
      <c r="X658" s="11"/>
      <c r="Y658" s="11"/>
      <c r="Z658" s="118"/>
      <c r="AA658" s="118"/>
      <c r="AB658" s="118"/>
      <c r="AC658" s="52"/>
      <c r="AD658" s="52"/>
      <c r="AE658" s="11"/>
      <c r="AF658" s="118">
        <v>450000</v>
      </c>
      <c r="AG658" s="144">
        <f>AF658*19%</f>
        <v>85500</v>
      </c>
      <c r="AH658" s="113">
        <f>+AF658+AG658</f>
        <v>535500</v>
      </c>
      <c r="AI658" s="11"/>
      <c r="AJ658" s="11"/>
      <c r="AK658" s="11"/>
      <c r="AL658" s="118"/>
      <c r="AM658" s="118"/>
      <c r="AN658" s="118"/>
      <c r="AO658" s="76"/>
      <c r="AP658" s="11"/>
      <c r="AQ658" s="11"/>
      <c r="AR658" s="274"/>
      <c r="AS658" s="274"/>
      <c r="AT658" s="274"/>
      <c r="AU658" s="62"/>
      <c r="AV658" s="48"/>
      <c r="AW658" s="11"/>
      <c r="AX658" s="274"/>
      <c r="AY658" s="274"/>
      <c r="AZ658" s="274"/>
      <c r="BA658" s="11"/>
      <c r="BB658" s="11"/>
      <c r="BC658" s="11"/>
      <c r="BD658" s="274"/>
      <c r="BE658" s="274"/>
      <c r="BF658" s="274"/>
      <c r="BG658" s="11"/>
      <c r="BH658" s="11"/>
      <c r="BI658" s="11"/>
      <c r="BJ658" s="274"/>
      <c r="BK658" s="274"/>
      <c r="BL658" s="274"/>
      <c r="BM658" s="11"/>
      <c r="BN658" s="11"/>
      <c r="BO658" s="11"/>
      <c r="BP658" s="274"/>
      <c r="BQ658" s="11"/>
      <c r="BR658" s="11"/>
      <c r="BS658" s="11"/>
      <c r="BT658" s="11"/>
      <c r="BU658" s="11"/>
      <c r="BV658" s="263">
        <v>1142900</v>
      </c>
      <c r="BW658" s="144">
        <f>BV658*0</f>
        <v>0</v>
      </c>
      <c r="BX658" s="113">
        <f>+BV658+BW658</f>
        <v>1142900</v>
      </c>
      <c r="BY658" s="264" t="s">
        <v>537</v>
      </c>
      <c r="BZ658" s="264" t="s">
        <v>538</v>
      </c>
      <c r="CA658" s="11"/>
      <c r="CB658" s="274"/>
      <c r="CC658" s="274"/>
      <c r="CD658" s="274"/>
      <c r="CE658" s="11"/>
      <c r="CF658" s="11"/>
      <c r="CG658" s="11"/>
      <c r="CH658" s="263"/>
      <c r="CI658" s="265"/>
      <c r="CJ658" s="263"/>
      <c r="CK658" s="264"/>
      <c r="CL658" s="264"/>
      <c r="CM658" s="11"/>
      <c r="CN658" s="274"/>
      <c r="CO658" s="144"/>
      <c r="CP658" s="274"/>
      <c r="CQ658" s="11"/>
      <c r="CR658" s="11"/>
      <c r="CS658" s="11"/>
      <c r="CT658" s="274"/>
      <c r="CU658" s="144"/>
      <c r="CV658" s="274"/>
      <c r="CW658" s="11"/>
      <c r="CX658" s="11"/>
      <c r="CY658" s="11"/>
      <c r="CZ658" s="118"/>
      <c r="DA658" s="144"/>
      <c r="DB658" s="118"/>
      <c r="DC658" s="33"/>
      <c r="DD658" s="39"/>
      <c r="DE658" s="11"/>
      <c r="DF658" s="11"/>
      <c r="DG658" s="11"/>
      <c r="DH658" s="11"/>
      <c r="DI658" s="11"/>
      <c r="DJ658" s="11"/>
      <c r="DK658" s="11"/>
      <c r="DL658" s="11"/>
      <c r="DM658" s="11"/>
      <c r="DN658" s="11"/>
      <c r="DO658" s="11"/>
      <c r="DP658" s="11"/>
      <c r="DQ658" s="11"/>
      <c r="DR658" s="11"/>
      <c r="DS658" s="11"/>
      <c r="DT658" s="11"/>
      <c r="DU658" s="11"/>
      <c r="DV658" s="11"/>
      <c r="DW658" s="11"/>
      <c r="DX658" s="11"/>
      <c r="DY658" s="11"/>
      <c r="DZ658" s="11"/>
      <c r="EA658" s="11"/>
      <c r="EB658" s="11"/>
      <c r="EC658" s="11"/>
      <c r="ED658" s="11"/>
      <c r="EE658" s="11"/>
      <c r="EF658" s="11"/>
      <c r="EG658" s="11"/>
      <c r="EH658" s="11"/>
      <c r="EI658" s="11"/>
      <c r="EJ658" s="11"/>
      <c r="EK658" s="11"/>
      <c r="EL658" s="11"/>
      <c r="EM658" s="11"/>
      <c r="EN658" s="11"/>
      <c r="EO658" s="11"/>
      <c r="EP658" s="11"/>
      <c r="EQ658" s="11"/>
      <c r="ER658" s="11"/>
      <c r="ES658" s="11"/>
      <c r="ET658" s="11"/>
      <c r="EU658" s="11"/>
      <c r="EV658" s="11"/>
      <c r="EW658" s="11"/>
      <c r="EX658" s="11"/>
      <c r="EY658" s="11"/>
      <c r="EZ658" s="11"/>
      <c r="FA658" s="11"/>
      <c r="FB658" s="11"/>
      <c r="FC658" s="11"/>
      <c r="FD658" s="11"/>
      <c r="FE658" s="11"/>
      <c r="FF658" s="11"/>
      <c r="FG658" s="11"/>
      <c r="FH658" s="39">
        <f t="shared" si="160"/>
        <v>2568963.75</v>
      </c>
      <c r="FI658" s="33">
        <f t="shared" si="161"/>
        <v>3</v>
      </c>
      <c r="FJ658" s="84">
        <f t="shared" si="162"/>
        <v>856321.25</v>
      </c>
    </row>
    <row r="659" spans="1:166" ht="41.25" customHeight="1" x14ac:dyDescent="0.25">
      <c r="A659" s="79" t="e">
        <f>#REF!</f>
        <v>#REF!</v>
      </c>
      <c r="B659" s="75" t="e">
        <f>#REF!</f>
        <v>#REF!</v>
      </c>
      <c r="C659" s="75" t="e">
        <f>#REF!</f>
        <v>#REF!</v>
      </c>
      <c r="D659" s="75" t="e">
        <f>#REF!</f>
        <v>#REF!</v>
      </c>
      <c r="E659" s="30">
        <v>1</v>
      </c>
      <c r="F659" s="238">
        <v>0</v>
      </c>
      <c r="G659" s="241">
        <v>0</v>
      </c>
      <c r="H659" s="249">
        <v>0</v>
      </c>
      <c r="I659" s="249">
        <v>0</v>
      </c>
      <c r="J659" s="249">
        <v>0</v>
      </c>
      <c r="K659" s="249">
        <v>0</v>
      </c>
      <c r="L659" s="274"/>
      <c r="M659" s="274"/>
      <c r="N659" s="246"/>
      <c r="O659" s="118"/>
      <c r="P659" s="118"/>
      <c r="Q659" s="52"/>
      <c r="R659" s="52"/>
      <c r="S659" s="5"/>
      <c r="T659" s="118"/>
      <c r="U659" s="118"/>
      <c r="V659" s="118"/>
      <c r="W659" s="11"/>
      <c r="X659" s="11"/>
      <c r="Y659" s="11"/>
      <c r="Z659" s="118"/>
      <c r="AA659" s="118"/>
      <c r="AB659" s="118"/>
      <c r="AC659" s="52"/>
      <c r="AD659" s="52"/>
      <c r="AE659" s="11"/>
      <c r="AF659" s="113"/>
      <c r="AG659" s="144"/>
      <c r="AH659" s="145"/>
      <c r="AI659" s="11"/>
      <c r="AJ659" s="11"/>
      <c r="AK659" s="11"/>
      <c r="AL659" s="118"/>
      <c r="AM659" s="118"/>
      <c r="AN659" s="118"/>
      <c r="AO659" s="76"/>
      <c r="AP659" s="11"/>
      <c r="AQ659" s="11"/>
      <c r="AR659" s="274"/>
      <c r="AS659" s="274"/>
      <c r="AT659" s="274"/>
      <c r="AU659" s="62"/>
      <c r="AV659" s="48"/>
      <c r="AW659" s="11"/>
      <c r="AX659" s="274"/>
      <c r="AY659" s="274"/>
      <c r="AZ659" s="274"/>
      <c r="BA659" s="11"/>
      <c r="BB659" s="11"/>
      <c r="BC659" s="11"/>
      <c r="BD659" s="275"/>
      <c r="BE659" s="274"/>
      <c r="BF659" s="274"/>
      <c r="BG659" s="11"/>
      <c r="BH659" s="11"/>
      <c r="BI659" s="11"/>
      <c r="BJ659" s="274"/>
      <c r="BK659" s="274"/>
      <c r="BL659" s="274"/>
      <c r="BM659" s="11"/>
      <c r="BN659" s="11"/>
      <c r="BO659" s="11"/>
      <c r="BP659" s="274"/>
      <c r="BQ659" s="11"/>
      <c r="BR659" s="11"/>
      <c r="BS659" s="11"/>
      <c r="BT659" s="11"/>
      <c r="BU659" s="11"/>
      <c r="BV659" s="210"/>
      <c r="BW659" s="144"/>
      <c r="BX659" s="113"/>
      <c r="BY659" s="273"/>
      <c r="BZ659" s="273"/>
      <c r="CA659" s="11"/>
      <c r="CB659" s="274"/>
      <c r="CC659" s="274"/>
      <c r="CD659" s="274"/>
      <c r="CE659" s="11"/>
      <c r="CF659" s="11"/>
      <c r="CG659" s="11"/>
      <c r="CH659" s="210"/>
      <c r="CI659" s="219"/>
      <c r="CJ659" s="210"/>
      <c r="CK659" s="273"/>
      <c r="CL659" s="273"/>
      <c r="CM659" s="11"/>
      <c r="CN659" s="275"/>
      <c r="CO659" s="143"/>
      <c r="CP659" s="275"/>
      <c r="CQ659" s="11"/>
      <c r="CR659" s="11"/>
      <c r="CS659" s="11"/>
      <c r="CT659" s="275"/>
      <c r="CU659" s="143"/>
      <c r="CV659" s="275"/>
      <c r="CW659" s="11"/>
      <c r="CX659" s="11"/>
      <c r="CY659" s="11"/>
      <c r="CZ659" s="113"/>
      <c r="DA659" s="143"/>
      <c r="DB659" s="113"/>
      <c r="DC659" s="33"/>
      <c r="DD659" s="39"/>
      <c r="DE659" s="11"/>
      <c r="DF659" s="11"/>
      <c r="DG659" s="11"/>
      <c r="DH659" s="11"/>
      <c r="DI659" s="11"/>
      <c r="DJ659" s="11"/>
      <c r="DK659" s="11"/>
      <c r="DL659" s="11"/>
      <c r="DM659" s="11"/>
      <c r="DN659" s="11"/>
      <c r="DO659" s="11"/>
      <c r="DP659" s="11"/>
      <c r="DQ659" s="11"/>
      <c r="DR659" s="11"/>
      <c r="DS659" s="11"/>
      <c r="DT659" s="11"/>
      <c r="DU659" s="11"/>
      <c r="DV659" s="11"/>
      <c r="DW659" s="11"/>
      <c r="DX659" s="11"/>
      <c r="DY659" s="11"/>
      <c r="DZ659" s="11"/>
      <c r="EA659" s="11"/>
      <c r="EB659" s="11"/>
      <c r="EC659" s="11"/>
      <c r="ED659" s="11"/>
      <c r="EE659" s="11"/>
      <c r="EF659" s="11"/>
      <c r="EG659" s="11"/>
      <c r="EH659" s="11"/>
      <c r="EI659" s="11"/>
      <c r="EJ659" s="11"/>
      <c r="EK659" s="11"/>
      <c r="EL659" s="11"/>
      <c r="EM659" s="11"/>
      <c r="EN659" s="11"/>
      <c r="EO659" s="11"/>
      <c r="EP659" s="11"/>
      <c r="EQ659" s="11"/>
      <c r="ER659" s="11"/>
      <c r="ES659" s="11"/>
      <c r="ET659" s="11"/>
      <c r="EU659" s="11"/>
      <c r="EV659" s="11"/>
      <c r="EW659" s="11"/>
      <c r="EX659" s="11"/>
      <c r="EY659" s="11"/>
      <c r="EZ659" s="11"/>
      <c r="FA659" s="11"/>
      <c r="FB659" s="11"/>
      <c r="FC659" s="11"/>
      <c r="FD659" s="11"/>
      <c r="FE659" s="11"/>
      <c r="FF659" s="11"/>
      <c r="FG659" s="11"/>
      <c r="FH659" s="39">
        <f t="shared" si="160"/>
        <v>0</v>
      </c>
      <c r="FI659" s="33">
        <f t="shared" si="161"/>
        <v>0</v>
      </c>
      <c r="FJ659" s="84" t="str">
        <f t="shared" si="162"/>
        <v xml:space="preserve"> </v>
      </c>
    </row>
    <row r="660" spans="1:166" ht="41.25" customHeight="1" x14ac:dyDescent="0.25">
      <c r="A660" s="79" t="e">
        <f>#REF!</f>
        <v>#REF!</v>
      </c>
      <c r="B660" s="75" t="e">
        <f>#REF!</f>
        <v>#REF!</v>
      </c>
      <c r="C660" s="75" t="e">
        <f>#REF!</f>
        <v>#REF!</v>
      </c>
      <c r="D660" s="75" t="e">
        <f>#REF!</f>
        <v>#REF!</v>
      </c>
      <c r="E660" s="30">
        <v>1</v>
      </c>
      <c r="F660" s="238">
        <v>0</v>
      </c>
      <c r="G660" s="241">
        <v>0</v>
      </c>
      <c r="H660" s="249">
        <v>204799</v>
      </c>
      <c r="I660" s="249">
        <v>202300</v>
      </c>
      <c r="J660" s="249">
        <v>357000</v>
      </c>
      <c r="K660" s="249">
        <v>351050</v>
      </c>
      <c r="L660" s="274">
        <f>AVERAGE(H660,J660)</f>
        <v>280899.5</v>
      </c>
      <c r="M660" s="274">
        <f>AVERAGE(I660,K660)*E1</f>
        <v>284975.25</v>
      </c>
      <c r="N660" s="246"/>
      <c r="O660" s="118"/>
      <c r="P660" s="118"/>
      <c r="Q660" s="52"/>
      <c r="R660" s="52"/>
      <c r="S660" s="5"/>
      <c r="T660" s="118"/>
      <c r="U660" s="118"/>
      <c r="V660" s="118"/>
      <c r="W660" s="11"/>
      <c r="X660" s="11"/>
      <c r="Y660" s="11"/>
      <c r="Z660" s="118"/>
      <c r="AA660" s="118"/>
      <c r="AB660" s="118"/>
      <c r="AC660" s="52"/>
      <c r="AD660" s="52"/>
      <c r="AE660" s="11"/>
      <c r="AF660" s="118"/>
      <c r="AG660" s="144"/>
      <c r="AH660" s="269"/>
      <c r="AI660" s="11"/>
      <c r="AJ660" s="11"/>
      <c r="AK660" s="11"/>
      <c r="AL660" s="118"/>
      <c r="AM660" s="118"/>
      <c r="AN660" s="118"/>
      <c r="AO660" s="76"/>
      <c r="AP660" s="11"/>
      <c r="AQ660" s="11"/>
      <c r="AR660" s="274"/>
      <c r="AS660" s="274"/>
      <c r="AT660" s="274"/>
      <c r="AU660" s="48"/>
      <c r="AV660" s="48"/>
      <c r="AW660" s="11"/>
      <c r="AX660" s="274"/>
      <c r="AY660" s="274"/>
      <c r="AZ660" s="274"/>
      <c r="BA660" s="11"/>
      <c r="BB660" s="11"/>
      <c r="BC660" s="11"/>
      <c r="BD660" s="274"/>
      <c r="BE660" s="274"/>
      <c r="BF660" s="274"/>
      <c r="BG660" s="11"/>
      <c r="BH660" s="11"/>
      <c r="BI660" s="11"/>
      <c r="BJ660" s="274"/>
      <c r="BK660" s="274"/>
      <c r="BL660" s="274"/>
      <c r="BM660" s="11"/>
      <c r="BN660" s="11"/>
      <c r="BO660" s="11"/>
      <c r="BP660" s="274"/>
      <c r="BQ660" s="11"/>
      <c r="BR660" s="11"/>
      <c r="BS660" s="11"/>
      <c r="BT660" s="11"/>
      <c r="BU660" s="11"/>
      <c r="BV660" s="263">
        <v>158600</v>
      </c>
      <c r="BW660" s="144">
        <f t="shared" ref="BW660:BW665" si="163">BV660*19%</f>
        <v>30134</v>
      </c>
      <c r="BX660" s="113">
        <f t="shared" ref="BX660:BX666" si="164">+BV660+BW660</f>
        <v>188734</v>
      </c>
      <c r="BY660" s="264" t="s">
        <v>539</v>
      </c>
      <c r="BZ660" s="264" t="s">
        <v>366</v>
      </c>
      <c r="CA660" s="11"/>
      <c r="CB660" s="274"/>
      <c r="CC660" s="274"/>
      <c r="CD660" s="274"/>
      <c r="CE660" s="11"/>
      <c r="CF660" s="11"/>
      <c r="CG660" s="11"/>
      <c r="CH660" s="263">
        <v>166530</v>
      </c>
      <c r="CI660" s="265">
        <f>+CH660*0.19</f>
        <v>31640.7</v>
      </c>
      <c r="CJ660" s="263">
        <f>+CH660+CI660</f>
        <v>198170.7</v>
      </c>
      <c r="CK660" s="264" t="s">
        <v>539</v>
      </c>
      <c r="CL660" s="264" t="s">
        <v>366</v>
      </c>
      <c r="CM660" s="11"/>
      <c r="CN660" s="274"/>
      <c r="CO660" s="144"/>
      <c r="CP660" s="274"/>
      <c r="CQ660" s="11"/>
      <c r="CR660" s="11"/>
      <c r="CS660" s="11"/>
      <c r="CT660" s="274"/>
      <c r="CU660" s="144"/>
      <c r="CV660" s="274"/>
      <c r="CW660" s="11"/>
      <c r="CX660" s="11"/>
      <c r="CY660" s="11"/>
      <c r="CZ660" s="118"/>
      <c r="DA660" s="144"/>
      <c r="DB660" s="118"/>
      <c r="DC660" s="33"/>
      <c r="DD660" s="39"/>
      <c r="DE660" s="11"/>
      <c r="DF660" s="11"/>
      <c r="DG660" s="11"/>
      <c r="DH660" s="11"/>
      <c r="DI660" s="11"/>
      <c r="DJ660" s="11"/>
      <c r="DK660" s="11"/>
      <c r="DL660" s="11"/>
      <c r="DM660" s="11"/>
      <c r="DN660" s="11"/>
      <c r="DO660" s="11"/>
      <c r="DP660" s="11"/>
      <c r="DQ660" s="11"/>
      <c r="DR660" s="11"/>
      <c r="DS660" s="11"/>
      <c r="DT660" s="11"/>
      <c r="DU660" s="11"/>
      <c r="DV660" s="11"/>
      <c r="DW660" s="11"/>
      <c r="DX660" s="11"/>
      <c r="DY660" s="11"/>
      <c r="DZ660" s="11"/>
      <c r="EA660" s="11"/>
      <c r="EB660" s="11"/>
      <c r="EC660" s="11"/>
      <c r="ED660" s="11"/>
      <c r="EE660" s="11"/>
      <c r="EF660" s="11"/>
      <c r="EG660" s="11"/>
      <c r="EH660" s="11"/>
      <c r="EI660" s="11"/>
      <c r="EJ660" s="11"/>
      <c r="EK660" s="11"/>
      <c r="EL660" s="11"/>
      <c r="EM660" s="11"/>
      <c r="EN660" s="11"/>
      <c r="EO660" s="11"/>
      <c r="EP660" s="11"/>
      <c r="EQ660" s="11"/>
      <c r="ER660" s="11"/>
      <c r="ES660" s="11"/>
      <c r="ET660" s="11"/>
      <c r="EU660" s="11"/>
      <c r="EV660" s="11"/>
      <c r="EW660" s="11"/>
      <c r="EX660" s="11"/>
      <c r="EY660" s="11"/>
      <c r="EZ660" s="11"/>
      <c r="FA660" s="11"/>
      <c r="FB660" s="11"/>
      <c r="FC660" s="11"/>
      <c r="FD660" s="11"/>
      <c r="FE660" s="11"/>
      <c r="FF660" s="11"/>
      <c r="FG660" s="11"/>
      <c r="FH660" s="39">
        <f t="shared" si="160"/>
        <v>671879.95</v>
      </c>
      <c r="FI660" s="33">
        <f t="shared" si="161"/>
        <v>3</v>
      </c>
      <c r="FJ660" s="84">
        <f t="shared" si="162"/>
        <v>223959.98333333331</v>
      </c>
    </row>
    <row r="661" spans="1:166" ht="41.25" customHeight="1" x14ac:dyDescent="0.25">
      <c r="A661" s="79" t="e">
        <f>#REF!</f>
        <v>#REF!</v>
      </c>
      <c r="B661" s="75" t="e">
        <f>#REF!</f>
        <v>#REF!</v>
      </c>
      <c r="C661" s="75" t="e">
        <f>#REF!</f>
        <v>#REF!</v>
      </c>
      <c r="D661" s="75" t="e">
        <f>#REF!</f>
        <v>#REF!</v>
      </c>
      <c r="E661" s="30">
        <v>1</v>
      </c>
      <c r="F661" s="238">
        <v>241847.66666666669</v>
      </c>
      <c r="G661" s="241">
        <v>232169</v>
      </c>
      <c r="H661" s="249">
        <v>273225.00832666666</v>
      </c>
      <c r="I661" s="249">
        <v>273224</v>
      </c>
      <c r="J661" s="249">
        <v>224993.06967741935</v>
      </c>
      <c r="K661" s="249">
        <v>219317</v>
      </c>
      <c r="L661" s="274">
        <f>AVERAGE(F661,H661,J661)</f>
        <v>246688.58155691755</v>
      </c>
      <c r="M661" s="274">
        <f>AVERAGE(G661,I661,K661)*E1</f>
        <v>248817.1</v>
      </c>
      <c r="N661" s="246"/>
      <c r="O661" s="118"/>
      <c r="P661" s="118"/>
      <c r="Q661" s="52"/>
      <c r="R661" s="52"/>
      <c r="S661" s="5"/>
      <c r="T661" s="118"/>
      <c r="U661" s="118"/>
      <c r="V661" s="118"/>
      <c r="W661" s="11"/>
      <c r="X661" s="11"/>
      <c r="Y661" s="11"/>
      <c r="Z661" s="118"/>
      <c r="AA661" s="118"/>
      <c r="AB661" s="118"/>
      <c r="AC661" s="52"/>
      <c r="AD661" s="52"/>
      <c r="AE661" s="11"/>
      <c r="AF661" s="118"/>
      <c r="AG661" s="144"/>
      <c r="AH661" s="269"/>
      <c r="AI661" s="11"/>
      <c r="AJ661" s="11"/>
      <c r="AK661" s="11"/>
      <c r="AL661" s="118">
        <v>150000</v>
      </c>
      <c r="AM661" s="113">
        <f>+AL661*0.19</f>
        <v>28500</v>
      </c>
      <c r="AN661" s="119">
        <f>+AL661+AM661</f>
        <v>178500</v>
      </c>
      <c r="AO661" s="76" t="s">
        <v>49</v>
      </c>
      <c r="AP661" s="11" t="s">
        <v>45</v>
      </c>
      <c r="AQ661" s="11"/>
      <c r="AR661" s="274">
        <f>146800/2</f>
        <v>73400</v>
      </c>
      <c r="AS661" s="143">
        <f>+AR661*0.19</f>
        <v>13946</v>
      </c>
      <c r="AT661" s="116">
        <f>+AR661+AS661</f>
        <v>87346</v>
      </c>
      <c r="AU661" s="62" t="s">
        <v>49</v>
      </c>
      <c r="AV661" s="48" t="s">
        <v>45</v>
      </c>
      <c r="AW661" s="11"/>
      <c r="AX661" s="274"/>
      <c r="AY661" s="274"/>
      <c r="AZ661" s="274"/>
      <c r="BA661" s="11"/>
      <c r="BB661" s="11"/>
      <c r="BC661" s="11"/>
      <c r="BD661" s="274"/>
      <c r="BE661" s="274"/>
      <c r="BF661" s="274"/>
      <c r="BG661" s="11"/>
      <c r="BH661" s="11"/>
      <c r="BI661" s="11"/>
      <c r="BJ661" s="274"/>
      <c r="BK661" s="274"/>
      <c r="BL661" s="274"/>
      <c r="BM661" s="11"/>
      <c r="BN661" s="11"/>
      <c r="BO661" s="11"/>
      <c r="BP661" s="274"/>
      <c r="BQ661" s="11"/>
      <c r="BR661" s="11"/>
      <c r="BS661" s="11"/>
      <c r="BT661" s="11"/>
      <c r="BU661" s="11"/>
      <c r="BV661" s="263">
        <f>391900/8</f>
        <v>48987.5</v>
      </c>
      <c r="BW661" s="144">
        <f t="shared" si="163"/>
        <v>9307.625</v>
      </c>
      <c r="BX661" s="113">
        <f t="shared" si="164"/>
        <v>58295.125</v>
      </c>
      <c r="BY661" s="264" t="s">
        <v>327</v>
      </c>
      <c r="BZ661" s="264" t="s">
        <v>63</v>
      </c>
      <c r="CA661" s="11"/>
      <c r="CB661" s="274"/>
      <c r="CC661" s="274"/>
      <c r="CD661" s="274"/>
      <c r="CE661" s="11"/>
      <c r="CF661" s="11"/>
      <c r="CG661" s="11"/>
      <c r="CH661" s="263">
        <f>415414/8</f>
        <v>51926.75</v>
      </c>
      <c r="CI661" s="265">
        <f>+CH661*0.19</f>
        <v>9866.0825000000004</v>
      </c>
      <c r="CJ661" s="263">
        <f>+CH661+CI661</f>
        <v>61792.832500000004</v>
      </c>
      <c r="CK661" s="264" t="s">
        <v>327</v>
      </c>
      <c r="CL661" s="264" t="s">
        <v>63</v>
      </c>
      <c r="CM661" s="11"/>
      <c r="CN661" s="274"/>
      <c r="CO661" s="144"/>
      <c r="CP661" s="274"/>
      <c r="CQ661" s="11"/>
      <c r="CR661" s="11"/>
      <c r="CS661" s="11"/>
      <c r="CT661" s="274"/>
      <c r="CU661" s="144"/>
      <c r="CV661" s="274"/>
      <c r="CW661" s="11"/>
      <c r="CX661" s="11"/>
      <c r="CY661" s="11"/>
      <c r="CZ661" s="118"/>
      <c r="DA661" s="144"/>
      <c r="DB661" s="118"/>
      <c r="DC661" s="33"/>
      <c r="DD661" s="39"/>
      <c r="DE661" s="11"/>
      <c r="DF661" s="11"/>
      <c r="DG661" s="11"/>
      <c r="DH661" s="11"/>
      <c r="DI661" s="11"/>
      <c r="DJ661" s="11"/>
      <c r="DK661" s="11"/>
      <c r="DL661" s="11"/>
      <c r="DM661" s="11"/>
      <c r="DN661" s="11"/>
      <c r="DO661" s="11"/>
      <c r="DP661" s="11"/>
      <c r="DQ661" s="11"/>
      <c r="DR661" s="11"/>
      <c r="DS661" s="11"/>
      <c r="DT661" s="11"/>
      <c r="DU661" s="11"/>
      <c r="DV661" s="11"/>
      <c r="DW661" s="11"/>
      <c r="DX661" s="11"/>
      <c r="DY661" s="11"/>
      <c r="DZ661" s="11"/>
      <c r="EA661" s="11"/>
      <c r="EB661" s="11"/>
      <c r="EC661" s="11"/>
      <c r="ED661" s="11"/>
      <c r="EE661" s="11"/>
      <c r="EF661" s="11"/>
      <c r="EG661" s="11"/>
      <c r="EH661" s="11"/>
      <c r="EI661" s="11"/>
      <c r="EJ661" s="11"/>
      <c r="EK661" s="11"/>
      <c r="EL661" s="11"/>
      <c r="EM661" s="11"/>
      <c r="EN661" s="11"/>
      <c r="EO661" s="11"/>
      <c r="EP661" s="11"/>
      <c r="EQ661" s="11"/>
      <c r="ER661" s="11"/>
      <c r="ES661" s="11"/>
      <c r="ET661" s="11"/>
      <c r="EU661" s="11"/>
      <c r="EV661" s="11"/>
      <c r="EW661" s="11"/>
      <c r="EX661" s="11"/>
      <c r="EY661" s="11"/>
      <c r="EZ661" s="11"/>
      <c r="FA661" s="11"/>
      <c r="FB661" s="11"/>
      <c r="FC661" s="11"/>
      <c r="FD661" s="11"/>
      <c r="FE661" s="11"/>
      <c r="FF661" s="11"/>
      <c r="FG661" s="11"/>
      <c r="FH661" s="39">
        <f t="shared" si="160"/>
        <v>634751.0575</v>
      </c>
      <c r="FI661" s="33">
        <f t="shared" si="161"/>
        <v>5</v>
      </c>
      <c r="FJ661" s="84">
        <f t="shared" si="162"/>
        <v>126950.2115</v>
      </c>
    </row>
    <row r="662" spans="1:166" ht="41.25" customHeight="1" x14ac:dyDescent="0.25">
      <c r="A662" s="79" t="e">
        <f>#REF!</f>
        <v>#REF!</v>
      </c>
      <c r="B662" s="75" t="e">
        <f>#REF!</f>
        <v>#REF!</v>
      </c>
      <c r="C662" s="75" t="e">
        <f>#REF!</f>
        <v>#REF!</v>
      </c>
      <c r="D662" s="75" t="e">
        <f>#REF!</f>
        <v>#REF!</v>
      </c>
      <c r="E662" s="30">
        <v>1</v>
      </c>
      <c r="F662" s="238">
        <v>0</v>
      </c>
      <c r="G662" s="241">
        <v>0</v>
      </c>
      <c r="H662" s="249">
        <v>0</v>
      </c>
      <c r="I662" s="249">
        <v>0</v>
      </c>
      <c r="J662" s="249">
        <v>293335</v>
      </c>
      <c r="K662" s="249">
        <v>0</v>
      </c>
      <c r="L662" s="274">
        <f>J662</f>
        <v>293335</v>
      </c>
      <c r="M662" s="274"/>
      <c r="N662" s="246"/>
      <c r="O662" s="118"/>
      <c r="P662" s="118"/>
      <c r="Q662" s="52"/>
      <c r="R662" s="52"/>
      <c r="S662" s="5"/>
      <c r="T662" s="118"/>
      <c r="U662" s="118"/>
      <c r="V662" s="118"/>
      <c r="W662" s="11"/>
      <c r="X662" s="11"/>
      <c r="Y662" s="11"/>
      <c r="Z662" s="118"/>
      <c r="AA662" s="118"/>
      <c r="AB662" s="118"/>
      <c r="AC662" s="52"/>
      <c r="AD662" s="52"/>
      <c r="AE662" s="11"/>
      <c r="AF662" s="118"/>
      <c r="AG662" s="144"/>
      <c r="AH662" s="269"/>
      <c r="AI662" s="11"/>
      <c r="AJ662" s="11"/>
      <c r="AK662" s="11"/>
      <c r="AL662" s="118"/>
      <c r="AM662" s="118"/>
      <c r="AN662" s="118"/>
      <c r="AO662" s="76"/>
      <c r="AP662" s="11"/>
      <c r="AQ662" s="11"/>
      <c r="AR662" s="274"/>
      <c r="AS662" s="274"/>
      <c r="AT662" s="274"/>
      <c r="AU662" s="62"/>
      <c r="AV662" s="48"/>
      <c r="AW662" s="11"/>
      <c r="AX662" s="274"/>
      <c r="AY662" s="274"/>
      <c r="AZ662" s="274"/>
      <c r="BA662" s="11"/>
      <c r="BB662" s="11"/>
      <c r="BC662" s="11"/>
      <c r="BD662" s="144">
        <v>1404000</v>
      </c>
      <c r="BE662" s="116">
        <f>+BD662*0.19</f>
        <v>266760</v>
      </c>
      <c r="BF662" s="143">
        <f>+BD662+BE662</f>
        <v>1670760</v>
      </c>
      <c r="BG662" s="33" t="s">
        <v>540</v>
      </c>
      <c r="BH662" s="132" t="s">
        <v>139</v>
      </c>
      <c r="BI662" s="11"/>
      <c r="BJ662" s="274"/>
      <c r="BK662" s="274"/>
      <c r="BL662" s="274"/>
      <c r="BM662" s="11"/>
      <c r="BN662" s="11"/>
      <c r="BO662" s="11"/>
      <c r="BP662" s="274"/>
      <c r="BQ662" s="11"/>
      <c r="BR662" s="11"/>
      <c r="BS662" s="11"/>
      <c r="BT662" s="11"/>
      <c r="BU662" s="11"/>
      <c r="BV662" s="267">
        <v>2737700</v>
      </c>
      <c r="BW662" s="144">
        <f t="shared" si="163"/>
        <v>520163</v>
      </c>
      <c r="BX662" s="113">
        <f t="shared" si="164"/>
        <v>3257863</v>
      </c>
      <c r="BY662" s="264" t="s">
        <v>541</v>
      </c>
      <c r="BZ662" s="264" t="s">
        <v>542</v>
      </c>
      <c r="CA662" s="11"/>
      <c r="CB662" s="274"/>
      <c r="CC662" s="274"/>
      <c r="CD662" s="274"/>
      <c r="CE662" s="11"/>
      <c r="CF662" s="11"/>
      <c r="CG662" s="11"/>
      <c r="CH662" s="263">
        <v>2792454</v>
      </c>
      <c r="CI662" s="265">
        <f>+CH662*0.19</f>
        <v>530566.26</v>
      </c>
      <c r="CJ662" s="263">
        <f>+CH662+CI662</f>
        <v>3323020.26</v>
      </c>
      <c r="CK662" s="264" t="s">
        <v>541</v>
      </c>
      <c r="CL662" s="264" t="s">
        <v>542</v>
      </c>
      <c r="CM662" s="11"/>
      <c r="CN662" s="274"/>
      <c r="CO662" s="144"/>
      <c r="CP662" s="274"/>
      <c r="CQ662" s="11"/>
      <c r="CR662" s="11"/>
      <c r="CS662" s="11"/>
      <c r="CT662" s="274"/>
      <c r="CU662" s="144"/>
      <c r="CV662" s="274"/>
      <c r="CW662" s="11"/>
      <c r="CX662" s="11"/>
      <c r="CY662" s="11"/>
      <c r="CZ662" s="118"/>
      <c r="DA662" s="144"/>
      <c r="DB662" s="118"/>
      <c r="DC662" s="33"/>
      <c r="DD662" s="39"/>
      <c r="DE662" s="11"/>
      <c r="DF662" s="11"/>
      <c r="DG662" s="11"/>
      <c r="DH662" s="11"/>
      <c r="DI662" s="11"/>
      <c r="DJ662" s="11"/>
      <c r="DK662" s="11"/>
      <c r="DL662" s="11"/>
      <c r="DM662" s="11"/>
      <c r="DN662" s="11"/>
      <c r="DO662" s="11"/>
      <c r="DP662" s="11"/>
      <c r="DQ662" s="11"/>
      <c r="DR662" s="11"/>
      <c r="DS662" s="11"/>
      <c r="DT662" s="11"/>
      <c r="DU662" s="11"/>
      <c r="DV662" s="11"/>
      <c r="DW662" s="11"/>
      <c r="DX662" s="11"/>
      <c r="DY662" s="11"/>
      <c r="DZ662" s="11"/>
      <c r="EA662" s="11"/>
      <c r="EB662" s="11"/>
      <c r="EC662" s="11"/>
      <c r="ED662" s="11"/>
      <c r="EE662" s="11"/>
      <c r="EF662" s="11"/>
      <c r="EG662" s="11"/>
      <c r="EH662" s="11"/>
      <c r="EI662" s="11"/>
      <c r="EJ662" s="11"/>
      <c r="EK662" s="11"/>
      <c r="EL662" s="11"/>
      <c r="EM662" s="11"/>
      <c r="EN662" s="11"/>
      <c r="EO662" s="11"/>
      <c r="EP662" s="11"/>
      <c r="EQ662" s="11"/>
      <c r="ER662" s="11"/>
      <c r="ES662" s="11"/>
      <c r="ET662" s="11"/>
      <c r="EU662" s="11"/>
      <c r="EV662" s="11"/>
      <c r="EW662" s="11"/>
      <c r="EX662" s="11"/>
      <c r="EY662" s="11"/>
      <c r="EZ662" s="11"/>
      <c r="FA662" s="11"/>
      <c r="FB662" s="11"/>
      <c r="FC662" s="11"/>
      <c r="FD662" s="11"/>
      <c r="FE662" s="11"/>
      <c r="FF662" s="11"/>
      <c r="FG662" s="11"/>
      <c r="FH662" s="39">
        <f t="shared" si="160"/>
        <v>8251643.2599999998</v>
      </c>
      <c r="FI662" s="33">
        <f t="shared" si="161"/>
        <v>3</v>
      </c>
      <c r="FJ662" s="84">
        <f t="shared" si="162"/>
        <v>2750547.7533333334</v>
      </c>
    </row>
    <row r="663" spans="1:166" ht="41.25" customHeight="1" x14ac:dyDescent="0.25">
      <c r="A663" s="79" t="e">
        <f>#REF!</f>
        <v>#REF!</v>
      </c>
      <c r="B663" s="75" t="e">
        <f>#REF!</f>
        <v>#REF!</v>
      </c>
      <c r="C663" s="75" t="e">
        <f>#REF!</f>
        <v>#REF!</v>
      </c>
      <c r="D663" s="75" t="e">
        <f>#REF!</f>
        <v>#REF!</v>
      </c>
      <c r="E663" s="30">
        <v>1</v>
      </c>
      <c r="F663" s="238">
        <v>0</v>
      </c>
      <c r="G663" s="241">
        <v>0</v>
      </c>
      <c r="H663" s="249">
        <v>2424709.4900000002</v>
      </c>
      <c r="I663" s="249">
        <v>0</v>
      </c>
      <c r="J663" s="249">
        <v>3272500</v>
      </c>
      <c r="K663" s="249">
        <v>0</v>
      </c>
      <c r="L663" s="274">
        <f>AVERAGE(H663,J663)</f>
        <v>2848604.7450000001</v>
      </c>
      <c r="M663" s="274"/>
      <c r="N663" s="246"/>
      <c r="O663" s="118"/>
      <c r="P663" s="118"/>
      <c r="Q663" s="52"/>
      <c r="R663" s="52"/>
      <c r="S663" s="5"/>
      <c r="T663" s="118"/>
      <c r="U663" s="118"/>
      <c r="V663" s="118"/>
      <c r="W663" s="11"/>
      <c r="X663" s="11"/>
      <c r="Y663" s="11"/>
      <c r="Z663" s="118"/>
      <c r="AA663" s="118"/>
      <c r="AB663" s="118"/>
      <c r="AC663" s="52"/>
      <c r="AD663" s="52"/>
      <c r="AE663" s="11"/>
      <c r="AF663" s="118"/>
      <c r="AG663" s="144"/>
      <c r="AH663" s="269"/>
      <c r="AI663" s="11"/>
      <c r="AJ663" s="11"/>
      <c r="AK663" s="11"/>
      <c r="AL663" s="118"/>
      <c r="AM663" s="118"/>
      <c r="AN663" s="118"/>
      <c r="AO663" s="76"/>
      <c r="AP663" s="11"/>
      <c r="AQ663" s="11"/>
      <c r="AR663" s="274"/>
      <c r="AS663" s="274"/>
      <c r="AT663" s="274"/>
      <c r="AU663" s="62"/>
      <c r="AV663" s="48"/>
      <c r="AW663" s="11"/>
      <c r="AX663" s="274"/>
      <c r="AY663" s="274"/>
      <c r="AZ663" s="274"/>
      <c r="BA663" s="11"/>
      <c r="BB663" s="11"/>
      <c r="BC663" s="11"/>
      <c r="BD663" s="144">
        <v>1854000</v>
      </c>
      <c r="BE663" s="116">
        <f>+BD663*0.19</f>
        <v>352260</v>
      </c>
      <c r="BF663" s="143">
        <f>+BD663+BE663</f>
        <v>2206260</v>
      </c>
      <c r="BG663" s="33" t="s">
        <v>540</v>
      </c>
      <c r="BH663" s="132" t="s">
        <v>139</v>
      </c>
      <c r="BI663" s="11"/>
      <c r="BJ663" s="274"/>
      <c r="BK663" s="274"/>
      <c r="BL663" s="274"/>
      <c r="BM663" s="11"/>
      <c r="BN663" s="11"/>
      <c r="BO663" s="11"/>
      <c r="BP663" s="274"/>
      <c r="BQ663" s="11"/>
      <c r="BR663" s="11"/>
      <c r="BS663" s="11"/>
      <c r="BT663" s="11"/>
      <c r="BU663" s="11"/>
      <c r="BV663" s="267">
        <v>3320500</v>
      </c>
      <c r="BW663" s="144">
        <f t="shared" si="163"/>
        <v>630895</v>
      </c>
      <c r="BX663" s="113">
        <f t="shared" si="164"/>
        <v>3951395</v>
      </c>
      <c r="BY663" s="264" t="s">
        <v>543</v>
      </c>
      <c r="BZ663" s="264" t="s">
        <v>542</v>
      </c>
      <c r="CA663" s="11"/>
      <c r="CB663" s="274"/>
      <c r="CC663" s="274"/>
      <c r="CD663" s="274"/>
      <c r="CE663" s="11"/>
      <c r="CF663" s="11"/>
      <c r="CG663" s="11"/>
      <c r="CH663" s="263">
        <v>3420115</v>
      </c>
      <c r="CI663" s="265">
        <f>+CH663*0.19</f>
        <v>649821.85</v>
      </c>
      <c r="CJ663" s="263">
        <f>+CH663+CI663</f>
        <v>4069936.85</v>
      </c>
      <c r="CK663" s="264" t="s">
        <v>543</v>
      </c>
      <c r="CL663" s="264" t="s">
        <v>542</v>
      </c>
      <c r="CM663" s="11"/>
      <c r="CN663" s="274"/>
      <c r="CO663" s="144"/>
      <c r="CP663" s="274"/>
      <c r="CQ663" s="11"/>
      <c r="CR663" s="11"/>
      <c r="CS663" s="11"/>
      <c r="CT663" s="274"/>
      <c r="CU663" s="144"/>
      <c r="CV663" s="274"/>
      <c r="CW663" s="11"/>
      <c r="CX663" s="11"/>
      <c r="CY663" s="11"/>
      <c r="CZ663" s="118"/>
      <c r="DA663" s="144"/>
      <c r="DB663" s="118"/>
      <c r="DC663" s="33"/>
      <c r="DD663" s="39"/>
      <c r="DE663" s="11"/>
      <c r="DF663" s="11"/>
      <c r="DG663" s="11"/>
      <c r="DH663" s="11"/>
      <c r="DI663" s="11"/>
      <c r="DJ663" s="11"/>
      <c r="DK663" s="11"/>
      <c r="DL663" s="11"/>
      <c r="DM663" s="11"/>
      <c r="DN663" s="11"/>
      <c r="DO663" s="11"/>
      <c r="DP663" s="11"/>
      <c r="DQ663" s="11"/>
      <c r="DR663" s="11"/>
      <c r="DS663" s="11"/>
      <c r="DT663" s="11"/>
      <c r="DU663" s="11"/>
      <c r="DV663" s="11"/>
      <c r="DW663" s="11"/>
      <c r="DX663" s="11"/>
      <c r="DY663" s="11"/>
      <c r="DZ663" s="11"/>
      <c r="EA663" s="11"/>
      <c r="EB663" s="11"/>
      <c r="EC663" s="11"/>
      <c r="ED663" s="11"/>
      <c r="EE663" s="11"/>
      <c r="EF663" s="11"/>
      <c r="EG663" s="11"/>
      <c r="EH663" s="11"/>
      <c r="EI663" s="11"/>
      <c r="EJ663" s="11"/>
      <c r="EK663" s="11"/>
      <c r="EL663" s="11"/>
      <c r="EM663" s="11"/>
      <c r="EN663" s="11"/>
      <c r="EO663" s="11"/>
      <c r="EP663" s="11"/>
      <c r="EQ663" s="11"/>
      <c r="ER663" s="11"/>
      <c r="ES663" s="11"/>
      <c r="ET663" s="11"/>
      <c r="EU663" s="11"/>
      <c r="EV663" s="11"/>
      <c r="EW663" s="11"/>
      <c r="EX663" s="11"/>
      <c r="EY663" s="11"/>
      <c r="EZ663" s="11"/>
      <c r="FA663" s="11"/>
      <c r="FB663" s="11"/>
      <c r="FC663" s="11"/>
      <c r="FD663" s="11"/>
      <c r="FE663" s="11"/>
      <c r="FF663" s="11"/>
      <c r="FG663" s="11"/>
      <c r="FH663" s="39">
        <f t="shared" si="160"/>
        <v>10227591.85</v>
      </c>
      <c r="FI663" s="33">
        <f t="shared" si="161"/>
        <v>3</v>
      </c>
      <c r="FJ663" s="84">
        <f t="shared" si="162"/>
        <v>3409197.2833333332</v>
      </c>
    </row>
    <row r="664" spans="1:166" ht="13.5" x14ac:dyDescent="0.25">
      <c r="A664" s="79" t="e">
        <f>#REF!</f>
        <v>#REF!</v>
      </c>
      <c r="B664" s="75" t="e">
        <f>#REF!</f>
        <v>#REF!</v>
      </c>
      <c r="C664" s="75" t="e">
        <f>#REF!</f>
        <v>#REF!</v>
      </c>
      <c r="D664" s="75" t="e">
        <f>#REF!</f>
        <v>#REF!</v>
      </c>
      <c r="E664" s="30">
        <v>1</v>
      </c>
      <c r="F664" s="238">
        <v>348075</v>
      </c>
      <c r="G664" s="241">
        <v>339269</v>
      </c>
      <c r="H664" s="249">
        <v>260406.125</v>
      </c>
      <c r="I664" s="249">
        <v>260372</v>
      </c>
      <c r="J664" s="249">
        <v>347984.32199999999</v>
      </c>
      <c r="K664" s="249">
        <v>339150</v>
      </c>
      <c r="L664" s="274">
        <f>AVERAGE(F664,H664,J664)</f>
        <v>318821.81566666666</v>
      </c>
      <c r="M664" s="274">
        <f>AVERAGE(G664,I664,K664)*E1</f>
        <v>322318.24333333335</v>
      </c>
      <c r="N664" s="246"/>
      <c r="O664" s="118"/>
      <c r="P664" s="118"/>
      <c r="Q664" s="52"/>
      <c r="R664" s="52"/>
      <c r="S664" s="5"/>
      <c r="T664" s="118"/>
      <c r="U664" s="118"/>
      <c r="V664" s="118"/>
      <c r="W664" s="11"/>
      <c r="X664" s="11"/>
      <c r="Y664" s="11"/>
      <c r="Z664" s="118"/>
      <c r="AA664" s="118"/>
      <c r="AB664" s="118"/>
      <c r="AC664" s="52"/>
      <c r="AD664" s="52"/>
      <c r="AE664" s="11"/>
      <c r="AF664" s="118">
        <v>350000</v>
      </c>
      <c r="AG664" s="144">
        <f>AF664*19%</f>
        <v>66500</v>
      </c>
      <c r="AH664" s="113">
        <f>+AF664+AG664</f>
        <v>416500</v>
      </c>
      <c r="AI664" s="11"/>
      <c r="AJ664" s="11"/>
      <c r="AK664" s="11"/>
      <c r="AL664" s="118"/>
      <c r="AM664" s="118"/>
      <c r="AN664" s="118"/>
      <c r="AO664" s="76"/>
      <c r="AP664" s="11"/>
      <c r="AQ664" s="11"/>
      <c r="AR664" s="274">
        <f>323764/4</f>
        <v>80941</v>
      </c>
      <c r="AS664" s="143">
        <f>+AR664*0.19</f>
        <v>15378.79</v>
      </c>
      <c r="AT664" s="116">
        <f>+AR664+AS664</f>
        <v>96319.790000000008</v>
      </c>
      <c r="AU664" s="62" t="s">
        <v>54</v>
      </c>
      <c r="AV664" s="48" t="s">
        <v>45</v>
      </c>
      <c r="AW664" s="11"/>
      <c r="AX664" s="274"/>
      <c r="AY664" s="274"/>
      <c r="AZ664" s="274"/>
      <c r="BA664" s="11"/>
      <c r="BB664" s="11"/>
      <c r="BC664" s="11"/>
      <c r="BD664" s="274"/>
      <c r="BE664" s="274"/>
      <c r="BF664" s="274"/>
      <c r="BG664" s="11"/>
      <c r="BH664" s="11"/>
      <c r="BI664" s="11"/>
      <c r="BJ664" s="274"/>
      <c r="BK664" s="274"/>
      <c r="BL664" s="274"/>
      <c r="BM664" s="11"/>
      <c r="BN664" s="11"/>
      <c r="BO664" s="11"/>
      <c r="BP664" s="274"/>
      <c r="BQ664" s="11"/>
      <c r="BR664" s="11"/>
      <c r="BS664" s="11"/>
      <c r="BT664" s="11"/>
      <c r="BU664" s="11"/>
      <c r="BV664" s="263">
        <f>732400/2</f>
        <v>366200</v>
      </c>
      <c r="BW664" s="144">
        <f t="shared" si="163"/>
        <v>69578</v>
      </c>
      <c r="BX664" s="113">
        <f t="shared" si="164"/>
        <v>435778</v>
      </c>
      <c r="BY664" s="264" t="s">
        <v>236</v>
      </c>
      <c r="BZ664" s="264" t="s">
        <v>88</v>
      </c>
      <c r="CA664" s="11"/>
      <c r="CB664" s="274"/>
      <c r="CC664" s="274"/>
      <c r="CD664" s="274"/>
      <c r="CE664" s="11"/>
      <c r="CF664" s="11"/>
      <c r="CG664" s="11"/>
      <c r="CH664" s="263">
        <f>776344/2</f>
        <v>388172</v>
      </c>
      <c r="CI664" s="265">
        <f>+CH664*0.19</f>
        <v>73752.680000000008</v>
      </c>
      <c r="CJ664" s="263">
        <f>+CH664+CI664</f>
        <v>461924.68</v>
      </c>
      <c r="CK664" s="264" t="s">
        <v>236</v>
      </c>
      <c r="CL664" s="264" t="s">
        <v>88</v>
      </c>
      <c r="CM664" s="11"/>
      <c r="CN664" s="274"/>
      <c r="CO664" s="144"/>
      <c r="CP664" s="274"/>
      <c r="CQ664" s="11"/>
      <c r="CR664" s="11"/>
      <c r="CS664" s="11"/>
      <c r="CT664" s="274"/>
      <c r="CU664" s="144"/>
      <c r="CV664" s="274"/>
      <c r="CW664" s="11"/>
      <c r="CX664" s="11"/>
      <c r="CY664" s="11"/>
      <c r="CZ664" s="118"/>
      <c r="DA664" s="144"/>
      <c r="DB664" s="118"/>
      <c r="DC664" s="33"/>
      <c r="DD664" s="39"/>
      <c r="DE664" s="11"/>
      <c r="DF664" s="11"/>
      <c r="DG664" s="11"/>
      <c r="DH664" s="11"/>
      <c r="DI664" s="11"/>
      <c r="DJ664" s="11"/>
      <c r="DK664" s="11"/>
      <c r="DL664" s="11"/>
      <c r="DM664" s="11"/>
      <c r="DN664" s="11"/>
      <c r="DO664" s="11"/>
      <c r="DP664" s="11"/>
      <c r="DQ664" s="11"/>
      <c r="DR664" s="11"/>
      <c r="DS664" s="11"/>
      <c r="DT664" s="11"/>
      <c r="DU664" s="11"/>
      <c r="DV664" s="11"/>
      <c r="DW664" s="11"/>
      <c r="DX664" s="11"/>
      <c r="DY664" s="11"/>
      <c r="DZ664" s="11"/>
      <c r="EA664" s="11"/>
      <c r="EB664" s="11"/>
      <c r="EC664" s="11"/>
      <c r="ED664" s="11"/>
      <c r="EE664" s="11"/>
      <c r="EF664" s="11"/>
      <c r="EG664" s="11"/>
      <c r="EH664" s="11"/>
      <c r="EI664" s="11"/>
      <c r="EJ664" s="11"/>
      <c r="EK664" s="11"/>
      <c r="EL664" s="11"/>
      <c r="EM664" s="11"/>
      <c r="EN664" s="11"/>
      <c r="EO664" s="11"/>
      <c r="EP664" s="11"/>
      <c r="EQ664" s="11"/>
      <c r="ER664" s="11"/>
      <c r="ES664" s="11"/>
      <c r="ET664" s="11"/>
      <c r="EU664" s="11"/>
      <c r="EV664" s="11"/>
      <c r="EW664" s="11"/>
      <c r="EX664" s="11"/>
      <c r="EY664" s="11"/>
      <c r="EZ664" s="11"/>
      <c r="FA664" s="11"/>
      <c r="FB664" s="11"/>
      <c r="FC664" s="11"/>
      <c r="FD664" s="11"/>
      <c r="FE664" s="11"/>
      <c r="FF664" s="11"/>
      <c r="FG664" s="11"/>
      <c r="FH664" s="39">
        <f t="shared" si="160"/>
        <v>1732840.7133333334</v>
      </c>
      <c r="FI664" s="33">
        <f t="shared" si="161"/>
        <v>5</v>
      </c>
      <c r="FJ664" s="84">
        <f t="shared" si="162"/>
        <v>346568.14266666665</v>
      </c>
    </row>
    <row r="665" spans="1:166" ht="27" x14ac:dyDescent="0.25">
      <c r="A665" s="79" t="e">
        <f>#REF!</f>
        <v>#REF!</v>
      </c>
      <c r="B665" s="75" t="e">
        <f>#REF!</f>
        <v>#REF!</v>
      </c>
      <c r="C665" s="75" t="e">
        <f>#REF!</f>
        <v>#REF!</v>
      </c>
      <c r="D665" s="75" t="e">
        <f>#REF!</f>
        <v>#REF!</v>
      </c>
      <c r="E665" s="30">
        <v>1</v>
      </c>
      <c r="F665" s="238">
        <v>621029.2666666666</v>
      </c>
      <c r="G665" s="241">
        <v>605472</v>
      </c>
      <c r="H665" s="249">
        <v>549727.5176283333</v>
      </c>
      <c r="I665" s="249">
        <v>549661</v>
      </c>
      <c r="J665" s="249">
        <v>492675.8666666667</v>
      </c>
      <c r="K665" s="249">
        <v>487900</v>
      </c>
      <c r="L665" s="274">
        <f>AVERAGE(F665,H665,J665)</f>
        <v>554477.55032055557</v>
      </c>
      <c r="M665" s="274">
        <f>AVERAGE(G665,I665,K665)*E1</f>
        <v>564107.99666666659</v>
      </c>
      <c r="N665" s="246"/>
      <c r="O665" s="118"/>
      <c r="P665" s="118"/>
      <c r="Q665" s="52"/>
      <c r="R665" s="52"/>
      <c r="S665" s="5"/>
      <c r="T665" s="118"/>
      <c r="U665" s="118"/>
      <c r="V665" s="118"/>
      <c r="W665" s="11"/>
      <c r="X665" s="11"/>
      <c r="Y665" s="11"/>
      <c r="Z665" s="118"/>
      <c r="AA665" s="118"/>
      <c r="AB665" s="118"/>
      <c r="AC665" s="52"/>
      <c r="AD665" s="52"/>
      <c r="AE665" s="11"/>
      <c r="AF665" s="118"/>
      <c r="AG665" s="118"/>
      <c r="AH665" s="118"/>
      <c r="AI665" s="11"/>
      <c r="AJ665" s="11"/>
      <c r="AK665" s="11"/>
      <c r="AL665" s="118"/>
      <c r="AM665" s="118"/>
      <c r="AN665" s="118"/>
      <c r="AO665" s="76"/>
      <c r="AP665" s="11"/>
      <c r="AQ665" s="11"/>
      <c r="AR665" s="274">
        <v>424800</v>
      </c>
      <c r="AS665" s="143">
        <f>+AR665*0.19</f>
        <v>80712</v>
      </c>
      <c r="AT665" s="116">
        <f>+AR665+AS665</f>
        <v>505512</v>
      </c>
      <c r="AU665" s="62" t="s">
        <v>109</v>
      </c>
      <c r="AV665" s="36" t="s">
        <v>35</v>
      </c>
      <c r="AW665" s="11"/>
      <c r="AX665" s="274"/>
      <c r="AY665" s="274"/>
      <c r="AZ665" s="274"/>
      <c r="BA665" s="11"/>
      <c r="BB665" s="11"/>
      <c r="BC665" s="11"/>
      <c r="BD665" s="274"/>
      <c r="BE665" s="274"/>
      <c r="BF665" s="274"/>
      <c r="BG665" s="11"/>
      <c r="BH665" s="11"/>
      <c r="BI665" s="11"/>
      <c r="BJ665" s="274"/>
      <c r="BK665" s="274"/>
      <c r="BL665" s="274"/>
      <c r="BM665" s="11"/>
      <c r="BN665" s="11"/>
      <c r="BO665" s="11"/>
      <c r="BP665" s="274"/>
      <c r="BQ665" s="11"/>
      <c r="BR665" s="11"/>
      <c r="BS665" s="11"/>
      <c r="BT665" s="11"/>
      <c r="BU665" s="11"/>
      <c r="BV665" s="263">
        <v>1345500</v>
      </c>
      <c r="BW665" s="144">
        <f t="shared" si="163"/>
        <v>255645</v>
      </c>
      <c r="BX665" s="113">
        <f t="shared" si="164"/>
        <v>1601145</v>
      </c>
      <c r="BY665" s="264" t="s">
        <v>544</v>
      </c>
      <c r="BZ665" s="264" t="s">
        <v>477</v>
      </c>
      <c r="CA665" s="11"/>
      <c r="CB665" s="274"/>
      <c r="CC665" s="274"/>
      <c r="CD665" s="274"/>
      <c r="CE665" s="11"/>
      <c r="CF665" s="11"/>
      <c r="CG665" s="11"/>
      <c r="CH665" s="263"/>
      <c r="CI665" s="265"/>
      <c r="CJ665" s="263"/>
      <c r="CK665" s="264"/>
      <c r="CL665" s="264"/>
      <c r="CM665" s="11"/>
      <c r="CN665" s="274"/>
      <c r="CO665" s="144"/>
      <c r="CP665" s="274"/>
      <c r="CQ665" s="11"/>
      <c r="CR665" s="11"/>
      <c r="CS665" s="11"/>
      <c r="CT665" s="144">
        <v>262500</v>
      </c>
      <c r="CU665" s="144">
        <f>CT665*0.19</f>
        <v>49875</v>
      </c>
      <c r="CV665" s="144">
        <f>CU665+CT665</f>
        <v>312375</v>
      </c>
      <c r="CW665" s="11"/>
      <c r="CX665" s="11"/>
      <c r="CY665" s="11"/>
      <c r="CZ665" s="118">
        <v>753919</v>
      </c>
      <c r="DA665" s="144">
        <f>+CZ665*0.19</f>
        <v>143244.61000000002</v>
      </c>
      <c r="DB665" s="118">
        <f>+CZ665+DA665</f>
        <v>897163.61</v>
      </c>
      <c r="DC665" s="33" t="s">
        <v>545</v>
      </c>
      <c r="DD665" s="39" t="s">
        <v>58</v>
      </c>
      <c r="DE665" s="11" t="s">
        <v>546</v>
      </c>
      <c r="DF665" s="11"/>
      <c r="DG665" s="11"/>
      <c r="DH665" s="11"/>
      <c r="DI665" s="11"/>
      <c r="DJ665" s="11"/>
      <c r="DK665" s="11"/>
      <c r="DL665" s="11"/>
      <c r="DM665" s="11"/>
      <c r="DN665" s="11"/>
      <c r="DO665" s="11"/>
      <c r="DP665" s="11"/>
      <c r="DQ665" s="11"/>
      <c r="DR665" s="11"/>
      <c r="DS665" s="11"/>
      <c r="DT665" s="11"/>
      <c r="DU665" s="11"/>
      <c r="DV665" s="11"/>
      <c r="DW665" s="11"/>
      <c r="DX665" s="11"/>
      <c r="DY665" s="11"/>
      <c r="DZ665" s="11"/>
      <c r="EA665" s="11"/>
      <c r="EB665" s="11"/>
      <c r="EC665" s="11"/>
      <c r="ED665" s="11"/>
      <c r="EE665" s="11"/>
      <c r="EF665" s="11"/>
      <c r="EG665" s="11"/>
      <c r="EH665" s="11"/>
      <c r="EI665" s="11"/>
      <c r="EJ665" s="11"/>
      <c r="EK665" s="11"/>
      <c r="EL665" s="11"/>
      <c r="EM665" s="11"/>
      <c r="EN665" s="11"/>
      <c r="EO665" s="11"/>
      <c r="EP665" s="11"/>
      <c r="EQ665" s="11"/>
      <c r="ER665" s="11"/>
      <c r="ES665" s="11"/>
      <c r="ET665" s="11"/>
      <c r="EU665" s="11"/>
      <c r="EV665" s="11"/>
      <c r="EW665" s="11"/>
      <c r="EX665" s="11"/>
      <c r="EY665" s="11"/>
      <c r="EZ665" s="11"/>
      <c r="FA665" s="11"/>
      <c r="FB665" s="11"/>
      <c r="FC665" s="11"/>
      <c r="FD665" s="11"/>
      <c r="FE665" s="11"/>
      <c r="FF665" s="11"/>
      <c r="FG665" s="11"/>
      <c r="FH665" s="39">
        <f t="shared" si="160"/>
        <v>3880303.6066666665</v>
      </c>
      <c r="FI665" s="33">
        <f t="shared" si="161"/>
        <v>5</v>
      </c>
      <c r="FJ665" s="84">
        <f t="shared" si="162"/>
        <v>776060.72133333329</v>
      </c>
    </row>
    <row r="666" spans="1:166" ht="13.5" x14ac:dyDescent="0.25">
      <c r="A666" s="79" t="e">
        <f>#REF!</f>
        <v>#REF!</v>
      </c>
      <c r="B666" s="75" t="e">
        <f>#REF!</f>
        <v>#REF!</v>
      </c>
      <c r="C666" s="75" t="e">
        <f>#REF!</f>
        <v>#REF!</v>
      </c>
      <c r="D666" s="75" t="e">
        <f>#REF!</f>
        <v>#REF!</v>
      </c>
      <c r="E666" s="30">
        <v>1</v>
      </c>
      <c r="F666" s="238">
        <v>0</v>
      </c>
      <c r="G666" s="241">
        <v>0</v>
      </c>
      <c r="H666" s="249">
        <v>0</v>
      </c>
      <c r="I666" s="249">
        <v>0</v>
      </c>
      <c r="J666" s="249">
        <v>0</v>
      </c>
      <c r="K666" s="249">
        <v>0</v>
      </c>
      <c r="L666" s="274"/>
      <c r="M666" s="274"/>
      <c r="N666" s="246"/>
      <c r="O666" s="118"/>
      <c r="P666" s="118"/>
      <c r="Q666" s="52"/>
      <c r="R666" s="52"/>
      <c r="S666" s="5"/>
      <c r="T666" s="118"/>
      <c r="U666" s="118"/>
      <c r="V666" s="118"/>
      <c r="W666" s="11"/>
      <c r="X666" s="11"/>
      <c r="Y666" s="11"/>
      <c r="Z666" s="118"/>
      <c r="AA666" s="118"/>
      <c r="AB666" s="118"/>
      <c r="AC666" s="52"/>
      <c r="AD666" s="52"/>
      <c r="AE666" s="11"/>
      <c r="AF666" s="118"/>
      <c r="AG666" s="118"/>
      <c r="AH666" s="118"/>
      <c r="AI666" s="11"/>
      <c r="AJ666" s="11"/>
      <c r="AK666" s="11"/>
      <c r="AL666" s="118"/>
      <c r="AM666" s="118"/>
      <c r="AN666" s="118"/>
      <c r="AO666" s="76"/>
      <c r="AP666" s="11"/>
      <c r="AQ666" s="11"/>
      <c r="AR666" s="274"/>
      <c r="AS666" s="274"/>
      <c r="AT666" s="274"/>
      <c r="AU666" s="62"/>
      <c r="AV666" s="48"/>
      <c r="AW666" s="11"/>
      <c r="AX666" s="274"/>
      <c r="AY666" s="274"/>
      <c r="AZ666" s="274"/>
      <c r="BA666" s="11"/>
      <c r="BB666" s="11"/>
      <c r="BC666" s="11"/>
      <c r="BD666" s="274"/>
      <c r="BE666" s="274"/>
      <c r="BF666" s="274"/>
      <c r="BG666" s="11"/>
      <c r="BH666" s="11"/>
      <c r="BI666" s="11"/>
      <c r="BJ666" s="274"/>
      <c r="BK666" s="274"/>
      <c r="BL666" s="274"/>
      <c r="BM666" s="11"/>
      <c r="BN666" s="11"/>
      <c r="BO666" s="11"/>
      <c r="BP666" s="274"/>
      <c r="BQ666" s="11"/>
      <c r="BR666" s="11"/>
      <c r="BS666" s="11"/>
      <c r="BT666" s="11"/>
      <c r="BU666" s="11"/>
      <c r="BV666" s="270">
        <v>584800</v>
      </c>
      <c r="BW666" s="144">
        <f>BV666*0</f>
        <v>0</v>
      </c>
      <c r="BX666" s="113">
        <f t="shared" si="164"/>
        <v>584800</v>
      </c>
      <c r="BY666" s="271" t="s">
        <v>231</v>
      </c>
      <c r="BZ666" s="271" t="s">
        <v>88</v>
      </c>
      <c r="CA666" s="11"/>
      <c r="CB666" s="274"/>
      <c r="CC666" s="274"/>
      <c r="CD666" s="274"/>
      <c r="CE666" s="11"/>
      <c r="CF666" s="11"/>
      <c r="CG666" s="11"/>
      <c r="CH666" s="270">
        <v>602344</v>
      </c>
      <c r="CI666" s="265">
        <f>+CH666*0.19</f>
        <v>114445.36</v>
      </c>
      <c r="CJ666" s="263">
        <f>+CH666+CI666</f>
        <v>716789.36</v>
      </c>
      <c r="CK666" s="271" t="s">
        <v>231</v>
      </c>
      <c r="CL666" s="271" t="s">
        <v>88</v>
      </c>
      <c r="CM666" s="11"/>
      <c r="CN666" s="229"/>
      <c r="CO666" s="229"/>
      <c r="CP666" s="230"/>
      <c r="CQ666" s="11"/>
      <c r="CR666" s="11"/>
      <c r="CS666" s="11"/>
      <c r="CT666" s="144">
        <v>440000</v>
      </c>
      <c r="CU666" s="144">
        <f>+CT666*0</f>
        <v>0</v>
      </c>
      <c r="CV666" s="144">
        <f>CT666</f>
        <v>440000</v>
      </c>
      <c r="CW666" s="11"/>
      <c r="CX666" s="11"/>
      <c r="CY666" s="11"/>
      <c r="CZ666" s="143"/>
      <c r="DA666" s="143"/>
      <c r="DB666" s="259"/>
      <c r="DC666" s="229"/>
      <c r="DD666" s="73"/>
      <c r="DE666" s="11"/>
      <c r="DF666" s="11"/>
      <c r="DG666" s="11"/>
      <c r="DH666" s="11"/>
      <c r="DI666" s="11"/>
      <c r="DJ666" s="11"/>
      <c r="DK666" s="11"/>
      <c r="DL666" s="11"/>
      <c r="DM666" s="11"/>
      <c r="DN666" s="11"/>
      <c r="DO666" s="11"/>
      <c r="DP666" s="11"/>
      <c r="DQ666" s="11"/>
      <c r="DR666" s="11"/>
      <c r="DS666" s="11"/>
      <c r="DT666" s="11"/>
      <c r="DU666" s="11"/>
      <c r="DV666" s="11"/>
      <c r="DW666" s="11"/>
      <c r="DX666" s="11"/>
      <c r="DY666" s="11"/>
      <c r="DZ666" s="11"/>
      <c r="EA666" s="11"/>
      <c r="EB666" s="11"/>
      <c r="EC666" s="11"/>
      <c r="ED666" s="11"/>
      <c r="EE666" s="11"/>
      <c r="EF666" s="11"/>
      <c r="EG666" s="11"/>
      <c r="EH666" s="11"/>
      <c r="EI666" s="11"/>
      <c r="EJ666" s="11"/>
      <c r="EK666" s="11"/>
      <c r="EL666" s="11"/>
      <c r="EM666" s="11"/>
      <c r="EN666" s="11"/>
      <c r="EO666" s="11"/>
      <c r="EP666" s="11"/>
      <c r="EQ666" s="11"/>
      <c r="ER666" s="11"/>
      <c r="ES666" s="11"/>
      <c r="ET666" s="11"/>
      <c r="EU666" s="11"/>
      <c r="EV666" s="11"/>
      <c r="EW666" s="11"/>
      <c r="EX666" s="11"/>
      <c r="EY666" s="11"/>
      <c r="EZ666" s="11"/>
      <c r="FA666" s="11"/>
      <c r="FB666" s="11"/>
      <c r="FC666" s="11"/>
      <c r="FD666" s="11"/>
      <c r="FE666" s="11"/>
      <c r="FF666" s="11"/>
      <c r="FG666" s="11"/>
      <c r="FH666" s="39">
        <f t="shared" si="160"/>
        <v>1741589.3599999999</v>
      </c>
      <c r="FI666" s="33">
        <f t="shared" si="161"/>
        <v>3</v>
      </c>
      <c r="FJ666" s="84">
        <f t="shared" si="162"/>
        <v>580529.78666666662</v>
      </c>
    </row>
    <row r="667" spans="1:166" x14ac:dyDescent="0.25">
      <c r="A667" s="79" t="e">
        <f>#REF!</f>
        <v>#REF!</v>
      </c>
      <c r="B667" s="75" t="e">
        <f>#REF!</f>
        <v>#REF!</v>
      </c>
      <c r="C667" s="75" t="e">
        <f>#REF!</f>
        <v>#REF!</v>
      </c>
      <c r="D667" s="75" t="e">
        <f>#REF!</f>
        <v>#REF!</v>
      </c>
      <c r="E667" s="30">
        <v>1</v>
      </c>
      <c r="F667" s="238">
        <v>0</v>
      </c>
      <c r="G667" s="241">
        <v>0</v>
      </c>
      <c r="H667" s="249">
        <v>0</v>
      </c>
      <c r="I667" s="249">
        <v>0</v>
      </c>
      <c r="J667" s="249">
        <v>0</v>
      </c>
      <c r="K667" s="249">
        <v>0</v>
      </c>
      <c r="L667" s="274"/>
      <c r="M667" s="274"/>
      <c r="N667" s="247">
        <v>1115000</v>
      </c>
      <c r="O667" s="113">
        <f>+N667*0</f>
        <v>0</v>
      </c>
      <c r="P667" s="113">
        <f>+O667+N667</f>
        <v>1115000</v>
      </c>
      <c r="Q667" s="36" t="s">
        <v>547</v>
      </c>
      <c r="R667" s="132" t="s">
        <v>200</v>
      </c>
      <c r="S667" s="5" t="s">
        <v>216</v>
      </c>
      <c r="T667" s="118"/>
      <c r="U667" s="118"/>
      <c r="V667" s="118"/>
      <c r="W667" s="11"/>
      <c r="X667" s="11"/>
      <c r="Y667" s="11"/>
      <c r="Z667" s="118"/>
      <c r="AA667" s="118"/>
      <c r="AB667" s="118"/>
      <c r="AC667" s="52"/>
      <c r="AD667" s="52"/>
      <c r="AE667" s="11"/>
      <c r="AF667" s="118"/>
      <c r="AG667" s="118"/>
      <c r="AH667" s="118"/>
      <c r="AI667" s="11"/>
      <c r="AJ667" s="11"/>
      <c r="AK667" s="11"/>
      <c r="AL667" s="118"/>
      <c r="AM667" s="118"/>
      <c r="AN667" s="118"/>
      <c r="AO667" s="76"/>
      <c r="AP667" s="11"/>
      <c r="AQ667" s="11"/>
      <c r="AR667" s="274"/>
      <c r="AS667" s="274"/>
      <c r="AT667" s="274"/>
      <c r="AU667" s="48"/>
      <c r="AV667" s="48"/>
      <c r="AW667" s="11"/>
      <c r="AX667" s="274"/>
      <c r="AY667" s="274"/>
      <c r="AZ667" s="274"/>
      <c r="BA667" s="11"/>
      <c r="BB667" s="11"/>
      <c r="BC667" s="11"/>
      <c r="BD667" s="274"/>
      <c r="BE667" s="274"/>
      <c r="BF667" s="274"/>
      <c r="BG667" s="11"/>
      <c r="BH667" s="11"/>
      <c r="BI667" s="11"/>
      <c r="BJ667" s="274"/>
      <c r="BK667" s="274"/>
      <c r="BL667" s="274"/>
      <c r="BM667" s="11"/>
      <c r="BN667" s="11"/>
      <c r="BO667" s="11"/>
      <c r="BP667" s="274"/>
      <c r="BQ667" s="11"/>
      <c r="BR667" s="11"/>
      <c r="BS667" s="11"/>
      <c r="BT667" s="11"/>
      <c r="BU667" s="11"/>
      <c r="BV667" s="210"/>
      <c r="BW667" s="144"/>
      <c r="BX667" s="113"/>
      <c r="BY667" s="273"/>
      <c r="BZ667" s="273"/>
      <c r="CA667" s="11"/>
      <c r="CB667" s="274"/>
      <c r="CC667" s="274"/>
      <c r="CD667" s="274"/>
      <c r="CE667" s="11"/>
      <c r="CF667" s="11"/>
      <c r="CG667" s="11"/>
      <c r="CH667" s="210"/>
      <c r="CI667" s="219"/>
      <c r="CJ667" s="210"/>
      <c r="CK667" s="273"/>
      <c r="CL667" s="273"/>
      <c r="CM667" s="11"/>
      <c r="CN667" s="274"/>
      <c r="CO667" s="274"/>
      <c r="CP667" s="230"/>
      <c r="CQ667" s="11"/>
      <c r="CR667" s="11"/>
      <c r="CS667" s="11"/>
      <c r="CT667" s="274"/>
      <c r="CU667" s="274"/>
      <c r="CV667" s="230"/>
      <c r="CW667" s="11"/>
      <c r="CX667" s="11"/>
      <c r="CY667" s="11"/>
      <c r="CZ667" s="118"/>
      <c r="DA667" s="118"/>
      <c r="DB667" s="259"/>
      <c r="DC667" s="33"/>
      <c r="DD667" s="73"/>
      <c r="DE667" s="11"/>
      <c r="DF667" s="11"/>
      <c r="DG667" s="11"/>
      <c r="DH667" s="11"/>
      <c r="DI667" s="11"/>
      <c r="DJ667" s="11"/>
      <c r="DK667" s="11"/>
      <c r="DL667" s="11"/>
      <c r="DM667" s="11"/>
      <c r="DN667" s="11"/>
      <c r="DO667" s="11"/>
      <c r="DP667" s="11"/>
      <c r="DQ667" s="11"/>
      <c r="DR667" s="11"/>
      <c r="DS667" s="11"/>
      <c r="DT667" s="11"/>
      <c r="DU667" s="11"/>
      <c r="DV667" s="11"/>
      <c r="DW667" s="11"/>
      <c r="DX667" s="11"/>
      <c r="DY667" s="11"/>
      <c r="DZ667" s="11"/>
      <c r="EA667" s="11"/>
      <c r="EB667" s="11"/>
      <c r="EC667" s="11"/>
      <c r="ED667" s="11"/>
      <c r="EE667" s="11"/>
      <c r="EF667" s="11"/>
      <c r="EG667" s="11"/>
      <c r="EH667" s="11"/>
      <c r="EI667" s="11"/>
      <c r="EJ667" s="11"/>
      <c r="EK667" s="11"/>
      <c r="EL667" s="11"/>
      <c r="EM667" s="11"/>
      <c r="EN667" s="11"/>
      <c r="EO667" s="11"/>
      <c r="EP667" s="11"/>
      <c r="EQ667" s="11"/>
      <c r="ER667" s="11"/>
      <c r="ES667" s="11"/>
      <c r="ET667" s="11"/>
      <c r="EU667" s="11"/>
      <c r="EV667" s="11"/>
      <c r="EW667" s="11"/>
      <c r="EX667" s="11"/>
      <c r="EY667" s="11"/>
      <c r="EZ667" s="11"/>
      <c r="FA667" s="11"/>
      <c r="FB667" s="11"/>
      <c r="FC667" s="11"/>
      <c r="FD667" s="11"/>
      <c r="FE667" s="11"/>
      <c r="FF667" s="11"/>
      <c r="FG667" s="11"/>
      <c r="FH667" s="39">
        <f t="shared" si="160"/>
        <v>1115000</v>
      </c>
      <c r="FI667" s="33">
        <f t="shared" si="161"/>
        <v>1</v>
      </c>
      <c r="FJ667" s="84">
        <f t="shared" si="162"/>
        <v>1115000</v>
      </c>
    </row>
    <row r="668" spans="1:166" x14ac:dyDescent="0.25">
      <c r="A668" s="79" t="e">
        <f>#REF!</f>
        <v>#REF!</v>
      </c>
      <c r="B668" s="75" t="e">
        <f>#REF!</f>
        <v>#REF!</v>
      </c>
      <c r="C668" s="75" t="e">
        <f>#REF!</f>
        <v>#REF!</v>
      </c>
      <c r="D668" s="75" t="e">
        <f>#REF!</f>
        <v>#REF!</v>
      </c>
      <c r="E668" s="30">
        <v>1</v>
      </c>
      <c r="F668" s="238">
        <v>0</v>
      </c>
      <c r="G668" s="241">
        <v>0</v>
      </c>
      <c r="H668" s="249">
        <v>0</v>
      </c>
      <c r="I668" s="249">
        <v>0</v>
      </c>
      <c r="J668" s="249">
        <v>0</v>
      </c>
      <c r="K668" s="249">
        <v>0</v>
      </c>
      <c r="L668" s="274"/>
      <c r="M668" s="274"/>
      <c r="N668" s="247">
        <v>1115000</v>
      </c>
      <c r="O668" s="113">
        <f>+N668*0</f>
        <v>0</v>
      </c>
      <c r="P668" s="113">
        <f>+O668+N668</f>
        <v>1115000</v>
      </c>
      <c r="Q668" s="36" t="s">
        <v>547</v>
      </c>
      <c r="R668" s="132" t="s">
        <v>200</v>
      </c>
      <c r="S668" s="5" t="s">
        <v>216</v>
      </c>
      <c r="T668" s="118"/>
      <c r="U668" s="118"/>
      <c r="V668" s="118"/>
      <c r="W668" s="11"/>
      <c r="X668" s="11"/>
      <c r="Y668" s="11"/>
      <c r="Z668" s="118"/>
      <c r="AA668" s="118"/>
      <c r="AB668" s="118"/>
      <c r="AC668" s="52"/>
      <c r="AD668" s="52"/>
      <c r="AE668" s="11"/>
      <c r="AF668" s="118"/>
      <c r="AG668" s="118"/>
      <c r="AH668" s="118"/>
      <c r="AI668" s="11"/>
      <c r="AJ668" s="11"/>
      <c r="AK668" s="11"/>
      <c r="AL668" s="118"/>
      <c r="AM668" s="118"/>
      <c r="AN668" s="118"/>
      <c r="AO668" s="76"/>
      <c r="AP668" s="11"/>
      <c r="AQ668" s="11"/>
      <c r="AR668" s="274"/>
      <c r="AS668" s="274"/>
      <c r="AT668" s="274"/>
      <c r="AU668" s="48"/>
      <c r="AV668" s="48"/>
      <c r="AW668" s="11"/>
      <c r="AX668" s="274"/>
      <c r="AY668" s="274"/>
      <c r="AZ668" s="274"/>
      <c r="BA668" s="11"/>
      <c r="BB668" s="11"/>
      <c r="BC668" s="11"/>
      <c r="BD668" s="274"/>
      <c r="BE668" s="274"/>
      <c r="BF668" s="274"/>
      <c r="BG668" s="11"/>
      <c r="BH668" s="11"/>
      <c r="BI668" s="11"/>
      <c r="BJ668" s="274"/>
      <c r="BK668" s="274"/>
      <c r="BL668" s="274"/>
      <c r="BM668" s="11"/>
      <c r="BN668" s="11"/>
      <c r="BO668" s="11"/>
      <c r="BP668" s="274"/>
      <c r="BQ668" s="11"/>
      <c r="BR668" s="11"/>
      <c r="BS668" s="11"/>
      <c r="BT668" s="11"/>
      <c r="BU668" s="11"/>
      <c r="BV668" s="210"/>
      <c r="BW668" s="144"/>
      <c r="BX668" s="113"/>
      <c r="BY668" s="273"/>
      <c r="BZ668" s="273"/>
      <c r="CA668" s="11"/>
      <c r="CB668" s="274"/>
      <c r="CC668" s="274"/>
      <c r="CD668" s="274"/>
      <c r="CE668" s="11"/>
      <c r="CF668" s="11"/>
      <c r="CG668" s="11"/>
      <c r="CH668" s="210"/>
      <c r="CI668" s="219"/>
      <c r="CJ668" s="210"/>
      <c r="CK668" s="273"/>
      <c r="CL668" s="273"/>
      <c r="CM668" s="11"/>
      <c r="CN668" s="274"/>
      <c r="CO668" s="274"/>
      <c r="CP668" s="274"/>
      <c r="CQ668" s="11"/>
      <c r="CR668" s="11"/>
      <c r="CS668" s="11"/>
      <c r="CT668" s="274"/>
      <c r="CU668" s="274"/>
      <c r="CV668" s="274"/>
      <c r="CW668" s="11"/>
      <c r="CX668" s="11"/>
      <c r="CY668" s="11"/>
      <c r="CZ668" s="118"/>
      <c r="DA668" s="118"/>
      <c r="DB668" s="118"/>
      <c r="DC668" s="33"/>
      <c r="DD668" s="77"/>
      <c r="DE668" s="11"/>
      <c r="DF668" s="11"/>
      <c r="DG668" s="11"/>
      <c r="DH668" s="11"/>
      <c r="DI668" s="11"/>
      <c r="DJ668" s="11"/>
      <c r="DK668" s="11"/>
      <c r="DL668" s="11"/>
      <c r="DM668" s="11"/>
      <c r="DN668" s="11"/>
      <c r="DO668" s="11"/>
      <c r="DP668" s="11"/>
      <c r="DQ668" s="11"/>
      <c r="DR668" s="11"/>
      <c r="DS668" s="11"/>
      <c r="DT668" s="11"/>
      <c r="DU668" s="11"/>
      <c r="DV668" s="11"/>
      <c r="DW668" s="11"/>
      <c r="DX668" s="11"/>
      <c r="DY668" s="11"/>
      <c r="DZ668" s="11"/>
      <c r="EA668" s="11"/>
      <c r="EB668" s="11"/>
      <c r="EC668" s="11"/>
      <c r="ED668" s="11"/>
      <c r="EE668" s="11"/>
      <c r="EF668" s="11"/>
      <c r="EG668" s="11"/>
      <c r="EH668" s="11"/>
      <c r="EI668" s="11"/>
      <c r="EJ668" s="11"/>
      <c r="EK668" s="11"/>
      <c r="EL668" s="11"/>
      <c r="EM668" s="11"/>
      <c r="EN668" s="11"/>
      <c r="EO668" s="11"/>
      <c r="EP668" s="11"/>
      <c r="EQ668" s="11"/>
      <c r="ER668" s="11"/>
      <c r="ES668" s="11"/>
      <c r="ET668" s="11"/>
      <c r="EU668" s="11"/>
      <c r="EV668" s="11"/>
      <c r="EW668" s="11"/>
      <c r="EX668" s="11"/>
      <c r="EY668" s="11"/>
      <c r="EZ668" s="11"/>
      <c r="FA668" s="11"/>
      <c r="FB668" s="11"/>
      <c r="FC668" s="11"/>
      <c r="FD668" s="11"/>
      <c r="FE668" s="11"/>
      <c r="FF668" s="11"/>
      <c r="FG668" s="11"/>
      <c r="FH668" s="39">
        <f t="shared" si="160"/>
        <v>1115000</v>
      </c>
      <c r="FI668" s="33">
        <f t="shared" si="161"/>
        <v>1</v>
      </c>
      <c r="FJ668" s="84">
        <f t="shared" si="162"/>
        <v>1115000</v>
      </c>
    </row>
    <row r="669" spans="1:166" ht="13.5" x14ac:dyDescent="0.25">
      <c r="A669" s="79" t="e">
        <f>#REF!</f>
        <v>#REF!</v>
      </c>
      <c r="B669" s="75" t="e">
        <f>#REF!</f>
        <v>#REF!</v>
      </c>
      <c r="C669" s="75" t="e">
        <f>#REF!</f>
        <v>#REF!</v>
      </c>
      <c r="D669" s="75" t="e">
        <f>#REF!</f>
        <v>#REF!</v>
      </c>
      <c r="E669" s="30">
        <v>1</v>
      </c>
      <c r="F669" s="238">
        <v>0</v>
      </c>
      <c r="G669" s="241">
        <v>0</v>
      </c>
      <c r="H669" s="249">
        <v>0</v>
      </c>
      <c r="I669" s="249">
        <v>0</v>
      </c>
      <c r="J669" s="249">
        <v>0</v>
      </c>
      <c r="K669" s="249">
        <v>0</v>
      </c>
      <c r="L669" s="274"/>
      <c r="M669" s="274"/>
      <c r="N669" s="246"/>
      <c r="O669" s="118"/>
      <c r="P669" s="118"/>
      <c r="Q669" s="52"/>
      <c r="R669" s="52"/>
      <c r="S669" s="5"/>
      <c r="T669" s="118"/>
      <c r="U669" s="118"/>
      <c r="V669" s="118"/>
      <c r="W669" s="11"/>
      <c r="X669" s="11"/>
      <c r="Y669" s="11"/>
      <c r="Z669" s="118"/>
      <c r="AA669" s="118"/>
      <c r="AB669" s="118"/>
      <c r="AC669" s="52"/>
      <c r="AD669" s="52"/>
      <c r="AE669" s="11"/>
      <c r="AF669" s="118"/>
      <c r="AG669" s="118"/>
      <c r="AH669" s="118"/>
      <c r="AI669" s="11"/>
      <c r="AJ669" s="11"/>
      <c r="AK669" s="11"/>
      <c r="AL669" s="118"/>
      <c r="AM669" s="118"/>
      <c r="AN669" s="118"/>
      <c r="AO669" s="76"/>
      <c r="AP669" s="11"/>
      <c r="AQ669" s="11"/>
      <c r="AR669" s="274"/>
      <c r="AS669" s="274"/>
      <c r="AT669" s="274"/>
      <c r="AU669" s="62"/>
      <c r="AV669" s="48"/>
      <c r="AW669" s="11"/>
      <c r="AX669" s="274"/>
      <c r="AY669" s="274"/>
      <c r="AZ669" s="274"/>
      <c r="BA669" s="11"/>
      <c r="BB669" s="11"/>
      <c r="BC669" s="11"/>
      <c r="BD669" s="274"/>
      <c r="BE669" s="274"/>
      <c r="BF669" s="274"/>
      <c r="BG669" s="11"/>
      <c r="BH669" s="11"/>
      <c r="BI669" s="11"/>
      <c r="BJ669" s="274"/>
      <c r="BK669" s="274"/>
      <c r="BL669" s="274"/>
      <c r="BM669" s="11"/>
      <c r="BN669" s="11"/>
      <c r="BO669" s="11"/>
      <c r="BP669" s="274"/>
      <c r="BQ669" s="11"/>
      <c r="BR669" s="11"/>
      <c r="BS669" s="11"/>
      <c r="BT669" s="11"/>
      <c r="BU669" s="11"/>
      <c r="BV669" s="263">
        <v>510000</v>
      </c>
      <c r="BW669" s="144">
        <f>BV669*0</f>
        <v>0</v>
      </c>
      <c r="BX669" s="113">
        <f>+BV669+BW669</f>
        <v>510000</v>
      </c>
      <c r="BY669" s="272" t="s">
        <v>480</v>
      </c>
      <c r="BZ669" s="272" t="s">
        <v>481</v>
      </c>
      <c r="CA669" s="11"/>
      <c r="CB669" s="274"/>
      <c r="CC669" s="274"/>
      <c r="CD669" s="274"/>
      <c r="CE669" s="11"/>
      <c r="CF669" s="11"/>
      <c r="CG669" s="11"/>
      <c r="CH669" s="263">
        <v>535500</v>
      </c>
      <c r="CI669" s="265">
        <f>+CH669*0</f>
        <v>0</v>
      </c>
      <c r="CJ669" s="263">
        <f>+CH669+CI669</f>
        <v>535500</v>
      </c>
      <c r="CK669" s="272" t="s">
        <v>480</v>
      </c>
      <c r="CL669" s="272" t="s">
        <v>481</v>
      </c>
      <c r="CM669" s="11"/>
      <c r="CN669" s="274"/>
      <c r="CO669" s="274"/>
      <c r="CP669" s="274"/>
      <c r="CQ669" s="11"/>
      <c r="CR669" s="11"/>
      <c r="CS669" s="11"/>
      <c r="CT669" s="274"/>
      <c r="CU669" s="274"/>
      <c r="CV669" s="274"/>
      <c r="CW669" s="11"/>
      <c r="CX669" s="11"/>
      <c r="CY669" s="11"/>
      <c r="CZ669" s="118"/>
      <c r="DA669" s="118"/>
      <c r="DB669" s="118"/>
      <c r="DC669" s="33"/>
      <c r="DD669" s="11"/>
      <c r="DE669" s="11"/>
      <c r="DF669" s="11"/>
      <c r="DG669" s="11"/>
      <c r="DH669" s="11"/>
      <c r="DI669" s="11"/>
      <c r="DJ669" s="11"/>
      <c r="DK669" s="11"/>
      <c r="DL669" s="11"/>
      <c r="DM669" s="11"/>
      <c r="DN669" s="11"/>
      <c r="DO669" s="11"/>
      <c r="DP669" s="11"/>
      <c r="DQ669" s="11"/>
      <c r="DR669" s="11"/>
      <c r="DS669" s="11"/>
      <c r="DT669" s="11"/>
      <c r="DU669" s="11"/>
      <c r="DV669" s="11"/>
      <c r="DW669" s="11"/>
      <c r="DX669" s="11"/>
      <c r="DY669" s="11"/>
      <c r="DZ669" s="11"/>
      <c r="EA669" s="11"/>
      <c r="EB669" s="11"/>
      <c r="EC669" s="11"/>
      <c r="ED669" s="11"/>
      <c r="EE669" s="11"/>
      <c r="EF669" s="11"/>
      <c r="EG669" s="11"/>
      <c r="EH669" s="11"/>
      <c r="EI669" s="11"/>
      <c r="EJ669" s="11"/>
      <c r="EK669" s="11"/>
      <c r="EL669" s="11"/>
      <c r="EM669" s="11"/>
      <c r="EN669" s="11"/>
      <c r="EO669" s="11"/>
      <c r="EP669" s="11"/>
      <c r="EQ669" s="11"/>
      <c r="ER669" s="11"/>
      <c r="ES669" s="11"/>
      <c r="ET669" s="11"/>
      <c r="EU669" s="11"/>
      <c r="EV669" s="11"/>
      <c r="EW669" s="11"/>
      <c r="EX669" s="11"/>
      <c r="EY669" s="11"/>
      <c r="EZ669" s="11"/>
      <c r="FA669" s="11"/>
      <c r="FB669" s="11"/>
      <c r="FC669" s="11"/>
      <c r="FD669" s="11"/>
      <c r="FE669" s="11"/>
      <c r="FF669" s="11"/>
      <c r="FG669" s="11"/>
      <c r="FH669" s="39">
        <f t="shared" si="160"/>
        <v>1045500</v>
      </c>
      <c r="FI669" s="33">
        <f t="shared" si="161"/>
        <v>2</v>
      </c>
      <c r="FJ669" s="84">
        <f t="shared" si="162"/>
        <v>522750</v>
      </c>
    </row>
    <row r="670" spans="1:166" x14ac:dyDescent="0.25">
      <c r="A670" s="79" t="e">
        <f>#REF!</f>
        <v>#REF!</v>
      </c>
      <c r="B670" s="75" t="e">
        <f>#REF!</f>
        <v>#REF!</v>
      </c>
      <c r="C670" s="75" t="e">
        <f>#REF!</f>
        <v>#REF!</v>
      </c>
      <c r="D670" s="75" t="e">
        <f>#REF!</f>
        <v>#REF!</v>
      </c>
      <c r="E670" s="30">
        <v>1</v>
      </c>
      <c r="F670" s="238">
        <v>0</v>
      </c>
      <c r="G670" s="241">
        <v>0</v>
      </c>
      <c r="H670" s="249">
        <v>0</v>
      </c>
      <c r="I670" s="249">
        <v>0</v>
      </c>
      <c r="J670" s="249">
        <v>0</v>
      </c>
      <c r="K670" s="249">
        <v>0</v>
      </c>
      <c r="L670" s="274"/>
      <c r="M670" s="274"/>
      <c r="N670" s="246"/>
      <c r="O670" s="118"/>
      <c r="P670" s="118"/>
      <c r="Q670" s="52"/>
      <c r="R670" s="52"/>
      <c r="S670" s="5"/>
      <c r="T670" s="118"/>
      <c r="U670" s="118"/>
      <c r="V670" s="118"/>
      <c r="W670" s="11"/>
      <c r="X670" s="11"/>
      <c r="Y670" s="11"/>
      <c r="Z670" s="118"/>
      <c r="AA670" s="118"/>
      <c r="AB670" s="118"/>
      <c r="AC670" s="52"/>
      <c r="AD670" s="52"/>
      <c r="AE670" s="11"/>
      <c r="AF670" s="118"/>
      <c r="AG670" s="118"/>
      <c r="AH670" s="118"/>
      <c r="AI670" s="11"/>
      <c r="AJ670" s="11"/>
      <c r="AK670" s="11"/>
      <c r="AL670" s="118"/>
      <c r="AM670" s="118"/>
      <c r="AN670" s="118"/>
      <c r="AO670" s="76"/>
      <c r="AP670" s="11"/>
      <c r="AQ670" s="11"/>
      <c r="AR670" s="274"/>
      <c r="AS670" s="274"/>
      <c r="AT670" s="274"/>
      <c r="AU670" s="62"/>
      <c r="AV670" s="48"/>
      <c r="AW670" s="11"/>
      <c r="AX670" s="274"/>
      <c r="AY670" s="274"/>
      <c r="AZ670" s="274"/>
      <c r="BA670" s="11"/>
      <c r="BB670" s="11"/>
      <c r="BC670" s="11"/>
      <c r="BD670" s="274"/>
      <c r="BE670" s="274"/>
      <c r="BF670" s="274"/>
      <c r="BG670" s="11"/>
      <c r="BH670" s="11"/>
      <c r="BI670" s="11"/>
      <c r="BJ670" s="274"/>
      <c r="BK670" s="274"/>
      <c r="BL670" s="274"/>
      <c r="BM670" s="11"/>
      <c r="BN670" s="11"/>
      <c r="BO670" s="11"/>
      <c r="BP670" s="274"/>
      <c r="BQ670" s="11"/>
      <c r="BR670" s="11"/>
      <c r="BS670" s="11"/>
      <c r="BT670" s="11"/>
      <c r="BU670" s="11"/>
      <c r="BV670" s="210"/>
      <c r="BW670" s="144"/>
      <c r="BX670" s="113"/>
      <c r="BY670" s="273"/>
      <c r="BZ670" s="273"/>
      <c r="CA670" s="11"/>
      <c r="CB670" s="274"/>
      <c r="CC670" s="274"/>
      <c r="CD670" s="274"/>
      <c r="CE670" s="11"/>
      <c r="CF670" s="11"/>
      <c r="CG670" s="11"/>
      <c r="CH670" s="210"/>
      <c r="CI670" s="219"/>
      <c r="CJ670" s="210"/>
      <c r="CK670" s="273"/>
      <c r="CL670" s="273"/>
      <c r="CM670" s="11"/>
      <c r="CN670" s="274"/>
      <c r="CO670" s="274"/>
      <c r="CP670" s="274"/>
      <c r="CQ670" s="11"/>
      <c r="CR670" s="11"/>
      <c r="CS670" s="11"/>
      <c r="CT670" s="274"/>
      <c r="CU670" s="274"/>
      <c r="CV670" s="274"/>
      <c r="CW670" s="11"/>
      <c r="CX670" s="11"/>
      <c r="CY670" s="11"/>
      <c r="CZ670" s="118"/>
      <c r="DA670" s="118"/>
      <c r="DB670" s="118"/>
      <c r="DC670" s="33"/>
      <c r="DD670" s="11"/>
      <c r="DE670" s="11"/>
      <c r="DF670" s="11"/>
      <c r="DG670" s="11"/>
      <c r="DH670" s="11"/>
      <c r="DI670" s="11"/>
      <c r="DJ670" s="11"/>
      <c r="DK670" s="11"/>
      <c r="DL670" s="11"/>
      <c r="DM670" s="11"/>
      <c r="DN670" s="11"/>
      <c r="DO670" s="11"/>
      <c r="DP670" s="11"/>
      <c r="DQ670" s="11"/>
      <c r="DR670" s="11"/>
      <c r="DS670" s="11"/>
      <c r="DT670" s="11"/>
      <c r="DU670" s="11"/>
      <c r="DV670" s="11"/>
      <c r="DW670" s="11"/>
      <c r="DX670" s="11"/>
      <c r="DY670" s="11"/>
      <c r="DZ670" s="11"/>
      <c r="EA670" s="11"/>
      <c r="EB670" s="11"/>
      <c r="EC670" s="11"/>
      <c r="ED670" s="11"/>
      <c r="EE670" s="11"/>
      <c r="EF670" s="11"/>
      <c r="EG670" s="11"/>
      <c r="EH670" s="11"/>
      <c r="EI670" s="11"/>
      <c r="EJ670" s="11"/>
      <c r="EK670" s="11"/>
      <c r="EL670" s="11"/>
      <c r="EM670" s="11"/>
      <c r="EN670" s="11"/>
      <c r="EO670" s="11"/>
      <c r="EP670" s="11"/>
      <c r="EQ670" s="11"/>
      <c r="ER670" s="11"/>
      <c r="ES670" s="11"/>
      <c r="ET670" s="11"/>
      <c r="EU670" s="11"/>
      <c r="EV670" s="11"/>
      <c r="EW670" s="11"/>
      <c r="EX670" s="11"/>
      <c r="EY670" s="11"/>
      <c r="EZ670" s="11"/>
      <c r="FA670" s="11"/>
      <c r="FB670" s="11"/>
      <c r="FC670" s="11"/>
      <c r="FD670" s="11"/>
      <c r="FE670" s="11"/>
      <c r="FF670" s="11"/>
      <c r="FG670" s="11"/>
      <c r="FH670" s="39">
        <f t="shared" si="160"/>
        <v>0</v>
      </c>
      <c r="FI670" s="33">
        <f t="shared" si="161"/>
        <v>0</v>
      </c>
      <c r="FJ670" s="84" t="str">
        <f t="shared" si="162"/>
        <v xml:space="preserve"> </v>
      </c>
    </row>
    <row r="671" spans="1:166" ht="27" x14ac:dyDescent="0.25">
      <c r="A671" s="79" t="e">
        <f>#REF!</f>
        <v>#REF!</v>
      </c>
      <c r="B671" s="75" t="e">
        <f>#REF!</f>
        <v>#REF!</v>
      </c>
      <c r="C671" s="75" t="e">
        <f>#REF!</f>
        <v>#REF!</v>
      </c>
      <c r="D671" s="75" t="e">
        <f>#REF!</f>
        <v>#REF!</v>
      </c>
      <c r="E671" s="30">
        <v>1</v>
      </c>
      <c r="F671" s="238">
        <v>0</v>
      </c>
      <c r="G671" s="241">
        <v>0</v>
      </c>
      <c r="H671" s="249">
        <v>0</v>
      </c>
      <c r="I671" s="249">
        <v>0</v>
      </c>
      <c r="J671" s="249">
        <v>0</v>
      </c>
      <c r="K671" s="249">
        <v>0</v>
      </c>
      <c r="L671" s="274"/>
      <c r="M671" s="274"/>
      <c r="N671" s="246"/>
      <c r="O671" s="118"/>
      <c r="P671" s="118"/>
      <c r="Q671" s="52"/>
      <c r="R671" s="52"/>
      <c r="S671" s="5"/>
      <c r="T671" s="118"/>
      <c r="U671" s="118"/>
      <c r="V671" s="118"/>
      <c r="W671" s="11"/>
      <c r="X671" s="11"/>
      <c r="Y671" s="11"/>
      <c r="Z671" s="118"/>
      <c r="AA671" s="118"/>
      <c r="AB671" s="118"/>
      <c r="AC671" s="52"/>
      <c r="AD671" s="52"/>
      <c r="AE671" s="11"/>
      <c r="AF671" s="118"/>
      <c r="AG671" s="118"/>
      <c r="AH671" s="118"/>
      <c r="AI671" s="11"/>
      <c r="AJ671" s="11"/>
      <c r="AK671" s="11"/>
      <c r="AL671" s="118">
        <v>368000</v>
      </c>
      <c r="AM671" s="113">
        <f>+AL671*0.19</f>
        <v>69920</v>
      </c>
      <c r="AN671" s="119">
        <f>+AL671+AM671</f>
        <v>437920</v>
      </c>
      <c r="AO671" s="76" t="s">
        <v>78</v>
      </c>
      <c r="AP671" s="11" t="s">
        <v>45</v>
      </c>
      <c r="AQ671" s="11"/>
      <c r="AR671" s="274"/>
      <c r="AS671" s="274"/>
      <c r="AT671" s="274"/>
      <c r="AU671" s="48"/>
      <c r="AV671" s="48"/>
      <c r="AW671" s="11"/>
      <c r="AX671" s="274">
        <f>996165.72/4</f>
        <v>249041.43</v>
      </c>
      <c r="AY671" s="116">
        <f>+AX671*0.19</f>
        <v>47317.871699999996</v>
      </c>
      <c r="AZ671" s="143">
        <f>+AX671+AY671</f>
        <v>296359.30170000001</v>
      </c>
      <c r="BA671" s="191" t="s">
        <v>95</v>
      </c>
      <c r="BB671" s="132" t="s">
        <v>70</v>
      </c>
      <c r="BC671" s="11"/>
      <c r="BD671" s="274"/>
      <c r="BE671" s="274"/>
      <c r="BF671" s="274"/>
      <c r="BG671" s="11"/>
      <c r="BH671" s="11"/>
      <c r="BI671" s="11"/>
      <c r="BJ671" s="274"/>
      <c r="BK671" s="274"/>
      <c r="BL671" s="274"/>
      <c r="BM671" s="11"/>
      <c r="BN671" s="11"/>
      <c r="BO671" s="11"/>
      <c r="BP671" s="274"/>
      <c r="BQ671" s="11"/>
      <c r="BR671" s="11"/>
      <c r="BS671" s="11"/>
      <c r="BT671" s="11"/>
      <c r="BU671" s="11"/>
      <c r="BV671" s="263">
        <f>1937900/4</f>
        <v>484475</v>
      </c>
      <c r="BW671" s="144">
        <f>BV671*19%</f>
        <v>92050.25</v>
      </c>
      <c r="BX671" s="113">
        <f>+BV671+BW671</f>
        <v>576525.25</v>
      </c>
      <c r="BY671" s="272" t="s">
        <v>352</v>
      </c>
      <c r="BZ671" s="272" t="s">
        <v>63</v>
      </c>
      <c r="CA671" s="11"/>
      <c r="CB671" s="274"/>
      <c r="CC671" s="274"/>
      <c r="CD671" s="274"/>
      <c r="CE671" s="11"/>
      <c r="CF671" s="11"/>
      <c r="CG671" s="11"/>
      <c r="CH671" s="268">
        <f>1957279/4</f>
        <v>489319.75</v>
      </c>
      <c r="CI671" s="265">
        <f>+CH671*0.19</f>
        <v>92970.752500000002</v>
      </c>
      <c r="CJ671" s="263">
        <f>+CH671+CI671</f>
        <v>582290.50249999994</v>
      </c>
      <c r="CK671" s="272" t="s">
        <v>352</v>
      </c>
      <c r="CL671" s="272" t="s">
        <v>63</v>
      </c>
      <c r="CM671" s="11"/>
      <c r="CN671" s="274"/>
      <c r="CO671" s="274"/>
      <c r="CP671" s="274"/>
      <c r="CQ671" s="11"/>
      <c r="CR671" s="11"/>
      <c r="CS671" s="11"/>
      <c r="CT671" s="274"/>
      <c r="CU671" s="274"/>
      <c r="CV671" s="274"/>
      <c r="CW671" s="11"/>
      <c r="CX671" s="11"/>
      <c r="CY671" s="11"/>
      <c r="CZ671" s="118"/>
      <c r="DA671" s="118"/>
      <c r="DB671" s="118"/>
      <c r="DC671" s="33"/>
      <c r="DD671" s="11"/>
      <c r="DE671" s="11"/>
      <c r="DF671" s="11"/>
      <c r="DG671" s="11"/>
      <c r="DH671" s="11"/>
      <c r="DI671" s="11"/>
      <c r="DJ671" s="11"/>
      <c r="DK671" s="11"/>
      <c r="DL671" s="11"/>
      <c r="DM671" s="11"/>
      <c r="DN671" s="11"/>
      <c r="DO671" s="11"/>
      <c r="DP671" s="11"/>
      <c r="DQ671" s="11"/>
      <c r="DR671" s="11"/>
      <c r="DS671" s="11"/>
      <c r="DT671" s="11"/>
      <c r="DU671" s="11"/>
      <c r="DV671" s="11"/>
      <c r="DW671" s="11"/>
      <c r="DX671" s="11"/>
      <c r="DY671" s="11"/>
      <c r="DZ671" s="11"/>
      <c r="EA671" s="11"/>
      <c r="EB671" s="11"/>
      <c r="EC671" s="11"/>
      <c r="ED671" s="11"/>
      <c r="EE671" s="11"/>
      <c r="EF671" s="11"/>
      <c r="EG671" s="11"/>
      <c r="EH671" s="11"/>
      <c r="EI671" s="11"/>
      <c r="EJ671" s="11"/>
      <c r="EK671" s="11"/>
      <c r="EL671" s="11"/>
      <c r="EM671" s="11"/>
      <c r="EN671" s="11"/>
      <c r="EO671" s="11"/>
      <c r="EP671" s="11"/>
      <c r="EQ671" s="11"/>
      <c r="ER671" s="11"/>
      <c r="ES671" s="11"/>
      <c r="ET671" s="11"/>
      <c r="EU671" s="11"/>
      <c r="EV671" s="11"/>
      <c r="EW671" s="11"/>
      <c r="EX671" s="11"/>
      <c r="EY671" s="11"/>
      <c r="EZ671" s="11"/>
      <c r="FA671" s="11"/>
      <c r="FB671" s="11"/>
      <c r="FC671" s="11"/>
      <c r="FD671" s="11"/>
      <c r="FE671" s="11"/>
      <c r="FF671" s="11"/>
      <c r="FG671" s="11"/>
      <c r="FH671" s="39">
        <f t="shared" si="160"/>
        <v>1893095.0541999999</v>
      </c>
      <c r="FI671" s="33">
        <f t="shared" si="161"/>
        <v>4</v>
      </c>
      <c r="FJ671" s="84">
        <f t="shared" si="162"/>
        <v>473273.76354999997</v>
      </c>
    </row>
    <row r="672" spans="1:166" ht="27" x14ac:dyDescent="0.25">
      <c r="A672" s="79" t="e">
        <f>#REF!</f>
        <v>#REF!</v>
      </c>
      <c r="B672" s="75" t="e">
        <f>#REF!</f>
        <v>#REF!</v>
      </c>
      <c r="C672" s="75" t="e">
        <f>#REF!</f>
        <v>#REF!</v>
      </c>
      <c r="D672" s="75" t="e">
        <f>#REF!</f>
        <v>#REF!</v>
      </c>
      <c r="E672" s="30">
        <v>1</v>
      </c>
      <c r="F672" s="238">
        <v>0</v>
      </c>
      <c r="G672" s="241">
        <v>0</v>
      </c>
      <c r="H672" s="249">
        <v>0</v>
      </c>
      <c r="I672" s="249">
        <v>0</v>
      </c>
      <c r="J672" s="249">
        <v>0</v>
      </c>
      <c r="K672" s="249">
        <v>0</v>
      </c>
      <c r="L672" s="274"/>
      <c r="M672" s="274"/>
      <c r="N672" s="246"/>
      <c r="O672" s="118"/>
      <c r="P672" s="118"/>
      <c r="Q672" s="52"/>
      <c r="R672" s="52"/>
      <c r="S672" s="5"/>
      <c r="T672" s="118"/>
      <c r="U672" s="118"/>
      <c r="V672" s="118"/>
      <c r="W672" s="11"/>
      <c r="X672" s="11"/>
      <c r="Y672" s="11"/>
      <c r="Z672" s="118"/>
      <c r="AA672" s="118"/>
      <c r="AB672" s="118"/>
      <c r="AC672" s="52"/>
      <c r="AD672" s="52"/>
      <c r="AE672" s="11"/>
      <c r="AF672" s="118"/>
      <c r="AG672" s="118"/>
      <c r="AH672" s="118"/>
      <c r="AI672" s="11"/>
      <c r="AJ672" s="11"/>
      <c r="AK672" s="11"/>
      <c r="AL672" s="118">
        <v>470000</v>
      </c>
      <c r="AM672" s="113">
        <f>+AL672*0.19</f>
        <v>89300</v>
      </c>
      <c r="AN672" s="119">
        <f>+AL672+AM672</f>
        <v>559300</v>
      </c>
      <c r="AO672" s="76" t="s">
        <v>54</v>
      </c>
      <c r="AP672" s="11" t="s">
        <v>45</v>
      </c>
      <c r="AQ672" s="11"/>
      <c r="AR672" s="274"/>
      <c r="AS672" s="274"/>
      <c r="AT672" s="274"/>
      <c r="AU672" s="48"/>
      <c r="AV672" s="48"/>
      <c r="AW672" s="11"/>
      <c r="AX672" s="274"/>
      <c r="AY672" s="274"/>
      <c r="AZ672" s="274"/>
      <c r="BA672" s="11"/>
      <c r="BB672" s="11"/>
      <c r="BC672" s="11"/>
      <c r="BD672" s="274"/>
      <c r="BE672" s="274"/>
      <c r="BF672" s="274"/>
      <c r="BG672" s="11"/>
      <c r="BH672" s="11"/>
      <c r="BI672" s="11"/>
      <c r="BJ672" s="274"/>
      <c r="BK672" s="274"/>
      <c r="BL672" s="274"/>
      <c r="BM672" s="11"/>
      <c r="BN672" s="11"/>
      <c r="BO672" s="11"/>
      <c r="BP672" s="274"/>
      <c r="BQ672" s="11"/>
      <c r="BR672" s="11"/>
      <c r="BS672" s="11"/>
      <c r="BT672" s="11"/>
      <c r="BU672" s="11"/>
      <c r="BV672" s="263">
        <v>1316000</v>
      </c>
      <c r="BW672" s="144">
        <f>BV672*19%</f>
        <v>250040</v>
      </c>
      <c r="BX672" s="113">
        <f>+BV672+BW672</f>
        <v>1566040</v>
      </c>
      <c r="BY672" s="272" t="s">
        <v>342</v>
      </c>
      <c r="BZ672" s="272" t="s">
        <v>45</v>
      </c>
      <c r="CA672" s="11"/>
      <c r="CB672" s="274"/>
      <c r="CC672" s="274"/>
      <c r="CD672" s="274"/>
      <c r="CE672" s="11"/>
      <c r="CF672" s="11"/>
      <c r="CG672" s="11"/>
      <c r="CH672" s="268">
        <v>1329160</v>
      </c>
      <c r="CI672" s="265">
        <f>+CH672*0.19</f>
        <v>252540.4</v>
      </c>
      <c r="CJ672" s="263">
        <f>+CH672+CI672</f>
        <v>1581700.4</v>
      </c>
      <c r="CK672" s="272" t="s">
        <v>342</v>
      </c>
      <c r="CL672" s="272" t="s">
        <v>45</v>
      </c>
      <c r="CM672" s="11"/>
      <c r="CN672" s="274"/>
      <c r="CO672" s="274"/>
      <c r="CP672" s="274"/>
      <c r="CQ672" s="11"/>
      <c r="CR672" s="11"/>
      <c r="CS672" s="11"/>
      <c r="CT672" s="274"/>
      <c r="CU672" s="274"/>
      <c r="CV672" s="274"/>
      <c r="CW672" s="11"/>
      <c r="CX672" s="11"/>
      <c r="CY672" s="11"/>
      <c r="CZ672" s="118"/>
      <c r="DA672" s="118"/>
      <c r="DB672" s="118"/>
      <c r="DC672" s="33"/>
      <c r="DD672" s="11"/>
      <c r="DE672" s="11"/>
      <c r="DF672" s="11"/>
      <c r="DG672" s="11"/>
      <c r="DH672" s="11"/>
      <c r="DI672" s="11"/>
      <c r="DJ672" s="11"/>
      <c r="DK672" s="11"/>
      <c r="DL672" s="11"/>
      <c r="DM672" s="11"/>
      <c r="DN672" s="11"/>
      <c r="DO672" s="11"/>
      <c r="DP672" s="11"/>
      <c r="DQ672" s="11"/>
      <c r="DR672" s="11"/>
      <c r="DS672" s="11"/>
      <c r="DT672" s="11"/>
      <c r="DU672" s="11"/>
      <c r="DV672" s="11"/>
      <c r="DW672" s="11"/>
      <c r="DX672" s="11"/>
      <c r="DY672" s="11"/>
      <c r="DZ672" s="11"/>
      <c r="EA672" s="11"/>
      <c r="EB672" s="11"/>
      <c r="EC672" s="11"/>
      <c r="ED672" s="11"/>
      <c r="EE672" s="11"/>
      <c r="EF672" s="11"/>
      <c r="EG672" s="11"/>
      <c r="EH672" s="11"/>
      <c r="EI672" s="11"/>
      <c r="EJ672" s="11"/>
      <c r="EK672" s="11"/>
      <c r="EL672" s="11"/>
      <c r="EM672" s="11"/>
      <c r="EN672" s="11"/>
      <c r="EO672" s="11"/>
      <c r="EP672" s="11"/>
      <c r="EQ672" s="11"/>
      <c r="ER672" s="11"/>
      <c r="ES672" s="11"/>
      <c r="ET672" s="11"/>
      <c r="EU672" s="11"/>
      <c r="EV672" s="11"/>
      <c r="EW672" s="11"/>
      <c r="EX672" s="11"/>
      <c r="EY672" s="11"/>
      <c r="EZ672" s="11"/>
      <c r="FA672" s="11"/>
      <c r="FB672" s="11"/>
      <c r="FC672" s="11"/>
      <c r="FD672" s="11"/>
      <c r="FE672" s="11"/>
      <c r="FF672" s="11"/>
      <c r="FG672" s="11"/>
      <c r="FH672" s="39">
        <f t="shared" si="160"/>
        <v>3707040.4</v>
      </c>
      <c r="FI672" s="33">
        <f t="shared" si="161"/>
        <v>3</v>
      </c>
      <c r="FJ672" s="84">
        <f t="shared" si="162"/>
        <v>1235680.1333333333</v>
      </c>
    </row>
    <row r="673" spans="1:166" ht="40.5" x14ac:dyDescent="0.25">
      <c r="A673" s="79" t="e">
        <f>#REF!</f>
        <v>#REF!</v>
      </c>
      <c r="B673" s="75" t="e">
        <f>#REF!</f>
        <v>#REF!</v>
      </c>
      <c r="C673" s="75" t="e">
        <f>#REF!</f>
        <v>#REF!</v>
      </c>
      <c r="D673" s="75" t="e">
        <f>#REF!</f>
        <v>#REF!</v>
      </c>
      <c r="E673" s="30">
        <v>1</v>
      </c>
      <c r="F673" s="238">
        <v>0</v>
      </c>
      <c r="G673" s="241">
        <v>0</v>
      </c>
      <c r="H673" s="249">
        <v>0</v>
      </c>
      <c r="I673" s="249">
        <v>0</v>
      </c>
      <c r="J673" s="249">
        <v>0</v>
      </c>
      <c r="K673" s="249">
        <v>0</v>
      </c>
      <c r="L673" s="274"/>
      <c r="M673" s="274"/>
      <c r="N673" s="246"/>
      <c r="O673" s="118"/>
      <c r="P673" s="118"/>
      <c r="Q673" s="52"/>
      <c r="R673" s="52"/>
      <c r="S673" s="5"/>
      <c r="T673" s="118"/>
      <c r="U673" s="118"/>
      <c r="V673" s="118"/>
      <c r="W673" s="11"/>
      <c r="X673" s="11"/>
      <c r="Y673" s="11"/>
      <c r="Z673" s="118"/>
      <c r="AA673" s="118"/>
      <c r="AB673" s="118"/>
      <c r="AC673" s="52"/>
      <c r="AD673" s="52"/>
      <c r="AE673" s="11"/>
      <c r="AF673" s="118"/>
      <c r="AG673" s="118"/>
      <c r="AH673" s="118"/>
      <c r="AI673" s="11"/>
      <c r="AJ673" s="11"/>
      <c r="AK673" s="11"/>
      <c r="AL673" s="118"/>
      <c r="AM673" s="118"/>
      <c r="AN673" s="118"/>
      <c r="AO673" s="76"/>
      <c r="AP673" s="11"/>
      <c r="AQ673" s="11"/>
      <c r="AR673" s="274"/>
      <c r="AS673" s="274"/>
      <c r="AT673" s="274"/>
      <c r="AU673" s="62"/>
      <c r="AV673" s="48"/>
      <c r="AW673" s="11"/>
      <c r="AX673" s="274"/>
      <c r="AY673" s="274"/>
      <c r="AZ673" s="274"/>
      <c r="BA673" s="11"/>
      <c r="BB673" s="11"/>
      <c r="BC673" s="11"/>
      <c r="BD673" s="274"/>
      <c r="BE673" s="274"/>
      <c r="BF673" s="274"/>
      <c r="BG673" s="11"/>
      <c r="BH673" s="11"/>
      <c r="BI673" s="11"/>
      <c r="BJ673" s="274"/>
      <c r="BK673" s="274"/>
      <c r="BL673" s="274"/>
      <c r="BM673" s="11"/>
      <c r="BN673" s="11"/>
      <c r="BO673" s="11"/>
      <c r="BP673" s="274"/>
      <c r="BQ673" s="11"/>
      <c r="BR673" s="11"/>
      <c r="BS673" s="11"/>
      <c r="BT673" s="11"/>
      <c r="BU673" s="11"/>
      <c r="BV673" s="263">
        <v>1915200</v>
      </c>
      <c r="BW673" s="144">
        <f>BV673*19%</f>
        <v>363888</v>
      </c>
      <c r="BX673" s="113">
        <f>+BV673+BW673</f>
        <v>2279088</v>
      </c>
      <c r="BY673" s="272" t="s">
        <v>325</v>
      </c>
      <c r="BZ673" s="272" t="s">
        <v>548</v>
      </c>
      <c r="CA673" s="11"/>
      <c r="CB673" s="274"/>
      <c r="CC673" s="274"/>
      <c r="CD673" s="274"/>
      <c r="CE673" s="11"/>
      <c r="CF673" s="11"/>
      <c r="CG673" s="11"/>
      <c r="CH673" s="268">
        <v>1934352</v>
      </c>
      <c r="CI673" s="265">
        <f>+CH673*0.19</f>
        <v>367526.88</v>
      </c>
      <c r="CJ673" s="263">
        <f>+CH673+CI673</f>
        <v>2301878.88</v>
      </c>
      <c r="CK673" s="272" t="s">
        <v>325</v>
      </c>
      <c r="CL673" s="272" t="s">
        <v>548</v>
      </c>
      <c r="CM673" s="11"/>
      <c r="CN673" s="274">
        <v>1315789</v>
      </c>
      <c r="CO673" s="274">
        <f>+CN673*0.19</f>
        <v>249999.91</v>
      </c>
      <c r="CP673" s="274">
        <f>+CO673+CN673</f>
        <v>1565788.91</v>
      </c>
      <c r="CQ673" s="11"/>
      <c r="CR673" s="11"/>
      <c r="CS673" s="11"/>
      <c r="CT673" s="274"/>
      <c r="CU673" s="274"/>
      <c r="CV673" s="274"/>
      <c r="CW673" s="11"/>
      <c r="CX673" s="11"/>
      <c r="CY673" s="11"/>
      <c r="CZ673" s="118"/>
      <c r="DA673" s="118"/>
      <c r="DB673" s="118"/>
      <c r="DC673" s="33"/>
      <c r="DD673" s="11"/>
      <c r="DE673" s="11"/>
      <c r="DF673" s="11"/>
      <c r="DG673" s="11"/>
      <c r="DH673" s="11"/>
      <c r="DI673" s="11"/>
      <c r="DJ673" s="11"/>
      <c r="DK673" s="11"/>
      <c r="DL673" s="11"/>
      <c r="DM673" s="11"/>
      <c r="DN673" s="11"/>
      <c r="DO673" s="11"/>
      <c r="DP673" s="11"/>
      <c r="DQ673" s="11"/>
      <c r="DR673" s="11"/>
      <c r="DS673" s="11"/>
      <c r="DT673" s="11"/>
      <c r="DU673" s="11"/>
      <c r="DV673" s="11"/>
      <c r="DW673" s="11"/>
      <c r="DX673" s="11"/>
      <c r="DY673" s="11"/>
      <c r="DZ673" s="11"/>
      <c r="EA673" s="11"/>
      <c r="EB673" s="11"/>
      <c r="EC673" s="11"/>
      <c r="ED673" s="11"/>
      <c r="EE673" s="11"/>
      <c r="EF673" s="11"/>
      <c r="EG673" s="11"/>
      <c r="EH673" s="11"/>
      <c r="EI673" s="11"/>
      <c r="EJ673" s="11"/>
      <c r="EK673" s="11"/>
      <c r="EL673" s="11"/>
      <c r="EM673" s="11"/>
      <c r="EN673" s="11"/>
      <c r="EO673" s="11"/>
      <c r="EP673" s="11"/>
      <c r="EQ673" s="11"/>
      <c r="ER673" s="11"/>
      <c r="ES673" s="11"/>
      <c r="ET673" s="11"/>
      <c r="EU673" s="11"/>
      <c r="EV673" s="11"/>
      <c r="EW673" s="11"/>
      <c r="EX673" s="11"/>
      <c r="EY673" s="11"/>
      <c r="EZ673" s="11"/>
      <c r="FA673" s="11"/>
      <c r="FB673" s="11"/>
      <c r="FC673" s="11"/>
      <c r="FD673" s="11"/>
      <c r="FE673" s="11"/>
      <c r="FF673" s="11"/>
      <c r="FG673" s="11"/>
      <c r="FH673" s="39">
        <f t="shared" si="160"/>
        <v>6146755.79</v>
      </c>
      <c r="FI673" s="33">
        <f t="shared" si="161"/>
        <v>3</v>
      </c>
      <c r="FJ673" s="84">
        <f t="shared" si="162"/>
        <v>2048918.5966666667</v>
      </c>
    </row>
    <row r="674" spans="1:166" ht="40.5" x14ac:dyDescent="0.25">
      <c r="A674" s="79" t="e">
        <f>#REF!</f>
        <v>#REF!</v>
      </c>
      <c r="B674" s="75" t="e">
        <f>#REF!</f>
        <v>#REF!</v>
      </c>
      <c r="C674" s="75" t="e">
        <f>#REF!</f>
        <v>#REF!</v>
      </c>
      <c r="D674" s="75" t="e">
        <f>#REF!</f>
        <v>#REF!</v>
      </c>
      <c r="E674" s="30">
        <v>1</v>
      </c>
      <c r="F674" s="238">
        <v>0</v>
      </c>
      <c r="G674" s="241">
        <v>0</v>
      </c>
      <c r="H674" s="249">
        <v>0</v>
      </c>
      <c r="I674" s="249">
        <v>0</v>
      </c>
      <c r="J674" s="249">
        <v>0</v>
      </c>
      <c r="K674" s="249">
        <v>0</v>
      </c>
      <c r="L674" s="274"/>
      <c r="M674" s="274"/>
      <c r="N674" s="246"/>
      <c r="O674" s="118"/>
      <c r="P674" s="118"/>
      <c r="Q674" s="52"/>
      <c r="R674" s="52"/>
      <c r="S674" s="5"/>
      <c r="T674" s="118"/>
      <c r="U674" s="118"/>
      <c r="V674" s="118"/>
      <c r="W674" s="11"/>
      <c r="X674" s="11"/>
      <c r="Y674" s="11"/>
      <c r="Z674" s="118"/>
      <c r="AA674" s="118"/>
      <c r="AB674" s="118"/>
      <c r="AC674" s="52"/>
      <c r="AD674" s="52"/>
      <c r="AE674" s="11"/>
      <c r="AF674" s="118"/>
      <c r="AG674" s="118"/>
      <c r="AH674" s="118"/>
      <c r="AI674" s="11"/>
      <c r="AJ674" s="11"/>
      <c r="AK674" s="11"/>
      <c r="AL674" s="118"/>
      <c r="AM674" s="118"/>
      <c r="AN674" s="118"/>
      <c r="AO674" s="76"/>
      <c r="AP674" s="11"/>
      <c r="AQ674" s="11"/>
      <c r="AR674" s="274"/>
      <c r="AS674" s="274"/>
      <c r="AT674" s="274"/>
      <c r="AU674" s="62"/>
      <c r="AV674" s="48"/>
      <c r="AW674" s="11"/>
      <c r="AX674" s="274"/>
      <c r="AY674" s="274"/>
      <c r="AZ674" s="274"/>
      <c r="BA674" s="11"/>
      <c r="BB674" s="11"/>
      <c r="BC674" s="11"/>
      <c r="BD674" s="274"/>
      <c r="BE674" s="274"/>
      <c r="BF674" s="274"/>
      <c r="BG674" s="11"/>
      <c r="BH674" s="11"/>
      <c r="BI674" s="11"/>
      <c r="BJ674" s="274"/>
      <c r="BK674" s="274"/>
      <c r="BL674" s="274"/>
      <c r="BM674" s="11"/>
      <c r="BN674" s="11"/>
      <c r="BO674" s="11"/>
      <c r="BP674" s="274"/>
      <c r="BQ674" s="11"/>
      <c r="BR674" s="11"/>
      <c r="BS674" s="11"/>
      <c r="BT674" s="11"/>
      <c r="BU674" s="11"/>
      <c r="BV674" s="263">
        <v>5326800</v>
      </c>
      <c r="BW674" s="144">
        <f>BV674*19%</f>
        <v>1012092</v>
      </c>
      <c r="BX674" s="113">
        <f>+BV674+BW674</f>
        <v>6338892</v>
      </c>
      <c r="BY674" s="272" t="s">
        <v>320</v>
      </c>
      <c r="BZ674" s="272" t="s">
        <v>548</v>
      </c>
      <c r="CA674" s="11"/>
      <c r="CB674" s="274"/>
      <c r="CC674" s="274"/>
      <c r="CD674" s="274"/>
      <c r="CE674" s="11"/>
      <c r="CF674" s="11"/>
      <c r="CG674" s="11"/>
      <c r="CH674" s="268">
        <v>5699676</v>
      </c>
      <c r="CI674" s="265">
        <f>+CH674*0.19</f>
        <v>1082938.44</v>
      </c>
      <c r="CJ674" s="263">
        <f>+CH674+CI674</f>
        <v>6782614.4399999995</v>
      </c>
      <c r="CK674" s="272" t="s">
        <v>320</v>
      </c>
      <c r="CL674" s="272" t="s">
        <v>548</v>
      </c>
      <c r="CM674" s="11"/>
      <c r="CN674" s="274"/>
      <c r="CO674" s="274"/>
      <c r="CP674" s="274"/>
      <c r="CQ674" s="11"/>
      <c r="CR674" s="11"/>
      <c r="CS674" s="11"/>
      <c r="CT674" s="274"/>
      <c r="CU674" s="274"/>
      <c r="CV674" s="274"/>
      <c r="CW674" s="11"/>
      <c r="CX674" s="11"/>
      <c r="CY674" s="11"/>
      <c r="CZ674" s="118"/>
      <c r="DA674" s="118"/>
      <c r="DB674" s="118"/>
      <c r="DC674" s="33"/>
      <c r="DD674" s="11"/>
      <c r="DE674" s="11"/>
      <c r="DF674" s="11"/>
      <c r="DG674" s="11"/>
      <c r="DH674" s="11"/>
      <c r="DI674" s="11"/>
      <c r="DJ674" s="11"/>
      <c r="DK674" s="11"/>
      <c r="DL674" s="11"/>
      <c r="DM674" s="11"/>
      <c r="DN674" s="11"/>
      <c r="DO674" s="11"/>
      <c r="DP674" s="11"/>
      <c r="DQ674" s="11"/>
      <c r="DR674" s="11"/>
      <c r="DS674" s="11"/>
      <c r="DT674" s="11"/>
      <c r="DU674" s="11"/>
      <c r="DV674" s="11"/>
      <c r="DW674" s="11"/>
      <c r="DX674" s="11"/>
      <c r="DY674" s="11"/>
      <c r="DZ674" s="11"/>
      <c r="EA674" s="11"/>
      <c r="EB674" s="11"/>
      <c r="EC674" s="11"/>
      <c r="ED674" s="11"/>
      <c r="EE674" s="11"/>
      <c r="EF674" s="11"/>
      <c r="EG674" s="11"/>
      <c r="EH674" s="11"/>
      <c r="EI674" s="11"/>
      <c r="EJ674" s="11"/>
      <c r="EK674" s="11"/>
      <c r="EL674" s="11"/>
      <c r="EM674" s="11"/>
      <c r="EN674" s="11"/>
      <c r="EO674" s="11"/>
      <c r="EP674" s="11"/>
      <c r="EQ674" s="11"/>
      <c r="ER674" s="11"/>
      <c r="ES674" s="11"/>
      <c r="ET674" s="11"/>
      <c r="EU674" s="11"/>
      <c r="EV674" s="11"/>
      <c r="EW674" s="11"/>
      <c r="EX674" s="11"/>
      <c r="EY674" s="11"/>
      <c r="EZ674" s="11"/>
      <c r="FA674" s="11"/>
      <c r="FB674" s="11"/>
      <c r="FC674" s="11"/>
      <c r="FD674" s="11"/>
      <c r="FE674" s="11"/>
      <c r="FF674" s="11"/>
      <c r="FG674" s="11"/>
      <c r="FH674" s="39">
        <f t="shared" si="160"/>
        <v>13121506.439999999</v>
      </c>
      <c r="FI674" s="33">
        <f t="shared" si="161"/>
        <v>2</v>
      </c>
      <c r="FJ674" s="84">
        <f t="shared" si="162"/>
        <v>6560753.2199999997</v>
      </c>
    </row>
    <row r="675" spans="1:166" ht="40.5" x14ac:dyDescent="0.25">
      <c r="A675" s="79" t="e">
        <f>#REF!</f>
        <v>#REF!</v>
      </c>
      <c r="B675" s="75" t="e">
        <f>#REF!</f>
        <v>#REF!</v>
      </c>
      <c r="C675" s="75" t="e">
        <f>#REF!</f>
        <v>#REF!</v>
      </c>
      <c r="D675" s="75" t="e">
        <f>#REF!</f>
        <v>#REF!</v>
      </c>
      <c r="E675" s="30">
        <v>1</v>
      </c>
      <c r="F675" s="238">
        <v>0</v>
      </c>
      <c r="G675" s="241">
        <v>0</v>
      </c>
      <c r="H675" s="249">
        <v>0</v>
      </c>
      <c r="I675" s="249">
        <v>0</v>
      </c>
      <c r="J675" s="249">
        <v>0</v>
      </c>
      <c r="K675" s="249">
        <v>0</v>
      </c>
      <c r="L675" s="274"/>
      <c r="M675" s="274"/>
      <c r="N675" s="246"/>
      <c r="O675" s="118"/>
      <c r="P675" s="118"/>
      <c r="Q675" s="52"/>
      <c r="R675" s="52"/>
      <c r="S675" s="5"/>
      <c r="T675" s="118"/>
      <c r="U675" s="118"/>
      <c r="V675" s="118"/>
      <c r="W675" s="11"/>
      <c r="X675" s="11"/>
      <c r="Y675" s="11"/>
      <c r="Z675" s="118"/>
      <c r="AA675" s="118"/>
      <c r="AB675" s="118"/>
      <c r="AC675" s="52"/>
      <c r="AD675" s="52"/>
      <c r="AE675" s="11"/>
      <c r="AF675" s="118"/>
      <c r="AG675" s="118"/>
      <c r="AH675" s="118"/>
      <c r="AI675" s="11"/>
      <c r="AJ675" s="11"/>
      <c r="AK675" s="11"/>
      <c r="AL675" s="118"/>
      <c r="AM675" s="118"/>
      <c r="AN675" s="118"/>
      <c r="AO675" s="76"/>
      <c r="AP675" s="11"/>
      <c r="AQ675" s="11"/>
      <c r="AR675" s="274"/>
      <c r="AS675" s="274"/>
      <c r="AT675" s="274"/>
      <c r="AU675" s="62"/>
      <c r="AV675" s="48"/>
      <c r="AW675" s="11"/>
      <c r="AX675" s="274"/>
      <c r="AY675" s="274"/>
      <c r="AZ675" s="274"/>
      <c r="BA675" s="11"/>
      <c r="BB675" s="11"/>
      <c r="BC675" s="11"/>
      <c r="BD675" s="274"/>
      <c r="BE675" s="274"/>
      <c r="BF675" s="274"/>
      <c r="BG675" s="11"/>
      <c r="BH675" s="11"/>
      <c r="BI675" s="11"/>
      <c r="BJ675" s="274"/>
      <c r="BK675" s="274"/>
      <c r="BL675" s="274"/>
      <c r="BM675" s="11"/>
      <c r="BN675" s="11"/>
      <c r="BO675" s="11"/>
      <c r="BP675" s="274"/>
      <c r="BQ675" s="11"/>
      <c r="BR675" s="11"/>
      <c r="BS675" s="11"/>
      <c r="BT675" s="11"/>
      <c r="BU675" s="11"/>
      <c r="BV675" s="268">
        <v>11023000</v>
      </c>
      <c r="BW675" s="144">
        <f>BV675*19%</f>
        <v>2094370</v>
      </c>
      <c r="BX675" s="113">
        <f>+BV675+BW675</f>
        <v>13117370</v>
      </c>
      <c r="BY675" s="272" t="s">
        <v>320</v>
      </c>
      <c r="BZ675" s="272" t="s">
        <v>548</v>
      </c>
      <c r="CA675" s="11"/>
      <c r="CB675" s="274"/>
      <c r="CC675" s="274"/>
      <c r="CD675" s="274"/>
      <c r="CE675" s="11"/>
      <c r="CF675" s="11"/>
      <c r="CG675" s="11"/>
      <c r="CH675" s="268">
        <v>11794610</v>
      </c>
      <c r="CI675" s="265">
        <f>+CH675*0.19</f>
        <v>2240975.9</v>
      </c>
      <c r="CJ675" s="263">
        <f>+CH675+CI675</f>
        <v>14035585.9</v>
      </c>
      <c r="CK675" s="272" t="s">
        <v>320</v>
      </c>
      <c r="CL675" s="272" t="s">
        <v>548</v>
      </c>
      <c r="CM675" s="11"/>
      <c r="CN675" s="274"/>
      <c r="CO675" s="274"/>
      <c r="CP675" s="274"/>
      <c r="CQ675" s="11"/>
      <c r="CR675" s="11"/>
      <c r="CS675" s="11"/>
      <c r="CT675" s="274"/>
      <c r="CU675" s="274"/>
      <c r="CV675" s="274"/>
      <c r="CW675" s="11"/>
      <c r="CX675" s="11"/>
      <c r="CY675" s="11"/>
      <c r="CZ675" s="118"/>
      <c r="DA675" s="118"/>
      <c r="DB675" s="118"/>
      <c r="DC675" s="33"/>
      <c r="DD675" s="11"/>
      <c r="DE675" s="11"/>
      <c r="DF675" s="11"/>
      <c r="DG675" s="11"/>
      <c r="DH675" s="11"/>
      <c r="DI675" s="11"/>
      <c r="DJ675" s="11"/>
      <c r="DK675" s="11"/>
      <c r="DL675" s="11"/>
      <c r="DM675" s="11"/>
      <c r="DN675" s="11"/>
      <c r="DO675" s="11"/>
      <c r="DP675" s="11"/>
      <c r="DQ675" s="11"/>
      <c r="DR675" s="11"/>
      <c r="DS675" s="11"/>
      <c r="DT675" s="11"/>
      <c r="DU675" s="11"/>
      <c r="DV675" s="11"/>
      <c r="DW675" s="11"/>
      <c r="DX675" s="11"/>
      <c r="DY675" s="11"/>
      <c r="DZ675" s="11"/>
      <c r="EA675" s="11"/>
      <c r="EB675" s="11"/>
      <c r="EC675" s="11"/>
      <c r="ED675" s="11"/>
      <c r="EE675" s="11"/>
      <c r="EF675" s="11"/>
      <c r="EG675" s="11"/>
      <c r="EH675" s="11"/>
      <c r="EI675" s="11"/>
      <c r="EJ675" s="11"/>
      <c r="EK675" s="11"/>
      <c r="EL675" s="11"/>
      <c r="EM675" s="11"/>
      <c r="EN675" s="11"/>
      <c r="EO675" s="11"/>
      <c r="EP675" s="11"/>
      <c r="EQ675" s="11"/>
      <c r="ER675" s="11"/>
      <c r="ES675" s="11"/>
      <c r="ET675" s="11"/>
      <c r="EU675" s="11"/>
      <c r="EV675" s="11"/>
      <c r="EW675" s="11"/>
      <c r="EX675" s="11"/>
      <c r="EY675" s="11"/>
      <c r="EZ675" s="11"/>
      <c r="FA675" s="11"/>
      <c r="FB675" s="11"/>
      <c r="FC675" s="11"/>
      <c r="FD675" s="11"/>
      <c r="FE675" s="11"/>
      <c r="FF675" s="11"/>
      <c r="FG675" s="11"/>
      <c r="FH675" s="39">
        <f t="shared" si="160"/>
        <v>27152955.899999999</v>
      </c>
      <c r="FI675" s="33">
        <f t="shared" si="161"/>
        <v>2</v>
      </c>
      <c r="FJ675" s="84">
        <f t="shared" si="162"/>
        <v>13576477.949999999</v>
      </c>
    </row>
    <row r="676" spans="1:166" x14ac:dyDescent="0.25">
      <c r="A676" s="79" t="e">
        <f>#REF!</f>
        <v>#REF!</v>
      </c>
      <c r="B676" s="75" t="e">
        <f>#REF!</f>
        <v>#REF!</v>
      </c>
      <c r="C676" s="75" t="e">
        <f>#REF!</f>
        <v>#REF!</v>
      </c>
      <c r="D676" s="75" t="e">
        <f>#REF!</f>
        <v>#REF!</v>
      </c>
      <c r="E676" s="30">
        <v>1</v>
      </c>
      <c r="F676" s="238">
        <v>0</v>
      </c>
      <c r="G676" s="241">
        <v>0</v>
      </c>
      <c r="H676" s="249">
        <v>0</v>
      </c>
      <c r="I676" s="249">
        <v>0</v>
      </c>
      <c r="J676" s="249">
        <v>0</v>
      </c>
      <c r="K676" s="249">
        <v>0</v>
      </c>
      <c r="L676" s="274"/>
      <c r="M676" s="274"/>
      <c r="N676" s="246"/>
      <c r="O676" s="118"/>
      <c r="P676" s="118"/>
      <c r="Q676" s="52"/>
      <c r="R676" s="52"/>
      <c r="S676" s="5"/>
      <c r="T676" s="118"/>
      <c r="U676" s="118"/>
      <c r="V676" s="118"/>
      <c r="W676" s="11"/>
      <c r="X676" s="11"/>
      <c r="Y676" s="11"/>
      <c r="Z676" s="118"/>
      <c r="AA676" s="118"/>
      <c r="AB676" s="118"/>
      <c r="AC676" s="52"/>
      <c r="AD676" s="52"/>
      <c r="AE676" s="11"/>
      <c r="AF676" s="118"/>
      <c r="AG676" s="118"/>
      <c r="AH676" s="118"/>
      <c r="AI676" s="11"/>
      <c r="AJ676" s="11"/>
      <c r="AK676" s="11"/>
      <c r="AL676" s="118"/>
      <c r="AM676" s="118"/>
      <c r="AN676" s="118"/>
      <c r="AO676" s="76"/>
      <c r="AP676" s="11"/>
      <c r="AQ676" s="11"/>
      <c r="AR676" s="274"/>
      <c r="AS676" s="274"/>
      <c r="AT676" s="274"/>
      <c r="AU676" s="48"/>
      <c r="AV676" s="48"/>
      <c r="AW676" s="11"/>
      <c r="AX676" s="274"/>
      <c r="AY676" s="274"/>
      <c r="AZ676" s="274"/>
      <c r="BA676" s="11"/>
      <c r="BB676" s="11"/>
      <c r="BC676" s="11"/>
      <c r="BD676" s="274"/>
      <c r="BE676" s="274"/>
      <c r="BF676" s="274"/>
      <c r="BG676" s="11"/>
      <c r="BH676" s="11"/>
      <c r="BI676" s="11"/>
      <c r="BJ676" s="274"/>
      <c r="BK676" s="274"/>
      <c r="BL676" s="274"/>
      <c r="BM676" s="11"/>
      <c r="BN676" s="11"/>
      <c r="BO676" s="11"/>
      <c r="BP676" s="274"/>
      <c r="BQ676" s="11"/>
      <c r="BR676" s="11"/>
      <c r="BS676" s="11"/>
      <c r="BT676" s="11"/>
      <c r="BU676" s="11"/>
      <c r="BV676" s="210"/>
      <c r="BW676" s="144"/>
      <c r="BX676" s="113"/>
      <c r="BY676" s="273"/>
      <c r="BZ676" s="273"/>
      <c r="CA676" s="11"/>
      <c r="CB676" s="274"/>
      <c r="CC676" s="274"/>
      <c r="CD676" s="274"/>
      <c r="CE676" s="11"/>
      <c r="CF676" s="11"/>
      <c r="CG676" s="11"/>
      <c r="CH676" s="210"/>
      <c r="CI676" s="219"/>
      <c r="CJ676" s="210"/>
      <c r="CK676" s="273"/>
      <c r="CL676" s="273"/>
      <c r="CM676" s="11"/>
      <c r="CN676" s="274"/>
      <c r="CO676" s="274"/>
      <c r="CP676" s="274"/>
      <c r="CQ676" s="11"/>
      <c r="CR676" s="11"/>
      <c r="CS676" s="11"/>
      <c r="CT676" s="274"/>
      <c r="CU676" s="274"/>
      <c r="CV676" s="274"/>
      <c r="CW676" s="11"/>
      <c r="CX676" s="11"/>
      <c r="CY676" s="11"/>
      <c r="CZ676" s="118"/>
      <c r="DA676" s="118"/>
      <c r="DB676" s="118"/>
      <c r="DC676" s="33"/>
      <c r="DD676" s="11"/>
      <c r="DE676" s="11"/>
      <c r="DF676" s="11"/>
      <c r="DG676" s="11"/>
      <c r="DH676" s="11"/>
      <c r="DI676" s="11"/>
      <c r="DJ676" s="11"/>
      <c r="DK676" s="11"/>
      <c r="DL676" s="11"/>
      <c r="DM676" s="11"/>
      <c r="DN676" s="11"/>
      <c r="DO676" s="11"/>
      <c r="DP676" s="11"/>
      <c r="DQ676" s="11"/>
      <c r="DR676" s="11"/>
      <c r="DS676" s="11"/>
      <c r="DT676" s="11"/>
      <c r="DU676" s="11"/>
      <c r="DV676" s="11"/>
      <c r="DW676" s="11"/>
      <c r="DX676" s="11"/>
      <c r="DY676" s="11"/>
      <c r="DZ676" s="11"/>
      <c r="EA676" s="11"/>
      <c r="EB676" s="11"/>
      <c r="EC676" s="11"/>
      <c r="ED676" s="11"/>
      <c r="EE676" s="11"/>
      <c r="EF676" s="11"/>
      <c r="EG676" s="11"/>
      <c r="EH676" s="11"/>
      <c r="EI676" s="11"/>
      <c r="EJ676" s="11"/>
      <c r="EK676" s="11"/>
      <c r="EL676" s="11"/>
      <c r="EM676" s="11"/>
      <c r="EN676" s="11"/>
      <c r="EO676" s="11"/>
      <c r="EP676" s="11"/>
      <c r="EQ676" s="11"/>
      <c r="ER676" s="11"/>
      <c r="ES676" s="11"/>
      <c r="ET676" s="11"/>
      <c r="EU676" s="11"/>
      <c r="EV676" s="11"/>
      <c r="EW676" s="11"/>
      <c r="EX676" s="11"/>
      <c r="EY676" s="11"/>
      <c r="EZ676" s="11"/>
      <c r="FA676" s="11"/>
      <c r="FB676" s="11"/>
      <c r="FC676" s="11"/>
      <c r="FD676" s="11"/>
      <c r="FE676" s="11"/>
      <c r="FF676" s="11"/>
      <c r="FG676" s="11"/>
      <c r="FH676" s="39">
        <f t="shared" si="160"/>
        <v>0</v>
      </c>
      <c r="FI676" s="33">
        <f t="shared" si="161"/>
        <v>0</v>
      </c>
      <c r="FJ676" s="84" t="str">
        <f t="shared" si="162"/>
        <v xml:space="preserve"> </v>
      </c>
    </row>
    <row r="677" spans="1:166" ht="40.5" x14ac:dyDescent="0.25">
      <c r="A677" s="79" t="e">
        <f>#REF!</f>
        <v>#REF!</v>
      </c>
      <c r="B677" s="75" t="e">
        <f>#REF!</f>
        <v>#REF!</v>
      </c>
      <c r="C677" s="75" t="e">
        <f>#REF!</f>
        <v>#REF!</v>
      </c>
      <c r="D677" s="75" t="e">
        <f>#REF!</f>
        <v>#REF!</v>
      </c>
      <c r="E677" s="30">
        <v>1</v>
      </c>
      <c r="F677" s="238">
        <v>0</v>
      </c>
      <c r="G677" s="241">
        <v>0</v>
      </c>
      <c r="H677" s="249">
        <v>0</v>
      </c>
      <c r="I677" s="249">
        <v>0</v>
      </c>
      <c r="J677" s="249">
        <v>0</v>
      </c>
      <c r="K677" s="249">
        <v>0</v>
      </c>
      <c r="L677" s="274"/>
      <c r="M677" s="274"/>
      <c r="N677" s="246"/>
      <c r="O677" s="118"/>
      <c r="P677" s="118"/>
      <c r="Q677" s="52"/>
      <c r="R677" s="52"/>
      <c r="S677" s="5"/>
      <c r="T677" s="118"/>
      <c r="U677" s="118"/>
      <c r="V677" s="118"/>
      <c r="W677" s="11"/>
      <c r="X677" s="11"/>
      <c r="Y677" s="11"/>
      <c r="Z677" s="118"/>
      <c r="AA677" s="118"/>
      <c r="AB677" s="118"/>
      <c r="AC677" s="52"/>
      <c r="AD677" s="52"/>
      <c r="AE677" s="11"/>
      <c r="AF677" s="118"/>
      <c r="AG677" s="118"/>
      <c r="AH677" s="118"/>
      <c r="AI677" s="11"/>
      <c r="AJ677" s="11"/>
      <c r="AK677" s="11"/>
      <c r="AL677" s="118"/>
      <c r="AM677" s="118"/>
      <c r="AN677" s="118"/>
      <c r="AO677" s="76"/>
      <c r="AP677" s="11"/>
      <c r="AQ677" s="11"/>
      <c r="AR677" s="274"/>
      <c r="AS677" s="274"/>
      <c r="AT677" s="274"/>
      <c r="AU677" s="62"/>
      <c r="AV677" s="48"/>
      <c r="AW677" s="11"/>
      <c r="AX677" s="274"/>
      <c r="AY677" s="274"/>
      <c r="AZ677" s="274"/>
      <c r="BA677" s="11"/>
      <c r="BB677" s="11"/>
      <c r="BC677" s="11"/>
      <c r="BD677" s="274"/>
      <c r="BE677" s="274"/>
      <c r="BF677" s="274"/>
      <c r="BG677" s="11"/>
      <c r="BH677" s="11"/>
      <c r="BI677" s="11"/>
      <c r="BJ677" s="274"/>
      <c r="BK677" s="274"/>
      <c r="BL677" s="274"/>
      <c r="BM677" s="11"/>
      <c r="BN677" s="11"/>
      <c r="BO677" s="11"/>
      <c r="BP677" s="274"/>
      <c r="BQ677" s="11"/>
      <c r="BR677" s="11"/>
      <c r="BS677" s="11"/>
      <c r="BT677" s="11"/>
      <c r="BU677" s="11"/>
      <c r="BV677" s="263">
        <v>2087800</v>
      </c>
      <c r="BW677" s="144">
        <f t="shared" ref="BW677:BW690" si="165">BV677*19%</f>
        <v>396682</v>
      </c>
      <c r="BX677" s="113">
        <f t="shared" ref="BX677:BX705" si="166">+BV677+BW677</f>
        <v>2484482</v>
      </c>
      <c r="BY677" s="272" t="s">
        <v>320</v>
      </c>
      <c r="BZ677" s="272" t="s">
        <v>548</v>
      </c>
      <c r="CA677" s="11"/>
      <c r="CB677" s="274"/>
      <c r="CC677" s="274"/>
      <c r="CD677" s="274"/>
      <c r="CE677" s="11"/>
      <c r="CF677" s="11"/>
      <c r="CG677" s="11"/>
      <c r="CH677" s="268">
        <v>2233946</v>
      </c>
      <c r="CI677" s="265">
        <f>+CH677*0.19</f>
        <v>424449.74</v>
      </c>
      <c r="CJ677" s="263">
        <f>+CH677+CI677</f>
        <v>2658395.7400000002</v>
      </c>
      <c r="CK677" s="272" t="s">
        <v>320</v>
      </c>
      <c r="CL677" s="272" t="s">
        <v>548</v>
      </c>
      <c r="CM677" s="11"/>
      <c r="CN677" s="274">
        <v>525285</v>
      </c>
      <c r="CO677" s="274">
        <f t="shared" ref="CO677:CO690" si="167">+CN677*0.19</f>
        <v>99804.15</v>
      </c>
      <c r="CP677" s="274">
        <f>+CN677+CO677</f>
        <v>625089.15</v>
      </c>
      <c r="CQ677" s="11"/>
      <c r="CR677" s="11"/>
      <c r="CS677" s="11"/>
      <c r="CT677" s="274"/>
      <c r="CU677" s="274"/>
      <c r="CV677" s="274"/>
      <c r="CW677" s="11"/>
      <c r="CX677" s="11"/>
      <c r="CY677" s="11"/>
      <c r="CZ677" s="118"/>
      <c r="DA677" s="118"/>
      <c r="DB677" s="118"/>
      <c r="DC677" s="33"/>
      <c r="DD677" s="11"/>
      <c r="DE677" s="11"/>
      <c r="DF677" s="11"/>
      <c r="DG677" s="11"/>
      <c r="DH677" s="11"/>
      <c r="DI677" s="11"/>
      <c r="DJ677" s="11"/>
      <c r="DK677" s="11"/>
      <c r="DL677" s="11"/>
      <c r="DM677" s="11"/>
      <c r="DN677" s="11"/>
      <c r="DO677" s="11"/>
      <c r="DP677" s="11"/>
      <c r="DQ677" s="11"/>
      <c r="DR677" s="11"/>
      <c r="DS677" s="11"/>
      <c r="DT677" s="11"/>
      <c r="DU677" s="11"/>
      <c r="DV677" s="11"/>
      <c r="DW677" s="11"/>
      <c r="DX677" s="11"/>
      <c r="DY677" s="11"/>
      <c r="DZ677" s="11"/>
      <c r="EA677" s="11"/>
      <c r="EB677" s="11"/>
      <c r="EC677" s="11"/>
      <c r="ED677" s="11"/>
      <c r="EE677" s="11"/>
      <c r="EF677" s="11"/>
      <c r="EG677" s="11"/>
      <c r="EH677" s="11"/>
      <c r="EI677" s="11"/>
      <c r="EJ677" s="11"/>
      <c r="EK677" s="11"/>
      <c r="EL677" s="11"/>
      <c r="EM677" s="11"/>
      <c r="EN677" s="11"/>
      <c r="EO677" s="11"/>
      <c r="EP677" s="11"/>
      <c r="EQ677" s="11"/>
      <c r="ER677" s="11"/>
      <c r="ES677" s="11"/>
      <c r="ET677" s="11"/>
      <c r="EU677" s="11"/>
      <c r="EV677" s="11"/>
      <c r="EW677" s="11"/>
      <c r="EX677" s="11"/>
      <c r="EY677" s="11"/>
      <c r="EZ677" s="11"/>
      <c r="FA677" s="11"/>
      <c r="FB677" s="11"/>
      <c r="FC677" s="11"/>
      <c r="FD677" s="11"/>
      <c r="FE677" s="11"/>
      <c r="FF677" s="11"/>
      <c r="FG677" s="11"/>
      <c r="FH677" s="39">
        <f t="shared" si="160"/>
        <v>5767966.8900000006</v>
      </c>
      <c r="FI677" s="33">
        <f t="shared" si="161"/>
        <v>3</v>
      </c>
      <c r="FJ677" s="84">
        <f t="shared" si="162"/>
        <v>1922655.6300000001</v>
      </c>
    </row>
    <row r="678" spans="1:166" ht="40.5" x14ac:dyDescent="0.25">
      <c r="A678" s="79" t="e">
        <f>#REF!</f>
        <v>#REF!</v>
      </c>
      <c r="B678" s="75" t="e">
        <f>#REF!</f>
        <v>#REF!</v>
      </c>
      <c r="C678" s="75" t="e">
        <f>#REF!</f>
        <v>#REF!</v>
      </c>
      <c r="D678" s="75" t="e">
        <f>#REF!</f>
        <v>#REF!</v>
      </c>
      <c r="E678" s="30">
        <v>1</v>
      </c>
      <c r="F678" s="238">
        <v>0</v>
      </c>
      <c r="G678" s="241">
        <v>0</v>
      </c>
      <c r="H678" s="249">
        <v>0</v>
      </c>
      <c r="I678" s="249">
        <v>0</v>
      </c>
      <c r="J678" s="249">
        <v>0</v>
      </c>
      <c r="K678" s="249">
        <v>0</v>
      </c>
      <c r="L678" s="274"/>
      <c r="M678" s="274"/>
      <c r="N678" s="246"/>
      <c r="O678" s="118"/>
      <c r="P678" s="118"/>
      <c r="Q678" s="52"/>
      <c r="R678" s="52"/>
      <c r="S678" s="5"/>
      <c r="T678" s="118"/>
      <c r="U678" s="118"/>
      <c r="V678" s="118"/>
      <c r="W678" s="11"/>
      <c r="X678" s="11"/>
      <c r="Y678" s="11"/>
      <c r="Z678" s="118"/>
      <c r="AA678" s="118"/>
      <c r="AB678" s="118"/>
      <c r="AC678" s="52"/>
      <c r="AD678" s="52"/>
      <c r="AE678" s="11"/>
      <c r="AF678" s="118"/>
      <c r="AG678" s="118"/>
      <c r="AH678" s="118"/>
      <c r="AI678" s="11"/>
      <c r="AJ678" s="11"/>
      <c r="AK678" s="11"/>
      <c r="AL678" s="118"/>
      <c r="AM678" s="118"/>
      <c r="AN678" s="118"/>
      <c r="AO678" s="76"/>
      <c r="AP678" s="11"/>
      <c r="AQ678" s="11"/>
      <c r="AR678" s="274"/>
      <c r="AS678" s="274"/>
      <c r="AT678" s="274"/>
      <c r="AU678" s="62"/>
      <c r="AV678" s="48"/>
      <c r="AW678" s="11"/>
      <c r="AX678" s="274"/>
      <c r="AY678" s="274"/>
      <c r="AZ678" s="274"/>
      <c r="BA678" s="11"/>
      <c r="BB678" s="11"/>
      <c r="BC678" s="11"/>
      <c r="BD678" s="274"/>
      <c r="BE678" s="274"/>
      <c r="BF678" s="274"/>
      <c r="BG678" s="11"/>
      <c r="BH678" s="11"/>
      <c r="BI678" s="11"/>
      <c r="BJ678" s="274"/>
      <c r="BK678" s="274"/>
      <c r="BL678" s="274"/>
      <c r="BM678" s="11"/>
      <c r="BN678" s="11"/>
      <c r="BO678" s="11"/>
      <c r="BP678" s="274"/>
      <c r="BQ678" s="11"/>
      <c r="BR678" s="11"/>
      <c r="BS678" s="11"/>
      <c r="BT678" s="11"/>
      <c r="BU678" s="11"/>
      <c r="BV678" s="263">
        <v>1635200</v>
      </c>
      <c r="BW678" s="144">
        <f t="shared" si="165"/>
        <v>310688</v>
      </c>
      <c r="BX678" s="113">
        <f t="shared" si="166"/>
        <v>1945888</v>
      </c>
      <c r="BY678" s="272" t="s">
        <v>320</v>
      </c>
      <c r="BZ678" s="272" t="s">
        <v>548</v>
      </c>
      <c r="CA678" s="11"/>
      <c r="CB678" s="274"/>
      <c r="CC678" s="274"/>
      <c r="CD678" s="274"/>
      <c r="CE678" s="11"/>
      <c r="CF678" s="11"/>
      <c r="CG678" s="11"/>
      <c r="CH678" s="268">
        <v>1651552</v>
      </c>
      <c r="CI678" s="265">
        <f>+CH678*0.19</f>
        <v>313794.88</v>
      </c>
      <c r="CJ678" s="263">
        <f>+CH678+CI678</f>
        <v>1965346.88</v>
      </c>
      <c r="CK678" s="272" t="s">
        <v>320</v>
      </c>
      <c r="CL678" s="272" t="s">
        <v>548</v>
      </c>
      <c r="CM678" s="11"/>
      <c r="CN678" s="274">
        <v>334180</v>
      </c>
      <c r="CO678" s="274">
        <f t="shared" si="167"/>
        <v>63494.200000000004</v>
      </c>
      <c r="CP678" s="274">
        <f>+CO678+CN678</f>
        <v>397674.2</v>
      </c>
      <c r="CQ678" s="11"/>
      <c r="CR678" s="11"/>
      <c r="CS678" s="11"/>
      <c r="CT678" s="274"/>
      <c r="CU678" s="274"/>
      <c r="CV678" s="274"/>
      <c r="CW678" s="11"/>
      <c r="CX678" s="11"/>
      <c r="CY678" s="11"/>
      <c r="CZ678" s="118"/>
      <c r="DA678" s="118"/>
      <c r="DB678" s="118"/>
      <c r="DC678" s="33"/>
      <c r="DD678" s="11"/>
      <c r="DE678" s="11"/>
      <c r="DF678" s="11"/>
      <c r="DG678" s="11"/>
      <c r="DH678" s="11"/>
      <c r="DI678" s="11"/>
      <c r="DJ678" s="11"/>
      <c r="DK678" s="11"/>
      <c r="DL678" s="11"/>
      <c r="DM678" s="11"/>
      <c r="DN678" s="11"/>
      <c r="DO678" s="11"/>
      <c r="DP678" s="11"/>
      <c r="DQ678" s="11"/>
      <c r="DR678" s="11"/>
      <c r="DS678" s="11"/>
      <c r="DT678" s="11"/>
      <c r="DU678" s="11"/>
      <c r="DV678" s="11"/>
      <c r="DW678" s="11"/>
      <c r="DX678" s="11"/>
      <c r="DY678" s="11"/>
      <c r="DZ678" s="11"/>
      <c r="EA678" s="11"/>
      <c r="EB678" s="11"/>
      <c r="EC678" s="11"/>
      <c r="ED678" s="11"/>
      <c r="EE678" s="11"/>
      <c r="EF678" s="11"/>
      <c r="EG678" s="11"/>
      <c r="EH678" s="11"/>
      <c r="EI678" s="11"/>
      <c r="EJ678" s="11"/>
      <c r="EK678" s="11"/>
      <c r="EL678" s="11"/>
      <c r="EM678" s="11"/>
      <c r="EN678" s="11"/>
      <c r="EO678" s="11"/>
      <c r="EP678" s="11"/>
      <c r="EQ678" s="11"/>
      <c r="ER678" s="11"/>
      <c r="ES678" s="11"/>
      <c r="ET678" s="11"/>
      <c r="EU678" s="11"/>
      <c r="EV678" s="11"/>
      <c r="EW678" s="11"/>
      <c r="EX678" s="11"/>
      <c r="EY678" s="11"/>
      <c r="EZ678" s="11"/>
      <c r="FA678" s="11"/>
      <c r="FB678" s="11"/>
      <c r="FC678" s="11"/>
      <c r="FD678" s="11"/>
      <c r="FE678" s="11"/>
      <c r="FF678" s="11"/>
      <c r="FG678" s="11"/>
      <c r="FH678" s="39">
        <f t="shared" si="160"/>
        <v>4308909.08</v>
      </c>
      <c r="FI678" s="33">
        <f t="shared" si="161"/>
        <v>3</v>
      </c>
      <c r="FJ678" s="84">
        <f t="shared" si="162"/>
        <v>1436303.0266666666</v>
      </c>
    </row>
    <row r="679" spans="1:166" ht="40.5" x14ac:dyDescent="0.25">
      <c r="A679" s="79" t="e">
        <f>#REF!</f>
        <v>#REF!</v>
      </c>
      <c r="B679" s="75" t="e">
        <f>#REF!</f>
        <v>#REF!</v>
      </c>
      <c r="C679" s="75" t="e">
        <f>#REF!</f>
        <v>#REF!</v>
      </c>
      <c r="D679" s="75" t="e">
        <f>#REF!</f>
        <v>#REF!</v>
      </c>
      <c r="E679" s="30">
        <v>1</v>
      </c>
      <c r="F679" s="238">
        <v>0</v>
      </c>
      <c r="G679" s="241">
        <v>0</v>
      </c>
      <c r="H679" s="249">
        <v>0</v>
      </c>
      <c r="I679" s="249">
        <v>0</v>
      </c>
      <c r="J679" s="249">
        <v>0</v>
      </c>
      <c r="K679" s="249">
        <v>0</v>
      </c>
      <c r="L679" s="274"/>
      <c r="M679" s="274"/>
      <c r="N679" s="246"/>
      <c r="O679" s="118"/>
      <c r="P679" s="118"/>
      <c r="Q679" s="52"/>
      <c r="R679" s="52"/>
      <c r="S679" s="5"/>
      <c r="T679" s="118"/>
      <c r="U679" s="118"/>
      <c r="V679" s="118"/>
      <c r="W679" s="11"/>
      <c r="X679" s="11"/>
      <c r="Y679" s="11"/>
      <c r="Z679" s="118"/>
      <c r="AA679" s="118"/>
      <c r="AB679" s="118"/>
      <c r="AC679" s="52"/>
      <c r="AD679" s="52"/>
      <c r="AE679" s="11"/>
      <c r="AF679" s="118"/>
      <c r="AG679" s="118"/>
      <c r="AH679" s="118"/>
      <c r="AI679" s="11"/>
      <c r="AJ679" s="11"/>
      <c r="AK679" s="11"/>
      <c r="AL679" s="118"/>
      <c r="AM679" s="118"/>
      <c r="AN679" s="118"/>
      <c r="AO679" s="76"/>
      <c r="AP679" s="11"/>
      <c r="AQ679" s="11"/>
      <c r="AR679" s="274"/>
      <c r="AS679" s="274"/>
      <c r="AT679" s="274"/>
      <c r="AU679" s="62"/>
      <c r="AV679" s="48"/>
      <c r="AW679" s="11"/>
      <c r="AX679" s="274"/>
      <c r="AY679" s="274"/>
      <c r="AZ679" s="274"/>
      <c r="BA679" s="11"/>
      <c r="BB679" s="11"/>
      <c r="BC679" s="11"/>
      <c r="BD679" s="274"/>
      <c r="BE679" s="274"/>
      <c r="BF679" s="274"/>
      <c r="BG679" s="11"/>
      <c r="BH679" s="11"/>
      <c r="BI679" s="11"/>
      <c r="BJ679" s="274"/>
      <c r="BK679" s="274"/>
      <c r="BL679" s="274"/>
      <c r="BM679" s="11"/>
      <c r="BN679" s="11"/>
      <c r="BO679" s="11"/>
      <c r="BP679" s="274"/>
      <c r="BQ679" s="11"/>
      <c r="BR679" s="11"/>
      <c r="BS679" s="11"/>
      <c r="BT679" s="11"/>
      <c r="BU679" s="11"/>
      <c r="BV679" s="263">
        <v>2087800</v>
      </c>
      <c r="BW679" s="144">
        <f t="shared" si="165"/>
        <v>396682</v>
      </c>
      <c r="BX679" s="113">
        <f t="shared" si="166"/>
        <v>2484482</v>
      </c>
      <c r="BY679" s="272" t="s">
        <v>320</v>
      </c>
      <c r="BZ679" s="272" t="s">
        <v>548</v>
      </c>
      <c r="CA679" s="11"/>
      <c r="CB679" s="274"/>
      <c r="CC679" s="274"/>
      <c r="CD679" s="274"/>
      <c r="CE679" s="11"/>
      <c r="CF679" s="11"/>
      <c r="CG679" s="11"/>
      <c r="CH679" s="268">
        <v>2150434</v>
      </c>
      <c r="CI679" s="265">
        <f>+CH679*0.19</f>
        <v>408582.46</v>
      </c>
      <c r="CJ679" s="263">
        <f>+CH679+CI679</f>
        <v>2559016.46</v>
      </c>
      <c r="CK679" s="272" t="s">
        <v>320</v>
      </c>
      <c r="CL679" s="272" t="s">
        <v>548</v>
      </c>
      <c r="CM679" s="11"/>
      <c r="CN679" s="274">
        <v>4809820</v>
      </c>
      <c r="CO679" s="274">
        <f t="shared" si="167"/>
        <v>913865.8</v>
      </c>
      <c r="CP679" s="274">
        <f>+CO679+CN679</f>
        <v>5723685.7999999998</v>
      </c>
      <c r="CQ679" s="11"/>
      <c r="CR679" s="11"/>
      <c r="CS679" s="11"/>
      <c r="CT679" s="274"/>
      <c r="CU679" s="274"/>
      <c r="CV679" s="274"/>
      <c r="CW679" s="11"/>
      <c r="CX679" s="11"/>
      <c r="CY679" s="11"/>
      <c r="CZ679" s="118"/>
      <c r="DA679" s="118"/>
      <c r="DB679" s="118"/>
      <c r="DC679" s="33"/>
      <c r="DD679" s="11"/>
      <c r="DE679" s="11"/>
      <c r="DF679" s="11"/>
      <c r="DG679" s="11"/>
      <c r="DH679" s="11"/>
      <c r="DI679" s="11"/>
      <c r="DJ679" s="11"/>
      <c r="DK679" s="11"/>
      <c r="DL679" s="11"/>
      <c r="DM679" s="11"/>
      <c r="DN679" s="11"/>
      <c r="DO679" s="11"/>
      <c r="DP679" s="11"/>
      <c r="DQ679" s="11"/>
      <c r="DR679" s="11"/>
      <c r="DS679" s="11"/>
      <c r="DT679" s="11"/>
      <c r="DU679" s="11"/>
      <c r="DV679" s="11"/>
      <c r="DW679" s="11"/>
      <c r="DX679" s="11"/>
      <c r="DY679" s="11"/>
      <c r="DZ679" s="11"/>
      <c r="EA679" s="11"/>
      <c r="EB679" s="11"/>
      <c r="EC679" s="11"/>
      <c r="ED679" s="11"/>
      <c r="EE679" s="11"/>
      <c r="EF679" s="11"/>
      <c r="EG679" s="11"/>
      <c r="EH679" s="11"/>
      <c r="EI679" s="11"/>
      <c r="EJ679" s="11"/>
      <c r="EK679" s="11"/>
      <c r="EL679" s="11"/>
      <c r="EM679" s="11"/>
      <c r="EN679" s="11"/>
      <c r="EO679" s="11"/>
      <c r="EP679" s="11"/>
      <c r="EQ679" s="11"/>
      <c r="ER679" s="11"/>
      <c r="ES679" s="11"/>
      <c r="ET679" s="11"/>
      <c r="EU679" s="11"/>
      <c r="EV679" s="11"/>
      <c r="EW679" s="11"/>
      <c r="EX679" s="11"/>
      <c r="EY679" s="11"/>
      <c r="EZ679" s="11"/>
      <c r="FA679" s="11"/>
      <c r="FB679" s="11"/>
      <c r="FC679" s="11"/>
      <c r="FD679" s="11"/>
      <c r="FE679" s="11"/>
      <c r="FF679" s="11"/>
      <c r="FG679" s="11"/>
      <c r="FH679" s="39">
        <f t="shared" si="160"/>
        <v>10767184.26</v>
      </c>
      <c r="FI679" s="33">
        <f t="shared" si="161"/>
        <v>3</v>
      </c>
      <c r="FJ679" s="84">
        <f t="shared" si="162"/>
        <v>3589061.42</v>
      </c>
    </row>
    <row r="680" spans="1:166" ht="40.5" x14ac:dyDescent="0.25">
      <c r="A680" s="79" t="e">
        <f>#REF!</f>
        <v>#REF!</v>
      </c>
      <c r="B680" s="75" t="e">
        <f>#REF!</f>
        <v>#REF!</v>
      </c>
      <c r="C680" s="75" t="e">
        <f>#REF!</f>
        <v>#REF!</v>
      </c>
      <c r="D680" s="75" t="e">
        <f>#REF!</f>
        <v>#REF!</v>
      </c>
      <c r="E680" s="30">
        <v>1</v>
      </c>
      <c r="F680" s="238">
        <v>0</v>
      </c>
      <c r="G680" s="241">
        <v>0</v>
      </c>
      <c r="H680" s="249">
        <v>0</v>
      </c>
      <c r="I680" s="249">
        <v>0</v>
      </c>
      <c r="J680" s="249">
        <v>0</v>
      </c>
      <c r="K680" s="249">
        <v>0</v>
      </c>
      <c r="L680" s="274"/>
      <c r="M680" s="274"/>
      <c r="N680" s="246"/>
      <c r="O680" s="118"/>
      <c r="P680" s="118"/>
      <c r="Q680" s="52"/>
      <c r="R680" s="52"/>
      <c r="S680" s="5"/>
      <c r="T680" s="118"/>
      <c r="U680" s="118"/>
      <c r="V680" s="118"/>
      <c r="W680" s="11"/>
      <c r="X680" s="11"/>
      <c r="Y680" s="11"/>
      <c r="Z680" s="118"/>
      <c r="AA680" s="118"/>
      <c r="AB680" s="118"/>
      <c r="AC680" s="52"/>
      <c r="AD680" s="52"/>
      <c r="AE680" s="11"/>
      <c r="AF680" s="118"/>
      <c r="AG680" s="118"/>
      <c r="AH680" s="118"/>
      <c r="AI680" s="11"/>
      <c r="AJ680" s="11"/>
      <c r="AK680" s="11"/>
      <c r="AL680" s="118"/>
      <c r="AM680" s="118"/>
      <c r="AN680" s="118"/>
      <c r="AO680" s="76"/>
      <c r="AP680" s="11"/>
      <c r="AQ680" s="11"/>
      <c r="AR680" s="274"/>
      <c r="AS680" s="274"/>
      <c r="AT680" s="274"/>
      <c r="AU680" s="62"/>
      <c r="AV680" s="48"/>
      <c r="AW680" s="11"/>
      <c r="AX680" s="274"/>
      <c r="AY680" s="274"/>
      <c r="AZ680" s="274"/>
      <c r="BA680" s="11"/>
      <c r="BB680" s="11"/>
      <c r="BC680" s="11"/>
      <c r="BD680" s="274"/>
      <c r="BE680" s="274"/>
      <c r="BF680" s="274"/>
      <c r="BG680" s="11"/>
      <c r="BH680" s="11"/>
      <c r="BI680" s="11"/>
      <c r="BJ680" s="274"/>
      <c r="BK680" s="274"/>
      <c r="BL680" s="274"/>
      <c r="BM680" s="11"/>
      <c r="BN680" s="11"/>
      <c r="BO680" s="11"/>
      <c r="BP680" s="274"/>
      <c r="BQ680" s="11"/>
      <c r="BR680" s="11"/>
      <c r="BS680" s="11"/>
      <c r="BT680" s="11"/>
      <c r="BU680" s="11"/>
      <c r="BV680" s="263">
        <v>1883400</v>
      </c>
      <c r="BW680" s="144">
        <f t="shared" si="165"/>
        <v>357846</v>
      </c>
      <c r="BX680" s="113">
        <f t="shared" si="166"/>
        <v>2241246</v>
      </c>
      <c r="BY680" s="272" t="s">
        <v>320</v>
      </c>
      <c r="BZ680" s="272" t="s">
        <v>548</v>
      </c>
      <c r="CA680" s="11"/>
      <c r="CB680" s="274"/>
      <c r="CC680" s="274"/>
      <c r="CD680" s="274"/>
      <c r="CE680" s="11"/>
      <c r="CF680" s="11"/>
      <c r="CG680" s="11"/>
      <c r="CH680" s="268">
        <v>1902234</v>
      </c>
      <c r="CI680" s="265">
        <f>+CH680*0.19</f>
        <v>361424.46</v>
      </c>
      <c r="CJ680" s="263">
        <f>+CH680+CI680</f>
        <v>2263658.46</v>
      </c>
      <c r="CK680" s="272" t="s">
        <v>320</v>
      </c>
      <c r="CL680" s="272" t="s">
        <v>548</v>
      </c>
      <c r="CM680" s="11"/>
      <c r="CN680" s="274">
        <v>673504</v>
      </c>
      <c r="CO680" s="274">
        <f t="shared" si="167"/>
        <v>127965.75999999999</v>
      </c>
      <c r="CP680" s="274">
        <f t="shared" ref="CP680:CP690" si="168">+CN680+CO680</f>
        <v>801469.76</v>
      </c>
      <c r="CQ680" s="11"/>
      <c r="CR680" s="11"/>
      <c r="CS680" s="11"/>
      <c r="CT680" s="274"/>
      <c r="CU680" s="274"/>
      <c r="CV680" s="274"/>
      <c r="CW680" s="11"/>
      <c r="CX680" s="11"/>
      <c r="CY680" s="11"/>
      <c r="CZ680" s="118"/>
      <c r="DA680" s="118"/>
      <c r="DB680" s="118"/>
      <c r="DC680" s="33"/>
      <c r="DD680" s="11"/>
      <c r="DE680" s="11"/>
      <c r="DF680" s="11"/>
      <c r="DG680" s="11"/>
      <c r="DH680" s="11"/>
      <c r="DI680" s="11"/>
      <c r="DJ680" s="11"/>
      <c r="DK680" s="11"/>
      <c r="DL680" s="11"/>
      <c r="DM680" s="11"/>
      <c r="DN680" s="11"/>
      <c r="DO680" s="11"/>
      <c r="DP680" s="11"/>
      <c r="DQ680" s="11"/>
      <c r="DR680" s="11"/>
      <c r="DS680" s="11"/>
      <c r="DT680" s="11"/>
      <c r="DU680" s="11"/>
      <c r="DV680" s="11"/>
      <c r="DW680" s="11"/>
      <c r="DX680" s="11"/>
      <c r="DY680" s="11"/>
      <c r="DZ680" s="11"/>
      <c r="EA680" s="11"/>
      <c r="EB680" s="11"/>
      <c r="EC680" s="11"/>
      <c r="ED680" s="11"/>
      <c r="EE680" s="11"/>
      <c r="EF680" s="11"/>
      <c r="EG680" s="11"/>
      <c r="EH680" s="11"/>
      <c r="EI680" s="11"/>
      <c r="EJ680" s="11"/>
      <c r="EK680" s="11"/>
      <c r="EL680" s="11"/>
      <c r="EM680" s="11"/>
      <c r="EN680" s="11"/>
      <c r="EO680" s="11"/>
      <c r="EP680" s="11"/>
      <c r="EQ680" s="11"/>
      <c r="ER680" s="11"/>
      <c r="ES680" s="11"/>
      <c r="ET680" s="11"/>
      <c r="EU680" s="11"/>
      <c r="EV680" s="11"/>
      <c r="EW680" s="11"/>
      <c r="EX680" s="11"/>
      <c r="EY680" s="11"/>
      <c r="EZ680" s="11"/>
      <c r="FA680" s="11"/>
      <c r="FB680" s="11"/>
      <c r="FC680" s="11"/>
      <c r="FD680" s="11"/>
      <c r="FE680" s="11"/>
      <c r="FF680" s="11"/>
      <c r="FG680" s="11"/>
      <c r="FH680" s="39">
        <f t="shared" si="160"/>
        <v>5306374.22</v>
      </c>
      <c r="FI680" s="33">
        <f t="shared" si="161"/>
        <v>3</v>
      </c>
      <c r="FJ680" s="84">
        <f t="shared" si="162"/>
        <v>1768791.4066666665</v>
      </c>
    </row>
    <row r="681" spans="1:166" ht="40.5" x14ac:dyDescent="0.25">
      <c r="A681" s="79" t="e">
        <f>#REF!</f>
        <v>#REF!</v>
      </c>
      <c r="B681" s="75" t="e">
        <f>#REF!</f>
        <v>#REF!</v>
      </c>
      <c r="C681" s="75" t="e">
        <f>#REF!</f>
        <v>#REF!</v>
      </c>
      <c r="D681" s="75" t="e">
        <f>#REF!</f>
        <v>#REF!</v>
      </c>
      <c r="E681" s="30">
        <v>1</v>
      </c>
      <c r="F681" s="238">
        <v>0</v>
      </c>
      <c r="G681" s="241">
        <v>0</v>
      </c>
      <c r="H681" s="249">
        <v>0</v>
      </c>
      <c r="I681" s="249">
        <v>0</v>
      </c>
      <c r="J681" s="249">
        <v>0</v>
      </c>
      <c r="K681" s="249">
        <v>0</v>
      </c>
      <c r="L681" s="274"/>
      <c r="M681" s="274"/>
      <c r="N681" s="246"/>
      <c r="O681" s="118"/>
      <c r="P681" s="118"/>
      <c r="Q681" s="52"/>
      <c r="R681" s="52"/>
      <c r="S681" s="5"/>
      <c r="T681" s="118"/>
      <c r="U681" s="118"/>
      <c r="V681" s="118"/>
      <c r="W681" s="11"/>
      <c r="X681" s="11"/>
      <c r="Y681" s="11"/>
      <c r="Z681" s="118"/>
      <c r="AA681" s="118"/>
      <c r="AB681" s="118"/>
      <c r="AC681" s="52"/>
      <c r="AD681" s="52"/>
      <c r="AE681" s="11"/>
      <c r="AF681" s="118"/>
      <c r="AG681" s="118"/>
      <c r="AH681" s="118"/>
      <c r="AI681" s="11"/>
      <c r="AJ681" s="11"/>
      <c r="AK681" s="11"/>
      <c r="AL681" s="118"/>
      <c r="AM681" s="118"/>
      <c r="AN681" s="118"/>
      <c r="AO681" s="76"/>
      <c r="AP681" s="11"/>
      <c r="AQ681" s="11"/>
      <c r="AR681" s="274"/>
      <c r="AS681" s="274"/>
      <c r="AT681" s="274"/>
      <c r="AU681" s="62"/>
      <c r="AV681" s="48"/>
      <c r="AW681" s="11"/>
      <c r="AX681" s="274"/>
      <c r="AY681" s="274"/>
      <c r="AZ681" s="274"/>
      <c r="BA681" s="11"/>
      <c r="BB681" s="11"/>
      <c r="BC681" s="11"/>
      <c r="BD681" s="274"/>
      <c r="BE681" s="274"/>
      <c r="BF681" s="274"/>
      <c r="BG681" s="11"/>
      <c r="BH681" s="11"/>
      <c r="BI681" s="11"/>
      <c r="BJ681" s="274"/>
      <c r="BK681" s="274"/>
      <c r="BL681" s="274"/>
      <c r="BM681" s="11"/>
      <c r="BN681" s="11"/>
      <c r="BO681" s="11"/>
      <c r="BP681" s="274"/>
      <c r="BQ681" s="11"/>
      <c r="BR681" s="11"/>
      <c r="BS681" s="11"/>
      <c r="BT681" s="11"/>
      <c r="BU681" s="11"/>
      <c r="BV681" s="263">
        <v>3912800</v>
      </c>
      <c r="BW681" s="144">
        <f t="shared" si="165"/>
        <v>743432</v>
      </c>
      <c r="BX681" s="113">
        <f t="shared" si="166"/>
        <v>4656232</v>
      </c>
      <c r="BY681" s="272" t="s">
        <v>549</v>
      </c>
      <c r="BZ681" s="272" t="s">
        <v>548</v>
      </c>
      <c r="CA681" s="11"/>
      <c r="CB681" s="274"/>
      <c r="CC681" s="274"/>
      <c r="CD681" s="274"/>
      <c r="CE681" s="11"/>
      <c r="CF681" s="11"/>
      <c r="CG681" s="11"/>
      <c r="CH681" s="268"/>
      <c r="CI681" s="265"/>
      <c r="CJ681" s="263"/>
      <c r="CK681" s="272"/>
      <c r="CL681" s="272"/>
      <c r="CM681" s="11"/>
      <c r="CN681" s="274">
        <v>915201</v>
      </c>
      <c r="CO681" s="274">
        <f t="shared" si="167"/>
        <v>173888.19</v>
      </c>
      <c r="CP681" s="274">
        <f t="shared" si="168"/>
        <v>1089089.19</v>
      </c>
      <c r="CQ681" s="11"/>
      <c r="CR681" s="11"/>
      <c r="CS681" s="11"/>
      <c r="CT681" s="274"/>
      <c r="CU681" s="274"/>
      <c r="CV681" s="274"/>
      <c r="CW681" s="11"/>
      <c r="CX681" s="11"/>
      <c r="CY681" s="11"/>
      <c r="CZ681" s="118"/>
      <c r="DA681" s="118"/>
      <c r="DB681" s="118"/>
      <c r="DC681" s="33"/>
      <c r="DD681" s="11"/>
      <c r="DE681" s="11"/>
      <c r="DF681" s="11"/>
      <c r="DG681" s="11"/>
      <c r="DH681" s="11"/>
      <c r="DI681" s="11"/>
      <c r="DJ681" s="11"/>
      <c r="DK681" s="11"/>
      <c r="DL681" s="11"/>
      <c r="DM681" s="11"/>
      <c r="DN681" s="11"/>
      <c r="DO681" s="11"/>
      <c r="DP681" s="11"/>
      <c r="DQ681" s="11"/>
      <c r="DR681" s="11"/>
      <c r="DS681" s="11"/>
      <c r="DT681" s="11"/>
      <c r="DU681" s="11"/>
      <c r="DV681" s="11"/>
      <c r="DW681" s="11"/>
      <c r="DX681" s="11"/>
      <c r="DY681" s="11"/>
      <c r="DZ681" s="11"/>
      <c r="EA681" s="11"/>
      <c r="EB681" s="11"/>
      <c r="EC681" s="11"/>
      <c r="ED681" s="11"/>
      <c r="EE681" s="11"/>
      <c r="EF681" s="11"/>
      <c r="EG681" s="11"/>
      <c r="EH681" s="11"/>
      <c r="EI681" s="11"/>
      <c r="EJ681" s="11"/>
      <c r="EK681" s="11"/>
      <c r="EL681" s="11"/>
      <c r="EM681" s="11"/>
      <c r="EN681" s="11"/>
      <c r="EO681" s="11"/>
      <c r="EP681" s="11"/>
      <c r="EQ681" s="11"/>
      <c r="ER681" s="11"/>
      <c r="ES681" s="11"/>
      <c r="ET681" s="11"/>
      <c r="EU681" s="11"/>
      <c r="EV681" s="11"/>
      <c r="EW681" s="11"/>
      <c r="EX681" s="11"/>
      <c r="EY681" s="11"/>
      <c r="EZ681" s="11"/>
      <c r="FA681" s="11"/>
      <c r="FB681" s="11"/>
      <c r="FC681" s="11"/>
      <c r="FD681" s="11"/>
      <c r="FE681" s="11"/>
      <c r="FF681" s="11"/>
      <c r="FG681" s="11"/>
      <c r="FH681" s="39">
        <f t="shared" si="160"/>
        <v>5745321.1899999995</v>
      </c>
      <c r="FI681" s="33">
        <f t="shared" si="161"/>
        <v>2</v>
      </c>
      <c r="FJ681" s="84">
        <f t="shared" si="162"/>
        <v>2872660.5949999997</v>
      </c>
    </row>
    <row r="682" spans="1:166" ht="40.5" x14ac:dyDescent="0.25">
      <c r="A682" s="79" t="e">
        <f>#REF!</f>
        <v>#REF!</v>
      </c>
      <c r="B682" s="75" t="e">
        <f>#REF!</f>
        <v>#REF!</v>
      </c>
      <c r="C682" s="75" t="e">
        <f>#REF!</f>
        <v>#REF!</v>
      </c>
      <c r="D682" s="75" t="e">
        <f>#REF!</f>
        <v>#REF!</v>
      </c>
      <c r="E682" s="30">
        <v>1</v>
      </c>
      <c r="F682" s="238">
        <v>0</v>
      </c>
      <c r="G682" s="241">
        <v>0</v>
      </c>
      <c r="H682" s="249">
        <v>0</v>
      </c>
      <c r="I682" s="249">
        <v>0</v>
      </c>
      <c r="J682" s="249">
        <v>0</v>
      </c>
      <c r="K682" s="249">
        <v>0</v>
      </c>
      <c r="L682" s="274"/>
      <c r="M682" s="274"/>
      <c r="N682" s="246"/>
      <c r="O682" s="118"/>
      <c r="P682" s="118"/>
      <c r="Q682" s="52"/>
      <c r="R682" s="52"/>
      <c r="S682" s="5"/>
      <c r="T682" s="118"/>
      <c r="U682" s="118"/>
      <c r="V682" s="118"/>
      <c r="W682" s="11"/>
      <c r="X682" s="11"/>
      <c r="Y682" s="11"/>
      <c r="Z682" s="118"/>
      <c r="AA682" s="118"/>
      <c r="AB682" s="118"/>
      <c r="AC682" s="52"/>
      <c r="AD682" s="52"/>
      <c r="AE682" s="11"/>
      <c r="AF682" s="118"/>
      <c r="AG682" s="118"/>
      <c r="AH682" s="118"/>
      <c r="AI682" s="11"/>
      <c r="AJ682" s="11"/>
      <c r="AK682" s="11"/>
      <c r="AL682" s="118"/>
      <c r="AM682" s="118"/>
      <c r="AN682" s="118"/>
      <c r="AO682" s="76"/>
      <c r="AP682" s="11"/>
      <c r="AQ682" s="11"/>
      <c r="AR682" s="274"/>
      <c r="AS682" s="274"/>
      <c r="AT682" s="274"/>
      <c r="AU682" s="62"/>
      <c r="AV682" s="48"/>
      <c r="AW682" s="11"/>
      <c r="AX682" s="274"/>
      <c r="AY682" s="274"/>
      <c r="AZ682" s="274"/>
      <c r="BA682" s="11"/>
      <c r="BB682" s="11"/>
      <c r="BC682" s="11"/>
      <c r="BD682" s="274"/>
      <c r="BE682" s="274"/>
      <c r="BF682" s="274"/>
      <c r="BG682" s="11"/>
      <c r="BH682" s="11"/>
      <c r="BI682" s="11"/>
      <c r="BJ682" s="274"/>
      <c r="BK682" s="274"/>
      <c r="BL682" s="274"/>
      <c r="BM682" s="11"/>
      <c r="BN682" s="11"/>
      <c r="BO682" s="11"/>
      <c r="BP682" s="274"/>
      <c r="BQ682" s="11"/>
      <c r="BR682" s="11"/>
      <c r="BS682" s="11"/>
      <c r="BT682" s="11"/>
      <c r="BU682" s="11"/>
      <c r="BV682" s="263">
        <f>2014800/20</f>
        <v>100740</v>
      </c>
      <c r="BW682" s="144">
        <f t="shared" si="165"/>
        <v>19140.599999999999</v>
      </c>
      <c r="BX682" s="113">
        <f t="shared" si="166"/>
        <v>119880.6</v>
      </c>
      <c r="BY682" s="272" t="s">
        <v>312</v>
      </c>
      <c r="BZ682" s="272" t="s">
        <v>548</v>
      </c>
      <c r="CA682" s="11"/>
      <c r="CB682" s="274"/>
      <c r="CC682" s="274"/>
      <c r="CD682" s="274"/>
      <c r="CE682" s="11"/>
      <c r="CF682" s="11"/>
      <c r="CG682" s="11"/>
      <c r="CH682" s="268">
        <f>+(2055096/200)*10</f>
        <v>102754.79999999999</v>
      </c>
      <c r="CI682" s="265">
        <f>+CH682*0.19</f>
        <v>19523.411999999997</v>
      </c>
      <c r="CJ682" s="263">
        <f>+CH682+CI682</f>
        <v>122278.21199999998</v>
      </c>
      <c r="CK682" s="272" t="s">
        <v>312</v>
      </c>
      <c r="CL682" s="272" t="s">
        <v>548</v>
      </c>
      <c r="CM682" s="11"/>
      <c r="CN682" s="274">
        <v>99746</v>
      </c>
      <c r="CO682" s="274">
        <f t="shared" si="167"/>
        <v>18951.740000000002</v>
      </c>
      <c r="CP682" s="274">
        <f t="shared" si="168"/>
        <v>118697.74</v>
      </c>
      <c r="CQ682" s="11"/>
      <c r="CR682" s="11"/>
      <c r="CS682" s="11"/>
      <c r="CT682" s="274"/>
      <c r="CU682" s="274"/>
      <c r="CV682" s="274"/>
      <c r="CW682" s="11"/>
      <c r="CX682" s="11"/>
      <c r="CY682" s="11"/>
      <c r="CZ682" s="118"/>
      <c r="DA682" s="118"/>
      <c r="DB682" s="118"/>
      <c r="DC682" s="33"/>
      <c r="DD682" s="11"/>
      <c r="DE682" s="11"/>
      <c r="DF682" s="11"/>
      <c r="DG682" s="11"/>
      <c r="DH682" s="11"/>
      <c r="DI682" s="11"/>
      <c r="DJ682" s="11"/>
      <c r="DK682" s="11"/>
      <c r="DL682" s="11"/>
      <c r="DM682" s="11"/>
      <c r="DN682" s="11"/>
      <c r="DO682" s="11"/>
      <c r="DP682" s="11"/>
      <c r="DQ682" s="11"/>
      <c r="DR682" s="11"/>
      <c r="DS682" s="11"/>
      <c r="DT682" s="11"/>
      <c r="DU682" s="11"/>
      <c r="DV682" s="11"/>
      <c r="DW682" s="11"/>
      <c r="DX682" s="11"/>
      <c r="DY682" s="11"/>
      <c r="DZ682" s="11"/>
      <c r="EA682" s="11"/>
      <c r="EB682" s="11"/>
      <c r="EC682" s="11"/>
      <c r="ED682" s="11"/>
      <c r="EE682" s="11"/>
      <c r="EF682" s="11"/>
      <c r="EG682" s="11"/>
      <c r="EH682" s="11"/>
      <c r="EI682" s="11"/>
      <c r="EJ682" s="11"/>
      <c r="EK682" s="11"/>
      <c r="EL682" s="11"/>
      <c r="EM682" s="11"/>
      <c r="EN682" s="11"/>
      <c r="EO682" s="11"/>
      <c r="EP682" s="11"/>
      <c r="EQ682" s="11"/>
      <c r="ER682" s="11"/>
      <c r="ES682" s="11"/>
      <c r="ET682" s="11"/>
      <c r="EU682" s="11"/>
      <c r="EV682" s="11"/>
      <c r="EW682" s="11"/>
      <c r="EX682" s="11"/>
      <c r="EY682" s="11"/>
      <c r="EZ682" s="11"/>
      <c r="FA682" s="11"/>
      <c r="FB682" s="11"/>
      <c r="FC682" s="11"/>
      <c r="FD682" s="11"/>
      <c r="FE682" s="11"/>
      <c r="FF682" s="11"/>
      <c r="FG682" s="11"/>
      <c r="FH682" s="39">
        <f t="shared" si="160"/>
        <v>360856.55199999997</v>
      </c>
      <c r="FI682" s="33">
        <f t="shared" si="161"/>
        <v>3</v>
      </c>
      <c r="FJ682" s="84">
        <f t="shared" si="162"/>
        <v>120285.51733333332</v>
      </c>
    </row>
    <row r="683" spans="1:166" ht="40.5" x14ac:dyDescent="0.25">
      <c r="A683" s="79" t="e">
        <f>#REF!</f>
        <v>#REF!</v>
      </c>
      <c r="B683" s="75" t="e">
        <f>#REF!</f>
        <v>#REF!</v>
      </c>
      <c r="C683" s="75" t="e">
        <f>#REF!</f>
        <v>#REF!</v>
      </c>
      <c r="D683" s="75" t="e">
        <f>#REF!</f>
        <v>#REF!</v>
      </c>
      <c r="E683" s="30">
        <v>1</v>
      </c>
      <c r="F683" s="238">
        <v>0</v>
      </c>
      <c r="G683" s="241">
        <v>0</v>
      </c>
      <c r="H683" s="249">
        <v>0</v>
      </c>
      <c r="I683" s="249">
        <v>0</v>
      </c>
      <c r="J683" s="249">
        <v>0</v>
      </c>
      <c r="K683" s="249">
        <v>0</v>
      </c>
      <c r="L683" s="274"/>
      <c r="M683" s="274"/>
      <c r="N683" s="246"/>
      <c r="O683" s="118"/>
      <c r="P683" s="118"/>
      <c r="Q683" s="52"/>
      <c r="R683" s="52"/>
      <c r="S683" s="5"/>
      <c r="T683" s="118"/>
      <c r="U683" s="118"/>
      <c r="V683" s="118"/>
      <c r="W683" s="11"/>
      <c r="X683" s="11"/>
      <c r="Y683" s="11"/>
      <c r="Z683" s="118"/>
      <c r="AA683" s="118"/>
      <c r="AB683" s="118"/>
      <c r="AC683" s="52"/>
      <c r="AD683" s="52"/>
      <c r="AE683" s="11"/>
      <c r="AF683" s="118"/>
      <c r="AG683" s="118"/>
      <c r="AH683" s="118"/>
      <c r="AI683" s="11"/>
      <c r="AJ683" s="11"/>
      <c r="AK683" s="11"/>
      <c r="AL683" s="118"/>
      <c r="AM683" s="118"/>
      <c r="AN683" s="118"/>
      <c r="AO683" s="76"/>
      <c r="AP683" s="11"/>
      <c r="AQ683" s="11"/>
      <c r="AR683" s="274"/>
      <c r="AS683" s="274"/>
      <c r="AT683" s="274"/>
      <c r="AU683" s="62"/>
      <c r="AV683" s="48"/>
      <c r="AW683" s="11"/>
      <c r="AX683" s="274"/>
      <c r="AY683" s="274"/>
      <c r="AZ683" s="274"/>
      <c r="BA683" s="11"/>
      <c r="BB683" s="11"/>
      <c r="BC683" s="11"/>
      <c r="BD683" s="274"/>
      <c r="BE683" s="274"/>
      <c r="BF683" s="274"/>
      <c r="BG683" s="11"/>
      <c r="BH683" s="11"/>
      <c r="BI683" s="11"/>
      <c r="BJ683" s="274"/>
      <c r="BK683" s="274"/>
      <c r="BL683" s="274"/>
      <c r="BM683" s="11"/>
      <c r="BN683" s="11"/>
      <c r="BO683" s="11"/>
      <c r="BP683" s="274"/>
      <c r="BQ683" s="11"/>
      <c r="BR683" s="11"/>
      <c r="BS683" s="11"/>
      <c r="BT683" s="11"/>
      <c r="BU683" s="11"/>
      <c r="BV683" s="263">
        <f>1591400/5</f>
        <v>318280</v>
      </c>
      <c r="BW683" s="144">
        <f t="shared" si="165"/>
        <v>60473.2</v>
      </c>
      <c r="BX683" s="113">
        <f t="shared" si="166"/>
        <v>378753.2</v>
      </c>
      <c r="BY683" s="272" t="s">
        <v>325</v>
      </c>
      <c r="BZ683" s="272" t="s">
        <v>548</v>
      </c>
      <c r="CA683" s="11"/>
      <c r="CB683" s="274"/>
      <c r="CC683" s="274"/>
      <c r="CD683" s="274"/>
      <c r="CE683" s="11"/>
      <c r="CF683" s="11"/>
      <c r="CG683" s="11"/>
      <c r="CH683" s="268">
        <f>1623228/5</f>
        <v>324645.59999999998</v>
      </c>
      <c r="CI683" s="265">
        <f>+CH683*0.19</f>
        <v>61682.663999999997</v>
      </c>
      <c r="CJ683" s="263">
        <f>+CH683+CI683</f>
        <v>386328.26399999997</v>
      </c>
      <c r="CK683" s="272" t="s">
        <v>325</v>
      </c>
      <c r="CL683" s="272" t="s">
        <v>548</v>
      </c>
      <c r="CM683" s="11"/>
      <c r="CN683" s="274">
        <v>256661</v>
      </c>
      <c r="CO683" s="274">
        <f t="shared" si="167"/>
        <v>48765.590000000004</v>
      </c>
      <c r="CP683" s="274">
        <f t="shared" si="168"/>
        <v>305426.59000000003</v>
      </c>
      <c r="CQ683" s="11"/>
      <c r="CR683" s="11"/>
      <c r="CS683" s="11"/>
      <c r="CT683" s="274"/>
      <c r="CU683" s="274"/>
      <c r="CV683" s="274"/>
      <c r="CW683" s="11"/>
      <c r="CX683" s="11"/>
      <c r="CY683" s="11"/>
      <c r="CZ683" s="118"/>
      <c r="DA683" s="118"/>
      <c r="DB683" s="118"/>
      <c r="DC683" s="33"/>
      <c r="DD683" s="11"/>
      <c r="DE683" s="11"/>
      <c r="DF683" s="11"/>
      <c r="DG683" s="11"/>
      <c r="DH683" s="11"/>
      <c r="DI683" s="11"/>
      <c r="DJ683" s="11"/>
      <c r="DK683" s="11"/>
      <c r="DL683" s="11"/>
      <c r="DM683" s="11"/>
      <c r="DN683" s="11"/>
      <c r="DO683" s="11"/>
      <c r="DP683" s="11"/>
      <c r="DQ683" s="11"/>
      <c r="DR683" s="11"/>
      <c r="DS683" s="11"/>
      <c r="DT683" s="11"/>
      <c r="DU683" s="11"/>
      <c r="DV683" s="11"/>
      <c r="DW683" s="11"/>
      <c r="DX683" s="11"/>
      <c r="DY683" s="11"/>
      <c r="DZ683" s="11"/>
      <c r="EA683" s="11"/>
      <c r="EB683" s="11"/>
      <c r="EC683" s="11"/>
      <c r="ED683" s="11"/>
      <c r="EE683" s="11"/>
      <c r="EF683" s="11"/>
      <c r="EG683" s="11"/>
      <c r="EH683" s="11"/>
      <c r="EI683" s="11"/>
      <c r="EJ683" s="11"/>
      <c r="EK683" s="11"/>
      <c r="EL683" s="11"/>
      <c r="EM683" s="11"/>
      <c r="EN683" s="11"/>
      <c r="EO683" s="11"/>
      <c r="EP683" s="11"/>
      <c r="EQ683" s="11"/>
      <c r="ER683" s="11"/>
      <c r="ES683" s="11"/>
      <c r="ET683" s="11"/>
      <c r="EU683" s="11"/>
      <c r="EV683" s="11"/>
      <c r="EW683" s="11"/>
      <c r="EX683" s="11"/>
      <c r="EY683" s="11"/>
      <c r="EZ683" s="11"/>
      <c r="FA683" s="11"/>
      <c r="FB683" s="11"/>
      <c r="FC683" s="11"/>
      <c r="FD683" s="11"/>
      <c r="FE683" s="11"/>
      <c r="FF683" s="11"/>
      <c r="FG683" s="11"/>
      <c r="FH683" s="39">
        <f t="shared" si="160"/>
        <v>1070508.054</v>
      </c>
      <c r="FI683" s="33">
        <f t="shared" si="161"/>
        <v>3</v>
      </c>
      <c r="FJ683" s="84">
        <f t="shared" si="162"/>
        <v>356836.01799999998</v>
      </c>
    </row>
    <row r="684" spans="1:166" ht="40.5" x14ac:dyDescent="0.25">
      <c r="A684" s="79" t="e">
        <f>#REF!</f>
        <v>#REF!</v>
      </c>
      <c r="B684" s="75" t="e">
        <f>#REF!</f>
        <v>#REF!</v>
      </c>
      <c r="C684" s="75" t="e">
        <f>#REF!</f>
        <v>#REF!</v>
      </c>
      <c r="D684" s="75" t="e">
        <f>#REF!</f>
        <v>#REF!</v>
      </c>
      <c r="E684" s="30">
        <v>1</v>
      </c>
      <c r="F684" s="238">
        <v>0</v>
      </c>
      <c r="G684" s="241">
        <v>0</v>
      </c>
      <c r="H684" s="249">
        <v>0</v>
      </c>
      <c r="I684" s="249">
        <v>0</v>
      </c>
      <c r="J684" s="249">
        <v>0</v>
      </c>
      <c r="K684" s="249">
        <v>0</v>
      </c>
      <c r="L684" s="274"/>
      <c r="M684" s="274"/>
      <c r="N684" s="246"/>
      <c r="O684" s="118"/>
      <c r="P684" s="118"/>
      <c r="Q684" s="52"/>
      <c r="R684" s="52"/>
      <c r="S684" s="5"/>
      <c r="T684" s="118"/>
      <c r="U684" s="118"/>
      <c r="V684" s="118"/>
      <c r="W684" s="11"/>
      <c r="X684" s="11"/>
      <c r="Y684" s="11"/>
      <c r="Z684" s="118"/>
      <c r="AA684" s="118"/>
      <c r="AB684" s="118"/>
      <c r="AC684" s="52"/>
      <c r="AD684" s="52"/>
      <c r="AE684" s="11"/>
      <c r="AF684" s="118"/>
      <c r="AG684" s="118"/>
      <c r="AH684" s="118"/>
      <c r="AI684" s="11"/>
      <c r="AJ684" s="11"/>
      <c r="AK684" s="11"/>
      <c r="AL684" s="118"/>
      <c r="AM684" s="118"/>
      <c r="AN684" s="118"/>
      <c r="AO684" s="76"/>
      <c r="AP684" s="11"/>
      <c r="AQ684" s="11"/>
      <c r="AR684" s="274"/>
      <c r="AS684" s="274"/>
      <c r="AT684" s="274"/>
      <c r="AU684" s="62"/>
      <c r="AV684" s="48"/>
      <c r="AW684" s="11"/>
      <c r="AX684" s="274"/>
      <c r="AY684" s="274"/>
      <c r="AZ684" s="274"/>
      <c r="BA684" s="11"/>
      <c r="BB684" s="11"/>
      <c r="BC684" s="11"/>
      <c r="BD684" s="274"/>
      <c r="BE684" s="274"/>
      <c r="BF684" s="274"/>
      <c r="BG684" s="11"/>
      <c r="BH684" s="11"/>
      <c r="BI684" s="11"/>
      <c r="BJ684" s="274"/>
      <c r="BK684" s="274"/>
      <c r="BL684" s="274"/>
      <c r="BM684" s="11"/>
      <c r="BN684" s="11"/>
      <c r="BO684" s="11"/>
      <c r="BP684" s="274"/>
      <c r="BQ684" s="11"/>
      <c r="BR684" s="11"/>
      <c r="BS684" s="11"/>
      <c r="BT684" s="11"/>
      <c r="BU684" s="11"/>
      <c r="BV684" s="263">
        <v>3270400</v>
      </c>
      <c r="BW684" s="144">
        <f t="shared" si="165"/>
        <v>621376</v>
      </c>
      <c r="BX684" s="113">
        <f t="shared" si="166"/>
        <v>3891776</v>
      </c>
      <c r="BY684" s="272" t="s">
        <v>309</v>
      </c>
      <c r="BZ684" s="272" t="s">
        <v>548</v>
      </c>
      <c r="CA684" s="11"/>
      <c r="CB684" s="274"/>
      <c r="CC684" s="274"/>
      <c r="CD684" s="274"/>
      <c r="CE684" s="11"/>
      <c r="CF684" s="11"/>
      <c r="CG684" s="11"/>
      <c r="CH684" s="268"/>
      <c r="CI684" s="265"/>
      <c r="CJ684" s="263"/>
      <c r="CK684" s="272"/>
      <c r="CL684" s="272"/>
      <c r="CM684" s="11"/>
      <c r="CN684" s="274">
        <v>129094</v>
      </c>
      <c r="CO684" s="274">
        <f t="shared" si="167"/>
        <v>24527.86</v>
      </c>
      <c r="CP684" s="274">
        <f t="shared" si="168"/>
        <v>153621.85999999999</v>
      </c>
      <c r="CQ684" s="11"/>
      <c r="CR684" s="11"/>
      <c r="CS684" s="11"/>
      <c r="CT684" s="274"/>
      <c r="CU684" s="274"/>
      <c r="CV684" s="274"/>
      <c r="CW684" s="11"/>
      <c r="CX684" s="11"/>
      <c r="CY684" s="11"/>
      <c r="CZ684" s="118"/>
      <c r="DA684" s="118"/>
      <c r="DB684" s="118"/>
      <c r="DC684" s="33"/>
      <c r="DD684" s="11"/>
      <c r="DE684" s="11"/>
      <c r="DF684" s="11"/>
      <c r="DG684" s="11"/>
      <c r="DH684" s="11"/>
      <c r="DI684" s="11"/>
      <c r="DJ684" s="11"/>
      <c r="DK684" s="11"/>
      <c r="DL684" s="11"/>
      <c r="DM684" s="11"/>
      <c r="DN684" s="11"/>
      <c r="DO684" s="11"/>
      <c r="DP684" s="11"/>
      <c r="DQ684" s="11"/>
      <c r="DR684" s="11"/>
      <c r="DS684" s="11"/>
      <c r="DT684" s="11"/>
      <c r="DU684" s="11"/>
      <c r="DV684" s="11"/>
      <c r="DW684" s="11"/>
      <c r="DX684" s="11"/>
      <c r="DY684" s="11"/>
      <c r="DZ684" s="11"/>
      <c r="EA684" s="11"/>
      <c r="EB684" s="11"/>
      <c r="EC684" s="11"/>
      <c r="ED684" s="11"/>
      <c r="EE684" s="11"/>
      <c r="EF684" s="11"/>
      <c r="EG684" s="11"/>
      <c r="EH684" s="11"/>
      <c r="EI684" s="11"/>
      <c r="EJ684" s="11"/>
      <c r="EK684" s="11"/>
      <c r="EL684" s="11"/>
      <c r="EM684" s="11"/>
      <c r="EN684" s="11"/>
      <c r="EO684" s="11"/>
      <c r="EP684" s="11"/>
      <c r="EQ684" s="11"/>
      <c r="ER684" s="11"/>
      <c r="ES684" s="11"/>
      <c r="ET684" s="11"/>
      <c r="EU684" s="11"/>
      <c r="EV684" s="11"/>
      <c r="EW684" s="11"/>
      <c r="EX684" s="11"/>
      <c r="EY684" s="11"/>
      <c r="EZ684" s="11"/>
      <c r="FA684" s="11"/>
      <c r="FB684" s="11"/>
      <c r="FC684" s="11"/>
      <c r="FD684" s="11"/>
      <c r="FE684" s="11"/>
      <c r="FF684" s="11"/>
      <c r="FG684" s="11"/>
      <c r="FH684" s="39">
        <f t="shared" si="160"/>
        <v>4045397.86</v>
      </c>
      <c r="FI684" s="33">
        <f t="shared" si="161"/>
        <v>2</v>
      </c>
      <c r="FJ684" s="84">
        <f t="shared" si="162"/>
        <v>2022698.93</v>
      </c>
    </row>
    <row r="685" spans="1:166" ht="40.5" x14ac:dyDescent="0.25">
      <c r="A685" s="79" t="e">
        <f>#REF!</f>
        <v>#REF!</v>
      </c>
      <c r="B685" s="75" t="e">
        <f>#REF!</f>
        <v>#REF!</v>
      </c>
      <c r="C685" s="75" t="e">
        <f>#REF!</f>
        <v>#REF!</v>
      </c>
      <c r="D685" s="75" t="e">
        <f>#REF!</f>
        <v>#REF!</v>
      </c>
      <c r="E685" s="30">
        <v>1</v>
      </c>
      <c r="F685" s="238">
        <v>0</v>
      </c>
      <c r="G685" s="241">
        <v>0</v>
      </c>
      <c r="H685" s="249">
        <v>0</v>
      </c>
      <c r="I685" s="249">
        <v>0</v>
      </c>
      <c r="J685" s="249">
        <v>0</v>
      </c>
      <c r="K685" s="249">
        <v>0</v>
      </c>
      <c r="L685" s="274"/>
      <c r="M685" s="274"/>
      <c r="N685" s="246"/>
      <c r="O685" s="118"/>
      <c r="P685" s="118"/>
      <c r="Q685" s="52"/>
      <c r="R685" s="52"/>
      <c r="S685" s="5"/>
      <c r="T685" s="118"/>
      <c r="U685" s="118"/>
      <c r="V685" s="118"/>
      <c r="W685" s="11"/>
      <c r="X685" s="11"/>
      <c r="Y685" s="11"/>
      <c r="Z685" s="118"/>
      <c r="AA685" s="118"/>
      <c r="AB685" s="118"/>
      <c r="AC685" s="52"/>
      <c r="AD685" s="52"/>
      <c r="AE685" s="11"/>
      <c r="AF685" s="118"/>
      <c r="AG685" s="118"/>
      <c r="AH685" s="118"/>
      <c r="AI685" s="11"/>
      <c r="AJ685" s="11"/>
      <c r="AK685" s="11"/>
      <c r="AL685" s="118"/>
      <c r="AM685" s="118"/>
      <c r="AN685" s="118"/>
      <c r="AO685" s="76"/>
      <c r="AP685" s="11"/>
      <c r="AQ685" s="11"/>
      <c r="AR685" s="274"/>
      <c r="AS685" s="274"/>
      <c r="AT685" s="274"/>
      <c r="AU685" s="62"/>
      <c r="AV685" s="48"/>
      <c r="AW685" s="11"/>
      <c r="AX685" s="274"/>
      <c r="AY685" s="274"/>
      <c r="AZ685" s="274"/>
      <c r="BA685" s="11"/>
      <c r="BB685" s="11"/>
      <c r="BC685" s="11"/>
      <c r="BD685" s="274"/>
      <c r="BE685" s="274"/>
      <c r="BF685" s="274"/>
      <c r="BG685" s="11"/>
      <c r="BH685" s="11"/>
      <c r="BI685" s="11"/>
      <c r="BJ685" s="274"/>
      <c r="BK685" s="274"/>
      <c r="BL685" s="274"/>
      <c r="BM685" s="11"/>
      <c r="BN685" s="11"/>
      <c r="BO685" s="11"/>
      <c r="BP685" s="274"/>
      <c r="BQ685" s="11"/>
      <c r="BR685" s="11"/>
      <c r="BS685" s="11"/>
      <c r="BT685" s="11"/>
      <c r="BU685" s="11"/>
      <c r="BV685" s="263">
        <f>2014800/5</f>
        <v>402960</v>
      </c>
      <c r="BW685" s="144">
        <f t="shared" si="165"/>
        <v>76562.399999999994</v>
      </c>
      <c r="BX685" s="113">
        <f t="shared" si="166"/>
        <v>479522.4</v>
      </c>
      <c r="BY685" s="272" t="s">
        <v>309</v>
      </c>
      <c r="BZ685" s="272" t="s">
        <v>548</v>
      </c>
      <c r="CA685" s="11"/>
      <c r="CB685" s="274"/>
      <c r="CC685" s="274"/>
      <c r="CD685" s="274"/>
      <c r="CE685" s="11"/>
      <c r="CF685" s="11"/>
      <c r="CG685" s="11"/>
      <c r="CH685" s="268">
        <f>2135688/5</f>
        <v>427137.6</v>
      </c>
      <c r="CI685" s="265">
        <f t="shared" ref="CI685:CI690" si="169">+CH685*0.19</f>
        <v>81156.144</v>
      </c>
      <c r="CJ685" s="263">
        <f t="shared" ref="CJ685:CJ695" si="170">+CH685+CI685</f>
        <v>508293.74399999995</v>
      </c>
      <c r="CK685" s="272" t="s">
        <v>309</v>
      </c>
      <c r="CL685" s="272" t="s">
        <v>548</v>
      </c>
      <c r="CM685" s="11"/>
      <c r="CN685" s="274">
        <v>267432</v>
      </c>
      <c r="CO685" s="274">
        <f t="shared" si="167"/>
        <v>50812.08</v>
      </c>
      <c r="CP685" s="274">
        <f t="shared" si="168"/>
        <v>318244.08</v>
      </c>
      <c r="CQ685" s="11"/>
      <c r="CR685" s="11"/>
      <c r="CS685" s="11"/>
      <c r="CT685" s="274"/>
      <c r="CU685" s="274"/>
      <c r="CV685" s="274"/>
      <c r="CW685" s="11"/>
      <c r="CX685" s="11"/>
      <c r="CY685" s="11"/>
      <c r="CZ685" s="118"/>
      <c r="DA685" s="118"/>
      <c r="DB685" s="118"/>
      <c r="DC685" s="33"/>
      <c r="DD685" s="11"/>
      <c r="DE685" s="11"/>
      <c r="DF685" s="11"/>
      <c r="DG685" s="11"/>
      <c r="DH685" s="11"/>
      <c r="DI685" s="11"/>
      <c r="DJ685" s="11"/>
      <c r="DK685" s="11"/>
      <c r="DL685" s="11"/>
      <c r="DM685" s="11"/>
      <c r="DN685" s="11"/>
      <c r="DO685" s="11"/>
      <c r="DP685" s="11"/>
      <c r="DQ685" s="11"/>
      <c r="DR685" s="11"/>
      <c r="DS685" s="11"/>
      <c r="DT685" s="11"/>
      <c r="DU685" s="11"/>
      <c r="DV685" s="11"/>
      <c r="DW685" s="11"/>
      <c r="DX685" s="11"/>
      <c r="DY685" s="11"/>
      <c r="DZ685" s="11"/>
      <c r="EA685" s="11"/>
      <c r="EB685" s="11"/>
      <c r="EC685" s="11"/>
      <c r="ED685" s="11"/>
      <c r="EE685" s="11"/>
      <c r="EF685" s="11"/>
      <c r="EG685" s="11"/>
      <c r="EH685" s="11"/>
      <c r="EI685" s="11"/>
      <c r="EJ685" s="11"/>
      <c r="EK685" s="11"/>
      <c r="EL685" s="11"/>
      <c r="EM685" s="11"/>
      <c r="EN685" s="11"/>
      <c r="EO685" s="11"/>
      <c r="EP685" s="11"/>
      <c r="EQ685" s="11"/>
      <c r="ER685" s="11"/>
      <c r="ES685" s="11"/>
      <c r="ET685" s="11"/>
      <c r="EU685" s="11"/>
      <c r="EV685" s="11"/>
      <c r="EW685" s="11"/>
      <c r="EX685" s="11"/>
      <c r="EY685" s="11"/>
      <c r="EZ685" s="11"/>
      <c r="FA685" s="11"/>
      <c r="FB685" s="11"/>
      <c r="FC685" s="11"/>
      <c r="FD685" s="11"/>
      <c r="FE685" s="11"/>
      <c r="FF685" s="11"/>
      <c r="FG685" s="11"/>
      <c r="FH685" s="39">
        <f t="shared" si="160"/>
        <v>1306060.2239999999</v>
      </c>
      <c r="FI685" s="33">
        <f t="shared" si="161"/>
        <v>3</v>
      </c>
      <c r="FJ685" s="84">
        <f t="shared" si="162"/>
        <v>435353.408</v>
      </c>
    </row>
    <row r="686" spans="1:166" ht="40.5" x14ac:dyDescent="0.25">
      <c r="A686" s="79" t="e">
        <f>#REF!</f>
        <v>#REF!</v>
      </c>
      <c r="B686" s="75" t="e">
        <f>#REF!</f>
        <v>#REF!</v>
      </c>
      <c r="C686" s="75" t="e">
        <f>#REF!</f>
        <v>#REF!</v>
      </c>
      <c r="D686" s="75" t="e">
        <f>#REF!</f>
        <v>#REF!</v>
      </c>
      <c r="E686" s="30">
        <v>1</v>
      </c>
      <c r="F686" s="238">
        <v>0</v>
      </c>
      <c r="G686" s="241">
        <v>0</v>
      </c>
      <c r="H686" s="249">
        <v>0</v>
      </c>
      <c r="I686" s="249">
        <v>0</v>
      </c>
      <c r="J686" s="249">
        <v>0</v>
      </c>
      <c r="K686" s="249">
        <v>0</v>
      </c>
      <c r="L686" s="274"/>
      <c r="M686" s="274"/>
      <c r="N686" s="246"/>
      <c r="O686" s="118"/>
      <c r="P686" s="118"/>
      <c r="Q686" s="52"/>
      <c r="R686" s="52"/>
      <c r="S686" s="5"/>
      <c r="T686" s="118"/>
      <c r="U686" s="118"/>
      <c r="V686" s="118"/>
      <c r="W686" s="11"/>
      <c r="X686" s="11"/>
      <c r="Y686" s="11"/>
      <c r="Z686" s="118"/>
      <c r="AA686" s="118"/>
      <c r="AB686" s="118"/>
      <c r="AC686" s="52"/>
      <c r="AD686" s="52"/>
      <c r="AE686" s="11"/>
      <c r="AF686" s="118"/>
      <c r="AG686" s="118"/>
      <c r="AH686" s="118"/>
      <c r="AI686" s="11"/>
      <c r="AJ686" s="11"/>
      <c r="AK686" s="11"/>
      <c r="AL686" s="118"/>
      <c r="AM686" s="118"/>
      <c r="AN686" s="118"/>
      <c r="AO686" s="76"/>
      <c r="AP686" s="11"/>
      <c r="AQ686" s="11"/>
      <c r="AR686" s="274"/>
      <c r="AS686" s="274"/>
      <c r="AT686" s="274"/>
      <c r="AU686" s="62"/>
      <c r="AV686" s="48"/>
      <c r="AW686" s="11"/>
      <c r="AX686" s="274"/>
      <c r="AY686" s="274"/>
      <c r="AZ686" s="274"/>
      <c r="BA686" s="11"/>
      <c r="BB686" s="11"/>
      <c r="BC686" s="11"/>
      <c r="BD686" s="274"/>
      <c r="BE686" s="274"/>
      <c r="BF686" s="274"/>
      <c r="BG686" s="11"/>
      <c r="BH686" s="11"/>
      <c r="BI686" s="11"/>
      <c r="BJ686" s="274"/>
      <c r="BK686" s="274"/>
      <c r="BL686" s="274"/>
      <c r="BM686" s="11"/>
      <c r="BN686" s="11"/>
      <c r="BO686" s="11"/>
      <c r="BP686" s="274"/>
      <c r="BQ686" s="11"/>
      <c r="BR686" s="11"/>
      <c r="BS686" s="11"/>
      <c r="BT686" s="11"/>
      <c r="BU686" s="11"/>
      <c r="BV686" s="263">
        <f>1591400/18</f>
        <v>88411.111111111109</v>
      </c>
      <c r="BW686" s="144">
        <f t="shared" si="165"/>
        <v>16798.111111111109</v>
      </c>
      <c r="BX686" s="113">
        <f t="shared" si="166"/>
        <v>105209.22222222222</v>
      </c>
      <c r="BY686" s="272" t="s">
        <v>312</v>
      </c>
      <c r="BZ686" s="272" t="s">
        <v>548</v>
      </c>
      <c r="CA686" s="11"/>
      <c r="CB686" s="274"/>
      <c r="CC686" s="274"/>
      <c r="CD686" s="274"/>
      <c r="CE686" s="11"/>
      <c r="CF686" s="11"/>
      <c r="CG686" s="11"/>
      <c r="CH686" s="268">
        <f>1655056/18</f>
        <v>91947.555555555562</v>
      </c>
      <c r="CI686" s="265">
        <f t="shared" si="169"/>
        <v>17470.035555555558</v>
      </c>
      <c r="CJ686" s="263">
        <f t="shared" si="170"/>
        <v>109417.59111111112</v>
      </c>
      <c r="CK686" s="272" t="s">
        <v>312</v>
      </c>
      <c r="CL686" s="272" t="s">
        <v>548</v>
      </c>
      <c r="CM686" s="11"/>
      <c r="CN686" s="274">
        <v>80675</v>
      </c>
      <c r="CO686" s="274">
        <f t="shared" si="167"/>
        <v>15328.25</v>
      </c>
      <c r="CP686" s="274">
        <f t="shared" si="168"/>
        <v>96003.25</v>
      </c>
      <c r="CQ686" s="11"/>
      <c r="CR686" s="11"/>
      <c r="CS686" s="11"/>
      <c r="CT686" s="274"/>
      <c r="CU686" s="274"/>
      <c r="CV686" s="274"/>
      <c r="CW686" s="11"/>
      <c r="CX686" s="11"/>
      <c r="CY686" s="11"/>
      <c r="CZ686" s="118"/>
      <c r="DA686" s="118"/>
      <c r="DB686" s="118"/>
      <c r="DC686" s="33"/>
      <c r="DD686" s="11"/>
      <c r="DE686" s="11"/>
      <c r="DF686" s="11"/>
      <c r="DG686" s="11"/>
      <c r="DH686" s="11"/>
      <c r="DI686" s="11"/>
      <c r="DJ686" s="11"/>
      <c r="DK686" s="11"/>
      <c r="DL686" s="11"/>
      <c r="DM686" s="11"/>
      <c r="DN686" s="11"/>
      <c r="DO686" s="11"/>
      <c r="DP686" s="11"/>
      <c r="DQ686" s="11"/>
      <c r="DR686" s="11"/>
      <c r="DS686" s="11"/>
      <c r="DT686" s="11"/>
      <c r="DU686" s="11"/>
      <c r="DV686" s="11"/>
      <c r="DW686" s="11"/>
      <c r="DX686" s="11"/>
      <c r="DY686" s="11"/>
      <c r="DZ686" s="11"/>
      <c r="EA686" s="11"/>
      <c r="EB686" s="11"/>
      <c r="EC686" s="11"/>
      <c r="ED686" s="11"/>
      <c r="EE686" s="11"/>
      <c r="EF686" s="11"/>
      <c r="EG686" s="11"/>
      <c r="EH686" s="11"/>
      <c r="EI686" s="11"/>
      <c r="EJ686" s="11"/>
      <c r="EK686" s="11"/>
      <c r="EL686" s="11"/>
      <c r="EM686" s="11"/>
      <c r="EN686" s="11"/>
      <c r="EO686" s="11"/>
      <c r="EP686" s="11"/>
      <c r="EQ686" s="11"/>
      <c r="ER686" s="11"/>
      <c r="ES686" s="11"/>
      <c r="ET686" s="11"/>
      <c r="EU686" s="11"/>
      <c r="EV686" s="11"/>
      <c r="EW686" s="11"/>
      <c r="EX686" s="11"/>
      <c r="EY686" s="11"/>
      <c r="EZ686" s="11"/>
      <c r="FA686" s="11"/>
      <c r="FB686" s="11"/>
      <c r="FC686" s="11"/>
      <c r="FD686" s="11"/>
      <c r="FE686" s="11"/>
      <c r="FF686" s="11"/>
      <c r="FG686" s="11"/>
      <c r="FH686" s="39">
        <f t="shared" si="160"/>
        <v>310630.06333333335</v>
      </c>
      <c r="FI686" s="33">
        <f t="shared" si="161"/>
        <v>3</v>
      </c>
      <c r="FJ686" s="84">
        <f t="shared" si="162"/>
        <v>103543.35444444446</v>
      </c>
    </row>
    <row r="687" spans="1:166" ht="40.5" x14ac:dyDescent="0.25">
      <c r="A687" s="79" t="e">
        <f>#REF!</f>
        <v>#REF!</v>
      </c>
      <c r="B687" s="75" t="e">
        <f>#REF!</f>
        <v>#REF!</v>
      </c>
      <c r="C687" s="75" t="e">
        <f>#REF!</f>
        <v>#REF!</v>
      </c>
      <c r="D687" s="75" t="e">
        <f>#REF!</f>
        <v>#REF!</v>
      </c>
      <c r="E687" s="30">
        <v>1</v>
      </c>
      <c r="F687" s="238">
        <v>0</v>
      </c>
      <c r="G687" s="241">
        <v>0</v>
      </c>
      <c r="H687" s="249">
        <v>0</v>
      </c>
      <c r="I687" s="249">
        <v>0</v>
      </c>
      <c r="J687" s="249">
        <v>0</v>
      </c>
      <c r="K687" s="249">
        <v>0</v>
      </c>
      <c r="L687" s="274"/>
      <c r="M687" s="274"/>
      <c r="N687" s="246"/>
      <c r="O687" s="118"/>
      <c r="P687" s="118"/>
      <c r="Q687" s="52"/>
      <c r="R687" s="52"/>
      <c r="S687" s="5"/>
      <c r="T687" s="118"/>
      <c r="U687" s="118"/>
      <c r="V687" s="118"/>
      <c r="W687" s="11"/>
      <c r="X687" s="11"/>
      <c r="Y687" s="11"/>
      <c r="Z687" s="118"/>
      <c r="AA687" s="118"/>
      <c r="AB687" s="118"/>
      <c r="AC687" s="52"/>
      <c r="AD687" s="52"/>
      <c r="AE687" s="11"/>
      <c r="AF687" s="118"/>
      <c r="AG687" s="118"/>
      <c r="AH687" s="118"/>
      <c r="AI687" s="11"/>
      <c r="AJ687" s="11"/>
      <c r="AK687" s="11"/>
      <c r="AL687" s="118"/>
      <c r="AM687" s="118"/>
      <c r="AN687" s="118"/>
      <c r="AO687" s="76"/>
      <c r="AP687" s="11"/>
      <c r="AQ687" s="11"/>
      <c r="AR687" s="274"/>
      <c r="AS687" s="274"/>
      <c r="AT687" s="274"/>
      <c r="AU687" s="62"/>
      <c r="AV687" s="48"/>
      <c r="AW687" s="11"/>
      <c r="AX687" s="274"/>
      <c r="AY687" s="274"/>
      <c r="AZ687" s="274"/>
      <c r="BA687" s="11"/>
      <c r="BB687" s="11"/>
      <c r="BC687" s="11"/>
      <c r="BD687" s="274"/>
      <c r="BE687" s="274"/>
      <c r="BF687" s="274"/>
      <c r="BG687" s="11"/>
      <c r="BH687" s="11"/>
      <c r="BI687" s="11"/>
      <c r="BJ687" s="274"/>
      <c r="BK687" s="274"/>
      <c r="BL687" s="274"/>
      <c r="BM687" s="11"/>
      <c r="BN687" s="11"/>
      <c r="BO687" s="11"/>
      <c r="BP687" s="274"/>
      <c r="BQ687" s="11"/>
      <c r="BR687" s="11"/>
      <c r="BS687" s="11"/>
      <c r="BT687" s="11"/>
      <c r="BU687" s="11"/>
      <c r="BV687" s="263">
        <f>1591400/5</f>
        <v>318280</v>
      </c>
      <c r="BW687" s="144">
        <f t="shared" si="165"/>
        <v>60473.2</v>
      </c>
      <c r="BX687" s="113">
        <f t="shared" si="166"/>
        <v>378753.2</v>
      </c>
      <c r="BY687" s="272" t="s">
        <v>309</v>
      </c>
      <c r="BZ687" s="272" t="s">
        <v>548</v>
      </c>
      <c r="CA687" s="11"/>
      <c r="CB687" s="274"/>
      <c r="CC687" s="274"/>
      <c r="CD687" s="274"/>
      <c r="CE687" s="11"/>
      <c r="CF687" s="11"/>
      <c r="CG687" s="11"/>
      <c r="CH687" s="268">
        <f>1623228/5</f>
        <v>324645.59999999998</v>
      </c>
      <c r="CI687" s="265">
        <f t="shared" si="169"/>
        <v>61682.663999999997</v>
      </c>
      <c r="CJ687" s="263">
        <f t="shared" si="170"/>
        <v>386328.26399999997</v>
      </c>
      <c r="CK687" s="272" t="s">
        <v>309</v>
      </c>
      <c r="CL687" s="272" t="s">
        <v>548</v>
      </c>
      <c r="CM687" s="11"/>
      <c r="CN687" s="274">
        <v>256661</v>
      </c>
      <c r="CO687" s="274">
        <f t="shared" si="167"/>
        <v>48765.590000000004</v>
      </c>
      <c r="CP687" s="274">
        <f t="shared" si="168"/>
        <v>305426.59000000003</v>
      </c>
      <c r="CQ687" s="11"/>
      <c r="CR687" s="11"/>
      <c r="CS687" s="11"/>
      <c r="CT687" s="274"/>
      <c r="CU687" s="274"/>
      <c r="CV687" s="274"/>
      <c r="CW687" s="11"/>
      <c r="CX687" s="11"/>
      <c r="CY687" s="11"/>
      <c r="CZ687" s="118"/>
      <c r="DA687" s="118"/>
      <c r="DB687" s="118"/>
      <c r="DC687" s="33"/>
      <c r="DD687" s="11"/>
      <c r="DE687" s="11"/>
      <c r="DF687" s="11"/>
      <c r="DG687" s="11"/>
      <c r="DH687" s="11"/>
      <c r="DI687" s="11"/>
      <c r="DJ687" s="11"/>
      <c r="DK687" s="11"/>
      <c r="DL687" s="11"/>
      <c r="DM687" s="11"/>
      <c r="DN687" s="11"/>
      <c r="DO687" s="11"/>
      <c r="DP687" s="11"/>
      <c r="DQ687" s="11"/>
      <c r="DR687" s="11"/>
      <c r="DS687" s="11"/>
      <c r="DT687" s="11"/>
      <c r="DU687" s="11"/>
      <c r="DV687" s="11"/>
      <c r="DW687" s="11"/>
      <c r="DX687" s="11"/>
      <c r="DY687" s="11"/>
      <c r="DZ687" s="11"/>
      <c r="EA687" s="11"/>
      <c r="EB687" s="11"/>
      <c r="EC687" s="11"/>
      <c r="ED687" s="11"/>
      <c r="EE687" s="11"/>
      <c r="EF687" s="11"/>
      <c r="EG687" s="11"/>
      <c r="EH687" s="11"/>
      <c r="EI687" s="11"/>
      <c r="EJ687" s="11"/>
      <c r="EK687" s="11"/>
      <c r="EL687" s="11"/>
      <c r="EM687" s="11"/>
      <c r="EN687" s="11"/>
      <c r="EO687" s="11"/>
      <c r="EP687" s="11"/>
      <c r="EQ687" s="11"/>
      <c r="ER687" s="11"/>
      <c r="ES687" s="11"/>
      <c r="ET687" s="11"/>
      <c r="EU687" s="11"/>
      <c r="EV687" s="11"/>
      <c r="EW687" s="11"/>
      <c r="EX687" s="11"/>
      <c r="EY687" s="11"/>
      <c r="EZ687" s="11"/>
      <c r="FA687" s="11"/>
      <c r="FB687" s="11"/>
      <c r="FC687" s="11"/>
      <c r="FD687" s="11"/>
      <c r="FE687" s="11"/>
      <c r="FF687" s="11"/>
      <c r="FG687" s="11"/>
      <c r="FH687" s="39">
        <f t="shared" si="160"/>
        <v>1070508.054</v>
      </c>
      <c r="FI687" s="33">
        <f t="shared" si="161"/>
        <v>3</v>
      </c>
      <c r="FJ687" s="84">
        <f t="shared" si="162"/>
        <v>356836.01799999998</v>
      </c>
    </row>
    <row r="688" spans="1:166" ht="40.5" x14ac:dyDescent="0.25">
      <c r="A688" s="79" t="e">
        <f>#REF!</f>
        <v>#REF!</v>
      </c>
      <c r="B688" s="75" t="e">
        <f>#REF!</f>
        <v>#REF!</v>
      </c>
      <c r="C688" s="75" t="e">
        <f>#REF!</f>
        <v>#REF!</v>
      </c>
      <c r="D688" s="75" t="e">
        <f>#REF!</f>
        <v>#REF!</v>
      </c>
      <c r="E688" s="30">
        <v>1</v>
      </c>
      <c r="F688" s="238">
        <v>0</v>
      </c>
      <c r="G688" s="241">
        <v>0</v>
      </c>
      <c r="H688" s="249">
        <v>0</v>
      </c>
      <c r="I688" s="249">
        <v>0</v>
      </c>
      <c r="J688" s="249">
        <v>0</v>
      </c>
      <c r="K688" s="249">
        <v>0</v>
      </c>
      <c r="L688" s="274"/>
      <c r="M688" s="274"/>
      <c r="N688" s="246"/>
      <c r="O688" s="118"/>
      <c r="P688" s="118"/>
      <c r="Q688" s="52"/>
      <c r="R688" s="52"/>
      <c r="S688" s="5"/>
      <c r="T688" s="118"/>
      <c r="U688" s="118"/>
      <c r="V688" s="118"/>
      <c r="W688" s="11"/>
      <c r="X688" s="11"/>
      <c r="Y688" s="11"/>
      <c r="Z688" s="118"/>
      <c r="AA688" s="118"/>
      <c r="AB688" s="118"/>
      <c r="AC688" s="52"/>
      <c r="AD688" s="52"/>
      <c r="AE688" s="11"/>
      <c r="AF688" s="118"/>
      <c r="AG688" s="118"/>
      <c r="AH688" s="118"/>
      <c r="AI688" s="11"/>
      <c r="AJ688" s="11"/>
      <c r="AK688" s="11"/>
      <c r="AL688" s="118"/>
      <c r="AM688" s="118"/>
      <c r="AN688" s="118"/>
      <c r="AO688" s="76"/>
      <c r="AP688" s="11"/>
      <c r="AQ688" s="11"/>
      <c r="AR688" s="274"/>
      <c r="AS688" s="274"/>
      <c r="AT688" s="274"/>
      <c r="AU688" s="62"/>
      <c r="AV688" s="48"/>
      <c r="AW688" s="11"/>
      <c r="AX688" s="274"/>
      <c r="AY688" s="274"/>
      <c r="AZ688" s="274"/>
      <c r="BA688" s="11"/>
      <c r="BB688" s="11"/>
      <c r="BC688" s="11"/>
      <c r="BD688" s="274"/>
      <c r="BE688" s="274"/>
      <c r="BF688" s="274"/>
      <c r="BG688" s="11"/>
      <c r="BH688" s="11"/>
      <c r="BI688" s="11"/>
      <c r="BJ688" s="274"/>
      <c r="BK688" s="274"/>
      <c r="BL688" s="274"/>
      <c r="BM688" s="11"/>
      <c r="BN688" s="11"/>
      <c r="BO688" s="11"/>
      <c r="BP688" s="274"/>
      <c r="BQ688" s="11"/>
      <c r="BR688" s="11"/>
      <c r="BS688" s="11"/>
      <c r="BT688" s="11"/>
      <c r="BU688" s="11"/>
      <c r="BV688" s="263">
        <f>1883400/10</f>
        <v>188340</v>
      </c>
      <c r="BW688" s="144">
        <f t="shared" si="165"/>
        <v>35784.6</v>
      </c>
      <c r="BX688" s="113">
        <f t="shared" si="166"/>
        <v>224124.6</v>
      </c>
      <c r="BY688" s="272" t="s">
        <v>309</v>
      </c>
      <c r="BZ688" s="272" t="s">
        <v>548</v>
      </c>
      <c r="CA688" s="11"/>
      <c r="CB688" s="274"/>
      <c r="CC688" s="274"/>
      <c r="CD688" s="274"/>
      <c r="CE688" s="11"/>
      <c r="CF688" s="11"/>
      <c r="CG688" s="11"/>
      <c r="CH688" s="268">
        <f>1939902/10</f>
        <v>193990.2</v>
      </c>
      <c r="CI688" s="265">
        <f t="shared" si="169"/>
        <v>36858.137999999999</v>
      </c>
      <c r="CJ688" s="263">
        <f t="shared" si="170"/>
        <v>230848.33800000002</v>
      </c>
      <c r="CK688" s="272" t="s">
        <v>309</v>
      </c>
      <c r="CL688" s="272" t="s">
        <v>548</v>
      </c>
      <c r="CM688" s="11"/>
      <c r="CN688" s="274">
        <v>78106</v>
      </c>
      <c r="CO688" s="274">
        <f t="shared" si="167"/>
        <v>14840.14</v>
      </c>
      <c r="CP688" s="274">
        <f t="shared" si="168"/>
        <v>92946.14</v>
      </c>
      <c r="CQ688" s="11"/>
      <c r="CR688" s="11"/>
      <c r="CS688" s="11"/>
      <c r="CT688" s="274"/>
      <c r="CU688" s="274"/>
      <c r="CV688" s="274"/>
      <c r="CW688" s="11"/>
      <c r="CX688" s="11"/>
      <c r="CY688" s="11"/>
      <c r="CZ688" s="118"/>
      <c r="DA688" s="118"/>
      <c r="DB688" s="118"/>
      <c r="DC688" s="33"/>
      <c r="DD688" s="11"/>
      <c r="DE688" s="11"/>
      <c r="DF688" s="11"/>
      <c r="DG688" s="11"/>
      <c r="DH688" s="11"/>
      <c r="DI688" s="11"/>
      <c r="DJ688" s="11"/>
      <c r="DK688" s="11"/>
      <c r="DL688" s="11"/>
      <c r="DM688" s="11"/>
      <c r="DN688" s="11"/>
      <c r="DO688" s="11"/>
      <c r="DP688" s="11"/>
      <c r="DQ688" s="11"/>
      <c r="DR688" s="11"/>
      <c r="DS688" s="11"/>
      <c r="DT688" s="11"/>
      <c r="DU688" s="11"/>
      <c r="DV688" s="11"/>
      <c r="DW688" s="11"/>
      <c r="DX688" s="11"/>
      <c r="DY688" s="11"/>
      <c r="DZ688" s="11"/>
      <c r="EA688" s="11"/>
      <c r="EB688" s="11"/>
      <c r="EC688" s="11"/>
      <c r="ED688" s="11"/>
      <c r="EE688" s="11"/>
      <c r="EF688" s="11"/>
      <c r="EG688" s="11"/>
      <c r="EH688" s="11"/>
      <c r="EI688" s="11"/>
      <c r="EJ688" s="11"/>
      <c r="EK688" s="11"/>
      <c r="EL688" s="11"/>
      <c r="EM688" s="11"/>
      <c r="EN688" s="11"/>
      <c r="EO688" s="11"/>
      <c r="EP688" s="11"/>
      <c r="EQ688" s="11"/>
      <c r="ER688" s="11"/>
      <c r="ES688" s="11"/>
      <c r="ET688" s="11"/>
      <c r="EU688" s="11"/>
      <c r="EV688" s="11"/>
      <c r="EW688" s="11"/>
      <c r="EX688" s="11"/>
      <c r="EY688" s="11"/>
      <c r="EZ688" s="11"/>
      <c r="FA688" s="11"/>
      <c r="FB688" s="11"/>
      <c r="FC688" s="11"/>
      <c r="FD688" s="11"/>
      <c r="FE688" s="11"/>
      <c r="FF688" s="11"/>
      <c r="FG688" s="11"/>
      <c r="FH688" s="39">
        <f t="shared" si="160"/>
        <v>547919.07799999998</v>
      </c>
      <c r="FI688" s="33">
        <f t="shared" si="161"/>
        <v>3</v>
      </c>
      <c r="FJ688" s="84">
        <f t="shared" si="162"/>
        <v>182639.69266666667</v>
      </c>
    </row>
    <row r="689" spans="1:166" ht="40.5" x14ac:dyDescent="0.25">
      <c r="A689" s="79" t="e">
        <f>#REF!</f>
        <v>#REF!</v>
      </c>
      <c r="B689" s="75" t="e">
        <f>#REF!</f>
        <v>#REF!</v>
      </c>
      <c r="C689" s="75" t="e">
        <f>#REF!</f>
        <v>#REF!</v>
      </c>
      <c r="D689" s="75" t="e">
        <f>#REF!</f>
        <v>#REF!</v>
      </c>
      <c r="E689" s="30">
        <v>1</v>
      </c>
      <c r="F689" s="238">
        <v>0</v>
      </c>
      <c r="G689" s="241">
        <v>0</v>
      </c>
      <c r="H689" s="249">
        <v>0</v>
      </c>
      <c r="I689" s="249">
        <v>0</v>
      </c>
      <c r="J689" s="249">
        <v>0</v>
      </c>
      <c r="K689" s="249">
        <v>0</v>
      </c>
      <c r="L689" s="274"/>
      <c r="M689" s="274"/>
      <c r="N689" s="246"/>
      <c r="O689" s="118"/>
      <c r="P689" s="118"/>
      <c r="Q689" s="52"/>
      <c r="R689" s="52"/>
      <c r="S689" s="5"/>
      <c r="T689" s="118"/>
      <c r="U689" s="118"/>
      <c r="V689" s="118"/>
      <c r="W689" s="11"/>
      <c r="X689" s="11"/>
      <c r="Y689" s="11"/>
      <c r="Z689" s="118"/>
      <c r="AA689" s="118"/>
      <c r="AB689" s="118"/>
      <c r="AC689" s="52"/>
      <c r="AD689" s="52"/>
      <c r="AE689" s="11"/>
      <c r="AF689" s="118"/>
      <c r="AG689" s="118"/>
      <c r="AH689" s="118"/>
      <c r="AI689" s="11"/>
      <c r="AJ689" s="11"/>
      <c r="AK689" s="11"/>
      <c r="AL689" s="118"/>
      <c r="AM689" s="118"/>
      <c r="AN689" s="118"/>
      <c r="AO689" s="76"/>
      <c r="AP689" s="11"/>
      <c r="AQ689" s="11"/>
      <c r="AR689" s="274"/>
      <c r="AS689" s="274"/>
      <c r="AT689" s="274"/>
      <c r="AU689" s="62"/>
      <c r="AV689" s="48"/>
      <c r="AW689" s="11"/>
      <c r="AX689" s="274"/>
      <c r="AY689" s="274"/>
      <c r="AZ689" s="274"/>
      <c r="BA689" s="11"/>
      <c r="BB689" s="11"/>
      <c r="BC689" s="11"/>
      <c r="BD689" s="274"/>
      <c r="BE689" s="274"/>
      <c r="BF689" s="274"/>
      <c r="BG689" s="11"/>
      <c r="BH689" s="11"/>
      <c r="BI689" s="11"/>
      <c r="BJ689" s="274"/>
      <c r="BK689" s="274"/>
      <c r="BL689" s="274"/>
      <c r="BM689" s="11"/>
      <c r="BN689" s="11"/>
      <c r="BO689" s="11"/>
      <c r="BP689" s="274"/>
      <c r="BQ689" s="11"/>
      <c r="BR689" s="11"/>
      <c r="BS689" s="11"/>
      <c r="BT689" s="11"/>
      <c r="BU689" s="11"/>
      <c r="BV689" s="263">
        <f>1635200/18</f>
        <v>90844.444444444438</v>
      </c>
      <c r="BW689" s="144">
        <f t="shared" si="165"/>
        <v>17260.444444444442</v>
      </c>
      <c r="BX689" s="113">
        <f t="shared" si="166"/>
        <v>108104.88888888888</v>
      </c>
      <c r="BY689" s="272" t="s">
        <v>312</v>
      </c>
      <c r="BZ689" s="272" t="s">
        <v>548</v>
      </c>
      <c r="CA689" s="11"/>
      <c r="CB689" s="274"/>
      <c r="CC689" s="274"/>
      <c r="CD689" s="274"/>
      <c r="CE689" s="11"/>
      <c r="CF689" s="11"/>
      <c r="CG689" s="11"/>
      <c r="CH689" s="268">
        <f>1684256/20</f>
        <v>84212.800000000003</v>
      </c>
      <c r="CI689" s="265">
        <f t="shared" si="169"/>
        <v>16000.432000000001</v>
      </c>
      <c r="CJ689" s="263">
        <f t="shared" si="170"/>
        <v>100213.232</v>
      </c>
      <c r="CK689" s="272" t="s">
        <v>312</v>
      </c>
      <c r="CL689" s="272" t="s">
        <v>548</v>
      </c>
      <c r="CM689" s="11"/>
      <c r="CN689" s="274">
        <v>81318</v>
      </c>
      <c r="CO689" s="274">
        <f t="shared" si="167"/>
        <v>15450.42</v>
      </c>
      <c r="CP689" s="274">
        <f t="shared" si="168"/>
        <v>96768.42</v>
      </c>
      <c r="CQ689" s="11"/>
      <c r="CR689" s="11"/>
      <c r="CS689" s="11"/>
      <c r="CT689" s="274"/>
      <c r="CU689" s="274"/>
      <c r="CV689" s="274"/>
      <c r="CW689" s="11"/>
      <c r="CX689" s="11"/>
      <c r="CY689" s="11"/>
      <c r="CZ689" s="118"/>
      <c r="DA689" s="118"/>
      <c r="DB689" s="118"/>
      <c r="DC689" s="33"/>
      <c r="DD689" s="11"/>
      <c r="DE689" s="11"/>
      <c r="DF689" s="11"/>
      <c r="DG689" s="11"/>
      <c r="DH689" s="11"/>
      <c r="DI689" s="11"/>
      <c r="DJ689" s="11"/>
      <c r="DK689" s="11"/>
      <c r="DL689" s="11"/>
      <c r="DM689" s="11"/>
      <c r="DN689" s="11"/>
      <c r="DO689" s="11"/>
      <c r="DP689" s="11"/>
      <c r="DQ689" s="11"/>
      <c r="DR689" s="11"/>
      <c r="DS689" s="11"/>
      <c r="DT689" s="11"/>
      <c r="DU689" s="11"/>
      <c r="DV689" s="11"/>
      <c r="DW689" s="11"/>
      <c r="DX689" s="11"/>
      <c r="DY689" s="11"/>
      <c r="DZ689" s="11"/>
      <c r="EA689" s="11"/>
      <c r="EB689" s="11"/>
      <c r="EC689" s="11"/>
      <c r="ED689" s="11"/>
      <c r="EE689" s="11"/>
      <c r="EF689" s="11"/>
      <c r="EG689" s="11"/>
      <c r="EH689" s="11"/>
      <c r="EI689" s="11"/>
      <c r="EJ689" s="11"/>
      <c r="EK689" s="11"/>
      <c r="EL689" s="11"/>
      <c r="EM689" s="11"/>
      <c r="EN689" s="11"/>
      <c r="EO689" s="11"/>
      <c r="EP689" s="11"/>
      <c r="EQ689" s="11"/>
      <c r="ER689" s="11"/>
      <c r="ES689" s="11"/>
      <c r="ET689" s="11"/>
      <c r="EU689" s="11"/>
      <c r="EV689" s="11"/>
      <c r="EW689" s="11"/>
      <c r="EX689" s="11"/>
      <c r="EY689" s="11"/>
      <c r="EZ689" s="11"/>
      <c r="FA689" s="11"/>
      <c r="FB689" s="11"/>
      <c r="FC689" s="11"/>
      <c r="FD689" s="11"/>
      <c r="FE689" s="11"/>
      <c r="FF689" s="11"/>
      <c r="FG689" s="11"/>
      <c r="FH689" s="39">
        <f t="shared" si="160"/>
        <v>305086.54088888888</v>
      </c>
      <c r="FI689" s="33">
        <f t="shared" si="161"/>
        <v>3</v>
      </c>
      <c r="FJ689" s="84">
        <f t="shared" si="162"/>
        <v>101695.51362962963</v>
      </c>
    </row>
    <row r="690" spans="1:166" ht="40.5" x14ac:dyDescent="0.25">
      <c r="A690" s="79" t="e">
        <f>#REF!</f>
        <v>#REF!</v>
      </c>
      <c r="B690" s="75" t="e">
        <f>#REF!</f>
        <v>#REF!</v>
      </c>
      <c r="C690" s="75" t="e">
        <f>#REF!</f>
        <v>#REF!</v>
      </c>
      <c r="D690" s="75" t="e">
        <f>#REF!</f>
        <v>#REF!</v>
      </c>
      <c r="E690" s="30">
        <v>1</v>
      </c>
      <c r="F690" s="238">
        <v>0</v>
      </c>
      <c r="G690" s="241">
        <v>0</v>
      </c>
      <c r="H690" s="249">
        <v>0</v>
      </c>
      <c r="I690" s="249">
        <v>0</v>
      </c>
      <c r="J690" s="249">
        <v>0</v>
      </c>
      <c r="K690" s="249">
        <v>0</v>
      </c>
      <c r="L690" s="274"/>
      <c r="M690" s="274"/>
      <c r="N690" s="246"/>
      <c r="O690" s="118"/>
      <c r="P690" s="118"/>
      <c r="Q690" s="52"/>
      <c r="R690" s="52"/>
      <c r="S690" s="5"/>
      <c r="T690" s="118"/>
      <c r="U690" s="118"/>
      <c r="V690" s="118"/>
      <c r="W690" s="11"/>
      <c r="X690" s="11"/>
      <c r="Y690" s="11"/>
      <c r="Z690" s="118"/>
      <c r="AA690" s="118"/>
      <c r="AB690" s="118"/>
      <c r="AC690" s="52"/>
      <c r="AD690" s="52"/>
      <c r="AE690" s="11"/>
      <c r="AF690" s="118"/>
      <c r="AG690" s="118"/>
      <c r="AH690" s="118"/>
      <c r="AI690" s="11"/>
      <c r="AJ690" s="11"/>
      <c r="AK690" s="11"/>
      <c r="AL690" s="118"/>
      <c r="AM690" s="118"/>
      <c r="AN690" s="118"/>
      <c r="AO690" s="76"/>
      <c r="AP690" s="11"/>
      <c r="AQ690" s="11"/>
      <c r="AR690" s="274"/>
      <c r="AS690" s="274"/>
      <c r="AT690" s="274"/>
      <c r="AU690" s="62"/>
      <c r="AV690" s="48"/>
      <c r="AW690" s="11"/>
      <c r="AX690" s="274"/>
      <c r="AY690" s="274"/>
      <c r="AZ690" s="274"/>
      <c r="BA690" s="11"/>
      <c r="BB690" s="11"/>
      <c r="BC690" s="11"/>
      <c r="BD690" s="274"/>
      <c r="BE690" s="274"/>
      <c r="BF690" s="274"/>
      <c r="BG690" s="11"/>
      <c r="BH690" s="11"/>
      <c r="BI690" s="11"/>
      <c r="BJ690" s="274"/>
      <c r="BK690" s="274"/>
      <c r="BL690" s="274"/>
      <c r="BM690" s="11"/>
      <c r="BN690" s="11"/>
      <c r="BO690" s="11"/>
      <c r="BP690" s="274"/>
      <c r="BQ690" s="11"/>
      <c r="BR690" s="11"/>
      <c r="BS690" s="11"/>
      <c r="BT690" s="11"/>
      <c r="BU690" s="11"/>
      <c r="BV690" s="263">
        <f>1474600+10</f>
        <v>1474610</v>
      </c>
      <c r="BW690" s="144">
        <f t="shared" si="165"/>
        <v>280175.90000000002</v>
      </c>
      <c r="BX690" s="113">
        <f t="shared" si="166"/>
        <v>1754785.9</v>
      </c>
      <c r="BY690" s="272" t="s">
        <v>309</v>
      </c>
      <c r="BZ690" s="272" t="s">
        <v>548</v>
      </c>
      <c r="CA690" s="11"/>
      <c r="CB690" s="274"/>
      <c r="CC690" s="274"/>
      <c r="CD690" s="274"/>
      <c r="CE690" s="11"/>
      <c r="CF690" s="11"/>
      <c r="CG690" s="11"/>
      <c r="CH690" s="268">
        <f>1518838/10</f>
        <v>151883.79999999999</v>
      </c>
      <c r="CI690" s="265">
        <f t="shared" si="169"/>
        <v>28857.921999999999</v>
      </c>
      <c r="CJ690" s="263">
        <f t="shared" si="170"/>
        <v>180741.72199999998</v>
      </c>
      <c r="CK690" s="272" t="s">
        <v>309</v>
      </c>
      <c r="CL690" s="272" t="s">
        <v>548</v>
      </c>
      <c r="CM690" s="11"/>
      <c r="CN690" s="274">
        <v>79144</v>
      </c>
      <c r="CO690" s="274">
        <f t="shared" si="167"/>
        <v>15037.36</v>
      </c>
      <c r="CP690" s="274">
        <f t="shared" si="168"/>
        <v>94181.36</v>
      </c>
      <c r="CQ690" s="11"/>
      <c r="CR690" s="11"/>
      <c r="CS690" s="11"/>
      <c r="CT690" s="274"/>
      <c r="CU690" s="274"/>
      <c r="CV690" s="274"/>
      <c r="CW690" s="11"/>
      <c r="CX690" s="11"/>
      <c r="CY690" s="11"/>
      <c r="CZ690" s="118"/>
      <c r="DA690" s="118"/>
      <c r="DB690" s="118"/>
      <c r="DC690" s="33"/>
      <c r="DD690" s="11"/>
      <c r="DE690" s="11"/>
      <c r="DF690" s="11"/>
      <c r="DG690" s="11"/>
      <c r="DH690" s="11"/>
      <c r="DI690" s="11"/>
      <c r="DJ690" s="11"/>
      <c r="DK690" s="11"/>
      <c r="DL690" s="11"/>
      <c r="DM690" s="11"/>
      <c r="DN690" s="11"/>
      <c r="DO690" s="11"/>
      <c r="DP690" s="11"/>
      <c r="DQ690" s="11"/>
      <c r="DR690" s="11"/>
      <c r="DS690" s="11"/>
      <c r="DT690" s="11"/>
      <c r="DU690" s="11"/>
      <c r="DV690" s="11"/>
      <c r="DW690" s="11"/>
      <c r="DX690" s="11"/>
      <c r="DY690" s="11"/>
      <c r="DZ690" s="11"/>
      <c r="EA690" s="11"/>
      <c r="EB690" s="11"/>
      <c r="EC690" s="11"/>
      <c r="ED690" s="11"/>
      <c r="EE690" s="11"/>
      <c r="EF690" s="11"/>
      <c r="EG690" s="11"/>
      <c r="EH690" s="11"/>
      <c r="EI690" s="11"/>
      <c r="EJ690" s="11"/>
      <c r="EK690" s="11"/>
      <c r="EL690" s="11"/>
      <c r="EM690" s="11"/>
      <c r="EN690" s="11"/>
      <c r="EO690" s="11"/>
      <c r="EP690" s="11"/>
      <c r="EQ690" s="11"/>
      <c r="ER690" s="11"/>
      <c r="ES690" s="11"/>
      <c r="ET690" s="11"/>
      <c r="EU690" s="11"/>
      <c r="EV690" s="11"/>
      <c r="EW690" s="11"/>
      <c r="EX690" s="11"/>
      <c r="EY690" s="11"/>
      <c r="EZ690" s="11"/>
      <c r="FA690" s="11"/>
      <c r="FB690" s="11"/>
      <c r="FC690" s="11"/>
      <c r="FD690" s="11"/>
      <c r="FE690" s="11"/>
      <c r="FF690" s="11"/>
      <c r="FG690" s="11"/>
      <c r="FH690" s="39">
        <f t="shared" si="160"/>
        <v>2029708.9820000001</v>
      </c>
      <c r="FI690" s="33">
        <f t="shared" si="161"/>
        <v>3</v>
      </c>
      <c r="FJ690" s="84">
        <f t="shared" si="162"/>
        <v>676569.66066666669</v>
      </c>
    </row>
    <row r="691" spans="1:166" ht="13.5" x14ac:dyDescent="0.25">
      <c r="A691" s="79" t="e">
        <f>#REF!</f>
        <v>#REF!</v>
      </c>
      <c r="B691" s="75" t="e">
        <f>#REF!</f>
        <v>#REF!</v>
      </c>
      <c r="C691" s="75" t="e">
        <f>#REF!</f>
        <v>#REF!</v>
      </c>
      <c r="D691" s="75" t="e">
        <f>#REF!</f>
        <v>#REF!</v>
      </c>
      <c r="E691" s="30">
        <v>1</v>
      </c>
      <c r="F691" s="238">
        <v>0</v>
      </c>
      <c r="G691" s="241">
        <v>0</v>
      </c>
      <c r="H691" s="249">
        <v>0</v>
      </c>
      <c r="I691" s="249">
        <v>0</v>
      </c>
      <c r="J691" s="249">
        <v>0</v>
      </c>
      <c r="K691" s="249">
        <v>0</v>
      </c>
      <c r="L691" s="274"/>
      <c r="M691" s="274"/>
      <c r="N691" s="246"/>
      <c r="O691" s="118"/>
      <c r="P691" s="118"/>
      <c r="Q691" s="52"/>
      <c r="R691" s="52"/>
      <c r="S691" s="5"/>
      <c r="T691" s="118"/>
      <c r="U691" s="118"/>
      <c r="V691" s="118"/>
      <c r="W691" s="11"/>
      <c r="X691" s="11"/>
      <c r="Y691" s="11"/>
      <c r="Z691" s="118"/>
      <c r="AA691" s="118"/>
      <c r="AB691" s="118"/>
      <c r="AC691" s="52"/>
      <c r="AD691" s="52"/>
      <c r="AE691" s="11"/>
      <c r="AF691" s="118"/>
      <c r="AG691" s="118"/>
      <c r="AH691" s="118"/>
      <c r="AI691" s="11"/>
      <c r="AJ691" s="11"/>
      <c r="AK691" s="11"/>
      <c r="AL691" s="118"/>
      <c r="AM691" s="118"/>
      <c r="AN691" s="118"/>
      <c r="AO691" s="76"/>
      <c r="AP691" s="11"/>
      <c r="AQ691" s="11"/>
      <c r="AR691" s="274"/>
      <c r="AS691" s="274"/>
      <c r="AT691" s="274"/>
      <c r="AU691" s="62"/>
      <c r="AV691" s="48"/>
      <c r="AW691" s="11"/>
      <c r="AX691" s="274"/>
      <c r="AY691" s="274"/>
      <c r="AZ691" s="274"/>
      <c r="BA691" s="11"/>
      <c r="BB691" s="11"/>
      <c r="BC691" s="11"/>
      <c r="BD691" s="274"/>
      <c r="BE691" s="274"/>
      <c r="BF691" s="274"/>
      <c r="BG691" s="11"/>
      <c r="BH691" s="11"/>
      <c r="BI691" s="11"/>
      <c r="BJ691" s="274"/>
      <c r="BK691" s="274"/>
      <c r="BL691" s="274"/>
      <c r="BM691" s="11"/>
      <c r="BN691" s="11"/>
      <c r="BO691" s="11"/>
      <c r="BP691" s="274"/>
      <c r="BQ691" s="11"/>
      <c r="BR691" s="11"/>
      <c r="BS691" s="11"/>
      <c r="BT691" s="11"/>
      <c r="BU691" s="11"/>
      <c r="BV691" s="268">
        <v>3000000</v>
      </c>
      <c r="BW691" s="144">
        <f t="shared" ref="BW691:BW705" si="171">BV691*0</f>
        <v>0</v>
      </c>
      <c r="BX691" s="113">
        <f t="shared" si="166"/>
        <v>3000000</v>
      </c>
      <c r="BY691" s="272" t="s">
        <v>419</v>
      </c>
      <c r="BZ691" s="272" t="s">
        <v>217</v>
      </c>
      <c r="CA691" s="11"/>
      <c r="CB691" s="274"/>
      <c r="CC691" s="274"/>
      <c r="CD691" s="274"/>
      <c r="CE691" s="11"/>
      <c r="CF691" s="11"/>
      <c r="CG691" s="11"/>
      <c r="CH691" s="268">
        <v>6275687</v>
      </c>
      <c r="CI691" s="265">
        <f>+CH691*0</f>
        <v>0</v>
      </c>
      <c r="CJ691" s="263">
        <f t="shared" si="170"/>
        <v>6275687</v>
      </c>
      <c r="CK691" s="272" t="s">
        <v>419</v>
      </c>
      <c r="CL691" s="272" t="s">
        <v>217</v>
      </c>
      <c r="CM691" s="11"/>
      <c r="CN691" s="274"/>
      <c r="CO691" s="274"/>
      <c r="CP691" s="274"/>
      <c r="CQ691" s="11"/>
      <c r="CR691" s="11"/>
      <c r="CS691" s="11"/>
      <c r="CT691" s="274"/>
      <c r="CU691" s="274"/>
      <c r="CV691" s="274"/>
      <c r="CW691" s="11"/>
      <c r="CX691" s="11"/>
      <c r="CY691" s="11"/>
      <c r="CZ691" s="118"/>
      <c r="DA691" s="118"/>
      <c r="DB691" s="118"/>
      <c r="DC691" s="33"/>
      <c r="DD691" s="11"/>
      <c r="DE691" s="11"/>
      <c r="DF691" s="11"/>
      <c r="DG691" s="11"/>
      <c r="DH691" s="11"/>
      <c r="DI691" s="11"/>
      <c r="DJ691" s="11"/>
      <c r="DK691" s="11"/>
      <c r="DL691" s="11"/>
      <c r="DM691" s="11"/>
      <c r="DN691" s="11"/>
      <c r="DO691" s="11"/>
      <c r="DP691" s="11"/>
      <c r="DQ691" s="11"/>
      <c r="DR691" s="11"/>
      <c r="DS691" s="11"/>
      <c r="DT691" s="11"/>
      <c r="DU691" s="11"/>
      <c r="DV691" s="11"/>
      <c r="DW691" s="11"/>
      <c r="DX691" s="11"/>
      <c r="DY691" s="11"/>
      <c r="DZ691" s="11"/>
      <c r="EA691" s="11"/>
      <c r="EB691" s="11"/>
      <c r="EC691" s="11"/>
      <c r="ED691" s="11"/>
      <c r="EE691" s="11"/>
      <c r="EF691" s="11"/>
      <c r="EG691" s="11"/>
      <c r="EH691" s="11"/>
      <c r="EI691" s="11"/>
      <c r="EJ691" s="11"/>
      <c r="EK691" s="11"/>
      <c r="EL691" s="11"/>
      <c r="EM691" s="11"/>
      <c r="EN691" s="11"/>
      <c r="EO691" s="11"/>
      <c r="EP691" s="11"/>
      <c r="EQ691" s="11"/>
      <c r="ER691" s="11"/>
      <c r="ES691" s="11"/>
      <c r="ET691" s="11"/>
      <c r="EU691" s="11"/>
      <c r="EV691" s="11"/>
      <c r="EW691" s="11"/>
      <c r="EX691" s="11"/>
      <c r="EY691" s="11"/>
      <c r="EZ691" s="11"/>
      <c r="FA691" s="11"/>
      <c r="FB691" s="11"/>
      <c r="FC691" s="11"/>
      <c r="FD691" s="11"/>
      <c r="FE691" s="11"/>
      <c r="FF691" s="11"/>
      <c r="FG691" s="11"/>
      <c r="FH691" s="39">
        <f t="shared" si="160"/>
        <v>9275687</v>
      </c>
      <c r="FI691" s="33">
        <f t="shared" si="161"/>
        <v>2</v>
      </c>
      <c r="FJ691" s="84">
        <f t="shared" si="162"/>
        <v>4637843.5</v>
      </c>
    </row>
    <row r="692" spans="1:166" ht="13.5" x14ac:dyDescent="0.25">
      <c r="A692" s="79" t="e">
        <f>#REF!</f>
        <v>#REF!</v>
      </c>
      <c r="B692" s="75" t="e">
        <f>#REF!</f>
        <v>#REF!</v>
      </c>
      <c r="C692" s="75" t="e">
        <f>#REF!</f>
        <v>#REF!</v>
      </c>
      <c r="D692" s="75" t="e">
        <f>#REF!</f>
        <v>#REF!</v>
      </c>
      <c r="E692" s="30">
        <v>1</v>
      </c>
      <c r="F692" s="238">
        <v>0</v>
      </c>
      <c r="G692" s="241">
        <v>0</v>
      </c>
      <c r="H692" s="249">
        <v>0</v>
      </c>
      <c r="I692" s="249">
        <v>0</v>
      </c>
      <c r="J692" s="249">
        <v>0</v>
      </c>
      <c r="K692" s="249">
        <v>0</v>
      </c>
      <c r="L692" s="274"/>
      <c r="M692" s="274"/>
      <c r="N692" s="246"/>
      <c r="O692" s="118"/>
      <c r="P692" s="118"/>
      <c r="Q692" s="52"/>
      <c r="R692" s="52"/>
      <c r="S692" s="5"/>
      <c r="T692" s="118"/>
      <c r="U692" s="118"/>
      <c r="V692" s="118"/>
      <c r="W692" s="11"/>
      <c r="X692" s="11"/>
      <c r="Y692" s="11"/>
      <c r="Z692" s="118"/>
      <c r="AA692" s="118"/>
      <c r="AB692" s="118"/>
      <c r="AC692" s="52"/>
      <c r="AD692" s="52"/>
      <c r="AE692" s="11"/>
      <c r="AF692" s="118"/>
      <c r="AG692" s="118"/>
      <c r="AH692" s="118"/>
      <c r="AI692" s="11"/>
      <c r="AJ692" s="11"/>
      <c r="AK692" s="11"/>
      <c r="AL692" s="118"/>
      <c r="AM692" s="118"/>
      <c r="AN692" s="118"/>
      <c r="AO692" s="76"/>
      <c r="AP692" s="11"/>
      <c r="AQ692" s="11"/>
      <c r="AR692" s="274"/>
      <c r="AS692" s="274"/>
      <c r="AT692" s="274"/>
      <c r="AU692" s="62"/>
      <c r="AV692" s="48"/>
      <c r="AW692" s="11"/>
      <c r="AX692" s="274"/>
      <c r="AY692" s="274"/>
      <c r="AZ692" s="274"/>
      <c r="BA692" s="11"/>
      <c r="BB692" s="11"/>
      <c r="BC692" s="11"/>
      <c r="BD692" s="274"/>
      <c r="BE692" s="274"/>
      <c r="BF692" s="274"/>
      <c r="BG692" s="11"/>
      <c r="BH692" s="11"/>
      <c r="BI692" s="11"/>
      <c r="BJ692" s="274"/>
      <c r="BK692" s="274"/>
      <c r="BL692" s="274"/>
      <c r="BM692" s="11"/>
      <c r="BN692" s="11"/>
      <c r="BO692" s="11"/>
      <c r="BP692" s="274"/>
      <c r="BQ692" s="11"/>
      <c r="BR692" s="11"/>
      <c r="BS692" s="11"/>
      <c r="BT692" s="11"/>
      <c r="BU692" s="11"/>
      <c r="BV692" s="268">
        <v>1800000</v>
      </c>
      <c r="BW692" s="144">
        <f t="shared" si="171"/>
        <v>0</v>
      </c>
      <c r="BX692" s="113">
        <f t="shared" si="166"/>
        <v>1800000</v>
      </c>
      <c r="BY692" s="272" t="s">
        <v>419</v>
      </c>
      <c r="BZ692" s="272" t="s">
        <v>131</v>
      </c>
      <c r="CA692" s="11"/>
      <c r="CB692" s="274"/>
      <c r="CC692" s="274"/>
      <c r="CD692" s="274"/>
      <c r="CE692" s="11"/>
      <c r="CF692" s="11"/>
      <c r="CG692" s="11"/>
      <c r="CH692" s="268">
        <v>3941808</v>
      </c>
      <c r="CI692" s="265">
        <f>+CH692*0</f>
        <v>0</v>
      </c>
      <c r="CJ692" s="263">
        <f t="shared" si="170"/>
        <v>3941808</v>
      </c>
      <c r="CK692" s="272" t="s">
        <v>419</v>
      </c>
      <c r="CL692" s="272" t="s">
        <v>131</v>
      </c>
      <c r="CM692" s="11"/>
      <c r="CN692" s="274"/>
      <c r="CO692" s="274"/>
      <c r="CP692" s="274"/>
      <c r="CQ692" s="11"/>
      <c r="CR692" s="11"/>
      <c r="CS692" s="11"/>
      <c r="CT692" s="274"/>
      <c r="CU692" s="274"/>
      <c r="CV692" s="274"/>
      <c r="CW692" s="11"/>
      <c r="CX692" s="11"/>
      <c r="CY692" s="11"/>
      <c r="CZ692" s="118"/>
      <c r="DA692" s="118"/>
      <c r="DB692" s="118"/>
      <c r="DC692" s="33"/>
      <c r="DD692" s="11"/>
      <c r="DE692" s="11"/>
      <c r="DF692" s="11"/>
      <c r="DG692" s="11"/>
      <c r="DH692" s="11"/>
      <c r="DI692" s="11"/>
      <c r="DJ692" s="11"/>
      <c r="DK692" s="11"/>
      <c r="DL692" s="11"/>
      <c r="DM692" s="11"/>
      <c r="DN692" s="11"/>
      <c r="DO692" s="11"/>
      <c r="DP692" s="11"/>
      <c r="DQ692" s="11"/>
      <c r="DR692" s="11"/>
      <c r="DS692" s="11"/>
      <c r="DT692" s="11"/>
      <c r="DU692" s="11"/>
      <c r="DV692" s="11"/>
      <c r="DW692" s="11"/>
      <c r="DX692" s="11"/>
      <c r="DY692" s="11"/>
      <c r="DZ692" s="11"/>
      <c r="EA692" s="11"/>
      <c r="EB692" s="11"/>
      <c r="EC692" s="11"/>
      <c r="ED692" s="11"/>
      <c r="EE692" s="11"/>
      <c r="EF692" s="11"/>
      <c r="EG692" s="11"/>
      <c r="EH692" s="11"/>
      <c r="EI692" s="11"/>
      <c r="EJ692" s="11"/>
      <c r="EK692" s="11"/>
      <c r="EL692" s="11"/>
      <c r="EM692" s="11"/>
      <c r="EN692" s="11"/>
      <c r="EO692" s="11"/>
      <c r="EP692" s="11"/>
      <c r="EQ692" s="11"/>
      <c r="ER692" s="11"/>
      <c r="ES692" s="11"/>
      <c r="ET692" s="11"/>
      <c r="EU692" s="11"/>
      <c r="EV692" s="11"/>
      <c r="EW692" s="11"/>
      <c r="EX692" s="11"/>
      <c r="EY692" s="11"/>
      <c r="EZ692" s="11"/>
      <c r="FA692" s="11"/>
      <c r="FB692" s="11"/>
      <c r="FC692" s="11"/>
      <c r="FD692" s="11"/>
      <c r="FE692" s="11"/>
      <c r="FF692" s="11"/>
      <c r="FG692" s="11"/>
      <c r="FH692" s="39">
        <f t="shared" si="160"/>
        <v>5741808</v>
      </c>
      <c r="FI692" s="33">
        <f t="shared" si="161"/>
        <v>2</v>
      </c>
      <c r="FJ692" s="84">
        <f t="shared" si="162"/>
        <v>2870904</v>
      </c>
    </row>
    <row r="693" spans="1:166" ht="13.5" x14ac:dyDescent="0.25">
      <c r="A693" s="79" t="e">
        <f>#REF!</f>
        <v>#REF!</v>
      </c>
      <c r="B693" s="75" t="e">
        <f>#REF!</f>
        <v>#REF!</v>
      </c>
      <c r="C693" s="75" t="e">
        <f>#REF!</f>
        <v>#REF!</v>
      </c>
      <c r="D693" s="75" t="e">
        <f>#REF!</f>
        <v>#REF!</v>
      </c>
      <c r="E693" s="30">
        <v>1</v>
      </c>
      <c r="F693" s="238">
        <v>0</v>
      </c>
      <c r="G693" s="241">
        <v>0</v>
      </c>
      <c r="H693" s="249">
        <v>0</v>
      </c>
      <c r="I693" s="249">
        <v>0</v>
      </c>
      <c r="J693" s="249">
        <v>0</v>
      </c>
      <c r="K693" s="249">
        <v>0</v>
      </c>
      <c r="L693" s="274"/>
      <c r="M693" s="274"/>
      <c r="N693" s="246"/>
      <c r="O693" s="118"/>
      <c r="P693" s="118"/>
      <c r="Q693" s="52"/>
      <c r="R693" s="52"/>
      <c r="S693" s="5"/>
      <c r="T693" s="118"/>
      <c r="U693" s="118"/>
      <c r="V693" s="118"/>
      <c r="W693" s="11"/>
      <c r="X693" s="11"/>
      <c r="Y693" s="11"/>
      <c r="Z693" s="118"/>
      <c r="AA693" s="118"/>
      <c r="AB693" s="118"/>
      <c r="AC693" s="52"/>
      <c r="AD693" s="52"/>
      <c r="AE693" s="11"/>
      <c r="AF693" s="118"/>
      <c r="AG693" s="118"/>
      <c r="AH693" s="118"/>
      <c r="AI693" s="11"/>
      <c r="AJ693" s="11"/>
      <c r="AK693" s="11"/>
      <c r="AL693" s="118"/>
      <c r="AM693" s="118"/>
      <c r="AN693" s="118"/>
      <c r="AO693" s="76"/>
      <c r="AP693" s="11"/>
      <c r="AQ693" s="11"/>
      <c r="AR693" s="274"/>
      <c r="AS693" s="274"/>
      <c r="AT693" s="274"/>
      <c r="AU693" s="62"/>
      <c r="AV693" s="48"/>
      <c r="AW693" s="11"/>
      <c r="AX693" s="274"/>
      <c r="AY693" s="274"/>
      <c r="AZ693" s="274"/>
      <c r="BA693" s="11"/>
      <c r="BB693" s="11"/>
      <c r="BC693" s="11"/>
      <c r="BD693" s="274"/>
      <c r="BE693" s="274"/>
      <c r="BF693" s="274"/>
      <c r="BG693" s="11"/>
      <c r="BH693" s="11"/>
      <c r="BI693" s="11"/>
      <c r="BJ693" s="274"/>
      <c r="BK693" s="274"/>
      <c r="BL693" s="274"/>
      <c r="BM693" s="11"/>
      <c r="BN693" s="11"/>
      <c r="BO693" s="11"/>
      <c r="BP693" s="274"/>
      <c r="BQ693" s="11"/>
      <c r="BR693" s="11"/>
      <c r="BS693" s="11"/>
      <c r="BT693" s="11"/>
      <c r="BU693" s="11"/>
      <c r="BV693" s="268">
        <v>1600000</v>
      </c>
      <c r="BW693" s="144">
        <f t="shared" si="171"/>
        <v>0</v>
      </c>
      <c r="BX693" s="113">
        <f t="shared" si="166"/>
        <v>1600000</v>
      </c>
      <c r="BY693" s="272" t="s">
        <v>419</v>
      </c>
      <c r="BZ693" s="272" t="s">
        <v>131</v>
      </c>
      <c r="CA693" s="11"/>
      <c r="CB693" s="274"/>
      <c r="CC693" s="274"/>
      <c r="CD693" s="274"/>
      <c r="CE693" s="11"/>
      <c r="CF693" s="11"/>
      <c r="CG693" s="11"/>
      <c r="CH693" s="268">
        <v>3447005</v>
      </c>
      <c r="CI693" s="265">
        <f>+CH693*0</f>
        <v>0</v>
      </c>
      <c r="CJ693" s="263">
        <f t="shared" si="170"/>
        <v>3447005</v>
      </c>
      <c r="CK693" s="272" t="s">
        <v>419</v>
      </c>
      <c r="CL693" s="272" t="s">
        <v>131</v>
      </c>
      <c r="CM693" s="11"/>
      <c r="CN693" s="274"/>
      <c r="CO693" s="274"/>
      <c r="CP693" s="274"/>
      <c r="CQ693" s="11"/>
      <c r="CR693" s="11"/>
      <c r="CS693" s="11"/>
      <c r="CT693" s="274"/>
      <c r="CU693" s="274"/>
      <c r="CV693" s="274"/>
      <c r="CW693" s="11"/>
      <c r="CX693" s="11"/>
      <c r="CY693" s="11"/>
      <c r="CZ693" s="118"/>
      <c r="DA693" s="118"/>
      <c r="DB693" s="118"/>
      <c r="DC693" s="33"/>
      <c r="DD693" s="11"/>
      <c r="DE693" s="11"/>
      <c r="DF693" s="11"/>
      <c r="DG693" s="11"/>
      <c r="DH693" s="11"/>
      <c r="DI693" s="11"/>
      <c r="DJ693" s="11"/>
      <c r="DK693" s="11"/>
      <c r="DL693" s="11"/>
      <c r="DM693" s="11"/>
      <c r="DN693" s="11"/>
      <c r="DO693" s="11"/>
      <c r="DP693" s="11"/>
      <c r="DQ693" s="11"/>
      <c r="DR693" s="11"/>
      <c r="DS693" s="11"/>
      <c r="DT693" s="11"/>
      <c r="DU693" s="11"/>
      <c r="DV693" s="11"/>
      <c r="DW693" s="11"/>
      <c r="DX693" s="11"/>
      <c r="DY693" s="11"/>
      <c r="DZ693" s="11"/>
      <c r="EA693" s="11"/>
      <c r="EB693" s="11"/>
      <c r="EC693" s="11"/>
      <c r="ED693" s="11"/>
      <c r="EE693" s="11"/>
      <c r="EF693" s="11"/>
      <c r="EG693" s="11"/>
      <c r="EH693" s="11"/>
      <c r="EI693" s="11"/>
      <c r="EJ693" s="11"/>
      <c r="EK693" s="11"/>
      <c r="EL693" s="11"/>
      <c r="EM693" s="11"/>
      <c r="EN693" s="11"/>
      <c r="EO693" s="11"/>
      <c r="EP693" s="11"/>
      <c r="EQ693" s="11"/>
      <c r="ER693" s="11"/>
      <c r="ES693" s="11"/>
      <c r="ET693" s="11"/>
      <c r="EU693" s="11"/>
      <c r="EV693" s="11"/>
      <c r="EW693" s="11"/>
      <c r="EX693" s="11"/>
      <c r="EY693" s="11"/>
      <c r="EZ693" s="11"/>
      <c r="FA693" s="11"/>
      <c r="FB693" s="11"/>
      <c r="FC693" s="11"/>
      <c r="FD693" s="11"/>
      <c r="FE693" s="11"/>
      <c r="FF693" s="11"/>
      <c r="FG693" s="11"/>
      <c r="FH693" s="39">
        <f t="shared" si="160"/>
        <v>5047005</v>
      </c>
      <c r="FI693" s="33">
        <f t="shared" si="161"/>
        <v>2</v>
      </c>
      <c r="FJ693" s="84">
        <f t="shared" si="162"/>
        <v>2523502.5</v>
      </c>
    </row>
    <row r="694" spans="1:166" ht="13.5" x14ac:dyDescent="0.25">
      <c r="A694" s="79" t="e">
        <f>#REF!</f>
        <v>#REF!</v>
      </c>
      <c r="B694" s="75" t="e">
        <f>#REF!</f>
        <v>#REF!</v>
      </c>
      <c r="C694" s="75" t="e">
        <f>#REF!</f>
        <v>#REF!</v>
      </c>
      <c r="D694" s="75" t="e">
        <f>#REF!</f>
        <v>#REF!</v>
      </c>
      <c r="E694" s="30">
        <v>1</v>
      </c>
      <c r="F694" s="238">
        <v>0</v>
      </c>
      <c r="G694" s="241">
        <v>0</v>
      </c>
      <c r="H694" s="249">
        <v>0</v>
      </c>
      <c r="I694" s="249">
        <v>0</v>
      </c>
      <c r="J694" s="249">
        <v>0</v>
      </c>
      <c r="K694" s="249">
        <v>0</v>
      </c>
      <c r="L694" s="274"/>
      <c r="M694" s="274"/>
      <c r="N694" s="247">
        <v>1115000</v>
      </c>
      <c r="O694" s="113">
        <f>+N694*0</f>
        <v>0</v>
      </c>
      <c r="P694" s="113">
        <f>+O694+N694</f>
        <v>1115000</v>
      </c>
      <c r="Q694" s="36" t="s">
        <v>547</v>
      </c>
      <c r="R694" s="132" t="s">
        <v>200</v>
      </c>
      <c r="S694" s="5" t="s">
        <v>216</v>
      </c>
      <c r="T694" s="118"/>
      <c r="U694" s="118"/>
      <c r="V694" s="118"/>
      <c r="W694" s="11"/>
      <c r="X694" s="11"/>
      <c r="Y694" s="11"/>
      <c r="Z694" s="118"/>
      <c r="AA694" s="118"/>
      <c r="AB694" s="118"/>
      <c r="AC694" s="52"/>
      <c r="AD694" s="52"/>
      <c r="AE694" s="11"/>
      <c r="AF694" s="118"/>
      <c r="AG694" s="118"/>
      <c r="AH694" s="118"/>
      <c r="AI694" s="11"/>
      <c r="AJ694" s="11"/>
      <c r="AK694" s="11"/>
      <c r="AL694" s="118"/>
      <c r="AM694" s="118"/>
      <c r="AN694" s="118"/>
      <c r="AO694" s="76"/>
      <c r="AP694" s="11"/>
      <c r="AQ694" s="11"/>
      <c r="AR694" s="274"/>
      <c r="AS694" s="274"/>
      <c r="AT694" s="274"/>
      <c r="AU694" s="62"/>
      <c r="AV694" s="48"/>
      <c r="AW694" s="11"/>
      <c r="AX694" s="274"/>
      <c r="AY694" s="274"/>
      <c r="AZ694" s="274"/>
      <c r="BA694" s="11"/>
      <c r="BB694" s="11"/>
      <c r="BC694" s="11"/>
      <c r="BD694" s="274"/>
      <c r="BE694" s="274"/>
      <c r="BF694" s="274"/>
      <c r="BG694" s="11"/>
      <c r="BH694" s="11"/>
      <c r="BI694" s="11"/>
      <c r="BJ694" s="274"/>
      <c r="BK694" s="274"/>
      <c r="BL694" s="274"/>
      <c r="BM694" s="11"/>
      <c r="BN694" s="11"/>
      <c r="BO694" s="11"/>
      <c r="BP694" s="274"/>
      <c r="BQ694" s="11"/>
      <c r="BR694" s="11"/>
      <c r="BS694" s="11"/>
      <c r="BT694" s="11"/>
      <c r="BU694" s="11"/>
      <c r="BV694" s="268">
        <v>1700000</v>
      </c>
      <c r="BW694" s="144">
        <f t="shared" si="171"/>
        <v>0</v>
      </c>
      <c r="BX694" s="113">
        <f t="shared" si="166"/>
        <v>1700000</v>
      </c>
      <c r="BY694" s="272" t="s">
        <v>419</v>
      </c>
      <c r="BZ694" s="272" t="s">
        <v>131</v>
      </c>
      <c r="CA694" s="11"/>
      <c r="CB694" s="274"/>
      <c r="CC694" s="274"/>
      <c r="CD694" s="274"/>
      <c r="CE694" s="11"/>
      <c r="CF694" s="11"/>
      <c r="CG694" s="11"/>
      <c r="CH694" s="268">
        <v>3638128</v>
      </c>
      <c r="CI694" s="265">
        <f>+CH694*0</f>
        <v>0</v>
      </c>
      <c r="CJ694" s="263">
        <f t="shared" si="170"/>
        <v>3638128</v>
      </c>
      <c r="CK694" s="272" t="s">
        <v>419</v>
      </c>
      <c r="CL694" s="272" t="s">
        <v>131</v>
      </c>
      <c r="CM694" s="11"/>
      <c r="CN694" s="274"/>
      <c r="CO694" s="274"/>
      <c r="CP694" s="274"/>
      <c r="CQ694" s="11"/>
      <c r="CR694" s="11"/>
      <c r="CS694" s="11"/>
      <c r="CT694" s="274"/>
      <c r="CU694" s="274"/>
      <c r="CV694" s="274"/>
      <c r="CW694" s="11"/>
      <c r="CX694" s="11"/>
      <c r="CY694" s="11"/>
      <c r="CZ694" s="118"/>
      <c r="DA694" s="118"/>
      <c r="DB694" s="118"/>
      <c r="DC694" s="33"/>
      <c r="DD694" s="11"/>
      <c r="DE694" s="11"/>
      <c r="DF694" s="11"/>
      <c r="DG694" s="11"/>
      <c r="DH694" s="11"/>
      <c r="DI694" s="11"/>
      <c r="DJ694" s="11"/>
      <c r="DK694" s="11"/>
      <c r="DL694" s="11"/>
      <c r="DM694" s="11"/>
      <c r="DN694" s="11"/>
      <c r="DO694" s="11"/>
      <c r="DP694" s="11"/>
      <c r="DQ694" s="11"/>
      <c r="DR694" s="11"/>
      <c r="DS694" s="11"/>
      <c r="DT694" s="11"/>
      <c r="DU694" s="11"/>
      <c r="DV694" s="11"/>
      <c r="DW694" s="11"/>
      <c r="DX694" s="11"/>
      <c r="DY694" s="11"/>
      <c r="DZ694" s="11"/>
      <c r="EA694" s="11"/>
      <c r="EB694" s="11"/>
      <c r="EC694" s="11"/>
      <c r="ED694" s="11"/>
      <c r="EE694" s="11"/>
      <c r="EF694" s="11"/>
      <c r="EG694" s="11"/>
      <c r="EH694" s="11"/>
      <c r="EI694" s="11"/>
      <c r="EJ694" s="11"/>
      <c r="EK694" s="11"/>
      <c r="EL694" s="11"/>
      <c r="EM694" s="11"/>
      <c r="EN694" s="11"/>
      <c r="EO694" s="11"/>
      <c r="EP694" s="11"/>
      <c r="EQ694" s="11"/>
      <c r="ER694" s="11"/>
      <c r="ES694" s="11"/>
      <c r="ET694" s="11"/>
      <c r="EU694" s="11"/>
      <c r="EV694" s="11"/>
      <c r="EW694" s="11"/>
      <c r="EX694" s="11"/>
      <c r="EY694" s="11"/>
      <c r="EZ694" s="11"/>
      <c r="FA694" s="11"/>
      <c r="FB694" s="11"/>
      <c r="FC694" s="11"/>
      <c r="FD694" s="11"/>
      <c r="FE694" s="11"/>
      <c r="FF694" s="11"/>
      <c r="FG694" s="11"/>
      <c r="FH694" s="39">
        <f t="shared" si="160"/>
        <v>6453128</v>
      </c>
      <c r="FI694" s="33">
        <f t="shared" si="161"/>
        <v>3</v>
      </c>
      <c r="FJ694" s="84">
        <f t="shared" si="162"/>
        <v>2151042.6666666665</v>
      </c>
    </row>
    <row r="695" spans="1:166" ht="13.5" x14ac:dyDescent="0.25">
      <c r="A695" s="79" t="e">
        <f>#REF!</f>
        <v>#REF!</v>
      </c>
      <c r="B695" s="75" t="e">
        <f>#REF!</f>
        <v>#REF!</v>
      </c>
      <c r="C695" s="75" t="e">
        <f>#REF!</f>
        <v>#REF!</v>
      </c>
      <c r="D695" s="75" t="e">
        <f>#REF!</f>
        <v>#REF!</v>
      </c>
      <c r="E695" s="30">
        <v>1</v>
      </c>
      <c r="F695" s="238">
        <v>0</v>
      </c>
      <c r="G695" s="241">
        <v>0</v>
      </c>
      <c r="H695" s="249">
        <v>0</v>
      </c>
      <c r="I695" s="249">
        <v>0</v>
      </c>
      <c r="J695" s="249">
        <v>0</v>
      </c>
      <c r="K695" s="249">
        <v>0</v>
      </c>
      <c r="L695" s="274"/>
      <c r="M695" s="274"/>
      <c r="N695" s="246"/>
      <c r="O695" s="118"/>
      <c r="P695" s="118"/>
      <c r="Q695" s="52"/>
      <c r="R695" s="52"/>
      <c r="S695" s="5"/>
      <c r="T695" s="118"/>
      <c r="U695" s="118"/>
      <c r="V695" s="118"/>
      <c r="W695" s="11"/>
      <c r="X695" s="11"/>
      <c r="Y695" s="11"/>
      <c r="Z695" s="118"/>
      <c r="AA695" s="118"/>
      <c r="AB695" s="118"/>
      <c r="AC695" s="52"/>
      <c r="AD695" s="52"/>
      <c r="AE695" s="11"/>
      <c r="AF695" s="118"/>
      <c r="AG695" s="118"/>
      <c r="AH695" s="118"/>
      <c r="AI695" s="11"/>
      <c r="AJ695" s="11"/>
      <c r="AK695" s="11"/>
      <c r="AL695" s="118"/>
      <c r="AM695" s="118"/>
      <c r="AN695" s="118"/>
      <c r="AO695" s="76"/>
      <c r="AP695" s="11"/>
      <c r="AQ695" s="11"/>
      <c r="AR695" s="274"/>
      <c r="AS695" s="274"/>
      <c r="AT695" s="274"/>
      <c r="AU695" s="62"/>
      <c r="AV695" s="48"/>
      <c r="AW695" s="11"/>
      <c r="AX695" s="274"/>
      <c r="AY695" s="274"/>
      <c r="AZ695" s="274"/>
      <c r="BA695" s="11"/>
      <c r="BB695" s="11"/>
      <c r="BC695" s="11"/>
      <c r="BD695" s="274"/>
      <c r="BE695" s="274"/>
      <c r="BF695" s="274"/>
      <c r="BG695" s="11"/>
      <c r="BH695" s="11"/>
      <c r="BI695" s="11"/>
      <c r="BJ695" s="274"/>
      <c r="BK695" s="274"/>
      <c r="BL695" s="274"/>
      <c r="BM695" s="11"/>
      <c r="BN695" s="11"/>
      <c r="BO695" s="11"/>
      <c r="BP695" s="274"/>
      <c r="BQ695" s="11"/>
      <c r="BR695" s="11"/>
      <c r="BS695" s="11"/>
      <c r="BT695" s="11"/>
      <c r="BU695" s="11"/>
      <c r="BV695" s="268">
        <v>2800000</v>
      </c>
      <c r="BW695" s="144">
        <f t="shared" si="171"/>
        <v>0</v>
      </c>
      <c r="BX695" s="113">
        <f t="shared" si="166"/>
        <v>2800000</v>
      </c>
      <c r="BY695" s="272" t="s">
        <v>419</v>
      </c>
      <c r="BZ695" s="272" t="s">
        <v>131</v>
      </c>
      <c r="CA695" s="11"/>
      <c r="CB695" s="274"/>
      <c r="CC695" s="274"/>
      <c r="CD695" s="274"/>
      <c r="CE695" s="11"/>
      <c r="CF695" s="11"/>
      <c r="CG695" s="11"/>
      <c r="CH695" s="268">
        <v>5996248</v>
      </c>
      <c r="CI695" s="265">
        <f>+CH695*0</f>
        <v>0</v>
      </c>
      <c r="CJ695" s="263">
        <f t="shared" si="170"/>
        <v>5996248</v>
      </c>
      <c r="CK695" s="272" t="s">
        <v>419</v>
      </c>
      <c r="CL695" s="272" t="s">
        <v>131</v>
      </c>
      <c r="CM695" s="11"/>
      <c r="CN695" s="274"/>
      <c r="CO695" s="274"/>
      <c r="CP695" s="274"/>
      <c r="CQ695" s="11"/>
      <c r="CR695" s="11"/>
      <c r="CS695" s="11"/>
      <c r="CT695" s="274"/>
      <c r="CU695" s="274"/>
      <c r="CV695" s="274"/>
      <c r="CW695" s="11"/>
      <c r="CX695" s="11"/>
      <c r="CY695" s="11"/>
      <c r="CZ695" s="118"/>
      <c r="DA695" s="118"/>
      <c r="DB695" s="118"/>
      <c r="DC695" s="33"/>
      <c r="DD695" s="11"/>
      <c r="DE695" s="11"/>
      <c r="DF695" s="11"/>
      <c r="DG695" s="11"/>
      <c r="DH695" s="11"/>
      <c r="DI695" s="11"/>
      <c r="DJ695" s="11"/>
      <c r="DK695" s="11"/>
      <c r="DL695" s="11"/>
      <c r="DM695" s="11"/>
      <c r="DN695" s="11"/>
      <c r="DO695" s="11"/>
      <c r="DP695" s="11"/>
      <c r="DQ695" s="11"/>
      <c r="DR695" s="11"/>
      <c r="DS695" s="11"/>
      <c r="DT695" s="11"/>
      <c r="DU695" s="11"/>
      <c r="DV695" s="11"/>
      <c r="DW695" s="11"/>
      <c r="DX695" s="11"/>
      <c r="DY695" s="11"/>
      <c r="DZ695" s="11"/>
      <c r="EA695" s="11"/>
      <c r="EB695" s="11"/>
      <c r="EC695" s="11"/>
      <c r="ED695" s="11"/>
      <c r="EE695" s="11"/>
      <c r="EF695" s="11"/>
      <c r="EG695" s="11"/>
      <c r="EH695" s="11"/>
      <c r="EI695" s="11"/>
      <c r="EJ695" s="11"/>
      <c r="EK695" s="11"/>
      <c r="EL695" s="11"/>
      <c r="EM695" s="11"/>
      <c r="EN695" s="11"/>
      <c r="EO695" s="11"/>
      <c r="EP695" s="11"/>
      <c r="EQ695" s="11"/>
      <c r="ER695" s="11"/>
      <c r="ES695" s="11"/>
      <c r="ET695" s="11"/>
      <c r="EU695" s="11"/>
      <c r="EV695" s="11"/>
      <c r="EW695" s="11"/>
      <c r="EX695" s="11"/>
      <c r="EY695" s="11"/>
      <c r="EZ695" s="11"/>
      <c r="FA695" s="11"/>
      <c r="FB695" s="11"/>
      <c r="FC695" s="11"/>
      <c r="FD695" s="11"/>
      <c r="FE695" s="11"/>
      <c r="FF695" s="11"/>
      <c r="FG695" s="11"/>
      <c r="FH695" s="39">
        <f t="shared" si="160"/>
        <v>8796248</v>
      </c>
      <c r="FI695" s="33">
        <f t="shared" si="161"/>
        <v>2</v>
      </c>
      <c r="FJ695" s="84">
        <f t="shared" si="162"/>
        <v>4398124</v>
      </c>
    </row>
    <row r="696" spans="1:166" ht="13.5" x14ac:dyDescent="0.25">
      <c r="A696" s="79" t="e">
        <f>#REF!</f>
        <v>#REF!</v>
      </c>
      <c r="B696" s="75" t="e">
        <f>#REF!</f>
        <v>#REF!</v>
      </c>
      <c r="C696" s="75" t="e">
        <f>#REF!</f>
        <v>#REF!</v>
      </c>
      <c r="D696" s="75" t="e">
        <f>#REF!</f>
        <v>#REF!</v>
      </c>
      <c r="E696" s="30">
        <v>1</v>
      </c>
      <c r="F696" s="238">
        <v>0</v>
      </c>
      <c r="G696" s="241">
        <v>0</v>
      </c>
      <c r="H696" s="249">
        <v>0</v>
      </c>
      <c r="I696" s="249">
        <v>0</v>
      </c>
      <c r="J696" s="249">
        <v>0</v>
      </c>
      <c r="K696" s="249">
        <v>0</v>
      </c>
      <c r="L696" s="274"/>
      <c r="M696" s="274"/>
      <c r="N696" s="247">
        <v>1115000</v>
      </c>
      <c r="O696" s="113">
        <f>+N696*0</f>
        <v>0</v>
      </c>
      <c r="P696" s="113">
        <f>+O696+N696</f>
        <v>1115000</v>
      </c>
      <c r="Q696" s="36" t="s">
        <v>547</v>
      </c>
      <c r="R696" s="132" t="s">
        <v>200</v>
      </c>
      <c r="S696" s="5" t="s">
        <v>216</v>
      </c>
      <c r="T696" s="118"/>
      <c r="U696" s="118"/>
      <c r="V696" s="118"/>
      <c r="W696" s="11"/>
      <c r="X696" s="11"/>
      <c r="Y696" s="11"/>
      <c r="Z696" s="118"/>
      <c r="AA696" s="118"/>
      <c r="AB696" s="118"/>
      <c r="AC696" s="52"/>
      <c r="AD696" s="52"/>
      <c r="AE696" s="11"/>
      <c r="AF696" s="118"/>
      <c r="AG696" s="118"/>
      <c r="AH696" s="118"/>
      <c r="AI696" s="11"/>
      <c r="AJ696" s="11"/>
      <c r="AK696" s="11"/>
      <c r="AL696" s="118"/>
      <c r="AM696" s="118"/>
      <c r="AN696" s="118"/>
      <c r="AO696" s="76"/>
      <c r="AP696" s="11"/>
      <c r="AQ696" s="11"/>
      <c r="AR696" s="274"/>
      <c r="AS696" s="274"/>
      <c r="AT696" s="274"/>
      <c r="AU696" s="62"/>
      <c r="AV696" s="48"/>
      <c r="AW696" s="11"/>
      <c r="AX696" s="274"/>
      <c r="AY696" s="274"/>
      <c r="AZ696" s="274"/>
      <c r="BA696" s="11"/>
      <c r="BB696" s="11"/>
      <c r="BC696" s="11"/>
      <c r="BD696" s="274"/>
      <c r="BE696" s="274"/>
      <c r="BF696" s="274"/>
      <c r="BG696" s="11"/>
      <c r="BH696" s="11"/>
      <c r="BI696" s="11"/>
      <c r="BJ696" s="274"/>
      <c r="BK696" s="274"/>
      <c r="BL696" s="274"/>
      <c r="BM696" s="11"/>
      <c r="BN696" s="11"/>
      <c r="BO696" s="11"/>
      <c r="BP696" s="274"/>
      <c r="BQ696" s="11"/>
      <c r="BR696" s="11"/>
      <c r="BS696" s="11"/>
      <c r="BT696" s="11"/>
      <c r="BU696" s="11"/>
      <c r="BV696" s="268">
        <v>3600000</v>
      </c>
      <c r="BW696" s="144">
        <f t="shared" si="171"/>
        <v>0</v>
      </c>
      <c r="BX696" s="113">
        <f t="shared" si="166"/>
        <v>3600000</v>
      </c>
      <c r="BY696" s="272" t="s">
        <v>419</v>
      </c>
      <c r="BZ696" s="272" t="s">
        <v>131</v>
      </c>
      <c r="CA696" s="11"/>
      <c r="CB696" s="274"/>
      <c r="CC696" s="274"/>
      <c r="CD696" s="274"/>
      <c r="CE696" s="11"/>
      <c r="CF696" s="11"/>
      <c r="CG696" s="11"/>
      <c r="CH696" s="268"/>
      <c r="CI696" s="265"/>
      <c r="CJ696" s="263"/>
      <c r="CK696" s="272"/>
      <c r="CL696" s="272"/>
      <c r="CM696" s="11"/>
      <c r="CN696" s="274"/>
      <c r="CO696" s="274"/>
      <c r="CP696" s="274"/>
      <c r="CQ696" s="11"/>
      <c r="CR696" s="11"/>
      <c r="CS696" s="11"/>
      <c r="CT696" s="274"/>
      <c r="CU696" s="274"/>
      <c r="CV696" s="274"/>
      <c r="CW696" s="11"/>
      <c r="CX696" s="11"/>
      <c r="CY696" s="11"/>
      <c r="CZ696" s="118"/>
      <c r="DA696" s="118"/>
      <c r="DB696" s="118"/>
      <c r="DC696" s="33"/>
      <c r="DD696" s="11"/>
      <c r="DE696" s="11"/>
      <c r="DF696" s="11"/>
      <c r="DG696" s="11"/>
      <c r="DH696" s="11"/>
      <c r="DI696" s="11"/>
      <c r="DJ696" s="11"/>
      <c r="DK696" s="11"/>
      <c r="DL696" s="11"/>
      <c r="DM696" s="11"/>
      <c r="DN696" s="11"/>
      <c r="DO696" s="11"/>
      <c r="DP696" s="11"/>
      <c r="DQ696" s="11"/>
      <c r="DR696" s="11"/>
      <c r="DS696" s="11"/>
      <c r="DT696" s="11"/>
      <c r="DU696" s="11"/>
      <c r="DV696" s="11"/>
      <c r="DW696" s="11"/>
      <c r="DX696" s="11"/>
      <c r="DY696" s="11"/>
      <c r="DZ696" s="11"/>
      <c r="EA696" s="11"/>
      <c r="EB696" s="11"/>
      <c r="EC696" s="11"/>
      <c r="ED696" s="11"/>
      <c r="EE696" s="11"/>
      <c r="EF696" s="11"/>
      <c r="EG696" s="11"/>
      <c r="EH696" s="11"/>
      <c r="EI696" s="11"/>
      <c r="EJ696" s="11"/>
      <c r="EK696" s="11"/>
      <c r="EL696" s="11"/>
      <c r="EM696" s="11"/>
      <c r="EN696" s="11"/>
      <c r="EO696" s="11"/>
      <c r="EP696" s="11"/>
      <c r="EQ696" s="11"/>
      <c r="ER696" s="11"/>
      <c r="ES696" s="11"/>
      <c r="ET696" s="11"/>
      <c r="EU696" s="11"/>
      <c r="EV696" s="11"/>
      <c r="EW696" s="11"/>
      <c r="EX696" s="11"/>
      <c r="EY696" s="11"/>
      <c r="EZ696" s="11"/>
      <c r="FA696" s="11"/>
      <c r="FB696" s="11"/>
      <c r="FC696" s="11"/>
      <c r="FD696" s="11"/>
      <c r="FE696" s="11"/>
      <c r="FF696" s="11"/>
      <c r="FG696" s="11"/>
      <c r="FH696" s="39">
        <f t="shared" si="160"/>
        <v>4715000</v>
      </c>
      <c r="FI696" s="33">
        <f t="shared" si="161"/>
        <v>2</v>
      </c>
      <c r="FJ696" s="84">
        <f t="shared" si="162"/>
        <v>2357500</v>
      </c>
    </row>
    <row r="697" spans="1:166" ht="13.5" x14ac:dyDescent="0.25">
      <c r="A697" s="79" t="e">
        <f>#REF!</f>
        <v>#REF!</v>
      </c>
      <c r="B697" s="75" t="e">
        <f>#REF!</f>
        <v>#REF!</v>
      </c>
      <c r="C697" s="75" t="e">
        <f>#REF!</f>
        <v>#REF!</v>
      </c>
      <c r="D697" s="75" t="e">
        <f>#REF!</f>
        <v>#REF!</v>
      </c>
      <c r="E697" s="30">
        <v>1</v>
      </c>
      <c r="F697" s="238">
        <v>0</v>
      </c>
      <c r="G697" s="241">
        <v>0</v>
      </c>
      <c r="H697" s="249">
        <v>0</v>
      </c>
      <c r="I697" s="249">
        <v>0</v>
      </c>
      <c r="J697" s="249">
        <v>0</v>
      </c>
      <c r="K697" s="249">
        <v>0</v>
      </c>
      <c r="L697" s="274"/>
      <c r="M697" s="274"/>
      <c r="N697" s="247">
        <v>1115000</v>
      </c>
      <c r="O697" s="113">
        <f>+N697*0</f>
        <v>0</v>
      </c>
      <c r="P697" s="113">
        <f>+O697+N697</f>
        <v>1115000</v>
      </c>
      <c r="Q697" s="36" t="s">
        <v>547</v>
      </c>
      <c r="R697" s="132" t="s">
        <v>200</v>
      </c>
      <c r="S697" s="5" t="s">
        <v>216</v>
      </c>
      <c r="T697" s="118"/>
      <c r="U697" s="118"/>
      <c r="V697" s="118"/>
      <c r="W697" s="11"/>
      <c r="X697" s="11"/>
      <c r="Y697" s="11"/>
      <c r="Z697" s="118"/>
      <c r="AA697" s="118"/>
      <c r="AB697" s="118"/>
      <c r="AC697" s="52"/>
      <c r="AD697" s="52"/>
      <c r="AE697" s="11"/>
      <c r="AF697" s="118"/>
      <c r="AG697" s="118"/>
      <c r="AH697" s="118"/>
      <c r="AI697" s="11"/>
      <c r="AJ697" s="11"/>
      <c r="AK697" s="11"/>
      <c r="AL697" s="118"/>
      <c r="AM697" s="118"/>
      <c r="AN697" s="118"/>
      <c r="AO697" s="76"/>
      <c r="AP697" s="11"/>
      <c r="AQ697" s="11"/>
      <c r="AR697" s="274"/>
      <c r="AS697" s="274"/>
      <c r="AT697" s="274"/>
      <c r="AU697" s="62"/>
      <c r="AV697" s="48"/>
      <c r="AW697" s="11"/>
      <c r="AX697" s="274"/>
      <c r="AY697" s="274"/>
      <c r="AZ697" s="274"/>
      <c r="BA697" s="11"/>
      <c r="BB697" s="11"/>
      <c r="BC697" s="11"/>
      <c r="BD697" s="274"/>
      <c r="BE697" s="274"/>
      <c r="BF697" s="274"/>
      <c r="BG697" s="11"/>
      <c r="BH697" s="11"/>
      <c r="BI697" s="11"/>
      <c r="BJ697" s="274"/>
      <c r="BK697" s="274"/>
      <c r="BL697" s="274"/>
      <c r="BM697" s="11"/>
      <c r="BN697" s="11"/>
      <c r="BO697" s="11"/>
      <c r="BP697" s="274"/>
      <c r="BQ697" s="11"/>
      <c r="BR697" s="11"/>
      <c r="BS697" s="11"/>
      <c r="BT697" s="11"/>
      <c r="BU697" s="11"/>
      <c r="BV697" s="268">
        <v>4000000</v>
      </c>
      <c r="BW697" s="144">
        <f t="shared" si="171"/>
        <v>0</v>
      </c>
      <c r="BX697" s="113">
        <f t="shared" si="166"/>
        <v>4000000</v>
      </c>
      <c r="BY697" s="272" t="s">
        <v>419</v>
      </c>
      <c r="BZ697" s="272" t="s">
        <v>217</v>
      </c>
      <c r="CA697" s="11"/>
      <c r="CB697" s="274"/>
      <c r="CC697" s="274"/>
      <c r="CD697" s="274"/>
      <c r="CE697" s="11"/>
      <c r="CF697" s="11"/>
      <c r="CG697" s="11"/>
      <c r="CH697" s="268"/>
      <c r="CI697" s="265"/>
      <c r="CJ697" s="263"/>
      <c r="CK697" s="272"/>
      <c r="CL697" s="272"/>
      <c r="CM697" s="11"/>
      <c r="CN697" s="274"/>
      <c r="CO697" s="274"/>
      <c r="CP697" s="274"/>
      <c r="CQ697" s="11"/>
      <c r="CR697" s="11"/>
      <c r="CS697" s="11"/>
      <c r="CT697" s="274"/>
      <c r="CU697" s="274"/>
      <c r="CV697" s="274"/>
      <c r="CW697" s="11"/>
      <c r="CX697" s="11"/>
      <c r="CY697" s="11"/>
      <c r="CZ697" s="118"/>
      <c r="DA697" s="118"/>
      <c r="DB697" s="118"/>
      <c r="DC697" s="33"/>
      <c r="DD697" s="11"/>
      <c r="DE697" s="11"/>
      <c r="DF697" s="11"/>
      <c r="DG697" s="11"/>
      <c r="DH697" s="11"/>
      <c r="DI697" s="11"/>
      <c r="DJ697" s="11"/>
      <c r="DK697" s="11"/>
      <c r="DL697" s="11"/>
      <c r="DM697" s="11"/>
      <c r="DN697" s="11"/>
      <c r="DO697" s="11"/>
      <c r="DP697" s="11"/>
      <c r="DQ697" s="11"/>
      <c r="DR697" s="11"/>
      <c r="DS697" s="11"/>
      <c r="DT697" s="11"/>
      <c r="DU697" s="11"/>
      <c r="DV697" s="11"/>
      <c r="DW697" s="11"/>
      <c r="DX697" s="11"/>
      <c r="DY697" s="11"/>
      <c r="DZ697" s="11"/>
      <c r="EA697" s="11"/>
      <c r="EB697" s="11"/>
      <c r="EC697" s="11"/>
      <c r="ED697" s="11"/>
      <c r="EE697" s="11"/>
      <c r="EF697" s="11"/>
      <c r="EG697" s="11"/>
      <c r="EH697" s="11"/>
      <c r="EI697" s="11"/>
      <c r="EJ697" s="11"/>
      <c r="EK697" s="11"/>
      <c r="EL697" s="11"/>
      <c r="EM697" s="11"/>
      <c r="EN697" s="11"/>
      <c r="EO697" s="11"/>
      <c r="EP697" s="11"/>
      <c r="EQ697" s="11"/>
      <c r="ER697" s="11"/>
      <c r="ES697" s="11"/>
      <c r="ET697" s="11"/>
      <c r="EU697" s="11"/>
      <c r="EV697" s="11"/>
      <c r="EW697" s="11"/>
      <c r="EX697" s="11"/>
      <c r="EY697" s="11"/>
      <c r="EZ697" s="11"/>
      <c r="FA697" s="11"/>
      <c r="FB697" s="11"/>
      <c r="FC697" s="11"/>
      <c r="FD697" s="11"/>
      <c r="FE697" s="11"/>
      <c r="FF697" s="11"/>
      <c r="FG697" s="11"/>
      <c r="FH697" s="39">
        <f t="shared" si="160"/>
        <v>5115000</v>
      </c>
      <c r="FI697" s="33">
        <f t="shared" si="161"/>
        <v>2</v>
      </c>
      <c r="FJ697" s="84">
        <f t="shared" si="162"/>
        <v>2557500</v>
      </c>
    </row>
    <row r="698" spans="1:166" ht="13.5" x14ac:dyDescent="0.25">
      <c r="A698" s="79" t="e">
        <f>#REF!</f>
        <v>#REF!</v>
      </c>
      <c r="B698" s="75" t="e">
        <f>#REF!</f>
        <v>#REF!</v>
      </c>
      <c r="C698" s="75" t="e">
        <f>#REF!</f>
        <v>#REF!</v>
      </c>
      <c r="D698" s="75" t="e">
        <f>#REF!</f>
        <v>#REF!</v>
      </c>
      <c r="E698" s="30">
        <v>1</v>
      </c>
      <c r="F698" s="238">
        <v>0</v>
      </c>
      <c r="G698" s="241">
        <v>0</v>
      </c>
      <c r="H698" s="249">
        <v>0</v>
      </c>
      <c r="I698" s="249">
        <v>0</v>
      </c>
      <c r="J698" s="249">
        <v>0</v>
      </c>
      <c r="K698" s="249">
        <v>0</v>
      </c>
      <c r="L698" s="274"/>
      <c r="M698" s="274"/>
      <c r="N698" s="247">
        <v>1115000</v>
      </c>
      <c r="O698" s="113">
        <f>+N698*0</f>
        <v>0</v>
      </c>
      <c r="P698" s="113">
        <f>+O698+N698</f>
        <v>1115000</v>
      </c>
      <c r="Q698" s="36" t="s">
        <v>547</v>
      </c>
      <c r="R698" s="132" t="s">
        <v>200</v>
      </c>
      <c r="S698" s="5" t="s">
        <v>216</v>
      </c>
      <c r="T698" s="118"/>
      <c r="U698" s="118"/>
      <c r="V698" s="118"/>
      <c r="W698" s="11"/>
      <c r="X698" s="11"/>
      <c r="Y698" s="11"/>
      <c r="Z698" s="118"/>
      <c r="AA698" s="118"/>
      <c r="AB698" s="118"/>
      <c r="AC698" s="52"/>
      <c r="AD698" s="52"/>
      <c r="AE698" s="11"/>
      <c r="AF698" s="118"/>
      <c r="AG698" s="118"/>
      <c r="AH698" s="118"/>
      <c r="AI698" s="11"/>
      <c r="AJ698" s="11"/>
      <c r="AK698" s="11"/>
      <c r="AL698" s="118"/>
      <c r="AM698" s="118"/>
      <c r="AN698" s="118"/>
      <c r="AO698" s="76"/>
      <c r="AP698" s="11"/>
      <c r="AQ698" s="11"/>
      <c r="AR698" s="274"/>
      <c r="AS698" s="274"/>
      <c r="AT698" s="274"/>
      <c r="AU698" s="62"/>
      <c r="AV698" s="48"/>
      <c r="AW698" s="11"/>
      <c r="AX698" s="274"/>
      <c r="AY698" s="274"/>
      <c r="AZ698" s="274"/>
      <c r="BA698" s="11"/>
      <c r="BB698" s="11"/>
      <c r="BC698" s="11"/>
      <c r="BD698" s="274"/>
      <c r="BE698" s="274"/>
      <c r="BF698" s="274"/>
      <c r="BG698" s="11"/>
      <c r="BH698" s="11"/>
      <c r="BI698" s="11"/>
      <c r="BJ698" s="274"/>
      <c r="BK698" s="274"/>
      <c r="BL698" s="274"/>
      <c r="BM698" s="11"/>
      <c r="BN698" s="11"/>
      <c r="BO698" s="11"/>
      <c r="BP698" s="274"/>
      <c r="BQ698" s="11"/>
      <c r="BR698" s="11"/>
      <c r="BS698" s="11"/>
      <c r="BT698" s="11"/>
      <c r="BU698" s="11"/>
      <c r="BV698" s="268">
        <v>4100000</v>
      </c>
      <c r="BW698" s="144">
        <f t="shared" si="171"/>
        <v>0</v>
      </c>
      <c r="BX698" s="113">
        <f t="shared" si="166"/>
        <v>4100000</v>
      </c>
      <c r="BY698" s="272" t="s">
        <v>419</v>
      </c>
      <c r="BZ698" s="272" t="s">
        <v>217</v>
      </c>
      <c r="CA698" s="11"/>
      <c r="CB698" s="274"/>
      <c r="CC698" s="274"/>
      <c r="CD698" s="274"/>
      <c r="CE698" s="11"/>
      <c r="CF698" s="11"/>
      <c r="CG698" s="11"/>
      <c r="CH698" s="268"/>
      <c r="CI698" s="265"/>
      <c r="CJ698" s="263"/>
      <c r="CK698" s="272"/>
      <c r="CL698" s="272"/>
      <c r="CM698" s="11"/>
      <c r="CN698" s="274"/>
      <c r="CO698" s="274"/>
      <c r="CP698" s="274"/>
      <c r="CQ698" s="11"/>
      <c r="CR698" s="11"/>
      <c r="CS698" s="11"/>
      <c r="CT698" s="274"/>
      <c r="CU698" s="274"/>
      <c r="CV698" s="274"/>
      <c r="CW698" s="11"/>
      <c r="CX698" s="11"/>
      <c r="CY698" s="11"/>
      <c r="CZ698" s="118"/>
      <c r="DA698" s="118"/>
      <c r="DB698" s="118"/>
      <c r="DC698" s="33"/>
      <c r="DD698" s="11"/>
      <c r="DE698" s="11"/>
      <c r="DF698" s="11"/>
      <c r="DG698" s="11"/>
      <c r="DH698" s="11"/>
      <c r="DI698" s="11"/>
      <c r="DJ698" s="11"/>
      <c r="DK698" s="11"/>
      <c r="DL698" s="11"/>
      <c r="DM698" s="11"/>
      <c r="DN698" s="11"/>
      <c r="DO698" s="11"/>
      <c r="DP698" s="11"/>
      <c r="DQ698" s="11"/>
      <c r="DR698" s="11"/>
      <c r="DS698" s="11"/>
      <c r="DT698" s="11"/>
      <c r="DU698" s="11"/>
      <c r="DV698" s="11"/>
      <c r="DW698" s="11"/>
      <c r="DX698" s="11"/>
      <c r="DY698" s="11"/>
      <c r="DZ698" s="11"/>
      <c r="EA698" s="11"/>
      <c r="EB698" s="11"/>
      <c r="EC698" s="11"/>
      <c r="ED698" s="11"/>
      <c r="EE698" s="11"/>
      <c r="EF698" s="11"/>
      <c r="EG698" s="11"/>
      <c r="EH698" s="11"/>
      <c r="EI698" s="11"/>
      <c r="EJ698" s="11"/>
      <c r="EK698" s="11"/>
      <c r="EL698" s="11"/>
      <c r="EM698" s="11"/>
      <c r="EN698" s="11"/>
      <c r="EO698" s="11"/>
      <c r="EP698" s="11"/>
      <c r="EQ698" s="11"/>
      <c r="ER698" s="11"/>
      <c r="ES698" s="11"/>
      <c r="ET698" s="11"/>
      <c r="EU698" s="11"/>
      <c r="EV698" s="11"/>
      <c r="EW698" s="11"/>
      <c r="EX698" s="11"/>
      <c r="EY698" s="11"/>
      <c r="EZ698" s="11"/>
      <c r="FA698" s="11"/>
      <c r="FB698" s="11"/>
      <c r="FC698" s="11"/>
      <c r="FD698" s="11"/>
      <c r="FE698" s="11"/>
      <c r="FF698" s="11"/>
      <c r="FG698" s="11"/>
      <c r="FH698" s="39">
        <f t="shared" si="160"/>
        <v>5215000</v>
      </c>
      <c r="FI698" s="33">
        <f t="shared" si="161"/>
        <v>2</v>
      </c>
      <c r="FJ698" s="84">
        <f t="shared" si="162"/>
        <v>2607500</v>
      </c>
    </row>
    <row r="699" spans="1:166" ht="13.5" x14ac:dyDescent="0.25">
      <c r="A699" s="79" t="e">
        <f>#REF!</f>
        <v>#REF!</v>
      </c>
      <c r="B699" s="75" t="e">
        <f>#REF!</f>
        <v>#REF!</v>
      </c>
      <c r="C699" s="75" t="e">
        <f>#REF!</f>
        <v>#REF!</v>
      </c>
      <c r="D699" s="75" t="e">
        <f>#REF!</f>
        <v>#REF!</v>
      </c>
      <c r="E699" s="30">
        <v>1</v>
      </c>
      <c r="F699" s="238">
        <v>0</v>
      </c>
      <c r="G699" s="241">
        <v>0</v>
      </c>
      <c r="H699" s="249">
        <v>0</v>
      </c>
      <c r="I699" s="249">
        <v>0</v>
      </c>
      <c r="J699" s="249">
        <v>0</v>
      </c>
      <c r="K699" s="249">
        <v>0</v>
      </c>
      <c r="L699" s="274"/>
      <c r="M699" s="274"/>
      <c r="N699" s="246"/>
      <c r="O699" s="118"/>
      <c r="P699" s="118"/>
      <c r="Q699" s="52"/>
      <c r="R699" s="52"/>
      <c r="S699" s="5"/>
      <c r="T699" s="118"/>
      <c r="U699" s="118"/>
      <c r="V699" s="118"/>
      <c r="W699" s="11"/>
      <c r="X699" s="11"/>
      <c r="Y699" s="11"/>
      <c r="Z699" s="118"/>
      <c r="AA699" s="118"/>
      <c r="AB699" s="118"/>
      <c r="AC699" s="52"/>
      <c r="AD699" s="52"/>
      <c r="AE699" s="11"/>
      <c r="AF699" s="118"/>
      <c r="AG699" s="118"/>
      <c r="AH699" s="118"/>
      <c r="AI699" s="11"/>
      <c r="AJ699" s="11"/>
      <c r="AK699" s="11"/>
      <c r="AL699" s="118"/>
      <c r="AM699" s="118"/>
      <c r="AN699" s="118"/>
      <c r="AO699" s="76"/>
      <c r="AP699" s="11"/>
      <c r="AQ699" s="11"/>
      <c r="AR699" s="274"/>
      <c r="AS699" s="274"/>
      <c r="AT699" s="274"/>
      <c r="AU699" s="62"/>
      <c r="AV699" s="48"/>
      <c r="AW699" s="11"/>
      <c r="AX699" s="274"/>
      <c r="AY699" s="274"/>
      <c r="AZ699" s="274"/>
      <c r="BA699" s="11"/>
      <c r="BB699" s="11"/>
      <c r="BC699" s="11"/>
      <c r="BD699" s="274"/>
      <c r="BE699" s="274"/>
      <c r="BF699" s="274"/>
      <c r="BG699" s="11"/>
      <c r="BH699" s="11"/>
      <c r="BI699" s="11"/>
      <c r="BJ699" s="274"/>
      <c r="BK699" s="274"/>
      <c r="BL699" s="274"/>
      <c r="BM699" s="11"/>
      <c r="BN699" s="11"/>
      <c r="BO699" s="11"/>
      <c r="BP699" s="274"/>
      <c r="BQ699" s="11"/>
      <c r="BR699" s="11"/>
      <c r="BS699" s="11"/>
      <c r="BT699" s="11"/>
      <c r="BU699" s="11"/>
      <c r="BV699" s="268">
        <v>5000000</v>
      </c>
      <c r="BW699" s="144">
        <f t="shared" si="171"/>
        <v>0</v>
      </c>
      <c r="BX699" s="113">
        <f t="shared" si="166"/>
        <v>5000000</v>
      </c>
      <c r="BY699" s="272" t="s">
        <v>419</v>
      </c>
      <c r="BZ699" s="272" t="s">
        <v>131</v>
      </c>
      <c r="CA699" s="11"/>
      <c r="CB699" s="274"/>
      <c r="CC699" s="274"/>
      <c r="CD699" s="274"/>
      <c r="CE699" s="11"/>
      <c r="CF699" s="11"/>
      <c r="CG699" s="11"/>
      <c r="CH699" s="268">
        <v>10173124</v>
      </c>
      <c r="CI699" s="265">
        <f>+CH699*0</f>
        <v>0</v>
      </c>
      <c r="CJ699" s="263">
        <f>+CH699+CI699</f>
        <v>10173124</v>
      </c>
      <c r="CK699" s="272" t="s">
        <v>419</v>
      </c>
      <c r="CL699" s="272" t="s">
        <v>131</v>
      </c>
      <c r="CM699" s="11"/>
      <c r="CN699" s="274"/>
      <c r="CO699" s="274"/>
      <c r="CP699" s="274"/>
      <c r="CQ699" s="11"/>
      <c r="CR699" s="11"/>
      <c r="CS699" s="11"/>
      <c r="CT699" s="274"/>
      <c r="CU699" s="274"/>
      <c r="CV699" s="274"/>
      <c r="CW699" s="11"/>
      <c r="CX699" s="11"/>
      <c r="CY699" s="11"/>
      <c r="CZ699" s="118"/>
      <c r="DA699" s="118"/>
      <c r="DB699" s="118"/>
      <c r="DC699" s="33"/>
      <c r="DD699" s="11"/>
      <c r="DE699" s="11"/>
      <c r="DF699" s="11"/>
      <c r="DG699" s="11"/>
      <c r="DH699" s="11"/>
      <c r="DI699" s="11"/>
      <c r="DJ699" s="11"/>
      <c r="DK699" s="11"/>
      <c r="DL699" s="11"/>
      <c r="DM699" s="11"/>
      <c r="DN699" s="11"/>
      <c r="DO699" s="11"/>
      <c r="DP699" s="11"/>
      <c r="DQ699" s="11"/>
      <c r="DR699" s="11"/>
      <c r="DS699" s="11"/>
      <c r="DT699" s="11"/>
      <c r="DU699" s="11"/>
      <c r="DV699" s="11"/>
      <c r="DW699" s="11"/>
      <c r="DX699" s="11"/>
      <c r="DY699" s="11"/>
      <c r="DZ699" s="11"/>
      <c r="EA699" s="11"/>
      <c r="EB699" s="11"/>
      <c r="EC699" s="11"/>
      <c r="ED699" s="11"/>
      <c r="EE699" s="11"/>
      <c r="EF699" s="11"/>
      <c r="EG699" s="11"/>
      <c r="EH699" s="11"/>
      <c r="EI699" s="11"/>
      <c r="EJ699" s="11"/>
      <c r="EK699" s="11"/>
      <c r="EL699" s="11"/>
      <c r="EM699" s="11"/>
      <c r="EN699" s="11"/>
      <c r="EO699" s="11"/>
      <c r="EP699" s="11"/>
      <c r="EQ699" s="11"/>
      <c r="ER699" s="11"/>
      <c r="ES699" s="11"/>
      <c r="ET699" s="11"/>
      <c r="EU699" s="11"/>
      <c r="EV699" s="11"/>
      <c r="EW699" s="11"/>
      <c r="EX699" s="11"/>
      <c r="EY699" s="11"/>
      <c r="EZ699" s="11"/>
      <c r="FA699" s="11"/>
      <c r="FB699" s="11"/>
      <c r="FC699" s="11"/>
      <c r="FD699" s="11"/>
      <c r="FE699" s="11"/>
      <c r="FF699" s="11"/>
      <c r="FG699" s="11"/>
      <c r="FH699" s="39">
        <f t="shared" si="160"/>
        <v>15173124</v>
      </c>
      <c r="FI699" s="33">
        <f t="shared" si="161"/>
        <v>2</v>
      </c>
      <c r="FJ699" s="84">
        <f t="shared" si="162"/>
        <v>7586562</v>
      </c>
    </row>
    <row r="700" spans="1:166" ht="13.5" x14ac:dyDescent="0.25">
      <c r="A700" s="79" t="e">
        <f>#REF!</f>
        <v>#REF!</v>
      </c>
      <c r="B700" s="75" t="e">
        <f>#REF!</f>
        <v>#REF!</v>
      </c>
      <c r="C700" s="75" t="e">
        <f>#REF!</f>
        <v>#REF!</v>
      </c>
      <c r="D700" s="75" t="e">
        <f>#REF!</f>
        <v>#REF!</v>
      </c>
      <c r="E700" s="30">
        <v>1</v>
      </c>
      <c r="F700" s="238">
        <v>0</v>
      </c>
      <c r="G700" s="241">
        <v>0</v>
      </c>
      <c r="H700" s="249">
        <v>0</v>
      </c>
      <c r="I700" s="249">
        <v>0</v>
      </c>
      <c r="J700" s="249">
        <v>0</v>
      </c>
      <c r="K700" s="249">
        <v>0</v>
      </c>
      <c r="L700" s="274"/>
      <c r="M700" s="274"/>
      <c r="N700" s="246"/>
      <c r="O700" s="118"/>
      <c r="P700" s="118"/>
      <c r="Q700" s="52"/>
      <c r="R700" s="52"/>
      <c r="S700" s="5"/>
      <c r="T700" s="118"/>
      <c r="U700" s="118"/>
      <c r="V700" s="118"/>
      <c r="W700" s="11"/>
      <c r="X700" s="11"/>
      <c r="Y700" s="11"/>
      <c r="Z700" s="118"/>
      <c r="AA700" s="118"/>
      <c r="AB700" s="118"/>
      <c r="AC700" s="52"/>
      <c r="AD700" s="52"/>
      <c r="AE700" s="11"/>
      <c r="AF700" s="118"/>
      <c r="AG700" s="118"/>
      <c r="AH700" s="118"/>
      <c r="AI700" s="11"/>
      <c r="AJ700" s="11"/>
      <c r="AK700" s="11"/>
      <c r="AL700" s="118"/>
      <c r="AM700" s="118"/>
      <c r="AN700" s="118"/>
      <c r="AO700" s="76"/>
      <c r="AP700" s="11"/>
      <c r="AQ700" s="11"/>
      <c r="AR700" s="274"/>
      <c r="AS700" s="274"/>
      <c r="AT700" s="274"/>
      <c r="AU700" s="62"/>
      <c r="AV700" s="48"/>
      <c r="AW700" s="11"/>
      <c r="AX700" s="274"/>
      <c r="AY700" s="274"/>
      <c r="AZ700" s="274"/>
      <c r="BA700" s="11"/>
      <c r="BB700" s="11"/>
      <c r="BC700" s="11"/>
      <c r="BD700" s="274"/>
      <c r="BE700" s="274"/>
      <c r="BF700" s="274"/>
      <c r="BG700" s="11"/>
      <c r="BH700" s="11"/>
      <c r="BI700" s="11"/>
      <c r="BJ700" s="274"/>
      <c r="BK700" s="274"/>
      <c r="BL700" s="274"/>
      <c r="BM700" s="11"/>
      <c r="BN700" s="11"/>
      <c r="BO700" s="11"/>
      <c r="BP700" s="274"/>
      <c r="BQ700" s="11"/>
      <c r="BR700" s="11"/>
      <c r="BS700" s="11"/>
      <c r="BT700" s="11"/>
      <c r="BU700" s="11"/>
      <c r="BV700" s="268">
        <v>4400000</v>
      </c>
      <c r="BW700" s="144">
        <f t="shared" si="171"/>
        <v>0</v>
      </c>
      <c r="BX700" s="113">
        <f t="shared" si="166"/>
        <v>4400000</v>
      </c>
      <c r="BY700" s="272" t="s">
        <v>419</v>
      </c>
      <c r="BZ700" s="272" t="s">
        <v>217</v>
      </c>
      <c r="CA700" s="11"/>
      <c r="CB700" s="274"/>
      <c r="CC700" s="274"/>
      <c r="CD700" s="274"/>
      <c r="CE700" s="11"/>
      <c r="CF700" s="11"/>
      <c r="CG700" s="11"/>
      <c r="CH700" s="268">
        <v>9199380</v>
      </c>
      <c r="CI700" s="265">
        <f>+CH700*0</f>
        <v>0</v>
      </c>
      <c r="CJ700" s="263">
        <f>+CH700+CI700</f>
        <v>9199380</v>
      </c>
      <c r="CK700" s="272" t="s">
        <v>419</v>
      </c>
      <c r="CL700" s="272" t="s">
        <v>217</v>
      </c>
      <c r="CM700" s="11"/>
      <c r="CN700" s="274"/>
      <c r="CO700" s="274"/>
      <c r="CP700" s="274"/>
      <c r="CQ700" s="11"/>
      <c r="CR700" s="11"/>
      <c r="CS700" s="11"/>
      <c r="CT700" s="274"/>
      <c r="CU700" s="274"/>
      <c r="CV700" s="274"/>
      <c r="CW700" s="11"/>
      <c r="CX700" s="11"/>
      <c r="CY700" s="11"/>
      <c r="CZ700" s="118"/>
      <c r="DA700" s="118"/>
      <c r="DB700" s="118"/>
      <c r="DC700" s="33"/>
      <c r="DD700" s="11"/>
      <c r="DE700" s="11"/>
      <c r="DF700" s="11"/>
      <c r="DG700" s="11"/>
      <c r="DH700" s="11"/>
      <c r="DI700" s="11"/>
      <c r="DJ700" s="11"/>
      <c r="DK700" s="11"/>
      <c r="DL700" s="11"/>
      <c r="DM700" s="11"/>
      <c r="DN700" s="11"/>
      <c r="DO700" s="11"/>
      <c r="DP700" s="11"/>
      <c r="DQ700" s="11"/>
      <c r="DR700" s="11"/>
      <c r="DS700" s="11"/>
      <c r="DT700" s="11"/>
      <c r="DU700" s="11"/>
      <c r="DV700" s="11"/>
      <c r="DW700" s="11"/>
      <c r="DX700" s="11"/>
      <c r="DY700" s="11"/>
      <c r="DZ700" s="11"/>
      <c r="EA700" s="11"/>
      <c r="EB700" s="11"/>
      <c r="EC700" s="11"/>
      <c r="ED700" s="11"/>
      <c r="EE700" s="11"/>
      <c r="EF700" s="11"/>
      <c r="EG700" s="11"/>
      <c r="EH700" s="11"/>
      <c r="EI700" s="11"/>
      <c r="EJ700" s="11"/>
      <c r="EK700" s="11"/>
      <c r="EL700" s="11"/>
      <c r="EM700" s="11"/>
      <c r="EN700" s="11"/>
      <c r="EO700" s="11"/>
      <c r="EP700" s="11"/>
      <c r="EQ700" s="11"/>
      <c r="ER700" s="11"/>
      <c r="ES700" s="11"/>
      <c r="ET700" s="11"/>
      <c r="EU700" s="11"/>
      <c r="EV700" s="11"/>
      <c r="EW700" s="11"/>
      <c r="EX700" s="11"/>
      <c r="EY700" s="11"/>
      <c r="EZ700" s="11"/>
      <c r="FA700" s="11"/>
      <c r="FB700" s="11"/>
      <c r="FC700" s="11"/>
      <c r="FD700" s="11"/>
      <c r="FE700" s="11"/>
      <c r="FF700" s="11"/>
      <c r="FG700" s="11"/>
      <c r="FH700" s="39">
        <f t="shared" si="160"/>
        <v>13599380</v>
      </c>
      <c r="FI700" s="33">
        <f t="shared" si="161"/>
        <v>2</v>
      </c>
      <c r="FJ700" s="84">
        <f t="shared" si="162"/>
        <v>6799690</v>
      </c>
    </row>
    <row r="701" spans="1:166" ht="13.5" x14ac:dyDescent="0.25">
      <c r="A701" s="79" t="e">
        <f>#REF!</f>
        <v>#REF!</v>
      </c>
      <c r="B701" s="75" t="e">
        <f>#REF!</f>
        <v>#REF!</v>
      </c>
      <c r="C701" s="75" t="e">
        <f>#REF!</f>
        <v>#REF!</v>
      </c>
      <c r="D701" s="75" t="e">
        <f>#REF!</f>
        <v>#REF!</v>
      </c>
      <c r="E701" s="30">
        <v>1</v>
      </c>
      <c r="F701" s="238">
        <v>0</v>
      </c>
      <c r="G701" s="241">
        <v>0</v>
      </c>
      <c r="H701" s="249">
        <v>0</v>
      </c>
      <c r="I701" s="249">
        <v>0</v>
      </c>
      <c r="J701" s="249">
        <v>0</v>
      </c>
      <c r="K701" s="249">
        <v>0</v>
      </c>
      <c r="L701" s="274"/>
      <c r="M701" s="274"/>
      <c r="N701" s="247">
        <v>1115000</v>
      </c>
      <c r="O701" s="113">
        <f>+N701*0</f>
        <v>0</v>
      </c>
      <c r="P701" s="113">
        <f>+O701+N701</f>
        <v>1115000</v>
      </c>
      <c r="Q701" s="36" t="s">
        <v>547</v>
      </c>
      <c r="R701" s="132" t="s">
        <v>200</v>
      </c>
      <c r="S701" s="5" t="s">
        <v>216</v>
      </c>
      <c r="T701" s="118"/>
      <c r="U701" s="118"/>
      <c r="V701" s="118"/>
      <c r="W701" s="11"/>
      <c r="X701" s="11"/>
      <c r="Y701" s="11"/>
      <c r="Z701" s="118"/>
      <c r="AA701" s="118"/>
      <c r="AB701" s="118"/>
      <c r="AC701" s="52"/>
      <c r="AD701" s="52"/>
      <c r="AE701" s="11"/>
      <c r="AF701" s="118"/>
      <c r="AG701" s="118"/>
      <c r="AH701" s="118"/>
      <c r="AI701" s="11"/>
      <c r="AJ701" s="11"/>
      <c r="AK701" s="11"/>
      <c r="AL701" s="118"/>
      <c r="AM701" s="118"/>
      <c r="AN701" s="118"/>
      <c r="AO701" s="76"/>
      <c r="AP701" s="11"/>
      <c r="AQ701" s="11"/>
      <c r="AR701" s="274"/>
      <c r="AS701" s="274"/>
      <c r="AT701" s="274"/>
      <c r="AU701" s="62"/>
      <c r="AV701" s="48"/>
      <c r="AW701" s="11"/>
      <c r="AX701" s="274"/>
      <c r="AY701" s="274"/>
      <c r="AZ701" s="274"/>
      <c r="BA701" s="11"/>
      <c r="BB701" s="11"/>
      <c r="BC701" s="11"/>
      <c r="BD701" s="274"/>
      <c r="BE701" s="274"/>
      <c r="BF701" s="274"/>
      <c r="BG701" s="11"/>
      <c r="BH701" s="11"/>
      <c r="BI701" s="11"/>
      <c r="BJ701" s="274"/>
      <c r="BK701" s="274"/>
      <c r="BL701" s="274"/>
      <c r="BM701" s="11"/>
      <c r="BN701" s="11"/>
      <c r="BO701" s="11"/>
      <c r="BP701" s="274"/>
      <c r="BQ701" s="11"/>
      <c r="BR701" s="11"/>
      <c r="BS701" s="11"/>
      <c r="BT701" s="11"/>
      <c r="BU701" s="11"/>
      <c r="BV701" s="268">
        <v>1800000</v>
      </c>
      <c r="BW701" s="144">
        <f t="shared" si="171"/>
        <v>0</v>
      </c>
      <c r="BX701" s="113">
        <f t="shared" si="166"/>
        <v>1800000</v>
      </c>
      <c r="BY701" s="272" t="s">
        <v>419</v>
      </c>
      <c r="BZ701" s="272" t="s">
        <v>131</v>
      </c>
      <c r="CA701" s="11"/>
      <c r="CB701" s="274"/>
      <c r="CC701" s="274"/>
      <c r="CD701" s="274"/>
      <c r="CE701" s="11"/>
      <c r="CF701" s="11"/>
      <c r="CG701" s="11"/>
      <c r="CH701" s="268">
        <v>3979836</v>
      </c>
      <c r="CI701" s="265">
        <f>+CH701*0</f>
        <v>0</v>
      </c>
      <c r="CJ701" s="263">
        <f>+CH701+CI701</f>
        <v>3979836</v>
      </c>
      <c r="CK701" s="272" t="s">
        <v>419</v>
      </c>
      <c r="CL701" s="272" t="s">
        <v>131</v>
      </c>
      <c r="CM701" s="11"/>
      <c r="CN701" s="274"/>
      <c r="CO701" s="274"/>
      <c r="CP701" s="274"/>
      <c r="CQ701" s="11"/>
      <c r="CR701" s="11"/>
      <c r="CS701" s="11"/>
      <c r="CT701" s="274"/>
      <c r="CU701" s="274"/>
      <c r="CV701" s="274"/>
      <c r="CW701" s="11"/>
      <c r="CX701" s="11"/>
      <c r="CY701" s="11"/>
      <c r="CZ701" s="118"/>
      <c r="DA701" s="118"/>
      <c r="DB701" s="118"/>
      <c r="DC701" s="33"/>
      <c r="DD701" s="11"/>
      <c r="DE701" s="11"/>
      <c r="DF701" s="11"/>
      <c r="DG701" s="11"/>
      <c r="DH701" s="11"/>
      <c r="DI701" s="11"/>
      <c r="DJ701" s="11"/>
      <c r="DK701" s="11"/>
      <c r="DL701" s="11"/>
      <c r="DM701" s="11"/>
      <c r="DN701" s="11"/>
      <c r="DO701" s="11"/>
      <c r="DP701" s="11"/>
      <c r="DQ701" s="11"/>
      <c r="DR701" s="11"/>
      <c r="DS701" s="11"/>
      <c r="DT701" s="11"/>
      <c r="DU701" s="11"/>
      <c r="DV701" s="11"/>
      <c r="DW701" s="11"/>
      <c r="DX701" s="11"/>
      <c r="DY701" s="11"/>
      <c r="DZ701" s="11"/>
      <c r="EA701" s="11"/>
      <c r="EB701" s="11"/>
      <c r="EC701" s="11"/>
      <c r="ED701" s="11"/>
      <c r="EE701" s="11"/>
      <c r="EF701" s="11"/>
      <c r="EG701" s="11"/>
      <c r="EH701" s="11"/>
      <c r="EI701" s="11"/>
      <c r="EJ701" s="11"/>
      <c r="EK701" s="11"/>
      <c r="EL701" s="11"/>
      <c r="EM701" s="11"/>
      <c r="EN701" s="11"/>
      <c r="EO701" s="11"/>
      <c r="EP701" s="11"/>
      <c r="EQ701" s="11"/>
      <c r="ER701" s="11"/>
      <c r="ES701" s="11"/>
      <c r="ET701" s="11"/>
      <c r="EU701" s="11"/>
      <c r="EV701" s="11"/>
      <c r="EW701" s="11"/>
      <c r="EX701" s="11"/>
      <c r="EY701" s="11"/>
      <c r="EZ701" s="11"/>
      <c r="FA701" s="11"/>
      <c r="FB701" s="11"/>
      <c r="FC701" s="11"/>
      <c r="FD701" s="11"/>
      <c r="FE701" s="11"/>
      <c r="FF701" s="11"/>
      <c r="FG701" s="11"/>
      <c r="FH701" s="39">
        <f t="shared" si="160"/>
        <v>6894836</v>
      </c>
      <c r="FI701" s="33">
        <f t="shared" si="161"/>
        <v>3</v>
      </c>
      <c r="FJ701" s="84">
        <f t="shared" si="162"/>
        <v>2298278.6666666665</v>
      </c>
    </row>
    <row r="702" spans="1:166" ht="13.5" x14ac:dyDescent="0.25">
      <c r="A702" s="79" t="e">
        <f>#REF!</f>
        <v>#REF!</v>
      </c>
      <c r="B702" s="75" t="e">
        <f>#REF!</f>
        <v>#REF!</v>
      </c>
      <c r="C702" s="75" t="e">
        <f>#REF!</f>
        <v>#REF!</v>
      </c>
      <c r="D702" s="75" t="e">
        <f>#REF!</f>
        <v>#REF!</v>
      </c>
      <c r="E702" s="30">
        <v>1</v>
      </c>
      <c r="F702" s="238">
        <v>0</v>
      </c>
      <c r="G702" s="241">
        <v>0</v>
      </c>
      <c r="H702" s="249">
        <v>0</v>
      </c>
      <c r="I702" s="249">
        <v>0</v>
      </c>
      <c r="J702" s="249">
        <v>0</v>
      </c>
      <c r="K702" s="249">
        <v>0</v>
      </c>
      <c r="L702" s="274"/>
      <c r="M702" s="274"/>
      <c r="N702" s="247">
        <v>1115000</v>
      </c>
      <c r="O702" s="113">
        <f>+N702*0</f>
        <v>0</v>
      </c>
      <c r="P702" s="113">
        <f>+O702+N702</f>
        <v>1115000</v>
      </c>
      <c r="Q702" s="36" t="s">
        <v>547</v>
      </c>
      <c r="R702" s="132" t="s">
        <v>200</v>
      </c>
      <c r="S702" s="5" t="s">
        <v>216</v>
      </c>
      <c r="T702" s="118"/>
      <c r="U702" s="118"/>
      <c r="V702" s="118"/>
      <c r="W702" s="11"/>
      <c r="X702" s="11"/>
      <c r="Y702" s="11"/>
      <c r="Z702" s="118"/>
      <c r="AA702" s="118"/>
      <c r="AB702" s="118"/>
      <c r="AC702" s="52"/>
      <c r="AD702" s="52"/>
      <c r="AE702" s="11"/>
      <c r="AF702" s="118"/>
      <c r="AG702" s="118"/>
      <c r="AH702" s="118"/>
      <c r="AI702" s="11"/>
      <c r="AJ702" s="11"/>
      <c r="AK702" s="11"/>
      <c r="AL702" s="118"/>
      <c r="AM702" s="118"/>
      <c r="AN702" s="118"/>
      <c r="AO702" s="76"/>
      <c r="AP702" s="11"/>
      <c r="AQ702" s="11"/>
      <c r="AR702" s="274"/>
      <c r="AS702" s="274"/>
      <c r="AT702" s="274"/>
      <c r="AU702" s="62"/>
      <c r="AV702" s="48"/>
      <c r="AW702" s="11"/>
      <c r="AX702" s="274"/>
      <c r="AY702" s="274"/>
      <c r="AZ702" s="274"/>
      <c r="BA702" s="11"/>
      <c r="BB702" s="11"/>
      <c r="BC702" s="11"/>
      <c r="BD702" s="274"/>
      <c r="BE702" s="274"/>
      <c r="BF702" s="274"/>
      <c r="BG702" s="11"/>
      <c r="BH702" s="11"/>
      <c r="BI702" s="11"/>
      <c r="BJ702" s="274"/>
      <c r="BK702" s="274"/>
      <c r="BL702" s="274"/>
      <c r="BM702" s="11"/>
      <c r="BN702" s="11"/>
      <c r="BO702" s="11"/>
      <c r="BP702" s="274"/>
      <c r="BQ702" s="11"/>
      <c r="BR702" s="11"/>
      <c r="BS702" s="11"/>
      <c r="BT702" s="11"/>
      <c r="BU702" s="11"/>
      <c r="BV702" s="268">
        <v>3200000</v>
      </c>
      <c r="BW702" s="144">
        <f t="shared" si="171"/>
        <v>0</v>
      </c>
      <c r="BX702" s="113">
        <f t="shared" si="166"/>
        <v>3200000</v>
      </c>
      <c r="BY702" s="272" t="s">
        <v>419</v>
      </c>
      <c r="BZ702" s="272" t="s">
        <v>131</v>
      </c>
      <c r="CA702" s="11"/>
      <c r="CB702" s="274"/>
      <c r="CC702" s="274"/>
      <c r="CD702" s="274"/>
      <c r="CE702" s="11"/>
      <c r="CF702" s="11"/>
      <c r="CG702" s="11"/>
      <c r="CH702" s="268"/>
      <c r="CI702" s="265"/>
      <c r="CJ702" s="263"/>
      <c r="CK702" s="272"/>
      <c r="CL702" s="272"/>
      <c r="CM702" s="11"/>
      <c r="CN702" s="274"/>
      <c r="CO702" s="274"/>
      <c r="CP702" s="274"/>
      <c r="CQ702" s="11"/>
      <c r="CR702" s="11"/>
      <c r="CS702" s="11"/>
      <c r="CT702" s="274"/>
      <c r="CU702" s="274"/>
      <c r="CV702" s="274"/>
      <c r="CW702" s="11"/>
      <c r="CX702" s="11"/>
      <c r="CY702" s="11"/>
      <c r="CZ702" s="118"/>
      <c r="DA702" s="118"/>
      <c r="DB702" s="118"/>
      <c r="DC702" s="33"/>
      <c r="DD702" s="11"/>
      <c r="DE702" s="11"/>
      <c r="DF702" s="11"/>
      <c r="DG702" s="11"/>
      <c r="DH702" s="11"/>
      <c r="DI702" s="11"/>
      <c r="DJ702" s="11"/>
      <c r="DK702" s="11"/>
      <c r="DL702" s="11"/>
      <c r="DM702" s="11"/>
      <c r="DN702" s="11"/>
      <c r="DO702" s="11"/>
      <c r="DP702" s="11"/>
      <c r="DQ702" s="11"/>
      <c r="DR702" s="11"/>
      <c r="DS702" s="11"/>
      <c r="DT702" s="11"/>
      <c r="DU702" s="11"/>
      <c r="DV702" s="11"/>
      <c r="DW702" s="11"/>
      <c r="DX702" s="11"/>
      <c r="DY702" s="11"/>
      <c r="DZ702" s="11"/>
      <c r="EA702" s="11"/>
      <c r="EB702" s="11"/>
      <c r="EC702" s="11"/>
      <c r="ED702" s="11"/>
      <c r="EE702" s="11"/>
      <c r="EF702" s="11"/>
      <c r="EG702" s="11"/>
      <c r="EH702" s="11"/>
      <c r="EI702" s="11"/>
      <c r="EJ702" s="11"/>
      <c r="EK702" s="11"/>
      <c r="EL702" s="11"/>
      <c r="EM702" s="11"/>
      <c r="EN702" s="11"/>
      <c r="EO702" s="11"/>
      <c r="EP702" s="11"/>
      <c r="EQ702" s="11"/>
      <c r="ER702" s="11"/>
      <c r="ES702" s="11"/>
      <c r="ET702" s="11"/>
      <c r="EU702" s="11"/>
      <c r="EV702" s="11"/>
      <c r="EW702" s="11"/>
      <c r="EX702" s="11"/>
      <c r="EY702" s="11"/>
      <c r="EZ702" s="11"/>
      <c r="FA702" s="11"/>
      <c r="FB702" s="11"/>
      <c r="FC702" s="11"/>
      <c r="FD702" s="11"/>
      <c r="FE702" s="11"/>
      <c r="FF702" s="11"/>
      <c r="FG702" s="11"/>
      <c r="FH702" s="39">
        <f t="shared" si="160"/>
        <v>4315000</v>
      </c>
      <c r="FI702" s="33">
        <f t="shared" si="161"/>
        <v>2</v>
      </c>
      <c r="FJ702" s="84">
        <f t="shared" si="162"/>
        <v>2157500</v>
      </c>
    </row>
    <row r="703" spans="1:166" ht="13.5" x14ac:dyDescent="0.25">
      <c r="A703" s="79" t="e">
        <f>#REF!</f>
        <v>#REF!</v>
      </c>
      <c r="B703" s="75" t="e">
        <f>#REF!</f>
        <v>#REF!</v>
      </c>
      <c r="C703" s="75" t="e">
        <f>#REF!</f>
        <v>#REF!</v>
      </c>
      <c r="D703" s="75" t="e">
        <f>#REF!</f>
        <v>#REF!</v>
      </c>
      <c r="E703" s="30">
        <v>1</v>
      </c>
      <c r="F703" s="238">
        <v>0</v>
      </c>
      <c r="G703" s="241">
        <v>0</v>
      </c>
      <c r="H703" s="249">
        <v>0</v>
      </c>
      <c r="I703" s="249">
        <v>0</v>
      </c>
      <c r="J703" s="249">
        <v>0</v>
      </c>
      <c r="K703" s="249">
        <v>0</v>
      </c>
      <c r="L703" s="274"/>
      <c r="M703" s="274"/>
      <c r="N703" s="246"/>
      <c r="O703" s="118"/>
      <c r="P703" s="118"/>
      <c r="Q703" s="52"/>
      <c r="R703" s="52"/>
      <c r="S703" s="5"/>
      <c r="T703" s="118"/>
      <c r="U703" s="118"/>
      <c r="V703" s="118"/>
      <c r="W703" s="11"/>
      <c r="X703" s="11"/>
      <c r="Y703" s="11"/>
      <c r="Z703" s="118"/>
      <c r="AA703" s="118"/>
      <c r="AB703" s="118"/>
      <c r="AC703" s="52"/>
      <c r="AD703" s="52"/>
      <c r="AE703" s="11"/>
      <c r="AF703" s="118"/>
      <c r="AG703" s="118"/>
      <c r="AH703" s="118"/>
      <c r="AI703" s="11"/>
      <c r="AJ703" s="11"/>
      <c r="AK703" s="11"/>
      <c r="AL703" s="118"/>
      <c r="AM703" s="118"/>
      <c r="AN703" s="118"/>
      <c r="AO703" s="76"/>
      <c r="AP703" s="11"/>
      <c r="AQ703" s="11"/>
      <c r="AR703" s="274"/>
      <c r="AS703" s="274"/>
      <c r="AT703" s="274"/>
      <c r="AU703" s="62"/>
      <c r="AV703" s="48"/>
      <c r="AW703" s="11"/>
      <c r="AX703" s="274"/>
      <c r="AY703" s="274"/>
      <c r="AZ703" s="274"/>
      <c r="BA703" s="11"/>
      <c r="BB703" s="11"/>
      <c r="BC703" s="11"/>
      <c r="BD703" s="274"/>
      <c r="BE703" s="274"/>
      <c r="BF703" s="274"/>
      <c r="BG703" s="11"/>
      <c r="BH703" s="11"/>
      <c r="BI703" s="11"/>
      <c r="BJ703" s="274"/>
      <c r="BK703" s="274"/>
      <c r="BL703" s="274"/>
      <c r="BM703" s="11"/>
      <c r="BN703" s="11"/>
      <c r="BO703" s="11"/>
      <c r="BP703" s="274"/>
      <c r="BQ703" s="11"/>
      <c r="BR703" s="11"/>
      <c r="BS703" s="11"/>
      <c r="BT703" s="11"/>
      <c r="BU703" s="11"/>
      <c r="BV703" s="268">
        <v>2400000</v>
      </c>
      <c r="BW703" s="144">
        <f t="shared" si="171"/>
        <v>0</v>
      </c>
      <c r="BX703" s="113">
        <f t="shared" si="166"/>
        <v>2400000</v>
      </c>
      <c r="BY703" s="272" t="s">
        <v>419</v>
      </c>
      <c r="BZ703" s="272" t="s">
        <v>131</v>
      </c>
      <c r="CA703" s="11"/>
      <c r="CB703" s="274"/>
      <c r="CC703" s="274"/>
      <c r="CD703" s="274"/>
      <c r="CE703" s="11"/>
      <c r="CF703" s="11"/>
      <c r="CG703" s="11"/>
      <c r="CH703" s="268">
        <v>4933446</v>
      </c>
      <c r="CI703" s="265">
        <f>+CH703*0</f>
        <v>0</v>
      </c>
      <c r="CJ703" s="263">
        <f>+CH703+CI703</f>
        <v>4933446</v>
      </c>
      <c r="CK703" s="272" t="s">
        <v>419</v>
      </c>
      <c r="CL703" s="272" t="s">
        <v>131</v>
      </c>
      <c r="CM703" s="11"/>
      <c r="CN703" s="274"/>
      <c r="CO703" s="274"/>
      <c r="CP703" s="274"/>
      <c r="CQ703" s="11"/>
      <c r="CR703" s="11"/>
      <c r="CS703" s="11"/>
      <c r="CT703" s="274"/>
      <c r="CU703" s="274"/>
      <c r="CV703" s="274"/>
      <c r="CW703" s="11"/>
      <c r="CX703" s="11"/>
      <c r="CY703" s="11"/>
      <c r="CZ703" s="118"/>
      <c r="DA703" s="118"/>
      <c r="DB703" s="118"/>
      <c r="DC703" s="33"/>
      <c r="DD703" s="11"/>
      <c r="DE703" s="11"/>
      <c r="DF703" s="11"/>
      <c r="DG703" s="11"/>
      <c r="DH703" s="11"/>
      <c r="DI703" s="11"/>
      <c r="DJ703" s="11"/>
      <c r="DK703" s="11"/>
      <c r="DL703" s="11"/>
      <c r="DM703" s="11"/>
      <c r="DN703" s="11"/>
      <c r="DO703" s="11"/>
      <c r="DP703" s="11"/>
      <c r="DQ703" s="11"/>
      <c r="DR703" s="11"/>
      <c r="DS703" s="11"/>
      <c r="DT703" s="11"/>
      <c r="DU703" s="11"/>
      <c r="DV703" s="11"/>
      <c r="DW703" s="11"/>
      <c r="DX703" s="11"/>
      <c r="DY703" s="11"/>
      <c r="DZ703" s="11"/>
      <c r="EA703" s="11"/>
      <c r="EB703" s="11"/>
      <c r="EC703" s="11"/>
      <c r="ED703" s="11"/>
      <c r="EE703" s="11"/>
      <c r="EF703" s="11"/>
      <c r="EG703" s="11"/>
      <c r="EH703" s="11"/>
      <c r="EI703" s="11"/>
      <c r="EJ703" s="11"/>
      <c r="EK703" s="11"/>
      <c r="EL703" s="11"/>
      <c r="EM703" s="11"/>
      <c r="EN703" s="11"/>
      <c r="EO703" s="11"/>
      <c r="EP703" s="11"/>
      <c r="EQ703" s="11"/>
      <c r="ER703" s="11"/>
      <c r="ES703" s="11"/>
      <c r="ET703" s="11"/>
      <c r="EU703" s="11"/>
      <c r="EV703" s="11"/>
      <c r="EW703" s="11"/>
      <c r="EX703" s="11"/>
      <c r="EY703" s="11"/>
      <c r="EZ703" s="11"/>
      <c r="FA703" s="11"/>
      <c r="FB703" s="11"/>
      <c r="FC703" s="11"/>
      <c r="FD703" s="11"/>
      <c r="FE703" s="11"/>
      <c r="FF703" s="11"/>
      <c r="FG703" s="11"/>
      <c r="FH703" s="39">
        <f t="shared" si="160"/>
        <v>7333446</v>
      </c>
      <c r="FI703" s="33">
        <f t="shared" si="161"/>
        <v>2</v>
      </c>
      <c r="FJ703" s="84">
        <f t="shared" si="162"/>
        <v>3666723</v>
      </c>
    </row>
    <row r="704" spans="1:166" ht="13.5" x14ac:dyDescent="0.25">
      <c r="A704" s="79" t="e">
        <f>#REF!</f>
        <v>#REF!</v>
      </c>
      <c r="B704" s="75" t="e">
        <f>#REF!</f>
        <v>#REF!</v>
      </c>
      <c r="C704" s="75" t="e">
        <f>#REF!</f>
        <v>#REF!</v>
      </c>
      <c r="D704" s="75" t="e">
        <f>#REF!</f>
        <v>#REF!</v>
      </c>
      <c r="E704" s="30">
        <v>1</v>
      </c>
      <c r="F704" s="238">
        <v>0</v>
      </c>
      <c r="G704" s="241">
        <v>0</v>
      </c>
      <c r="H704" s="249">
        <v>0</v>
      </c>
      <c r="I704" s="249">
        <v>0</v>
      </c>
      <c r="J704" s="249">
        <v>0</v>
      </c>
      <c r="K704" s="249">
        <v>0</v>
      </c>
      <c r="L704" s="274"/>
      <c r="M704" s="274"/>
      <c r="N704" s="247">
        <v>1115000</v>
      </c>
      <c r="O704" s="113">
        <f>+N704*0</f>
        <v>0</v>
      </c>
      <c r="P704" s="113">
        <f>+O704+N704</f>
        <v>1115000</v>
      </c>
      <c r="Q704" s="36" t="s">
        <v>547</v>
      </c>
      <c r="R704" s="132" t="s">
        <v>200</v>
      </c>
      <c r="S704" s="5" t="s">
        <v>216</v>
      </c>
      <c r="T704" s="118"/>
      <c r="U704" s="118"/>
      <c r="V704" s="118"/>
      <c r="W704" s="11"/>
      <c r="X704" s="11"/>
      <c r="Y704" s="11"/>
      <c r="Z704" s="118"/>
      <c r="AA704" s="118"/>
      <c r="AB704" s="118"/>
      <c r="AC704" s="52"/>
      <c r="AD704" s="52"/>
      <c r="AE704" s="11"/>
      <c r="AF704" s="118"/>
      <c r="AG704" s="118"/>
      <c r="AH704" s="118"/>
      <c r="AI704" s="11"/>
      <c r="AJ704" s="11"/>
      <c r="AK704" s="11"/>
      <c r="AL704" s="118"/>
      <c r="AM704" s="118"/>
      <c r="AN704" s="118"/>
      <c r="AO704" s="76"/>
      <c r="AP704" s="11"/>
      <c r="AQ704" s="11"/>
      <c r="AR704" s="274"/>
      <c r="AS704" s="274"/>
      <c r="AT704" s="274"/>
      <c r="AU704" s="62"/>
      <c r="AV704" s="48"/>
      <c r="AW704" s="11"/>
      <c r="AX704" s="274"/>
      <c r="AY704" s="274"/>
      <c r="AZ704" s="274"/>
      <c r="BA704" s="11"/>
      <c r="BB704" s="11"/>
      <c r="BC704" s="11"/>
      <c r="BD704" s="274"/>
      <c r="BE704" s="274"/>
      <c r="BF704" s="274"/>
      <c r="BG704" s="11"/>
      <c r="BH704" s="11"/>
      <c r="BI704" s="11"/>
      <c r="BJ704" s="274"/>
      <c r="BK704" s="274"/>
      <c r="BL704" s="274"/>
      <c r="BM704" s="11"/>
      <c r="BN704" s="11"/>
      <c r="BO704" s="11"/>
      <c r="BP704" s="274"/>
      <c r="BQ704" s="11"/>
      <c r="BR704" s="11"/>
      <c r="BS704" s="11"/>
      <c r="BT704" s="11"/>
      <c r="BU704" s="11"/>
      <c r="BV704" s="268">
        <v>3500000</v>
      </c>
      <c r="BW704" s="144">
        <f t="shared" si="171"/>
        <v>0</v>
      </c>
      <c r="BX704" s="113">
        <f t="shared" si="166"/>
        <v>3500000</v>
      </c>
      <c r="BY704" s="272" t="s">
        <v>419</v>
      </c>
      <c r="BZ704" s="272" t="s">
        <v>217</v>
      </c>
      <c r="CA704" s="11"/>
      <c r="CB704" s="274"/>
      <c r="CC704" s="274"/>
      <c r="CD704" s="274"/>
      <c r="CE704" s="11"/>
      <c r="CF704" s="11"/>
      <c r="CG704" s="11"/>
      <c r="CH704" s="268"/>
      <c r="CI704" s="265"/>
      <c r="CJ704" s="263"/>
      <c r="CK704" s="272"/>
      <c r="CL704" s="272"/>
      <c r="CM704" s="11"/>
      <c r="CN704" s="274"/>
      <c r="CO704" s="274"/>
      <c r="CP704" s="274"/>
      <c r="CQ704" s="11"/>
      <c r="CR704" s="11"/>
      <c r="CS704" s="11"/>
      <c r="CT704" s="274"/>
      <c r="CU704" s="274"/>
      <c r="CV704" s="274"/>
      <c r="CW704" s="11"/>
      <c r="CX704" s="11"/>
      <c r="CY704" s="11"/>
      <c r="CZ704" s="118"/>
      <c r="DA704" s="118"/>
      <c r="DB704" s="118"/>
      <c r="DC704" s="33"/>
      <c r="DD704" s="11"/>
      <c r="DE704" s="11"/>
      <c r="DF704" s="11"/>
      <c r="DG704" s="11"/>
      <c r="DH704" s="11"/>
      <c r="DI704" s="11"/>
      <c r="DJ704" s="11"/>
      <c r="DK704" s="11"/>
      <c r="DL704" s="11"/>
      <c r="DM704" s="11"/>
      <c r="DN704" s="11"/>
      <c r="DO704" s="11"/>
      <c r="DP704" s="11"/>
      <c r="DQ704" s="11"/>
      <c r="DR704" s="11"/>
      <c r="DS704" s="11"/>
      <c r="DT704" s="11"/>
      <c r="DU704" s="11"/>
      <c r="DV704" s="11"/>
      <c r="DW704" s="11"/>
      <c r="DX704" s="11"/>
      <c r="DY704" s="11"/>
      <c r="DZ704" s="11"/>
      <c r="EA704" s="11"/>
      <c r="EB704" s="11"/>
      <c r="EC704" s="11"/>
      <c r="ED704" s="11"/>
      <c r="EE704" s="11"/>
      <c r="EF704" s="11"/>
      <c r="EG704" s="11"/>
      <c r="EH704" s="11"/>
      <c r="EI704" s="11"/>
      <c r="EJ704" s="11"/>
      <c r="EK704" s="11"/>
      <c r="EL704" s="11"/>
      <c r="EM704" s="11"/>
      <c r="EN704" s="11"/>
      <c r="EO704" s="11"/>
      <c r="EP704" s="11"/>
      <c r="EQ704" s="11"/>
      <c r="ER704" s="11"/>
      <c r="ES704" s="11"/>
      <c r="ET704" s="11"/>
      <c r="EU704" s="11"/>
      <c r="EV704" s="11"/>
      <c r="EW704" s="11"/>
      <c r="EX704" s="11"/>
      <c r="EY704" s="11"/>
      <c r="EZ704" s="11"/>
      <c r="FA704" s="11"/>
      <c r="FB704" s="11"/>
      <c r="FC704" s="11"/>
      <c r="FD704" s="11"/>
      <c r="FE704" s="11"/>
      <c r="FF704" s="11"/>
      <c r="FG704" s="11"/>
      <c r="FH704" s="39">
        <f t="shared" si="160"/>
        <v>4615000</v>
      </c>
      <c r="FI704" s="33">
        <f t="shared" si="161"/>
        <v>2</v>
      </c>
      <c r="FJ704" s="84">
        <f t="shared" si="162"/>
        <v>2307500</v>
      </c>
    </row>
    <row r="705" spans="1:166" ht="13.5" x14ac:dyDescent="0.25">
      <c r="A705" s="79" t="e">
        <f>#REF!</f>
        <v>#REF!</v>
      </c>
      <c r="B705" s="75" t="e">
        <f>#REF!</f>
        <v>#REF!</v>
      </c>
      <c r="C705" s="75" t="e">
        <f>#REF!</f>
        <v>#REF!</v>
      </c>
      <c r="D705" s="75" t="e">
        <f>#REF!</f>
        <v>#REF!</v>
      </c>
      <c r="E705" s="30">
        <v>1</v>
      </c>
      <c r="F705" s="238">
        <v>0</v>
      </c>
      <c r="G705" s="241">
        <v>0</v>
      </c>
      <c r="H705" s="249">
        <v>0</v>
      </c>
      <c r="I705" s="249">
        <v>0</v>
      </c>
      <c r="J705" s="249">
        <v>0</v>
      </c>
      <c r="K705" s="249">
        <v>0</v>
      </c>
      <c r="L705" s="274"/>
      <c r="M705" s="274"/>
      <c r="N705" s="246"/>
      <c r="O705" s="118"/>
      <c r="P705" s="118"/>
      <c r="Q705" s="52"/>
      <c r="R705" s="52"/>
      <c r="S705" s="5"/>
      <c r="T705" s="118"/>
      <c r="U705" s="118"/>
      <c r="V705" s="118"/>
      <c r="W705" s="11"/>
      <c r="X705" s="11"/>
      <c r="Y705" s="11"/>
      <c r="Z705" s="118"/>
      <c r="AA705" s="118"/>
      <c r="AB705" s="118"/>
      <c r="AC705" s="52"/>
      <c r="AD705" s="52"/>
      <c r="AE705" s="11"/>
      <c r="AF705" s="118"/>
      <c r="AG705" s="118"/>
      <c r="AH705" s="118"/>
      <c r="AI705" s="11"/>
      <c r="AJ705" s="11"/>
      <c r="AK705" s="11"/>
      <c r="AL705" s="118"/>
      <c r="AM705" s="118"/>
      <c r="AN705" s="118"/>
      <c r="AO705" s="76"/>
      <c r="AP705" s="11"/>
      <c r="AQ705" s="11"/>
      <c r="AR705" s="274"/>
      <c r="AS705" s="274"/>
      <c r="AT705" s="274"/>
      <c r="AU705" s="48"/>
      <c r="AV705" s="48"/>
      <c r="AW705" s="11"/>
      <c r="AX705" s="274"/>
      <c r="AY705" s="274"/>
      <c r="AZ705" s="274"/>
      <c r="BA705" s="11"/>
      <c r="BB705" s="11"/>
      <c r="BC705" s="11"/>
      <c r="BD705" s="274"/>
      <c r="BE705" s="274"/>
      <c r="BF705" s="274"/>
      <c r="BG705" s="11"/>
      <c r="BH705" s="11"/>
      <c r="BI705" s="11"/>
      <c r="BJ705" s="274"/>
      <c r="BK705" s="274"/>
      <c r="BL705" s="274"/>
      <c r="BM705" s="11"/>
      <c r="BN705" s="11"/>
      <c r="BO705" s="11"/>
      <c r="BP705" s="274"/>
      <c r="BQ705" s="11"/>
      <c r="BR705" s="11"/>
      <c r="BS705" s="11"/>
      <c r="BT705" s="11"/>
      <c r="BU705" s="11"/>
      <c r="BV705" s="268">
        <v>3400000</v>
      </c>
      <c r="BW705" s="144">
        <f t="shared" si="171"/>
        <v>0</v>
      </c>
      <c r="BX705" s="113">
        <f t="shared" si="166"/>
        <v>3400000</v>
      </c>
      <c r="BY705" s="272" t="s">
        <v>419</v>
      </c>
      <c r="BZ705" s="272" t="s">
        <v>217</v>
      </c>
      <c r="CA705" s="11"/>
      <c r="CB705" s="274"/>
      <c r="CC705" s="274"/>
      <c r="CD705" s="274"/>
      <c r="CE705" s="11"/>
      <c r="CF705" s="11"/>
      <c r="CG705" s="11"/>
      <c r="CH705" s="268">
        <v>7060135</v>
      </c>
      <c r="CI705" s="265">
        <f>+CH705*0</f>
        <v>0</v>
      </c>
      <c r="CJ705" s="263">
        <f>+CH705+CI705</f>
        <v>7060135</v>
      </c>
      <c r="CK705" s="272" t="s">
        <v>419</v>
      </c>
      <c r="CL705" s="272" t="s">
        <v>217</v>
      </c>
      <c r="CM705" s="11"/>
      <c r="CN705" s="274"/>
      <c r="CO705" s="274"/>
      <c r="CP705" s="274"/>
      <c r="CQ705" s="11"/>
      <c r="CR705" s="11"/>
      <c r="CS705" s="11"/>
      <c r="CT705" s="274"/>
      <c r="CU705" s="274"/>
      <c r="CV705" s="274"/>
      <c r="CW705" s="11"/>
      <c r="CX705" s="11"/>
      <c r="CY705" s="11"/>
      <c r="CZ705" s="118"/>
      <c r="DA705" s="118"/>
      <c r="DB705" s="118"/>
      <c r="DC705" s="33"/>
      <c r="DD705" s="11"/>
      <c r="DE705" s="11"/>
      <c r="DF705" s="11"/>
      <c r="DG705" s="11"/>
      <c r="DH705" s="11"/>
      <c r="DI705" s="11"/>
      <c r="DJ705" s="11"/>
      <c r="DK705" s="11"/>
      <c r="DL705" s="11"/>
      <c r="DM705" s="11"/>
      <c r="DN705" s="11"/>
      <c r="DO705" s="11"/>
      <c r="DP705" s="11"/>
      <c r="DQ705" s="11"/>
      <c r="DR705" s="11"/>
      <c r="DS705" s="11"/>
      <c r="DT705" s="11"/>
      <c r="DU705" s="11"/>
      <c r="DV705" s="11"/>
      <c r="DW705" s="11"/>
      <c r="DX705" s="11"/>
      <c r="DY705" s="11"/>
      <c r="DZ705" s="11"/>
      <c r="EA705" s="11"/>
      <c r="EB705" s="11"/>
      <c r="EC705" s="11"/>
      <c r="ED705" s="11"/>
      <c r="EE705" s="11"/>
      <c r="EF705" s="11"/>
      <c r="EG705" s="11"/>
      <c r="EH705" s="11"/>
      <c r="EI705" s="11"/>
      <c r="EJ705" s="11"/>
      <c r="EK705" s="11"/>
      <c r="EL705" s="11"/>
      <c r="EM705" s="11"/>
      <c r="EN705" s="11"/>
      <c r="EO705" s="11"/>
      <c r="EP705" s="11"/>
      <c r="EQ705" s="11"/>
      <c r="ER705" s="11"/>
      <c r="ES705" s="11"/>
      <c r="ET705" s="11"/>
      <c r="EU705" s="11"/>
      <c r="EV705" s="11"/>
      <c r="EW705" s="11"/>
      <c r="EX705" s="11"/>
      <c r="EY705" s="11"/>
      <c r="EZ705" s="11"/>
      <c r="FA705" s="11"/>
      <c r="FB705" s="11"/>
      <c r="FC705" s="11"/>
      <c r="FD705" s="11"/>
      <c r="FE705" s="11"/>
      <c r="FF705" s="11"/>
      <c r="FG705" s="11"/>
      <c r="FH705" s="39">
        <f t="shared" si="160"/>
        <v>10460135</v>
      </c>
      <c r="FI705" s="33">
        <f t="shared" si="161"/>
        <v>2</v>
      </c>
      <c r="FJ705" s="84">
        <f t="shared" si="162"/>
        <v>5230067.5</v>
      </c>
    </row>
    <row r="706" spans="1:166" x14ac:dyDescent="0.25">
      <c r="A706" s="79" t="e">
        <f>#REF!</f>
        <v>#REF!</v>
      </c>
      <c r="B706" s="75" t="e">
        <f>#REF!</f>
        <v>#REF!</v>
      </c>
      <c r="C706" s="75" t="e">
        <f>#REF!</f>
        <v>#REF!</v>
      </c>
      <c r="D706" s="75" t="e">
        <f>#REF!</f>
        <v>#REF!</v>
      </c>
      <c r="E706" s="30">
        <v>1</v>
      </c>
      <c r="F706" s="238">
        <v>0</v>
      </c>
      <c r="G706" s="241">
        <v>0</v>
      </c>
      <c r="H706" s="249">
        <v>0</v>
      </c>
      <c r="I706" s="249">
        <v>0</v>
      </c>
      <c r="J706" s="249">
        <v>0</v>
      </c>
      <c r="K706" s="249">
        <v>0</v>
      </c>
      <c r="L706" s="274"/>
      <c r="M706" s="274"/>
      <c r="N706" s="247">
        <v>1115000</v>
      </c>
      <c r="O706" s="113">
        <f>+N706*0</f>
        <v>0</v>
      </c>
      <c r="P706" s="113">
        <f>+O706+N706</f>
        <v>1115000</v>
      </c>
      <c r="Q706" s="36" t="s">
        <v>547</v>
      </c>
      <c r="R706" s="132" t="s">
        <v>200</v>
      </c>
      <c r="S706" s="5"/>
      <c r="T706" s="118"/>
      <c r="U706" s="118"/>
      <c r="V706" s="118"/>
      <c r="W706" s="11"/>
      <c r="X706" s="11"/>
      <c r="Y706" s="11"/>
      <c r="Z706" s="118"/>
      <c r="AA706" s="118"/>
      <c r="AB706" s="118"/>
      <c r="AC706" s="52"/>
      <c r="AD706" s="52"/>
      <c r="AE706" s="11"/>
      <c r="AF706" s="118"/>
      <c r="AG706" s="118"/>
      <c r="AH706" s="118"/>
      <c r="AI706" s="11"/>
      <c r="AJ706" s="11"/>
      <c r="AK706" s="11"/>
      <c r="AL706" s="118"/>
      <c r="AM706" s="118"/>
      <c r="AN706" s="118"/>
      <c r="AO706" s="76"/>
      <c r="AP706" s="11"/>
      <c r="AQ706" s="11"/>
      <c r="AR706" s="274"/>
      <c r="AS706" s="274"/>
      <c r="AT706" s="274"/>
      <c r="AU706" s="48"/>
      <c r="AV706" s="48"/>
      <c r="AW706" s="11"/>
      <c r="AX706" s="274"/>
      <c r="AY706" s="274"/>
      <c r="AZ706" s="274"/>
      <c r="BA706" s="11"/>
      <c r="BB706" s="11"/>
      <c r="BC706" s="11"/>
      <c r="BD706" s="274"/>
      <c r="BE706" s="274"/>
      <c r="BF706" s="274"/>
      <c r="BG706" s="11"/>
      <c r="BH706" s="11"/>
      <c r="BI706" s="11"/>
      <c r="BJ706" s="274"/>
      <c r="BK706" s="274"/>
      <c r="BL706" s="274"/>
      <c r="BM706" s="11"/>
      <c r="BN706" s="11"/>
      <c r="BO706" s="11"/>
      <c r="BP706" s="274"/>
      <c r="BQ706" s="11"/>
      <c r="BR706" s="11"/>
      <c r="BS706" s="11"/>
      <c r="BT706" s="11"/>
      <c r="BU706" s="11"/>
      <c r="BV706" s="210"/>
      <c r="BW706" s="144"/>
      <c r="BX706" s="113"/>
      <c r="BY706" s="273"/>
      <c r="BZ706" s="273"/>
      <c r="CA706" s="11"/>
      <c r="CB706" s="274"/>
      <c r="CC706" s="274"/>
      <c r="CD706" s="274"/>
      <c r="CE706" s="11"/>
      <c r="CF706" s="11"/>
      <c r="CG706" s="11"/>
      <c r="CH706" s="210"/>
      <c r="CI706" s="219"/>
      <c r="CJ706" s="210"/>
      <c r="CK706" s="273"/>
      <c r="CL706" s="273"/>
      <c r="CM706" s="11"/>
      <c r="CN706" s="274"/>
      <c r="CO706" s="274"/>
      <c r="CP706" s="274"/>
      <c r="CQ706" s="11"/>
      <c r="CR706" s="11"/>
      <c r="CS706" s="11"/>
      <c r="CT706" s="274"/>
      <c r="CU706" s="274"/>
      <c r="CV706" s="274"/>
      <c r="CW706" s="11"/>
      <c r="CX706" s="11"/>
      <c r="CY706" s="11"/>
      <c r="CZ706" s="118"/>
      <c r="DA706" s="118"/>
      <c r="DB706" s="118"/>
      <c r="DC706" s="33"/>
      <c r="DD706" s="11"/>
      <c r="DE706" s="11"/>
      <c r="DF706" s="11"/>
      <c r="DG706" s="11"/>
      <c r="DH706" s="11"/>
      <c r="DI706" s="11"/>
      <c r="DJ706" s="11"/>
      <c r="DK706" s="11"/>
      <c r="DL706" s="11"/>
      <c r="DM706" s="11"/>
      <c r="DN706" s="11"/>
      <c r="DO706" s="11"/>
      <c r="DP706" s="11"/>
      <c r="DQ706" s="11"/>
      <c r="DR706" s="11"/>
      <c r="DS706" s="11"/>
      <c r="DT706" s="11"/>
      <c r="DU706" s="11"/>
      <c r="DV706" s="11"/>
      <c r="DW706" s="11"/>
      <c r="DX706" s="11"/>
      <c r="DY706" s="11"/>
      <c r="DZ706" s="11"/>
      <c r="EA706" s="11"/>
      <c r="EB706" s="11"/>
      <c r="EC706" s="11"/>
      <c r="ED706" s="11"/>
      <c r="EE706" s="11"/>
      <c r="EF706" s="11"/>
      <c r="EG706" s="11"/>
      <c r="EH706" s="11"/>
      <c r="EI706" s="11"/>
      <c r="EJ706" s="11"/>
      <c r="EK706" s="11"/>
      <c r="EL706" s="11"/>
      <c r="EM706" s="11"/>
      <c r="EN706" s="11"/>
      <c r="EO706" s="11"/>
      <c r="EP706" s="11"/>
      <c r="EQ706" s="11"/>
      <c r="ER706" s="11"/>
      <c r="ES706" s="11"/>
      <c r="ET706" s="11"/>
      <c r="EU706" s="11"/>
      <c r="EV706" s="11"/>
      <c r="EW706" s="11"/>
      <c r="EX706" s="11"/>
      <c r="EY706" s="11"/>
      <c r="EZ706" s="11"/>
      <c r="FA706" s="11"/>
      <c r="FB706" s="11"/>
      <c r="FC706" s="11"/>
      <c r="FD706" s="11"/>
      <c r="FE706" s="11"/>
      <c r="FF706" s="11"/>
      <c r="FG706" s="11"/>
      <c r="FH706" s="39">
        <f t="shared" si="160"/>
        <v>1115000</v>
      </c>
      <c r="FI706" s="33">
        <f t="shared" si="161"/>
        <v>1</v>
      </c>
      <c r="FJ706" s="84">
        <f t="shared" si="162"/>
        <v>1115000</v>
      </c>
    </row>
    <row r="707" spans="1:166" x14ac:dyDescent="0.25">
      <c r="A707" s="79" t="e">
        <f>#REF!</f>
        <v>#REF!</v>
      </c>
      <c r="B707" s="75" t="e">
        <f>#REF!</f>
        <v>#REF!</v>
      </c>
      <c r="C707" s="75" t="e">
        <f>#REF!</f>
        <v>#REF!</v>
      </c>
      <c r="D707" s="75" t="e">
        <f>#REF!</f>
        <v>#REF!</v>
      </c>
      <c r="E707" s="30">
        <v>1</v>
      </c>
      <c r="F707" s="238">
        <v>0</v>
      </c>
      <c r="G707" s="241">
        <v>0</v>
      </c>
      <c r="H707" s="249">
        <v>0</v>
      </c>
      <c r="I707" s="249">
        <v>0</v>
      </c>
      <c r="J707" s="249">
        <v>0</v>
      </c>
      <c r="K707" s="249">
        <v>0</v>
      </c>
      <c r="L707" s="274"/>
      <c r="M707" s="274"/>
      <c r="N707" s="247">
        <v>1115000</v>
      </c>
      <c r="O707" s="113">
        <f>+N707*0</f>
        <v>0</v>
      </c>
      <c r="P707" s="113">
        <f>+O707+N707</f>
        <v>1115000</v>
      </c>
      <c r="Q707" s="36" t="s">
        <v>547</v>
      </c>
      <c r="R707" s="132" t="s">
        <v>200</v>
      </c>
      <c r="S707" s="5"/>
      <c r="T707" s="118"/>
      <c r="U707" s="118"/>
      <c r="V707" s="118"/>
      <c r="W707" s="11"/>
      <c r="X707" s="11"/>
      <c r="Y707" s="11"/>
      <c r="Z707" s="118"/>
      <c r="AA707" s="118"/>
      <c r="AB707" s="118"/>
      <c r="AC707" s="52"/>
      <c r="AD707" s="52"/>
      <c r="AE707" s="11"/>
      <c r="AF707" s="118"/>
      <c r="AG707" s="118"/>
      <c r="AH707" s="118"/>
      <c r="AI707" s="11"/>
      <c r="AJ707" s="11"/>
      <c r="AK707" s="11"/>
      <c r="AL707" s="118"/>
      <c r="AM707" s="118"/>
      <c r="AN707" s="118"/>
      <c r="AO707" s="76"/>
      <c r="AP707" s="11"/>
      <c r="AQ707" s="11"/>
      <c r="AR707" s="274"/>
      <c r="AS707" s="274"/>
      <c r="AT707" s="274"/>
      <c r="AU707" s="48"/>
      <c r="AV707" s="48"/>
      <c r="AW707" s="11"/>
      <c r="AX707" s="274"/>
      <c r="AY707" s="274"/>
      <c r="AZ707" s="274"/>
      <c r="BA707" s="11"/>
      <c r="BB707" s="11"/>
      <c r="BC707" s="11"/>
      <c r="BD707" s="274"/>
      <c r="BE707" s="274"/>
      <c r="BF707" s="274"/>
      <c r="BG707" s="11"/>
      <c r="BH707" s="11"/>
      <c r="BI707" s="11"/>
      <c r="BJ707" s="274"/>
      <c r="BK707" s="274"/>
      <c r="BL707" s="274"/>
      <c r="BM707" s="11"/>
      <c r="BN707" s="11"/>
      <c r="BO707" s="11"/>
      <c r="BP707" s="274"/>
      <c r="BQ707" s="11"/>
      <c r="BR707" s="11"/>
      <c r="BS707" s="11"/>
      <c r="BT707" s="11"/>
      <c r="BU707" s="11"/>
      <c r="BV707" s="210"/>
      <c r="BW707" s="144"/>
      <c r="BX707" s="113"/>
      <c r="BY707" s="273"/>
      <c r="BZ707" s="273"/>
      <c r="CA707" s="11"/>
      <c r="CB707" s="274"/>
      <c r="CC707" s="274"/>
      <c r="CD707" s="274"/>
      <c r="CE707" s="11"/>
      <c r="CF707" s="11"/>
      <c r="CG707" s="11"/>
      <c r="CH707" s="210"/>
      <c r="CI707" s="219"/>
      <c r="CJ707" s="210"/>
      <c r="CK707" s="273"/>
      <c r="CL707" s="273"/>
      <c r="CM707" s="11"/>
      <c r="CN707" s="274"/>
      <c r="CO707" s="274"/>
      <c r="CP707" s="274"/>
      <c r="CQ707" s="11"/>
      <c r="CR707" s="11"/>
      <c r="CS707" s="11"/>
      <c r="CT707" s="274"/>
      <c r="CU707" s="274"/>
      <c r="CV707" s="274"/>
      <c r="CW707" s="11"/>
      <c r="CX707" s="11"/>
      <c r="CY707" s="11"/>
      <c r="CZ707" s="118"/>
      <c r="DA707" s="118"/>
      <c r="DB707" s="118"/>
      <c r="DC707" s="33"/>
      <c r="DD707" s="11"/>
      <c r="DE707" s="11"/>
      <c r="DF707" s="11"/>
      <c r="DG707" s="11"/>
      <c r="DH707" s="11"/>
      <c r="DI707" s="11"/>
      <c r="DJ707" s="11"/>
      <c r="DK707" s="11"/>
      <c r="DL707" s="11"/>
      <c r="DM707" s="11"/>
      <c r="DN707" s="11"/>
      <c r="DO707" s="11"/>
      <c r="DP707" s="11"/>
      <c r="DQ707" s="11"/>
      <c r="DR707" s="11"/>
      <c r="DS707" s="11"/>
      <c r="DT707" s="11"/>
      <c r="DU707" s="11"/>
      <c r="DV707" s="11"/>
      <c r="DW707" s="11"/>
      <c r="DX707" s="11"/>
      <c r="DY707" s="11"/>
      <c r="DZ707" s="11"/>
      <c r="EA707" s="11"/>
      <c r="EB707" s="11"/>
      <c r="EC707" s="11"/>
      <c r="ED707" s="11"/>
      <c r="EE707" s="11"/>
      <c r="EF707" s="11"/>
      <c r="EG707" s="11"/>
      <c r="EH707" s="11"/>
      <c r="EI707" s="11"/>
      <c r="EJ707" s="11"/>
      <c r="EK707" s="11"/>
      <c r="EL707" s="11"/>
      <c r="EM707" s="11"/>
      <c r="EN707" s="11"/>
      <c r="EO707" s="11"/>
      <c r="EP707" s="11"/>
      <c r="EQ707" s="11"/>
      <c r="ER707" s="11"/>
      <c r="ES707" s="11"/>
      <c r="ET707" s="11"/>
      <c r="EU707" s="11"/>
      <c r="EV707" s="11"/>
      <c r="EW707" s="11"/>
      <c r="EX707" s="11"/>
      <c r="EY707" s="11"/>
      <c r="EZ707" s="11"/>
      <c r="FA707" s="11"/>
      <c r="FB707" s="11"/>
      <c r="FC707" s="11"/>
      <c r="FD707" s="11"/>
      <c r="FE707" s="11"/>
      <c r="FF707" s="11"/>
      <c r="FG707" s="11"/>
      <c r="FH707" s="39">
        <f t="shared" ref="FH707:FH770" si="172">SUM(M707,P707,V707,AB707,AH707,AN707,AT707,AZ707,BF707,BL707,BR707,BX707,CD707,CJ707,CP707,CV707,DB707,DH707,DN707,DT707,DZ707,EF707,EL707,ER707,EX707,FD707)</f>
        <v>1115000</v>
      </c>
      <c r="FI707" s="33">
        <f t="shared" ref="FI707:FI770" si="173">COUNTA(M707,N707,T707,Z707,AF707,AL707,AR707,AX707,BD707,BJ707,BP707,BV707,CB707,CH707,CN707,CT707,CZ707,DF707,DL707,DR707,DX707,ED707,EJ707,EP707,EV707,FB707)</f>
        <v>1</v>
      </c>
      <c r="FJ707" s="84">
        <f t="shared" ref="FJ707:FJ770" si="174">IFERROR(FH707/FI707," ")</f>
        <v>1115000</v>
      </c>
    </row>
    <row r="708" spans="1:166" x14ac:dyDescent="0.25">
      <c r="A708" s="79" t="e">
        <f>#REF!</f>
        <v>#REF!</v>
      </c>
      <c r="B708" s="75" t="e">
        <f>#REF!</f>
        <v>#REF!</v>
      </c>
      <c r="C708" s="75" t="e">
        <f>#REF!</f>
        <v>#REF!</v>
      </c>
      <c r="D708" s="75" t="e">
        <f>#REF!</f>
        <v>#REF!</v>
      </c>
      <c r="E708" s="30">
        <v>1</v>
      </c>
      <c r="F708" s="238">
        <v>0</v>
      </c>
      <c r="G708" s="241">
        <v>0</v>
      </c>
      <c r="H708" s="249">
        <v>0</v>
      </c>
      <c r="I708" s="249">
        <v>0</v>
      </c>
      <c r="J708" s="249">
        <v>0</v>
      </c>
      <c r="K708" s="249">
        <v>0</v>
      </c>
      <c r="L708" s="274"/>
      <c r="M708" s="274"/>
      <c r="N708" s="246"/>
      <c r="O708" s="118"/>
      <c r="P708" s="118"/>
      <c r="Q708" s="52"/>
      <c r="R708" s="52"/>
      <c r="S708" s="5"/>
      <c r="T708" s="118"/>
      <c r="U708" s="118"/>
      <c r="V708" s="118"/>
      <c r="W708" s="11"/>
      <c r="X708" s="11"/>
      <c r="Y708" s="11"/>
      <c r="Z708" s="118"/>
      <c r="AA708" s="118"/>
      <c r="AB708" s="118"/>
      <c r="AC708" s="52"/>
      <c r="AD708" s="52"/>
      <c r="AE708" s="11"/>
      <c r="AF708" s="118"/>
      <c r="AG708" s="118"/>
      <c r="AH708" s="118"/>
      <c r="AI708" s="11"/>
      <c r="AJ708" s="11"/>
      <c r="AK708" s="11"/>
      <c r="AL708" s="118"/>
      <c r="AM708" s="118"/>
      <c r="AN708" s="118"/>
      <c r="AO708" s="76"/>
      <c r="AP708" s="11"/>
      <c r="AQ708" s="11"/>
      <c r="AR708" s="274"/>
      <c r="AS708" s="274"/>
      <c r="AT708" s="274"/>
      <c r="AU708" s="48"/>
      <c r="AV708" s="48"/>
      <c r="AW708" s="11"/>
      <c r="AX708" s="274"/>
      <c r="AY708" s="274"/>
      <c r="AZ708" s="274"/>
      <c r="BA708" s="11"/>
      <c r="BB708" s="11"/>
      <c r="BC708" s="11"/>
      <c r="BD708" s="274"/>
      <c r="BE708" s="274"/>
      <c r="BF708" s="274"/>
      <c r="BG708" s="11"/>
      <c r="BH708" s="11"/>
      <c r="BI708" s="11"/>
      <c r="BJ708" s="274"/>
      <c r="BK708" s="274"/>
      <c r="BL708" s="274"/>
      <c r="BM708" s="11"/>
      <c r="BN708" s="11"/>
      <c r="BO708" s="11"/>
      <c r="BP708" s="274"/>
      <c r="BQ708" s="11"/>
      <c r="BR708" s="11"/>
      <c r="BS708" s="11"/>
      <c r="BT708" s="11"/>
      <c r="BU708" s="11"/>
      <c r="BV708" s="210"/>
      <c r="BW708" s="144"/>
      <c r="BX708" s="113"/>
      <c r="BY708" s="273"/>
      <c r="BZ708" s="273"/>
      <c r="CA708" s="11"/>
      <c r="CB708" s="274"/>
      <c r="CC708" s="274"/>
      <c r="CD708" s="274"/>
      <c r="CE708" s="11"/>
      <c r="CF708" s="11"/>
      <c r="CG708" s="11"/>
      <c r="CH708" s="210"/>
      <c r="CI708" s="219"/>
      <c r="CJ708" s="210"/>
      <c r="CK708" s="273"/>
      <c r="CL708" s="273"/>
      <c r="CM708" s="11"/>
      <c r="CN708" s="274"/>
      <c r="CO708" s="274"/>
      <c r="CP708" s="274"/>
      <c r="CQ708" s="11"/>
      <c r="CR708" s="11"/>
      <c r="CS708" s="11"/>
      <c r="CT708" s="274"/>
      <c r="CU708" s="274"/>
      <c r="CV708" s="274"/>
      <c r="CW708" s="11"/>
      <c r="CX708" s="11"/>
      <c r="CY708" s="11"/>
      <c r="CZ708" s="118"/>
      <c r="DA708" s="118"/>
      <c r="DB708" s="118"/>
      <c r="DC708" s="33"/>
      <c r="DD708" s="11"/>
      <c r="DE708" s="11"/>
      <c r="DF708" s="11"/>
      <c r="DG708" s="11"/>
      <c r="DH708" s="11"/>
      <c r="DI708" s="11"/>
      <c r="DJ708" s="11"/>
      <c r="DK708" s="11"/>
      <c r="DL708" s="11"/>
      <c r="DM708" s="11"/>
      <c r="DN708" s="11"/>
      <c r="DO708" s="11"/>
      <c r="DP708" s="11"/>
      <c r="DQ708" s="11"/>
      <c r="DR708" s="11"/>
      <c r="DS708" s="11"/>
      <c r="DT708" s="11"/>
      <c r="DU708" s="11"/>
      <c r="DV708" s="11"/>
      <c r="DW708" s="11"/>
      <c r="DX708" s="11"/>
      <c r="DY708" s="11"/>
      <c r="DZ708" s="11"/>
      <c r="EA708" s="11"/>
      <c r="EB708" s="11"/>
      <c r="EC708" s="11"/>
      <c r="ED708" s="11"/>
      <c r="EE708" s="11"/>
      <c r="EF708" s="11"/>
      <c r="EG708" s="11"/>
      <c r="EH708" s="11"/>
      <c r="EI708" s="11"/>
      <c r="EJ708" s="11"/>
      <c r="EK708" s="11"/>
      <c r="EL708" s="11"/>
      <c r="EM708" s="11"/>
      <c r="EN708" s="11"/>
      <c r="EO708" s="11"/>
      <c r="EP708" s="11"/>
      <c r="EQ708" s="11"/>
      <c r="ER708" s="11"/>
      <c r="ES708" s="11"/>
      <c r="ET708" s="11"/>
      <c r="EU708" s="11"/>
      <c r="EV708" s="11"/>
      <c r="EW708" s="11"/>
      <c r="EX708" s="11"/>
      <c r="EY708" s="11"/>
      <c r="EZ708" s="11"/>
      <c r="FA708" s="11"/>
      <c r="FB708" s="11"/>
      <c r="FC708" s="11"/>
      <c r="FD708" s="11"/>
      <c r="FE708" s="11"/>
      <c r="FF708" s="11"/>
      <c r="FG708" s="11"/>
      <c r="FH708" s="39">
        <f t="shared" si="172"/>
        <v>0</v>
      </c>
      <c r="FI708" s="33">
        <f t="shared" si="173"/>
        <v>0</v>
      </c>
      <c r="FJ708" s="84" t="str">
        <f t="shared" si="174"/>
        <v xml:space="preserve"> </v>
      </c>
    </row>
    <row r="709" spans="1:166" ht="13.5" x14ac:dyDescent="0.25">
      <c r="A709" s="79" t="e">
        <f>#REF!</f>
        <v>#REF!</v>
      </c>
      <c r="B709" s="75" t="e">
        <f>#REF!</f>
        <v>#REF!</v>
      </c>
      <c r="C709" s="75" t="e">
        <f>#REF!</f>
        <v>#REF!</v>
      </c>
      <c r="D709" s="75" t="e">
        <f>#REF!</f>
        <v>#REF!</v>
      </c>
      <c r="E709" s="30">
        <v>1</v>
      </c>
      <c r="F709" s="238">
        <v>0</v>
      </c>
      <c r="G709" s="241">
        <v>0</v>
      </c>
      <c r="H709" s="249">
        <v>0</v>
      </c>
      <c r="I709" s="249">
        <v>0</v>
      </c>
      <c r="J709" s="249">
        <v>0</v>
      </c>
      <c r="K709" s="249">
        <v>0</v>
      </c>
      <c r="L709" s="274"/>
      <c r="M709" s="274"/>
      <c r="N709" s="246"/>
      <c r="O709" s="118"/>
      <c r="P709" s="118"/>
      <c r="Q709" s="52"/>
      <c r="R709" s="52"/>
      <c r="S709" s="5"/>
      <c r="T709" s="118"/>
      <c r="U709" s="118"/>
      <c r="V709" s="118"/>
      <c r="W709" s="11"/>
      <c r="X709" s="11"/>
      <c r="Y709" s="11"/>
      <c r="Z709" s="118"/>
      <c r="AA709" s="118"/>
      <c r="AB709" s="118"/>
      <c r="AC709" s="52"/>
      <c r="AD709" s="52"/>
      <c r="AE709" s="11"/>
      <c r="AF709" s="118"/>
      <c r="AG709" s="118"/>
      <c r="AH709" s="118"/>
      <c r="AI709" s="11"/>
      <c r="AJ709" s="11"/>
      <c r="AK709" s="11"/>
      <c r="AL709" s="118"/>
      <c r="AM709" s="118"/>
      <c r="AN709" s="118"/>
      <c r="AO709" s="76"/>
      <c r="AP709" s="11"/>
      <c r="AQ709" s="11"/>
      <c r="AR709" s="274"/>
      <c r="AS709" s="274"/>
      <c r="AT709" s="274"/>
      <c r="AU709" s="48"/>
      <c r="AV709" s="48"/>
      <c r="AW709" s="11"/>
      <c r="AX709" s="274"/>
      <c r="AY709" s="274"/>
      <c r="AZ709" s="274"/>
      <c r="BA709" s="11"/>
      <c r="BB709" s="11"/>
      <c r="BC709" s="11"/>
      <c r="BD709" s="274"/>
      <c r="BE709" s="274"/>
      <c r="BF709" s="274"/>
      <c r="BG709" s="11"/>
      <c r="BH709" s="11"/>
      <c r="BI709" s="11"/>
      <c r="BJ709" s="274"/>
      <c r="BK709" s="274"/>
      <c r="BL709" s="274"/>
      <c r="BM709" s="11"/>
      <c r="BN709" s="11"/>
      <c r="BO709" s="11"/>
      <c r="BP709" s="274"/>
      <c r="BQ709" s="11"/>
      <c r="BR709" s="11"/>
      <c r="BS709" s="11"/>
      <c r="BT709" s="11"/>
      <c r="BU709" s="11"/>
      <c r="BV709" s="268">
        <v>3600000</v>
      </c>
      <c r="BW709" s="144">
        <f t="shared" ref="BW709:BW717" si="175">BV709*0</f>
        <v>0</v>
      </c>
      <c r="BX709" s="113">
        <f t="shared" ref="BX709:BX717" si="176">+BV709+BW709</f>
        <v>3600000</v>
      </c>
      <c r="BY709" s="272" t="s">
        <v>550</v>
      </c>
      <c r="BZ709" s="272" t="s">
        <v>131</v>
      </c>
      <c r="CA709" s="11"/>
      <c r="CB709" s="274"/>
      <c r="CC709" s="274"/>
      <c r="CD709" s="274"/>
      <c r="CE709" s="11"/>
      <c r="CF709" s="11"/>
      <c r="CG709" s="11"/>
      <c r="CH709" s="268">
        <v>15838782</v>
      </c>
      <c r="CI709" s="265">
        <f>+CH709*0</f>
        <v>0</v>
      </c>
      <c r="CJ709" s="263">
        <f>+CH709+CI709</f>
        <v>15838782</v>
      </c>
      <c r="CK709" s="272" t="s">
        <v>550</v>
      </c>
      <c r="CL709" s="272" t="s">
        <v>131</v>
      </c>
      <c r="CM709" s="11"/>
      <c r="CN709" s="274"/>
      <c r="CO709" s="274"/>
      <c r="CP709" s="274"/>
      <c r="CQ709" s="11"/>
      <c r="CR709" s="11"/>
      <c r="CS709" s="11"/>
      <c r="CT709" s="274"/>
      <c r="CU709" s="274"/>
      <c r="CV709" s="274"/>
      <c r="CW709" s="11"/>
      <c r="CX709" s="11"/>
      <c r="CY709" s="11"/>
      <c r="CZ709" s="118"/>
      <c r="DA709" s="118"/>
      <c r="DB709" s="118"/>
      <c r="DC709" s="33"/>
      <c r="DD709" s="11"/>
      <c r="DE709" s="11"/>
      <c r="DF709" s="11"/>
      <c r="DG709" s="11"/>
      <c r="DH709" s="11"/>
      <c r="DI709" s="11"/>
      <c r="DJ709" s="11"/>
      <c r="DK709" s="11"/>
      <c r="DL709" s="11"/>
      <c r="DM709" s="11"/>
      <c r="DN709" s="11"/>
      <c r="DO709" s="11"/>
      <c r="DP709" s="11"/>
      <c r="DQ709" s="11"/>
      <c r="DR709" s="11"/>
      <c r="DS709" s="11"/>
      <c r="DT709" s="11"/>
      <c r="DU709" s="11"/>
      <c r="DV709" s="11"/>
      <c r="DW709" s="11"/>
      <c r="DX709" s="11"/>
      <c r="DY709" s="11"/>
      <c r="DZ709" s="11"/>
      <c r="EA709" s="11"/>
      <c r="EB709" s="11"/>
      <c r="EC709" s="11"/>
      <c r="ED709" s="11"/>
      <c r="EE709" s="11"/>
      <c r="EF709" s="11"/>
      <c r="EG709" s="11"/>
      <c r="EH709" s="11"/>
      <c r="EI709" s="11"/>
      <c r="EJ709" s="11"/>
      <c r="EK709" s="11"/>
      <c r="EL709" s="11"/>
      <c r="EM709" s="11"/>
      <c r="EN709" s="11"/>
      <c r="EO709" s="11"/>
      <c r="EP709" s="11"/>
      <c r="EQ709" s="11"/>
      <c r="ER709" s="11"/>
      <c r="ES709" s="11"/>
      <c r="ET709" s="11"/>
      <c r="EU709" s="11"/>
      <c r="EV709" s="11"/>
      <c r="EW709" s="11"/>
      <c r="EX709" s="11"/>
      <c r="EY709" s="11"/>
      <c r="EZ709" s="11"/>
      <c r="FA709" s="11"/>
      <c r="FB709" s="11"/>
      <c r="FC709" s="11"/>
      <c r="FD709" s="11"/>
      <c r="FE709" s="11"/>
      <c r="FF709" s="11"/>
      <c r="FG709" s="11"/>
      <c r="FH709" s="39">
        <f t="shared" si="172"/>
        <v>19438782</v>
      </c>
      <c r="FI709" s="33">
        <f t="shared" si="173"/>
        <v>2</v>
      </c>
      <c r="FJ709" s="84">
        <f t="shared" si="174"/>
        <v>9719391</v>
      </c>
    </row>
    <row r="710" spans="1:166" ht="13.5" x14ac:dyDescent="0.25">
      <c r="A710" s="79" t="e">
        <f>#REF!</f>
        <v>#REF!</v>
      </c>
      <c r="B710" s="75" t="e">
        <f>#REF!</f>
        <v>#REF!</v>
      </c>
      <c r="C710" s="75" t="e">
        <f>#REF!</f>
        <v>#REF!</v>
      </c>
      <c r="D710" s="75" t="e">
        <f>#REF!</f>
        <v>#REF!</v>
      </c>
      <c r="E710" s="30">
        <v>1</v>
      </c>
      <c r="F710" s="238">
        <v>0</v>
      </c>
      <c r="G710" s="241">
        <v>0</v>
      </c>
      <c r="H710" s="249">
        <v>0</v>
      </c>
      <c r="I710" s="249">
        <v>0</v>
      </c>
      <c r="J710" s="249">
        <v>0</v>
      </c>
      <c r="K710" s="249">
        <v>0</v>
      </c>
      <c r="L710" s="274"/>
      <c r="M710" s="274"/>
      <c r="N710" s="246"/>
      <c r="O710" s="118"/>
      <c r="P710" s="118"/>
      <c r="Q710" s="52"/>
      <c r="R710" s="52"/>
      <c r="S710" s="5"/>
      <c r="T710" s="118"/>
      <c r="U710" s="118"/>
      <c r="V710" s="118"/>
      <c r="W710" s="11"/>
      <c r="X710" s="11"/>
      <c r="Y710" s="11"/>
      <c r="Z710" s="118"/>
      <c r="AA710" s="118"/>
      <c r="AB710" s="118"/>
      <c r="AC710" s="52"/>
      <c r="AD710" s="52"/>
      <c r="AE710" s="11"/>
      <c r="AF710" s="118"/>
      <c r="AG710" s="118"/>
      <c r="AH710" s="118"/>
      <c r="AI710" s="11"/>
      <c r="AJ710" s="11"/>
      <c r="AK710" s="11"/>
      <c r="AL710" s="118"/>
      <c r="AM710" s="118"/>
      <c r="AN710" s="118"/>
      <c r="AO710" s="76"/>
      <c r="AP710" s="11"/>
      <c r="AQ710" s="11"/>
      <c r="AR710" s="274"/>
      <c r="AS710" s="274"/>
      <c r="AT710" s="274"/>
      <c r="AU710" s="48"/>
      <c r="AV710" s="48"/>
      <c r="AW710" s="11"/>
      <c r="AX710" s="274"/>
      <c r="AY710" s="274"/>
      <c r="AZ710" s="274"/>
      <c r="BA710" s="11"/>
      <c r="BB710" s="11"/>
      <c r="BC710" s="11"/>
      <c r="BD710" s="274"/>
      <c r="BE710" s="274"/>
      <c r="BF710" s="274"/>
      <c r="BG710" s="11"/>
      <c r="BH710" s="11"/>
      <c r="BI710" s="11"/>
      <c r="BJ710" s="274"/>
      <c r="BK710" s="274"/>
      <c r="BL710" s="274"/>
      <c r="BM710" s="11"/>
      <c r="BN710" s="11"/>
      <c r="BO710" s="11"/>
      <c r="BP710" s="274"/>
      <c r="BQ710" s="11"/>
      <c r="BR710" s="11"/>
      <c r="BS710" s="11"/>
      <c r="BT710" s="11"/>
      <c r="BU710" s="11"/>
      <c r="BV710" s="268">
        <v>5000000</v>
      </c>
      <c r="BW710" s="144">
        <f t="shared" si="175"/>
        <v>0</v>
      </c>
      <c r="BX710" s="113">
        <f t="shared" si="176"/>
        <v>5000000</v>
      </c>
      <c r="BY710" s="272" t="s">
        <v>550</v>
      </c>
      <c r="BZ710" s="272" t="s">
        <v>131</v>
      </c>
      <c r="CA710" s="11"/>
      <c r="CB710" s="274"/>
      <c r="CC710" s="274"/>
      <c r="CD710" s="274"/>
      <c r="CE710" s="11"/>
      <c r="CF710" s="11"/>
      <c r="CG710" s="11"/>
      <c r="CH710" s="268">
        <v>20902544</v>
      </c>
      <c r="CI710" s="265">
        <f>+CH710*0</f>
        <v>0</v>
      </c>
      <c r="CJ710" s="263">
        <f>+CH710+CI710</f>
        <v>20902544</v>
      </c>
      <c r="CK710" s="272" t="s">
        <v>550</v>
      </c>
      <c r="CL710" s="272" t="s">
        <v>131</v>
      </c>
      <c r="CM710" s="11"/>
      <c r="CN710" s="274"/>
      <c r="CO710" s="274"/>
      <c r="CP710" s="274"/>
      <c r="CQ710" s="11"/>
      <c r="CR710" s="11"/>
      <c r="CS710" s="11"/>
      <c r="CT710" s="274"/>
      <c r="CU710" s="274"/>
      <c r="CV710" s="274"/>
      <c r="CW710" s="11"/>
      <c r="CX710" s="11"/>
      <c r="CY710" s="11"/>
      <c r="CZ710" s="118"/>
      <c r="DA710" s="118"/>
      <c r="DB710" s="118"/>
      <c r="DC710" s="33"/>
      <c r="DD710" s="11"/>
      <c r="DE710" s="11"/>
      <c r="DF710" s="11"/>
      <c r="DG710" s="11"/>
      <c r="DH710" s="11"/>
      <c r="DI710" s="11"/>
      <c r="DJ710" s="11"/>
      <c r="DK710" s="11"/>
      <c r="DL710" s="11"/>
      <c r="DM710" s="11"/>
      <c r="DN710" s="11"/>
      <c r="DO710" s="11"/>
      <c r="DP710" s="11"/>
      <c r="DQ710" s="11"/>
      <c r="DR710" s="11"/>
      <c r="DS710" s="11"/>
      <c r="DT710" s="11"/>
      <c r="DU710" s="11"/>
      <c r="DV710" s="11"/>
      <c r="DW710" s="11"/>
      <c r="DX710" s="11"/>
      <c r="DY710" s="11"/>
      <c r="DZ710" s="11"/>
      <c r="EA710" s="11"/>
      <c r="EB710" s="11"/>
      <c r="EC710" s="11"/>
      <c r="ED710" s="11"/>
      <c r="EE710" s="11"/>
      <c r="EF710" s="11"/>
      <c r="EG710" s="11"/>
      <c r="EH710" s="11"/>
      <c r="EI710" s="11"/>
      <c r="EJ710" s="11"/>
      <c r="EK710" s="11"/>
      <c r="EL710" s="11"/>
      <c r="EM710" s="11"/>
      <c r="EN710" s="11"/>
      <c r="EO710" s="11"/>
      <c r="EP710" s="11"/>
      <c r="EQ710" s="11"/>
      <c r="ER710" s="11"/>
      <c r="ES710" s="11"/>
      <c r="ET710" s="11"/>
      <c r="EU710" s="11"/>
      <c r="EV710" s="11"/>
      <c r="EW710" s="11"/>
      <c r="EX710" s="11"/>
      <c r="EY710" s="11"/>
      <c r="EZ710" s="11"/>
      <c r="FA710" s="11"/>
      <c r="FB710" s="11"/>
      <c r="FC710" s="11"/>
      <c r="FD710" s="11"/>
      <c r="FE710" s="11"/>
      <c r="FF710" s="11"/>
      <c r="FG710" s="11"/>
      <c r="FH710" s="39">
        <f t="shared" si="172"/>
        <v>25902544</v>
      </c>
      <c r="FI710" s="33">
        <f t="shared" si="173"/>
        <v>2</v>
      </c>
      <c r="FJ710" s="84">
        <f t="shared" si="174"/>
        <v>12951272</v>
      </c>
    </row>
    <row r="711" spans="1:166" ht="13.5" x14ac:dyDescent="0.25">
      <c r="A711" s="79" t="e">
        <f>#REF!</f>
        <v>#REF!</v>
      </c>
      <c r="B711" s="75" t="e">
        <f>#REF!</f>
        <v>#REF!</v>
      </c>
      <c r="C711" s="75" t="e">
        <f>#REF!</f>
        <v>#REF!</v>
      </c>
      <c r="D711" s="75" t="e">
        <f>#REF!</f>
        <v>#REF!</v>
      </c>
      <c r="E711" s="30">
        <v>1</v>
      </c>
      <c r="F711" s="238">
        <v>0</v>
      </c>
      <c r="G711" s="241">
        <v>0</v>
      </c>
      <c r="H711" s="249">
        <v>0</v>
      </c>
      <c r="I711" s="249">
        <v>0</v>
      </c>
      <c r="J711" s="249">
        <v>0</v>
      </c>
      <c r="K711" s="249">
        <v>0</v>
      </c>
      <c r="L711" s="274"/>
      <c r="M711" s="274"/>
      <c r="N711" s="246"/>
      <c r="O711" s="118"/>
      <c r="P711" s="118"/>
      <c r="Q711" s="52"/>
      <c r="R711" s="52"/>
      <c r="S711" s="5"/>
      <c r="T711" s="118"/>
      <c r="U711" s="118"/>
      <c r="V711" s="118"/>
      <c r="W711" s="11"/>
      <c r="X711" s="11"/>
      <c r="Y711" s="11"/>
      <c r="Z711" s="118"/>
      <c r="AA711" s="118"/>
      <c r="AB711" s="118"/>
      <c r="AC711" s="52"/>
      <c r="AD711" s="52"/>
      <c r="AE711" s="11"/>
      <c r="AF711" s="118"/>
      <c r="AG711" s="118"/>
      <c r="AH711" s="118"/>
      <c r="AI711" s="11"/>
      <c r="AJ711" s="11"/>
      <c r="AK711" s="11"/>
      <c r="AL711" s="118"/>
      <c r="AM711" s="118"/>
      <c r="AN711" s="118"/>
      <c r="AO711" s="76"/>
      <c r="AP711" s="11"/>
      <c r="AQ711" s="11"/>
      <c r="AR711" s="274"/>
      <c r="AS711" s="274"/>
      <c r="AT711" s="274"/>
      <c r="AU711" s="48"/>
      <c r="AV711" s="48"/>
      <c r="AW711" s="11"/>
      <c r="AX711" s="274"/>
      <c r="AY711" s="274"/>
      <c r="AZ711" s="274"/>
      <c r="BA711" s="11"/>
      <c r="BB711" s="11"/>
      <c r="BC711" s="11"/>
      <c r="BD711" s="274"/>
      <c r="BE711" s="274"/>
      <c r="BF711" s="274"/>
      <c r="BG711" s="11"/>
      <c r="BH711" s="11"/>
      <c r="BI711" s="11"/>
      <c r="BJ711" s="274"/>
      <c r="BK711" s="274"/>
      <c r="BL711" s="274"/>
      <c r="BM711" s="11"/>
      <c r="BN711" s="11"/>
      <c r="BO711" s="11"/>
      <c r="BP711" s="274"/>
      <c r="BQ711" s="11"/>
      <c r="BR711" s="11"/>
      <c r="BS711" s="11"/>
      <c r="BT711" s="11"/>
      <c r="BU711" s="11"/>
      <c r="BV711" s="268">
        <v>2600000</v>
      </c>
      <c r="BW711" s="144">
        <f t="shared" si="175"/>
        <v>0</v>
      </c>
      <c r="BX711" s="113">
        <f t="shared" si="176"/>
        <v>2600000</v>
      </c>
      <c r="BY711" s="272" t="s">
        <v>550</v>
      </c>
      <c r="BZ711" s="272" t="s">
        <v>217</v>
      </c>
      <c r="CA711" s="11"/>
      <c r="CB711" s="274"/>
      <c r="CC711" s="274"/>
      <c r="CD711" s="274"/>
      <c r="CE711" s="11"/>
      <c r="CF711" s="11"/>
      <c r="CG711" s="11"/>
      <c r="CH711" s="268">
        <v>10722160</v>
      </c>
      <c r="CI711" s="265">
        <f>+CH711*0</f>
        <v>0</v>
      </c>
      <c r="CJ711" s="263">
        <f>+CH711+CI711</f>
        <v>10722160</v>
      </c>
      <c r="CK711" s="272" t="s">
        <v>550</v>
      </c>
      <c r="CL711" s="272" t="s">
        <v>217</v>
      </c>
      <c r="CM711" s="11"/>
      <c r="CN711" s="274"/>
      <c r="CO711" s="274"/>
      <c r="CP711" s="274"/>
      <c r="CQ711" s="11"/>
      <c r="CR711" s="11"/>
      <c r="CS711" s="11"/>
      <c r="CT711" s="274"/>
      <c r="CU711" s="274"/>
      <c r="CV711" s="274"/>
      <c r="CW711" s="11"/>
      <c r="CX711" s="11"/>
      <c r="CY711" s="11"/>
      <c r="CZ711" s="118"/>
      <c r="DA711" s="118"/>
      <c r="DB711" s="118"/>
      <c r="DC711" s="33"/>
      <c r="DD711" s="11"/>
      <c r="DE711" s="11"/>
      <c r="DF711" s="11"/>
      <c r="DG711" s="11"/>
      <c r="DH711" s="11"/>
      <c r="DI711" s="11"/>
      <c r="DJ711" s="11"/>
      <c r="DK711" s="11"/>
      <c r="DL711" s="11"/>
      <c r="DM711" s="11"/>
      <c r="DN711" s="11"/>
      <c r="DO711" s="11"/>
      <c r="DP711" s="11"/>
      <c r="DQ711" s="11"/>
      <c r="DR711" s="11"/>
      <c r="DS711" s="11"/>
      <c r="DT711" s="11"/>
      <c r="DU711" s="11"/>
      <c r="DV711" s="11"/>
      <c r="DW711" s="11"/>
      <c r="DX711" s="11"/>
      <c r="DY711" s="11"/>
      <c r="DZ711" s="11"/>
      <c r="EA711" s="11"/>
      <c r="EB711" s="11"/>
      <c r="EC711" s="11"/>
      <c r="ED711" s="11"/>
      <c r="EE711" s="11"/>
      <c r="EF711" s="11"/>
      <c r="EG711" s="11"/>
      <c r="EH711" s="11"/>
      <c r="EI711" s="11"/>
      <c r="EJ711" s="11"/>
      <c r="EK711" s="11"/>
      <c r="EL711" s="11"/>
      <c r="EM711" s="11"/>
      <c r="EN711" s="11"/>
      <c r="EO711" s="11"/>
      <c r="EP711" s="11"/>
      <c r="EQ711" s="11"/>
      <c r="ER711" s="11"/>
      <c r="ES711" s="11"/>
      <c r="ET711" s="11"/>
      <c r="EU711" s="11"/>
      <c r="EV711" s="11"/>
      <c r="EW711" s="11"/>
      <c r="EX711" s="11"/>
      <c r="EY711" s="11"/>
      <c r="EZ711" s="11"/>
      <c r="FA711" s="11"/>
      <c r="FB711" s="11"/>
      <c r="FC711" s="11"/>
      <c r="FD711" s="11"/>
      <c r="FE711" s="11"/>
      <c r="FF711" s="11"/>
      <c r="FG711" s="11"/>
      <c r="FH711" s="39">
        <f t="shared" si="172"/>
        <v>13322160</v>
      </c>
      <c r="FI711" s="33">
        <f t="shared" si="173"/>
        <v>2</v>
      </c>
      <c r="FJ711" s="84">
        <f t="shared" si="174"/>
        <v>6661080</v>
      </c>
    </row>
    <row r="712" spans="1:166" ht="13.5" x14ac:dyDescent="0.25">
      <c r="A712" s="79" t="e">
        <f>#REF!</f>
        <v>#REF!</v>
      </c>
      <c r="B712" s="75" t="e">
        <f>#REF!</f>
        <v>#REF!</v>
      </c>
      <c r="C712" s="75" t="e">
        <f>#REF!</f>
        <v>#REF!</v>
      </c>
      <c r="D712" s="75" t="e">
        <f>#REF!</f>
        <v>#REF!</v>
      </c>
      <c r="E712" s="30">
        <v>1</v>
      </c>
      <c r="F712" s="238">
        <v>0</v>
      </c>
      <c r="G712" s="241">
        <v>0</v>
      </c>
      <c r="H712" s="249">
        <v>0</v>
      </c>
      <c r="I712" s="249">
        <v>0</v>
      </c>
      <c r="J712" s="249">
        <v>0</v>
      </c>
      <c r="K712" s="249">
        <v>0</v>
      </c>
      <c r="L712" s="274"/>
      <c r="M712" s="274"/>
      <c r="N712" s="246"/>
      <c r="O712" s="118"/>
      <c r="P712" s="118"/>
      <c r="Q712" s="52"/>
      <c r="R712" s="52"/>
      <c r="S712" s="5"/>
      <c r="T712" s="118"/>
      <c r="U712" s="118"/>
      <c r="V712" s="118"/>
      <c r="W712" s="11"/>
      <c r="X712" s="11"/>
      <c r="Y712" s="11"/>
      <c r="Z712" s="118"/>
      <c r="AA712" s="118"/>
      <c r="AB712" s="118"/>
      <c r="AC712" s="52"/>
      <c r="AD712" s="52"/>
      <c r="AE712" s="11"/>
      <c r="AF712" s="118"/>
      <c r="AG712" s="118"/>
      <c r="AH712" s="118"/>
      <c r="AI712" s="11"/>
      <c r="AJ712" s="11"/>
      <c r="AK712" s="11"/>
      <c r="AL712" s="118"/>
      <c r="AM712" s="118"/>
      <c r="AN712" s="118"/>
      <c r="AO712" s="76"/>
      <c r="AP712" s="11"/>
      <c r="AQ712" s="11"/>
      <c r="AR712" s="274"/>
      <c r="AS712" s="274"/>
      <c r="AT712" s="274"/>
      <c r="AU712" s="48"/>
      <c r="AV712" s="48"/>
      <c r="AW712" s="11"/>
      <c r="AX712" s="274"/>
      <c r="AY712" s="274"/>
      <c r="AZ712" s="274"/>
      <c r="BA712" s="11"/>
      <c r="BB712" s="11"/>
      <c r="BC712" s="11"/>
      <c r="BD712" s="274"/>
      <c r="BE712" s="274"/>
      <c r="BF712" s="274"/>
      <c r="BG712" s="11"/>
      <c r="BH712" s="11"/>
      <c r="BI712" s="11"/>
      <c r="BJ712" s="274"/>
      <c r="BK712" s="274"/>
      <c r="BL712" s="274"/>
      <c r="BM712" s="11"/>
      <c r="BN712" s="11"/>
      <c r="BO712" s="11"/>
      <c r="BP712" s="274"/>
      <c r="BQ712" s="11"/>
      <c r="BR712" s="11"/>
      <c r="BS712" s="11"/>
      <c r="BT712" s="11"/>
      <c r="BU712" s="11"/>
      <c r="BV712" s="268">
        <v>3600000</v>
      </c>
      <c r="BW712" s="144">
        <f t="shared" si="175"/>
        <v>0</v>
      </c>
      <c r="BX712" s="113">
        <f t="shared" si="176"/>
        <v>3600000</v>
      </c>
      <c r="BY712" s="272" t="s">
        <v>550</v>
      </c>
      <c r="BZ712" s="272" t="s">
        <v>131</v>
      </c>
      <c r="CA712" s="11"/>
      <c r="CB712" s="274"/>
      <c r="CC712" s="274"/>
      <c r="CD712" s="274"/>
      <c r="CE712" s="11"/>
      <c r="CF712" s="11"/>
      <c r="CG712" s="11"/>
      <c r="CH712" s="268">
        <v>15888976</v>
      </c>
      <c r="CI712" s="265">
        <f>+CH712*0</f>
        <v>0</v>
      </c>
      <c r="CJ712" s="263">
        <f>+CH712+CI712</f>
        <v>15888976</v>
      </c>
      <c r="CK712" s="272" t="s">
        <v>550</v>
      </c>
      <c r="CL712" s="272" t="s">
        <v>131</v>
      </c>
      <c r="CM712" s="11"/>
      <c r="CN712" s="274"/>
      <c r="CO712" s="274"/>
      <c r="CP712" s="274"/>
      <c r="CQ712" s="11"/>
      <c r="CR712" s="11"/>
      <c r="CS712" s="11"/>
      <c r="CT712" s="274"/>
      <c r="CU712" s="274"/>
      <c r="CV712" s="274"/>
      <c r="CW712" s="11"/>
      <c r="CX712" s="11"/>
      <c r="CY712" s="11"/>
      <c r="CZ712" s="118"/>
      <c r="DA712" s="118"/>
      <c r="DB712" s="118"/>
      <c r="DC712" s="33"/>
      <c r="DD712" s="11"/>
      <c r="DE712" s="11"/>
      <c r="DF712" s="11"/>
      <c r="DG712" s="11"/>
      <c r="DH712" s="11"/>
      <c r="DI712" s="11"/>
      <c r="DJ712" s="11"/>
      <c r="DK712" s="11"/>
      <c r="DL712" s="11"/>
      <c r="DM712" s="11"/>
      <c r="DN712" s="11"/>
      <c r="DO712" s="11"/>
      <c r="DP712" s="11"/>
      <c r="DQ712" s="11"/>
      <c r="DR712" s="11"/>
      <c r="DS712" s="11"/>
      <c r="DT712" s="11"/>
      <c r="DU712" s="11"/>
      <c r="DV712" s="11"/>
      <c r="DW712" s="11"/>
      <c r="DX712" s="11"/>
      <c r="DY712" s="11"/>
      <c r="DZ712" s="11"/>
      <c r="EA712" s="11"/>
      <c r="EB712" s="11"/>
      <c r="EC712" s="11"/>
      <c r="ED712" s="11"/>
      <c r="EE712" s="11"/>
      <c r="EF712" s="11"/>
      <c r="EG712" s="11"/>
      <c r="EH712" s="11"/>
      <c r="EI712" s="11"/>
      <c r="EJ712" s="11"/>
      <c r="EK712" s="11"/>
      <c r="EL712" s="11"/>
      <c r="EM712" s="11"/>
      <c r="EN712" s="11"/>
      <c r="EO712" s="11"/>
      <c r="EP712" s="11"/>
      <c r="EQ712" s="11"/>
      <c r="ER712" s="11"/>
      <c r="ES712" s="11"/>
      <c r="ET712" s="11"/>
      <c r="EU712" s="11"/>
      <c r="EV712" s="11"/>
      <c r="EW712" s="11"/>
      <c r="EX712" s="11"/>
      <c r="EY712" s="11"/>
      <c r="EZ712" s="11"/>
      <c r="FA712" s="11"/>
      <c r="FB712" s="11"/>
      <c r="FC712" s="11"/>
      <c r="FD712" s="11"/>
      <c r="FE712" s="11"/>
      <c r="FF712" s="11"/>
      <c r="FG712" s="11"/>
      <c r="FH712" s="39">
        <f t="shared" si="172"/>
        <v>19488976</v>
      </c>
      <c r="FI712" s="33">
        <f t="shared" si="173"/>
        <v>2</v>
      </c>
      <c r="FJ712" s="84">
        <f t="shared" si="174"/>
        <v>9744488</v>
      </c>
    </row>
    <row r="713" spans="1:166" ht="13.5" x14ac:dyDescent="0.25">
      <c r="A713" s="79" t="e">
        <f>#REF!</f>
        <v>#REF!</v>
      </c>
      <c r="B713" s="75" t="e">
        <f>#REF!</f>
        <v>#REF!</v>
      </c>
      <c r="C713" s="75" t="e">
        <f>#REF!</f>
        <v>#REF!</v>
      </c>
      <c r="D713" s="75" t="e">
        <f>#REF!</f>
        <v>#REF!</v>
      </c>
      <c r="E713" s="30">
        <v>1</v>
      </c>
      <c r="F713" s="238">
        <v>0</v>
      </c>
      <c r="G713" s="241">
        <v>0</v>
      </c>
      <c r="H713" s="249">
        <v>0</v>
      </c>
      <c r="I713" s="249">
        <v>0</v>
      </c>
      <c r="J713" s="249">
        <v>0</v>
      </c>
      <c r="K713" s="249">
        <v>0</v>
      </c>
      <c r="L713" s="274"/>
      <c r="M713" s="274"/>
      <c r="N713" s="246"/>
      <c r="O713" s="118"/>
      <c r="P713" s="118"/>
      <c r="Q713" s="52"/>
      <c r="R713" s="52"/>
      <c r="S713" s="5"/>
      <c r="T713" s="118"/>
      <c r="U713" s="118"/>
      <c r="V713" s="118"/>
      <c r="W713" s="11"/>
      <c r="X713" s="11"/>
      <c r="Y713" s="11"/>
      <c r="Z713" s="118"/>
      <c r="AA713" s="118"/>
      <c r="AB713" s="118"/>
      <c r="AC713" s="52"/>
      <c r="AD713" s="52"/>
      <c r="AE713" s="11"/>
      <c r="AF713" s="118"/>
      <c r="AG713" s="118"/>
      <c r="AH713" s="118"/>
      <c r="AI713" s="11"/>
      <c r="AJ713" s="11"/>
      <c r="AK713" s="11"/>
      <c r="AL713" s="118"/>
      <c r="AM713" s="118"/>
      <c r="AN713" s="118"/>
      <c r="AO713" s="76"/>
      <c r="AP713" s="11"/>
      <c r="AQ713" s="11"/>
      <c r="AR713" s="274"/>
      <c r="AS713" s="274"/>
      <c r="AT713" s="274"/>
      <c r="AU713" s="48"/>
      <c r="AV713" s="48"/>
      <c r="AW713" s="11"/>
      <c r="AX713" s="274"/>
      <c r="AY713" s="274"/>
      <c r="AZ713" s="274"/>
      <c r="BA713" s="11"/>
      <c r="BB713" s="11"/>
      <c r="BC713" s="11"/>
      <c r="BD713" s="274"/>
      <c r="BE713" s="274"/>
      <c r="BF713" s="274"/>
      <c r="BG713" s="11"/>
      <c r="BH713" s="11"/>
      <c r="BI713" s="11"/>
      <c r="BJ713" s="274"/>
      <c r="BK713" s="274"/>
      <c r="BL713" s="274"/>
      <c r="BM713" s="11"/>
      <c r="BN713" s="11"/>
      <c r="BO713" s="11"/>
      <c r="BP713" s="274"/>
      <c r="BQ713" s="11"/>
      <c r="BR713" s="11"/>
      <c r="BS713" s="11"/>
      <c r="BT713" s="11"/>
      <c r="BU713" s="11"/>
      <c r="BV713" s="268">
        <v>2600000</v>
      </c>
      <c r="BW713" s="144">
        <f t="shared" si="175"/>
        <v>0</v>
      </c>
      <c r="BX713" s="113">
        <f t="shared" si="176"/>
        <v>2600000</v>
      </c>
      <c r="BY713" s="272" t="s">
        <v>550</v>
      </c>
      <c r="BZ713" s="272" t="s">
        <v>131</v>
      </c>
      <c r="CA713" s="11"/>
      <c r="CB713" s="274"/>
      <c r="CC713" s="274"/>
      <c r="CD713" s="274"/>
      <c r="CE713" s="11"/>
      <c r="CF713" s="11"/>
      <c r="CG713" s="11"/>
      <c r="CH713" s="268">
        <v>13475100.66</v>
      </c>
      <c r="CI713" s="265">
        <f>+CH713*0</f>
        <v>0</v>
      </c>
      <c r="CJ713" s="263">
        <f>+CH713+CI713</f>
        <v>13475100.66</v>
      </c>
      <c r="CK713" s="272" t="s">
        <v>550</v>
      </c>
      <c r="CL713" s="272" t="s">
        <v>131</v>
      </c>
      <c r="CM713" s="11"/>
      <c r="CN713" s="274"/>
      <c r="CO713" s="274"/>
      <c r="CP713" s="274"/>
      <c r="CQ713" s="11"/>
      <c r="CR713" s="11"/>
      <c r="CS713" s="11"/>
      <c r="CT713" s="274"/>
      <c r="CU713" s="274"/>
      <c r="CV713" s="274"/>
      <c r="CW713" s="11"/>
      <c r="CX713" s="11"/>
      <c r="CY713" s="11"/>
      <c r="CZ713" s="118"/>
      <c r="DA713" s="118"/>
      <c r="DB713" s="118"/>
      <c r="DC713" s="33"/>
      <c r="DD713" s="11"/>
      <c r="DE713" s="11"/>
      <c r="DF713" s="11"/>
      <c r="DG713" s="11"/>
      <c r="DH713" s="11"/>
      <c r="DI713" s="11"/>
      <c r="DJ713" s="11"/>
      <c r="DK713" s="11"/>
      <c r="DL713" s="11"/>
      <c r="DM713" s="11"/>
      <c r="DN713" s="11"/>
      <c r="DO713" s="11"/>
      <c r="DP713" s="11"/>
      <c r="DQ713" s="11"/>
      <c r="DR713" s="11"/>
      <c r="DS713" s="11"/>
      <c r="DT713" s="11"/>
      <c r="DU713" s="11"/>
      <c r="DV713" s="11"/>
      <c r="DW713" s="11"/>
      <c r="DX713" s="11"/>
      <c r="DY713" s="11"/>
      <c r="DZ713" s="11"/>
      <c r="EA713" s="11"/>
      <c r="EB713" s="11"/>
      <c r="EC713" s="11"/>
      <c r="ED713" s="11"/>
      <c r="EE713" s="11"/>
      <c r="EF713" s="11"/>
      <c r="EG713" s="11"/>
      <c r="EH713" s="11"/>
      <c r="EI713" s="11"/>
      <c r="EJ713" s="11"/>
      <c r="EK713" s="11"/>
      <c r="EL713" s="11"/>
      <c r="EM713" s="11"/>
      <c r="EN713" s="11"/>
      <c r="EO713" s="11"/>
      <c r="EP713" s="11"/>
      <c r="EQ713" s="11"/>
      <c r="ER713" s="11"/>
      <c r="ES713" s="11"/>
      <c r="ET713" s="11"/>
      <c r="EU713" s="11"/>
      <c r="EV713" s="11"/>
      <c r="EW713" s="11"/>
      <c r="EX713" s="11"/>
      <c r="EY713" s="11"/>
      <c r="EZ713" s="11"/>
      <c r="FA713" s="11"/>
      <c r="FB713" s="11"/>
      <c r="FC713" s="11"/>
      <c r="FD713" s="11"/>
      <c r="FE713" s="11"/>
      <c r="FF713" s="11"/>
      <c r="FG713" s="11"/>
      <c r="FH713" s="39">
        <f t="shared" si="172"/>
        <v>16075100.66</v>
      </c>
      <c r="FI713" s="33">
        <f t="shared" si="173"/>
        <v>2</v>
      </c>
      <c r="FJ713" s="84">
        <f t="shared" si="174"/>
        <v>8037550.3300000001</v>
      </c>
    </row>
    <row r="714" spans="1:166" ht="13.5" x14ac:dyDescent="0.25">
      <c r="A714" s="79" t="e">
        <f>#REF!</f>
        <v>#REF!</v>
      </c>
      <c r="B714" s="75" t="e">
        <f>#REF!</f>
        <v>#REF!</v>
      </c>
      <c r="C714" s="75" t="e">
        <f>#REF!</f>
        <v>#REF!</v>
      </c>
      <c r="D714" s="75" t="e">
        <f>#REF!</f>
        <v>#REF!</v>
      </c>
      <c r="E714" s="30">
        <v>1</v>
      </c>
      <c r="F714" s="238">
        <v>0</v>
      </c>
      <c r="G714" s="241">
        <v>0</v>
      </c>
      <c r="H714" s="249">
        <v>0</v>
      </c>
      <c r="I714" s="249">
        <v>0</v>
      </c>
      <c r="J714" s="249">
        <v>0</v>
      </c>
      <c r="K714" s="249">
        <v>0</v>
      </c>
      <c r="L714" s="274"/>
      <c r="M714" s="274"/>
      <c r="N714" s="247">
        <v>1115000</v>
      </c>
      <c r="O714" s="113">
        <f>+N714*0</f>
        <v>0</v>
      </c>
      <c r="P714" s="113">
        <f>+O714+N714</f>
        <v>1115000</v>
      </c>
      <c r="Q714" s="36" t="s">
        <v>547</v>
      </c>
      <c r="R714" s="132" t="s">
        <v>200</v>
      </c>
      <c r="S714" s="5"/>
      <c r="T714" s="118"/>
      <c r="U714" s="118"/>
      <c r="V714" s="118"/>
      <c r="W714" s="11"/>
      <c r="X714" s="11"/>
      <c r="Y714" s="11"/>
      <c r="Z714" s="118"/>
      <c r="AA714" s="118"/>
      <c r="AB714" s="118"/>
      <c r="AC714" s="52"/>
      <c r="AD714" s="52"/>
      <c r="AE714" s="11"/>
      <c r="AF714" s="118"/>
      <c r="AG714" s="118"/>
      <c r="AH714" s="118"/>
      <c r="AI714" s="11"/>
      <c r="AJ714" s="11"/>
      <c r="AK714" s="11"/>
      <c r="AL714" s="118"/>
      <c r="AM714" s="118"/>
      <c r="AN714" s="118"/>
      <c r="AO714" s="76"/>
      <c r="AP714" s="11"/>
      <c r="AQ714" s="11"/>
      <c r="AR714" s="274"/>
      <c r="AS714" s="274"/>
      <c r="AT714" s="274"/>
      <c r="AU714" s="48"/>
      <c r="AV714" s="48"/>
      <c r="AW714" s="11"/>
      <c r="AX714" s="274"/>
      <c r="AY714" s="274"/>
      <c r="AZ714" s="274"/>
      <c r="BA714" s="11"/>
      <c r="BB714" s="11"/>
      <c r="BC714" s="11"/>
      <c r="BD714" s="274"/>
      <c r="BE714" s="274"/>
      <c r="BF714" s="274"/>
      <c r="BG714" s="11"/>
      <c r="BH714" s="11"/>
      <c r="BI714" s="11"/>
      <c r="BJ714" s="274"/>
      <c r="BK714" s="274"/>
      <c r="BL714" s="274"/>
      <c r="BM714" s="11"/>
      <c r="BN714" s="11"/>
      <c r="BO714" s="11"/>
      <c r="BP714" s="274"/>
      <c r="BQ714" s="11"/>
      <c r="BR714" s="11"/>
      <c r="BS714" s="11"/>
      <c r="BT714" s="11"/>
      <c r="BU714" s="11"/>
      <c r="BV714" s="268">
        <v>3200000</v>
      </c>
      <c r="BW714" s="144">
        <f t="shared" si="175"/>
        <v>0</v>
      </c>
      <c r="BX714" s="113">
        <f t="shared" si="176"/>
        <v>3200000</v>
      </c>
      <c r="BY714" s="272" t="s">
        <v>550</v>
      </c>
      <c r="BZ714" s="272" t="s">
        <v>217</v>
      </c>
      <c r="CA714" s="11"/>
      <c r="CB714" s="274"/>
      <c r="CC714" s="274"/>
      <c r="CD714" s="274"/>
      <c r="CE714" s="11"/>
      <c r="CF714" s="11"/>
      <c r="CG714" s="11"/>
      <c r="CH714" s="268"/>
      <c r="CI714" s="265"/>
      <c r="CJ714" s="263"/>
      <c r="CK714" s="272"/>
      <c r="CL714" s="272"/>
      <c r="CM714" s="11"/>
      <c r="CN714" s="274"/>
      <c r="CO714" s="274"/>
      <c r="CP714" s="274"/>
      <c r="CQ714" s="11"/>
      <c r="CR714" s="11"/>
      <c r="CS714" s="11"/>
      <c r="CT714" s="274"/>
      <c r="CU714" s="274"/>
      <c r="CV714" s="274"/>
      <c r="CW714" s="11"/>
      <c r="CX714" s="11"/>
      <c r="CY714" s="11"/>
      <c r="CZ714" s="118"/>
      <c r="DA714" s="118"/>
      <c r="DB714" s="118"/>
      <c r="DC714" s="33"/>
      <c r="DD714" s="11"/>
      <c r="DE714" s="11"/>
      <c r="DF714" s="11"/>
      <c r="DG714" s="11"/>
      <c r="DH714" s="11"/>
      <c r="DI714" s="11"/>
      <c r="DJ714" s="11"/>
      <c r="DK714" s="11"/>
      <c r="DL714" s="11"/>
      <c r="DM714" s="11"/>
      <c r="DN714" s="11"/>
      <c r="DO714" s="11"/>
      <c r="DP714" s="11"/>
      <c r="DQ714" s="11"/>
      <c r="DR714" s="11"/>
      <c r="DS714" s="11"/>
      <c r="DT714" s="11"/>
      <c r="DU714" s="11"/>
      <c r="DV714" s="11"/>
      <c r="DW714" s="11"/>
      <c r="DX714" s="11"/>
      <c r="DY714" s="11"/>
      <c r="DZ714" s="11"/>
      <c r="EA714" s="11"/>
      <c r="EB714" s="11"/>
      <c r="EC714" s="11"/>
      <c r="ED714" s="11"/>
      <c r="EE714" s="11"/>
      <c r="EF714" s="11"/>
      <c r="EG714" s="11"/>
      <c r="EH714" s="11"/>
      <c r="EI714" s="11"/>
      <c r="EJ714" s="11"/>
      <c r="EK714" s="11"/>
      <c r="EL714" s="11"/>
      <c r="EM714" s="11"/>
      <c r="EN714" s="11"/>
      <c r="EO714" s="11"/>
      <c r="EP714" s="11"/>
      <c r="EQ714" s="11"/>
      <c r="ER714" s="11"/>
      <c r="ES714" s="11"/>
      <c r="ET714" s="11"/>
      <c r="EU714" s="11"/>
      <c r="EV714" s="11"/>
      <c r="EW714" s="11"/>
      <c r="EX714" s="11"/>
      <c r="EY714" s="11"/>
      <c r="EZ714" s="11"/>
      <c r="FA714" s="11"/>
      <c r="FB714" s="11"/>
      <c r="FC714" s="11"/>
      <c r="FD714" s="11"/>
      <c r="FE714" s="11"/>
      <c r="FF714" s="11"/>
      <c r="FG714" s="11"/>
      <c r="FH714" s="39">
        <f t="shared" si="172"/>
        <v>4315000</v>
      </c>
      <c r="FI714" s="33">
        <f t="shared" si="173"/>
        <v>2</v>
      </c>
      <c r="FJ714" s="84">
        <f t="shared" si="174"/>
        <v>2157500</v>
      </c>
    </row>
    <row r="715" spans="1:166" ht="13.5" x14ac:dyDescent="0.25">
      <c r="A715" s="79" t="e">
        <f>#REF!</f>
        <v>#REF!</v>
      </c>
      <c r="B715" s="75" t="e">
        <f>#REF!</f>
        <v>#REF!</v>
      </c>
      <c r="C715" s="75" t="e">
        <f>#REF!</f>
        <v>#REF!</v>
      </c>
      <c r="D715" s="75" t="e">
        <f>#REF!</f>
        <v>#REF!</v>
      </c>
      <c r="E715" s="30">
        <v>1</v>
      </c>
      <c r="F715" s="238">
        <v>0</v>
      </c>
      <c r="G715" s="241">
        <v>0</v>
      </c>
      <c r="H715" s="249">
        <v>0</v>
      </c>
      <c r="I715" s="249">
        <v>0</v>
      </c>
      <c r="J715" s="249">
        <v>0</v>
      </c>
      <c r="K715" s="249">
        <v>0</v>
      </c>
      <c r="L715" s="274"/>
      <c r="M715" s="274"/>
      <c r="N715" s="247">
        <v>1115000</v>
      </c>
      <c r="O715" s="113">
        <f>+N715*0</f>
        <v>0</v>
      </c>
      <c r="P715" s="113">
        <f>+O715+N715</f>
        <v>1115000</v>
      </c>
      <c r="Q715" s="36" t="s">
        <v>547</v>
      </c>
      <c r="R715" s="132" t="s">
        <v>200</v>
      </c>
      <c r="S715" s="5"/>
      <c r="T715" s="118"/>
      <c r="U715" s="118"/>
      <c r="V715" s="118"/>
      <c r="W715" s="11"/>
      <c r="X715" s="11"/>
      <c r="Y715" s="11"/>
      <c r="Z715" s="118"/>
      <c r="AA715" s="118"/>
      <c r="AB715" s="118"/>
      <c r="AC715" s="52"/>
      <c r="AD715" s="52"/>
      <c r="AE715" s="11"/>
      <c r="AF715" s="118"/>
      <c r="AG715" s="118"/>
      <c r="AH715" s="118"/>
      <c r="AI715" s="11"/>
      <c r="AJ715" s="11"/>
      <c r="AK715" s="11"/>
      <c r="AL715" s="118"/>
      <c r="AM715" s="118"/>
      <c r="AN715" s="118"/>
      <c r="AO715" s="76"/>
      <c r="AP715" s="11"/>
      <c r="AQ715" s="11"/>
      <c r="AR715" s="274"/>
      <c r="AS715" s="274"/>
      <c r="AT715" s="274"/>
      <c r="AU715" s="48"/>
      <c r="AV715" s="48"/>
      <c r="AW715" s="11"/>
      <c r="AX715" s="274"/>
      <c r="AY715" s="274"/>
      <c r="AZ715" s="274"/>
      <c r="BA715" s="11"/>
      <c r="BB715" s="11"/>
      <c r="BC715" s="11"/>
      <c r="BD715" s="274"/>
      <c r="BE715" s="274"/>
      <c r="BF715" s="274"/>
      <c r="BG715" s="11"/>
      <c r="BH715" s="11"/>
      <c r="BI715" s="11"/>
      <c r="BJ715" s="274"/>
      <c r="BK715" s="274"/>
      <c r="BL715" s="274"/>
      <c r="BM715" s="11"/>
      <c r="BN715" s="11"/>
      <c r="BO715" s="11"/>
      <c r="BP715" s="274"/>
      <c r="BQ715" s="11"/>
      <c r="BR715" s="11"/>
      <c r="BS715" s="11"/>
      <c r="BT715" s="11"/>
      <c r="BU715" s="11"/>
      <c r="BV715" s="268">
        <v>4000000</v>
      </c>
      <c r="BW715" s="144">
        <f t="shared" si="175"/>
        <v>0</v>
      </c>
      <c r="BX715" s="113">
        <f t="shared" si="176"/>
        <v>4000000</v>
      </c>
      <c r="BY715" s="272" t="s">
        <v>550</v>
      </c>
      <c r="BZ715" s="272" t="s">
        <v>131</v>
      </c>
      <c r="CA715" s="11"/>
      <c r="CB715" s="274"/>
      <c r="CC715" s="274"/>
      <c r="CD715" s="274"/>
      <c r="CE715" s="11"/>
      <c r="CF715" s="11"/>
      <c r="CG715" s="11"/>
      <c r="CH715" s="268"/>
      <c r="CI715" s="265"/>
      <c r="CJ715" s="263"/>
      <c r="CK715" s="272"/>
      <c r="CL715" s="272"/>
      <c r="CM715" s="11"/>
      <c r="CN715" s="274"/>
      <c r="CO715" s="274"/>
      <c r="CP715" s="274"/>
      <c r="CQ715" s="11"/>
      <c r="CR715" s="11"/>
      <c r="CS715" s="11"/>
      <c r="CT715" s="274"/>
      <c r="CU715" s="274"/>
      <c r="CV715" s="274"/>
      <c r="CW715" s="11"/>
      <c r="CX715" s="11"/>
      <c r="CY715" s="11"/>
      <c r="CZ715" s="118"/>
      <c r="DA715" s="118"/>
      <c r="DB715" s="118"/>
      <c r="DC715" s="33"/>
      <c r="DD715" s="11"/>
      <c r="DE715" s="11"/>
      <c r="DF715" s="11"/>
      <c r="DG715" s="11"/>
      <c r="DH715" s="11"/>
      <c r="DI715" s="11"/>
      <c r="DJ715" s="11"/>
      <c r="DK715" s="11"/>
      <c r="DL715" s="11"/>
      <c r="DM715" s="11"/>
      <c r="DN715" s="11"/>
      <c r="DO715" s="11"/>
      <c r="DP715" s="11"/>
      <c r="DQ715" s="11"/>
      <c r="DR715" s="11"/>
      <c r="DS715" s="11"/>
      <c r="DT715" s="11"/>
      <c r="DU715" s="11"/>
      <c r="DV715" s="11"/>
      <c r="DW715" s="11"/>
      <c r="DX715" s="11"/>
      <c r="DY715" s="11"/>
      <c r="DZ715" s="11"/>
      <c r="EA715" s="11"/>
      <c r="EB715" s="11"/>
      <c r="EC715" s="11"/>
      <c r="ED715" s="11"/>
      <c r="EE715" s="11"/>
      <c r="EF715" s="11"/>
      <c r="EG715" s="11"/>
      <c r="EH715" s="11"/>
      <c r="EI715" s="11"/>
      <c r="EJ715" s="11"/>
      <c r="EK715" s="11"/>
      <c r="EL715" s="11"/>
      <c r="EM715" s="11"/>
      <c r="EN715" s="11"/>
      <c r="EO715" s="11"/>
      <c r="EP715" s="11"/>
      <c r="EQ715" s="11"/>
      <c r="ER715" s="11"/>
      <c r="ES715" s="11"/>
      <c r="ET715" s="11"/>
      <c r="EU715" s="11"/>
      <c r="EV715" s="11"/>
      <c r="EW715" s="11"/>
      <c r="EX715" s="11"/>
      <c r="EY715" s="11"/>
      <c r="EZ715" s="11"/>
      <c r="FA715" s="11"/>
      <c r="FB715" s="11"/>
      <c r="FC715" s="11"/>
      <c r="FD715" s="11"/>
      <c r="FE715" s="11"/>
      <c r="FF715" s="11"/>
      <c r="FG715" s="11"/>
      <c r="FH715" s="39">
        <f t="shared" si="172"/>
        <v>5115000</v>
      </c>
      <c r="FI715" s="33">
        <f t="shared" si="173"/>
        <v>2</v>
      </c>
      <c r="FJ715" s="84">
        <f t="shared" si="174"/>
        <v>2557500</v>
      </c>
    </row>
    <row r="716" spans="1:166" ht="13.5" x14ac:dyDescent="0.25">
      <c r="A716" s="79" t="e">
        <f>#REF!</f>
        <v>#REF!</v>
      </c>
      <c r="B716" s="75" t="e">
        <f>#REF!</f>
        <v>#REF!</v>
      </c>
      <c r="C716" s="75" t="e">
        <f>#REF!</f>
        <v>#REF!</v>
      </c>
      <c r="D716" s="75" t="e">
        <f>#REF!</f>
        <v>#REF!</v>
      </c>
      <c r="E716" s="30">
        <v>1</v>
      </c>
      <c r="F716" s="238">
        <v>0</v>
      </c>
      <c r="G716" s="241">
        <v>0</v>
      </c>
      <c r="H716" s="249">
        <v>0</v>
      </c>
      <c r="I716" s="249">
        <v>0</v>
      </c>
      <c r="J716" s="249">
        <v>0</v>
      </c>
      <c r="K716" s="249">
        <v>0</v>
      </c>
      <c r="L716" s="274"/>
      <c r="M716" s="274"/>
      <c r="N716" s="247">
        <v>1115000</v>
      </c>
      <c r="O716" s="113">
        <f>+N716*0</f>
        <v>0</v>
      </c>
      <c r="P716" s="113">
        <f>+O716+N716</f>
        <v>1115000</v>
      </c>
      <c r="Q716" s="36" t="s">
        <v>547</v>
      </c>
      <c r="R716" s="132" t="s">
        <v>200</v>
      </c>
      <c r="S716" s="5"/>
      <c r="T716" s="118"/>
      <c r="U716" s="118"/>
      <c r="V716" s="118"/>
      <c r="W716" s="11"/>
      <c r="X716" s="11"/>
      <c r="Y716" s="11"/>
      <c r="Z716" s="118"/>
      <c r="AA716" s="118"/>
      <c r="AB716" s="118"/>
      <c r="AC716" s="52"/>
      <c r="AD716" s="52"/>
      <c r="AE716" s="11"/>
      <c r="AF716" s="118"/>
      <c r="AG716" s="118"/>
      <c r="AH716" s="118"/>
      <c r="AI716" s="11"/>
      <c r="AJ716" s="11"/>
      <c r="AK716" s="11"/>
      <c r="AL716" s="118"/>
      <c r="AM716" s="118"/>
      <c r="AN716" s="118"/>
      <c r="AO716" s="76"/>
      <c r="AP716" s="11"/>
      <c r="AQ716" s="11"/>
      <c r="AR716" s="274"/>
      <c r="AS716" s="274"/>
      <c r="AT716" s="274"/>
      <c r="AU716" s="48"/>
      <c r="AV716" s="48"/>
      <c r="AW716" s="11"/>
      <c r="AX716" s="274"/>
      <c r="AY716" s="274"/>
      <c r="AZ716" s="274"/>
      <c r="BA716" s="11"/>
      <c r="BB716" s="11"/>
      <c r="BC716" s="11"/>
      <c r="BD716" s="274"/>
      <c r="BE716" s="274"/>
      <c r="BF716" s="274"/>
      <c r="BG716" s="11"/>
      <c r="BH716" s="11"/>
      <c r="BI716" s="11"/>
      <c r="BJ716" s="274"/>
      <c r="BK716" s="274"/>
      <c r="BL716" s="274"/>
      <c r="BM716" s="11"/>
      <c r="BN716" s="11"/>
      <c r="BO716" s="11"/>
      <c r="BP716" s="274"/>
      <c r="BQ716" s="11"/>
      <c r="BR716" s="11"/>
      <c r="BS716" s="11"/>
      <c r="BT716" s="11"/>
      <c r="BU716" s="11"/>
      <c r="BV716" s="268">
        <v>4000000</v>
      </c>
      <c r="BW716" s="144">
        <f t="shared" si="175"/>
        <v>0</v>
      </c>
      <c r="BX716" s="113">
        <f t="shared" si="176"/>
        <v>4000000</v>
      </c>
      <c r="BY716" s="272" t="s">
        <v>550</v>
      </c>
      <c r="BZ716" s="272" t="s">
        <v>217</v>
      </c>
      <c r="CA716" s="11"/>
      <c r="CB716" s="274"/>
      <c r="CC716" s="274"/>
      <c r="CD716" s="274"/>
      <c r="CE716" s="11"/>
      <c r="CF716" s="11"/>
      <c r="CG716" s="11"/>
      <c r="CH716" s="268"/>
      <c r="CI716" s="265"/>
      <c r="CJ716" s="263"/>
      <c r="CK716" s="272"/>
      <c r="CL716" s="272"/>
      <c r="CM716" s="11"/>
      <c r="CN716" s="274"/>
      <c r="CO716" s="274"/>
      <c r="CP716" s="274"/>
      <c r="CQ716" s="11"/>
      <c r="CR716" s="11"/>
      <c r="CS716" s="11"/>
      <c r="CT716" s="274"/>
      <c r="CU716" s="274"/>
      <c r="CV716" s="274"/>
      <c r="CW716" s="11"/>
      <c r="CX716" s="11"/>
      <c r="CY716" s="11"/>
      <c r="CZ716" s="118"/>
      <c r="DA716" s="118"/>
      <c r="DB716" s="118"/>
      <c r="DC716" s="33"/>
      <c r="DD716" s="11"/>
      <c r="DE716" s="11"/>
      <c r="DF716" s="11"/>
      <c r="DG716" s="11"/>
      <c r="DH716" s="11"/>
      <c r="DI716" s="11"/>
      <c r="DJ716" s="11"/>
      <c r="DK716" s="11"/>
      <c r="DL716" s="11"/>
      <c r="DM716" s="11"/>
      <c r="DN716" s="11"/>
      <c r="DO716" s="11"/>
      <c r="DP716" s="11"/>
      <c r="DQ716" s="11"/>
      <c r="DR716" s="11"/>
      <c r="DS716" s="11"/>
      <c r="DT716" s="11"/>
      <c r="DU716" s="11"/>
      <c r="DV716" s="11"/>
      <c r="DW716" s="11"/>
      <c r="DX716" s="11"/>
      <c r="DY716" s="11"/>
      <c r="DZ716" s="11"/>
      <c r="EA716" s="11"/>
      <c r="EB716" s="11"/>
      <c r="EC716" s="11"/>
      <c r="ED716" s="11"/>
      <c r="EE716" s="11"/>
      <c r="EF716" s="11"/>
      <c r="EG716" s="11"/>
      <c r="EH716" s="11"/>
      <c r="EI716" s="11"/>
      <c r="EJ716" s="11"/>
      <c r="EK716" s="11"/>
      <c r="EL716" s="11"/>
      <c r="EM716" s="11"/>
      <c r="EN716" s="11"/>
      <c r="EO716" s="11"/>
      <c r="EP716" s="11"/>
      <c r="EQ716" s="11"/>
      <c r="ER716" s="11"/>
      <c r="ES716" s="11"/>
      <c r="ET716" s="11"/>
      <c r="EU716" s="11"/>
      <c r="EV716" s="11"/>
      <c r="EW716" s="11"/>
      <c r="EX716" s="11"/>
      <c r="EY716" s="11"/>
      <c r="EZ716" s="11"/>
      <c r="FA716" s="11"/>
      <c r="FB716" s="11"/>
      <c r="FC716" s="11"/>
      <c r="FD716" s="11"/>
      <c r="FE716" s="11"/>
      <c r="FF716" s="11"/>
      <c r="FG716" s="11"/>
      <c r="FH716" s="39">
        <f t="shared" si="172"/>
        <v>5115000</v>
      </c>
      <c r="FI716" s="33">
        <f t="shared" si="173"/>
        <v>2</v>
      </c>
      <c r="FJ716" s="84">
        <f t="shared" si="174"/>
        <v>2557500</v>
      </c>
    </row>
    <row r="717" spans="1:166" ht="13.5" x14ac:dyDescent="0.25">
      <c r="A717" s="79" t="e">
        <f>#REF!</f>
        <v>#REF!</v>
      </c>
      <c r="B717" s="75" t="e">
        <f>#REF!</f>
        <v>#REF!</v>
      </c>
      <c r="C717" s="75" t="e">
        <f>#REF!</f>
        <v>#REF!</v>
      </c>
      <c r="D717" s="75" t="e">
        <f>#REF!</f>
        <v>#REF!</v>
      </c>
      <c r="E717" s="30">
        <v>1</v>
      </c>
      <c r="F717" s="238">
        <v>0</v>
      </c>
      <c r="G717" s="241">
        <v>0</v>
      </c>
      <c r="H717" s="249">
        <v>0</v>
      </c>
      <c r="I717" s="249">
        <v>0</v>
      </c>
      <c r="J717" s="249">
        <v>0</v>
      </c>
      <c r="K717" s="249">
        <v>0</v>
      </c>
      <c r="L717" s="274"/>
      <c r="M717" s="274"/>
      <c r="N717" s="246"/>
      <c r="O717" s="118"/>
      <c r="P717" s="118"/>
      <c r="Q717" s="52"/>
      <c r="R717" s="52"/>
      <c r="S717" s="5"/>
      <c r="T717" s="118"/>
      <c r="U717" s="118"/>
      <c r="V717" s="118"/>
      <c r="W717" s="11"/>
      <c r="X717" s="11"/>
      <c r="Y717" s="11"/>
      <c r="Z717" s="118"/>
      <c r="AA717" s="118"/>
      <c r="AB717" s="118"/>
      <c r="AC717" s="52"/>
      <c r="AD717" s="52"/>
      <c r="AE717" s="11"/>
      <c r="AF717" s="118"/>
      <c r="AG717" s="118"/>
      <c r="AH717" s="118"/>
      <c r="AI717" s="11"/>
      <c r="AJ717" s="11"/>
      <c r="AK717" s="11"/>
      <c r="AL717" s="118"/>
      <c r="AM717" s="118"/>
      <c r="AN717" s="118"/>
      <c r="AO717" s="76"/>
      <c r="AP717" s="11"/>
      <c r="AQ717" s="11"/>
      <c r="AR717" s="274"/>
      <c r="AS717" s="274"/>
      <c r="AT717" s="274"/>
      <c r="AU717" s="48"/>
      <c r="AV717" s="48"/>
      <c r="AW717" s="11"/>
      <c r="AX717" s="274"/>
      <c r="AY717" s="274"/>
      <c r="AZ717" s="274"/>
      <c r="BA717" s="11"/>
      <c r="BB717" s="11"/>
      <c r="BC717" s="11"/>
      <c r="BD717" s="274"/>
      <c r="BE717" s="274"/>
      <c r="BF717" s="274"/>
      <c r="BG717" s="11"/>
      <c r="BH717" s="11"/>
      <c r="BI717" s="11"/>
      <c r="BJ717" s="274"/>
      <c r="BK717" s="274"/>
      <c r="BL717" s="274"/>
      <c r="BM717" s="11"/>
      <c r="BN717" s="11"/>
      <c r="BO717" s="11"/>
      <c r="BP717" s="274"/>
      <c r="BQ717" s="11"/>
      <c r="BR717" s="11"/>
      <c r="BS717" s="11"/>
      <c r="BT717" s="11"/>
      <c r="BU717" s="11"/>
      <c r="BV717" s="268">
        <v>2600000</v>
      </c>
      <c r="BW717" s="144">
        <f t="shared" si="175"/>
        <v>0</v>
      </c>
      <c r="BX717" s="113">
        <f t="shared" si="176"/>
        <v>2600000</v>
      </c>
      <c r="BY717" s="272" t="s">
        <v>419</v>
      </c>
      <c r="BZ717" s="272" t="s">
        <v>131</v>
      </c>
      <c r="CA717" s="11"/>
      <c r="CB717" s="274"/>
      <c r="CC717" s="274"/>
      <c r="CD717" s="274"/>
      <c r="CE717" s="11"/>
      <c r="CF717" s="11"/>
      <c r="CG717" s="11"/>
      <c r="CH717" s="268">
        <v>5544092</v>
      </c>
      <c r="CI717" s="265">
        <f>+CH717*0</f>
        <v>0</v>
      </c>
      <c r="CJ717" s="263">
        <f>+CH717+CI717</f>
        <v>5544092</v>
      </c>
      <c r="CK717" s="272" t="s">
        <v>419</v>
      </c>
      <c r="CL717" s="272" t="s">
        <v>131</v>
      </c>
      <c r="CM717" s="11"/>
      <c r="CN717" s="274"/>
      <c r="CO717" s="274"/>
      <c r="CP717" s="274"/>
      <c r="CQ717" s="11"/>
      <c r="CR717" s="11"/>
      <c r="CS717" s="11"/>
      <c r="CT717" s="274"/>
      <c r="CU717" s="274"/>
      <c r="CV717" s="274"/>
      <c r="CW717" s="11"/>
      <c r="CX717" s="11"/>
      <c r="CY717" s="11"/>
      <c r="CZ717" s="118"/>
      <c r="DA717" s="118"/>
      <c r="DB717" s="118"/>
      <c r="DC717" s="33"/>
      <c r="DD717" s="11"/>
      <c r="DE717" s="11"/>
      <c r="DF717" s="11"/>
      <c r="DG717" s="11"/>
      <c r="DH717" s="11"/>
      <c r="DI717" s="11"/>
      <c r="DJ717" s="11"/>
      <c r="DK717" s="11"/>
      <c r="DL717" s="11"/>
      <c r="DM717" s="11"/>
      <c r="DN717" s="11"/>
      <c r="DO717" s="11"/>
      <c r="DP717" s="11"/>
      <c r="DQ717" s="11"/>
      <c r="DR717" s="11"/>
      <c r="DS717" s="11"/>
      <c r="DT717" s="11"/>
      <c r="DU717" s="11"/>
      <c r="DV717" s="11"/>
      <c r="DW717" s="11"/>
      <c r="DX717" s="11"/>
      <c r="DY717" s="11"/>
      <c r="DZ717" s="11"/>
      <c r="EA717" s="11"/>
      <c r="EB717" s="11"/>
      <c r="EC717" s="11"/>
      <c r="ED717" s="11"/>
      <c r="EE717" s="11"/>
      <c r="EF717" s="11"/>
      <c r="EG717" s="11"/>
      <c r="EH717" s="11"/>
      <c r="EI717" s="11"/>
      <c r="EJ717" s="11"/>
      <c r="EK717" s="11"/>
      <c r="EL717" s="11"/>
      <c r="EM717" s="11"/>
      <c r="EN717" s="11"/>
      <c r="EO717" s="11"/>
      <c r="EP717" s="11"/>
      <c r="EQ717" s="11"/>
      <c r="ER717" s="11"/>
      <c r="ES717" s="11"/>
      <c r="ET717" s="11"/>
      <c r="EU717" s="11"/>
      <c r="EV717" s="11"/>
      <c r="EW717" s="11"/>
      <c r="EX717" s="11"/>
      <c r="EY717" s="11"/>
      <c r="EZ717" s="11"/>
      <c r="FA717" s="11"/>
      <c r="FB717" s="11"/>
      <c r="FC717" s="11"/>
      <c r="FD717" s="11"/>
      <c r="FE717" s="11"/>
      <c r="FF717" s="11"/>
      <c r="FG717" s="11"/>
      <c r="FH717" s="39">
        <f t="shared" si="172"/>
        <v>8144092</v>
      </c>
      <c r="FI717" s="33">
        <f t="shared" si="173"/>
        <v>2</v>
      </c>
      <c r="FJ717" s="84">
        <f t="shared" si="174"/>
        <v>4072046</v>
      </c>
    </row>
    <row r="718" spans="1:166" x14ac:dyDescent="0.25">
      <c r="A718" s="79" t="e">
        <f>#REF!</f>
        <v>#REF!</v>
      </c>
      <c r="B718" s="75" t="e">
        <f>#REF!</f>
        <v>#REF!</v>
      </c>
      <c r="C718" s="75" t="e">
        <f>#REF!</f>
        <v>#REF!</v>
      </c>
      <c r="D718" s="75" t="e">
        <f>#REF!</f>
        <v>#REF!</v>
      </c>
      <c r="E718" s="30">
        <v>1</v>
      </c>
      <c r="F718" s="238">
        <v>0</v>
      </c>
      <c r="G718" s="241">
        <v>0</v>
      </c>
      <c r="H718" s="249">
        <v>0</v>
      </c>
      <c r="I718" s="249">
        <v>0</v>
      </c>
      <c r="J718" s="249">
        <v>0</v>
      </c>
      <c r="K718" s="249">
        <v>0</v>
      </c>
      <c r="L718" s="274"/>
      <c r="M718" s="274"/>
      <c r="N718" s="246"/>
      <c r="O718" s="118"/>
      <c r="P718" s="118"/>
      <c r="Q718" s="52"/>
      <c r="R718" s="52"/>
      <c r="S718" s="5"/>
      <c r="T718" s="118"/>
      <c r="U718" s="118"/>
      <c r="V718" s="118"/>
      <c r="W718" s="11"/>
      <c r="X718" s="11"/>
      <c r="Y718" s="11"/>
      <c r="Z718" s="118"/>
      <c r="AA718" s="118"/>
      <c r="AB718" s="118"/>
      <c r="AC718" s="52"/>
      <c r="AD718" s="52"/>
      <c r="AE718" s="11"/>
      <c r="AF718" s="118"/>
      <c r="AG718" s="118"/>
      <c r="AH718" s="118"/>
      <c r="AI718" s="11"/>
      <c r="AJ718" s="11"/>
      <c r="AK718" s="11"/>
      <c r="AL718" s="118"/>
      <c r="AM718" s="118"/>
      <c r="AN718" s="118"/>
      <c r="AO718" s="76"/>
      <c r="AP718" s="11"/>
      <c r="AQ718" s="11"/>
      <c r="AR718" s="274"/>
      <c r="AS718" s="274"/>
      <c r="AT718" s="274"/>
      <c r="AU718" s="48"/>
      <c r="AV718" s="48"/>
      <c r="AW718" s="11"/>
      <c r="AX718" s="274"/>
      <c r="AY718" s="274"/>
      <c r="AZ718" s="274"/>
      <c r="BA718" s="11"/>
      <c r="BB718" s="11"/>
      <c r="BC718" s="11"/>
      <c r="BD718" s="274"/>
      <c r="BE718" s="274"/>
      <c r="BF718" s="274"/>
      <c r="BG718" s="11"/>
      <c r="BH718" s="11"/>
      <c r="BI718" s="11"/>
      <c r="BJ718" s="274"/>
      <c r="BK718" s="274"/>
      <c r="BL718" s="274"/>
      <c r="BM718" s="11"/>
      <c r="BN718" s="11"/>
      <c r="BO718" s="11"/>
      <c r="BP718" s="274"/>
      <c r="BQ718" s="11"/>
      <c r="BR718" s="11"/>
      <c r="BS718" s="11"/>
      <c r="BT718" s="11"/>
      <c r="BU718" s="11"/>
      <c r="BV718" s="210"/>
      <c r="BW718" s="144"/>
      <c r="BX718" s="113"/>
      <c r="BY718" s="273"/>
      <c r="BZ718" s="273"/>
      <c r="CA718" s="11"/>
      <c r="CB718" s="274"/>
      <c r="CC718" s="274"/>
      <c r="CD718" s="274"/>
      <c r="CE718" s="11"/>
      <c r="CF718" s="11"/>
      <c r="CG718" s="11"/>
      <c r="CH718" s="210"/>
      <c r="CI718" s="219"/>
      <c r="CJ718" s="210"/>
      <c r="CK718" s="273"/>
      <c r="CL718" s="273"/>
      <c r="CM718" s="11"/>
      <c r="CN718" s="274"/>
      <c r="CO718" s="274"/>
      <c r="CP718" s="274"/>
      <c r="CQ718" s="11"/>
      <c r="CR718" s="11"/>
      <c r="CS718" s="11"/>
      <c r="CT718" s="274"/>
      <c r="CU718" s="274"/>
      <c r="CV718" s="274"/>
      <c r="CW718" s="11"/>
      <c r="CX718" s="11"/>
      <c r="CY718" s="11"/>
      <c r="CZ718" s="118"/>
      <c r="DA718" s="118"/>
      <c r="DB718" s="118"/>
      <c r="DC718" s="33"/>
      <c r="DD718" s="11"/>
      <c r="DE718" s="11"/>
      <c r="DF718" s="11"/>
      <c r="DG718" s="11"/>
      <c r="DH718" s="11"/>
      <c r="DI718" s="11"/>
      <c r="DJ718" s="11"/>
      <c r="DK718" s="11"/>
      <c r="DL718" s="11"/>
      <c r="DM718" s="11"/>
      <c r="DN718" s="11"/>
      <c r="DO718" s="11"/>
      <c r="DP718" s="11"/>
      <c r="DQ718" s="11"/>
      <c r="DR718" s="11"/>
      <c r="DS718" s="11"/>
      <c r="DT718" s="11"/>
      <c r="DU718" s="11"/>
      <c r="DV718" s="11"/>
      <c r="DW718" s="11"/>
      <c r="DX718" s="11"/>
      <c r="DY718" s="11"/>
      <c r="DZ718" s="11"/>
      <c r="EA718" s="11"/>
      <c r="EB718" s="11"/>
      <c r="EC718" s="11"/>
      <c r="ED718" s="11"/>
      <c r="EE718" s="11"/>
      <c r="EF718" s="11"/>
      <c r="EG718" s="11"/>
      <c r="EH718" s="11"/>
      <c r="EI718" s="11"/>
      <c r="EJ718" s="11"/>
      <c r="EK718" s="11"/>
      <c r="EL718" s="11"/>
      <c r="EM718" s="11"/>
      <c r="EN718" s="11"/>
      <c r="EO718" s="11"/>
      <c r="EP718" s="11"/>
      <c r="EQ718" s="11"/>
      <c r="ER718" s="11"/>
      <c r="ES718" s="11"/>
      <c r="ET718" s="11"/>
      <c r="EU718" s="11"/>
      <c r="EV718" s="11"/>
      <c r="EW718" s="11"/>
      <c r="EX718" s="11"/>
      <c r="EY718" s="11"/>
      <c r="EZ718" s="11"/>
      <c r="FA718" s="11"/>
      <c r="FB718" s="11"/>
      <c r="FC718" s="11"/>
      <c r="FD718" s="11"/>
      <c r="FE718" s="11"/>
      <c r="FF718" s="11"/>
      <c r="FG718" s="11"/>
      <c r="FH718" s="39">
        <f t="shared" si="172"/>
        <v>0</v>
      </c>
      <c r="FI718" s="33">
        <f t="shared" si="173"/>
        <v>0</v>
      </c>
      <c r="FJ718" s="84" t="str">
        <f t="shared" si="174"/>
        <v xml:space="preserve"> </v>
      </c>
    </row>
    <row r="719" spans="1:166" ht="13.5" x14ac:dyDescent="0.25">
      <c r="A719" s="79" t="e">
        <f>#REF!</f>
        <v>#REF!</v>
      </c>
      <c r="B719" s="75" t="e">
        <f>#REF!</f>
        <v>#REF!</v>
      </c>
      <c r="C719" s="75" t="e">
        <f>#REF!</f>
        <v>#REF!</v>
      </c>
      <c r="D719" s="75" t="e">
        <f>#REF!</f>
        <v>#REF!</v>
      </c>
      <c r="E719" s="30">
        <v>1</v>
      </c>
      <c r="F719" s="238">
        <v>0</v>
      </c>
      <c r="G719" s="241">
        <v>0</v>
      </c>
      <c r="H719" s="249">
        <v>0</v>
      </c>
      <c r="I719" s="249">
        <v>0</v>
      </c>
      <c r="J719" s="249">
        <v>0</v>
      </c>
      <c r="K719" s="249">
        <v>0</v>
      </c>
      <c r="L719" s="274"/>
      <c r="M719" s="274"/>
      <c r="N719" s="246"/>
      <c r="O719" s="118"/>
      <c r="P719" s="118"/>
      <c r="Q719" s="52"/>
      <c r="R719" s="52"/>
      <c r="S719" s="5"/>
      <c r="T719" s="118"/>
      <c r="U719" s="118"/>
      <c r="V719" s="118"/>
      <c r="W719" s="11"/>
      <c r="X719" s="11"/>
      <c r="Y719" s="11"/>
      <c r="Z719" s="118"/>
      <c r="AA719" s="118"/>
      <c r="AB719" s="118"/>
      <c r="AC719" s="52"/>
      <c r="AD719" s="52"/>
      <c r="AE719" s="11"/>
      <c r="AF719" s="118"/>
      <c r="AG719" s="118"/>
      <c r="AH719" s="118"/>
      <c r="AI719" s="11"/>
      <c r="AJ719" s="11"/>
      <c r="AK719" s="11"/>
      <c r="AL719" s="118"/>
      <c r="AM719" s="118"/>
      <c r="AN719" s="118"/>
      <c r="AO719" s="76"/>
      <c r="AP719" s="11"/>
      <c r="AQ719" s="11"/>
      <c r="AR719" s="274"/>
      <c r="AS719" s="274"/>
      <c r="AT719" s="274"/>
      <c r="AU719" s="48"/>
      <c r="AV719" s="48"/>
      <c r="AW719" s="11"/>
      <c r="AX719" s="274"/>
      <c r="AY719" s="274"/>
      <c r="AZ719" s="274"/>
      <c r="BA719" s="11"/>
      <c r="BB719" s="11"/>
      <c r="BC719" s="11"/>
      <c r="BD719" s="274"/>
      <c r="BE719" s="274"/>
      <c r="BF719" s="274"/>
      <c r="BG719" s="11"/>
      <c r="BH719" s="11"/>
      <c r="BI719" s="11"/>
      <c r="BJ719" s="274"/>
      <c r="BK719" s="274"/>
      <c r="BL719" s="274"/>
      <c r="BM719" s="11"/>
      <c r="BN719" s="11"/>
      <c r="BO719" s="11"/>
      <c r="BP719" s="274"/>
      <c r="BQ719" s="11"/>
      <c r="BR719" s="11"/>
      <c r="BS719" s="11"/>
      <c r="BT719" s="11"/>
      <c r="BU719" s="11"/>
      <c r="BV719" s="268">
        <v>1600000</v>
      </c>
      <c r="BW719" s="144">
        <f>BV719*0</f>
        <v>0</v>
      </c>
      <c r="BX719" s="113">
        <f>+BV719+BW719</f>
        <v>1600000</v>
      </c>
      <c r="BY719" s="272" t="s">
        <v>419</v>
      </c>
      <c r="BZ719" s="272" t="s">
        <v>217</v>
      </c>
      <c r="CA719" s="11"/>
      <c r="CB719" s="274"/>
      <c r="CC719" s="274"/>
      <c r="CD719" s="274"/>
      <c r="CE719" s="11"/>
      <c r="CF719" s="11"/>
      <c r="CG719" s="11"/>
      <c r="CH719" s="268">
        <v>3502304</v>
      </c>
      <c r="CI719" s="265">
        <f>+CH719*0</f>
        <v>0</v>
      </c>
      <c r="CJ719" s="263">
        <f>+CH719+CI719</f>
        <v>3502304</v>
      </c>
      <c r="CK719" s="272" t="s">
        <v>419</v>
      </c>
      <c r="CL719" s="272" t="s">
        <v>217</v>
      </c>
      <c r="CM719" s="11"/>
      <c r="CN719" s="274"/>
      <c r="CO719" s="274"/>
      <c r="CP719" s="274"/>
      <c r="CQ719" s="11"/>
      <c r="CR719" s="11"/>
      <c r="CS719" s="11"/>
      <c r="CT719" s="274"/>
      <c r="CU719" s="274"/>
      <c r="CV719" s="274"/>
      <c r="CW719" s="11"/>
      <c r="CX719" s="11"/>
      <c r="CY719" s="11"/>
      <c r="CZ719" s="118"/>
      <c r="DA719" s="118"/>
      <c r="DB719" s="118"/>
      <c r="DC719" s="33"/>
      <c r="DD719" s="11"/>
      <c r="DE719" s="11"/>
      <c r="DF719" s="11"/>
      <c r="DG719" s="11"/>
      <c r="DH719" s="11"/>
      <c r="DI719" s="11"/>
      <c r="DJ719" s="11"/>
      <c r="DK719" s="11"/>
      <c r="DL719" s="11"/>
      <c r="DM719" s="11"/>
      <c r="DN719" s="11"/>
      <c r="DO719" s="11"/>
      <c r="DP719" s="11"/>
      <c r="DQ719" s="11"/>
      <c r="DR719" s="11"/>
      <c r="DS719" s="11"/>
      <c r="DT719" s="11"/>
      <c r="DU719" s="11"/>
      <c r="DV719" s="11"/>
      <c r="DW719" s="11"/>
      <c r="DX719" s="11"/>
      <c r="DY719" s="11"/>
      <c r="DZ719" s="11"/>
      <c r="EA719" s="11"/>
      <c r="EB719" s="11"/>
      <c r="EC719" s="11"/>
      <c r="ED719" s="11"/>
      <c r="EE719" s="11"/>
      <c r="EF719" s="11"/>
      <c r="EG719" s="11"/>
      <c r="EH719" s="11"/>
      <c r="EI719" s="11"/>
      <c r="EJ719" s="11"/>
      <c r="EK719" s="11"/>
      <c r="EL719" s="11"/>
      <c r="EM719" s="11"/>
      <c r="EN719" s="11"/>
      <c r="EO719" s="11"/>
      <c r="EP719" s="11"/>
      <c r="EQ719" s="11"/>
      <c r="ER719" s="11"/>
      <c r="ES719" s="11"/>
      <c r="ET719" s="11"/>
      <c r="EU719" s="11"/>
      <c r="EV719" s="11"/>
      <c r="EW719" s="11"/>
      <c r="EX719" s="11"/>
      <c r="EY719" s="11"/>
      <c r="EZ719" s="11"/>
      <c r="FA719" s="11"/>
      <c r="FB719" s="11"/>
      <c r="FC719" s="11"/>
      <c r="FD719" s="11"/>
      <c r="FE719" s="11"/>
      <c r="FF719" s="11"/>
      <c r="FG719" s="11"/>
      <c r="FH719" s="39">
        <f t="shared" si="172"/>
        <v>5102304</v>
      </c>
      <c r="FI719" s="33">
        <f t="shared" si="173"/>
        <v>2</v>
      </c>
      <c r="FJ719" s="84">
        <f t="shared" si="174"/>
        <v>2551152</v>
      </c>
    </row>
    <row r="720" spans="1:166" ht="13.5" x14ac:dyDescent="0.25">
      <c r="A720" s="79" t="e">
        <f>#REF!</f>
        <v>#REF!</v>
      </c>
      <c r="B720" s="75" t="e">
        <f>#REF!</f>
        <v>#REF!</v>
      </c>
      <c r="C720" s="75" t="e">
        <f>#REF!</f>
        <v>#REF!</v>
      </c>
      <c r="D720" s="75" t="e">
        <f>#REF!</f>
        <v>#REF!</v>
      </c>
      <c r="E720" s="30">
        <v>1</v>
      </c>
      <c r="F720" s="238">
        <v>0</v>
      </c>
      <c r="G720" s="241">
        <v>0</v>
      </c>
      <c r="H720" s="249">
        <v>0</v>
      </c>
      <c r="I720" s="249">
        <v>0</v>
      </c>
      <c r="J720" s="249">
        <v>0</v>
      </c>
      <c r="K720" s="249">
        <v>0</v>
      </c>
      <c r="L720" s="274"/>
      <c r="M720" s="274"/>
      <c r="N720" s="247">
        <v>1115000</v>
      </c>
      <c r="O720" s="113">
        <f>+N720*0</f>
        <v>0</v>
      </c>
      <c r="P720" s="113">
        <f>+O720+N720</f>
        <v>1115000</v>
      </c>
      <c r="Q720" s="36" t="s">
        <v>547</v>
      </c>
      <c r="R720" s="132" t="s">
        <v>200</v>
      </c>
      <c r="S720" s="5"/>
      <c r="T720" s="118"/>
      <c r="U720" s="118"/>
      <c r="V720" s="118"/>
      <c r="W720" s="11"/>
      <c r="X720" s="11"/>
      <c r="Y720" s="11"/>
      <c r="Z720" s="118"/>
      <c r="AA720" s="118"/>
      <c r="AB720" s="118"/>
      <c r="AC720" s="52"/>
      <c r="AD720" s="52"/>
      <c r="AE720" s="11"/>
      <c r="AF720" s="118"/>
      <c r="AG720" s="118"/>
      <c r="AH720" s="118"/>
      <c r="AI720" s="11"/>
      <c r="AJ720" s="11"/>
      <c r="AK720" s="11"/>
      <c r="AL720" s="118"/>
      <c r="AM720" s="118"/>
      <c r="AN720" s="118"/>
      <c r="AO720" s="76"/>
      <c r="AP720" s="11"/>
      <c r="AQ720" s="11"/>
      <c r="AR720" s="274"/>
      <c r="AS720" s="274"/>
      <c r="AT720" s="274"/>
      <c r="AU720" s="48"/>
      <c r="AV720" s="48"/>
      <c r="AW720" s="11"/>
      <c r="AX720" s="274"/>
      <c r="AY720" s="274"/>
      <c r="AZ720" s="274"/>
      <c r="BA720" s="11"/>
      <c r="BB720" s="11"/>
      <c r="BC720" s="11"/>
      <c r="BD720" s="274"/>
      <c r="BE720" s="274"/>
      <c r="BF720" s="274"/>
      <c r="BG720" s="11"/>
      <c r="BH720" s="11"/>
      <c r="BI720" s="11"/>
      <c r="BJ720" s="274"/>
      <c r="BK720" s="274"/>
      <c r="BL720" s="274"/>
      <c r="BM720" s="11"/>
      <c r="BN720" s="11"/>
      <c r="BO720" s="11"/>
      <c r="BP720" s="274"/>
      <c r="BQ720" s="11"/>
      <c r="BR720" s="11"/>
      <c r="BS720" s="11"/>
      <c r="BT720" s="11"/>
      <c r="BU720" s="11"/>
      <c r="BV720" s="268">
        <v>1600000</v>
      </c>
      <c r="BW720" s="144">
        <f>BV720*0</f>
        <v>0</v>
      </c>
      <c r="BX720" s="113">
        <f>+BV720+BW720</f>
        <v>1600000</v>
      </c>
      <c r="BY720" s="272" t="s">
        <v>419</v>
      </c>
      <c r="BZ720" s="272" t="s">
        <v>217</v>
      </c>
      <c r="CA720" s="11"/>
      <c r="CB720" s="274"/>
      <c r="CC720" s="274"/>
      <c r="CD720" s="274"/>
      <c r="CE720" s="11"/>
      <c r="CF720" s="11"/>
      <c r="CG720" s="11"/>
      <c r="CH720" s="268"/>
      <c r="CI720" s="265"/>
      <c r="CJ720" s="263"/>
      <c r="CK720" s="272"/>
      <c r="CL720" s="272"/>
      <c r="CM720" s="11"/>
      <c r="CN720" s="274"/>
      <c r="CO720" s="274"/>
      <c r="CP720" s="274"/>
      <c r="CQ720" s="11"/>
      <c r="CR720" s="11"/>
      <c r="CS720" s="11"/>
      <c r="CT720" s="274"/>
      <c r="CU720" s="274"/>
      <c r="CV720" s="274"/>
      <c r="CW720" s="11"/>
      <c r="CX720" s="11"/>
      <c r="CY720" s="11"/>
      <c r="CZ720" s="118"/>
      <c r="DA720" s="118"/>
      <c r="DB720" s="118"/>
      <c r="DC720" s="33"/>
      <c r="DD720" s="11"/>
      <c r="DE720" s="11"/>
      <c r="DF720" s="11"/>
      <c r="DG720" s="11"/>
      <c r="DH720" s="11"/>
      <c r="DI720" s="11"/>
      <c r="DJ720" s="11"/>
      <c r="DK720" s="11"/>
      <c r="DL720" s="11"/>
      <c r="DM720" s="11"/>
      <c r="DN720" s="11"/>
      <c r="DO720" s="11"/>
      <c r="DP720" s="11"/>
      <c r="DQ720" s="11"/>
      <c r="DR720" s="11"/>
      <c r="DS720" s="11"/>
      <c r="DT720" s="11"/>
      <c r="DU720" s="11"/>
      <c r="DV720" s="11"/>
      <c r="DW720" s="11"/>
      <c r="DX720" s="11"/>
      <c r="DY720" s="11"/>
      <c r="DZ720" s="11"/>
      <c r="EA720" s="11"/>
      <c r="EB720" s="11"/>
      <c r="EC720" s="11"/>
      <c r="ED720" s="11"/>
      <c r="EE720" s="11"/>
      <c r="EF720" s="11"/>
      <c r="EG720" s="11"/>
      <c r="EH720" s="11"/>
      <c r="EI720" s="11"/>
      <c r="EJ720" s="11"/>
      <c r="EK720" s="11"/>
      <c r="EL720" s="11"/>
      <c r="EM720" s="11"/>
      <c r="EN720" s="11"/>
      <c r="EO720" s="11"/>
      <c r="EP720" s="11"/>
      <c r="EQ720" s="11"/>
      <c r="ER720" s="11"/>
      <c r="ES720" s="11"/>
      <c r="ET720" s="11"/>
      <c r="EU720" s="11"/>
      <c r="EV720" s="11"/>
      <c r="EW720" s="11"/>
      <c r="EX720" s="11"/>
      <c r="EY720" s="11"/>
      <c r="EZ720" s="11"/>
      <c r="FA720" s="11"/>
      <c r="FB720" s="11"/>
      <c r="FC720" s="11"/>
      <c r="FD720" s="11"/>
      <c r="FE720" s="11"/>
      <c r="FF720" s="11"/>
      <c r="FG720" s="11"/>
      <c r="FH720" s="39">
        <f t="shared" si="172"/>
        <v>2715000</v>
      </c>
      <c r="FI720" s="33">
        <f t="shared" si="173"/>
        <v>2</v>
      </c>
      <c r="FJ720" s="84">
        <f t="shared" si="174"/>
        <v>1357500</v>
      </c>
    </row>
    <row r="721" spans="1:166" ht="13.5" x14ac:dyDescent="0.25">
      <c r="A721" s="79" t="e">
        <f>#REF!</f>
        <v>#REF!</v>
      </c>
      <c r="B721" s="75" t="e">
        <f>#REF!</f>
        <v>#REF!</v>
      </c>
      <c r="C721" s="75" t="e">
        <f>#REF!</f>
        <v>#REF!</v>
      </c>
      <c r="D721" s="75" t="e">
        <f>#REF!</f>
        <v>#REF!</v>
      </c>
      <c r="E721" s="30">
        <v>1</v>
      </c>
      <c r="F721" s="238">
        <v>0</v>
      </c>
      <c r="G721" s="241">
        <v>0</v>
      </c>
      <c r="H721" s="249">
        <v>0</v>
      </c>
      <c r="I721" s="249">
        <v>0</v>
      </c>
      <c r="J721" s="249">
        <v>0</v>
      </c>
      <c r="K721" s="249">
        <v>0</v>
      </c>
      <c r="L721" s="274"/>
      <c r="M721" s="274"/>
      <c r="N721" s="246"/>
      <c r="O721" s="118"/>
      <c r="P721" s="118"/>
      <c r="Q721" s="52"/>
      <c r="R721" s="52"/>
      <c r="S721" s="5"/>
      <c r="T721" s="118"/>
      <c r="U721" s="118"/>
      <c r="V721" s="118"/>
      <c r="W721" s="11"/>
      <c r="X721" s="11"/>
      <c r="Y721" s="11"/>
      <c r="Z721" s="118"/>
      <c r="AA721" s="118"/>
      <c r="AB721" s="118"/>
      <c r="AC721" s="52"/>
      <c r="AD721" s="52"/>
      <c r="AE721" s="11"/>
      <c r="AF721" s="118"/>
      <c r="AG721" s="118"/>
      <c r="AH721" s="118"/>
      <c r="AI721" s="11"/>
      <c r="AJ721" s="11"/>
      <c r="AK721" s="11"/>
      <c r="AL721" s="118"/>
      <c r="AM721" s="118"/>
      <c r="AN721" s="118"/>
      <c r="AO721" s="76"/>
      <c r="AP721" s="11"/>
      <c r="AQ721" s="11"/>
      <c r="AR721" s="274"/>
      <c r="AS721" s="274"/>
      <c r="AT721" s="274"/>
      <c r="AU721" s="48"/>
      <c r="AV721" s="48"/>
      <c r="AW721" s="11"/>
      <c r="AX721" s="274"/>
      <c r="AY721" s="274"/>
      <c r="AZ721" s="274"/>
      <c r="BA721" s="11"/>
      <c r="BB721" s="11"/>
      <c r="BC721" s="11"/>
      <c r="BD721" s="274"/>
      <c r="BE721" s="274"/>
      <c r="BF721" s="274"/>
      <c r="BG721" s="11"/>
      <c r="BH721" s="11"/>
      <c r="BI721" s="11"/>
      <c r="BJ721" s="274"/>
      <c r="BK721" s="274"/>
      <c r="BL721" s="274"/>
      <c r="BM721" s="11"/>
      <c r="BN721" s="11"/>
      <c r="BO721" s="11"/>
      <c r="BP721" s="274"/>
      <c r="BQ721" s="11"/>
      <c r="BR721" s="11"/>
      <c r="BS721" s="11"/>
      <c r="BT721" s="11"/>
      <c r="BU721" s="11"/>
      <c r="BV721" s="268">
        <v>1400000</v>
      </c>
      <c r="BW721" s="144">
        <f>BV721*0</f>
        <v>0</v>
      </c>
      <c r="BX721" s="113">
        <f>+BV721+BW721</f>
        <v>1400000</v>
      </c>
      <c r="BY721" s="272" t="s">
        <v>419</v>
      </c>
      <c r="BZ721" s="272" t="s">
        <v>217</v>
      </c>
      <c r="CA721" s="11"/>
      <c r="CB721" s="274"/>
      <c r="CC721" s="274"/>
      <c r="CD721" s="274"/>
      <c r="CE721" s="11"/>
      <c r="CF721" s="11"/>
      <c r="CG721" s="11"/>
      <c r="CH721" s="268">
        <v>3421004</v>
      </c>
      <c r="CI721" s="265">
        <f>+CH721*0</f>
        <v>0</v>
      </c>
      <c r="CJ721" s="263">
        <f>+CH721+CI721</f>
        <v>3421004</v>
      </c>
      <c r="CK721" s="272" t="s">
        <v>419</v>
      </c>
      <c r="CL721" s="272" t="s">
        <v>217</v>
      </c>
      <c r="CM721" s="11"/>
      <c r="CN721" s="274"/>
      <c r="CO721" s="274"/>
      <c r="CP721" s="274"/>
      <c r="CQ721" s="11"/>
      <c r="CR721" s="11"/>
      <c r="CS721" s="11"/>
      <c r="CT721" s="274"/>
      <c r="CU721" s="274"/>
      <c r="CV721" s="274"/>
      <c r="CW721" s="11"/>
      <c r="CX721" s="11"/>
      <c r="CY721" s="11"/>
      <c r="CZ721" s="118"/>
      <c r="DA721" s="118"/>
      <c r="DB721" s="118"/>
      <c r="DC721" s="33"/>
      <c r="DD721" s="11"/>
      <c r="DE721" s="11"/>
      <c r="DF721" s="11"/>
      <c r="DG721" s="11"/>
      <c r="DH721" s="11"/>
      <c r="DI721" s="11"/>
      <c r="DJ721" s="11"/>
      <c r="DK721" s="11"/>
      <c r="DL721" s="11"/>
      <c r="DM721" s="11"/>
      <c r="DN721" s="11"/>
      <c r="DO721" s="11"/>
      <c r="DP721" s="11"/>
      <c r="DQ721" s="11"/>
      <c r="DR721" s="11"/>
      <c r="DS721" s="11"/>
      <c r="DT721" s="11"/>
      <c r="DU721" s="11"/>
      <c r="DV721" s="11"/>
      <c r="DW721" s="11"/>
      <c r="DX721" s="11"/>
      <c r="DY721" s="11"/>
      <c r="DZ721" s="11"/>
      <c r="EA721" s="11"/>
      <c r="EB721" s="11"/>
      <c r="EC721" s="11"/>
      <c r="ED721" s="11"/>
      <c r="EE721" s="11"/>
      <c r="EF721" s="11"/>
      <c r="EG721" s="11"/>
      <c r="EH721" s="11"/>
      <c r="EI721" s="11"/>
      <c r="EJ721" s="11"/>
      <c r="EK721" s="11"/>
      <c r="EL721" s="11"/>
      <c r="EM721" s="11"/>
      <c r="EN721" s="11"/>
      <c r="EO721" s="11"/>
      <c r="EP721" s="11"/>
      <c r="EQ721" s="11"/>
      <c r="ER721" s="11"/>
      <c r="ES721" s="11"/>
      <c r="ET721" s="11"/>
      <c r="EU721" s="11"/>
      <c r="EV721" s="11"/>
      <c r="EW721" s="11"/>
      <c r="EX721" s="11"/>
      <c r="EY721" s="11"/>
      <c r="EZ721" s="11"/>
      <c r="FA721" s="11"/>
      <c r="FB721" s="11"/>
      <c r="FC721" s="11"/>
      <c r="FD721" s="11"/>
      <c r="FE721" s="11"/>
      <c r="FF721" s="11"/>
      <c r="FG721" s="11"/>
      <c r="FH721" s="39">
        <f t="shared" si="172"/>
        <v>4821004</v>
      </c>
      <c r="FI721" s="33">
        <f t="shared" si="173"/>
        <v>2</v>
      </c>
      <c r="FJ721" s="84">
        <f t="shared" si="174"/>
        <v>2410502</v>
      </c>
    </row>
    <row r="722" spans="1:166" ht="13.5" x14ac:dyDescent="0.25">
      <c r="A722" s="79" t="e">
        <f>#REF!</f>
        <v>#REF!</v>
      </c>
      <c r="B722" s="75" t="e">
        <f>#REF!</f>
        <v>#REF!</v>
      </c>
      <c r="C722" s="75" t="e">
        <f>#REF!</f>
        <v>#REF!</v>
      </c>
      <c r="D722" s="75" t="e">
        <f>#REF!</f>
        <v>#REF!</v>
      </c>
      <c r="E722" s="30">
        <v>1</v>
      </c>
      <c r="F722" s="238">
        <v>0</v>
      </c>
      <c r="G722" s="241">
        <v>0</v>
      </c>
      <c r="H722" s="249">
        <v>0</v>
      </c>
      <c r="I722" s="249">
        <v>0</v>
      </c>
      <c r="J722" s="249">
        <v>0</v>
      </c>
      <c r="K722" s="249">
        <v>0</v>
      </c>
      <c r="L722" s="274"/>
      <c r="M722" s="274"/>
      <c r="N722" s="246"/>
      <c r="O722" s="118"/>
      <c r="P722" s="118"/>
      <c r="Q722" s="52"/>
      <c r="R722" s="52"/>
      <c r="S722" s="5"/>
      <c r="T722" s="118"/>
      <c r="U722" s="118"/>
      <c r="V722" s="118"/>
      <c r="W722" s="11"/>
      <c r="X722" s="11"/>
      <c r="Y722" s="11"/>
      <c r="Z722" s="118"/>
      <c r="AA722" s="118"/>
      <c r="AB722" s="118"/>
      <c r="AC722" s="52"/>
      <c r="AD722" s="52"/>
      <c r="AE722" s="11"/>
      <c r="AF722" s="118"/>
      <c r="AG722" s="118"/>
      <c r="AH722" s="118"/>
      <c r="AI722" s="11"/>
      <c r="AJ722" s="11"/>
      <c r="AK722" s="11"/>
      <c r="AL722" s="118"/>
      <c r="AM722" s="118"/>
      <c r="AN722" s="118"/>
      <c r="AO722" s="76"/>
      <c r="AP722" s="11"/>
      <c r="AQ722" s="11"/>
      <c r="AR722" s="274"/>
      <c r="AS722" s="274"/>
      <c r="AT722" s="274"/>
      <c r="AU722" s="48"/>
      <c r="AV722" s="48"/>
      <c r="AW722" s="11"/>
      <c r="AX722" s="274"/>
      <c r="AY722" s="274"/>
      <c r="AZ722" s="274"/>
      <c r="BA722" s="11"/>
      <c r="BB722" s="11"/>
      <c r="BC722" s="11"/>
      <c r="BD722" s="274"/>
      <c r="BE722" s="274"/>
      <c r="BF722" s="274"/>
      <c r="BG722" s="11"/>
      <c r="BH722" s="11"/>
      <c r="BI722" s="11"/>
      <c r="BJ722" s="274"/>
      <c r="BK722" s="274"/>
      <c r="BL722" s="274"/>
      <c r="BM722" s="11"/>
      <c r="BN722" s="11"/>
      <c r="BO722" s="11"/>
      <c r="BP722" s="274"/>
      <c r="BQ722" s="11"/>
      <c r="BR722" s="11"/>
      <c r="BS722" s="11"/>
      <c r="BT722" s="11"/>
      <c r="BU722" s="11"/>
      <c r="BV722" s="268">
        <v>3200000</v>
      </c>
      <c r="BW722" s="144">
        <f>BV722*0</f>
        <v>0</v>
      </c>
      <c r="BX722" s="113">
        <f>+BV722+BW722</f>
        <v>3200000</v>
      </c>
      <c r="BY722" s="272" t="s">
        <v>419</v>
      </c>
      <c r="BZ722" s="272" t="s">
        <v>131</v>
      </c>
      <c r="CA722" s="11"/>
      <c r="CB722" s="274"/>
      <c r="CC722" s="274"/>
      <c r="CD722" s="274"/>
      <c r="CE722" s="11"/>
      <c r="CF722" s="11"/>
      <c r="CG722" s="11"/>
      <c r="CH722" s="268">
        <v>6563496</v>
      </c>
      <c r="CI722" s="265">
        <f>+CH722*0</f>
        <v>0</v>
      </c>
      <c r="CJ722" s="263">
        <f>+CH722+CI722</f>
        <v>6563496</v>
      </c>
      <c r="CK722" s="272" t="s">
        <v>419</v>
      </c>
      <c r="CL722" s="272" t="s">
        <v>131</v>
      </c>
      <c r="CM722" s="11"/>
      <c r="CN722" s="274"/>
      <c r="CO722" s="274"/>
      <c r="CP722" s="274"/>
      <c r="CQ722" s="11"/>
      <c r="CR722" s="11"/>
      <c r="CS722" s="11"/>
      <c r="CT722" s="274"/>
      <c r="CU722" s="274"/>
      <c r="CV722" s="274"/>
      <c r="CW722" s="11"/>
      <c r="CX722" s="11"/>
      <c r="CY722" s="11"/>
      <c r="CZ722" s="118"/>
      <c r="DA722" s="118"/>
      <c r="DB722" s="118"/>
      <c r="DC722" s="33"/>
      <c r="DD722" s="11"/>
      <c r="DE722" s="11"/>
      <c r="DF722" s="11"/>
      <c r="DG722" s="11"/>
      <c r="DH722" s="11"/>
      <c r="DI722" s="11"/>
      <c r="DJ722" s="11"/>
      <c r="DK722" s="11"/>
      <c r="DL722" s="11"/>
      <c r="DM722" s="11"/>
      <c r="DN722" s="11"/>
      <c r="DO722" s="11"/>
      <c r="DP722" s="11"/>
      <c r="DQ722" s="11"/>
      <c r="DR722" s="11"/>
      <c r="DS722" s="11"/>
      <c r="DT722" s="11"/>
      <c r="DU722" s="11"/>
      <c r="DV722" s="11"/>
      <c r="DW722" s="11"/>
      <c r="DX722" s="11"/>
      <c r="DY722" s="11"/>
      <c r="DZ722" s="11"/>
      <c r="EA722" s="11"/>
      <c r="EB722" s="11"/>
      <c r="EC722" s="11"/>
      <c r="ED722" s="11"/>
      <c r="EE722" s="11"/>
      <c r="EF722" s="11"/>
      <c r="EG722" s="11"/>
      <c r="EH722" s="11"/>
      <c r="EI722" s="11"/>
      <c r="EJ722" s="11"/>
      <c r="EK722" s="11"/>
      <c r="EL722" s="11"/>
      <c r="EM722" s="11"/>
      <c r="EN722" s="11"/>
      <c r="EO722" s="11"/>
      <c r="EP722" s="11"/>
      <c r="EQ722" s="11"/>
      <c r="ER722" s="11"/>
      <c r="ES722" s="11"/>
      <c r="ET722" s="11"/>
      <c r="EU722" s="11"/>
      <c r="EV722" s="11"/>
      <c r="EW722" s="11"/>
      <c r="EX722" s="11"/>
      <c r="EY722" s="11"/>
      <c r="EZ722" s="11"/>
      <c r="FA722" s="11"/>
      <c r="FB722" s="11"/>
      <c r="FC722" s="11"/>
      <c r="FD722" s="11"/>
      <c r="FE722" s="11"/>
      <c r="FF722" s="11"/>
      <c r="FG722" s="11"/>
      <c r="FH722" s="39">
        <f t="shared" si="172"/>
        <v>9763496</v>
      </c>
      <c r="FI722" s="33">
        <f t="shared" si="173"/>
        <v>2</v>
      </c>
      <c r="FJ722" s="84">
        <f t="shared" si="174"/>
        <v>4881748</v>
      </c>
    </row>
    <row r="723" spans="1:166" x14ac:dyDescent="0.25">
      <c r="A723" s="79" t="e">
        <f>#REF!</f>
        <v>#REF!</v>
      </c>
      <c r="B723" s="75" t="e">
        <f>#REF!</f>
        <v>#REF!</v>
      </c>
      <c r="C723" s="75" t="e">
        <f>#REF!</f>
        <v>#REF!</v>
      </c>
      <c r="D723" s="75" t="e">
        <f>#REF!</f>
        <v>#REF!</v>
      </c>
      <c r="E723" s="30">
        <v>1</v>
      </c>
      <c r="F723" s="238">
        <v>0</v>
      </c>
      <c r="G723" s="241">
        <v>0</v>
      </c>
      <c r="H723" s="249">
        <v>0</v>
      </c>
      <c r="I723" s="249">
        <v>0</v>
      </c>
      <c r="J723" s="249">
        <v>0</v>
      </c>
      <c r="K723" s="249">
        <v>0</v>
      </c>
      <c r="L723" s="274"/>
      <c r="M723" s="274"/>
      <c r="N723" s="246"/>
      <c r="O723" s="118"/>
      <c r="P723" s="118"/>
      <c r="Q723" s="52"/>
      <c r="R723" s="52"/>
      <c r="S723" s="5"/>
      <c r="T723" s="118"/>
      <c r="U723" s="118"/>
      <c r="V723" s="118"/>
      <c r="W723" s="11"/>
      <c r="X723" s="11"/>
      <c r="Y723" s="11"/>
      <c r="Z723" s="118"/>
      <c r="AA723" s="118"/>
      <c r="AB723" s="118"/>
      <c r="AC723" s="52"/>
      <c r="AD723" s="52"/>
      <c r="AE723" s="11"/>
      <c r="AF723" s="118"/>
      <c r="AG723" s="118"/>
      <c r="AH723" s="118"/>
      <c r="AI723" s="11"/>
      <c r="AJ723" s="11"/>
      <c r="AK723" s="11"/>
      <c r="AL723" s="118"/>
      <c r="AM723" s="118"/>
      <c r="AN723" s="118"/>
      <c r="AO723" s="76"/>
      <c r="AP723" s="11"/>
      <c r="AQ723" s="11"/>
      <c r="AR723" s="274"/>
      <c r="AS723" s="274"/>
      <c r="AT723" s="274"/>
      <c r="AU723" s="48"/>
      <c r="AV723" s="48"/>
      <c r="AW723" s="11"/>
      <c r="AX723" s="274"/>
      <c r="AY723" s="274"/>
      <c r="AZ723" s="274"/>
      <c r="BA723" s="11"/>
      <c r="BB723" s="11"/>
      <c r="BC723" s="11"/>
      <c r="BD723" s="274"/>
      <c r="BE723" s="274"/>
      <c r="BF723" s="274"/>
      <c r="BG723" s="11"/>
      <c r="BH723" s="11"/>
      <c r="BI723" s="11"/>
      <c r="BJ723" s="274"/>
      <c r="BK723" s="274"/>
      <c r="BL723" s="274"/>
      <c r="BM723" s="11"/>
      <c r="BN723" s="11"/>
      <c r="BO723" s="11"/>
      <c r="BP723" s="274"/>
      <c r="BQ723" s="11"/>
      <c r="BR723" s="11"/>
      <c r="BS723" s="11"/>
      <c r="BT723" s="11"/>
      <c r="BU723" s="11"/>
      <c r="BV723" s="210"/>
      <c r="BW723" s="144"/>
      <c r="BX723" s="113"/>
      <c r="BY723" s="273"/>
      <c r="BZ723" s="273"/>
      <c r="CA723" s="11"/>
      <c r="CB723" s="274"/>
      <c r="CC723" s="274"/>
      <c r="CD723" s="274"/>
      <c r="CE723" s="11"/>
      <c r="CF723" s="11"/>
      <c r="CG723" s="11"/>
      <c r="CH723" s="210"/>
      <c r="CI723" s="219"/>
      <c r="CJ723" s="210"/>
      <c r="CK723" s="273"/>
      <c r="CL723" s="273"/>
      <c r="CM723" s="11"/>
      <c r="CN723" s="274"/>
      <c r="CO723" s="274"/>
      <c r="CP723" s="274"/>
      <c r="CQ723" s="11"/>
      <c r="CR723" s="11"/>
      <c r="CS723" s="11"/>
      <c r="CT723" s="274"/>
      <c r="CU723" s="274"/>
      <c r="CV723" s="274"/>
      <c r="CW723" s="11"/>
      <c r="CX723" s="11"/>
      <c r="CY723" s="11"/>
      <c r="CZ723" s="118"/>
      <c r="DA723" s="118"/>
      <c r="DB723" s="118"/>
      <c r="DC723" s="33"/>
      <c r="DD723" s="11"/>
      <c r="DE723" s="11"/>
      <c r="DF723" s="11"/>
      <c r="DG723" s="11"/>
      <c r="DH723" s="11"/>
      <c r="DI723" s="11"/>
      <c r="DJ723" s="11"/>
      <c r="DK723" s="11"/>
      <c r="DL723" s="11"/>
      <c r="DM723" s="11"/>
      <c r="DN723" s="11"/>
      <c r="DO723" s="11"/>
      <c r="DP723" s="11"/>
      <c r="DQ723" s="11"/>
      <c r="DR723" s="11"/>
      <c r="DS723" s="11"/>
      <c r="DT723" s="11"/>
      <c r="DU723" s="11"/>
      <c r="DV723" s="11"/>
      <c r="DW723" s="11"/>
      <c r="DX723" s="11"/>
      <c r="DY723" s="11"/>
      <c r="DZ723" s="11"/>
      <c r="EA723" s="11"/>
      <c r="EB723" s="11"/>
      <c r="EC723" s="11"/>
      <c r="ED723" s="11"/>
      <c r="EE723" s="11"/>
      <c r="EF723" s="11"/>
      <c r="EG723" s="11"/>
      <c r="EH723" s="11"/>
      <c r="EI723" s="11"/>
      <c r="EJ723" s="11"/>
      <c r="EK723" s="11"/>
      <c r="EL723" s="11"/>
      <c r="EM723" s="11"/>
      <c r="EN723" s="11"/>
      <c r="EO723" s="11"/>
      <c r="EP723" s="11"/>
      <c r="EQ723" s="11"/>
      <c r="ER723" s="11"/>
      <c r="ES723" s="11"/>
      <c r="ET723" s="11"/>
      <c r="EU723" s="11"/>
      <c r="EV723" s="11"/>
      <c r="EW723" s="11"/>
      <c r="EX723" s="11"/>
      <c r="EY723" s="11"/>
      <c r="EZ723" s="11"/>
      <c r="FA723" s="11"/>
      <c r="FB723" s="11"/>
      <c r="FC723" s="11"/>
      <c r="FD723" s="11"/>
      <c r="FE723" s="11"/>
      <c r="FF723" s="11"/>
      <c r="FG723" s="11"/>
      <c r="FH723" s="39">
        <f t="shared" si="172"/>
        <v>0</v>
      </c>
      <c r="FI723" s="33">
        <f t="shared" si="173"/>
        <v>0</v>
      </c>
      <c r="FJ723" s="84" t="str">
        <f t="shared" si="174"/>
        <v xml:space="preserve"> </v>
      </c>
    </row>
    <row r="724" spans="1:166" x14ac:dyDescent="0.25">
      <c r="A724" s="79" t="e">
        <f>#REF!</f>
        <v>#REF!</v>
      </c>
      <c r="B724" s="75" t="e">
        <f>#REF!</f>
        <v>#REF!</v>
      </c>
      <c r="C724" s="75" t="e">
        <f>#REF!</f>
        <v>#REF!</v>
      </c>
      <c r="D724" s="75" t="e">
        <f>#REF!</f>
        <v>#REF!</v>
      </c>
      <c r="E724" s="30">
        <v>1</v>
      </c>
      <c r="F724" s="238">
        <v>0</v>
      </c>
      <c r="G724" s="241">
        <v>0</v>
      </c>
      <c r="H724" s="249">
        <v>0</v>
      </c>
      <c r="I724" s="249">
        <v>0</v>
      </c>
      <c r="J724" s="249">
        <v>0</v>
      </c>
      <c r="K724" s="249">
        <v>0</v>
      </c>
      <c r="L724" s="274"/>
      <c r="M724" s="274"/>
      <c r="N724" s="246"/>
      <c r="O724" s="118"/>
      <c r="P724" s="118"/>
      <c r="Q724" s="52"/>
      <c r="R724" s="52"/>
      <c r="S724" s="5"/>
      <c r="T724" s="118"/>
      <c r="U724" s="118"/>
      <c r="V724" s="118"/>
      <c r="W724" s="11"/>
      <c r="X724" s="11"/>
      <c r="Y724" s="11"/>
      <c r="Z724" s="118"/>
      <c r="AA724" s="118"/>
      <c r="AB724" s="118"/>
      <c r="AC724" s="52"/>
      <c r="AD724" s="52"/>
      <c r="AE724" s="11"/>
      <c r="AF724" s="118"/>
      <c r="AG724" s="118"/>
      <c r="AH724" s="118"/>
      <c r="AI724" s="11"/>
      <c r="AJ724" s="11"/>
      <c r="AK724" s="11"/>
      <c r="AL724" s="118"/>
      <c r="AM724" s="118"/>
      <c r="AN724" s="118"/>
      <c r="AO724" s="76"/>
      <c r="AP724" s="11"/>
      <c r="AQ724" s="11"/>
      <c r="AR724" s="274"/>
      <c r="AS724" s="274"/>
      <c r="AT724" s="274"/>
      <c r="AU724" s="48"/>
      <c r="AV724" s="48"/>
      <c r="AW724" s="11"/>
      <c r="AX724" s="274"/>
      <c r="AY724" s="274"/>
      <c r="AZ724" s="274"/>
      <c r="BA724" s="11"/>
      <c r="BB724" s="11"/>
      <c r="BC724" s="11"/>
      <c r="BD724" s="274"/>
      <c r="BE724" s="274"/>
      <c r="BF724" s="274"/>
      <c r="BG724" s="11"/>
      <c r="BH724" s="11"/>
      <c r="BI724" s="11"/>
      <c r="BJ724" s="274"/>
      <c r="BK724" s="274"/>
      <c r="BL724" s="274"/>
      <c r="BM724" s="11"/>
      <c r="BN724" s="11"/>
      <c r="BO724" s="11"/>
      <c r="BP724" s="274"/>
      <c r="BQ724" s="11"/>
      <c r="BR724" s="11"/>
      <c r="BS724" s="11"/>
      <c r="BT724" s="11"/>
      <c r="BU724" s="11"/>
      <c r="BV724" s="210"/>
      <c r="BW724" s="144"/>
      <c r="BX724" s="113"/>
      <c r="BY724" s="273"/>
      <c r="BZ724" s="273"/>
      <c r="CA724" s="11"/>
      <c r="CB724" s="274"/>
      <c r="CC724" s="274"/>
      <c r="CD724" s="274"/>
      <c r="CE724" s="11"/>
      <c r="CF724" s="11"/>
      <c r="CG724" s="11"/>
      <c r="CH724" s="210"/>
      <c r="CI724" s="219"/>
      <c r="CJ724" s="210"/>
      <c r="CK724" s="273"/>
      <c r="CL724" s="273"/>
      <c r="CM724" s="11"/>
      <c r="CN724" s="274"/>
      <c r="CO724" s="274"/>
      <c r="CP724" s="274"/>
      <c r="CQ724" s="11"/>
      <c r="CR724" s="11"/>
      <c r="CS724" s="11"/>
      <c r="CT724" s="274"/>
      <c r="CU724" s="274"/>
      <c r="CV724" s="274"/>
      <c r="CW724" s="11"/>
      <c r="CX724" s="11"/>
      <c r="CY724" s="11"/>
      <c r="CZ724" s="118"/>
      <c r="DA724" s="118"/>
      <c r="DB724" s="118"/>
      <c r="DC724" s="33"/>
      <c r="DD724" s="11"/>
      <c r="DE724" s="11"/>
      <c r="DF724" s="11"/>
      <c r="DG724" s="11"/>
      <c r="DH724" s="11"/>
      <c r="DI724" s="11"/>
      <c r="DJ724" s="11"/>
      <c r="DK724" s="11"/>
      <c r="DL724" s="11"/>
      <c r="DM724" s="11"/>
      <c r="DN724" s="11"/>
      <c r="DO724" s="11"/>
      <c r="DP724" s="11"/>
      <c r="DQ724" s="11"/>
      <c r="DR724" s="11"/>
      <c r="DS724" s="11"/>
      <c r="DT724" s="11"/>
      <c r="DU724" s="11"/>
      <c r="DV724" s="11"/>
      <c r="DW724" s="11"/>
      <c r="DX724" s="11"/>
      <c r="DY724" s="11"/>
      <c r="DZ724" s="11"/>
      <c r="EA724" s="11"/>
      <c r="EB724" s="11"/>
      <c r="EC724" s="11"/>
      <c r="ED724" s="11"/>
      <c r="EE724" s="11"/>
      <c r="EF724" s="11"/>
      <c r="EG724" s="11"/>
      <c r="EH724" s="11"/>
      <c r="EI724" s="11"/>
      <c r="EJ724" s="11"/>
      <c r="EK724" s="11"/>
      <c r="EL724" s="11"/>
      <c r="EM724" s="11"/>
      <c r="EN724" s="11"/>
      <c r="EO724" s="11"/>
      <c r="EP724" s="11"/>
      <c r="EQ724" s="11"/>
      <c r="ER724" s="11"/>
      <c r="ES724" s="11"/>
      <c r="ET724" s="11"/>
      <c r="EU724" s="11"/>
      <c r="EV724" s="11"/>
      <c r="EW724" s="11"/>
      <c r="EX724" s="11"/>
      <c r="EY724" s="11"/>
      <c r="EZ724" s="11"/>
      <c r="FA724" s="11"/>
      <c r="FB724" s="11"/>
      <c r="FC724" s="11"/>
      <c r="FD724" s="11"/>
      <c r="FE724" s="11"/>
      <c r="FF724" s="11"/>
      <c r="FG724" s="11"/>
      <c r="FH724" s="39">
        <f t="shared" si="172"/>
        <v>0</v>
      </c>
      <c r="FI724" s="33">
        <f t="shared" si="173"/>
        <v>0</v>
      </c>
      <c r="FJ724" s="84" t="str">
        <f t="shared" si="174"/>
        <v xml:space="preserve"> </v>
      </c>
    </row>
    <row r="725" spans="1:166" x14ac:dyDescent="0.25">
      <c r="A725" s="79" t="e">
        <f>#REF!</f>
        <v>#REF!</v>
      </c>
      <c r="B725" s="75" t="e">
        <f>#REF!</f>
        <v>#REF!</v>
      </c>
      <c r="C725" s="75" t="e">
        <f>#REF!</f>
        <v>#REF!</v>
      </c>
      <c r="D725" s="75" t="e">
        <f>#REF!</f>
        <v>#REF!</v>
      </c>
      <c r="E725" s="30">
        <v>1</v>
      </c>
      <c r="F725" s="238">
        <v>0</v>
      </c>
      <c r="G725" s="241">
        <v>0</v>
      </c>
      <c r="H725" s="249">
        <v>0</v>
      </c>
      <c r="I725" s="249">
        <v>0</v>
      </c>
      <c r="J725" s="249">
        <v>0</v>
      </c>
      <c r="K725" s="249">
        <v>0</v>
      </c>
      <c r="L725" s="274"/>
      <c r="M725" s="274"/>
      <c r="N725" s="246"/>
      <c r="O725" s="118"/>
      <c r="P725" s="118"/>
      <c r="Q725" s="52"/>
      <c r="R725" s="52"/>
      <c r="S725" s="5"/>
      <c r="T725" s="118"/>
      <c r="U725" s="118"/>
      <c r="V725" s="118"/>
      <c r="W725" s="11"/>
      <c r="X725" s="11"/>
      <c r="Y725" s="11"/>
      <c r="Z725" s="118"/>
      <c r="AA725" s="118"/>
      <c r="AB725" s="118"/>
      <c r="AC725" s="52"/>
      <c r="AD725" s="52"/>
      <c r="AE725" s="11"/>
      <c r="AF725" s="118"/>
      <c r="AG725" s="118"/>
      <c r="AH725" s="118"/>
      <c r="AI725" s="11"/>
      <c r="AJ725" s="11"/>
      <c r="AK725" s="11"/>
      <c r="AL725" s="118"/>
      <c r="AM725" s="118"/>
      <c r="AN725" s="118"/>
      <c r="AO725" s="76"/>
      <c r="AP725" s="11"/>
      <c r="AQ725" s="11"/>
      <c r="AR725" s="274"/>
      <c r="AS725" s="274"/>
      <c r="AT725" s="274"/>
      <c r="AU725" s="48"/>
      <c r="AV725" s="48"/>
      <c r="AW725" s="11"/>
      <c r="AX725" s="274"/>
      <c r="AY725" s="274"/>
      <c r="AZ725" s="274"/>
      <c r="BA725" s="11"/>
      <c r="BB725" s="11"/>
      <c r="BC725" s="11"/>
      <c r="BD725" s="274"/>
      <c r="BE725" s="274"/>
      <c r="BF725" s="274"/>
      <c r="BG725" s="11"/>
      <c r="BH725" s="11"/>
      <c r="BI725" s="11"/>
      <c r="BJ725" s="274"/>
      <c r="BK725" s="274"/>
      <c r="BL725" s="274"/>
      <c r="BM725" s="11"/>
      <c r="BN725" s="11"/>
      <c r="BO725" s="11"/>
      <c r="BP725" s="274"/>
      <c r="BQ725" s="11"/>
      <c r="BR725" s="11"/>
      <c r="BS725" s="11"/>
      <c r="BT725" s="11"/>
      <c r="BU725" s="11"/>
      <c r="BV725" s="210"/>
      <c r="BW725" s="144"/>
      <c r="BX725" s="113"/>
      <c r="BY725" s="273"/>
      <c r="BZ725" s="273"/>
      <c r="CA725" s="11"/>
      <c r="CB725" s="274"/>
      <c r="CC725" s="274"/>
      <c r="CD725" s="274"/>
      <c r="CE725" s="11"/>
      <c r="CF725" s="11"/>
      <c r="CG725" s="11"/>
      <c r="CH725" s="210"/>
      <c r="CI725" s="219"/>
      <c r="CJ725" s="210"/>
      <c r="CK725" s="273"/>
      <c r="CL725" s="273"/>
      <c r="CM725" s="11"/>
      <c r="CN725" s="274"/>
      <c r="CO725" s="274"/>
      <c r="CP725" s="274"/>
      <c r="CQ725" s="11"/>
      <c r="CR725" s="11"/>
      <c r="CS725" s="11"/>
      <c r="CT725" s="274"/>
      <c r="CU725" s="274"/>
      <c r="CV725" s="274"/>
      <c r="CW725" s="11"/>
      <c r="CX725" s="11"/>
      <c r="CY725" s="11"/>
      <c r="CZ725" s="118"/>
      <c r="DA725" s="118"/>
      <c r="DB725" s="118"/>
      <c r="DC725" s="33"/>
      <c r="DD725" s="11"/>
      <c r="DE725" s="11"/>
      <c r="DF725" s="11"/>
      <c r="DG725" s="11"/>
      <c r="DH725" s="11"/>
      <c r="DI725" s="11"/>
      <c r="DJ725" s="11"/>
      <c r="DK725" s="11"/>
      <c r="DL725" s="11"/>
      <c r="DM725" s="11"/>
      <c r="DN725" s="11"/>
      <c r="DO725" s="11"/>
      <c r="DP725" s="11"/>
      <c r="DQ725" s="11"/>
      <c r="DR725" s="11"/>
      <c r="DS725" s="11"/>
      <c r="DT725" s="11"/>
      <c r="DU725" s="11"/>
      <c r="DV725" s="11"/>
      <c r="DW725" s="11"/>
      <c r="DX725" s="11"/>
      <c r="DY725" s="11"/>
      <c r="DZ725" s="11"/>
      <c r="EA725" s="11"/>
      <c r="EB725" s="11"/>
      <c r="EC725" s="11"/>
      <c r="ED725" s="11"/>
      <c r="EE725" s="11"/>
      <c r="EF725" s="11"/>
      <c r="EG725" s="11"/>
      <c r="EH725" s="11"/>
      <c r="EI725" s="11"/>
      <c r="EJ725" s="11"/>
      <c r="EK725" s="11"/>
      <c r="EL725" s="11"/>
      <c r="EM725" s="11"/>
      <c r="EN725" s="11"/>
      <c r="EO725" s="11"/>
      <c r="EP725" s="11"/>
      <c r="EQ725" s="11"/>
      <c r="ER725" s="11"/>
      <c r="ES725" s="11"/>
      <c r="ET725" s="11"/>
      <c r="EU725" s="11"/>
      <c r="EV725" s="11"/>
      <c r="EW725" s="11"/>
      <c r="EX725" s="11"/>
      <c r="EY725" s="11"/>
      <c r="EZ725" s="11"/>
      <c r="FA725" s="11"/>
      <c r="FB725" s="11"/>
      <c r="FC725" s="11"/>
      <c r="FD725" s="11"/>
      <c r="FE725" s="11"/>
      <c r="FF725" s="11"/>
      <c r="FG725" s="11"/>
      <c r="FH725" s="39">
        <f t="shared" si="172"/>
        <v>0</v>
      </c>
      <c r="FI725" s="33">
        <f t="shared" si="173"/>
        <v>0</v>
      </c>
      <c r="FJ725" s="84" t="str">
        <f t="shared" si="174"/>
        <v xml:space="preserve"> </v>
      </c>
    </row>
    <row r="726" spans="1:166" ht="191.25" x14ac:dyDescent="0.25">
      <c r="A726" s="79" t="e">
        <f>#REF!</f>
        <v>#REF!</v>
      </c>
      <c r="B726" s="75" t="e">
        <f>#REF!</f>
        <v>#REF!</v>
      </c>
      <c r="C726" s="75" t="e">
        <f>#REF!</f>
        <v>#REF!</v>
      </c>
      <c r="D726" s="75" t="e">
        <f>#REF!</f>
        <v>#REF!</v>
      </c>
      <c r="E726" s="30">
        <v>1</v>
      </c>
      <c r="F726" s="238">
        <v>0</v>
      </c>
      <c r="G726" s="241">
        <v>0</v>
      </c>
      <c r="H726" s="249">
        <v>0</v>
      </c>
      <c r="I726" s="249">
        <v>0</v>
      </c>
      <c r="J726" s="249">
        <v>0</v>
      </c>
      <c r="K726" s="249">
        <v>0</v>
      </c>
      <c r="L726" s="274"/>
      <c r="M726" s="274"/>
      <c r="N726" s="246"/>
      <c r="O726" s="118"/>
      <c r="P726" s="118"/>
      <c r="Q726" s="52"/>
      <c r="R726" s="52"/>
      <c r="S726" s="5"/>
      <c r="T726" s="118"/>
      <c r="U726" s="118"/>
      <c r="V726" s="118"/>
      <c r="W726" s="11"/>
      <c r="X726" s="11"/>
      <c r="Y726" s="11"/>
      <c r="Z726" s="118"/>
      <c r="AA726" s="118"/>
      <c r="AB726" s="118"/>
      <c r="AC726" s="52"/>
      <c r="AD726" s="52"/>
      <c r="AE726" s="11"/>
      <c r="AF726" s="118"/>
      <c r="AG726" s="118"/>
      <c r="AH726" s="118"/>
      <c r="AI726" s="11"/>
      <c r="AJ726" s="11"/>
      <c r="AK726" s="11"/>
      <c r="AL726" s="118"/>
      <c r="AM726" s="118"/>
      <c r="AN726" s="118"/>
      <c r="AO726" s="76"/>
      <c r="AP726" s="11"/>
      <c r="AQ726" s="11"/>
      <c r="AR726" s="274"/>
      <c r="AS726" s="274"/>
      <c r="AT726" s="274"/>
      <c r="AU726" s="48"/>
      <c r="AV726" s="48"/>
      <c r="AW726" s="11"/>
      <c r="AX726" s="274"/>
      <c r="AY726" s="274"/>
      <c r="AZ726" s="274"/>
      <c r="BA726" s="11"/>
      <c r="BB726" s="11"/>
      <c r="BC726" s="11"/>
      <c r="BD726" s="274"/>
      <c r="BE726" s="274"/>
      <c r="BF726" s="274"/>
      <c r="BG726" s="11"/>
      <c r="BH726" s="11"/>
      <c r="BI726" s="11"/>
      <c r="BJ726" s="274"/>
      <c r="BK726" s="274"/>
      <c r="BL726" s="274"/>
      <c r="BM726" s="11"/>
      <c r="BN726" s="11"/>
      <c r="BO726" s="11"/>
      <c r="BP726" s="118">
        <v>463050</v>
      </c>
      <c r="BQ726" s="144">
        <f>BP726*19%</f>
        <v>87979.5</v>
      </c>
      <c r="BR726" s="113">
        <f>+BP726+BQ726</f>
        <v>551029.5</v>
      </c>
      <c r="BS726" s="206" t="s">
        <v>445</v>
      </c>
      <c r="BT726" s="206" t="s">
        <v>551</v>
      </c>
      <c r="BU726" s="207" t="s">
        <v>552</v>
      </c>
      <c r="BV726" s="210"/>
      <c r="BW726" s="144"/>
      <c r="BX726" s="113"/>
      <c r="BY726" s="273"/>
      <c r="BZ726" s="273"/>
      <c r="CA726" s="11"/>
      <c r="CB726" s="274"/>
      <c r="CC726" s="274"/>
      <c r="CD726" s="274"/>
      <c r="CE726" s="11"/>
      <c r="CF726" s="11"/>
      <c r="CG726" s="11"/>
      <c r="CH726" s="210"/>
      <c r="CI726" s="219"/>
      <c r="CJ726" s="210"/>
      <c r="CK726" s="273"/>
      <c r="CL726" s="273"/>
      <c r="CM726" s="11"/>
      <c r="CN726" s="274"/>
      <c r="CO726" s="274"/>
      <c r="CP726" s="274"/>
      <c r="CQ726" s="11"/>
      <c r="CR726" s="11"/>
      <c r="CS726" s="11"/>
      <c r="CT726" s="274"/>
      <c r="CU726" s="274"/>
      <c r="CV726" s="274"/>
      <c r="CW726" s="11"/>
      <c r="CX726" s="11"/>
      <c r="CY726" s="11"/>
      <c r="CZ726" s="118"/>
      <c r="DA726" s="118"/>
      <c r="DB726" s="118"/>
      <c r="DC726" s="33"/>
      <c r="DD726" s="11"/>
      <c r="DE726" s="11"/>
      <c r="DF726" s="11"/>
      <c r="DG726" s="11"/>
      <c r="DH726" s="11"/>
      <c r="DI726" s="11"/>
      <c r="DJ726" s="11"/>
      <c r="DK726" s="11"/>
      <c r="DL726" s="11"/>
      <c r="DM726" s="11"/>
      <c r="DN726" s="11"/>
      <c r="DO726" s="11"/>
      <c r="DP726" s="11"/>
      <c r="DQ726" s="11"/>
      <c r="DR726" s="11"/>
      <c r="DS726" s="11"/>
      <c r="DT726" s="11"/>
      <c r="DU726" s="11"/>
      <c r="DV726" s="11"/>
      <c r="DW726" s="11"/>
      <c r="DX726" s="11"/>
      <c r="DY726" s="11"/>
      <c r="DZ726" s="11"/>
      <c r="EA726" s="11"/>
      <c r="EB726" s="11"/>
      <c r="EC726" s="11"/>
      <c r="ED726" s="11"/>
      <c r="EE726" s="11"/>
      <c r="EF726" s="11"/>
      <c r="EG726" s="11"/>
      <c r="EH726" s="11"/>
      <c r="EI726" s="11"/>
      <c r="EJ726" s="11"/>
      <c r="EK726" s="11"/>
      <c r="EL726" s="11"/>
      <c r="EM726" s="11"/>
      <c r="EN726" s="11"/>
      <c r="EO726" s="11"/>
      <c r="EP726" s="11"/>
      <c r="EQ726" s="11"/>
      <c r="ER726" s="11"/>
      <c r="ES726" s="11"/>
      <c r="ET726" s="11"/>
      <c r="EU726" s="11"/>
      <c r="EV726" s="11"/>
      <c r="EW726" s="11"/>
      <c r="EX726" s="11"/>
      <c r="EY726" s="11"/>
      <c r="EZ726" s="11"/>
      <c r="FA726" s="11"/>
      <c r="FB726" s="11"/>
      <c r="FC726" s="11"/>
      <c r="FD726" s="11"/>
      <c r="FE726" s="11"/>
      <c r="FF726" s="11"/>
      <c r="FG726" s="11"/>
      <c r="FH726" s="39">
        <f t="shared" si="172"/>
        <v>551029.5</v>
      </c>
      <c r="FI726" s="33">
        <f t="shared" si="173"/>
        <v>1</v>
      </c>
      <c r="FJ726" s="84">
        <f t="shared" si="174"/>
        <v>551029.5</v>
      </c>
    </row>
    <row r="727" spans="1:166" ht="51" x14ac:dyDescent="0.25">
      <c r="A727" s="79" t="e">
        <f>#REF!</f>
        <v>#REF!</v>
      </c>
      <c r="B727" s="75" t="e">
        <f>#REF!</f>
        <v>#REF!</v>
      </c>
      <c r="C727" s="75" t="e">
        <f>#REF!</f>
        <v>#REF!</v>
      </c>
      <c r="D727" s="75" t="e">
        <f>#REF!</f>
        <v>#REF!</v>
      </c>
      <c r="E727" s="30">
        <v>1</v>
      </c>
      <c r="F727" s="238">
        <v>0</v>
      </c>
      <c r="G727" s="241">
        <v>0</v>
      </c>
      <c r="H727" s="249">
        <v>0</v>
      </c>
      <c r="I727" s="249">
        <v>0</v>
      </c>
      <c r="J727" s="249">
        <v>0</v>
      </c>
      <c r="K727" s="249">
        <v>0</v>
      </c>
      <c r="L727" s="274"/>
      <c r="M727" s="274"/>
      <c r="N727" s="246"/>
      <c r="O727" s="118"/>
      <c r="P727" s="118"/>
      <c r="Q727" s="52"/>
      <c r="R727" s="52"/>
      <c r="S727" s="5"/>
      <c r="T727" s="118"/>
      <c r="U727" s="118"/>
      <c r="V727" s="118"/>
      <c r="W727" s="11"/>
      <c r="X727" s="11"/>
      <c r="Y727" s="11"/>
      <c r="Z727" s="118"/>
      <c r="AA727" s="118"/>
      <c r="AB727" s="118"/>
      <c r="AC727" s="52"/>
      <c r="AD727" s="52"/>
      <c r="AE727" s="11"/>
      <c r="AF727" s="118"/>
      <c r="AG727" s="118"/>
      <c r="AH727" s="118"/>
      <c r="AI727" s="11"/>
      <c r="AJ727" s="11"/>
      <c r="AK727" s="11"/>
      <c r="AL727" s="118">
        <v>294000</v>
      </c>
      <c r="AM727" s="113">
        <f>+AL727*0.19</f>
        <v>55860</v>
      </c>
      <c r="AN727" s="119">
        <f>+AL727+AM727</f>
        <v>349860</v>
      </c>
      <c r="AO727" s="76" t="s">
        <v>333</v>
      </c>
      <c r="AP727" s="11" t="s">
        <v>45</v>
      </c>
      <c r="AQ727" s="48" t="s">
        <v>553</v>
      </c>
      <c r="AR727" s="274"/>
      <c r="AS727" s="274"/>
      <c r="AT727" s="274"/>
      <c r="AU727" s="62"/>
      <c r="AV727" s="48"/>
      <c r="AW727" s="11"/>
      <c r="AX727" s="274"/>
      <c r="AY727" s="274"/>
      <c r="AZ727" s="274"/>
      <c r="BA727" s="11"/>
      <c r="BB727" s="11"/>
      <c r="BC727" s="11"/>
      <c r="BD727" s="274"/>
      <c r="BE727" s="274"/>
      <c r="BF727" s="274"/>
      <c r="BG727" s="11"/>
      <c r="BH727" s="11"/>
      <c r="BI727" s="11"/>
      <c r="BJ727" s="274"/>
      <c r="BK727" s="274"/>
      <c r="BL727" s="274"/>
      <c r="BM727" s="11"/>
      <c r="BN727" s="11"/>
      <c r="BO727" s="11"/>
      <c r="BP727" s="274"/>
      <c r="BQ727" s="11"/>
      <c r="BR727" s="11"/>
      <c r="BS727" s="11"/>
      <c r="BT727" s="11"/>
      <c r="BU727" s="11"/>
      <c r="BV727" s="263">
        <v>330300</v>
      </c>
      <c r="BW727" s="144">
        <f>BV727*19%</f>
        <v>62757</v>
      </c>
      <c r="BX727" s="113">
        <f t="shared" ref="BX727:BX735" si="177">+BV727+BW727</f>
        <v>393057</v>
      </c>
      <c r="BY727" s="272" t="s">
        <v>327</v>
      </c>
      <c r="BZ727" s="272" t="s">
        <v>63</v>
      </c>
      <c r="CA727" s="11"/>
      <c r="CB727" s="274"/>
      <c r="CC727" s="274"/>
      <c r="CD727" s="274"/>
      <c r="CE727" s="11"/>
      <c r="CF727" s="11"/>
      <c r="CG727" s="11"/>
      <c r="CH727" s="263">
        <v>340209</v>
      </c>
      <c r="CI727" s="265">
        <f>+CH727*0.19</f>
        <v>64639.71</v>
      </c>
      <c r="CJ727" s="263">
        <f t="shared" ref="CJ727:CJ735" si="178">+CH727+CI727</f>
        <v>404848.71</v>
      </c>
      <c r="CK727" s="272" t="s">
        <v>327</v>
      </c>
      <c r="CL727" s="272" t="s">
        <v>63</v>
      </c>
      <c r="CM727" s="11"/>
      <c r="CN727" s="274"/>
      <c r="CO727" s="274"/>
      <c r="CP727" s="274"/>
      <c r="CQ727" s="11"/>
      <c r="CR727" s="11"/>
      <c r="CS727" s="11"/>
      <c r="CT727" s="274"/>
      <c r="CU727" s="274"/>
      <c r="CV727" s="274"/>
      <c r="CW727" s="11"/>
      <c r="CX727" s="11"/>
      <c r="CY727" s="11"/>
      <c r="CZ727" s="118"/>
      <c r="DA727" s="118"/>
      <c r="DB727" s="118"/>
      <c r="DC727" s="33"/>
      <c r="DD727" s="11"/>
      <c r="DE727" s="11"/>
      <c r="DF727" s="11"/>
      <c r="DG727" s="11"/>
      <c r="DH727" s="11"/>
      <c r="DI727" s="11"/>
      <c r="DJ727" s="11"/>
      <c r="DK727" s="11"/>
      <c r="DL727" s="11"/>
      <c r="DM727" s="11"/>
      <c r="DN727" s="11"/>
      <c r="DO727" s="11"/>
      <c r="DP727" s="11"/>
      <c r="DQ727" s="11"/>
      <c r="DR727" s="11"/>
      <c r="DS727" s="11"/>
      <c r="DT727" s="11"/>
      <c r="DU727" s="11"/>
      <c r="DV727" s="11"/>
      <c r="DW727" s="11"/>
      <c r="DX727" s="11"/>
      <c r="DY727" s="11"/>
      <c r="DZ727" s="11"/>
      <c r="EA727" s="11"/>
      <c r="EB727" s="11"/>
      <c r="EC727" s="11"/>
      <c r="ED727" s="11"/>
      <c r="EE727" s="11"/>
      <c r="EF727" s="11"/>
      <c r="EG727" s="11"/>
      <c r="EH727" s="11"/>
      <c r="EI727" s="11"/>
      <c r="EJ727" s="11"/>
      <c r="EK727" s="11"/>
      <c r="EL727" s="11"/>
      <c r="EM727" s="11"/>
      <c r="EN727" s="11"/>
      <c r="EO727" s="11"/>
      <c r="EP727" s="11"/>
      <c r="EQ727" s="11"/>
      <c r="ER727" s="11"/>
      <c r="ES727" s="11"/>
      <c r="ET727" s="11"/>
      <c r="EU727" s="11"/>
      <c r="EV727" s="11"/>
      <c r="EW727" s="11"/>
      <c r="EX727" s="11"/>
      <c r="EY727" s="11"/>
      <c r="EZ727" s="11"/>
      <c r="FA727" s="11"/>
      <c r="FB727" s="11"/>
      <c r="FC727" s="11"/>
      <c r="FD727" s="11"/>
      <c r="FE727" s="11"/>
      <c r="FF727" s="11"/>
      <c r="FG727" s="11"/>
      <c r="FH727" s="39">
        <f t="shared" si="172"/>
        <v>1147765.71</v>
      </c>
      <c r="FI727" s="33">
        <f t="shared" si="173"/>
        <v>3</v>
      </c>
      <c r="FJ727" s="84">
        <f t="shared" si="174"/>
        <v>382588.57</v>
      </c>
    </row>
    <row r="728" spans="1:166" ht="13.5" x14ac:dyDescent="0.25">
      <c r="A728" s="79" t="e">
        <f>#REF!</f>
        <v>#REF!</v>
      </c>
      <c r="B728" s="75" t="e">
        <f>#REF!</f>
        <v>#REF!</v>
      </c>
      <c r="C728" s="75" t="e">
        <f>#REF!</f>
        <v>#REF!</v>
      </c>
      <c r="D728" s="75" t="e">
        <f>#REF!</f>
        <v>#REF!</v>
      </c>
      <c r="E728" s="30">
        <v>1</v>
      </c>
      <c r="F728" s="238">
        <v>528780</v>
      </c>
      <c r="G728" s="241">
        <v>0</v>
      </c>
      <c r="H728" s="249">
        <v>0</v>
      </c>
      <c r="I728" s="249">
        <v>0</v>
      </c>
      <c r="J728" s="249">
        <v>0</v>
      </c>
      <c r="K728" s="249">
        <v>0</v>
      </c>
      <c r="L728" s="274">
        <f>F728</f>
        <v>528780</v>
      </c>
      <c r="M728" s="274"/>
      <c r="N728" s="246"/>
      <c r="O728" s="118"/>
      <c r="P728" s="118"/>
      <c r="Q728" s="52"/>
      <c r="R728" s="52"/>
      <c r="S728" s="5"/>
      <c r="T728" s="118"/>
      <c r="U728" s="118"/>
      <c r="V728" s="118"/>
      <c r="W728" s="11"/>
      <c r="X728" s="11"/>
      <c r="Y728" s="11"/>
      <c r="Z728" s="118"/>
      <c r="AA728" s="118"/>
      <c r="AB728" s="118"/>
      <c r="AC728" s="52"/>
      <c r="AD728" s="52"/>
      <c r="AE728" s="11"/>
      <c r="AF728" s="118"/>
      <c r="AG728" s="118"/>
      <c r="AH728" s="118"/>
      <c r="AI728" s="11"/>
      <c r="AJ728" s="11"/>
      <c r="AK728" s="11"/>
      <c r="AL728" s="118"/>
      <c r="AM728" s="118"/>
      <c r="AN728" s="118"/>
      <c r="AO728" s="76"/>
      <c r="AP728" s="11"/>
      <c r="AQ728" s="11"/>
      <c r="AR728" s="274"/>
      <c r="AS728" s="274"/>
      <c r="AT728" s="274"/>
      <c r="AU728" s="62"/>
      <c r="AV728" s="48"/>
      <c r="AW728" s="11"/>
      <c r="AX728" s="274"/>
      <c r="AY728" s="274"/>
      <c r="AZ728" s="274"/>
      <c r="BA728" s="11"/>
      <c r="BB728" s="11"/>
      <c r="BC728" s="11"/>
      <c r="BD728" s="274"/>
      <c r="BE728" s="274"/>
      <c r="BF728" s="274"/>
      <c r="BG728" s="11"/>
      <c r="BH728" s="11"/>
      <c r="BI728" s="11"/>
      <c r="BJ728" s="274"/>
      <c r="BK728" s="274"/>
      <c r="BL728" s="274"/>
      <c r="BM728" s="11"/>
      <c r="BN728" s="11"/>
      <c r="BO728" s="11"/>
      <c r="BP728" s="274"/>
      <c r="BQ728" s="11"/>
      <c r="BR728" s="11"/>
      <c r="BS728" s="11"/>
      <c r="BT728" s="11"/>
      <c r="BU728" s="11"/>
      <c r="BV728" s="263">
        <v>2213400</v>
      </c>
      <c r="BW728" s="144">
        <f>BV728*0</f>
        <v>0</v>
      </c>
      <c r="BX728" s="113">
        <f t="shared" si="177"/>
        <v>2213400</v>
      </c>
      <c r="BY728" s="272" t="s">
        <v>554</v>
      </c>
      <c r="BZ728" s="272" t="s">
        <v>131</v>
      </c>
      <c r="CA728" s="11"/>
      <c r="CB728" s="274"/>
      <c r="CC728" s="274"/>
      <c r="CD728" s="274"/>
      <c r="CE728" s="11"/>
      <c r="CF728" s="11"/>
      <c r="CG728" s="11"/>
      <c r="CH728" s="268">
        <v>2257668</v>
      </c>
      <c r="CI728" s="265">
        <f>+CH728*0</f>
        <v>0</v>
      </c>
      <c r="CJ728" s="263">
        <f t="shared" si="178"/>
        <v>2257668</v>
      </c>
      <c r="CK728" s="272" t="s">
        <v>554</v>
      </c>
      <c r="CL728" s="272" t="s">
        <v>131</v>
      </c>
      <c r="CM728" s="11"/>
      <c r="CN728" s="274"/>
      <c r="CO728" s="274"/>
      <c r="CP728" s="274"/>
      <c r="CQ728" s="11"/>
      <c r="CR728" s="11"/>
      <c r="CS728" s="11"/>
      <c r="CT728" s="274"/>
      <c r="CU728" s="61"/>
      <c r="CV728" s="274"/>
      <c r="CW728" s="11"/>
      <c r="CX728" s="11"/>
      <c r="CY728" s="11"/>
      <c r="CZ728" s="118"/>
      <c r="DA728" s="144"/>
      <c r="DB728" s="118"/>
      <c r="DC728" s="33"/>
      <c r="DD728" s="11"/>
      <c r="DE728" s="11"/>
      <c r="DF728" s="11"/>
      <c r="DG728" s="11"/>
      <c r="DH728" s="11"/>
      <c r="DI728" s="11"/>
      <c r="DJ728" s="11"/>
      <c r="DK728" s="11"/>
      <c r="DL728" s="11"/>
      <c r="DM728" s="11"/>
      <c r="DN728" s="11"/>
      <c r="DO728" s="11"/>
      <c r="DP728" s="11"/>
      <c r="DQ728" s="11"/>
      <c r="DR728" s="11"/>
      <c r="DS728" s="11"/>
      <c r="DT728" s="11"/>
      <c r="DU728" s="11"/>
      <c r="DV728" s="11"/>
      <c r="DW728" s="11"/>
      <c r="DX728" s="11"/>
      <c r="DY728" s="11"/>
      <c r="DZ728" s="11"/>
      <c r="EA728" s="11"/>
      <c r="EB728" s="11"/>
      <c r="EC728" s="11"/>
      <c r="ED728" s="11"/>
      <c r="EE728" s="11"/>
      <c r="EF728" s="11"/>
      <c r="EG728" s="11"/>
      <c r="EH728" s="11"/>
      <c r="EI728" s="11"/>
      <c r="EJ728" s="11"/>
      <c r="EK728" s="11"/>
      <c r="EL728" s="11"/>
      <c r="EM728" s="11"/>
      <c r="EN728" s="11"/>
      <c r="EO728" s="11"/>
      <c r="EP728" s="11"/>
      <c r="EQ728" s="11"/>
      <c r="ER728" s="11"/>
      <c r="ES728" s="11"/>
      <c r="ET728" s="11"/>
      <c r="EU728" s="11"/>
      <c r="EV728" s="11"/>
      <c r="EW728" s="11"/>
      <c r="EX728" s="11"/>
      <c r="EY728" s="11"/>
      <c r="EZ728" s="11"/>
      <c r="FA728" s="11"/>
      <c r="FB728" s="11"/>
      <c r="FC728" s="11"/>
      <c r="FD728" s="11"/>
      <c r="FE728" s="11"/>
      <c r="FF728" s="11"/>
      <c r="FG728" s="11"/>
      <c r="FH728" s="39">
        <f t="shared" si="172"/>
        <v>4471068</v>
      </c>
      <c r="FI728" s="33">
        <f t="shared" si="173"/>
        <v>2</v>
      </c>
      <c r="FJ728" s="84">
        <f t="shared" si="174"/>
        <v>2235534</v>
      </c>
    </row>
    <row r="729" spans="1:166" ht="13.5" x14ac:dyDescent="0.25">
      <c r="A729" s="79" t="e">
        <f>#REF!</f>
        <v>#REF!</v>
      </c>
      <c r="B729" s="75" t="e">
        <f>#REF!</f>
        <v>#REF!</v>
      </c>
      <c r="C729" s="75" t="e">
        <f>#REF!</f>
        <v>#REF!</v>
      </c>
      <c r="D729" s="75" t="e">
        <f>#REF!</f>
        <v>#REF!</v>
      </c>
      <c r="E729" s="30">
        <v>1</v>
      </c>
      <c r="F729" s="238">
        <v>528780</v>
      </c>
      <c r="G729" s="241">
        <v>0</v>
      </c>
      <c r="H729" s="249">
        <v>0</v>
      </c>
      <c r="I729" s="249">
        <v>0</v>
      </c>
      <c r="J729" s="249">
        <v>0</v>
      </c>
      <c r="K729" s="249">
        <v>0</v>
      </c>
      <c r="L729" s="274">
        <f>F729</f>
        <v>528780</v>
      </c>
      <c r="M729" s="274"/>
      <c r="N729" s="246"/>
      <c r="O729" s="118"/>
      <c r="P729" s="118"/>
      <c r="Q729" s="52"/>
      <c r="R729" s="52"/>
      <c r="S729" s="5"/>
      <c r="T729" s="118"/>
      <c r="U729" s="118"/>
      <c r="V729" s="118"/>
      <c r="W729" s="11"/>
      <c r="X729" s="11"/>
      <c r="Y729" s="11"/>
      <c r="Z729" s="118"/>
      <c r="AA729" s="118"/>
      <c r="AB729" s="118"/>
      <c r="AC729" s="52"/>
      <c r="AD729" s="52"/>
      <c r="AE729" s="11"/>
      <c r="AF729" s="118"/>
      <c r="AG729" s="118"/>
      <c r="AH729" s="118"/>
      <c r="AI729" s="11"/>
      <c r="AJ729" s="11"/>
      <c r="AK729" s="11"/>
      <c r="AL729" s="118"/>
      <c r="AM729" s="118"/>
      <c r="AN729" s="118"/>
      <c r="AO729" s="76"/>
      <c r="AP729" s="11"/>
      <c r="AQ729" s="11"/>
      <c r="AR729" s="274"/>
      <c r="AS729" s="274"/>
      <c r="AT729" s="274"/>
      <c r="AU729" s="62"/>
      <c r="AV729" s="48"/>
      <c r="AW729" s="11"/>
      <c r="AX729" s="274"/>
      <c r="AY729" s="274"/>
      <c r="AZ729" s="274"/>
      <c r="BA729" s="11"/>
      <c r="BB729" s="11"/>
      <c r="BC729" s="11"/>
      <c r="BD729" s="274"/>
      <c r="BE729" s="274"/>
      <c r="BF729" s="274"/>
      <c r="BG729" s="11"/>
      <c r="BH729" s="11"/>
      <c r="BI729" s="11"/>
      <c r="BJ729" s="274"/>
      <c r="BK729" s="274"/>
      <c r="BL729" s="274"/>
      <c r="BM729" s="11"/>
      <c r="BN729" s="11"/>
      <c r="BO729" s="11"/>
      <c r="BP729" s="274"/>
      <c r="BQ729" s="11"/>
      <c r="BR729" s="11"/>
      <c r="BS729" s="11"/>
      <c r="BT729" s="11"/>
      <c r="BU729" s="11"/>
      <c r="BV729" s="263">
        <v>2213400</v>
      </c>
      <c r="BW729" s="144">
        <f>BV729*0</f>
        <v>0</v>
      </c>
      <c r="BX729" s="113">
        <f t="shared" si="177"/>
        <v>2213400</v>
      </c>
      <c r="BY729" s="272" t="s">
        <v>554</v>
      </c>
      <c r="BZ729" s="272" t="s">
        <v>131</v>
      </c>
      <c r="CA729" s="11"/>
      <c r="CB729" s="274"/>
      <c r="CC729" s="274"/>
      <c r="CD729" s="274"/>
      <c r="CE729" s="11"/>
      <c r="CF729" s="11"/>
      <c r="CG729" s="11"/>
      <c r="CH729" s="268">
        <v>2257668</v>
      </c>
      <c r="CI729" s="265">
        <f>+CH729*0</f>
        <v>0</v>
      </c>
      <c r="CJ729" s="263">
        <f t="shared" si="178"/>
        <v>2257668</v>
      </c>
      <c r="CK729" s="272" t="s">
        <v>554</v>
      </c>
      <c r="CL729" s="272" t="s">
        <v>131</v>
      </c>
      <c r="CM729" s="11"/>
      <c r="CN729" s="274"/>
      <c r="CO729" s="274"/>
      <c r="CP729" s="274"/>
      <c r="CQ729" s="11"/>
      <c r="CR729" s="11"/>
      <c r="CS729" s="11"/>
      <c r="CT729" s="274"/>
      <c r="CU729" s="61"/>
      <c r="CV729" s="274"/>
      <c r="CW729" s="11"/>
      <c r="CX729" s="11"/>
      <c r="CY729" s="11"/>
      <c r="CZ729" s="118"/>
      <c r="DA729" s="144"/>
      <c r="DB729" s="118"/>
      <c r="DC729" s="33"/>
      <c r="DD729" s="11"/>
      <c r="DE729" s="11"/>
      <c r="DF729" s="11"/>
      <c r="DG729" s="11"/>
      <c r="DH729" s="11"/>
      <c r="DI729" s="11"/>
      <c r="DJ729" s="11"/>
      <c r="DK729" s="11"/>
      <c r="DL729" s="11"/>
      <c r="DM729" s="11"/>
      <c r="DN729" s="11"/>
      <c r="DO729" s="11"/>
      <c r="DP729" s="11"/>
      <c r="DQ729" s="11"/>
      <c r="DR729" s="11"/>
      <c r="DS729" s="11"/>
      <c r="DT729" s="11"/>
      <c r="DU729" s="11"/>
      <c r="DV729" s="11"/>
      <c r="DW729" s="11"/>
      <c r="DX729" s="11"/>
      <c r="DY729" s="11"/>
      <c r="DZ729" s="11"/>
      <c r="EA729" s="11"/>
      <c r="EB729" s="11"/>
      <c r="EC729" s="11"/>
      <c r="ED729" s="11"/>
      <c r="EE729" s="11"/>
      <c r="EF729" s="11"/>
      <c r="EG729" s="11"/>
      <c r="EH729" s="11"/>
      <c r="EI729" s="11"/>
      <c r="EJ729" s="11"/>
      <c r="EK729" s="11"/>
      <c r="EL729" s="11"/>
      <c r="EM729" s="11"/>
      <c r="EN729" s="11"/>
      <c r="EO729" s="11"/>
      <c r="EP729" s="11"/>
      <c r="EQ729" s="11"/>
      <c r="ER729" s="11"/>
      <c r="ES729" s="11"/>
      <c r="ET729" s="11"/>
      <c r="EU729" s="11"/>
      <c r="EV729" s="11"/>
      <c r="EW729" s="11"/>
      <c r="EX729" s="11"/>
      <c r="EY729" s="11"/>
      <c r="EZ729" s="11"/>
      <c r="FA729" s="11"/>
      <c r="FB729" s="11"/>
      <c r="FC729" s="11"/>
      <c r="FD729" s="11"/>
      <c r="FE729" s="11"/>
      <c r="FF729" s="11"/>
      <c r="FG729" s="11"/>
      <c r="FH729" s="39">
        <f t="shared" si="172"/>
        <v>4471068</v>
      </c>
      <c r="FI729" s="33">
        <f t="shared" si="173"/>
        <v>2</v>
      </c>
      <c r="FJ729" s="84">
        <f t="shared" si="174"/>
        <v>2235534</v>
      </c>
    </row>
    <row r="730" spans="1:166" ht="13.5" x14ac:dyDescent="0.25">
      <c r="A730" s="79" t="e">
        <f>#REF!</f>
        <v>#REF!</v>
      </c>
      <c r="B730" s="75" t="e">
        <f>#REF!</f>
        <v>#REF!</v>
      </c>
      <c r="C730" s="75" t="e">
        <f>#REF!</f>
        <v>#REF!</v>
      </c>
      <c r="D730" s="75" t="e">
        <f>#REF!</f>
        <v>#REF!</v>
      </c>
      <c r="E730" s="30">
        <v>1</v>
      </c>
      <c r="F730" s="238">
        <v>0</v>
      </c>
      <c r="G730" s="241">
        <v>0</v>
      </c>
      <c r="H730" s="249">
        <v>0</v>
      </c>
      <c r="I730" s="249">
        <v>0</v>
      </c>
      <c r="J730" s="249">
        <v>0</v>
      </c>
      <c r="K730" s="249">
        <v>0</v>
      </c>
      <c r="L730" s="274"/>
      <c r="M730" s="274"/>
      <c r="N730" s="247">
        <v>483750</v>
      </c>
      <c r="O730" s="113">
        <f>+N730*0.19</f>
        <v>91912.5</v>
      </c>
      <c r="P730" s="113">
        <f>+O730+N730</f>
        <v>575662.5</v>
      </c>
      <c r="Q730" s="36" t="s">
        <v>127</v>
      </c>
      <c r="R730" s="132" t="s">
        <v>128</v>
      </c>
      <c r="S730" s="5"/>
      <c r="T730" s="118"/>
      <c r="U730" s="118"/>
      <c r="V730" s="118"/>
      <c r="W730" s="11"/>
      <c r="X730" s="11"/>
      <c r="Y730" s="11"/>
      <c r="Z730" s="118"/>
      <c r="AA730" s="118"/>
      <c r="AB730" s="118"/>
      <c r="AC730" s="52"/>
      <c r="AD730" s="52"/>
      <c r="AE730" s="11"/>
      <c r="AF730" s="118"/>
      <c r="AG730" s="118"/>
      <c r="AH730" s="118"/>
      <c r="AI730" s="11"/>
      <c r="AJ730" s="11"/>
      <c r="AK730" s="11"/>
      <c r="AL730" s="118">
        <v>470000</v>
      </c>
      <c r="AM730" s="113">
        <f>+AL730*0.19</f>
        <v>89300</v>
      </c>
      <c r="AN730" s="119">
        <f>+AL730+AM730</f>
        <v>559300</v>
      </c>
      <c r="AO730" s="76" t="s">
        <v>60</v>
      </c>
      <c r="AP730" s="11" t="s">
        <v>45</v>
      </c>
      <c r="AQ730" s="11"/>
      <c r="AR730" s="274"/>
      <c r="AS730" s="274"/>
      <c r="AT730" s="274"/>
      <c r="AU730" s="62"/>
      <c r="AV730" s="48"/>
      <c r="AW730" s="11"/>
      <c r="AX730" s="274"/>
      <c r="AY730" s="274"/>
      <c r="AZ730" s="274"/>
      <c r="BA730" s="11"/>
      <c r="BB730" s="11"/>
      <c r="BC730" s="11"/>
      <c r="BD730" s="274"/>
      <c r="BE730" s="274"/>
      <c r="BF730" s="274"/>
      <c r="BG730" s="11"/>
      <c r="BH730" s="11"/>
      <c r="BI730" s="11"/>
      <c r="BJ730" s="274"/>
      <c r="BK730" s="274"/>
      <c r="BL730" s="274"/>
      <c r="BM730" s="11"/>
      <c r="BN730" s="11"/>
      <c r="BO730" s="11"/>
      <c r="BP730" s="274"/>
      <c r="BQ730" s="11"/>
      <c r="BR730" s="11"/>
      <c r="BS730" s="11"/>
      <c r="BT730" s="11"/>
      <c r="BU730" s="11"/>
      <c r="BV730" s="263">
        <v>774000</v>
      </c>
      <c r="BW730" s="144">
        <f t="shared" ref="BW730:BW735" si="179">BV730*19%</f>
        <v>147060</v>
      </c>
      <c r="BX730" s="113">
        <f t="shared" si="177"/>
        <v>921060</v>
      </c>
      <c r="BY730" s="272" t="s">
        <v>231</v>
      </c>
      <c r="BZ730" s="272" t="s">
        <v>128</v>
      </c>
      <c r="CA730" s="11"/>
      <c r="CB730" s="274"/>
      <c r="CC730" s="274"/>
      <c r="CD730" s="274"/>
      <c r="CE730" s="11"/>
      <c r="CF730" s="11"/>
      <c r="CG730" s="11"/>
      <c r="CH730" s="263">
        <v>789480</v>
      </c>
      <c r="CI730" s="265">
        <f t="shared" ref="CI730:CI735" si="180">+CH730*0.19</f>
        <v>150001.20000000001</v>
      </c>
      <c r="CJ730" s="263">
        <f t="shared" si="178"/>
        <v>939481.2</v>
      </c>
      <c r="CK730" s="272" t="s">
        <v>231</v>
      </c>
      <c r="CL730" s="272" t="s">
        <v>128</v>
      </c>
      <c r="CM730" s="11"/>
      <c r="CN730" s="274"/>
      <c r="CO730" s="274"/>
      <c r="CP730" s="274"/>
      <c r="CQ730" s="11"/>
      <c r="CR730" s="11"/>
      <c r="CS730" s="11"/>
      <c r="CT730" s="274"/>
      <c r="CU730" s="61"/>
      <c r="CV730" s="274"/>
      <c r="CW730" s="11"/>
      <c r="CX730" s="11"/>
      <c r="CY730" s="11"/>
      <c r="CZ730" s="118">
        <v>407598</v>
      </c>
      <c r="DA730" s="144">
        <f>+CZ730*0.19</f>
        <v>77443.62</v>
      </c>
      <c r="DB730" s="118">
        <f>+CZ730+DA730</f>
        <v>485041.62</v>
      </c>
      <c r="DC730" s="33" t="s">
        <v>64</v>
      </c>
      <c r="DD730" s="11" t="s">
        <v>58</v>
      </c>
      <c r="DE730" s="11">
        <v>1054060500</v>
      </c>
      <c r="DF730" s="11"/>
      <c r="DG730" s="11"/>
      <c r="DH730" s="11"/>
      <c r="DI730" s="11"/>
      <c r="DJ730" s="11"/>
      <c r="DK730" s="11"/>
      <c r="DL730" s="11"/>
      <c r="DM730" s="11"/>
      <c r="DN730" s="11"/>
      <c r="DO730" s="11"/>
      <c r="DP730" s="11"/>
      <c r="DQ730" s="11"/>
      <c r="DR730" s="11"/>
      <c r="DS730" s="11"/>
      <c r="DT730" s="11"/>
      <c r="DU730" s="11"/>
      <c r="DV730" s="11"/>
      <c r="DW730" s="11"/>
      <c r="DX730" s="11"/>
      <c r="DY730" s="11"/>
      <c r="DZ730" s="11"/>
      <c r="EA730" s="11"/>
      <c r="EB730" s="11"/>
      <c r="EC730" s="11"/>
      <c r="ED730" s="11"/>
      <c r="EE730" s="11"/>
      <c r="EF730" s="11"/>
      <c r="EG730" s="11"/>
      <c r="EH730" s="11"/>
      <c r="EI730" s="11"/>
      <c r="EJ730" s="11"/>
      <c r="EK730" s="11"/>
      <c r="EL730" s="11"/>
      <c r="EM730" s="11"/>
      <c r="EN730" s="11"/>
      <c r="EO730" s="11"/>
      <c r="EP730" s="11"/>
      <c r="EQ730" s="11"/>
      <c r="ER730" s="11"/>
      <c r="ES730" s="11"/>
      <c r="ET730" s="11"/>
      <c r="EU730" s="11"/>
      <c r="EV730" s="11"/>
      <c r="EW730" s="11"/>
      <c r="EX730" s="11"/>
      <c r="EY730" s="11"/>
      <c r="EZ730" s="11"/>
      <c r="FA730" s="11"/>
      <c r="FB730" s="11"/>
      <c r="FC730" s="11"/>
      <c r="FD730" s="11"/>
      <c r="FE730" s="11"/>
      <c r="FF730" s="11"/>
      <c r="FG730" s="11"/>
      <c r="FH730" s="39">
        <f t="shared" si="172"/>
        <v>3480545.3200000003</v>
      </c>
      <c r="FI730" s="33">
        <f t="shared" si="173"/>
        <v>5</v>
      </c>
      <c r="FJ730" s="84">
        <f t="shared" si="174"/>
        <v>696109.06400000001</v>
      </c>
    </row>
    <row r="731" spans="1:166" ht="13.5" x14ac:dyDescent="0.25">
      <c r="A731" s="79" t="e">
        <f>#REF!</f>
        <v>#REF!</v>
      </c>
      <c r="B731" s="75" t="e">
        <f>#REF!</f>
        <v>#REF!</v>
      </c>
      <c r="C731" s="75" t="e">
        <f>#REF!</f>
        <v>#REF!</v>
      </c>
      <c r="D731" s="75" t="e">
        <f>#REF!</f>
        <v>#REF!</v>
      </c>
      <c r="E731" s="30">
        <v>1</v>
      </c>
      <c r="F731" s="238">
        <v>0</v>
      </c>
      <c r="G731" s="241">
        <v>0</v>
      </c>
      <c r="H731" s="249">
        <v>0</v>
      </c>
      <c r="I731" s="249">
        <v>0</v>
      </c>
      <c r="J731" s="249">
        <v>0</v>
      </c>
      <c r="K731" s="249">
        <v>0</v>
      </c>
      <c r="L731" s="274"/>
      <c r="M731" s="274"/>
      <c r="N731" s="247">
        <v>249000</v>
      </c>
      <c r="O731" s="113">
        <f>+N731*0.19</f>
        <v>47310</v>
      </c>
      <c r="P731" s="113">
        <f>+O731+N731</f>
        <v>296310</v>
      </c>
      <c r="Q731" s="36" t="s">
        <v>39</v>
      </c>
      <c r="R731" s="132" t="s">
        <v>128</v>
      </c>
      <c r="S731" s="5"/>
      <c r="T731" s="118"/>
      <c r="U731" s="118"/>
      <c r="V731" s="118"/>
      <c r="W731" s="11"/>
      <c r="X731" s="11"/>
      <c r="Y731" s="11"/>
      <c r="Z731" s="118"/>
      <c r="AA731" s="118"/>
      <c r="AB731" s="118"/>
      <c r="AC731" s="52"/>
      <c r="AD731" s="52"/>
      <c r="AE731" s="11"/>
      <c r="AF731" s="118"/>
      <c r="AG731" s="118"/>
      <c r="AH731" s="118"/>
      <c r="AI731" s="11"/>
      <c r="AJ731" s="11"/>
      <c r="AK731" s="11"/>
      <c r="AL731" s="118">
        <v>188000</v>
      </c>
      <c r="AM731" s="113">
        <f>+AL731*0.19</f>
        <v>35720</v>
      </c>
      <c r="AN731" s="119">
        <f>+AL731+AM731</f>
        <v>223720</v>
      </c>
      <c r="AO731" s="76" t="s">
        <v>44</v>
      </c>
      <c r="AP731" s="11" t="s">
        <v>45</v>
      </c>
      <c r="AQ731" s="11"/>
      <c r="AR731" s="274"/>
      <c r="AS731" s="274"/>
      <c r="AT731" s="274"/>
      <c r="AU731" s="62"/>
      <c r="AV731" s="48"/>
      <c r="AW731" s="11"/>
      <c r="AX731" s="274"/>
      <c r="AY731" s="274"/>
      <c r="AZ731" s="274"/>
      <c r="BA731" s="11"/>
      <c r="BB731" s="11"/>
      <c r="BC731" s="11"/>
      <c r="BD731" s="274"/>
      <c r="BE731" s="274"/>
      <c r="BF731" s="274"/>
      <c r="BG731" s="11"/>
      <c r="BH731" s="11"/>
      <c r="BI731" s="11"/>
      <c r="BJ731" s="274"/>
      <c r="BK731" s="274"/>
      <c r="BL731" s="274"/>
      <c r="BM731" s="11"/>
      <c r="BN731" s="11"/>
      <c r="BO731" s="11"/>
      <c r="BP731" s="274"/>
      <c r="BQ731" s="11"/>
      <c r="BR731" s="11"/>
      <c r="BS731" s="11"/>
      <c r="BT731" s="11"/>
      <c r="BU731" s="11"/>
      <c r="BV731" s="263">
        <v>398400</v>
      </c>
      <c r="BW731" s="144">
        <f t="shared" si="179"/>
        <v>75696</v>
      </c>
      <c r="BX731" s="113">
        <f t="shared" si="177"/>
        <v>474096</v>
      </c>
      <c r="BY731" s="272" t="s">
        <v>314</v>
      </c>
      <c r="BZ731" s="272" t="s">
        <v>128</v>
      </c>
      <c r="CA731" s="11"/>
      <c r="CB731" s="274"/>
      <c r="CC731" s="274"/>
      <c r="CD731" s="274"/>
      <c r="CE731" s="11"/>
      <c r="CF731" s="11"/>
      <c r="CG731" s="11"/>
      <c r="CH731" s="263">
        <v>402384</v>
      </c>
      <c r="CI731" s="265">
        <f t="shared" si="180"/>
        <v>76452.960000000006</v>
      </c>
      <c r="CJ731" s="263">
        <f t="shared" si="178"/>
        <v>478836.96</v>
      </c>
      <c r="CK731" s="272" t="s">
        <v>314</v>
      </c>
      <c r="CL731" s="272" t="s">
        <v>128</v>
      </c>
      <c r="CM731" s="11"/>
      <c r="CN731" s="274"/>
      <c r="CO731" s="274"/>
      <c r="CP731" s="274"/>
      <c r="CQ731" s="11"/>
      <c r="CR731" s="11"/>
      <c r="CS731" s="11"/>
      <c r="CT731" s="274"/>
      <c r="CU731" s="61"/>
      <c r="CV731" s="274"/>
      <c r="CW731" s="11"/>
      <c r="CX731" s="11"/>
      <c r="CY731" s="11"/>
      <c r="CZ731" s="118"/>
      <c r="DA731" s="144"/>
      <c r="DB731" s="118"/>
      <c r="DC731" s="33"/>
      <c r="DD731" s="11"/>
      <c r="DE731" s="11"/>
      <c r="DF731" s="11"/>
      <c r="DG731" s="11"/>
      <c r="DH731" s="11"/>
      <c r="DI731" s="11"/>
      <c r="DJ731" s="11"/>
      <c r="DK731" s="11"/>
      <c r="DL731" s="11"/>
      <c r="DM731" s="11"/>
      <c r="DN731" s="11"/>
      <c r="DO731" s="11"/>
      <c r="DP731" s="11"/>
      <c r="DQ731" s="11"/>
      <c r="DR731" s="11"/>
      <c r="DS731" s="11"/>
      <c r="DT731" s="11"/>
      <c r="DU731" s="11"/>
      <c r="DV731" s="11"/>
      <c r="DW731" s="11"/>
      <c r="DX731" s="11"/>
      <c r="DY731" s="11"/>
      <c r="DZ731" s="11"/>
      <c r="EA731" s="11"/>
      <c r="EB731" s="11"/>
      <c r="EC731" s="11"/>
      <c r="ED731" s="11"/>
      <c r="EE731" s="11"/>
      <c r="EF731" s="11"/>
      <c r="EG731" s="11"/>
      <c r="EH731" s="11"/>
      <c r="EI731" s="11"/>
      <c r="EJ731" s="11"/>
      <c r="EK731" s="11"/>
      <c r="EL731" s="11"/>
      <c r="EM731" s="11"/>
      <c r="EN731" s="11"/>
      <c r="EO731" s="11"/>
      <c r="EP731" s="11"/>
      <c r="EQ731" s="11"/>
      <c r="ER731" s="11"/>
      <c r="ES731" s="11"/>
      <c r="ET731" s="11"/>
      <c r="EU731" s="11"/>
      <c r="EV731" s="11"/>
      <c r="EW731" s="11"/>
      <c r="EX731" s="11"/>
      <c r="EY731" s="11"/>
      <c r="EZ731" s="11"/>
      <c r="FA731" s="11"/>
      <c r="FB731" s="11"/>
      <c r="FC731" s="11"/>
      <c r="FD731" s="11"/>
      <c r="FE731" s="11"/>
      <c r="FF731" s="11"/>
      <c r="FG731" s="11"/>
      <c r="FH731" s="39">
        <f t="shared" si="172"/>
        <v>1472962.96</v>
      </c>
      <c r="FI731" s="33">
        <f t="shared" si="173"/>
        <v>4</v>
      </c>
      <c r="FJ731" s="84">
        <f t="shared" si="174"/>
        <v>368240.74</v>
      </c>
    </row>
    <row r="732" spans="1:166" ht="13.5" x14ac:dyDescent="0.25">
      <c r="A732" s="79" t="e">
        <f>#REF!</f>
        <v>#REF!</v>
      </c>
      <c r="B732" s="75" t="e">
        <f>#REF!</f>
        <v>#REF!</v>
      </c>
      <c r="C732" s="75" t="e">
        <f>#REF!</f>
        <v>#REF!</v>
      </c>
      <c r="D732" s="75" t="e">
        <f>#REF!</f>
        <v>#REF!</v>
      </c>
      <c r="E732" s="30">
        <v>1</v>
      </c>
      <c r="F732" s="238">
        <v>0</v>
      </c>
      <c r="G732" s="241">
        <v>0</v>
      </c>
      <c r="H732" s="249">
        <v>0</v>
      </c>
      <c r="I732" s="249">
        <v>0</v>
      </c>
      <c r="J732" s="249">
        <v>0</v>
      </c>
      <c r="K732" s="249">
        <v>0</v>
      </c>
      <c r="L732" s="274"/>
      <c r="M732" s="274"/>
      <c r="N732" s="246"/>
      <c r="O732" s="118"/>
      <c r="P732" s="118"/>
      <c r="Q732" s="52"/>
      <c r="R732" s="52"/>
      <c r="S732" s="5"/>
      <c r="T732" s="118"/>
      <c r="U732" s="118"/>
      <c r="V732" s="118"/>
      <c r="W732" s="11"/>
      <c r="X732" s="11"/>
      <c r="Y732" s="11"/>
      <c r="Z732" s="118"/>
      <c r="AA732" s="118"/>
      <c r="AB732" s="118"/>
      <c r="AC732" s="52"/>
      <c r="AD732" s="52"/>
      <c r="AE732" s="11"/>
      <c r="AF732" s="118"/>
      <c r="AG732" s="118"/>
      <c r="AH732" s="118"/>
      <c r="AI732" s="11"/>
      <c r="AJ732" s="11"/>
      <c r="AK732" s="11"/>
      <c r="AL732" s="118"/>
      <c r="AM732" s="118"/>
      <c r="AN732" s="118"/>
      <c r="AO732" s="76"/>
      <c r="AP732" s="11"/>
      <c r="AQ732" s="11"/>
      <c r="AR732" s="274"/>
      <c r="AS732" s="274"/>
      <c r="AT732" s="274"/>
      <c r="AU732" s="62"/>
      <c r="AV732" s="48"/>
      <c r="AW732" s="11"/>
      <c r="AX732" s="274"/>
      <c r="AY732" s="274"/>
      <c r="AZ732" s="274"/>
      <c r="BA732" s="11"/>
      <c r="BB732" s="11"/>
      <c r="BC732" s="11"/>
      <c r="BD732" s="274"/>
      <c r="BE732" s="274"/>
      <c r="BF732" s="274"/>
      <c r="BG732" s="11"/>
      <c r="BH732" s="11"/>
      <c r="BI732" s="11"/>
      <c r="BJ732" s="274"/>
      <c r="BK732" s="274"/>
      <c r="BL732" s="274"/>
      <c r="BM732" s="11"/>
      <c r="BN732" s="11"/>
      <c r="BO732" s="11"/>
      <c r="BP732" s="274"/>
      <c r="BQ732" s="11"/>
      <c r="BR732" s="11"/>
      <c r="BS732" s="11"/>
      <c r="BT732" s="11"/>
      <c r="BU732" s="11"/>
      <c r="BV732" s="263">
        <v>1854500</v>
      </c>
      <c r="BW732" s="144">
        <f t="shared" si="179"/>
        <v>352355</v>
      </c>
      <c r="BX732" s="113">
        <f t="shared" si="177"/>
        <v>2206855</v>
      </c>
      <c r="BY732" s="272" t="s">
        <v>231</v>
      </c>
      <c r="BZ732" s="272" t="s">
        <v>131</v>
      </c>
      <c r="CA732" s="11"/>
      <c r="CB732" s="274"/>
      <c r="CC732" s="274"/>
      <c r="CD732" s="274"/>
      <c r="CE732" s="11"/>
      <c r="CF732" s="11"/>
      <c r="CG732" s="11"/>
      <c r="CH732" s="268">
        <v>1965770</v>
      </c>
      <c r="CI732" s="265">
        <f t="shared" si="180"/>
        <v>373496.3</v>
      </c>
      <c r="CJ732" s="263">
        <f t="shared" si="178"/>
        <v>2339266.2999999998</v>
      </c>
      <c r="CK732" s="272" t="s">
        <v>231</v>
      </c>
      <c r="CL732" s="272" t="s">
        <v>131</v>
      </c>
      <c r="CM732" s="11"/>
      <c r="CN732" s="274"/>
      <c r="CO732" s="274"/>
      <c r="CP732" s="274"/>
      <c r="CQ732" s="11"/>
      <c r="CR732" s="11"/>
      <c r="CS732" s="11"/>
      <c r="CT732" s="274"/>
      <c r="CU732" s="61"/>
      <c r="CV732" s="274"/>
      <c r="CW732" s="11"/>
      <c r="CX732" s="11"/>
      <c r="CY732" s="11"/>
      <c r="CZ732" s="118"/>
      <c r="DA732" s="144"/>
      <c r="DB732" s="118"/>
      <c r="DC732" s="33"/>
      <c r="DD732" s="11"/>
      <c r="DE732" s="11"/>
      <c r="DF732" s="11"/>
      <c r="DG732" s="11"/>
      <c r="DH732" s="11"/>
      <c r="DI732" s="11"/>
      <c r="DJ732" s="11"/>
      <c r="DK732" s="11"/>
      <c r="DL732" s="11"/>
      <c r="DM732" s="11"/>
      <c r="DN732" s="11"/>
      <c r="DO732" s="11"/>
      <c r="DP732" s="11"/>
      <c r="DQ732" s="11"/>
      <c r="DR732" s="11"/>
      <c r="DS732" s="11"/>
      <c r="DT732" s="11"/>
      <c r="DU732" s="11"/>
      <c r="DV732" s="11"/>
      <c r="DW732" s="11"/>
      <c r="DX732" s="11"/>
      <c r="DY732" s="11"/>
      <c r="DZ732" s="11"/>
      <c r="EA732" s="11"/>
      <c r="EB732" s="11"/>
      <c r="EC732" s="11"/>
      <c r="ED732" s="11"/>
      <c r="EE732" s="11"/>
      <c r="EF732" s="11"/>
      <c r="EG732" s="11"/>
      <c r="EH732" s="11"/>
      <c r="EI732" s="11"/>
      <c r="EJ732" s="11"/>
      <c r="EK732" s="11"/>
      <c r="EL732" s="11"/>
      <c r="EM732" s="11"/>
      <c r="EN732" s="11"/>
      <c r="EO732" s="11"/>
      <c r="EP732" s="11"/>
      <c r="EQ732" s="11"/>
      <c r="ER732" s="11"/>
      <c r="ES732" s="11"/>
      <c r="ET732" s="11"/>
      <c r="EU732" s="11"/>
      <c r="EV732" s="11"/>
      <c r="EW732" s="11"/>
      <c r="EX732" s="11"/>
      <c r="EY732" s="11"/>
      <c r="EZ732" s="11"/>
      <c r="FA732" s="11"/>
      <c r="FB732" s="11"/>
      <c r="FC732" s="11"/>
      <c r="FD732" s="11"/>
      <c r="FE732" s="11"/>
      <c r="FF732" s="11"/>
      <c r="FG732" s="11"/>
      <c r="FH732" s="39">
        <f t="shared" si="172"/>
        <v>4546121.3</v>
      </c>
      <c r="FI732" s="33">
        <f t="shared" si="173"/>
        <v>2</v>
      </c>
      <c r="FJ732" s="84">
        <f t="shared" si="174"/>
        <v>2273060.65</v>
      </c>
    </row>
    <row r="733" spans="1:166" ht="13.5" x14ac:dyDescent="0.25">
      <c r="A733" s="79" t="e">
        <f>#REF!</f>
        <v>#REF!</v>
      </c>
      <c r="B733" s="75" t="e">
        <f>#REF!</f>
        <v>#REF!</v>
      </c>
      <c r="C733" s="75" t="e">
        <f>#REF!</f>
        <v>#REF!</v>
      </c>
      <c r="D733" s="75" t="e">
        <f>#REF!</f>
        <v>#REF!</v>
      </c>
      <c r="E733" s="30">
        <v>1</v>
      </c>
      <c r="F733" s="238">
        <v>0</v>
      </c>
      <c r="G733" s="241">
        <v>0</v>
      </c>
      <c r="H733" s="249">
        <v>0</v>
      </c>
      <c r="I733" s="249">
        <v>0</v>
      </c>
      <c r="J733" s="249">
        <v>0</v>
      </c>
      <c r="K733" s="249">
        <v>0</v>
      </c>
      <c r="L733" s="274"/>
      <c r="M733" s="274"/>
      <c r="N733" s="247">
        <v>1386500</v>
      </c>
      <c r="O733" s="113">
        <f>+N733*0.19</f>
        <v>263435</v>
      </c>
      <c r="P733" s="113">
        <f>+O733+N733</f>
        <v>1649935</v>
      </c>
      <c r="Q733" s="36" t="s">
        <v>127</v>
      </c>
      <c r="R733" s="132" t="s">
        <v>128</v>
      </c>
      <c r="S733" s="5"/>
      <c r="T733" s="118"/>
      <c r="U733" s="118"/>
      <c r="V733" s="118"/>
      <c r="W733" s="11"/>
      <c r="X733" s="11"/>
      <c r="Y733" s="11"/>
      <c r="Z733" s="118"/>
      <c r="AA733" s="118"/>
      <c r="AB733" s="118"/>
      <c r="AC733" s="52"/>
      <c r="AD733" s="52"/>
      <c r="AE733" s="11"/>
      <c r="AF733" s="118"/>
      <c r="AG733" s="118"/>
      <c r="AH733" s="118"/>
      <c r="AI733" s="11"/>
      <c r="AJ733" s="11"/>
      <c r="AK733" s="11"/>
      <c r="AL733" s="118"/>
      <c r="AM733" s="118"/>
      <c r="AN733" s="118"/>
      <c r="AO733" s="76"/>
      <c r="AP733" s="11"/>
      <c r="AQ733" s="11"/>
      <c r="AR733" s="274"/>
      <c r="AS733" s="274"/>
      <c r="AT733" s="274"/>
      <c r="AU733" s="62"/>
      <c r="AV733" s="48"/>
      <c r="AW733" s="11"/>
      <c r="AX733" s="274"/>
      <c r="AY733" s="274"/>
      <c r="AZ733" s="274"/>
      <c r="BA733" s="11"/>
      <c r="BB733" s="11"/>
      <c r="BC733" s="11"/>
      <c r="BD733" s="274"/>
      <c r="BE733" s="274"/>
      <c r="BF733" s="274"/>
      <c r="BG733" s="11"/>
      <c r="BH733" s="11"/>
      <c r="BI733" s="11"/>
      <c r="BJ733" s="274"/>
      <c r="BK733" s="274"/>
      <c r="BL733" s="274"/>
      <c r="BM733" s="11"/>
      <c r="BN733" s="11"/>
      <c r="BO733" s="11"/>
      <c r="BP733" s="274"/>
      <c r="BQ733" s="11"/>
      <c r="BR733" s="11"/>
      <c r="BS733" s="11"/>
      <c r="BT733" s="11"/>
      <c r="BU733" s="11"/>
      <c r="BV733" s="268">
        <v>2773000</v>
      </c>
      <c r="BW733" s="144">
        <f t="shared" si="179"/>
        <v>526870</v>
      </c>
      <c r="BX733" s="113">
        <f t="shared" si="177"/>
        <v>3299870</v>
      </c>
      <c r="BY733" s="272" t="s">
        <v>231</v>
      </c>
      <c r="BZ733" s="272" t="s">
        <v>128</v>
      </c>
      <c r="CA733" s="11"/>
      <c r="CB733" s="274"/>
      <c r="CC733" s="274"/>
      <c r="CD733" s="274"/>
      <c r="CE733" s="11"/>
      <c r="CF733" s="11"/>
      <c r="CG733" s="11"/>
      <c r="CH733" s="268">
        <v>2939380</v>
      </c>
      <c r="CI733" s="265">
        <f t="shared" si="180"/>
        <v>558482.19999999995</v>
      </c>
      <c r="CJ733" s="263">
        <f t="shared" si="178"/>
        <v>3497862.2</v>
      </c>
      <c r="CK733" s="272" t="s">
        <v>231</v>
      </c>
      <c r="CL733" s="272" t="s">
        <v>128</v>
      </c>
      <c r="CM733" s="11"/>
      <c r="CN733" s="274"/>
      <c r="CO733" s="274"/>
      <c r="CP733" s="274"/>
      <c r="CQ733" s="11"/>
      <c r="CR733" s="11"/>
      <c r="CS733" s="11"/>
      <c r="CT733" s="274"/>
      <c r="CU733" s="61"/>
      <c r="CV733" s="274"/>
      <c r="CW733" s="11"/>
      <c r="CX733" s="11"/>
      <c r="CY733" s="11"/>
      <c r="CZ733" s="118"/>
      <c r="DA733" s="144"/>
      <c r="DB733" s="118"/>
      <c r="DC733" s="33"/>
      <c r="DD733" s="11"/>
      <c r="DE733" s="11"/>
      <c r="DF733" s="11"/>
      <c r="DG733" s="11"/>
      <c r="DH733" s="11"/>
      <c r="DI733" s="11"/>
      <c r="DJ733" s="11"/>
      <c r="DK733" s="11"/>
      <c r="DL733" s="11"/>
      <c r="DM733" s="11"/>
      <c r="DN733" s="11"/>
      <c r="DO733" s="11"/>
      <c r="DP733" s="11"/>
      <c r="DQ733" s="11"/>
      <c r="DR733" s="11"/>
      <c r="DS733" s="11"/>
      <c r="DT733" s="11"/>
      <c r="DU733" s="11"/>
      <c r="DV733" s="11"/>
      <c r="DW733" s="11"/>
      <c r="DX733" s="11"/>
      <c r="DY733" s="11"/>
      <c r="DZ733" s="11"/>
      <c r="EA733" s="11"/>
      <c r="EB733" s="11"/>
      <c r="EC733" s="11"/>
      <c r="ED733" s="11"/>
      <c r="EE733" s="11"/>
      <c r="EF733" s="11"/>
      <c r="EG733" s="11"/>
      <c r="EH733" s="11"/>
      <c r="EI733" s="11"/>
      <c r="EJ733" s="11"/>
      <c r="EK733" s="11"/>
      <c r="EL733" s="11"/>
      <c r="EM733" s="11"/>
      <c r="EN733" s="11"/>
      <c r="EO733" s="11"/>
      <c r="EP733" s="11"/>
      <c r="EQ733" s="11"/>
      <c r="ER733" s="11"/>
      <c r="ES733" s="11"/>
      <c r="ET733" s="11"/>
      <c r="EU733" s="11"/>
      <c r="EV733" s="11"/>
      <c r="EW733" s="11"/>
      <c r="EX733" s="11"/>
      <c r="EY733" s="11"/>
      <c r="EZ733" s="11"/>
      <c r="FA733" s="11"/>
      <c r="FB733" s="11"/>
      <c r="FC733" s="11"/>
      <c r="FD733" s="11"/>
      <c r="FE733" s="11"/>
      <c r="FF733" s="11"/>
      <c r="FG733" s="11"/>
      <c r="FH733" s="39">
        <f t="shared" si="172"/>
        <v>8447667.1999999993</v>
      </c>
      <c r="FI733" s="33">
        <f t="shared" si="173"/>
        <v>3</v>
      </c>
      <c r="FJ733" s="84">
        <f t="shared" si="174"/>
        <v>2815889.0666666664</v>
      </c>
    </row>
    <row r="734" spans="1:166" ht="13.5" x14ac:dyDescent="0.25">
      <c r="A734" s="79" t="e">
        <f>#REF!</f>
        <v>#REF!</v>
      </c>
      <c r="B734" s="75" t="e">
        <f>#REF!</f>
        <v>#REF!</v>
      </c>
      <c r="C734" s="75" t="e">
        <f>#REF!</f>
        <v>#REF!</v>
      </c>
      <c r="D734" s="75" t="e">
        <f>#REF!</f>
        <v>#REF!</v>
      </c>
      <c r="E734" s="30">
        <v>1</v>
      </c>
      <c r="F734" s="238">
        <v>0</v>
      </c>
      <c r="G734" s="241">
        <v>0</v>
      </c>
      <c r="H734" s="249">
        <v>0</v>
      </c>
      <c r="I734" s="249">
        <v>0</v>
      </c>
      <c r="J734" s="249">
        <v>0</v>
      </c>
      <c r="K734" s="249">
        <v>0</v>
      </c>
      <c r="L734" s="274"/>
      <c r="M734" s="274"/>
      <c r="N734" s="247">
        <v>428250</v>
      </c>
      <c r="O734" s="113">
        <f>+N734*0.19</f>
        <v>81367.5</v>
      </c>
      <c r="P734" s="113">
        <f>+O734+N734</f>
        <v>509617.5</v>
      </c>
      <c r="Q734" s="36" t="s">
        <v>127</v>
      </c>
      <c r="R734" s="132" t="s">
        <v>128</v>
      </c>
      <c r="S734" s="5" t="s">
        <v>216</v>
      </c>
      <c r="T734" s="118"/>
      <c r="U734" s="118"/>
      <c r="V734" s="118"/>
      <c r="W734" s="11"/>
      <c r="X734" s="11"/>
      <c r="Y734" s="11"/>
      <c r="Z734" s="118"/>
      <c r="AA734" s="118"/>
      <c r="AB734" s="118"/>
      <c r="AC734" s="52"/>
      <c r="AD734" s="52"/>
      <c r="AE734" s="11"/>
      <c r="AF734" s="118"/>
      <c r="AG734" s="118"/>
      <c r="AH734" s="118"/>
      <c r="AI734" s="11"/>
      <c r="AJ734" s="11"/>
      <c r="AK734" s="11"/>
      <c r="AL734" s="118"/>
      <c r="AM734" s="118"/>
      <c r="AN734" s="118"/>
      <c r="AO734" s="76"/>
      <c r="AP734" s="11"/>
      <c r="AQ734" s="11"/>
      <c r="AR734" s="274"/>
      <c r="AS734" s="274"/>
      <c r="AT734" s="274"/>
      <c r="AU734" s="62"/>
      <c r="AV734" s="48"/>
      <c r="AW734" s="11"/>
      <c r="AX734" s="274"/>
      <c r="AY734" s="274"/>
      <c r="AZ734" s="274"/>
      <c r="BA734" s="11"/>
      <c r="BB734" s="11"/>
      <c r="BC734" s="11"/>
      <c r="BD734" s="274"/>
      <c r="BE734" s="274"/>
      <c r="BF734" s="274"/>
      <c r="BG734" s="11"/>
      <c r="BH734" s="11"/>
      <c r="BI734" s="11"/>
      <c r="BJ734" s="274"/>
      <c r="BK734" s="274"/>
      <c r="BL734" s="274"/>
      <c r="BM734" s="11"/>
      <c r="BN734" s="11"/>
      <c r="BO734" s="11"/>
      <c r="BP734" s="274"/>
      <c r="BQ734" s="11"/>
      <c r="BR734" s="11"/>
      <c r="BS734" s="11"/>
      <c r="BT734" s="11"/>
      <c r="BU734" s="11"/>
      <c r="BV734" s="263">
        <v>794600</v>
      </c>
      <c r="BW734" s="144">
        <f t="shared" si="179"/>
        <v>150974</v>
      </c>
      <c r="BX734" s="113">
        <f t="shared" si="177"/>
        <v>945574</v>
      </c>
      <c r="BY734" s="272" t="s">
        <v>231</v>
      </c>
      <c r="BZ734" s="272" t="s">
        <v>88</v>
      </c>
      <c r="CA734" s="11"/>
      <c r="CB734" s="274"/>
      <c r="CC734" s="274"/>
      <c r="CD734" s="274"/>
      <c r="CE734" s="11"/>
      <c r="CF734" s="11"/>
      <c r="CG734" s="11"/>
      <c r="CH734" s="263">
        <v>818438</v>
      </c>
      <c r="CI734" s="265">
        <f t="shared" si="180"/>
        <v>155503.22</v>
      </c>
      <c r="CJ734" s="263">
        <f t="shared" si="178"/>
        <v>973941.22</v>
      </c>
      <c r="CK734" s="272" t="s">
        <v>231</v>
      </c>
      <c r="CL734" s="272" t="s">
        <v>88</v>
      </c>
      <c r="CM734" s="11"/>
      <c r="CN734" s="274"/>
      <c r="CO734" s="274"/>
      <c r="CP734" s="274"/>
      <c r="CQ734" s="11"/>
      <c r="CR734" s="11"/>
      <c r="CS734" s="11"/>
      <c r="CT734" s="274"/>
      <c r="CU734" s="61"/>
      <c r="CV734" s="274"/>
      <c r="CW734" s="11"/>
      <c r="CX734" s="11"/>
      <c r="CY734" s="11"/>
      <c r="CZ734" s="118">
        <v>360940</v>
      </c>
      <c r="DA734" s="144">
        <f>+CZ734*0.19</f>
        <v>68578.600000000006</v>
      </c>
      <c r="DB734" s="118">
        <f>+CZ734+DA734</f>
        <v>429518.6</v>
      </c>
      <c r="DC734" s="33" t="s">
        <v>415</v>
      </c>
      <c r="DD734" s="11" t="s">
        <v>58</v>
      </c>
      <c r="DE734" s="11">
        <v>1013470500</v>
      </c>
      <c r="DF734" s="11"/>
      <c r="DG734" s="11"/>
      <c r="DH734" s="11"/>
      <c r="DI734" s="11"/>
      <c r="DJ734" s="11"/>
      <c r="DK734" s="11"/>
      <c r="DL734" s="11"/>
      <c r="DM734" s="11"/>
      <c r="DN734" s="11"/>
      <c r="DO734" s="11"/>
      <c r="DP734" s="11"/>
      <c r="DQ734" s="11"/>
      <c r="DR734" s="11"/>
      <c r="DS734" s="11"/>
      <c r="DT734" s="11"/>
      <c r="DU734" s="11"/>
      <c r="DV734" s="11"/>
      <c r="DW734" s="11"/>
      <c r="DX734" s="11"/>
      <c r="DY734" s="11"/>
      <c r="DZ734" s="11"/>
      <c r="EA734" s="11"/>
      <c r="EB734" s="11"/>
      <c r="EC734" s="11"/>
      <c r="ED734" s="11"/>
      <c r="EE734" s="11"/>
      <c r="EF734" s="11"/>
      <c r="EG734" s="11"/>
      <c r="EH734" s="11"/>
      <c r="EI734" s="11"/>
      <c r="EJ734" s="11"/>
      <c r="EK734" s="11"/>
      <c r="EL734" s="11"/>
      <c r="EM734" s="11"/>
      <c r="EN734" s="11"/>
      <c r="EO734" s="11"/>
      <c r="EP734" s="11"/>
      <c r="EQ734" s="11"/>
      <c r="ER734" s="11"/>
      <c r="ES734" s="11"/>
      <c r="ET734" s="11"/>
      <c r="EU734" s="11"/>
      <c r="EV734" s="11"/>
      <c r="EW734" s="11"/>
      <c r="EX734" s="11"/>
      <c r="EY734" s="11"/>
      <c r="EZ734" s="11"/>
      <c r="FA734" s="11"/>
      <c r="FB734" s="11"/>
      <c r="FC734" s="11"/>
      <c r="FD734" s="11"/>
      <c r="FE734" s="11"/>
      <c r="FF734" s="11"/>
      <c r="FG734" s="11"/>
      <c r="FH734" s="39">
        <f t="shared" si="172"/>
        <v>2858651.32</v>
      </c>
      <c r="FI734" s="33">
        <f t="shared" si="173"/>
        <v>4</v>
      </c>
      <c r="FJ734" s="84">
        <f t="shared" si="174"/>
        <v>714662.83</v>
      </c>
    </row>
    <row r="735" spans="1:166" ht="27" x14ac:dyDescent="0.25">
      <c r="A735" s="79" t="e">
        <f>#REF!</f>
        <v>#REF!</v>
      </c>
      <c r="B735" s="75" t="e">
        <f>#REF!</f>
        <v>#REF!</v>
      </c>
      <c r="C735" s="75" t="e">
        <f>#REF!</f>
        <v>#REF!</v>
      </c>
      <c r="D735" s="75" t="e">
        <f>#REF!</f>
        <v>#REF!</v>
      </c>
      <c r="E735" s="30">
        <v>1</v>
      </c>
      <c r="F735" s="238">
        <v>0</v>
      </c>
      <c r="G735" s="241">
        <v>0</v>
      </c>
      <c r="H735" s="249">
        <v>0</v>
      </c>
      <c r="I735" s="249">
        <v>0</v>
      </c>
      <c r="J735" s="249">
        <v>0</v>
      </c>
      <c r="K735" s="249">
        <v>0</v>
      </c>
      <c r="L735" s="274"/>
      <c r="M735" s="274"/>
      <c r="N735" s="247">
        <v>338250</v>
      </c>
      <c r="O735" s="113">
        <f>+N735*0.19</f>
        <v>64267.5</v>
      </c>
      <c r="P735" s="113">
        <f>+O735+N735</f>
        <v>402517.5</v>
      </c>
      <c r="Q735" s="36" t="s">
        <v>127</v>
      </c>
      <c r="R735" s="132" t="s">
        <v>128</v>
      </c>
      <c r="S735" s="5" t="s">
        <v>216</v>
      </c>
      <c r="T735" s="118"/>
      <c r="U735" s="118"/>
      <c r="V735" s="118"/>
      <c r="W735" s="11"/>
      <c r="X735" s="11"/>
      <c r="Y735" s="11"/>
      <c r="Z735" s="118"/>
      <c r="AA735" s="118"/>
      <c r="AB735" s="118"/>
      <c r="AC735" s="52"/>
      <c r="AD735" s="52"/>
      <c r="AE735" s="11"/>
      <c r="AF735" s="118"/>
      <c r="AG735" s="118"/>
      <c r="AH735" s="118"/>
      <c r="AI735" s="11"/>
      <c r="AJ735" s="11"/>
      <c r="AK735" s="11"/>
      <c r="AL735" s="118">
        <v>210000</v>
      </c>
      <c r="AM735" s="113">
        <f>+AL735*0.19</f>
        <v>39900</v>
      </c>
      <c r="AN735" s="119">
        <f>+AL735+AM735</f>
        <v>249900</v>
      </c>
      <c r="AO735" s="76" t="s">
        <v>60</v>
      </c>
      <c r="AP735" s="11" t="s">
        <v>45</v>
      </c>
      <c r="AQ735" s="11"/>
      <c r="AR735" s="274"/>
      <c r="AS735" s="274"/>
      <c r="AT735" s="274"/>
      <c r="AU735" s="62"/>
      <c r="AV735" s="48"/>
      <c r="AW735" s="11"/>
      <c r="AX735" s="274"/>
      <c r="AY735" s="274"/>
      <c r="AZ735" s="274"/>
      <c r="BA735" s="11"/>
      <c r="BB735" s="11"/>
      <c r="BC735" s="11"/>
      <c r="BD735" s="274"/>
      <c r="BE735" s="274"/>
      <c r="BF735" s="274"/>
      <c r="BG735" s="11"/>
      <c r="BH735" s="11"/>
      <c r="BI735" s="11"/>
      <c r="BJ735" s="274"/>
      <c r="BK735" s="274"/>
      <c r="BL735" s="274"/>
      <c r="BM735" s="11"/>
      <c r="BN735" s="11"/>
      <c r="BO735" s="11"/>
      <c r="BP735" s="274"/>
      <c r="BQ735" s="11"/>
      <c r="BR735" s="11"/>
      <c r="BS735" s="11"/>
      <c r="BT735" s="11"/>
      <c r="BU735" s="11"/>
      <c r="BV735" s="268">
        <v>1112000</v>
      </c>
      <c r="BW735" s="144">
        <f t="shared" si="179"/>
        <v>211280</v>
      </c>
      <c r="BX735" s="113">
        <f t="shared" si="177"/>
        <v>1323280</v>
      </c>
      <c r="BY735" s="272" t="s">
        <v>231</v>
      </c>
      <c r="BZ735" s="272" t="s">
        <v>555</v>
      </c>
      <c r="CA735" s="11"/>
      <c r="CB735" s="274"/>
      <c r="CC735" s="274"/>
      <c r="CD735" s="274"/>
      <c r="CE735" s="11"/>
      <c r="CF735" s="11"/>
      <c r="CG735" s="11"/>
      <c r="CH735" s="263">
        <v>1167600</v>
      </c>
      <c r="CI735" s="265">
        <f t="shared" si="180"/>
        <v>221844</v>
      </c>
      <c r="CJ735" s="263">
        <f t="shared" si="178"/>
        <v>1389444</v>
      </c>
      <c r="CK735" s="272" t="s">
        <v>231</v>
      </c>
      <c r="CL735" s="272" t="s">
        <v>555</v>
      </c>
      <c r="CM735" s="11"/>
      <c r="CN735" s="274"/>
      <c r="CO735" s="274"/>
      <c r="CP735" s="274"/>
      <c r="CQ735" s="11"/>
      <c r="CR735" s="11"/>
      <c r="CS735" s="11"/>
      <c r="CT735" s="274"/>
      <c r="CU735" s="61"/>
      <c r="CV735" s="274"/>
      <c r="CW735" s="11"/>
      <c r="CX735" s="11"/>
      <c r="CY735" s="11"/>
      <c r="CZ735" s="118"/>
      <c r="DA735" s="144"/>
      <c r="DB735" s="118"/>
      <c r="DC735" s="33"/>
      <c r="DD735" s="11"/>
      <c r="DE735" s="11"/>
      <c r="DF735" s="11"/>
      <c r="DG735" s="11"/>
      <c r="DH735" s="11"/>
      <c r="DI735" s="11"/>
      <c r="DJ735" s="11"/>
      <c r="DK735" s="11"/>
      <c r="DL735" s="11"/>
      <c r="DM735" s="11"/>
      <c r="DN735" s="11"/>
      <c r="DO735" s="11"/>
      <c r="DP735" s="11"/>
      <c r="DQ735" s="11"/>
      <c r="DR735" s="11"/>
      <c r="DS735" s="11"/>
      <c r="DT735" s="11"/>
      <c r="DU735" s="11"/>
      <c r="DV735" s="11"/>
      <c r="DW735" s="11"/>
      <c r="DX735" s="11"/>
      <c r="DY735" s="11"/>
      <c r="DZ735" s="11"/>
      <c r="EA735" s="11"/>
      <c r="EB735" s="11"/>
      <c r="EC735" s="11"/>
      <c r="ED735" s="11"/>
      <c r="EE735" s="11"/>
      <c r="EF735" s="11"/>
      <c r="EG735" s="11"/>
      <c r="EH735" s="11"/>
      <c r="EI735" s="11"/>
      <c r="EJ735" s="11"/>
      <c r="EK735" s="11"/>
      <c r="EL735" s="11"/>
      <c r="EM735" s="11"/>
      <c r="EN735" s="11"/>
      <c r="EO735" s="11"/>
      <c r="EP735" s="11"/>
      <c r="EQ735" s="11"/>
      <c r="ER735" s="11"/>
      <c r="ES735" s="11"/>
      <c r="ET735" s="11"/>
      <c r="EU735" s="11"/>
      <c r="EV735" s="11"/>
      <c r="EW735" s="11"/>
      <c r="EX735" s="11"/>
      <c r="EY735" s="11"/>
      <c r="EZ735" s="11"/>
      <c r="FA735" s="11"/>
      <c r="FB735" s="11"/>
      <c r="FC735" s="11"/>
      <c r="FD735" s="11"/>
      <c r="FE735" s="11"/>
      <c r="FF735" s="11"/>
      <c r="FG735" s="11"/>
      <c r="FH735" s="39">
        <f t="shared" si="172"/>
        <v>3365141.5</v>
      </c>
      <c r="FI735" s="33">
        <f t="shared" si="173"/>
        <v>4</v>
      </c>
      <c r="FJ735" s="84">
        <f t="shared" si="174"/>
        <v>841285.375</v>
      </c>
    </row>
    <row r="736" spans="1:166" x14ac:dyDescent="0.25">
      <c r="A736" s="79" t="e">
        <f>#REF!</f>
        <v>#REF!</v>
      </c>
      <c r="B736" s="75" t="e">
        <f>#REF!</f>
        <v>#REF!</v>
      </c>
      <c r="C736" s="75" t="e">
        <f>#REF!</f>
        <v>#REF!</v>
      </c>
      <c r="D736" s="75" t="e">
        <f>#REF!</f>
        <v>#REF!</v>
      </c>
      <c r="E736" s="30">
        <v>1</v>
      </c>
      <c r="F736" s="238">
        <v>0</v>
      </c>
      <c r="G736" s="241">
        <v>0</v>
      </c>
      <c r="H736" s="249">
        <v>0</v>
      </c>
      <c r="I736" s="249">
        <v>0</v>
      </c>
      <c r="J736" s="249">
        <v>0</v>
      </c>
      <c r="K736" s="249">
        <v>0</v>
      </c>
      <c r="L736" s="274"/>
      <c r="M736" s="274"/>
      <c r="N736" s="246"/>
      <c r="O736" s="118"/>
      <c r="P736" s="118"/>
      <c r="Q736" s="52"/>
      <c r="R736" s="52"/>
      <c r="S736" s="5"/>
      <c r="T736" s="118"/>
      <c r="U736" s="118"/>
      <c r="V736" s="118"/>
      <c r="W736" s="11"/>
      <c r="X736" s="11"/>
      <c r="Y736" s="11"/>
      <c r="Z736" s="118"/>
      <c r="AA736" s="118"/>
      <c r="AB736" s="118"/>
      <c r="AC736" s="52"/>
      <c r="AD736" s="52"/>
      <c r="AE736" s="11"/>
      <c r="AF736" s="118"/>
      <c r="AG736" s="118"/>
      <c r="AH736" s="118"/>
      <c r="AI736" s="11"/>
      <c r="AJ736" s="11"/>
      <c r="AK736" s="11"/>
      <c r="AL736" s="118"/>
      <c r="AM736" s="118"/>
      <c r="AN736" s="118"/>
      <c r="AO736" s="76"/>
      <c r="AP736" s="11"/>
      <c r="AQ736" s="11"/>
      <c r="AR736" s="274"/>
      <c r="AS736" s="274"/>
      <c r="AT736" s="274"/>
      <c r="AU736" s="62"/>
      <c r="AV736" s="48"/>
      <c r="AW736" s="11"/>
      <c r="AX736" s="274"/>
      <c r="AY736" s="274"/>
      <c r="AZ736" s="274"/>
      <c r="BA736" s="11"/>
      <c r="BB736" s="11"/>
      <c r="BC736" s="11"/>
      <c r="BD736" s="274"/>
      <c r="BE736" s="274"/>
      <c r="BF736" s="274"/>
      <c r="BG736" s="11"/>
      <c r="BH736" s="11"/>
      <c r="BI736" s="11"/>
      <c r="BJ736" s="274"/>
      <c r="BK736" s="274"/>
      <c r="BL736" s="274"/>
      <c r="BM736" s="11"/>
      <c r="BN736" s="11"/>
      <c r="BO736" s="11"/>
      <c r="BP736" s="274"/>
      <c r="BQ736" s="11"/>
      <c r="BR736" s="11"/>
      <c r="BS736" s="11"/>
      <c r="BT736" s="11"/>
      <c r="BU736" s="11"/>
      <c r="BV736" s="210"/>
      <c r="BW736" s="144"/>
      <c r="BX736" s="113"/>
      <c r="BY736" s="273"/>
      <c r="BZ736" s="273"/>
      <c r="CA736" s="11"/>
      <c r="CB736" s="274"/>
      <c r="CC736" s="274"/>
      <c r="CD736" s="274"/>
      <c r="CE736" s="11"/>
      <c r="CF736" s="11"/>
      <c r="CG736" s="11"/>
      <c r="CH736" s="210"/>
      <c r="CI736" s="219"/>
      <c r="CJ736" s="210"/>
      <c r="CK736" s="273"/>
      <c r="CL736" s="273"/>
      <c r="CM736" s="11"/>
      <c r="CN736" s="274"/>
      <c r="CO736" s="274"/>
      <c r="CP736" s="274"/>
      <c r="CQ736" s="11"/>
      <c r="CR736" s="11"/>
      <c r="CS736" s="11"/>
      <c r="CT736" s="274"/>
      <c r="CU736" s="61"/>
      <c r="CV736" s="274"/>
      <c r="CW736" s="11"/>
      <c r="CX736" s="11"/>
      <c r="CY736" s="11"/>
      <c r="CZ736" s="118"/>
      <c r="DA736" s="144"/>
      <c r="DB736" s="118"/>
      <c r="DC736" s="33"/>
      <c r="DD736" s="11"/>
      <c r="DE736" s="11"/>
      <c r="DF736" s="11"/>
      <c r="DG736" s="11"/>
      <c r="DH736" s="11"/>
      <c r="DI736" s="11"/>
      <c r="DJ736" s="11"/>
      <c r="DK736" s="11"/>
      <c r="DL736" s="11"/>
      <c r="DM736" s="11"/>
      <c r="DN736" s="11"/>
      <c r="DO736" s="11"/>
      <c r="DP736" s="11"/>
      <c r="DQ736" s="11"/>
      <c r="DR736" s="11"/>
      <c r="DS736" s="11"/>
      <c r="DT736" s="11"/>
      <c r="DU736" s="11"/>
      <c r="DV736" s="11"/>
      <c r="DW736" s="11"/>
      <c r="DX736" s="11"/>
      <c r="DY736" s="11"/>
      <c r="DZ736" s="11"/>
      <c r="EA736" s="11"/>
      <c r="EB736" s="11"/>
      <c r="EC736" s="11"/>
      <c r="ED736" s="11"/>
      <c r="EE736" s="11"/>
      <c r="EF736" s="11"/>
      <c r="EG736" s="11"/>
      <c r="EH736" s="11"/>
      <c r="EI736" s="11"/>
      <c r="EJ736" s="11"/>
      <c r="EK736" s="11"/>
      <c r="EL736" s="11"/>
      <c r="EM736" s="11"/>
      <c r="EN736" s="11"/>
      <c r="EO736" s="11"/>
      <c r="EP736" s="11"/>
      <c r="EQ736" s="11"/>
      <c r="ER736" s="11"/>
      <c r="ES736" s="11"/>
      <c r="ET736" s="11"/>
      <c r="EU736" s="11"/>
      <c r="EV736" s="11"/>
      <c r="EW736" s="11"/>
      <c r="EX736" s="11"/>
      <c r="EY736" s="11"/>
      <c r="EZ736" s="11"/>
      <c r="FA736" s="11"/>
      <c r="FB736" s="11"/>
      <c r="FC736" s="11"/>
      <c r="FD736" s="11"/>
      <c r="FE736" s="11"/>
      <c r="FF736" s="11"/>
      <c r="FG736" s="11"/>
      <c r="FH736" s="39">
        <f t="shared" si="172"/>
        <v>0</v>
      </c>
      <c r="FI736" s="33">
        <f t="shared" si="173"/>
        <v>0</v>
      </c>
      <c r="FJ736" s="84" t="str">
        <f t="shared" si="174"/>
        <v xml:space="preserve"> </v>
      </c>
    </row>
    <row r="737" spans="1:166" ht="13.5" x14ac:dyDescent="0.25">
      <c r="A737" s="79" t="e">
        <f>#REF!</f>
        <v>#REF!</v>
      </c>
      <c r="B737" s="75" t="e">
        <f>#REF!</f>
        <v>#REF!</v>
      </c>
      <c r="C737" s="75" t="e">
        <f>#REF!</f>
        <v>#REF!</v>
      </c>
      <c r="D737" s="75" t="e">
        <f>#REF!</f>
        <v>#REF!</v>
      </c>
      <c r="E737" s="30">
        <v>1</v>
      </c>
      <c r="F737" s="238">
        <v>0</v>
      </c>
      <c r="G737" s="241">
        <v>0</v>
      </c>
      <c r="H737" s="249">
        <v>0</v>
      </c>
      <c r="I737" s="249">
        <v>0</v>
      </c>
      <c r="J737" s="249">
        <v>0</v>
      </c>
      <c r="K737" s="249">
        <v>0</v>
      </c>
      <c r="L737" s="274"/>
      <c r="M737" s="274"/>
      <c r="N737" s="246"/>
      <c r="O737" s="118"/>
      <c r="P737" s="118"/>
      <c r="Q737" s="52"/>
      <c r="R737" s="52"/>
      <c r="S737" s="5"/>
      <c r="T737" s="118"/>
      <c r="U737" s="118"/>
      <c r="V737" s="118"/>
      <c r="W737" s="11"/>
      <c r="X737" s="11"/>
      <c r="Y737" s="11"/>
      <c r="Z737" s="118"/>
      <c r="AA737" s="118"/>
      <c r="AB737" s="118"/>
      <c r="AC737" s="52"/>
      <c r="AD737" s="52"/>
      <c r="AE737" s="11"/>
      <c r="AF737" s="118"/>
      <c r="AG737" s="118"/>
      <c r="AH737" s="118"/>
      <c r="AI737" s="11"/>
      <c r="AJ737" s="11"/>
      <c r="AK737" s="11"/>
      <c r="AL737" s="118"/>
      <c r="AM737" s="118"/>
      <c r="AN737" s="118"/>
      <c r="AO737" s="76"/>
      <c r="AP737" s="11"/>
      <c r="AQ737" s="11"/>
      <c r="AR737" s="274"/>
      <c r="AS737" s="274"/>
      <c r="AT737" s="274"/>
      <c r="AU737" s="62"/>
      <c r="AV737" s="48"/>
      <c r="AW737" s="11"/>
      <c r="AX737" s="274"/>
      <c r="AY737" s="274"/>
      <c r="AZ737" s="274"/>
      <c r="BA737" s="11"/>
      <c r="BB737" s="11"/>
      <c r="BC737" s="11"/>
      <c r="BD737" s="274"/>
      <c r="BE737" s="274"/>
      <c r="BF737" s="274"/>
      <c r="BG737" s="11"/>
      <c r="BH737" s="11"/>
      <c r="BI737" s="11"/>
      <c r="BJ737" s="274"/>
      <c r="BK737" s="274"/>
      <c r="BL737" s="274"/>
      <c r="BM737" s="11"/>
      <c r="BN737" s="11"/>
      <c r="BO737" s="11"/>
      <c r="BP737" s="274"/>
      <c r="BQ737" s="11"/>
      <c r="BR737" s="11"/>
      <c r="BS737" s="11"/>
      <c r="BT737" s="11"/>
      <c r="BU737" s="11"/>
      <c r="BV737" s="263">
        <v>972000</v>
      </c>
      <c r="BW737" s="144">
        <f>BV737*19%</f>
        <v>184680</v>
      </c>
      <c r="BX737" s="113">
        <f>+BV737+BW737</f>
        <v>1156680</v>
      </c>
      <c r="BY737" s="272" t="s">
        <v>231</v>
      </c>
      <c r="BZ737" s="272" t="s">
        <v>556</v>
      </c>
      <c r="CA737" s="11"/>
      <c r="CB737" s="274"/>
      <c r="CC737" s="274"/>
      <c r="CD737" s="274"/>
      <c r="CE737" s="11"/>
      <c r="CF737" s="11"/>
      <c r="CG737" s="11"/>
      <c r="CH737" s="263">
        <v>1010880</v>
      </c>
      <c r="CI737" s="265">
        <f>+CH737*0.19</f>
        <v>192067.20000000001</v>
      </c>
      <c r="CJ737" s="263">
        <f>+CH737+CI737</f>
        <v>1202947.2</v>
      </c>
      <c r="CK737" s="272" t="s">
        <v>231</v>
      </c>
      <c r="CL737" s="272" t="s">
        <v>556</v>
      </c>
      <c r="CM737" s="11"/>
      <c r="CN737" s="274"/>
      <c r="CO737" s="274"/>
      <c r="CP737" s="274"/>
      <c r="CQ737" s="11"/>
      <c r="CR737" s="11"/>
      <c r="CS737" s="11"/>
      <c r="CT737" s="274"/>
      <c r="CU737" s="61"/>
      <c r="CV737" s="274"/>
      <c r="CW737" s="11"/>
      <c r="CX737" s="11"/>
      <c r="CY737" s="11"/>
      <c r="CZ737" s="118"/>
      <c r="DA737" s="144"/>
      <c r="DB737" s="118"/>
      <c r="DC737" s="33"/>
      <c r="DD737" s="11"/>
      <c r="DE737" s="11"/>
      <c r="DF737" s="11"/>
      <c r="DG737" s="11"/>
      <c r="DH737" s="11"/>
      <c r="DI737" s="11"/>
      <c r="DJ737" s="11"/>
      <c r="DK737" s="11"/>
      <c r="DL737" s="11"/>
      <c r="DM737" s="11"/>
      <c r="DN737" s="11"/>
      <c r="DO737" s="11"/>
      <c r="DP737" s="11"/>
      <c r="DQ737" s="11"/>
      <c r="DR737" s="11"/>
      <c r="DS737" s="11"/>
      <c r="DT737" s="11"/>
      <c r="DU737" s="11"/>
      <c r="DV737" s="11"/>
      <c r="DW737" s="11"/>
      <c r="DX737" s="11"/>
      <c r="DY737" s="11"/>
      <c r="DZ737" s="11"/>
      <c r="EA737" s="11"/>
      <c r="EB737" s="11"/>
      <c r="EC737" s="11"/>
      <c r="ED737" s="11"/>
      <c r="EE737" s="11"/>
      <c r="EF737" s="11"/>
      <c r="EG737" s="11"/>
      <c r="EH737" s="11"/>
      <c r="EI737" s="11"/>
      <c r="EJ737" s="11"/>
      <c r="EK737" s="11"/>
      <c r="EL737" s="11"/>
      <c r="EM737" s="11"/>
      <c r="EN737" s="11"/>
      <c r="EO737" s="11"/>
      <c r="EP737" s="11"/>
      <c r="EQ737" s="11"/>
      <c r="ER737" s="11"/>
      <c r="ES737" s="11"/>
      <c r="ET737" s="11"/>
      <c r="EU737" s="11"/>
      <c r="EV737" s="11"/>
      <c r="EW737" s="11"/>
      <c r="EX737" s="11"/>
      <c r="EY737" s="11"/>
      <c r="EZ737" s="11"/>
      <c r="FA737" s="11"/>
      <c r="FB737" s="11"/>
      <c r="FC737" s="11"/>
      <c r="FD737" s="11"/>
      <c r="FE737" s="11"/>
      <c r="FF737" s="11"/>
      <c r="FG737" s="11"/>
      <c r="FH737" s="39">
        <f t="shared" si="172"/>
        <v>2359627.2000000002</v>
      </c>
      <c r="FI737" s="33">
        <f t="shared" si="173"/>
        <v>2</v>
      </c>
      <c r="FJ737" s="84">
        <f t="shared" si="174"/>
        <v>1179813.6000000001</v>
      </c>
    </row>
    <row r="738" spans="1:166" x14ac:dyDescent="0.25">
      <c r="A738" s="79" t="e">
        <f>#REF!</f>
        <v>#REF!</v>
      </c>
      <c r="B738" s="75" t="e">
        <f>#REF!</f>
        <v>#REF!</v>
      </c>
      <c r="C738" s="75" t="e">
        <f>#REF!</f>
        <v>#REF!</v>
      </c>
      <c r="D738" s="75" t="e">
        <f>#REF!</f>
        <v>#REF!</v>
      </c>
      <c r="E738" s="30">
        <v>1</v>
      </c>
      <c r="F738" s="238">
        <v>0</v>
      </c>
      <c r="G738" s="241">
        <v>0</v>
      </c>
      <c r="H738" s="249">
        <v>0</v>
      </c>
      <c r="I738" s="249">
        <v>0</v>
      </c>
      <c r="J738" s="249">
        <v>0</v>
      </c>
      <c r="K738" s="249">
        <v>0</v>
      </c>
      <c r="L738" s="274"/>
      <c r="M738" s="274"/>
      <c r="N738" s="246"/>
      <c r="O738" s="118"/>
      <c r="P738" s="118"/>
      <c r="Q738" s="52"/>
      <c r="R738" s="52"/>
      <c r="S738" s="5"/>
      <c r="T738" s="118"/>
      <c r="U738" s="118"/>
      <c r="V738" s="118"/>
      <c r="W738" s="11"/>
      <c r="X738" s="11"/>
      <c r="Y738" s="11"/>
      <c r="Z738" s="118"/>
      <c r="AA738" s="118"/>
      <c r="AB738" s="118"/>
      <c r="AC738" s="52"/>
      <c r="AD738" s="52"/>
      <c r="AE738" s="11"/>
      <c r="AF738" s="118"/>
      <c r="AG738" s="118"/>
      <c r="AH738" s="118"/>
      <c r="AI738" s="11"/>
      <c r="AJ738" s="11"/>
      <c r="AK738" s="11"/>
      <c r="AL738" s="118"/>
      <c r="AM738" s="118"/>
      <c r="AN738" s="118"/>
      <c r="AO738" s="76"/>
      <c r="AP738" s="11"/>
      <c r="AQ738" s="11"/>
      <c r="AR738" s="274"/>
      <c r="AS738" s="274"/>
      <c r="AT738" s="274"/>
      <c r="AU738" s="62"/>
      <c r="AV738" s="48"/>
      <c r="AW738" s="11"/>
      <c r="AX738" s="274"/>
      <c r="AY738" s="274"/>
      <c r="AZ738" s="274"/>
      <c r="BA738" s="11"/>
      <c r="BB738" s="11"/>
      <c r="BC738" s="11"/>
      <c r="BD738" s="274"/>
      <c r="BE738" s="274"/>
      <c r="BF738" s="274"/>
      <c r="BG738" s="11"/>
      <c r="BH738" s="11"/>
      <c r="BI738" s="11"/>
      <c r="BJ738" s="274"/>
      <c r="BK738" s="274"/>
      <c r="BL738" s="274"/>
      <c r="BM738" s="11"/>
      <c r="BN738" s="11"/>
      <c r="BO738" s="11"/>
      <c r="BP738" s="274"/>
      <c r="BQ738" s="11"/>
      <c r="BR738" s="11"/>
      <c r="BS738" s="11"/>
      <c r="BT738" s="11"/>
      <c r="BU738" s="11"/>
      <c r="BV738" s="210"/>
      <c r="BW738" s="144"/>
      <c r="BX738" s="113"/>
      <c r="BY738" s="273"/>
      <c r="BZ738" s="273"/>
      <c r="CA738" s="11"/>
      <c r="CB738" s="274"/>
      <c r="CC738" s="274"/>
      <c r="CD738" s="274"/>
      <c r="CE738" s="11"/>
      <c r="CF738" s="11"/>
      <c r="CG738" s="11"/>
      <c r="CH738" s="210"/>
      <c r="CI738" s="219"/>
      <c r="CJ738" s="210"/>
      <c r="CK738" s="273"/>
      <c r="CL738" s="273"/>
      <c r="CM738" s="11"/>
      <c r="CN738" s="274"/>
      <c r="CO738" s="274"/>
      <c r="CP738" s="274"/>
      <c r="CQ738" s="11"/>
      <c r="CR738" s="11"/>
      <c r="CS738" s="11"/>
      <c r="CT738" s="274"/>
      <c r="CU738" s="61"/>
      <c r="CV738" s="274"/>
      <c r="CW738" s="11"/>
      <c r="CX738" s="11"/>
      <c r="CY738" s="11"/>
      <c r="CZ738" s="118"/>
      <c r="DA738" s="144"/>
      <c r="DB738" s="118"/>
      <c r="DC738" s="33"/>
      <c r="DD738" s="11"/>
      <c r="DE738" s="11"/>
      <c r="DF738" s="11"/>
      <c r="DG738" s="11"/>
      <c r="DH738" s="11"/>
      <c r="DI738" s="11"/>
      <c r="DJ738" s="11"/>
      <c r="DK738" s="11"/>
      <c r="DL738" s="11"/>
      <c r="DM738" s="11"/>
      <c r="DN738" s="11"/>
      <c r="DO738" s="11"/>
      <c r="DP738" s="11"/>
      <c r="DQ738" s="11"/>
      <c r="DR738" s="11"/>
      <c r="DS738" s="11"/>
      <c r="DT738" s="11"/>
      <c r="DU738" s="11"/>
      <c r="DV738" s="11"/>
      <c r="DW738" s="11"/>
      <c r="DX738" s="11"/>
      <c r="DY738" s="11"/>
      <c r="DZ738" s="11"/>
      <c r="EA738" s="11"/>
      <c r="EB738" s="11"/>
      <c r="EC738" s="11"/>
      <c r="ED738" s="11"/>
      <c r="EE738" s="11"/>
      <c r="EF738" s="11"/>
      <c r="EG738" s="11"/>
      <c r="EH738" s="11"/>
      <c r="EI738" s="11"/>
      <c r="EJ738" s="11"/>
      <c r="EK738" s="11"/>
      <c r="EL738" s="11"/>
      <c r="EM738" s="11"/>
      <c r="EN738" s="11"/>
      <c r="EO738" s="11"/>
      <c r="EP738" s="11"/>
      <c r="EQ738" s="11"/>
      <c r="ER738" s="11"/>
      <c r="ES738" s="11"/>
      <c r="ET738" s="11"/>
      <c r="EU738" s="11"/>
      <c r="EV738" s="11"/>
      <c r="EW738" s="11"/>
      <c r="EX738" s="11"/>
      <c r="EY738" s="11"/>
      <c r="EZ738" s="11"/>
      <c r="FA738" s="11"/>
      <c r="FB738" s="11"/>
      <c r="FC738" s="11"/>
      <c r="FD738" s="11"/>
      <c r="FE738" s="11"/>
      <c r="FF738" s="11"/>
      <c r="FG738" s="11"/>
      <c r="FH738" s="39">
        <f t="shared" si="172"/>
        <v>0</v>
      </c>
      <c r="FI738" s="33">
        <f t="shared" si="173"/>
        <v>0</v>
      </c>
      <c r="FJ738" s="84" t="str">
        <f t="shared" si="174"/>
        <v xml:space="preserve"> </v>
      </c>
    </row>
    <row r="739" spans="1:166" ht="13.5" x14ac:dyDescent="0.25">
      <c r="A739" s="79" t="e">
        <f>#REF!</f>
        <v>#REF!</v>
      </c>
      <c r="B739" s="75" t="e">
        <f>#REF!</f>
        <v>#REF!</v>
      </c>
      <c r="C739" s="75" t="e">
        <f>#REF!</f>
        <v>#REF!</v>
      </c>
      <c r="D739" s="75" t="e">
        <f>#REF!</f>
        <v>#REF!</v>
      </c>
      <c r="E739" s="30">
        <v>1</v>
      </c>
      <c r="F739" s="238">
        <v>0</v>
      </c>
      <c r="G739" s="241">
        <v>0</v>
      </c>
      <c r="H739" s="249">
        <v>0</v>
      </c>
      <c r="I739" s="249">
        <v>0</v>
      </c>
      <c r="J739" s="249">
        <v>0</v>
      </c>
      <c r="K739" s="249">
        <v>0</v>
      </c>
      <c r="L739" s="274"/>
      <c r="M739" s="274"/>
      <c r="N739" s="247">
        <v>482250</v>
      </c>
      <c r="O739" s="113">
        <f>+N739*0.19</f>
        <v>91627.5</v>
      </c>
      <c r="P739" s="113">
        <f>+O739+N739</f>
        <v>573877.5</v>
      </c>
      <c r="Q739" s="36" t="s">
        <v>127</v>
      </c>
      <c r="R739" s="132" t="s">
        <v>128</v>
      </c>
      <c r="S739" s="5" t="s">
        <v>216</v>
      </c>
      <c r="T739" s="118"/>
      <c r="U739" s="118"/>
      <c r="V739" s="118"/>
      <c r="W739" s="11"/>
      <c r="X739" s="11"/>
      <c r="Y739" s="11"/>
      <c r="Z739" s="118"/>
      <c r="AA739" s="118"/>
      <c r="AB739" s="118"/>
      <c r="AC739" s="52"/>
      <c r="AD739" s="52"/>
      <c r="AE739" s="11"/>
      <c r="AF739" s="118"/>
      <c r="AG739" s="118"/>
      <c r="AH739" s="118"/>
      <c r="AI739" s="11"/>
      <c r="AJ739" s="11"/>
      <c r="AK739" s="11"/>
      <c r="AL739" s="118">
        <v>398000</v>
      </c>
      <c r="AM739" s="113">
        <f>+AL739*0.19</f>
        <v>75620</v>
      </c>
      <c r="AN739" s="119">
        <f>+AL739+AM739</f>
        <v>473620</v>
      </c>
      <c r="AO739" s="76" t="s">
        <v>60</v>
      </c>
      <c r="AP739" s="11" t="s">
        <v>45</v>
      </c>
      <c r="AQ739" s="11"/>
      <c r="AR739" s="274"/>
      <c r="AS739" s="274"/>
      <c r="AT739" s="274"/>
      <c r="AU739" s="62"/>
      <c r="AV739" s="48"/>
      <c r="AW739" s="11"/>
      <c r="AX739" s="274"/>
      <c r="AY739" s="274"/>
      <c r="AZ739" s="274"/>
      <c r="BA739" s="11"/>
      <c r="BB739" s="11"/>
      <c r="BC739" s="11"/>
      <c r="BD739" s="274"/>
      <c r="BE739" s="274"/>
      <c r="BF739" s="274"/>
      <c r="BG739" s="11"/>
      <c r="BH739" s="11"/>
      <c r="BI739" s="11"/>
      <c r="BJ739" s="274"/>
      <c r="BK739" s="274"/>
      <c r="BL739" s="274"/>
      <c r="BM739" s="11"/>
      <c r="BN739" s="11"/>
      <c r="BO739" s="11"/>
      <c r="BP739" s="274"/>
      <c r="BQ739" s="11"/>
      <c r="BR739" s="11"/>
      <c r="BS739" s="11"/>
      <c r="BT739" s="11"/>
      <c r="BU739" s="11"/>
      <c r="BV739" s="263">
        <v>772100</v>
      </c>
      <c r="BW739" s="144">
        <f t="shared" ref="BW739:BW749" si="181">BV739*19%</f>
        <v>146699</v>
      </c>
      <c r="BX739" s="113">
        <f t="shared" ref="BX739:BX749" si="182">+BV739+BW739</f>
        <v>918799</v>
      </c>
      <c r="BY739" s="272" t="s">
        <v>231</v>
      </c>
      <c r="BZ739" s="272" t="s">
        <v>88</v>
      </c>
      <c r="CA739" s="11"/>
      <c r="CB739" s="274"/>
      <c r="CC739" s="274"/>
      <c r="CD739" s="274"/>
      <c r="CE739" s="11"/>
      <c r="CF739" s="11"/>
      <c r="CG739" s="11"/>
      <c r="CH739" s="263">
        <v>787542</v>
      </c>
      <c r="CI739" s="265">
        <f t="shared" ref="CI739:CI749" si="183">+CH739*0.19</f>
        <v>149632.98000000001</v>
      </c>
      <c r="CJ739" s="263">
        <f t="shared" ref="CJ739:CJ749" si="184">+CH739+CI739</f>
        <v>937174.98</v>
      </c>
      <c r="CK739" s="272" t="s">
        <v>231</v>
      </c>
      <c r="CL739" s="272" t="s">
        <v>88</v>
      </c>
      <c r="CM739" s="11"/>
      <c r="CN739" s="274"/>
      <c r="CO739" s="274"/>
      <c r="CP739" s="274"/>
      <c r="CQ739" s="11"/>
      <c r="CR739" s="11"/>
      <c r="CS739" s="11"/>
      <c r="CT739" s="274"/>
      <c r="CU739" s="61"/>
      <c r="CV739" s="274"/>
      <c r="CW739" s="11"/>
      <c r="CX739" s="11"/>
      <c r="CY739" s="11"/>
      <c r="CZ739" s="118">
        <v>446033</v>
      </c>
      <c r="DA739" s="144">
        <f>+CZ739*0.19</f>
        <v>84746.27</v>
      </c>
      <c r="DB739" s="118">
        <f>+CZ739+DA739</f>
        <v>530779.27</v>
      </c>
      <c r="DC739" s="33" t="s">
        <v>415</v>
      </c>
      <c r="DD739" s="11" t="s">
        <v>557</v>
      </c>
      <c r="DE739" s="11">
        <v>1054370500</v>
      </c>
      <c r="DF739" s="11"/>
      <c r="DG739" s="11"/>
      <c r="DH739" s="11"/>
      <c r="DI739" s="11"/>
      <c r="DJ739" s="11"/>
      <c r="DK739" s="11"/>
      <c r="DL739" s="11"/>
      <c r="DM739" s="11"/>
      <c r="DN739" s="11"/>
      <c r="DO739" s="11"/>
      <c r="DP739" s="11"/>
      <c r="DQ739" s="11"/>
      <c r="DR739" s="11"/>
      <c r="DS739" s="11"/>
      <c r="DT739" s="11"/>
      <c r="DU739" s="11"/>
      <c r="DV739" s="11"/>
      <c r="DW739" s="11"/>
      <c r="DX739" s="11"/>
      <c r="DY739" s="11"/>
      <c r="DZ739" s="11"/>
      <c r="EA739" s="11"/>
      <c r="EB739" s="11"/>
      <c r="EC739" s="11"/>
      <c r="ED739" s="11"/>
      <c r="EE739" s="11"/>
      <c r="EF739" s="11"/>
      <c r="EG739" s="11"/>
      <c r="EH739" s="11"/>
      <c r="EI739" s="11"/>
      <c r="EJ739" s="11"/>
      <c r="EK739" s="11"/>
      <c r="EL739" s="11"/>
      <c r="EM739" s="11"/>
      <c r="EN739" s="11"/>
      <c r="EO739" s="11"/>
      <c r="EP739" s="11"/>
      <c r="EQ739" s="11"/>
      <c r="ER739" s="11"/>
      <c r="ES739" s="11"/>
      <c r="ET739" s="11"/>
      <c r="EU739" s="11"/>
      <c r="EV739" s="11"/>
      <c r="EW739" s="11"/>
      <c r="EX739" s="11"/>
      <c r="EY739" s="11"/>
      <c r="EZ739" s="11"/>
      <c r="FA739" s="11"/>
      <c r="FB739" s="11"/>
      <c r="FC739" s="11"/>
      <c r="FD739" s="11"/>
      <c r="FE739" s="11"/>
      <c r="FF739" s="11"/>
      <c r="FG739" s="11"/>
      <c r="FH739" s="39">
        <f t="shared" si="172"/>
        <v>3434250.75</v>
      </c>
      <c r="FI739" s="33">
        <f t="shared" si="173"/>
        <v>5</v>
      </c>
      <c r="FJ739" s="84">
        <f t="shared" si="174"/>
        <v>686850.15</v>
      </c>
    </row>
    <row r="740" spans="1:166" ht="13.5" x14ac:dyDescent="0.25">
      <c r="A740" s="79" t="e">
        <f>#REF!</f>
        <v>#REF!</v>
      </c>
      <c r="B740" s="75" t="e">
        <f>#REF!</f>
        <v>#REF!</v>
      </c>
      <c r="C740" s="75" t="e">
        <f>#REF!</f>
        <v>#REF!</v>
      </c>
      <c r="D740" s="75" t="e">
        <f>#REF!</f>
        <v>#REF!</v>
      </c>
      <c r="E740" s="30">
        <v>1</v>
      </c>
      <c r="F740" s="238">
        <v>0</v>
      </c>
      <c r="G740" s="241">
        <v>0</v>
      </c>
      <c r="H740" s="249">
        <v>0</v>
      </c>
      <c r="I740" s="249">
        <v>0</v>
      </c>
      <c r="J740" s="249">
        <v>0</v>
      </c>
      <c r="K740" s="249">
        <v>0</v>
      </c>
      <c r="L740" s="274"/>
      <c r="M740" s="274"/>
      <c r="N740" s="247">
        <v>226300</v>
      </c>
      <c r="O740" s="113">
        <f>+N740*0.19</f>
        <v>42997</v>
      </c>
      <c r="P740" s="113">
        <f>+O740+N740</f>
        <v>269297</v>
      </c>
      <c r="Q740" s="36" t="s">
        <v>127</v>
      </c>
      <c r="R740" s="132" t="s">
        <v>128</v>
      </c>
      <c r="S740" s="5" t="s">
        <v>216</v>
      </c>
      <c r="T740" s="118"/>
      <c r="U740" s="118"/>
      <c r="V740" s="118"/>
      <c r="W740" s="11"/>
      <c r="X740" s="11"/>
      <c r="Y740" s="11"/>
      <c r="Z740" s="118"/>
      <c r="AA740" s="118"/>
      <c r="AB740" s="118"/>
      <c r="AC740" s="52"/>
      <c r="AD740" s="52"/>
      <c r="AE740" s="11"/>
      <c r="AF740" s="118"/>
      <c r="AG740" s="118"/>
      <c r="AH740" s="118"/>
      <c r="AI740" s="11"/>
      <c r="AJ740" s="11"/>
      <c r="AK740" s="11"/>
      <c r="AL740" s="118"/>
      <c r="AM740" s="118"/>
      <c r="AN740" s="118"/>
      <c r="AO740" s="76"/>
      <c r="AP740" s="11"/>
      <c r="AQ740" s="11"/>
      <c r="AR740" s="274"/>
      <c r="AS740" s="274"/>
      <c r="AT740" s="274"/>
      <c r="AU740" s="62"/>
      <c r="AV740" s="48"/>
      <c r="AW740" s="11"/>
      <c r="AX740" s="274"/>
      <c r="AY740" s="274"/>
      <c r="AZ740" s="274"/>
      <c r="BA740" s="11"/>
      <c r="BB740" s="11"/>
      <c r="BC740" s="11"/>
      <c r="BD740" s="274"/>
      <c r="BE740" s="274"/>
      <c r="BF740" s="274"/>
      <c r="BG740" s="11"/>
      <c r="BH740" s="11"/>
      <c r="BI740" s="11"/>
      <c r="BJ740" s="274"/>
      <c r="BK740" s="274"/>
      <c r="BL740" s="274"/>
      <c r="BM740" s="11"/>
      <c r="BN740" s="11"/>
      <c r="BO740" s="11"/>
      <c r="BP740" s="274"/>
      <c r="BQ740" s="11"/>
      <c r="BR740" s="11"/>
      <c r="BS740" s="11"/>
      <c r="BT740" s="11"/>
      <c r="BU740" s="11"/>
      <c r="BV740" s="263">
        <v>688200</v>
      </c>
      <c r="BW740" s="144">
        <f t="shared" si="181"/>
        <v>130758</v>
      </c>
      <c r="BX740" s="113">
        <f t="shared" si="182"/>
        <v>818958</v>
      </c>
      <c r="BY740" s="272" t="s">
        <v>231</v>
      </c>
      <c r="BZ740" s="272" t="s">
        <v>131</v>
      </c>
      <c r="CA740" s="11"/>
      <c r="CB740" s="274"/>
      <c r="CC740" s="274"/>
      <c r="CD740" s="274"/>
      <c r="CE740" s="11"/>
      <c r="CF740" s="11"/>
      <c r="CG740" s="11"/>
      <c r="CH740" s="263">
        <v>729492</v>
      </c>
      <c r="CI740" s="265">
        <f t="shared" si="183"/>
        <v>138603.48000000001</v>
      </c>
      <c r="CJ740" s="263">
        <f t="shared" si="184"/>
        <v>868095.48</v>
      </c>
      <c r="CK740" s="272" t="s">
        <v>231</v>
      </c>
      <c r="CL740" s="272" t="s">
        <v>131</v>
      </c>
      <c r="CM740" s="11"/>
      <c r="CN740" s="274"/>
      <c r="CO740" s="274"/>
      <c r="CP740" s="274"/>
      <c r="CQ740" s="11"/>
      <c r="CR740" s="11"/>
      <c r="CS740" s="11"/>
      <c r="CT740" s="274"/>
      <c r="CU740" s="61"/>
      <c r="CV740" s="274"/>
      <c r="CW740" s="11"/>
      <c r="CX740" s="11"/>
      <c r="CY740" s="11"/>
      <c r="CZ740" s="118"/>
      <c r="DA740" s="144"/>
      <c r="DB740" s="118"/>
      <c r="DC740" s="33"/>
      <c r="DD740" s="11"/>
      <c r="DE740" s="11"/>
      <c r="DF740" s="11"/>
      <c r="DG740" s="11"/>
      <c r="DH740" s="11"/>
      <c r="DI740" s="11"/>
      <c r="DJ740" s="11"/>
      <c r="DK740" s="11"/>
      <c r="DL740" s="11"/>
      <c r="DM740" s="11"/>
      <c r="DN740" s="11"/>
      <c r="DO740" s="11"/>
      <c r="DP740" s="11"/>
      <c r="DQ740" s="11"/>
      <c r="DR740" s="11"/>
      <c r="DS740" s="11"/>
      <c r="DT740" s="11"/>
      <c r="DU740" s="11"/>
      <c r="DV740" s="11"/>
      <c r="DW740" s="11"/>
      <c r="DX740" s="11"/>
      <c r="DY740" s="11"/>
      <c r="DZ740" s="11"/>
      <c r="EA740" s="11"/>
      <c r="EB740" s="11"/>
      <c r="EC740" s="11"/>
      <c r="ED740" s="11"/>
      <c r="EE740" s="11"/>
      <c r="EF740" s="11"/>
      <c r="EG740" s="11"/>
      <c r="EH740" s="11"/>
      <c r="EI740" s="11"/>
      <c r="EJ740" s="11"/>
      <c r="EK740" s="11"/>
      <c r="EL740" s="11"/>
      <c r="EM740" s="11"/>
      <c r="EN740" s="11"/>
      <c r="EO740" s="11"/>
      <c r="EP740" s="11"/>
      <c r="EQ740" s="11"/>
      <c r="ER740" s="11"/>
      <c r="ES740" s="11"/>
      <c r="ET740" s="11"/>
      <c r="EU740" s="11"/>
      <c r="EV740" s="11"/>
      <c r="EW740" s="11"/>
      <c r="EX740" s="11"/>
      <c r="EY740" s="11"/>
      <c r="EZ740" s="11"/>
      <c r="FA740" s="11"/>
      <c r="FB740" s="11"/>
      <c r="FC740" s="11"/>
      <c r="FD740" s="11"/>
      <c r="FE740" s="11"/>
      <c r="FF740" s="11"/>
      <c r="FG740" s="11"/>
      <c r="FH740" s="39">
        <f t="shared" si="172"/>
        <v>1956350.48</v>
      </c>
      <c r="FI740" s="33">
        <f t="shared" si="173"/>
        <v>3</v>
      </c>
      <c r="FJ740" s="84">
        <f t="shared" si="174"/>
        <v>652116.82666666666</v>
      </c>
    </row>
    <row r="741" spans="1:166" ht="13.5" x14ac:dyDescent="0.25">
      <c r="A741" s="79" t="e">
        <f>#REF!</f>
        <v>#REF!</v>
      </c>
      <c r="B741" s="75" t="e">
        <f>#REF!</f>
        <v>#REF!</v>
      </c>
      <c r="C741" s="75" t="e">
        <f>#REF!</f>
        <v>#REF!</v>
      </c>
      <c r="D741" s="75" t="e">
        <f>#REF!</f>
        <v>#REF!</v>
      </c>
      <c r="E741" s="30">
        <v>1</v>
      </c>
      <c r="F741" s="238">
        <v>0</v>
      </c>
      <c r="G741" s="241">
        <v>0</v>
      </c>
      <c r="H741" s="249">
        <v>0</v>
      </c>
      <c r="I741" s="249">
        <v>0</v>
      </c>
      <c r="J741" s="249">
        <v>0</v>
      </c>
      <c r="K741" s="249">
        <v>0</v>
      </c>
      <c r="L741" s="274"/>
      <c r="M741" s="274"/>
      <c r="N741" s="247">
        <v>374250</v>
      </c>
      <c r="O741" s="113">
        <f>+N741*0.19</f>
        <v>71107.5</v>
      </c>
      <c r="P741" s="113">
        <f>+O741+N741</f>
        <v>445357.5</v>
      </c>
      <c r="Q741" s="36" t="s">
        <v>127</v>
      </c>
      <c r="R741" s="132" t="s">
        <v>128</v>
      </c>
      <c r="S741" s="5" t="s">
        <v>216</v>
      </c>
      <c r="T741" s="118"/>
      <c r="U741" s="118"/>
      <c r="V741" s="118"/>
      <c r="W741" s="11"/>
      <c r="X741" s="11"/>
      <c r="Y741" s="11"/>
      <c r="Z741" s="118"/>
      <c r="AA741" s="118"/>
      <c r="AB741" s="118"/>
      <c r="AC741" s="52"/>
      <c r="AD741" s="52"/>
      <c r="AE741" s="11"/>
      <c r="AF741" s="118"/>
      <c r="AG741" s="118"/>
      <c r="AH741" s="118"/>
      <c r="AI741" s="11"/>
      <c r="AJ741" s="11"/>
      <c r="AK741" s="11"/>
      <c r="AL741" s="118"/>
      <c r="AM741" s="118"/>
      <c r="AN741" s="118"/>
      <c r="AO741" s="76"/>
      <c r="AP741" s="11"/>
      <c r="AQ741" s="11"/>
      <c r="AR741" s="274"/>
      <c r="AS741" s="274"/>
      <c r="AT741" s="274"/>
      <c r="AU741" s="62"/>
      <c r="AV741" s="48"/>
      <c r="AW741" s="11"/>
      <c r="AX741" s="274"/>
      <c r="AY741" s="274"/>
      <c r="AZ741" s="274"/>
      <c r="BA741" s="11"/>
      <c r="BB741" s="11"/>
      <c r="BC741" s="11"/>
      <c r="BD741" s="274"/>
      <c r="BE741" s="274"/>
      <c r="BF741" s="274"/>
      <c r="BG741" s="11"/>
      <c r="BH741" s="11"/>
      <c r="BI741" s="11"/>
      <c r="BJ741" s="274"/>
      <c r="BK741" s="274"/>
      <c r="BL741" s="274"/>
      <c r="BM741" s="11"/>
      <c r="BN741" s="11"/>
      <c r="BO741" s="11"/>
      <c r="BP741" s="274"/>
      <c r="BQ741" s="11"/>
      <c r="BR741" s="11"/>
      <c r="BS741" s="11"/>
      <c r="BT741" s="11"/>
      <c r="BU741" s="11"/>
      <c r="BV741" s="263">
        <v>564200</v>
      </c>
      <c r="BW741" s="144">
        <f t="shared" si="181"/>
        <v>107198</v>
      </c>
      <c r="BX741" s="113">
        <f t="shared" si="182"/>
        <v>671398</v>
      </c>
      <c r="BY741" s="272" t="s">
        <v>231</v>
      </c>
      <c r="BZ741" s="272" t="s">
        <v>88</v>
      </c>
      <c r="CA741" s="11"/>
      <c r="CB741" s="274"/>
      <c r="CC741" s="274"/>
      <c r="CD741" s="274"/>
      <c r="CE741" s="11"/>
      <c r="CF741" s="11"/>
      <c r="CG741" s="11"/>
      <c r="CH741" s="263">
        <v>586768</v>
      </c>
      <c r="CI741" s="265">
        <f t="shared" si="183"/>
        <v>111485.92</v>
      </c>
      <c r="CJ741" s="263">
        <f t="shared" si="184"/>
        <v>698253.92</v>
      </c>
      <c r="CK741" s="272" t="s">
        <v>231</v>
      </c>
      <c r="CL741" s="272" t="s">
        <v>88</v>
      </c>
      <c r="CM741" s="11"/>
      <c r="CN741" s="274"/>
      <c r="CO741" s="274"/>
      <c r="CP741" s="274"/>
      <c r="CQ741" s="11"/>
      <c r="CR741" s="11"/>
      <c r="CS741" s="11"/>
      <c r="CT741" s="274"/>
      <c r="CU741" s="61"/>
      <c r="CV741" s="274"/>
      <c r="CW741" s="11"/>
      <c r="CX741" s="11"/>
      <c r="CY741" s="11"/>
      <c r="CZ741" s="118">
        <v>293946</v>
      </c>
      <c r="DA741" s="144">
        <f>+CZ741*0.19</f>
        <v>55849.74</v>
      </c>
      <c r="DB741" s="118">
        <f>+CZ741+DA741</f>
        <v>349795.74</v>
      </c>
      <c r="DC741" s="33" t="s">
        <v>415</v>
      </c>
      <c r="DD741" s="11" t="s">
        <v>557</v>
      </c>
      <c r="DE741" s="11"/>
      <c r="DF741" s="11"/>
      <c r="DG741" s="11"/>
      <c r="DH741" s="11"/>
      <c r="DI741" s="11"/>
      <c r="DJ741" s="11"/>
      <c r="DK741" s="11"/>
      <c r="DL741" s="11"/>
      <c r="DM741" s="11"/>
      <c r="DN741" s="11"/>
      <c r="DO741" s="11"/>
      <c r="DP741" s="11"/>
      <c r="DQ741" s="11"/>
      <c r="DR741" s="11"/>
      <c r="DS741" s="11"/>
      <c r="DT741" s="11"/>
      <c r="DU741" s="11"/>
      <c r="DV741" s="11"/>
      <c r="DW741" s="11"/>
      <c r="DX741" s="11"/>
      <c r="DY741" s="11"/>
      <c r="DZ741" s="11"/>
      <c r="EA741" s="11"/>
      <c r="EB741" s="11"/>
      <c r="EC741" s="11"/>
      <c r="ED741" s="11"/>
      <c r="EE741" s="11"/>
      <c r="EF741" s="11"/>
      <c r="EG741" s="11"/>
      <c r="EH741" s="11"/>
      <c r="EI741" s="11"/>
      <c r="EJ741" s="11"/>
      <c r="EK741" s="11"/>
      <c r="EL741" s="11"/>
      <c r="EM741" s="11"/>
      <c r="EN741" s="11"/>
      <c r="EO741" s="11"/>
      <c r="EP741" s="11"/>
      <c r="EQ741" s="11"/>
      <c r="ER741" s="11"/>
      <c r="ES741" s="11"/>
      <c r="ET741" s="11"/>
      <c r="EU741" s="11"/>
      <c r="EV741" s="11"/>
      <c r="EW741" s="11"/>
      <c r="EX741" s="11"/>
      <c r="EY741" s="11"/>
      <c r="EZ741" s="11"/>
      <c r="FA741" s="11"/>
      <c r="FB741" s="11"/>
      <c r="FC741" s="11"/>
      <c r="FD741" s="11"/>
      <c r="FE741" s="11"/>
      <c r="FF741" s="11"/>
      <c r="FG741" s="11"/>
      <c r="FH741" s="39">
        <f t="shared" si="172"/>
        <v>2164805.16</v>
      </c>
      <c r="FI741" s="33">
        <f t="shared" si="173"/>
        <v>4</v>
      </c>
      <c r="FJ741" s="84">
        <f t="shared" si="174"/>
        <v>541201.29</v>
      </c>
    </row>
    <row r="742" spans="1:166" ht="13.5" x14ac:dyDescent="0.25">
      <c r="A742" s="79" t="e">
        <f>#REF!</f>
        <v>#REF!</v>
      </c>
      <c r="B742" s="75" t="e">
        <f>#REF!</f>
        <v>#REF!</v>
      </c>
      <c r="C742" s="75" t="e">
        <f>#REF!</f>
        <v>#REF!</v>
      </c>
      <c r="D742" s="75" t="e">
        <f>#REF!</f>
        <v>#REF!</v>
      </c>
      <c r="E742" s="30">
        <v>1</v>
      </c>
      <c r="F742" s="238">
        <v>0</v>
      </c>
      <c r="G742" s="241">
        <v>0</v>
      </c>
      <c r="H742" s="249">
        <v>0</v>
      </c>
      <c r="I742" s="249">
        <v>0</v>
      </c>
      <c r="J742" s="249">
        <v>0</v>
      </c>
      <c r="K742" s="249">
        <v>0</v>
      </c>
      <c r="L742" s="274"/>
      <c r="M742" s="274"/>
      <c r="N742" s="247">
        <v>342000</v>
      </c>
      <c r="O742" s="113">
        <f>+N742*0.19</f>
        <v>64980</v>
      </c>
      <c r="P742" s="113">
        <f>+O742+N742</f>
        <v>406980</v>
      </c>
      <c r="Q742" s="36" t="s">
        <v>127</v>
      </c>
      <c r="R742" s="132" t="s">
        <v>128</v>
      </c>
      <c r="S742" s="5" t="s">
        <v>216</v>
      </c>
      <c r="T742" s="118"/>
      <c r="U742" s="118"/>
      <c r="V742" s="118"/>
      <c r="W742" s="11"/>
      <c r="X742" s="11"/>
      <c r="Y742" s="11"/>
      <c r="Z742" s="118"/>
      <c r="AA742" s="118"/>
      <c r="AB742" s="118"/>
      <c r="AC742" s="52"/>
      <c r="AD742" s="52"/>
      <c r="AE742" s="11"/>
      <c r="AF742" s="118"/>
      <c r="AG742" s="118"/>
      <c r="AH742" s="118"/>
      <c r="AI742" s="11"/>
      <c r="AJ742" s="11"/>
      <c r="AK742" s="11"/>
      <c r="AL742" s="118"/>
      <c r="AM742" s="118"/>
      <c r="AN742" s="118"/>
      <c r="AO742" s="76"/>
      <c r="AP742" s="11"/>
      <c r="AQ742" s="11"/>
      <c r="AR742" s="274"/>
      <c r="AS742" s="274"/>
      <c r="AT742" s="274"/>
      <c r="AU742" s="62"/>
      <c r="AV742" s="48"/>
      <c r="AW742" s="11"/>
      <c r="AX742" s="274"/>
      <c r="AY742" s="274"/>
      <c r="AZ742" s="274"/>
      <c r="BA742" s="11"/>
      <c r="BB742" s="11"/>
      <c r="BC742" s="11"/>
      <c r="BD742" s="274"/>
      <c r="BE742" s="274"/>
      <c r="BF742" s="274"/>
      <c r="BG742" s="11"/>
      <c r="BH742" s="11"/>
      <c r="BI742" s="11"/>
      <c r="BJ742" s="274"/>
      <c r="BK742" s="274"/>
      <c r="BL742" s="274"/>
      <c r="BM742" s="11"/>
      <c r="BN742" s="11"/>
      <c r="BO742" s="11"/>
      <c r="BP742" s="274"/>
      <c r="BQ742" s="11"/>
      <c r="BR742" s="11"/>
      <c r="BS742" s="11"/>
      <c r="BT742" s="11"/>
      <c r="BU742" s="11"/>
      <c r="BV742" s="263">
        <v>558200</v>
      </c>
      <c r="BW742" s="144">
        <f t="shared" si="181"/>
        <v>106058</v>
      </c>
      <c r="BX742" s="113">
        <f t="shared" si="182"/>
        <v>664258</v>
      </c>
      <c r="BY742" s="272" t="s">
        <v>231</v>
      </c>
      <c r="BZ742" s="272" t="s">
        <v>88</v>
      </c>
      <c r="CA742" s="11"/>
      <c r="CB742" s="274"/>
      <c r="CC742" s="274"/>
      <c r="CD742" s="274"/>
      <c r="CE742" s="11"/>
      <c r="CF742" s="11"/>
      <c r="CG742" s="11"/>
      <c r="CH742" s="263">
        <v>574946</v>
      </c>
      <c r="CI742" s="265">
        <f t="shared" si="183"/>
        <v>109239.74</v>
      </c>
      <c r="CJ742" s="263">
        <f t="shared" si="184"/>
        <v>684185.74</v>
      </c>
      <c r="CK742" s="272" t="s">
        <v>231</v>
      </c>
      <c r="CL742" s="272" t="s">
        <v>88</v>
      </c>
      <c r="CM742" s="11"/>
      <c r="CN742" s="274"/>
      <c r="CO742" s="274"/>
      <c r="CP742" s="274"/>
      <c r="CQ742" s="11"/>
      <c r="CR742" s="11"/>
      <c r="CS742" s="11"/>
      <c r="CT742" s="274"/>
      <c r="CU742" s="61"/>
      <c r="CV742" s="274"/>
      <c r="CW742" s="11"/>
      <c r="CX742" s="11"/>
      <c r="CY742" s="11"/>
      <c r="CZ742" s="118">
        <v>262222</v>
      </c>
      <c r="DA742" s="144">
        <f>+CZ742*0.19</f>
        <v>49822.18</v>
      </c>
      <c r="DB742" s="118">
        <f>+CZ742+DA742</f>
        <v>312044.18</v>
      </c>
      <c r="DC742" s="33" t="s">
        <v>76</v>
      </c>
      <c r="DD742" s="11" t="s">
        <v>58</v>
      </c>
      <c r="DE742" s="11">
        <v>1054590500</v>
      </c>
      <c r="DF742" s="11"/>
      <c r="DG742" s="11"/>
      <c r="DH742" s="11"/>
      <c r="DI742" s="11"/>
      <c r="DJ742" s="11"/>
      <c r="DK742" s="11"/>
      <c r="DL742" s="11"/>
      <c r="DM742" s="11"/>
      <c r="DN742" s="11"/>
      <c r="DO742" s="11"/>
      <c r="DP742" s="11"/>
      <c r="DQ742" s="11"/>
      <c r="DR742" s="11"/>
      <c r="DS742" s="11"/>
      <c r="DT742" s="11"/>
      <c r="DU742" s="11"/>
      <c r="DV742" s="11"/>
      <c r="DW742" s="11"/>
      <c r="DX742" s="11"/>
      <c r="DY742" s="11"/>
      <c r="DZ742" s="11"/>
      <c r="EA742" s="11"/>
      <c r="EB742" s="11"/>
      <c r="EC742" s="11"/>
      <c r="ED742" s="11"/>
      <c r="EE742" s="11"/>
      <c r="EF742" s="11"/>
      <c r="EG742" s="11"/>
      <c r="EH742" s="11"/>
      <c r="EI742" s="11"/>
      <c r="EJ742" s="11"/>
      <c r="EK742" s="11"/>
      <c r="EL742" s="11"/>
      <c r="EM742" s="11"/>
      <c r="EN742" s="11"/>
      <c r="EO742" s="11"/>
      <c r="EP742" s="11"/>
      <c r="EQ742" s="11"/>
      <c r="ER742" s="11"/>
      <c r="ES742" s="11"/>
      <c r="ET742" s="11"/>
      <c r="EU742" s="11"/>
      <c r="EV742" s="11"/>
      <c r="EW742" s="11"/>
      <c r="EX742" s="11"/>
      <c r="EY742" s="11"/>
      <c r="EZ742" s="11"/>
      <c r="FA742" s="11"/>
      <c r="FB742" s="11"/>
      <c r="FC742" s="11"/>
      <c r="FD742" s="11"/>
      <c r="FE742" s="11"/>
      <c r="FF742" s="11"/>
      <c r="FG742" s="11"/>
      <c r="FH742" s="39">
        <f t="shared" si="172"/>
        <v>2067467.92</v>
      </c>
      <c r="FI742" s="33">
        <f t="shared" si="173"/>
        <v>4</v>
      </c>
      <c r="FJ742" s="84">
        <f t="shared" si="174"/>
        <v>516866.98</v>
      </c>
    </row>
    <row r="743" spans="1:166" ht="27" x14ac:dyDescent="0.25">
      <c r="A743" s="79" t="e">
        <f>#REF!</f>
        <v>#REF!</v>
      </c>
      <c r="B743" s="75" t="e">
        <f>#REF!</f>
        <v>#REF!</v>
      </c>
      <c r="C743" s="75" t="e">
        <f>#REF!</f>
        <v>#REF!</v>
      </c>
      <c r="D743" s="75" t="e">
        <f>#REF!</f>
        <v>#REF!</v>
      </c>
      <c r="E743" s="30">
        <v>1</v>
      </c>
      <c r="F743" s="238">
        <v>0</v>
      </c>
      <c r="G743" s="241">
        <v>0</v>
      </c>
      <c r="H743" s="249">
        <v>0</v>
      </c>
      <c r="I743" s="249">
        <v>0</v>
      </c>
      <c r="J743" s="249">
        <v>0</v>
      </c>
      <c r="K743" s="249">
        <v>0</v>
      </c>
      <c r="L743" s="274"/>
      <c r="M743" s="274"/>
      <c r="N743" s="247"/>
      <c r="O743" s="113"/>
      <c r="P743" s="113"/>
      <c r="Q743" s="36"/>
      <c r="R743" s="132"/>
      <c r="S743" s="5"/>
      <c r="T743" s="118"/>
      <c r="U743" s="118"/>
      <c r="V743" s="118"/>
      <c r="W743" s="11"/>
      <c r="X743" s="11"/>
      <c r="Y743" s="11"/>
      <c r="Z743" s="118"/>
      <c r="AA743" s="118"/>
      <c r="AB743" s="118"/>
      <c r="AC743" s="52"/>
      <c r="AD743" s="52"/>
      <c r="AE743" s="11"/>
      <c r="AF743" s="118"/>
      <c r="AG743" s="118"/>
      <c r="AH743" s="118"/>
      <c r="AI743" s="11"/>
      <c r="AJ743" s="11"/>
      <c r="AK743" s="11"/>
      <c r="AL743" s="118"/>
      <c r="AM743" s="118"/>
      <c r="AN743" s="118"/>
      <c r="AO743" s="76"/>
      <c r="AP743" s="11"/>
      <c r="AQ743" s="11"/>
      <c r="AR743" s="274"/>
      <c r="AS743" s="274"/>
      <c r="AT743" s="274"/>
      <c r="AU743" s="62"/>
      <c r="AV743" s="48"/>
      <c r="AW743" s="11"/>
      <c r="AX743" s="274"/>
      <c r="AY743" s="274"/>
      <c r="AZ743" s="274"/>
      <c r="BA743" s="11"/>
      <c r="BB743" s="11"/>
      <c r="BC743" s="11"/>
      <c r="BD743" s="274"/>
      <c r="BE743" s="274"/>
      <c r="BF743" s="274"/>
      <c r="BG743" s="11"/>
      <c r="BH743" s="11"/>
      <c r="BI743" s="11"/>
      <c r="BJ743" s="274"/>
      <c r="BK743" s="274"/>
      <c r="BL743" s="274"/>
      <c r="BM743" s="11"/>
      <c r="BN743" s="11"/>
      <c r="BO743" s="11"/>
      <c r="BP743" s="274"/>
      <c r="BQ743" s="11"/>
      <c r="BR743" s="11"/>
      <c r="BS743" s="11"/>
      <c r="BT743" s="11"/>
      <c r="BU743" s="11"/>
      <c r="BV743" s="268">
        <f>5520000/2</f>
        <v>2760000</v>
      </c>
      <c r="BW743" s="144">
        <f t="shared" si="181"/>
        <v>524400</v>
      </c>
      <c r="BX743" s="113">
        <f t="shared" si="182"/>
        <v>3284400</v>
      </c>
      <c r="BY743" s="272" t="s">
        <v>231</v>
      </c>
      <c r="BZ743" s="272" t="s">
        <v>477</v>
      </c>
      <c r="CA743" s="11"/>
      <c r="CB743" s="274"/>
      <c r="CC743" s="274"/>
      <c r="CD743" s="274"/>
      <c r="CE743" s="11"/>
      <c r="CF743" s="11"/>
      <c r="CG743" s="11"/>
      <c r="CH743" s="268">
        <f>5851200/2</f>
        <v>2925600</v>
      </c>
      <c r="CI743" s="265">
        <f t="shared" si="183"/>
        <v>555864</v>
      </c>
      <c r="CJ743" s="263">
        <f t="shared" si="184"/>
        <v>3481464</v>
      </c>
      <c r="CK743" s="272" t="s">
        <v>231</v>
      </c>
      <c r="CL743" s="272" t="s">
        <v>477</v>
      </c>
      <c r="CM743" s="11"/>
      <c r="CN743" s="274"/>
      <c r="CO743" s="274"/>
      <c r="CP743" s="274"/>
      <c r="CQ743" s="11"/>
      <c r="CR743" s="11"/>
      <c r="CS743" s="11"/>
      <c r="CT743" s="274"/>
      <c r="CU743" s="61"/>
      <c r="CV743" s="274"/>
      <c r="CW743" s="11"/>
      <c r="CX743" s="11"/>
      <c r="CY743" s="11"/>
      <c r="CZ743" s="118"/>
      <c r="DA743" s="144"/>
      <c r="DB743" s="118"/>
      <c r="DC743" s="33"/>
      <c r="DD743" s="11"/>
      <c r="DE743" s="11"/>
      <c r="DF743" s="11"/>
      <c r="DG743" s="11"/>
      <c r="DH743" s="11"/>
      <c r="DI743" s="11"/>
      <c r="DJ743" s="11"/>
      <c r="DK743" s="11"/>
      <c r="DL743" s="11"/>
      <c r="DM743" s="11"/>
      <c r="DN743" s="11"/>
      <c r="DO743" s="11"/>
      <c r="DP743" s="11"/>
      <c r="DQ743" s="11"/>
      <c r="DR743" s="11"/>
      <c r="DS743" s="11"/>
      <c r="DT743" s="11"/>
      <c r="DU743" s="11"/>
      <c r="DV743" s="11"/>
      <c r="DW743" s="11"/>
      <c r="DX743" s="11"/>
      <c r="DY743" s="11"/>
      <c r="DZ743" s="11"/>
      <c r="EA743" s="11"/>
      <c r="EB743" s="11"/>
      <c r="EC743" s="11"/>
      <c r="ED743" s="11"/>
      <c r="EE743" s="11"/>
      <c r="EF743" s="11"/>
      <c r="EG743" s="11"/>
      <c r="EH743" s="11"/>
      <c r="EI743" s="11"/>
      <c r="EJ743" s="11"/>
      <c r="EK743" s="11"/>
      <c r="EL743" s="11"/>
      <c r="EM743" s="11"/>
      <c r="EN743" s="11"/>
      <c r="EO743" s="11"/>
      <c r="EP743" s="11"/>
      <c r="EQ743" s="11"/>
      <c r="ER743" s="11"/>
      <c r="ES743" s="11"/>
      <c r="ET743" s="11"/>
      <c r="EU743" s="11"/>
      <c r="EV743" s="11"/>
      <c r="EW743" s="11"/>
      <c r="EX743" s="11"/>
      <c r="EY743" s="11"/>
      <c r="EZ743" s="11"/>
      <c r="FA743" s="11"/>
      <c r="FB743" s="11"/>
      <c r="FC743" s="11"/>
      <c r="FD743" s="11"/>
      <c r="FE743" s="11"/>
      <c r="FF743" s="11"/>
      <c r="FG743" s="11"/>
      <c r="FH743" s="39">
        <f t="shared" si="172"/>
        <v>6765864</v>
      </c>
      <c r="FI743" s="33">
        <f t="shared" si="173"/>
        <v>2</v>
      </c>
      <c r="FJ743" s="84">
        <f t="shared" si="174"/>
        <v>3382932</v>
      </c>
    </row>
    <row r="744" spans="1:166" ht="40.5" x14ac:dyDescent="0.25">
      <c r="A744" s="79" t="e">
        <f>#REF!</f>
        <v>#REF!</v>
      </c>
      <c r="B744" s="75" t="e">
        <f>#REF!</f>
        <v>#REF!</v>
      </c>
      <c r="C744" s="75" t="e">
        <f>#REF!</f>
        <v>#REF!</v>
      </c>
      <c r="D744" s="75" t="e">
        <f>#REF!</f>
        <v>#REF!</v>
      </c>
      <c r="E744" s="30">
        <v>1</v>
      </c>
      <c r="F744" s="238">
        <v>0</v>
      </c>
      <c r="G744" s="241">
        <v>0</v>
      </c>
      <c r="H744" s="249">
        <v>0</v>
      </c>
      <c r="I744" s="249">
        <v>0</v>
      </c>
      <c r="J744" s="249">
        <v>0</v>
      </c>
      <c r="K744" s="249">
        <v>0</v>
      </c>
      <c r="L744" s="274"/>
      <c r="M744" s="274"/>
      <c r="N744" s="247"/>
      <c r="O744" s="113"/>
      <c r="P744" s="113"/>
      <c r="Q744" s="36"/>
      <c r="R744" s="132"/>
      <c r="S744" s="5"/>
      <c r="T744" s="118"/>
      <c r="U744" s="118"/>
      <c r="V744" s="118"/>
      <c r="W744" s="11"/>
      <c r="X744" s="11"/>
      <c r="Y744" s="11"/>
      <c r="Z744" s="118"/>
      <c r="AA744" s="118"/>
      <c r="AB744" s="118"/>
      <c r="AC744" s="52"/>
      <c r="AD744" s="52"/>
      <c r="AE744" s="11"/>
      <c r="AF744" s="118"/>
      <c r="AG744" s="118"/>
      <c r="AH744" s="118"/>
      <c r="AI744" s="11"/>
      <c r="AJ744" s="11"/>
      <c r="AK744" s="11"/>
      <c r="AL744" s="118"/>
      <c r="AM744" s="118"/>
      <c r="AN744" s="118"/>
      <c r="AO744" s="76"/>
      <c r="AP744" s="11"/>
      <c r="AQ744" s="11"/>
      <c r="AR744" s="274"/>
      <c r="AS744" s="274"/>
      <c r="AT744" s="274"/>
      <c r="AU744" s="62"/>
      <c r="AV744" s="48"/>
      <c r="AW744" s="11"/>
      <c r="AX744" s="274"/>
      <c r="AY744" s="274"/>
      <c r="AZ744" s="274"/>
      <c r="BA744" s="11"/>
      <c r="BB744" s="11"/>
      <c r="BC744" s="11"/>
      <c r="BD744" s="274"/>
      <c r="BE744" s="274"/>
      <c r="BF744" s="274"/>
      <c r="BG744" s="11"/>
      <c r="BH744" s="11"/>
      <c r="BI744" s="11"/>
      <c r="BJ744" s="274"/>
      <c r="BK744" s="274"/>
      <c r="BL744" s="274"/>
      <c r="BM744" s="11"/>
      <c r="BN744" s="11"/>
      <c r="BO744" s="11"/>
      <c r="BP744" s="274"/>
      <c r="BQ744" s="11"/>
      <c r="BR744" s="11"/>
      <c r="BS744" s="11"/>
      <c r="BT744" s="11"/>
      <c r="BU744" s="11"/>
      <c r="BV744" s="263">
        <v>799000</v>
      </c>
      <c r="BW744" s="144">
        <f t="shared" si="181"/>
        <v>151810</v>
      </c>
      <c r="BX744" s="113">
        <f t="shared" si="182"/>
        <v>950810</v>
      </c>
      <c r="BY744" s="272" t="s">
        <v>558</v>
      </c>
      <c r="BZ744" s="272" t="s">
        <v>477</v>
      </c>
      <c r="CA744" s="11"/>
      <c r="CB744" s="274"/>
      <c r="CC744" s="274"/>
      <c r="CD744" s="274"/>
      <c r="CE744" s="11"/>
      <c r="CF744" s="11"/>
      <c r="CG744" s="11"/>
      <c r="CH744" s="263">
        <v>846940</v>
      </c>
      <c r="CI744" s="265">
        <f t="shared" si="183"/>
        <v>160918.6</v>
      </c>
      <c r="CJ744" s="263">
        <f t="shared" si="184"/>
        <v>1007858.6</v>
      </c>
      <c r="CK744" s="272" t="s">
        <v>558</v>
      </c>
      <c r="CL744" s="272" t="s">
        <v>477</v>
      </c>
      <c r="CM744" s="11"/>
      <c r="CN744" s="274"/>
      <c r="CO744" s="274"/>
      <c r="CP744" s="274"/>
      <c r="CQ744" s="11"/>
      <c r="CR744" s="11"/>
      <c r="CS744" s="11"/>
      <c r="CT744" s="144">
        <v>530000</v>
      </c>
      <c r="CU744" s="144">
        <f>CT744*0.19</f>
        <v>100700</v>
      </c>
      <c r="CV744" s="144">
        <f>CU744+CT744</f>
        <v>630700</v>
      </c>
      <c r="CW744" s="11"/>
      <c r="CX744" s="11"/>
      <c r="CY744" s="11"/>
      <c r="CZ744" s="118"/>
      <c r="DA744" s="144"/>
      <c r="DB744" s="118"/>
      <c r="DC744" s="33"/>
      <c r="DD744" s="11"/>
      <c r="DE744" s="11"/>
      <c r="DF744" s="11"/>
      <c r="DG744" s="11"/>
      <c r="DH744" s="11"/>
      <c r="DI744" s="11"/>
      <c r="DJ744" s="11"/>
      <c r="DK744" s="11"/>
      <c r="DL744" s="11"/>
      <c r="DM744" s="11"/>
      <c r="DN744" s="11"/>
      <c r="DO744" s="11"/>
      <c r="DP744" s="11"/>
      <c r="DQ744" s="11"/>
      <c r="DR744" s="11"/>
      <c r="DS744" s="11"/>
      <c r="DT744" s="11"/>
      <c r="DU744" s="11"/>
      <c r="DV744" s="11"/>
      <c r="DW744" s="11"/>
      <c r="DX744" s="11"/>
      <c r="DY744" s="11"/>
      <c r="DZ744" s="11"/>
      <c r="EA744" s="11"/>
      <c r="EB744" s="11"/>
      <c r="EC744" s="11"/>
      <c r="ED744" s="11"/>
      <c r="EE744" s="11"/>
      <c r="EF744" s="11"/>
      <c r="EG744" s="11"/>
      <c r="EH744" s="11"/>
      <c r="EI744" s="11"/>
      <c r="EJ744" s="11"/>
      <c r="EK744" s="11"/>
      <c r="EL744" s="11"/>
      <c r="EM744" s="11"/>
      <c r="EN744" s="11"/>
      <c r="EO744" s="11"/>
      <c r="EP744" s="11"/>
      <c r="EQ744" s="11"/>
      <c r="ER744" s="11"/>
      <c r="ES744" s="11"/>
      <c r="ET744" s="11"/>
      <c r="EU744" s="11"/>
      <c r="EV744" s="11"/>
      <c r="EW744" s="11"/>
      <c r="EX744" s="11"/>
      <c r="EY744" s="11"/>
      <c r="EZ744" s="11"/>
      <c r="FA744" s="11"/>
      <c r="FB744" s="11"/>
      <c r="FC744" s="11"/>
      <c r="FD744" s="11"/>
      <c r="FE744" s="11"/>
      <c r="FF744" s="11"/>
      <c r="FG744" s="11"/>
      <c r="FH744" s="39">
        <f t="shared" si="172"/>
        <v>2589368.6</v>
      </c>
      <c r="FI744" s="33">
        <f t="shared" si="173"/>
        <v>3</v>
      </c>
      <c r="FJ744" s="84">
        <f t="shared" si="174"/>
        <v>863122.8666666667</v>
      </c>
    </row>
    <row r="745" spans="1:166" ht="40.5" x14ac:dyDescent="0.25">
      <c r="A745" s="79" t="e">
        <f>#REF!</f>
        <v>#REF!</v>
      </c>
      <c r="B745" s="75" t="e">
        <f>#REF!</f>
        <v>#REF!</v>
      </c>
      <c r="C745" s="75" t="e">
        <f>#REF!</f>
        <v>#REF!</v>
      </c>
      <c r="D745" s="75" t="e">
        <f>#REF!</f>
        <v>#REF!</v>
      </c>
      <c r="E745" s="30">
        <v>1</v>
      </c>
      <c r="F745" s="238">
        <v>0</v>
      </c>
      <c r="G745" s="241">
        <v>0</v>
      </c>
      <c r="H745" s="249">
        <v>0</v>
      </c>
      <c r="I745" s="249">
        <v>0</v>
      </c>
      <c r="J745" s="249">
        <v>0</v>
      </c>
      <c r="K745" s="249">
        <v>0</v>
      </c>
      <c r="L745" s="274"/>
      <c r="M745" s="274"/>
      <c r="N745" s="247"/>
      <c r="O745" s="113"/>
      <c r="P745" s="113"/>
      <c r="Q745" s="36"/>
      <c r="R745" s="132"/>
      <c r="S745" s="5"/>
      <c r="T745" s="118"/>
      <c r="U745" s="118"/>
      <c r="V745" s="118"/>
      <c r="W745" s="11"/>
      <c r="X745" s="11"/>
      <c r="Y745" s="11"/>
      <c r="Z745" s="118"/>
      <c r="AA745" s="118"/>
      <c r="AB745" s="118"/>
      <c r="AC745" s="52"/>
      <c r="AD745" s="52"/>
      <c r="AE745" s="11"/>
      <c r="AF745" s="118"/>
      <c r="AG745" s="118"/>
      <c r="AH745" s="118"/>
      <c r="AI745" s="11"/>
      <c r="AJ745" s="11"/>
      <c r="AK745" s="11"/>
      <c r="AL745" s="118"/>
      <c r="AM745" s="118"/>
      <c r="AN745" s="118"/>
      <c r="AO745" s="76"/>
      <c r="AP745" s="11"/>
      <c r="AQ745" s="11"/>
      <c r="AR745" s="274"/>
      <c r="AS745" s="274"/>
      <c r="AT745" s="274"/>
      <c r="AU745" s="62"/>
      <c r="AV745" s="48"/>
      <c r="AW745" s="11"/>
      <c r="AX745" s="274"/>
      <c r="AY745" s="274"/>
      <c r="AZ745" s="274"/>
      <c r="BA745" s="11"/>
      <c r="BB745" s="11"/>
      <c r="BC745" s="11"/>
      <c r="BD745" s="274"/>
      <c r="BE745" s="274"/>
      <c r="BF745" s="274"/>
      <c r="BG745" s="11"/>
      <c r="BH745" s="11"/>
      <c r="BI745" s="11"/>
      <c r="BJ745" s="274"/>
      <c r="BK745" s="274"/>
      <c r="BL745" s="274"/>
      <c r="BM745" s="11"/>
      <c r="BN745" s="11"/>
      <c r="BO745" s="11"/>
      <c r="BP745" s="274"/>
      <c r="BQ745" s="11"/>
      <c r="BR745" s="11"/>
      <c r="BS745" s="11"/>
      <c r="BT745" s="11"/>
      <c r="BU745" s="11"/>
      <c r="BV745" s="263">
        <v>642400</v>
      </c>
      <c r="BW745" s="144">
        <f t="shared" si="181"/>
        <v>122056</v>
      </c>
      <c r="BX745" s="113">
        <f t="shared" si="182"/>
        <v>764456</v>
      </c>
      <c r="BY745" s="272" t="s">
        <v>312</v>
      </c>
      <c r="BZ745" s="272" t="s">
        <v>548</v>
      </c>
      <c r="CA745" s="11"/>
      <c r="CB745" s="274"/>
      <c r="CC745" s="274"/>
      <c r="CD745" s="274"/>
      <c r="CE745" s="11"/>
      <c r="CF745" s="11"/>
      <c r="CG745" s="11"/>
      <c r="CH745" s="263">
        <v>661672</v>
      </c>
      <c r="CI745" s="265">
        <f t="shared" si="183"/>
        <v>125717.68000000001</v>
      </c>
      <c r="CJ745" s="263">
        <f t="shared" si="184"/>
        <v>787389.68</v>
      </c>
      <c r="CK745" s="272" t="s">
        <v>312</v>
      </c>
      <c r="CL745" s="272" t="s">
        <v>548</v>
      </c>
      <c r="CM745" s="11"/>
      <c r="CN745" s="274"/>
      <c r="CO745" s="274"/>
      <c r="CP745" s="274"/>
      <c r="CQ745" s="11"/>
      <c r="CR745" s="11"/>
      <c r="CS745" s="11"/>
      <c r="CT745" s="11"/>
      <c r="CU745" s="11"/>
      <c r="CV745" s="11"/>
      <c r="CW745" s="11"/>
      <c r="CX745" s="11"/>
      <c r="CY745" s="11"/>
      <c r="CZ745" s="118"/>
      <c r="DA745" s="144"/>
      <c r="DB745" s="118"/>
      <c r="DC745" s="33"/>
      <c r="DD745" s="11"/>
      <c r="DE745" s="11"/>
      <c r="DF745" s="11"/>
      <c r="DG745" s="11"/>
      <c r="DH745" s="11"/>
      <c r="DI745" s="11"/>
      <c r="DJ745" s="11"/>
      <c r="DK745" s="11"/>
      <c r="DL745" s="11"/>
      <c r="DM745" s="11"/>
      <c r="DN745" s="11"/>
      <c r="DO745" s="11"/>
      <c r="DP745" s="11"/>
      <c r="DQ745" s="11"/>
      <c r="DR745" s="11"/>
      <c r="DS745" s="11"/>
      <c r="DT745" s="11"/>
      <c r="DU745" s="11"/>
      <c r="DV745" s="11"/>
      <c r="DW745" s="11"/>
      <c r="DX745" s="11"/>
      <c r="DY745" s="11"/>
      <c r="DZ745" s="11"/>
      <c r="EA745" s="11"/>
      <c r="EB745" s="11"/>
      <c r="EC745" s="11"/>
      <c r="ED745" s="11"/>
      <c r="EE745" s="11"/>
      <c r="EF745" s="11"/>
      <c r="EG745" s="11"/>
      <c r="EH745" s="11"/>
      <c r="EI745" s="11"/>
      <c r="EJ745" s="11"/>
      <c r="EK745" s="11"/>
      <c r="EL745" s="11"/>
      <c r="EM745" s="11"/>
      <c r="EN745" s="11"/>
      <c r="EO745" s="11"/>
      <c r="EP745" s="11"/>
      <c r="EQ745" s="11"/>
      <c r="ER745" s="11"/>
      <c r="ES745" s="11"/>
      <c r="ET745" s="11"/>
      <c r="EU745" s="11"/>
      <c r="EV745" s="11"/>
      <c r="EW745" s="11"/>
      <c r="EX745" s="11"/>
      <c r="EY745" s="11"/>
      <c r="EZ745" s="11"/>
      <c r="FA745" s="11"/>
      <c r="FB745" s="11"/>
      <c r="FC745" s="11"/>
      <c r="FD745" s="11"/>
      <c r="FE745" s="11"/>
      <c r="FF745" s="11"/>
      <c r="FG745" s="11"/>
      <c r="FH745" s="39">
        <f t="shared" si="172"/>
        <v>1551845.6800000002</v>
      </c>
      <c r="FI745" s="33">
        <f t="shared" si="173"/>
        <v>2</v>
      </c>
      <c r="FJ745" s="84">
        <f t="shared" si="174"/>
        <v>775922.84000000008</v>
      </c>
    </row>
    <row r="746" spans="1:166" ht="40.5" x14ac:dyDescent="0.25">
      <c r="A746" s="79" t="e">
        <f>#REF!</f>
        <v>#REF!</v>
      </c>
      <c r="B746" s="75" t="e">
        <f>#REF!</f>
        <v>#REF!</v>
      </c>
      <c r="C746" s="75" t="e">
        <f>#REF!</f>
        <v>#REF!</v>
      </c>
      <c r="D746" s="75" t="e">
        <f>#REF!</f>
        <v>#REF!</v>
      </c>
      <c r="E746" s="30">
        <v>1</v>
      </c>
      <c r="F746" s="238">
        <v>0</v>
      </c>
      <c r="G746" s="241">
        <v>0</v>
      </c>
      <c r="H746" s="249">
        <v>0</v>
      </c>
      <c r="I746" s="249">
        <v>0</v>
      </c>
      <c r="J746" s="249">
        <v>0</v>
      </c>
      <c r="K746" s="249">
        <v>0</v>
      </c>
      <c r="L746" s="274"/>
      <c r="M746" s="274"/>
      <c r="N746" s="246"/>
      <c r="O746" s="118"/>
      <c r="P746" s="118"/>
      <c r="Q746" s="52"/>
      <c r="R746" s="52"/>
      <c r="S746" s="5"/>
      <c r="T746" s="118"/>
      <c r="U746" s="118"/>
      <c r="V746" s="118"/>
      <c r="W746" s="11"/>
      <c r="X746" s="11"/>
      <c r="Y746" s="11"/>
      <c r="Z746" s="118"/>
      <c r="AA746" s="118"/>
      <c r="AB746" s="118"/>
      <c r="AC746" s="52"/>
      <c r="AD746" s="52"/>
      <c r="AE746" s="11"/>
      <c r="AF746" s="118"/>
      <c r="AG746" s="118"/>
      <c r="AH746" s="118"/>
      <c r="AI746" s="11"/>
      <c r="AJ746" s="11"/>
      <c r="AK746" s="11"/>
      <c r="AL746" s="118"/>
      <c r="AM746" s="118"/>
      <c r="AN746" s="118"/>
      <c r="AO746" s="76"/>
      <c r="AP746" s="11"/>
      <c r="AQ746" s="11"/>
      <c r="AR746" s="274"/>
      <c r="AS746" s="274"/>
      <c r="AT746" s="274"/>
      <c r="AU746" s="62"/>
      <c r="AV746" s="48"/>
      <c r="AW746" s="11"/>
      <c r="AX746" s="274"/>
      <c r="AY746" s="274"/>
      <c r="AZ746" s="274"/>
      <c r="BA746" s="11"/>
      <c r="BB746" s="11"/>
      <c r="BC746" s="11"/>
      <c r="BD746" s="274"/>
      <c r="BE746" s="274"/>
      <c r="BF746" s="274"/>
      <c r="BG746" s="11"/>
      <c r="BH746" s="11"/>
      <c r="BI746" s="11"/>
      <c r="BJ746" s="274"/>
      <c r="BK746" s="274"/>
      <c r="BL746" s="274"/>
      <c r="BM746" s="11"/>
      <c r="BN746" s="11"/>
      <c r="BO746" s="11"/>
      <c r="BP746" s="274"/>
      <c r="BQ746" s="11"/>
      <c r="BR746" s="11"/>
      <c r="BS746" s="11"/>
      <c r="BT746" s="11"/>
      <c r="BU746" s="11"/>
      <c r="BV746" s="263">
        <v>642400</v>
      </c>
      <c r="BW746" s="144">
        <f t="shared" si="181"/>
        <v>122056</v>
      </c>
      <c r="BX746" s="113">
        <f t="shared" si="182"/>
        <v>764456</v>
      </c>
      <c r="BY746" s="272" t="s">
        <v>312</v>
      </c>
      <c r="BZ746" s="272" t="s">
        <v>548</v>
      </c>
      <c r="CA746" s="11"/>
      <c r="CB746" s="274"/>
      <c r="CC746" s="274"/>
      <c r="CD746" s="274"/>
      <c r="CE746" s="11"/>
      <c r="CF746" s="11"/>
      <c r="CG746" s="11"/>
      <c r="CH746" s="263">
        <v>687368</v>
      </c>
      <c r="CI746" s="265">
        <f t="shared" si="183"/>
        <v>130599.92</v>
      </c>
      <c r="CJ746" s="263">
        <f t="shared" si="184"/>
        <v>817967.92</v>
      </c>
      <c r="CK746" s="272" t="s">
        <v>312</v>
      </c>
      <c r="CL746" s="272" t="s">
        <v>548</v>
      </c>
      <c r="CM746" s="11"/>
      <c r="CN746" s="274">
        <v>113185</v>
      </c>
      <c r="CO746" s="274">
        <f>+CN746*0.19</f>
        <v>21505.15</v>
      </c>
      <c r="CP746" s="274">
        <f>+CN746+CO746</f>
        <v>134690.15</v>
      </c>
      <c r="CQ746" s="11"/>
      <c r="CR746" s="11"/>
      <c r="CS746" s="11"/>
      <c r="CT746" s="11"/>
      <c r="CU746" s="11"/>
      <c r="CV746" s="11"/>
      <c r="CW746" s="11"/>
      <c r="CX746" s="11"/>
      <c r="CY746" s="11"/>
      <c r="CZ746" s="118"/>
      <c r="DA746" s="144"/>
      <c r="DB746" s="118"/>
      <c r="DC746" s="33"/>
      <c r="DD746" s="11"/>
      <c r="DE746" s="11"/>
      <c r="DF746" s="11"/>
      <c r="DG746" s="11"/>
      <c r="DH746" s="11"/>
      <c r="DI746" s="11"/>
      <c r="DJ746" s="11"/>
      <c r="DK746" s="11"/>
      <c r="DL746" s="11"/>
      <c r="DM746" s="11"/>
      <c r="DN746" s="11"/>
      <c r="DO746" s="11"/>
      <c r="DP746" s="11"/>
      <c r="DQ746" s="11"/>
      <c r="DR746" s="11"/>
      <c r="DS746" s="11"/>
      <c r="DT746" s="11"/>
      <c r="DU746" s="11"/>
      <c r="DV746" s="11"/>
      <c r="DW746" s="11"/>
      <c r="DX746" s="11"/>
      <c r="DY746" s="11"/>
      <c r="DZ746" s="11"/>
      <c r="EA746" s="11"/>
      <c r="EB746" s="11"/>
      <c r="EC746" s="11"/>
      <c r="ED746" s="11"/>
      <c r="EE746" s="11"/>
      <c r="EF746" s="11"/>
      <c r="EG746" s="11"/>
      <c r="EH746" s="11"/>
      <c r="EI746" s="11"/>
      <c r="EJ746" s="11"/>
      <c r="EK746" s="11"/>
      <c r="EL746" s="11"/>
      <c r="EM746" s="11"/>
      <c r="EN746" s="11"/>
      <c r="EO746" s="11"/>
      <c r="EP746" s="11"/>
      <c r="EQ746" s="11"/>
      <c r="ER746" s="11"/>
      <c r="ES746" s="11"/>
      <c r="ET746" s="11"/>
      <c r="EU746" s="11"/>
      <c r="EV746" s="11"/>
      <c r="EW746" s="11"/>
      <c r="EX746" s="11"/>
      <c r="EY746" s="11"/>
      <c r="EZ746" s="11"/>
      <c r="FA746" s="11"/>
      <c r="FB746" s="11"/>
      <c r="FC746" s="11"/>
      <c r="FD746" s="11"/>
      <c r="FE746" s="11"/>
      <c r="FF746" s="11"/>
      <c r="FG746" s="11"/>
      <c r="FH746" s="39">
        <f t="shared" si="172"/>
        <v>1717114.0699999998</v>
      </c>
      <c r="FI746" s="33">
        <f t="shared" si="173"/>
        <v>3</v>
      </c>
      <c r="FJ746" s="84">
        <f t="shared" si="174"/>
        <v>572371.35666666657</v>
      </c>
    </row>
    <row r="747" spans="1:166" ht="40.5" x14ac:dyDescent="0.25">
      <c r="A747" s="79" t="e">
        <f>#REF!</f>
        <v>#REF!</v>
      </c>
      <c r="B747" s="75" t="e">
        <f>#REF!</f>
        <v>#REF!</v>
      </c>
      <c r="C747" s="75" t="e">
        <f>#REF!</f>
        <v>#REF!</v>
      </c>
      <c r="D747" s="75" t="e">
        <f>#REF!</f>
        <v>#REF!</v>
      </c>
      <c r="E747" s="30">
        <v>1</v>
      </c>
      <c r="F747" s="238">
        <v>0</v>
      </c>
      <c r="G747" s="241">
        <v>0</v>
      </c>
      <c r="H747" s="249">
        <v>0</v>
      </c>
      <c r="I747" s="249">
        <v>0</v>
      </c>
      <c r="J747" s="249">
        <v>0</v>
      </c>
      <c r="K747" s="249">
        <v>0</v>
      </c>
      <c r="L747" s="274"/>
      <c r="M747" s="274"/>
      <c r="N747" s="246"/>
      <c r="O747" s="118"/>
      <c r="P747" s="118"/>
      <c r="Q747" s="52"/>
      <c r="R747" s="52"/>
      <c r="S747" s="5"/>
      <c r="T747" s="118"/>
      <c r="U747" s="118"/>
      <c r="V747" s="118"/>
      <c r="W747" s="11"/>
      <c r="X747" s="11"/>
      <c r="Y747" s="11"/>
      <c r="Z747" s="118"/>
      <c r="AA747" s="118"/>
      <c r="AB747" s="118"/>
      <c r="AC747" s="52"/>
      <c r="AD747" s="52"/>
      <c r="AE747" s="11"/>
      <c r="AF747" s="118"/>
      <c r="AG747" s="118"/>
      <c r="AH747" s="118"/>
      <c r="AI747" s="11"/>
      <c r="AJ747" s="11"/>
      <c r="AK747" s="11"/>
      <c r="AL747" s="118"/>
      <c r="AM747" s="118"/>
      <c r="AN747" s="118"/>
      <c r="AO747" s="76"/>
      <c r="AP747" s="11"/>
      <c r="AQ747" s="11"/>
      <c r="AR747" s="274"/>
      <c r="AS747" s="274"/>
      <c r="AT747" s="274"/>
      <c r="AU747" s="62"/>
      <c r="AV747" s="48"/>
      <c r="AW747" s="11"/>
      <c r="AX747" s="274"/>
      <c r="AY747" s="274"/>
      <c r="AZ747" s="274"/>
      <c r="BA747" s="11"/>
      <c r="BB747" s="11"/>
      <c r="BC747" s="11"/>
      <c r="BD747" s="274"/>
      <c r="BE747" s="274"/>
      <c r="BF747" s="274"/>
      <c r="BG747" s="11"/>
      <c r="BH747" s="11"/>
      <c r="BI747" s="11"/>
      <c r="BJ747" s="274"/>
      <c r="BK747" s="274"/>
      <c r="BL747" s="274"/>
      <c r="BM747" s="11"/>
      <c r="BN747" s="11"/>
      <c r="BO747" s="11"/>
      <c r="BP747" s="274"/>
      <c r="BQ747" s="11"/>
      <c r="BR747" s="11"/>
      <c r="BS747" s="11"/>
      <c r="BT747" s="11"/>
      <c r="BU747" s="11"/>
      <c r="BV747" s="268">
        <f>25842000/5</f>
        <v>5168400</v>
      </c>
      <c r="BW747" s="144">
        <f t="shared" si="181"/>
        <v>981996</v>
      </c>
      <c r="BX747" s="113">
        <f t="shared" si="182"/>
        <v>6150396</v>
      </c>
      <c r="BY747" s="272" t="s">
        <v>559</v>
      </c>
      <c r="BZ747" s="272" t="s">
        <v>548</v>
      </c>
      <c r="CA747" s="11"/>
      <c r="CB747" s="274"/>
      <c r="CC747" s="274"/>
      <c r="CD747" s="274"/>
      <c r="CE747" s="11"/>
      <c r="CF747" s="11"/>
      <c r="CG747" s="11"/>
      <c r="CH747" s="268">
        <f>27392520/5</f>
        <v>5478504</v>
      </c>
      <c r="CI747" s="265">
        <f t="shared" si="183"/>
        <v>1040915.76</v>
      </c>
      <c r="CJ747" s="263">
        <f t="shared" si="184"/>
        <v>6519419.7599999998</v>
      </c>
      <c r="CK747" s="272" t="s">
        <v>559</v>
      </c>
      <c r="CL747" s="272" t="s">
        <v>548</v>
      </c>
      <c r="CM747" s="11"/>
      <c r="CN747" s="274"/>
      <c r="CO747" s="274"/>
      <c r="CP747" s="274"/>
      <c r="CQ747" s="11"/>
      <c r="CR747" s="11"/>
      <c r="CS747" s="11"/>
      <c r="CT747" s="11"/>
      <c r="CU747" s="11"/>
      <c r="CV747" s="11"/>
      <c r="CW747" s="11"/>
      <c r="CX747" s="11"/>
      <c r="CY747" s="11"/>
      <c r="CZ747" s="118"/>
      <c r="DA747" s="144"/>
      <c r="DB747" s="118"/>
      <c r="DC747" s="33"/>
      <c r="DD747" s="11"/>
      <c r="DE747" s="11"/>
      <c r="DF747" s="11"/>
      <c r="DG747" s="11"/>
      <c r="DH747" s="11"/>
      <c r="DI747" s="11"/>
      <c r="DJ747" s="11"/>
      <c r="DK747" s="11"/>
      <c r="DL747" s="11"/>
      <c r="DM747" s="11"/>
      <c r="DN747" s="11"/>
      <c r="DO747" s="11"/>
      <c r="DP747" s="11"/>
      <c r="DQ747" s="11"/>
      <c r="DR747" s="11"/>
      <c r="DS747" s="11"/>
      <c r="DT747" s="11"/>
      <c r="DU747" s="11"/>
      <c r="DV747" s="11"/>
      <c r="DW747" s="11"/>
      <c r="DX747" s="11"/>
      <c r="DY747" s="11"/>
      <c r="DZ747" s="11"/>
      <c r="EA747" s="11"/>
      <c r="EB747" s="11"/>
      <c r="EC747" s="11"/>
      <c r="ED747" s="11"/>
      <c r="EE747" s="11"/>
      <c r="EF747" s="11"/>
      <c r="EG747" s="11"/>
      <c r="EH747" s="11"/>
      <c r="EI747" s="11"/>
      <c r="EJ747" s="11"/>
      <c r="EK747" s="11"/>
      <c r="EL747" s="11"/>
      <c r="EM747" s="11"/>
      <c r="EN747" s="11"/>
      <c r="EO747" s="11"/>
      <c r="EP747" s="11"/>
      <c r="EQ747" s="11"/>
      <c r="ER747" s="11"/>
      <c r="ES747" s="11"/>
      <c r="ET747" s="11"/>
      <c r="EU747" s="11"/>
      <c r="EV747" s="11"/>
      <c r="EW747" s="11"/>
      <c r="EX747" s="11"/>
      <c r="EY747" s="11"/>
      <c r="EZ747" s="11"/>
      <c r="FA747" s="11"/>
      <c r="FB747" s="11"/>
      <c r="FC747" s="11"/>
      <c r="FD747" s="11"/>
      <c r="FE747" s="11"/>
      <c r="FF747" s="11"/>
      <c r="FG747" s="11"/>
      <c r="FH747" s="39">
        <f t="shared" si="172"/>
        <v>12669815.76</v>
      </c>
      <c r="FI747" s="33">
        <f t="shared" si="173"/>
        <v>2</v>
      </c>
      <c r="FJ747" s="84">
        <f t="shared" si="174"/>
        <v>6334907.8799999999</v>
      </c>
    </row>
    <row r="748" spans="1:166" ht="40.5" x14ac:dyDescent="0.25">
      <c r="A748" s="79" t="e">
        <f>#REF!</f>
        <v>#REF!</v>
      </c>
      <c r="B748" s="75" t="e">
        <f>#REF!</f>
        <v>#REF!</v>
      </c>
      <c r="C748" s="75" t="e">
        <f>#REF!</f>
        <v>#REF!</v>
      </c>
      <c r="D748" s="75" t="e">
        <f>#REF!</f>
        <v>#REF!</v>
      </c>
      <c r="E748" s="30">
        <v>1</v>
      </c>
      <c r="F748" s="238">
        <v>0</v>
      </c>
      <c r="G748" s="241">
        <v>0</v>
      </c>
      <c r="H748" s="249">
        <v>0</v>
      </c>
      <c r="I748" s="249">
        <v>0</v>
      </c>
      <c r="J748" s="249">
        <v>0</v>
      </c>
      <c r="K748" s="249">
        <v>0</v>
      </c>
      <c r="L748" s="274"/>
      <c r="M748" s="274"/>
      <c r="N748" s="246"/>
      <c r="O748" s="118"/>
      <c r="P748" s="118"/>
      <c r="Q748" s="52"/>
      <c r="R748" s="52"/>
      <c r="S748" s="5"/>
      <c r="T748" s="118"/>
      <c r="U748" s="118"/>
      <c r="V748" s="118"/>
      <c r="W748" s="11"/>
      <c r="X748" s="11"/>
      <c r="Y748" s="11"/>
      <c r="Z748" s="118"/>
      <c r="AA748" s="118"/>
      <c r="AB748" s="118"/>
      <c r="AC748" s="52"/>
      <c r="AD748" s="52"/>
      <c r="AE748" s="11"/>
      <c r="AF748" s="118"/>
      <c r="AG748" s="118"/>
      <c r="AH748" s="118"/>
      <c r="AI748" s="11"/>
      <c r="AJ748" s="11"/>
      <c r="AK748" s="11"/>
      <c r="AL748" s="118"/>
      <c r="AM748" s="118"/>
      <c r="AN748" s="118"/>
      <c r="AO748" s="76"/>
      <c r="AP748" s="11"/>
      <c r="AQ748" s="11"/>
      <c r="AR748" s="274"/>
      <c r="AS748" s="274"/>
      <c r="AT748" s="274"/>
      <c r="AU748" s="62"/>
      <c r="AV748" s="48"/>
      <c r="AW748" s="11"/>
      <c r="AX748" s="274"/>
      <c r="AY748" s="274"/>
      <c r="AZ748" s="274"/>
      <c r="BA748" s="11"/>
      <c r="BB748" s="11"/>
      <c r="BC748" s="11"/>
      <c r="BD748" s="274"/>
      <c r="BE748" s="274"/>
      <c r="BF748" s="274"/>
      <c r="BG748" s="11"/>
      <c r="BH748" s="11"/>
      <c r="BI748" s="11"/>
      <c r="BJ748" s="274"/>
      <c r="BK748" s="274"/>
      <c r="BL748" s="274"/>
      <c r="BM748" s="11"/>
      <c r="BN748" s="11"/>
      <c r="BO748" s="11"/>
      <c r="BP748" s="274"/>
      <c r="BQ748" s="11"/>
      <c r="BR748" s="11"/>
      <c r="BS748" s="11"/>
      <c r="BT748" s="11"/>
      <c r="BU748" s="11"/>
      <c r="BV748" s="268">
        <f>59714000/10</f>
        <v>5971400</v>
      </c>
      <c r="BW748" s="144">
        <f t="shared" si="181"/>
        <v>1134566</v>
      </c>
      <c r="BX748" s="113">
        <f t="shared" si="182"/>
        <v>7105966</v>
      </c>
      <c r="BY748" s="272" t="s">
        <v>560</v>
      </c>
      <c r="BZ748" s="272" t="s">
        <v>548</v>
      </c>
      <c r="CA748" s="11"/>
      <c r="CB748" s="274"/>
      <c r="CC748" s="274"/>
      <c r="CD748" s="274"/>
      <c r="CE748" s="11"/>
      <c r="CF748" s="11"/>
      <c r="CG748" s="11"/>
      <c r="CH748" s="268">
        <f>63296840/10</f>
        <v>6329684</v>
      </c>
      <c r="CI748" s="265">
        <f t="shared" si="183"/>
        <v>1202639.96</v>
      </c>
      <c r="CJ748" s="263">
        <f t="shared" si="184"/>
        <v>7532323.96</v>
      </c>
      <c r="CK748" s="272" t="s">
        <v>560</v>
      </c>
      <c r="CL748" s="272" t="s">
        <v>548</v>
      </c>
      <c r="CM748" s="11"/>
      <c r="CN748" s="274"/>
      <c r="CO748" s="274"/>
      <c r="CP748" s="274"/>
      <c r="CQ748" s="11"/>
      <c r="CR748" s="11"/>
      <c r="CS748" s="11"/>
      <c r="CT748" s="11"/>
      <c r="CU748" s="11"/>
      <c r="CV748" s="11"/>
      <c r="CW748" s="11"/>
      <c r="CX748" s="11"/>
      <c r="CY748" s="11"/>
      <c r="CZ748" s="118"/>
      <c r="DA748" s="144"/>
      <c r="DB748" s="118"/>
      <c r="DC748" s="33"/>
      <c r="DD748" s="11"/>
      <c r="DE748" s="11"/>
      <c r="DF748" s="11"/>
      <c r="DG748" s="11"/>
      <c r="DH748" s="11"/>
      <c r="DI748" s="11"/>
      <c r="DJ748" s="11"/>
      <c r="DK748" s="11"/>
      <c r="DL748" s="11"/>
      <c r="DM748" s="11"/>
      <c r="DN748" s="11"/>
      <c r="DO748" s="11"/>
      <c r="DP748" s="11"/>
      <c r="DQ748" s="11"/>
      <c r="DR748" s="11"/>
      <c r="DS748" s="11"/>
      <c r="DT748" s="11"/>
      <c r="DU748" s="11"/>
      <c r="DV748" s="11"/>
      <c r="DW748" s="11"/>
      <c r="DX748" s="11"/>
      <c r="DY748" s="11"/>
      <c r="DZ748" s="11"/>
      <c r="EA748" s="11"/>
      <c r="EB748" s="11"/>
      <c r="EC748" s="11"/>
      <c r="ED748" s="11"/>
      <c r="EE748" s="11"/>
      <c r="EF748" s="11"/>
      <c r="EG748" s="11"/>
      <c r="EH748" s="11"/>
      <c r="EI748" s="11"/>
      <c r="EJ748" s="11"/>
      <c r="EK748" s="11"/>
      <c r="EL748" s="11"/>
      <c r="EM748" s="11"/>
      <c r="EN748" s="11"/>
      <c r="EO748" s="11"/>
      <c r="EP748" s="11"/>
      <c r="EQ748" s="11"/>
      <c r="ER748" s="11"/>
      <c r="ES748" s="11"/>
      <c r="ET748" s="11"/>
      <c r="EU748" s="11"/>
      <c r="EV748" s="11"/>
      <c r="EW748" s="11"/>
      <c r="EX748" s="11"/>
      <c r="EY748" s="11"/>
      <c r="EZ748" s="11"/>
      <c r="FA748" s="11"/>
      <c r="FB748" s="11"/>
      <c r="FC748" s="11"/>
      <c r="FD748" s="11"/>
      <c r="FE748" s="11"/>
      <c r="FF748" s="11"/>
      <c r="FG748" s="11"/>
      <c r="FH748" s="39">
        <f t="shared" si="172"/>
        <v>14638289.960000001</v>
      </c>
      <c r="FI748" s="33">
        <f t="shared" si="173"/>
        <v>2</v>
      </c>
      <c r="FJ748" s="84">
        <f t="shared" si="174"/>
        <v>7319144.9800000004</v>
      </c>
    </row>
    <row r="749" spans="1:166" ht="40.5" x14ac:dyDescent="0.25">
      <c r="A749" s="79" t="e">
        <f>#REF!</f>
        <v>#REF!</v>
      </c>
      <c r="B749" s="75" t="e">
        <f>#REF!</f>
        <v>#REF!</v>
      </c>
      <c r="C749" s="75" t="e">
        <f>#REF!</f>
        <v>#REF!</v>
      </c>
      <c r="D749" s="75" t="e">
        <f>#REF!</f>
        <v>#REF!</v>
      </c>
      <c r="E749" s="30">
        <v>1</v>
      </c>
      <c r="F749" s="238">
        <v>0</v>
      </c>
      <c r="G749" s="241">
        <v>0</v>
      </c>
      <c r="H749" s="249">
        <v>0</v>
      </c>
      <c r="I749" s="249">
        <v>0</v>
      </c>
      <c r="J749" s="249">
        <v>0</v>
      </c>
      <c r="K749" s="249">
        <v>0</v>
      </c>
      <c r="L749" s="274"/>
      <c r="M749" s="274"/>
      <c r="N749" s="246"/>
      <c r="O749" s="118"/>
      <c r="P749" s="118"/>
      <c r="Q749" s="52"/>
      <c r="R749" s="52"/>
      <c r="S749" s="5"/>
      <c r="T749" s="118"/>
      <c r="U749" s="118"/>
      <c r="V749" s="118"/>
      <c r="W749" s="11"/>
      <c r="X749" s="11"/>
      <c r="Y749" s="11"/>
      <c r="Z749" s="118"/>
      <c r="AA749" s="118"/>
      <c r="AB749" s="118"/>
      <c r="AC749" s="52"/>
      <c r="AD749" s="52"/>
      <c r="AE749" s="11"/>
      <c r="AF749" s="118"/>
      <c r="AG749" s="118"/>
      <c r="AH749" s="118"/>
      <c r="AI749" s="11"/>
      <c r="AJ749" s="11"/>
      <c r="AK749" s="11"/>
      <c r="AL749" s="118"/>
      <c r="AM749" s="118"/>
      <c r="AN749" s="118"/>
      <c r="AO749" s="76"/>
      <c r="AP749" s="11"/>
      <c r="AQ749" s="11"/>
      <c r="AR749" s="274"/>
      <c r="AS749" s="274"/>
      <c r="AT749" s="274"/>
      <c r="AU749" s="62"/>
      <c r="AV749" s="48"/>
      <c r="AW749" s="11"/>
      <c r="AX749" s="274"/>
      <c r="AY749" s="274"/>
      <c r="AZ749" s="274"/>
      <c r="BA749" s="11"/>
      <c r="BB749" s="11"/>
      <c r="BC749" s="11"/>
      <c r="BD749" s="274"/>
      <c r="BE749" s="274"/>
      <c r="BF749" s="274"/>
      <c r="BG749" s="11"/>
      <c r="BH749" s="11"/>
      <c r="BI749" s="11"/>
      <c r="BJ749" s="274"/>
      <c r="BK749" s="274"/>
      <c r="BL749" s="274"/>
      <c r="BM749" s="11"/>
      <c r="BN749" s="11"/>
      <c r="BO749" s="11"/>
      <c r="BP749" s="274"/>
      <c r="BQ749" s="11"/>
      <c r="BR749" s="11"/>
      <c r="BS749" s="11"/>
      <c r="BT749" s="11"/>
      <c r="BU749" s="11"/>
      <c r="BV749" s="268">
        <v>2000000</v>
      </c>
      <c r="BW749" s="144">
        <f t="shared" si="181"/>
        <v>380000</v>
      </c>
      <c r="BX749" s="113">
        <f t="shared" si="182"/>
        <v>2380000</v>
      </c>
      <c r="BY749" s="272" t="s">
        <v>561</v>
      </c>
      <c r="BZ749" s="272" t="s">
        <v>548</v>
      </c>
      <c r="CA749" s="11"/>
      <c r="CB749" s="274"/>
      <c r="CC749" s="274"/>
      <c r="CD749" s="274"/>
      <c r="CE749" s="11"/>
      <c r="CF749" s="11"/>
      <c r="CG749" s="11"/>
      <c r="CH749" s="268">
        <v>13309944</v>
      </c>
      <c r="CI749" s="265">
        <f t="shared" si="183"/>
        <v>2528889.36</v>
      </c>
      <c r="CJ749" s="263">
        <f t="shared" si="184"/>
        <v>15838833.359999999</v>
      </c>
      <c r="CK749" s="272" t="s">
        <v>561</v>
      </c>
      <c r="CL749" s="272" t="s">
        <v>548</v>
      </c>
      <c r="CM749" s="11"/>
      <c r="CN749" s="274"/>
      <c r="CO749" s="274"/>
      <c r="CP749" s="274"/>
      <c r="CQ749" s="11"/>
      <c r="CR749" s="11"/>
      <c r="CS749" s="11"/>
      <c r="CT749" s="11"/>
      <c r="CU749" s="11"/>
      <c r="CV749" s="11"/>
      <c r="CW749" s="11"/>
      <c r="CX749" s="11"/>
      <c r="CY749" s="11"/>
      <c r="CZ749" s="118"/>
      <c r="DA749" s="144"/>
      <c r="DB749" s="118"/>
      <c r="DC749" s="33"/>
      <c r="DD749" s="11"/>
      <c r="DE749" s="11"/>
      <c r="DF749" s="11"/>
      <c r="DG749" s="11"/>
      <c r="DH749" s="11"/>
      <c r="DI749" s="11"/>
      <c r="DJ749" s="11"/>
      <c r="DK749" s="11"/>
      <c r="DL749" s="11"/>
      <c r="DM749" s="11"/>
      <c r="DN749" s="11"/>
      <c r="DO749" s="11"/>
      <c r="DP749" s="11"/>
      <c r="DQ749" s="11"/>
      <c r="DR749" s="11"/>
      <c r="DS749" s="11"/>
      <c r="DT749" s="11"/>
      <c r="DU749" s="11"/>
      <c r="DV749" s="11"/>
      <c r="DW749" s="11"/>
      <c r="DX749" s="11"/>
      <c r="DY749" s="11"/>
      <c r="DZ749" s="11"/>
      <c r="EA749" s="11"/>
      <c r="EB749" s="11"/>
      <c r="EC749" s="11"/>
      <c r="ED749" s="11"/>
      <c r="EE749" s="11"/>
      <c r="EF749" s="11"/>
      <c r="EG749" s="11"/>
      <c r="EH749" s="11"/>
      <c r="EI749" s="11"/>
      <c r="EJ749" s="11"/>
      <c r="EK749" s="11"/>
      <c r="EL749" s="11"/>
      <c r="EM749" s="11"/>
      <c r="EN749" s="11"/>
      <c r="EO749" s="11"/>
      <c r="EP749" s="11"/>
      <c r="EQ749" s="11"/>
      <c r="ER749" s="11"/>
      <c r="ES749" s="11"/>
      <c r="ET749" s="11"/>
      <c r="EU749" s="11"/>
      <c r="EV749" s="11"/>
      <c r="EW749" s="11"/>
      <c r="EX749" s="11"/>
      <c r="EY749" s="11"/>
      <c r="EZ749" s="11"/>
      <c r="FA749" s="11"/>
      <c r="FB749" s="11"/>
      <c r="FC749" s="11"/>
      <c r="FD749" s="11"/>
      <c r="FE749" s="11"/>
      <c r="FF749" s="11"/>
      <c r="FG749" s="11"/>
      <c r="FH749" s="39">
        <f t="shared" si="172"/>
        <v>18218833.359999999</v>
      </c>
      <c r="FI749" s="33">
        <f t="shared" si="173"/>
        <v>2</v>
      </c>
      <c r="FJ749" s="84">
        <f t="shared" si="174"/>
        <v>9109416.6799999997</v>
      </c>
    </row>
    <row r="750" spans="1:166" x14ac:dyDescent="0.25">
      <c r="A750" s="79" t="e">
        <f>#REF!</f>
        <v>#REF!</v>
      </c>
      <c r="B750" s="75" t="e">
        <f>#REF!</f>
        <v>#REF!</v>
      </c>
      <c r="C750" s="75" t="e">
        <f>#REF!</f>
        <v>#REF!</v>
      </c>
      <c r="D750" s="75" t="e">
        <f>#REF!</f>
        <v>#REF!</v>
      </c>
      <c r="E750" s="30">
        <v>1</v>
      </c>
      <c r="F750" s="238">
        <v>0</v>
      </c>
      <c r="G750" s="241">
        <v>0</v>
      </c>
      <c r="H750" s="249">
        <v>0</v>
      </c>
      <c r="I750" s="249">
        <v>0</v>
      </c>
      <c r="J750" s="249">
        <v>0</v>
      </c>
      <c r="K750" s="249">
        <v>0</v>
      </c>
      <c r="L750" s="274"/>
      <c r="M750" s="274"/>
      <c r="N750" s="246"/>
      <c r="O750" s="118"/>
      <c r="P750" s="118"/>
      <c r="Q750" s="52"/>
      <c r="R750" s="52"/>
      <c r="S750" s="5"/>
      <c r="T750" s="118"/>
      <c r="U750" s="118"/>
      <c r="V750" s="118"/>
      <c r="W750" s="11"/>
      <c r="X750" s="11"/>
      <c r="Y750" s="11"/>
      <c r="Z750" s="118"/>
      <c r="AA750" s="118"/>
      <c r="AB750" s="118"/>
      <c r="AC750" s="52"/>
      <c r="AD750" s="52"/>
      <c r="AE750" s="11"/>
      <c r="AF750" s="118"/>
      <c r="AG750" s="118"/>
      <c r="AH750" s="118"/>
      <c r="AI750" s="11"/>
      <c r="AJ750" s="11"/>
      <c r="AK750" s="11"/>
      <c r="AL750" s="118"/>
      <c r="AM750" s="118"/>
      <c r="AN750" s="118"/>
      <c r="AO750" s="76"/>
      <c r="AP750" s="11"/>
      <c r="AQ750" s="11"/>
      <c r="AR750" s="274"/>
      <c r="AS750" s="274"/>
      <c r="AT750" s="274"/>
      <c r="AU750" s="62"/>
      <c r="AV750" s="48"/>
      <c r="AW750" s="11"/>
      <c r="AX750" s="274"/>
      <c r="AY750" s="274"/>
      <c r="AZ750" s="274"/>
      <c r="BA750" s="11"/>
      <c r="BB750" s="11"/>
      <c r="BC750" s="11"/>
      <c r="BD750" s="274"/>
      <c r="BE750" s="274"/>
      <c r="BF750" s="274"/>
      <c r="BG750" s="11"/>
      <c r="BH750" s="11"/>
      <c r="BI750" s="11"/>
      <c r="BJ750" s="274"/>
      <c r="BK750" s="274"/>
      <c r="BL750" s="274"/>
      <c r="BM750" s="11"/>
      <c r="BN750" s="11"/>
      <c r="BO750" s="11"/>
      <c r="BP750" s="274"/>
      <c r="BQ750" s="11"/>
      <c r="BR750" s="11"/>
      <c r="BS750" s="11"/>
      <c r="BT750" s="11"/>
      <c r="BU750" s="11"/>
      <c r="BV750" s="210"/>
      <c r="BW750" s="144"/>
      <c r="BX750" s="113"/>
      <c r="BY750" s="273"/>
      <c r="BZ750" s="273"/>
      <c r="CA750" s="11"/>
      <c r="CB750" s="274"/>
      <c r="CC750" s="274"/>
      <c r="CD750" s="274"/>
      <c r="CE750" s="11"/>
      <c r="CF750" s="11"/>
      <c r="CG750" s="11"/>
      <c r="CH750" s="210"/>
      <c r="CI750" s="219"/>
      <c r="CJ750" s="210"/>
      <c r="CK750" s="273"/>
      <c r="CL750" s="273"/>
      <c r="CM750" s="11"/>
      <c r="CN750" s="274"/>
      <c r="CO750" s="274"/>
      <c r="CP750" s="274"/>
      <c r="CQ750" s="11"/>
      <c r="CR750" s="11"/>
      <c r="CS750" s="11"/>
      <c r="CT750" s="11"/>
      <c r="CU750" s="11"/>
      <c r="CV750" s="11"/>
      <c r="CW750" s="11"/>
      <c r="CX750" s="11"/>
      <c r="CY750" s="11"/>
      <c r="CZ750" s="118"/>
      <c r="DA750" s="144"/>
      <c r="DB750" s="118"/>
      <c r="DC750" s="33"/>
      <c r="DD750" s="11"/>
      <c r="DE750" s="11"/>
      <c r="DF750" s="11"/>
      <c r="DG750" s="11"/>
      <c r="DH750" s="11"/>
      <c r="DI750" s="11"/>
      <c r="DJ750" s="11"/>
      <c r="DK750" s="11"/>
      <c r="DL750" s="11"/>
      <c r="DM750" s="11"/>
      <c r="DN750" s="11"/>
      <c r="DO750" s="11"/>
      <c r="DP750" s="11"/>
      <c r="DQ750" s="11"/>
      <c r="DR750" s="11"/>
      <c r="DS750" s="11"/>
      <c r="DT750" s="11"/>
      <c r="DU750" s="11"/>
      <c r="DV750" s="11"/>
      <c r="DW750" s="11"/>
      <c r="DX750" s="11"/>
      <c r="DY750" s="11"/>
      <c r="DZ750" s="11"/>
      <c r="EA750" s="11"/>
      <c r="EB750" s="11"/>
      <c r="EC750" s="11"/>
      <c r="ED750" s="11"/>
      <c r="EE750" s="11"/>
      <c r="EF750" s="11"/>
      <c r="EG750" s="11"/>
      <c r="EH750" s="11"/>
      <c r="EI750" s="11"/>
      <c r="EJ750" s="11"/>
      <c r="EK750" s="11"/>
      <c r="EL750" s="11"/>
      <c r="EM750" s="11"/>
      <c r="EN750" s="11"/>
      <c r="EO750" s="11"/>
      <c r="EP750" s="11"/>
      <c r="EQ750" s="11"/>
      <c r="ER750" s="11"/>
      <c r="ES750" s="11"/>
      <c r="ET750" s="11"/>
      <c r="EU750" s="11"/>
      <c r="EV750" s="11"/>
      <c r="EW750" s="11"/>
      <c r="EX750" s="11"/>
      <c r="EY750" s="11"/>
      <c r="EZ750" s="11"/>
      <c r="FA750" s="11"/>
      <c r="FB750" s="11"/>
      <c r="FC750" s="11"/>
      <c r="FD750" s="11"/>
      <c r="FE750" s="11"/>
      <c r="FF750" s="11"/>
      <c r="FG750" s="11"/>
      <c r="FH750" s="39">
        <f t="shared" si="172"/>
        <v>0</v>
      </c>
      <c r="FI750" s="33">
        <f t="shared" si="173"/>
        <v>0</v>
      </c>
      <c r="FJ750" s="84" t="str">
        <f t="shared" si="174"/>
        <v xml:space="preserve"> </v>
      </c>
    </row>
    <row r="751" spans="1:166" ht="40.5" x14ac:dyDescent="0.25">
      <c r="A751" s="79" t="e">
        <f>#REF!</f>
        <v>#REF!</v>
      </c>
      <c r="B751" s="75" t="e">
        <f>#REF!</f>
        <v>#REF!</v>
      </c>
      <c r="C751" s="75" t="e">
        <f>#REF!</f>
        <v>#REF!</v>
      </c>
      <c r="D751" s="75" t="e">
        <f>#REF!</f>
        <v>#REF!</v>
      </c>
      <c r="E751" s="30">
        <v>1</v>
      </c>
      <c r="F751" s="238">
        <v>0</v>
      </c>
      <c r="G751" s="241">
        <v>0</v>
      </c>
      <c r="H751" s="249">
        <v>0</v>
      </c>
      <c r="I751" s="249">
        <v>0</v>
      </c>
      <c r="J751" s="249">
        <v>0</v>
      </c>
      <c r="K751" s="249">
        <v>0</v>
      </c>
      <c r="L751" s="274"/>
      <c r="M751" s="274"/>
      <c r="N751" s="246"/>
      <c r="O751" s="118"/>
      <c r="P751" s="118"/>
      <c r="Q751" s="52"/>
      <c r="R751" s="52"/>
      <c r="S751" s="5"/>
      <c r="T751" s="118"/>
      <c r="U751" s="118"/>
      <c r="V751" s="118"/>
      <c r="W751" s="11"/>
      <c r="X751" s="11"/>
      <c r="Y751" s="11"/>
      <c r="Z751" s="118"/>
      <c r="AA751" s="118"/>
      <c r="AB751" s="118"/>
      <c r="AC751" s="52"/>
      <c r="AD751" s="52"/>
      <c r="AE751" s="11"/>
      <c r="AF751" s="118"/>
      <c r="AG751" s="118"/>
      <c r="AH751" s="118"/>
      <c r="AI751" s="11"/>
      <c r="AJ751" s="11"/>
      <c r="AK751" s="11"/>
      <c r="AL751" s="118"/>
      <c r="AM751" s="118"/>
      <c r="AN751" s="118"/>
      <c r="AO751" s="76"/>
      <c r="AP751" s="11"/>
      <c r="AQ751" s="11"/>
      <c r="AR751" s="274"/>
      <c r="AS751" s="274"/>
      <c r="AT751" s="274"/>
      <c r="AU751" s="62"/>
      <c r="AV751" s="48"/>
      <c r="AW751" s="11"/>
      <c r="AX751" s="274"/>
      <c r="AY751" s="274"/>
      <c r="AZ751" s="274"/>
      <c r="BA751" s="11"/>
      <c r="BB751" s="11"/>
      <c r="BC751" s="11"/>
      <c r="BD751" s="274"/>
      <c r="BE751" s="274"/>
      <c r="BF751" s="274"/>
      <c r="BG751" s="11"/>
      <c r="BH751" s="11"/>
      <c r="BI751" s="11"/>
      <c r="BJ751" s="274"/>
      <c r="BK751" s="274"/>
      <c r="BL751" s="274"/>
      <c r="BM751" s="11"/>
      <c r="BN751" s="11"/>
      <c r="BO751" s="11"/>
      <c r="BP751" s="274"/>
      <c r="BQ751" s="11"/>
      <c r="BR751" s="11"/>
      <c r="BS751" s="11"/>
      <c r="BT751" s="11"/>
      <c r="BU751" s="11"/>
      <c r="BV751" s="263">
        <v>1839600</v>
      </c>
      <c r="BW751" s="144">
        <f>BV751*19%</f>
        <v>349524</v>
      </c>
      <c r="BX751" s="113">
        <f>+BV751+BW751</f>
        <v>2189124</v>
      </c>
      <c r="BY751" s="272" t="s">
        <v>309</v>
      </c>
      <c r="BZ751" s="272" t="s">
        <v>548</v>
      </c>
      <c r="CA751" s="11"/>
      <c r="CB751" s="274"/>
      <c r="CC751" s="274"/>
      <c r="CD751" s="274"/>
      <c r="CE751" s="11"/>
      <c r="CF751" s="11"/>
      <c r="CG751" s="11"/>
      <c r="CH751" s="263">
        <v>1968372</v>
      </c>
      <c r="CI751" s="265">
        <f>+CH751*0.19</f>
        <v>373990.68</v>
      </c>
      <c r="CJ751" s="263">
        <f>+CH751+CI751</f>
        <v>2342362.6800000002</v>
      </c>
      <c r="CK751" s="272" t="s">
        <v>309</v>
      </c>
      <c r="CL751" s="272" t="s">
        <v>548</v>
      </c>
      <c r="CM751" s="11"/>
      <c r="CN751" s="274"/>
      <c r="CO751" s="274"/>
      <c r="CP751" s="274"/>
      <c r="CQ751" s="11"/>
      <c r="CR751" s="11"/>
      <c r="CS751" s="11"/>
      <c r="CT751" s="11"/>
      <c r="CU751" s="11"/>
      <c r="CV751" s="11"/>
      <c r="CW751" s="11"/>
      <c r="CX751" s="11"/>
      <c r="CY751" s="11"/>
      <c r="CZ751" s="118"/>
      <c r="DA751" s="144"/>
      <c r="DB751" s="118"/>
      <c r="DC751" s="33"/>
      <c r="DD751" s="11"/>
      <c r="DE751" s="11"/>
      <c r="DF751" s="11"/>
      <c r="DG751" s="11"/>
      <c r="DH751" s="11"/>
      <c r="DI751" s="11"/>
      <c r="DJ751" s="11"/>
      <c r="DK751" s="11"/>
      <c r="DL751" s="11"/>
      <c r="DM751" s="11"/>
      <c r="DN751" s="11"/>
      <c r="DO751" s="11"/>
      <c r="DP751" s="11"/>
      <c r="DQ751" s="11"/>
      <c r="DR751" s="11"/>
      <c r="DS751" s="11"/>
      <c r="DT751" s="11"/>
      <c r="DU751" s="11"/>
      <c r="DV751" s="11"/>
      <c r="DW751" s="11"/>
      <c r="DX751" s="11"/>
      <c r="DY751" s="11"/>
      <c r="DZ751" s="11"/>
      <c r="EA751" s="11"/>
      <c r="EB751" s="11"/>
      <c r="EC751" s="11"/>
      <c r="ED751" s="11"/>
      <c r="EE751" s="11"/>
      <c r="EF751" s="11"/>
      <c r="EG751" s="11"/>
      <c r="EH751" s="11"/>
      <c r="EI751" s="11"/>
      <c r="EJ751" s="11"/>
      <c r="EK751" s="11"/>
      <c r="EL751" s="11"/>
      <c r="EM751" s="11"/>
      <c r="EN751" s="11"/>
      <c r="EO751" s="11"/>
      <c r="EP751" s="11"/>
      <c r="EQ751" s="11"/>
      <c r="ER751" s="11"/>
      <c r="ES751" s="11"/>
      <c r="ET751" s="11"/>
      <c r="EU751" s="11"/>
      <c r="EV751" s="11"/>
      <c r="EW751" s="11"/>
      <c r="EX751" s="11"/>
      <c r="EY751" s="11"/>
      <c r="EZ751" s="11"/>
      <c r="FA751" s="11"/>
      <c r="FB751" s="11"/>
      <c r="FC751" s="11"/>
      <c r="FD751" s="11"/>
      <c r="FE751" s="11"/>
      <c r="FF751" s="11"/>
      <c r="FG751" s="11"/>
      <c r="FH751" s="39">
        <f t="shared" si="172"/>
        <v>4531486.68</v>
      </c>
      <c r="FI751" s="33">
        <f t="shared" si="173"/>
        <v>2</v>
      </c>
      <c r="FJ751" s="84">
        <f t="shared" si="174"/>
        <v>2265743.34</v>
      </c>
    </row>
    <row r="752" spans="1:166" x14ac:dyDescent="0.25">
      <c r="A752" s="79" t="e">
        <f>#REF!</f>
        <v>#REF!</v>
      </c>
      <c r="B752" s="75" t="e">
        <f>#REF!</f>
        <v>#REF!</v>
      </c>
      <c r="C752" s="75" t="e">
        <f>#REF!</f>
        <v>#REF!</v>
      </c>
      <c r="D752" s="75" t="e">
        <f>#REF!</f>
        <v>#REF!</v>
      </c>
      <c r="E752" s="30">
        <v>1</v>
      </c>
      <c r="F752" s="238">
        <v>0</v>
      </c>
      <c r="G752" s="241">
        <v>0</v>
      </c>
      <c r="H752" s="249">
        <v>0</v>
      </c>
      <c r="I752" s="249">
        <v>0</v>
      </c>
      <c r="J752" s="249">
        <v>0</v>
      </c>
      <c r="K752" s="249">
        <v>0</v>
      </c>
      <c r="L752" s="274"/>
      <c r="M752" s="274"/>
      <c r="N752" s="246"/>
      <c r="O752" s="118"/>
      <c r="P752" s="118"/>
      <c r="Q752" s="52"/>
      <c r="R752" s="52"/>
      <c r="S752" s="5"/>
      <c r="T752" s="118"/>
      <c r="U752" s="118"/>
      <c r="V752" s="118"/>
      <c r="W752" s="11"/>
      <c r="X752" s="11"/>
      <c r="Y752" s="11"/>
      <c r="Z752" s="118"/>
      <c r="AA752" s="118"/>
      <c r="AB752" s="118"/>
      <c r="AC752" s="52"/>
      <c r="AD752" s="52"/>
      <c r="AE752" s="11"/>
      <c r="AF752" s="118"/>
      <c r="AG752" s="118"/>
      <c r="AH752" s="118"/>
      <c r="AI752" s="11"/>
      <c r="AJ752" s="11"/>
      <c r="AK752" s="11"/>
      <c r="AL752" s="118"/>
      <c r="AM752" s="118"/>
      <c r="AN752" s="118"/>
      <c r="AO752" s="76"/>
      <c r="AP752" s="11"/>
      <c r="AQ752" s="11"/>
      <c r="AR752" s="274"/>
      <c r="AS752" s="274"/>
      <c r="AT752" s="274"/>
      <c r="AU752" s="62"/>
      <c r="AV752" s="48"/>
      <c r="AW752" s="11"/>
      <c r="AX752" s="274"/>
      <c r="AY752" s="274"/>
      <c r="AZ752" s="274"/>
      <c r="BA752" s="11"/>
      <c r="BB752" s="11"/>
      <c r="BC752" s="11"/>
      <c r="BD752" s="274"/>
      <c r="BE752" s="274"/>
      <c r="BF752" s="274"/>
      <c r="BG752" s="11"/>
      <c r="BH752" s="11"/>
      <c r="BI752" s="11"/>
      <c r="BJ752" s="274"/>
      <c r="BK752" s="274"/>
      <c r="BL752" s="274"/>
      <c r="BM752" s="11"/>
      <c r="BN752" s="11"/>
      <c r="BO752" s="11"/>
      <c r="BP752" s="274"/>
      <c r="BQ752" s="11"/>
      <c r="BR752" s="11"/>
      <c r="BS752" s="11"/>
      <c r="BT752" s="11"/>
      <c r="BU752" s="11"/>
      <c r="BV752" s="210"/>
      <c r="BW752" s="144"/>
      <c r="BX752" s="113"/>
      <c r="BY752" s="273"/>
      <c r="BZ752" s="273"/>
      <c r="CA752" s="11"/>
      <c r="CB752" s="274"/>
      <c r="CC752" s="274"/>
      <c r="CD752" s="274"/>
      <c r="CE752" s="11"/>
      <c r="CF752" s="11"/>
      <c r="CG752" s="11"/>
      <c r="CH752" s="210"/>
      <c r="CI752" s="219"/>
      <c r="CJ752" s="210"/>
      <c r="CK752" s="273"/>
      <c r="CL752" s="273"/>
      <c r="CM752" s="11"/>
      <c r="CN752" s="274"/>
      <c r="CO752" s="274"/>
      <c r="CP752" s="274"/>
      <c r="CQ752" s="11"/>
      <c r="CR752" s="11"/>
      <c r="CS752" s="11"/>
      <c r="CT752" s="11"/>
      <c r="CU752" s="11"/>
      <c r="CV752" s="11"/>
      <c r="CW752" s="11"/>
      <c r="CX752" s="11"/>
      <c r="CY752" s="11"/>
      <c r="CZ752" s="118"/>
      <c r="DA752" s="144"/>
      <c r="DB752" s="118"/>
      <c r="DC752" s="33"/>
      <c r="DD752" s="11"/>
      <c r="DE752" s="11"/>
      <c r="DF752" s="11"/>
      <c r="DG752" s="11"/>
      <c r="DH752" s="11"/>
      <c r="DI752" s="11"/>
      <c r="DJ752" s="11"/>
      <c r="DK752" s="11"/>
      <c r="DL752" s="11"/>
      <c r="DM752" s="11"/>
      <c r="DN752" s="11"/>
      <c r="DO752" s="11"/>
      <c r="DP752" s="11"/>
      <c r="DQ752" s="11"/>
      <c r="DR752" s="11"/>
      <c r="DS752" s="11"/>
      <c r="DT752" s="11"/>
      <c r="DU752" s="11"/>
      <c r="DV752" s="11"/>
      <c r="DW752" s="11"/>
      <c r="DX752" s="11"/>
      <c r="DY752" s="11"/>
      <c r="DZ752" s="11"/>
      <c r="EA752" s="11"/>
      <c r="EB752" s="11"/>
      <c r="EC752" s="11"/>
      <c r="ED752" s="11"/>
      <c r="EE752" s="11"/>
      <c r="EF752" s="11"/>
      <c r="EG752" s="11"/>
      <c r="EH752" s="11"/>
      <c r="EI752" s="11"/>
      <c r="EJ752" s="11"/>
      <c r="EK752" s="11"/>
      <c r="EL752" s="11"/>
      <c r="EM752" s="11"/>
      <c r="EN752" s="11"/>
      <c r="EO752" s="11"/>
      <c r="EP752" s="11"/>
      <c r="EQ752" s="11"/>
      <c r="ER752" s="11"/>
      <c r="ES752" s="11"/>
      <c r="ET752" s="11"/>
      <c r="EU752" s="11"/>
      <c r="EV752" s="11"/>
      <c r="EW752" s="11"/>
      <c r="EX752" s="11"/>
      <c r="EY752" s="11"/>
      <c r="EZ752" s="11"/>
      <c r="FA752" s="11"/>
      <c r="FB752" s="11"/>
      <c r="FC752" s="11"/>
      <c r="FD752" s="11"/>
      <c r="FE752" s="11"/>
      <c r="FF752" s="11"/>
      <c r="FG752" s="11"/>
      <c r="FH752" s="39">
        <f t="shared" si="172"/>
        <v>0</v>
      </c>
      <c r="FI752" s="33">
        <f t="shared" si="173"/>
        <v>0</v>
      </c>
      <c r="FJ752" s="84" t="str">
        <f t="shared" si="174"/>
        <v xml:space="preserve"> </v>
      </c>
    </row>
    <row r="753" spans="1:166" ht="40.5" x14ac:dyDescent="0.25">
      <c r="A753" s="79" t="e">
        <f>#REF!</f>
        <v>#REF!</v>
      </c>
      <c r="B753" s="75" t="e">
        <f>#REF!</f>
        <v>#REF!</v>
      </c>
      <c r="C753" s="75" t="e">
        <f>#REF!</f>
        <v>#REF!</v>
      </c>
      <c r="D753" s="75" t="e">
        <f>#REF!</f>
        <v>#REF!</v>
      </c>
      <c r="E753" s="30">
        <v>1</v>
      </c>
      <c r="F753" s="238">
        <v>0</v>
      </c>
      <c r="G753" s="241">
        <v>0</v>
      </c>
      <c r="H753" s="249">
        <v>0</v>
      </c>
      <c r="I753" s="249">
        <v>0</v>
      </c>
      <c r="J753" s="249">
        <v>0</v>
      </c>
      <c r="K753" s="249">
        <v>0</v>
      </c>
      <c r="L753" s="274"/>
      <c r="M753" s="274"/>
      <c r="N753" s="246"/>
      <c r="O753" s="118"/>
      <c r="P753" s="118"/>
      <c r="Q753" s="52"/>
      <c r="R753" s="52"/>
      <c r="S753" s="5"/>
      <c r="T753" s="118"/>
      <c r="U753" s="118"/>
      <c r="V753" s="118"/>
      <c r="W753" s="11"/>
      <c r="X753" s="11"/>
      <c r="Y753" s="11"/>
      <c r="Z753" s="118"/>
      <c r="AA753" s="118"/>
      <c r="AB753" s="118"/>
      <c r="AC753" s="52"/>
      <c r="AD753" s="52"/>
      <c r="AE753" s="11"/>
      <c r="AF753" s="118"/>
      <c r="AG753" s="118"/>
      <c r="AH753" s="118"/>
      <c r="AI753" s="11"/>
      <c r="AJ753" s="11"/>
      <c r="AK753" s="11"/>
      <c r="AL753" s="118"/>
      <c r="AM753" s="118"/>
      <c r="AN753" s="118"/>
      <c r="AO753" s="76"/>
      <c r="AP753" s="11"/>
      <c r="AQ753" s="11"/>
      <c r="AR753" s="274"/>
      <c r="AS753" s="274"/>
      <c r="AT753" s="274"/>
      <c r="AU753" s="62"/>
      <c r="AV753" s="48"/>
      <c r="AW753" s="11"/>
      <c r="AX753" s="274"/>
      <c r="AY753" s="274"/>
      <c r="AZ753" s="274"/>
      <c r="BA753" s="11"/>
      <c r="BB753" s="11"/>
      <c r="BC753" s="11"/>
      <c r="BD753" s="274"/>
      <c r="BE753" s="274"/>
      <c r="BF753" s="274"/>
      <c r="BG753" s="11"/>
      <c r="BH753" s="11"/>
      <c r="BI753" s="11"/>
      <c r="BJ753" s="274"/>
      <c r="BK753" s="274"/>
      <c r="BL753" s="274"/>
      <c r="BM753" s="11"/>
      <c r="BN753" s="11"/>
      <c r="BO753" s="11"/>
      <c r="BP753" s="274"/>
      <c r="BQ753" s="11"/>
      <c r="BR753" s="11"/>
      <c r="BS753" s="11"/>
      <c r="BT753" s="11"/>
      <c r="BU753" s="11"/>
      <c r="BV753" s="268">
        <v>7387600</v>
      </c>
      <c r="BW753" s="144">
        <f>BV753*19%</f>
        <v>1403644</v>
      </c>
      <c r="BX753" s="113">
        <f>+BV753+BW753</f>
        <v>8791244</v>
      </c>
      <c r="BY753" s="272" t="s">
        <v>325</v>
      </c>
      <c r="BZ753" s="272" t="s">
        <v>548</v>
      </c>
      <c r="CA753" s="11"/>
      <c r="CB753" s="274"/>
      <c r="CC753" s="274"/>
      <c r="CD753" s="274"/>
      <c r="CE753" s="11"/>
      <c r="CF753" s="11"/>
      <c r="CG753" s="11"/>
      <c r="CH753" s="268">
        <v>7461476</v>
      </c>
      <c r="CI753" s="265">
        <f>+CH753*0.19</f>
        <v>1417680.44</v>
      </c>
      <c r="CJ753" s="263">
        <f>+CH753+CI753</f>
        <v>8879156.4399999995</v>
      </c>
      <c r="CK753" s="272" t="s">
        <v>325</v>
      </c>
      <c r="CL753" s="272" t="s">
        <v>548</v>
      </c>
      <c r="CM753" s="11"/>
      <c r="CN753" s="274"/>
      <c r="CO753" s="274"/>
      <c r="CP753" s="274"/>
      <c r="CQ753" s="11"/>
      <c r="CR753" s="11"/>
      <c r="CS753" s="11"/>
      <c r="CT753" s="11"/>
      <c r="CU753" s="11"/>
      <c r="CV753" s="11"/>
      <c r="CW753" s="11"/>
      <c r="CX753" s="11"/>
      <c r="CY753" s="11"/>
      <c r="CZ753" s="118"/>
      <c r="DA753" s="144"/>
      <c r="DB753" s="118"/>
      <c r="DC753" s="33"/>
      <c r="DD753" s="11"/>
      <c r="DE753" s="11"/>
      <c r="DF753" s="11"/>
      <c r="DG753" s="11"/>
      <c r="DH753" s="11"/>
      <c r="DI753" s="11"/>
      <c r="DJ753" s="11"/>
      <c r="DK753" s="11"/>
      <c r="DL753" s="11"/>
      <c r="DM753" s="11"/>
      <c r="DN753" s="11"/>
      <c r="DO753" s="11"/>
      <c r="DP753" s="11"/>
      <c r="DQ753" s="11"/>
      <c r="DR753" s="11"/>
      <c r="DS753" s="11"/>
      <c r="DT753" s="11"/>
      <c r="DU753" s="11"/>
      <c r="DV753" s="11"/>
      <c r="DW753" s="11"/>
      <c r="DX753" s="11"/>
      <c r="DY753" s="11"/>
      <c r="DZ753" s="11"/>
      <c r="EA753" s="11"/>
      <c r="EB753" s="11"/>
      <c r="EC753" s="11"/>
      <c r="ED753" s="11"/>
      <c r="EE753" s="11"/>
      <c r="EF753" s="11"/>
      <c r="EG753" s="11"/>
      <c r="EH753" s="11"/>
      <c r="EI753" s="11"/>
      <c r="EJ753" s="11"/>
      <c r="EK753" s="11"/>
      <c r="EL753" s="11"/>
      <c r="EM753" s="11"/>
      <c r="EN753" s="11"/>
      <c r="EO753" s="11"/>
      <c r="EP753" s="11"/>
      <c r="EQ753" s="11"/>
      <c r="ER753" s="11"/>
      <c r="ES753" s="11"/>
      <c r="ET753" s="11"/>
      <c r="EU753" s="11"/>
      <c r="EV753" s="11"/>
      <c r="EW753" s="11"/>
      <c r="EX753" s="11"/>
      <c r="EY753" s="11"/>
      <c r="EZ753" s="11"/>
      <c r="FA753" s="11"/>
      <c r="FB753" s="11"/>
      <c r="FC753" s="11"/>
      <c r="FD753" s="11"/>
      <c r="FE753" s="11"/>
      <c r="FF753" s="11"/>
      <c r="FG753" s="11"/>
      <c r="FH753" s="39">
        <f t="shared" si="172"/>
        <v>17670400.439999998</v>
      </c>
      <c r="FI753" s="33">
        <f t="shared" si="173"/>
        <v>2</v>
      </c>
      <c r="FJ753" s="84">
        <f t="shared" si="174"/>
        <v>8835200.2199999988</v>
      </c>
    </row>
    <row r="754" spans="1:166" ht="40.5" x14ac:dyDescent="0.25">
      <c r="A754" s="79" t="e">
        <f>#REF!</f>
        <v>#REF!</v>
      </c>
      <c r="B754" s="75" t="e">
        <f>#REF!</f>
        <v>#REF!</v>
      </c>
      <c r="C754" s="75" t="e">
        <f>#REF!</f>
        <v>#REF!</v>
      </c>
      <c r="D754" s="75" t="e">
        <f>#REF!</f>
        <v>#REF!</v>
      </c>
      <c r="E754" s="30">
        <v>1</v>
      </c>
      <c r="F754" s="238">
        <v>0</v>
      </c>
      <c r="G754" s="241">
        <v>0</v>
      </c>
      <c r="H754" s="249">
        <v>0</v>
      </c>
      <c r="I754" s="249">
        <v>0</v>
      </c>
      <c r="J754" s="249">
        <v>0</v>
      </c>
      <c r="K754" s="249">
        <v>0</v>
      </c>
      <c r="L754" s="274"/>
      <c r="M754" s="274"/>
      <c r="N754" s="246"/>
      <c r="O754" s="118"/>
      <c r="P754" s="118"/>
      <c r="Q754" s="52"/>
      <c r="R754" s="52"/>
      <c r="S754" s="5"/>
      <c r="T754" s="118"/>
      <c r="U754" s="118"/>
      <c r="V754" s="118"/>
      <c r="W754" s="11"/>
      <c r="X754" s="11"/>
      <c r="Y754" s="11"/>
      <c r="Z754" s="118"/>
      <c r="AA754" s="118"/>
      <c r="AB754" s="118"/>
      <c r="AC754" s="52"/>
      <c r="AD754" s="52"/>
      <c r="AE754" s="11"/>
      <c r="AF754" s="118"/>
      <c r="AG754" s="118"/>
      <c r="AH754" s="118"/>
      <c r="AI754" s="11"/>
      <c r="AJ754" s="11"/>
      <c r="AK754" s="11"/>
      <c r="AL754" s="118"/>
      <c r="AM754" s="118"/>
      <c r="AN754" s="118"/>
      <c r="AO754" s="76"/>
      <c r="AP754" s="11"/>
      <c r="AQ754" s="11"/>
      <c r="AR754" s="274"/>
      <c r="AS754" s="274"/>
      <c r="AT754" s="274"/>
      <c r="AU754" s="62"/>
      <c r="AV754" s="48"/>
      <c r="AW754" s="11"/>
      <c r="AX754" s="274"/>
      <c r="AY754" s="274"/>
      <c r="AZ754" s="274"/>
      <c r="BA754" s="11"/>
      <c r="BB754" s="11"/>
      <c r="BC754" s="11"/>
      <c r="BD754" s="274"/>
      <c r="BE754" s="274"/>
      <c r="BF754" s="274"/>
      <c r="BG754" s="11"/>
      <c r="BH754" s="11"/>
      <c r="BI754" s="11"/>
      <c r="BJ754" s="274"/>
      <c r="BK754" s="274"/>
      <c r="BL754" s="274"/>
      <c r="BM754" s="11"/>
      <c r="BN754" s="11"/>
      <c r="BO754" s="11"/>
      <c r="BP754" s="274"/>
      <c r="BQ754" s="11"/>
      <c r="BR754" s="11"/>
      <c r="BS754" s="11"/>
      <c r="BT754" s="11"/>
      <c r="BU754" s="11"/>
      <c r="BV754" s="268">
        <v>6336400</v>
      </c>
      <c r="BW754" s="144">
        <f>BV754*19%</f>
        <v>1203916</v>
      </c>
      <c r="BX754" s="113">
        <f>+BV754+BW754</f>
        <v>7540316</v>
      </c>
      <c r="BY754" s="272" t="s">
        <v>325</v>
      </c>
      <c r="BZ754" s="272" t="s">
        <v>548</v>
      </c>
      <c r="CA754" s="11"/>
      <c r="CB754" s="274"/>
      <c r="CC754" s="274"/>
      <c r="CD754" s="274"/>
      <c r="CE754" s="11"/>
      <c r="CF754" s="11"/>
      <c r="CG754" s="11"/>
      <c r="CH754" s="268">
        <v>6526492</v>
      </c>
      <c r="CI754" s="265">
        <f>+CH754*0.19</f>
        <v>1240033.48</v>
      </c>
      <c r="CJ754" s="263">
        <f>+CH754+CI754</f>
        <v>7766525.4800000004</v>
      </c>
      <c r="CK754" s="272" t="s">
        <v>325</v>
      </c>
      <c r="CL754" s="272" t="s">
        <v>548</v>
      </c>
      <c r="CM754" s="11"/>
      <c r="CN754" s="274"/>
      <c r="CO754" s="274"/>
      <c r="CP754" s="274"/>
      <c r="CQ754" s="11"/>
      <c r="CR754" s="11"/>
      <c r="CS754" s="11"/>
      <c r="CT754" s="11"/>
      <c r="CU754" s="11"/>
      <c r="CV754" s="11"/>
      <c r="CW754" s="11"/>
      <c r="CX754" s="11"/>
      <c r="CY754" s="11"/>
      <c r="CZ754" s="118"/>
      <c r="DA754" s="144"/>
      <c r="DB754" s="118"/>
      <c r="DC754" s="33"/>
      <c r="DD754" s="11"/>
      <c r="DE754" s="11"/>
      <c r="DF754" s="11"/>
      <c r="DG754" s="11"/>
      <c r="DH754" s="11"/>
      <c r="DI754" s="11"/>
      <c r="DJ754" s="11"/>
      <c r="DK754" s="11"/>
      <c r="DL754" s="11"/>
      <c r="DM754" s="11"/>
      <c r="DN754" s="11"/>
      <c r="DO754" s="11"/>
      <c r="DP754" s="11"/>
      <c r="DQ754" s="11"/>
      <c r="DR754" s="11"/>
      <c r="DS754" s="11"/>
      <c r="DT754" s="11"/>
      <c r="DU754" s="11"/>
      <c r="DV754" s="11"/>
      <c r="DW754" s="11"/>
      <c r="DX754" s="11"/>
      <c r="DY754" s="11"/>
      <c r="DZ754" s="11"/>
      <c r="EA754" s="11"/>
      <c r="EB754" s="11"/>
      <c r="EC754" s="11"/>
      <c r="ED754" s="11"/>
      <c r="EE754" s="11"/>
      <c r="EF754" s="11"/>
      <c r="EG754" s="11"/>
      <c r="EH754" s="11"/>
      <c r="EI754" s="11"/>
      <c r="EJ754" s="11"/>
      <c r="EK754" s="11"/>
      <c r="EL754" s="11"/>
      <c r="EM754" s="11"/>
      <c r="EN754" s="11"/>
      <c r="EO754" s="11"/>
      <c r="EP754" s="11"/>
      <c r="EQ754" s="11"/>
      <c r="ER754" s="11"/>
      <c r="ES754" s="11"/>
      <c r="ET754" s="11"/>
      <c r="EU754" s="11"/>
      <c r="EV754" s="11"/>
      <c r="EW754" s="11"/>
      <c r="EX754" s="11"/>
      <c r="EY754" s="11"/>
      <c r="EZ754" s="11"/>
      <c r="FA754" s="11"/>
      <c r="FB754" s="11"/>
      <c r="FC754" s="11"/>
      <c r="FD754" s="11"/>
      <c r="FE754" s="11"/>
      <c r="FF754" s="11"/>
      <c r="FG754" s="11"/>
      <c r="FH754" s="39">
        <f t="shared" si="172"/>
        <v>15306841.48</v>
      </c>
      <c r="FI754" s="33">
        <f t="shared" si="173"/>
        <v>2</v>
      </c>
      <c r="FJ754" s="84">
        <f t="shared" si="174"/>
        <v>7653420.7400000002</v>
      </c>
    </row>
    <row r="755" spans="1:166" x14ac:dyDescent="0.25">
      <c r="A755" s="79" t="e">
        <f>#REF!</f>
        <v>#REF!</v>
      </c>
      <c r="B755" s="75" t="e">
        <f>#REF!</f>
        <v>#REF!</v>
      </c>
      <c r="C755" s="75" t="e">
        <f>#REF!</f>
        <v>#REF!</v>
      </c>
      <c r="D755" s="75" t="e">
        <f>#REF!</f>
        <v>#REF!</v>
      </c>
      <c r="E755" s="30">
        <v>1</v>
      </c>
      <c r="F755" s="238">
        <v>0</v>
      </c>
      <c r="G755" s="241">
        <v>0</v>
      </c>
      <c r="H755" s="249">
        <v>0</v>
      </c>
      <c r="I755" s="249">
        <v>0</v>
      </c>
      <c r="J755" s="249">
        <v>0</v>
      </c>
      <c r="K755" s="249">
        <v>0</v>
      </c>
      <c r="L755" s="274"/>
      <c r="M755" s="274"/>
      <c r="N755" s="246"/>
      <c r="O755" s="118"/>
      <c r="P755" s="118"/>
      <c r="Q755" s="52"/>
      <c r="R755" s="52"/>
      <c r="S755" s="5"/>
      <c r="T755" s="118"/>
      <c r="U755" s="118"/>
      <c r="V755" s="118"/>
      <c r="W755" s="11"/>
      <c r="X755" s="11"/>
      <c r="Y755" s="11"/>
      <c r="Z755" s="118"/>
      <c r="AA755" s="118"/>
      <c r="AB755" s="118"/>
      <c r="AC755" s="52"/>
      <c r="AD755" s="52"/>
      <c r="AE755" s="11"/>
      <c r="AF755" s="118"/>
      <c r="AG755" s="118"/>
      <c r="AH755" s="118"/>
      <c r="AI755" s="11"/>
      <c r="AJ755" s="11"/>
      <c r="AK755" s="11"/>
      <c r="AL755" s="118"/>
      <c r="AM755" s="118"/>
      <c r="AN755" s="118"/>
      <c r="AO755" s="76"/>
      <c r="AP755" s="11"/>
      <c r="AQ755" s="11"/>
      <c r="AR755" s="274"/>
      <c r="AS755" s="274"/>
      <c r="AT755" s="274"/>
      <c r="AU755" s="62"/>
      <c r="AV755" s="48"/>
      <c r="AW755" s="11"/>
      <c r="AX755" s="274"/>
      <c r="AY755" s="274"/>
      <c r="AZ755" s="274"/>
      <c r="BA755" s="11"/>
      <c r="BB755" s="11"/>
      <c r="BC755" s="11"/>
      <c r="BD755" s="274"/>
      <c r="BE755" s="274"/>
      <c r="BF755" s="274"/>
      <c r="BG755" s="11"/>
      <c r="BH755" s="11"/>
      <c r="BI755" s="11"/>
      <c r="BJ755" s="274"/>
      <c r="BK755" s="274"/>
      <c r="BL755" s="274"/>
      <c r="BM755" s="11"/>
      <c r="BN755" s="11"/>
      <c r="BO755" s="11"/>
      <c r="BP755" s="274"/>
      <c r="BQ755" s="11"/>
      <c r="BR755" s="11"/>
      <c r="BS755" s="11"/>
      <c r="BT755" s="11"/>
      <c r="BU755" s="11"/>
      <c r="BV755" s="210"/>
      <c r="BW755" s="144"/>
      <c r="BX755" s="113"/>
      <c r="BY755" s="273"/>
      <c r="BZ755" s="273"/>
      <c r="CA755" s="11"/>
      <c r="CB755" s="274"/>
      <c r="CC755" s="274"/>
      <c r="CD755" s="274"/>
      <c r="CE755" s="11"/>
      <c r="CF755" s="11"/>
      <c r="CG755" s="11"/>
      <c r="CH755" s="210"/>
      <c r="CI755" s="219"/>
      <c r="CJ755" s="210"/>
      <c r="CK755" s="273"/>
      <c r="CL755" s="273"/>
      <c r="CM755" s="11"/>
      <c r="CN755" s="274"/>
      <c r="CO755" s="274"/>
      <c r="CP755" s="274"/>
      <c r="CQ755" s="11"/>
      <c r="CR755" s="11"/>
      <c r="CS755" s="11"/>
      <c r="CT755" s="11"/>
      <c r="CU755" s="11"/>
      <c r="CV755" s="11"/>
      <c r="CW755" s="11"/>
      <c r="CX755" s="11"/>
      <c r="CY755" s="11"/>
      <c r="CZ755" s="118"/>
      <c r="DA755" s="144"/>
      <c r="DB755" s="118"/>
      <c r="DC755" s="33"/>
      <c r="DD755" s="11"/>
      <c r="DE755" s="11"/>
      <c r="DF755" s="11"/>
      <c r="DG755" s="11"/>
      <c r="DH755" s="11"/>
      <c r="DI755" s="11"/>
      <c r="DJ755" s="11"/>
      <c r="DK755" s="11"/>
      <c r="DL755" s="11"/>
      <c r="DM755" s="11"/>
      <c r="DN755" s="11"/>
      <c r="DO755" s="11"/>
      <c r="DP755" s="11"/>
      <c r="DQ755" s="11"/>
      <c r="DR755" s="11"/>
      <c r="DS755" s="11"/>
      <c r="DT755" s="11"/>
      <c r="DU755" s="11"/>
      <c r="DV755" s="11"/>
      <c r="DW755" s="11"/>
      <c r="DX755" s="11"/>
      <c r="DY755" s="11"/>
      <c r="DZ755" s="11"/>
      <c r="EA755" s="11"/>
      <c r="EB755" s="11"/>
      <c r="EC755" s="11"/>
      <c r="ED755" s="11"/>
      <c r="EE755" s="11"/>
      <c r="EF755" s="11"/>
      <c r="EG755" s="11"/>
      <c r="EH755" s="11"/>
      <c r="EI755" s="11"/>
      <c r="EJ755" s="11"/>
      <c r="EK755" s="11"/>
      <c r="EL755" s="11"/>
      <c r="EM755" s="11"/>
      <c r="EN755" s="11"/>
      <c r="EO755" s="11"/>
      <c r="EP755" s="11"/>
      <c r="EQ755" s="11"/>
      <c r="ER755" s="11"/>
      <c r="ES755" s="11"/>
      <c r="ET755" s="11"/>
      <c r="EU755" s="11"/>
      <c r="EV755" s="11"/>
      <c r="EW755" s="11"/>
      <c r="EX755" s="11"/>
      <c r="EY755" s="11"/>
      <c r="EZ755" s="11"/>
      <c r="FA755" s="11"/>
      <c r="FB755" s="11"/>
      <c r="FC755" s="11"/>
      <c r="FD755" s="11"/>
      <c r="FE755" s="11"/>
      <c r="FF755" s="11"/>
      <c r="FG755" s="11"/>
      <c r="FH755" s="39">
        <f t="shared" si="172"/>
        <v>0</v>
      </c>
      <c r="FI755" s="33">
        <f t="shared" si="173"/>
        <v>0</v>
      </c>
      <c r="FJ755" s="84" t="str">
        <f t="shared" si="174"/>
        <v xml:space="preserve"> </v>
      </c>
    </row>
    <row r="756" spans="1:166" ht="40.5" x14ac:dyDescent="0.25">
      <c r="A756" s="79" t="e">
        <f>#REF!</f>
        <v>#REF!</v>
      </c>
      <c r="B756" s="75" t="e">
        <f>#REF!</f>
        <v>#REF!</v>
      </c>
      <c r="C756" s="75" t="e">
        <f>#REF!</f>
        <v>#REF!</v>
      </c>
      <c r="D756" s="75" t="e">
        <f>#REF!</f>
        <v>#REF!</v>
      </c>
      <c r="E756" s="30">
        <v>1</v>
      </c>
      <c r="F756" s="238">
        <v>0</v>
      </c>
      <c r="G756" s="241">
        <v>0</v>
      </c>
      <c r="H756" s="249">
        <v>0</v>
      </c>
      <c r="I756" s="249">
        <v>0</v>
      </c>
      <c r="J756" s="249">
        <v>0</v>
      </c>
      <c r="K756" s="249">
        <v>0</v>
      </c>
      <c r="L756" s="274"/>
      <c r="M756" s="274"/>
      <c r="N756" s="246"/>
      <c r="O756" s="118"/>
      <c r="P756" s="118"/>
      <c r="Q756" s="52"/>
      <c r="R756" s="52"/>
      <c r="S756" s="5"/>
      <c r="T756" s="118"/>
      <c r="U756" s="118"/>
      <c r="V756" s="118"/>
      <c r="W756" s="11"/>
      <c r="X756" s="11"/>
      <c r="Y756" s="11"/>
      <c r="Z756" s="118"/>
      <c r="AA756" s="118"/>
      <c r="AB756" s="118"/>
      <c r="AC756" s="52"/>
      <c r="AD756" s="52"/>
      <c r="AE756" s="11"/>
      <c r="AF756" s="118"/>
      <c r="AG756" s="118"/>
      <c r="AH756" s="118"/>
      <c r="AI756" s="11"/>
      <c r="AJ756" s="11"/>
      <c r="AK756" s="11"/>
      <c r="AL756" s="118"/>
      <c r="AM756" s="118"/>
      <c r="AN756" s="118"/>
      <c r="AO756" s="76"/>
      <c r="AP756" s="11"/>
      <c r="AQ756" s="11"/>
      <c r="AR756" s="274"/>
      <c r="AS756" s="274"/>
      <c r="AT756" s="274"/>
      <c r="AU756" s="62"/>
      <c r="AV756" s="48"/>
      <c r="AW756" s="11"/>
      <c r="AX756" s="274"/>
      <c r="AY756" s="274"/>
      <c r="AZ756" s="274"/>
      <c r="BA756" s="11"/>
      <c r="BB756" s="11"/>
      <c r="BC756" s="11"/>
      <c r="BD756" s="274"/>
      <c r="BE756" s="274"/>
      <c r="BF756" s="274"/>
      <c r="BG756" s="11"/>
      <c r="BH756" s="11"/>
      <c r="BI756" s="11"/>
      <c r="BJ756" s="274"/>
      <c r="BK756" s="274"/>
      <c r="BL756" s="274"/>
      <c r="BM756" s="11"/>
      <c r="BN756" s="11"/>
      <c r="BO756" s="11"/>
      <c r="BP756" s="274"/>
      <c r="BQ756" s="11"/>
      <c r="BR756" s="11"/>
      <c r="BS756" s="11"/>
      <c r="BT756" s="11"/>
      <c r="BU756" s="11"/>
      <c r="BV756" s="268">
        <f>16279000/5</f>
        <v>3255800</v>
      </c>
      <c r="BW756" s="144">
        <f>BV756*19%</f>
        <v>618602</v>
      </c>
      <c r="BX756" s="113">
        <f>+BV756+BW756</f>
        <v>3874402</v>
      </c>
      <c r="BY756" s="272" t="s">
        <v>559</v>
      </c>
      <c r="BZ756" s="272" t="s">
        <v>548</v>
      </c>
      <c r="CA756" s="11"/>
      <c r="CB756" s="274"/>
      <c r="CC756" s="274"/>
      <c r="CD756" s="274"/>
      <c r="CE756" s="11"/>
      <c r="CF756" s="11"/>
      <c r="CG756" s="11"/>
      <c r="CH756" s="268">
        <f>16930160/5</f>
        <v>3386032</v>
      </c>
      <c r="CI756" s="265">
        <f>+CH756*0.19</f>
        <v>643346.07999999996</v>
      </c>
      <c r="CJ756" s="263">
        <f>+CH756+CI756</f>
        <v>4029378.08</v>
      </c>
      <c r="CK756" s="272" t="s">
        <v>559</v>
      </c>
      <c r="CL756" s="272" t="s">
        <v>548</v>
      </c>
      <c r="CM756" s="11"/>
      <c r="CN756" s="274"/>
      <c r="CO756" s="274"/>
      <c r="CP756" s="274"/>
      <c r="CQ756" s="11"/>
      <c r="CR756" s="11"/>
      <c r="CS756" s="11"/>
      <c r="CT756" s="11"/>
      <c r="CU756" s="11"/>
      <c r="CV756" s="11"/>
      <c r="CW756" s="11"/>
      <c r="CX756" s="11"/>
      <c r="CY756" s="11"/>
      <c r="CZ756" s="118"/>
      <c r="DA756" s="144"/>
      <c r="DB756" s="118"/>
      <c r="DC756" s="33"/>
      <c r="DD756" s="11"/>
      <c r="DE756" s="11"/>
      <c r="DF756" s="11"/>
      <c r="DG756" s="11"/>
      <c r="DH756" s="11"/>
      <c r="DI756" s="11"/>
      <c r="DJ756" s="11"/>
      <c r="DK756" s="11"/>
      <c r="DL756" s="11"/>
      <c r="DM756" s="11"/>
      <c r="DN756" s="11"/>
      <c r="DO756" s="11"/>
      <c r="DP756" s="11"/>
      <c r="DQ756" s="11"/>
      <c r="DR756" s="11"/>
      <c r="DS756" s="11"/>
      <c r="DT756" s="11"/>
      <c r="DU756" s="11"/>
      <c r="DV756" s="11"/>
      <c r="DW756" s="11"/>
      <c r="DX756" s="11"/>
      <c r="DY756" s="11"/>
      <c r="DZ756" s="11"/>
      <c r="EA756" s="11"/>
      <c r="EB756" s="11"/>
      <c r="EC756" s="11"/>
      <c r="ED756" s="11"/>
      <c r="EE756" s="11"/>
      <c r="EF756" s="11"/>
      <c r="EG756" s="11"/>
      <c r="EH756" s="11"/>
      <c r="EI756" s="11"/>
      <c r="EJ756" s="11"/>
      <c r="EK756" s="11"/>
      <c r="EL756" s="11"/>
      <c r="EM756" s="11"/>
      <c r="EN756" s="11"/>
      <c r="EO756" s="11"/>
      <c r="EP756" s="11"/>
      <c r="EQ756" s="11"/>
      <c r="ER756" s="11"/>
      <c r="ES756" s="11"/>
      <c r="ET756" s="11"/>
      <c r="EU756" s="11"/>
      <c r="EV756" s="11"/>
      <c r="EW756" s="11"/>
      <c r="EX756" s="11"/>
      <c r="EY756" s="11"/>
      <c r="EZ756" s="11"/>
      <c r="FA756" s="11"/>
      <c r="FB756" s="11"/>
      <c r="FC756" s="11"/>
      <c r="FD756" s="11"/>
      <c r="FE756" s="11"/>
      <c r="FF756" s="11"/>
      <c r="FG756" s="11"/>
      <c r="FH756" s="39">
        <f t="shared" si="172"/>
        <v>7903780.0800000001</v>
      </c>
      <c r="FI756" s="33">
        <f t="shared" si="173"/>
        <v>2</v>
      </c>
      <c r="FJ756" s="84">
        <f t="shared" si="174"/>
        <v>3951890.04</v>
      </c>
    </row>
    <row r="757" spans="1:166" x14ac:dyDescent="0.25">
      <c r="A757" s="79" t="e">
        <f>#REF!</f>
        <v>#REF!</v>
      </c>
      <c r="B757" s="75" t="e">
        <f>#REF!</f>
        <v>#REF!</v>
      </c>
      <c r="C757" s="75" t="e">
        <f>#REF!</f>
        <v>#REF!</v>
      </c>
      <c r="D757" s="75" t="e">
        <f>#REF!</f>
        <v>#REF!</v>
      </c>
      <c r="E757" s="30">
        <v>1</v>
      </c>
      <c r="F757" s="238">
        <v>0</v>
      </c>
      <c r="G757" s="241">
        <v>0</v>
      </c>
      <c r="H757" s="249">
        <v>0</v>
      </c>
      <c r="I757" s="249">
        <v>0</v>
      </c>
      <c r="J757" s="249">
        <v>0</v>
      </c>
      <c r="K757" s="249">
        <v>0</v>
      </c>
      <c r="L757" s="274"/>
      <c r="M757" s="274"/>
      <c r="N757" s="246"/>
      <c r="O757" s="118"/>
      <c r="P757" s="118"/>
      <c r="Q757" s="52"/>
      <c r="R757" s="52"/>
      <c r="S757" s="5"/>
      <c r="T757" s="118"/>
      <c r="U757" s="118"/>
      <c r="V757" s="118"/>
      <c r="W757" s="11"/>
      <c r="X757" s="11"/>
      <c r="Y757" s="11"/>
      <c r="Z757" s="118"/>
      <c r="AA757" s="118"/>
      <c r="AB757" s="118"/>
      <c r="AC757" s="52"/>
      <c r="AD757" s="52"/>
      <c r="AE757" s="11"/>
      <c r="AF757" s="118"/>
      <c r="AG757" s="118"/>
      <c r="AH757" s="118"/>
      <c r="AI757" s="11"/>
      <c r="AJ757" s="11"/>
      <c r="AK757" s="11"/>
      <c r="AL757" s="118"/>
      <c r="AM757" s="118"/>
      <c r="AN757" s="118"/>
      <c r="AO757" s="76"/>
      <c r="AP757" s="11"/>
      <c r="AQ757" s="11"/>
      <c r="AR757" s="274"/>
      <c r="AS757" s="274"/>
      <c r="AT757" s="274"/>
      <c r="AU757" s="62"/>
      <c r="AV757" s="48"/>
      <c r="AW757" s="11"/>
      <c r="AX757" s="274"/>
      <c r="AY757" s="274"/>
      <c r="AZ757" s="274"/>
      <c r="BA757" s="11"/>
      <c r="BB757" s="11"/>
      <c r="BC757" s="11"/>
      <c r="BD757" s="274"/>
      <c r="BE757" s="274"/>
      <c r="BF757" s="274"/>
      <c r="BG757" s="11"/>
      <c r="BH757" s="11"/>
      <c r="BI757" s="11"/>
      <c r="BJ757" s="274"/>
      <c r="BK757" s="274"/>
      <c r="BL757" s="274"/>
      <c r="BM757" s="11"/>
      <c r="BN757" s="11"/>
      <c r="BO757" s="11"/>
      <c r="BP757" s="274"/>
      <c r="BQ757" s="11"/>
      <c r="BR757" s="11"/>
      <c r="BS757" s="11"/>
      <c r="BT757" s="11"/>
      <c r="BU757" s="11"/>
      <c r="BV757" s="210"/>
      <c r="BW757" s="144"/>
      <c r="BX757" s="113"/>
      <c r="BY757" s="273"/>
      <c r="BZ757" s="273"/>
      <c r="CA757" s="11"/>
      <c r="CB757" s="274"/>
      <c r="CC757" s="274"/>
      <c r="CD757" s="274"/>
      <c r="CE757" s="11"/>
      <c r="CF757" s="11"/>
      <c r="CG757" s="11"/>
      <c r="CH757" s="210"/>
      <c r="CI757" s="219"/>
      <c r="CJ757" s="210"/>
      <c r="CK757" s="273"/>
      <c r="CL757" s="273"/>
      <c r="CM757" s="11"/>
      <c r="CN757" s="274"/>
      <c r="CO757" s="274"/>
      <c r="CP757" s="274"/>
      <c r="CQ757" s="11"/>
      <c r="CR757" s="11"/>
      <c r="CS757" s="11"/>
      <c r="CT757" s="11"/>
      <c r="CU757" s="11"/>
      <c r="CV757" s="11"/>
      <c r="CW757" s="11"/>
      <c r="CX757" s="11"/>
      <c r="CY757" s="11"/>
      <c r="CZ757" s="118"/>
      <c r="DA757" s="144"/>
      <c r="DB757" s="118"/>
      <c r="DC757" s="33"/>
      <c r="DD757" s="11"/>
      <c r="DE757" s="11"/>
      <c r="DF757" s="11"/>
      <c r="DG757" s="11"/>
      <c r="DH757" s="11"/>
      <c r="DI757" s="11"/>
      <c r="DJ757" s="11"/>
      <c r="DK757" s="11"/>
      <c r="DL757" s="11"/>
      <c r="DM757" s="11"/>
      <c r="DN757" s="11"/>
      <c r="DO757" s="11"/>
      <c r="DP757" s="11"/>
      <c r="DQ757" s="11"/>
      <c r="DR757" s="11"/>
      <c r="DS757" s="11"/>
      <c r="DT757" s="11"/>
      <c r="DU757" s="11"/>
      <c r="DV757" s="11"/>
      <c r="DW757" s="11"/>
      <c r="DX757" s="11"/>
      <c r="DY757" s="11"/>
      <c r="DZ757" s="11"/>
      <c r="EA757" s="11"/>
      <c r="EB757" s="11"/>
      <c r="EC757" s="11"/>
      <c r="ED757" s="11"/>
      <c r="EE757" s="11"/>
      <c r="EF757" s="11"/>
      <c r="EG757" s="11"/>
      <c r="EH757" s="11"/>
      <c r="EI757" s="11"/>
      <c r="EJ757" s="11"/>
      <c r="EK757" s="11"/>
      <c r="EL757" s="11"/>
      <c r="EM757" s="11"/>
      <c r="EN757" s="11"/>
      <c r="EO757" s="11"/>
      <c r="EP757" s="11"/>
      <c r="EQ757" s="11"/>
      <c r="ER757" s="11"/>
      <c r="ES757" s="11"/>
      <c r="ET757" s="11"/>
      <c r="EU757" s="11"/>
      <c r="EV757" s="11"/>
      <c r="EW757" s="11"/>
      <c r="EX757" s="11"/>
      <c r="EY757" s="11"/>
      <c r="EZ757" s="11"/>
      <c r="FA757" s="11"/>
      <c r="FB757" s="11"/>
      <c r="FC757" s="11"/>
      <c r="FD757" s="11"/>
      <c r="FE757" s="11"/>
      <c r="FF757" s="11"/>
      <c r="FG757" s="11"/>
      <c r="FH757" s="39">
        <f t="shared" si="172"/>
        <v>0</v>
      </c>
      <c r="FI757" s="33">
        <f t="shared" si="173"/>
        <v>0</v>
      </c>
      <c r="FJ757" s="84" t="str">
        <f t="shared" si="174"/>
        <v xml:space="preserve"> </v>
      </c>
    </row>
    <row r="758" spans="1:166" x14ac:dyDescent="0.25">
      <c r="A758" s="79" t="e">
        <f>#REF!</f>
        <v>#REF!</v>
      </c>
      <c r="B758" s="75" t="e">
        <f>#REF!</f>
        <v>#REF!</v>
      </c>
      <c r="C758" s="75" t="e">
        <f>#REF!</f>
        <v>#REF!</v>
      </c>
      <c r="D758" s="75" t="e">
        <f>#REF!</f>
        <v>#REF!</v>
      </c>
      <c r="E758" s="30">
        <v>1</v>
      </c>
      <c r="F758" s="238">
        <v>0</v>
      </c>
      <c r="G758" s="241">
        <v>0</v>
      </c>
      <c r="H758" s="249">
        <v>0</v>
      </c>
      <c r="I758" s="249">
        <v>0</v>
      </c>
      <c r="J758" s="249">
        <v>0</v>
      </c>
      <c r="K758" s="249">
        <v>0</v>
      </c>
      <c r="L758" s="274"/>
      <c r="M758" s="274"/>
      <c r="N758" s="246"/>
      <c r="O758" s="118"/>
      <c r="P758" s="118"/>
      <c r="Q758" s="52"/>
      <c r="R758" s="52"/>
      <c r="S758" s="5"/>
      <c r="T758" s="118"/>
      <c r="U758" s="118"/>
      <c r="V758" s="118"/>
      <c r="W758" s="11"/>
      <c r="X758" s="11"/>
      <c r="Y758" s="11"/>
      <c r="Z758" s="118"/>
      <c r="AA758" s="118"/>
      <c r="AB758" s="118"/>
      <c r="AC758" s="52"/>
      <c r="AD758" s="52"/>
      <c r="AE758" s="11"/>
      <c r="AF758" s="118"/>
      <c r="AG758" s="118"/>
      <c r="AH758" s="118"/>
      <c r="AI758" s="11"/>
      <c r="AJ758" s="11"/>
      <c r="AK758" s="11"/>
      <c r="AL758" s="118"/>
      <c r="AM758" s="118"/>
      <c r="AN758" s="118"/>
      <c r="AO758" s="76"/>
      <c r="AP758" s="11"/>
      <c r="AQ758" s="11"/>
      <c r="AR758" s="274"/>
      <c r="AS758" s="274"/>
      <c r="AT758" s="274"/>
      <c r="AU758" s="62"/>
      <c r="AV758" s="48"/>
      <c r="AW758" s="11"/>
      <c r="AX758" s="274"/>
      <c r="AY758" s="274"/>
      <c r="AZ758" s="274"/>
      <c r="BA758" s="11"/>
      <c r="BB758" s="11"/>
      <c r="BC758" s="11"/>
      <c r="BD758" s="274"/>
      <c r="BE758" s="274"/>
      <c r="BF758" s="274"/>
      <c r="BG758" s="11"/>
      <c r="BH758" s="11"/>
      <c r="BI758" s="11"/>
      <c r="BJ758" s="274"/>
      <c r="BK758" s="274"/>
      <c r="BL758" s="274"/>
      <c r="BM758" s="11"/>
      <c r="BN758" s="11"/>
      <c r="BO758" s="11"/>
      <c r="BP758" s="274"/>
      <c r="BQ758" s="11"/>
      <c r="BR758" s="11"/>
      <c r="BS758" s="11"/>
      <c r="BT758" s="11"/>
      <c r="BU758" s="11"/>
      <c r="BV758" s="210"/>
      <c r="BW758" s="144"/>
      <c r="BX758" s="113"/>
      <c r="BY758" s="273"/>
      <c r="BZ758" s="273"/>
      <c r="CA758" s="11"/>
      <c r="CB758" s="274"/>
      <c r="CC758" s="274"/>
      <c r="CD758" s="274"/>
      <c r="CE758" s="11"/>
      <c r="CF758" s="11"/>
      <c r="CG758" s="11"/>
      <c r="CH758" s="210"/>
      <c r="CI758" s="219"/>
      <c r="CJ758" s="210"/>
      <c r="CK758" s="273"/>
      <c r="CL758" s="273"/>
      <c r="CM758" s="11"/>
      <c r="CN758" s="274"/>
      <c r="CO758" s="274"/>
      <c r="CP758" s="274"/>
      <c r="CQ758" s="11"/>
      <c r="CR758" s="11"/>
      <c r="CS758" s="11"/>
      <c r="CT758" s="11"/>
      <c r="CU758" s="11"/>
      <c r="CV758" s="11"/>
      <c r="CW758" s="11"/>
      <c r="CX758" s="11"/>
      <c r="CY758" s="11"/>
      <c r="CZ758" s="118"/>
      <c r="DA758" s="144"/>
      <c r="DB758" s="118"/>
      <c r="DC758" s="33"/>
      <c r="DD758" s="11"/>
      <c r="DE758" s="11"/>
      <c r="DF758" s="11"/>
      <c r="DG758" s="11"/>
      <c r="DH758" s="11"/>
      <c r="DI758" s="11"/>
      <c r="DJ758" s="11"/>
      <c r="DK758" s="11"/>
      <c r="DL758" s="11"/>
      <c r="DM758" s="11"/>
      <c r="DN758" s="11"/>
      <c r="DO758" s="11"/>
      <c r="DP758" s="11"/>
      <c r="DQ758" s="11"/>
      <c r="DR758" s="11"/>
      <c r="DS758" s="11"/>
      <c r="DT758" s="11"/>
      <c r="DU758" s="11"/>
      <c r="DV758" s="11"/>
      <c r="DW758" s="11"/>
      <c r="DX758" s="11"/>
      <c r="DY758" s="11"/>
      <c r="DZ758" s="11"/>
      <c r="EA758" s="11"/>
      <c r="EB758" s="11"/>
      <c r="EC758" s="11"/>
      <c r="ED758" s="11"/>
      <c r="EE758" s="11"/>
      <c r="EF758" s="11"/>
      <c r="EG758" s="11"/>
      <c r="EH758" s="11"/>
      <c r="EI758" s="11"/>
      <c r="EJ758" s="11"/>
      <c r="EK758" s="11"/>
      <c r="EL758" s="11"/>
      <c r="EM758" s="11"/>
      <c r="EN758" s="11"/>
      <c r="EO758" s="11"/>
      <c r="EP758" s="11"/>
      <c r="EQ758" s="11"/>
      <c r="ER758" s="11"/>
      <c r="ES758" s="11"/>
      <c r="ET758" s="11"/>
      <c r="EU758" s="11"/>
      <c r="EV758" s="11"/>
      <c r="EW758" s="11"/>
      <c r="EX758" s="11"/>
      <c r="EY758" s="11"/>
      <c r="EZ758" s="11"/>
      <c r="FA758" s="11"/>
      <c r="FB758" s="11"/>
      <c r="FC758" s="11"/>
      <c r="FD758" s="11"/>
      <c r="FE758" s="11"/>
      <c r="FF758" s="11"/>
      <c r="FG758" s="11"/>
      <c r="FH758" s="39">
        <f t="shared" si="172"/>
        <v>0</v>
      </c>
      <c r="FI758" s="33">
        <f t="shared" si="173"/>
        <v>0</v>
      </c>
      <c r="FJ758" s="84" t="str">
        <f t="shared" si="174"/>
        <v xml:space="preserve"> </v>
      </c>
    </row>
    <row r="759" spans="1:166" x14ac:dyDescent="0.25">
      <c r="A759" s="79" t="e">
        <f>#REF!</f>
        <v>#REF!</v>
      </c>
      <c r="B759" s="75" t="e">
        <f>#REF!</f>
        <v>#REF!</v>
      </c>
      <c r="C759" s="75" t="e">
        <f>#REF!</f>
        <v>#REF!</v>
      </c>
      <c r="D759" s="75" t="e">
        <f>#REF!</f>
        <v>#REF!</v>
      </c>
      <c r="E759" s="30">
        <v>1</v>
      </c>
      <c r="F759" s="238">
        <v>0</v>
      </c>
      <c r="G759" s="241">
        <v>0</v>
      </c>
      <c r="H759" s="249">
        <v>0</v>
      </c>
      <c r="I759" s="249">
        <v>0</v>
      </c>
      <c r="J759" s="249">
        <v>0</v>
      </c>
      <c r="K759" s="249">
        <v>0</v>
      </c>
      <c r="L759" s="274"/>
      <c r="M759" s="274"/>
      <c r="N759" s="246"/>
      <c r="O759" s="118"/>
      <c r="P759" s="118"/>
      <c r="Q759" s="52"/>
      <c r="R759" s="52"/>
      <c r="S759" s="5"/>
      <c r="T759" s="118"/>
      <c r="U759" s="118"/>
      <c r="V759" s="118"/>
      <c r="W759" s="11"/>
      <c r="X759" s="11"/>
      <c r="Y759" s="11"/>
      <c r="Z759" s="118"/>
      <c r="AA759" s="118"/>
      <c r="AB759" s="118"/>
      <c r="AC759" s="52"/>
      <c r="AD759" s="52"/>
      <c r="AE759" s="11"/>
      <c r="AF759" s="118"/>
      <c r="AG759" s="118"/>
      <c r="AH759" s="118"/>
      <c r="AI759" s="11"/>
      <c r="AJ759" s="11"/>
      <c r="AK759" s="11"/>
      <c r="AL759" s="118"/>
      <c r="AM759" s="118"/>
      <c r="AN759" s="118"/>
      <c r="AO759" s="76"/>
      <c r="AP759" s="11"/>
      <c r="AQ759" s="11"/>
      <c r="AR759" s="274"/>
      <c r="AS759" s="274"/>
      <c r="AT759" s="274"/>
      <c r="AU759" s="62"/>
      <c r="AV759" s="48"/>
      <c r="AW759" s="11"/>
      <c r="AX759" s="274"/>
      <c r="AY759" s="274"/>
      <c r="AZ759" s="274"/>
      <c r="BA759" s="11"/>
      <c r="BB759" s="11"/>
      <c r="BC759" s="11"/>
      <c r="BD759" s="274"/>
      <c r="BE759" s="274"/>
      <c r="BF759" s="274"/>
      <c r="BG759" s="11"/>
      <c r="BH759" s="11"/>
      <c r="BI759" s="11"/>
      <c r="BJ759" s="274"/>
      <c r="BK759" s="274"/>
      <c r="BL759" s="274"/>
      <c r="BM759" s="11"/>
      <c r="BN759" s="11"/>
      <c r="BO759" s="11"/>
      <c r="BP759" s="274"/>
      <c r="BQ759" s="11"/>
      <c r="BR759" s="11"/>
      <c r="BS759" s="11"/>
      <c r="BT759" s="11"/>
      <c r="BU759" s="11"/>
      <c r="BV759" s="210"/>
      <c r="BW759" s="144"/>
      <c r="BX759" s="113"/>
      <c r="BY759" s="273"/>
      <c r="BZ759" s="273"/>
      <c r="CA759" s="11"/>
      <c r="CB759" s="274"/>
      <c r="CC759" s="274"/>
      <c r="CD759" s="274"/>
      <c r="CE759" s="11"/>
      <c r="CF759" s="11"/>
      <c r="CG759" s="11"/>
      <c r="CH759" s="210"/>
      <c r="CI759" s="219"/>
      <c r="CJ759" s="210"/>
      <c r="CK759" s="273"/>
      <c r="CL759" s="273"/>
      <c r="CM759" s="11"/>
      <c r="CN759" s="274"/>
      <c r="CO759" s="274"/>
      <c r="CP759" s="274"/>
      <c r="CQ759" s="11"/>
      <c r="CR759" s="11"/>
      <c r="CS759" s="11"/>
      <c r="CT759" s="11"/>
      <c r="CU759" s="11"/>
      <c r="CV759" s="11"/>
      <c r="CW759" s="11"/>
      <c r="CX759" s="11"/>
      <c r="CY759" s="11"/>
      <c r="CZ759" s="118"/>
      <c r="DA759" s="144"/>
      <c r="DB759" s="118"/>
      <c r="DC759" s="33"/>
      <c r="DD759" s="11"/>
      <c r="DE759" s="11"/>
      <c r="DF759" s="11"/>
      <c r="DG759" s="11"/>
      <c r="DH759" s="11"/>
      <c r="DI759" s="11"/>
      <c r="DJ759" s="11"/>
      <c r="DK759" s="11"/>
      <c r="DL759" s="11"/>
      <c r="DM759" s="11"/>
      <c r="DN759" s="11"/>
      <c r="DO759" s="11"/>
      <c r="DP759" s="11"/>
      <c r="DQ759" s="11"/>
      <c r="DR759" s="11"/>
      <c r="DS759" s="11"/>
      <c r="DT759" s="11"/>
      <c r="DU759" s="11"/>
      <c r="DV759" s="11"/>
      <c r="DW759" s="11"/>
      <c r="DX759" s="11"/>
      <c r="DY759" s="11"/>
      <c r="DZ759" s="11"/>
      <c r="EA759" s="11"/>
      <c r="EB759" s="11"/>
      <c r="EC759" s="11"/>
      <c r="ED759" s="11"/>
      <c r="EE759" s="11"/>
      <c r="EF759" s="11"/>
      <c r="EG759" s="11"/>
      <c r="EH759" s="11"/>
      <c r="EI759" s="11"/>
      <c r="EJ759" s="11"/>
      <c r="EK759" s="11"/>
      <c r="EL759" s="11"/>
      <c r="EM759" s="11"/>
      <c r="EN759" s="11"/>
      <c r="EO759" s="11"/>
      <c r="EP759" s="11"/>
      <c r="EQ759" s="11"/>
      <c r="ER759" s="11"/>
      <c r="ES759" s="11"/>
      <c r="ET759" s="11"/>
      <c r="EU759" s="11"/>
      <c r="EV759" s="11"/>
      <c r="EW759" s="11"/>
      <c r="EX759" s="11"/>
      <c r="EY759" s="11"/>
      <c r="EZ759" s="11"/>
      <c r="FA759" s="11"/>
      <c r="FB759" s="11"/>
      <c r="FC759" s="11"/>
      <c r="FD759" s="11"/>
      <c r="FE759" s="11"/>
      <c r="FF759" s="11"/>
      <c r="FG759" s="11"/>
      <c r="FH759" s="39">
        <f t="shared" si="172"/>
        <v>0</v>
      </c>
      <c r="FI759" s="33">
        <f t="shared" si="173"/>
        <v>0</v>
      </c>
      <c r="FJ759" s="84" t="str">
        <f t="shared" si="174"/>
        <v xml:space="preserve"> </v>
      </c>
    </row>
    <row r="760" spans="1:166" x14ac:dyDescent="0.25">
      <c r="A760" s="79" t="e">
        <f>#REF!</f>
        <v>#REF!</v>
      </c>
      <c r="B760" s="75" t="e">
        <f>#REF!</f>
        <v>#REF!</v>
      </c>
      <c r="C760" s="75" t="e">
        <f>#REF!</f>
        <v>#REF!</v>
      </c>
      <c r="D760" s="75" t="e">
        <f>#REF!</f>
        <v>#REF!</v>
      </c>
      <c r="E760" s="30">
        <v>1</v>
      </c>
      <c r="F760" s="238">
        <v>447440</v>
      </c>
      <c r="G760" s="241">
        <v>440657</v>
      </c>
      <c r="H760" s="249">
        <v>848644.53333333333</v>
      </c>
      <c r="I760" s="249">
        <v>0</v>
      </c>
      <c r="J760" s="249">
        <v>0</v>
      </c>
      <c r="K760" s="249">
        <v>0</v>
      </c>
      <c r="L760" s="274">
        <f>AVERAGE(F760,H760)</f>
        <v>648042.2666666666</v>
      </c>
      <c r="M760" s="274">
        <f>G760*E1</f>
        <v>453876.71</v>
      </c>
      <c r="N760" s="246"/>
      <c r="O760" s="118"/>
      <c r="P760" s="118"/>
      <c r="Q760" s="52"/>
      <c r="R760" s="52"/>
      <c r="S760" s="5"/>
      <c r="T760" s="118"/>
      <c r="U760" s="118"/>
      <c r="V760" s="118"/>
      <c r="W760" s="11"/>
      <c r="X760" s="11"/>
      <c r="Y760" s="11"/>
      <c r="Z760" s="118"/>
      <c r="AA760" s="118"/>
      <c r="AB760" s="118"/>
      <c r="AC760" s="52"/>
      <c r="AD760" s="52"/>
      <c r="AE760" s="11"/>
      <c r="AF760" s="118"/>
      <c r="AG760" s="118"/>
      <c r="AH760" s="118"/>
      <c r="AI760" s="11"/>
      <c r="AJ760" s="11"/>
      <c r="AK760" s="11"/>
      <c r="AL760" s="118"/>
      <c r="AM760" s="118"/>
      <c r="AN760" s="118"/>
      <c r="AO760" s="76"/>
      <c r="AP760" s="11"/>
      <c r="AQ760" s="11"/>
      <c r="AR760" s="274"/>
      <c r="AS760" s="274"/>
      <c r="AT760" s="274"/>
      <c r="AU760" s="62"/>
      <c r="AV760" s="48"/>
      <c r="AW760" s="11"/>
      <c r="AX760" s="274"/>
      <c r="AY760" s="274"/>
      <c r="AZ760" s="274"/>
      <c r="BA760" s="11"/>
      <c r="BB760" s="11"/>
      <c r="BC760" s="11"/>
      <c r="BD760" s="274"/>
      <c r="BE760" s="274"/>
      <c r="BF760" s="274"/>
      <c r="BG760" s="11"/>
      <c r="BH760" s="11"/>
      <c r="BI760" s="11"/>
      <c r="BJ760" s="274"/>
      <c r="BK760" s="274"/>
      <c r="BL760" s="274"/>
      <c r="BM760" s="11"/>
      <c r="BN760" s="11"/>
      <c r="BO760" s="11"/>
      <c r="BP760" s="274"/>
      <c r="BQ760" s="11"/>
      <c r="BR760" s="11"/>
      <c r="BS760" s="11"/>
      <c r="BT760" s="11"/>
      <c r="BU760" s="11"/>
      <c r="BV760" s="210"/>
      <c r="BW760" s="144"/>
      <c r="BX760" s="113"/>
      <c r="BY760" s="273"/>
      <c r="BZ760" s="273"/>
      <c r="CA760" s="11"/>
      <c r="CB760" s="274"/>
      <c r="CC760" s="274"/>
      <c r="CD760" s="274"/>
      <c r="CE760" s="11"/>
      <c r="CF760" s="11"/>
      <c r="CG760" s="11"/>
      <c r="CH760" s="210"/>
      <c r="CI760" s="219"/>
      <c r="CJ760" s="210"/>
      <c r="CK760" s="273"/>
      <c r="CL760" s="273"/>
      <c r="CM760" s="11"/>
      <c r="CN760" s="274"/>
      <c r="CO760" s="274"/>
      <c r="CP760" s="274"/>
      <c r="CQ760" s="11"/>
      <c r="CR760" s="11"/>
      <c r="CS760" s="11"/>
      <c r="CT760" s="11"/>
      <c r="CU760" s="11"/>
      <c r="CV760" s="11"/>
      <c r="CW760" s="11"/>
      <c r="CX760" s="11"/>
      <c r="CY760" s="11"/>
      <c r="CZ760" s="118"/>
      <c r="DA760" s="144"/>
      <c r="DB760" s="118"/>
      <c r="DC760" s="33"/>
      <c r="DD760" s="11"/>
      <c r="DE760" s="11"/>
      <c r="DF760" s="11"/>
      <c r="DG760" s="11"/>
      <c r="DH760" s="11"/>
      <c r="DI760" s="11"/>
      <c r="DJ760" s="11"/>
      <c r="DK760" s="11"/>
      <c r="DL760" s="11"/>
      <c r="DM760" s="11"/>
      <c r="DN760" s="11"/>
      <c r="DO760" s="11"/>
      <c r="DP760" s="11"/>
      <c r="DQ760" s="11"/>
      <c r="DR760" s="11"/>
      <c r="DS760" s="11"/>
      <c r="DT760" s="11"/>
      <c r="DU760" s="11"/>
      <c r="DV760" s="11"/>
      <c r="DW760" s="11"/>
      <c r="DX760" s="11"/>
      <c r="DY760" s="11"/>
      <c r="DZ760" s="11"/>
      <c r="EA760" s="11"/>
      <c r="EB760" s="11"/>
      <c r="EC760" s="11"/>
      <c r="ED760" s="11"/>
      <c r="EE760" s="11"/>
      <c r="EF760" s="11"/>
      <c r="EG760" s="11"/>
      <c r="EH760" s="11"/>
      <c r="EI760" s="11"/>
      <c r="EJ760" s="11"/>
      <c r="EK760" s="11"/>
      <c r="EL760" s="11"/>
      <c r="EM760" s="11"/>
      <c r="EN760" s="11"/>
      <c r="EO760" s="11"/>
      <c r="EP760" s="11"/>
      <c r="EQ760" s="11"/>
      <c r="ER760" s="11"/>
      <c r="ES760" s="11"/>
      <c r="ET760" s="11"/>
      <c r="EU760" s="11"/>
      <c r="EV760" s="11"/>
      <c r="EW760" s="11"/>
      <c r="EX760" s="11"/>
      <c r="EY760" s="11"/>
      <c r="EZ760" s="11"/>
      <c r="FA760" s="11"/>
      <c r="FB760" s="11"/>
      <c r="FC760" s="11"/>
      <c r="FD760" s="11"/>
      <c r="FE760" s="11"/>
      <c r="FF760" s="11"/>
      <c r="FG760" s="11"/>
      <c r="FH760" s="39">
        <f t="shared" si="172"/>
        <v>453876.71</v>
      </c>
      <c r="FI760" s="33">
        <f t="shared" si="173"/>
        <v>1</v>
      </c>
      <c r="FJ760" s="84">
        <f t="shared" si="174"/>
        <v>453876.71</v>
      </c>
    </row>
    <row r="761" spans="1:166" ht="13.5" x14ac:dyDescent="0.25">
      <c r="A761" s="79" t="e">
        <f>#REF!</f>
        <v>#REF!</v>
      </c>
      <c r="B761" s="75" t="e">
        <f>#REF!</f>
        <v>#REF!</v>
      </c>
      <c r="C761" s="75" t="e">
        <f>#REF!</f>
        <v>#REF!</v>
      </c>
      <c r="D761" s="75" t="e">
        <f>#REF!</f>
        <v>#REF!</v>
      </c>
      <c r="E761" s="30">
        <v>1</v>
      </c>
      <c r="F761" s="238">
        <v>0</v>
      </c>
      <c r="G761" s="241">
        <v>0</v>
      </c>
      <c r="H761" s="249">
        <v>0</v>
      </c>
      <c r="I761" s="249">
        <v>0</v>
      </c>
      <c r="J761" s="249">
        <v>0</v>
      </c>
      <c r="K761" s="249">
        <v>0</v>
      </c>
      <c r="L761" s="274"/>
      <c r="M761" s="274"/>
      <c r="N761" s="247">
        <v>769400</v>
      </c>
      <c r="O761" s="113">
        <f t="shared" ref="O761:O769" si="185">+N761*0.19</f>
        <v>146186</v>
      </c>
      <c r="P761" s="113">
        <f t="shared" ref="P761:P769" si="186">+O761+N761</f>
        <v>915586</v>
      </c>
      <c r="Q761" s="36" t="s">
        <v>127</v>
      </c>
      <c r="R761" s="132" t="s">
        <v>128</v>
      </c>
      <c r="S761" s="25"/>
      <c r="T761" s="118"/>
      <c r="U761" s="118"/>
      <c r="V761" s="118"/>
      <c r="W761" s="11"/>
      <c r="X761" s="11"/>
      <c r="Y761" s="11"/>
      <c r="Z761" s="118"/>
      <c r="AA761" s="118"/>
      <c r="AB761" s="118"/>
      <c r="AC761" s="52"/>
      <c r="AD761" s="52"/>
      <c r="AE761" s="11"/>
      <c r="AF761" s="118"/>
      <c r="AG761" s="118"/>
      <c r="AH761" s="118"/>
      <c r="AI761" s="11"/>
      <c r="AJ761" s="11"/>
      <c r="AK761" s="11"/>
      <c r="AL761" s="118"/>
      <c r="AM761" s="118"/>
      <c r="AN761" s="118"/>
      <c r="AO761" s="76"/>
      <c r="AP761" s="11"/>
      <c r="AQ761" s="11"/>
      <c r="AR761" s="274"/>
      <c r="AS761" s="274"/>
      <c r="AT761" s="274"/>
      <c r="AU761" s="62"/>
      <c r="AV761" s="48"/>
      <c r="AW761" s="11"/>
      <c r="AX761" s="274"/>
      <c r="AY761" s="274"/>
      <c r="AZ761" s="274"/>
      <c r="BA761" s="11"/>
      <c r="BB761" s="11"/>
      <c r="BC761" s="11"/>
      <c r="BD761" s="274"/>
      <c r="BE761" s="274"/>
      <c r="BF761" s="274"/>
      <c r="BG761" s="11"/>
      <c r="BH761" s="11"/>
      <c r="BI761" s="11"/>
      <c r="BJ761" s="274"/>
      <c r="BK761" s="274"/>
      <c r="BL761" s="274"/>
      <c r="BM761" s="11"/>
      <c r="BN761" s="11"/>
      <c r="BO761" s="11"/>
      <c r="BP761" s="274"/>
      <c r="BQ761" s="11"/>
      <c r="BR761" s="11"/>
      <c r="BS761" s="11"/>
      <c r="BT761" s="11"/>
      <c r="BU761" s="11"/>
      <c r="BV761" s="263">
        <v>1538800</v>
      </c>
      <c r="BW761" s="144">
        <f t="shared" ref="BW761:BW793" si="187">BV761*19%</f>
        <v>292372</v>
      </c>
      <c r="BX761" s="113">
        <f t="shared" ref="BX761:BX793" si="188">+BV761+BW761</f>
        <v>1831172</v>
      </c>
      <c r="BY761" s="272" t="s">
        <v>231</v>
      </c>
      <c r="BZ761" s="272" t="s">
        <v>562</v>
      </c>
      <c r="CA761" s="11"/>
      <c r="CB761" s="274"/>
      <c r="CC761" s="274"/>
      <c r="CD761" s="274"/>
      <c r="CE761" s="11"/>
      <c r="CF761" s="11"/>
      <c r="CG761" s="11"/>
      <c r="CH761" s="268">
        <v>1646516</v>
      </c>
      <c r="CI761" s="265">
        <f>+CH761*0.19</f>
        <v>312838.03999999998</v>
      </c>
      <c r="CJ761" s="263">
        <f>+CH761+CI761</f>
        <v>1959354.04</v>
      </c>
      <c r="CK761" s="272" t="s">
        <v>231</v>
      </c>
      <c r="CL761" s="272" t="s">
        <v>562</v>
      </c>
      <c r="CM761" s="11"/>
      <c r="CN761" s="274"/>
      <c r="CO761" s="274"/>
      <c r="CP761" s="274"/>
      <c r="CQ761" s="11"/>
      <c r="CR761" s="11"/>
      <c r="CS761" s="11"/>
      <c r="CT761" s="11"/>
      <c r="CU761" s="11"/>
      <c r="CV761" s="11"/>
      <c r="CW761" s="11"/>
      <c r="CX761" s="11"/>
      <c r="CY761" s="11"/>
      <c r="CZ761" s="118">
        <v>315497</v>
      </c>
      <c r="DA761" s="144">
        <f>+CZ761*0.19</f>
        <v>59944.43</v>
      </c>
      <c r="DB761" s="118">
        <f>+CZ761+DA761</f>
        <v>375441.43</v>
      </c>
      <c r="DC761" s="33" t="s">
        <v>415</v>
      </c>
      <c r="DD761" s="11" t="s">
        <v>58</v>
      </c>
      <c r="DE761" s="11">
        <v>1014060500</v>
      </c>
      <c r="DF761" s="11"/>
      <c r="DG761" s="11"/>
      <c r="DH761" s="11"/>
      <c r="DI761" s="11"/>
      <c r="DJ761" s="11"/>
      <c r="DK761" s="11"/>
      <c r="DL761" s="11"/>
      <c r="DM761" s="11"/>
      <c r="DN761" s="11"/>
      <c r="DO761" s="11"/>
      <c r="DP761" s="11"/>
      <c r="DQ761" s="11"/>
      <c r="DR761" s="11"/>
      <c r="DS761" s="11"/>
      <c r="DT761" s="11"/>
      <c r="DU761" s="11"/>
      <c r="DV761" s="11"/>
      <c r="DW761" s="11"/>
      <c r="DX761" s="11"/>
      <c r="DY761" s="11"/>
      <c r="DZ761" s="11"/>
      <c r="EA761" s="11"/>
      <c r="EB761" s="11"/>
      <c r="EC761" s="11"/>
      <c r="ED761" s="11"/>
      <c r="EE761" s="11"/>
      <c r="EF761" s="11"/>
      <c r="EG761" s="11"/>
      <c r="EH761" s="11"/>
      <c r="EI761" s="11"/>
      <c r="EJ761" s="11"/>
      <c r="EK761" s="11"/>
      <c r="EL761" s="11"/>
      <c r="EM761" s="11"/>
      <c r="EN761" s="11"/>
      <c r="EO761" s="11"/>
      <c r="EP761" s="11"/>
      <c r="EQ761" s="11"/>
      <c r="ER761" s="11"/>
      <c r="ES761" s="11"/>
      <c r="ET761" s="11"/>
      <c r="EU761" s="11"/>
      <c r="EV761" s="11"/>
      <c r="EW761" s="11"/>
      <c r="EX761" s="11"/>
      <c r="EY761" s="11"/>
      <c r="EZ761" s="11"/>
      <c r="FA761" s="11"/>
      <c r="FB761" s="11"/>
      <c r="FC761" s="11"/>
      <c r="FD761" s="11"/>
      <c r="FE761" s="11"/>
      <c r="FF761" s="11"/>
      <c r="FG761" s="11"/>
      <c r="FH761" s="39">
        <f t="shared" si="172"/>
        <v>5081553.47</v>
      </c>
      <c r="FI761" s="33">
        <f t="shared" si="173"/>
        <v>4</v>
      </c>
      <c r="FJ761" s="84">
        <f t="shared" si="174"/>
        <v>1270388.3674999999</v>
      </c>
    </row>
    <row r="762" spans="1:166" ht="13.5" x14ac:dyDescent="0.25">
      <c r="A762" s="79" t="e">
        <f>#REF!</f>
        <v>#REF!</v>
      </c>
      <c r="B762" s="75" t="e">
        <f>#REF!</f>
        <v>#REF!</v>
      </c>
      <c r="C762" s="75" t="e">
        <f>#REF!</f>
        <v>#REF!</v>
      </c>
      <c r="D762" s="75" t="e">
        <f>#REF!</f>
        <v>#REF!</v>
      </c>
      <c r="E762" s="30">
        <v>1</v>
      </c>
      <c r="F762" s="238">
        <v>0</v>
      </c>
      <c r="G762" s="241">
        <v>0</v>
      </c>
      <c r="H762" s="249">
        <v>0</v>
      </c>
      <c r="I762" s="249">
        <v>0</v>
      </c>
      <c r="J762" s="249">
        <v>0</v>
      </c>
      <c r="K762" s="249">
        <v>0</v>
      </c>
      <c r="L762" s="274"/>
      <c r="M762" s="274"/>
      <c r="N762" s="247">
        <v>708050</v>
      </c>
      <c r="O762" s="113">
        <f t="shared" si="185"/>
        <v>134529.5</v>
      </c>
      <c r="P762" s="113">
        <f t="shared" si="186"/>
        <v>842579.5</v>
      </c>
      <c r="Q762" s="36" t="s">
        <v>127</v>
      </c>
      <c r="R762" s="132" t="s">
        <v>200</v>
      </c>
      <c r="S762" s="25"/>
      <c r="T762" s="118"/>
      <c r="U762" s="118"/>
      <c r="V762" s="118"/>
      <c r="W762" s="11"/>
      <c r="X762" s="11"/>
      <c r="Y762" s="11"/>
      <c r="Z762" s="118"/>
      <c r="AA762" s="118"/>
      <c r="AB762" s="118"/>
      <c r="AC762" s="52"/>
      <c r="AD762" s="52"/>
      <c r="AE762" s="11"/>
      <c r="AF762" s="118"/>
      <c r="AG762" s="118"/>
      <c r="AH762" s="118"/>
      <c r="AI762" s="11"/>
      <c r="AJ762" s="11"/>
      <c r="AK762" s="11"/>
      <c r="AL762" s="118"/>
      <c r="AM762" s="118"/>
      <c r="AN762" s="118"/>
      <c r="AO762" s="76"/>
      <c r="AP762" s="11"/>
      <c r="AQ762" s="11"/>
      <c r="AR762" s="274"/>
      <c r="AS762" s="274"/>
      <c r="AT762" s="274"/>
      <c r="AU762" s="62"/>
      <c r="AV762" s="48"/>
      <c r="AW762" s="11"/>
      <c r="AX762" s="274"/>
      <c r="AY762" s="274"/>
      <c r="AZ762" s="274"/>
      <c r="BA762" s="11"/>
      <c r="BB762" s="11"/>
      <c r="BC762" s="11"/>
      <c r="BD762" s="274"/>
      <c r="BE762" s="274"/>
      <c r="BF762" s="274"/>
      <c r="BG762" s="11"/>
      <c r="BH762" s="11"/>
      <c r="BI762" s="11"/>
      <c r="BJ762" s="274"/>
      <c r="BK762" s="274"/>
      <c r="BL762" s="274"/>
      <c r="BM762" s="11"/>
      <c r="BN762" s="11"/>
      <c r="BO762" s="11"/>
      <c r="BP762" s="274"/>
      <c r="BQ762" s="11"/>
      <c r="BR762" s="11"/>
      <c r="BS762" s="11"/>
      <c r="BT762" s="11"/>
      <c r="BU762" s="11"/>
      <c r="BV762" s="263">
        <v>741900</v>
      </c>
      <c r="BW762" s="144">
        <f t="shared" si="187"/>
        <v>140961</v>
      </c>
      <c r="BX762" s="113">
        <f t="shared" si="188"/>
        <v>882861</v>
      </c>
      <c r="BY762" s="272" t="s">
        <v>231</v>
      </c>
      <c r="BZ762" s="272" t="s">
        <v>88</v>
      </c>
      <c r="CA762" s="11"/>
      <c r="CB762" s="274"/>
      <c r="CC762" s="274"/>
      <c r="CD762" s="274"/>
      <c r="CE762" s="11"/>
      <c r="CF762" s="11"/>
      <c r="CG762" s="11"/>
      <c r="CH762" s="263">
        <v>786414</v>
      </c>
      <c r="CI762" s="265">
        <f>+CH762*0.19</f>
        <v>149418.66</v>
      </c>
      <c r="CJ762" s="263">
        <f>+CH762+CI762</f>
        <v>935832.66</v>
      </c>
      <c r="CK762" s="272" t="s">
        <v>231</v>
      </c>
      <c r="CL762" s="272" t="s">
        <v>88</v>
      </c>
      <c r="CM762" s="11"/>
      <c r="CN762" s="274"/>
      <c r="CO762" s="274"/>
      <c r="CP762" s="274"/>
      <c r="CQ762" s="11"/>
      <c r="CR762" s="11"/>
      <c r="CS762" s="11"/>
      <c r="CT762" s="11"/>
      <c r="CU762" s="11"/>
      <c r="CV762" s="11"/>
      <c r="CW762" s="11"/>
      <c r="CX762" s="11"/>
      <c r="CY762" s="11"/>
      <c r="CZ762" s="118">
        <v>391929</v>
      </c>
      <c r="DA762" s="144">
        <f>+CZ762*0.19</f>
        <v>74466.509999999995</v>
      </c>
      <c r="DB762" s="118">
        <f>+CZ762+DA762</f>
        <v>466395.51</v>
      </c>
      <c r="DC762" s="33" t="s">
        <v>64</v>
      </c>
      <c r="DD762" s="11" t="s">
        <v>58</v>
      </c>
      <c r="DE762" s="11">
        <v>1160000500</v>
      </c>
      <c r="DF762" s="11"/>
      <c r="DG762" s="11"/>
      <c r="DH762" s="11"/>
      <c r="DI762" s="11"/>
      <c r="DJ762" s="11"/>
      <c r="DK762" s="11"/>
      <c r="DL762" s="11"/>
      <c r="DM762" s="11"/>
      <c r="DN762" s="11"/>
      <c r="DO762" s="11"/>
      <c r="DP762" s="11"/>
      <c r="DQ762" s="11"/>
      <c r="DR762" s="11"/>
      <c r="DS762" s="11"/>
      <c r="DT762" s="11"/>
      <c r="DU762" s="11"/>
      <c r="DV762" s="11"/>
      <c r="DW762" s="11"/>
      <c r="DX762" s="11"/>
      <c r="DY762" s="11"/>
      <c r="DZ762" s="11"/>
      <c r="EA762" s="11"/>
      <c r="EB762" s="11"/>
      <c r="EC762" s="11"/>
      <c r="ED762" s="11"/>
      <c r="EE762" s="11"/>
      <c r="EF762" s="11"/>
      <c r="EG762" s="11"/>
      <c r="EH762" s="11"/>
      <c r="EI762" s="11"/>
      <c r="EJ762" s="11"/>
      <c r="EK762" s="11"/>
      <c r="EL762" s="11"/>
      <c r="EM762" s="11"/>
      <c r="EN762" s="11"/>
      <c r="EO762" s="11"/>
      <c r="EP762" s="11"/>
      <c r="EQ762" s="11"/>
      <c r="ER762" s="11"/>
      <c r="ES762" s="11"/>
      <c r="ET762" s="11"/>
      <c r="EU762" s="11"/>
      <c r="EV762" s="11"/>
      <c r="EW762" s="11"/>
      <c r="EX762" s="11"/>
      <c r="EY762" s="11"/>
      <c r="EZ762" s="11"/>
      <c r="FA762" s="11"/>
      <c r="FB762" s="11"/>
      <c r="FC762" s="11"/>
      <c r="FD762" s="11"/>
      <c r="FE762" s="11"/>
      <c r="FF762" s="11"/>
      <c r="FG762" s="11"/>
      <c r="FH762" s="39">
        <f t="shared" si="172"/>
        <v>3127668.67</v>
      </c>
      <c r="FI762" s="33">
        <f t="shared" si="173"/>
        <v>4</v>
      </c>
      <c r="FJ762" s="84">
        <f t="shared" si="174"/>
        <v>781917.16749999998</v>
      </c>
    </row>
    <row r="763" spans="1:166" ht="13.5" x14ac:dyDescent="0.25">
      <c r="A763" s="79" t="e">
        <f>#REF!</f>
        <v>#REF!</v>
      </c>
      <c r="B763" s="75" t="e">
        <f>#REF!</f>
        <v>#REF!</v>
      </c>
      <c r="C763" s="75" t="e">
        <f>#REF!</f>
        <v>#REF!</v>
      </c>
      <c r="D763" s="75" t="e">
        <f>#REF!</f>
        <v>#REF!</v>
      </c>
      <c r="E763" s="30">
        <v>1</v>
      </c>
      <c r="F763" s="238">
        <v>0</v>
      </c>
      <c r="G763" s="241">
        <v>0</v>
      </c>
      <c r="H763" s="249">
        <v>0</v>
      </c>
      <c r="I763" s="249">
        <v>0</v>
      </c>
      <c r="J763" s="249">
        <v>0</v>
      </c>
      <c r="K763" s="249">
        <v>0</v>
      </c>
      <c r="L763" s="274"/>
      <c r="M763" s="274"/>
      <c r="N763" s="247">
        <v>346500</v>
      </c>
      <c r="O763" s="113">
        <f t="shared" si="185"/>
        <v>65835</v>
      </c>
      <c r="P763" s="113">
        <f t="shared" si="186"/>
        <v>412335</v>
      </c>
      <c r="Q763" s="36" t="s">
        <v>127</v>
      </c>
      <c r="R763" s="132" t="s">
        <v>128</v>
      </c>
      <c r="S763" s="25"/>
      <c r="T763" s="118"/>
      <c r="U763" s="118"/>
      <c r="V763" s="118"/>
      <c r="W763" s="11"/>
      <c r="X763" s="11"/>
      <c r="Y763" s="11"/>
      <c r="Z763" s="118"/>
      <c r="AA763" s="118"/>
      <c r="AB763" s="118"/>
      <c r="AC763" s="52"/>
      <c r="AD763" s="52"/>
      <c r="AE763" s="11"/>
      <c r="AF763" s="118"/>
      <c r="AG763" s="118"/>
      <c r="AH763" s="118"/>
      <c r="AI763" s="11"/>
      <c r="AJ763" s="11"/>
      <c r="AK763" s="11"/>
      <c r="AL763" s="118"/>
      <c r="AM763" s="118"/>
      <c r="AN763" s="118"/>
      <c r="AO763" s="76"/>
      <c r="AP763" s="11"/>
      <c r="AQ763" s="11"/>
      <c r="AR763" s="274"/>
      <c r="AS763" s="274"/>
      <c r="AT763" s="274"/>
      <c r="AU763" s="62"/>
      <c r="AV763" s="48"/>
      <c r="AW763" s="11"/>
      <c r="AX763" s="274"/>
      <c r="AY763" s="274"/>
      <c r="AZ763" s="274"/>
      <c r="BA763" s="11"/>
      <c r="BB763" s="11"/>
      <c r="BC763" s="11"/>
      <c r="BD763" s="274"/>
      <c r="BE763" s="274"/>
      <c r="BF763" s="274"/>
      <c r="BG763" s="11"/>
      <c r="BH763" s="11"/>
      <c r="BI763" s="11"/>
      <c r="BJ763" s="274"/>
      <c r="BK763" s="274"/>
      <c r="BL763" s="274"/>
      <c r="BM763" s="11"/>
      <c r="BN763" s="11"/>
      <c r="BO763" s="11"/>
      <c r="BP763" s="274"/>
      <c r="BQ763" s="11"/>
      <c r="BR763" s="11"/>
      <c r="BS763" s="11"/>
      <c r="BT763" s="11"/>
      <c r="BU763" s="11"/>
      <c r="BV763" s="263">
        <v>624100</v>
      </c>
      <c r="BW763" s="144">
        <f t="shared" si="187"/>
        <v>118579</v>
      </c>
      <c r="BX763" s="113">
        <f t="shared" si="188"/>
        <v>742679</v>
      </c>
      <c r="BY763" s="272" t="s">
        <v>231</v>
      </c>
      <c r="BZ763" s="272" t="s">
        <v>88</v>
      </c>
      <c r="CA763" s="11"/>
      <c r="CB763" s="274"/>
      <c r="CC763" s="274"/>
      <c r="CD763" s="274"/>
      <c r="CE763" s="11"/>
      <c r="CF763" s="11"/>
      <c r="CG763" s="11"/>
      <c r="CH763" s="263">
        <v>661546</v>
      </c>
      <c r="CI763" s="265">
        <f>+CH763*0.19</f>
        <v>125693.74</v>
      </c>
      <c r="CJ763" s="263">
        <f>+CH763+CI763</f>
        <v>787239.74</v>
      </c>
      <c r="CK763" s="272" t="s">
        <v>231</v>
      </c>
      <c r="CL763" s="272" t="s">
        <v>88</v>
      </c>
      <c r="CM763" s="11"/>
      <c r="CN763" s="274"/>
      <c r="CO763" s="274"/>
      <c r="CP763" s="274"/>
      <c r="CQ763" s="11"/>
      <c r="CR763" s="11"/>
      <c r="CS763" s="11"/>
      <c r="CT763" s="11"/>
      <c r="CU763" s="11"/>
      <c r="CV763" s="11"/>
      <c r="CW763" s="11"/>
      <c r="CX763" s="11"/>
      <c r="CY763" s="11"/>
      <c r="CZ763" s="118"/>
      <c r="DA763" s="144"/>
      <c r="DB763" s="118"/>
      <c r="DC763" s="33"/>
      <c r="DD763" s="11"/>
      <c r="DE763" s="11"/>
      <c r="DF763" s="11"/>
      <c r="DG763" s="11"/>
      <c r="DH763" s="11"/>
      <c r="DI763" s="11"/>
      <c r="DJ763" s="11"/>
      <c r="DK763" s="11"/>
      <c r="DL763" s="11"/>
      <c r="DM763" s="11"/>
      <c r="DN763" s="11"/>
      <c r="DO763" s="11"/>
      <c r="DP763" s="11"/>
      <c r="DQ763" s="11"/>
      <c r="DR763" s="11"/>
      <c r="DS763" s="11"/>
      <c r="DT763" s="11"/>
      <c r="DU763" s="11"/>
      <c r="DV763" s="11"/>
      <c r="DW763" s="11"/>
      <c r="DX763" s="11"/>
      <c r="DY763" s="11"/>
      <c r="DZ763" s="11"/>
      <c r="EA763" s="11"/>
      <c r="EB763" s="11"/>
      <c r="EC763" s="11"/>
      <c r="ED763" s="11"/>
      <c r="EE763" s="11"/>
      <c r="EF763" s="11"/>
      <c r="EG763" s="11"/>
      <c r="EH763" s="11"/>
      <c r="EI763" s="11"/>
      <c r="EJ763" s="11"/>
      <c r="EK763" s="11"/>
      <c r="EL763" s="11"/>
      <c r="EM763" s="11"/>
      <c r="EN763" s="11"/>
      <c r="EO763" s="11"/>
      <c r="EP763" s="11"/>
      <c r="EQ763" s="11"/>
      <c r="ER763" s="11"/>
      <c r="ES763" s="11"/>
      <c r="ET763" s="11"/>
      <c r="EU763" s="11"/>
      <c r="EV763" s="11"/>
      <c r="EW763" s="11"/>
      <c r="EX763" s="11"/>
      <c r="EY763" s="11"/>
      <c r="EZ763" s="11"/>
      <c r="FA763" s="11"/>
      <c r="FB763" s="11"/>
      <c r="FC763" s="11"/>
      <c r="FD763" s="11"/>
      <c r="FE763" s="11"/>
      <c r="FF763" s="11"/>
      <c r="FG763" s="11"/>
      <c r="FH763" s="39">
        <f t="shared" si="172"/>
        <v>1942253.74</v>
      </c>
      <c r="FI763" s="33">
        <f t="shared" si="173"/>
        <v>3</v>
      </c>
      <c r="FJ763" s="84">
        <f t="shared" si="174"/>
        <v>647417.91333333333</v>
      </c>
    </row>
    <row r="764" spans="1:166" ht="13.5" x14ac:dyDescent="0.25">
      <c r="A764" s="79" t="e">
        <f>#REF!</f>
        <v>#REF!</v>
      </c>
      <c r="B764" s="75" t="e">
        <f>#REF!</f>
        <v>#REF!</v>
      </c>
      <c r="C764" s="75" t="e">
        <f>#REF!</f>
        <v>#REF!</v>
      </c>
      <c r="D764" s="75" t="e">
        <f>#REF!</f>
        <v>#REF!</v>
      </c>
      <c r="E764" s="30">
        <v>1</v>
      </c>
      <c r="F764" s="238">
        <v>0</v>
      </c>
      <c r="G764" s="241">
        <v>0</v>
      </c>
      <c r="H764" s="249">
        <v>0</v>
      </c>
      <c r="I764" s="249">
        <v>0</v>
      </c>
      <c r="J764" s="249">
        <v>0</v>
      </c>
      <c r="K764" s="249">
        <v>0</v>
      </c>
      <c r="L764" s="274"/>
      <c r="M764" s="274"/>
      <c r="N764" s="247">
        <v>612000</v>
      </c>
      <c r="O764" s="113">
        <f t="shared" si="185"/>
        <v>116280</v>
      </c>
      <c r="P764" s="113">
        <f t="shared" si="186"/>
        <v>728280</v>
      </c>
      <c r="Q764" s="36" t="s">
        <v>127</v>
      </c>
      <c r="R764" s="132" t="s">
        <v>128</v>
      </c>
      <c r="S764" s="25"/>
      <c r="T764" s="118"/>
      <c r="U764" s="118"/>
      <c r="V764" s="118"/>
      <c r="W764" s="11"/>
      <c r="X764" s="11"/>
      <c r="Y764" s="11"/>
      <c r="Z764" s="118"/>
      <c r="AA764" s="118"/>
      <c r="AB764" s="118"/>
      <c r="AC764" s="52"/>
      <c r="AD764" s="52"/>
      <c r="AE764" s="11"/>
      <c r="AF764" s="118"/>
      <c r="AG764" s="118"/>
      <c r="AH764" s="118"/>
      <c r="AI764" s="11"/>
      <c r="AJ764" s="11"/>
      <c r="AK764" s="11"/>
      <c r="AL764" s="118"/>
      <c r="AM764" s="118"/>
      <c r="AN764" s="118"/>
      <c r="AO764" s="76"/>
      <c r="AP764" s="11"/>
      <c r="AQ764" s="11"/>
      <c r="AR764" s="274"/>
      <c r="AS764" s="274"/>
      <c r="AT764" s="274"/>
      <c r="AU764" s="62"/>
      <c r="AV764" s="48"/>
      <c r="AW764" s="11"/>
      <c r="AX764" s="274"/>
      <c r="AY764" s="274"/>
      <c r="AZ764" s="274"/>
      <c r="BA764" s="11"/>
      <c r="BB764" s="11"/>
      <c r="BC764" s="11"/>
      <c r="BD764" s="274"/>
      <c r="BE764" s="274"/>
      <c r="BF764" s="274"/>
      <c r="BG764" s="11"/>
      <c r="BH764" s="11"/>
      <c r="BI764" s="11"/>
      <c r="BJ764" s="274"/>
      <c r="BK764" s="274"/>
      <c r="BL764" s="274"/>
      <c r="BM764" s="11"/>
      <c r="BN764" s="11"/>
      <c r="BO764" s="11"/>
      <c r="BP764" s="274"/>
      <c r="BQ764" s="11"/>
      <c r="BR764" s="11"/>
      <c r="BS764" s="11"/>
      <c r="BT764" s="11"/>
      <c r="BU764" s="11"/>
      <c r="BV764" s="263">
        <v>324575</v>
      </c>
      <c r="BW764" s="144">
        <f t="shared" si="187"/>
        <v>61669.25</v>
      </c>
      <c r="BX764" s="113">
        <f t="shared" si="188"/>
        <v>386244.25</v>
      </c>
      <c r="BY764" s="272" t="s">
        <v>231</v>
      </c>
      <c r="BZ764" s="272" t="s">
        <v>88</v>
      </c>
      <c r="CA764" s="11"/>
      <c r="CB764" s="274"/>
      <c r="CC764" s="274"/>
      <c r="CD764" s="274"/>
      <c r="CE764" s="11"/>
      <c r="CF764" s="11"/>
      <c r="CG764" s="11"/>
      <c r="CH764" s="263">
        <v>340803.75</v>
      </c>
      <c r="CI764" s="265">
        <f>+CH764*0.19</f>
        <v>64752.712500000001</v>
      </c>
      <c r="CJ764" s="263">
        <f>+CH764+CI764</f>
        <v>405556.46250000002</v>
      </c>
      <c r="CK764" s="272" t="s">
        <v>231</v>
      </c>
      <c r="CL764" s="272" t="s">
        <v>88</v>
      </c>
      <c r="CM764" s="11"/>
      <c r="CN764" s="274"/>
      <c r="CO764" s="274"/>
      <c r="CP764" s="274"/>
      <c r="CQ764" s="11"/>
      <c r="CR764" s="11"/>
      <c r="CS764" s="11"/>
      <c r="CT764" s="11"/>
      <c r="CU764" s="11"/>
      <c r="CV764" s="11"/>
      <c r="CW764" s="11"/>
      <c r="CX764" s="11"/>
      <c r="CY764" s="11"/>
      <c r="CZ764" s="118">
        <v>372331</v>
      </c>
      <c r="DA764" s="144">
        <f>+CZ764*0.19</f>
        <v>70742.89</v>
      </c>
      <c r="DB764" s="118">
        <f>+CZ764+DA764</f>
        <v>443073.89</v>
      </c>
      <c r="DC764" s="33" t="s">
        <v>64</v>
      </c>
      <c r="DD764" s="11" t="s">
        <v>58</v>
      </c>
      <c r="DE764" s="11">
        <v>1054540500</v>
      </c>
      <c r="DF764" s="11"/>
      <c r="DG764" s="11"/>
      <c r="DH764" s="11"/>
      <c r="DI764" s="11"/>
      <c r="DJ764" s="11"/>
      <c r="DK764" s="11"/>
      <c r="DL764" s="11"/>
      <c r="DM764" s="11"/>
      <c r="DN764" s="11"/>
      <c r="DO764" s="11"/>
      <c r="DP764" s="11"/>
      <c r="DQ764" s="11"/>
      <c r="DR764" s="11"/>
      <c r="DS764" s="11"/>
      <c r="DT764" s="11"/>
      <c r="DU764" s="11"/>
      <c r="DV764" s="11"/>
      <c r="DW764" s="11"/>
      <c r="DX764" s="11"/>
      <c r="DY764" s="11"/>
      <c r="DZ764" s="11"/>
      <c r="EA764" s="11"/>
      <c r="EB764" s="11"/>
      <c r="EC764" s="11"/>
      <c r="ED764" s="11"/>
      <c r="EE764" s="11"/>
      <c r="EF764" s="11"/>
      <c r="EG764" s="11"/>
      <c r="EH764" s="11"/>
      <c r="EI764" s="11"/>
      <c r="EJ764" s="11"/>
      <c r="EK764" s="11"/>
      <c r="EL764" s="11"/>
      <c r="EM764" s="11"/>
      <c r="EN764" s="11"/>
      <c r="EO764" s="11"/>
      <c r="EP764" s="11"/>
      <c r="EQ764" s="11"/>
      <c r="ER764" s="11"/>
      <c r="ES764" s="11"/>
      <c r="ET764" s="11"/>
      <c r="EU764" s="11"/>
      <c r="EV764" s="11"/>
      <c r="EW764" s="11"/>
      <c r="EX764" s="11"/>
      <c r="EY764" s="11"/>
      <c r="EZ764" s="11"/>
      <c r="FA764" s="11"/>
      <c r="FB764" s="11"/>
      <c r="FC764" s="11"/>
      <c r="FD764" s="11"/>
      <c r="FE764" s="11"/>
      <c r="FF764" s="11"/>
      <c r="FG764" s="11"/>
      <c r="FH764" s="39">
        <f t="shared" si="172"/>
        <v>1963154.6025</v>
      </c>
      <c r="FI764" s="33">
        <f t="shared" si="173"/>
        <v>4</v>
      </c>
      <c r="FJ764" s="84">
        <f t="shared" si="174"/>
        <v>490788.65062500001</v>
      </c>
    </row>
    <row r="765" spans="1:166" ht="13.5" x14ac:dyDescent="0.25">
      <c r="A765" s="79" t="e">
        <f>#REF!</f>
        <v>#REF!</v>
      </c>
      <c r="B765" s="75" t="e">
        <f>#REF!</f>
        <v>#REF!</v>
      </c>
      <c r="C765" s="75" t="e">
        <f>#REF!</f>
        <v>#REF!</v>
      </c>
      <c r="D765" s="75" t="e">
        <f>#REF!</f>
        <v>#REF!</v>
      </c>
      <c r="E765" s="30">
        <v>1</v>
      </c>
      <c r="F765" s="238">
        <v>0</v>
      </c>
      <c r="G765" s="241">
        <v>0</v>
      </c>
      <c r="H765" s="249">
        <v>0</v>
      </c>
      <c r="I765" s="249">
        <v>0</v>
      </c>
      <c r="J765" s="249">
        <v>0</v>
      </c>
      <c r="K765" s="249">
        <v>0</v>
      </c>
      <c r="L765" s="274"/>
      <c r="M765" s="274"/>
      <c r="N765" s="247">
        <v>416500</v>
      </c>
      <c r="O765" s="113">
        <f t="shared" si="185"/>
        <v>79135</v>
      </c>
      <c r="P765" s="113">
        <f t="shared" si="186"/>
        <v>495635</v>
      </c>
      <c r="Q765" s="36" t="s">
        <v>127</v>
      </c>
      <c r="R765" s="132" t="s">
        <v>128</v>
      </c>
      <c r="S765" s="25"/>
      <c r="T765" s="118"/>
      <c r="U765" s="118"/>
      <c r="V765" s="118"/>
      <c r="W765" s="11"/>
      <c r="X765" s="11"/>
      <c r="Y765" s="11"/>
      <c r="Z765" s="118"/>
      <c r="AA765" s="118"/>
      <c r="AB765" s="118"/>
      <c r="AC765" s="52"/>
      <c r="AD765" s="52"/>
      <c r="AE765" s="11"/>
      <c r="AF765" s="118"/>
      <c r="AG765" s="118"/>
      <c r="AH765" s="118"/>
      <c r="AI765" s="11"/>
      <c r="AJ765" s="11"/>
      <c r="AK765" s="11"/>
      <c r="AL765" s="118"/>
      <c r="AM765" s="118"/>
      <c r="AN765" s="118"/>
      <c r="AO765" s="76"/>
      <c r="AP765" s="11"/>
      <c r="AQ765" s="11"/>
      <c r="AR765" s="274"/>
      <c r="AS765" s="274"/>
      <c r="AT765" s="274"/>
      <c r="AU765" s="62"/>
      <c r="AV765" s="48"/>
      <c r="AW765" s="11"/>
      <c r="AX765" s="274"/>
      <c r="AY765" s="274"/>
      <c r="AZ765" s="274"/>
      <c r="BA765" s="11"/>
      <c r="BB765" s="11"/>
      <c r="BC765" s="11"/>
      <c r="BD765" s="274"/>
      <c r="BE765" s="274"/>
      <c r="BF765" s="274"/>
      <c r="BG765" s="11"/>
      <c r="BH765" s="11"/>
      <c r="BI765" s="11"/>
      <c r="BJ765" s="274"/>
      <c r="BK765" s="274"/>
      <c r="BL765" s="274"/>
      <c r="BM765" s="11"/>
      <c r="BN765" s="11"/>
      <c r="BO765" s="11"/>
      <c r="BP765" s="274"/>
      <c r="BQ765" s="11"/>
      <c r="BR765" s="11"/>
      <c r="BS765" s="11"/>
      <c r="BT765" s="11"/>
      <c r="BU765" s="11"/>
      <c r="BV765" s="263">
        <v>1344100</v>
      </c>
      <c r="BW765" s="144">
        <f t="shared" si="187"/>
        <v>255379</v>
      </c>
      <c r="BX765" s="113">
        <f t="shared" si="188"/>
        <v>1599479</v>
      </c>
      <c r="BY765" s="272" t="s">
        <v>231</v>
      </c>
      <c r="BZ765" s="272" t="s">
        <v>88</v>
      </c>
      <c r="CA765" s="11"/>
      <c r="CB765" s="274"/>
      <c r="CC765" s="274"/>
      <c r="CD765" s="274"/>
      <c r="CE765" s="11"/>
      <c r="CF765" s="11"/>
      <c r="CG765" s="11"/>
      <c r="CH765" s="268"/>
      <c r="CI765" s="265"/>
      <c r="CJ765" s="263"/>
      <c r="CK765" s="272"/>
      <c r="CL765" s="272"/>
      <c r="CM765" s="11"/>
      <c r="CN765" s="274"/>
      <c r="CO765" s="274"/>
      <c r="CP765" s="274"/>
      <c r="CQ765" s="11"/>
      <c r="CR765" s="11"/>
      <c r="CS765" s="11"/>
      <c r="CT765" s="11"/>
      <c r="CU765" s="11"/>
      <c r="CV765" s="11"/>
      <c r="CW765" s="11"/>
      <c r="CX765" s="11"/>
      <c r="CY765" s="11"/>
      <c r="CZ765" s="118">
        <v>1123281</v>
      </c>
      <c r="DA765" s="144">
        <f>+CZ765*0.19</f>
        <v>213423.39</v>
      </c>
      <c r="DB765" s="118">
        <f>+CZ765+DA765</f>
        <v>1336704.3900000001</v>
      </c>
      <c r="DC765" s="33" t="s">
        <v>76</v>
      </c>
      <c r="DD765" s="11" t="s">
        <v>58</v>
      </c>
      <c r="DE765" s="11">
        <v>1058780500</v>
      </c>
      <c r="DF765" s="11"/>
      <c r="DG765" s="11"/>
      <c r="DH765" s="11"/>
      <c r="DI765" s="11"/>
      <c r="DJ765" s="11"/>
      <c r="DK765" s="11"/>
      <c r="DL765" s="11"/>
      <c r="DM765" s="11"/>
      <c r="DN765" s="11"/>
      <c r="DO765" s="11"/>
      <c r="DP765" s="11"/>
      <c r="DQ765" s="11"/>
      <c r="DR765" s="11"/>
      <c r="DS765" s="11"/>
      <c r="DT765" s="11"/>
      <c r="DU765" s="11"/>
      <c r="DV765" s="11"/>
      <c r="DW765" s="11"/>
      <c r="DX765" s="11"/>
      <c r="DY765" s="11"/>
      <c r="DZ765" s="11"/>
      <c r="EA765" s="11"/>
      <c r="EB765" s="11"/>
      <c r="EC765" s="11"/>
      <c r="ED765" s="11"/>
      <c r="EE765" s="11"/>
      <c r="EF765" s="11"/>
      <c r="EG765" s="11"/>
      <c r="EH765" s="11"/>
      <c r="EI765" s="11"/>
      <c r="EJ765" s="11"/>
      <c r="EK765" s="11"/>
      <c r="EL765" s="11"/>
      <c r="EM765" s="11"/>
      <c r="EN765" s="11"/>
      <c r="EO765" s="11"/>
      <c r="EP765" s="11"/>
      <c r="EQ765" s="11"/>
      <c r="ER765" s="11"/>
      <c r="ES765" s="11"/>
      <c r="ET765" s="11"/>
      <c r="EU765" s="11"/>
      <c r="EV765" s="11"/>
      <c r="EW765" s="11"/>
      <c r="EX765" s="11"/>
      <c r="EY765" s="11"/>
      <c r="EZ765" s="11"/>
      <c r="FA765" s="11"/>
      <c r="FB765" s="11"/>
      <c r="FC765" s="11"/>
      <c r="FD765" s="11"/>
      <c r="FE765" s="11"/>
      <c r="FF765" s="11"/>
      <c r="FG765" s="11"/>
      <c r="FH765" s="39">
        <f t="shared" si="172"/>
        <v>3431818.39</v>
      </c>
      <c r="FI765" s="33">
        <f t="shared" si="173"/>
        <v>3</v>
      </c>
      <c r="FJ765" s="84">
        <f t="shared" si="174"/>
        <v>1143939.4633333334</v>
      </c>
    </row>
    <row r="766" spans="1:166" ht="13.5" x14ac:dyDescent="0.25">
      <c r="A766" s="79" t="e">
        <f>#REF!</f>
        <v>#REF!</v>
      </c>
      <c r="B766" s="75" t="e">
        <f>#REF!</f>
        <v>#REF!</v>
      </c>
      <c r="C766" s="75" t="e">
        <f>#REF!</f>
        <v>#REF!</v>
      </c>
      <c r="D766" s="75" t="e">
        <f>#REF!</f>
        <v>#REF!</v>
      </c>
      <c r="E766" s="30">
        <v>1</v>
      </c>
      <c r="F766" s="238">
        <v>0</v>
      </c>
      <c r="G766" s="241">
        <v>0</v>
      </c>
      <c r="H766" s="249">
        <v>0</v>
      </c>
      <c r="I766" s="249">
        <v>0</v>
      </c>
      <c r="J766" s="249">
        <v>0</v>
      </c>
      <c r="K766" s="249">
        <v>0</v>
      </c>
      <c r="L766" s="274"/>
      <c r="M766" s="274"/>
      <c r="N766" s="247">
        <v>292300</v>
      </c>
      <c r="O766" s="113">
        <f t="shared" si="185"/>
        <v>55537</v>
      </c>
      <c r="P766" s="113">
        <f t="shared" si="186"/>
        <v>347837</v>
      </c>
      <c r="Q766" s="36" t="s">
        <v>127</v>
      </c>
      <c r="R766" s="132" t="s">
        <v>128</v>
      </c>
      <c r="S766" s="25"/>
      <c r="T766" s="118"/>
      <c r="U766" s="118"/>
      <c r="V766" s="118"/>
      <c r="W766" s="11"/>
      <c r="X766" s="11"/>
      <c r="Y766" s="11"/>
      <c r="Z766" s="118"/>
      <c r="AA766" s="118"/>
      <c r="AB766" s="118"/>
      <c r="AC766" s="52"/>
      <c r="AD766" s="52"/>
      <c r="AE766" s="11"/>
      <c r="AF766" s="118"/>
      <c r="AG766" s="118"/>
      <c r="AH766" s="118"/>
      <c r="AI766" s="11"/>
      <c r="AJ766" s="11"/>
      <c r="AK766" s="11"/>
      <c r="AL766" s="118"/>
      <c r="AM766" s="118"/>
      <c r="AN766" s="118"/>
      <c r="AO766" s="76"/>
      <c r="AP766" s="11"/>
      <c r="AQ766" s="11"/>
      <c r="AR766" s="274"/>
      <c r="AS766" s="274"/>
      <c r="AT766" s="274"/>
      <c r="AU766" s="62"/>
      <c r="AV766" s="48"/>
      <c r="AW766" s="11"/>
      <c r="AX766" s="274"/>
      <c r="AY766" s="274"/>
      <c r="AZ766" s="274"/>
      <c r="BA766" s="11"/>
      <c r="BB766" s="11"/>
      <c r="BC766" s="11"/>
      <c r="BD766" s="274"/>
      <c r="BE766" s="274"/>
      <c r="BF766" s="274"/>
      <c r="BG766" s="11"/>
      <c r="BH766" s="11"/>
      <c r="BI766" s="11"/>
      <c r="BJ766" s="274"/>
      <c r="BK766" s="274"/>
      <c r="BL766" s="274"/>
      <c r="BM766" s="11"/>
      <c r="BN766" s="11"/>
      <c r="BO766" s="11"/>
      <c r="BP766" s="274"/>
      <c r="BQ766" s="11"/>
      <c r="BR766" s="11"/>
      <c r="BS766" s="11"/>
      <c r="BT766" s="11"/>
      <c r="BU766" s="11"/>
      <c r="BV766" s="263">
        <v>584600</v>
      </c>
      <c r="BW766" s="144">
        <f t="shared" si="187"/>
        <v>111074</v>
      </c>
      <c r="BX766" s="113">
        <f t="shared" si="188"/>
        <v>695674</v>
      </c>
      <c r="BY766" s="272" t="s">
        <v>231</v>
      </c>
      <c r="BZ766" s="272" t="s">
        <v>128</v>
      </c>
      <c r="CA766" s="11"/>
      <c r="CB766" s="274"/>
      <c r="CC766" s="274"/>
      <c r="CD766" s="274"/>
      <c r="CE766" s="11"/>
      <c r="CF766" s="11"/>
      <c r="CG766" s="11"/>
      <c r="CH766" s="263">
        <v>625522</v>
      </c>
      <c r="CI766" s="265">
        <f>+CH766*0.19</f>
        <v>118849.18000000001</v>
      </c>
      <c r="CJ766" s="263">
        <f>+CH766+CI766</f>
        <v>744371.18</v>
      </c>
      <c r="CK766" s="272" t="s">
        <v>231</v>
      </c>
      <c r="CL766" s="272" t="s">
        <v>128</v>
      </c>
      <c r="CM766" s="11"/>
      <c r="CN766" s="274"/>
      <c r="CO766" s="274"/>
      <c r="CP766" s="274"/>
      <c r="CQ766" s="11"/>
      <c r="CR766" s="11"/>
      <c r="CS766" s="11"/>
      <c r="CT766" s="11"/>
      <c r="CU766" s="11"/>
      <c r="CV766" s="11"/>
      <c r="CW766" s="11"/>
      <c r="CX766" s="11"/>
      <c r="CY766" s="11"/>
      <c r="CZ766" s="118">
        <v>445309</v>
      </c>
      <c r="DA766" s="144">
        <f>+CZ766*0.19</f>
        <v>84608.71</v>
      </c>
      <c r="DB766" s="118">
        <f>+CZ766+DA766</f>
        <v>529917.71</v>
      </c>
      <c r="DC766" s="33" t="s">
        <v>64</v>
      </c>
      <c r="DD766" s="11" t="s">
        <v>58</v>
      </c>
      <c r="DE766" s="11">
        <v>1077000500</v>
      </c>
      <c r="DF766" s="11"/>
      <c r="DG766" s="11"/>
      <c r="DH766" s="11"/>
      <c r="DI766" s="11"/>
      <c r="DJ766" s="11"/>
      <c r="DK766" s="11"/>
      <c r="DL766" s="11"/>
      <c r="DM766" s="11"/>
      <c r="DN766" s="11"/>
      <c r="DO766" s="11"/>
      <c r="DP766" s="11"/>
      <c r="DQ766" s="11"/>
      <c r="DR766" s="11"/>
      <c r="DS766" s="11"/>
      <c r="DT766" s="11"/>
      <c r="DU766" s="11"/>
      <c r="DV766" s="11"/>
      <c r="DW766" s="11"/>
      <c r="DX766" s="11"/>
      <c r="DY766" s="11"/>
      <c r="DZ766" s="11"/>
      <c r="EA766" s="11"/>
      <c r="EB766" s="11"/>
      <c r="EC766" s="11"/>
      <c r="ED766" s="11"/>
      <c r="EE766" s="11"/>
      <c r="EF766" s="11"/>
      <c r="EG766" s="11"/>
      <c r="EH766" s="11"/>
      <c r="EI766" s="11"/>
      <c r="EJ766" s="11"/>
      <c r="EK766" s="11"/>
      <c r="EL766" s="11"/>
      <c r="EM766" s="11"/>
      <c r="EN766" s="11"/>
      <c r="EO766" s="11"/>
      <c r="EP766" s="11"/>
      <c r="EQ766" s="11"/>
      <c r="ER766" s="11"/>
      <c r="ES766" s="11"/>
      <c r="ET766" s="11"/>
      <c r="EU766" s="11"/>
      <c r="EV766" s="11"/>
      <c r="EW766" s="11"/>
      <c r="EX766" s="11"/>
      <c r="EY766" s="11"/>
      <c r="EZ766" s="11"/>
      <c r="FA766" s="11"/>
      <c r="FB766" s="11"/>
      <c r="FC766" s="11"/>
      <c r="FD766" s="11"/>
      <c r="FE766" s="11"/>
      <c r="FF766" s="11"/>
      <c r="FG766" s="11"/>
      <c r="FH766" s="39">
        <f t="shared" si="172"/>
        <v>2317799.89</v>
      </c>
      <c r="FI766" s="33">
        <f t="shared" si="173"/>
        <v>4</v>
      </c>
      <c r="FJ766" s="84">
        <f t="shared" si="174"/>
        <v>579449.97250000003</v>
      </c>
    </row>
    <row r="767" spans="1:166" ht="13.5" x14ac:dyDescent="0.25">
      <c r="A767" s="79" t="e">
        <f>#REF!</f>
        <v>#REF!</v>
      </c>
      <c r="B767" s="75" t="e">
        <f>#REF!</f>
        <v>#REF!</v>
      </c>
      <c r="C767" s="75" t="e">
        <f>#REF!</f>
        <v>#REF!</v>
      </c>
      <c r="D767" s="75" t="e">
        <f>#REF!</f>
        <v>#REF!</v>
      </c>
      <c r="E767" s="30">
        <v>1</v>
      </c>
      <c r="F767" s="238">
        <v>0</v>
      </c>
      <c r="G767" s="241">
        <v>0</v>
      </c>
      <c r="H767" s="249">
        <v>0</v>
      </c>
      <c r="I767" s="249">
        <v>0</v>
      </c>
      <c r="J767" s="249">
        <v>0</v>
      </c>
      <c r="K767" s="249">
        <v>0</v>
      </c>
      <c r="L767" s="274"/>
      <c r="M767" s="274"/>
      <c r="N767" s="247">
        <v>639600</v>
      </c>
      <c r="O767" s="113">
        <f t="shared" si="185"/>
        <v>121524</v>
      </c>
      <c r="P767" s="113">
        <f t="shared" si="186"/>
        <v>761124</v>
      </c>
      <c r="Q767" s="36" t="s">
        <v>127</v>
      </c>
      <c r="R767" s="132" t="s">
        <v>128</v>
      </c>
      <c r="S767" s="25"/>
      <c r="T767" s="118"/>
      <c r="U767" s="118"/>
      <c r="V767" s="118"/>
      <c r="W767" s="11"/>
      <c r="X767" s="11"/>
      <c r="Y767" s="11"/>
      <c r="Z767" s="118"/>
      <c r="AA767" s="118"/>
      <c r="AB767" s="118"/>
      <c r="AC767" s="52"/>
      <c r="AD767" s="52"/>
      <c r="AE767" s="11"/>
      <c r="AF767" s="118"/>
      <c r="AG767" s="118"/>
      <c r="AH767" s="118"/>
      <c r="AI767" s="11"/>
      <c r="AJ767" s="11"/>
      <c r="AK767" s="11"/>
      <c r="AL767" s="118"/>
      <c r="AM767" s="118"/>
      <c r="AN767" s="118"/>
      <c r="AO767" s="76"/>
      <c r="AP767" s="11"/>
      <c r="AQ767" s="11"/>
      <c r="AR767" s="274"/>
      <c r="AS767" s="274"/>
      <c r="AT767" s="274"/>
      <c r="AU767" s="62"/>
      <c r="AV767" s="48"/>
      <c r="AW767" s="11"/>
      <c r="AX767" s="274"/>
      <c r="AY767" s="274"/>
      <c r="AZ767" s="274"/>
      <c r="BA767" s="11"/>
      <c r="BB767" s="11"/>
      <c r="BC767" s="11"/>
      <c r="BD767" s="274"/>
      <c r="BE767" s="274"/>
      <c r="BF767" s="274"/>
      <c r="BG767" s="11"/>
      <c r="BH767" s="11"/>
      <c r="BI767" s="11"/>
      <c r="BJ767" s="274"/>
      <c r="BK767" s="274"/>
      <c r="BL767" s="274"/>
      <c r="BM767" s="11"/>
      <c r="BN767" s="11"/>
      <c r="BO767" s="11"/>
      <c r="BP767" s="274"/>
      <c r="BQ767" s="11"/>
      <c r="BR767" s="11"/>
      <c r="BS767" s="11"/>
      <c r="BT767" s="11"/>
      <c r="BU767" s="11"/>
      <c r="BV767" s="263">
        <v>1279200</v>
      </c>
      <c r="BW767" s="144">
        <f t="shared" si="187"/>
        <v>243048</v>
      </c>
      <c r="BX767" s="113">
        <f t="shared" si="188"/>
        <v>1522248</v>
      </c>
      <c r="BY767" s="272" t="s">
        <v>231</v>
      </c>
      <c r="BZ767" s="272" t="s">
        <v>128</v>
      </c>
      <c r="CA767" s="11"/>
      <c r="CB767" s="274"/>
      <c r="CC767" s="274"/>
      <c r="CD767" s="274"/>
      <c r="CE767" s="11"/>
      <c r="CF767" s="11"/>
      <c r="CG767" s="11"/>
      <c r="CH767" s="268">
        <v>1317576</v>
      </c>
      <c r="CI767" s="265">
        <f>+CH767*0.19</f>
        <v>250339.44</v>
      </c>
      <c r="CJ767" s="263">
        <f>+CH767+CI767</f>
        <v>1567915.44</v>
      </c>
      <c r="CK767" s="272" t="s">
        <v>231</v>
      </c>
      <c r="CL767" s="272" t="s">
        <v>128</v>
      </c>
      <c r="CM767" s="11"/>
      <c r="CN767" s="274"/>
      <c r="CO767" s="274"/>
      <c r="CP767" s="274"/>
      <c r="CQ767" s="11"/>
      <c r="CR767" s="11"/>
      <c r="CS767" s="11"/>
      <c r="CT767" s="11"/>
      <c r="CU767" s="11"/>
      <c r="CV767" s="11"/>
      <c r="CW767" s="11"/>
      <c r="CX767" s="11"/>
      <c r="CY767" s="11"/>
      <c r="CZ767" s="118"/>
      <c r="DA767" s="144"/>
      <c r="DB767" s="118"/>
      <c r="DC767" s="33"/>
      <c r="DD767" s="11"/>
      <c r="DE767" s="11"/>
      <c r="DF767" s="11"/>
      <c r="DG767" s="11"/>
      <c r="DH767" s="11"/>
      <c r="DI767" s="11"/>
      <c r="DJ767" s="11"/>
      <c r="DK767" s="11"/>
      <c r="DL767" s="11"/>
      <c r="DM767" s="11"/>
      <c r="DN767" s="11"/>
      <c r="DO767" s="11"/>
      <c r="DP767" s="11"/>
      <c r="DQ767" s="11"/>
      <c r="DR767" s="11"/>
      <c r="DS767" s="11"/>
      <c r="DT767" s="11"/>
      <c r="DU767" s="11"/>
      <c r="DV767" s="11"/>
      <c r="DW767" s="11"/>
      <c r="DX767" s="11"/>
      <c r="DY767" s="11"/>
      <c r="DZ767" s="11"/>
      <c r="EA767" s="11"/>
      <c r="EB767" s="11"/>
      <c r="EC767" s="11"/>
      <c r="ED767" s="11"/>
      <c r="EE767" s="11"/>
      <c r="EF767" s="11"/>
      <c r="EG767" s="11"/>
      <c r="EH767" s="11"/>
      <c r="EI767" s="11"/>
      <c r="EJ767" s="11"/>
      <c r="EK767" s="11"/>
      <c r="EL767" s="11"/>
      <c r="EM767" s="11"/>
      <c r="EN767" s="11"/>
      <c r="EO767" s="11"/>
      <c r="EP767" s="11"/>
      <c r="EQ767" s="11"/>
      <c r="ER767" s="11"/>
      <c r="ES767" s="11"/>
      <c r="ET767" s="11"/>
      <c r="EU767" s="11"/>
      <c r="EV767" s="11"/>
      <c r="EW767" s="11"/>
      <c r="EX767" s="11"/>
      <c r="EY767" s="11"/>
      <c r="EZ767" s="11"/>
      <c r="FA767" s="11"/>
      <c r="FB767" s="11"/>
      <c r="FC767" s="11"/>
      <c r="FD767" s="11"/>
      <c r="FE767" s="11"/>
      <c r="FF767" s="11"/>
      <c r="FG767" s="11"/>
      <c r="FH767" s="39">
        <f t="shared" si="172"/>
        <v>3851287.44</v>
      </c>
      <c r="FI767" s="33">
        <f t="shared" si="173"/>
        <v>3</v>
      </c>
      <c r="FJ767" s="84">
        <f t="shared" si="174"/>
        <v>1283762.48</v>
      </c>
    </row>
    <row r="768" spans="1:166" ht="13.5" x14ac:dyDescent="0.25">
      <c r="A768" s="79" t="e">
        <f>#REF!</f>
        <v>#REF!</v>
      </c>
      <c r="B768" s="75" t="e">
        <f>#REF!</f>
        <v>#REF!</v>
      </c>
      <c r="C768" s="75" t="e">
        <f>#REF!</f>
        <v>#REF!</v>
      </c>
      <c r="D768" s="75" t="e">
        <f>#REF!</f>
        <v>#REF!</v>
      </c>
      <c r="E768" s="30">
        <v>1</v>
      </c>
      <c r="F768" s="238">
        <v>0</v>
      </c>
      <c r="G768" s="241">
        <v>0</v>
      </c>
      <c r="H768" s="249">
        <v>0</v>
      </c>
      <c r="I768" s="249">
        <v>0</v>
      </c>
      <c r="J768" s="249">
        <v>0</v>
      </c>
      <c r="K768" s="249">
        <v>0</v>
      </c>
      <c r="L768" s="274"/>
      <c r="M768" s="274"/>
      <c r="N768" s="247">
        <v>911250</v>
      </c>
      <c r="O768" s="113">
        <f t="shared" si="185"/>
        <v>173137.5</v>
      </c>
      <c r="P768" s="113">
        <f t="shared" si="186"/>
        <v>1084387.5</v>
      </c>
      <c r="Q768" s="36" t="s">
        <v>127</v>
      </c>
      <c r="R768" s="132" t="s">
        <v>128</v>
      </c>
      <c r="S768" s="25" t="s">
        <v>255</v>
      </c>
      <c r="T768" s="118"/>
      <c r="U768" s="118"/>
      <c r="V768" s="118"/>
      <c r="W768" s="11"/>
      <c r="X768" s="11"/>
      <c r="Y768" s="11"/>
      <c r="Z768" s="118"/>
      <c r="AA768" s="118"/>
      <c r="AB768" s="118"/>
      <c r="AC768" s="52"/>
      <c r="AD768" s="52"/>
      <c r="AE768" s="11"/>
      <c r="AF768" s="118"/>
      <c r="AG768" s="118"/>
      <c r="AH768" s="118"/>
      <c r="AI768" s="11"/>
      <c r="AJ768" s="11"/>
      <c r="AK768" s="11"/>
      <c r="AL768" s="118"/>
      <c r="AM768" s="118"/>
      <c r="AN768" s="118"/>
      <c r="AO768" s="76"/>
      <c r="AP768" s="11"/>
      <c r="AQ768" s="11"/>
      <c r="AR768" s="274"/>
      <c r="AS768" s="274"/>
      <c r="AT768" s="274"/>
      <c r="AU768" s="62"/>
      <c r="AV768" s="48"/>
      <c r="AW768" s="11"/>
      <c r="AX768" s="274"/>
      <c r="AY768" s="274"/>
      <c r="AZ768" s="274"/>
      <c r="BA768" s="11"/>
      <c r="BB768" s="11"/>
      <c r="BC768" s="11"/>
      <c r="BD768" s="274"/>
      <c r="BE768" s="274"/>
      <c r="BF768" s="274"/>
      <c r="BG768" s="11"/>
      <c r="BH768" s="11"/>
      <c r="BI768" s="11"/>
      <c r="BJ768" s="274"/>
      <c r="BK768" s="274"/>
      <c r="BL768" s="274"/>
      <c r="BM768" s="11"/>
      <c r="BN768" s="11"/>
      <c r="BO768" s="11"/>
      <c r="BP768" s="274"/>
      <c r="BQ768" s="11"/>
      <c r="BR768" s="11"/>
      <c r="BS768" s="11"/>
      <c r="BT768" s="11"/>
      <c r="BU768" s="11"/>
      <c r="BV768" s="263">
        <v>1458000</v>
      </c>
      <c r="BW768" s="144">
        <f t="shared" si="187"/>
        <v>277020</v>
      </c>
      <c r="BX768" s="113">
        <f t="shared" si="188"/>
        <v>1735020</v>
      </c>
      <c r="BY768" s="272" t="s">
        <v>231</v>
      </c>
      <c r="BZ768" s="272" t="s">
        <v>128</v>
      </c>
      <c r="CA768" s="11"/>
      <c r="CB768" s="274"/>
      <c r="CC768" s="274"/>
      <c r="CD768" s="274"/>
      <c r="CE768" s="11"/>
      <c r="CF768" s="11"/>
      <c r="CG768" s="11"/>
      <c r="CH768" s="268"/>
      <c r="CI768" s="265"/>
      <c r="CJ768" s="263"/>
      <c r="CK768" s="272"/>
      <c r="CL768" s="272"/>
      <c r="CM768" s="11"/>
      <c r="CN768" s="274"/>
      <c r="CO768" s="274"/>
      <c r="CP768" s="274"/>
      <c r="CQ768" s="11"/>
      <c r="CR768" s="11"/>
      <c r="CS768" s="11"/>
      <c r="CT768" s="11"/>
      <c r="CU768" s="11"/>
      <c r="CV768" s="11"/>
      <c r="CW768" s="11"/>
      <c r="CX768" s="11"/>
      <c r="CY768" s="11"/>
      <c r="CZ768" s="118">
        <v>1060328</v>
      </c>
      <c r="DA768" s="144">
        <f>+CZ768*0.19</f>
        <v>201462.32</v>
      </c>
      <c r="DB768" s="118">
        <f>+CZ768+DA768</f>
        <v>1261790.32</v>
      </c>
      <c r="DC768" s="33" t="s">
        <v>64</v>
      </c>
      <c r="DD768" s="11" t="s">
        <v>58</v>
      </c>
      <c r="DE768" s="11">
        <v>1108230500</v>
      </c>
      <c r="DF768" s="11"/>
      <c r="DG768" s="11"/>
      <c r="DH768" s="11"/>
      <c r="DI768" s="11"/>
      <c r="DJ768" s="11"/>
      <c r="DK768" s="11"/>
      <c r="DL768" s="11"/>
      <c r="DM768" s="11"/>
      <c r="DN768" s="11"/>
      <c r="DO768" s="11"/>
      <c r="DP768" s="11"/>
      <c r="DQ768" s="11"/>
      <c r="DR768" s="11"/>
      <c r="DS768" s="11"/>
      <c r="DT768" s="11"/>
      <c r="DU768" s="11"/>
      <c r="DV768" s="11"/>
      <c r="DW768" s="11"/>
      <c r="DX768" s="11"/>
      <c r="DY768" s="11"/>
      <c r="DZ768" s="11"/>
      <c r="EA768" s="11"/>
      <c r="EB768" s="11"/>
      <c r="EC768" s="11"/>
      <c r="ED768" s="11"/>
      <c r="EE768" s="11"/>
      <c r="EF768" s="11"/>
      <c r="EG768" s="11"/>
      <c r="EH768" s="11"/>
      <c r="EI768" s="11"/>
      <c r="EJ768" s="11"/>
      <c r="EK768" s="11"/>
      <c r="EL768" s="11"/>
      <c r="EM768" s="11"/>
      <c r="EN768" s="11"/>
      <c r="EO768" s="11"/>
      <c r="EP768" s="11"/>
      <c r="EQ768" s="11"/>
      <c r="ER768" s="11"/>
      <c r="ES768" s="11"/>
      <c r="ET768" s="11"/>
      <c r="EU768" s="11"/>
      <c r="EV768" s="11"/>
      <c r="EW768" s="11"/>
      <c r="EX768" s="11"/>
      <c r="EY768" s="11"/>
      <c r="EZ768" s="11"/>
      <c r="FA768" s="11"/>
      <c r="FB768" s="11"/>
      <c r="FC768" s="11"/>
      <c r="FD768" s="11"/>
      <c r="FE768" s="11"/>
      <c r="FF768" s="11"/>
      <c r="FG768" s="11"/>
      <c r="FH768" s="39">
        <f t="shared" si="172"/>
        <v>4081197.8200000003</v>
      </c>
      <c r="FI768" s="33">
        <f t="shared" si="173"/>
        <v>3</v>
      </c>
      <c r="FJ768" s="84">
        <f t="shared" si="174"/>
        <v>1360399.2733333334</v>
      </c>
    </row>
    <row r="769" spans="1:166" ht="27" x14ac:dyDescent="0.25">
      <c r="A769" s="79" t="e">
        <f>#REF!</f>
        <v>#REF!</v>
      </c>
      <c r="B769" s="75" t="e">
        <f>#REF!</f>
        <v>#REF!</v>
      </c>
      <c r="C769" s="75" t="e">
        <f>#REF!</f>
        <v>#REF!</v>
      </c>
      <c r="D769" s="75" t="e">
        <f>#REF!</f>
        <v>#REF!</v>
      </c>
      <c r="E769" s="30">
        <v>1</v>
      </c>
      <c r="F769" s="238">
        <v>0</v>
      </c>
      <c r="G769" s="241">
        <v>0</v>
      </c>
      <c r="H769" s="249">
        <v>0</v>
      </c>
      <c r="I769" s="249">
        <v>0</v>
      </c>
      <c r="J769" s="249">
        <v>0</v>
      </c>
      <c r="K769" s="249">
        <v>0</v>
      </c>
      <c r="L769" s="274"/>
      <c r="M769" s="274"/>
      <c r="N769" s="247">
        <v>1503000</v>
      </c>
      <c r="O769" s="113">
        <f t="shared" si="185"/>
        <v>285570</v>
      </c>
      <c r="P769" s="113">
        <f t="shared" si="186"/>
        <v>1788570</v>
      </c>
      <c r="Q769" s="36" t="s">
        <v>127</v>
      </c>
      <c r="R769" s="132" t="s">
        <v>128</v>
      </c>
      <c r="S769" s="25" t="s">
        <v>255</v>
      </c>
      <c r="T769" s="118"/>
      <c r="U769" s="118"/>
      <c r="V769" s="118"/>
      <c r="W769" s="11"/>
      <c r="X769" s="11"/>
      <c r="Y769" s="11"/>
      <c r="Z769" s="118"/>
      <c r="AA769" s="118"/>
      <c r="AB769" s="118"/>
      <c r="AC769" s="52"/>
      <c r="AD769" s="52"/>
      <c r="AE769" s="11"/>
      <c r="AF769" s="118"/>
      <c r="AG769" s="118"/>
      <c r="AH769" s="118"/>
      <c r="AI769" s="11"/>
      <c r="AJ769" s="11"/>
      <c r="AK769" s="11"/>
      <c r="AL769" s="118"/>
      <c r="AM769" s="118"/>
      <c r="AN769" s="118"/>
      <c r="AO769" s="76"/>
      <c r="AP769" s="11"/>
      <c r="AQ769" s="11"/>
      <c r="AR769" s="274"/>
      <c r="AS769" s="274"/>
      <c r="AT769" s="274"/>
      <c r="AU769" s="62"/>
      <c r="AV769" s="48"/>
      <c r="AW769" s="11"/>
      <c r="AX769" s="274"/>
      <c r="AY769" s="274"/>
      <c r="AZ769" s="274"/>
      <c r="BA769" s="11"/>
      <c r="BB769" s="11"/>
      <c r="BC769" s="11"/>
      <c r="BD769" s="274"/>
      <c r="BE769" s="274"/>
      <c r="BF769" s="274"/>
      <c r="BG769" s="11"/>
      <c r="BH769" s="11"/>
      <c r="BI769" s="11"/>
      <c r="BJ769" s="274"/>
      <c r="BK769" s="274"/>
      <c r="BL769" s="274"/>
      <c r="BM769" s="11"/>
      <c r="BN769" s="11"/>
      <c r="BO769" s="11"/>
      <c r="BP769" s="274"/>
      <c r="BQ769" s="11"/>
      <c r="BR769" s="11"/>
      <c r="BS769" s="11"/>
      <c r="BT769" s="11"/>
      <c r="BU769" s="11"/>
      <c r="BV769" s="263">
        <v>2248800</v>
      </c>
      <c r="BW769" s="144">
        <f t="shared" si="187"/>
        <v>427272</v>
      </c>
      <c r="BX769" s="113">
        <f t="shared" si="188"/>
        <v>2676072</v>
      </c>
      <c r="BY769" s="272" t="s">
        <v>563</v>
      </c>
      <c r="BZ769" s="272" t="s">
        <v>128</v>
      </c>
      <c r="CA769" s="11"/>
      <c r="CB769" s="274"/>
      <c r="CC769" s="274"/>
      <c r="CD769" s="274"/>
      <c r="CE769" s="11"/>
      <c r="CF769" s="11"/>
      <c r="CG769" s="11"/>
      <c r="CH769" s="268"/>
      <c r="CI769" s="265"/>
      <c r="CJ769" s="263"/>
      <c r="CK769" s="272"/>
      <c r="CL769" s="272"/>
      <c r="CM769" s="11"/>
      <c r="CN769" s="274"/>
      <c r="CO769" s="274"/>
      <c r="CP769" s="274"/>
      <c r="CQ769" s="11"/>
      <c r="CR769" s="11"/>
      <c r="CS769" s="11"/>
      <c r="CT769" s="11"/>
      <c r="CU769" s="11"/>
      <c r="CV769" s="11"/>
      <c r="CW769" s="11"/>
      <c r="CX769" s="11"/>
      <c r="CY769" s="11"/>
      <c r="CZ769" s="118">
        <v>1612451</v>
      </c>
      <c r="DA769" s="144">
        <f>+CZ769*0.19</f>
        <v>306365.69</v>
      </c>
      <c r="DB769" s="118">
        <f>+CZ769+DA769</f>
        <v>1918816.69</v>
      </c>
      <c r="DC769" s="33" t="s">
        <v>64</v>
      </c>
      <c r="DD769" s="11" t="s">
        <v>58</v>
      </c>
      <c r="DE769" s="11">
        <v>1004270500</v>
      </c>
      <c r="DF769" s="11"/>
      <c r="DG769" s="11"/>
      <c r="DH769" s="11"/>
      <c r="DI769" s="11"/>
      <c r="DJ769" s="11"/>
      <c r="DK769" s="11"/>
      <c r="DL769" s="11"/>
      <c r="DM769" s="11"/>
      <c r="DN769" s="11"/>
      <c r="DO769" s="11"/>
      <c r="DP769" s="11"/>
      <c r="DQ769" s="11"/>
      <c r="DR769" s="11"/>
      <c r="DS769" s="11"/>
      <c r="DT769" s="11"/>
      <c r="DU769" s="11"/>
      <c r="DV769" s="11"/>
      <c r="DW769" s="11"/>
      <c r="DX769" s="11"/>
      <c r="DY769" s="11"/>
      <c r="DZ769" s="11"/>
      <c r="EA769" s="11"/>
      <c r="EB769" s="11"/>
      <c r="EC769" s="11"/>
      <c r="ED769" s="11"/>
      <c r="EE769" s="11"/>
      <c r="EF769" s="11"/>
      <c r="EG769" s="11"/>
      <c r="EH769" s="11"/>
      <c r="EI769" s="11"/>
      <c r="EJ769" s="11"/>
      <c r="EK769" s="11"/>
      <c r="EL769" s="11"/>
      <c r="EM769" s="11"/>
      <c r="EN769" s="11"/>
      <c r="EO769" s="11"/>
      <c r="EP769" s="11"/>
      <c r="EQ769" s="11"/>
      <c r="ER769" s="11"/>
      <c r="ES769" s="11"/>
      <c r="ET769" s="11"/>
      <c r="EU769" s="11"/>
      <c r="EV769" s="11"/>
      <c r="EW769" s="11"/>
      <c r="EX769" s="11"/>
      <c r="EY769" s="11"/>
      <c r="EZ769" s="11"/>
      <c r="FA769" s="11"/>
      <c r="FB769" s="11"/>
      <c r="FC769" s="11"/>
      <c r="FD769" s="11"/>
      <c r="FE769" s="11"/>
      <c r="FF769" s="11"/>
      <c r="FG769" s="11"/>
      <c r="FH769" s="39">
        <f t="shared" si="172"/>
        <v>6383458.6899999995</v>
      </c>
      <c r="FI769" s="33">
        <f t="shared" si="173"/>
        <v>3</v>
      </c>
      <c r="FJ769" s="84">
        <f t="shared" si="174"/>
        <v>2127819.563333333</v>
      </c>
    </row>
    <row r="770" spans="1:166" ht="27" x14ac:dyDescent="0.25">
      <c r="A770" s="79" t="e">
        <f>#REF!</f>
        <v>#REF!</v>
      </c>
      <c r="B770" s="75" t="e">
        <f>#REF!</f>
        <v>#REF!</v>
      </c>
      <c r="C770" s="75" t="e">
        <f>#REF!</f>
        <v>#REF!</v>
      </c>
      <c r="D770" s="75" t="e">
        <f>#REF!</f>
        <v>#REF!</v>
      </c>
      <c r="E770" s="30">
        <v>1</v>
      </c>
      <c r="F770" s="238">
        <v>0</v>
      </c>
      <c r="G770" s="241">
        <v>0</v>
      </c>
      <c r="H770" s="249">
        <v>0</v>
      </c>
      <c r="I770" s="249">
        <v>0</v>
      </c>
      <c r="J770" s="249">
        <v>0</v>
      </c>
      <c r="K770" s="249">
        <v>0</v>
      </c>
      <c r="L770" s="274"/>
      <c r="M770" s="274"/>
      <c r="N770" s="246"/>
      <c r="O770" s="118"/>
      <c r="P770" s="118"/>
      <c r="Q770" s="52"/>
      <c r="R770" s="52"/>
      <c r="S770" s="5"/>
      <c r="T770" s="118"/>
      <c r="U770" s="118"/>
      <c r="V770" s="118"/>
      <c r="W770" s="11"/>
      <c r="X770" s="11"/>
      <c r="Y770" s="11"/>
      <c r="Z770" s="118"/>
      <c r="AA770" s="118"/>
      <c r="AB770" s="118"/>
      <c r="AC770" s="52"/>
      <c r="AD770" s="52"/>
      <c r="AE770" s="11"/>
      <c r="AF770" s="118"/>
      <c r="AG770" s="118"/>
      <c r="AH770" s="118"/>
      <c r="AI770" s="11"/>
      <c r="AJ770" s="11"/>
      <c r="AK770" s="11"/>
      <c r="AL770" s="118"/>
      <c r="AM770" s="118"/>
      <c r="AN770" s="118"/>
      <c r="AO770" s="76"/>
      <c r="AP770" s="11"/>
      <c r="AQ770" s="11"/>
      <c r="AR770" s="274"/>
      <c r="AS770" s="274"/>
      <c r="AT770" s="274"/>
      <c r="AU770" s="48"/>
      <c r="AV770" s="48"/>
      <c r="AW770" s="11"/>
      <c r="AX770" s="274">
        <v>116979.51</v>
      </c>
      <c r="AY770" s="116">
        <f>+AX770*0.19</f>
        <v>22226.106899999999</v>
      </c>
      <c r="AZ770" s="143">
        <f>+AX770+AY770</f>
        <v>139205.61689999999</v>
      </c>
      <c r="BA770" s="191" t="s">
        <v>60</v>
      </c>
      <c r="BB770" s="132" t="s">
        <v>70</v>
      </c>
      <c r="BC770" s="11"/>
      <c r="BD770" s="274"/>
      <c r="BE770" s="274"/>
      <c r="BF770" s="274"/>
      <c r="BG770" s="11"/>
      <c r="BH770" s="11"/>
      <c r="BI770" s="11"/>
      <c r="BJ770" s="274"/>
      <c r="BK770" s="274"/>
      <c r="BL770" s="274"/>
      <c r="BM770" s="11"/>
      <c r="BN770" s="11"/>
      <c r="BO770" s="11"/>
      <c r="BP770" s="274"/>
      <c r="BQ770" s="11"/>
      <c r="BR770" s="11"/>
      <c r="BS770" s="11"/>
      <c r="BT770" s="11"/>
      <c r="BU770" s="11"/>
      <c r="BV770" s="263">
        <v>182700</v>
      </c>
      <c r="BW770" s="144">
        <f t="shared" si="187"/>
        <v>34713</v>
      </c>
      <c r="BX770" s="113">
        <f t="shared" si="188"/>
        <v>217413</v>
      </c>
      <c r="BY770" s="272" t="s">
        <v>231</v>
      </c>
      <c r="BZ770" s="272" t="s">
        <v>63</v>
      </c>
      <c r="CA770" s="11"/>
      <c r="CB770" s="274"/>
      <c r="CC770" s="274"/>
      <c r="CD770" s="274"/>
      <c r="CE770" s="11"/>
      <c r="CF770" s="11"/>
      <c r="CG770" s="11"/>
      <c r="CH770" s="263">
        <v>186354</v>
      </c>
      <c r="CI770" s="265">
        <f>+CH770*0.19</f>
        <v>35407.26</v>
      </c>
      <c r="CJ770" s="263">
        <f>+CH770+CI770</f>
        <v>221761.26</v>
      </c>
      <c r="CK770" s="272" t="s">
        <v>231</v>
      </c>
      <c r="CL770" s="272" t="s">
        <v>63</v>
      </c>
      <c r="CM770" s="11"/>
      <c r="CN770" s="274"/>
      <c r="CO770" s="274"/>
      <c r="CP770" s="274"/>
      <c r="CQ770" s="11"/>
      <c r="CR770" s="11"/>
      <c r="CS770" s="11"/>
      <c r="CT770" s="11"/>
      <c r="CU770" s="11"/>
      <c r="CV770" s="11"/>
      <c r="CW770" s="11"/>
      <c r="CX770" s="11"/>
      <c r="CY770" s="11"/>
      <c r="CZ770" s="118"/>
      <c r="DA770" s="118"/>
      <c r="DB770" s="118"/>
      <c r="DC770" s="11"/>
      <c r="DD770" s="11"/>
      <c r="DE770" s="32"/>
      <c r="DF770" s="11"/>
      <c r="DG770" s="11"/>
      <c r="DH770" s="11"/>
      <c r="DI770" s="11"/>
      <c r="DJ770" s="11"/>
      <c r="DK770" s="11"/>
      <c r="DL770" s="11"/>
      <c r="DM770" s="11"/>
      <c r="DN770" s="11"/>
      <c r="DO770" s="11"/>
      <c r="DP770" s="11"/>
      <c r="DQ770" s="11"/>
      <c r="DR770" s="11"/>
      <c r="DS770" s="11"/>
      <c r="DT770" s="11"/>
      <c r="DU770" s="11"/>
      <c r="DV770" s="11"/>
      <c r="DW770" s="11"/>
      <c r="DX770" s="11"/>
      <c r="DY770" s="11"/>
      <c r="DZ770" s="11"/>
      <c r="EA770" s="11"/>
      <c r="EB770" s="11"/>
      <c r="EC770" s="11"/>
      <c r="ED770" s="11"/>
      <c r="EE770" s="11"/>
      <c r="EF770" s="11"/>
      <c r="EG770" s="11"/>
      <c r="EH770" s="11"/>
      <c r="EI770" s="11"/>
      <c r="EJ770" s="11"/>
      <c r="EK770" s="11"/>
      <c r="EL770" s="11"/>
      <c r="EM770" s="11"/>
      <c r="EN770" s="11"/>
      <c r="EO770" s="11"/>
      <c r="EP770" s="11"/>
      <c r="EQ770" s="11"/>
      <c r="ER770" s="11"/>
      <c r="ES770" s="11"/>
      <c r="ET770" s="11"/>
      <c r="EU770" s="11"/>
      <c r="EV770" s="11"/>
      <c r="EW770" s="11"/>
      <c r="EX770" s="11"/>
      <c r="EY770" s="11"/>
      <c r="EZ770" s="11"/>
      <c r="FA770" s="11"/>
      <c r="FB770" s="11"/>
      <c r="FC770" s="11"/>
      <c r="FD770" s="11"/>
      <c r="FE770" s="11"/>
      <c r="FF770" s="11"/>
      <c r="FG770" s="11"/>
      <c r="FH770" s="39">
        <f t="shared" si="172"/>
        <v>578379.87690000003</v>
      </c>
      <c r="FI770" s="33">
        <f t="shared" si="173"/>
        <v>3</v>
      </c>
      <c r="FJ770" s="84">
        <f t="shared" si="174"/>
        <v>192793.2923</v>
      </c>
    </row>
    <row r="771" spans="1:166" ht="13.5" x14ac:dyDescent="0.25">
      <c r="A771" s="79" t="e">
        <f>#REF!</f>
        <v>#REF!</v>
      </c>
      <c r="B771" s="75" t="e">
        <f>#REF!</f>
        <v>#REF!</v>
      </c>
      <c r="C771" s="75" t="e">
        <f>#REF!</f>
        <v>#REF!</v>
      </c>
      <c r="D771" s="75" t="e">
        <f>#REF!</f>
        <v>#REF!</v>
      </c>
      <c r="E771" s="30">
        <v>1</v>
      </c>
      <c r="F771" s="238">
        <v>0</v>
      </c>
      <c r="G771" s="241">
        <v>0</v>
      </c>
      <c r="H771" s="249">
        <v>0</v>
      </c>
      <c r="I771" s="249">
        <v>0</v>
      </c>
      <c r="J771" s="249">
        <v>0</v>
      </c>
      <c r="K771" s="249">
        <v>0</v>
      </c>
      <c r="L771" s="274"/>
      <c r="M771" s="274"/>
      <c r="N771" s="247">
        <v>864750</v>
      </c>
      <c r="O771" s="113">
        <f>+N771*0.19</f>
        <v>164302.5</v>
      </c>
      <c r="P771" s="113">
        <f>+O771+N771</f>
        <v>1029052.5</v>
      </c>
      <c r="Q771" s="36" t="s">
        <v>127</v>
      </c>
      <c r="R771" s="132" t="s">
        <v>128</v>
      </c>
      <c r="S771" s="5"/>
      <c r="T771" s="118"/>
      <c r="U771" s="118"/>
      <c r="V771" s="118"/>
      <c r="W771" s="11"/>
      <c r="X771" s="11"/>
      <c r="Y771" s="11"/>
      <c r="Z771" s="118"/>
      <c r="AA771" s="118"/>
      <c r="AB771" s="118"/>
      <c r="AC771" s="52"/>
      <c r="AD771" s="52"/>
      <c r="AE771" s="11"/>
      <c r="AF771" s="118"/>
      <c r="AG771" s="118"/>
      <c r="AH771" s="118"/>
      <c r="AI771" s="11"/>
      <c r="AJ771" s="11"/>
      <c r="AK771" s="11"/>
      <c r="AL771" s="118">
        <v>620000</v>
      </c>
      <c r="AM771" s="113">
        <f>+AL771*0.19</f>
        <v>117800</v>
      </c>
      <c r="AN771" s="119">
        <f>+AL771+AM771</f>
        <v>737800</v>
      </c>
      <c r="AO771" s="76" t="s">
        <v>60</v>
      </c>
      <c r="AP771" s="11" t="s">
        <v>45</v>
      </c>
      <c r="AQ771" s="11"/>
      <c r="AR771" s="274"/>
      <c r="AS771" s="274"/>
      <c r="AT771" s="274"/>
      <c r="AU771" s="62"/>
      <c r="AV771" s="48"/>
      <c r="AW771" s="11"/>
      <c r="AX771" s="274"/>
      <c r="AY771" s="274"/>
      <c r="AZ771" s="274"/>
      <c r="BA771" s="11"/>
      <c r="BB771" s="11"/>
      <c r="BC771" s="11"/>
      <c r="BD771" s="274"/>
      <c r="BE771" s="274"/>
      <c r="BF771" s="274"/>
      <c r="BG771" s="11"/>
      <c r="BH771" s="11"/>
      <c r="BI771" s="11"/>
      <c r="BJ771" s="274"/>
      <c r="BK771" s="274"/>
      <c r="BL771" s="274"/>
      <c r="BM771" s="11"/>
      <c r="BN771" s="11"/>
      <c r="BO771" s="11"/>
      <c r="BP771" s="274"/>
      <c r="BQ771" s="11"/>
      <c r="BR771" s="11"/>
      <c r="BS771" s="11"/>
      <c r="BT771" s="11"/>
      <c r="BU771" s="11"/>
      <c r="BV771" s="263">
        <v>1383600</v>
      </c>
      <c r="BW771" s="144">
        <f t="shared" si="187"/>
        <v>262884</v>
      </c>
      <c r="BX771" s="113">
        <f t="shared" si="188"/>
        <v>1646484</v>
      </c>
      <c r="BY771" s="272" t="s">
        <v>231</v>
      </c>
      <c r="BZ771" s="272" t="s">
        <v>128</v>
      </c>
      <c r="CA771" s="11"/>
      <c r="CB771" s="274"/>
      <c r="CC771" s="274"/>
      <c r="CD771" s="274"/>
      <c r="CE771" s="11"/>
      <c r="CF771" s="11"/>
      <c r="CG771" s="11"/>
      <c r="CH771" s="268"/>
      <c r="CI771" s="265"/>
      <c r="CJ771" s="263"/>
      <c r="CK771" s="272"/>
      <c r="CL771" s="272"/>
      <c r="CM771" s="11"/>
      <c r="CN771" s="274"/>
      <c r="CO771" s="274"/>
      <c r="CP771" s="274"/>
      <c r="CQ771" s="11"/>
      <c r="CR771" s="11"/>
      <c r="CS771" s="11"/>
      <c r="CT771" s="11"/>
      <c r="CU771" s="11"/>
      <c r="CV771" s="11"/>
      <c r="CW771" s="11"/>
      <c r="CX771" s="11"/>
      <c r="CY771" s="11"/>
      <c r="CZ771" s="118"/>
      <c r="DA771" s="118"/>
      <c r="DB771" s="118"/>
      <c r="DC771" s="11"/>
      <c r="DD771" s="11"/>
      <c r="DE771" s="32"/>
      <c r="DF771" s="11"/>
      <c r="DG771" s="11"/>
      <c r="DH771" s="11"/>
      <c r="DI771" s="11"/>
      <c r="DJ771" s="11"/>
      <c r="DK771" s="11"/>
      <c r="DL771" s="11"/>
      <c r="DM771" s="11"/>
      <c r="DN771" s="11"/>
      <c r="DO771" s="11"/>
      <c r="DP771" s="11"/>
      <c r="DQ771" s="11"/>
      <c r="DR771" s="11"/>
      <c r="DS771" s="11"/>
      <c r="DT771" s="11"/>
      <c r="DU771" s="11"/>
      <c r="DV771" s="11"/>
      <c r="DW771" s="11"/>
      <c r="DX771" s="11"/>
      <c r="DY771" s="11"/>
      <c r="DZ771" s="11"/>
      <c r="EA771" s="11"/>
      <c r="EB771" s="11"/>
      <c r="EC771" s="11"/>
      <c r="ED771" s="11"/>
      <c r="EE771" s="11"/>
      <c r="EF771" s="11"/>
      <c r="EG771" s="11"/>
      <c r="EH771" s="11"/>
      <c r="EI771" s="11"/>
      <c r="EJ771" s="11"/>
      <c r="EK771" s="11"/>
      <c r="EL771" s="11"/>
      <c r="EM771" s="11"/>
      <c r="EN771" s="11"/>
      <c r="EO771" s="11"/>
      <c r="EP771" s="11"/>
      <c r="EQ771" s="11"/>
      <c r="ER771" s="11"/>
      <c r="ES771" s="11"/>
      <c r="ET771" s="11"/>
      <c r="EU771" s="11"/>
      <c r="EV771" s="11"/>
      <c r="EW771" s="11"/>
      <c r="EX771" s="11"/>
      <c r="EY771" s="11"/>
      <c r="EZ771" s="11"/>
      <c r="FA771" s="11"/>
      <c r="FB771" s="11"/>
      <c r="FC771" s="11"/>
      <c r="FD771" s="11"/>
      <c r="FE771" s="11"/>
      <c r="FF771" s="11"/>
      <c r="FG771" s="11"/>
      <c r="FH771" s="39">
        <f t="shared" ref="FH771:FH805" si="189">SUM(M771,P771,V771,AB771,AH771,AN771,AT771,AZ771,BF771,BL771,BR771,BX771,CD771,CJ771,CP771,CV771,DB771,DH771,DN771,DT771,DZ771,EF771,EL771,ER771,EX771,FD771)</f>
        <v>3413336.5</v>
      </c>
      <c r="FI771" s="33">
        <f t="shared" ref="FI771:FI805" si="190">COUNTA(M771,N771,T771,Z771,AF771,AL771,AR771,AX771,BD771,BJ771,BP771,BV771,CB771,CH771,CN771,CT771,CZ771,DF771,DL771,DR771,DX771,ED771,EJ771,EP771,EV771,FB771)</f>
        <v>3</v>
      </c>
      <c r="FJ771" s="84">
        <f t="shared" ref="FJ771:FJ805" si="191">IFERROR(FH771/FI771," ")</f>
        <v>1137778.8333333333</v>
      </c>
    </row>
    <row r="772" spans="1:166" ht="13.5" x14ac:dyDescent="0.25">
      <c r="A772" s="79" t="e">
        <f>#REF!</f>
        <v>#REF!</v>
      </c>
      <c r="B772" s="75" t="e">
        <f>#REF!</f>
        <v>#REF!</v>
      </c>
      <c r="C772" s="75" t="e">
        <f>#REF!</f>
        <v>#REF!</v>
      </c>
      <c r="D772" s="75" t="e">
        <f>#REF!</f>
        <v>#REF!</v>
      </c>
      <c r="E772" s="30">
        <v>1</v>
      </c>
      <c r="F772" s="238">
        <v>0</v>
      </c>
      <c r="G772" s="241">
        <v>0</v>
      </c>
      <c r="H772" s="249">
        <v>0</v>
      </c>
      <c r="I772" s="249">
        <v>0</v>
      </c>
      <c r="J772" s="249">
        <v>0</v>
      </c>
      <c r="K772" s="249">
        <v>0</v>
      </c>
      <c r="L772" s="274"/>
      <c r="M772" s="274"/>
      <c r="N772" s="247">
        <v>663750</v>
      </c>
      <c r="O772" s="113">
        <f>+N772*0.19</f>
        <v>126112.5</v>
      </c>
      <c r="P772" s="113">
        <f>+O772+N772</f>
        <v>789862.5</v>
      </c>
      <c r="Q772" s="36" t="s">
        <v>127</v>
      </c>
      <c r="R772" s="132" t="s">
        <v>128</v>
      </c>
      <c r="S772" s="5"/>
      <c r="T772" s="118"/>
      <c r="U772" s="118"/>
      <c r="V772" s="118"/>
      <c r="W772" s="11"/>
      <c r="X772" s="11"/>
      <c r="Y772" s="11"/>
      <c r="Z772" s="118"/>
      <c r="AA772" s="118"/>
      <c r="AB772" s="118"/>
      <c r="AC772" s="52"/>
      <c r="AD772" s="52"/>
      <c r="AE772" s="11"/>
      <c r="AF772" s="118"/>
      <c r="AG772" s="118"/>
      <c r="AH772" s="118"/>
      <c r="AI772" s="11"/>
      <c r="AJ772" s="11"/>
      <c r="AK772" s="11"/>
      <c r="AL772" s="118"/>
      <c r="AM772" s="118"/>
      <c r="AN772" s="118"/>
      <c r="AO772" s="76"/>
      <c r="AP772" s="11"/>
      <c r="AQ772" s="11"/>
      <c r="AR772" s="274"/>
      <c r="AS772" s="274"/>
      <c r="AT772" s="274"/>
      <c r="AU772" s="62"/>
      <c r="AV772" s="48"/>
      <c r="AW772" s="11"/>
      <c r="AX772" s="274"/>
      <c r="AY772" s="274"/>
      <c r="AZ772" s="274"/>
      <c r="BA772" s="11"/>
      <c r="BB772" s="11"/>
      <c r="BC772" s="11"/>
      <c r="BD772" s="274"/>
      <c r="BE772" s="274"/>
      <c r="BF772" s="274"/>
      <c r="BG772" s="11"/>
      <c r="BH772" s="11"/>
      <c r="BI772" s="11"/>
      <c r="BJ772" s="274"/>
      <c r="BK772" s="274"/>
      <c r="BL772" s="274"/>
      <c r="BM772" s="11"/>
      <c r="BN772" s="11"/>
      <c r="BO772" s="11"/>
      <c r="BP772" s="274"/>
      <c r="BQ772" s="11"/>
      <c r="BR772" s="11"/>
      <c r="BS772" s="11"/>
      <c r="BT772" s="11"/>
      <c r="BU772" s="11"/>
      <c r="BV772" s="263">
        <v>1062000</v>
      </c>
      <c r="BW772" s="144">
        <f t="shared" si="187"/>
        <v>201780</v>
      </c>
      <c r="BX772" s="113">
        <f t="shared" si="188"/>
        <v>1263780</v>
      </c>
      <c r="BY772" s="272" t="s">
        <v>231</v>
      </c>
      <c r="BZ772" s="272" t="s">
        <v>128</v>
      </c>
      <c r="CA772" s="11"/>
      <c r="CB772" s="274"/>
      <c r="CC772" s="274"/>
      <c r="CD772" s="274"/>
      <c r="CE772" s="11"/>
      <c r="CF772" s="11"/>
      <c r="CG772" s="11"/>
      <c r="CH772" s="268">
        <v>1093860</v>
      </c>
      <c r="CI772" s="265">
        <f t="shared" ref="CI772:CI793" si="192">+CH772*0.19</f>
        <v>207833.4</v>
      </c>
      <c r="CJ772" s="263">
        <f t="shared" ref="CJ772:CJ793" si="193">+CH772+CI772</f>
        <v>1301693.3999999999</v>
      </c>
      <c r="CK772" s="272" t="s">
        <v>231</v>
      </c>
      <c r="CL772" s="272" t="s">
        <v>128</v>
      </c>
      <c r="CM772" s="11"/>
      <c r="CN772" s="274"/>
      <c r="CO772" s="274"/>
      <c r="CP772" s="274"/>
      <c r="CQ772" s="11"/>
      <c r="CR772" s="11"/>
      <c r="CS772" s="11"/>
      <c r="CT772" s="11"/>
      <c r="CU772" s="11"/>
      <c r="CV772" s="11"/>
      <c r="CW772" s="11"/>
      <c r="CX772" s="11"/>
      <c r="CY772" s="11"/>
      <c r="CZ772" s="118"/>
      <c r="DA772" s="118"/>
      <c r="DB772" s="118"/>
      <c r="DC772" s="11"/>
      <c r="DD772" s="11"/>
      <c r="DE772" s="32"/>
      <c r="DF772" s="11"/>
      <c r="DG772" s="11"/>
      <c r="DH772" s="11"/>
      <c r="DI772" s="11"/>
      <c r="DJ772" s="11"/>
      <c r="DK772" s="11"/>
      <c r="DL772" s="11"/>
      <c r="DM772" s="11"/>
      <c r="DN772" s="11"/>
      <c r="DO772" s="11"/>
      <c r="DP772" s="11"/>
      <c r="DQ772" s="11"/>
      <c r="DR772" s="11"/>
      <c r="DS772" s="11"/>
      <c r="DT772" s="11"/>
      <c r="DU772" s="11"/>
      <c r="DV772" s="11"/>
      <c r="DW772" s="11"/>
      <c r="DX772" s="11"/>
      <c r="DY772" s="11"/>
      <c r="DZ772" s="11"/>
      <c r="EA772" s="11"/>
      <c r="EB772" s="11"/>
      <c r="EC772" s="11"/>
      <c r="ED772" s="11"/>
      <c r="EE772" s="11"/>
      <c r="EF772" s="11"/>
      <c r="EG772" s="11"/>
      <c r="EH772" s="11"/>
      <c r="EI772" s="11"/>
      <c r="EJ772" s="11"/>
      <c r="EK772" s="11"/>
      <c r="EL772" s="11"/>
      <c r="EM772" s="11"/>
      <c r="EN772" s="11"/>
      <c r="EO772" s="11"/>
      <c r="EP772" s="11"/>
      <c r="EQ772" s="11"/>
      <c r="ER772" s="11"/>
      <c r="ES772" s="11"/>
      <c r="ET772" s="11"/>
      <c r="EU772" s="11"/>
      <c r="EV772" s="11"/>
      <c r="EW772" s="11"/>
      <c r="EX772" s="11"/>
      <c r="EY772" s="11"/>
      <c r="EZ772" s="11"/>
      <c r="FA772" s="11"/>
      <c r="FB772" s="11"/>
      <c r="FC772" s="11"/>
      <c r="FD772" s="11"/>
      <c r="FE772" s="11"/>
      <c r="FF772" s="11"/>
      <c r="FG772" s="11"/>
      <c r="FH772" s="39">
        <f t="shared" si="189"/>
        <v>3355335.9</v>
      </c>
      <c r="FI772" s="33">
        <f t="shared" si="190"/>
        <v>3</v>
      </c>
      <c r="FJ772" s="84">
        <f t="shared" si="191"/>
        <v>1118445.3</v>
      </c>
    </row>
    <row r="773" spans="1:166" ht="13.5" x14ac:dyDescent="0.25">
      <c r="A773" s="79" t="e">
        <f>#REF!</f>
        <v>#REF!</v>
      </c>
      <c r="B773" s="75" t="e">
        <f>#REF!</f>
        <v>#REF!</v>
      </c>
      <c r="C773" s="75" t="e">
        <f>#REF!</f>
        <v>#REF!</v>
      </c>
      <c r="D773" s="75" t="e">
        <f>#REF!</f>
        <v>#REF!</v>
      </c>
      <c r="E773" s="30">
        <v>1</v>
      </c>
      <c r="F773" s="238">
        <v>0</v>
      </c>
      <c r="G773" s="241">
        <v>0</v>
      </c>
      <c r="H773" s="249">
        <v>0</v>
      </c>
      <c r="I773" s="249">
        <v>0</v>
      </c>
      <c r="J773" s="249">
        <v>0</v>
      </c>
      <c r="K773" s="249">
        <v>0</v>
      </c>
      <c r="L773" s="274"/>
      <c r="M773" s="274"/>
      <c r="N773" s="247">
        <v>1298000</v>
      </c>
      <c r="O773" s="113">
        <f>+N773*0.19</f>
        <v>246620</v>
      </c>
      <c r="P773" s="113">
        <f>+O773+N773</f>
        <v>1544620</v>
      </c>
      <c r="Q773" s="36" t="s">
        <v>127</v>
      </c>
      <c r="R773" s="132" t="s">
        <v>128</v>
      </c>
      <c r="S773" s="5"/>
      <c r="T773" s="118"/>
      <c r="U773" s="118"/>
      <c r="V773" s="118"/>
      <c r="W773" s="11"/>
      <c r="X773" s="11"/>
      <c r="Y773" s="11"/>
      <c r="Z773" s="118"/>
      <c r="AA773" s="118"/>
      <c r="AB773" s="118"/>
      <c r="AC773" s="52"/>
      <c r="AD773" s="52"/>
      <c r="AE773" s="11"/>
      <c r="AF773" s="118"/>
      <c r="AG773" s="118"/>
      <c r="AH773" s="118"/>
      <c r="AI773" s="11"/>
      <c r="AJ773" s="11"/>
      <c r="AK773" s="11"/>
      <c r="AL773" s="118"/>
      <c r="AM773" s="118"/>
      <c r="AN773" s="118"/>
      <c r="AO773" s="76"/>
      <c r="AP773" s="11"/>
      <c r="AQ773" s="11"/>
      <c r="AR773" s="274"/>
      <c r="AS773" s="274"/>
      <c r="AT773" s="274"/>
      <c r="AU773" s="62"/>
      <c r="AV773" s="48"/>
      <c r="AW773" s="11"/>
      <c r="AX773" s="274"/>
      <c r="AY773" s="274"/>
      <c r="AZ773" s="274"/>
      <c r="BA773" s="11"/>
      <c r="BB773" s="11"/>
      <c r="BC773" s="11"/>
      <c r="BD773" s="274"/>
      <c r="BE773" s="274"/>
      <c r="BF773" s="274"/>
      <c r="BG773" s="11"/>
      <c r="BH773" s="11"/>
      <c r="BI773" s="11"/>
      <c r="BJ773" s="274"/>
      <c r="BK773" s="274"/>
      <c r="BL773" s="274"/>
      <c r="BM773" s="11"/>
      <c r="BN773" s="11"/>
      <c r="BO773" s="11"/>
      <c r="BP773" s="274"/>
      <c r="BQ773" s="11"/>
      <c r="BR773" s="11"/>
      <c r="BS773" s="11"/>
      <c r="BT773" s="11"/>
      <c r="BU773" s="11"/>
      <c r="BV773" s="268">
        <v>2300000</v>
      </c>
      <c r="BW773" s="144">
        <f t="shared" si="187"/>
        <v>437000</v>
      </c>
      <c r="BX773" s="113">
        <f t="shared" si="188"/>
        <v>2737000</v>
      </c>
      <c r="BY773" s="272" t="s">
        <v>231</v>
      </c>
      <c r="BZ773" s="272" t="s">
        <v>128</v>
      </c>
      <c r="CA773" s="11"/>
      <c r="CB773" s="274"/>
      <c r="CC773" s="274"/>
      <c r="CD773" s="274"/>
      <c r="CE773" s="11"/>
      <c r="CF773" s="11"/>
      <c r="CG773" s="11"/>
      <c r="CH773" s="268">
        <v>2777720</v>
      </c>
      <c r="CI773" s="265">
        <f t="shared" si="192"/>
        <v>527766.80000000005</v>
      </c>
      <c r="CJ773" s="263">
        <f t="shared" si="193"/>
        <v>3305486.8</v>
      </c>
      <c r="CK773" s="272" t="s">
        <v>231</v>
      </c>
      <c r="CL773" s="272" t="s">
        <v>128</v>
      </c>
      <c r="CM773" s="11"/>
      <c r="CN773" s="274"/>
      <c r="CO773" s="274"/>
      <c r="CP773" s="274"/>
      <c r="CQ773" s="11"/>
      <c r="CR773" s="11"/>
      <c r="CS773" s="11"/>
      <c r="CT773" s="11"/>
      <c r="CU773" s="11"/>
      <c r="CV773" s="11"/>
      <c r="CW773" s="11"/>
      <c r="CX773" s="11"/>
      <c r="CY773" s="11"/>
      <c r="CZ773" s="118"/>
      <c r="DA773" s="118"/>
      <c r="DB773" s="118"/>
      <c r="DC773" s="11"/>
      <c r="DD773" s="11"/>
      <c r="DE773" s="32"/>
      <c r="DF773" s="11"/>
      <c r="DG773" s="11"/>
      <c r="DH773" s="11"/>
      <c r="DI773" s="11"/>
      <c r="DJ773" s="11"/>
      <c r="DK773" s="11"/>
      <c r="DL773" s="11"/>
      <c r="DM773" s="11"/>
      <c r="DN773" s="11"/>
      <c r="DO773" s="11"/>
      <c r="DP773" s="11"/>
      <c r="DQ773" s="11"/>
      <c r="DR773" s="11"/>
      <c r="DS773" s="11"/>
      <c r="DT773" s="11"/>
      <c r="DU773" s="11"/>
      <c r="DV773" s="11"/>
      <c r="DW773" s="11"/>
      <c r="DX773" s="11"/>
      <c r="DY773" s="11"/>
      <c r="DZ773" s="11"/>
      <c r="EA773" s="11"/>
      <c r="EB773" s="11"/>
      <c r="EC773" s="11"/>
      <c r="ED773" s="11"/>
      <c r="EE773" s="11"/>
      <c r="EF773" s="11"/>
      <c r="EG773" s="11"/>
      <c r="EH773" s="11"/>
      <c r="EI773" s="11"/>
      <c r="EJ773" s="11"/>
      <c r="EK773" s="11"/>
      <c r="EL773" s="11"/>
      <c r="EM773" s="11"/>
      <c r="EN773" s="11"/>
      <c r="EO773" s="11"/>
      <c r="EP773" s="11"/>
      <c r="EQ773" s="11"/>
      <c r="ER773" s="11"/>
      <c r="ES773" s="11"/>
      <c r="ET773" s="11"/>
      <c r="EU773" s="11"/>
      <c r="EV773" s="11"/>
      <c r="EW773" s="11"/>
      <c r="EX773" s="11"/>
      <c r="EY773" s="11"/>
      <c r="EZ773" s="11"/>
      <c r="FA773" s="11"/>
      <c r="FB773" s="11"/>
      <c r="FC773" s="11"/>
      <c r="FD773" s="11"/>
      <c r="FE773" s="11"/>
      <c r="FF773" s="11"/>
      <c r="FG773" s="11"/>
      <c r="FH773" s="39">
        <f t="shared" si="189"/>
        <v>7587106.7999999998</v>
      </c>
      <c r="FI773" s="33">
        <f t="shared" si="190"/>
        <v>3</v>
      </c>
      <c r="FJ773" s="84">
        <f t="shared" si="191"/>
        <v>2529035.6</v>
      </c>
    </row>
    <row r="774" spans="1:166" ht="40.5" x14ac:dyDescent="0.25">
      <c r="A774" s="79" t="e">
        <f>#REF!</f>
        <v>#REF!</v>
      </c>
      <c r="B774" s="75" t="e">
        <f>#REF!</f>
        <v>#REF!</v>
      </c>
      <c r="C774" s="75" t="e">
        <f>#REF!</f>
        <v>#REF!</v>
      </c>
      <c r="D774" s="75" t="e">
        <f>#REF!</f>
        <v>#REF!</v>
      </c>
      <c r="E774" s="30">
        <v>1</v>
      </c>
      <c r="F774" s="238">
        <v>0</v>
      </c>
      <c r="G774" s="241">
        <v>0</v>
      </c>
      <c r="H774" s="249">
        <v>0</v>
      </c>
      <c r="I774" s="249">
        <v>0</v>
      </c>
      <c r="J774" s="249">
        <v>0</v>
      </c>
      <c r="K774" s="249">
        <v>0</v>
      </c>
      <c r="L774" s="274"/>
      <c r="M774" s="274"/>
      <c r="N774" s="246"/>
      <c r="O774" s="118"/>
      <c r="P774" s="118"/>
      <c r="Q774" s="52"/>
      <c r="R774" s="52"/>
      <c r="S774" s="5"/>
      <c r="T774" s="118"/>
      <c r="U774" s="118"/>
      <c r="V774" s="118"/>
      <c r="W774" s="11"/>
      <c r="X774" s="11"/>
      <c r="Y774" s="11"/>
      <c r="Z774" s="118"/>
      <c r="AA774" s="118"/>
      <c r="AB774" s="118"/>
      <c r="AC774" s="52"/>
      <c r="AD774" s="52"/>
      <c r="AE774" s="11"/>
      <c r="AF774" s="118"/>
      <c r="AG774" s="118"/>
      <c r="AH774" s="118"/>
      <c r="AI774" s="11"/>
      <c r="AJ774" s="11"/>
      <c r="AK774" s="11"/>
      <c r="AL774" s="118"/>
      <c r="AM774" s="118"/>
      <c r="AN774" s="118"/>
      <c r="AO774" s="76"/>
      <c r="AP774" s="11"/>
      <c r="AQ774" s="11"/>
      <c r="AR774" s="274"/>
      <c r="AS774" s="274"/>
      <c r="AT774" s="274"/>
      <c r="AU774" s="62"/>
      <c r="AV774" s="48"/>
      <c r="AW774" s="11"/>
      <c r="AX774" s="274"/>
      <c r="AY774" s="274"/>
      <c r="AZ774" s="274"/>
      <c r="BA774" s="11"/>
      <c r="BB774" s="11"/>
      <c r="BC774" s="11"/>
      <c r="BD774" s="274"/>
      <c r="BE774" s="274"/>
      <c r="BF774" s="274"/>
      <c r="BG774" s="11"/>
      <c r="BH774" s="11"/>
      <c r="BI774" s="11"/>
      <c r="BJ774" s="274"/>
      <c r="BK774" s="274"/>
      <c r="BL774" s="274"/>
      <c r="BM774" s="11"/>
      <c r="BN774" s="11"/>
      <c r="BO774" s="11"/>
      <c r="BP774" s="274"/>
      <c r="BQ774" s="11"/>
      <c r="BR774" s="11"/>
      <c r="BS774" s="11"/>
      <c r="BT774" s="11"/>
      <c r="BU774" s="11"/>
      <c r="BV774" s="268">
        <v>2000000</v>
      </c>
      <c r="BW774" s="144">
        <f t="shared" si="187"/>
        <v>380000</v>
      </c>
      <c r="BX774" s="113">
        <f t="shared" si="188"/>
        <v>2380000</v>
      </c>
      <c r="BY774" s="272" t="s">
        <v>564</v>
      </c>
      <c r="BZ774" s="272" t="s">
        <v>548</v>
      </c>
      <c r="CA774" s="11"/>
      <c r="CB774" s="274"/>
      <c r="CC774" s="274"/>
      <c r="CD774" s="274"/>
      <c r="CE774" s="11"/>
      <c r="CF774" s="11"/>
      <c r="CG774" s="11"/>
      <c r="CH774" s="268">
        <v>4828512</v>
      </c>
      <c r="CI774" s="265">
        <f t="shared" si="192"/>
        <v>917417.28</v>
      </c>
      <c r="CJ774" s="263">
        <f t="shared" si="193"/>
        <v>5745929.2800000003</v>
      </c>
      <c r="CK774" s="272" t="s">
        <v>564</v>
      </c>
      <c r="CL774" s="272" t="s">
        <v>548</v>
      </c>
      <c r="CM774" s="11"/>
      <c r="CN774" s="274"/>
      <c r="CO774" s="274"/>
      <c r="CP774" s="274"/>
      <c r="CQ774" s="11"/>
      <c r="CR774" s="11"/>
      <c r="CS774" s="11"/>
      <c r="CT774" s="11"/>
      <c r="CU774" s="11"/>
      <c r="CV774" s="11"/>
      <c r="CW774" s="11"/>
      <c r="CX774" s="11"/>
      <c r="CY774" s="11"/>
      <c r="CZ774" s="118"/>
      <c r="DA774" s="118"/>
      <c r="DB774" s="118"/>
      <c r="DC774" s="11"/>
      <c r="DD774" s="11"/>
      <c r="DE774" s="32"/>
      <c r="DF774" s="11"/>
      <c r="DG774" s="11"/>
      <c r="DH774" s="11"/>
      <c r="DI774" s="11"/>
      <c r="DJ774" s="11"/>
      <c r="DK774" s="11"/>
      <c r="DL774" s="11"/>
      <c r="DM774" s="11"/>
      <c r="DN774" s="11"/>
      <c r="DO774" s="11"/>
      <c r="DP774" s="11"/>
      <c r="DQ774" s="11"/>
      <c r="DR774" s="11"/>
      <c r="DS774" s="11"/>
      <c r="DT774" s="11"/>
      <c r="DU774" s="11"/>
      <c r="DV774" s="11"/>
      <c r="DW774" s="11"/>
      <c r="DX774" s="11"/>
      <c r="DY774" s="11"/>
      <c r="DZ774" s="11"/>
      <c r="EA774" s="11"/>
      <c r="EB774" s="11"/>
      <c r="EC774" s="11"/>
      <c r="ED774" s="11"/>
      <c r="EE774" s="11"/>
      <c r="EF774" s="11"/>
      <c r="EG774" s="11"/>
      <c r="EH774" s="11"/>
      <c r="EI774" s="11"/>
      <c r="EJ774" s="11"/>
      <c r="EK774" s="11"/>
      <c r="EL774" s="11"/>
      <c r="EM774" s="11"/>
      <c r="EN774" s="11"/>
      <c r="EO774" s="11"/>
      <c r="EP774" s="11"/>
      <c r="EQ774" s="11"/>
      <c r="ER774" s="11"/>
      <c r="ES774" s="11"/>
      <c r="ET774" s="11"/>
      <c r="EU774" s="11"/>
      <c r="EV774" s="11"/>
      <c r="EW774" s="11"/>
      <c r="EX774" s="11"/>
      <c r="EY774" s="11"/>
      <c r="EZ774" s="11"/>
      <c r="FA774" s="11"/>
      <c r="FB774" s="11"/>
      <c r="FC774" s="11"/>
      <c r="FD774" s="11"/>
      <c r="FE774" s="11"/>
      <c r="FF774" s="11"/>
      <c r="FG774" s="11"/>
      <c r="FH774" s="39">
        <f t="shared" si="189"/>
        <v>8125929.2800000003</v>
      </c>
      <c r="FI774" s="33">
        <f t="shared" si="190"/>
        <v>2</v>
      </c>
      <c r="FJ774" s="84">
        <f t="shared" si="191"/>
        <v>4062964.64</v>
      </c>
    </row>
    <row r="775" spans="1:166" ht="40.5" x14ac:dyDescent="0.25">
      <c r="A775" s="79" t="e">
        <f>#REF!</f>
        <v>#REF!</v>
      </c>
      <c r="B775" s="75" t="e">
        <f>#REF!</f>
        <v>#REF!</v>
      </c>
      <c r="C775" s="75" t="e">
        <f>#REF!</f>
        <v>#REF!</v>
      </c>
      <c r="D775" s="75" t="e">
        <f>#REF!</f>
        <v>#REF!</v>
      </c>
      <c r="E775" s="30">
        <v>1</v>
      </c>
      <c r="F775" s="238">
        <v>0</v>
      </c>
      <c r="G775" s="241">
        <v>0</v>
      </c>
      <c r="H775" s="249">
        <v>0</v>
      </c>
      <c r="I775" s="249">
        <v>0</v>
      </c>
      <c r="J775" s="249">
        <v>0</v>
      </c>
      <c r="K775" s="249">
        <v>0</v>
      </c>
      <c r="L775" s="274"/>
      <c r="M775" s="274"/>
      <c r="N775" s="246"/>
      <c r="O775" s="118"/>
      <c r="P775" s="118"/>
      <c r="Q775" s="52"/>
      <c r="R775" s="52"/>
      <c r="S775" s="5"/>
      <c r="T775" s="118"/>
      <c r="U775" s="118"/>
      <c r="V775" s="118"/>
      <c r="W775" s="11"/>
      <c r="X775" s="11"/>
      <c r="Y775" s="11"/>
      <c r="Z775" s="118"/>
      <c r="AA775" s="118"/>
      <c r="AB775" s="118"/>
      <c r="AC775" s="52"/>
      <c r="AD775" s="52"/>
      <c r="AE775" s="11"/>
      <c r="AF775" s="118"/>
      <c r="AG775" s="118"/>
      <c r="AH775" s="118"/>
      <c r="AI775" s="11"/>
      <c r="AJ775" s="11"/>
      <c r="AK775" s="11"/>
      <c r="AL775" s="118"/>
      <c r="AM775" s="118"/>
      <c r="AN775" s="118"/>
      <c r="AO775" s="76"/>
      <c r="AP775" s="11"/>
      <c r="AQ775" s="11"/>
      <c r="AR775" s="274"/>
      <c r="AS775" s="274"/>
      <c r="AT775" s="274"/>
      <c r="AU775" s="62"/>
      <c r="AV775" s="48"/>
      <c r="AW775" s="11"/>
      <c r="AX775" s="274"/>
      <c r="AY775" s="274"/>
      <c r="AZ775" s="274"/>
      <c r="BA775" s="11"/>
      <c r="BB775" s="11"/>
      <c r="BC775" s="11"/>
      <c r="BD775" s="274"/>
      <c r="BE775" s="274"/>
      <c r="BF775" s="274"/>
      <c r="BG775" s="11"/>
      <c r="BH775" s="11"/>
      <c r="BI775" s="11"/>
      <c r="BJ775" s="274"/>
      <c r="BK775" s="274"/>
      <c r="BL775" s="274"/>
      <c r="BM775" s="11"/>
      <c r="BN775" s="11"/>
      <c r="BO775" s="11"/>
      <c r="BP775" s="274"/>
      <c r="BQ775" s="11"/>
      <c r="BR775" s="11"/>
      <c r="BS775" s="11"/>
      <c r="BT775" s="11"/>
      <c r="BU775" s="11"/>
      <c r="BV775" s="268">
        <v>3679200</v>
      </c>
      <c r="BW775" s="144">
        <f t="shared" si="187"/>
        <v>699048</v>
      </c>
      <c r="BX775" s="113">
        <f t="shared" si="188"/>
        <v>4378248</v>
      </c>
      <c r="BY775" s="272" t="s">
        <v>564</v>
      </c>
      <c r="BZ775" s="272" t="s">
        <v>548</v>
      </c>
      <c r="CA775" s="11"/>
      <c r="CB775" s="274"/>
      <c r="CC775" s="274"/>
      <c r="CD775" s="274"/>
      <c r="CE775" s="11"/>
      <c r="CF775" s="11"/>
      <c r="CG775" s="11"/>
      <c r="CH775" s="268">
        <v>3715992</v>
      </c>
      <c r="CI775" s="265">
        <f t="shared" si="192"/>
        <v>706038.48</v>
      </c>
      <c r="CJ775" s="263">
        <f t="shared" si="193"/>
        <v>4422030.4800000004</v>
      </c>
      <c r="CK775" s="272" t="s">
        <v>564</v>
      </c>
      <c r="CL775" s="272" t="s">
        <v>548</v>
      </c>
      <c r="CM775" s="11"/>
      <c r="CN775" s="274"/>
      <c r="CO775" s="274"/>
      <c r="CP775" s="274"/>
      <c r="CQ775" s="11"/>
      <c r="CR775" s="11"/>
      <c r="CS775" s="11"/>
      <c r="CT775" s="11"/>
      <c r="CU775" s="11"/>
      <c r="CV775" s="11"/>
      <c r="CW775" s="11"/>
      <c r="CX775" s="11"/>
      <c r="CY775" s="11"/>
      <c r="CZ775" s="118"/>
      <c r="DA775" s="118"/>
      <c r="DB775" s="118"/>
      <c r="DC775" s="11"/>
      <c r="DD775" s="11"/>
      <c r="DE775" s="32"/>
      <c r="DF775" s="11"/>
      <c r="DG775" s="11"/>
      <c r="DH775" s="11"/>
      <c r="DI775" s="11"/>
      <c r="DJ775" s="11"/>
      <c r="DK775" s="11"/>
      <c r="DL775" s="11"/>
      <c r="DM775" s="11"/>
      <c r="DN775" s="11"/>
      <c r="DO775" s="11"/>
      <c r="DP775" s="11"/>
      <c r="DQ775" s="11"/>
      <c r="DR775" s="11"/>
      <c r="DS775" s="11"/>
      <c r="DT775" s="11"/>
      <c r="DU775" s="11"/>
      <c r="DV775" s="11"/>
      <c r="DW775" s="11"/>
      <c r="DX775" s="11"/>
      <c r="DY775" s="11"/>
      <c r="DZ775" s="11"/>
      <c r="EA775" s="11"/>
      <c r="EB775" s="11"/>
      <c r="EC775" s="11"/>
      <c r="ED775" s="11"/>
      <c r="EE775" s="11"/>
      <c r="EF775" s="11"/>
      <c r="EG775" s="11"/>
      <c r="EH775" s="11"/>
      <c r="EI775" s="11"/>
      <c r="EJ775" s="11"/>
      <c r="EK775" s="11"/>
      <c r="EL775" s="11"/>
      <c r="EM775" s="11"/>
      <c r="EN775" s="11"/>
      <c r="EO775" s="11"/>
      <c r="EP775" s="11"/>
      <c r="EQ775" s="11"/>
      <c r="ER775" s="11"/>
      <c r="ES775" s="11"/>
      <c r="ET775" s="11"/>
      <c r="EU775" s="11"/>
      <c r="EV775" s="11"/>
      <c r="EW775" s="11"/>
      <c r="EX775" s="11"/>
      <c r="EY775" s="11"/>
      <c r="EZ775" s="11"/>
      <c r="FA775" s="11"/>
      <c r="FB775" s="11"/>
      <c r="FC775" s="11"/>
      <c r="FD775" s="11"/>
      <c r="FE775" s="11"/>
      <c r="FF775" s="11"/>
      <c r="FG775" s="11"/>
      <c r="FH775" s="39">
        <f t="shared" si="189"/>
        <v>8800278.4800000004</v>
      </c>
      <c r="FI775" s="33">
        <f t="shared" si="190"/>
        <v>2</v>
      </c>
      <c r="FJ775" s="84">
        <f t="shared" si="191"/>
        <v>4400139.24</v>
      </c>
    </row>
    <row r="776" spans="1:166" ht="40.5" x14ac:dyDescent="0.25">
      <c r="A776" s="79" t="e">
        <f>#REF!</f>
        <v>#REF!</v>
      </c>
      <c r="B776" s="75" t="e">
        <f>#REF!</f>
        <v>#REF!</v>
      </c>
      <c r="C776" s="75" t="e">
        <f>#REF!</f>
        <v>#REF!</v>
      </c>
      <c r="D776" s="75" t="e">
        <f>#REF!</f>
        <v>#REF!</v>
      </c>
      <c r="E776" s="30">
        <v>1</v>
      </c>
      <c r="F776" s="238">
        <v>0</v>
      </c>
      <c r="G776" s="241">
        <v>0</v>
      </c>
      <c r="H776" s="249">
        <v>0</v>
      </c>
      <c r="I776" s="249">
        <v>0</v>
      </c>
      <c r="J776" s="249">
        <v>0</v>
      </c>
      <c r="K776" s="249">
        <v>0</v>
      </c>
      <c r="L776" s="274"/>
      <c r="M776" s="274"/>
      <c r="N776" s="246"/>
      <c r="O776" s="118"/>
      <c r="P776" s="118"/>
      <c r="Q776" s="52"/>
      <c r="R776" s="52"/>
      <c r="S776" s="5"/>
      <c r="T776" s="118"/>
      <c r="U776" s="118"/>
      <c r="V776" s="118"/>
      <c r="W776" s="11"/>
      <c r="X776" s="11"/>
      <c r="Y776" s="11"/>
      <c r="Z776" s="118"/>
      <c r="AA776" s="118"/>
      <c r="AB776" s="118"/>
      <c r="AC776" s="52"/>
      <c r="AD776" s="52"/>
      <c r="AE776" s="11"/>
      <c r="AF776" s="118"/>
      <c r="AG776" s="118"/>
      <c r="AH776" s="118"/>
      <c r="AI776" s="11"/>
      <c r="AJ776" s="11"/>
      <c r="AK776" s="11"/>
      <c r="AL776" s="118"/>
      <c r="AM776" s="118"/>
      <c r="AN776" s="118"/>
      <c r="AO776" s="76"/>
      <c r="AP776" s="11"/>
      <c r="AQ776" s="11"/>
      <c r="AR776" s="274"/>
      <c r="AS776" s="274"/>
      <c r="AT776" s="274"/>
      <c r="AU776" s="62"/>
      <c r="AV776" s="48"/>
      <c r="AW776" s="11"/>
      <c r="AX776" s="274"/>
      <c r="AY776" s="274"/>
      <c r="AZ776" s="274"/>
      <c r="BA776" s="11"/>
      <c r="BB776" s="11"/>
      <c r="BC776" s="11"/>
      <c r="BD776" s="274"/>
      <c r="BE776" s="274"/>
      <c r="BF776" s="274"/>
      <c r="BG776" s="11"/>
      <c r="BH776" s="11"/>
      <c r="BI776" s="11"/>
      <c r="BJ776" s="274"/>
      <c r="BK776" s="274"/>
      <c r="BL776" s="274"/>
      <c r="BM776" s="11"/>
      <c r="BN776" s="11"/>
      <c r="BO776" s="11"/>
      <c r="BP776" s="274"/>
      <c r="BQ776" s="11"/>
      <c r="BR776" s="11"/>
      <c r="BS776" s="11"/>
      <c r="BT776" s="11"/>
      <c r="BU776" s="11"/>
      <c r="BV776" s="268">
        <f>+(18834000/5)*2</f>
        <v>7533600</v>
      </c>
      <c r="BW776" s="144">
        <f t="shared" si="187"/>
        <v>1431384</v>
      </c>
      <c r="BX776" s="113">
        <f t="shared" si="188"/>
        <v>8964984</v>
      </c>
      <c r="BY776" s="272" t="s">
        <v>323</v>
      </c>
      <c r="BZ776" s="272" t="s">
        <v>548</v>
      </c>
      <c r="CA776" s="11"/>
      <c r="CB776" s="274"/>
      <c r="CC776" s="274"/>
      <c r="CD776" s="274"/>
      <c r="CE776" s="11"/>
      <c r="CF776" s="11"/>
      <c r="CG776" s="11"/>
      <c r="CH776" s="268">
        <f>+(19775700/5)*2</f>
        <v>7910280</v>
      </c>
      <c r="CI776" s="265">
        <f t="shared" si="192"/>
        <v>1502953.2</v>
      </c>
      <c r="CJ776" s="263">
        <f t="shared" si="193"/>
        <v>9413233.1999999993</v>
      </c>
      <c r="CK776" s="272" t="s">
        <v>323</v>
      </c>
      <c r="CL776" s="272" t="s">
        <v>548</v>
      </c>
      <c r="CM776" s="11"/>
      <c r="CN776" s="274"/>
      <c r="CO776" s="274"/>
      <c r="CP776" s="274"/>
      <c r="CQ776" s="11"/>
      <c r="CR776" s="11"/>
      <c r="CS776" s="11"/>
      <c r="CT776" s="11"/>
      <c r="CU776" s="11"/>
      <c r="CV776" s="11"/>
      <c r="CW776" s="11"/>
      <c r="CX776" s="11"/>
      <c r="CY776" s="11"/>
      <c r="CZ776" s="118"/>
      <c r="DA776" s="118"/>
      <c r="DB776" s="118"/>
      <c r="DC776" s="11"/>
      <c r="DD776" s="11"/>
      <c r="DE776" s="32"/>
      <c r="DF776" s="11"/>
      <c r="DG776" s="11"/>
      <c r="DH776" s="11"/>
      <c r="DI776" s="11"/>
      <c r="DJ776" s="11"/>
      <c r="DK776" s="11"/>
      <c r="DL776" s="11"/>
      <c r="DM776" s="11"/>
      <c r="DN776" s="11"/>
      <c r="DO776" s="11"/>
      <c r="DP776" s="11"/>
      <c r="DQ776" s="11"/>
      <c r="DR776" s="11"/>
      <c r="DS776" s="11"/>
      <c r="DT776" s="11"/>
      <c r="DU776" s="11"/>
      <c r="DV776" s="11"/>
      <c r="DW776" s="11"/>
      <c r="DX776" s="11"/>
      <c r="DY776" s="11"/>
      <c r="DZ776" s="11"/>
      <c r="EA776" s="11"/>
      <c r="EB776" s="11"/>
      <c r="EC776" s="11"/>
      <c r="ED776" s="11"/>
      <c r="EE776" s="11"/>
      <c r="EF776" s="11"/>
      <c r="EG776" s="11"/>
      <c r="EH776" s="11"/>
      <c r="EI776" s="11"/>
      <c r="EJ776" s="11"/>
      <c r="EK776" s="11"/>
      <c r="EL776" s="11"/>
      <c r="EM776" s="11"/>
      <c r="EN776" s="11"/>
      <c r="EO776" s="11"/>
      <c r="EP776" s="11"/>
      <c r="EQ776" s="11"/>
      <c r="ER776" s="11"/>
      <c r="ES776" s="11"/>
      <c r="ET776" s="11"/>
      <c r="EU776" s="11"/>
      <c r="EV776" s="11"/>
      <c r="EW776" s="11"/>
      <c r="EX776" s="11"/>
      <c r="EY776" s="11"/>
      <c r="EZ776" s="11"/>
      <c r="FA776" s="11"/>
      <c r="FB776" s="11"/>
      <c r="FC776" s="11"/>
      <c r="FD776" s="11"/>
      <c r="FE776" s="11"/>
      <c r="FF776" s="11"/>
      <c r="FG776" s="11"/>
      <c r="FH776" s="39">
        <f t="shared" si="189"/>
        <v>18378217.199999999</v>
      </c>
      <c r="FI776" s="33">
        <f t="shared" si="190"/>
        <v>2</v>
      </c>
      <c r="FJ776" s="84">
        <f t="shared" si="191"/>
        <v>9189108.5999999996</v>
      </c>
    </row>
    <row r="777" spans="1:166" ht="40.5" x14ac:dyDescent="0.25">
      <c r="A777" s="79" t="e">
        <f>#REF!</f>
        <v>#REF!</v>
      </c>
      <c r="B777" s="75" t="e">
        <f>#REF!</f>
        <v>#REF!</v>
      </c>
      <c r="C777" s="75" t="e">
        <f>#REF!</f>
        <v>#REF!</v>
      </c>
      <c r="D777" s="75" t="e">
        <f>#REF!</f>
        <v>#REF!</v>
      </c>
      <c r="E777" s="30">
        <v>1</v>
      </c>
      <c r="F777" s="238">
        <v>0</v>
      </c>
      <c r="G777" s="241">
        <v>0</v>
      </c>
      <c r="H777" s="249">
        <v>0</v>
      </c>
      <c r="I777" s="249">
        <v>0</v>
      </c>
      <c r="J777" s="249">
        <v>0</v>
      </c>
      <c r="K777" s="249">
        <v>0</v>
      </c>
      <c r="L777" s="274"/>
      <c r="M777" s="274"/>
      <c r="N777" s="246"/>
      <c r="O777" s="118"/>
      <c r="P777" s="118"/>
      <c r="Q777" s="52"/>
      <c r="R777" s="52"/>
      <c r="S777" s="5"/>
      <c r="T777" s="118"/>
      <c r="U777" s="118"/>
      <c r="V777" s="118"/>
      <c r="W777" s="11"/>
      <c r="X777" s="11"/>
      <c r="Y777" s="11"/>
      <c r="Z777" s="118"/>
      <c r="AA777" s="118"/>
      <c r="AB777" s="118"/>
      <c r="AC777" s="52"/>
      <c r="AD777" s="52"/>
      <c r="AE777" s="11"/>
      <c r="AF777" s="118"/>
      <c r="AG777" s="118"/>
      <c r="AH777" s="118"/>
      <c r="AI777" s="11"/>
      <c r="AJ777" s="11"/>
      <c r="AK777" s="11"/>
      <c r="AL777" s="118"/>
      <c r="AM777" s="118"/>
      <c r="AN777" s="118"/>
      <c r="AO777" s="76"/>
      <c r="AP777" s="11"/>
      <c r="AQ777" s="11"/>
      <c r="AR777" s="274"/>
      <c r="AS777" s="274"/>
      <c r="AT777" s="274"/>
      <c r="AU777" s="62"/>
      <c r="AV777" s="48"/>
      <c r="AW777" s="11"/>
      <c r="AX777" s="274"/>
      <c r="AY777" s="274"/>
      <c r="AZ777" s="274"/>
      <c r="BA777" s="11"/>
      <c r="BB777" s="11"/>
      <c r="BC777" s="11"/>
      <c r="BD777" s="274"/>
      <c r="BE777" s="274"/>
      <c r="BF777" s="274"/>
      <c r="BG777" s="11"/>
      <c r="BH777" s="11"/>
      <c r="BI777" s="11"/>
      <c r="BJ777" s="274"/>
      <c r="BK777" s="274"/>
      <c r="BL777" s="274"/>
      <c r="BM777" s="11"/>
      <c r="BN777" s="11"/>
      <c r="BO777" s="11"/>
      <c r="BP777" s="274"/>
      <c r="BQ777" s="11"/>
      <c r="BR777" s="11"/>
      <c r="BS777" s="11"/>
      <c r="BT777" s="11"/>
      <c r="BU777" s="11"/>
      <c r="BV777" s="263">
        <v>803000</v>
      </c>
      <c r="BW777" s="144">
        <f t="shared" si="187"/>
        <v>152570</v>
      </c>
      <c r="BX777" s="113">
        <f t="shared" si="188"/>
        <v>955570</v>
      </c>
      <c r="BY777" s="272" t="s">
        <v>312</v>
      </c>
      <c r="BZ777" s="272" t="s">
        <v>548</v>
      </c>
      <c r="CA777" s="11"/>
      <c r="CB777" s="274"/>
      <c r="CC777" s="274"/>
      <c r="CD777" s="274"/>
      <c r="CE777" s="11"/>
      <c r="CF777" s="11"/>
      <c r="CG777" s="11"/>
      <c r="CH777" s="263">
        <v>811030</v>
      </c>
      <c r="CI777" s="265">
        <f t="shared" si="192"/>
        <v>154095.70000000001</v>
      </c>
      <c r="CJ777" s="263">
        <f t="shared" si="193"/>
        <v>965125.7</v>
      </c>
      <c r="CK777" s="272" t="s">
        <v>312</v>
      </c>
      <c r="CL777" s="272" t="s">
        <v>548</v>
      </c>
      <c r="CM777" s="11"/>
      <c r="CN777" s="274"/>
      <c r="CO777" s="274"/>
      <c r="CP777" s="274"/>
      <c r="CQ777" s="11"/>
      <c r="CR777" s="11"/>
      <c r="CS777" s="11"/>
      <c r="CT777" s="11"/>
      <c r="CU777" s="11"/>
      <c r="CV777" s="11"/>
      <c r="CW777" s="11"/>
      <c r="CX777" s="11"/>
      <c r="CY777" s="11"/>
      <c r="CZ777" s="118"/>
      <c r="DA777" s="118"/>
      <c r="DB777" s="118"/>
      <c r="DC777" s="11"/>
      <c r="DD777" s="11"/>
      <c r="DE777" s="32"/>
      <c r="DF777" s="11"/>
      <c r="DG777" s="11"/>
      <c r="DH777" s="11"/>
      <c r="DI777" s="11"/>
      <c r="DJ777" s="11"/>
      <c r="DK777" s="11"/>
      <c r="DL777" s="11"/>
      <c r="DM777" s="11"/>
      <c r="DN777" s="11"/>
      <c r="DO777" s="11"/>
      <c r="DP777" s="11"/>
      <c r="DQ777" s="11"/>
      <c r="DR777" s="11"/>
      <c r="DS777" s="11"/>
      <c r="DT777" s="11"/>
      <c r="DU777" s="11"/>
      <c r="DV777" s="11"/>
      <c r="DW777" s="11"/>
      <c r="DX777" s="11"/>
      <c r="DY777" s="11"/>
      <c r="DZ777" s="11"/>
      <c r="EA777" s="11"/>
      <c r="EB777" s="11"/>
      <c r="EC777" s="11"/>
      <c r="ED777" s="11"/>
      <c r="EE777" s="11"/>
      <c r="EF777" s="11"/>
      <c r="EG777" s="11"/>
      <c r="EH777" s="11"/>
      <c r="EI777" s="11"/>
      <c r="EJ777" s="11"/>
      <c r="EK777" s="11"/>
      <c r="EL777" s="11"/>
      <c r="EM777" s="11"/>
      <c r="EN777" s="11"/>
      <c r="EO777" s="11"/>
      <c r="EP777" s="11"/>
      <c r="EQ777" s="11"/>
      <c r="ER777" s="11"/>
      <c r="ES777" s="11"/>
      <c r="ET777" s="11"/>
      <c r="EU777" s="11"/>
      <c r="EV777" s="11"/>
      <c r="EW777" s="11"/>
      <c r="EX777" s="11"/>
      <c r="EY777" s="11"/>
      <c r="EZ777" s="11"/>
      <c r="FA777" s="11"/>
      <c r="FB777" s="11"/>
      <c r="FC777" s="11"/>
      <c r="FD777" s="11"/>
      <c r="FE777" s="11"/>
      <c r="FF777" s="11"/>
      <c r="FG777" s="11"/>
      <c r="FH777" s="39">
        <f t="shared" si="189"/>
        <v>1920695.7</v>
      </c>
      <c r="FI777" s="33">
        <f t="shared" si="190"/>
        <v>2</v>
      </c>
      <c r="FJ777" s="84">
        <f t="shared" si="191"/>
        <v>960347.85</v>
      </c>
    </row>
    <row r="778" spans="1:166" ht="40.5" x14ac:dyDescent="0.25">
      <c r="A778" s="79" t="e">
        <f>#REF!</f>
        <v>#REF!</v>
      </c>
      <c r="B778" s="75" t="e">
        <f>#REF!</f>
        <v>#REF!</v>
      </c>
      <c r="C778" s="75" t="e">
        <f>#REF!</f>
        <v>#REF!</v>
      </c>
      <c r="D778" s="75" t="e">
        <f>#REF!</f>
        <v>#REF!</v>
      </c>
      <c r="E778" s="30">
        <v>1</v>
      </c>
      <c r="F778" s="238">
        <v>0</v>
      </c>
      <c r="G778" s="241">
        <v>0</v>
      </c>
      <c r="H778" s="249">
        <v>0</v>
      </c>
      <c r="I778" s="249">
        <v>0</v>
      </c>
      <c r="J778" s="249">
        <v>0</v>
      </c>
      <c r="K778" s="249">
        <v>0</v>
      </c>
      <c r="L778" s="274"/>
      <c r="M778" s="274"/>
      <c r="N778" s="246"/>
      <c r="O778" s="118"/>
      <c r="P778" s="118"/>
      <c r="Q778" s="52"/>
      <c r="R778" s="52"/>
      <c r="S778" s="5"/>
      <c r="T778" s="118"/>
      <c r="U778" s="118"/>
      <c r="V778" s="118"/>
      <c r="W778" s="11"/>
      <c r="X778" s="11"/>
      <c r="Y778" s="11"/>
      <c r="Z778" s="118"/>
      <c r="AA778" s="118"/>
      <c r="AB778" s="118"/>
      <c r="AC778" s="52"/>
      <c r="AD778" s="52"/>
      <c r="AE778" s="11"/>
      <c r="AF778" s="118"/>
      <c r="AG778" s="118"/>
      <c r="AH778" s="118"/>
      <c r="AI778" s="11"/>
      <c r="AJ778" s="11"/>
      <c r="AK778" s="11"/>
      <c r="AL778" s="118"/>
      <c r="AM778" s="118"/>
      <c r="AN778" s="118"/>
      <c r="AO778" s="76"/>
      <c r="AP778" s="11"/>
      <c r="AQ778" s="11"/>
      <c r="AR778" s="274"/>
      <c r="AS778" s="274"/>
      <c r="AT778" s="274"/>
      <c r="AU778" s="62"/>
      <c r="AV778" s="48"/>
      <c r="AW778" s="11"/>
      <c r="AX778" s="274"/>
      <c r="AY778" s="274"/>
      <c r="AZ778" s="274"/>
      <c r="BA778" s="11"/>
      <c r="BB778" s="11"/>
      <c r="BC778" s="11"/>
      <c r="BD778" s="274"/>
      <c r="BE778" s="274"/>
      <c r="BF778" s="274"/>
      <c r="BG778" s="11"/>
      <c r="BH778" s="11"/>
      <c r="BI778" s="11"/>
      <c r="BJ778" s="274"/>
      <c r="BK778" s="274"/>
      <c r="BL778" s="274"/>
      <c r="BM778" s="11"/>
      <c r="BN778" s="11"/>
      <c r="BO778" s="11"/>
      <c r="BP778" s="274"/>
      <c r="BQ778" s="11"/>
      <c r="BR778" s="11"/>
      <c r="BS778" s="11"/>
      <c r="BT778" s="11"/>
      <c r="BU778" s="11"/>
      <c r="BV778" s="263">
        <v>2548900</v>
      </c>
      <c r="BW778" s="144">
        <f t="shared" si="187"/>
        <v>484291</v>
      </c>
      <c r="BX778" s="113">
        <f t="shared" si="188"/>
        <v>3033191</v>
      </c>
      <c r="BY778" s="272" t="s">
        <v>323</v>
      </c>
      <c r="BZ778" s="272" t="s">
        <v>548</v>
      </c>
      <c r="CA778" s="11"/>
      <c r="CB778" s="274"/>
      <c r="CC778" s="274"/>
      <c r="CD778" s="274"/>
      <c r="CE778" s="11"/>
      <c r="CF778" s="11"/>
      <c r="CG778" s="11"/>
      <c r="CH778" s="268">
        <v>2574389</v>
      </c>
      <c r="CI778" s="265">
        <f t="shared" si="192"/>
        <v>489133.91000000003</v>
      </c>
      <c r="CJ778" s="263">
        <f t="shared" si="193"/>
        <v>3063522.91</v>
      </c>
      <c r="CK778" s="272" t="s">
        <v>323</v>
      </c>
      <c r="CL778" s="272" t="s">
        <v>548</v>
      </c>
      <c r="CM778" s="11"/>
      <c r="CN778" s="274"/>
      <c r="CO778" s="274"/>
      <c r="CP778" s="274"/>
      <c r="CQ778" s="11"/>
      <c r="CR778" s="11"/>
      <c r="CS778" s="11"/>
      <c r="CT778" s="11"/>
      <c r="CU778" s="11"/>
      <c r="CV778" s="11"/>
      <c r="CW778" s="11"/>
      <c r="CX778" s="11"/>
      <c r="CY778" s="11"/>
      <c r="CZ778" s="118"/>
      <c r="DA778" s="118"/>
      <c r="DB778" s="118"/>
      <c r="DC778" s="11"/>
      <c r="DD778" s="11"/>
      <c r="DE778" s="32"/>
      <c r="DF778" s="11"/>
      <c r="DG778" s="11"/>
      <c r="DH778" s="11"/>
      <c r="DI778" s="11"/>
      <c r="DJ778" s="11"/>
      <c r="DK778" s="11"/>
      <c r="DL778" s="11"/>
      <c r="DM778" s="11"/>
      <c r="DN778" s="11"/>
      <c r="DO778" s="11"/>
      <c r="DP778" s="11"/>
      <c r="DQ778" s="11"/>
      <c r="DR778" s="11"/>
      <c r="DS778" s="11"/>
      <c r="DT778" s="11"/>
      <c r="DU778" s="11"/>
      <c r="DV778" s="11"/>
      <c r="DW778" s="11"/>
      <c r="DX778" s="11"/>
      <c r="DY778" s="11"/>
      <c r="DZ778" s="11"/>
      <c r="EA778" s="11"/>
      <c r="EB778" s="11"/>
      <c r="EC778" s="11"/>
      <c r="ED778" s="11"/>
      <c r="EE778" s="11"/>
      <c r="EF778" s="11"/>
      <c r="EG778" s="11"/>
      <c r="EH778" s="11"/>
      <c r="EI778" s="11"/>
      <c r="EJ778" s="11"/>
      <c r="EK778" s="11"/>
      <c r="EL778" s="11"/>
      <c r="EM778" s="11"/>
      <c r="EN778" s="11"/>
      <c r="EO778" s="11"/>
      <c r="EP778" s="11"/>
      <c r="EQ778" s="11"/>
      <c r="ER778" s="11"/>
      <c r="ES778" s="11"/>
      <c r="ET778" s="11"/>
      <c r="EU778" s="11"/>
      <c r="EV778" s="11"/>
      <c r="EW778" s="11"/>
      <c r="EX778" s="11"/>
      <c r="EY778" s="11"/>
      <c r="EZ778" s="11"/>
      <c r="FA778" s="11"/>
      <c r="FB778" s="11"/>
      <c r="FC778" s="11"/>
      <c r="FD778" s="11"/>
      <c r="FE778" s="11"/>
      <c r="FF778" s="11"/>
      <c r="FG778" s="11"/>
      <c r="FH778" s="39">
        <f t="shared" si="189"/>
        <v>6096713.9100000001</v>
      </c>
      <c r="FI778" s="33">
        <f t="shared" si="190"/>
        <v>2</v>
      </c>
      <c r="FJ778" s="84">
        <f t="shared" si="191"/>
        <v>3048356.9550000001</v>
      </c>
    </row>
    <row r="779" spans="1:166" ht="40.5" x14ac:dyDescent="0.25">
      <c r="A779" s="79" t="e">
        <f>#REF!</f>
        <v>#REF!</v>
      </c>
      <c r="B779" s="75" t="e">
        <f>#REF!</f>
        <v>#REF!</v>
      </c>
      <c r="C779" s="75" t="e">
        <f>#REF!</f>
        <v>#REF!</v>
      </c>
      <c r="D779" s="75" t="e">
        <f>#REF!</f>
        <v>#REF!</v>
      </c>
      <c r="E779" s="30">
        <v>1</v>
      </c>
      <c r="F779" s="238">
        <v>0</v>
      </c>
      <c r="G779" s="241">
        <v>0</v>
      </c>
      <c r="H779" s="249">
        <v>0</v>
      </c>
      <c r="I779" s="249">
        <v>0</v>
      </c>
      <c r="J779" s="249">
        <v>0</v>
      </c>
      <c r="K779" s="249">
        <v>0</v>
      </c>
      <c r="L779" s="274"/>
      <c r="M779" s="274"/>
      <c r="N779" s="246"/>
      <c r="O779" s="118"/>
      <c r="P779" s="118"/>
      <c r="Q779" s="52"/>
      <c r="R779" s="52"/>
      <c r="S779" s="5"/>
      <c r="T779" s="118"/>
      <c r="U779" s="118"/>
      <c r="V779" s="118"/>
      <c r="W779" s="11"/>
      <c r="X779" s="11"/>
      <c r="Y779" s="11"/>
      <c r="Z779" s="118"/>
      <c r="AA779" s="118"/>
      <c r="AB779" s="118"/>
      <c r="AC779" s="52"/>
      <c r="AD779" s="52"/>
      <c r="AE779" s="11"/>
      <c r="AF779" s="118"/>
      <c r="AG779" s="118"/>
      <c r="AH779" s="118"/>
      <c r="AI779" s="11"/>
      <c r="AJ779" s="11"/>
      <c r="AK779" s="11"/>
      <c r="AL779" s="118"/>
      <c r="AM779" s="118"/>
      <c r="AN779" s="118"/>
      <c r="AO779" s="76"/>
      <c r="AP779" s="11"/>
      <c r="AQ779" s="11"/>
      <c r="AR779" s="274"/>
      <c r="AS779" s="274"/>
      <c r="AT779" s="274"/>
      <c r="AU779" s="62"/>
      <c r="AV779" s="48"/>
      <c r="AW779" s="11"/>
      <c r="AX779" s="274"/>
      <c r="AY779" s="274"/>
      <c r="AZ779" s="274"/>
      <c r="BA779" s="11"/>
      <c r="BB779" s="11"/>
      <c r="BC779" s="11"/>
      <c r="BD779" s="274"/>
      <c r="BE779" s="274"/>
      <c r="BF779" s="274"/>
      <c r="BG779" s="11"/>
      <c r="BH779" s="11"/>
      <c r="BI779" s="11"/>
      <c r="BJ779" s="274"/>
      <c r="BK779" s="274"/>
      <c r="BL779" s="274"/>
      <c r="BM779" s="11"/>
      <c r="BN779" s="11"/>
      <c r="BO779" s="11"/>
      <c r="BP779" s="274"/>
      <c r="BQ779" s="11"/>
      <c r="BR779" s="11"/>
      <c r="BS779" s="11"/>
      <c r="BT779" s="11"/>
      <c r="BU779" s="11"/>
      <c r="BV779" s="268">
        <v>2704800</v>
      </c>
      <c r="BW779" s="144">
        <f t="shared" si="187"/>
        <v>513912</v>
      </c>
      <c r="BX779" s="113">
        <f t="shared" si="188"/>
        <v>3218712</v>
      </c>
      <c r="BY779" s="272" t="s">
        <v>564</v>
      </c>
      <c r="BZ779" s="272" t="s">
        <v>548</v>
      </c>
      <c r="CA779" s="11"/>
      <c r="CB779" s="274"/>
      <c r="CC779" s="274"/>
      <c r="CD779" s="274"/>
      <c r="CE779" s="11"/>
      <c r="CF779" s="11"/>
      <c r="CG779" s="11"/>
      <c r="CH779" s="268">
        <v>2894136</v>
      </c>
      <c r="CI779" s="265">
        <f t="shared" si="192"/>
        <v>549885.84</v>
      </c>
      <c r="CJ779" s="263">
        <f t="shared" si="193"/>
        <v>3444021.84</v>
      </c>
      <c r="CK779" s="272" t="s">
        <v>564</v>
      </c>
      <c r="CL779" s="272" t="s">
        <v>548</v>
      </c>
      <c r="CM779" s="11"/>
      <c r="CN779" s="274"/>
      <c r="CO779" s="274"/>
      <c r="CP779" s="274"/>
      <c r="CQ779" s="11"/>
      <c r="CR779" s="11"/>
      <c r="CS779" s="11"/>
      <c r="CT779" s="11"/>
      <c r="CU779" s="11"/>
      <c r="CV779" s="11"/>
      <c r="CW779" s="11"/>
      <c r="CX779" s="11"/>
      <c r="CY779" s="11"/>
      <c r="CZ779" s="118"/>
      <c r="DA779" s="118"/>
      <c r="DB779" s="118"/>
      <c r="DC779" s="11"/>
      <c r="DD779" s="11"/>
      <c r="DE779" s="32"/>
      <c r="DF779" s="11"/>
      <c r="DG779" s="11"/>
      <c r="DH779" s="11"/>
      <c r="DI779" s="11"/>
      <c r="DJ779" s="11"/>
      <c r="DK779" s="11"/>
      <c r="DL779" s="11"/>
      <c r="DM779" s="11"/>
      <c r="DN779" s="11"/>
      <c r="DO779" s="11"/>
      <c r="DP779" s="11"/>
      <c r="DQ779" s="11"/>
      <c r="DR779" s="11"/>
      <c r="DS779" s="11"/>
      <c r="DT779" s="11"/>
      <c r="DU779" s="11"/>
      <c r="DV779" s="11"/>
      <c r="DW779" s="11"/>
      <c r="DX779" s="11"/>
      <c r="DY779" s="11"/>
      <c r="DZ779" s="11"/>
      <c r="EA779" s="11"/>
      <c r="EB779" s="11"/>
      <c r="EC779" s="11"/>
      <c r="ED779" s="11"/>
      <c r="EE779" s="11"/>
      <c r="EF779" s="11"/>
      <c r="EG779" s="11"/>
      <c r="EH779" s="11"/>
      <c r="EI779" s="11"/>
      <c r="EJ779" s="11"/>
      <c r="EK779" s="11"/>
      <c r="EL779" s="11"/>
      <c r="EM779" s="11"/>
      <c r="EN779" s="11"/>
      <c r="EO779" s="11"/>
      <c r="EP779" s="11"/>
      <c r="EQ779" s="11"/>
      <c r="ER779" s="11"/>
      <c r="ES779" s="11"/>
      <c r="ET779" s="11"/>
      <c r="EU779" s="11"/>
      <c r="EV779" s="11"/>
      <c r="EW779" s="11"/>
      <c r="EX779" s="11"/>
      <c r="EY779" s="11"/>
      <c r="EZ779" s="11"/>
      <c r="FA779" s="11"/>
      <c r="FB779" s="11"/>
      <c r="FC779" s="11"/>
      <c r="FD779" s="11"/>
      <c r="FE779" s="11"/>
      <c r="FF779" s="11"/>
      <c r="FG779" s="11"/>
      <c r="FH779" s="39">
        <f t="shared" si="189"/>
        <v>6662733.8399999999</v>
      </c>
      <c r="FI779" s="33">
        <f t="shared" si="190"/>
        <v>2</v>
      </c>
      <c r="FJ779" s="84">
        <f t="shared" si="191"/>
        <v>3331366.92</v>
      </c>
    </row>
    <row r="780" spans="1:166" ht="40.5" x14ac:dyDescent="0.25">
      <c r="A780" s="79" t="e">
        <f>#REF!</f>
        <v>#REF!</v>
      </c>
      <c r="B780" s="75" t="e">
        <f>#REF!</f>
        <v>#REF!</v>
      </c>
      <c r="C780" s="75" t="e">
        <f>#REF!</f>
        <v>#REF!</v>
      </c>
      <c r="D780" s="75" t="e">
        <f>#REF!</f>
        <v>#REF!</v>
      </c>
      <c r="E780" s="30">
        <v>1</v>
      </c>
      <c r="F780" s="238">
        <v>0</v>
      </c>
      <c r="G780" s="241">
        <v>0</v>
      </c>
      <c r="H780" s="249">
        <v>0</v>
      </c>
      <c r="I780" s="249">
        <v>0</v>
      </c>
      <c r="J780" s="249">
        <v>0</v>
      </c>
      <c r="K780" s="249">
        <v>0</v>
      </c>
      <c r="L780" s="274"/>
      <c r="M780" s="274"/>
      <c r="N780" s="246"/>
      <c r="O780" s="118"/>
      <c r="P780" s="118"/>
      <c r="Q780" s="52"/>
      <c r="R780" s="52"/>
      <c r="S780" s="5"/>
      <c r="T780" s="118"/>
      <c r="U780" s="118"/>
      <c r="V780" s="118"/>
      <c r="W780" s="11"/>
      <c r="X780" s="11"/>
      <c r="Y780" s="11"/>
      <c r="Z780" s="118"/>
      <c r="AA780" s="118"/>
      <c r="AB780" s="118"/>
      <c r="AC780" s="52"/>
      <c r="AD780" s="52"/>
      <c r="AE780" s="11"/>
      <c r="AF780" s="118"/>
      <c r="AG780" s="118"/>
      <c r="AH780" s="118"/>
      <c r="AI780" s="11"/>
      <c r="AJ780" s="11"/>
      <c r="AK780" s="11"/>
      <c r="AL780" s="118"/>
      <c r="AM780" s="118"/>
      <c r="AN780" s="118"/>
      <c r="AO780" s="76"/>
      <c r="AP780" s="11"/>
      <c r="AQ780" s="11"/>
      <c r="AR780" s="274"/>
      <c r="AS780" s="274"/>
      <c r="AT780" s="274"/>
      <c r="AU780" s="62"/>
      <c r="AV780" s="48"/>
      <c r="AW780" s="11"/>
      <c r="AX780" s="274"/>
      <c r="AY780" s="274"/>
      <c r="AZ780" s="274"/>
      <c r="BA780" s="11"/>
      <c r="BB780" s="11"/>
      <c r="BC780" s="11"/>
      <c r="BD780" s="274"/>
      <c r="BE780" s="274"/>
      <c r="BF780" s="274"/>
      <c r="BG780" s="11"/>
      <c r="BH780" s="11"/>
      <c r="BI780" s="11"/>
      <c r="BJ780" s="274"/>
      <c r="BK780" s="274"/>
      <c r="BL780" s="274"/>
      <c r="BM780" s="11"/>
      <c r="BN780" s="11"/>
      <c r="BO780" s="11"/>
      <c r="BP780" s="274"/>
      <c r="BQ780" s="11"/>
      <c r="BR780" s="11"/>
      <c r="BS780" s="11"/>
      <c r="BT780" s="11"/>
      <c r="BU780" s="11"/>
      <c r="BV780" s="263">
        <v>632300</v>
      </c>
      <c r="BW780" s="144">
        <f t="shared" si="187"/>
        <v>120137</v>
      </c>
      <c r="BX780" s="113">
        <f t="shared" si="188"/>
        <v>752437</v>
      </c>
      <c r="BY780" s="272" t="s">
        <v>565</v>
      </c>
      <c r="BZ780" s="272" t="s">
        <v>548</v>
      </c>
      <c r="CA780" s="11"/>
      <c r="CB780" s="274"/>
      <c r="CC780" s="274"/>
      <c r="CD780" s="274"/>
      <c r="CE780" s="11"/>
      <c r="CF780" s="11"/>
      <c r="CG780" s="11"/>
      <c r="CH780" s="263">
        <v>638623</v>
      </c>
      <c r="CI780" s="265">
        <f t="shared" si="192"/>
        <v>121338.37</v>
      </c>
      <c r="CJ780" s="263">
        <f t="shared" si="193"/>
        <v>759961.37</v>
      </c>
      <c r="CK780" s="272" t="s">
        <v>565</v>
      </c>
      <c r="CL780" s="272" t="s">
        <v>548</v>
      </c>
      <c r="CM780" s="11"/>
      <c r="CN780" s="274"/>
      <c r="CO780" s="274"/>
      <c r="CP780" s="274"/>
      <c r="CQ780" s="11"/>
      <c r="CR780" s="11"/>
      <c r="CS780" s="11"/>
      <c r="CT780" s="11"/>
      <c r="CU780" s="11"/>
      <c r="CV780" s="11"/>
      <c r="CW780" s="11"/>
      <c r="CX780" s="11"/>
      <c r="CY780" s="11"/>
      <c r="CZ780" s="118"/>
      <c r="DA780" s="118"/>
      <c r="DB780" s="118"/>
      <c r="DC780" s="11"/>
      <c r="DD780" s="11"/>
      <c r="DE780" s="32"/>
      <c r="DF780" s="11"/>
      <c r="DG780" s="11"/>
      <c r="DH780" s="11"/>
      <c r="DI780" s="11"/>
      <c r="DJ780" s="11"/>
      <c r="DK780" s="11"/>
      <c r="DL780" s="11"/>
      <c r="DM780" s="11"/>
      <c r="DN780" s="11"/>
      <c r="DO780" s="11"/>
      <c r="DP780" s="11"/>
      <c r="DQ780" s="11"/>
      <c r="DR780" s="11"/>
      <c r="DS780" s="11"/>
      <c r="DT780" s="11"/>
      <c r="DU780" s="11"/>
      <c r="DV780" s="11"/>
      <c r="DW780" s="11"/>
      <c r="DX780" s="11"/>
      <c r="DY780" s="11"/>
      <c r="DZ780" s="11"/>
      <c r="EA780" s="11"/>
      <c r="EB780" s="11"/>
      <c r="EC780" s="11"/>
      <c r="ED780" s="11"/>
      <c r="EE780" s="11"/>
      <c r="EF780" s="11"/>
      <c r="EG780" s="11"/>
      <c r="EH780" s="11"/>
      <c r="EI780" s="11"/>
      <c r="EJ780" s="11"/>
      <c r="EK780" s="11"/>
      <c r="EL780" s="11"/>
      <c r="EM780" s="11"/>
      <c r="EN780" s="11"/>
      <c r="EO780" s="11"/>
      <c r="EP780" s="11"/>
      <c r="EQ780" s="11"/>
      <c r="ER780" s="11"/>
      <c r="ES780" s="11"/>
      <c r="ET780" s="11"/>
      <c r="EU780" s="11"/>
      <c r="EV780" s="11"/>
      <c r="EW780" s="11"/>
      <c r="EX780" s="11"/>
      <c r="EY780" s="11"/>
      <c r="EZ780" s="11"/>
      <c r="FA780" s="11"/>
      <c r="FB780" s="11"/>
      <c r="FC780" s="11"/>
      <c r="FD780" s="11"/>
      <c r="FE780" s="11"/>
      <c r="FF780" s="11"/>
      <c r="FG780" s="11"/>
      <c r="FH780" s="39">
        <f t="shared" si="189"/>
        <v>1512398.37</v>
      </c>
      <c r="FI780" s="33">
        <f t="shared" si="190"/>
        <v>2</v>
      </c>
      <c r="FJ780" s="84">
        <f t="shared" si="191"/>
        <v>756199.18500000006</v>
      </c>
    </row>
    <row r="781" spans="1:166" ht="40.5" x14ac:dyDescent="0.25">
      <c r="A781" s="79" t="e">
        <f>#REF!</f>
        <v>#REF!</v>
      </c>
      <c r="B781" s="75" t="e">
        <f>#REF!</f>
        <v>#REF!</v>
      </c>
      <c r="C781" s="75" t="e">
        <f>#REF!</f>
        <v>#REF!</v>
      </c>
      <c r="D781" s="75" t="e">
        <f>#REF!</f>
        <v>#REF!</v>
      </c>
      <c r="E781" s="30">
        <v>1</v>
      </c>
      <c r="F781" s="238">
        <v>0</v>
      </c>
      <c r="G781" s="241">
        <v>0</v>
      </c>
      <c r="H781" s="249">
        <v>0</v>
      </c>
      <c r="I781" s="249">
        <v>0</v>
      </c>
      <c r="J781" s="249">
        <v>0</v>
      </c>
      <c r="K781" s="249">
        <v>0</v>
      </c>
      <c r="L781" s="274"/>
      <c r="M781" s="274"/>
      <c r="N781" s="246"/>
      <c r="O781" s="118"/>
      <c r="P781" s="118"/>
      <c r="Q781" s="52"/>
      <c r="R781" s="52"/>
      <c r="S781" s="5"/>
      <c r="T781" s="118"/>
      <c r="U781" s="118"/>
      <c r="V781" s="118"/>
      <c r="W781" s="11"/>
      <c r="X781" s="11"/>
      <c r="Y781" s="11"/>
      <c r="Z781" s="118"/>
      <c r="AA781" s="118"/>
      <c r="AB781" s="118"/>
      <c r="AC781" s="52"/>
      <c r="AD781" s="52"/>
      <c r="AE781" s="11"/>
      <c r="AF781" s="118"/>
      <c r="AG781" s="118"/>
      <c r="AH781" s="118"/>
      <c r="AI781" s="11"/>
      <c r="AJ781" s="11"/>
      <c r="AK781" s="11"/>
      <c r="AL781" s="118"/>
      <c r="AM781" s="118"/>
      <c r="AN781" s="118"/>
      <c r="AO781" s="76"/>
      <c r="AP781" s="11"/>
      <c r="AQ781" s="11"/>
      <c r="AR781" s="274"/>
      <c r="AS781" s="274"/>
      <c r="AT781" s="274"/>
      <c r="AU781" s="62"/>
      <c r="AV781" s="48"/>
      <c r="AW781" s="11"/>
      <c r="AX781" s="274"/>
      <c r="AY781" s="274"/>
      <c r="AZ781" s="274"/>
      <c r="BA781" s="11"/>
      <c r="BB781" s="11"/>
      <c r="BC781" s="11"/>
      <c r="BD781" s="274"/>
      <c r="BE781" s="274"/>
      <c r="BF781" s="274"/>
      <c r="BG781" s="11"/>
      <c r="BH781" s="11"/>
      <c r="BI781" s="11"/>
      <c r="BJ781" s="274"/>
      <c r="BK781" s="274"/>
      <c r="BL781" s="274"/>
      <c r="BM781" s="11"/>
      <c r="BN781" s="11"/>
      <c r="BO781" s="11"/>
      <c r="BP781" s="274"/>
      <c r="BQ781" s="11"/>
      <c r="BR781" s="11"/>
      <c r="BS781" s="11"/>
      <c r="BT781" s="11"/>
      <c r="BU781" s="11"/>
      <c r="BV781" s="268">
        <v>2861600</v>
      </c>
      <c r="BW781" s="144">
        <f t="shared" si="187"/>
        <v>543704</v>
      </c>
      <c r="BX781" s="113">
        <f t="shared" si="188"/>
        <v>3405304</v>
      </c>
      <c r="BY781" s="272" t="s">
        <v>564</v>
      </c>
      <c r="BZ781" s="272" t="s">
        <v>548</v>
      </c>
      <c r="CA781" s="11"/>
      <c r="CB781" s="274"/>
      <c r="CC781" s="274"/>
      <c r="CD781" s="274"/>
      <c r="CE781" s="11"/>
      <c r="CF781" s="11"/>
      <c r="CG781" s="11"/>
      <c r="CH781" s="268">
        <v>2918832</v>
      </c>
      <c r="CI781" s="265">
        <f t="shared" si="192"/>
        <v>554578.07999999996</v>
      </c>
      <c r="CJ781" s="263">
        <f t="shared" si="193"/>
        <v>3473410.08</v>
      </c>
      <c r="CK781" s="272" t="s">
        <v>564</v>
      </c>
      <c r="CL781" s="272" t="s">
        <v>548</v>
      </c>
      <c r="CM781" s="11"/>
      <c r="CN781" s="274"/>
      <c r="CO781" s="274"/>
      <c r="CP781" s="274"/>
      <c r="CQ781" s="11"/>
      <c r="CR781" s="11"/>
      <c r="CS781" s="11"/>
      <c r="CT781" s="11"/>
      <c r="CU781" s="11"/>
      <c r="CV781" s="11"/>
      <c r="CW781" s="11"/>
      <c r="CX781" s="11"/>
      <c r="CY781" s="11"/>
      <c r="CZ781" s="118"/>
      <c r="DA781" s="118"/>
      <c r="DB781" s="118"/>
      <c r="DC781" s="11"/>
      <c r="DD781" s="11"/>
      <c r="DE781" s="32"/>
      <c r="DF781" s="11"/>
      <c r="DG781" s="11"/>
      <c r="DH781" s="11"/>
      <c r="DI781" s="11"/>
      <c r="DJ781" s="11"/>
      <c r="DK781" s="11"/>
      <c r="DL781" s="11"/>
      <c r="DM781" s="11"/>
      <c r="DN781" s="11"/>
      <c r="DO781" s="11"/>
      <c r="DP781" s="11"/>
      <c r="DQ781" s="11"/>
      <c r="DR781" s="11"/>
      <c r="DS781" s="11"/>
      <c r="DT781" s="11"/>
      <c r="DU781" s="11"/>
      <c r="DV781" s="11"/>
      <c r="DW781" s="11"/>
      <c r="DX781" s="11"/>
      <c r="DY781" s="11"/>
      <c r="DZ781" s="11"/>
      <c r="EA781" s="11"/>
      <c r="EB781" s="11"/>
      <c r="EC781" s="11"/>
      <c r="ED781" s="11"/>
      <c r="EE781" s="11"/>
      <c r="EF781" s="11"/>
      <c r="EG781" s="11"/>
      <c r="EH781" s="11"/>
      <c r="EI781" s="11"/>
      <c r="EJ781" s="11"/>
      <c r="EK781" s="11"/>
      <c r="EL781" s="11"/>
      <c r="EM781" s="11"/>
      <c r="EN781" s="11"/>
      <c r="EO781" s="11"/>
      <c r="EP781" s="11"/>
      <c r="EQ781" s="11"/>
      <c r="ER781" s="11"/>
      <c r="ES781" s="11"/>
      <c r="ET781" s="11"/>
      <c r="EU781" s="11"/>
      <c r="EV781" s="11"/>
      <c r="EW781" s="11"/>
      <c r="EX781" s="11"/>
      <c r="EY781" s="11"/>
      <c r="EZ781" s="11"/>
      <c r="FA781" s="11"/>
      <c r="FB781" s="11"/>
      <c r="FC781" s="11"/>
      <c r="FD781" s="11"/>
      <c r="FE781" s="11"/>
      <c r="FF781" s="11"/>
      <c r="FG781" s="11"/>
      <c r="FH781" s="39">
        <f t="shared" si="189"/>
        <v>6878714.0800000001</v>
      </c>
      <c r="FI781" s="33">
        <f t="shared" si="190"/>
        <v>2</v>
      </c>
      <c r="FJ781" s="84">
        <f t="shared" si="191"/>
        <v>3439357.04</v>
      </c>
    </row>
    <row r="782" spans="1:166" ht="40.5" x14ac:dyDescent="0.25">
      <c r="A782" s="79" t="e">
        <f>#REF!</f>
        <v>#REF!</v>
      </c>
      <c r="B782" s="75" t="e">
        <f>#REF!</f>
        <v>#REF!</v>
      </c>
      <c r="C782" s="75" t="e">
        <f>#REF!</f>
        <v>#REF!</v>
      </c>
      <c r="D782" s="75" t="e">
        <f>#REF!</f>
        <v>#REF!</v>
      </c>
      <c r="E782" s="30">
        <v>1</v>
      </c>
      <c r="F782" s="238">
        <v>0</v>
      </c>
      <c r="G782" s="241">
        <v>0</v>
      </c>
      <c r="H782" s="249">
        <v>0</v>
      </c>
      <c r="I782" s="249">
        <v>0</v>
      </c>
      <c r="J782" s="249">
        <v>0</v>
      </c>
      <c r="K782" s="249">
        <v>0</v>
      </c>
      <c r="L782" s="274"/>
      <c r="M782" s="274"/>
      <c r="N782" s="246"/>
      <c r="O782" s="118"/>
      <c r="P782" s="118"/>
      <c r="Q782" s="52"/>
      <c r="R782" s="52"/>
      <c r="S782" s="5"/>
      <c r="T782" s="118"/>
      <c r="U782" s="118"/>
      <c r="V782" s="118"/>
      <c r="W782" s="11"/>
      <c r="X782" s="11"/>
      <c r="Y782" s="11"/>
      <c r="Z782" s="118"/>
      <c r="AA782" s="118"/>
      <c r="AB782" s="118"/>
      <c r="AC782" s="52"/>
      <c r="AD782" s="52"/>
      <c r="AE782" s="11"/>
      <c r="AF782" s="118"/>
      <c r="AG782" s="118"/>
      <c r="AH782" s="118"/>
      <c r="AI782" s="11"/>
      <c r="AJ782" s="11"/>
      <c r="AK782" s="11"/>
      <c r="AL782" s="118"/>
      <c r="AM782" s="118"/>
      <c r="AN782" s="118"/>
      <c r="AO782" s="76"/>
      <c r="AP782" s="11"/>
      <c r="AQ782" s="11"/>
      <c r="AR782" s="274"/>
      <c r="AS782" s="274"/>
      <c r="AT782" s="274"/>
      <c r="AU782" s="62"/>
      <c r="AV782" s="48"/>
      <c r="AW782" s="11"/>
      <c r="AX782" s="274"/>
      <c r="AY782" s="274"/>
      <c r="AZ782" s="274"/>
      <c r="BA782" s="11"/>
      <c r="BB782" s="11"/>
      <c r="BC782" s="11"/>
      <c r="BD782" s="274"/>
      <c r="BE782" s="274"/>
      <c r="BF782" s="274"/>
      <c r="BG782" s="11"/>
      <c r="BH782" s="11"/>
      <c r="BI782" s="11"/>
      <c r="BJ782" s="274"/>
      <c r="BK782" s="274"/>
      <c r="BL782" s="274"/>
      <c r="BM782" s="11"/>
      <c r="BN782" s="11"/>
      <c r="BO782" s="11"/>
      <c r="BP782" s="274"/>
      <c r="BQ782" s="11"/>
      <c r="BR782" s="11"/>
      <c r="BS782" s="11"/>
      <c r="BT782" s="11"/>
      <c r="BU782" s="11"/>
      <c r="BV782" s="268">
        <v>4423800</v>
      </c>
      <c r="BW782" s="144">
        <f t="shared" si="187"/>
        <v>840522</v>
      </c>
      <c r="BX782" s="113">
        <f t="shared" si="188"/>
        <v>5264322</v>
      </c>
      <c r="BY782" s="272" t="s">
        <v>312</v>
      </c>
      <c r="BZ782" s="272" t="s">
        <v>548</v>
      </c>
      <c r="CA782" s="11"/>
      <c r="CB782" s="274"/>
      <c r="CC782" s="274"/>
      <c r="CD782" s="274"/>
      <c r="CE782" s="11"/>
      <c r="CF782" s="11"/>
      <c r="CG782" s="11"/>
      <c r="CH782" s="268">
        <v>4512276</v>
      </c>
      <c r="CI782" s="265">
        <f t="shared" si="192"/>
        <v>857332.44000000006</v>
      </c>
      <c r="CJ782" s="263">
        <f t="shared" si="193"/>
        <v>5369608.4400000004</v>
      </c>
      <c r="CK782" s="272" t="s">
        <v>312</v>
      </c>
      <c r="CL782" s="272" t="s">
        <v>548</v>
      </c>
      <c r="CM782" s="11"/>
      <c r="CN782" s="274"/>
      <c r="CO782" s="274"/>
      <c r="CP782" s="274"/>
      <c r="CQ782" s="11"/>
      <c r="CR782" s="11"/>
      <c r="CS782" s="11"/>
      <c r="CT782" s="11"/>
      <c r="CU782" s="11"/>
      <c r="CV782" s="11"/>
      <c r="CW782" s="11"/>
      <c r="CX782" s="11"/>
      <c r="CY782" s="11"/>
      <c r="CZ782" s="118"/>
      <c r="DA782" s="118"/>
      <c r="DB782" s="118"/>
      <c r="DC782" s="11"/>
      <c r="DD782" s="11"/>
      <c r="DE782" s="32"/>
      <c r="DF782" s="11"/>
      <c r="DG782" s="11"/>
      <c r="DH782" s="11"/>
      <c r="DI782" s="11"/>
      <c r="DJ782" s="11"/>
      <c r="DK782" s="11"/>
      <c r="DL782" s="11"/>
      <c r="DM782" s="11"/>
      <c r="DN782" s="11"/>
      <c r="DO782" s="11"/>
      <c r="DP782" s="11"/>
      <c r="DQ782" s="11"/>
      <c r="DR782" s="11"/>
      <c r="DS782" s="11"/>
      <c r="DT782" s="11"/>
      <c r="DU782" s="11"/>
      <c r="DV782" s="11"/>
      <c r="DW782" s="11"/>
      <c r="DX782" s="11"/>
      <c r="DY782" s="11"/>
      <c r="DZ782" s="11"/>
      <c r="EA782" s="11"/>
      <c r="EB782" s="11"/>
      <c r="EC782" s="11"/>
      <c r="ED782" s="11"/>
      <c r="EE782" s="11"/>
      <c r="EF782" s="11"/>
      <c r="EG782" s="11"/>
      <c r="EH782" s="11"/>
      <c r="EI782" s="11"/>
      <c r="EJ782" s="11"/>
      <c r="EK782" s="11"/>
      <c r="EL782" s="11"/>
      <c r="EM782" s="11"/>
      <c r="EN782" s="11"/>
      <c r="EO782" s="11"/>
      <c r="EP782" s="11"/>
      <c r="EQ782" s="11"/>
      <c r="ER782" s="11"/>
      <c r="ES782" s="11"/>
      <c r="ET782" s="11"/>
      <c r="EU782" s="11"/>
      <c r="EV782" s="11"/>
      <c r="EW782" s="11"/>
      <c r="EX782" s="11"/>
      <c r="EY782" s="11"/>
      <c r="EZ782" s="11"/>
      <c r="FA782" s="11"/>
      <c r="FB782" s="11"/>
      <c r="FC782" s="11"/>
      <c r="FD782" s="11"/>
      <c r="FE782" s="11"/>
      <c r="FF782" s="11"/>
      <c r="FG782" s="11"/>
      <c r="FH782" s="39">
        <f t="shared" si="189"/>
        <v>10633930.440000001</v>
      </c>
      <c r="FI782" s="33">
        <f t="shared" si="190"/>
        <v>2</v>
      </c>
      <c r="FJ782" s="84">
        <f t="shared" si="191"/>
        <v>5316965.2200000007</v>
      </c>
    </row>
    <row r="783" spans="1:166" ht="40.5" x14ac:dyDescent="0.25">
      <c r="A783" s="79" t="e">
        <f>#REF!</f>
        <v>#REF!</v>
      </c>
      <c r="B783" s="75" t="e">
        <f>#REF!</f>
        <v>#REF!</v>
      </c>
      <c r="C783" s="75" t="e">
        <f>#REF!</f>
        <v>#REF!</v>
      </c>
      <c r="D783" s="75" t="e">
        <f>#REF!</f>
        <v>#REF!</v>
      </c>
      <c r="E783" s="30">
        <v>1</v>
      </c>
      <c r="F783" s="238">
        <v>0</v>
      </c>
      <c r="G783" s="241">
        <v>0</v>
      </c>
      <c r="H783" s="249">
        <v>0</v>
      </c>
      <c r="I783" s="249">
        <v>0</v>
      </c>
      <c r="J783" s="249">
        <v>0</v>
      </c>
      <c r="K783" s="249">
        <v>0</v>
      </c>
      <c r="L783" s="274"/>
      <c r="M783" s="274"/>
      <c r="N783" s="246"/>
      <c r="O783" s="118"/>
      <c r="P783" s="118"/>
      <c r="Q783" s="52"/>
      <c r="R783" s="52"/>
      <c r="S783" s="5"/>
      <c r="T783" s="118"/>
      <c r="U783" s="118"/>
      <c r="V783" s="118"/>
      <c r="W783" s="11"/>
      <c r="X783" s="11"/>
      <c r="Y783" s="11"/>
      <c r="Z783" s="118"/>
      <c r="AA783" s="118"/>
      <c r="AB783" s="118"/>
      <c r="AC783" s="52"/>
      <c r="AD783" s="52"/>
      <c r="AE783" s="11"/>
      <c r="AF783" s="118"/>
      <c r="AG783" s="118"/>
      <c r="AH783" s="118"/>
      <c r="AI783" s="11"/>
      <c r="AJ783" s="11"/>
      <c r="AK783" s="11"/>
      <c r="AL783" s="118"/>
      <c r="AM783" s="118"/>
      <c r="AN783" s="118"/>
      <c r="AO783" s="76"/>
      <c r="AP783" s="11"/>
      <c r="AQ783" s="11"/>
      <c r="AR783" s="274"/>
      <c r="AS783" s="274"/>
      <c r="AT783" s="274"/>
      <c r="AU783" s="62"/>
      <c r="AV783" s="48"/>
      <c r="AW783" s="11"/>
      <c r="AX783" s="274"/>
      <c r="AY783" s="274"/>
      <c r="AZ783" s="274"/>
      <c r="BA783" s="11"/>
      <c r="BB783" s="11"/>
      <c r="BC783" s="11"/>
      <c r="BD783" s="274"/>
      <c r="BE783" s="274"/>
      <c r="BF783" s="274"/>
      <c r="BG783" s="11"/>
      <c r="BH783" s="11"/>
      <c r="BI783" s="11"/>
      <c r="BJ783" s="274"/>
      <c r="BK783" s="274"/>
      <c r="BL783" s="274"/>
      <c r="BM783" s="11"/>
      <c r="BN783" s="11"/>
      <c r="BO783" s="11"/>
      <c r="BP783" s="274"/>
      <c r="BQ783" s="11"/>
      <c r="BR783" s="11"/>
      <c r="BS783" s="11"/>
      <c r="BT783" s="11"/>
      <c r="BU783" s="11"/>
      <c r="BV783" s="268">
        <v>2097600</v>
      </c>
      <c r="BW783" s="144">
        <f t="shared" si="187"/>
        <v>398544</v>
      </c>
      <c r="BX783" s="113">
        <f t="shared" si="188"/>
        <v>2496144</v>
      </c>
      <c r="BY783" s="272" t="s">
        <v>312</v>
      </c>
      <c r="BZ783" s="272" t="s">
        <v>548</v>
      </c>
      <c r="CA783" s="11"/>
      <c r="CB783" s="274"/>
      <c r="CC783" s="274"/>
      <c r="CD783" s="274"/>
      <c r="CE783" s="11"/>
      <c r="CF783" s="11"/>
      <c r="CG783" s="11"/>
      <c r="CH783" s="263">
        <v>2223456</v>
      </c>
      <c r="CI783" s="265">
        <f t="shared" si="192"/>
        <v>422456.64</v>
      </c>
      <c r="CJ783" s="263">
        <f t="shared" si="193"/>
        <v>2645912.64</v>
      </c>
      <c r="CK783" s="272" t="s">
        <v>312</v>
      </c>
      <c r="CL783" s="272" t="s">
        <v>548</v>
      </c>
      <c r="CM783" s="11"/>
      <c r="CN783" s="274"/>
      <c r="CO783" s="274"/>
      <c r="CP783" s="274"/>
      <c r="CQ783" s="11"/>
      <c r="CR783" s="11"/>
      <c r="CS783" s="11"/>
      <c r="CT783" s="11"/>
      <c r="CU783" s="11"/>
      <c r="CV783" s="11"/>
      <c r="CW783" s="11"/>
      <c r="CX783" s="11"/>
      <c r="CY783" s="11"/>
      <c r="CZ783" s="118"/>
      <c r="DA783" s="118"/>
      <c r="DB783" s="118"/>
      <c r="DC783" s="11"/>
      <c r="DD783" s="11"/>
      <c r="DE783" s="32"/>
      <c r="DF783" s="11"/>
      <c r="DG783" s="11"/>
      <c r="DH783" s="11"/>
      <c r="DI783" s="11"/>
      <c r="DJ783" s="11"/>
      <c r="DK783" s="11"/>
      <c r="DL783" s="11"/>
      <c r="DM783" s="11"/>
      <c r="DN783" s="11"/>
      <c r="DO783" s="11"/>
      <c r="DP783" s="11"/>
      <c r="DQ783" s="11"/>
      <c r="DR783" s="11"/>
      <c r="DS783" s="11"/>
      <c r="DT783" s="11"/>
      <c r="DU783" s="11"/>
      <c r="DV783" s="11"/>
      <c r="DW783" s="11"/>
      <c r="DX783" s="11"/>
      <c r="DY783" s="11"/>
      <c r="DZ783" s="11"/>
      <c r="EA783" s="11"/>
      <c r="EB783" s="11"/>
      <c r="EC783" s="11"/>
      <c r="ED783" s="11"/>
      <c r="EE783" s="11"/>
      <c r="EF783" s="11"/>
      <c r="EG783" s="11"/>
      <c r="EH783" s="11"/>
      <c r="EI783" s="11"/>
      <c r="EJ783" s="11"/>
      <c r="EK783" s="11"/>
      <c r="EL783" s="11"/>
      <c r="EM783" s="11"/>
      <c r="EN783" s="11"/>
      <c r="EO783" s="11"/>
      <c r="EP783" s="11"/>
      <c r="EQ783" s="11"/>
      <c r="ER783" s="11"/>
      <c r="ES783" s="11"/>
      <c r="ET783" s="11"/>
      <c r="EU783" s="11"/>
      <c r="EV783" s="11"/>
      <c r="EW783" s="11"/>
      <c r="EX783" s="11"/>
      <c r="EY783" s="11"/>
      <c r="EZ783" s="11"/>
      <c r="FA783" s="11"/>
      <c r="FB783" s="11"/>
      <c r="FC783" s="11"/>
      <c r="FD783" s="11"/>
      <c r="FE783" s="11"/>
      <c r="FF783" s="11"/>
      <c r="FG783" s="11"/>
      <c r="FH783" s="39">
        <f t="shared" si="189"/>
        <v>5142056.6400000006</v>
      </c>
      <c r="FI783" s="33">
        <f t="shared" si="190"/>
        <v>2</v>
      </c>
      <c r="FJ783" s="84">
        <f t="shared" si="191"/>
        <v>2571028.3200000003</v>
      </c>
    </row>
    <row r="784" spans="1:166" ht="40.5" x14ac:dyDescent="0.25">
      <c r="A784" s="79" t="e">
        <f>#REF!</f>
        <v>#REF!</v>
      </c>
      <c r="B784" s="75" t="e">
        <f>#REF!</f>
        <v>#REF!</v>
      </c>
      <c r="C784" s="75" t="e">
        <f>#REF!</f>
        <v>#REF!</v>
      </c>
      <c r="D784" s="75" t="e">
        <f>#REF!</f>
        <v>#REF!</v>
      </c>
      <c r="E784" s="30">
        <v>1</v>
      </c>
      <c r="F784" s="238">
        <v>0</v>
      </c>
      <c r="G784" s="241">
        <v>0</v>
      </c>
      <c r="H784" s="249">
        <v>0</v>
      </c>
      <c r="I784" s="249">
        <v>0</v>
      </c>
      <c r="J784" s="249">
        <v>0</v>
      </c>
      <c r="K784" s="249">
        <v>0</v>
      </c>
      <c r="L784" s="274"/>
      <c r="M784" s="274"/>
      <c r="N784" s="246"/>
      <c r="O784" s="118"/>
      <c r="P784" s="118"/>
      <c r="Q784" s="52"/>
      <c r="R784" s="52"/>
      <c r="S784" s="5"/>
      <c r="T784" s="118"/>
      <c r="U784" s="118"/>
      <c r="V784" s="118"/>
      <c r="W784" s="11"/>
      <c r="X784" s="11"/>
      <c r="Y784" s="11"/>
      <c r="Z784" s="118"/>
      <c r="AA784" s="118"/>
      <c r="AB784" s="118"/>
      <c r="AC784" s="52"/>
      <c r="AD784" s="52"/>
      <c r="AE784" s="11"/>
      <c r="AF784" s="118"/>
      <c r="AG784" s="118"/>
      <c r="AH784" s="118"/>
      <c r="AI784" s="11"/>
      <c r="AJ784" s="11"/>
      <c r="AK784" s="11"/>
      <c r="AL784" s="118"/>
      <c r="AM784" s="118"/>
      <c r="AN784" s="118"/>
      <c r="AO784" s="76"/>
      <c r="AP784" s="11"/>
      <c r="AQ784" s="11"/>
      <c r="AR784" s="274"/>
      <c r="AS784" s="274"/>
      <c r="AT784" s="274"/>
      <c r="AU784" s="62"/>
      <c r="AV784" s="48"/>
      <c r="AW784" s="11"/>
      <c r="AX784" s="274"/>
      <c r="AY784" s="274"/>
      <c r="AZ784" s="274"/>
      <c r="BA784" s="11"/>
      <c r="BB784" s="11"/>
      <c r="BC784" s="11"/>
      <c r="BD784" s="274"/>
      <c r="BE784" s="274"/>
      <c r="BF784" s="274"/>
      <c r="BG784" s="11"/>
      <c r="BH784" s="11"/>
      <c r="BI784" s="11"/>
      <c r="BJ784" s="274"/>
      <c r="BK784" s="274"/>
      <c r="BL784" s="274"/>
      <c r="BM784" s="11"/>
      <c r="BN784" s="11"/>
      <c r="BO784" s="11"/>
      <c r="BP784" s="274"/>
      <c r="BQ784" s="11"/>
      <c r="BR784" s="11"/>
      <c r="BS784" s="11"/>
      <c r="BT784" s="11"/>
      <c r="BU784" s="11"/>
      <c r="BV784" s="263">
        <v>683700</v>
      </c>
      <c r="BW784" s="144">
        <f t="shared" si="187"/>
        <v>129903</v>
      </c>
      <c r="BX784" s="113">
        <f t="shared" si="188"/>
        <v>813603</v>
      </c>
      <c r="BY784" s="272" t="s">
        <v>565</v>
      </c>
      <c r="BZ784" s="272" t="s">
        <v>548</v>
      </c>
      <c r="CA784" s="11"/>
      <c r="CB784" s="274"/>
      <c r="CC784" s="274"/>
      <c r="CD784" s="274"/>
      <c r="CE784" s="11"/>
      <c r="CF784" s="11"/>
      <c r="CG784" s="11"/>
      <c r="CH784" s="263">
        <v>731559</v>
      </c>
      <c r="CI784" s="265">
        <f t="shared" si="192"/>
        <v>138996.21</v>
      </c>
      <c r="CJ784" s="263">
        <f t="shared" si="193"/>
        <v>870555.21</v>
      </c>
      <c r="CK784" s="272" t="s">
        <v>565</v>
      </c>
      <c r="CL784" s="272" t="s">
        <v>548</v>
      </c>
      <c r="CM784" s="11"/>
      <c r="CN784" s="274"/>
      <c r="CO784" s="274"/>
      <c r="CP784" s="274"/>
      <c r="CQ784" s="11"/>
      <c r="CR784" s="11"/>
      <c r="CS784" s="11"/>
      <c r="CT784" s="11"/>
      <c r="CU784" s="11"/>
      <c r="CV784" s="11"/>
      <c r="CW784" s="11"/>
      <c r="CX784" s="11"/>
      <c r="CY784" s="11"/>
      <c r="CZ784" s="118"/>
      <c r="DA784" s="118"/>
      <c r="DB784" s="118"/>
      <c r="DC784" s="11"/>
      <c r="DD784" s="11"/>
      <c r="DE784" s="32"/>
      <c r="DF784" s="11"/>
      <c r="DG784" s="11"/>
      <c r="DH784" s="11"/>
      <c r="DI784" s="11"/>
      <c r="DJ784" s="11"/>
      <c r="DK784" s="11"/>
      <c r="DL784" s="11"/>
      <c r="DM784" s="11"/>
      <c r="DN784" s="11"/>
      <c r="DO784" s="11"/>
      <c r="DP784" s="11"/>
      <c r="DQ784" s="11"/>
      <c r="DR784" s="11"/>
      <c r="DS784" s="11"/>
      <c r="DT784" s="11"/>
      <c r="DU784" s="11"/>
      <c r="DV784" s="11"/>
      <c r="DW784" s="11"/>
      <c r="DX784" s="11"/>
      <c r="DY784" s="11"/>
      <c r="DZ784" s="11"/>
      <c r="EA784" s="11"/>
      <c r="EB784" s="11"/>
      <c r="EC784" s="11"/>
      <c r="ED784" s="11"/>
      <c r="EE784" s="11"/>
      <c r="EF784" s="11"/>
      <c r="EG784" s="11"/>
      <c r="EH784" s="11"/>
      <c r="EI784" s="11"/>
      <c r="EJ784" s="11"/>
      <c r="EK784" s="11"/>
      <c r="EL784" s="11"/>
      <c r="EM784" s="11"/>
      <c r="EN784" s="11"/>
      <c r="EO784" s="11"/>
      <c r="EP784" s="11"/>
      <c r="EQ784" s="11"/>
      <c r="ER784" s="11"/>
      <c r="ES784" s="11"/>
      <c r="ET784" s="11"/>
      <c r="EU784" s="11"/>
      <c r="EV784" s="11"/>
      <c r="EW784" s="11"/>
      <c r="EX784" s="11"/>
      <c r="EY784" s="11"/>
      <c r="EZ784" s="11"/>
      <c r="FA784" s="11"/>
      <c r="FB784" s="11"/>
      <c r="FC784" s="11"/>
      <c r="FD784" s="11"/>
      <c r="FE784" s="11"/>
      <c r="FF784" s="11"/>
      <c r="FG784" s="11"/>
      <c r="FH784" s="39">
        <f t="shared" si="189"/>
        <v>1684158.21</v>
      </c>
      <c r="FI784" s="33">
        <f t="shared" si="190"/>
        <v>2</v>
      </c>
      <c r="FJ784" s="84">
        <f t="shared" si="191"/>
        <v>842079.10499999998</v>
      </c>
    </row>
    <row r="785" spans="1:166" ht="40.5" x14ac:dyDescent="0.25">
      <c r="A785" s="79" t="e">
        <f>#REF!</f>
        <v>#REF!</v>
      </c>
      <c r="B785" s="75" t="e">
        <f>#REF!</f>
        <v>#REF!</v>
      </c>
      <c r="C785" s="75" t="e">
        <f>#REF!</f>
        <v>#REF!</v>
      </c>
      <c r="D785" s="75" t="e">
        <f>#REF!</f>
        <v>#REF!</v>
      </c>
      <c r="E785" s="30">
        <v>1</v>
      </c>
      <c r="F785" s="238">
        <v>0</v>
      </c>
      <c r="G785" s="241">
        <v>0</v>
      </c>
      <c r="H785" s="249">
        <v>0</v>
      </c>
      <c r="I785" s="249">
        <v>0</v>
      </c>
      <c r="J785" s="249">
        <v>0</v>
      </c>
      <c r="K785" s="249">
        <v>0</v>
      </c>
      <c r="L785" s="274"/>
      <c r="M785" s="274"/>
      <c r="N785" s="246"/>
      <c r="O785" s="118"/>
      <c r="P785" s="118"/>
      <c r="Q785" s="52"/>
      <c r="R785" s="52"/>
      <c r="S785" s="5"/>
      <c r="T785" s="118"/>
      <c r="U785" s="118"/>
      <c r="V785" s="118"/>
      <c r="W785" s="11"/>
      <c r="X785" s="11"/>
      <c r="Y785" s="11"/>
      <c r="Z785" s="118"/>
      <c r="AA785" s="118"/>
      <c r="AB785" s="118"/>
      <c r="AC785" s="52"/>
      <c r="AD785" s="52"/>
      <c r="AE785" s="11"/>
      <c r="AF785" s="118"/>
      <c r="AG785" s="118"/>
      <c r="AH785" s="118"/>
      <c r="AI785" s="11"/>
      <c r="AJ785" s="11"/>
      <c r="AK785" s="11"/>
      <c r="AL785" s="118"/>
      <c r="AM785" s="118"/>
      <c r="AN785" s="118"/>
      <c r="AO785" s="76"/>
      <c r="AP785" s="11"/>
      <c r="AQ785" s="11"/>
      <c r="AR785" s="274"/>
      <c r="AS785" s="274"/>
      <c r="AT785" s="274"/>
      <c r="AU785" s="62"/>
      <c r="AV785" s="48"/>
      <c r="AW785" s="11"/>
      <c r="AX785" s="274"/>
      <c r="AY785" s="274"/>
      <c r="AZ785" s="274"/>
      <c r="BA785" s="11"/>
      <c r="BB785" s="11"/>
      <c r="BC785" s="11"/>
      <c r="BD785" s="274"/>
      <c r="BE785" s="274"/>
      <c r="BF785" s="274"/>
      <c r="BG785" s="11"/>
      <c r="BH785" s="11"/>
      <c r="BI785" s="11"/>
      <c r="BJ785" s="274"/>
      <c r="BK785" s="274"/>
      <c r="BL785" s="274"/>
      <c r="BM785" s="11"/>
      <c r="BN785" s="11"/>
      <c r="BO785" s="11"/>
      <c r="BP785" s="274"/>
      <c r="BQ785" s="11"/>
      <c r="BR785" s="11"/>
      <c r="BS785" s="11"/>
      <c r="BT785" s="11"/>
      <c r="BU785" s="11"/>
      <c r="BV785" s="263">
        <v>781700</v>
      </c>
      <c r="BW785" s="144">
        <f t="shared" si="187"/>
        <v>148523</v>
      </c>
      <c r="BX785" s="113">
        <f t="shared" si="188"/>
        <v>930223</v>
      </c>
      <c r="BY785" s="272" t="s">
        <v>565</v>
      </c>
      <c r="BZ785" s="272" t="s">
        <v>548</v>
      </c>
      <c r="CA785" s="11"/>
      <c r="CB785" s="274"/>
      <c r="CC785" s="274"/>
      <c r="CD785" s="274"/>
      <c r="CE785" s="11"/>
      <c r="CF785" s="11"/>
      <c r="CG785" s="11"/>
      <c r="CH785" s="263">
        <v>828602</v>
      </c>
      <c r="CI785" s="265">
        <f t="shared" si="192"/>
        <v>157434.38</v>
      </c>
      <c r="CJ785" s="263">
        <f t="shared" si="193"/>
        <v>986036.38</v>
      </c>
      <c r="CK785" s="272" t="s">
        <v>565</v>
      </c>
      <c r="CL785" s="272" t="s">
        <v>548</v>
      </c>
      <c r="CM785" s="11"/>
      <c r="CN785" s="274"/>
      <c r="CO785" s="274"/>
      <c r="CP785" s="274"/>
      <c r="CQ785" s="11"/>
      <c r="CR785" s="11"/>
      <c r="CS785" s="11"/>
      <c r="CT785" s="11"/>
      <c r="CU785" s="11"/>
      <c r="CV785" s="11"/>
      <c r="CW785" s="11"/>
      <c r="CX785" s="11"/>
      <c r="CY785" s="11"/>
      <c r="CZ785" s="118"/>
      <c r="DA785" s="118"/>
      <c r="DB785" s="118"/>
      <c r="DC785" s="11"/>
      <c r="DD785" s="11"/>
      <c r="DE785" s="32"/>
      <c r="DF785" s="11"/>
      <c r="DG785" s="11"/>
      <c r="DH785" s="11"/>
      <c r="DI785" s="11"/>
      <c r="DJ785" s="11"/>
      <c r="DK785" s="11"/>
      <c r="DL785" s="11"/>
      <c r="DM785" s="11"/>
      <c r="DN785" s="11"/>
      <c r="DO785" s="11"/>
      <c r="DP785" s="11"/>
      <c r="DQ785" s="11"/>
      <c r="DR785" s="11"/>
      <c r="DS785" s="11"/>
      <c r="DT785" s="11"/>
      <c r="DU785" s="11"/>
      <c r="DV785" s="11"/>
      <c r="DW785" s="11"/>
      <c r="DX785" s="11"/>
      <c r="DY785" s="11"/>
      <c r="DZ785" s="11"/>
      <c r="EA785" s="11"/>
      <c r="EB785" s="11"/>
      <c r="EC785" s="11"/>
      <c r="ED785" s="11"/>
      <c r="EE785" s="11"/>
      <c r="EF785" s="11"/>
      <c r="EG785" s="11"/>
      <c r="EH785" s="11"/>
      <c r="EI785" s="11"/>
      <c r="EJ785" s="11"/>
      <c r="EK785" s="11"/>
      <c r="EL785" s="11"/>
      <c r="EM785" s="11"/>
      <c r="EN785" s="11"/>
      <c r="EO785" s="11"/>
      <c r="EP785" s="11"/>
      <c r="EQ785" s="11"/>
      <c r="ER785" s="11"/>
      <c r="ES785" s="11"/>
      <c r="ET785" s="11"/>
      <c r="EU785" s="11"/>
      <c r="EV785" s="11"/>
      <c r="EW785" s="11"/>
      <c r="EX785" s="11"/>
      <c r="EY785" s="11"/>
      <c r="EZ785" s="11"/>
      <c r="FA785" s="11"/>
      <c r="FB785" s="11"/>
      <c r="FC785" s="11"/>
      <c r="FD785" s="11"/>
      <c r="FE785" s="11"/>
      <c r="FF785" s="11"/>
      <c r="FG785" s="11"/>
      <c r="FH785" s="39">
        <f t="shared" si="189"/>
        <v>1916259.38</v>
      </c>
      <c r="FI785" s="33">
        <f t="shared" si="190"/>
        <v>2</v>
      </c>
      <c r="FJ785" s="84">
        <f t="shared" si="191"/>
        <v>958129.69</v>
      </c>
    </row>
    <row r="786" spans="1:166" ht="40.5" x14ac:dyDescent="0.25">
      <c r="A786" s="79" t="e">
        <f>#REF!</f>
        <v>#REF!</v>
      </c>
      <c r="B786" s="75" t="e">
        <f>#REF!</f>
        <v>#REF!</v>
      </c>
      <c r="C786" s="75" t="e">
        <f>#REF!</f>
        <v>#REF!</v>
      </c>
      <c r="D786" s="75" t="e">
        <f>#REF!</f>
        <v>#REF!</v>
      </c>
      <c r="E786" s="30">
        <v>1</v>
      </c>
      <c r="F786" s="238">
        <v>0</v>
      </c>
      <c r="G786" s="241">
        <v>0</v>
      </c>
      <c r="H786" s="249">
        <v>0</v>
      </c>
      <c r="I786" s="249">
        <v>0</v>
      </c>
      <c r="J786" s="249">
        <v>0</v>
      </c>
      <c r="K786" s="249">
        <v>0</v>
      </c>
      <c r="L786" s="274"/>
      <c r="M786" s="274"/>
      <c r="N786" s="246"/>
      <c r="O786" s="118"/>
      <c r="P786" s="118"/>
      <c r="Q786" s="52"/>
      <c r="R786" s="52"/>
      <c r="S786" s="5"/>
      <c r="T786" s="118"/>
      <c r="U786" s="118"/>
      <c r="V786" s="118"/>
      <c r="W786" s="11"/>
      <c r="X786" s="11"/>
      <c r="Y786" s="11"/>
      <c r="Z786" s="118"/>
      <c r="AA786" s="118"/>
      <c r="AB786" s="118"/>
      <c r="AC786" s="52"/>
      <c r="AD786" s="52"/>
      <c r="AE786" s="11"/>
      <c r="AF786" s="118"/>
      <c r="AG786" s="118"/>
      <c r="AH786" s="118"/>
      <c r="AI786" s="11"/>
      <c r="AJ786" s="11"/>
      <c r="AK786" s="11"/>
      <c r="AL786" s="118"/>
      <c r="AM786" s="118"/>
      <c r="AN786" s="118"/>
      <c r="AO786" s="76"/>
      <c r="AP786" s="11"/>
      <c r="AQ786" s="11"/>
      <c r="AR786" s="274"/>
      <c r="AS786" s="274"/>
      <c r="AT786" s="274"/>
      <c r="AU786" s="62"/>
      <c r="AV786" s="48"/>
      <c r="AW786" s="11"/>
      <c r="AX786" s="274"/>
      <c r="AY786" s="274"/>
      <c r="AZ786" s="274"/>
      <c r="BA786" s="11"/>
      <c r="BB786" s="11"/>
      <c r="BC786" s="11"/>
      <c r="BD786" s="274"/>
      <c r="BE786" s="274"/>
      <c r="BF786" s="274"/>
      <c r="BG786" s="11"/>
      <c r="BH786" s="11"/>
      <c r="BI786" s="11"/>
      <c r="BJ786" s="274"/>
      <c r="BK786" s="274"/>
      <c r="BL786" s="274"/>
      <c r="BM786" s="11"/>
      <c r="BN786" s="11"/>
      <c r="BO786" s="11"/>
      <c r="BP786" s="274"/>
      <c r="BQ786" s="11"/>
      <c r="BR786" s="11"/>
      <c r="BS786" s="11"/>
      <c r="BT786" s="11"/>
      <c r="BU786" s="11"/>
      <c r="BV786" s="268">
        <v>3679200</v>
      </c>
      <c r="BW786" s="144">
        <f t="shared" si="187"/>
        <v>699048</v>
      </c>
      <c r="BX786" s="113">
        <f t="shared" si="188"/>
        <v>4378248</v>
      </c>
      <c r="BY786" s="272" t="s">
        <v>564</v>
      </c>
      <c r="BZ786" s="272" t="s">
        <v>548</v>
      </c>
      <c r="CA786" s="11"/>
      <c r="CB786" s="274"/>
      <c r="CC786" s="274"/>
      <c r="CD786" s="274"/>
      <c r="CE786" s="11"/>
      <c r="CF786" s="11"/>
      <c r="CG786" s="11"/>
      <c r="CH786" s="268">
        <v>3715992</v>
      </c>
      <c r="CI786" s="265">
        <f t="shared" si="192"/>
        <v>706038.48</v>
      </c>
      <c r="CJ786" s="263">
        <f t="shared" si="193"/>
        <v>4422030.4800000004</v>
      </c>
      <c r="CK786" s="272" t="s">
        <v>564</v>
      </c>
      <c r="CL786" s="272" t="s">
        <v>548</v>
      </c>
      <c r="CM786" s="11"/>
      <c r="CN786" s="274"/>
      <c r="CO786" s="274"/>
      <c r="CP786" s="274"/>
      <c r="CQ786" s="11"/>
      <c r="CR786" s="11"/>
      <c r="CS786" s="11"/>
      <c r="CT786" s="11"/>
      <c r="CU786" s="11"/>
      <c r="CV786" s="11"/>
      <c r="CW786" s="11"/>
      <c r="CX786" s="11"/>
      <c r="CY786" s="11"/>
      <c r="CZ786" s="118"/>
      <c r="DA786" s="118"/>
      <c r="DB786" s="118"/>
      <c r="DC786" s="11"/>
      <c r="DD786" s="11"/>
      <c r="DE786" s="32"/>
      <c r="DF786" s="11"/>
      <c r="DG786" s="11"/>
      <c r="DH786" s="11"/>
      <c r="DI786" s="11"/>
      <c r="DJ786" s="11"/>
      <c r="DK786" s="11"/>
      <c r="DL786" s="11"/>
      <c r="DM786" s="11"/>
      <c r="DN786" s="11"/>
      <c r="DO786" s="11"/>
      <c r="DP786" s="11"/>
      <c r="DQ786" s="11"/>
      <c r="DR786" s="11"/>
      <c r="DS786" s="11"/>
      <c r="DT786" s="11"/>
      <c r="DU786" s="11"/>
      <c r="DV786" s="11"/>
      <c r="DW786" s="11"/>
      <c r="DX786" s="11"/>
      <c r="DY786" s="11"/>
      <c r="DZ786" s="11"/>
      <c r="EA786" s="11"/>
      <c r="EB786" s="11"/>
      <c r="EC786" s="11"/>
      <c r="ED786" s="11"/>
      <c r="EE786" s="11"/>
      <c r="EF786" s="11"/>
      <c r="EG786" s="11"/>
      <c r="EH786" s="11"/>
      <c r="EI786" s="11"/>
      <c r="EJ786" s="11"/>
      <c r="EK786" s="11"/>
      <c r="EL786" s="11"/>
      <c r="EM786" s="11"/>
      <c r="EN786" s="11"/>
      <c r="EO786" s="11"/>
      <c r="EP786" s="11"/>
      <c r="EQ786" s="11"/>
      <c r="ER786" s="11"/>
      <c r="ES786" s="11"/>
      <c r="ET786" s="11"/>
      <c r="EU786" s="11"/>
      <c r="EV786" s="11"/>
      <c r="EW786" s="11"/>
      <c r="EX786" s="11"/>
      <c r="EY786" s="11"/>
      <c r="EZ786" s="11"/>
      <c r="FA786" s="11"/>
      <c r="FB786" s="11"/>
      <c r="FC786" s="11"/>
      <c r="FD786" s="11"/>
      <c r="FE786" s="11"/>
      <c r="FF786" s="11"/>
      <c r="FG786" s="11"/>
      <c r="FH786" s="39">
        <f t="shared" si="189"/>
        <v>8800278.4800000004</v>
      </c>
      <c r="FI786" s="33">
        <f t="shared" si="190"/>
        <v>2</v>
      </c>
      <c r="FJ786" s="84">
        <f t="shared" si="191"/>
        <v>4400139.24</v>
      </c>
    </row>
    <row r="787" spans="1:166" ht="40.5" x14ac:dyDescent="0.25">
      <c r="A787" s="79" t="e">
        <f>#REF!</f>
        <v>#REF!</v>
      </c>
      <c r="B787" s="75" t="e">
        <f>#REF!</f>
        <v>#REF!</v>
      </c>
      <c r="C787" s="75" t="e">
        <f>#REF!</f>
        <v>#REF!</v>
      </c>
      <c r="D787" s="75" t="e">
        <f>#REF!</f>
        <v>#REF!</v>
      </c>
      <c r="E787" s="30">
        <v>1</v>
      </c>
      <c r="F787" s="238">
        <v>0</v>
      </c>
      <c r="G787" s="241">
        <v>0</v>
      </c>
      <c r="H787" s="249">
        <v>0</v>
      </c>
      <c r="I787" s="249">
        <v>0</v>
      </c>
      <c r="J787" s="249">
        <v>0</v>
      </c>
      <c r="K787" s="249">
        <v>0</v>
      </c>
      <c r="L787" s="274"/>
      <c r="M787" s="274"/>
      <c r="N787" s="246"/>
      <c r="O787" s="118"/>
      <c r="P787" s="118"/>
      <c r="Q787" s="52"/>
      <c r="R787" s="52"/>
      <c r="S787" s="5"/>
      <c r="T787" s="118"/>
      <c r="U787" s="118"/>
      <c r="V787" s="118"/>
      <c r="W787" s="11"/>
      <c r="X787" s="11"/>
      <c r="Y787" s="11"/>
      <c r="Z787" s="118"/>
      <c r="AA787" s="118"/>
      <c r="AB787" s="118"/>
      <c r="AC787" s="52"/>
      <c r="AD787" s="52"/>
      <c r="AE787" s="11"/>
      <c r="AF787" s="118"/>
      <c r="AG787" s="118"/>
      <c r="AH787" s="118"/>
      <c r="AI787" s="11"/>
      <c r="AJ787" s="11"/>
      <c r="AK787" s="11"/>
      <c r="AL787" s="118"/>
      <c r="AM787" s="118"/>
      <c r="AN787" s="118"/>
      <c r="AO787" s="76"/>
      <c r="AP787" s="11"/>
      <c r="AQ787" s="11"/>
      <c r="AR787" s="274"/>
      <c r="AS787" s="274"/>
      <c r="AT787" s="274"/>
      <c r="AU787" s="62"/>
      <c r="AV787" s="48"/>
      <c r="AW787" s="11"/>
      <c r="AX787" s="274"/>
      <c r="AY787" s="274"/>
      <c r="AZ787" s="274"/>
      <c r="BA787" s="11"/>
      <c r="BB787" s="11"/>
      <c r="BC787" s="11"/>
      <c r="BD787" s="274"/>
      <c r="BE787" s="274"/>
      <c r="BF787" s="274"/>
      <c r="BG787" s="11"/>
      <c r="BH787" s="11"/>
      <c r="BI787" s="11"/>
      <c r="BJ787" s="274"/>
      <c r="BK787" s="274"/>
      <c r="BL787" s="274"/>
      <c r="BM787" s="11"/>
      <c r="BN787" s="11"/>
      <c r="BO787" s="11"/>
      <c r="BP787" s="274"/>
      <c r="BQ787" s="11"/>
      <c r="BR787" s="11"/>
      <c r="BS787" s="11"/>
      <c r="BT787" s="11"/>
      <c r="BU787" s="11"/>
      <c r="BV787" s="268">
        <v>2803200</v>
      </c>
      <c r="BW787" s="144">
        <f t="shared" si="187"/>
        <v>532608</v>
      </c>
      <c r="BX787" s="113">
        <f t="shared" si="188"/>
        <v>3335808</v>
      </c>
      <c r="BY787" s="272" t="s">
        <v>564</v>
      </c>
      <c r="BZ787" s="272" t="s">
        <v>548</v>
      </c>
      <c r="CA787" s="11"/>
      <c r="CB787" s="274"/>
      <c r="CC787" s="274"/>
      <c r="CD787" s="274"/>
      <c r="CE787" s="11"/>
      <c r="CF787" s="11"/>
      <c r="CG787" s="11"/>
      <c r="CH787" s="268">
        <v>2971392</v>
      </c>
      <c r="CI787" s="265">
        <f t="shared" si="192"/>
        <v>564564.47999999998</v>
      </c>
      <c r="CJ787" s="263">
        <f t="shared" si="193"/>
        <v>3535956.48</v>
      </c>
      <c r="CK787" s="272" t="s">
        <v>564</v>
      </c>
      <c r="CL787" s="272" t="s">
        <v>548</v>
      </c>
      <c r="CM787" s="11"/>
      <c r="CN787" s="274"/>
      <c r="CO787" s="274"/>
      <c r="CP787" s="274"/>
      <c r="CQ787" s="11"/>
      <c r="CR787" s="11"/>
      <c r="CS787" s="11"/>
      <c r="CT787" s="11"/>
      <c r="CU787" s="11"/>
      <c r="CV787" s="11"/>
      <c r="CW787" s="11"/>
      <c r="CX787" s="11"/>
      <c r="CY787" s="11"/>
      <c r="CZ787" s="118"/>
      <c r="DA787" s="118"/>
      <c r="DB787" s="118"/>
      <c r="DC787" s="11"/>
      <c r="DD787" s="11"/>
      <c r="DE787" s="32"/>
      <c r="DF787" s="11"/>
      <c r="DG787" s="11"/>
      <c r="DH787" s="11"/>
      <c r="DI787" s="11"/>
      <c r="DJ787" s="11"/>
      <c r="DK787" s="11"/>
      <c r="DL787" s="11"/>
      <c r="DM787" s="11"/>
      <c r="DN787" s="11"/>
      <c r="DO787" s="11"/>
      <c r="DP787" s="11"/>
      <c r="DQ787" s="11"/>
      <c r="DR787" s="11"/>
      <c r="DS787" s="11"/>
      <c r="DT787" s="11"/>
      <c r="DU787" s="11"/>
      <c r="DV787" s="11"/>
      <c r="DW787" s="11"/>
      <c r="DX787" s="11"/>
      <c r="DY787" s="11"/>
      <c r="DZ787" s="11"/>
      <c r="EA787" s="11"/>
      <c r="EB787" s="11"/>
      <c r="EC787" s="11"/>
      <c r="ED787" s="11"/>
      <c r="EE787" s="11"/>
      <c r="EF787" s="11"/>
      <c r="EG787" s="11"/>
      <c r="EH787" s="11"/>
      <c r="EI787" s="11"/>
      <c r="EJ787" s="11"/>
      <c r="EK787" s="11"/>
      <c r="EL787" s="11"/>
      <c r="EM787" s="11"/>
      <c r="EN787" s="11"/>
      <c r="EO787" s="11"/>
      <c r="EP787" s="11"/>
      <c r="EQ787" s="11"/>
      <c r="ER787" s="11"/>
      <c r="ES787" s="11"/>
      <c r="ET787" s="11"/>
      <c r="EU787" s="11"/>
      <c r="EV787" s="11"/>
      <c r="EW787" s="11"/>
      <c r="EX787" s="11"/>
      <c r="EY787" s="11"/>
      <c r="EZ787" s="11"/>
      <c r="FA787" s="11"/>
      <c r="FB787" s="11"/>
      <c r="FC787" s="11"/>
      <c r="FD787" s="11"/>
      <c r="FE787" s="11"/>
      <c r="FF787" s="11"/>
      <c r="FG787" s="11"/>
      <c r="FH787" s="39">
        <f t="shared" si="189"/>
        <v>6871764.4800000004</v>
      </c>
      <c r="FI787" s="33">
        <f t="shared" si="190"/>
        <v>2</v>
      </c>
      <c r="FJ787" s="84">
        <f t="shared" si="191"/>
        <v>3435882.24</v>
      </c>
    </row>
    <row r="788" spans="1:166" ht="40.5" x14ac:dyDescent="0.25">
      <c r="A788" s="79" t="e">
        <f>#REF!</f>
        <v>#REF!</v>
      </c>
      <c r="B788" s="75" t="e">
        <f>#REF!</f>
        <v>#REF!</v>
      </c>
      <c r="C788" s="75" t="e">
        <f>#REF!</f>
        <v>#REF!</v>
      </c>
      <c r="D788" s="75" t="e">
        <f>#REF!</f>
        <v>#REF!</v>
      </c>
      <c r="E788" s="30">
        <v>1</v>
      </c>
      <c r="F788" s="238">
        <v>0</v>
      </c>
      <c r="G788" s="241">
        <v>0</v>
      </c>
      <c r="H788" s="249">
        <v>0</v>
      </c>
      <c r="I788" s="249">
        <v>0</v>
      </c>
      <c r="J788" s="249">
        <v>0</v>
      </c>
      <c r="K788" s="249">
        <v>0</v>
      </c>
      <c r="L788" s="274"/>
      <c r="M788" s="274"/>
      <c r="N788" s="246"/>
      <c r="O788" s="118"/>
      <c r="P788" s="118"/>
      <c r="Q788" s="52"/>
      <c r="R788" s="52"/>
      <c r="S788" s="5"/>
      <c r="T788" s="118"/>
      <c r="U788" s="118"/>
      <c r="V788" s="118"/>
      <c r="W788" s="11"/>
      <c r="X788" s="11"/>
      <c r="Y788" s="11"/>
      <c r="Z788" s="118"/>
      <c r="AA788" s="118"/>
      <c r="AB788" s="118"/>
      <c r="AC788" s="52"/>
      <c r="AD788" s="52"/>
      <c r="AE788" s="11"/>
      <c r="AF788" s="118"/>
      <c r="AG788" s="118"/>
      <c r="AH788" s="118"/>
      <c r="AI788" s="11"/>
      <c r="AJ788" s="11"/>
      <c r="AK788" s="11"/>
      <c r="AL788" s="118"/>
      <c r="AM788" s="118"/>
      <c r="AN788" s="118"/>
      <c r="AO788" s="76"/>
      <c r="AP788" s="11"/>
      <c r="AQ788" s="11"/>
      <c r="AR788" s="274"/>
      <c r="AS788" s="274"/>
      <c r="AT788" s="274"/>
      <c r="AU788" s="62"/>
      <c r="AV788" s="48"/>
      <c r="AW788" s="11"/>
      <c r="AX788" s="274"/>
      <c r="AY788" s="274"/>
      <c r="AZ788" s="274"/>
      <c r="BA788" s="11"/>
      <c r="BB788" s="11"/>
      <c r="BC788" s="11"/>
      <c r="BD788" s="274"/>
      <c r="BE788" s="274"/>
      <c r="BF788" s="274"/>
      <c r="BG788" s="11"/>
      <c r="BH788" s="11"/>
      <c r="BI788" s="11"/>
      <c r="BJ788" s="274"/>
      <c r="BK788" s="274"/>
      <c r="BL788" s="274"/>
      <c r="BM788" s="11"/>
      <c r="BN788" s="11"/>
      <c r="BO788" s="11"/>
      <c r="BP788" s="274"/>
      <c r="BQ788" s="11"/>
      <c r="BR788" s="11"/>
      <c r="BS788" s="11"/>
      <c r="BT788" s="11"/>
      <c r="BU788" s="11"/>
      <c r="BV788" s="268">
        <v>3679200</v>
      </c>
      <c r="BW788" s="144">
        <f t="shared" si="187"/>
        <v>699048</v>
      </c>
      <c r="BX788" s="113">
        <f t="shared" si="188"/>
        <v>4378248</v>
      </c>
      <c r="BY788" s="272" t="s">
        <v>564</v>
      </c>
      <c r="BZ788" s="272" t="s">
        <v>548</v>
      </c>
      <c r="CA788" s="11"/>
      <c r="CB788" s="274"/>
      <c r="CC788" s="274"/>
      <c r="CD788" s="274"/>
      <c r="CE788" s="11"/>
      <c r="CF788" s="11"/>
      <c r="CG788" s="11"/>
      <c r="CH788" s="268">
        <v>3936744</v>
      </c>
      <c r="CI788" s="265">
        <f t="shared" si="192"/>
        <v>747981.36</v>
      </c>
      <c r="CJ788" s="263">
        <f t="shared" si="193"/>
        <v>4684725.3600000003</v>
      </c>
      <c r="CK788" s="272" t="s">
        <v>564</v>
      </c>
      <c r="CL788" s="272" t="s">
        <v>548</v>
      </c>
      <c r="CM788" s="11"/>
      <c r="CN788" s="274"/>
      <c r="CO788" s="274"/>
      <c r="CP788" s="274"/>
      <c r="CQ788" s="11"/>
      <c r="CR788" s="11"/>
      <c r="CS788" s="11"/>
      <c r="CT788" s="11"/>
      <c r="CU788" s="11"/>
      <c r="CV788" s="11"/>
      <c r="CW788" s="11"/>
      <c r="CX788" s="11"/>
      <c r="CY788" s="11"/>
      <c r="CZ788" s="118"/>
      <c r="DA788" s="118"/>
      <c r="DB788" s="118"/>
      <c r="DC788" s="11"/>
      <c r="DD788" s="11"/>
      <c r="DE788" s="32"/>
      <c r="DF788" s="11"/>
      <c r="DG788" s="11"/>
      <c r="DH788" s="11"/>
      <c r="DI788" s="11"/>
      <c r="DJ788" s="11"/>
      <c r="DK788" s="11"/>
      <c r="DL788" s="11"/>
      <c r="DM788" s="11"/>
      <c r="DN788" s="11"/>
      <c r="DO788" s="11"/>
      <c r="DP788" s="11"/>
      <c r="DQ788" s="11"/>
      <c r="DR788" s="11"/>
      <c r="DS788" s="11"/>
      <c r="DT788" s="11"/>
      <c r="DU788" s="11"/>
      <c r="DV788" s="11"/>
      <c r="DW788" s="11"/>
      <c r="DX788" s="11"/>
      <c r="DY788" s="11"/>
      <c r="DZ788" s="11"/>
      <c r="EA788" s="11"/>
      <c r="EB788" s="11"/>
      <c r="EC788" s="11"/>
      <c r="ED788" s="11"/>
      <c r="EE788" s="11"/>
      <c r="EF788" s="11"/>
      <c r="EG788" s="11"/>
      <c r="EH788" s="11"/>
      <c r="EI788" s="11"/>
      <c r="EJ788" s="11"/>
      <c r="EK788" s="11"/>
      <c r="EL788" s="11"/>
      <c r="EM788" s="11"/>
      <c r="EN788" s="11"/>
      <c r="EO788" s="11"/>
      <c r="EP788" s="11"/>
      <c r="EQ788" s="11"/>
      <c r="ER788" s="11"/>
      <c r="ES788" s="11"/>
      <c r="ET788" s="11"/>
      <c r="EU788" s="11"/>
      <c r="EV788" s="11"/>
      <c r="EW788" s="11"/>
      <c r="EX788" s="11"/>
      <c r="EY788" s="11"/>
      <c r="EZ788" s="11"/>
      <c r="FA788" s="11"/>
      <c r="FB788" s="11"/>
      <c r="FC788" s="11"/>
      <c r="FD788" s="11"/>
      <c r="FE788" s="11"/>
      <c r="FF788" s="11"/>
      <c r="FG788" s="11"/>
      <c r="FH788" s="39">
        <f t="shared" si="189"/>
        <v>9062973.3599999994</v>
      </c>
      <c r="FI788" s="33">
        <f t="shared" si="190"/>
        <v>2</v>
      </c>
      <c r="FJ788" s="84">
        <f t="shared" si="191"/>
        <v>4531486.68</v>
      </c>
    </row>
    <row r="789" spans="1:166" ht="40.5" x14ac:dyDescent="0.25">
      <c r="A789" s="79" t="e">
        <f>#REF!</f>
        <v>#REF!</v>
      </c>
      <c r="B789" s="75" t="e">
        <f>#REF!</f>
        <v>#REF!</v>
      </c>
      <c r="C789" s="75" t="e">
        <f>#REF!</f>
        <v>#REF!</v>
      </c>
      <c r="D789" s="75" t="e">
        <f>#REF!</f>
        <v>#REF!</v>
      </c>
      <c r="E789" s="30">
        <v>1</v>
      </c>
      <c r="F789" s="238">
        <v>0</v>
      </c>
      <c r="G789" s="241">
        <v>0</v>
      </c>
      <c r="H789" s="249">
        <v>0</v>
      </c>
      <c r="I789" s="249">
        <v>0</v>
      </c>
      <c r="J789" s="249">
        <v>0</v>
      </c>
      <c r="K789" s="249">
        <v>0</v>
      </c>
      <c r="L789" s="274"/>
      <c r="M789" s="274"/>
      <c r="N789" s="246"/>
      <c r="O789" s="118"/>
      <c r="P789" s="118"/>
      <c r="Q789" s="52"/>
      <c r="R789" s="52"/>
      <c r="S789" s="5"/>
      <c r="T789" s="118"/>
      <c r="U789" s="118"/>
      <c r="V789" s="118"/>
      <c r="W789" s="11"/>
      <c r="X789" s="11"/>
      <c r="Y789" s="11"/>
      <c r="Z789" s="118"/>
      <c r="AA789" s="118"/>
      <c r="AB789" s="118"/>
      <c r="AC789" s="52"/>
      <c r="AD789" s="52"/>
      <c r="AE789" s="11"/>
      <c r="AF789" s="118"/>
      <c r="AG789" s="118"/>
      <c r="AH789" s="118"/>
      <c r="AI789" s="11"/>
      <c r="AJ789" s="11"/>
      <c r="AK789" s="11"/>
      <c r="AL789" s="118"/>
      <c r="AM789" s="118"/>
      <c r="AN789" s="118"/>
      <c r="AO789" s="76"/>
      <c r="AP789" s="11"/>
      <c r="AQ789" s="11"/>
      <c r="AR789" s="274"/>
      <c r="AS789" s="274"/>
      <c r="AT789" s="274"/>
      <c r="AU789" s="62"/>
      <c r="AV789" s="48"/>
      <c r="AW789" s="11"/>
      <c r="AX789" s="274"/>
      <c r="AY789" s="274"/>
      <c r="AZ789" s="274"/>
      <c r="BA789" s="11"/>
      <c r="BB789" s="11"/>
      <c r="BC789" s="11"/>
      <c r="BD789" s="274"/>
      <c r="BE789" s="274"/>
      <c r="BF789" s="274"/>
      <c r="BG789" s="11"/>
      <c r="BH789" s="11"/>
      <c r="BI789" s="11"/>
      <c r="BJ789" s="274"/>
      <c r="BK789" s="274"/>
      <c r="BL789" s="274"/>
      <c r="BM789" s="11"/>
      <c r="BN789" s="11"/>
      <c r="BO789" s="11"/>
      <c r="BP789" s="274"/>
      <c r="BQ789" s="11"/>
      <c r="BR789" s="11"/>
      <c r="BS789" s="11"/>
      <c r="BT789" s="11"/>
      <c r="BU789" s="11"/>
      <c r="BV789" s="268">
        <f>+(1722800/250)*200</f>
        <v>1378240</v>
      </c>
      <c r="BW789" s="144">
        <f t="shared" si="187"/>
        <v>261865.60000000001</v>
      </c>
      <c r="BX789" s="113">
        <f t="shared" si="188"/>
        <v>1640105.6</v>
      </c>
      <c r="BY789" s="272" t="s">
        <v>312</v>
      </c>
      <c r="BZ789" s="272" t="s">
        <v>548</v>
      </c>
      <c r="CA789" s="11"/>
      <c r="CB789" s="274"/>
      <c r="CC789" s="274"/>
      <c r="CD789" s="274"/>
      <c r="CE789" s="11"/>
      <c r="CF789" s="11"/>
      <c r="CG789" s="11"/>
      <c r="CH789" s="268">
        <f>+(1791712/250)*200</f>
        <v>1433369.6000000001</v>
      </c>
      <c r="CI789" s="265">
        <f t="shared" si="192"/>
        <v>272340.22400000005</v>
      </c>
      <c r="CJ789" s="263">
        <f t="shared" si="193"/>
        <v>1705709.824</v>
      </c>
      <c r="CK789" s="272" t="s">
        <v>312</v>
      </c>
      <c r="CL789" s="272" t="s">
        <v>548</v>
      </c>
      <c r="CM789" s="11"/>
      <c r="CN789" s="274"/>
      <c r="CO789" s="274"/>
      <c r="CP789" s="274"/>
      <c r="CQ789" s="11"/>
      <c r="CR789" s="11"/>
      <c r="CS789" s="11"/>
      <c r="CT789" s="11"/>
      <c r="CU789" s="11"/>
      <c r="CV789" s="11"/>
      <c r="CW789" s="11"/>
      <c r="CX789" s="11"/>
      <c r="CY789" s="11"/>
      <c r="CZ789" s="118"/>
      <c r="DA789" s="118"/>
      <c r="DB789" s="118"/>
      <c r="DC789" s="11"/>
      <c r="DD789" s="11"/>
      <c r="DE789" s="32"/>
      <c r="DF789" s="11"/>
      <c r="DG789" s="11"/>
      <c r="DH789" s="11"/>
      <c r="DI789" s="11"/>
      <c r="DJ789" s="11"/>
      <c r="DK789" s="11"/>
      <c r="DL789" s="11"/>
      <c r="DM789" s="11"/>
      <c r="DN789" s="11"/>
      <c r="DO789" s="11"/>
      <c r="DP789" s="11"/>
      <c r="DQ789" s="11"/>
      <c r="DR789" s="11"/>
      <c r="DS789" s="11"/>
      <c r="DT789" s="11"/>
      <c r="DU789" s="11"/>
      <c r="DV789" s="11"/>
      <c r="DW789" s="11"/>
      <c r="DX789" s="11"/>
      <c r="DY789" s="11"/>
      <c r="DZ789" s="11"/>
      <c r="EA789" s="11"/>
      <c r="EB789" s="11"/>
      <c r="EC789" s="11"/>
      <c r="ED789" s="11"/>
      <c r="EE789" s="11"/>
      <c r="EF789" s="11"/>
      <c r="EG789" s="11"/>
      <c r="EH789" s="11"/>
      <c r="EI789" s="11"/>
      <c r="EJ789" s="11"/>
      <c r="EK789" s="11"/>
      <c r="EL789" s="11"/>
      <c r="EM789" s="11"/>
      <c r="EN789" s="11"/>
      <c r="EO789" s="11"/>
      <c r="EP789" s="11"/>
      <c r="EQ789" s="11"/>
      <c r="ER789" s="11"/>
      <c r="ES789" s="11"/>
      <c r="ET789" s="11"/>
      <c r="EU789" s="11"/>
      <c r="EV789" s="11"/>
      <c r="EW789" s="11"/>
      <c r="EX789" s="11"/>
      <c r="EY789" s="11"/>
      <c r="EZ789" s="11"/>
      <c r="FA789" s="11"/>
      <c r="FB789" s="11"/>
      <c r="FC789" s="11"/>
      <c r="FD789" s="11"/>
      <c r="FE789" s="11"/>
      <c r="FF789" s="11"/>
      <c r="FG789" s="11"/>
      <c r="FH789" s="39">
        <f t="shared" si="189"/>
        <v>3345815.4240000001</v>
      </c>
      <c r="FI789" s="33">
        <f t="shared" si="190"/>
        <v>2</v>
      </c>
      <c r="FJ789" s="84">
        <f t="shared" si="191"/>
        <v>1672907.7120000001</v>
      </c>
    </row>
    <row r="790" spans="1:166" ht="40.5" x14ac:dyDescent="0.25">
      <c r="A790" s="79" t="e">
        <f>#REF!</f>
        <v>#REF!</v>
      </c>
      <c r="B790" s="75" t="e">
        <f>#REF!</f>
        <v>#REF!</v>
      </c>
      <c r="C790" s="75" t="e">
        <f>#REF!</f>
        <v>#REF!</v>
      </c>
      <c r="D790" s="75" t="e">
        <f>#REF!</f>
        <v>#REF!</v>
      </c>
      <c r="E790" s="30">
        <v>1</v>
      </c>
      <c r="F790" s="238">
        <v>0</v>
      </c>
      <c r="G790" s="241">
        <v>0</v>
      </c>
      <c r="H790" s="249">
        <v>0</v>
      </c>
      <c r="I790" s="249">
        <v>0</v>
      </c>
      <c r="J790" s="249">
        <v>0</v>
      </c>
      <c r="K790" s="249">
        <v>0</v>
      </c>
      <c r="L790" s="274"/>
      <c r="M790" s="274"/>
      <c r="N790" s="246"/>
      <c r="O790" s="118"/>
      <c r="P790" s="118"/>
      <c r="Q790" s="52"/>
      <c r="R790" s="52"/>
      <c r="S790" s="5"/>
      <c r="T790" s="118"/>
      <c r="U790" s="118"/>
      <c r="V790" s="118"/>
      <c r="W790" s="11"/>
      <c r="X790" s="11"/>
      <c r="Y790" s="11"/>
      <c r="Z790" s="118"/>
      <c r="AA790" s="118"/>
      <c r="AB790" s="118"/>
      <c r="AC790" s="52"/>
      <c r="AD790" s="52"/>
      <c r="AE790" s="11"/>
      <c r="AF790" s="118"/>
      <c r="AG790" s="118"/>
      <c r="AH790" s="118"/>
      <c r="AI790" s="11"/>
      <c r="AJ790" s="11"/>
      <c r="AK790" s="11"/>
      <c r="AL790" s="118"/>
      <c r="AM790" s="118"/>
      <c r="AN790" s="118"/>
      <c r="AO790" s="76"/>
      <c r="AP790" s="11"/>
      <c r="AQ790" s="11"/>
      <c r="AR790" s="274"/>
      <c r="AS790" s="274"/>
      <c r="AT790" s="274"/>
      <c r="AU790" s="62"/>
      <c r="AV790" s="48"/>
      <c r="AW790" s="11"/>
      <c r="AX790" s="274"/>
      <c r="AY790" s="274"/>
      <c r="AZ790" s="274"/>
      <c r="BA790" s="11"/>
      <c r="BB790" s="11"/>
      <c r="BC790" s="11"/>
      <c r="BD790" s="274"/>
      <c r="BE790" s="274"/>
      <c r="BF790" s="274"/>
      <c r="BG790" s="11"/>
      <c r="BH790" s="11"/>
      <c r="BI790" s="11"/>
      <c r="BJ790" s="274"/>
      <c r="BK790" s="274"/>
      <c r="BL790" s="274"/>
      <c r="BM790" s="11"/>
      <c r="BN790" s="11"/>
      <c r="BO790" s="11"/>
      <c r="BP790" s="274"/>
      <c r="BQ790" s="11"/>
      <c r="BR790" s="11"/>
      <c r="BS790" s="11"/>
      <c r="BT790" s="11"/>
      <c r="BU790" s="11"/>
      <c r="BV790" s="268">
        <v>2248400</v>
      </c>
      <c r="BW790" s="144">
        <f t="shared" si="187"/>
        <v>427196</v>
      </c>
      <c r="BX790" s="113">
        <f t="shared" si="188"/>
        <v>2675596</v>
      </c>
      <c r="BY790" s="272" t="s">
        <v>564</v>
      </c>
      <c r="BZ790" s="272" t="s">
        <v>548</v>
      </c>
      <c r="CA790" s="11"/>
      <c r="CB790" s="274"/>
      <c r="CC790" s="274"/>
      <c r="CD790" s="274"/>
      <c r="CE790" s="11"/>
      <c r="CF790" s="11"/>
      <c r="CG790" s="11"/>
      <c r="CH790" s="268">
        <v>2405788</v>
      </c>
      <c r="CI790" s="265">
        <f t="shared" si="192"/>
        <v>457099.72000000003</v>
      </c>
      <c r="CJ790" s="263">
        <f t="shared" si="193"/>
        <v>2862887.72</v>
      </c>
      <c r="CK790" s="272" t="s">
        <v>564</v>
      </c>
      <c r="CL790" s="272" t="s">
        <v>548</v>
      </c>
      <c r="CM790" s="11"/>
      <c r="CN790" s="274"/>
      <c r="CO790" s="274"/>
      <c r="CP790" s="274"/>
      <c r="CQ790" s="11"/>
      <c r="CR790" s="11"/>
      <c r="CS790" s="11"/>
      <c r="CT790" s="11"/>
      <c r="CU790" s="11"/>
      <c r="CV790" s="11"/>
      <c r="CW790" s="11"/>
      <c r="CX790" s="11"/>
      <c r="CY790" s="11"/>
      <c r="CZ790" s="118"/>
      <c r="DA790" s="118"/>
      <c r="DB790" s="118"/>
      <c r="DC790" s="11"/>
      <c r="DD790" s="11"/>
      <c r="DE790" s="32"/>
      <c r="DF790" s="11"/>
      <c r="DG790" s="11"/>
      <c r="DH790" s="11"/>
      <c r="DI790" s="11"/>
      <c r="DJ790" s="11"/>
      <c r="DK790" s="11"/>
      <c r="DL790" s="11"/>
      <c r="DM790" s="11"/>
      <c r="DN790" s="11"/>
      <c r="DO790" s="11"/>
      <c r="DP790" s="11"/>
      <c r="DQ790" s="11"/>
      <c r="DR790" s="11"/>
      <c r="DS790" s="11"/>
      <c r="DT790" s="11"/>
      <c r="DU790" s="11"/>
      <c r="DV790" s="11"/>
      <c r="DW790" s="11"/>
      <c r="DX790" s="11"/>
      <c r="DY790" s="11"/>
      <c r="DZ790" s="11"/>
      <c r="EA790" s="11"/>
      <c r="EB790" s="11"/>
      <c r="EC790" s="11"/>
      <c r="ED790" s="11"/>
      <c r="EE790" s="11"/>
      <c r="EF790" s="11"/>
      <c r="EG790" s="11"/>
      <c r="EH790" s="11"/>
      <c r="EI790" s="11"/>
      <c r="EJ790" s="11"/>
      <c r="EK790" s="11"/>
      <c r="EL790" s="11"/>
      <c r="EM790" s="11"/>
      <c r="EN790" s="11"/>
      <c r="EO790" s="11"/>
      <c r="EP790" s="11"/>
      <c r="EQ790" s="11"/>
      <c r="ER790" s="11"/>
      <c r="ES790" s="11"/>
      <c r="ET790" s="11"/>
      <c r="EU790" s="11"/>
      <c r="EV790" s="11"/>
      <c r="EW790" s="11"/>
      <c r="EX790" s="11"/>
      <c r="EY790" s="11"/>
      <c r="EZ790" s="11"/>
      <c r="FA790" s="11"/>
      <c r="FB790" s="11"/>
      <c r="FC790" s="11"/>
      <c r="FD790" s="11"/>
      <c r="FE790" s="11"/>
      <c r="FF790" s="11"/>
      <c r="FG790" s="11"/>
      <c r="FH790" s="39">
        <f t="shared" si="189"/>
        <v>5538483.7200000007</v>
      </c>
      <c r="FI790" s="33">
        <f t="shared" si="190"/>
        <v>2</v>
      </c>
      <c r="FJ790" s="84">
        <f t="shared" si="191"/>
        <v>2769241.8600000003</v>
      </c>
    </row>
    <row r="791" spans="1:166" ht="40.5" x14ac:dyDescent="0.25">
      <c r="A791" s="79" t="e">
        <f>#REF!</f>
        <v>#REF!</v>
      </c>
      <c r="B791" s="75" t="e">
        <f>#REF!</f>
        <v>#REF!</v>
      </c>
      <c r="C791" s="75" t="e">
        <f>#REF!</f>
        <v>#REF!</v>
      </c>
      <c r="D791" s="75" t="e">
        <f>#REF!</f>
        <v>#REF!</v>
      </c>
      <c r="E791" s="30">
        <v>1</v>
      </c>
      <c r="F791" s="238">
        <v>0</v>
      </c>
      <c r="G791" s="241">
        <v>0</v>
      </c>
      <c r="H791" s="249">
        <v>0</v>
      </c>
      <c r="I791" s="249">
        <v>0</v>
      </c>
      <c r="J791" s="249">
        <v>0</v>
      </c>
      <c r="K791" s="249">
        <v>0</v>
      </c>
      <c r="L791" s="274"/>
      <c r="M791" s="274"/>
      <c r="N791" s="246"/>
      <c r="O791" s="118"/>
      <c r="P791" s="118"/>
      <c r="Q791" s="52"/>
      <c r="R791" s="52"/>
      <c r="S791" s="5"/>
      <c r="T791" s="118"/>
      <c r="U791" s="118"/>
      <c r="V791" s="118"/>
      <c r="W791" s="11"/>
      <c r="X791" s="11"/>
      <c r="Y791" s="11"/>
      <c r="Z791" s="118"/>
      <c r="AA791" s="118"/>
      <c r="AB791" s="118"/>
      <c r="AC791" s="52"/>
      <c r="AD791" s="52"/>
      <c r="AE791" s="11"/>
      <c r="AF791" s="118"/>
      <c r="AG791" s="118"/>
      <c r="AH791" s="118"/>
      <c r="AI791" s="11"/>
      <c r="AJ791" s="11"/>
      <c r="AK791" s="11"/>
      <c r="AL791" s="118"/>
      <c r="AM791" s="118"/>
      <c r="AN791" s="118"/>
      <c r="AO791" s="76"/>
      <c r="AP791" s="11"/>
      <c r="AQ791" s="11"/>
      <c r="AR791" s="274"/>
      <c r="AS791" s="274"/>
      <c r="AT791" s="274"/>
      <c r="AU791" s="62"/>
      <c r="AV791" s="48"/>
      <c r="AW791" s="11"/>
      <c r="AX791" s="274"/>
      <c r="AY791" s="274"/>
      <c r="AZ791" s="274"/>
      <c r="BA791" s="11"/>
      <c r="BB791" s="11"/>
      <c r="BC791" s="11"/>
      <c r="BD791" s="274"/>
      <c r="BE791" s="274"/>
      <c r="BF791" s="274"/>
      <c r="BG791" s="11"/>
      <c r="BH791" s="11"/>
      <c r="BI791" s="11"/>
      <c r="BJ791" s="274"/>
      <c r="BK791" s="274"/>
      <c r="BL791" s="274"/>
      <c r="BM791" s="11"/>
      <c r="BN791" s="11"/>
      <c r="BO791" s="11"/>
      <c r="BP791" s="274"/>
      <c r="BQ791" s="11"/>
      <c r="BR791" s="11"/>
      <c r="BS791" s="11"/>
      <c r="BT791" s="11"/>
      <c r="BU791" s="11"/>
      <c r="BV791" s="268">
        <v>6000000</v>
      </c>
      <c r="BW791" s="144">
        <f t="shared" si="187"/>
        <v>1140000</v>
      </c>
      <c r="BX791" s="113">
        <f t="shared" si="188"/>
        <v>7140000</v>
      </c>
      <c r="BY791" s="272" t="s">
        <v>564</v>
      </c>
      <c r="BZ791" s="272" t="s">
        <v>548</v>
      </c>
      <c r="CA791" s="11"/>
      <c r="CB791" s="274"/>
      <c r="CC791" s="274"/>
      <c r="CD791" s="274"/>
      <c r="CE791" s="11"/>
      <c r="CF791" s="11"/>
      <c r="CG791" s="11"/>
      <c r="CH791" s="268">
        <v>9947856</v>
      </c>
      <c r="CI791" s="265">
        <f t="shared" si="192"/>
        <v>1890092.6400000001</v>
      </c>
      <c r="CJ791" s="263">
        <f t="shared" si="193"/>
        <v>11837948.640000001</v>
      </c>
      <c r="CK791" s="272" t="s">
        <v>564</v>
      </c>
      <c r="CL791" s="272" t="s">
        <v>548</v>
      </c>
      <c r="CM791" s="11"/>
      <c r="CN791" s="274"/>
      <c r="CO791" s="274"/>
      <c r="CP791" s="274"/>
      <c r="CQ791" s="11"/>
      <c r="CR791" s="11"/>
      <c r="CS791" s="11"/>
      <c r="CT791" s="11"/>
      <c r="CU791" s="11"/>
      <c r="CV791" s="11"/>
      <c r="CW791" s="11"/>
      <c r="CX791" s="11"/>
      <c r="CY791" s="11"/>
      <c r="CZ791" s="118"/>
      <c r="DA791" s="118"/>
      <c r="DB791" s="118"/>
      <c r="DC791" s="11"/>
      <c r="DD791" s="11"/>
      <c r="DE791" s="32"/>
      <c r="DF791" s="11"/>
      <c r="DG791" s="11"/>
      <c r="DH791" s="11"/>
      <c r="DI791" s="11"/>
      <c r="DJ791" s="11"/>
      <c r="DK791" s="11"/>
      <c r="DL791" s="11"/>
      <c r="DM791" s="11"/>
      <c r="DN791" s="11"/>
      <c r="DO791" s="11"/>
      <c r="DP791" s="11"/>
      <c r="DQ791" s="11"/>
      <c r="DR791" s="11"/>
      <c r="DS791" s="11"/>
      <c r="DT791" s="11"/>
      <c r="DU791" s="11"/>
      <c r="DV791" s="11"/>
      <c r="DW791" s="11"/>
      <c r="DX791" s="11"/>
      <c r="DY791" s="11"/>
      <c r="DZ791" s="11"/>
      <c r="EA791" s="11"/>
      <c r="EB791" s="11"/>
      <c r="EC791" s="11"/>
      <c r="ED791" s="11"/>
      <c r="EE791" s="11"/>
      <c r="EF791" s="11"/>
      <c r="EG791" s="11"/>
      <c r="EH791" s="11"/>
      <c r="EI791" s="11"/>
      <c r="EJ791" s="11"/>
      <c r="EK791" s="11"/>
      <c r="EL791" s="11"/>
      <c r="EM791" s="11"/>
      <c r="EN791" s="11"/>
      <c r="EO791" s="11"/>
      <c r="EP791" s="11"/>
      <c r="EQ791" s="11"/>
      <c r="ER791" s="11"/>
      <c r="ES791" s="11"/>
      <c r="ET791" s="11"/>
      <c r="EU791" s="11"/>
      <c r="EV791" s="11"/>
      <c r="EW791" s="11"/>
      <c r="EX791" s="11"/>
      <c r="EY791" s="11"/>
      <c r="EZ791" s="11"/>
      <c r="FA791" s="11"/>
      <c r="FB791" s="11"/>
      <c r="FC791" s="11"/>
      <c r="FD791" s="11"/>
      <c r="FE791" s="11"/>
      <c r="FF791" s="11"/>
      <c r="FG791" s="11"/>
      <c r="FH791" s="39">
        <f t="shared" si="189"/>
        <v>18977948.640000001</v>
      </c>
      <c r="FI791" s="33">
        <f t="shared" si="190"/>
        <v>2</v>
      </c>
      <c r="FJ791" s="84">
        <f t="shared" si="191"/>
        <v>9488974.3200000003</v>
      </c>
    </row>
    <row r="792" spans="1:166" ht="40.5" x14ac:dyDescent="0.25">
      <c r="A792" s="79" t="e">
        <f>#REF!</f>
        <v>#REF!</v>
      </c>
      <c r="B792" s="75" t="e">
        <f>#REF!</f>
        <v>#REF!</v>
      </c>
      <c r="C792" s="75" t="e">
        <f>#REF!</f>
        <v>#REF!</v>
      </c>
      <c r="D792" s="75" t="e">
        <f>#REF!</f>
        <v>#REF!</v>
      </c>
      <c r="E792" s="30">
        <v>1</v>
      </c>
      <c r="F792" s="238">
        <v>0</v>
      </c>
      <c r="G792" s="241">
        <v>0</v>
      </c>
      <c r="H792" s="249">
        <v>0</v>
      </c>
      <c r="I792" s="249">
        <v>0</v>
      </c>
      <c r="J792" s="249">
        <v>0</v>
      </c>
      <c r="K792" s="249">
        <v>0</v>
      </c>
      <c r="L792" s="274"/>
      <c r="M792" s="274"/>
      <c r="N792" s="246"/>
      <c r="O792" s="118"/>
      <c r="P792" s="118"/>
      <c r="Q792" s="52"/>
      <c r="R792" s="52"/>
      <c r="S792" s="5"/>
      <c r="T792" s="118"/>
      <c r="U792" s="118"/>
      <c r="V792" s="118"/>
      <c r="W792" s="11"/>
      <c r="X792" s="11"/>
      <c r="Y792" s="11"/>
      <c r="Z792" s="118"/>
      <c r="AA792" s="118"/>
      <c r="AB792" s="118"/>
      <c r="AC792" s="52"/>
      <c r="AD792" s="52"/>
      <c r="AE792" s="11"/>
      <c r="AF792" s="118"/>
      <c r="AG792" s="118"/>
      <c r="AH792" s="118"/>
      <c r="AI792" s="11"/>
      <c r="AJ792" s="11"/>
      <c r="AK792" s="11"/>
      <c r="AL792" s="118"/>
      <c r="AM792" s="118"/>
      <c r="AN792" s="118"/>
      <c r="AO792" s="76"/>
      <c r="AP792" s="11"/>
      <c r="AQ792" s="11"/>
      <c r="AR792" s="274"/>
      <c r="AS792" s="274"/>
      <c r="AT792" s="274"/>
      <c r="AU792" s="62"/>
      <c r="AV792" s="48"/>
      <c r="AW792" s="11"/>
      <c r="AX792" s="274"/>
      <c r="AY792" s="274"/>
      <c r="AZ792" s="274"/>
      <c r="BA792" s="11"/>
      <c r="BB792" s="11"/>
      <c r="BC792" s="11"/>
      <c r="BD792" s="274"/>
      <c r="BE792" s="274"/>
      <c r="BF792" s="274"/>
      <c r="BG792" s="11"/>
      <c r="BH792" s="11"/>
      <c r="BI792" s="11"/>
      <c r="BJ792" s="274"/>
      <c r="BK792" s="274"/>
      <c r="BL792" s="274"/>
      <c r="BM792" s="11"/>
      <c r="BN792" s="11"/>
      <c r="BO792" s="11"/>
      <c r="BP792" s="274"/>
      <c r="BQ792" s="11"/>
      <c r="BR792" s="11"/>
      <c r="BS792" s="11"/>
      <c r="BT792" s="11"/>
      <c r="BU792" s="11"/>
      <c r="BV792" s="263">
        <v>642400</v>
      </c>
      <c r="BW792" s="144">
        <f t="shared" si="187"/>
        <v>122056</v>
      </c>
      <c r="BX792" s="113">
        <f t="shared" si="188"/>
        <v>764456</v>
      </c>
      <c r="BY792" s="272" t="s">
        <v>312</v>
      </c>
      <c r="BZ792" s="272" t="s">
        <v>548</v>
      </c>
      <c r="CA792" s="11"/>
      <c r="CB792" s="274"/>
      <c r="CC792" s="274"/>
      <c r="CD792" s="274"/>
      <c r="CE792" s="11"/>
      <c r="CF792" s="11"/>
      <c r="CG792" s="11"/>
      <c r="CH792" s="263">
        <v>680944</v>
      </c>
      <c r="CI792" s="265">
        <f t="shared" si="192"/>
        <v>129379.36</v>
      </c>
      <c r="CJ792" s="263">
        <f t="shared" si="193"/>
        <v>810323.36</v>
      </c>
      <c r="CK792" s="272" t="s">
        <v>312</v>
      </c>
      <c r="CL792" s="272" t="s">
        <v>548</v>
      </c>
      <c r="CM792" s="11"/>
      <c r="CN792" s="274"/>
      <c r="CO792" s="274"/>
      <c r="CP792" s="274"/>
      <c r="CQ792" s="11"/>
      <c r="CR792" s="11"/>
      <c r="CS792" s="11"/>
      <c r="CT792" s="11"/>
      <c r="CU792" s="11"/>
      <c r="CV792" s="11"/>
      <c r="CW792" s="11"/>
      <c r="CX792" s="11"/>
      <c r="CY792" s="11"/>
      <c r="CZ792" s="118"/>
      <c r="DA792" s="118"/>
      <c r="DB792" s="118"/>
      <c r="DC792" s="11"/>
      <c r="DD792" s="11"/>
      <c r="DE792" s="32"/>
      <c r="DF792" s="11"/>
      <c r="DG792" s="11"/>
      <c r="DH792" s="11"/>
      <c r="DI792" s="11"/>
      <c r="DJ792" s="11"/>
      <c r="DK792" s="11"/>
      <c r="DL792" s="11"/>
      <c r="DM792" s="11"/>
      <c r="DN792" s="11"/>
      <c r="DO792" s="11"/>
      <c r="DP792" s="11"/>
      <c r="DQ792" s="11"/>
      <c r="DR792" s="11"/>
      <c r="DS792" s="11"/>
      <c r="DT792" s="11"/>
      <c r="DU792" s="11"/>
      <c r="DV792" s="11"/>
      <c r="DW792" s="11"/>
      <c r="DX792" s="11"/>
      <c r="DY792" s="11"/>
      <c r="DZ792" s="11"/>
      <c r="EA792" s="11"/>
      <c r="EB792" s="11"/>
      <c r="EC792" s="11"/>
      <c r="ED792" s="11"/>
      <c r="EE792" s="11"/>
      <c r="EF792" s="11"/>
      <c r="EG792" s="11"/>
      <c r="EH792" s="11"/>
      <c r="EI792" s="11"/>
      <c r="EJ792" s="11"/>
      <c r="EK792" s="11"/>
      <c r="EL792" s="11"/>
      <c r="EM792" s="11"/>
      <c r="EN792" s="11"/>
      <c r="EO792" s="11"/>
      <c r="EP792" s="11"/>
      <c r="EQ792" s="11"/>
      <c r="ER792" s="11"/>
      <c r="ES792" s="11"/>
      <c r="ET792" s="11"/>
      <c r="EU792" s="11"/>
      <c r="EV792" s="11"/>
      <c r="EW792" s="11"/>
      <c r="EX792" s="11"/>
      <c r="EY792" s="11"/>
      <c r="EZ792" s="11"/>
      <c r="FA792" s="11"/>
      <c r="FB792" s="11"/>
      <c r="FC792" s="11"/>
      <c r="FD792" s="11"/>
      <c r="FE792" s="11"/>
      <c r="FF792" s="11"/>
      <c r="FG792" s="11"/>
      <c r="FH792" s="39">
        <f t="shared" si="189"/>
        <v>1574779.3599999999</v>
      </c>
      <c r="FI792" s="33">
        <f t="shared" si="190"/>
        <v>2</v>
      </c>
      <c r="FJ792" s="84">
        <f t="shared" si="191"/>
        <v>787389.67999999993</v>
      </c>
    </row>
    <row r="793" spans="1:166" ht="40.5" x14ac:dyDescent="0.25">
      <c r="A793" s="79" t="e">
        <f>#REF!</f>
        <v>#REF!</v>
      </c>
      <c r="B793" s="75" t="e">
        <f>#REF!</f>
        <v>#REF!</v>
      </c>
      <c r="C793" s="75" t="e">
        <f>#REF!</f>
        <v>#REF!</v>
      </c>
      <c r="D793" s="75" t="e">
        <f>#REF!</f>
        <v>#REF!</v>
      </c>
      <c r="E793" s="30">
        <v>1</v>
      </c>
      <c r="F793" s="238">
        <v>0</v>
      </c>
      <c r="G793" s="241">
        <v>0</v>
      </c>
      <c r="H793" s="249">
        <v>0</v>
      </c>
      <c r="I793" s="249">
        <v>0</v>
      </c>
      <c r="J793" s="249">
        <v>0</v>
      </c>
      <c r="K793" s="249">
        <v>0</v>
      </c>
      <c r="L793" s="274"/>
      <c r="M793" s="274"/>
      <c r="N793" s="246"/>
      <c r="O793" s="118"/>
      <c r="P793" s="118"/>
      <c r="Q793" s="52"/>
      <c r="R793" s="52"/>
      <c r="S793" s="5"/>
      <c r="T793" s="118"/>
      <c r="U793" s="118"/>
      <c r="V793" s="118"/>
      <c r="W793" s="11"/>
      <c r="X793" s="11"/>
      <c r="Y793" s="11"/>
      <c r="Z793" s="118"/>
      <c r="AA793" s="118"/>
      <c r="AB793" s="118"/>
      <c r="AC793" s="52"/>
      <c r="AD793" s="52"/>
      <c r="AE793" s="11"/>
      <c r="AF793" s="118"/>
      <c r="AG793" s="118"/>
      <c r="AH793" s="118"/>
      <c r="AI793" s="11"/>
      <c r="AJ793" s="11"/>
      <c r="AK793" s="11"/>
      <c r="AL793" s="118"/>
      <c r="AM793" s="118"/>
      <c r="AN793" s="118"/>
      <c r="AO793" s="76"/>
      <c r="AP793" s="11"/>
      <c r="AQ793" s="11"/>
      <c r="AR793" s="274"/>
      <c r="AS793" s="274"/>
      <c r="AT793" s="274"/>
      <c r="AU793" s="62"/>
      <c r="AV793" s="48"/>
      <c r="AW793" s="11"/>
      <c r="AX793" s="274"/>
      <c r="AY793" s="274"/>
      <c r="AZ793" s="274"/>
      <c r="BA793" s="11"/>
      <c r="BB793" s="11"/>
      <c r="BC793" s="11"/>
      <c r="BD793" s="274"/>
      <c r="BE793" s="274"/>
      <c r="BF793" s="274"/>
      <c r="BG793" s="11"/>
      <c r="BH793" s="11"/>
      <c r="BI793" s="11"/>
      <c r="BJ793" s="274"/>
      <c r="BK793" s="274"/>
      <c r="BL793" s="274"/>
      <c r="BM793" s="11"/>
      <c r="BN793" s="11"/>
      <c r="BO793" s="11"/>
      <c r="BP793" s="274"/>
      <c r="BQ793" s="11"/>
      <c r="BR793" s="11"/>
      <c r="BS793" s="11"/>
      <c r="BT793" s="11"/>
      <c r="BU793" s="11"/>
      <c r="BV793" s="263">
        <v>1518400</v>
      </c>
      <c r="BW793" s="144">
        <f t="shared" si="187"/>
        <v>288496</v>
      </c>
      <c r="BX793" s="113">
        <f t="shared" si="188"/>
        <v>1806896</v>
      </c>
      <c r="BY793" s="272" t="s">
        <v>312</v>
      </c>
      <c r="BZ793" s="272" t="s">
        <v>548</v>
      </c>
      <c r="CA793" s="11"/>
      <c r="CB793" s="274"/>
      <c r="CC793" s="274"/>
      <c r="CD793" s="274"/>
      <c r="CE793" s="11"/>
      <c r="CF793" s="11"/>
      <c r="CG793" s="11"/>
      <c r="CH793" s="268">
        <v>1594320</v>
      </c>
      <c r="CI793" s="265">
        <f t="shared" si="192"/>
        <v>302920.8</v>
      </c>
      <c r="CJ793" s="263">
        <f t="shared" si="193"/>
        <v>1897240.8</v>
      </c>
      <c r="CK793" s="272" t="s">
        <v>312</v>
      </c>
      <c r="CL793" s="272" t="s">
        <v>548</v>
      </c>
      <c r="CM793" s="11"/>
      <c r="CN793" s="274"/>
      <c r="CO793" s="274"/>
      <c r="CP793" s="274"/>
      <c r="CQ793" s="11"/>
      <c r="CR793" s="11"/>
      <c r="CS793" s="11"/>
      <c r="CT793" s="11"/>
      <c r="CU793" s="11"/>
      <c r="CV793" s="11"/>
      <c r="CW793" s="11"/>
      <c r="CX793" s="11"/>
      <c r="CY793" s="11"/>
      <c r="CZ793" s="118"/>
      <c r="DA793" s="118"/>
      <c r="DB793" s="118"/>
      <c r="DC793" s="11"/>
      <c r="DD793" s="11"/>
      <c r="DE793" s="32"/>
      <c r="DF793" s="11"/>
      <c r="DG793" s="11"/>
      <c r="DH793" s="11"/>
      <c r="DI793" s="11"/>
      <c r="DJ793" s="11"/>
      <c r="DK793" s="11"/>
      <c r="DL793" s="11"/>
      <c r="DM793" s="11"/>
      <c r="DN793" s="11"/>
      <c r="DO793" s="11"/>
      <c r="DP793" s="11"/>
      <c r="DQ793" s="11"/>
      <c r="DR793" s="11"/>
      <c r="DS793" s="11"/>
      <c r="DT793" s="11"/>
      <c r="DU793" s="11"/>
      <c r="DV793" s="11"/>
      <c r="DW793" s="11"/>
      <c r="DX793" s="11"/>
      <c r="DY793" s="11"/>
      <c r="DZ793" s="11"/>
      <c r="EA793" s="11"/>
      <c r="EB793" s="11"/>
      <c r="EC793" s="11"/>
      <c r="ED793" s="11"/>
      <c r="EE793" s="11"/>
      <c r="EF793" s="11"/>
      <c r="EG793" s="11"/>
      <c r="EH793" s="11"/>
      <c r="EI793" s="11"/>
      <c r="EJ793" s="11"/>
      <c r="EK793" s="11"/>
      <c r="EL793" s="11"/>
      <c r="EM793" s="11"/>
      <c r="EN793" s="11"/>
      <c r="EO793" s="11"/>
      <c r="EP793" s="11"/>
      <c r="EQ793" s="11"/>
      <c r="ER793" s="11"/>
      <c r="ES793" s="11"/>
      <c r="ET793" s="11"/>
      <c r="EU793" s="11"/>
      <c r="EV793" s="11"/>
      <c r="EW793" s="11"/>
      <c r="EX793" s="11"/>
      <c r="EY793" s="11"/>
      <c r="EZ793" s="11"/>
      <c r="FA793" s="11"/>
      <c r="FB793" s="11"/>
      <c r="FC793" s="11"/>
      <c r="FD793" s="11"/>
      <c r="FE793" s="11"/>
      <c r="FF793" s="11"/>
      <c r="FG793" s="11"/>
      <c r="FH793" s="39">
        <f t="shared" si="189"/>
        <v>3704136.8</v>
      </c>
      <c r="FI793" s="33">
        <f t="shared" si="190"/>
        <v>2</v>
      </c>
      <c r="FJ793" s="84">
        <f t="shared" si="191"/>
        <v>1852068.4</v>
      </c>
    </row>
    <row r="794" spans="1:166" x14ac:dyDescent="0.25">
      <c r="A794" s="79" t="e">
        <f>#REF!</f>
        <v>#REF!</v>
      </c>
      <c r="B794" s="75" t="e">
        <f>#REF!</f>
        <v>#REF!</v>
      </c>
      <c r="C794" s="75" t="e">
        <f>#REF!</f>
        <v>#REF!</v>
      </c>
      <c r="D794" s="75" t="e">
        <f>#REF!</f>
        <v>#REF!</v>
      </c>
      <c r="E794" s="30">
        <v>1</v>
      </c>
      <c r="F794" s="238">
        <v>0</v>
      </c>
      <c r="G794" s="241">
        <v>0</v>
      </c>
      <c r="H794" s="249">
        <v>0</v>
      </c>
      <c r="I794" s="249">
        <v>0</v>
      </c>
      <c r="J794" s="249">
        <v>0</v>
      </c>
      <c r="K794" s="249">
        <v>0</v>
      </c>
      <c r="L794" s="274"/>
      <c r="M794" s="274"/>
      <c r="N794" s="246"/>
      <c r="O794" s="118"/>
      <c r="P794" s="118"/>
      <c r="Q794" s="52"/>
      <c r="R794" s="52"/>
      <c r="S794" s="5"/>
      <c r="T794" s="118"/>
      <c r="U794" s="118"/>
      <c r="V794" s="118"/>
      <c r="W794" s="11"/>
      <c r="X794" s="11"/>
      <c r="Y794" s="11"/>
      <c r="Z794" s="118"/>
      <c r="AA794" s="118"/>
      <c r="AB794" s="118"/>
      <c r="AC794" s="52"/>
      <c r="AD794" s="52"/>
      <c r="AE794" s="11"/>
      <c r="AF794" s="118"/>
      <c r="AG794" s="118"/>
      <c r="AH794" s="118"/>
      <c r="AI794" s="11"/>
      <c r="AJ794" s="11"/>
      <c r="AK794" s="11"/>
      <c r="AL794" s="118"/>
      <c r="AM794" s="118"/>
      <c r="AN794" s="118"/>
      <c r="AO794" s="76"/>
      <c r="AP794" s="11"/>
      <c r="AQ794" s="11"/>
      <c r="AR794" s="274"/>
      <c r="AS794" s="274"/>
      <c r="AT794" s="274"/>
      <c r="AU794" s="62"/>
      <c r="AV794" s="48"/>
      <c r="AW794" s="11"/>
      <c r="AX794" s="274"/>
      <c r="AY794" s="274"/>
      <c r="AZ794" s="274"/>
      <c r="BA794" s="11"/>
      <c r="BB794" s="11"/>
      <c r="BC794" s="11"/>
      <c r="BD794" s="274"/>
      <c r="BE794" s="274"/>
      <c r="BF794" s="274"/>
      <c r="BG794" s="11"/>
      <c r="BH794" s="11"/>
      <c r="BI794" s="11"/>
      <c r="BJ794" s="274"/>
      <c r="BK794" s="274"/>
      <c r="BL794" s="274"/>
      <c r="BM794" s="11"/>
      <c r="BN794" s="11"/>
      <c r="BO794" s="11"/>
      <c r="BP794" s="274"/>
      <c r="BQ794" s="11"/>
      <c r="BR794" s="11"/>
      <c r="BS794" s="11"/>
      <c r="BT794" s="11"/>
      <c r="BU794" s="11"/>
      <c r="BV794" s="210"/>
      <c r="BW794" s="144"/>
      <c r="BX794" s="113"/>
      <c r="BY794" s="273"/>
      <c r="BZ794" s="273"/>
      <c r="CA794" s="11"/>
      <c r="CB794" s="274"/>
      <c r="CC794" s="274"/>
      <c r="CD794" s="274"/>
      <c r="CE794" s="11"/>
      <c r="CF794" s="11"/>
      <c r="CG794" s="11"/>
      <c r="CH794" s="210"/>
      <c r="CI794" s="219"/>
      <c r="CJ794" s="210"/>
      <c r="CK794" s="273"/>
      <c r="CL794" s="273"/>
      <c r="CM794" s="11"/>
      <c r="CN794" s="274"/>
      <c r="CO794" s="274"/>
      <c r="CP794" s="274"/>
      <c r="CQ794" s="11"/>
      <c r="CR794" s="11"/>
      <c r="CS794" s="11"/>
      <c r="CT794" s="11"/>
      <c r="CU794" s="11"/>
      <c r="CV794" s="11"/>
      <c r="CW794" s="11"/>
      <c r="CX794" s="11"/>
      <c r="CY794" s="11"/>
      <c r="CZ794" s="118"/>
      <c r="DA794" s="118"/>
      <c r="DB794" s="118"/>
      <c r="DC794" s="11"/>
      <c r="DD794" s="11"/>
      <c r="DE794" s="32"/>
      <c r="DF794" s="11"/>
      <c r="DG794" s="11"/>
      <c r="DH794" s="11"/>
      <c r="DI794" s="11"/>
      <c r="DJ794" s="11"/>
      <c r="DK794" s="11"/>
      <c r="DL794" s="11"/>
      <c r="DM794" s="11"/>
      <c r="DN794" s="11"/>
      <c r="DO794" s="11"/>
      <c r="DP794" s="11"/>
      <c r="DQ794" s="11"/>
      <c r="DR794" s="11"/>
      <c r="DS794" s="11"/>
      <c r="DT794" s="11"/>
      <c r="DU794" s="11"/>
      <c r="DV794" s="11"/>
      <c r="DW794" s="11"/>
      <c r="DX794" s="11"/>
      <c r="DY794" s="11"/>
      <c r="DZ794" s="11"/>
      <c r="EA794" s="11"/>
      <c r="EB794" s="11"/>
      <c r="EC794" s="11"/>
      <c r="ED794" s="11"/>
      <c r="EE794" s="11"/>
      <c r="EF794" s="11"/>
      <c r="EG794" s="11"/>
      <c r="EH794" s="11"/>
      <c r="EI794" s="11"/>
      <c r="EJ794" s="11"/>
      <c r="EK794" s="11"/>
      <c r="EL794" s="11"/>
      <c r="EM794" s="11"/>
      <c r="EN794" s="11"/>
      <c r="EO794" s="11"/>
      <c r="EP794" s="11"/>
      <c r="EQ794" s="11"/>
      <c r="ER794" s="11"/>
      <c r="ES794" s="11"/>
      <c r="ET794" s="11"/>
      <c r="EU794" s="11"/>
      <c r="EV794" s="11"/>
      <c r="EW794" s="11"/>
      <c r="EX794" s="11"/>
      <c r="EY794" s="11"/>
      <c r="EZ794" s="11"/>
      <c r="FA794" s="11"/>
      <c r="FB794" s="11"/>
      <c r="FC794" s="11"/>
      <c r="FD794" s="11"/>
      <c r="FE794" s="11"/>
      <c r="FF794" s="11"/>
      <c r="FG794" s="11"/>
      <c r="FH794" s="39">
        <f t="shared" si="189"/>
        <v>0</v>
      </c>
      <c r="FI794" s="33">
        <f t="shared" si="190"/>
        <v>0</v>
      </c>
      <c r="FJ794" s="84" t="str">
        <f t="shared" si="191"/>
        <v xml:space="preserve"> </v>
      </c>
    </row>
    <row r="795" spans="1:166" ht="40.5" x14ac:dyDescent="0.25">
      <c r="A795" s="79" t="e">
        <f>#REF!</f>
        <v>#REF!</v>
      </c>
      <c r="B795" s="75" t="e">
        <f>#REF!</f>
        <v>#REF!</v>
      </c>
      <c r="C795" s="75" t="e">
        <f>#REF!</f>
        <v>#REF!</v>
      </c>
      <c r="D795" s="75" t="e">
        <f>#REF!</f>
        <v>#REF!</v>
      </c>
      <c r="E795" s="30">
        <v>1</v>
      </c>
      <c r="F795" s="238">
        <v>0</v>
      </c>
      <c r="G795" s="241">
        <v>0</v>
      </c>
      <c r="H795" s="249">
        <v>0</v>
      </c>
      <c r="I795" s="249">
        <v>0</v>
      </c>
      <c r="J795" s="249">
        <v>0</v>
      </c>
      <c r="K795" s="249">
        <v>0</v>
      </c>
      <c r="L795" s="274"/>
      <c r="M795" s="274"/>
      <c r="N795" s="246"/>
      <c r="O795" s="118"/>
      <c r="P795" s="118"/>
      <c r="Q795" s="52"/>
      <c r="R795" s="52"/>
      <c r="S795" s="5"/>
      <c r="T795" s="118"/>
      <c r="U795" s="118"/>
      <c r="V795" s="118"/>
      <c r="W795" s="11"/>
      <c r="X795" s="11"/>
      <c r="Y795" s="11"/>
      <c r="Z795" s="118"/>
      <c r="AA795" s="118"/>
      <c r="AB795" s="118"/>
      <c r="AC795" s="52"/>
      <c r="AD795" s="52"/>
      <c r="AE795" s="11"/>
      <c r="AF795" s="118"/>
      <c r="AG795" s="118"/>
      <c r="AH795" s="118"/>
      <c r="AI795" s="11"/>
      <c r="AJ795" s="11"/>
      <c r="AK795" s="11"/>
      <c r="AL795" s="118"/>
      <c r="AM795" s="118"/>
      <c r="AN795" s="118"/>
      <c r="AO795" s="76"/>
      <c r="AP795" s="11"/>
      <c r="AQ795" s="11"/>
      <c r="AR795" s="274"/>
      <c r="AS795" s="274"/>
      <c r="AT795" s="274"/>
      <c r="AU795" s="62"/>
      <c r="AV795" s="48"/>
      <c r="AW795" s="11"/>
      <c r="AX795" s="274"/>
      <c r="AY795" s="274"/>
      <c r="AZ795" s="274"/>
      <c r="BA795" s="11"/>
      <c r="BB795" s="11"/>
      <c r="BC795" s="11"/>
      <c r="BD795" s="274"/>
      <c r="BE795" s="274"/>
      <c r="BF795" s="274"/>
      <c r="BG795" s="11"/>
      <c r="BH795" s="11"/>
      <c r="BI795" s="11"/>
      <c r="BJ795" s="274"/>
      <c r="BK795" s="274"/>
      <c r="BL795" s="274"/>
      <c r="BM795" s="11"/>
      <c r="BN795" s="11"/>
      <c r="BO795" s="11"/>
      <c r="BP795" s="274"/>
      <c r="BQ795" s="11"/>
      <c r="BR795" s="11"/>
      <c r="BS795" s="11"/>
      <c r="BT795" s="11"/>
      <c r="BU795" s="11"/>
      <c r="BV795" s="263">
        <v>1007400</v>
      </c>
      <c r="BW795" s="144">
        <f t="shared" ref="BW795:BW805" si="194">BV795*19%</f>
        <v>191406</v>
      </c>
      <c r="BX795" s="113">
        <f t="shared" ref="BX795:BX805" si="195">+BV795+BW795</f>
        <v>1198806</v>
      </c>
      <c r="BY795" s="272" t="s">
        <v>312</v>
      </c>
      <c r="BZ795" s="272" t="s">
        <v>548</v>
      </c>
      <c r="CA795" s="11"/>
      <c r="CB795" s="274"/>
      <c r="CC795" s="274"/>
      <c r="CD795" s="274"/>
      <c r="CE795" s="11"/>
      <c r="CF795" s="11"/>
      <c r="CG795" s="11"/>
      <c r="CH795" s="268">
        <v>1067844</v>
      </c>
      <c r="CI795" s="265">
        <f t="shared" ref="CI795:CI805" si="196">+CH795*0.19</f>
        <v>202890.36000000002</v>
      </c>
      <c r="CJ795" s="263">
        <f t="shared" ref="CJ795:CJ805" si="197">+CH795+CI795</f>
        <v>1270734.3600000001</v>
      </c>
      <c r="CK795" s="272" t="s">
        <v>312</v>
      </c>
      <c r="CL795" s="272" t="s">
        <v>548</v>
      </c>
      <c r="CM795" s="11"/>
      <c r="CN795" s="274"/>
      <c r="CO795" s="274"/>
      <c r="CP795" s="274"/>
      <c r="CQ795" s="11"/>
      <c r="CR795" s="11"/>
      <c r="CS795" s="11"/>
      <c r="CT795" s="11"/>
      <c r="CU795" s="11"/>
      <c r="CV795" s="11"/>
      <c r="CW795" s="11"/>
      <c r="CX795" s="11"/>
      <c r="CY795" s="11"/>
      <c r="CZ795" s="118"/>
      <c r="DA795" s="118"/>
      <c r="DB795" s="118"/>
      <c r="DC795" s="11"/>
      <c r="DD795" s="11"/>
      <c r="DE795" s="32"/>
      <c r="DF795" s="11"/>
      <c r="DG795" s="11"/>
      <c r="DH795" s="11"/>
      <c r="DI795" s="11"/>
      <c r="DJ795" s="11"/>
      <c r="DK795" s="11"/>
      <c r="DL795" s="11"/>
      <c r="DM795" s="11"/>
      <c r="DN795" s="11"/>
      <c r="DO795" s="11"/>
      <c r="DP795" s="11"/>
      <c r="DQ795" s="11"/>
      <c r="DR795" s="11"/>
      <c r="DS795" s="11"/>
      <c r="DT795" s="11"/>
      <c r="DU795" s="11"/>
      <c r="DV795" s="11"/>
      <c r="DW795" s="11"/>
      <c r="DX795" s="11"/>
      <c r="DY795" s="11"/>
      <c r="DZ795" s="11"/>
      <c r="EA795" s="11"/>
      <c r="EB795" s="11"/>
      <c r="EC795" s="11"/>
      <c r="ED795" s="11"/>
      <c r="EE795" s="11"/>
      <c r="EF795" s="11"/>
      <c r="EG795" s="11"/>
      <c r="EH795" s="11"/>
      <c r="EI795" s="11"/>
      <c r="EJ795" s="11"/>
      <c r="EK795" s="11"/>
      <c r="EL795" s="11"/>
      <c r="EM795" s="11"/>
      <c r="EN795" s="11"/>
      <c r="EO795" s="11"/>
      <c r="EP795" s="11"/>
      <c r="EQ795" s="11"/>
      <c r="ER795" s="11"/>
      <c r="ES795" s="11"/>
      <c r="ET795" s="11"/>
      <c r="EU795" s="11"/>
      <c r="EV795" s="11"/>
      <c r="EW795" s="11"/>
      <c r="EX795" s="11"/>
      <c r="EY795" s="11"/>
      <c r="EZ795" s="11"/>
      <c r="FA795" s="11"/>
      <c r="FB795" s="11"/>
      <c r="FC795" s="11"/>
      <c r="FD795" s="11"/>
      <c r="FE795" s="11"/>
      <c r="FF795" s="11"/>
      <c r="FG795" s="11"/>
      <c r="FH795" s="39">
        <f t="shared" si="189"/>
        <v>2469540.3600000003</v>
      </c>
      <c r="FI795" s="33">
        <f t="shared" si="190"/>
        <v>2</v>
      </c>
      <c r="FJ795" s="84">
        <f t="shared" si="191"/>
        <v>1234770.1800000002</v>
      </c>
    </row>
    <row r="796" spans="1:166" ht="40.5" x14ac:dyDescent="0.25">
      <c r="A796" s="79" t="e">
        <f>#REF!</f>
        <v>#REF!</v>
      </c>
      <c r="B796" s="75" t="e">
        <f>#REF!</f>
        <v>#REF!</v>
      </c>
      <c r="C796" s="75" t="e">
        <f>#REF!</f>
        <v>#REF!</v>
      </c>
      <c r="D796" s="75" t="e">
        <f>#REF!</f>
        <v>#REF!</v>
      </c>
      <c r="E796" s="30">
        <v>1</v>
      </c>
      <c r="F796" s="238">
        <v>0</v>
      </c>
      <c r="G796" s="241">
        <v>0</v>
      </c>
      <c r="H796" s="249">
        <v>0</v>
      </c>
      <c r="I796" s="249">
        <v>0</v>
      </c>
      <c r="J796" s="249">
        <v>0</v>
      </c>
      <c r="K796" s="249">
        <v>0</v>
      </c>
      <c r="L796" s="274"/>
      <c r="M796" s="274"/>
      <c r="N796" s="246"/>
      <c r="O796" s="118"/>
      <c r="P796" s="118"/>
      <c r="Q796" s="52"/>
      <c r="R796" s="52"/>
      <c r="S796" s="5"/>
      <c r="T796" s="118"/>
      <c r="U796" s="118"/>
      <c r="V796" s="118"/>
      <c r="W796" s="11"/>
      <c r="X796" s="11"/>
      <c r="Y796" s="11"/>
      <c r="Z796" s="118"/>
      <c r="AA796" s="118"/>
      <c r="AB796" s="118"/>
      <c r="AC796" s="52"/>
      <c r="AD796" s="52"/>
      <c r="AE796" s="11"/>
      <c r="AF796" s="118"/>
      <c r="AG796" s="118"/>
      <c r="AH796" s="118"/>
      <c r="AI796" s="11"/>
      <c r="AJ796" s="11"/>
      <c r="AK796" s="11"/>
      <c r="AL796" s="118"/>
      <c r="AM796" s="118"/>
      <c r="AN796" s="118"/>
      <c r="AO796" s="76"/>
      <c r="AP796" s="11"/>
      <c r="AQ796" s="11"/>
      <c r="AR796" s="274"/>
      <c r="AS796" s="274"/>
      <c r="AT796" s="274"/>
      <c r="AU796" s="62"/>
      <c r="AV796" s="48"/>
      <c r="AW796" s="11"/>
      <c r="AX796" s="274"/>
      <c r="AY796" s="274"/>
      <c r="AZ796" s="274"/>
      <c r="BA796" s="11"/>
      <c r="BB796" s="11"/>
      <c r="BC796" s="11"/>
      <c r="BD796" s="274"/>
      <c r="BE796" s="274"/>
      <c r="BF796" s="274"/>
      <c r="BG796" s="11"/>
      <c r="BH796" s="11"/>
      <c r="BI796" s="11"/>
      <c r="BJ796" s="274"/>
      <c r="BK796" s="274"/>
      <c r="BL796" s="274"/>
      <c r="BM796" s="11"/>
      <c r="BN796" s="11"/>
      <c r="BO796" s="11"/>
      <c r="BP796" s="274"/>
      <c r="BQ796" s="11"/>
      <c r="BR796" s="11"/>
      <c r="BS796" s="11"/>
      <c r="BT796" s="11"/>
      <c r="BU796" s="11"/>
      <c r="BV796" s="263">
        <v>890600</v>
      </c>
      <c r="BW796" s="144">
        <f t="shared" si="194"/>
        <v>169214</v>
      </c>
      <c r="BX796" s="113">
        <f t="shared" si="195"/>
        <v>1059814</v>
      </c>
      <c r="BY796" s="272" t="s">
        <v>312</v>
      </c>
      <c r="BZ796" s="272" t="s">
        <v>548</v>
      </c>
      <c r="CA796" s="11"/>
      <c r="CB796" s="274"/>
      <c r="CC796" s="274"/>
      <c r="CD796" s="274"/>
      <c r="CE796" s="11"/>
      <c r="CF796" s="11"/>
      <c r="CG796" s="11"/>
      <c r="CH796" s="263">
        <v>935130</v>
      </c>
      <c r="CI796" s="265">
        <f t="shared" si="196"/>
        <v>177674.7</v>
      </c>
      <c r="CJ796" s="263">
        <f t="shared" si="197"/>
        <v>1112804.7</v>
      </c>
      <c r="CK796" s="272" t="s">
        <v>312</v>
      </c>
      <c r="CL796" s="272" t="s">
        <v>548</v>
      </c>
      <c r="CM796" s="11"/>
      <c r="CN796" s="274"/>
      <c r="CO796" s="274"/>
      <c r="CP796" s="274"/>
      <c r="CQ796" s="11"/>
      <c r="CR796" s="11"/>
      <c r="CS796" s="11"/>
      <c r="CT796" s="11"/>
      <c r="CU796" s="11"/>
      <c r="CV796" s="11"/>
      <c r="CW796" s="11"/>
      <c r="CX796" s="11"/>
      <c r="CY796" s="11"/>
      <c r="CZ796" s="118"/>
      <c r="DA796" s="118"/>
      <c r="DB796" s="118"/>
      <c r="DC796" s="11"/>
      <c r="DD796" s="11"/>
      <c r="DE796" s="32"/>
      <c r="DF796" s="11"/>
      <c r="DG796" s="11"/>
      <c r="DH796" s="11"/>
      <c r="DI796" s="11"/>
      <c r="DJ796" s="11"/>
      <c r="DK796" s="11"/>
      <c r="DL796" s="11"/>
      <c r="DM796" s="11"/>
      <c r="DN796" s="11"/>
      <c r="DO796" s="11"/>
      <c r="DP796" s="11"/>
      <c r="DQ796" s="11"/>
      <c r="DR796" s="11"/>
      <c r="DS796" s="11"/>
      <c r="DT796" s="11"/>
      <c r="DU796" s="11"/>
      <c r="DV796" s="11"/>
      <c r="DW796" s="11"/>
      <c r="DX796" s="11"/>
      <c r="DY796" s="11"/>
      <c r="DZ796" s="11"/>
      <c r="EA796" s="11"/>
      <c r="EB796" s="11"/>
      <c r="EC796" s="11"/>
      <c r="ED796" s="11"/>
      <c r="EE796" s="11"/>
      <c r="EF796" s="11"/>
      <c r="EG796" s="11"/>
      <c r="EH796" s="11"/>
      <c r="EI796" s="11"/>
      <c r="EJ796" s="11"/>
      <c r="EK796" s="11"/>
      <c r="EL796" s="11"/>
      <c r="EM796" s="11"/>
      <c r="EN796" s="11"/>
      <c r="EO796" s="11"/>
      <c r="EP796" s="11"/>
      <c r="EQ796" s="11"/>
      <c r="ER796" s="11"/>
      <c r="ES796" s="11"/>
      <c r="ET796" s="11"/>
      <c r="EU796" s="11"/>
      <c r="EV796" s="11"/>
      <c r="EW796" s="11"/>
      <c r="EX796" s="11"/>
      <c r="EY796" s="11"/>
      <c r="EZ796" s="11"/>
      <c r="FA796" s="11"/>
      <c r="FB796" s="11"/>
      <c r="FC796" s="11"/>
      <c r="FD796" s="11"/>
      <c r="FE796" s="11"/>
      <c r="FF796" s="11"/>
      <c r="FG796" s="11"/>
      <c r="FH796" s="39">
        <f t="shared" si="189"/>
        <v>2172618.7000000002</v>
      </c>
      <c r="FI796" s="33">
        <f t="shared" si="190"/>
        <v>2</v>
      </c>
      <c r="FJ796" s="84">
        <f t="shared" si="191"/>
        <v>1086309.3500000001</v>
      </c>
    </row>
    <row r="797" spans="1:166" ht="40.5" x14ac:dyDescent="0.25">
      <c r="A797" s="79" t="e">
        <f>#REF!</f>
        <v>#REF!</v>
      </c>
      <c r="B797" s="75" t="e">
        <f>#REF!</f>
        <v>#REF!</v>
      </c>
      <c r="C797" s="75" t="e">
        <f>#REF!</f>
        <v>#REF!</v>
      </c>
      <c r="D797" s="75" t="e">
        <f>#REF!</f>
        <v>#REF!</v>
      </c>
      <c r="E797" s="30">
        <v>1</v>
      </c>
      <c r="F797" s="238">
        <v>0</v>
      </c>
      <c r="G797" s="241">
        <v>0</v>
      </c>
      <c r="H797" s="249">
        <v>0</v>
      </c>
      <c r="I797" s="249">
        <v>0</v>
      </c>
      <c r="J797" s="249">
        <v>0</v>
      </c>
      <c r="K797" s="249">
        <v>0</v>
      </c>
      <c r="L797" s="274"/>
      <c r="M797" s="274"/>
      <c r="N797" s="246"/>
      <c r="O797" s="118"/>
      <c r="P797" s="118"/>
      <c r="Q797" s="52"/>
      <c r="R797" s="52"/>
      <c r="S797" s="5"/>
      <c r="T797" s="118"/>
      <c r="U797" s="118"/>
      <c r="V797" s="118"/>
      <c r="W797" s="11"/>
      <c r="X797" s="11"/>
      <c r="Y797" s="11"/>
      <c r="Z797" s="118"/>
      <c r="AA797" s="118"/>
      <c r="AB797" s="118"/>
      <c r="AC797" s="52"/>
      <c r="AD797" s="52"/>
      <c r="AE797" s="11"/>
      <c r="AF797" s="118"/>
      <c r="AG797" s="118"/>
      <c r="AH797" s="118"/>
      <c r="AI797" s="11"/>
      <c r="AJ797" s="11"/>
      <c r="AK797" s="11"/>
      <c r="AL797" s="118"/>
      <c r="AM797" s="118"/>
      <c r="AN797" s="118"/>
      <c r="AO797" s="76"/>
      <c r="AP797" s="11"/>
      <c r="AQ797" s="11"/>
      <c r="AR797" s="274"/>
      <c r="AS797" s="274"/>
      <c r="AT797" s="274"/>
      <c r="AU797" s="62"/>
      <c r="AV797" s="48"/>
      <c r="AW797" s="11"/>
      <c r="AX797" s="274"/>
      <c r="AY797" s="274"/>
      <c r="AZ797" s="274"/>
      <c r="BA797" s="11"/>
      <c r="BB797" s="11"/>
      <c r="BC797" s="11"/>
      <c r="BD797" s="274"/>
      <c r="BE797" s="274"/>
      <c r="BF797" s="274"/>
      <c r="BG797" s="11"/>
      <c r="BH797" s="11"/>
      <c r="BI797" s="11"/>
      <c r="BJ797" s="274"/>
      <c r="BK797" s="274"/>
      <c r="BL797" s="274"/>
      <c r="BM797" s="11"/>
      <c r="BN797" s="11"/>
      <c r="BO797" s="11"/>
      <c r="BP797" s="274"/>
      <c r="BQ797" s="11"/>
      <c r="BR797" s="11"/>
      <c r="BS797" s="11"/>
      <c r="BT797" s="11"/>
      <c r="BU797" s="11"/>
      <c r="BV797" s="268">
        <v>2029400</v>
      </c>
      <c r="BW797" s="144">
        <f t="shared" si="194"/>
        <v>385586</v>
      </c>
      <c r="BX797" s="113">
        <f t="shared" si="195"/>
        <v>2414986</v>
      </c>
      <c r="BY797" s="272" t="s">
        <v>312</v>
      </c>
      <c r="BZ797" s="272" t="s">
        <v>548</v>
      </c>
      <c r="CA797" s="11"/>
      <c r="CB797" s="274"/>
      <c r="CC797" s="274"/>
      <c r="CD797" s="274"/>
      <c r="CE797" s="11"/>
      <c r="CF797" s="11"/>
      <c r="CG797" s="11"/>
      <c r="CH797" s="268">
        <v>2069988</v>
      </c>
      <c r="CI797" s="265">
        <f t="shared" si="196"/>
        <v>393297.72000000003</v>
      </c>
      <c r="CJ797" s="263">
        <f t="shared" si="197"/>
        <v>2463285.7200000002</v>
      </c>
      <c r="CK797" s="272" t="s">
        <v>312</v>
      </c>
      <c r="CL797" s="272" t="s">
        <v>548</v>
      </c>
      <c r="CM797" s="11"/>
      <c r="CN797" s="11"/>
      <c r="CO797" s="11"/>
      <c r="CP797" s="11"/>
      <c r="CQ797" s="11"/>
      <c r="CR797" s="11"/>
      <c r="CS797" s="11"/>
      <c r="CT797" s="11"/>
      <c r="CU797" s="11"/>
      <c r="CV797" s="11"/>
      <c r="CW797" s="11"/>
      <c r="CX797" s="11"/>
      <c r="CY797" s="11"/>
      <c r="CZ797" s="118"/>
      <c r="DA797" s="118"/>
      <c r="DB797" s="118"/>
      <c r="DC797" s="11"/>
      <c r="DD797" s="11"/>
      <c r="DE797" s="32"/>
      <c r="DF797" s="11"/>
      <c r="DG797" s="11"/>
      <c r="DH797" s="11"/>
      <c r="DI797" s="11"/>
      <c r="DJ797" s="11"/>
      <c r="DK797" s="11"/>
      <c r="DL797" s="11"/>
      <c r="DM797" s="11"/>
      <c r="DN797" s="11"/>
      <c r="DO797" s="11"/>
      <c r="DP797" s="11"/>
      <c r="DQ797" s="11"/>
      <c r="DR797" s="11"/>
      <c r="DS797" s="11"/>
      <c r="DT797" s="11"/>
      <c r="DU797" s="11"/>
      <c r="DV797" s="11"/>
      <c r="DW797" s="11"/>
      <c r="DX797" s="11"/>
      <c r="DY797" s="11"/>
      <c r="DZ797" s="11"/>
      <c r="EA797" s="11"/>
      <c r="EB797" s="11"/>
      <c r="EC797" s="11"/>
      <c r="ED797" s="11"/>
      <c r="EE797" s="11"/>
      <c r="EF797" s="11"/>
      <c r="EG797" s="11"/>
      <c r="EH797" s="11"/>
      <c r="EI797" s="11"/>
      <c r="EJ797" s="11"/>
      <c r="EK797" s="11"/>
      <c r="EL797" s="11"/>
      <c r="EM797" s="11"/>
      <c r="EN797" s="11"/>
      <c r="EO797" s="11"/>
      <c r="EP797" s="11"/>
      <c r="EQ797" s="11"/>
      <c r="ER797" s="11"/>
      <c r="ES797" s="11"/>
      <c r="ET797" s="11"/>
      <c r="EU797" s="11"/>
      <c r="EV797" s="11"/>
      <c r="EW797" s="11"/>
      <c r="EX797" s="11"/>
      <c r="EY797" s="11"/>
      <c r="EZ797" s="11"/>
      <c r="FA797" s="11"/>
      <c r="FB797" s="11"/>
      <c r="FC797" s="11"/>
      <c r="FD797" s="11"/>
      <c r="FE797" s="11"/>
      <c r="FF797" s="11"/>
      <c r="FG797" s="11"/>
      <c r="FH797" s="39">
        <f t="shared" si="189"/>
        <v>4878271.7200000007</v>
      </c>
      <c r="FI797" s="33">
        <f t="shared" si="190"/>
        <v>2</v>
      </c>
      <c r="FJ797" s="84">
        <f t="shared" si="191"/>
        <v>2439135.8600000003</v>
      </c>
    </row>
    <row r="798" spans="1:166" ht="40.5" x14ac:dyDescent="0.25">
      <c r="A798" s="79" t="e">
        <f>#REF!</f>
        <v>#REF!</v>
      </c>
      <c r="B798" s="75" t="e">
        <f>#REF!</f>
        <v>#REF!</v>
      </c>
      <c r="C798" s="75" t="e">
        <f>#REF!</f>
        <v>#REF!</v>
      </c>
      <c r="D798" s="75" t="e">
        <f>#REF!</f>
        <v>#REF!</v>
      </c>
      <c r="E798" s="30">
        <v>1</v>
      </c>
      <c r="F798" s="238">
        <v>0</v>
      </c>
      <c r="G798" s="241">
        <v>0</v>
      </c>
      <c r="H798" s="249">
        <v>0</v>
      </c>
      <c r="I798" s="249">
        <v>0</v>
      </c>
      <c r="J798" s="249">
        <v>0</v>
      </c>
      <c r="K798" s="249">
        <v>0</v>
      </c>
      <c r="L798" s="274"/>
      <c r="M798" s="274"/>
      <c r="N798" s="246"/>
      <c r="O798" s="118"/>
      <c r="P798" s="118"/>
      <c r="Q798" s="52"/>
      <c r="R798" s="52"/>
      <c r="S798" s="5"/>
      <c r="T798" s="118"/>
      <c r="U798" s="118"/>
      <c r="V798" s="118"/>
      <c r="W798" s="11"/>
      <c r="X798" s="11"/>
      <c r="Y798" s="11"/>
      <c r="Z798" s="118"/>
      <c r="AA798" s="118"/>
      <c r="AB798" s="118"/>
      <c r="AC798" s="52"/>
      <c r="AD798" s="52"/>
      <c r="AE798" s="11"/>
      <c r="AF798" s="118"/>
      <c r="AG798" s="118"/>
      <c r="AH798" s="118"/>
      <c r="AI798" s="11"/>
      <c r="AJ798" s="11"/>
      <c r="AK798" s="11"/>
      <c r="AL798" s="118"/>
      <c r="AM798" s="118"/>
      <c r="AN798" s="118"/>
      <c r="AO798" s="76"/>
      <c r="AP798" s="11"/>
      <c r="AQ798" s="11"/>
      <c r="AR798" s="274"/>
      <c r="AS798" s="274"/>
      <c r="AT798" s="274"/>
      <c r="AU798" s="62"/>
      <c r="AV798" s="48"/>
      <c r="AW798" s="11"/>
      <c r="AX798" s="274"/>
      <c r="AY798" s="274"/>
      <c r="AZ798" s="274"/>
      <c r="BA798" s="11"/>
      <c r="BB798" s="11"/>
      <c r="BC798" s="11"/>
      <c r="BD798" s="274"/>
      <c r="BE798" s="274"/>
      <c r="BF798" s="274"/>
      <c r="BG798" s="11"/>
      <c r="BH798" s="11"/>
      <c r="BI798" s="11"/>
      <c r="BJ798" s="274"/>
      <c r="BK798" s="274"/>
      <c r="BL798" s="274"/>
      <c r="BM798" s="11"/>
      <c r="BN798" s="11"/>
      <c r="BO798" s="11"/>
      <c r="BP798" s="274"/>
      <c r="BQ798" s="11"/>
      <c r="BR798" s="11"/>
      <c r="BS798" s="11"/>
      <c r="BT798" s="11"/>
      <c r="BU798" s="11"/>
      <c r="BV798" s="268">
        <v>5489600</v>
      </c>
      <c r="BW798" s="144">
        <f t="shared" si="194"/>
        <v>1043024</v>
      </c>
      <c r="BX798" s="113">
        <f t="shared" si="195"/>
        <v>6532624</v>
      </c>
      <c r="BY798" s="272" t="s">
        <v>564</v>
      </c>
      <c r="BZ798" s="272" t="s">
        <v>548</v>
      </c>
      <c r="CA798" s="11"/>
      <c r="CB798" s="274"/>
      <c r="CC798" s="274"/>
      <c r="CD798" s="274"/>
      <c r="CE798" s="11"/>
      <c r="CF798" s="11"/>
      <c r="CG798" s="11"/>
      <c r="CH798" s="268">
        <v>5599392</v>
      </c>
      <c r="CI798" s="265">
        <f t="shared" si="196"/>
        <v>1063884.48</v>
      </c>
      <c r="CJ798" s="263">
        <f t="shared" si="197"/>
        <v>6663276.4800000004</v>
      </c>
      <c r="CK798" s="272" t="s">
        <v>564</v>
      </c>
      <c r="CL798" s="272" t="s">
        <v>548</v>
      </c>
      <c r="CM798" s="11"/>
      <c r="CN798" s="11"/>
      <c r="CO798" s="11"/>
      <c r="CP798" s="11"/>
      <c r="CQ798" s="11"/>
      <c r="CR798" s="11"/>
      <c r="CS798" s="11"/>
      <c r="CT798" s="11"/>
      <c r="CU798" s="11"/>
      <c r="CV798" s="11"/>
      <c r="CW798" s="11"/>
      <c r="CX798" s="11"/>
      <c r="CY798" s="11"/>
      <c r="CZ798" s="118"/>
      <c r="DA798" s="118"/>
      <c r="DB798" s="118"/>
      <c r="DC798" s="11"/>
      <c r="DD798" s="11"/>
      <c r="DE798" s="32"/>
      <c r="DF798" s="11"/>
      <c r="DG798" s="11"/>
      <c r="DH798" s="11"/>
      <c r="DI798" s="11"/>
      <c r="DJ798" s="11"/>
      <c r="DK798" s="11"/>
      <c r="DL798" s="11"/>
      <c r="DM798" s="11"/>
      <c r="DN798" s="11"/>
      <c r="DO798" s="11"/>
      <c r="DP798" s="11"/>
      <c r="DQ798" s="11"/>
      <c r="DR798" s="11"/>
      <c r="DS798" s="11"/>
      <c r="DT798" s="11"/>
      <c r="DU798" s="11"/>
      <c r="DV798" s="11"/>
      <c r="DW798" s="11"/>
      <c r="DX798" s="11"/>
      <c r="DY798" s="11"/>
      <c r="DZ798" s="11"/>
      <c r="EA798" s="11"/>
      <c r="EB798" s="11"/>
      <c r="EC798" s="11"/>
      <c r="ED798" s="11"/>
      <c r="EE798" s="11"/>
      <c r="EF798" s="11"/>
      <c r="EG798" s="11"/>
      <c r="EH798" s="11"/>
      <c r="EI798" s="11"/>
      <c r="EJ798" s="11"/>
      <c r="EK798" s="11"/>
      <c r="EL798" s="11"/>
      <c r="EM798" s="11"/>
      <c r="EN798" s="11"/>
      <c r="EO798" s="11"/>
      <c r="EP798" s="11"/>
      <c r="EQ798" s="11"/>
      <c r="ER798" s="11"/>
      <c r="ES798" s="11"/>
      <c r="ET798" s="11"/>
      <c r="EU798" s="11"/>
      <c r="EV798" s="11"/>
      <c r="EW798" s="11"/>
      <c r="EX798" s="11"/>
      <c r="EY798" s="11"/>
      <c r="EZ798" s="11"/>
      <c r="FA798" s="11"/>
      <c r="FB798" s="11"/>
      <c r="FC798" s="11"/>
      <c r="FD798" s="11"/>
      <c r="FE798" s="11"/>
      <c r="FF798" s="11"/>
      <c r="FG798" s="11"/>
      <c r="FH798" s="39">
        <f t="shared" si="189"/>
        <v>13195900.48</v>
      </c>
      <c r="FI798" s="33">
        <f t="shared" si="190"/>
        <v>2</v>
      </c>
      <c r="FJ798" s="84">
        <f t="shared" si="191"/>
        <v>6597950.2400000002</v>
      </c>
    </row>
    <row r="799" spans="1:166" ht="40.5" x14ac:dyDescent="0.25">
      <c r="A799" s="79" t="e">
        <f>#REF!</f>
        <v>#REF!</v>
      </c>
      <c r="B799" s="75" t="e">
        <f>#REF!</f>
        <v>#REF!</v>
      </c>
      <c r="C799" s="75" t="e">
        <f>#REF!</f>
        <v>#REF!</v>
      </c>
      <c r="D799" s="75" t="e">
        <f>#REF!</f>
        <v>#REF!</v>
      </c>
      <c r="E799" s="30">
        <v>1</v>
      </c>
      <c r="F799" s="238">
        <v>0</v>
      </c>
      <c r="G799" s="241">
        <v>0</v>
      </c>
      <c r="H799" s="249">
        <v>0</v>
      </c>
      <c r="I799" s="249">
        <v>0</v>
      </c>
      <c r="J799" s="249">
        <v>0</v>
      </c>
      <c r="K799" s="249">
        <v>0</v>
      </c>
      <c r="L799" s="274"/>
      <c r="M799" s="274"/>
      <c r="N799" s="246"/>
      <c r="O799" s="118"/>
      <c r="P799" s="118"/>
      <c r="Q799" s="52"/>
      <c r="R799" s="52"/>
      <c r="S799" s="5"/>
      <c r="T799" s="118"/>
      <c r="U799" s="118"/>
      <c r="V799" s="118"/>
      <c r="W799" s="11"/>
      <c r="X799" s="11"/>
      <c r="Y799" s="11"/>
      <c r="Z799" s="118"/>
      <c r="AA799" s="118"/>
      <c r="AB799" s="118"/>
      <c r="AC799" s="52"/>
      <c r="AD799" s="52"/>
      <c r="AE799" s="11"/>
      <c r="AF799" s="118"/>
      <c r="AG799" s="118"/>
      <c r="AH799" s="118"/>
      <c r="AI799" s="11"/>
      <c r="AJ799" s="11"/>
      <c r="AK799" s="11"/>
      <c r="AL799" s="118"/>
      <c r="AM799" s="118"/>
      <c r="AN799" s="118"/>
      <c r="AO799" s="76"/>
      <c r="AP799" s="11"/>
      <c r="AQ799" s="11"/>
      <c r="AR799" s="274"/>
      <c r="AS799" s="274"/>
      <c r="AT799" s="274"/>
      <c r="AU799" s="62"/>
      <c r="AV799" s="48"/>
      <c r="AW799" s="11"/>
      <c r="AX799" s="274"/>
      <c r="AY799" s="274"/>
      <c r="AZ799" s="274"/>
      <c r="BA799" s="11"/>
      <c r="BB799" s="11"/>
      <c r="BC799" s="11"/>
      <c r="BD799" s="274"/>
      <c r="BE799" s="274"/>
      <c r="BF799" s="274"/>
      <c r="BG799" s="11"/>
      <c r="BH799" s="11"/>
      <c r="BI799" s="11"/>
      <c r="BJ799" s="274"/>
      <c r="BK799" s="274"/>
      <c r="BL799" s="274"/>
      <c r="BM799" s="11"/>
      <c r="BN799" s="11"/>
      <c r="BO799" s="11"/>
      <c r="BP799" s="274"/>
      <c r="BQ799" s="11"/>
      <c r="BR799" s="11"/>
      <c r="BS799" s="11"/>
      <c r="BT799" s="11"/>
      <c r="BU799" s="11"/>
      <c r="BV799" s="268">
        <f>+(5489600/300)*200</f>
        <v>3659733.3333333335</v>
      </c>
      <c r="BW799" s="144">
        <f t="shared" si="194"/>
        <v>695349.33333333337</v>
      </c>
      <c r="BX799" s="113">
        <f t="shared" si="195"/>
        <v>4355082.666666667</v>
      </c>
      <c r="BY799" s="272" t="s">
        <v>566</v>
      </c>
      <c r="BZ799" s="272" t="s">
        <v>548</v>
      </c>
      <c r="CA799" s="11"/>
      <c r="CB799" s="274"/>
      <c r="CC799" s="274"/>
      <c r="CD799" s="274"/>
      <c r="CE799" s="11"/>
      <c r="CF799" s="11"/>
      <c r="CG799" s="11"/>
      <c r="CH799" s="268">
        <f>+(5654288/300)*200</f>
        <v>3769525.3333333335</v>
      </c>
      <c r="CI799" s="265">
        <f t="shared" si="196"/>
        <v>716209.81333333335</v>
      </c>
      <c r="CJ799" s="263">
        <f t="shared" si="197"/>
        <v>4485735.1466666665</v>
      </c>
      <c r="CK799" s="272" t="s">
        <v>566</v>
      </c>
      <c r="CL799" s="272" t="s">
        <v>548</v>
      </c>
      <c r="CM799" s="11"/>
      <c r="CN799" s="11"/>
      <c r="CO799" s="11"/>
      <c r="CP799" s="11"/>
      <c r="CQ799" s="11"/>
      <c r="CR799" s="11"/>
      <c r="CS799" s="11"/>
      <c r="CT799" s="11"/>
      <c r="CU799" s="11"/>
      <c r="CV799" s="11"/>
      <c r="CW799" s="11"/>
      <c r="CX799" s="11"/>
      <c r="CY799" s="11"/>
      <c r="CZ799" s="118"/>
      <c r="DA799" s="118"/>
      <c r="DB799" s="118"/>
      <c r="DC799" s="11"/>
      <c r="DD799" s="11"/>
      <c r="DE799" s="32"/>
      <c r="DF799" s="11"/>
      <c r="DG799" s="11"/>
      <c r="DH799" s="11"/>
      <c r="DI799" s="11"/>
      <c r="DJ799" s="11"/>
      <c r="DK799" s="11"/>
      <c r="DL799" s="11"/>
      <c r="DM799" s="11"/>
      <c r="DN799" s="11"/>
      <c r="DO799" s="11"/>
      <c r="DP799" s="11"/>
      <c r="DQ799" s="11"/>
      <c r="DR799" s="11"/>
      <c r="DS799" s="11"/>
      <c r="DT799" s="11"/>
      <c r="DU799" s="11"/>
      <c r="DV799" s="11"/>
      <c r="DW799" s="11"/>
      <c r="DX799" s="11"/>
      <c r="DY799" s="11"/>
      <c r="DZ799" s="11"/>
      <c r="EA799" s="11"/>
      <c r="EB799" s="11"/>
      <c r="EC799" s="11"/>
      <c r="ED799" s="11"/>
      <c r="EE799" s="11"/>
      <c r="EF799" s="11"/>
      <c r="EG799" s="11"/>
      <c r="EH799" s="11"/>
      <c r="EI799" s="11"/>
      <c r="EJ799" s="11"/>
      <c r="EK799" s="11"/>
      <c r="EL799" s="11"/>
      <c r="EM799" s="11"/>
      <c r="EN799" s="11"/>
      <c r="EO799" s="11"/>
      <c r="EP799" s="11"/>
      <c r="EQ799" s="11"/>
      <c r="ER799" s="11"/>
      <c r="ES799" s="11"/>
      <c r="ET799" s="11"/>
      <c r="EU799" s="11"/>
      <c r="EV799" s="11"/>
      <c r="EW799" s="11"/>
      <c r="EX799" s="11"/>
      <c r="EY799" s="11"/>
      <c r="EZ799" s="11"/>
      <c r="FA799" s="11"/>
      <c r="FB799" s="11"/>
      <c r="FC799" s="11"/>
      <c r="FD799" s="11"/>
      <c r="FE799" s="11"/>
      <c r="FF799" s="11"/>
      <c r="FG799" s="11"/>
      <c r="FH799" s="39">
        <f t="shared" si="189"/>
        <v>8840817.8133333325</v>
      </c>
      <c r="FI799" s="33">
        <f t="shared" si="190"/>
        <v>2</v>
      </c>
      <c r="FJ799" s="84">
        <f t="shared" si="191"/>
        <v>4420408.9066666663</v>
      </c>
    </row>
    <row r="800" spans="1:166" ht="40.5" x14ac:dyDescent="0.25">
      <c r="A800" s="79" t="e">
        <f>#REF!</f>
        <v>#REF!</v>
      </c>
      <c r="B800" s="75" t="e">
        <f>#REF!</f>
        <v>#REF!</v>
      </c>
      <c r="C800" s="75" t="e">
        <f>#REF!</f>
        <v>#REF!</v>
      </c>
      <c r="D800" s="75" t="e">
        <f>#REF!</f>
        <v>#REF!</v>
      </c>
      <c r="E800" s="30">
        <v>1</v>
      </c>
      <c r="F800" s="238">
        <v>0</v>
      </c>
      <c r="G800" s="241">
        <v>0</v>
      </c>
      <c r="H800" s="249">
        <v>0</v>
      </c>
      <c r="I800" s="249">
        <v>0</v>
      </c>
      <c r="J800" s="249">
        <v>0</v>
      </c>
      <c r="K800" s="249">
        <v>0</v>
      </c>
      <c r="L800" s="274"/>
      <c r="M800" s="274"/>
      <c r="N800" s="246"/>
      <c r="O800" s="118"/>
      <c r="P800" s="118"/>
      <c r="Q800" s="52"/>
      <c r="R800" s="52"/>
      <c r="S800" s="5"/>
      <c r="T800" s="118"/>
      <c r="U800" s="118"/>
      <c r="V800" s="118"/>
      <c r="W800" s="11"/>
      <c r="X800" s="11"/>
      <c r="Y800" s="11"/>
      <c r="Z800" s="118"/>
      <c r="AA800" s="118"/>
      <c r="AB800" s="118"/>
      <c r="AC800" s="52"/>
      <c r="AD800" s="52"/>
      <c r="AE800" s="11"/>
      <c r="AF800" s="118"/>
      <c r="AG800" s="118"/>
      <c r="AH800" s="118"/>
      <c r="AI800" s="11"/>
      <c r="AJ800" s="11"/>
      <c r="AK800" s="11"/>
      <c r="AL800" s="118"/>
      <c r="AM800" s="118"/>
      <c r="AN800" s="118"/>
      <c r="AO800" s="76"/>
      <c r="AP800" s="11"/>
      <c r="AQ800" s="11"/>
      <c r="AR800" s="274"/>
      <c r="AS800" s="274"/>
      <c r="AT800" s="274"/>
      <c r="AU800" s="62"/>
      <c r="AV800" s="48"/>
      <c r="AW800" s="11"/>
      <c r="AX800" s="274"/>
      <c r="AY800" s="274"/>
      <c r="AZ800" s="274"/>
      <c r="BA800" s="11"/>
      <c r="BB800" s="11"/>
      <c r="BC800" s="11"/>
      <c r="BD800" s="274"/>
      <c r="BE800" s="274"/>
      <c r="BF800" s="274"/>
      <c r="BG800" s="11"/>
      <c r="BH800" s="11"/>
      <c r="BI800" s="11"/>
      <c r="BJ800" s="274"/>
      <c r="BK800" s="274"/>
      <c r="BL800" s="274"/>
      <c r="BM800" s="11"/>
      <c r="BN800" s="11"/>
      <c r="BO800" s="11"/>
      <c r="BP800" s="274"/>
      <c r="BQ800" s="11"/>
      <c r="BR800" s="11"/>
      <c r="BS800" s="11"/>
      <c r="BT800" s="11"/>
      <c r="BU800" s="11"/>
      <c r="BV800" s="263">
        <f>+(671600/250)*200</f>
        <v>537280</v>
      </c>
      <c r="BW800" s="144">
        <f t="shared" si="194"/>
        <v>102083.2</v>
      </c>
      <c r="BX800" s="113">
        <f t="shared" si="195"/>
        <v>639363.19999999995</v>
      </c>
      <c r="BY800" s="272" t="s">
        <v>312</v>
      </c>
      <c r="BZ800" s="272" t="s">
        <v>548</v>
      </c>
      <c r="CA800" s="11"/>
      <c r="CB800" s="274"/>
      <c r="CC800" s="274"/>
      <c r="CD800" s="274"/>
      <c r="CE800" s="11"/>
      <c r="CF800" s="11"/>
      <c r="CG800" s="11"/>
      <c r="CH800" s="263">
        <f>+(685032/250)*200</f>
        <v>548025.59999999998</v>
      </c>
      <c r="CI800" s="265">
        <f t="shared" si="196"/>
        <v>104124.864</v>
      </c>
      <c r="CJ800" s="263">
        <f t="shared" si="197"/>
        <v>652150.46399999992</v>
      </c>
      <c r="CK800" s="272" t="s">
        <v>312</v>
      </c>
      <c r="CL800" s="272" t="s">
        <v>548</v>
      </c>
      <c r="CM800" s="11"/>
      <c r="CN800" s="11"/>
      <c r="CO800" s="11"/>
      <c r="CP800" s="11"/>
      <c r="CQ800" s="11"/>
      <c r="CR800" s="11"/>
      <c r="CS800" s="11"/>
      <c r="CT800" s="11"/>
      <c r="CU800" s="11"/>
      <c r="CV800" s="11"/>
      <c r="CW800" s="11"/>
      <c r="CX800" s="11"/>
      <c r="CY800" s="11"/>
      <c r="CZ800" s="118"/>
      <c r="DA800" s="118"/>
      <c r="DB800" s="118"/>
      <c r="DC800" s="11"/>
      <c r="DD800" s="11"/>
      <c r="DE800" s="32"/>
      <c r="DF800" s="11"/>
      <c r="DG800" s="11"/>
      <c r="DH800" s="11"/>
      <c r="DI800" s="11"/>
      <c r="DJ800" s="11"/>
      <c r="DK800" s="11"/>
      <c r="DL800" s="11"/>
      <c r="DM800" s="11"/>
      <c r="DN800" s="11"/>
      <c r="DO800" s="11"/>
      <c r="DP800" s="11"/>
      <c r="DQ800" s="11"/>
      <c r="DR800" s="11"/>
      <c r="DS800" s="11"/>
      <c r="DT800" s="11"/>
      <c r="DU800" s="11"/>
      <c r="DV800" s="11"/>
      <c r="DW800" s="11"/>
      <c r="DX800" s="11"/>
      <c r="DY800" s="11"/>
      <c r="DZ800" s="11"/>
      <c r="EA800" s="11"/>
      <c r="EB800" s="11"/>
      <c r="EC800" s="11"/>
      <c r="ED800" s="11"/>
      <c r="EE800" s="11"/>
      <c r="EF800" s="11"/>
      <c r="EG800" s="11"/>
      <c r="EH800" s="11"/>
      <c r="EI800" s="11"/>
      <c r="EJ800" s="11"/>
      <c r="EK800" s="11"/>
      <c r="EL800" s="11"/>
      <c r="EM800" s="11"/>
      <c r="EN800" s="11"/>
      <c r="EO800" s="11"/>
      <c r="EP800" s="11"/>
      <c r="EQ800" s="11"/>
      <c r="ER800" s="11"/>
      <c r="ES800" s="11"/>
      <c r="ET800" s="11"/>
      <c r="EU800" s="11"/>
      <c r="EV800" s="11"/>
      <c r="EW800" s="11"/>
      <c r="EX800" s="11"/>
      <c r="EY800" s="11"/>
      <c r="EZ800" s="11"/>
      <c r="FA800" s="11"/>
      <c r="FB800" s="11"/>
      <c r="FC800" s="11"/>
      <c r="FD800" s="11"/>
      <c r="FE800" s="11"/>
      <c r="FF800" s="11"/>
      <c r="FG800" s="11"/>
      <c r="FH800" s="39">
        <f t="shared" si="189"/>
        <v>1291513.6639999999</v>
      </c>
      <c r="FI800" s="33">
        <f t="shared" si="190"/>
        <v>2</v>
      </c>
      <c r="FJ800" s="84">
        <f t="shared" si="191"/>
        <v>645756.83199999994</v>
      </c>
    </row>
    <row r="801" spans="1:166" ht="40.5" x14ac:dyDescent="0.25">
      <c r="A801" s="79" t="e">
        <f>#REF!</f>
        <v>#REF!</v>
      </c>
      <c r="B801" s="75" t="e">
        <f>#REF!</f>
        <v>#REF!</v>
      </c>
      <c r="C801" s="75" t="e">
        <f>#REF!</f>
        <v>#REF!</v>
      </c>
      <c r="D801" s="75" t="e">
        <f>#REF!</f>
        <v>#REF!</v>
      </c>
      <c r="E801" s="30">
        <v>1</v>
      </c>
      <c r="F801" s="238">
        <v>0</v>
      </c>
      <c r="G801" s="241">
        <v>0</v>
      </c>
      <c r="H801" s="249">
        <v>0</v>
      </c>
      <c r="I801" s="249">
        <v>0</v>
      </c>
      <c r="J801" s="249">
        <v>0</v>
      </c>
      <c r="K801" s="249">
        <v>0</v>
      </c>
      <c r="L801" s="274"/>
      <c r="M801" s="274"/>
      <c r="N801" s="246"/>
      <c r="O801" s="118"/>
      <c r="P801" s="118"/>
      <c r="Q801" s="52"/>
      <c r="R801" s="52"/>
      <c r="S801" s="5"/>
      <c r="T801" s="118"/>
      <c r="U801" s="118"/>
      <c r="V801" s="118"/>
      <c r="W801" s="11"/>
      <c r="X801" s="11"/>
      <c r="Y801" s="11"/>
      <c r="Z801" s="118"/>
      <c r="AA801" s="118"/>
      <c r="AB801" s="118"/>
      <c r="AC801" s="52"/>
      <c r="AD801" s="52"/>
      <c r="AE801" s="11"/>
      <c r="AF801" s="118"/>
      <c r="AG801" s="118"/>
      <c r="AH801" s="118"/>
      <c r="AI801" s="11"/>
      <c r="AJ801" s="11"/>
      <c r="AK801" s="11"/>
      <c r="AL801" s="118"/>
      <c r="AM801" s="118"/>
      <c r="AN801" s="118"/>
      <c r="AO801" s="76"/>
      <c r="AP801" s="11"/>
      <c r="AQ801" s="11"/>
      <c r="AR801" s="274"/>
      <c r="AS801" s="274"/>
      <c r="AT801" s="274"/>
      <c r="AU801" s="62"/>
      <c r="AV801" s="48"/>
      <c r="AW801" s="11"/>
      <c r="AX801" s="274"/>
      <c r="AY801" s="274"/>
      <c r="AZ801" s="274"/>
      <c r="BA801" s="11"/>
      <c r="BB801" s="11"/>
      <c r="BC801" s="11"/>
      <c r="BD801" s="274"/>
      <c r="BE801" s="274"/>
      <c r="BF801" s="274"/>
      <c r="BG801" s="11"/>
      <c r="BH801" s="11"/>
      <c r="BI801" s="11"/>
      <c r="BJ801" s="274"/>
      <c r="BK801" s="274"/>
      <c r="BL801" s="274"/>
      <c r="BM801" s="11"/>
      <c r="BN801" s="11"/>
      <c r="BO801" s="11"/>
      <c r="BP801" s="274"/>
      <c r="BQ801" s="11"/>
      <c r="BR801" s="11"/>
      <c r="BS801" s="11"/>
      <c r="BT801" s="11"/>
      <c r="BU801" s="11"/>
      <c r="BV801" s="263">
        <v>1518400</v>
      </c>
      <c r="BW801" s="144">
        <f t="shared" si="194"/>
        <v>288496</v>
      </c>
      <c r="BX801" s="113">
        <f t="shared" si="195"/>
        <v>1806896</v>
      </c>
      <c r="BY801" s="272" t="s">
        <v>312</v>
      </c>
      <c r="BZ801" s="272" t="s">
        <v>548</v>
      </c>
      <c r="CA801" s="11"/>
      <c r="CB801" s="274"/>
      <c r="CC801" s="274"/>
      <c r="CD801" s="274"/>
      <c r="CE801" s="11"/>
      <c r="CF801" s="11"/>
      <c r="CG801" s="11"/>
      <c r="CH801" s="263">
        <v>1548768</v>
      </c>
      <c r="CI801" s="265">
        <f t="shared" si="196"/>
        <v>294265.92</v>
      </c>
      <c r="CJ801" s="263">
        <f t="shared" si="197"/>
        <v>1843033.92</v>
      </c>
      <c r="CK801" s="272" t="s">
        <v>312</v>
      </c>
      <c r="CL801" s="272" t="s">
        <v>548</v>
      </c>
      <c r="CM801" s="11"/>
      <c r="CN801" s="11"/>
      <c r="CO801" s="11"/>
      <c r="CP801" s="11"/>
      <c r="CQ801" s="11"/>
      <c r="CR801" s="11"/>
      <c r="CS801" s="11"/>
      <c r="CT801" s="11"/>
      <c r="CU801" s="11"/>
      <c r="CV801" s="11"/>
      <c r="CW801" s="11"/>
      <c r="CX801" s="11"/>
      <c r="CY801" s="11"/>
      <c r="CZ801" s="118"/>
      <c r="DA801" s="118"/>
      <c r="DB801" s="118"/>
      <c r="DC801" s="11"/>
      <c r="DD801" s="11"/>
      <c r="DE801" s="32"/>
      <c r="DF801" s="11"/>
      <c r="DG801" s="11"/>
      <c r="DH801" s="11"/>
      <c r="DI801" s="11"/>
      <c r="DJ801" s="11"/>
      <c r="DK801" s="11"/>
      <c r="DL801" s="11"/>
      <c r="DM801" s="11"/>
      <c r="DN801" s="11"/>
      <c r="DO801" s="11"/>
      <c r="DP801" s="11"/>
      <c r="DQ801" s="11"/>
      <c r="DR801" s="11"/>
      <c r="DS801" s="11"/>
      <c r="DT801" s="11"/>
      <c r="DU801" s="11"/>
      <c r="DV801" s="11"/>
      <c r="DW801" s="11"/>
      <c r="DX801" s="11"/>
      <c r="DY801" s="11"/>
      <c r="DZ801" s="11"/>
      <c r="EA801" s="11"/>
      <c r="EB801" s="11"/>
      <c r="EC801" s="11"/>
      <c r="ED801" s="11"/>
      <c r="EE801" s="11"/>
      <c r="EF801" s="11"/>
      <c r="EG801" s="11"/>
      <c r="EH801" s="11"/>
      <c r="EI801" s="11"/>
      <c r="EJ801" s="11"/>
      <c r="EK801" s="11"/>
      <c r="EL801" s="11"/>
      <c r="EM801" s="11"/>
      <c r="EN801" s="11"/>
      <c r="EO801" s="11"/>
      <c r="EP801" s="11"/>
      <c r="EQ801" s="11"/>
      <c r="ER801" s="11"/>
      <c r="ES801" s="11"/>
      <c r="ET801" s="11"/>
      <c r="EU801" s="11"/>
      <c r="EV801" s="11"/>
      <c r="EW801" s="11"/>
      <c r="EX801" s="11"/>
      <c r="EY801" s="11"/>
      <c r="EZ801" s="11"/>
      <c r="FA801" s="11"/>
      <c r="FB801" s="11"/>
      <c r="FC801" s="11"/>
      <c r="FD801" s="11"/>
      <c r="FE801" s="11"/>
      <c r="FF801" s="11"/>
      <c r="FG801" s="11"/>
      <c r="FH801" s="39">
        <f t="shared" si="189"/>
        <v>3649929.92</v>
      </c>
      <c r="FI801" s="33">
        <f t="shared" si="190"/>
        <v>2</v>
      </c>
      <c r="FJ801" s="84">
        <f t="shared" si="191"/>
        <v>1824964.96</v>
      </c>
    </row>
    <row r="802" spans="1:166" ht="40.5" x14ac:dyDescent="0.25">
      <c r="A802" s="79" t="e">
        <f>#REF!</f>
        <v>#REF!</v>
      </c>
      <c r="B802" s="75" t="e">
        <f>#REF!</f>
        <v>#REF!</v>
      </c>
      <c r="C802" s="75" t="e">
        <f>#REF!</f>
        <v>#REF!</v>
      </c>
      <c r="D802" s="75" t="e">
        <f>#REF!</f>
        <v>#REF!</v>
      </c>
      <c r="E802" s="30">
        <v>1</v>
      </c>
      <c r="F802" s="238">
        <v>0</v>
      </c>
      <c r="G802" s="241">
        <v>0</v>
      </c>
      <c r="H802" s="249">
        <v>0</v>
      </c>
      <c r="I802" s="249">
        <v>0</v>
      </c>
      <c r="J802" s="249">
        <v>0</v>
      </c>
      <c r="K802" s="249">
        <v>0</v>
      </c>
      <c r="L802" s="274"/>
      <c r="M802" s="274"/>
      <c r="N802" s="246"/>
      <c r="O802" s="118"/>
      <c r="P802" s="118"/>
      <c r="Q802" s="52"/>
      <c r="R802" s="52"/>
      <c r="S802" s="5"/>
      <c r="T802" s="118"/>
      <c r="U802" s="118"/>
      <c r="V802" s="118"/>
      <c r="W802" s="11"/>
      <c r="X802" s="11"/>
      <c r="Y802" s="11"/>
      <c r="Z802" s="118"/>
      <c r="AA802" s="118"/>
      <c r="AB802" s="118"/>
      <c r="AC802" s="52"/>
      <c r="AD802" s="52"/>
      <c r="AE802" s="11"/>
      <c r="AF802" s="118"/>
      <c r="AG802" s="118"/>
      <c r="AH802" s="118"/>
      <c r="AI802" s="11"/>
      <c r="AJ802" s="11"/>
      <c r="AK802" s="11"/>
      <c r="AL802" s="118"/>
      <c r="AM802" s="118"/>
      <c r="AN802" s="118"/>
      <c r="AO802" s="76"/>
      <c r="AP802" s="11"/>
      <c r="AQ802" s="11"/>
      <c r="AR802" s="274"/>
      <c r="AS802" s="274"/>
      <c r="AT802" s="274"/>
      <c r="AU802" s="62"/>
      <c r="AV802" s="48"/>
      <c r="AW802" s="11"/>
      <c r="AX802" s="274"/>
      <c r="AY802" s="274"/>
      <c r="AZ802" s="274"/>
      <c r="BA802" s="11"/>
      <c r="BB802" s="11"/>
      <c r="BC802" s="11"/>
      <c r="BD802" s="274"/>
      <c r="BE802" s="274"/>
      <c r="BF802" s="274"/>
      <c r="BG802" s="11"/>
      <c r="BH802" s="11"/>
      <c r="BI802" s="11"/>
      <c r="BJ802" s="274"/>
      <c r="BK802" s="274"/>
      <c r="BL802" s="274"/>
      <c r="BM802" s="11"/>
      <c r="BN802" s="11"/>
      <c r="BO802" s="11"/>
      <c r="BP802" s="274"/>
      <c r="BQ802" s="11"/>
      <c r="BR802" s="11"/>
      <c r="BS802" s="11"/>
      <c r="BT802" s="11"/>
      <c r="BU802" s="11"/>
      <c r="BV802" s="268">
        <f>7900000/5</f>
        <v>1580000</v>
      </c>
      <c r="BW802" s="144">
        <f t="shared" si="194"/>
        <v>300200</v>
      </c>
      <c r="BX802" s="113">
        <f t="shared" si="195"/>
        <v>1880200</v>
      </c>
      <c r="BY802" s="272" t="s">
        <v>567</v>
      </c>
      <c r="BZ802" s="272" t="s">
        <v>548</v>
      </c>
      <c r="CA802" s="11"/>
      <c r="CB802" s="274"/>
      <c r="CC802" s="274"/>
      <c r="CD802" s="274"/>
      <c r="CE802" s="11"/>
      <c r="CF802" s="11"/>
      <c r="CG802" s="11"/>
      <c r="CH802" s="268">
        <f>+(110603760/20)</f>
        <v>5530188</v>
      </c>
      <c r="CI802" s="265">
        <f t="shared" si="196"/>
        <v>1050735.72</v>
      </c>
      <c r="CJ802" s="263">
        <f t="shared" si="197"/>
        <v>6580923.7199999997</v>
      </c>
      <c r="CK802" s="272" t="s">
        <v>568</v>
      </c>
      <c r="CL802" s="272" t="s">
        <v>569</v>
      </c>
      <c r="CM802" s="11"/>
      <c r="CN802" s="11"/>
      <c r="CO802" s="11"/>
      <c r="CP802" s="11"/>
      <c r="CQ802" s="11"/>
      <c r="CR802" s="11"/>
      <c r="CS802" s="11"/>
      <c r="CT802" s="11"/>
      <c r="CU802" s="11"/>
      <c r="CV802" s="11"/>
      <c r="CW802" s="11"/>
      <c r="CX802" s="11"/>
      <c r="CY802" s="11"/>
      <c r="CZ802" s="118"/>
      <c r="DA802" s="118"/>
      <c r="DB802" s="118"/>
      <c r="DC802" s="11"/>
      <c r="DD802" s="11"/>
      <c r="DE802" s="32"/>
      <c r="DF802" s="11"/>
      <c r="DG802" s="11"/>
      <c r="DH802" s="11"/>
      <c r="DI802" s="11"/>
      <c r="DJ802" s="11"/>
      <c r="DK802" s="11"/>
      <c r="DL802" s="11"/>
      <c r="DM802" s="11"/>
      <c r="DN802" s="11"/>
      <c r="DO802" s="11"/>
      <c r="DP802" s="11"/>
      <c r="DQ802" s="11"/>
      <c r="DR802" s="11"/>
      <c r="DS802" s="11"/>
      <c r="DT802" s="11"/>
      <c r="DU802" s="11"/>
      <c r="DV802" s="11"/>
      <c r="DW802" s="11"/>
      <c r="DX802" s="11"/>
      <c r="DY802" s="11"/>
      <c r="DZ802" s="11"/>
      <c r="EA802" s="11"/>
      <c r="EB802" s="11"/>
      <c r="EC802" s="11"/>
      <c r="ED802" s="11"/>
      <c r="EE802" s="11"/>
      <c r="EF802" s="11"/>
      <c r="EG802" s="11"/>
      <c r="EH802" s="11"/>
      <c r="EI802" s="11"/>
      <c r="EJ802" s="11"/>
      <c r="EK802" s="11"/>
      <c r="EL802" s="11"/>
      <c r="EM802" s="11"/>
      <c r="EN802" s="11"/>
      <c r="EO802" s="11"/>
      <c r="EP802" s="11"/>
      <c r="EQ802" s="11"/>
      <c r="ER802" s="11"/>
      <c r="ES802" s="11"/>
      <c r="ET802" s="11"/>
      <c r="EU802" s="11"/>
      <c r="EV802" s="11"/>
      <c r="EW802" s="11"/>
      <c r="EX802" s="11"/>
      <c r="EY802" s="11"/>
      <c r="EZ802" s="11"/>
      <c r="FA802" s="11"/>
      <c r="FB802" s="11"/>
      <c r="FC802" s="11"/>
      <c r="FD802" s="11"/>
      <c r="FE802" s="11"/>
      <c r="FF802" s="11"/>
      <c r="FG802" s="11"/>
      <c r="FH802" s="39">
        <f t="shared" si="189"/>
        <v>8461123.7199999988</v>
      </c>
      <c r="FI802" s="33">
        <f t="shared" si="190"/>
        <v>2</v>
      </c>
      <c r="FJ802" s="84">
        <f t="shared" si="191"/>
        <v>4230561.8599999994</v>
      </c>
    </row>
    <row r="803" spans="1:166" ht="40.5" x14ac:dyDescent="0.25">
      <c r="A803" s="79" t="e">
        <f>#REF!</f>
        <v>#REF!</v>
      </c>
      <c r="B803" s="75" t="e">
        <f>#REF!</f>
        <v>#REF!</v>
      </c>
      <c r="C803" s="75" t="e">
        <f>#REF!</f>
        <v>#REF!</v>
      </c>
      <c r="D803" s="75" t="e">
        <f>#REF!</f>
        <v>#REF!</v>
      </c>
      <c r="E803" s="30">
        <v>1</v>
      </c>
      <c r="F803" s="238">
        <v>0</v>
      </c>
      <c r="G803" s="241">
        <v>0</v>
      </c>
      <c r="H803" s="249">
        <v>0</v>
      </c>
      <c r="I803" s="249">
        <v>0</v>
      </c>
      <c r="J803" s="249">
        <v>0</v>
      </c>
      <c r="K803" s="249">
        <v>0</v>
      </c>
      <c r="L803" s="274"/>
      <c r="M803" s="274"/>
      <c r="N803" s="246"/>
      <c r="O803" s="118"/>
      <c r="P803" s="118"/>
      <c r="Q803" s="52"/>
      <c r="R803" s="52"/>
      <c r="S803" s="5"/>
      <c r="T803" s="118"/>
      <c r="U803" s="118"/>
      <c r="V803" s="118"/>
      <c r="W803" s="11"/>
      <c r="X803" s="11"/>
      <c r="Y803" s="11"/>
      <c r="Z803" s="118"/>
      <c r="AA803" s="118"/>
      <c r="AB803" s="118"/>
      <c r="AC803" s="52"/>
      <c r="AD803" s="52"/>
      <c r="AE803" s="11"/>
      <c r="AF803" s="118"/>
      <c r="AG803" s="118"/>
      <c r="AH803" s="118"/>
      <c r="AI803" s="11"/>
      <c r="AJ803" s="11"/>
      <c r="AK803" s="11"/>
      <c r="AL803" s="118"/>
      <c r="AM803" s="118"/>
      <c r="AN803" s="118"/>
      <c r="AO803" s="76"/>
      <c r="AP803" s="11"/>
      <c r="AQ803" s="11"/>
      <c r="AR803" s="274"/>
      <c r="AS803" s="274"/>
      <c r="AT803" s="274"/>
      <c r="AU803" s="62"/>
      <c r="AV803" s="48"/>
      <c r="AW803" s="11"/>
      <c r="AX803" s="274"/>
      <c r="AY803" s="274"/>
      <c r="AZ803" s="274"/>
      <c r="BA803" s="11"/>
      <c r="BB803" s="11"/>
      <c r="BC803" s="11"/>
      <c r="BD803" s="274"/>
      <c r="BE803" s="274"/>
      <c r="BF803" s="274"/>
      <c r="BG803" s="11"/>
      <c r="BH803" s="11"/>
      <c r="BI803" s="11"/>
      <c r="BJ803" s="274"/>
      <c r="BK803" s="274"/>
      <c r="BL803" s="274"/>
      <c r="BM803" s="11"/>
      <c r="BN803" s="11"/>
      <c r="BO803" s="11"/>
      <c r="BP803" s="274"/>
      <c r="BQ803" s="11"/>
      <c r="BR803" s="11"/>
      <c r="BS803" s="11"/>
      <c r="BT803" s="11"/>
      <c r="BU803" s="11"/>
      <c r="BV803" s="263">
        <f>+(1883400/250)*200</f>
        <v>1506720</v>
      </c>
      <c r="BW803" s="144">
        <f t="shared" si="194"/>
        <v>286276.8</v>
      </c>
      <c r="BX803" s="113">
        <f t="shared" si="195"/>
        <v>1792996.8</v>
      </c>
      <c r="BY803" s="272" t="s">
        <v>312</v>
      </c>
      <c r="BZ803" s="272" t="s">
        <v>548</v>
      </c>
      <c r="CA803" s="11"/>
      <c r="CB803" s="274"/>
      <c r="CC803" s="274"/>
      <c r="CD803" s="274"/>
      <c r="CE803" s="11"/>
      <c r="CF803" s="11"/>
      <c r="CG803" s="11"/>
      <c r="CH803" s="268">
        <f>+(1939902/250)*200</f>
        <v>1551921.6</v>
      </c>
      <c r="CI803" s="265">
        <f t="shared" si="196"/>
        <v>294865.10399999999</v>
      </c>
      <c r="CJ803" s="263">
        <f t="shared" si="197"/>
        <v>1846786.7040000001</v>
      </c>
      <c r="CK803" s="272" t="s">
        <v>312</v>
      </c>
      <c r="CL803" s="272" t="s">
        <v>548</v>
      </c>
      <c r="CM803" s="11"/>
      <c r="CN803" s="11"/>
      <c r="CO803" s="11"/>
      <c r="CP803" s="11"/>
      <c r="CQ803" s="11"/>
      <c r="CR803" s="11"/>
      <c r="CS803" s="11"/>
      <c r="CT803" s="11"/>
      <c r="CU803" s="11"/>
      <c r="CV803" s="11"/>
      <c r="CW803" s="11"/>
      <c r="CX803" s="11"/>
      <c r="CY803" s="11"/>
      <c r="CZ803" s="118"/>
      <c r="DA803" s="118"/>
      <c r="DB803" s="118"/>
      <c r="DC803" s="11"/>
      <c r="DD803" s="11"/>
      <c r="DE803" s="32"/>
      <c r="DF803" s="11"/>
      <c r="DG803" s="11"/>
      <c r="DH803" s="11"/>
      <c r="DI803" s="11"/>
      <c r="DJ803" s="11"/>
      <c r="DK803" s="11"/>
      <c r="DL803" s="11"/>
      <c r="DM803" s="11"/>
      <c r="DN803" s="11"/>
      <c r="DO803" s="11"/>
      <c r="DP803" s="11"/>
      <c r="DQ803" s="11"/>
      <c r="DR803" s="11"/>
      <c r="DS803" s="11"/>
      <c r="DT803" s="11"/>
      <c r="DU803" s="11"/>
      <c r="DV803" s="11"/>
      <c r="DW803" s="11"/>
      <c r="DX803" s="11"/>
      <c r="DY803" s="11"/>
      <c r="DZ803" s="11"/>
      <c r="EA803" s="11"/>
      <c r="EB803" s="11"/>
      <c r="EC803" s="11"/>
      <c r="ED803" s="11"/>
      <c r="EE803" s="11"/>
      <c r="EF803" s="11"/>
      <c r="EG803" s="11"/>
      <c r="EH803" s="11"/>
      <c r="EI803" s="11"/>
      <c r="EJ803" s="11"/>
      <c r="EK803" s="11"/>
      <c r="EL803" s="11"/>
      <c r="EM803" s="11"/>
      <c r="EN803" s="11"/>
      <c r="EO803" s="11"/>
      <c r="EP803" s="11"/>
      <c r="EQ803" s="11"/>
      <c r="ER803" s="11"/>
      <c r="ES803" s="11"/>
      <c r="ET803" s="11"/>
      <c r="EU803" s="11"/>
      <c r="EV803" s="11"/>
      <c r="EW803" s="11"/>
      <c r="EX803" s="11"/>
      <c r="EY803" s="11"/>
      <c r="EZ803" s="11"/>
      <c r="FA803" s="11"/>
      <c r="FB803" s="11"/>
      <c r="FC803" s="11"/>
      <c r="FD803" s="11"/>
      <c r="FE803" s="11"/>
      <c r="FF803" s="11"/>
      <c r="FG803" s="11"/>
      <c r="FH803" s="39">
        <f t="shared" si="189"/>
        <v>3639783.5040000002</v>
      </c>
      <c r="FI803" s="33">
        <f t="shared" si="190"/>
        <v>2</v>
      </c>
      <c r="FJ803" s="84">
        <f t="shared" si="191"/>
        <v>1819891.7520000001</v>
      </c>
    </row>
    <row r="804" spans="1:166" ht="40.5" x14ac:dyDescent="0.25">
      <c r="A804" s="79" t="e">
        <f>#REF!</f>
        <v>#REF!</v>
      </c>
      <c r="B804" s="75" t="e">
        <f>#REF!</f>
        <v>#REF!</v>
      </c>
      <c r="C804" s="75" t="e">
        <f>#REF!</f>
        <v>#REF!</v>
      </c>
      <c r="D804" s="75" t="e">
        <f>#REF!</f>
        <v>#REF!</v>
      </c>
      <c r="E804" s="30">
        <v>1</v>
      </c>
      <c r="F804" s="238">
        <v>0</v>
      </c>
      <c r="G804" s="241">
        <v>0</v>
      </c>
      <c r="H804" s="249">
        <v>0</v>
      </c>
      <c r="I804" s="249">
        <v>0</v>
      </c>
      <c r="J804" s="249">
        <v>0</v>
      </c>
      <c r="K804" s="249">
        <v>0</v>
      </c>
      <c r="L804" s="274"/>
      <c r="M804" s="274"/>
      <c r="N804" s="246"/>
      <c r="O804" s="118"/>
      <c r="P804" s="118"/>
      <c r="Q804" s="52"/>
      <c r="R804" s="52"/>
      <c r="S804" s="5"/>
      <c r="T804" s="118"/>
      <c r="U804" s="118"/>
      <c r="V804" s="118"/>
      <c r="W804" s="11"/>
      <c r="X804" s="11"/>
      <c r="Y804" s="11"/>
      <c r="Z804" s="118"/>
      <c r="AA804" s="118"/>
      <c r="AB804" s="118"/>
      <c r="AC804" s="52"/>
      <c r="AD804" s="52"/>
      <c r="AE804" s="11"/>
      <c r="AF804" s="118"/>
      <c r="AG804" s="118"/>
      <c r="AH804" s="118"/>
      <c r="AI804" s="11"/>
      <c r="AJ804" s="11"/>
      <c r="AK804" s="11"/>
      <c r="AL804" s="118"/>
      <c r="AM804" s="118"/>
      <c r="AN804" s="118"/>
      <c r="AO804" s="76"/>
      <c r="AP804" s="11"/>
      <c r="AQ804" s="11"/>
      <c r="AR804" s="274"/>
      <c r="AS804" s="274"/>
      <c r="AT804" s="274"/>
      <c r="AU804" s="62"/>
      <c r="AV804" s="48"/>
      <c r="AW804" s="11"/>
      <c r="AX804" s="274"/>
      <c r="AY804" s="274"/>
      <c r="AZ804" s="274"/>
      <c r="BA804" s="11"/>
      <c r="BB804" s="11"/>
      <c r="BC804" s="11"/>
      <c r="BD804" s="274"/>
      <c r="BE804" s="274"/>
      <c r="BF804" s="274"/>
      <c r="BG804" s="11"/>
      <c r="BH804" s="11"/>
      <c r="BI804" s="11"/>
      <c r="BJ804" s="274"/>
      <c r="BK804" s="274"/>
      <c r="BL804" s="274"/>
      <c r="BM804" s="11"/>
      <c r="BN804" s="11"/>
      <c r="BO804" s="11"/>
      <c r="BP804" s="274"/>
      <c r="BQ804" s="11"/>
      <c r="BR804" s="11"/>
      <c r="BS804" s="11"/>
      <c r="BT804" s="11"/>
      <c r="BU804" s="11"/>
      <c r="BV804" s="268">
        <f>+(48180000/20)</f>
        <v>2409000</v>
      </c>
      <c r="BW804" s="144">
        <f t="shared" si="194"/>
        <v>457710</v>
      </c>
      <c r="BX804" s="113">
        <f t="shared" si="195"/>
        <v>2866710</v>
      </c>
      <c r="BY804" s="272" t="s">
        <v>568</v>
      </c>
      <c r="BZ804" s="272" t="s">
        <v>548</v>
      </c>
      <c r="CA804" s="11"/>
      <c r="CB804" s="274"/>
      <c r="CC804" s="274"/>
      <c r="CD804" s="274"/>
      <c r="CE804" s="11"/>
      <c r="CF804" s="11"/>
      <c r="CG804" s="11"/>
      <c r="CH804" s="268">
        <f>+(51552600/20)</f>
        <v>2577630</v>
      </c>
      <c r="CI804" s="265">
        <f t="shared" si="196"/>
        <v>489749.7</v>
      </c>
      <c r="CJ804" s="263">
        <f t="shared" si="197"/>
        <v>3067379.7</v>
      </c>
      <c r="CK804" s="272" t="s">
        <v>568</v>
      </c>
      <c r="CL804" s="272" t="s">
        <v>548</v>
      </c>
      <c r="CM804" s="11"/>
      <c r="CN804" s="11"/>
      <c r="CO804" s="11"/>
      <c r="CP804" s="11"/>
      <c r="CQ804" s="11"/>
      <c r="CR804" s="11"/>
      <c r="CS804" s="11"/>
      <c r="CT804" s="11"/>
      <c r="CU804" s="11"/>
      <c r="CV804" s="11"/>
      <c r="CW804" s="11"/>
      <c r="CX804" s="11"/>
      <c r="CY804" s="11"/>
      <c r="CZ804" s="118"/>
      <c r="DA804" s="118"/>
      <c r="DB804" s="118"/>
      <c r="DC804" s="11"/>
      <c r="DD804" s="11"/>
      <c r="DE804" s="32"/>
      <c r="DF804" s="11"/>
      <c r="DG804" s="11"/>
      <c r="DH804" s="11"/>
      <c r="DI804" s="11"/>
      <c r="DJ804" s="11"/>
      <c r="DK804" s="11"/>
      <c r="DL804" s="11"/>
      <c r="DM804" s="11"/>
      <c r="DN804" s="11"/>
      <c r="DO804" s="11"/>
      <c r="DP804" s="11"/>
      <c r="DQ804" s="11"/>
      <c r="DR804" s="11"/>
      <c r="DS804" s="11"/>
      <c r="DT804" s="11"/>
      <c r="DU804" s="11"/>
      <c r="DV804" s="11"/>
      <c r="DW804" s="11"/>
      <c r="DX804" s="11"/>
      <c r="DY804" s="11"/>
      <c r="DZ804" s="11"/>
      <c r="EA804" s="11"/>
      <c r="EB804" s="11"/>
      <c r="EC804" s="11"/>
      <c r="ED804" s="11"/>
      <c r="EE804" s="11"/>
      <c r="EF804" s="11"/>
      <c r="EG804" s="11"/>
      <c r="EH804" s="11"/>
      <c r="EI804" s="11"/>
      <c r="EJ804" s="11"/>
      <c r="EK804" s="11"/>
      <c r="EL804" s="11"/>
      <c r="EM804" s="11"/>
      <c r="EN804" s="11"/>
      <c r="EO804" s="11"/>
      <c r="EP804" s="11"/>
      <c r="EQ804" s="11"/>
      <c r="ER804" s="11"/>
      <c r="ES804" s="11"/>
      <c r="ET804" s="11"/>
      <c r="EU804" s="11"/>
      <c r="EV804" s="11"/>
      <c r="EW804" s="11"/>
      <c r="EX804" s="11"/>
      <c r="EY804" s="11"/>
      <c r="EZ804" s="11"/>
      <c r="FA804" s="11"/>
      <c r="FB804" s="11"/>
      <c r="FC804" s="11"/>
      <c r="FD804" s="11"/>
      <c r="FE804" s="11"/>
      <c r="FF804" s="11"/>
      <c r="FG804" s="11"/>
      <c r="FH804" s="39">
        <f t="shared" si="189"/>
        <v>5934089.7000000002</v>
      </c>
      <c r="FI804" s="33">
        <f t="shared" si="190"/>
        <v>2</v>
      </c>
      <c r="FJ804" s="84">
        <f t="shared" si="191"/>
        <v>2967044.85</v>
      </c>
    </row>
    <row r="805" spans="1:166" ht="41.25" thickBot="1" x14ac:dyDescent="0.3">
      <c r="A805" s="79" t="e">
        <f>#REF!</f>
        <v>#REF!</v>
      </c>
      <c r="B805" s="75" t="e">
        <f>#REF!</f>
        <v>#REF!</v>
      </c>
      <c r="C805" s="75" t="e">
        <f>#REF!</f>
        <v>#REF!</v>
      </c>
      <c r="D805" s="75" t="e">
        <f>#REF!</f>
        <v>#REF!</v>
      </c>
      <c r="E805" s="30">
        <v>1</v>
      </c>
      <c r="F805" s="239">
        <v>0</v>
      </c>
      <c r="G805" s="243">
        <v>0</v>
      </c>
      <c r="H805" s="249">
        <v>0</v>
      </c>
      <c r="I805" s="249">
        <v>0</v>
      </c>
      <c r="J805" s="249">
        <v>0</v>
      </c>
      <c r="K805" s="249">
        <v>0</v>
      </c>
      <c r="L805" s="274"/>
      <c r="M805" s="274"/>
      <c r="N805" s="246"/>
      <c r="O805" s="118"/>
      <c r="P805" s="118"/>
      <c r="Q805" s="52"/>
      <c r="R805" s="52"/>
      <c r="S805" s="5"/>
      <c r="T805" s="118"/>
      <c r="U805" s="118"/>
      <c r="V805" s="118"/>
      <c r="W805" s="11"/>
      <c r="X805" s="11"/>
      <c r="Y805" s="11"/>
      <c r="Z805" s="118"/>
      <c r="AA805" s="118"/>
      <c r="AB805" s="118"/>
      <c r="AC805" s="52"/>
      <c r="AD805" s="52"/>
      <c r="AE805" s="11"/>
      <c r="AF805" s="118"/>
      <c r="AG805" s="118"/>
      <c r="AH805" s="118"/>
      <c r="AI805" s="11"/>
      <c r="AJ805" s="11"/>
      <c r="AK805" s="11"/>
      <c r="AL805" s="118"/>
      <c r="AM805" s="118"/>
      <c r="AN805" s="118"/>
      <c r="AO805" s="76"/>
      <c r="AP805" s="11"/>
      <c r="AQ805" s="11"/>
      <c r="AR805" s="274"/>
      <c r="AS805" s="274"/>
      <c r="AT805" s="274"/>
      <c r="AU805" s="62"/>
      <c r="AV805" s="48"/>
      <c r="AW805" s="11"/>
      <c r="AX805" s="274"/>
      <c r="AY805" s="274"/>
      <c r="AZ805" s="274"/>
      <c r="BA805" s="11"/>
      <c r="BB805" s="11"/>
      <c r="BC805" s="11"/>
      <c r="BD805" s="274"/>
      <c r="BE805" s="274"/>
      <c r="BF805" s="274"/>
      <c r="BG805" s="11"/>
      <c r="BH805" s="11"/>
      <c r="BI805" s="11"/>
      <c r="BJ805" s="274"/>
      <c r="BK805" s="274"/>
      <c r="BL805" s="274"/>
      <c r="BM805" s="11"/>
      <c r="BN805" s="11"/>
      <c r="BO805" s="11"/>
      <c r="BP805" s="274"/>
      <c r="BQ805" s="11"/>
      <c r="BR805" s="11"/>
      <c r="BS805" s="11"/>
      <c r="BT805" s="11"/>
      <c r="BU805" s="11"/>
      <c r="BV805" s="263">
        <f>+(1109600/250)*200</f>
        <v>887679.99999999988</v>
      </c>
      <c r="BW805" s="144">
        <f t="shared" si="194"/>
        <v>168659.19999999998</v>
      </c>
      <c r="BX805" s="113">
        <f t="shared" si="195"/>
        <v>1056339.2</v>
      </c>
      <c r="BY805" s="272" t="s">
        <v>312</v>
      </c>
      <c r="BZ805" s="272" t="s">
        <v>548</v>
      </c>
      <c r="CA805" s="11"/>
      <c r="CB805" s="274"/>
      <c r="CC805" s="274"/>
      <c r="CD805" s="274"/>
      <c r="CE805" s="11"/>
      <c r="CF805" s="11"/>
      <c r="CG805" s="11"/>
      <c r="CH805" s="268">
        <f>+(1120696/250)*200</f>
        <v>896556.79999999993</v>
      </c>
      <c r="CI805" s="265">
        <f t="shared" si="196"/>
        <v>170345.79199999999</v>
      </c>
      <c r="CJ805" s="263">
        <f t="shared" si="197"/>
        <v>1066902.5919999999</v>
      </c>
      <c r="CK805" s="272" t="s">
        <v>312</v>
      </c>
      <c r="CL805" s="272" t="s">
        <v>548</v>
      </c>
      <c r="CM805" s="11"/>
      <c r="CN805" s="11"/>
      <c r="CO805" s="11"/>
      <c r="CP805" s="11"/>
      <c r="CQ805" s="11"/>
      <c r="CR805" s="11"/>
      <c r="CS805" s="11"/>
      <c r="CT805" s="11"/>
      <c r="CU805" s="11"/>
      <c r="CV805" s="11"/>
      <c r="CW805" s="11"/>
      <c r="CX805" s="11"/>
      <c r="CY805" s="11"/>
      <c r="CZ805" s="118"/>
      <c r="DA805" s="118"/>
      <c r="DB805" s="118"/>
      <c r="DC805" s="11"/>
      <c r="DD805" s="11"/>
      <c r="DE805" s="32"/>
      <c r="DF805" s="11"/>
      <c r="DG805" s="11"/>
      <c r="DH805" s="11"/>
      <c r="DI805" s="11"/>
      <c r="DJ805" s="11"/>
      <c r="DK805" s="11"/>
      <c r="DL805" s="11"/>
      <c r="DM805" s="11"/>
      <c r="DN805" s="11"/>
      <c r="DO805" s="11"/>
      <c r="DP805" s="11"/>
      <c r="DQ805" s="11"/>
      <c r="DR805" s="11"/>
      <c r="DS805" s="11"/>
      <c r="DT805" s="11"/>
      <c r="DU805" s="11"/>
      <c r="DV805" s="11"/>
      <c r="DW805" s="11"/>
      <c r="DX805" s="11"/>
      <c r="DY805" s="11"/>
      <c r="DZ805" s="11"/>
      <c r="EA805" s="11"/>
      <c r="EB805" s="11"/>
      <c r="EC805" s="11"/>
      <c r="ED805" s="11"/>
      <c r="EE805" s="11"/>
      <c r="EF805" s="11"/>
      <c r="EG805" s="11"/>
      <c r="EH805" s="11"/>
      <c r="EI805" s="11"/>
      <c r="EJ805" s="11"/>
      <c r="EK805" s="11"/>
      <c r="EL805" s="11"/>
      <c r="EM805" s="11"/>
      <c r="EN805" s="11"/>
      <c r="EO805" s="11"/>
      <c r="EP805" s="11"/>
      <c r="EQ805" s="11"/>
      <c r="ER805" s="11"/>
      <c r="ES805" s="11"/>
      <c r="ET805" s="11"/>
      <c r="EU805" s="11"/>
      <c r="EV805" s="11"/>
      <c r="EW805" s="11"/>
      <c r="EX805" s="11"/>
      <c r="EY805" s="11"/>
      <c r="EZ805" s="11"/>
      <c r="FA805" s="11"/>
      <c r="FB805" s="11"/>
      <c r="FC805" s="11"/>
      <c r="FD805" s="11"/>
      <c r="FE805" s="11"/>
      <c r="FF805" s="11"/>
      <c r="FG805" s="11"/>
      <c r="FH805" s="39">
        <f t="shared" si="189"/>
        <v>2123241.7919999999</v>
      </c>
      <c r="FI805" s="33">
        <f t="shared" si="190"/>
        <v>2</v>
      </c>
      <c r="FJ805" s="84">
        <f t="shared" si="191"/>
        <v>1061620.8959999999</v>
      </c>
    </row>
    <row r="806" spans="1:166" x14ac:dyDescent="0.25">
      <c r="P806" s="142">
        <f>SUBTOTAL(9,P3:P805)</f>
        <v>60508244</v>
      </c>
      <c r="V806" s="142">
        <f>SUBTOTAL(9,V3:V805)</f>
        <v>34899827.5</v>
      </c>
      <c r="AB806" s="142">
        <f>SUBTOTAL(9,AB3:AB805)</f>
        <v>53811000</v>
      </c>
      <c r="AH806" s="142">
        <f>SUBTOTAL(9,AH3:AH805)</f>
        <v>77577555</v>
      </c>
      <c r="AL806" s="142">
        <f>SUBTOTAL(9,AL3:AL805)</f>
        <v>58840750</v>
      </c>
      <c r="AN806" s="142">
        <f>SUBTOTAL(9,AN3:AN805)</f>
        <v>69712502.5</v>
      </c>
      <c r="AT806" s="142">
        <f>SUBTOTAL(9,AT3:AT805)</f>
        <v>177141827.11299998</v>
      </c>
      <c r="AZ806" s="142">
        <f>SUBTOTAL(9,AZ3:AZ805)</f>
        <v>16442475.915931175</v>
      </c>
      <c r="BF806" s="142">
        <f>SUBTOTAL(9,BF3:BF805)</f>
        <v>16593360</v>
      </c>
      <c r="BL806" s="142">
        <f>SUBTOTAL(9,BL3:BL805)</f>
        <v>8201837</v>
      </c>
      <c r="BR806" s="142">
        <f>SUBTOTAL(9,BR3:BR805)</f>
        <v>28922202.917999998</v>
      </c>
      <c r="BX806" s="142">
        <f>SUBTOTAL(9,BX3:BX805)</f>
        <v>1064984817.4327778</v>
      </c>
      <c r="CD806" s="142">
        <f>SUBTOTAL(9,CD3:CD805)</f>
        <v>28719845.859999999</v>
      </c>
      <c r="CJ806" s="142">
        <f>SUBTOTAL(9,CJ3:CJ805)</f>
        <v>816838912.91037822</v>
      </c>
      <c r="CP806" s="142">
        <f>SUBTOTAL(9,CP3:CP805)</f>
        <v>39937357.950000003</v>
      </c>
      <c r="CV806" s="142">
        <f>SUBTOTAL(9,CV3:CV805)</f>
        <v>114832782.72999997</v>
      </c>
    </row>
  </sheetData>
  <protectedRanges>
    <protectedRange password="E406" sqref="AO576" name="Plan de compras_2_2_3"/>
    <protectedRange sqref="AX355" name="Rango1_1_2_2_3"/>
    <protectedRange sqref="AY355" name="Rango1_1_2_6_3"/>
    <protectedRange sqref="AY393 AY445 AY447 AY450 AY466 AY468 AY501 AY608 AY615:AY617 AY627 AY648:AY649 AY671 AY770 AY3:AY353 BE53 BE58 BE662:BE663" name="Rango1_1_2_7_3"/>
    <protectedRange sqref="AY356:AY392 AY518:AY586 AY394:AY444 AY446 AY448:AY449 AY451:AY465 AY467 AY469:AY500 AY502:AY516" name="Rango1_1_2_8_3"/>
    <protectedRange sqref="AX3:AX353" name="Rango1_1_2_9_3"/>
    <protectedRange sqref="AX356:AX516 AX518:AX586" name="Rango1_1_2_10_3"/>
    <protectedRange sqref="AZ393 AZ445 AZ447 AZ450 AZ466 AZ468 AZ501 AZ608 AZ615:AZ617 AZ627 AZ648:AZ649 AZ671 AZ770 AZ3:AZ353 BF53 BF58 BF662:BF663" name="Rango1_1_2_11_3"/>
    <protectedRange sqref="AZ356:AZ392 AZ518:AZ586 AZ394:AZ444 AZ446 AZ448:AZ449 AZ451:AZ465 AZ467 AZ469:AZ500 AZ502:AZ516" name="Rango1_1_2_12_3"/>
    <protectedRange sqref="AY354" name="Rango1_1_2_1_3"/>
    <protectedRange sqref="AX354" name="Rango1_1_2_5_3"/>
    <protectedRange sqref="AY517" name="Rango1_1_2_8_3_1"/>
    <protectedRange sqref="AX517" name="Rango1_1_2_10_3_1"/>
    <protectedRange sqref="AZ517" name="Rango1_1_2_12_3_1"/>
    <protectedRange sqref="AR248 AR258:AR259 AR299 AR305 AR314 AR321 AR473" name="Rango1_1_2"/>
    <protectedRange sqref="AW8:AW9" name="Rango1_1_2_5"/>
    <protectedRange sqref="AR400" name="Rango1_1_2_16"/>
    <protectedRange sqref="AR407" name="Rango1_1_2_21"/>
    <protectedRange sqref="AR520" name="Rango1_1_2_57"/>
    <protectedRange sqref="AR531" name="Rango1_1_2_64"/>
  </protectedRanges>
  <autoFilter ref="A2:FJ805"/>
  <sortState ref="A4:ES650">
    <sortCondition ref="B3:B650"/>
  </sortState>
  <mergeCells count="36">
    <mergeCell ref="FJ1:FJ2"/>
    <mergeCell ref="FH1:FH2"/>
    <mergeCell ref="FI1:FI2"/>
    <mergeCell ref="T1:Y1"/>
    <mergeCell ref="Z1:AE1"/>
    <mergeCell ref="AF1:AK1"/>
    <mergeCell ref="AL1:AQ1"/>
    <mergeCell ref="AR1:AW1"/>
    <mergeCell ref="AX1:BC1"/>
    <mergeCell ref="BD1:BI1"/>
    <mergeCell ref="BJ1:BO1"/>
    <mergeCell ref="BP1:BU1"/>
    <mergeCell ref="BV1:CA1"/>
    <mergeCell ref="CB1:CG1"/>
    <mergeCell ref="CH1:CM1"/>
    <mergeCell ref="CN1:CS1"/>
    <mergeCell ref="A1:A2"/>
    <mergeCell ref="B1:B2"/>
    <mergeCell ref="C1:C2"/>
    <mergeCell ref="D1:D2"/>
    <mergeCell ref="N1:S1"/>
    <mergeCell ref="F1:G1"/>
    <mergeCell ref="H1:I1"/>
    <mergeCell ref="J1:K1"/>
    <mergeCell ref="L1:M1"/>
    <mergeCell ref="CT1:CY1"/>
    <mergeCell ref="CZ1:DE1"/>
    <mergeCell ref="EJ1:EO1"/>
    <mergeCell ref="EP1:EU1"/>
    <mergeCell ref="EV1:FA1"/>
    <mergeCell ref="FB1:FG1"/>
    <mergeCell ref="DF1:DK1"/>
    <mergeCell ref="DL1:DQ1"/>
    <mergeCell ref="DR1:DW1"/>
    <mergeCell ref="DX1:EC1"/>
    <mergeCell ref="ED1:EI1"/>
  </mergeCells>
  <conditionalFormatting sqref="CY5">
    <cfRule type="duplicateValues" dxfId="229" priority="37"/>
  </conditionalFormatting>
  <conditionalFormatting sqref="CP668">
    <cfRule type="cellIs" dxfId="228" priority="20" operator="lessThan">
      <formula>0</formula>
    </cfRule>
    <cfRule type="cellIs" dxfId="227" priority="21" operator="greaterThan">
      <formula>0</formula>
    </cfRule>
  </conditionalFormatting>
  <conditionalFormatting sqref="CP669">
    <cfRule type="cellIs" dxfId="226" priority="19" operator="greaterThan">
      <formula>0</formula>
    </cfRule>
  </conditionalFormatting>
  <conditionalFormatting sqref="CV668">
    <cfRule type="cellIs" dxfId="225" priority="17" operator="lessThan">
      <formula>0</formula>
    </cfRule>
    <cfRule type="cellIs" dxfId="224" priority="18" operator="greaterThan">
      <formula>0</formula>
    </cfRule>
  </conditionalFormatting>
  <conditionalFormatting sqref="CV669">
    <cfRule type="cellIs" dxfId="223" priority="16" operator="greaterThan">
      <formula>0</formula>
    </cfRule>
  </conditionalFormatting>
  <conditionalFormatting sqref="DB668">
    <cfRule type="cellIs" dxfId="222" priority="2" operator="lessThan">
      <formula>0</formula>
    </cfRule>
    <cfRule type="cellIs" dxfId="221" priority="5" operator="greaterThan">
      <formula>0</formula>
    </cfRule>
  </conditionalFormatting>
  <conditionalFormatting sqref="DD668">
    <cfRule type="cellIs" dxfId="220" priority="3" operator="lessThan">
      <formula>0</formula>
    </cfRule>
    <cfRule type="cellIs" dxfId="219" priority="4" operator="greaterThan">
      <formula>0</formula>
    </cfRule>
  </conditionalFormatting>
  <conditionalFormatting sqref="DB669">
    <cfRule type="cellIs" dxfId="218" priority="1" operator="greaterThan">
      <formula>0</formula>
    </cfRule>
  </conditionalFormatting>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F678"/>
  <sheetViews>
    <sheetView zoomScaleNormal="100" workbookViewId="0">
      <pane xSplit="5" ySplit="2" topLeftCell="F3" activePane="bottomRight" state="frozen"/>
      <selection pane="topRight" activeCell="F1" sqref="F1"/>
      <selection pane="bottomLeft" activeCell="A3" sqref="A3"/>
      <selection pane="bottomRight" activeCell="B3" sqref="B3:D677"/>
    </sheetView>
  </sheetViews>
  <sheetFormatPr baseColWidth="10" defaultColWidth="11.42578125" defaultRowHeight="12.75" x14ac:dyDescent="0.25"/>
  <cols>
    <col min="1" max="1" width="5.140625" style="288" customWidth="1"/>
    <col min="2" max="2" width="22.5703125" style="288" customWidth="1"/>
    <col min="3" max="3" width="15.7109375" style="288" customWidth="1"/>
    <col min="4" max="4" width="11.42578125" style="287"/>
    <col min="5" max="5" width="7" style="287" customWidth="1"/>
    <col min="6" max="6" width="7.42578125" style="401" customWidth="1"/>
    <col min="7" max="7" width="9.28515625" style="279" customWidth="1"/>
    <col min="8" max="8" width="8.42578125" style="279" customWidth="1"/>
    <col min="9" max="9" width="9.85546875" style="279" customWidth="1"/>
    <col min="10" max="10" width="10.7109375" style="279" customWidth="1"/>
    <col min="11" max="11" width="10" style="28" customWidth="1"/>
    <col min="12" max="12" width="10.7109375" style="279" bestFit="1" customWidth="1"/>
    <col min="13" max="13" width="7.7109375" style="279" customWidth="1"/>
    <col min="14" max="14" width="9.28515625" style="279" customWidth="1"/>
    <col min="15" max="15" width="11.5703125" style="70" customWidth="1"/>
    <col min="16" max="16" width="7.7109375" style="28" customWidth="1"/>
    <col min="17" max="17" width="11.28515625" style="279" customWidth="1"/>
    <col min="18" max="18" width="7.5703125" style="279" bestFit="1" customWidth="1"/>
    <col min="19" max="19" width="10.5703125" style="279" bestFit="1" customWidth="1"/>
    <col min="20" max="20" width="6.140625" style="28" bestFit="1" customWidth="1"/>
    <col min="21" max="21" width="7.85546875" style="28" bestFit="1" customWidth="1"/>
    <col min="22" max="25" width="7.85546875" style="28" customWidth="1"/>
    <col min="26" max="26" width="7.85546875" style="70" customWidth="1"/>
    <col min="27" max="27" width="10.7109375" style="115" bestFit="1" customWidth="1"/>
    <col min="28" max="28" width="8.85546875" style="115" bestFit="1" customWidth="1"/>
    <col min="29" max="29" width="9.5703125" style="291" customWidth="1"/>
    <col min="30" max="30" width="9.85546875" style="128" customWidth="1"/>
    <col min="31" max="31" width="7.85546875" style="115" bestFit="1" customWidth="1"/>
    <col min="32" max="32" width="9.42578125" style="291" customWidth="1"/>
    <col min="33" max="33" width="7.7109375" style="291" bestFit="1" customWidth="1"/>
    <col min="34" max="34" width="9.85546875" style="291" customWidth="1"/>
    <col min="35" max="35" width="9.5703125" style="115" customWidth="1"/>
    <col min="36" max="36" width="10.140625" style="28" customWidth="1"/>
    <col min="37" max="37" width="7.42578125" style="279" customWidth="1"/>
    <col min="38" max="38" width="7.5703125" style="279" customWidth="1"/>
    <col min="39" max="39" width="10.85546875" style="279" bestFit="1" customWidth="1"/>
    <col min="40" max="40" width="9" style="28" customWidth="1"/>
    <col min="41" max="41" width="9.140625" style="28" customWidth="1"/>
    <col min="42" max="42" width="7.7109375" style="28" customWidth="1"/>
    <col min="43" max="43" width="7.28515625" style="28" customWidth="1"/>
    <col min="44" max="44" width="8.5703125" style="28" customWidth="1"/>
    <col min="45" max="45" width="9.28515625" style="28" customWidth="1"/>
    <col min="46" max="46" width="8.7109375" style="28" customWidth="1"/>
    <col min="47" max="48" width="8.7109375" style="291" customWidth="1"/>
    <col min="49" max="49" width="10.85546875" style="291" bestFit="1" customWidth="1"/>
    <col min="50" max="51" width="11.42578125" style="115"/>
    <col min="52" max="52" width="9" style="28" customWidth="1"/>
    <col min="53" max="53" width="5.140625" style="28" customWidth="1"/>
    <col min="54" max="54" width="10.85546875" style="28" bestFit="1" customWidth="1"/>
    <col min="55" max="56" width="11.42578125" style="28"/>
    <col min="57" max="57" width="10.7109375" style="279" bestFit="1" customWidth="1"/>
    <col min="58" max="58" width="9.5703125" style="279" bestFit="1" customWidth="1"/>
    <col min="59" max="59" width="13.7109375" style="279" bestFit="1" customWidth="1"/>
    <col min="60" max="61" width="11.42578125" style="28"/>
    <col min="62" max="62" width="10" style="319" customWidth="1"/>
    <col min="63" max="63" width="9.5703125" style="319" customWidth="1"/>
    <col min="64" max="64" width="10" style="319" customWidth="1"/>
    <col min="65" max="66" width="11.42578125" style="115"/>
    <col min="67" max="67" width="10" style="279" customWidth="1"/>
    <col min="68" max="69" width="11.42578125" style="279"/>
    <col min="70" max="71" width="11.42578125" style="28"/>
    <col min="72" max="72" width="12.140625" style="28" customWidth="1"/>
    <col min="73" max="73" width="7.85546875" style="28" customWidth="1"/>
    <col min="74" max="74" width="10.140625" style="28" customWidth="1"/>
    <col min="75" max="75" width="8.85546875" style="28" customWidth="1"/>
    <col min="76" max="76" width="11.42578125" style="28"/>
    <col min="77" max="77" width="8.7109375" style="28" customWidth="1"/>
    <col min="78" max="78" width="9.140625" style="28" customWidth="1"/>
    <col min="79" max="79" width="10.42578125" style="28" customWidth="1"/>
    <col min="80" max="80" width="9.140625" style="28" customWidth="1"/>
    <col min="81" max="91" width="11.42578125" style="28"/>
    <col min="92" max="94" width="11.42578125" style="279"/>
    <col min="95" max="96" width="11.42578125" style="28"/>
    <col min="97" max="97" width="8.42578125" style="28" customWidth="1"/>
    <col min="98" max="98" width="7.28515625" style="28" customWidth="1"/>
    <col min="99" max="99" width="8" style="28" customWidth="1"/>
    <col min="100" max="100" width="10.7109375" style="28" bestFit="1" customWidth="1"/>
    <col min="101" max="101" width="8.140625" style="28" customWidth="1"/>
    <col min="102" max="102" width="8.42578125" style="28" customWidth="1"/>
    <col min="103" max="103" width="11.7109375" style="28" bestFit="1" customWidth="1"/>
    <col min="104" max="116" width="11.42578125" style="28"/>
    <col min="117" max="117" width="10.140625" style="291" bestFit="1" customWidth="1"/>
    <col min="118" max="118" width="9.5703125" style="291" bestFit="1" customWidth="1"/>
    <col min="119" max="119" width="10.7109375" style="291" bestFit="1" customWidth="1"/>
    <col min="120" max="120" width="6.140625" style="115" bestFit="1" customWidth="1"/>
    <col min="121" max="121" width="8.140625" style="115" bestFit="1" customWidth="1"/>
    <col min="122" max="122" width="11.7109375" style="377" bestFit="1" customWidth="1"/>
    <col min="123" max="124" width="11.42578125" style="377"/>
    <col min="125" max="126" width="11.42578125" style="28"/>
    <col min="127" max="127" width="9.7109375" style="28" customWidth="1"/>
    <col min="128" max="129" width="8.42578125" style="28" customWidth="1"/>
    <col min="130" max="16384" width="11.42578125" style="28"/>
  </cols>
  <sheetData>
    <row r="1" spans="1:136" ht="12.75" customHeight="1" x14ac:dyDescent="0.25">
      <c r="G1" s="512" t="s">
        <v>570</v>
      </c>
      <c r="H1" s="513"/>
      <c r="I1" s="513"/>
      <c r="J1" s="513"/>
      <c r="K1" s="514"/>
      <c r="L1" s="492" t="s">
        <v>571</v>
      </c>
      <c r="M1" s="492"/>
      <c r="N1" s="492"/>
      <c r="O1" s="492"/>
      <c r="P1" s="492"/>
      <c r="Q1" s="491" t="s">
        <v>572</v>
      </c>
      <c r="R1" s="491"/>
      <c r="S1" s="491"/>
      <c r="T1" s="491"/>
      <c r="U1" s="491"/>
      <c r="V1" s="492" t="s">
        <v>573</v>
      </c>
      <c r="W1" s="492"/>
      <c r="X1" s="492"/>
      <c r="Y1" s="492"/>
      <c r="Z1" s="492"/>
      <c r="AA1" s="478" t="s">
        <v>574</v>
      </c>
      <c r="AB1" s="478"/>
      <c r="AC1" s="478"/>
      <c r="AD1" s="478"/>
      <c r="AE1" s="478"/>
      <c r="AF1" s="504" t="s">
        <v>575</v>
      </c>
      <c r="AG1" s="504"/>
      <c r="AH1" s="504"/>
      <c r="AI1" s="504"/>
      <c r="AJ1" s="505"/>
      <c r="AK1" s="509" t="s">
        <v>576</v>
      </c>
      <c r="AL1" s="510"/>
      <c r="AM1" s="510"/>
      <c r="AN1" s="510"/>
      <c r="AO1" s="511"/>
      <c r="AP1" s="479" t="s">
        <v>577</v>
      </c>
      <c r="AQ1" s="480"/>
      <c r="AR1" s="480"/>
      <c r="AS1" s="480"/>
      <c r="AT1" s="481"/>
      <c r="AU1" s="482" t="s">
        <v>578</v>
      </c>
      <c r="AV1" s="483"/>
      <c r="AW1" s="483"/>
      <c r="AX1" s="483"/>
      <c r="AY1" s="484"/>
      <c r="AZ1" s="485" t="s">
        <v>579</v>
      </c>
      <c r="BA1" s="486"/>
      <c r="BB1" s="486"/>
      <c r="BC1" s="486"/>
      <c r="BD1" s="487"/>
      <c r="BE1" s="488" t="s">
        <v>580</v>
      </c>
      <c r="BF1" s="489"/>
      <c r="BG1" s="489"/>
      <c r="BH1" s="489"/>
      <c r="BI1" s="490"/>
      <c r="BJ1" s="479" t="s">
        <v>581</v>
      </c>
      <c r="BK1" s="480"/>
      <c r="BL1" s="480"/>
      <c r="BM1" s="480"/>
      <c r="BN1" s="481"/>
      <c r="BO1" s="488" t="s">
        <v>582</v>
      </c>
      <c r="BP1" s="489"/>
      <c r="BQ1" s="489"/>
      <c r="BR1" s="489"/>
      <c r="BS1" s="490"/>
      <c r="BT1" s="503" t="s">
        <v>583</v>
      </c>
      <c r="BU1" s="504"/>
      <c r="BV1" s="504"/>
      <c r="BW1" s="504"/>
      <c r="BX1" s="505"/>
      <c r="BY1" s="506" t="s">
        <v>584</v>
      </c>
      <c r="BZ1" s="507"/>
      <c r="CA1" s="507"/>
      <c r="CB1" s="507"/>
      <c r="CC1" s="508"/>
      <c r="CD1" s="509" t="s">
        <v>585</v>
      </c>
      <c r="CE1" s="510"/>
      <c r="CF1" s="510"/>
      <c r="CG1" s="510"/>
      <c r="CH1" s="511"/>
      <c r="CI1" s="494" t="s">
        <v>586</v>
      </c>
      <c r="CJ1" s="495"/>
      <c r="CK1" s="495"/>
      <c r="CL1" s="495"/>
      <c r="CM1" s="496"/>
      <c r="CN1" s="497" t="s">
        <v>587</v>
      </c>
      <c r="CO1" s="498"/>
      <c r="CP1" s="498"/>
      <c r="CQ1" s="498"/>
      <c r="CR1" s="499"/>
      <c r="CS1" s="500" t="s">
        <v>588</v>
      </c>
      <c r="CT1" s="501"/>
      <c r="CU1" s="501"/>
      <c r="CV1" s="501"/>
      <c r="CW1" s="502"/>
      <c r="CX1" s="479" t="s">
        <v>589</v>
      </c>
      <c r="CY1" s="480"/>
      <c r="CZ1" s="480"/>
      <c r="DA1" s="480"/>
      <c r="DB1" s="481"/>
      <c r="DC1" s="503" t="s">
        <v>590</v>
      </c>
      <c r="DD1" s="504"/>
      <c r="DE1" s="504"/>
      <c r="DF1" s="504"/>
      <c r="DG1" s="505"/>
      <c r="DH1" s="478" t="s">
        <v>591</v>
      </c>
      <c r="DI1" s="478"/>
      <c r="DJ1" s="478"/>
      <c r="DK1" s="478"/>
      <c r="DL1" s="478"/>
      <c r="DM1" s="493" t="s">
        <v>592</v>
      </c>
      <c r="DN1" s="493"/>
      <c r="DO1" s="493"/>
      <c r="DP1" s="493"/>
      <c r="DQ1" s="493"/>
      <c r="DR1" s="492" t="s">
        <v>593</v>
      </c>
      <c r="DS1" s="492"/>
      <c r="DT1" s="492"/>
      <c r="DU1" s="492"/>
      <c r="DV1" s="492"/>
      <c r="DW1" s="491" t="s">
        <v>594</v>
      </c>
      <c r="DX1" s="491"/>
      <c r="DY1" s="491"/>
      <c r="DZ1" s="491"/>
      <c r="EA1" s="491"/>
      <c r="EB1" s="478" t="s">
        <v>595</v>
      </c>
      <c r="EC1" s="478"/>
      <c r="ED1" s="478"/>
      <c r="EE1" s="478"/>
      <c r="EF1" s="478"/>
    </row>
    <row r="2" spans="1:136" ht="38.25" x14ac:dyDescent="0.25">
      <c r="A2" s="282" t="s">
        <v>0</v>
      </c>
      <c r="B2" s="282" t="s">
        <v>1</v>
      </c>
      <c r="C2" s="282" t="s">
        <v>2</v>
      </c>
      <c r="D2" s="282" t="s">
        <v>3</v>
      </c>
      <c r="E2" s="282" t="s">
        <v>596</v>
      </c>
      <c r="F2" s="402" t="s">
        <v>597</v>
      </c>
      <c r="G2" s="278" t="s">
        <v>598</v>
      </c>
      <c r="H2" s="278" t="s">
        <v>599</v>
      </c>
      <c r="I2" s="278" t="s">
        <v>600</v>
      </c>
      <c r="J2" s="278" t="s">
        <v>601</v>
      </c>
      <c r="K2" s="97" t="s">
        <v>602</v>
      </c>
      <c r="L2" s="280" t="s">
        <v>598</v>
      </c>
      <c r="M2" s="280" t="s">
        <v>599</v>
      </c>
      <c r="N2" s="280" t="s">
        <v>600</v>
      </c>
      <c r="O2" s="85" t="s">
        <v>601</v>
      </c>
      <c r="P2" s="85" t="s">
        <v>602</v>
      </c>
      <c r="Q2" s="281" t="s">
        <v>598</v>
      </c>
      <c r="R2" s="281" t="s">
        <v>599</v>
      </c>
      <c r="S2" s="281" t="s">
        <v>600</v>
      </c>
      <c r="T2" s="103" t="s">
        <v>601</v>
      </c>
      <c r="U2" s="103" t="s">
        <v>602</v>
      </c>
      <c r="V2" s="280" t="s">
        <v>598</v>
      </c>
      <c r="W2" s="280" t="s">
        <v>599</v>
      </c>
      <c r="X2" s="280" t="s">
        <v>600</v>
      </c>
      <c r="Y2" s="85" t="s">
        <v>601</v>
      </c>
      <c r="Z2" s="85" t="s">
        <v>602</v>
      </c>
      <c r="AA2" s="82" t="s">
        <v>598</v>
      </c>
      <c r="AB2" s="82" t="s">
        <v>599</v>
      </c>
      <c r="AC2" s="295" t="s">
        <v>600</v>
      </c>
      <c r="AD2" s="82" t="s">
        <v>601</v>
      </c>
      <c r="AE2" s="82" t="s">
        <v>602</v>
      </c>
      <c r="AF2" s="297" t="s">
        <v>598</v>
      </c>
      <c r="AG2" s="297" t="s">
        <v>599</v>
      </c>
      <c r="AH2" s="297" t="s">
        <v>600</v>
      </c>
      <c r="AI2" s="298" t="s">
        <v>601</v>
      </c>
      <c r="AJ2" s="298" t="s">
        <v>602</v>
      </c>
      <c r="AK2" s="281" t="s">
        <v>598</v>
      </c>
      <c r="AL2" s="281" t="s">
        <v>599</v>
      </c>
      <c r="AM2" s="281" t="s">
        <v>600</v>
      </c>
      <c r="AN2" s="103" t="s">
        <v>601</v>
      </c>
      <c r="AO2" s="103" t="s">
        <v>602</v>
      </c>
      <c r="AP2" s="91" t="s">
        <v>598</v>
      </c>
      <c r="AQ2" s="91" t="s">
        <v>599</v>
      </c>
      <c r="AR2" s="91" t="s">
        <v>600</v>
      </c>
      <c r="AS2" s="91" t="s">
        <v>601</v>
      </c>
      <c r="AT2" s="91" t="s">
        <v>602</v>
      </c>
      <c r="AU2" s="310" t="s">
        <v>598</v>
      </c>
      <c r="AV2" s="310" t="s">
        <v>599</v>
      </c>
      <c r="AW2" s="310" t="s">
        <v>600</v>
      </c>
      <c r="AX2" s="87" t="s">
        <v>601</v>
      </c>
      <c r="AY2" s="87" t="s">
        <v>602</v>
      </c>
      <c r="AZ2" s="313" t="s">
        <v>598</v>
      </c>
      <c r="BA2" s="313" t="s">
        <v>599</v>
      </c>
      <c r="BB2" s="313" t="s">
        <v>600</v>
      </c>
      <c r="BC2" s="313" t="s">
        <v>601</v>
      </c>
      <c r="BD2" s="313" t="s">
        <v>602</v>
      </c>
      <c r="BE2" s="314" t="s">
        <v>598</v>
      </c>
      <c r="BF2" s="314" t="s">
        <v>599</v>
      </c>
      <c r="BG2" s="314" t="s">
        <v>600</v>
      </c>
      <c r="BH2" s="309" t="s">
        <v>601</v>
      </c>
      <c r="BI2" s="309" t="s">
        <v>602</v>
      </c>
      <c r="BJ2" s="290" t="s">
        <v>598</v>
      </c>
      <c r="BK2" s="290" t="s">
        <v>599</v>
      </c>
      <c r="BL2" s="290" t="s">
        <v>600</v>
      </c>
      <c r="BM2" s="91" t="s">
        <v>601</v>
      </c>
      <c r="BN2" s="91" t="s">
        <v>602</v>
      </c>
      <c r="BO2" s="314" t="s">
        <v>598</v>
      </c>
      <c r="BP2" s="314" t="s">
        <v>599</v>
      </c>
      <c r="BQ2" s="314" t="s">
        <v>600</v>
      </c>
      <c r="BR2" s="309" t="s">
        <v>601</v>
      </c>
      <c r="BS2" s="309" t="s">
        <v>602</v>
      </c>
      <c r="BT2" s="298" t="s">
        <v>598</v>
      </c>
      <c r="BU2" s="298" t="s">
        <v>599</v>
      </c>
      <c r="BV2" s="298" t="s">
        <v>600</v>
      </c>
      <c r="BW2" s="298" t="s">
        <v>601</v>
      </c>
      <c r="BX2" s="298" t="s">
        <v>602</v>
      </c>
      <c r="BY2" s="85" t="s">
        <v>598</v>
      </c>
      <c r="BZ2" s="85" t="s">
        <v>599</v>
      </c>
      <c r="CA2" s="85" t="s">
        <v>600</v>
      </c>
      <c r="CB2" s="85" t="s">
        <v>601</v>
      </c>
      <c r="CC2" s="85" t="s">
        <v>602</v>
      </c>
      <c r="CD2" s="103" t="s">
        <v>598</v>
      </c>
      <c r="CE2" s="103" t="s">
        <v>599</v>
      </c>
      <c r="CF2" s="103" t="s">
        <v>600</v>
      </c>
      <c r="CG2" s="103" t="s">
        <v>601</v>
      </c>
      <c r="CH2" s="103" t="s">
        <v>602</v>
      </c>
      <c r="CI2" s="322" t="s">
        <v>598</v>
      </c>
      <c r="CJ2" s="322" t="s">
        <v>599</v>
      </c>
      <c r="CK2" s="322" t="s">
        <v>600</v>
      </c>
      <c r="CL2" s="322" t="s">
        <v>601</v>
      </c>
      <c r="CM2" s="322" t="s">
        <v>602</v>
      </c>
      <c r="CN2" s="374" t="s">
        <v>598</v>
      </c>
      <c r="CO2" s="374" t="s">
        <v>599</v>
      </c>
      <c r="CP2" s="374" t="s">
        <v>600</v>
      </c>
      <c r="CQ2" s="107" t="s">
        <v>601</v>
      </c>
      <c r="CR2" s="107" t="s">
        <v>602</v>
      </c>
      <c r="CS2" s="315" t="s">
        <v>598</v>
      </c>
      <c r="CT2" s="315" t="s">
        <v>599</v>
      </c>
      <c r="CU2" s="315" t="s">
        <v>600</v>
      </c>
      <c r="CV2" s="315" t="s">
        <v>601</v>
      </c>
      <c r="CW2" s="315" t="s">
        <v>602</v>
      </c>
      <c r="CX2" s="91" t="s">
        <v>598</v>
      </c>
      <c r="CY2" s="91" t="s">
        <v>599</v>
      </c>
      <c r="CZ2" s="91" t="s">
        <v>600</v>
      </c>
      <c r="DA2" s="91" t="s">
        <v>601</v>
      </c>
      <c r="DB2" s="91" t="s">
        <v>602</v>
      </c>
      <c r="DC2" s="298" t="s">
        <v>598</v>
      </c>
      <c r="DD2" s="298" t="s">
        <v>599</v>
      </c>
      <c r="DE2" s="298" t="s">
        <v>600</v>
      </c>
      <c r="DF2" s="298" t="s">
        <v>601</v>
      </c>
      <c r="DG2" s="298" t="s">
        <v>602</v>
      </c>
      <c r="DH2" s="82" t="s">
        <v>598</v>
      </c>
      <c r="DI2" s="82" t="s">
        <v>599</v>
      </c>
      <c r="DJ2" s="82" t="s">
        <v>600</v>
      </c>
      <c r="DK2" s="82" t="s">
        <v>601</v>
      </c>
      <c r="DL2" s="82" t="s">
        <v>602</v>
      </c>
      <c r="DM2" s="380" t="s">
        <v>598</v>
      </c>
      <c r="DN2" s="380" t="s">
        <v>599</v>
      </c>
      <c r="DO2" s="380" t="s">
        <v>600</v>
      </c>
      <c r="DP2" s="376" t="s">
        <v>601</v>
      </c>
      <c r="DQ2" s="376" t="s">
        <v>602</v>
      </c>
      <c r="DR2" s="378" t="s">
        <v>598</v>
      </c>
      <c r="DS2" s="378" t="s">
        <v>599</v>
      </c>
      <c r="DT2" s="378" t="s">
        <v>600</v>
      </c>
      <c r="DU2" s="85" t="s">
        <v>601</v>
      </c>
      <c r="DV2" s="85" t="s">
        <v>602</v>
      </c>
      <c r="DW2" s="381" t="s">
        <v>598</v>
      </c>
      <c r="DX2" s="381" t="s">
        <v>599</v>
      </c>
      <c r="DY2" s="381" t="s">
        <v>600</v>
      </c>
      <c r="DZ2" s="103" t="s">
        <v>601</v>
      </c>
      <c r="EA2" s="103" t="s">
        <v>602</v>
      </c>
      <c r="EB2" s="400" t="s">
        <v>598</v>
      </c>
      <c r="EC2" s="400" t="s">
        <v>599</v>
      </c>
      <c r="ED2" s="400" t="s">
        <v>600</v>
      </c>
      <c r="EE2" s="82" t="s">
        <v>601</v>
      </c>
      <c r="EF2" s="82" t="s">
        <v>602</v>
      </c>
    </row>
    <row r="3" spans="1:136" ht="25.5" x14ac:dyDescent="0.25">
      <c r="A3" s="425">
        <v>1</v>
      </c>
      <c r="B3" s="413" t="s">
        <v>603</v>
      </c>
      <c r="C3" s="413" t="s">
        <v>604</v>
      </c>
      <c r="D3" s="586" t="s">
        <v>605</v>
      </c>
      <c r="E3" s="79">
        <v>1</v>
      </c>
      <c r="F3" s="403"/>
      <c r="G3" s="274"/>
      <c r="H3" s="274"/>
      <c r="I3" s="274"/>
      <c r="J3" s="274"/>
      <c r="K3" s="11"/>
      <c r="L3" s="274"/>
      <c r="M3" s="274"/>
      <c r="N3" s="274"/>
      <c r="O3" s="48"/>
      <c r="P3" s="11"/>
      <c r="Q3" s="274"/>
      <c r="R3" s="274"/>
      <c r="S3" s="274"/>
      <c r="T3" s="11"/>
      <c r="U3" s="11"/>
      <c r="V3" s="11"/>
      <c r="W3" s="11"/>
      <c r="X3" s="11"/>
      <c r="Y3" s="11"/>
      <c r="Z3" s="48"/>
      <c r="AA3" s="52"/>
      <c r="AB3" s="52"/>
      <c r="AC3" s="118"/>
      <c r="AD3" s="5"/>
      <c r="AE3" s="52"/>
      <c r="AF3" s="113"/>
      <c r="AG3" s="113"/>
      <c r="AH3" s="113"/>
      <c r="AI3" s="52"/>
      <c r="AJ3" s="11"/>
      <c r="AK3" s="269">
        <v>144000</v>
      </c>
      <c r="AL3" s="269">
        <v>27360</v>
      </c>
      <c r="AM3" s="269">
        <v>171360</v>
      </c>
      <c r="AN3" s="301" t="s">
        <v>37</v>
      </c>
      <c r="AO3" s="302" t="s">
        <v>606</v>
      </c>
      <c r="AP3" s="11"/>
      <c r="AQ3" s="11"/>
      <c r="AR3" s="11"/>
      <c r="AS3" s="11"/>
      <c r="AT3" s="11"/>
      <c r="AU3" s="118">
        <v>151688</v>
      </c>
      <c r="AV3" s="118">
        <v>28821</v>
      </c>
      <c r="AW3" s="118">
        <v>180509</v>
      </c>
      <c r="AX3" s="52" t="s">
        <v>607</v>
      </c>
      <c r="AY3" s="52" t="s">
        <v>606</v>
      </c>
      <c r="AZ3" s="11"/>
      <c r="BA3" s="11"/>
      <c r="BB3" s="11"/>
      <c r="BC3" s="11"/>
      <c r="BD3" s="11"/>
      <c r="BE3" s="274">
        <v>264000</v>
      </c>
      <c r="BF3" s="274">
        <v>50160</v>
      </c>
      <c r="BG3" s="274">
        <v>314160</v>
      </c>
      <c r="BH3" s="11" t="s">
        <v>37</v>
      </c>
      <c r="BI3" s="11" t="s">
        <v>606</v>
      </c>
      <c r="BJ3" s="311"/>
      <c r="BK3" s="311"/>
      <c r="BL3" s="311"/>
      <c r="BM3" s="52"/>
      <c r="BN3" s="52"/>
      <c r="BO3" s="320"/>
      <c r="BP3" s="320"/>
      <c r="BQ3" s="320"/>
      <c r="BR3" s="4"/>
      <c r="BS3" s="4"/>
      <c r="BT3" s="11"/>
      <c r="BU3" s="11"/>
      <c r="BV3" s="11"/>
      <c r="BW3" s="11"/>
      <c r="BX3" s="11"/>
      <c r="BY3" s="348"/>
      <c r="BZ3" s="348"/>
      <c r="CA3" s="348"/>
      <c r="CB3" s="348"/>
      <c r="CC3" s="348"/>
      <c r="CD3" s="11"/>
      <c r="CE3" s="11"/>
      <c r="CF3" s="11"/>
      <c r="CG3" s="11"/>
      <c r="CH3" s="11"/>
      <c r="CI3" s="11"/>
      <c r="CJ3" s="11"/>
      <c r="CK3" s="11"/>
      <c r="CL3" s="11"/>
      <c r="CM3" s="11"/>
      <c r="CN3" s="274"/>
      <c r="CO3" s="274"/>
      <c r="CP3" s="274"/>
      <c r="CQ3" s="11"/>
      <c r="CR3" s="11"/>
      <c r="CS3" s="11"/>
      <c r="CT3" s="11"/>
      <c r="CU3" s="11"/>
      <c r="CV3" s="11"/>
      <c r="CW3" s="11"/>
      <c r="CX3" s="11"/>
      <c r="CY3" s="11"/>
      <c r="CZ3" s="11"/>
      <c r="DA3" s="11"/>
      <c r="DB3" s="11"/>
      <c r="DC3" s="11"/>
      <c r="DD3" s="11"/>
      <c r="DE3" s="11"/>
      <c r="DF3" s="11"/>
      <c r="DG3" s="11"/>
      <c r="DH3" s="11"/>
      <c r="DI3" s="11"/>
      <c r="DJ3" s="11"/>
      <c r="DK3" s="11"/>
      <c r="DL3" s="11"/>
      <c r="DM3" s="118"/>
      <c r="DN3" s="118"/>
      <c r="DO3" s="118"/>
      <c r="DP3" s="52"/>
      <c r="DQ3" s="52"/>
      <c r="DR3" s="77"/>
      <c r="DS3" s="77"/>
      <c r="DT3" s="77"/>
      <c r="DU3" s="11"/>
      <c r="DV3" s="11"/>
      <c r="DW3" s="11"/>
      <c r="DX3" s="11"/>
      <c r="DY3" s="11"/>
      <c r="DZ3" s="11"/>
      <c r="EA3" s="11"/>
      <c r="EB3" s="11"/>
      <c r="EC3" s="11"/>
      <c r="ED3" s="11"/>
      <c r="EE3" s="11"/>
      <c r="EF3" s="11"/>
    </row>
    <row r="4" spans="1:136" ht="54" x14ac:dyDescent="0.25">
      <c r="A4" s="425">
        <v>2</v>
      </c>
      <c r="B4" s="426" t="s">
        <v>608</v>
      </c>
      <c r="C4" s="427" t="s">
        <v>138</v>
      </c>
      <c r="D4" s="427" t="s">
        <v>609</v>
      </c>
      <c r="E4" s="79">
        <v>1</v>
      </c>
      <c r="F4" s="403"/>
      <c r="G4" s="274"/>
      <c r="H4" s="274"/>
      <c r="I4" s="274"/>
      <c r="J4" s="274"/>
      <c r="K4" s="11"/>
      <c r="L4" s="274"/>
      <c r="M4" s="274"/>
      <c r="N4" s="274"/>
      <c r="O4" s="48"/>
      <c r="P4" s="11"/>
      <c r="Q4" s="274"/>
      <c r="R4" s="274"/>
      <c r="S4" s="274"/>
      <c r="T4" s="11"/>
      <c r="U4" s="11"/>
      <c r="V4" s="11"/>
      <c r="W4" s="11"/>
      <c r="X4" s="11"/>
      <c r="Y4" s="11"/>
      <c r="Z4" s="48"/>
      <c r="AA4" s="118">
        <v>688500</v>
      </c>
      <c r="AB4" s="118">
        <f>+AA4*0.19</f>
        <v>130815</v>
      </c>
      <c r="AC4" s="118">
        <f>+AA4+AB4</f>
        <v>819315</v>
      </c>
      <c r="AD4" s="5" t="s">
        <v>610</v>
      </c>
      <c r="AE4" s="52" t="s">
        <v>611</v>
      </c>
      <c r="AF4" s="113"/>
      <c r="AG4" s="113"/>
      <c r="AH4" s="113"/>
      <c r="AI4" s="52"/>
      <c r="AJ4" s="11"/>
      <c r="AK4" s="269"/>
      <c r="AL4" s="269"/>
      <c r="AM4" s="269"/>
      <c r="AN4" s="301"/>
      <c r="AO4" s="302"/>
      <c r="AP4" s="11"/>
      <c r="AQ4" s="11"/>
      <c r="AR4" s="11"/>
      <c r="AS4" s="11"/>
      <c r="AT4" s="11"/>
      <c r="AU4" s="118"/>
      <c r="AV4" s="118"/>
      <c r="AW4" s="118"/>
      <c r="AX4" s="52"/>
      <c r="AY4" s="52"/>
      <c r="AZ4" s="11"/>
      <c r="BA4" s="11"/>
      <c r="BB4" s="11"/>
      <c r="BC4" s="11"/>
      <c r="BD4" s="11"/>
      <c r="BE4" s="274"/>
      <c r="BF4" s="274"/>
      <c r="BG4" s="274"/>
      <c r="BH4" s="11"/>
      <c r="BI4" s="11"/>
      <c r="BJ4" s="311">
        <v>250492.31</v>
      </c>
      <c r="BK4" s="311">
        <v>47593.5389</v>
      </c>
      <c r="BL4" s="311">
        <v>298085.84889999998</v>
      </c>
      <c r="BM4" s="52" t="s">
        <v>612</v>
      </c>
      <c r="BN4" s="52">
        <v>21985023</v>
      </c>
      <c r="BO4" s="320"/>
      <c r="BP4" s="320"/>
      <c r="BQ4" s="320"/>
      <c r="BR4" s="4"/>
      <c r="BS4" s="4"/>
      <c r="BT4" s="11"/>
      <c r="BU4" s="11"/>
      <c r="BV4" s="11"/>
      <c r="BW4" s="11"/>
      <c r="BX4" s="11"/>
      <c r="BY4" s="348"/>
      <c r="BZ4" s="348"/>
      <c r="CA4" s="348"/>
      <c r="CB4" s="348"/>
      <c r="CC4" s="348"/>
      <c r="CD4" s="11"/>
      <c r="CE4" s="11"/>
      <c r="CF4" s="11"/>
      <c r="CG4" s="11"/>
      <c r="CH4" s="11"/>
      <c r="CI4" s="11"/>
      <c r="CJ4" s="11"/>
      <c r="CK4" s="11"/>
      <c r="CL4" s="11"/>
      <c r="CM4" s="11"/>
      <c r="CN4" s="274"/>
      <c r="CO4" s="274"/>
      <c r="CP4" s="274"/>
      <c r="CQ4" s="11"/>
      <c r="CR4" s="11"/>
      <c r="CS4" s="11"/>
      <c r="CT4" s="11"/>
      <c r="CU4" s="11"/>
      <c r="CV4" s="11"/>
      <c r="CW4" s="11"/>
      <c r="CX4" s="11"/>
      <c r="CY4" s="11"/>
      <c r="CZ4" s="11"/>
      <c r="DA4" s="11"/>
      <c r="DB4" s="11"/>
      <c r="DC4" s="11"/>
      <c r="DD4" s="11"/>
      <c r="DE4" s="11"/>
      <c r="DF4" s="11"/>
      <c r="DG4" s="11"/>
      <c r="DH4" s="11"/>
      <c r="DI4" s="11"/>
      <c r="DJ4" s="11"/>
      <c r="DK4" s="11"/>
      <c r="DL4" s="11"/>
      <c r="DM4" s="118"/>
      <c r="DN4" s="118"/>
      <c r="DO4" s="118"/>
      <c r="DP4" s="52"/>
      <c r="DQ4" s="52"/>
      <c r="DR4" s="77"/>
      <c r="DS4" s="77"/>
      <c r="DT4" s="77"/>
      <c r="DU4" s="11"/>
      <c r="DV4" s="11"/>
      <c r="DW4" s="11"/>
      <c r="DX4" s="11"/>
      <c r="DY4" s="11"/>
      <c r="DZ4" s="11"/>
      <c r="EA4" s="11"/>
      <c r="EB4" s="11"/>
      <c r="EC4" s="11"/>
      <c r="ED4" s="11"/>
      <c r="EE4" s="11"/>
      <c r="EF4" s="11"/>
    </row>
    <row r="5" spans="1:136" ht="13.5" x14ac:dyDescent="0.25">
      <c r="A5" s="425">
        <v>3</v>
      </c>
      <c r="B5" s="427" t="s">
        <v>613</v>
      </c>
      <c r="C5" s="427" t="s">
        <v>614</v>
      </c>
      <c r="D5" s="427" t="s">
        <v>615</v>
      </c>
      <c r="E5" s="79">
        <v>1</v>
      </c>
      <c r="F5" s="403">
        <v>232522.43</v>
      </c>
      <c r="G5" s="274"/>
      <c r="H5" s="274"/>
      <c r="I5" s="274"/>
      <c r="J5" s="274"/>
      <c r="K5" s="11"/>
      <c r="L5" s="274"/>
      <c r="M5" s="274"/>
      <c r="N5" s="274"/>
      <c r="O5" s="48"/>
      <c r="P5" s="11"/>
      <c r="Q5" s="274"/>
      <c r="R5" s="274"/>
      <c r="S5" s="274"/>
      <c r="T5" s="11"/>
      <c r="U5" s="11"/>
      <c r="V5" s="11"/>
      <c r="W5" s="11"/>
      <c r="X5" s="11"/>
      <c r="Y5" s="11"/>
      <c r="Z5" s="48"/>
      <c r="AA5" s="52"/>
      <c r="AB5" s="52"/>
      <c r="AC5" s="118"/>
      <c r="AD5" s="5"/>
      <c r="AE5" s="52"/>
      <c r="AF5" s="113"/>
      <c r="AG5" s="113"/>
      <c r="AH5" s="113"/>
      <c r="AI5" s="52"/>
      <c r="AJ5" s="11"/>
      <c r="AK5" s="269">
        <v>105000</v>
      </c>
      <c r="AL5" s="269">
        <v>19950</v>
      </c>
      <c r="AM5" s="269">
        <v>124950</v>
      </c>
      <c r="AN5" s="301" t="s">
        <v>37</v>
      </c>
      <c r="AO5" s="302" t="s">
        <v>616</v>
      </c>
      <c r="AP5" s="11"/>
      <c r="AQ5" s="11"/>
      <c r="AR5" s="11"/>
      <c r="AS5" s="11"/>
      <c r="AT5" s="11"/>
      <c r="AU5" s="118">
        <v>110606</v>
      </c>
      <c r="AV5" s="118">
        <v>21015</v>
      </c>
      <c r="AW5" s="118">
        <v>131621</v>
      </c>
      <c r="AX5" s="52" t="s">
        <v>607</v>
      </c>
      <c r="AY5" s="52" t="s">
        <v>616</v>
      </c>
      <c r="AZ5" s="11"/>
      <c r="BA5" s="11"/>
      <c r="BB5" s="11"/>
      <c r="BC5" s="11"/>
      <c r="BD5" s="11"/>
      <c r="BE5" s="274">
        <v>192000</v>
      </c>
      <c r="BF5" s="274">
        <v>36480</v>
      </c>
      <c r="BG5" s="274">
        <v>228480</v>
      </c>
      <c r="BH5" s="11" t="s">
        <v>37</v>
      </c>
      <c r="BI5" s="11" t="s">
        <v>616</v>
      </c>
      <c r="BJ5" s="311"/>
      <c r="BK5" s="311"/>
      <c r="BL5" s="311"/>
      <c r="BM5" s="52"/>
      <c r="BN5" s="52"/>
      <c r="BO5" s="320"/>
      <c r="BP5" s="320"/>
      <c r="BQ5" s="320"/>
      <c r="BR5" s="4"/>
      <c r="BS5" s="4"/>
      <c r="BT5" s="11"/>
      <c r="BU5" s="11"/>
      <c r="BV5" s="11"/>
      <c r="BW5" s="11"/>
      <c r="BX5" s="11"/>
      <c r="BY5" s="348"/>
      <c r="BZ5" s="348"/>
      <c r="CA5" s="348"/>
      <c r="CB5" s="348"/>
      <c r="CC5" s="348"/>
      <c r="CD5" s="11"/>
      <c r="CE5" s="11"/>
      <c r="CF5" s="11"/>
      <c r="CG5" s="11"/>
      <c r="CH5" s="11"/>
      <c r="CI5" s="11"/>
      <c r="CJ5" s="11"/>
      <c r="CK5" s="11"/>
      <c r="CL5" s="11"/>
      <c r="CM5" s="11"/>
      <c r="CN5" s="274"/>
      <c r="CO5" s="274"/>
      <c r="CP5" s="274"/>
      <c r="CQ5" s="11"/>
      <c r="CR5" s="11"/>
      <c r="CS5" s="11"/>
      <c r="CT5" s="11"/>
      <c r="CU5" s="11"/>
      <c r="CV5" s="11"/>
      <c r="CW5" s="11"/>
      <c r="CX5" s="11"/>
      <c r="CY5" s="11"/>
      <c r="CZ5" s="11"/>
      <c r="DA5" s="11"/>
      <c r="DB5" s="11"/>
      <c r="DC5" s="11"/>
      <c r="DD5" s="11"/>
      <c r="DE5" s="11"/>
      <c r="DF5" s="11"/>
      <c r="DG5" s="11"/>
      <c r="DH5" s="11"/>
      <c r="DI5" s="11"/>
      <c r="DJ5" s="11"/>
      <c r="DK5" s="11"/>
      <c r="DL5" s="11"/>
      <c r="DM5" s="118"/>
      <c r="DN5" s="118"/>
      <c r="DO5" s="118"/>
      <c r="DP5" s="52"/>
      <c r="DQ5" s="52"/>
      <c r="DR5" s="77"/>
      <c r="DS5" s="77"/>
      <c r="DT5" s="77"/>
      <c r="DU5" s="11"/>
      <c r="DV5" s="11"/>
      <c r="DW5" s="11"/>
      <c r="DX5" s="11"/>
      <c r="DY5" s="11"/>
      <c r="DZ5" s="11"/>
      <c r="EA5" s="11"/>
      <c r="EB5" s="11"/>
      <c r="EC5" s="11"/>
      <c r="ED5" s="11"/>
      <c r="EE5" s="11"/>
      <c r="EF5" s="11"/>
    </row>
    <row r="6" spans="1:136" ht="25.5" customHeight="1" x14ac:dyDescent="0.25">
      <c r="A6" s="425">
        <v>4</v>
      </c>
      <c r="B6" s="428" t="s">
        <v>617</v>
      </c>
      <c r="C6" s="413" t="s">
        <v>618</v>
      </c>
      <c r="D6" s="586" t="s">
        <v>619</v>
      </c>
      <c r="E6" s="79">
        <v>1</v>
      </c>
      <c r="F6" s="403"/>
      <c r="G6" s="274"/>
      <c r="H6" s="274"/>
      <c r="I6" s="274"/>
      <c r="J6" s="274"/>
      <c r="K6" s="11"/>
      <c r="L6" s="274"/>
      <c r="M6" s="274"/>
      <c r="N6" s="274"/>
      <c r="O6" s="48"/>
      <c r="P6" s="11"/>
      <c r="Q6" s="274"/>
      <c r="R6" s="274"/>
      <c r="S6" s="274"/>
      <c r="T6" s="11"/>
      <c r="U6" s="11"/>
      <c r="V6" s="11"/>
      <c r="W6" s="11"/>
      <c r="X6" s="11"/>
      <c r="Y6" s="11"/>
      <c r="Z6" s="48"/>
      <c r="AA6" s="52"/>
      <c r="AB6" s="52"/>
      <c r="AC6" s="118"/>
      <c r="AD6" s="5"/>
      <c r="AE6" s="52"/>
      <c r="AF6" s="113"/>
      <c r="AG6" s="113"/>
      <c r="AH6" s="113"/>
      <c r="AI6" s="52"/>
      <c r="AJ6" s="11"/>
      <c r="AK6" s="269"/>
      <c r="AL6" s="269"/>
      <c r="AM6" s="269"/>
      <c r="AN6" s="301"/>
      <c r="AO6" s="302"/>
      <c r="AP6" s="11"/>
      <c r="AQ6" s="11"/>
      <c r="AR6" s="11"/>
      <c r="AS6" s="11"/>
      <c r="AT6" s="11"/>
      <c r="AU6" s="118">
        <v>827667.6923</v>
      </c>
      <c r="AV6" s="118">
        <v>157257</v>
      </c>
      <c r="AW6" s="118">
        <v>984925</v>
      </c>
      <c r="AX6" s="52" t="s">
        <v>607</v>
      </c>
      <c r="AY6" s="52" t="s">
        <v>620</v>
      </c>
      <c r="AZ6" s="11"/>
      <c r="BA6" s="11"/>
      <c r="BB6" s="11"/>
      <c r="BC6" s="11"/>
      <c r="BD6" s="11"/>
      <c r="BE6" s="274"/>
      <c r="BF6" s="274"/>
      <c r="BG6" s="274"/>
      <c r="BH6" s="11"/>
      <c r="BI6" s="11"/>
      <c r="BJ6" s="311"/>
      <c r="BK6" s="311"/>
      <c r="BL6" s="311"/>
      <c r="BM6" s="52"/>
      <c r="BN6" s="52"/>
      <c r="BO6" s="320"/>
      <c r="BP6" s="320"/>
      <c r="BQ6" s="320"/>
      <c r="BR6" s="4"/>
      <c r="BS6" s="4"/>
      <c r="BT6" s="11"/>
      <c r="BU6" s="11"/>
      <c r="BV6" s="11"/>
      <c r="BW6" s="11"/>
      <c r="BX6" s="11"/>
      <c r="BY6" s="348"/>
      <c r="BZ6" s="348"/>
      <c r="CA6" s="348"/>
      <c r="CB6" s="348"/>
      <c r="CC6" s="348"/>
      <c r="CD6" s="11"/>
      <c r="CE6" s="11"/>
      <c r="CF6" s="11"/>
      <c r="CG6" s="11"/>
      <c r="CH6" s="11"/>
      <c r="CI6" s="11"/>
      <c r="CJ6" s="11"/>
      <c r="CK6" s="11"/>
      <c r="CL6" s="11"/>
      <c r="CM6" s="11"/>
      <c r="CN6" s="274"/>
      <c r="CO6" s="274"/>
      <c r="CP6" s="274"/>
      <c r="CQ6" s="11"/>
      <c r="CR6" s="11"/>
      <c r="CS6" s="11"/>
      <c r="CT6" s="11"/>
      <c r="CU6" s="11"/>
      <c r="CV6" s="11"/>
      <c r="CW6" s="11"/>
      <c r="CX6" s="11"/>
      <c r="CY6" s="11"/>
      <c r="CZ6" s="11"/>
      <c r="DA6" s="11"/>
      <c r="DB6" s="11"/>
      <c r="DC6" s="11"/>
      <c r="DD6" s="11"/>
      <c r="DE6" s="11"/>
      <c r="DF6" s="11"/>
      <c r="DG6" s="11"/>
      <c r="DH6" s="11"/>
      <c r="DI6" s="11"/>
      <c r="DJ6" s="11"/>
      <c r="DK6" s="11"/>
      <c r="DL6" s="11"/>
      <c r="DM6" s="118"/>
      <c r="DN6" s="118"/>
      <c r="DO6" s="118"/>
      <c r="DP6" s="52"/>
      <c r="DQ6" s="52"/>
      <c r="DR6" s="77"/>
      <c r="DS6" s="77"/>
      <c r="DT6" s="77"/>
      <c r="DU6" s="11"/>
      <c r="DV6" s="11"/>
      <c r="DW6" s="11"/>
      <c r="DX6" s="11"/>
      <c r="DY6" s="11"/>
      <c r="DZ6" s="11"/>
      <c r="EA6" s="11"/>
      <c r="EB6" s="11"/>
      <c r="EC6" s="11"/>
      <c r="ED6" s="11"/>
      <c r="EE6" s="11"/>
      <c r="EF6" s="11"/>
    </row>
    <row r="7" spans="1:136" ht="25.5" x14ac:dyDescent="0.25">
      <c r="A7" s="425">
        <v>5</v>
      </c>
      <c r="B7" s="427" t="s">
        <v>621</v>
      </c>
      <c r="C7" s="427" t="s">
        <v>622</v>
      </c>
      <c r="D7" s="427" t="s">
        <v>273</v>
      </c>
      <c r="E7" s="79">
        <v>1</v>
      </c>
      <c r="F7" s="403">
        <v>330558.91399999999</v>
      </c>
      <c r="G7" s="274"/>
      <c r="H7" s="274"/>
      <c r="I7" s="274"/>
      <c r="J7" s="274"/>
      <c r="K7" s="11"/>
      <c r="L7" s="274"/>
      <c r="M7" s="274"/>
      <c r="N7" s="274"/>
      <c r="O7" s="48"/>
      <c r="P7" s="11"/>
      <c r="Q7" s="274"/>
      <c r="R7" s="274"/>
      <c r="S7" s="274"/>
      <c r="T7" s="11"/>
      <c r="U7" s="11"/>
      <c r="V7" s="11"/>
      <c r="W7" s="11"/>
      <c r="X7" s="11"/>
      <c r="Y7" s="11"/>
      <c r="Z7" s="48"/>
      <c r="AA7" s="52"/>
      <c r="AB7" s="52"/>
      <c r="AC7" s="118"/>
      <c r="AD7" s="5"/>
      <c r="AE7" s="52"/>
      <c r="AF7" s="113"/>
      <c r="AG7" s="113"/>
      <c r="AH7" s="113"/>
      <c r="AI7" s="52"/>
      <c r="AJ7" s="11"/>
      <c r="AK7" s="269">
        <v>284000</v>
      </c>
      <c r="AL7" s="269">
        <v>53960</v>
      </c>
      <c r="AM7" s="269">
        <v>337960</v>
      </c>
      <c r="AN7" s="301" t="s">
        <v>37</v>
      </c>
      <c r="AO7" s="302" t="s">
        <v>623</v>
      </c>
      <c r="AP7" s="11"/>
      <c r="AQ7" s="11"/>
      <c r="AR7" s="11"/>
      <c r="AS7" s="11"/>
      <c r="AT7" s="11"/>
      <c r="AU7" s="118">
        <v>1028110</v>
      </c>
      <c r="AV7" s="118">
        <v>195341</v>
      </c>
      <c r="AW7" s="118">
        <v>1223451</v>
      </c>
      <c r="AX7" s="52" t="s">
        <v>607</v>
      </c>
      <c r="AY7" s="52" t="s">
        <v>624</v>
      </c>
      <c r="AZ7" s="11"/>
      <c r="BA7" s="11"/>
      <c r="BB7" s="11"/>
      <c r="BC7" s="11"/>
      <c r="BD7" s="11"/>
      <c r="BE7" s="274">
        <v>336000</v>
      </c>
      <c r="BF7" s="274">
        <v>63840</v>
      </c>
      <c r="BG7" s="274">
        <v>399840</v>
      </c>
      <c r="BH7" s="11" t="s">
        <v>41</v>
      </c>
      <c r="BI7" s="11" t="s">
        <v>625</v>
      </c>
      <c r="BJ7" s="311"/>
      <c r="BK7" s="311"/>
      <c r="BL7" s="311"/>
      <c r="BM7" s="52"/>
      <c r="BN7" s="52"/>
      <c r="BO7" s="320"/>
      <c r="BP7" s="320"/>
      <c r="BQ7" s="320"/>
      <c r="BR7" s="4"/>
      <c r="BS7" s="4"/>
      <c r="BT7" s="11"/>
      <c r="BU7" s="11"/>
      <c r="BV7" s="11"/>
      <c r="BW7" s="11"/>
      <c r="BX7" s="11"/>
      <c r="BY7" s="348"/>
      <c r="BZ7" s="348"/>
      <c r="CA7" s="348"/>
      <c r="CB7" s="348"/>
      <c r="CC7" s="348"/>
      <c r="CD7" s="11"/>
      <c r="CE7" s="11"/>
      <c r="CF7" s="11"/>
      <c r="CG7" s="11"/>
      <c r="CH7" s="11"/>
      <c r="CI7" s="11"/>
      <c r="CJ7" s="11"/>
      <c r="CK7" s="11"/>
      <c r="CL7" s="11"/>
      <c r="CM7" s="11"/>
      <c r="CN7" s="274"/>
      <c r="CO7" s="274"/>
      <c r="CP7" s="274"/>
      <c r="CQ7" s="11"/>
      <c r="CR7" s="11"/>
      <c r="CS7" s="11"/>
      <c r="CT7" s="11"/>
      <c r="CU7" s="11"/>
      <c r="CV7" s="11"/>
      <c r="CW7" s="11"/>
      <c r="CX7" s="11"/>
      <c r="CY7" s="11"/>
      <c r="CZ7" s="11"/>
      <c r="DA7" s="11"/>
      <c r="DB7" s="11"/>
      <c r="DC7" s="11"/>
      <c r="DD7" s="11"/>
      <c r="DE7" s="11"/>
      <c r="DF7" s="11"/>
      <c r="DG7" s="11"/>
      <c r="DH7" s="11"/>
      <c r="DI7" s="11"/>
      <c r="DJ7" s="11"/>
      <c r="DK7" s="11"/>
      <c r="DL7" s="11"/>
      <c r="DM7" s="118"/>
      <c r="DN7" s="118"/>
      <c r="DO7" s="118"/>
      <c r="DP7" s="52"/>
      <c r="DQ7" s="52"/>
      <c r="DR7" s="77"/>
      <c r="DS7" s="77"/>
      <c r="DT7" s="77"/>
      <c r="DU7" s="11"/>
      <c r="DV7" s="11"/>
      <c r="DW7" s="11"/>
      <c r="DX7" s="11"/>
      <c r="DY7" s="11"/>
      <c r="DZ7" s="11"/>
      <c r="EA7" s="11"/>
      <c r="EB7" s="11"/>
      <c r="EC7" s="11"/>
      <c r="ED7" s="11"/>
      <c r="EE7" s="11"/>
      <c r="EF7" s="11"/>
    </row>
    <row r="8" spans="1:136" ht="12.75" customHeight="1" x14ac:dyDescent="0.25">
      <c r="A8" s="425">
        <v>6</v>
      </c>
      <c r="B8" s="427" t="s">
        <v>626</v>
      </c>
      <c r="C8" s="427" t="s">
        <v>622</v>
      </c>
      <c r="D8" s="427" t="s">
        <v>44</v>
      </c>
      <c r="E8" s="79">
        <v>1</v>
      </c>
      <c r="F8" s="404">
        <v>134485.946</v>
      </c>
      <c r="G8" s="274">
        <v>172500</v>
      </c>
      <c r="H8" s="274">
        <v>32775</v>
      </c>
      <c r="I8" s="274">
        <v>205275</v>
      </c>
      <c r="J8" s="274" t="s">
        <v>45</v>
      </c>
      <c r="K8" s="11" t="s">
        <v>627</v>
      </c>
      <c r="L8" s="274"/>
      <c r="M8" s="274"/>
      <c r="N8" s="274"/>
      <c r="O8" s="48"/>
      <c r="P8" s="11"/>
      <c r="Q8" s="274"/>
      <c r="R8" s="274"/>
      <c r="S8" s="274"/>
      <c r="T8" s="11"/>
      <c r="U8" s="11"/>
      <c r="V8" s="11"/>
      <c r="W8" s="11"/>
      <c r="X8" s="11"/>
      <c r="Y8" s="11"/>
      <c r="Z8" s="48"/>
      <c r="AA8" s="52"/>
      <c r="AB8" s="52"/>
      <c r="AC8" s="118"/>
      <c r="AD8" s="5"/>
      <c r="AE8" s="52"/>
      <c r="AF8" s="113">
        <v>172000</v>
      </c>
      <c r="AG8" s="113">
        <f>AF8*0.19</f>
        <v>32680</v>
      </c>
      <c r="AH8" s="113">
        <f>AF8+AG8</f>
        <v>204680</v>
      </c>
      <c r="AI8" s="52" t="s">
        <v>628</v>
      </c>
      <c r="AJ8" s="11" t="s">
        <v>629</v>
      </c>
      <c r="AK8" s="269">
        <v>103170</v>
      </c>
      <c r="AL8" s="269">
        <v>19602.3</v>
      </c>
      <c r="AM8" s="269">
        <v>122772.3</v>
      </c>
      <c r="AN8" s="301" t="s">
        <v>88</v>
      </c>
      <c r="AO8" s="302">
        <v>1046990100</v>
      </c>
      <c r="AP8" s="11"/>
      <c r="AQ8" s="11"/>
      <c r="AR8" s="11"/>
      <c r="AS8" s="11"/>
      <c r="AT8" s="11"/>
      <c r="AU8" s="118">
        <v>131198</v>
      </c>
      <c r="AV8" s="118">
        <v>24928</v>
      </c>
      <c r="AW8" s="118">
        <v>156126</v>
      </c>
      <c r="AX8" s="52" t="s">
        <v>607</v>
      </c>
      <c r="AY8" s="52">
        <v>1046990100</v>
      </c>
      <c r="AZ8" s="11"/>
      <c r="BA8" s="11"/>
      <c r="BB8" s="11"/>
      <c r="BC8" s="11"/>
      <c r="BD8" s="11"/>
      <c r="BE8" s="274">
        <v>60000</v>
      </c>
      <c r="BF8" s="274">
        <v>11400</v>
      </c>
      <c r="BG8" s="274">
        <v>71400</v>
      </c>
      <c r="BH8" s="11" t="s">
        <v>48</v>
      </c>
      <c r="BI8" s="11" t="s">
        <v>630</v>
      </c>
      <c r="BJ8" s="311"/>
      <c r="BK8" s="311"/>
      <c r="BL8" s="311"/>
      <c r="BM8" s="52"/>
      <c r="BN8" s="52"/>
      <c r="BO8" s="320"/>
      <c r="BP8" s="320"/>
      <c r="BQ8" s="320"/>
      <c r="BR8" s="4"/>
      <c r="BS8" s="4"/>
      <c r="BT8" s="11"/>
      <c r="BU8" s="11"/>
      <c r="BV8" s="11"/>
      <c r="BW8" s="11"/>
      <c r="BX8" s="11"/>
      <c r="BY8" s="348"/>
      <c r="BZ8" s="348"/>
      <c r="CA8" s="348"/>
      <c r="CB8" s="348"/>
      <c r="CC8" s="348"/>
      <c r="CD8" s="11"/>
      <c r="CE8" s="11"/>
      <c r="CF8" s="11"/>
      <c r="CG8" s="11"/>
      <c r="CH8" s="11"/>
      <c r="CI8" s="11"/>
      <c r="CJ8" s="11"/>
      <c r="CK8" s="11"/>
      <c r="CL8" s="11"/>
      <c r="CM8" s="11"/>
      <c r="CN8" s="274"/>
      <c r="CO8" s="274"/>
      <c r="CP8" s="274"/>
      <c r="CQ8" s="11"/>
      <c r="CR8" s="11"/>
      <c r="CS8" s="11"/>
      <c r="CT8" s="11"/>
      <c r="CU8" s="11"/>
      <c r="CV8" s="11"/>
      <c r="CW8" s="11"/>
      <c r="CX8" s="11"/>
      <c r="CY8" s="11"/>
      <c r="CZ8" s="11"/>
      <c r="DA8" s="11"/>
      <c r="DB8" s="11"/>
      <c r="DC8" s="11"/>
      <c r="DD8" s="11"/>
      <c r="DE8" s="11"/>
      <c r="DF8" s="11"/>
      <c r="DG8" s="11"/>
      <c r="DH8" s="11"/>
      <c r="DI8" s="11"/>
      <c r="DJ8" s="11"/>
      <c r="DK8" s="11"/>
      <c r="DL8" s="11"/>
      <c r="DM8" s="118"/>
      <c r="DN8" s="118"/>
      <c r="DO8" s="118"/>
      <c r="DP8" s="52"/>
      <c r="DQ8" s="52"/>
      <c r="DR8" s="77"/>
      <c r="DS8" s="77"/>
      <c r="DT8" s="77"/>
      <c r="DU8" s="11"/>
      <c r="DV8" s="11"/>
      <c r="DW8" s="11"/>
      <c r="DX8" s="11"/>
      <c r="DY8" s="11"/>
      <c r="DZ8" s="11"/>
      <c r="EA8" s="11"/>
      <c r="EB8" s="11"/>
      <c r="EC8" s="11"/>
      <c r="ED8" s="11"/>
      <c r="EE8" s="11"/>
      <c r="EF8" s="11"/>
    </row>
    <row r="9" spans="1:136" ht="13.5" x14ac:dyDescent="0.25">
      <c r="A9" s="425">
        <v>7</v>
      </c>
      <c r="B9" s="427" t="s">
        <v>631</v>
      </c>
      <c r="C9" s="427" t="s">
        <v>622</v>
      </c>
      <c r="D9" s="427" t="s">
        <v>181</v>
      </c>
      <c r="E9" s="79">
        <v>1</v>
      </c>
      <c r="F9" s="404">
        <v>28908.194</v>
      </c>
      <c r="G9" s="274">
        <v>58750</v>
      </c>
      <c r="H9" s="274">
        <v>11162.5</v>
      </c>
      <c r="I9" s="274">
        <v>69912.5</v>
      </c>
      <c r="J9" s="274" t="s">
        <v>50</v>
      </c>
      <c r="K9" s="11" t="s">
        <v>632</v>
      </c>
      <c r="L9" s="274"/>
      <c r="M9" s="274"/>
      <c r="N9" s="274"/>
      <c r="O9" s="48"/>
      <c r="P9" s="11"/>
      <c r="Q9" s="274"/>
      <c r="R9" s="274"/>
      <c r="S9" s="274"/>
      <c r="T9" s="11"/>
      <c r="U9" s="11"/>
      <c r="V9" s="11"/>
      <c r="W9" s="11"/>
      <c r="X9" s="11"/>
      <c r="Y9" s="11"/>
      <c r="Z9" s="48"/>
      <c r="AA9" s="52"/>
      <c r="AB9" s="52"/>
      <c r="AC9" s="118"/>
      <c r="AD9" s="5"/>
      <c r="AE9" s="52"/>
      <c r="AF9" s="113"/>
      <c r="AG9" s="113"/>
      <c r="AH9" s="113"/>
      <c r="AI9" s="52"/>
      <c r="AJ9" s="11"/>
      <c r="AK9" s="269"/>
      <c r="AL9" s="269"/>
      <c r="AM9" s="269"/>
      <c r="AN9" s="301"/>
      <c r="AO9" s="302"/>
      <c r="AP9" s="11"/>
      <c r="AQ9" s="11"/>
      <c r="AR9" s="11"/>
      <c r="AS9" s="11"/>
      <c r="AT9" s="11"/>
      <c r="AU9" s="118">
        <v>115873</v>
      </c>
      <c r="AV9" s="118">
        <v>22016</v>
      </c>
      <c r="AW9" s="118">
        <v>137889</v>
      </c>
      <c r="AX9" s="52" t="s">
        <v>607</v>
      </c>
      <c r="AY9" s="52" t="s">
        <v>633</v>
      </c>
      <c r="AZ9" s="11"/>
      <c r="BA9" s="11"/>
      <c r="BB9" s="11"/>
      <c r="BC9" s="11"/>
      <c r="BD9" s="11"/>
      <c r="BE9" s="274">
        <v>44000</v>
      </c>
      <c r="BF9" s="274">
        <v>8360</v>
      </c>
      <c r="BG9" s="274">
        <v>52360</v>
      </c>
      <c r="BH9" s="11" t="s">
        <v>48</v>
      </c>
      <c r="BI9" s="11" t="s">
        <v>634</v>
      </c>
      <c r="BJ9" s="311"/>
      <c r="BK9" s="311"/>
      <c r="BL9" s="311"/>
      <c r="BM9" s="52"/>
      <c r="BN9" s="52"/>
      <c r="BO9" s="320"/>
      <c r="BP9" s="320"/>
      <c r="BQ9" s="320"/>
      <c r="BR9" s="4"/>
      <c r="BS9" s="4"/>
      <c r="BT9" s="11"/>
      <c r="BU9" s="11"/>
      <c r="BV9" s="11"/>
      <c r="BW9" s="11"/>
      <c r="BX9" s="11"/>
      <c r="BY9" s="348"/>
      <c r="BZ9" s="348"/>
      <c r="CA9" s="348"/>
      <c r="CB9" s="348"/>
      <c r="CC9" s="348"/>
      <c r="CD9" s="11"/>
      <c r="CE9" s="11"/>
      <c r="CF9" s="11"/>
      <c r="CG9" s="11"/>
      <c r="CH9" s="11"/>
      <c r="CI9" s="11"/>
      <c r="CJ9" s="11"/>
      <c r="CK9" s="11"/>
      <c r="CL9" s="11"/>
      <c r="CM9" s="11"/>
      <c r="CN9" s="274"/>
      <c r="CO9" s="274"/>
      <c r="CP9" s="274"/>
      <c r="CQ9" s="11"/>
      <c r="CR9" s="11"/>
      <c r="CS9" s="11"/>
      <c r="CT9" s="11"/>
      <c r="CU9" s="11"/>
      <c r="CV9" s="11"/>
      <c r="CW9" s="11"/>
      <c r="CX9" s="11"/>
      <c r="CY9" s="11"/>
      <c r="CZ9" s="11"/>
      <c r="DA9" s="11"/>
      <c r="DB9" s="11"/>
      <c r="DC9" s="11"/>
      <c r="DD9" s="11"/>
      <c r="DE9" s="11"/>
      <c r="DF9" s="11"/>
      <c r="DG9" s="11"/>
      <c r="DH9" s="11"/>
      <c r="DI9" s="11"/>
      <c r="DJ9" s="11"/>
      <c r="DK9" s="11"/>
      <c r="DL9" s="11"/>
      <c r="DM9" s="118"/>
      <c r="DN9" s="118"/>
      <c r="DO9" s="118"/>
      <c r="DP9" s="52"/>
      <c r="DQ9" s="52"/>
      <c r="DR9" s="77"/>
      <c r="DS9" s="77"/>
      <c r="DT9" s="77"/>
      <c r="DU9" s="11"/>
      <c r="DV9" s="11"/>
      <c r="DW9" s="11"/>
      <c r="DX9" s="11"/>
      <c r="DY9" s="11"/>
      <c r="DZ9" s="11"/>
      <c r="EA9" s="11"/>
      <c r="EB9" s="11"/>
      <c r="EC9" s="11"/>
      <c r="ED9" s="11"/>
      <c r="EE9" s="11"/>
      <c r="EF9" s="11"/>
    </row>
    <row r="10" spans="1:136" ht="12.75" customHeight="1" x14ac:dyDescent="0.25">
      <c r="A10" s="425">
        <v>8</v>
      </c>
      <c r="B10" s="428" t="s">
        <v>635</v>
      </c>
      <c r="C10" s="428" t="s">
        <v>636</v>
      </c>
      <c r="D10" s="428" t="s">
        <v>637</v>
      </c>
      <c r="E10" s="79">
        <v>1</v>
      </c>
      <c r="F10" s="403"/>
      <c r="G10" s="274"/>
      <c r="H10" s="274"/>
      <c r="I10" s="274"/>
      <c r="J10" s="274"/>
      <c r="K10" s="11"/>
      <c r="L10" s="274"/>
      <c r="M10" s="274"/>
      <c r="N10" s="274"/>
      <c r="O10" s="48"/>
      <c r="P10" s="11"/>
      <c r="Q10" s="274"/>
      <c r="R10" s="274"/>
      <c r="S10" s="274"/>
      <c r="T10" s="11"/>
      <c r="U10" s="11"/>
      <c r="V10" s="11"/>
      <c r="W10" s="11"/>
      <c r="X10" s="11"/>
      <c r="Y10" s="11"/>
      <c r="Z10" s="48"/>
      <c r="AA10" s="52"/>
      <c r="AB10" s="52"/>
      <c r="AC10" s="118"/>
      <c r="AD10" s="5"/>
      <c r="AE10" s="52"/>
      <c r="AF10" s="113"/>
      <c r="AG10" s="113"/>
      <c r="AH10" s="113"/>
      <c r="AI10" s="52"/>
      <c r="AJ10" s="11"/>
      <c r="AK10" s="269">
        <v>3833000</v>
      </c>
      <c r="AL10" s="269">
        <v>728270</v>
      </c>
      <c r="AM10" s="269">
        <v>4561270</v>
      </c>
      <c r="AN10" s="301" t="s">
        <v>37</v>
      </c>
      <c r="AO10" s="302" t="s">
        <v>638</v>
      </c>
      <c r="AP10" s="11"/>
      <c r="AQ10" s="11"/>
      <c r="AR10" s="11"/>
      <c r="AS10" s="11"/>
      <c r="AT10" s="11"/>
      <c r="AU10" s="118">
        <v>1852061.5379999999</v>
      </c>
      <c r="AV10" s="118">
        <v>351892</v>
      </c>
      <c r="AW10" s="118">
        <v>2203953</v>
      </c>
      <c r="AX10" s="52" t="s">
        <v>607</v>
      </c>
      <c r="AY10" s="52" t="s">
        <v>639</v>
      </c>
      <c r="AZ10" s="11"/>
      <c r="BA10" s="11"/>
      <c r="BB10" s="11"/>
      <c r="BC10" s="11"/>
      <c r="BD10" s="11"/>
      <c r="BE10" s="274">
        <v>6996000</v>
      </c>
      <c r="BF10" s="274">
        <v>1329240</v>
      </c>
      <c r="BG10" s="274">
        <v>8325240</v>
      </c>
      <c r="BH10" s="11" t="s">
        <v>88</v>
      </c>
      <c r="BI10" s="11" t="s">
        <v>640</v>
      </c>
      <c r="BJ10" s="311"/>
      <c r="BK10" s="311"/>
      <c r="BL10" s="311"/>
      <c r="BM10" s="52"/>
      <c r="BN10" s="52"/>
      <c r="BO10" s="320"/>
      <c r="BP10" s="320"/>
      <c r="BQ10" s="320"/>
      <c r="BR10" s="4"/>
      <c r="BS10" s="4"/>
      <c r="BT10" s="11"/>
      <c r="BU10" s="11"/>
      <c r="BV10" s="11"/>
      <c r="BW10" s="11"/>
      <c r="BX10" s="11"/>
      <c r="BY10" s="348"/>
      <c r="BZ10" s="348"/>
      <c r="CA10" s="348"/>
      <c r="CB10" s="348"/>
      <c r="CC10" s="348"/>
      <c r="CD10" s="11"/>
      <c r="CE10" s="11"/>
      <c r="CF10" s="11"/>
      <c r="CG10" s="11"/>
      <c r="CH10" s="11"/>
      <c r="CI10" s="11"/>
      <c r="CJ10" s="11"/>
      <c r="CK10" s="11"/>
      <c r="CL10" s="11"/>
      <c r="CM10" s="11"/>
      <c r="CN10" s="274"/>
      <c r="CO10" s="274"/>
      <c r="CP10" s="274"/>
      <c r="CQ10" s="11"/>
      <c r="CR10" s="11"/>
      <c r="CS10" s="11"/>
      <c r="CT10" s="11"/>
      <c r="CU10" s="11"/>
      <c r="CV10" s="11"/>
      <c r="CW10" s="11"/>
      <c r="CX10" s="11"/>
      <c r="CY10" s="11"/>
      <c r="CZ10" s="11"/>
      <c r="DA10" s="11"/>
      <c r="DB10" s="11"/>
      <c r="DC10" s="11"/>
      <c r="DD10" s="11"/>
      <c r="DE10" s="11"/>
      <c r="DF10" s="11"/>
      <c r="DG10" s="11"/>
      <c r="DH10" s="11"/>
      <c r="DI10" s="11"/>
      <c r="DJ10" s="11"/>
      <c r="DK10" s="11"/>
      <c r="DL10" s="11"/>
      <c r="DM10" s="118"/>
      <c r="DN10" s="118"/>
      <c r="DO10" s="118"/>
      <c r="DP10" s="52"/>
      <c r="DQ10" s="52"/>
      <c r="DR10" s="77"/>
      <c r="DS10" s="77"/>
      <c r="DT10" s="77"/>
      <c r="DU10" s="11"/>
      <c r="DV10" s="11"/>
      <c r="DW10" s="11"/>
      <c r="DX10" s="11"/>
      <c r="DY10" s="11"/>
      <c r="DZ10" s="11"/>
      <c r="EA10" s="11"/>
      <c r="EB10" s="11"/>
      <c r="EC10" s="11"/>
      <c r="ED10" s="11"/>
      <c r="EE10" s="11"/>
      <c r="EF10" s="11"/>
    </row>
    <row r="11" spans="1:136" ht="148.5" x14ac:dyDescent="0.25">
      <c r="A11" s="425">
        <v>9</v>
      </c>
      <c r="B11" s="427" t="s">
        <v>641</v>
      </c>
      <c r="C11" s="413" t="s">
        <v>642</v>
      </c>
      <c r="D11" s="427" t="s">
        <v>643</v>
      </c>
      <c r="E11" s="79">
        <v>1</v>
      </c>
      <c r="F11" s="404">
        <v>2287517.96</v>
      </c>
      <c r="G11" s="274"/>
      <c r="H11" s="274"/>
      <c r="I11" s="274"/>
      <c r="J11" s="274"/>
      <c r="K11" s="11"/>
      <c r="L11" s="274"/>
      <c r="M11" s="274"/>
      <c r="N11" s="274"/>
      <c r="O11" s="48"/>
      <c r="P11" s="11"/>
      <c r="Q11" s="274"/>
      <c r="R11" s="274"/>
      <c r="S11" s="274"/>
      <c r="T11" s="11"/>
      <c r="U11" s="11"/>
      <c r="V11" s="11"/>
      <c r="W11" s="11"/>
      <c r="X11" s="11"/>
      <c r="Y11" s="11"/>
      <c r="Z11" s="48"/>
      <c r="AA11" s="52"/>
      <c r="AB11" s="52"/>
      <c r="AC11" s="118"/>
      <c r="AD11" s="5"/>
      <c r="AE11" s="52"/>
      <c r="AF11" s="113">
        <v>900000</v>
      </c>
      <c r="AG11" s="113">
        <f t="shared" ref="AG11:AG29" si="0">AF11*0.19</f>
        <v>171000</v>
      </c>
      <c r="AH11" s="113">
        <f t="shared" ref="AH11:AH29" si="1">AF11+AG11</f>
        <v>1071000</v>
      </c>
      <c r="AI11" s="52" t="s">
        <v>628</v>
      </c>
      <c r="AJ11" s="11" t="s">
        <v>644</v>
      </c>
      <c r="AK11" s="187">
        <v>300390</v>
      </c>
      <c r="AL11" s="269">
        <v>57074.1</v>
      </c>
      <c r="AM11" s="269">
        <v>357464.1</v>
      </c>
      <c r="AN11" s="303" t="s">
        <v>88</v>
      </c>
      <c r="AO11" s="304">
        <v>5330040050</v>
      </c>
      <c r="AP11" s="11"/>
      <c r="AQ11" s="11"/>
      <c r="AR11" s="11"/>
      <c r="AS11" s="11"/>
      <c r="AT11" s="11"/>
      <c r="AU11" s="118">
        <v>1799192</v>
      </c>
      <c r="AV11" s="118">
        <v>341846</v>
      </c>
      <c r="AW11" s="118">
        <v>2141038</v>
      </c>
      <c r="AX11" s="52" t="s">
        <v>607</v>
      </c>
      <c r="AY11" s="52" t="s">
        <v>645</v>
      </c>
      <c r="AZ11" s="11"/>
      <c r="BA11" s="11"/>
      <c r="BB11" s="11"/>
      <c r="BC11" s="11"/>
      <c r="BD11" s="11"/>
      <c r="BE11" s="274"/>
      <c r="BF11" s="274"/>
      <c r="BG11" s="274"/>
      <c r="BH11" s="11"/>
      <c r="BI11" s="11"/>
      <c r="BJ11" s="311"/>
      <c r="BK11" s="311"/>
      <c r="BL11" s="311"/>
      <c r="BM11" s="52"/>
      <c r="BN11" s="52"/>
      <c r="BO11" s="320"/>
      <c r="BP11" s="320"/>
      <c r="BQ11" s="320"/>
      <c r="BR11" s="4"/>
      <c r="BS11" s="4"/>
      <c r="BT11" s="11"/>
      <c r="BU11" s="11"/>
      <c r="BV11" s="11"/>
      <c r="BW11" s="11"/>
      <c r="BX11" s="11"/>
      <c r="BY11" s="348"/>
      <c r="BZ11" s="348"/>
      <c r="CA11" s="348"/>
      <c r="CB11" s="348"/>
      <c r="CC11" s="348"/>
      <c r="CD11" s="11"/>
      <c r="CE11" s="11"/>
      <c r="CF11" s="11"/>
      <c r="CG11" s="11"/>
      <c r="CH11" s="11"/>
      <c r="CI11" s="11"/>
      <c r="CJ11" s="11"/>
      <c r="CK11" s="11"/>
      <c r="CL11" s="11"/>
      <c r="CM11" s="11"/>
      <c r="CN11" s="274"/>
      <c r="CO11" s="274"/>
      <c r="CP11" s="274"/>
      <c r="CQ11" s="11"/>
      <c r="CR11" s="11"/>
      <c r="CS11" s="11"/>
      <c r="CT11" s="11"/>
      <c r="CU11" s="11"/>
      <c r="CV11" s="11"/>
      <c r="CW11" s="11"/>
      <c r="CX11" s="11"/>
      <c r="CY11" s="11"/>
      <c r="CZ11" s="11"/>
      <c r="DA11" s="11"/>
      <c r="DB11" s="11"/>
      <c r="DC11" s="11"/>
      <c r="DD11" s="11"/>
      <c r="DE11" s="11"/>
      <c r="DF11" s="11"/>
      <c r="DG11" s="11"/>
      <c r="DH11" s="11"/>
      <c r="DI11" s="11"/>
      <c r="DJ11" s="11"/>
      <c r="DK11" s="11"/>
      <c r="DL11" s="11"/>
      <c r="DM11" s="118"/>
      <c r="DN11" s="118"/>
      <c r="DO11" s="118"/>
      <c r="DP11" s="52"/>
      <c r="DQ11" s="52"/>
      <c r="DR11" s="77"/>
      <c r="DS11" s="77"/>
      <c r="DT11" s="77"/>
      <c r="DU11" s="11"/>
      <c r="DV11" s="11"/>
      <c r="DW11" s="11"/>
      <c r="DX11" s="11"/>
      <c r="DY11" s="11"/>
      <c r="DZ11" s="11"/>
      <c r="EA11" s="11"/>
      <c r="EB11" s="11"/>
      <c r="EC11" s="11"/>
      <c r="ED11" s="11"/>
      <c r="EE11" s="11"/>
      <c r="EF11" s="11"/>
    </row>
    <row r="12" spans="1:136" ht="12.75" customHeight="1" x14ac:dyDescent="0.25">
      <c r="A12" s="425">
        <v>10</v>
      </c>
      <c r="B12" s="427" t="s">
        <v>646</v>
      </c>
      <c r="C12" s="427" t="s">
        <v>647</v>
      </c>
      <c r="D12" s="427" t="s">
        <v>648</v>
      </c>
      <c r="E12" s="79">
        <v>1</v>
      </c>
      <c r="F12" s="403"/>
      <c r="G12" s="274">
        <v>268750</v>
      </c>
      <c r="H12" s="274">
        <v>51062.5</v>
      </c>
      <c r="I12" s="274">
        <v>319812.5</v>
      </c>
      <c r="J12" s="274" t="s">
        <v>45</v>
      </c>
      <c r="K12" s="11" t="s">
        <v>649</v>
      </c>
      <c r="L12" s="274"/>
      <c r="M12" s="274"/>
      <c r="N12" s="274"/>
      <c r="O12" s="48"/>
      <c r="P12" s="11"/>
      <c r="Q12" s="274"/>
      <c r="R12" s="274"/>
      <c r="S12" s="274"/>
      <c r="T12" s="11"/>
      <c r="U12" s="11"/>
      <c r="V12" s="11"/>
      <c r="W12" s="11"/>
      <c r="X12" s="11"/>
      <c r="Y12" s="11"/>
      <c r="Z12" s="48"/>
      <c r="AA12" s="52"/>
      <c r="AB12" s="52"/>
      <c r="AC12" s="118"/>
      <c r="AD12" s="5"/>
      <c r="AE12" s="52"/>
      <c r="AF12" s="113">
        <v>470000</v>
      </c>
      <c r="AG12" s="113">
        <f t="shared" si="0"/>
        <v>89300</v>
      </c>
      <c r="AH12" s="113">
        <f t="shared" si="1"/>
        <v>559300</v>
      </c>
      <c r="AI12" s="52" t="s">
        <v>628</v>
      </c>
      <c r="AJ12" s="11" t="s">
        <v>650</v>
      </c>
      <c r="AK12" s="269">
        <v>167010</v>
      </c>
      <c r="AL12" s="269">
        <v>31731.9</v>
      </c>
      <c r="AM12" s="269">
        <v>198741.9</v>
      </c>
      <c r="AN12" s="301" t="s">
        <v>88</v>
      </c>
      <c r="AO12" s="302">
        <v>1011160500</v>
      </c>
      <c r="AP12" s="11"/>
      <c r="AQ12" s="11"/>
      <c r="AR12" s="11"/>
      <c r="AS12" s="11"/>
      <c r="AT12" s="11"/>
      <c r="AU12" s="118">
        <v>212382</v>
      </c>
      <c r="AV12" s="118">
        <v>40353</v>
      </c>
      <c r="AW12" s="118">
        <v>252734</v>
      </c>
      <c r="AX12" s="52" t="s">
        <v>607</v>
      </c>
      <c r="AY12" s="52">
        <v>1011160500</v>
      </c>
      <c r="AZ12" s="11"/>
      <c r="BA12" s="11"/>
      <c r="BB12" s="11"/>
      <c r="BC12" s="11"/>
      <c r="BD12" s="11"/>
      <c r="BE12" s="274">
        <v>122000</v>
      </c>
      <c r="BF12" s="274">
        <v>23180</v>
      </c>
      <c r="BG12" s="274">
        <v>145180</v>
      </c>
      <c r="BH12" s="11" t="s">
        <v>63</v>
      </c>
      <c r="BI12" s="11" t="s">
        <v>651</v>
      </c>
      <c r="BJ12" s="311"/>
      <c r="BK12" s="311"/>
      <c r="BL12" s="311"/>
      <c r="BM12" s="52"/>
      <c r="BN12" s="52"/>
      <c r="BO12" s="320"/>
      <c r="BP12" s="320"/>
      <c r="BQ12" s="320"/>
      <c r="BR12" s="4"/>
      <c r="BS12" s="4"/>
      <c r="BT12" s="11"/>
      <c r="BU12" s="11"/>
      <c r="BV12" s="11"/>
      <c r="BW12" s="11"/>
      <c r="BX12" s="11"/>
      <c r="BY12" s="348"/>
      <c r="BZ12" s="348"/>
      <c r="CA12" s="348"/>
      <c r="CB12" s="348"/>
      <c r="CC12" s="348"/>
      <c r="CD12" s="11"/>
      <c r="CE12" s="11"/>
      <c r="CF12" s="11"/>
      <c r="CG12" s="11"/>
      <c r="CH12" s="11"/>
      <c r="CI12" s="11"/>
      <c r="CJ12" s="11"/>
      <c r="CK12" s="11"/>
      <c r="CL12" s="11"/>
      <c r="CM12" s="11"/>
      <c r="CN12" s="274"/>
      <c r="CO12" s="274"/>
      <c r="CP12" s="274"/>
      <c r="CQ12" s="11"/>
      <c r="CR12" s="11"/>
      <c r="CS12" s="11"/>
      <c r="CT12" s="11"/>
      <c r="CU12" s="11"/>
      <c r="CV12" s="11"/>
      <c r="CW12" s="11"/>
      <c r="CX12" s="11"/>
      <c r="CY12" s="11"/>
      <c r="CZ12" s="11"/>
      <c r="DA12" s="11"/>
      <c r="DB12" s="11"/>
      <c r="DC12" s="11"/>
      <c r="DD12" s="11"/>
      <c r="DE12" s="11"/>
      <c r="DF12" s="11"/>
      <c r="DG12" s="11"/>
      <c r="DH12" s="11"/>
      <c r="DI12" s="11"/>
      <c r="DJ12" s="11"/>
      <c r="DK12" s="11"/>
      <c r="DL12" s="11"/>
      <c r="DM12" s="118"/>
      <c r="DN12" s="118"/>
      <c r="DO12" s="118"/>
      <c r="DP12" s="52"/>
      <c r="DQ12" s="52"/>
      <c r="DR12" s="77"/>
      <c r="DS12" s="77"/>
      <c r="DT12" s="77"/>
      <c r="DU12" s="11"/>
      <c r="DV12" s="11"/>
      <c r="DW12" s="11"/>
      <c r="DX12" s="11"/>
      <c r="DY12" s="11"/>
      <c r="DZ12" s="11"/>
      <c r="EA12" s="11"/>
      <c r="EB12" s="11"/>
      <c r="EC12" s="11"/>
      <c r="ED12" s="11"/>
      <c r="EE12" s="11"/>
      <c r="EF12" s="11"/>
    </row>
    <row r="13" spans="1:136" ht="148.5" x14ac:dyDescent="0.25">
      <c r="A13" s="425">
        <v>11</v>
      </c>
      <c r="B13" s="427" t="s">
        <v>652</v>
      </c>
      <c r="C13" s="427" t="s">
        <v>642</v>
      </c>
      <c r="D13" s="413" t="s">
        <v>653</v>
      </c>
      <c r="E13" s="79">
        <v>1</v>
      </c>
      <c r="F13" s="404">
        <v>307935.11</v>
      </c>
      <c r="G13" s="274"/>
      <c r="H13" s="274"/>
      <c r="I13" s="274"/>
      <c r="J13" s="274"/>
      <c r="K13" s="11"/>
      <c r="L13" s="274"/>
      <c r="M13" s="274"/>
      <c r="N13" s="274"/>
      <c r="O13" s="48"/>
      <c r="P13" s="11"/>
      <c r="Q13" s="274"/>
      <c r="R13" s="274"/>
      <c r="S13" s="274"/>
      <c r="T13" s="11"/>
      <c r="U13" s="11"/>
      <c r="V13" s="11"/>
      <c r="W13" s="11"/>
      <c r="X13" s="11"/>
      <c r="Y13" s="11"/>
      <c r="Z13" s="48"/>
      <c r="AA13" s="52"/>
      <c r="AB13" s="52"/>
      <c r="AC13" s="118"/>
      <c r="AD13" s="5"/>
      <c r="AE13" s="52"/>
      <c r="AF13" s="113">
        <v>391000</v>
      </c>
      <c r="AG13" s="113">
        <f t="shared" si="0"/>
        <v>74290</v>
      </c>
      <c r="AH13" s="113">
        <f t="shared" si="1"/>
        <v>465290</v>
      </c>
      <c r="AI13" s="277" t="s">
        <v>628</v>
      </c>
      <c r="AJ13" s="277" t="s">
        <v>654</v>
      </c>
      <c r="AK13" s="187">
        <v>274170</v>
      </c>
      <c r="AL13" s="269">
        <v>52092.3</v>
      </c>
      <c r="AM13" s="269">
        <v>326262.3</v>
      </c>
      <c r="AN13" s="303" t="s">
        <v>88</v>
      </c>
      <c r="AO13" s="304">
        <v>1036492500</v>
      </c>
      <c r="AP13" s="11"/>
      <c r="AQ13" s="11"/>
      <c r="AR13" s="11"/>
      <c r="AS13" s="11"/>
      <c r="AT13" s="11"/>
      <c r="AU13" s="118">
        <v>106553</v>
      </c>
      <c r="AV13" s="118">
        <v>20245</v>
      </c>
      <c r="AW13" s="118">
        <v>126798</v>
      </c>
      <c r="AX13" s="52" t="s">
        <v>607</v>
      </c>
      <c r="AY13" s="52">
        <v>1007891000</v>
      </c>
      <c r="AZ13" s="11"/>
      <c r="BA13" s="11"/>
      <c r="BB13" s="11"/>
      <c r="BC13" s="11"/>
      <c r="BD13" s="11"/>
      <c r="BE13" s="274"/>
      <c r="BF13" s="274"/>
      <c r="BG13" s="274"/>
      <c r="BH13" s="11"/>
      <c r="BI13" s="11"/>
      <c r="BJ13" s="311"/>
      <c r="BK13" s="311"/>
      <c r="BL13" s="311"/>
      <c r="BM13" s="52"/>
      <c r="BN13" s="52"/>
      <c r="BO13" s="320"/>
      <c r="BP13" s="320"/>
      <c r="BQ13" s="320"/>
      <c r="BR13" s="4"/>
      <c r="BS13" s="4"/>
      <c r="BT13" s="11"/>
      <c r="BU13" s="11"/>
      <c r="BV13" s="11"/>
      <c r="BW13" s="11"/>
      <c r="BX13" s="11"/>
      <c r="BY13" s="348"/>
      <c r="BZ13" s="348"/>
      <c r="CA13" s="348"/>
      <c r="CB13" s="348"/>
      <c r="CC13" s="348"/>
      <c r="CD13" s="11"/>
      <c r="CE13" s="11"/>
      <c r="CF13" s="11"/>
      <c r="CG13" s="11"/>
      <c r="CH13" s="11"/>
      <c r="CI13" s="11"/>
      <c r="CJ13" s="11"/>
      <c r="CK13" s="11"/>
      <c r="CL13" s="11"/>
      <c r="CM13" s="11"/>
      <c r="CN13" s="274"/>
      <c r="CO13" s="274"/>
      <c r="CP13" s="274"/>
      <c r="CQ13" s="11"/>
      <c r="CR13" s="11"/>
      <c r="CS13" s="11"/>
      <c r="CT13" s="11"/>
      <c r="CU13" s="11"/>
      <c r="CV13" s="11"/>
      <c r="CW13" s="11"/>
      <c r="CX13" s="11"/>
      <c r="CY13" s="11"/>
      <c r="CZ13" s="11"/>
      <c r="DA13" s="11"/>
      <c r="DB13" s="11"/>
      <c r="DC13" s="11"/>
      <c r="DD13" s="11"/>
      <c r="DE13" s="11"/>
      <c r="DF13" s="11"/>
      <c r="DG13" s="11"/>
      <c r="DH13" s="11"/>
      <c r="DI13" s="11"/>
      <c r="DJ13" s="11"/>
      <c r="DK13" s="11"/>
      <c r="DL13" s="11"/>
      <c r="DM13" s="118"/>
      <c r="DN13" s="118"/>
      <c r="DO13" s="118"/>
      <c r="DP13" s="52"/>
      <c r="DQ13" s="52"/>
      <c r="DR13" s="77"/>
      <c r="DS13" s="77"/>
      <c r="DT13" s="77"/>
      <c r="DU13" s="11"/>
      <c r="DV13" s="11"/>
      <c r="DW13" s="11"/>
      <c r="DX13" s="11"/>
      <c r="DY13" s="11"/>
      <c r="DZ13" s="11"/>
      <c r="EA13" s="11"/>
      <c r="EB13" s="11"/>
      <c r="EC13" s="11"/>
      <c r="ED13" s="11"/>
      <c r="EE13" s="11"/>
      <c r="EF13" s="11"/>
    </row>
    <row r="14" spans="1:136" ht="25.5" customHeight="1" x14ac:dyDescent="0.25">
      <c r="A14" s="425">
        <v>12</v>
      </c>
      <c r="B14" s="427" t="s">
        <v>655</v>
      </c>
      <c r="C14" s="427" t="s">
        <v>642</v>
      </c>
      <c r="D14" s="427" t="s">
        <v>656</v>
      </c>
      <c r="E14" s="79">
        <v>1</v>
      </c>
      <c r="F14" s="404">
        <v>818227.57799999998</v>
      </c>
      <c r="G14" s="274"/>
      <c r="H14" s="274"/>
      <c r="I14" s="274"/>
      <c r="J14" s="274"/>
      <c r="K14" s="11"/>
      <c r="L14" s="274"/>
      <c r="M14" s="274"/>
      <c r="N14" s="274"/>
      <c r="O14" s="48"/>
      <c r="P14" s="11"/>
      <c r="Q14" s="274"/>
      <c r="R14" s="274"/>
      <c r="S14" s="274"/>
      <c r="T14" s="11"/>
      <c r="U14" s="11"/>
      <c r="V14" s="11"/>
      <c r="W14" s="11"/>
      <c r="X14" s="11"/>
      <c r="Y14" s="11"/>
      <c r="Z14" s="48"/>
      <c r="AA14" s="52"/>
      <c r="AB14" s="52"/>
      <c r="AC14" s="118"/>
      <c r="AD14" s="5"/>
      <c r="AE14" s="52"/>
      <c r="AF14" s="113">
        <v>640000</v>
      </c>
      <c r="AG14" s="113">
        <f t="shared" si="0"/>
        <v>121600</v>
      </c>
      <c r="AH14" s="113">
        <f t="shared" si="1"/>
        <v>761600</v>
      </c>
      <c r="AI14" s="277" t="s">
        <v>628</v>
      </c>
      <c r="AJ14" s="277" t="s">
        <v>657</v>
      </c>
      <c r="AK14" s="269">
        <v>539790</v>
      </c>
      <c r="AL14" s="269">
        <v>102560.1</v>
      </c>
      <c r="AM14" s="269">
        <v>642350.1</v>
      </c>
      <c r="AN14" s="301" t="s">
        <v>88</v>
      </c>
      <c r="AO14" s="302">
        <v>1096234000</v>
      </c>
      <c r="AP14" s="11"/>
      <c r="AQ14" s="11"/>
      <c r="AR14" s="11"/>
      <c r="AS14" s="11"/>
      <c r="AT14" s="11"/>
      <c r="AU14" s="118">
        <v>686435</v>
      </c>
      <c r="AV14" s="118">
        <v>130423</v>
      </c>
      <c r="AW14" s="118">
        <v>816858</v>
      </c>
      <c r="AX14" s="52" t="s">
        <v>607</v>
      </c>
      <c r="AY14" s="52">
        <v>1096234000</v>
      </c>
      <c r="AZ14" s="11"/>
      <c r="BA14" s="11"/>
      <c r="BB14" s="11"/>
      <c r="BC14" s="11"/>
      <c r="BD14" s="11"/>
      <c r="BE14" s="274">
        <v>694000</v>
      </c>
      <c r="BF14" s="274">
        <v>131860</v>
      </c>
      <c r="BG14" s="274">
        <v>825860</v>
      </c>
      <c r="BH14" s="11" t="s">
        <v>63</v>
      </c>
      <c r="BI14" s="11" t="s">
        <v>658</v>
      </c>
      <c r="BJ14" s="311"/>
      <c r="BK14" s="311"/>
      <c r="BL14" s="311"/>
      <c r="BM14" s="52"/>
      <c r="BN14" s="52"/>
      <c r="BO14" s="320"/>
      <c r="BP14" s="320"/>
      <c r="BQ14" s="320"/>
      <c r="BR14" s="4"/>
      <c r="BS14" s="4"/>
      <c r="BT14" s="11"/>
      <c r="BU14" s="11"/>
      <c r="BV14" s="11"/>
      <c r="BW14" s="11"/>
      <c r="BX14" s="11"/>
      <c r="BY14" s="348"/>
      <c r="BZ14" s="348"/>
      <c r="CA14" s="348"/>
      <c r="CB14" s="348"/>
      <c r="CC14" s="348"/>
      <c r="CD14" s="11"/>
      <c r="CE14" s="11"/>
      <c r="CF14" s="11"/>
      <c r="CG14" s="11"/>
      <c r="CH14" s="11"/>
      <c r="CI14" s="11"/>
      <c r="CJ14" s="11"/>
      <c r="CK14" s="11"/>
      <c r="CL14" s="11"/>
      <c r="CM14" s="11"/>
      <c r="CN14" s="274"/>
      <c r="CO14" s="274"/>
      <c r="CP14" s="274"/>
      <c r="CQ14" s="11"/>
      <c r="CR14" s="11"/>
      <c r="CS14" s="11"/>
      <c r="CT14" s="11"/>
      <c r="CU14" s="11"/>
      <c r="CV14" s="11"/>
      <c r="CW14" s="11"/>
      <c r="CX14" s="11"/>
      <c r="CY14" s="11"/>
      <c r="CZ14" s="11"/>
      <c r="DA14" s="11"/>
      <c r="DB14" s="11"/>
      <c r="DC14" s="11"/>
      <c r="DD14" s="11"/>
      <c r="DE14" s="11"/>
      <c r="DF14" s="11"/>
      <c r="DG14" s="11"/>
      <c r="DH14" s="11"/>
      <c r="DI14" s="11"/>
      <c r="DJ14" s="11"/>
      <c r="DK14" s="11"/>
      <c r="DL14" s="11"/>
      <c r="DM14" s="118"/>
      <c r="DN14" s="118"/>
      <c r="DO14" s="118"/>
      <c r="DP14" s="52"/>
      <c r="DQ14" s="52"/>
      <c r="DR14" s="77"/>
      <c r="DS14" s="77"/>
      <c r="DT14" s="77"/>
      <c r="DU14" s="11"/>
      <c r="DV14" s="11"/>
      <c r="DW14" s="11"/>
      <c r="DX14" s="11"/>
      <c r="DY14" s="11"/>
      <c r="DZ14" s="11"/>
      <c r="EA14" s="11"/>
      <c r="EB14" s="11"/>
      <c r="EC14" s="11"/>
      <c r="ED14" s="11"/>
      <c r="EE14" s="11"/>
      <c r="EF14" s="11"/>
    </row>
    <row r="15" spans="1:136" ht="13.5" x14ac:dyDescent="0.25">
      <c r="A15" s="425">
        <v>13</v>
      </c>
      <c r="B15" s="427" t="s">
        <v>659</v>
      </c>
      <c r="C15" s="427" t="s">
        <v>660</v>
      </c>
      <c r="D15" s="427" t="s">
        <v>60</v>
      </c>
      <c r="E15" s="79">
        <v>1</v>
      </c>
      <c r="F15" s="404">
        <v>367008.37599999999</v>
      </c>
      <c r="G15" s="274">
        <v>622500</v>
      </c>
      <c r="H15" s="274">
        <v>118275</v>
      </c>
      <c r="I15" s="274">
        <v>740775</v>
      </c>
      <c r="J15" s="274" t="s">
        <v>45</v>
      </c>
      <c r="K15" s="11" t="s">
        <v>661</v>
      </c>
      <c r="L15" s="274"/>
      <c r="M15" s="274"/>
      <c r="N15" s="274"/>
      <c r="O15" s="48"/>
      <c r="P15" s="11"/>
      <c r="Q15" s="274"/>
      <c r="R15" s="274"/>
      <c r="S15" s="274"/>
      <c r="T15" s="11"/>
      <c r="U15" s="11"/>
      <c r="V15" s="11"/>
      <c r="W15" s="11"/>
      <c r="X15" s="11"/>
      <c r="Y15" s="11"/>
      <c r="Z15" s="48"/>
      <c r="AA15" s="52"/>
      <c r="AB15" s="52"/>
      <c r="AC15" s="118"/>
      <c r="AD15" s="5"/>
      <c r="AE15" s="52"/>
      <c r="AF15" s="113">
        <v>488000</v>
      </c>
      <c r="AG15" s="113">
        <f t="shared" si="0"/>
        <v>92720</v>
      </c>
      <c r="AH15" s="113">
        <f t="shared" si="1"/>
        <v>580720</v>
      </c>
      <c r="AI15" s="277" t="s">
        <v>628</v>
      </c>
      <c r="AJ15" s="277" t="s">
        <v>662</v>
      </c>
      <c r="AK15" s="269">
        <v>153750</v>
      </c>
      <c r="AL15" s="269">
        <v>29212.5</v>
      </c>
      <c r="AM15" s="269">
        <v>182962.5</v>
      </c>
      <c r="AN15" s="301" t="s">
        <v>88</v>
      </c>
      <c r="AO15" s="302">
        <v>1048201000</v>
      </c>
      <c r="AP15" s="11"/>
      <c r="AQ15" s="11"/>
      <c r="AR15" s="11"/>
      <c r="AS15" s="11"/>
      <c r="AT15" s="11"/>
      <c r="AU15" s="118">
        <v>343405</v>
      </c>
      <c r="AV15" s="118">
        <v>65247</v>
      </c>
      <c r="AW15" s="118">
        <v>408653</v>
      </c>
      <c r="AX15" s="52" t="s">
        <v>607</v>
      </c>
      <c r="AY15" s="52" t="s">
        <v>663</v>
      </c>
      <c r="AZ15" s="11"/>
      <c r="BA15" s="11"/>
      <c r="BB15" s="11"/>
      <c r="BC15" s="11"/>
      <c r="BD15" s="11"/>
      <c r="BE15" s="274"/>
      <c r="BF15" s="274"/>
      <c r="BG15" s="274"/>
      <c r="BH15" s="11"/>
      <c r="BI15" s="11"/>
      <c r="BJ15" s="311"/>
      <c r="BK15" s="311"/>
      <c r="BL15" s="311"/>
      <c r="BM15" s="52"/>
      <c r="BN15" s="52"/>
      <c r="BO15" s="320"/>
      <c r="BP15" s="320"/>
      <c r="BQ15" s="320"/>
      <c r="BR15" s="4"/>
      <c r="BS15" s="4"/>
      <c r="BT15" s="11"/>
      <c r="BU15" s="11"/>
      <c r="BV15" s="11"/>
      <c r="BW15" s="11"/>
      <c r="BX15" s="11"/>
      <c r="BY15" s="348"/>
      <c r="BZ15" s="348"/>
      <c r="CA15" s="348"/>
      <c r="CB15" s="348"/>
      <c r="CC15" s="348"/>
      <c r="CD15" s="11"/>
      <c r="CE15" s="11"/>
      <c r="CF15" s="11"/>
      <c r="CG15" s="11"/>
      <c r="CH15" s="11"/>
      <c r="CI15" s="11"/>
      <c r="CJ15" s="11"/>
      <c r="CK15" s="11"/>
      <c r="CL15" s="11"/>
      <c r="CM15" s="11"/>
      <c r="CN15" s="274"/>
      <c r="CO15" s="274"/>
      <c r="CP15" s="274"/>
      <c r="CQ15" s="11"/>
      <c r="CR15" s="11"/>
      <c r="CS15" s="11"/>
      <c r="CT15" s="11"/>
      <c r="CU15" s="11"/>
      <c r="CV15" s="11"/>
      <c r="CW15" s="11"/>
      <c r="CX15" s="11"/>
      <c r="CY15" s="11"/>
      <c r="CZ15" s="11"/>
      <c r="DA15" s="11"/>
      <c r="DB15" s="11"/>
      <c r="DC15" s="11"/>
      <c r="DD15" s="11"/>
      <c r="DE15" s="11"/>
      <c r="DF15" s="11"/>
      <c r="DG15" s="11"/>
      <c r="DH15" s="11"/>
      <c r="DI15" s="11"/>
      <c r="DJ15" s="11"/>
      <c r="DK15" s="11"/>
      <c r="DL15" s="11"/>
      <c r="DM15" s="118"/>
      <c r="DN15" s="118"/>
      <c r="DO15" s="118"/>
      <c r="DP15" s="52"/>
      <c r="DQ15" s="52"/>
      <c r="DR15" s="77"/>
      <c r="DS15" s="77"/>
      <c r="DT15" s="77"/>
      <c r="DU15" s="11"/>
      <c r="DV15" s="11"/>
      <c r="DW15" s="11"/>
      <c r="DX15" s="11"/>
      <c r="DY15" s="11"/>
      <c r="DZ15" s="11"/>
      <c r="EA15" s="11"/>
      <c r="EB15" s="11"/>
      <c r="EC15" s="11"/>
      <c r="ED15" s="11"/>
      <c r="EE15" s="11"/>
      <c r="EF15" s="11"/>
    </row>
    <row r="16" spans="1:136" ht="12.75" customHeight="1" x14ac:dyDescent="0.25">
      <c r="A16" s="425">
        <v>14</v>
      </c>
      <c r="B16" s="427" t="s">
        <v>664</v>
      </c>
      <c r="C16" s="427" t="s">
        <v>622</v>
      </c>
      <c r="D16" s="427" t="s">
        <v>665</v>
      </c>
      <c r="E16" s="79">
        <v>1</v>
      </c>
      <c r="F16" s="404">
        <v>311705.74400000001</v>
      </c>
      <c r="G16" s="274">
        <v>350000</v>
      </c>
      <c r="H16" s="274">
        <v>66500</v>
      </c>
      <c r="I16" s="274">
        <v>416500</v>
      </c>
      <c r="J16" s="274" t="s">
        <v>45</v>
      </c>
      <c r="K16" s="11" t="s">
        <v>666</v>
      </c>
      <c r="L16" s="274"/>
      <c r="M16" s="274"/>
      <c r="N16" s="274"/>
      <c r="O16" s="48"/>
      <c r="P16" s="11"/>
      <c r="Q16" s="274"/>
      <c r="R16" s="274"/>
      <c r="S16" s="274"/>
      <c r="T16" s="11"/>
      <c r="U16" s="11"/>
      <c r="V16" s="11"/>
      <c r="W16" s="11"/>
      <c r="X16" s="11"/>
      <c r="Y16" s="11"/>
      <c r="Z16" s="48"/>
      <c r="AA16" s="52"/>
      <c r="AB16" s="52"/>
      <c r="AC16" s="118"/>
      <c r="AD16" s="5"/>
      <c r="AE16" s="52"/>
      <c r="AF16" s="113">
        <v>216000</v>
      </c>
      <c r="AG16" s="113">
        <f t="shared" si="0"/>
        <v>41040</v>
      </c>
      <c r="AH16" s="113">
        <f t="shared" si="1"/>
        <v>257040</v>
      </c>
      <c r="AI16" s="277" t="s">
        <v>628</v>
      </c>
      <c r="AJ16" s="277" t="s">
        <v>667</v>
      </c>
      <c r="AK16" s="269">
        <v>188670</v>
      </c>
      <c r="AL16" s="269">
        <v>35847.300000000003</v>
      </c>
      <c r="AM16" s="269">
        <v>224517.3</v>
      </c>
      <c r="AN16" s="301" t="s">
        <v>88</v>
      </c>
      <c r="AO16" s="302">
        <v>1062680250</v>
      </c>
      <c r="AP16" s="11"/>
      <c r="AQ16" s="11"/>
      <c r="AR16" s="11"/>
      <c r="AS16" s="11"/>
      <c r="AT16" s="11"/>
      <c r="AU16" s="118">
        <v>239926</v>
      </c>
      <c r="AV16" s="118">
        <v>45586</v>
      </c>
      <c r="AW16" s="118">
        <v>285512</v>
      </c>
      <c r="AX16" s="52" t="s">
        <v>607</v>
      </c>
      <c r="AY16" s="52">
        <v>1062680250</v>
      </c>
      <c r="AZ16" s="11"/>
      <c r="BA16" s="11"/>
      <c r="BB16" s="11"/>
      <c r="BC16" s="11"/>
      <c r="BD16" s="11"/>
      <c r="BE16" s="274">
        <v>206000</v>
      </c>
      <c r="BF16" s="274">
        <v>39140</v>
      </c>
      <c r="BG16" s="274">
        <v>245140</v>
      </c>
      <c r="BH16" s="11" t="s">
        <v>63</v>
      </c>
      <c r="BI16" s="11" t="s">
        <v>668</v>
      </c>
      <c r="BJ16" s="311"/>
      <c r="BK16" s="311"/>
      <c r="BL16" s="311"/>
      <c r="BM16" s="52"/>
      <c r="BN16" s="52"/>
      <c r="BO16" s="320"/>
      <c r="BP16" s="320"/>
      <c r="BQ16" s="320"/>
      <c r="BR16" s="4"/>
      <c r="BS16" s="4"/>
      <c r="BT16" s="11"/>
      <c r="BU16" s="11"/>
      <c r="BV16" s="11"/>
      <c r="BW16" s="11"/>
      <c r="BX16" s="11"/>
      <c r="BY16" s="348"/>
      <c r="BZ16" s="348"/>
      <c r="CA16" s="348"/>
      <c r="CB16" s="348"/>
      <c r="CC16" s="348"/>
      <c r="CD16" s="11"/>
      <c r="CE16" s="11"/>
      <c r="CF16" s="11"/>
      <c r="CG16" s="11"/>
      <c r="CH16" s="11"/>
      <c r="CI16" s="11"/>
      <c r="CJ16" s="11"/>
      <c r="CK16" s="11"/>
      <c r="CL16" s="11"/>
      <c r="CM16" s="11"/>
      <c r="CN16" s="274"/>
      <c r="CO16" s="274"/>
      <c r="CP16" s="274"/>
      <c r="CQ16" s="11"/>
      <c r="CR16" s="11"/>
      <c r="CS16" s="11"/>
      <c r="CT16" s="11"/>
      <c r="CU16" s="11"/>
      <c r="CV16" s="11"/>
      <c r="CW16" s="11"/>
      <c r="CX16" s="11"/>
      <c r="CY16" s="11"/>
      <c r="CZ16" s="11"/>
      <c r="DA16" s="11"/>
      <c r="DB16" s="11"/>
      <c r="DC16" s="11"/>
      <c r="DD16" s="11"/>
      <c r="DE16" s="11"/>
      <c r="DF16" s="11"/>
      <c r="DG16" s="11"/>
      <c r="DH16" s="11"/>
      <c r="DI16" s="11"/>
      <c r="DJ16" s="11"/>
      <c r="DK16" s="11"/>
      <c r="DL16" s="11"/>
      <c r="DM16" s="118"/>
      <c r="DN16" s="118"/>
      <c r="DO16" s="118"/>
      <c r="DP16" s="52"/>
      <c r="DQ16" s="52"/>
      <c r="DR16" s="77"/>
      <c r="DS16" s="77"/>
      <c r="DT16" s="77"/>
      <c r="DU16" s="11"/>
      <c r="DV16" s="11"/>
      <c r="DW16" s="11"/>
      <c r="DX16" s="11"/>
      <c r="DY16" s="11"/>
      <c r="DZ16" s="11"/>
      <c r="EA16" s="11"/>
      <c r="EB16" s="11"/>
      <c r="EC16" s="11"/>
      <c r="ED16" s="11"/>
      <c r="EE16" s="11"/>
      <c r="EF16" s="11"/>
    </row>
    <row r="17" spans="1:136" ht="135" x14ac:dyDescent="0.25">
      <c r="A17" s="425">
        <v>15</v>
      </c>
      <c r="B17" s="427" t="s">
        <v>669</v>
      </c>
      <c r="C17" s="413" t="s">
        <v>670</v>
      </c>
      <c r="D17" s="427" t="s">
        <v>671</v>
      </c>
      <c r="E17" s="79">
        <v>1</v>
      </c>
      <c r="F17" s="404">
        <v>285311.30599999998</v>
      </c>
      <c r="G17" s="274">
        <v>343750</v>
      </c>
      <c r="H17" s="274">
        <v>65312.5</v>
      </c>
      <c r="I17" s="274">
        <v>409062.5</v>
      </c>
      <c r="J17" s="274" t="s">
        <v>45</v>
      </c>
      <c r="K17" s="11" t="s">
        <v>672</v>
      </c>
      <c r="L17" s="274"/>
      <c r="M17" s="274"/>
      <c r="N17" s="274"/>
      <c r="O17" s="48"/>
      <c r="P17" s="11"/>
      <c r="Q17" s="274"/>
      <c r="R17" s="274"/>
      <c r="S17" s="274"/>
      <c r="T17" s="11"/>
      <c r="U17" s="11"/>
      <c r="V17" s="11"/>
      <c r="W17" s="11"/>
      <c r="X17" s="11"/>
      <c r="Y17" s="11"/>
      <c r="Z17" s="48"/>
      <c r="AA17" s="52"/>
      <c r="AB17" s="52"/>
      <c r="AC17" s="118"/>
      <c r="AD17" s="5"/>
      <c r="AE17" s="52"/>
      <c r="AF17" s="113">
        <v>129000</v>
      </c>
      <c r="AG17" s="113">
        <f t="shared" si="0"/>
        <v>24510</v>
      </c>
      <c r="AH17" s="113">
        <f t="shared" si="1"/>
        <v>153510</v>
      </c>
      <c r="AI17" s="277" t="s">
        <v>628</v>
      </c>
      <c r="AJ17" s="277" t="s">
        <v>673</v>
      </c>
      <c r="AK17" s="269">
        <v>182400</v>
      </c>
      <c r="AL17" s="269">
        <v>34656</v>
      </c>
      <c r="AM17" s="269">
        <v>217056</v>
      </c>
      <c r="AN17" s="301" t="s">
        <v>88</v>
      </c>
      <c r="AO17" s="302">
        <v>1000144000</v>
      </c>
      <c r="AP17" s="11"/>
      <c r="AQ17" s="11"/>
      <c r="AR17" s="11"/>
      <c r="AS17" s="11"/>
      <c r="AT17" s="11"/>
      <c r="AU17" s="118">
        <v>185562</v>
      </c>
      <c r="AV17" s="118">
        <v>35257</v>
      </c>
      <c r="AW17" s="118">
        <v>220819</v>
      </c>
      <c r="AX17" s="52" t="s">
        <v>607</v>
      </c>
      <c r="AY17" s="52">
        <v>1070214000</v>
      </c>
      <c r="AZ17" s="11"/>
      <c r="BA17" s="11"/>
      <c r="BB17" s="11"/>
      <c r="BC17" s="11"/>
      <c r="BD17" s="11"/>
      <c r="BE17" s="274">
        <v>214000</v>
      </c>
      <c r="BF17" s="274">
        <v>40660</v>
      </c>
      <c r="BG17" s="274">
        <v>254660</v>
      </c>
      <c r="BH17" s="11" t="s">
        <v>63</v>
      </c>
      <c r="BI17" s="11" t="s">
        <v>674</v>
      </c>
      <c r="BJ17" s="311"/>
      <c r="BK17" s="311"/>
      <c r="BL17" s="311"/>
      <c r="BM17" s="52"/>
      <c r="BN17" s="52"/>
      <c r="BO17" s="320"/>
      <c r="BP17" s="320"/>
      <c r="BQ17" s="320"/>
      <c r="BR17" s="4"/>
      <c r="BS17" s="4"/>
      <c r="BT17" s="11"/>
      <c r="BU17" s="11"/>
      <c r="BV17" s="11"/>
      <c r="BW17" s="11"/>
      <c r="BX17" s="11"/>
      <c r="BY17" s="348"/>
      <c r="BZ17" s="348"/>
      <c r="CA17" s="348"/>
      <c r="CB17" s="348"/>
      <c r="CC17" s="348"/>
      <c r="CD17" s="11"/>
      <c r="CE17" s="11"/>
      <c r="CF17" s="11"/>
      <c r="CG17" s="11"/>
      <c r="CH17" s="11"/>
      <c r="CI17" s="11"/>
      <c r="CJ17" s="11"/>
      <c r="CK17" s="11"/>
      <c r="CL17" s="11"/>
      <c r="CM17" s="11"/>
      <c r="CN17" s="274"/>
      <c r="CO17" s="274"/>
      <c r="CP17" s="274"/>
      <c r="CQ17" s="11"/>
      <c r="CR17" s="11"/>
      <c r="CS17" s="11"/>
      <c r="CT17" s="11"/>
      <c r="CU17" s="11"/>
      <c r="CV17" s="11"/>
      <c r="CW17" s="11"/>
      <c r="CX17" s="11"/>
      <c r="CY17" s="11"/>
      <c r="CZ17" s="11"/>
      <c r="DA17" s="11"/>
      <c r="DB17" s="11"/>
      <c r="DC17" s="11"/>
      <c r="DD17" s="11"/>
      <c r="DE17" s="11"/>
      <c r="DF17" s="11"/>
      <c r="DG17" s="11"/>
      <c r="DH17" s="11"/>
      <c r="DI17" s="11"/>
      <c r="DJ17" s="11"/>
      <c r="DK17" s="11"/>
      <c r="DL17" s="11"/>
      <c r="DM17" s="118"/>
      <c r="DN17" s="118"/>
      <c r="DO17" s="118"/>
      <c r="DP17" s="52"/>
      <c r="DQ17" s="52"/>
      <c r="DR17" s="77"/>
      <c r="DS17" s="77"/>
      <c r="DT17" s="77"/>
      <c r="DU17" s="11"/>
      <c r="DV17" s="11"/>
      <c r="DW17" s="11"/>
      <c r="DX17" s="11"/>
      <c r="DY17" s="11"/>
      <c r="DZ17" s="11"/>
      <c r="EA17" s="11"/>
      <c r="EB17" s="11"/>
      <c r="EC17" s="11"/>
      <c r="ED17" s="11"/>
      <c r="EE17" s="11"/>
      <c r="EF17" s="11"/>
    </row>
    <row r="18" spans="1:136" ht="25.5" customHeight="1" x14ac:dyDescent="0.25">
      <c r="A18" s="425">
        <v>16</v>
      </c>
      <c r="B18" s="428" t="s">
        <v>675</v>
      </c>
      <c r="C18" s="413" t="s">
        <v>676</v>
      </c>
      <c r="D18" s="586" t="s">
        <v>677</v>
      </c>
      <c r="E18" s="79">
        <v>1</v>
      </c>
      <c r="F18" s="405"/>
      <c r="G18" s="274"/>
      <c r="H18" s="274"/>
      <c r="I18" s="274"/>
      <c r="J18" s="274"/>
      <c r="K18" s="11"/>
      <c r="L18" s="274"/>
      <c r="M18" s="274"/>
      <c r="N18" s="274"/>
      <c r="O18" s="48"/>
      <c r="P18" s="11"/>
      <c r="Q18" s="274"/>
      <c r="R18" s="274"/>
      <c r="S18" s="274"/>
      <c r="T18" s="11"/>
      <c r="U18" s="11"/>
      <c r="V18" s="11"/>
      <c r="W18" s="11"/>
      <c r="X18" s="11"/>
      <c r="Y18" s="11"/>
      <c r="Z18" s="48"/>
      <c r="AA18" s="52"/>
      <c r="AB18" s="52"/>
      <c r="AC18" s="118"/>
      <c r="AD18" s="5"/>
      <c r="AE18" s="52"/>
      <c r="AF18" s="113">
        <v>240000</v>
      </c>
      <c r="AG18" s="113">
        <f t="shared" si="0"/>
        <v>45600</v>
      </c>
      <c r="AH18" s="113">
        <f t="shared" si="1"/>
        <v>285600</v>
      </c>
      <c r="AI18" s="277" t="s">
        <v>628</v>
      </c>
      <c r="AJ18" s="277" t="s">
        <v>678</v>
      </c>
      <c r="AK18" s="187"/>
      <c r="AL18" s="187"/>
      <c r="AM18" s="187"/>
      <c r="AN18" s="303"/>
      <c r="AO18" s="304"/>
      <c r="AP18" s="11"/>
      <c r="AQ18" s="11"/>
      <c r="AR18" s="11"/>
      <c r="AS18" s="11"/>
      <c r="AT18" s="11"/>
      <c r="AU18" s="118">
        <v>511746</v>
      </c>
      <c r="AV18" s="118">
        <v>97232</v>
      </c>
      <c r="AW18" s="118">
        <v>608977</v>
      </c>
      <c r="AX18" s="52" t="s">
        <v>607</v>
      </c>
      <c r="AY18" s="52">
        <v>1000305000</v>
      </c>
      <c r="AZ18" s="11"/>
      <c r="BA18" s="11"/>
      <c r="BB18" s="11"/>
      <c r="BC18" s="11"/>
      <c r="BD18" s="11"/>
      <c r="BE18" s="274"/>
      <c r="BF18" s="274"/>
      <c r="BG18" s="274"/>
      <c r="BH18" s="11"/>
      <c r="BI18" s="11"/>
      <c r="BJ18" s="311"/>
      <c r="BK18" s="311"/>
      <c r="BL18" s="311"/>
      <c r="BM18" s="52"/>
      <c r="BN18" s="52"/>
      <c r="BO18" s="320"/>
      <c r="BP18" s="320"/>
      <c r="BQ18" s="320"/>
      <c r="BR18" s="4"/>
      <c r="BS18" s="4"/>
      <c r="BT18" s="11"/>
      <c r="BU18" s="11"/>
      <c r="BV18" s="11"/>
      <c r="BW18" s="11"/>
      <c r="BX18" s="11"/>
      <c r="BY18" s="348"/>
      <c r="BZ18" s="348"/>
      <c r="CA18" s="348"/>
      <c r="CB18" s="348"/>
      <c r="CC18" s="348"/>
      <c r="CD18" s="11"/>
      <c r="CE18" s="11"/>
      <c r="CF18" s="11"/>
      <c r="CG18" s="11"/>
      <c r="CH18" s="11"/>
      <c r="CI18" s="11"/>
      <c r="CJ18" s="11"/>
      <c r="CK18" s="11"/>
      <c r="CL18" s="11"/>
      <c r="CM18" s="11"/>
      <c r="CN18" s="274"/>
      <c r="CO18" s="274"/>
      <c r="CP18" s="274"/>
      <c r="CQ18" s="11"/>
      <c r="CR18" s="11"/>
      <c r="CS18" s="11"/>
      <c r="CT18" s="11"/>
      <c r="CU18" s="11"/>
      <c r="CV18" s="11"/>
      <c r="CW18" s="11"/>
      <c r="CX18" s="11"/>
      <c r="CY18" s="11"/>
      <c r="CZ18" s="11"/>
      <c r="DA18" s="11"/>
      <c r="DB18" s="11"/>
      <c r="DC18" s="11"/>
      <c r="DD18" s="11"/>
      <c r="DE18" s="11"/>
      <c r="DF18" s="11"/>
      <c r="DG18" s="11"/>
      <c r="DH18" s="11"/>
      <c r="DI18" s="11"/>
      <c r="DJ18" s="11"/>
      <c r="DK18" s="11"/>
      <c r="DL18" s="11"/>
      <c r="DM18" s="118"/>
      <c r="DN18" s="118"/>
      <c r="DO18" s="118"/>
      <c r="DP18" s="52"/>
      <c r="DQ18" s="52"/>
      <c r="DR18" s="77">
        <v>513000</v>
      </c>
      <c r="DS18" s="77">
        <f>+DR18*0.19</f>
        <v>97470</v>
      </c>
      <c r="DT18" s="77">
        <f>+DR18+DS18</f>
        <v>610470</v>
      </c>
      <c r="DU18" s="11" t="s">
        <v>88</v>
      </c>
      <c r="DV18" s="11">
        <v>1000034000</v>
      </c>
      <c r="DW18" s="11"/>
      <c r="DX18" s="11"/>
      <c r="DY18" s="11"/>
      <c r="DZ18" s="11"/>
      <c r="EA18" s="11"/>
      <c r="EB18" s="11"/>
      <c r="EC18" s="11"/>
      <c r="ED18" s="11"/>
      <c r="EE18" s="11"/>
      <c r="EF18" s="11"/>
    </row>
    <row r="19" spans="1:136" ht="40.5" x14ac:dyDescent="0.25">
      <c r="A19" s="425">
        <v>17</v>
      </c>
      <c r="B19" s="427" t="s">
        <v>679</v>
      </c>
      <c r="C19" s="427" t="s">
        <v>622</v>
      </c>
      <c r="D19" s="427" t="s">
        <v>69</v>
      </c>
      <c r="E19" s="79">
        <v>1</v>
      </c>
      <c r="F19" s="404">
        <v>412255.984</v>
      </c>
      <c r="G19" s="274">
        <v>411250</v>
      </c>
      <c r="H19" s="274">
        <v>78137.5</v>
      </c>
      <c r="I19" s="274">
        <v>489387.5</v>
      </c>
      <c r="J19" s="274" t="s">
        <v>45</v>
      </c>
      <c r="K19" s="11" t="s">
        <v>680</v>
      </c>
      <c r="L19" s="274"/>
      <c r="M19" s="274"/>
      <c r="N19" s="274"/>
      <c r="O19" s="48"/>
      <c r="P19" s="11"/>
      <c r="Q19" s="274"/>
      <c r="R19" s="274"/>
      <c r="S19" s="274"/>
      <c r="T19" s="11"/>
      <c r="U19" s="11"/>
      <c r="V19" s="11"/>
      <c r="W19" s="11"/>
      <c r="X19" s="11"/>
      <c r="Y19" s="11"/>
      <c r="Z19" s="48"/>
      <c r="AA19" s="52"/>
      <c r="AB19" s="52"/>
      <c r="AC19" s="118"/>
      <c r="AD19" s="5"/>
      <c r="AE19" s="52"/>
      <c r="AF19" s="113">
        <v>297000</v>
      </c>
      <c r="AG19" s="113">
        <f t="shared" si="0"/>
        <v>56430</v>
      </c>
      <c r="AH19" s="113">
        <f t="shared" si="1"/>
        <v>353430</v>
      </c>
      <c r="AI19" s="277" t="s">
        <v>628</v>
      </c>
      <c r="AJ19" s="277" t="s">
        <v>681</v>
      </c>
      <c r="AK19" s="187">
        <v>386460</v>
      </c>
      <c r="AL19" s="187">
        <v>73427.399999999994</v>
      </c>
      <c r="AM19" s="187">
        <v>459887.4</v>
      </c>
      <c r="AN19" s="303" t="s">
        <v>88</v>
      </c>
      <c r="AO19" s="304">
        <v>1000304000</v>
      </c>
      <c r="AP19" s="11"/>
      <c r="AQ19" s="11"/>
      <c r="AR19" s="11"/>
      <c r="AS19" s="11"/>
      <c r="AT19" s="11"/>
      <c r="AU19" s="118">
        <v>491450</v>
      </c>
      <c r="AV19" s="118">
        <v>93375</v>
      </c>
      <c r="AW19" s="118">
        <v>584825</v>
      </c>
      <c r="AX19" s="52" t="s">
        <v>343</v>
      </c>
      <c r="AY19" s="52">
        <v>1000304000</v>
      </c>
      <c r="AZ19" s="11"/>
      <c r="BA19" s="11"/>
      <c r="BB19" s="11"/>
      <c r="BC19" s="11"/>
      <c r="BD19" s="11"/>
      <c r="BE19" s="274">
        <v>317000</v>
      </c>
      <c r="BF19" s="274">
        <v>60230</v>
      </c>
      <c r="BG19" s="274">
        <v>377230</v>
      </c>
      <c r="BH19" s="11" t="s">
        <v>63</v>
      </c>
      <c r="BI19" s="11" t="s">
        <v>682</v>
      </c>
      <c r="BJ19" s="311"/>
      <c r="BK19" s="311"/>
      <c r="BL19" s="311"/>
      <c r="BM19" s="52"/>
      <c r="BN19" s="52"/>
      <c r="BO19" s="320"/>
      <c r="BP19" s="320"/>
      <c r="BQ19" s="320"/>
      <c r="BR19" s="4"/>
      <c r="BS19" s="4"/>
      <c r="BT19" s="11"/>
      <c r="BU19" s="11"/>
      <c r="BV19" s="11"/>
      <c r="BW19" s="11"/>
      <c r="BX19" s="11"/>
      <c r="BY19" s="348"/>
      <c r="BZ19" s="348"/>
      <c r="CA19" s="348"/>
      <c r="CB19" s="348"/>
      <c r="CC19" s="348"/>
      <c r="CD19" s="11"/>
      <c r="CE19" s="11"/>
      <c r="CF19" s="11"/>
      <c r="CG19" s="11"/>
      <c r="CH19" s="11"/>
      <c r="CI19" s="11"/>
      <c r="CJ19" s="11"/>
      <c r="CK19" s="11"/>
      <c r="CL19" s="11"/>
      <c r="CM19" s="11"/>
      <c r="CN19" s="274"/>
      <c r="CO19" s="274"/>
      <c r="CP19" s="274"/>
      <c r="CQ19" s="11"/>
      <c r="CR19" s="11"/>
      <c r="CS19" s="11"/>
      <c r="CT19" s="11"/>
      <c r="CU19" s="11"/>
      <c r="CV19" s="11"/>
      <c r="CW19" s="11"/>
      <c r="CX19" s="11"/>
      <c r="CY19" s="11"/>
      <c r="CZ19" s="11"/>
      <c r="DA19" s="11"/>
      <c r="DB19" s="11"/>
      <c r="DC19" s="11"/>
      <c r="DD19" s="11"/>
      <c r="DE19" s="11"/>
      <c r="DF19" s="11"/>
      <c r="DG19" s="11"/>
      <c r="DH19" s="11"/>
      <c r="DI19" s="11"/>
      <c r="DJ19" s="11"/>
      <c r="DK19" s="11"/>
      <c r="DL19" s="11"/>
      <c r="DM19" s="118">
        <v>508500</v>
      </c>
      <c r="DN19" s="118">
        <f>+DM19*0.19</f>
        <v>96615</v>
      </c>
      <c r="DO19" s="118">
        <f>+DM19+DN19</f>
        <v>605115</v>
      </c>
      <c r="DP19" s="52"/>
      <c r="DQ19" s="52">
        <v>1000304000</v>
      </c>
      <c r="DR19" s="77"/>
      <c r="DS19" s="77"/>
      <c r="DT19" s="77"/>
      <c r="DU19" s="11"/>
      <c r="DV19" s="11"/>
      <c r="DW19" s="11"/>
      <c r="DX19" s="11"/>
      <c r="DY19" s="11"/>
      <c r="DZ19" s="11"/>
      <c r="EA19" s="11"/>
      <c r="EB19" s="11"/>
      <c r="EC19" s="11"/>
      <c r="ED19" s="11"/>
      <c r="EE19" s="11"/>
      <c r="EF19" s="11"/>
    </row>
    <row r="20" spans="1:136" ht="25.5" customHeight="1" x14ac:dyDescent="0.25">
      <c r="A20" s="425">
        <v>18</v>
      </c>
      <c r="B20" s="428" t="s">
        <v>683</v>
      </c>
      <c r="C20" s="413" t="s">
        <v>676</v>
      </c>
      <c r="D20" s="586" t="s">
        <v>677</v>
      </c>
      <c r="E20" s="79">
        <v>1</v>
      </c>
      <c r="F20" s="405"/>
      <c r="G20" s="274"/>
      <c r="H20" s="274"/>
      <c r="I20" s="274"/>
      <c r="J20" s="274"/>
      <c r="K20" s="11"/>
      <c r="L20" s="274"/>
      <c r="M20" s="274"/>
      <c r="N20" s="274"/>
      <c r="O20" s="48"/>
      <c r="P20" s="11"/>
      <c r="Q20" s="274"/>
      <c r="R20" s="274"/>
      <c r="S20" s="274"/>
      <c r="T20" s="11"/>
      <c r="U20" s="11"/>
      <c r="V20" s="11"/>
      <c r="W20" s="11"/>
      <c r="X20" s="11"/>
      <c r="Y20" s="11"/>
      <c r="Z20" s="48"/>
      <c r="AA20" s="52"/>
      <c r="AB20" s="52"/>
      <c r="AC20" s="118"/>
      <c r="AD20" s="5"/>
      <c r="AE20" s="52"/>
      <c r="AF20" s="113">
        <v>297000</v>
      </c>
      <c r="AG20" s="113">
        <f t="shared" si="0"/>
        <v>56430</v>
      </c>
      <c r="AH20" s="113">
        <f t="shared" si="1"/>
        <v>353430</v>
      </c>
      <c r="AI20" s="277" t="s">
        <v>628</v>
      </c>
      <c r="AJ20" s="277" t="s">
        <v>681</v>
      </c>
      <c r="AK20" s="269"/>
      <c r="AL20" s="269"/>
      <c r="AM20" s="269"/>
      <c r="AN20" s="301"/>
      <c r="AO20" s="302"/>
      <c r="AP20" s="11"/>
      <c r="AQ20" s="11"/>
      <c r="AR20" s="11"/>
      <c r="AS20" s="11"/>
      <c r="AT20" s="11"/>
      <c r="AU20" s="118">
        <v>489275</v>
      </c>
      <c r="AV20" s="118">
        <v>92962</v>
      </c>
      <c r="AW20" s="118">
        <v>582237</v>
      </c>
      <c r="AX20" s="52" t="s">
        <v>343</v>
      </c>
      <c r="AY20" s="52">
        <v>1142914000</v>
      </c>
      <c r="AZ20" s="11"/>
      <c r="BA20" s="11"/>
      <c r="BB20" s="11"/>
      <c r="BC20" s="11"/>
      <c r="BD20" s="11"/>
      <c r="BE20" s="274"/>
      <c r="BF20" s="274"/>
      <c r="BG20" s="274"/>
      <c r="BH20" s="11"/>
      <c r="BI20" s="11"/>
      <c r="BJ20" s="311"/>
      <c r="BK20" s="311"/>
      <c r="BL20" s="311"/>
      <c r="BM20" s="52"/>
      <c r="BN20" s="52"/>
      <c r="BO20" s="320"/>
      <c r="BP20" s="320"/>
      <c r="BQ20" s="320"/>
      <c r="BR20" s="4"/>
      <c r="BS20" s="4"/>
      <c r="BT20" s="11"/>
      <c r="BU20" s="11"/>
      <c r="BV20" s="11"/>
      <c r="BW20" s="11"/>
      <c r="BX20" s="11"/>
      <c r="BY20" s="348"/>
      <c r="BZ20" s="348"/>
      <c r="CA20" s="348"/>
      <c r="CB20" s="348"/>
      <c r="CC20" s="348"/>
      <c r="CD20" s="11"/>
      <c r="CE20" s="11"/>
      <c r="CF20" s="11"/>
      <c r="CG20" s="11"/>
      <c r="CH20" s="11"/>
      <c r="CI20" s="11"/>
      <c r="CJ20" s="11"/>
      <c r="CK20" s="11"/>
      <c r="CL20" s="11"/>
      <c r="CM20" s="11"/>
      <c r="CN20" s="274"/>
      <c r="CO20" s="274"/>
      <c r="CP20" s="274"/>
      <c r="CQ20" s="11"/>
      <c r="CR20" s="11"/>
      <c r="CS20" s="11"/>
      <c r="CT20" s="11"/>
      <c r="CU20" s="11"/>
      <c r="CV20" s="11"/>
      <c r="CW20" s="11"/>
      <c r="CX20" s="11"/>
      <c r="CY20" s="11"/>
      <c r="CZ20" s="11"/>
      <c r="DA20" s="11"/>
      <c r="DB20" s="11"/>
      <c r="DC20" s="11"/>
      <c r="DD20" s="11"/>
      <c r="DE20" s="11"/>
      <c r="DF20" s="11"/>
      <c r="DG20" s="11"/>
      <c r="DH20" s="11"/>
      <c r="DI20" s="11"/>
      <c r="DJ20" s="11"/>
      <c r="DK20" s="11"/>
      <c r="DL20" s="11"/>
      <c r="DM20" s="118"/>
      <c r="DN20" s="118"/>
      <c r="DO20" s="118"/>
      <c r="DP20" s="52"/>
      <c r="DQ20" s="52"/>
      <c r="DR20" s="77"/>
      <c r="DS20" s="77"/>
      <c r="DT20" s="77"/>
      <c r="DU20" s="11"/>
      <c r="DV20" s="11"/>
      <c r="DW20" s="11"/>
      <c r="DX20" s="11"/>
      <c r="DY20" s="11"/>
      <c r="DZ20" s="11"/>
      <c r="EA20" s="11"/>
      <c r="EB20" s="11"/>
      <c r="EC20" s="11"/>
      <c r="ED20" s="11"/>
      <c r="EE20" s="11"/>
      <c r="EF20" s="11"/>
    </row>
    <row r="21" spans="1:136" ht="27" x14ac:dyDescent="0.25">
      <c r="A21" s="425">
        <v>19</v>
      </c>
      <c r="B21" s="427" t="s">
        <v>684</v>
      </c>
      <c r="C21" s="427" t="s">
        <v>685</v>
      </c>
      <c r="D21" s="427" t="s">
        <v>686</v>
      </c>
      <c r="E21" s="79">
        <v>1</v>
      </c>
      <c r="F21" s="404">
        <v>1292070.584</v>
      </c>
      <c r="G21" s="274"/>
      <c r="H21" s="274"/>
      <c r="I21" s="274"/>
      <c r="J21" s="274"/>
      <c r="K21" s="11"/>
      <c r="L21" s="274"/>
      <c r="M21" s="274"/>
      <c r="N21" s="274"/>
      <c r="O21" s="48"/>
      <c r="P21" s="11"/>
      <c r="Q21" s="274"/>
      <c r="R21" s="274"/>
      <c r="S21" s="274"/>
      <c r="T21" s="11"/>
      <c r="U21" s="11"/>
      <c r="V21" s="11"/>
      <c r="W21" s="11"/>
      <c r="X21" s="11"/>
      <c r="Y21" s="11"/>
      <c r="Z21" s="48"/>
      <c r="AA21" s="52"/>
      <c r="AB21" s="52"/>
      <c r="AC21" s="118"/>
      <c r="AD21" s="5"/>
      <c r="AE21" s="52"/>
      <c r="AF21" s="113">
        <v>1162000</v>
      </c>
      <c r="AG21" s="113">
        <f t="shared" si="0"/>
        <v>220780</v>
      </c>
      <c r="AH21" s="113">
        <f t="shared" si="1"/>
        <v>1382780</v>
      </c>
      <c r="AI21" s="277" t="s">
        <v>628</v>
      </c>
      <c r="AJ21" s="277" t="s">
        <v>687</v>
      </c>
      <c r="AK21" s="187">
        <v>522120</v>
      </c>
      <c r="AL21" s="187">
        <v>99202.8</v>
      </c>
      <c r="AM21" s="187">
        <v>621322.80000000005</v>
      </c>
      <c r="AN21" s="303" t="s">
        <v>88</v>
      </c>
      <c r="AO21" s="304">
        <v>1000292500</v>
      </c>
      <c r="AP21" s="11"/>
      <c r="AQ21" s="11"/>
      <c r="AR21" s="11"/>
      <c r="AS21" s="11"/>
      <c r="AT21" s="11"/>
      <c r="AU21" s="118">
        <v>663964</v>
      </c>
      <c r="AV21" s="118">
        <v>126153</v>
      </c>
      <c r="AW21" s="118">
        <v>790118</v>
      </c>
      <c r="AX21" s="52" t="s">
        <v>607</v>
      </c>
      <c r="AY21" s="52">
        <v>1000292500</v>
      </c>
      <c r="AZ21" s="11"/>
      <c r="BA21" s="11"/>
      <c r="BB21" s="11"/>
      <c r="BC21" s="11"/>
      <c r="BD21" s="11"/>
      <c r="BE21" s="274"/>
      <c r="BF21" s="274"/>
      <c r="BG21" s="274"/>
      <c r="BH21" s="11"/>
      <c r="BI21" s="11"/>
      <c r="BJ21" s="311"/>
      <c r="BK21" s="311"/>
      <c r="BL21" s="311"/>
      <c r="BM21" s="52"/>
      <c r="BN21" s="52"/>
      <c r="BO21" s="320"/>
      <c r="BP21" s="320"/>
      <c r="BQ21" s="320"/>
      <c r="BR21" s="4"/>
      <c r="BS21" s="4"/>
      <c r="BT21" s="11"/>
      <c r="BU21" s="11"/>
      <c r="BV21" s="11"/>
      <c r="BW21" s="11"/>
      <c r="BX21" s="11"/>
      <c r="BY21" s="348"/>
      <c r="BZ21" s="348"/>
      <c r="CA21" s="348"/>
      <c r="CB21" s="348"/>
      <c r="CC21" s="348"/>
      <c r="CD21" s="11"/>
      <c r="CE21" s="11"/>
      <c r="CF21" s="11"/>
      <c r="CG21" s="11"/>
      <c r="CH21" s="11"/>
      <c r="CI21" s="11"/>
      <c r="CJ21" s="11"/>
      <c r="CK21" s="11"/>
      <c r="CL21" s="11"/>
      <c r="CM21" s="11"/>
      <c r="CN21" s="274"/>
      <c r="CO21" s="274"/>
      <c r="CP21" s="274"/>
      <c r="CQ21" s="11"/>
      <c r="CR21" s="11"/>
      <c r="CS21" s="11"/>
      <c r="CT21" s="11"/>
      <c r="CU21" s="11"/>
      <c r="CV21" s="11"/>
      <c r="CW21" s="11"/>
      <c r="CX21" s="11"/>
      <c r="CY21" s="11"/>
      <c r="CZ21" s="11"/>
      <c r="DA21" s="11"/>
      <c r="DB21" s="11"/>
      <c r="DC21" s="11"/>
      <c r="DD21" s="11"/>
      <c r="DE21" s="11"/>
      <c r="DF21" s="11"/>
      <c r="DG21" s="11"/>
      <c r="DH21" s="11"/>
      <c r="DI21" s="11"/>
      <c r="DJ21" s="11"/>
      <c r="DK21" s="11"/>
      <c r="DL21" s="11"/>
      <c r="DM21" s="118"/>
      <c r="DN21" s="118"/>
      <c r="DO21" s="118"/>
      <c r="DP21" s="52"/>
      <c r="DQ21" s="52"/>
      <c r="DR21" s="77"/>
      <c r="DS21" s="77"/>
      <c r="DT21" s="77"/>
      <c r="DU21" s="11"/>
      <c r="DV21" s="11"/>
      <c r="DW21" s="11"/>
      <c r="DX21" s="11"/>
      <c r="DY21" s="11"/>
      <c r="DZ21" s="11"/>
      <c r="EA21" s="11"/>
      <c r="EB21" s="11"/>
      <c r="EC21" s="11"/>
      <c r="ED21" s="11"/>
      <c r="EE21" s="11"/>
      <c r="EF21" s="11"/>
    </row>
    <row r="22" spans="1:136" ht="40.5" x14ac:dyDescent="0.25">
      <c r="A22" s="425">
        <v>20</v>
      </c>
      <c r="B22" s="427" t="s">
        <v>688</v>
      </c>
      <c r="C22" s="427" t="s">
        <v>622</v>
      </c>
      <c r="D22" s="427" t="s">
        <v>686</v>
      </c>
      <c r="E22" s="79">
        <v>1</v>
      </c>
      <c r="F22" s="404">
        <v>262687.50199999998</v>
      </c>
      <c r="G22" s="274">
        <v>206250</v>
      </c>
      <c r="H22" s="274">
        <v>39187.5</v>
      </c>
      <c r="I22" s="274">
        <v>245437.5</v>
      </c>
      <c r="J22" s="274" t="s">
        <v>45</v>
      </c>
      <c r="K22" s="11" t="s">
        <v>689</v>
      </c>
      <c r="L22" s="274"/>
      <c r="M22" s="274"/>
      <c r="N22" s="274"/>
      <c r="O22" s="48"/>
      <c r="P22" s="11"/>
      <c r="Q22" s="274"/>
      <c r="R22" s="274"/>
      <c r="S22" s="274"/>
      <c r="T22" s="11"/>
      <c r="U22" s="11"/>
      <c r="V22" s="11"/>
      <c r="W22" s="11"/>
      <c r="X22" s="11"/>
      <c r="Y22" s="11"/>
      <c r="Z22" s="48"/>
      <c r="AA22" s="52"/>
      <c r="AB22" s="52"/>
      <c r="AC22" s="118"/>
      <c r="AD22" s="5"/>
      <c r="AE22" s="52"/>
      <c r="AF22" s="113">
        <v>147000</v>
      </c>
      <c r="AG22" s="113">
        <f t="shared" si="0"/>
        <v>27930</v>
      </c>
      <c r="AH22" s="113">
        <f t="shared" si="1"/>
        <v>174930</v>
      </c>
      <c r="AI22" s="277" t="s">
        <v>628</v>
      </c>
      <c r="AJ22" s="277" t="s">
        <v>690</v>
      </c>
      <c r="AK22" s="269">
        <v>213180</v>
      </c>
      <c r="AL22" s="269">
        <v>40504.199999999997</v>
      </c>
      <c r="AM22" s="269">
        <v>253684.2</v>
      </c>
      <c r="AN22" s="301" t="s">
        <v>88</v>
      </c>
      <c r="AO22" s="302">
        <v>1000622500</v>
      </c>
      <c r="AP22" s="11"/>
      <c r="AQ22" s="11"/>
      <c r="AR22" s="11"/>
      <c r="AS22" s="11"/>
      <c r="AT22" s="11"/>
      <c r="AU22" s="118">
        <v>246450</v>
      </c>
      <c r="AV22" s="118">
        <v>46825</v>
      </c>
      <c r="AW22" s="118">
        <v>293275</v>
      </c>
      <c r="AX22" s="52" t="s">
        <v>607</v>
      </c>
      <c r="AY22" s="52">
        <v>1000622511</v>
      </c>
      <c r="AZ22" s="11"/>
      <c r="BA22" s="11"/>
      <c r="BB22" s="11"/>
      <c r="BC22" s="11"/>
      <c r="BD22" s="11"/>
      <c r="BE22" s="274">
        <v>220000</v>
      </c>
      <c r="BF22" s="274">
        <v>41800</v>
      </c>
      <c r="BG22" s="274">
        <v>261800</v>
      </c>
      <c r="BH22" s="11" t="s">
        <v>63</v>
      </c>
      <c r="BI22" s="11" t="s">
        <v>691</v>
      </c>
      <c r="BJ22" s="311"/>
      <c r="BK22" s="311"/>
      <c r="BL22" s="311"/>
      <c r="BM22" s="52"/>
      <c r="BN22" s="52"/>
      <c r="BO22" s="320"/>
      <c r="BP22" s="320"/>
      <c r="BQ22" s="320"/>
      <c r="BR22" s="4"/>
      <c r="BS22" s="4"/>
      <c r="BT22" s="11"/>
      <c r="BU22" s="11"/>
      <c r="BV22" s="11"/>
      <c r="BW22" s="11"/>
      <c r="BX22" s="11"/>
      <c r="BY22" s="348"/>
      <c r="BZ22" s="348"/>
      <c r="CA22" s="348"/>
      <c r="CB22" s="348"/>
      <c r="CC22" s="348"/>
      <c r="CD22" s="11"/>
      <c r="CE22" s="11"/>
      <c r="CF22" s="11"/>
      <c r="CG22" s="11"/>
      <c r="CH22" s="11"/>
      <c r="CI22" s="11"/>
      <c r="CJ22" s="11"/>
      <c r="CK22" s="11"/>
      <c r="CL22" s="11"/>
      <c r="CM22" s="11"/>
      <c r="CN22" s="274"/>
      <c r="CO22" s="274"/>
      <c r="CP22" s="274"/>
      <c r="CQ22" s="11"/>
      <c r="CR22" s="11"/>
      <c r="CS22" s="11"/>
      <c r="CT22" s="11"/>
      <c r="CU22" s="11"/>
      <c r="CV22" s="11"/>
      <c r="CW22" s="11"/>
      <c r="CX22" s="11"/>
      <c r="CY22" s="11"/>
      <c r="CZ22" s="11"/>
      <c r="DA22" s="11"/>
      <c r="DB22" s="11"/>
      <c r="DC22" s="11"/>
      <c r="DD22" s="11"/>
      <c r="DE22" s="11"/>
      <c r="DF22" s="11"/>
      <c r="DG22" s="11"/>
      <c r="DH22" s="11"/>
      <c r="DI22" s="11"/>
      <c r="DJ22" s="11"/>
      <c r="DK22" s="11"/>
      <c r="DL22" s="11"/>
      <c r="DM22" s="118"/>
      <c r="DN22" s="118"/>
      <c r="DO22" s="118"/>
      <c r="DP22" s="52"/>
      <c r="DQ22" s="52"/>
      <c r="DR22" s="77"/>
      <c r="DS22" s="77"/>
      <c r="DT22" s="77"/>
      <c r="DU22" s="11"/>
      <c r="DV22" s="11"/>
      <c r="DW22" s="11"/>
      <c r="DX22" s="11"/>
      <c r="DY22" s="11"/>
      <c r="DZ22" s="11"/>
      <c r="EA22" s="11"/>
      <c r="EB22" s="11"/>
      <c r="EC22" s="11"/>
      <c r="ED22" s="11"/>
      <c r="EE22" s="11"/>
      <c r="EF22" s="11"/>
    </row>
    <row r="23" spans="1:136" ht="25.5" x14ac:dyDescent="0.25">
      <c r="A23" s="425">
        <v>21</v>
      </c>
      <c r="B23" s="427" t="s">
        <v>692</v>
      </c>
      <c r="C23" s="427" t="s">
        <v>622</v>
      </c>
      <c r="D23" s="427" t="s">
        <v>54</v>
      </c>
      <c r="E23" s="79">
        <v>1</v>
      </c>
      <c r="F23" s="405"/>
      <c r="G23" s="274">
        <v>162500</v>
      </c>
      <c r="H23" s="274">
        <v>0</v>
      </c>
      <c r="I23" s="274">
        <v>162500</v>
      </c>
      <c r="J23" s="274" t="s">
        <v>45</v>
      </c>
      <c r="K23" s="11" t="s">
        <v>693</v>
      </c>
      <c r="L23" s="274"/>
      <c r="M23" s="274"/>
      <c r="N23" s="274"/>
      <c r="O23" s="48"/>
      <c r="P23" s="11"/>
      <c r="Q23" s="274"/>
      <c r="R23" s="274"/>
      <c r="S23" s="274"/>
      <c r="T23" s="11"/>
      <c r="U23" s="11"/>
      <c r="V23" s="11"/>
      <c r="W23" s="11"/>
      <c r="X23" s="11"/>
      <c r="Y23" s="11"/>
      <c r="Z23" s="48"/>
      <c r="AA23" s="292">
        <f>980700</f>
        <v>980700</v>
      </c>
      <c r="AB23" s="118">
        <f>+AA23*0.19</f>
        <v>186333</v>
      </c>
      <c r="AC23" s="118">
        <f>+AA23+AB23</f>
        <v>1167033</v>
      </c>
      <c r="AD23" s="5" t="s">
        <v>542</v>
      </c>
      <c r="AE23" s="52" t="s">
        <v>694</v>
      </c>
      <c r="AF23" s="113">
        <v>105000</v>
      </c>
      <c r="AG23" s="113">
        <f t="shared" si="0"/>
        <v>19950</v>
      </c>
      <c r="AH23" s="113">
        <f t="shared" si="1"/>
        <v>124950</v>
      </c>
      <c r="AI23" s="277" t="s">
        <v>628</v>
      </c>
      <c r="AJ23" s="277" t="s">
        <v>695</v>
      </c>
      <c r="AK23" s="269">
        <v>94620</v>
      </c>
      <c r="AL23" s="269"/>
      <c r="AM23" s="269">
        <v>94620</v>
      </c>
      <c r="AN23" s="301" t="s">
        <v>88</v>
      </c>
      <c r="AO23" s="302">
        <v>1004680100</v>
      </c>
      <c r="AP23" s="11"/>
      <c r="AQ23" s="11"/>
      <c r="AR23" s="11"/>
      <c r="AS23" s="11"/>
      <c r="AT23" s="11"/>
      <c r="AU23" s="118">
        <v>299163</v>
      </c>
      <c r="AV23" s="118">
        <v>56841</v>
      </c>
      <c r="AW23" s="118">
        <v>356004</v>
      </c>
      <c r="AX23" s="52" t="s">
        <v>607</v>
      </c>
      <c r="AY23" s="52" t="s">
        <v>696</v>
      </c>
      <c r="AZ23" s="11"/>
      <c r="BA23" s="11"/>
      <c r="BB23" s="11"/>
      <c r="BC23" s="11"/>
      <c r="BD23" s="11"/>
      <c r="BE23" s="274"/>
      <c r="BF23" s="274"/>
      <c r="BG23" s="274"/>
      <c r="BH23" s="11"/>
      <c r="BI23" s="11"/>
      <c r="BJ23" s="311"/>
      <c r="BK23" s="311"/>
      <c r="BL23" s="311"/>
      <c r="BM23" s="52"/>
      <c r="BN23" s="52"/>
      <c r="BO23" s="320"/>
      <c r="BP23" s="320"/>
      <c r="BQ23" s="320"/>
      <c r="BR23" s="4"/>
      <c r="BS23" s="4"/>
      <c r="BT23" s="11"/>
      <c r="BU23" s="11"/>
      <c r="BV23" s="11"/>
      <c r="BW23" s="11"/>
      <c r="BX23" s="11"/>
      <c r="BY23" s="348"/>
      <c r="BZ23" s="348"/>
      <c r="CA23" s="348"/>
      <c r="CB23" s="348"/>
      <c r="CC23" s="348"/>
      <c r="CD23" s="11"/>
      <c r="CE23" s="11"/>
      <c r="CF23" s="11"/>
      <c r="CG23" s="11"/>
      <c r="CH23" s="11"/>
      <c r="CI23" s="11"/>
      <c r="CJ23" s="11"/>
      <c r="CK23" s="11"/>
      <c r="CL23" s="11"/>
      <c r="CM23" s="11"/>
      <c r="CN23" s="274"/>
      <c r="CO23" s="274"/>
      <c r="CP23" s="274"/>
      <c r="CQ23" s="11"/>
      <c r="CR23" s="11"/>
      <c r="CS23" s="11"/>
      <c r="CT23" s="11"/>
      <c r="CU23" s="11"/>
      <c r="CV23" s="11"/>
      <c r="CW23" s="11"/>
      <c r="CX23" s="11"/>
      <c r="CY23" s="11"/>
      <c r="CZ23" s="11"/>
      <c r="DA23" s="11"/>
      <c r="DB23" s="11"/>
      <c r="DC23" s="11"/>
      <c r="DD23" s="11"/>
      <c r="DE23" s="11"/>
      <c r="DF23" s="11"/>
      <c r="DG23" s="11"/>
      <c r="DH23" s="11"/>
      <c r="DI23" s="11"/>
      <c r="DJ23" s="11"/>
      <c r="DK23" s="11"/>
      <c r="DL23" s="11"/>
      <c r="DM23" s="118"/>
      <c r="DN23" s="118"/>
      <c r="DO23" s="118"/>
      <c r="DP23" s="52"/>
      <c r="DQ23" s="52"/>
      <c r="DR23" s="77"/>
      <c r="DS23" s="77"/>
      <c r="DT23" s="77"/>
      <c r="DU23" s="11"/>
      <c r="DV23" s="11"/>
      <c r="DW23" s="11"/>
      <c r="DX23" s="11"/>
      <c r="DY23" s="11"/>
      <c r="DZ23" s="11"/>
      <c r="EA23" s="11"/>
      <c r="EB23" s="11"/>
      <c r="EC23" s="11"/>
      <c r="ED23" s="11"/>
      <c r="EE23" s="11"/>
      <c r="EF23" s="11"/>
    </row>
    <row r="24" spans="1:136" ht="40.5" x14ac:dyDescent="0.25">
      <c r="A24" s="425">
        <v>22</v>
      </c>
      <c r="B24" s="413" t="s">
        <v>697</v>
      </c>
      <c r="C24" s="413" t="s">
        <v>698</v>
      </c>
      <c r="D24" s="427" t="s">
        <v>93</v>
      </c>
      <c r="E24" s="79">
        <v>1</v>
      </c>
      <c r="F24" s="404">
        <v>311705.74400000001</v>
      </c>
      <c r="G24" s="274">
        <v>342500</v>
      </c>
      <c r="H24" s="274">
        <v>65075</v>
      </c>
      <c r="I24" s="274">
        <v>407575</v>
      </c>
      <c r="J24" s="274" t="s">
        <v>45</v>
      </c>
      <c r="K24" s="11" t="s">
        <v>699</v>
      </c>
      <c r="L24" s="274"/>
      <c r="M24" s="274"/>
      <c r="N24" s="274"/>
      <c r="O24" s="48"/>
      <c r="P24" s="11"/>
      <c r="Q24" s="274"/>
      <c r="R24" s="274"/>
      <c r="S24" s="274"/>
      <c r="T24" s="11"/>
      <c r="U24" s="11"/>
      <c r="V24" s="11"/>
      <c r="W24" s="11"/>
      <c r="X24" s="11"/>
      <c r="Y24" s="11"/>
      <c r="Z24" s="48"/>
      <c r="AA24" s="293">
        <v>501900</v>
      </c>
      <c r="AB24" s="118">
        <f>+AA24*0.19</f>
        <v>95361</v>
      </c>
      <c r="AC24" s="118">
        <f>+AA24+AB24</f>
        <v>597261</v>
      </c>
      <c r="AD24" s="5" t="s">
        <v>542</v>
      </c>
      <c r="AE24" s="52" t="s">
        <v>700</v>
      </c>
      <c r="AF24" s="113">
        <v>377000</v>
      </c>
      <c r="AG24" s="113">
        <f t="shared" si="0"/>
        <v>71630</v>
      </c>
      <c r="AH24" s="113">
        <f t="shared" si="1"/>
        <v>448630</v>
      </c>
      <c r="AI24" s="277" t="s">
        <v>628</v>
      </c>
      <c r="AJ24" s="277" t="s">
        <v>701</v>
      </c>
      <c r="AK24" s="269">
        <v>210330</v>
      </c>
      <c r="AL24" s="269">
        <v>39962.699999999997</v>
      </c>
      <c r="AM24" s="269">
        <v>250292.7</v>
      </c>
      <c r="AN24" s="301" t="s">
        <v>88</v>
      </c>
      <c r="AO24" s="302">
        <v>1001651000</v>
      </c>
      <c r="AP24" s="11"/>
      <c r="AQ24" s="11"/>
      <c r="AR24" s="11"/>
      <c r="AS24" s="11"/>
      <c r="AT24" s="11"/>
      <c r="AU24" s="118"/>
      <c r="AV24" s="118"/>
      <c r="AW24" s="118"/>
      <c r="AX24" s="52"/>
      <c r="AY24" s="52"/>
      <c r="AZ24" s="11"/>
      <c r="BA24" s="11"/>
      <c r="BB24" s="11"/>
      <c r="BC24" s="11"/>
      <c r="BD24" s="11"/>
      <c r="BE24" s="274">
        <v>212000</v>
      </c>
      <c r="BF24" s="274">
        <v>40280</v>
      </c>
      <c r="BG24" s="274">
        <v>252280</v>
      </c>
      <c r="BH24" s="11" t="s">
        <v>63</v>
      </c>
      <c r="BI24" s="11" t="s">
        <v>702</v>
      </c>
      <c r="BJ24" s="311"/>
      <c r="BK24" s="311"/>
      <c r="BL24" s="311"/>
      <c r="BM24" s="52"/>
      <c r="BN24" s="52"/>
      <c r="BO24" s="320"/>
      <c r="BP24" s="320"/>
      <c r="BQ24" s="320"/>
      <c r="BR24" s="4"/>
      <c r="BS24" s="4"/>
      <c r="BT24" s="11"/>
      <c r="BU24" s="11"/>
      <c r="BV24" s="11"/>
      <c r="BW24" s="11"/>
      <c r="BX24" s="11"/>
      <c r="BY24" s="348"/>
      <c r="BZ24" s="348"/>
      <c r="CA24" s="348"/>
      <c r="CB24" s="348"/>
      <c r="CC24" s="348"/>
      <c r="CD24" s="11"/>
      <c r="CE24" s="11"/>
      <c r="CF24" s="11"/>
      <c r="CG24" s="11"/>
      <c r="CH24" s="11"/>
      <c r="CI24" s="11"/>
      <c r="CJ24" s="11"/>
      <c r="CK24" s="11"/>
      <c r="CL24" s="11"/>
      <c r="CM24" s="11"/>
      <c r="CN24" s="274"/>
      <c r="CO24" s="274"/>
      <c r="CP24" s="274"/>
      <c r="CQ24" s="11"/>
      <c r="CR24" s="11"/>
      <c r="CS24" s="11"/>
      <c r="CT24" s="11"/>
      <c r="CU24" s="11"/>
      <c r="CV24" s="11"/>
      <c r="CW24" s="11"/>
      <c r="CX24" s="11"/>
      <c r="CY24" s="11"/>
      <c r="CZ24" s="11"/>
      <c r="DA24" s="11"/>
      <c r="DB24" s="11"/>
      <c r="DC24" s="11"/>
      <c r="DD24" s="11"/>
      <c r="DE24" s="11"/>
      <c r="DF24" s="11"/>
      <c r="DG24" s="11"/>
      <c r="DH24" s="11"/>
      <c r="DI24" s="11"/>
      <c r="DJ24" s="11"/>
      <c r="DK24" s="11"/>
      <c r="DL24" s="11"/>
      <c r="DM24" s="118"/>
      <c r="DN24" s="118"/>
      <c r="DO24" s="118"/>
      <c r="DP24" s="52"/>
      <c r="DQ24" s="52"/>
      <c r="DR24" s="77"/>
      <c r="DS24" s="77"/>
      <c r="DT24" s="77"/>
      <c r="DU24" s="11"/>
      <c r="DV24" s="11"/>
      <c r="DW24" s="11"/>
      <c r="DX24" s="11"/>
      <c r="DY24" s="11"/>
      <c r="DZ24" s="11"/>
      <c r="EA24" s="11"/>
      <c r="EB24" s="11"/>
      <c r="EC24" s="11"/>
      <c r="ED24" s="11"/>
      <c r="EE24" s="11"/>
      <c r="EF24" s="11"/>
    </row>
    <row r="25" spans="1:136" ht="27" x14ac:dyDescent="0.25">
      <c r="A25" s="425">
        <v>23</v>
      </c>
      <c r="B25" s="427" t="s">
        <v>703</v>
      </c>
      <c r="C25" s="427" t="s">
        <v>704</v>
      </c>
      <c r="D25" s="427" t="s">
        <v>93</v>
      </c>
      <c r="E25" s="79">
        <v>1</v>
      </c>
      <c r="F25" s="405">
        <v>458760.47000000003</v>
      </c>
      <c r="G25" s="274">
        <v>437500</v>
      </c>
      <c r="H25" s="274">
        <v>83125</v>
      </c>
      <c r="I25" s="274">
        <v>520625</v>
      </c>
      <c r="J25" s="274" t="s">
        <v>45</v>
      </c>
      <c r="K25" s="11" t="s">
        <v>705</v>
      </c>
      <c r="L25" s="274"/>
      <c r="M25" s="274"/>
      <c r="N25" s="274"/>
      <c r="O25" s="48"/>
      <c r="P25" s="11"/>
      <c r="Q25" s="274"/>
      <c r="R25" s="274"/>
      <c r="S25" s="274"/>
      <c r="T25" s="11"/>
      <c r="U25" s="11"/>
      <c r="V25" s="11"/>
      <c r="W25" s="11"/>
      <c r="X25" s="11"/>
      <c r="Y25" s="11"/>
      <c r="Z25" s="48"/>
      <c r="AA25" s="52"/>
      <c r="AB25" s="52"/>
      <c r="AC25" s="118"/>
      <c r="AD25" s="5"/>
      <c r="AE25" s="52"/>
      <c r="AF25" s="113">
        <v>282000</v>
      </c>
      <c r="AG25" s="113">
        <f t="shared" si="0"/>
        <v>53580</v>
      </c>
      <c r="AH25" s="113">
        <f t="shared" si="1"/>
        <v>335580</v>
      </c>
      <c r="AI25" s="277" t="s">
        <v>628</v>
      </c>
      <c r="AJ25" s="277" t="s">
        <v>706</v>
      </c>
      <c r="AK25" s="269">
        <v>259920</v>
      </c>
      <c r="AL25" s="269">
        <v>49384.800000000003</v>
      </c>
      <c r="AM25" s="269">
        <v>309304.8</v>
      </c>
      <c r="AN25" s="301" t="s">
        <v>88</v>
      </c>
      <c r="AO25" s="302">
        <v>1002441000</v>
      </c>
      <c r="AP25" s="11"/>
      <c r="AQ25" s="11"/>
      <c r="AR25" s="11"/>
      <c r="AS25" s="11"/>
      <c r="AT25" s="11"/>
      <c r="AU25" s="118">
        <v>330533</v>
      </c>
      <c r="AV25" s="118">
        <v>62801</v>
      </c>
      <c r="AW25" s="118">
        <v>393334</v>
      </c>
      <c r="AX25" s="285" t="s">
        <v>607</v>
      </c>
      <c r="AY25" s="285">
        <v>1002441000</v>
      </c>
      <c r="AZ25" s="11"/>
      <c r="BA25" s="11"/>
      <c r="BB25" s="11"/>
      <c r="BC25" s="11"/>
      <c r="BD25" s="11"/>
      <c r="BE25" s="274">
        <v>241000</v>
      </c>
      <c r="BF25" s="274">
        <v>45790</v>
      </c>
      <c r="BG25" s="274">
        <v>286790</v>
      </c>
      <c r="BH25" s="11" t="s">
        <v>63</v>
      </c>
      <c r="BI25" s="11" t="s">
        <v>707</v>
      </c>
      <c r="BJ25" s="311"/>
      <c r="BK25" s="311"/>
      <c r="BL25" s="311"/>
      <c r="BM25" s="52"/>
      <c r="BN25" s="52"/>
      <c r="BO25" s="320"/>
      <c r="BP25" s="320"/>
      <c r="BQ25" s="320"/>
      <c r="BR25" s="4"/>
      <c r="BS25" s="4"/>
      <c r="BT25" s="11"/>
      <c r="BU25" s="11"/>
      <c r="BV25" s="11"/>
      <c r="BW25" s="11"/>
      <c r="BX25" s="11"/>
      <c r="BY25" s="348"/>
      <c r="BZ25" s="348"/>
      <c r="CA25" s="348"/>
      <c r="CB25" s="348"/>
      <c r="CC25" s="348"/>
      <c r="CD25" s="11"/>
      <c r="CE25" s="11"/>
      <c r="CF25" s="11"/>
      <c r="CG25" s="11"/>
      <c r="CH25" s="11"/>
      <c r="CI25" s="11"/>
      <c r="CJ25" s="11"/>
      <c r="CK25" s="11"/>
      <c r="CL25" s="11"/>
      <c r="CM25" s="11"/>
      <c r="CN25" s="274"/>
      <c r="CO25" s="274"/>
      <c r="CP25" s="274"/>
      <c r="CQ25" s="11"/>
      <c r="CR25" s="11"/>
      <c r="CS25" s="11"/>
      <c r="CT25" s="11"/>
      <c r="CU25" s="11"/>
      <c r="CV25" s="11"/>
      <c r="CW25" s="11"/>
      <c r="CX25" s="11"/>
      <c r="CY25" s="11"/>
      <c r="CZ25" s="11"/>
      <c r="DA25" s="11"/>
      <c r="DB25" s="11"/>
      <c r="DC25" s="11"/>
      <c r="DD25" s="11"/>
      <c r="DE25" s="11"/>
      <c r="DF25" s="11"/>
      <c r="DG25" s="11"/>
      <c r="DH25" s="11"/>
      <c r="DI25" s="11"/>
      <c r="DJ25" s="11"/>
      <c r="DK25" s="11"/>
      <c r="DL25" s="11"/>
      <c r="DM25" s="118"/>
      <c r="DN25" s="118"/>
      <c r="DO25" s="118"/>
      <c r="DP25" s="52"/>
      <c r="DQ25" s="52"/>
      <c r="DR25" s="77"/>
      <c r="DS25" s="77"/>
      <c r="DT25" s="77"/>
      <c r="DU25" s="11"/>
      <c r="DV25" s="11"/>
      <c r="DW25" s="11"/>
      <c r="DX25" s="11"/>
      <c r="DY25" s="11"/>
      <c r="DZ25" s="11"/>
      <c r="EA25" s="11"/>
      <c r="EB25" s="11"/>
      <c r="EC25" s="11"/>
      <c r="ED25" s="11"/>
      <c r="EE25" s="11"/>
      <c r="EF25" s="11"/>
    </row>
    <row r="26" spans="1:136" ht="25.5" customHeight="1" x14ac:dyDescent="0.25">
      <c r="A26" s="425">
        <v>24</v>
      </c>
      <c r="B26" s="428" t="s">
        <v>708</v>
      </c>
      <c r="C26" s="413" t="s">
        <v>676</v>
      </c>
      <c r="D26" s="426" t="s">
        <v>709</v>
      </c>
      <c r="E26" s="79">
        <v>1</v>
      </c>
      <c r="F26" s="405"/>
      <c r="G26" s="274"/>
      <c r="H26" s="274"/>
      <c r="I26" s="274"/>
      <c r="J26" s="274"/>
      <c r="K26" s="11"/>
      <c r="L26" s="274"/>
      <c r="M26" s="274"/>
      <c r="N26" s="274"/>
      <c r="O26" s="48"/>
      <c r="P26" s="11"/>
      <c r="Q26" s="274"/>
      <c r="R26" s="274"/>
      <c r="S26" s="274"/>
      <c r="T26" s="11"/>
      <c r="U26" s="11"/>
      <c r="V26" s="11"/>
      <c r="W26" s="11"/>
      <c r="X26" s="11"/>
      <c r="Y26" s="11"/>
      <c r="Z26" s="48"/>
      <c r="AA26" s="52"/>
      <c r="AB26" s="52"/>
      <c r="AC26" s="118"/>
      <c r="AD26" s="5"/>
      <c r="AE26" s="52"/>
      <c r="AF26" s="113">
        <v>184000</v>
      </c>
      <c r="AG26" s="113">
        <f t="shared" si="0"/>
        <v>34960</v>
      </c>
      <c r="AH26" s="113">
        <f t="shared" si="1"/>
        <v>218960</v>
      </c>
      <c r="AI26" s="277" t="s">
        <v>628</v>
      </c>
      <c r="AJ26" s="277" t="s">
        <v>710</v>
      </c>
      <c r="AK26" s="269"/>
      <c r="AL26" s="269"/>
      <c r="AM26" s="269"/>
      <c r="AN26" s="301"/>
      <c r="AO26" s="302"/>
      <c r="AP26" s="11"/>
      <c r="AQ26" s="11"/>
      <c r="AR26" s="11"/>
      <c r="AS26" s="11"/>
      <c r="AT26" s="11"/>
      <c r="AU26" s="118"/>
      <c r="AV26" s="118"/>
      <c r="AW26" s="118"/>
      <c r="AX26" s="52"/>
      <c r="AY26" s="52"/>
      <c r="AZ26" s="11"/>
      <c r="BA26" s="11"/>
      <c r="BB26" s="11"/>
      <c r="BC26" s="11"/>
      <c r="BD26" s="11"/>
      <c r="BE26" s="274"/>
      <c r="BF26" s="274"/>
      <c r="BG26" s="274"/>
      <c r="BH26" s="11"/>
      <c r="BI26" s="11"/>
      <c r="BJ26" s="311"/>
      <c r="BK26" s="311"/>
      <c r="BL26" s="311"/>
      <c r="BM26" s="52"/>
      <c r="BN26" s="52"/>
      <c r="BO26" s="320"/>
      <c r="BP26" s="320"/>
      <c r="BQ26" s="320"/>
      <c r="BR26" s="4"/>
      <c r="BS26" s="4"/>
      <c r="BT26" s="11"/>
      <c r="BU26" s="11"/>
      <c r="BV26" s="11"/>
      <c r="BW26" s="11"/>
      <c r="BX26" s="11"/>
      <c r="BY26" s="348"/>
      <c r="BZ26" s="348"/>
      <c r="CA26" s="348"/>
      <c r="CB26" s="348"/>
      <c r="CC26" s="348"/>
      <c r="CD26" s="11"/>
      <c r="CE26" s="11"/>
      <c r="CF26" s="11"/>
      <c r="CG26" s="11"/>
      <c r="CH26" s="11"/>
      <c r="CI26" s="11"/>
      <c r="CJ26" s="11"/>
      <c r="CK26" s="11"/>
      <c r="CL26" s="11"/>
      <c r="CM26" s="11"/>
      <c r="CN26" s="274"/>
      <c r="CO26" s="274"/>
      <c r="CP26" s="274"/>
      <c r="CQ26" s="11"/>
      <c r="CR26" s="11"/>
      <c r="CS26" s="11"/>
      <c r="CT26" s="11"/>
      <c r="CU26" s="11"/>
      <c r="CV26" s="11"/>
      <c r="CW26" s="11"/>
      <c r="CX26" s="11"/>
      <c r="CY26" s="11"/>
      <c r="CZ26" s="11"/>
      <c r="DA26" s="11"/>
      <c r="DB26" s="11"/>
      <c r="DC26" s="11"/>
      <c r="DD26" s="11"/>
      <c r="DE26" s="11"/>
      <c r="DF26" s="11"/>
      <c r="DG26" s="11"/>
      <c r="DH26" s="11"/>
      <c r="DI26" s="11"/>
      <c r="DJ26" s="11"/>
      <c r="DK26" s="11"/>
      <c r="DL26" s="11"/>
      <c r="DM26" s="118"/>
      <c r="DN26" s="118"/>
      <c r="DO26" s="118"/>
      <c r="DP26" s="52"/>
      <c r="DQ26" s="52"/>
      <c r="DR26" s="77"/>
      <c r="DS26" s="77"/>
      <c r="DT26" s="77"/>
      <c r="DU26" s="11"/>
      <c r="DV26" s="11"/>
      <c r="DW26" s="11"/>
      <c r="DX26" s="11"/>
      <c r="DY26" s="11"/>
      <c r="DZ26" s="11"/>
      <c r="EA26" s="11"/>
      <c r="EB26" s="11"/>
      <c r="EC26" s="11"/>
      <c r="ED26" s="11"/>
      <c r="EE26" s="11"/>
      <c r="EF26" s="11"/>
    </row>
    <row r="27" spans="1:136" ht="27" x14ac:dyDescent="0.25">
      <c r="A27" s="425">
        <v>25</v>
      </c>
      <c r="B27" s="427" t="s">
        <v>711</v>
      </c>
      <c r="C27" s="427" t="s">
        <v>712</v>
      </c>
      <c r="D27" s="427" t="s">
        <v>686</v>
      </c>
      <c r="E27" s="79">
        <v>1</v>
      </c>
      <c r="F27" s="405">
        <v>175962.92</v>
      </c>
      <c r="G27" s="274">
        <v>181250</v>
      </c>
      <c r="H27" s="274">
        <v>34437.5</v>
      </c>
      <c r="I27" s="274">
        <v>215687.5</v>
      </c>
      <c r="J27" s="274" t="s">
        <v>45</v>
      </c>
      <c r="K27" s="11" t="s">
        <v>713</v>
      </c>
      <c r="L27" s="274"/>
      <c r="M27" s="274"/>
      <c r="N27" s="274"/>
      <c r="O27" s="48"/>
      <c r="P27" s="11"/>
      <c r="Q27" s="274"/>
      <c r="R27" s="274"/>
      <c r="S27" s="274"/>
      <c r="T27" s="11"/>
      <c r="U27" s="11"/>
      <c r="V27" s="11"/>
      <c r="W27" s="11"/>
      <c r="X27" s="11"/>
      <c r="Y27" s="11"/>
      <c r="Z27" s="48"/>
      <c r="AA27" s="52"/>
      <c r="AB27" s="52"/>
      <c r="AC27" s="118"/>
      <c r="AD27" s="5"/>
      <c r="AE27" s="52"/>
      <c r="AF27" s="113">
        <v>133000</v>
      </c>
      <c r="AG27" s="113">
        <f t="shared" si="0"/>
        <v>25270</v>
      </c>
      <c r="AH27" s="113">
        <f t="shared" si="1"/>
        <v>158270</v>
      </c>
      <c r="AI27" s="277" t="s">
        <v>628</v>
      </c>
      <c r="AJ27" s="277" t="s">
        <v>714</v>
      </c>
      <c r="AK27" s="269">
        <v>106000</v>
      </c>
      <c r="AL27" s="269">
        <v>20140</v>
      </c>
      <c r="AM27" s="269">
        <v>126140</v>
      </c>
      <c r="AN27" s="301" t="s">
        <v>88</v>
      </c>
      <c r="AO27" s="302">
        <v>1003172500</v>
      </c>
      <c r="AP27" s="11"/>
      <c r="AQ27" s="11"/>
      <c r="AR27" s="11"/>
      <c r="AS27" s="11"/>
      <c r="AT27" s="11"/>
      <c r="AU27" s="118">
        <v>160192</v>
      </c>
      <c r="AV27" s="118">
        <v>30437</v>
      </c>
      <c r="AW27" s="118">
        <v>190629</v>
      </c>
      <c r="AX27" s="52" t="s">
        <v>343</v>
      </c>
      <c r="AY27" s="52">
        <v>1003172510</v>
      </c>
      <c r="AZ27" s="11"/>
      <c r="BA27" s="11"/>
      <c r="BB27" s="11"/>
      <c r="BC27" s="11"/>
      <c r="BD27" s="11"/>
      <c r="BE27" s="274">
        <v>130000</v>
      </c>
      <c r="BF27" s="274">
        <v>24700</v>
      </c>
      <c r="BG27" s="274">
        <v>154700</v>
      </c>
      <c r="BH27" s="11" t="s">
        <v>63</v>
      </c>
      <c r="BI27" s="11" t="s">
        <v>715</v>
      </c>
      <c r="BJ27" s="311"/>
      <c r="BK27" s="311"/>
      <c r="BL27" s="311"/>
      <c r="BM27" s="52"/>
      <c r="BN27" s="52"/>
      <c r="BO27" s="320"/>
      <c r="BP27" s="320"/>
      <c r="BQ27" s="320"/>
      <c r="BR27" s="4"/>
      <c r="BS27" s="4"/>
      <c r="BT27" s="11"/>
      <c r="BU27" s="11"/>
      <c r="BV27" s="11"/>
      <c r="BW27" s="11"/>
      <c r="BX27" s="11"/>
      <c r="BY27" s="348"/>
      <c r="BZ27" s="348"/>
      <c r="CA27" s="348"/>
      <c r="CB27" s="348"/>
      <c r="CC27" s="348"/>
      <c r="CD27" s="11"/>
      <c r="CE27" s="11"/>
      <c r="CF27" s="11"/>
      <c r="CG27" s="11"/>
      <c r="CH27" s="11"/>
      <c r="CI27" s="11"/>
      <c r="CJ27" s="11"/>
      <c r="CK27" s="11"/>
      <c r="CL27" s="11"/>
      <c r="CM27" s="11"/>
      <c r="CN27" s="274"/>
      <c r="CO27" s="274"/>
      <c r="CP27" s="274"/>
      <c r="CQ27" s="11"/>
      <c r="CR27" s="11"/>
      <c r="CS27" s="11"/>
      <c r="CT27" s="11"/>
      <c r="CU27" s="11"/>
      <c r="CV27" s="11"/>
      <c r="CW27" s="11"/>
      <c r="CX27" s="11"/>
      <c r="CY27" s="11"/>
      <c r="CZ27" s="11"/>
      <c r="DA27" s="11"/>
      <c r="DB27" s="11"/>
      <c r="DC27" s="11"/>
      <c r="DD27" s="11"/>
      <c r="DE27" s="11"/>
      <c r="DF27" s="11"/>
      <c r="DG27" s="11"/>
      <c r="DH27" s="11"/>
      <c r="DI27" s="11"/>
      <c r="DJ27" s="11"/>
      <c r="DK27" s="11"/>
      <c r="DL27" s="11"/>
      <c r="DM27" s="118">
        <v>116000</v>
      </c>
      <c r="DN27" s="118">
        <f>+DM27*0.19</f>
        <v>22040</v>
      </c>
      <c r="DO27" s="118">
        <f>+DM27+DN27</f>
        <v>138040</v>
      </c>
      <c r="DP27" s="52"/>
      <c r="DQ27" s="52">
        <v>1003171000</v>
      </c>
      <c r="DR27" s="77">
        <v>198000</v>
      </c>
      <c r="DS27" s="77">
        <f>+DR27*0.19</f>
        <v>37620</v>
      </c>
      <c r="DT27" s="77">
        <f>+DR27+DS27</f>
        <v>235620</v>
      </c>
      <c r="DU27" s="11" t="s">
        <v>88</v>
      </c>
      <c r="DV27" s="11">
        <v>1003172500</v>
      </c>
      <c r="DW27" s="11"/>
      <c r="DX27" s="11"/>
      <c r="DY27" s="11"/>
      <c r="DZ27" s="11"/>
      <c r="EA27" s="11"/>
      <c r="EB27" s="11"/>
      <c r="EC27" s="11"/>
      <c r="ED27" s="11"/>
      <c r="EE27" s="11"/>
      <c r="EF27" s="11"/>
    </row>
    <row r="28" spans="1:136" ht="40.5" x14ac:dyDescent="0.25">
      <c r="A28" s="425">
        <v>26</v>
      </c>
      <c r="B28" s="427" t="s">
        <v>716</v>
      </c>
      <c r="C28" s="427" t="s">
        <v>622</v>
      </c>
      <c r="D28" s="427" t="s">
        <v>686</v>
      </c>
      <c r="E28" s="79">
        <v>1</v>
      </c>
      <c r="F28" s="405">
        <v>483898.03</v>
      </c>
      <c r="G28" s="274">
        <v>371250</v>
      </c>
      <c r="H28" s="274">
        <v>70537.5</v>
      </c>
      <c r="I28" s="274">
        <v>441787.5</v>
      </c>
      <c r="J28" s="274" t="s">
        <v>45</v>
      </c>
      <c r="K28" s="11" t="s">
        <v>717</v>
      </c>
      <c r="L28" s="274"/>
      <c r="M28" s="274"/>
      <c r="N28" s="274"/>
      <c r="O28" s="48"/>
      <c r="P28" s="11"/>
      <c r="Q28" s="274"/>
      <c r="R28" s="274"/>
      <c r="S28" s="274"/>
      <c r="T28" s="11"/>
      <c r="U28" s="11"/>
      <c r="V28" s="11"/>
      <c r="W28" s="11"/>
      <c r="X28" s="11"/>
      <c r="Y28" s="11"/>
      <c r="Z28" s="48"/>
      <c r="AA28" s="52"/>
      <c r="AB28" s="52"/>
      <c r="AC28" s="118"/>
      <c r="AD28" s="5"/>
      <c r="AE28" s="52"/>
      <c r="AF28" s="113">
        <v>230000</v>
      </c>
      <c r="AG28" s="113">
        <f t="shared" si="0"/>
        <v>43700</v>
      </c>
      <c r="AH28" s="113">
        <f t="shared" si="1"/>
        <v>273700</v>
      </c>
      <c r="AI28" s="277" t="s">
        <v>628</v>
      </c>
      <c r="AJ28" s="277" t="s">
        <v>718</v>
      </c>
      <c r="AK28" s="269">
        <v>218880</v>
      </c>
      <c r="AL28" s="269">
        <v>41587.199999999997</v>
      </c>
      <c r="AM28" s="269">
        <v>260467.20000000001</v>
      </c>
      <c r="AN28" s="301" t="s">
        <v>601</v>
      </c>
      <c r="AO28" s="302">
        <v>1002641000</v>
      </c>
      <c r="AP28" s="11"/>
      <c r="AQ28" s="11"/>
      <c r="AR28" s="11"/>
      <c r="AS28" s="11"/>
      <c r="AT28" s="11"/>
      <c r="AU28" s="118">
        <v>278343</v>
      </c>
      <c r="AV28" s="118">
        <v>52885</v>
      </c>
      <c r="AW28" s="118">
        <v>331228</v>
      </c>
      <c r="AX28" s="52" t="s">
        <v>607</v>
      </c>
      <c r="AY28" s="52">
        <v>1002641000</v>
      </c>
      <c r="AZ28" s="11"/>
      <c r="BA28" s="11"/>
      <c r="BB28" s="11"/>
      <c r="BC28" s="11"/>
      <c r="BD28" s="11"/>
      <c r="BE28" s="274"/>
      <c r="BF28" s="274"/>
      <c r="BG28" s="274"/>
      <c r="BH28" s="11"/>
      <c r="BI28" s="11"/>
      <c r="BJ28" s="311"/>
      <c r="BK28" s="311"/>
      <c r="BL28" s="311"/>
      <c r="BM28" s="52"/>
      <c r="BN28" s="52"/>
      <c r="BO28" s="320"/>
      <c r="BP28" s="320"/>
      <c r="BQ28" s="320"/>
      <c r="BR28" s="4"/>
      <c r="BS28" s="4"/>
      <c r="BT28" s="11"/>
      <c r="BU28" s="11"/>
      <c r="BV28" s="11"/>
      <c r="BW28" s="11"/>
      <c r="BX28" s="11"/>
      <c r="BY28" s="348"/>
      <c r="BZ28" s="348"/>
      <c r="CA28" s="348"/>
      <c r="CB28" s="348"/>
      <c r="CC28" s="348"/>
      <c r="CD28" s="11"/>
      <c r="CE28" s="11"/>
      <c r="CF28" s="11"/>
      <c r="CG28" s="11"/>
      <c r="CH28" s="11"/>
      <c r="CI28" s="11"/>
      <c r="CJ28" s="11"/>
      <c r="CK28" s="11"/>
      <c r="CL28" s="11"/>
      <c r="CM28" s="11"/>
      <c r="CN28" s="274"/>
      <c r="CO28" s="274"/>
      <c r="CP28" s="274"/>
      <c r="CQ28" s="11"/>
      <c r="CR28" s="11"/>
      <c r="CS28" s="11"/>
      <c r="CT28" s="11"/>
      <c r="CU28" s="11"/>
      <c r="CV28" s="11"/>
      <c r="CW28" s="11"/>
      <c r="CX28" s="11"/>
      <c r="CY28" s="11"/>
      <c r="CZ28" s="11"/>
      <c r="DA28" s="11"/>
      <c r="DB28" s="11"/>
      <c r="DC28" s="11"/>
      <c r="DD28" s="11"/>
      <c r="DE28" s="11"/>
      <c r="DF28" s="11"/>
      <c r="DG28" s="11"/>
      <c r="DH28" s="11"/>
      <c r="DI28" s="11"/>
      <c r="DJ28" s="11"/>
      <c r="DK28" s="11"/>
      <c r="DL28" s="11"/>
      <c r="DM28" s="118"/>
      <c r="DN28" s="118"/>
      <c r="DO28" s="118"/>
      <c r="DP28" s="52"/>
      <c r="DQ28" s="52"/>
      <c r="DR28" s="77"/>
      <c r="DS28" s="77"/>
      <c r="DT28" s="77"/>
      <c r="DU28" s="11"/>
      <c r="DV28" s="11"/>
      <c r="DW28" s="11"/>
      <c r="DX28" s="11"/>
      <c r="DY28" s="11"/>
      <c r="DZ28" s="11"/>
      <c r="EA28" s="11"/>
      <c r="EB28" s="11"/>
      <c r="EC28" s="11"/>
      <c r="ED28" s="11"/>
      <c r="EE28" s="11"/>
      <c r="EF28" s="11"/>
    </row>
    <row r="29" spans="1:136" ht="40.5" x14ac:dyDescent="0.25">
      <c r="A29" s="425">
        <v>27</v>
      </c>
      <c r="B29" s="427" t="s">
        <v>719</v>
      </c>
      <c r="C29" s="427" t="s">
        <v>622</v>
      </c>
      <c r="D29" s="413" t="s">
        <v>720</v>
      </c>
      <c r="E29" s="79">
        <v>1</v>
      </c>
      <c r="F29" s="405"/>
      <c r="G29" s="274"/>
      <c r="H29" s="274"/>
      <c r="I29" s="274"/>
      <c r="J29" s="274"/>
      <c r="K29" s="11"/>
      <c r="L29" s="274"/>
      <c r="M29" s="274"/>
      <c r="N29" s="274"/>
      <c r="O29" s="48"/>
      <c r="P29" s="11"/>
      <c r="Q29" s="274"/>
      <c r="R29" s="274"/>
      <c r="S29" s="274"/>
      <c r="T29" s="11"/>
      <c r="U29" s="11"/>
      <c r="V29" s="11"/>
      <c r="W29" s="11"/>
      <c r="X29" s="11"/>
      <c r="Y29" s="11"/>
      <c r="Z29" s="48"/>
      <c r="AA29" s="52"/>
      <c r="AB29" s="52"/>
      <c r="AC29" s="118"/>
      <c r="AD29" s="5"/>
      <c r="AE29" s="52"/>
      <c r="AF29" s="113">
        <v>165000</v>
      </c>
      <c r="AG29" s="113">
        <f t="shared" si="0"/>
        <v>31350</v>
      </c>
      <c r="AH29" s="113">
        <f t="shared" si="1"/>
        <v>196350</v>
      </c>
      <c r="AI29" s="277" t="s">
        <v>628</v>
      </c>
      <c r="AJ29" s="277" t="s">
        <v>721</v>
      </c>
      <c r="AK29" s="269"/>
      <c r="AL29" s="269"/>
      <c r="AM29" s="269"/>
      <c r="AN29" s="301"/>
      <c r="AO29" s="302"/>
      <c r="AP29" s="11"/>
      <c r="AQ29" s="11"/>
      <c r="AR29" s="11"/>
      <c r="AS29" s="11"/>
      <c r="AT29" s="11"/>
      <c r="AU29" s="118">
        <v>1138462</v>
      </c>
      <c r="AV29" s="118">
        <v>216308</v>
      </c>
      <c r="AW29" s="118">
        <v>1354769</v>
      </c>
      <c r="AX29" s="52" t="s">
        <v>607</v>
      </c>
      <c r="AY29" s="52">
        <v>1116700250</v>
      </c>
      <c r="AZ29" s="11"/>
      <c r="BA29" s="11"/>
      <c r="BB29" s="11"/>
      <c r="BC29" s="11"/>
      <c r="BD29" s="11"/>
      <c r="BE29" s="274"/>
      <c r="BF29" s="274"/>
      <c r="BG29" s="274"/>
      <c r="BH29" s="11"/>
      <c r="BI29" s="11"/>
      <c r="BJ29" s="311"/>
      <c r="BK29" s="311"/>
      <c r="BL29" s="311"/>
      <c r="BM29" s="52"/>
      <c r="BN29" s="52"/>
      <c r="BO29" s="320"/>
      <c r="BP29" s="320"/>
      <c r="BQ29" s="320"/>
      <c r="BR29" s="4"/>
      <c r="BS29" s="4"/>
      <c r="BT29" s="11"/>
      <c r="BU29" s="11"/>
      <c r="BV29" s="11"/>
      <c r="BW29" s="11"/>
      <c r="BX29" s="11"/>
      <c r="BY29" s="348"/>
      <c r="BZ29" s="348"/>
      <c r="CA29" s="348"/>
      <c r="CB29" s="348"/>
      <c r="CC29" s="348"/>
      <c r="CD29" s="11"/>
      <c r="CE29" s="11"/>
      <c r="CF29" s="11"/>
      <c r="CG29" s="11"/>
      <c r="CH29" s="11"/>
      <c r="CI29" s="11"/>
      <c r="CJ29" s="11"/>
      <c r="CK29" s="11"/>
      <c r="CL29" s="11"/>
      <c r="CM29" s="11"/>
      <c r="CN29" s="274"/>
      <c r="CO29" s="274"/>
      <c r="CP29" s="274"/>
      <c r="CQ29" s="11"/>
      <c r="CR29" s="11"/>
      <c r="CS29" s="11"/>
      <c r="CT29" s="11"/>
      <c r="CU29" s="11"/>
      <c r="CV29" s="11"/>
      <c r="CW29" s="11"/>
      <c r="CX29" s="11"/>
      <c r="CY29" s="11"/>
      <c r="CZ29" s="11"/>
      <c r="DA29" s="11"/>
      <c r="DB29" s="11"/>
      <c r="DC29" s="11"/>
      <c r="DD29" s="11"/>
      <c r="DE29" s="11"/>
      <c r="DF29" s="11"/>
      <c r="DG29" s="11"/>
      <c r="DH29" s="11"/>
      <c r="DI29" s="11"/>
      <c r="DJ29" s="11"/>
      <c r="DK29" s="11"/>
      <c r="DL29" s="11"/>
      <c r="DM29" s="118"/>
      <c r="DN29" s="118"/>
      <c r="DO29" s="118"/>
      <c r="DP29" s="52"/>
      <c r="DQ29" s="52"/>
      <c r="DR29" s="77"/>
      <c r="DS29" s="77"/>
      <c r="DT29" s="77"/>
      <c r="DU29" s="11"/>
      <c r="DV29" s="11"/>
      <c r="DW29" s="11"/>
      <c r="DX29" s="11"/>
      <c r="DY29" s="11"/>
      <c r="DZ29" s="11"/>
      <c r="EA29" s="11"/>
      <c r="EB29" s="11"/>
      <c r="EC29" s="11"/>
      <c r="ED29" s="11"/>
      <c r="EE29" s="11"/>
      <c r="EF29" s="11"/>
    </row>
    <row r="30" spans="1:136" ht="25.5" customHeight="1" x14ac:dyDescent="0.25">
      <c r="A30" s="425">
        <v>28</v>
      </c>
      <c r="B30" s="427" t="s">
        <v>722</v>
      </c>
      <c r="C30" s="427" t="s">
        <v>723</v>
      </c>
      <c r="D30" s="427" t="s">
        <v>34</v>
      </c>
      <c r="E30" s="79">
        <v>1</v>
      </c>
      <c r="F30" s="405">
        <v>1338575.07</v>
      </c>
      <c r="G30" s="274">
        <v>181250</v>
      </c>
      <c r="H30" s="274">
        <v>34437.5</v>
      </c>
      <c r="I30" s="274">
        <v>215687.5</v>
      </c>
      <c r="J30" s="274" t="s">
        <v>45</v>
      </c>
      <c r="K30" s="11" t="s">
        <v>724</v>
      </c>
      <c r="L30" s="274"/>
      <c r="M30" s="274"/>
      <c r="N30" s="274"/>
      <c r="O30" s="48"/>
      <c r="P30" s="11"/>
      <c r="Q30" s="275"/>
      <c r="R30" s="275"/>
      <c r="S30" s="275"/>
      <c r="T30" s="11"/>
      <c r="U30" s="11"/>
      <c r="V30" s="11"/>
      <c r="W30" s="11"/>
      <c r="X30" s="11"/>
      <c r="Y30" s="11"/>
      <c r="Z30" s="48"/>
      <c r="AA30" s="52"/>
      <c r="AB30" s="52"/>
      <c r="AC30" s="113"/>
      <c r="AD30" s="5"/>
      <c r="AE30" s="52"/>
      <c r="AF30" s="113"/>
      <c r="AG30" s="113"/>
      <c r="AH30" s="113"/>
      <c r="AI30" s="52"/>
      <c r="AJ30" s="11"/>
      <c r="AK30" s="116">
        <v>291840</v>
      </c>
      <c r="AL30" s="269">
        <v>55449.599999999999</v>
      </c>
      <c r="AM30" s="269">
        <v>347289.59999999998</v>
      </c>
      <c r="AN30" s="305" t="s">
        <v>601</v>
      </c>
      <c r="AO30" s="306">
        <v>5330020050</v>
      </c>
      <c r="AP30" s="11"/>
      <c r="AQ30" s="11"/>
      <c r="AR30" s="11"/>
      <c r="AS30" s="11"/>
      <c r="AT30" s="11"/>
      <c r="AU30" s="113"/>
      <c r="AV30" s="113"/>
      <c r="AW30" s="113"/>
      <c r="AX30" s="52"/>
      <c r="AY30" s="52"/>
      <c r="AZ30" s="11"/>
      <c r="BA30" s="11"/>
      <c r="BB30" s="11"/>
      <c r="BC30" s="11"/>
      <c r="BD30" s="11"/>
      <c r="BE30" s="275">
        <v>850000</v>
      </c>
      <c r="BF30" s="275">
        <v>161500</v>
      </c>
      <c r="BG30" s="275">
        <v>1011500</v>
      </c>
      <c r="BH30" s="11" t="s">
        <v>88</v>
      </c>
      <c r="BI30" s="11" t="s">
        <v>725</v>
      </c>
      <c r="BJ30" s="318"/>
      <c r="BK30" s="318"/>
      <c r="BL30" s="318"/>
      <c r="BM30" s="52"/>
      <c r="BN30" s="52"/>
      <c r="BO30" s="320"/>
      <c r="BP30" s="320"/>
      <c r="BQ30" s="320"/>
      <c r="BR30" s="4"/>
      <c r="BS30" s="4"/>
      <c r="BT30" s="11"/>
      <c r="BU30" s="11"/>
      <c r="BV30" s="11"/>
      <c r="BW30" s="11"/>
      <c r="BX30" s="11"/>
      <c r="BY30" s="348"/>
      <c r="BZ30" s="348"/>
      <c r="CA30" s="348"/>
      <c r="CB30" s="348"/>
      <c r="CC30" s="348"/>
      <c r="CD30" s="11"/>
      <c r="CE30" s="11"/>
      <c r="CF30" s="11"/>
      <c r="CG30" s="11"/>
      <c r="CH30" s="11"/>
      <c r="CI30" s="11"/>
      <c r="CJ30" s="11"/>
      <c r="CK30" s="11"/>
      <c r="CL30" s="11"/>
      <c r="CM30" s="11"/>
      <c r="CN30" s="274"/>
      <c r="CO30" s="274"/>
      <c r="CP30" s="274"/>
      <c r="CQ30" s="11"/>
      <c r="CR30" s="11"/>
      <c r="CS30" s="11"/>
      <c r="CT30" s="11"/>
      <c r="CU30" s="11"/>
      <c r="CV30" s="11"/>
      <c r="CW30" s="11"/>
      <c r="CX30" s="11"/>
      <c r="CY30" s="11"/>
      <c r="CZ30" s="11"/>
      <c r="DA30" s="11"/>
      <c r="DB30" s="11"/>
      <c r="DC30" s="11"/>
      <c r="DD30" s="11"/>
      <c r="DE30" s="11"/>
      <c r="DF30" s="11"/>
      <c r="DG30" s="11"/>
      <c r="DH30" s="11"/>
      <c r="DI30" s="11"/>
      <c r="DJ30" s="11"/>
      <c r="DK30" s="11"/>
      <c r="DL30" s="11"/>
      <c r="DM30" s="118"/>
      <c r="DN30" s="118"/>
      <c r="DO30" s="118"/>
      <c r="DP30" s="52"/>
      <c r="DQ30" s="52"/>
      <c r="DR30" s="77"/>
      <c r="DS30" s="77"/>
      <c r="DT30" s="77"/>
      <c r="DU30" s="11"/>
      <c r="DV30" s="11"/>
      <c r="DW30" s="11"/>
      <c r="DX30" s="11"/>
      <c r="DY30" s="11"/>
      <c r="DZ30" s="11"/>
      <c r="EA30" s="11"/>
      <c r="EB30" s="11"/>
      <c r="EC30" s="11"/>
      <c r="ED30" s="11"/>
      <c r="EE30" s="11"/>
      <c r="EF30" s="11"/>
    </row>
    <row r="31" spans="1:136" ht="40.5" x14ac:dyDescent="0.25">
      <c r="A31" s="425">
        <v>29</v>
      </c>
      <c r="B31" s="427" t="s">
        <v>726</v>
      </c>
      <c r="C31" s="427" t="s">
        <v>727</v>
      </c>
      <c r="D31" s="427" t="s">
        <v>34</v>
      </c>
      <c r="E31" s="79">
        <v>1</v>
      </c>
      <c r="F31" s="405">
        <v>976594.20600000001</v>
      </c>
      <c r="G31" s="274"/>
      <c r="H31" s="274"/>
      <c r="I31" s="274"/>
      <c r="J31" s="274"/>
      <c r="K31" s="11"/>
      <c r="L31" s="274"/>
      <c r="M31" s="274"/>
      <c r="N31" s="274"/>
      <c r="O31" s="48"/>
      <c r="P31" s="11"/>
      <c r="Q31" s="274"/>
      <c r="R31" s="274"/>
      <c r="S31" s="274"/>
      <c r="T31" s="11"/>
      <c r="U31" s="11"/>
      <c r="V31" s="11"/>
      <c r="W31" s="11"/>
      <c r="X31" s="11"/>
      <c r="Y31" s="11"/>
      <c r="Z31" s="48"/>
      <c r="AA31" s="52"/>
      <c r="AB31" s="52"/>
      <c r="AC31" s="118"/>
      <c r="AD31" s="5"/>
      <c r="AE31" s="52"/>
      <c r="AF31" s="113">
        <v>294000</v>
      </c>
      <c r="AG31" s="113">
        <f>AF31*0.19</f>
        <v>55860</v>
      </c>
      <c r="AH31" s="113">
        <f>AF31+AG31</f>
        <v>349860</v>
      </c>
      <c r="AI31" s="277" t="s">
        <v>628</v>
      </c>
      <c r="AJ31" s="277" t="s">
        <v>728</v>
      </c>
      <c r="AK31" s="269"/>
      <c r="AL31" s="269"/>
      <c r="AM31" s="269"/>
      <c r="AN31" s="301"/>
      <c r="AO31" s="302"/>
      <c r="AP31" s="11"/>
      <c r="AQ31" s="11"/>
      <c r="AR31" s="11"/>
      <c r="AS31" s="11"/>
      <c r="AT31" s="11"/>
      <c r="AU31" s="118">
        <v>255974</v>
      </c>
      <c r="AV31" s="118">
        <v>48635</v>
      </c>
      <c r="AW31" s="118">
        <v>304609</v>
      </c>
      <c r="AX31" s="52" t="s">
        <v>607</v>
      </c>
      <c r="AY31" s="52" t="s">
        <v>729</v>
      </c>
      <c r="AZ31" s="11"/>
      <c r="BA31" s="11"/>
      <c r="BB31" s="11"/>
      <c r="BC31" s="11"/>
      <c r="BD31" s="11"/>
      <c r="BE31" s="274">
        <v>444000</v>
      </c>
      <c r="BF31" s="274">
        <v>84360</v>
      </c>
      <c r="BG31" s="274">
        <v>528360</v>
      </c>
      <c r="BH31" s="11" t="s">
        <v>37</v>
      </c>
      <c r="BI31" s="11" t="s">
        <v>729</v>
      </c>
      <c r="BJ31" s="311"/>
      <c r="BK31" s="311"/>
      <c r="BL31" s="311"/>
      <c r="BM31" s="52"/>
      <c r="BN31" s="52"/>
      <c r="BO31" s="320"/>
      <c r="BP31" s="320"/>
      <c r="BQ31" s="320"/>
      <c r="BR31" s="4"/>
      <c r="BS31" s="4"/>
      <c r="BT31" s="11"/>
      <c r="BU31" s="11"/>
      <c r="BV31" s="11"/>
      <c r="BW31" s="11"/>
      <c r="BX31" s="11"/>
      <c r="BY31" s="348"/>
      <c r="BZ31" s="348"/>
      <c r="CA31" s="348"/>
      <c r="CB31" s="348"/>
      <c r="CC31" s="348"/>
      <c r="CD31" s="11"/>
      <c r="CE31" s="11"/>
      <c r="CF31" s="11"/>
      <c r="CG31" s="11"/>
      <c r="CH31" s="11"/>
      <c r="CI31" s="11"/>
      <c r="CJ31" s="11"/>
      <c r="CK31" s="11"/>
      <c r="CL31" s="11"/>
      <c r="CM31" s="11"/>
      <c r="CN31" s="274"/>
      <c r="CO31" s="274"/>
      <c r="CP31" s="274"/>
      <c r="CQ31" s="11"/>
      <c r="CR31" s="11"/>
      <c r="CS31" s="11"/>
      <c r="CT31" s="11"/>
      <c r="CU31" s="11"/>
      <c r="CV31" s="11"/>
      <c r="CW31" s="11"/>
      <c r="CX31" s="11"/>
      <c r="CY31" s="11"/>
      <c r="CZ31" s="11"/>
      <c r="DA31" s="11"/>
      <c r="DB31" s="11"/>
      <c r="DC31" s="11"/>
      <c r="DD31" s="11"/>
      <c r="DE31" s="11"/>
      <c r="DF31" s="11"/>
      <c r="DG31" s="11"/>
      <c r="DH31" s="11"/>
      <c r="DI31" s="11"/>
      <c r="DJ31" s="11"/>
      <c r="DK31" s="11"/>
      <c r="DL31" s="11"/>
      <c r="DM31" s="118"/>
      <c r="DN31" s="118"/>
      <c r="DO31" s="118"/>
      <c r="DP31" s="52"/>
      <c r="DQ31" s="52"/>
      <c r="DR31" s="77"/>
      <c r="DS31" s="77"/>
      <c r="DT31" s="77"/>
      <c r="DU31" s="11"/>
      <c r="DV31" s="11"/>
      <c r="DW31" s="11"/>
      <c r="DX31" s="11"/>
      <c r="DY31" s="11"/>
      <c r="DZ31" s="11"/>
      <c r="EA31" s="11"/>
      <c r="EB31" s="11"/>
      <c r="EC31" s="11"/>
      <c r="ED31" s="11"/>
      <c r="EE31" s="11"/>
      <c r="EF31" s="11"/>
    </row>
    <row r="32" spans="1:136" ht="40.5" x14ac:dyDescent="0.25">
      <c r="A32" s="425">
        <v>30</v>
      </c>
      <c r="B32" s="427" t="s">
        <v>730</v>
      </c>
      <c r="C32" s="427" t="s">
        <v>685</v>
      </c>
      <c r="D32" s="427" t="s">
        <v>116</v>
      </c>
      <c r="E32" s="79">
        <v>1</v>
      </c>
      <c r="F32" s="405"/>
      <c r="G32" s="274">
        <v>473750</v>
      </c>
      <c r="H32" s="274">
        <v>90012.5</v>
      </c>
      <c r="I32" s="274">
        <v>563762.5</v>
      </c>
      <c r="J32" s="274" t="s">
        <v>45</v>
      </c>
      <c r="K32" s="11" t="s">
        <v>731</v>
      </c>
      <c r="L32" s="274"/>
      <c r="M32" s="274"/>
      <c r="N32" s="274"/>
      <c r="O32" s="48"/>
      <c r="P32" s="11"/>
      <c r="Q32" s="274"/>
      <c r="R32" s="274"/>
      <c r="S32" s="274"/>
      <c r="T32" s="11"/>
      <c r="U32" s="11"/>
      <c r="V32" s="11"/>
      <c r="W32" s="11"/>
      <c r="X32" s="11"/>
      <c r="Y32" s="11"/>
      <c r="Z32" s="48"/>
      <c r="AA32" s="52"/>
      <c r="AB32" s="52"/>
      <c r="AC32" s="118"/>
      <c r="AD32" s="5"/>
      <c r="AE32" s="52"/>
      <c r="AF32" s="113">
        <v>833000</v>
      </c>
      <c r="AG32" s="113">
        <f>AF32*0.19</f>
        <v>158270</v>
      </c>
      <c r="AH32" s="113">
        <f>AF32+AG32</f>
        <v>991270</v>
      </c>
      <c r="AI32" s="277" t="s">
        <v>628</v>
      </c>
      <c r="AJ32" s="277" t="s">
        <v>732</v>
      </c>
      <c r="AK32" s="269">
        <v>356250</v>
      </c>
      <c r="AL32" s="269">
        <v>67687.5</v>
      </c>
      <c r="AM32" s="269">
        <v>423937.5</v>
      </c>
      <c r="AN32" s="301" t="s">
        <v>88</v>
      </c>
      <c r="AO32" s="302">
        <v>1017992500</v>
      </c>
      <c r="AP32" s="11"/>
      <c r="AQ32" s="11"/>
      <c r="AR32" s="11"/>
      <c r="AS32" s="11"/>
      <c r="AT32" s="11"/>
      <c r="AU32" s="118">
        <v>359527</v>
      </c>
      <c r="AV32" s="118">
        <v>68310</v>
      </c>
      <c r="AW32" s="118">
        <v>427837</v>
      </c>
      <c r="AX32" s="52" t="s">
        <v>607</v>
      </c>
      <c r="AY32" s="52">
        <v>1018322500</v>
      </c>
      <c r="AZ32" s="11"/>
      <c r="BA32" s="11"/>
      <c r="BB32" s="11"/>
      <c r="BC32" s="11"/>
      <c r="BD32" s="11"/>
      <c r="BE32" s="274">
        <v>440000</v>
      </c>
      <c r="BF32" s="274">
        <v>83600</v>
      </c>
      <c r="BG32" s="274">
        <v>523600</v>
      </c>
      <c r="BH32" s="11" t="s">
        <v>63</v>
      </c>
      <c r="BI32" s="11" t="s">
        <v>733</v>
      </c>
      <c r="BJ32" s="311"/>
      <c r="BK32" s="311"/>
      <c r="BL32" s="311"/>
      <c r="BM32" s="52"/>
      <c r="BN32" s="52"/>
      <c r="BO32" s="320"/>
      <c r="BP32" s="320"/>
      <c r="BQ32" s="320"/>
      <c r="BR32" s="4"/>
      <c r="BS32" s="4"/>
      <c r="BT32" s="11"/>
      <c r="BU32" s="11"/>
      <c r="BV32" s="11"/>
      <c r="BW32" s="11"/>
      <c r="BX32" s="11"/>
      <c r="BY32" s="348"/>
      <c r="BZ32" s="348"/>
      <c r="CA32" s="348"/>
      <c r="CB32" s="348"/>
      <c r="CC32" s="348"/>
      <c r="CD32" s="11"/>
      <c r="CE32" s="11"/>
      <c r="CF32" s="11"/>
      <c r="CG32" s="11"/>
      <c r="CH32" s="11"/>
      <c r="CI32" s="11"/>
      <c r="CJ32" s="11"/>
      <c r="CK32" s="11"/>
      <c r="CL32" s="11"/>
      <c r="CM32" s="11"/>
      <c r="CN32" s="274"/>
      <c r="CO32" s="274"/>
      <c r="CP32" s="274"/>
      <c r="CQ32" s="11"/>
      <c r="CR32" s="11"/>
      <c r="CS32" s="11"/>
      <c r="CT32" s="11"/>
      <c r="CU32" s="11"/>
      <c r="CV32" s="11"/>
      <c r="CW32" s="11"/>
      <c r="CX32" s="11"/>
      <c r="CY32" s="11"/>
      <c r="CZ32" s="11"/>
      <c r="DA32" s="11"/>
      <c r="DB32" s="11"/>
      <c r="DC32" s="11"/>
      <c r="DD32" s="11"/>
      <c r="DE32" s="11"/>
      <c r="DF32" s="11"/>
      <c r="DG32" s="11"/>
      <c r="DH32" s="11"/>
      <c r="DI32" s="11"/>
      <c r="DJ32" s="11"/>
      <c r="DK32" s="11"/>
      <c r="DL32" s="11"/>
      <c r="DM32" s="118"/>
      <c r="DN32" s="118"/>
      <c r="DO32" s="118"/>
      <c r="DP32" s="52"/>
      <c r="DQ32" s="52"/>
      <c r="DR32" s="77"/>
      <c r="DS32" s="77"/>
      <c r="DT32" s="77"/>
      <c r="DU32" s="11"/>
      <c r="DV32" s="11"/>
      <c r="DW32" s="11"/>
      <c r="DX32" s="11"/>
      <c r="DY32" s="11"/>
      <c r="DZ32" s="11"/>
      <c r="EA32" s="11"/>
      <c r="EB32" s="11"/>
      <c r="EC32" s="11"/>
      <c r="ED32" s="11"/>
      <c r="EE32" s="11"/>
      <c r="EF32" s="11"/>
    </row>
    <row r="33" spans="1:136" ht="54" x14ac:dyDescent="0.25">
      <c r="A33" s="425">
        <v>31</v>
      </c>
      <c r="B33" s="427" t="s">
        <v>734</v>
      </c>
      <c r="C33" s="427" t="s">
        <v>735</v>
      </c>
      <c r="D33" s="427" t="s">
        <v>93</v>
      </c>
      <c r="E33" s="79">
        <v>1</v>
      </c>
      <c r="F33" s="405">
        <v>679970.99800000002</v>
      </c>
      <c r="G33" s="274">
        <v>425000</v>
      </c>
      <c r="H33" s="274">
        <v>80750</v>
      </c>
      <c r="I33" s="274">
        <v>505750</v>
      </c>
      <c r="J33" s="274" t="s">
        <v>45</v>
      </c>
      <c r="K33" s="11" t="s">
        <v>736</v>
      </c>
      <c r="L33" s="274"/>
      <c r="M33" s="274"/>
      <c r="N33" s="274"/>
      <c r="O33" s="48"/>
      <c r="P33" s="11"/>
      <c r="Q33" s="274"/>
      <c r="R33" s="274"/>
      <c r="S33" s="274"/>
      <c r="T33" s="11"/>
      <c r="U33" s="11"/>
      <c r="V33" s="11"/>
      <c r="W33" s="11"/>
      <c r="X33" s="11"/>
      <c r="Y33" s="11"/>
      <c r="Z33" s="48"/>
      <c r="AA33" s="52"/>
      <c r="AB33" s="52"/>
      <c r="AC33" s="118"/>
      <c r="AD33" s="5"/>
      <c r="AE33" s="52"/>
      <c r="AF33" s="113">
        <v>516000</v>
      </c>
      <c r="AG33" s="113">
        <f>AF33*0.19</f>
        <v>98040</v>
      </c>
      <c r="AH33" s="113">
        <f>AF33+AG33</f>
        <v>614040</v>
      </c>
      <c r="AI33" s="277" t="s">
        <v>628</v>
      </c>
      <c r="AJ33" s="277" t="s">
        <v>737</v>
      </c>
      <c r="AK33" s="269"/>
      <c r="AL33" s="269"/>
      <c r="AM33" s="269"/>
      <c r="AN33" s="301"/>
      <c r="AO33" s="302"/>
      <c r="AP33" s="11"/>
      <c r="AQ33" s="11"/>
      <c r="AR33" s="11"/>
      <c r="AS33" s="11"/>
      <c r="AT33" s="11"/>
      <c r="AU33" s="118">
        <v>514645</v>
      </c>
      <c r="AV33" s="118">
        <v>97783</v>
      </c>
      <c r="AW33" s="118">
        <v>612428</v>
      </c>
      <c r="AX33" s="52" t="s">
        <v>607</v>
      </c>
      <c r="AY33" s="52">
        <v>1004951000</v>
      </c>
      <c r="AZ33" s="11"/>
      <c r="BA33" s="11"/>
      <c r="BB33" s="11"/>
      <c r="BC33" s="11"/>
      <c r="BD33" s="11"/>
      <c r="BE33" s="274"/>
      <c r="BF33" s="274"/>
      <c r="BG33" s="274"/>
      <c r="BH33" s="11"/>
      <c r="BI33" s="11"/>
      <c r="BJ33" s="311"/>
      <c r="BK33" s="311"/>
      <c r="BL33" s="311"/>
      <c r="BM33" s="52"/>
      <c r="BN33" s="52"/>
      <c r="BO33" s="320"/>
      <c r="BP33" s="320"/>
      <c r="BQ33" s="320"/>
      <c r="BR33" s="4"/>
      <c r="BS33" s="4"/>
      <c r="BT33" s="11"/>
      <c r="BU33" s="11"/>
      <c r="BV33" s="11"/>
      <c r="BW33" s="11"/>
      <c r="BX33" s="11"/>
      <c r="BY33" s="348"/>
      <c r="BZ33" s="348"/>
      <c r="CA33" s="348"/>
      <c r="CB33" s="348"/>
      <c r="CC33" s="348"/>
      <c r="CD33" s="11"/>
      <c r="CE33" s="11"/>
      <c r="CF33" s="11"/>
      <c r="CG33" s="11"/>
      <c r="CH33" s="11"/>
      <c r="CI33" s="11"/>
      <c r="CJ33" s="11"/>
      <c r="CK33" s="11"/>
      <c r="CL33" s="11"/>
      <c r="CM33" s="11"/>
      <c r="CN33" s="274"/>
      <c r="CO33" s="274"/>
      <c r="CP33" s="274"/>
      <c r="CQ33" s="11"/>
      <c r="CR33" s="11"/>
      <c r="CS33" s="11"/>
      <c r="CT33" s="11"/>
      <c r="CU33" s="11"/>
      <c r="CV33" s="11"/>
      <c r="CW33" s="11"/>
      <c r="CX33" s="11"/>
      <c r="CY33" s="11"/>
      <c r="CZ33" s="11"/>
      <c r="DA33" s="11"/>
      <c r="DB33" s="11"/>
      <c r="DC33" s="11"/>
      <c r="DD33" s="11"/>
      <c r="DE33" s="11"/>
      <c r="DF33" s="11"/>
      <c r="DG33" s="11"/>
      <c r="DH33" s="11"/>
      <c r="DI33" s="11"/>
      <c r="DJ33" s="11"/>
      <c r="DK33" s="11"/>
      <c r="DL33" s="11"/>
      <c r="DM33" s="118"/>
      <c r="DN33" s="118"/>
      <c r="DO33" s="118"/>
      <c r="DP33" s="52"/>
      <c r="DQ33" s="52"/>
      <c r="DR33" s="77"/>
      <c r="DS33" s="77"/>
      <c r="DT33" s="77"/>
      <c r="DU33" s="11"/>
      <c r="DV33" s="11"/>
      <c r="DW33" s="11"/>
      <c r="DX33" s="11"/>
      <c r="DY33" s="11"/>
      <c r="DZ33" s="11"/>
      <c r="EA33" s="11"/>
      <c r="EB33" s="11"/>
      <c r="EC33" s="11"/>
      <c r="ED33" s="11"/>
      <c r="EE33" s="11"/>
      <c r="EF33" s="11"/>
    </row>
    <row r="34" spans="1:136" ht="40.5" x14ac:dyDescent="0.25">
      <c r="A34" s="425">
        <v>32</v>
      </c>
      <c r="B34" s="413" t="s">
        <v>738</v>
      </c>
      <c r="C34" s="427" t="s">
        <v>739</v>
      </c>
      <c r="D34" s="427" t="s">
        <v>686</v>
      </c>
      <c r="E34" s="79">
        <v>1</v>
      </c>
      <c r="F34" s="405">
        <v>1587436.9140000001</v>
      </c>
      <c r="G34" s="274">
        <v>1745000</v>
      </c>
      <c r="H34" s="274">
        <v>331550</v>
      </c>
      <c r="I34" s="274">
        <v>2076550</v>
      </c>
      <c r="J34" s="274" t="s">
        <v>45</v>
      </c>
      <c r="K34" s="11" t="s">
        <v>740</v>
      </c>
      <c r="L34" s="274"/>
      <c r="M34" s="274"/>
      <c r="N34" s="274"/>
      <c r="O34" s="48"/>
      <c r="P34" s="11"/>
      <c r="Q34" s="274"/>
      <c r="R34" s="274"/>
      <c r="S34" s="274"/>
      <c r="T34" s="11"/>
      <c r="U34" s="11"/>
      <c r="V34" s="11"/>
      <c r="W34" s="11"/>
      <c r="X34" s="11"/>
      <c r="Y34" s="11"/>
      <c r="Z34" s="48"/>
      <c r="AA34" s="52"/>
      <c r="AB34" s="52"/>
      <c r="AC34" s="118"/>
      <c r="AD34" s="5"/>
      <c r="AE34" s="52"/>
      <c r="AF34" s="113">
        <v>1679000</v>
      </c>
      <c r="AG34" s="113">
        <f>AF34*0.19</f>
        <v>319010</v>
      </c>
      <c r="AH34" s="113">
        <f>AF34+AG34</f>
        <v>1998010</v>
      </c>
      <c r="AI34" s="277" t="s">
        <v>628</v>
      </c>
      <c r="AJ34" s="277" t="s">
        <v>741</v>
      </c>
      <c r="AK34" s="269">
        <v>739100</v>
      </c>
      <c r="AL34" s="269">
        <v>140429</v>
      </c>
      <c r="AM34" s="269">
        <v>879529</v>
      </c>
      <c r="AN34" s="301" t="s">
        <v>45</v>
      </c>
      <c r="AO34" s="302">
        <v>1321751611</v>
      </c>
      <c r="AP34" s="11"/>
      <c r="AQ34" s="11"/>
      <c r="AR34" s="11"/>
      <c r="AS34" s="11"/>
      <c r="AT34" s="11"/>
      <c r="AU34" s="118">
        <v>1735988</v>
      </c>
      <c r="AV34" s="118">
        <v>329838</v>
      </c>
      <c r="AW34" s="118">
        <v>2065826</v>
      </c>
      <c r="AX34" s="52" t="s">
        <v>607</v>
      </c>
      <c r="AY34" s="52" t="s">
        <v>742</v>
      </c>
      <c r="AZ34" s="11"/>
      <c r="BA34" s="11"/>
      <c r="BB34" s="11"/>
      <c r="BC34" s="11"/>
      <c r="BD34" s="11"/>
      <c r="BE34" s="274">
        <v>1418000</v>
      </c>
      <c r="BF34" s="274">
        <v>269420</v>
      </c>
      <c r="BG34" s="274">
        <v>1687420</v>
      </c>
      <c r="BH34" s="11" t="s">
        <v>63</v>
      </c>
      <c r="BI34" s="11" t="s">
        <v>743</v>
      </c>
      <c r="BJ34" s="311"/>
      <c r="BK34" s="311"/>
      <c r="BL34" s="311"/>
      <c r="BM34" s="52"/>
      <c r="BN34" s="52"/>
      <c r="BO34" s="320"/>
      <c r="BP34" s="320"/>
      <c r="BQ34" s="320"/>
      <c r="BR34" s="4"/>
      <c r="BS34" s="4"/>
      <c r="BT34" s="11"/>
      <c r="BU34" s="11"/>
      <c r="BV34" s="11"/>
      <c r="BW34" s="11"/>
      <c r="BX34" s="11"/>
      <c r="BY34" s="348"/>
      <c r="BZ34" s="348"/>
      <c r="CA34" s="348"/>
      <c r="CB34" s="348"/>
      <c r="CC34" s="348"/>
      <c r="CD34" s="11"/>
      <c r="CE34" s="11"/>
      <c r="CF34" s="11"/>
      <c r="CG34" s="11"/>
      <c r="CH34" s="11"/>
      <c r="CI34" s="11"/>
      <c r="CJ34" s="11"/>
      <c r="CK34" s="11"/>
      <c r="CL34" s="11"/>
      <c r="CM34" s="11"/>
      <c r="CN34" s="274"/>
      <c r="CO34" s="274"/>
      <c r="CP34" s="274"/>
      <c r="CQ34" s="11"/>
      <c r="CR34" s="11"/>
      <c r="CS34" s="11"/>
      <c r="CT34" s="11"/>
      <c r="CU34" s="11"/>
      <c r="CV34" s="11"/>
      <c r="CW34" s="11"/>
      <c r="CX34" s="11"/>
      <c r="CY34" s="11"/>
      <c r="CZ34" s="11"/>
      <c r="DA34" s="11"/>
      <c r="DB34" s="11"/>
      <c r="DC34" s="11"/>
      <c r="DD34" s="11"/>
      <c r="DE34" s="11"/>
      <c r="DF34" s="11"/>
      <c r="DG34" s="11"/>
      <c r="DH34" s="11"/>
      <c r="DI34" s="11"/>
      <c r="DJ34" s="11"/>
      <c r="DK34" s="11"/>
      <c r="DL34" s="11"/>
      <c r="DM34" s="118"/>
      <c r="DN34" s="118"/>
      <c r="DO34" s="118"/>
      <c r="DP34" s="52"/>
      <c r="DQ34" s="52"/>
      <c r="DR34" s="77"/>
      <c r="DS34" s="77"/>
      <c r="DT34" s="77"/>
      <c r="DU34" s="11"/>
      <c r="DV34" s="11"/>
      <c r="DW34" s="11"/>
      <c r="DX34" s="11"/>
      <c r="DY34" s="11"/>
      <c r="DZ34" s="11"/>
      <c r="EA34" s="11"/>
      <c r="EB34" s="11"/>
      <c r="EC34" s="11"/>
      <c r="ED34" s="11"/>
      <c r="EE34" s="11"/>
      <c r="EF34" s="11"/>
    </row>
    <row r="35" spans="1:136" ht="13.5" x14ac:dyDescent="0.25">
      <c r="A35" s="425">
        <v>33</v>
      </c>
      <c r="B35" s="427" t="s">
        <v>744</v>
      </c>
      <c r="C35" s="427" t="s">
        <v>745</v>
      </c>
      <c r="D35" s="427" t="s">
        <v>34</v>
      </c>
      <c r="E35" s="79">
        <v>1</v>
      </c>
      <c r="F35" s="405">
        <v>940144.74400000006</v>
      </c>
      <c r="G35" s="274">
        <v>686250</v>
      </c>
      <c r="H35" s="274">
        <v>130387.5</v>
      </c>
      <c r="I35" s="274">
        <v>816637.5</v>
      </c>
      <c r="J35" s="274" t="s">
        <v>45</v>
      </c>
      <c r="K35" s="11" t="s">
        <v>746</v>
      </c>
      <c r="L35" s="274"/>
      <c r="M35" s="274"/>
      <c r="N35" s="274"/>
      <c r="O35" s="48"/>
      <c r="P35" s="11"/>
      <c r="Q35" s="274"/>
      <c r="R35" s="274"/>
      <c r="S35" s="274"/>
      <c r="T35" s="11"/>
      <c r="U35" s="11"/>
      <c r="V35" s="11"/>
      <c r="W35" s="11"/>
      <c r="X35" s="11"/>
      <c r="Y35" s="11"/>
      <c r="Z35" s="48"/>
      <c r="AA35" s="52"/>
      <c r="AB35" s="52"/>
      <c r="AC35" s="118"/>
      <c r="AD35" s="5"/>
      <c r="AE35" s="52"/>
      <c r="AF35" s="113"/>
      <c r="AG35" s="113"/>
      <c r="AH35" s="113"/>
      <c r="AI35" s="52"/>
      <c r="AJ35" s="11"/>
      <c r="AK35" s="269">
        <v>880080</v>
      </c>
      <c r="AL35" s="269">
        <v>167215.20000000001</v>
      </c>
      <c r="AM35" s="269">
        <v>1047295.2</v>
      </c>
      <c r="AN35" s="301" t="s">
        <v>88</v>
      </c>
      <c r="AO35" s="302">
        <v>1005240025</v>
      </c>
      <c r="AP35" s="11"/>
      <c r="AQ35" s="11"/>
      <c r="AR35" s="11"/>
      <c r="AS35" s="11"/>
      <c r="AT35" s="11"/>
      <c r="AU35" s="118">
        <v>1119172</v>
      </c>
      <c r="AV35" s="118">
        <v>212643</v>
      </c>
      <c r="AW35" s="118">
        <v>1331814</v>
      </c>
      <c r="AX35" s="52" t="s">
        <v>607</v>
      </c>
      <c r="AY35" s="52">
        <v>1005240025</v>
      </c>
      <c r="AZ35" s="11"/>
      <c r="BA35" s="11"/>
      <c r="BB35" s="11"/>
      <c r="BC35" s="11"/>
      <c r="BD35" s="11"/>
      <c r="BE35" s="274">
        <v>550000</v>
      </c>
      <c r="BF35" s="274">
        <v>104500</v>
      </c>
      <c r="BG35" s="274">
        <v>654500</v>
      </c>
      <c r="BH35" s="11" t="s">
        <v>63</v>
      </c>
      <c r="BI35" s="11" t="s">
        <v>747</v>
      </c>
      <c r="BJ35" s="311"/>
      <c r="BK35" s="311"/>
      <c r="BL35" s="311"/>
      <c r="BM35" s="52"/>
      <c r="BN35" s="52"/>
      <c r="BO35" s="320"/>
      <c r="BP35" s="320"/>
      <c r="BQ35" s="320"/>
      <c r="BR35" s="4"/>
      <c r="BS35" s="4"/>
      <c r="BT35" s="11"/>
      <c r="BU35" s="11"/>
      <c r="BV35" s="11"/>
      <c r="BW35" s="11"/>
      <c r="BX35" s="11"/>
      <c r="BY35" s="348"/>
      <c r="BZ35" s="348"/>
      <c r="CA35" s="348"/>
      <c r="CB35" s="348"/>
      <c r="CC35" s="348"/>
      <c r="CD35" s="11"/>
      <c r="CE35" s="11"/>
      <c r="CF35" s="11"/>
      <c r="CG35" s="11"/>
      <c r="CH35" s="11"/>
      <c r="CI35" s="11"/>
      <c r="CJ35" s="11"/>
      <c r="CK35" s="11"/>
      <c r="CL35" s="11"/>
      <c r="CM35" s="11"/>
      <c r="CN35" s="274"/>
      <c r="CO35" s="274"/>
      <c r="CP35" s="274"/>
      <c r="CQ35" s="11"/>
      <c r="CR35" s="11"/>
      <c r="CS35" s="11"/>
      <c r="CT35" s="11"/>
      <c r="CU35" s="11"/>
      <c r="CV35" s="11"/>
      <c r="CW35" s="11"/>
      <c r="CX35" s="11"/>
      <c r="CY35" s="11"/>
      <c r="CZ35" s="11"/>
      <c r="DA35" s="11"/>
      <c r="DB35" s="11"/>
      <c r="DC35" s="11"/>
      <c r="DD35" s="11"/>
      <c r="DE35" s="11"/>
      <c r="DF35" s="11"/>
      <c r="DG35" s="11"/>
      <c r="DH35" s="11"/>
      <c r="DI35" s="11"/>
      <c r="DJ35" s="11"/>
      <c r="DK35" s="11"/>
      <c r="DL35" s="11"/>
      <c r="DM35" s="118"/>
      <c r="DN35" s="118"/>
      <c r="DO35" s="118"/>
      <c r="DP35" s="52"/>
      <c r="DQ35" s="52"/>
      <c r="DR35" s="77"/>
      <c r="DS35" s="77"/>
      <c r="DT35" s="77"/>
      <c r="DU35" s="11"/>
      <c r="DV35" s="11"/>
      <c r="DW35" s="11"/>
      <c r="DX35" s="11"/>
      <c r="DY35" s="11"/>
      <c r="DZ35" s="11"/>
      <c r="EA35" s="11"/>
      <c r="EB35" s="11"/>
      <c r="EC35" s="11"/>
      <c r="ED35" s="11"/>
      <c r="EE35" s="11"/>
      <c r="EF35" s="11"/>
    </row>
    <row r="36" spans="1:136" ht="25.5" customHeight="1" x14ac:dyDescent="0.25">
      <c r="A36" s="425">
        <v>34</v>
      </c>
      <c r="B36" s="427" t="s">
        <v>748</v>
      </c>
      <c r="C36" s="427" t="s">
        <v>723</v>
      </c>
      <c r="D36" s="427" t="s">
        <v>34</v>
      </c>
      <c r="E36" s="79">
        <v>1</v>
      </c>
      <c r="F36" s="405">
        <v>741558.02</v>
      </c>
      <c r="G36" s="274">
        <v>1075000</v>
      </c>
      <c r="H36" s="274">
        <v>204250</v>
      </c>
      <c r="I36" s="274">
        <v>1279250</v>
      </c>
      <c r="J36" s="274" t="s">
        <v>45</v>
      </c>
      <c r="K36" s="11" t="s">
        <v>749</v>
      </c>
      <c r="L36" s="274"/>
      <c r="M36" s="274"/>
      <c r="N36" s="274"/>
      <c r="O36" s="48"/>
      <c r="P36" s="11"/>
      <c r="Q36" s="274"/>
      <c r="R36" s="274"/>
      <c r="S36" s="274"/>
      <c r="T36" s="11"/>
      <c r="U36" s="11"/>
      <c r="V36" s="11"/>
      <c r="W36" s="11"/>
      <c r="X36" s="11"/>
      <c r="Y36" s="11"/>
      <c r="Z36" s="48"/>
      <c r="AA36" s="52"/>
      <c r="AB36" s="52"/>
      <c r="AC36" s="118"/>
      <c r="AD36" s="5"/>
      <c r="AE36" s="52"/>
      <c r="AF36" s="113">
        <v>730000</v>
      </c>
      <c r="AG36" s="113">
        <f>AF36*0.19</f>
        <v>138700</v>
      </c>
      <c r="AH36" s="113">
        <f>AF36+AG36</f>
        <v>868700</v>
      </c>
      <c r="AI36" s="277" t="s">
        <v>628</v>
      </c>
      <c r="AJ36" s="277" t="s">
        <v>750</v>
      </c>
      <c r="AK36" s="269"/>
      <c r="AL36" s="269"/>
      <c r="AM36" s="269"/>
      <c r="AN36" s="301"/>
      <c r="AO36" s="302"/>
      <c r="AP36" s="11"/>
      <c r="AQ36" s="11"/>
      <c r="AR36" s="11"/>
      <c r="AS36" s="11"/>
      <c r="AT36" s="11"/>
      <c r="AU36" s="118">
        <v>229639</v>
      </c>
      <c r="AV36" s="118">
        <v>43631</v>
      </c>
      <c r="AW36" s="118">
        <v>273271</v>
      </c>
      <c r="AX36" s="52" t="s">
        <v>607</v>
      </c>
      <c r="AY36" s="52" t="s">
        <v>751</v>
      </c>
      <c r="AZ36" s="11"/>
      <c r="BA36" s="11"/>
      <c r="BB36" s="11"/>
      <c r="BC36" s="11"/>
      <c r="BD36" s="11"/>
      <c r="BE36" s="274"/>
      <c r="BF36" s="274"/>
      <c r="BG36" s="274"/>
      <c r="BH36" s="11"/>
      <c r="BI36" s="11"/>
      <c r="BJ36" s="311"/>
      <c r="BK36" s="311"/>
      <c r="BL36" s="311"/>
      <c r="BM36" s="52"/>
      <c r="BN36" s="52"/>
      <c r="BO36" s="320"/>
      <c r="BP36" s="320"/>
      <c r="BQ36" s="320"/>
      <c r="BR36" s="4"/>
      <c r="BS36" s="4"/>
      <c r="BT36" s="11"/>
      <c r="BU36" s="11"/>
      <c r="BV36" s="11"/>
      <c r="BW36" s="11"/>
      <c r="BX36" s="11"/>
      <c r="BY36" s="348"/>
      <c r="BZ36" s="348"/>
      <c r="CA36" s="348"/>
      <c r="CB36" s="348"/>
      <c r="CC36" s="348"/>
      <c r="CD36" s="11"/>
      <c r="CE36" s="11"/>
      <c r="CF36" s="11"/>
      <c r="CG36" s="11"/>
      <c r="CH36" s="11"/>
      <c r="CI36" s="11"/>
      <c r="CJ36" s="11"/>
      <c r="CK36" s="11"/>
      <c r="CL36" s="11"/>
      <c r="CM36" s="11"/>
      <c r="CN36" s="274"/>
      <c r="CO36" s="274"/>
      <c r="CP36" s="274"/>
      <c r="CQ36" s="11"/>
      <c r="CR36" s="11"/>
      <c r="CS36" s="11"/>
      <c r="CT36" s="11"/>
      <c r="CU36" s="11"/>
      <c r="CV36" s="11"/>
      <c r="CW36" s="11"/>
      <c r="CX36" s="11"/>
      <c r="CY36" s="11"/>
      <c r="CZ36" s="11"/>
      <c r="DA36" s="11"/>
      <c r="DB36" s="11"/>
      <c r="DC36" s="11"/>
      <c r="DD36" s="11"/>
      <c r="DE36" s="11"/>
      <c r="DF36" s="11"/>
      <c r="DG36" s="11"/>
      <c r="DH36" s="11"/>
      <c r="DI36" s="11"/>
      <c r="DJ36" s="11"/>
      <c r="DK36" s="11"/>
      <c r="DL36" s="11"/>
      <c r="DM36" s="118"/>
      <c r="DN36" s="118"/>
      <c r="DO36" s="118"/>
      <c r="DP36" s="52"/>
      <c r="DQ36" s="52"/>
      <c r="DR36" s="77"/>
      <c r="DS36" s="77"/>
      <c r="DT36" s="77"/>
      <c r="DU36" s="11"/>
      <c r="DV36" s="11"/>
      <c r="DW36" s="11"/>
      <c r="DX36" s="11"/>
      <c r="DY36" s="11"/>
      <c r="DZ36" s="11"/>
      <c r="EA36" s="11"/>
      <c r="EB36" s="11"/>
      <c r="EC36" s="11"/>
      <c r="ED36" s="11"/>
      <c r="EE36" s="11"/>
      <c r="EF36" s="11"/>
    </row>
    <row r="37" spans="1:136" ht="13.5" x14ac:dyDescent="0.25">
      <c r="A37" s="425">
        <v>35</v>
      </c>
      <c r="B37" s="428" t="s">
        <v>752</v>
      </c>
      <c r="C37" s="413" t="s">
        <v>753</v>
      </c>
      <c r="D37" s="428" t="s">
        <v>754</v>
      </c>
      <c r="E37" s="79">
        <v>1</v>
      </c>
      <c r="F37" s="405"/>
      <c r="G37" s="274">
        <v>372500</v>
      </c>
      <c r="H37" s="274">
        <v>70775</v>
      </c>
      <c r="I37" s="274">
        <v>443275</v>
      </c>
      <c r="J37" s="274" t="s">
        <v>377</v>
      </c>
      <c r="K37" s="11" t="s">
        <v>755</v>
      </c>
      <c r="L37" s="274"/>
      <c r="M37" s="274"/>
      <c r="N37" s="274"/>
      <c r="O37" s="48"/>
      <c r="P37" s="11"/>
      <c r="Q37" s="274"/>
      <c r="R37" s="274"/>
      <c r="S37" s="274"/>
      <c r="T37" s="11"/>
      <c r="U37" s="11"/>
      <c r="V37" s="11"/>
      <c r="W37" s="11"/>
      <c r="X37" s="11"/>
      <c r="Y37" s="11"/>
      <c r="Z37" s="48"/>
      <c r="AA37" s="52"/>
      <c r="AB37" s="52"/>
      <c r="AC37" s="118"/>
      <c r="AD37" s="5"/>
      <c r="AE37" s="52"/>
      <c r="AF37" s="113">
        <v>403000</v>
      </c>
      <c r="AG37" s="113">
        <f>AF37*0.19</f>
        <v>76570</v>
      </c>
      <c r="AH37" s="113">
        <f>AF37+AG37</f>
        <v>479570</v>
      </c>
      <c r="AI37" s="277" t="s">
        <v>628</v>
      </c>
      <c r="AJ37" s="277" t="s">
        <v>756</v>
      </c>
      <c r="AK37" s="269">
        <v>286000</v>
      </c>
      <c r="AL37" s="269">
        <v>54340</v>
      </c>
      <c r="AM37" s="269">
        <v>340340</v>
      </c>
      <c r="AN37" s="301" t="s">
        <v>37</v>
      </c>
      <c r="AO37" s="302" t="s">
        <v>757</v>
      </c>
      <c r="AP37" s="11"/>
      <c r="AQ37" s="11"/>
      <c r="AR37" s="11"/>
      <c r="AS37" s="11"/>
      <c r="AT37" s="11"/>
      <c r="AU37" s="118">
        <v>203304</v>
      </c>
      <c r="AV37" s="118">
        <v>38628</v>
      </c>
      <c r="AW37" s="118">
        <v>241932</v>
      </c>
      <c r="AX37" s="52" t="s">
        <v>607</v>
      </c>
      <c r="AY37" s="52" t="s">
        <v>758</v>
      </c>
      <c r="AZ37" s="11"/>
      <c r="BA37" s="11"/>
      <c r="BB37" s="11"/>
      <c r="BC37" s="11"/>
      <c r="BD37" s="11"/>
      <c r="BE37" s="274"/>
      <c r="BF37" s="274"/>
      <c r="BG37" s="274"/>
      <c r="BH37" s="11"/>
      <c r="BI37" s="11"/>
      <c r="BJ37" s="311"/>
      <c r="BK37" s="311"/>
      <c r="BL37" s="311"/>
      <c r="BM37" s="52"/>
      <c r="BN37" s="52"/>
      <c r="BO37" s="320"/>
      <c r="BP37" s="320"/>
      <c r="BQ37" s="320"/>
      <c r="BR37" s="4"/>
      <c r="BS37" s="4"/>
      <c r="BT37" s="11"/>
      <c r="BU37" s="11"/>
      <c r="BV37" s="11"/>
      <c r="BW37" s="11"/>
      <c r="BX37" s="11"/>
      <c r="BY37" s="348"/>
      <c r="BZ37" s="348"/>
      <c r="CA37" s="348"/>
      <c r="CB37" s="348"/>
      <c r="CC37" s="348"/>
      <c r="CD37" s="11"/>
      <c r="CE37" s="11"/>
      <c r="CF37" s="11"/>
      <c r="CG37" s="11"/>
      <c r="CH37" s="11"/>
      <c r="CI37" s="11"/>
      <c r="CJ37" s="11"/>
      <c r="CK37" s="11"/>
      <c r="CL37" s="11"/>
      <c r="CM37" s="11"/>
      <c r="CN37" s="274"/>
      <c r="CO37" s="274"/>
      <c r="CP37" s="274"/>
      <c r="CQ37" s="11"/>
      <c r="CR37" s="11"/>
      <c r="CS37" s="11"/>
      <c r="CT37" s="11"/>
      <c r="CU37" s="11"/>
      <c r="CV37" s="11"/>
      <c r="CW37" s="11"/>
      <c r="CX37" s="11"/>
      <c r="CY37" s="11"/>
      <c r="CZ37" s="11"/>
      <c r="DA37" s="11"/>
      <c r="DB37" s="11"/>
      <c r="DC37" s="11"/>
      <c r="DD37" s="11"/>
      <c r="DE37" s="11"/>
      <c r="DF37" s="11"/>
      <c r="DG37" s="11"/>
      <c r="DH37" s="11"/>
      <c r="DI37" s="11"/>
      <c r="DJ37" s="11"/>
      <c r="DK37" s="11"/>
      <c r="DL37" s="11"/>
      <c r="DM37" s="118"/>
      <c r="DN37" s="118"/>
      <c r="DO37" s="118"/>
      <c r="DP37" s="52"/>
      <c r="DQ37" s="52"/>
      <c r="DR37" s="77"/>
      <c r="DS37" s="77"/>
      <c r="DT37" s="77"/>
      <c r="DU37" s="11"/>
      <c r="DV37" s="11"/>
      <c r="DW37" s="11"/>
      <c r="DX37" s="11"/>
      <c r="DY37" s="11"/>
      <c r="DZ37" s="11"/>
      <c r="EA37" s="11"/>
      <c r="EB37" s="11"/>
      <c r="EC37" s="11"/>
      <c r="ED37" s="11"/>
      <c r="EE37" s="11"/>
      <c r="EF37" s="11"/>
    </row>
    <row r="38" spans="1:136" ht="40.5" x14ac:dyDescent="0.25">
      <c r="A38" s="425">
        <v>36</v>
      </c>
      <c r="B38" s="427" t="s">
        <v>759</v>
      </c>
      <c r="C38" s="427" t="s">
        <v>642</v>
      </c>
      <c r="D38" s="427" t="s">
        <v>686</v>
      </c>
      <c r="E38" s="79">
        <v>1</v>
      </c>
      <c r="F38" s="405">
        <v>290338.81800000003</v>
      </c>
      <c r="G38" s="274">
        <v>237500</v>
      </c>
      <c r="H38" s="274">
        <v>45125</v>
      </c>
      <c r="I38" s="274">
        <v>282625</v>
      </c>
      <c r="J38" s="274" t="s">
        <v>45</v>
      </c>
      <c r="K38" s="11" t="s">
        <v>760</v>
      </c>
      <c r="L38" s="274"/>
      <c r="M38" s="274"/>
      <c r="N38" s="274"/>
      <c r="O38" s="48"/>
      <c r="P38" s="11"/>
      <c r="Q38" s="274"/>
      <c r="R38" s="274"/>
      <c r="S38" s="274"/>
      <c r="T38" s="11"/>
      <c r="U38" s="11"/>
      <c r="V38" s="11"/>
      <c r="W38" s="11"/>
      <c r="X38" s="11"/>
      <c r="Y38" s="11"/>
      <c r="Z38" s="48"/>
      <c r="AA38" s="52"/>
      <c r="AB38" s="52"/>
      <c r="AC38" s="118"/>
      <c r="AD38" s="5"/>
      <c r="AE38" s="52"/>
      <c r="AF38" s="113">
        <v>201000</v>
      </c>
      <c r="AG38" s="113">
        <f>AF38*0.19</f>
        <v>38190</v>
      </c>
      <c r="AH38" s="113">
        <f>AF38+AG38</f>
        <v>239190</v>
      </c>
      <c r="AI38" s="277" t="s">
        <v>628</v>
      </c>
      <c r="AJ38" s="277" t="s">
        <v>761</v>
      </c>
      <c r="AK38" s="269">
        <v>238260</v>
      </c>
      <c r="AL38" s="269">
        <v>45269.4</v>
      </c>
      <c r="AM38" s="269">
        <v>283529.40000000002</v>
      </c>
      <c r="AN38" s="301" t="s">
        <v>88</v>
      </c>
      <c r="AO38" s="302">
        <v>1120802500</v>
      </c>
      <c r="AP38" s="11"/>
      <c r="AQ38" s="11"/>
      <c r="AR38" s="11"/>
      <c r="AS38" s="11"/>
      <c r="AT38" s="11"/>
      <c r="AU38" s="118">
        <v>302988</v>
      </c>
      <c r="AV38" s="118">
        <v>57568</v>
      </c>
      <c r="AW38" s="118">
        <v>360556</v>
      </c>
      <c r="AX38" s="52" t="s">
        <v>607</v>
      </c>
      <c r="AY38" s="52">
        <v>1120802500</v>
      </c>
      <c r="AZ38" s="11"/>
      <c r="BA38" s="11"/>
      <c r="BB38" s="11"/>
      <c r="BC38" s="11"/>
      <c r="BD38" s="11"/>
      <c r="BE38" s="274">
        <v>158000</v>
      </c>
      <c r="BF38" s="274">
        <v>30020</v>
      </c>
      <c r="BG38" s="274">
        <v>188020</v>
      </c>
      <c r="BH38" s="11" t="s">
        <v>63</v>
      </c>
      <c r="BI38" s="11" t="s">
        <v>762</v>
      </c>
      <c r="BJ38" s="311"/>
      <c r="BK38" s="311"/>
      <c r="BL38" s="311"/>
      <c r="BM38" s="52"/>
      <c r="BN38" s="52"/>
      <c r="BO38" s="320"/>
      <c r="BP38" s="320"/>
      <c r="BQ38" s="320"/>
      <c r="BR38" s="4"/>
      <c r="BS38" s="4"/>
      <c r="BT38" s="11"/>
      <c r="BU38" s="11"/>
      <c r="BV38" s="11"/>
      <c r="BW38" s="11"/>
      <c r="BX38" s="11"/>
      <c r="BY38" s="348"/>
      <c r="BZ38" s="348"/>
      <c r="CA38" s="348"/>
      <c r="CB38" s="348"/>
      <c r="CC38" s="348"/>
      <c r="CD38" s="11"/>
      <c r="CE38" s="11"/>
      <c r="CF38" s="11"/>
      <c r="CG38" s="11"/>
      <c r="CH38" s="11"/>
      <c r="CI38" s="11"/>
      <c r="CJ38" s="11"/>
      <c r="CK38" s="11"/>
      <c r="CL38" s="11"/>
      <c r="CM38" s="11"/>
      <c r="CN38" s="274"/>
      <c r="CO38" s="274"/>
      <c r="CP38" s="274"/>
      <c r="CQ38" s="11"/>
      <c r="CR38" s="11"/>
      <c r="CS38" s="11"/>
      <c r="CT38" s="11"/>
      <c r="CU38" s="11"/>
      <c r="CV38" s="11"/>
      <c r="CW38" s="11"/>
      <c r="CX38" s="11"/>
      <c r="CY38" s="11"/>
      <c r="CZ38" s="11"/>
      <c r="DA38" s="11"/>
      <c r="DB38" s="11"/>
      <c r="DC38" s="11"/>
      <c r="DD38" s="11"/>
      <c r="DE38" s="11"/>
      <c r="DF38" s="11"/>
      <c r="DG38" s="11"/>
      <c r="DH38" s="11"/>
      <c r="DI38" s="11"/>
      <c r="DJ38" s="11"/>
      <c r="DK38" s="11"/>
      <c r="DL38" s="11"/>
      <c r="DM38" s="118"/>
      <c r="DN38" s="118"/>
      <c r="DO38" s="118"/>
      <c r="DP38" s="52"/>
      <c r="DQ38" s="52"/>
      <c r="DR38" s="77"/>
      <c r="DS38" s="77"/>
      <c r="DT38" s="77"/>
      <c r="DU38" s="11"/>
      <c r="DV38" s="11"/>
      <c r="DW38" s="11"/>
      <c r="DX38" s="11"/>
      <c r="DY38" s="11"/>
      <c r="DZ38" s="11"/>
      <c r="EA38" s="11"/>
      <c r="EB38" s="11"/>
      <c r="EC38" s="11"/>
      <c r="ED38" s="11"/>
      <c r="EE38" s="11"/>
      <c r="EF38" s="11"/>
    </row>
    <row r="39" spans="1:136" ht="40.5" x14ac:dyDescent="0.25">
      <c r="A39" s="425">
        <v>37</v>
      </c>
      <c r="B39" s="427" t="s">
        <v>763</v>
      </c>
      <c r="C39" s="427" t="s">
        <v>764</v>
      </c>
      <c r="D39" s="427" t="s">
        <v>60</v>
      </c>
      <c r="E39" s="79">
        <v>1</v>
      </c>
      <c r="F39" s="405">
        <v>1055777.52</v>
      </c>
      <c r="G39" s="274">
        <v>622500</v>
      </c>
      <c r="H39" s="274">
        <v>118275</v>
      </c>
      <c r="I39" s="274">
        <v>740775</v>
      </c>
      <c r="J39" s="274" t="s">
        <v>45</v>
      </c>
      <c r="K39" s="11" t="s">
        <v>765</v>
      </c>
      <c r="L39" s="274"/>
      <c r="M39" s="274"/>
      <c r="N39" s="274"/>
      <c r="O39" s="48"/>
      <c r="P39" s="11"/>
      <c r="Q39" s="274"/>
      <c r="R39" s="274"/>
      <c r="S39" s="274"/>
      <c r="T39" s="11"/>
      <c r="U39" s="11"/>
      <c r="V39" s="11"/>
      <c r="W39" s="11"/>
      <c r="X39" s="11"/>
      <c r="Y39" s="11"/>
      <c r="Z39" s="48"/>
      <c r="AA39" s="52"/>
      <c r="AB39" s="52"/>
      <c r="AC39" s="118"/>
      <c r="AD39" s="5"/>
      <c r="AE39" s="52"/>
      <c r="AF39" s="113"/>
      <c r="AG39" s="113"/>
      <c r="AH39" s="113"/>
      <c r="AI39" s="52"/>
      <c r="AJ39" s="11"/>
      <c r="AK39" s="269">
        <v>983732</v>
      </c>
      <c r="AL39" s="269">
        <v>186909.08000000002</v>
      </c>
      <c r="AM39" s="269">
        <v>1170641.08</v>
      </c>
      <c r="AN39" s="301" t="s">
        <v>88</v>
      </c>
      <c r="AO39" s="302">
        <v>1016141000</v>
      </c>
      <c r="AP39" s="11"/>
      <c r="AQ39" s="11"/>
      <c r="AR39" s="11"/>
      <c r="AS39" s="11"/>
      <c r="AT39" s="11"/>
      <c r="AU39" s="118">
        <v>1355357</v>
      </c>
      <c r="AV39" s="118">
        <v>257518</v>
      </c>
      <c r="AW39" s="118">
        <v>1612875</v>
      </c>
      <c r="AX39" s="52" t="s">
        <v>607</v>
      </c>
      <c r="AY39" s="52">
        <v>1016141000</v>
      </c>
      <c r="AZ39" s="11"/>
      <c r="BA39" s="11"/>
      <c r="BB39" s="11"/>
      <c r="BC39" s="11"/>
      <c r="BD39" s="11"/>
      <c r="BE39" s="274"/>
      <c r="BF39" s="274"/>
      <c r="BG39" s="274"/>
      <c r="BH39" s="11"/>
      <c r="BI39" s="11"/>
      <c r="BJ39" s="311"/>
      <c r="BK39" s="311"/>
      <c r="BL39" s="311"/>
      <c r="BM39" s="52"/>
      <c r="BN39" s="52"/>
      <c r="BO39" s="387">
        <v>1254153</v>
      </c>
      <c r="BP39" s="320">
        <f>BO39*0.19</f>
        <v>238289.07</v>
      </c>
      <c r="BQ39" s="320"/>
      <c r="BR39" s="4">
        <v>70101</v>
      </c>
      <c r="BS39" s="22" t="s">
        <v>766</v>
      </c>
      <c r="BT39" s="11"/>
      <c r="BU39" s="11"/>
      <c r="BV39" s="11"/>
      <c r="BW39" s="11"/>
      <c r="BX39" s="11"/>
      <c r="BY39" s="232">
        <v>250000</v>
      </c>
      <c r="BZ39" s="232">
        <f>BY39*0.19</f>
        <v>47500</v>
      </c>
      <c r="CA39" s="232">
        <f>BY39+BZ39</f>
        <v>297500</v>
      </c>
      <c r="CB39" s="348" t="s">
        <v>767</v>
      </c>
      <c r="CC39" s="14" t="s">
        <v>768</v>
      </c>
      <c r="CD39" s="11"/>
      <c r="CE39" s="11"/>
      <c r="CF39" s="11"/>
      <c r="CG39" s="11"/>
      <c r="CH39" s="11"/>
      <c r="CI39" s="11"/>
      <c r="CJ39" s="11"/>
      <c r="CK39" s="11"/>
      <c r="CL39" s="11"/>
      <c r="CM39" s="11"/>
      <c r="CN39" s="274"/>
      <c r="CO39" s="274"/>
      <c r="CP39" s="274"/>
      <c r="CQ39" s="11"/>
      <c r="CR39" s="11"/>
      <c r="CS39" s="11"/>
      <c r="CT39" s="11"/>
      <c r="CU39" s="11"/>
      <c r="CV39" s="11"/>
      <c r="CW39" s="11"/>
      <c r="CX39" s="11"/>
      <c r="CY39" s="11"/>
      <c r="CZ39" s="11"/>
      <c r="DA39" s="11"/>
      <c r="DB39" s="11"/>
      <c r="DC39" s="11"/>
      <c r="DD39" s="11"/>
      <c r="DE39" s="11"/>
      <c r="DF39" s="11"/>
      <c r="DG39" s="11"/>
      <c r="DH39" s="11"/>
      <c r="DI39" s="11"/>
      <c r="DJ39" s="11"/>
      <c r="DK39" s="11"/>
      <c r="DL39" s="11"/>
      <c r="DM39" s="118"/>
      <c r="DN39" s="118"/>
      <c r="DO39" s="118"/>
      <c r="DP39" s="52"/>
      <c r="DQ39" s="52"/>
      <c r="DR39" s="77"/>
      <c r="DS39" s="77"/>
      <c r="DT39" s="77"/>
      <c r="DU39" s="11"/>
      <c r="DV39" s="11"/>
      <c r="DW39" s="11"/>
      <c r="DX39" s="11"/>
      <c r="DY39" s="11"/>
      <c r="DZ39" s="11"/>
      <c r="EA39" s="11"/>
      <c r="EB39" s="11"/>
      <c r="EC39" s="11"/>
      <c r="ED39" s="11"/>
      <c r="EE39" s="11"/>
      <c r="EF39" s="11"/>
    </row>
    <row r="40" spans="1:136" ht="27" x14ac:dyDescent="0.25">
      <c r="A40" s="425">
        <v>38</v>
      </c>
      <c r="B40" s="428" t="s">
        <v>769</v>
      </c>
      <c r="C40" s="413" t="s">
        <v>676</v>
      </c>
      <c r="D40" s="586" t="s">
        <v>132</v>
      </c>
      <c r="E40" s="79">
        <v>1</v>
      </c>
      <c r="F40" s="405"/>
      <c r="G40" s="274"/>
      <c r="H40" s="274"/>
      <c r="I40" s="274"/>
      <c r="J40" s="274"/>
      <c r="K40" s="11"/>
      <c r="L40" s="274"/>
      <c r="M40" s="274"/>
      <c r="N40" s="274"/>
      <c r="O40" s="48"/>
      <c r="P40" s="11"/>
      <c r="Q40" s="274"/>
      <c r="R40" s="274"/>
      <c r="S40" s="274"/>
      <c r="T40" s="11"/>
      <c r="U40" s="11"/>
      <c r="V40" s="11"/>
      <c r="W40" s="11"/>
      <c r="X40" s="11"/>
      <c r="Y40" s="11"/>
      <c r="Z40" s="48"/>
      <c r="AA40" s="52"/>
      <c r="AB40" s="52"/>
      <c r="AC40" s="118"/>
      <c r="AD40" s="5"/>
      <c r="AE40" s="52"/>
      <c r="AF40" s="113">
        <v>498000</v>
      </c>
      <c r="AG40" s="113">
        <f>AF40*0.19</f>
        <v>94620</v>
      </c>
      <c r="AH40" s="113">
        <f>AF40+AG40</f>
        <v>592620</v>
      </c>
      <c r="AI40" s="52" t="s">
        <v>770</v>
      </c>
      <c r="AJ40" s="11" t="s">
        <v>771</v>
      </c>
      <c r="AK40" s="269">
        <v>1157598</v>
      </c>
      <c r="AL40" s="269">
        <v>219943.62</v>
      </c>
      <c r="AM40" s="269">
        <v>1377541.62</v>
      </c>
      <c r="AN40" s="301" t="s">
        <v>88</v>
      </c>
      <c r="AO40" s="302">
        <v>1052720500</v>
      </c>
      <c r="AP40" s="11"/>
      <c r="AQ40" s="11"/>
      <c r="AR40" s="11"/>
      <c r="AS40" s="11"/>
      <c r="AT40" s="11"/>
      <c r="AU40" s="118">
        <v>1810100</v>
      </c>
      <c r="AV40" s="118">
        <v>343919</v>
      </c>
      <c r="AW40" s="118">
        <v>2154019</v>
      </c>
      <c r="AX40" s="52" t="s">
        <v>607</v>
      </c>
      <c r="AY40" s="52">
        <v>1052720500</v>
      </c>
      <c r="AZ40" s="11"/>
      <c r="BA40" s="11"/>
      <c r="BB40" s="11"/>
      <c r="BC40" s="11"/>
      <c r="BD40" s="11"/>
      <c r="BE40" s="274"/>
      <c r="BF40" s="274"/>
      <c r="BG40" s="274"/>
      <c r="BH40" s="11"/>
      <c r="BI40" s="11"/>
      <c r="BJ40" s="311"/>
      <c r="BK40" s="311"/>
      <c r="BL40" s="311"/>
      <c r="BM40" s="52"/>
      <c r="BN40" s="52"/>
      <c r="BO40" s="387"/>
      <c r="BP40" s="320"/>
      <c r="BQ40" s="320"/>
      <c r="BR40" s="4"/>
      <c r="BS40" s="4"/>
      <c r="BT40" s="11"/>
      <c r="BU40" s="11"/>
      <c r="BV40" s="11"/>
      <c r="BW40" s="11"/>
      <c r="BX40" s="11"/>
      <c r="BY40" s="232">
        <v>390000</v>
      </c>
      <c r="BZ40" s="232">
        <f t="shared" ref="BZ40:BZ46" si="2">BY40*0.19</f>
        <v>74100</v>
      </c>
      <c r="CA40" s="232">
        <f t="shared" ref="CA40:CA46" si="3">BY40+BZ40</f>
        <v>464100</v>
      </c>
      <c r="CB40" s="348" t="s">
        <v>772</v>
      </c>
      <c r="CC40" s="348">
        <v>610314</v>
      </c>
      <c r="CD40" s="11"/>
      <c r="CE40" s="11"/>
      <c r="CF40" s="11"/>
      <c r="CG40" s="11"/>
      <c r="CH40" s="11"/>
      <c r="CI40" s="11"/>
      <c r="CJ40" s="11"/>
      <c r="CK40" s="11"/>
      <c r="CL40" s="11"/>
      <c r="CM40" s="11"/>
      <c r="CN40" s="274"/>
      <c r="CO40" s="274"/>
      <c r="CP40" s="274"/>
      <c r="CQ40" s="11"/>
      <c r="CR40" s="11"/>
      <c r="CS40" s="11"/>
      <c r="CT40" s="11"/>
      <c r="CU40" s="11"/>
      <c r="CV40" s="11"/>
      <c r="CW40" s="11"/>
      <c r="CX40" s="11"/>
      <c r="CY40" s="11"/>
      <c r="CZ40" s="11"/>
      <c r="DA40" s="11"/>
      <c r="DB40" s="11"/>
      <c r="DC40" s="11"/>
      <c r="DD40" s="11"/>
      <c r="DE40" s="11"/>
      <c r="DF40" s="11"/>
      <c r="DG40" s="11"/>
      <c r="DH40" s="11"/>
      <c r="DI40" s="11"/>
      <c r="DJ40" s="11"/>
      <c r="DK40" s="11"/>
      <c r="DL40" s="11"/>
      <c r="DM40" s="118"/>
      <c r="DN40" s="118"/>
      <c r="DO40" s="118"/>
      <c r="DP40" s="52"/>
      <c r="DQ40" s="52"/>
      <c r="DR40" s="77"/>
      <c r="DS40" s="77"/>
      <c r="DT40" s="77"/>
      <c r="DU40" s="11"/>
      <c r="DV40" s="11"/>
      <c r="DW40" s="11"/>
      <c r="DX40" s="11"/>
      <c r="DY40" s="11"/>
      <c r="DZ40" s="11"/>
      <c r="EA40" s="11"/>
      <c r="EB40" s="11"/>
      <c r="EC40" s="11"/>
      <c r="ED40" s="11"/>
      <c r="EE40" s="11"/>
      <c r="EF40" s="11"/>
    </row>
    <row r="41" spans="1:136" ht="26.25" customHeight="1" x14ac:dyDescent="0.25">
      <c r="A41" s="425">
        <v>39</v>
      </c>
      <c r="B41" s="428" t="s">
        <v>773</v>
      </c>
      <c r="C41" s="413" t="s">
        <v>676</v>
      </c>
      <c r="D41" s="586" t="s">
        <v>132</v>
      </c>
      <c r="E41" s="79">
        <v>1</v>
      </c>
      <c r="F41" s="405"/>
      <c r="G41" s="274"/>
      <c r="H41" s="274"/>
      <c r="I41" s="274"/>
      <c r="J41" s="274"/>
      <c r="K41" s="11"/>
      <c r="L41" s="274"/>
      <c r="M41" s="274"/>
      <c r="N41" s="274"/>
      <c r="O41" s="48"/>
      <c r="P41" s="11"/>
      <c r="Q41" s="274"/>
      <c r="R41" s="274"/>
      <c r="S41" s="274"/>
      <c r="T41" s="11"/>
      <c r="U41" s="11"/>
      <c r="V41" s="11"/>
      <c r="W41" s="11"/>
      <c r="X41" s="11"/>
      <c r="Y41" s="11"/>
      <c r="Z41" s="48"/>
      <c r="AA41" s="52"/>
      <c r="AB41" s="52"/>
      <c r="AC41" s="118"/>
      <c r="AD41" s="5"/>
      <c r="AE41" s="52"/>
      <c r="AF41" s="113">
        <v>470000</v>
      </c>
      <c r="AG41" s="113">
        <f>AF41*0.19</f>
        <v>89300</v>
      </c>
      <c r="AH41" s="113">
        <f>AF41+AG41</f>
        <v>559300</v>
      </c>
      <c r="AI41" s="52" t="s">
        <v>770</v>
      </c>
      <c r="AJ41" s="11" t="s">
        <v>774</v>
      </c>
      <c r="AK41" s="269">
        <v>1038024</v>
      </c>
      <c r="AL41" s="269">
        <v>197224.56</v>
      </c>
      <c r="AM41" s="269">
        <v>1235248.56</v>
      </c>
      <c r="AN41" s="301" t="s">
        <v>88</v>
      </c>
      <c r="AO41" s="302">
        <v>1052690500</v>
      </c>
      <c r="AP41" s="11"/>
      <c r="AQ41" s="11"/>
      <c r="AR41" s="11"/>
      <c r="AS41" s="11"/>
      <c r="AT41" s="11"/>
      <c r="AU41" s="118">
        <v>1433219</v>
      </c>
      <c r="AV41" s="118">
        <v>272312</v>
      </c>
      <c r="AW41" s="118">
        <v>1705531</v>
      </c>
      <c r="AX41" s="52" t="s">
        <v>607</v>
      </c>
      <c r="AY41" s="52">
        <v>1052690500</v>
      </c>
      <c r="AZ41" s="11"/>
      <c r="BA41" s="11"/>
      <c r="BB41" s="11"/>
      <c r="BC41" s="11"/>
      <c r="BD41" s="11"/>
      <c r="BE41" s="274"/>
      <c r="BF41" s="274"/>
      <c r="BG41" s="274"/>
      <c r="BH41" s="11"/>
      <c r="BI41" s="11"/>
      <c r="BJ41" s="311"/>
      <c r="BK41" s="311"/>
      <c r="BL41" s="311"/>
      <c r="BM41" s="52"/>
      <c r="BN41" s="52"/>
      <c r="BO41" s="387"/>
      <c r="BP41" s="320"/>
      <c r="BQ41" s="320"/>
      <c r="BR41" s="4"/>
      <c r="BS41" s="4"/>
      <c r="BT41" s="11"/>
      <c r="BU41" s="11"/>
      <c r="BV41" s="11"/>
      <c r="BW41" s="11"/>
      <c r="BX41" s="11"/>
      <c r="BY41" s="232">
        <v>373000</v>
      </c>
      <c r="BZ41" s="232">
        <f t="shared" si="2"/>
        <v>70870</v>
      </c>
      <c r="CA41" s="232">
        <f t="shared" si="3"/>
        <v>443870</v>
      </c>
      <c r="CB41" s="348" t="s">
        <v>772</v>
      </c>
      <c r="CC41" s="348">
        <v>610315</v>
      </c>
      <c r="CD41" s="11"/>
      <c r="CE41" s="11"/>
      <c r="CF41" s="11"/>
      <c r="CG41" s="11"/>
      <c r="CH41" s="11"/>
      <c r="CI41" s="11"/>
      <c r="CJ41" s="11"/>
      <c r="CK41" s="11"/>
      <c r="CL41" s="11"/>
      <c r="CM41" s="11"/>
      <c r="CN41" s="274"/>
      <c r="CO41" s="274"/>
      <c r="CP41" s="274"/>
      <c r="CQ41" s="11"/>
      <c r="CR41" s="11"/>
      <c r="CS41" s="11"/>
      <c r="CT41" s="11"/>
      <c r="CU41" s="11"/>
      <c r="CV41" s="11"/>
      <c r="CW41" s="11"/>
      <c r="CX41" s="11"/>
      <c r="CY41" s="11"/>
      <c r="CZ41" s="11"/>
      <c r="DA41" s="11"/>
      <c r="DB41" s="11"/>
      <c r="DC41" s="11"/>
      <c r="DD41" s="11"/>
      <c r="DE41" s="11"/>
      <c r="DF41" s="11"/>
      <c r="DG41" s="11"/>
      <c r="DH41" s="11"/>
      <c r="DI41" s="11"/>
      <c r="DJ41" s="11"/>
      <c r="DK41" s="11"/>
      <c r="DL41" s="11"/>
      <c r="DM41" s="118"/>
      <c r="DN41" s="118"/>
      <c r="DO41" s="118"/>
      <c r="DP41" s="52"/>
      <c r="DQ41" s="52"/>
      <c r="DR41" s="77"/>
      <c r="DS41" s="77"/>
      <c r="DT41" s="77"/>
      <c r="DU41" s="11"/>
      <c r="DV41" s="11"/>
      <c r="DW41" s="11"/>
      <c r="DX41" s="11"/>
      <c r="DY41" s="11"/>
      <c r="DZ41" s="11"/>
      <c r="EA41" s="11"/>
      <c r="EB41" s="11"/>
      <c r="EC41" s="11"/>
      <c r="ED41" s="11"/>
      <c r="EE41" s="11"/>
      <c r="EF41" s="11"/>
    </row>
    <row r="42" spans="1:136" ht="13.5" x14ac:dyDescent="0.25">
      <c r="A42" s="425">
        <v>40</v>
      </c>
      <c r="B42" s="428" t="s">
        <v>775</v>
      </c>
      <c r="C42" s="428" t="s">
        <v>622</v>
      </c>
      <c r="D42" s="428" t="s">
        <v>776</v>
      </c>
      <c r="E42" s="79">
        <v>1</v>
      </c>
      <c r="F42" s="405"/>
      <c r="G42" s="274"/>
      <c r="H42" s="274"/>
      <c r="I42" s="274"/>
      <c r="J42" s="274"/>
      <c r="K42" s="11"/>
      <c r="L42" s="274"/>
      <c r="M42" s="274"/>
      <c r="N42" s="274"/>
      <c r="O42" s="48"/>
      <c r="P42" s="11"/>
      <c r="Q42" s="274"/>
      <c r="R42" s="274"/>
      <c r="S42" s="274"/>
      <c r="T42" s="11"/>
      <c r="U42" s="11"/>
      <c r="V42" s="11"/>
      <c r="W42" s="11"/>
      <c r="X42" s="11"/>
      <c r="Y42" s="11"/>
      <c r="Z42" s="48"/>
      <c r="AA42" s="52"/>
      <c r="AB42" s="52"/>
      <c r="AC42" s="118"/>
      <c r="AD42" s="5"/>
      <c r="AE42" s="52"/>
      <c r="AF42" s="113"/>
      <c r="AG42" s="113"/>
      <c r="AH42" s="113"/>
      <c r="AI42" s="52"/>
      <c r="AJ42" s="11"/>
      <c r="AK42" s="269"/>
      <c r="AL42" s="269"/>
      <c r="AM42" s="269"/>
      <c r="AN42" s="301"/>
      <c r="AO42" s="302"/>
      <c r="AP42" s="11"/>
      <c r="AQ42" s="11"/>
      <c r="AR42" s="11"/>
      <c r="AS42" s="11"/>
      <c r="AT42" s="11"/>
      <c r="AU42" s="118">
        <v>1920000</v>
      </c>
      <c r="AV42" s="118">
        <v>364800</v>
      </c>
      <c r="AW42" s="118">
        <v>2284800</v>
      </c>
      <c r="AX42" s="52" t="s">
        <v>607</v>
      </c>
      <c r="AY42" s="52" t="s">
        <v>777</v>
      </c>
      <c r="AZ42" s="11"/>
      <c r="BA42" s="11"/>
      <c r="BB42" s="11"/>
      <c r="BC42" s="11"/>
      <c r="BD42" s="11"/>
      <c r="BE42" s="274"/>
      <c r="BF42" s="274"/>
      <c r="BG42" s="274"/>
      <c r="BH42" s="11"/>
      <c r="BI42" s="11"/>
      <c r="BJ42" s="311"/>
      <c r="BK42" s="311"/>
      <c r="BL42" s="311"/>
      <c r="BM42" s="52"/>
      <c r="BN42" s="52"/>
      <c r="BO42" s="387"/>
      <c r="BP42" s="320"/>
      <c r="BQ42" s="320"/>
      <c r="BR42" s="4"/>
      <c r="BS42" s="4"/>
      <c r="BT42" s="11"/>
      <c r="BU42" s="11"/>
      <c r="BV42" s="11"/>
      <c r="BW42" s="11"/>
      <c r="BX42" s="11"/>
      <c r="BY42" s="232">
        <v>197000</v>
      </c>
      <c r="BZ42" s="232">
        <f t="shared" si="2"/>
        <v>37430</v>
      </c>
      <c r="CA42" s="232">
        <f t="shared" si="3"/>
        <v>234430</v>
      </c>
      <c r="CB42" s="348" t="s">
        <v>767</v>
      </c>
      <c r="CC42" s="348" t="s">
        <v>778</v>
      </c>
      <c r="CD42" s="11"/>
      <c r="CE42" s="11"/>
      <c r="CF42" s="11"/>
      <c r="CG42" s="11"/>
      <c r="CH42" s="11"/>
      <c r="CI42" s="11"/>
      <c r="CJ42" s="11"/>
      <c r="CK42" s="11"/>
      <c r="CL42" s="11"/>
      <c r="CM42" s="11"/>
      <c r="CN42" s="274"/>
      <c r="CO42" s="274"/>
      <c r="CP42" s="274"/>
      <c r="CQ42" s="11"/>
      <c r="CR42" s="11"/>
      <c r="CS42" s="11"/>
      <c r="CT42" s="11"/>
      <c r="CU42" s="11"/>
      <c r="CV42" s="11"/>
      <c r="CW42" s="11"/>
      <c r="CX42" s="11"/>
      <c r="CY42" s="11"/>
      <c r="CZ42" s="11"/>
      <c r="DA42" s="11"/>
      <c r="DB42" s="11"/>
      <c r="DC42" s="11"/>
      <c r="DD42" s="11"/>
      <c r="DE42" s="11"/>
      <c r="DF42" s="11"/>
      <c r="DG42" s="11"/>
      <c r="DH42" s="11"/>
      <c r="DI42" s="11"/>
      <c r="DJ42" s="11"/>
      <c r="DK42" s="11"/>
      <c r="DL42" s="11"/>
      <c r="DM42" s="118"/>
      <c r="DN42" s="118"/>
      <c r="DO42" s="118"/>
      <c r="DP42" s="52"/>
      <c r="DQ42" s="52"/>
      <c r="DR42" s="77"/>
      <c r="DS42" s="77"/>
      <c r="DT42" s="77"/>
      <c r="DU42" s="11"/>
      <c r="DV42" s="11"/>
      <c r="DW42" s="11"/>
      <c r="DX42" s="11"/>
      <c r="DY42" s="11"/>
      <c r="DZ42" s="11"/>
      <c r="EA42" s="11"/>
      <c r="EB42" s="11"/>
      <c r="EC42" s="11"/>
      <c r="ED42" s="11"/>
      <c r="EE42" s="11"/>
      <c r="EF42" s="11"/>
    </row>
    <row r="43" spans="1:136" ht="12.75" customHeight="1" x14ac:dyDescent="0.25">
      <c r="A43" s="425">
        <v>41</v>
      </c>
      <c r="B43" s="428" t="s">
        <v>779</v>
      </c>
      <c r="C43" s="413" t="s">
        <v>753</v>
      </c>
      <c r="D43" s="428" t="s">
        <v>415</v>
      </c>
      <c r="E43" s="79">
        <v>1</v>
      </c>
      <c r="F43" s="405"/>
      <c r="G43" s="274"/>
      <c r="H43" s="274"/>
      <c r="I43" s="274"/>
      <c r="J43" s="274"/>
      <c r="K43" s="11"/>
      <c r="L43" s="274"/>
      <c r="M43" s="274"/>
      <c r="N43" s="274"/>
      <c r="O43" s="48"/>
      <c r="P43" s="11"/>
      <c r="Q43" s="274"/>
      <c r="R43" s="274"/>
      <c r="S43" s="274"/>
      <c r="T43" s="11"/>
      <c r="U43" s="11"/>
      <c r="V43" s="11"/>
      <c r="W43" s="11"/>
      <c r="X43" s="11"/>
      <c r="Y43" s="11"/>
      <c r="Z43" s="48"/>
      <c r="AA43" s="52"/>
      <c r="AB43" s="52"/>
      <c r="AC43" s="118"/>
      <c r="AD43" s="5"/>
      <c r="AE43" s="52"/>
      <c r="AF43" s="113">
        <v>510000</v>
      </c>
      <c r="AG43" s="113">
        <f>AF43*0.19</f>
        <v>96900</v>
      </c>
      <c r="AH43" s="113">
        <f>AF43+AG43</f>
        <v>606900</v>
      </c>
      <c r="AI43" s="52" t="s">
        <v>770</v>
      </c>
      <c r="AJ43" s="11" t="s">
        <v>780</v>
      </c>
      <c r="AK43" s="269"/>
      <c r="AL43" s="269"/>
      <c r="AM43" s="269"/>
      <c r="AN43" s="301"/>
      <c r="AO43" s="302"/>
      <c r="AP43" s="11"/>
      <c r="AQ43" s="11"/>
      <c r="AR43" s="11"/>
      <c r="AS43" s="11"/>
      <c r="AT43" s="11"/>
      <c r="AU43" s="118">
        <v>1130286</v>
      </c>
      <c r="AV43" s="118">
        <v>214754</v>
      </c>
      <c r="AW43" s="118">
        <v>1345040</v>
      </c>
      <c r="AX43" s="52" t="s">
        <v>607</v>
      </c>
      <c r="AY43" s="52">
        <v>1052670500</v>
      </c>
      <c r="AZ43" s="11"/>
      <c r="BA43" s="11"/>
      <c r="BB43" s="11"/>
      <c r="BC43" s="11"/>
      <c r="BD43" s="11"/>
      <c r="BE43" s="274"/>
      <c r="BF43" s="274"/>
      <c r="BG43" s="274"/>
      <c r="BH43" s="11"/>
      <c r="BI43" s="11"/>
      <c r="BJ43" s="311"/>
      <c r="BK43" s="311"/>
      <c r="BL43" s="311"/>
      <c r="BM43" s="52"/>
      <c r="BN43" s="52"/>
      <c r="BO43" s="387"/>
      <c r="BP43" s="320"/>
      <c r="BQ43" s="320"/>
      <c r="BR43" s="4"/>
      <c r="BS43" s="4"/>
      <c r="BT43" s="11"/>
      <c r="BU43" s="11"/>
      <c r="BV43" s="11"/>
      <c r="BW43" s="11"/>
      <c r="BX43" s="11"/>
      <c r="BY43" s="232">
        <v>217000</v>
      </c>
      <c r="BZ43" s="232">
        <f t="shared" si="2"/>
        <v>41230</v>
      </c>
      <c r="CA43" s="232">
        <f t="shared" si="3"/>
        <v>258230</v>
      </c>
      <c r="CB43" s="348" t="s">
        <v>767</v>
      </c>
      <c r="CC43" s="348" t="s">
        <v>781</v>
      </c>
      <c r="CD43" s="11"/>
      <c r="CE43" s="11"/>
      <c r="CF43" s="11"/>
      <c r="CG43" s="11"/>
      <c r="CH43" s="11"/>
      <c r="CI43" s="11"/>
      <c r="CJ43" s="11"/>
      <c r="CK43" s="11"/>
      <c r="CL43" s="11"/>
      <c r="CM43" s="11"/>
      <c r="CN43" s="274"/>
      <c r="CO43" s="274"/>
      <c r="CP43" s="274"/>
      <c r="CQ43" s="11"/>
      <c r="CR43" s="11"/>
      <c r="CS43" s="11"/>
      <c r="CT43" s="11"/>
      <c r="CU43" s="11"/>
      <c r="CV43" s="11"/>
      <c r="CW43" s="11"/>
      <c r="CX43" s="11"/>
      <c r="CY43" s="11"/>
      <c r="CZ43" s="11"/>
      <c r="DA43" s="11"/>
      <c r="DB43" s="11"/>
      <c r="DC43" s="11"/>
      <c r="DD43" s="11"/>
      <c r="DE43" s="11"/>
      <c r="DF43" s="11"/>
      <c r="DG43" s="11"/>
      <c r="DH43" s="11"/>
      <c r="DI43" s="11"/>
      <c r="DJ43" s="11"/>
      <c r="DK43" s="11"/>
      <c r="DL43" s="11"/>
      <c r="DM43" s="118"/>
      <c r="DN43" s="118"/>
      <c r="DO43" s="118"/>
      <c r="DP43" s="52"/>
      <c r="DQ43" s="52"/>
      <c r="DR43" s="77"/>
      <c r="DS43" s="77"/>
      <c r="DT43" s="77"/>
      <c r="DU43" s="11"/>
      <c r="DV43" s="11"/>
      <c r="DW43" s="11"/>
      <c r="DX43" s="11"/>
      <c r="DY43" s="11"/>
      <c r="DZ43" s="11"/>
      <c r="EA43" s="11"/>
      <c r="EB43" s="11"/>
      <c r="EC43" s="11"/>
      <c r="ED43" s="11"/>
      <c r="EE43" s="11"/>
      <c r="EF43" s="11"/>
    </row>
    <row r="44" spans="1:136" ht="13.5" x14ac:dyDescent="0.25">
      <c r="A44" s="425">
        <v>42</v>
      </c>
      <c r="B44" s="428" t="s">
        <v>782</v>
      </c>
      <c r="C44" s="413" t="s">
        <v>753</v>
      </c>
      <c r="D44" s="428" t="s">
        <v>783</v>
      </c>
      <c r="E44" s="79">
        <v>1</v>
      </c>
      <c r="F44" s="405"/>
      <c r="G44" s="274"/>
      <c r="H44" s="274"/>
      <c r="I44" s="274"/>
      <c r="J44" s="274"/>
      <c r="K44" s="11"/>
      <c r="L44" s="274"/>
      <c r="M44" s="274"/>
      <c r="N44" s="274"/>
      <c r="O44" s="48"/>
      <c r="P44" s="11"/>
      <c r="Q44" s="274"/>
      <c r="R44" s="274"/>
      <c r="S44" s="274"/>
      <c r="T44" s="11"/>
      <c r="U44" s="11"/>
      <c r="V44" s="11"/>
      <c r="W44" s="11"/>
      <c r="X44" s="11"/>
      <c r="Y44" s="11"/>
      <c r="Z44" s="48"/>
      <c r="AA44" s="52"/>
      <c r="AB44" s="52"/>
      <c r="AC44" s="118"/>
      <c r="AD44" s="5"/>
      <c r="AE44" s="52"/>
      <c r="AF44" s="113"/>
      <c r="AG44" s="113"/>
      <c r="AH44" s="113"/>
      <c r="AI44" s="52"/>
      <c r="AJ44" s="11"/>
      <c r="AK44" s="269"/>
      <c r="AL44" s="269"/>
      <c r="AM44" s="269"/>
      <c r="AN44" s="301"/>
      <c r="AO44" s="302"/>
      <c r="AP44" s="11"/>
      <c r="AQ44" s="11"/>
      <c r="AR44" s="11"/>
      <c r="AS44" s="11"/>
      <c r="AT44" s="11"/>
      <c r="AU44" s="118"/>
      <c r="AV44" s="118"/>
      <c r="AW44" s="118"/>
      <c r="AX44" s="52"/>
      <c r="AY44" s="52"/>
      <c r="AZ44" s="11"/>
      <c r="BA44" s="11"/>
      <c r="BB44" s="11"/>
      <c r="BC44" s="11"/>
      <c r="BD44" s="11"/>
      <c r="BE44" s="274"/>
      <c r="BF44" s="274"/>
      <c r="BG44" s="274"/>
      <c r="BH44" s="11"/>
      <c r="BI44" s="11"/>
      <c r="BJ44" s="311"/>
      <c r="BK44" s="311"/>
      <c r="BL44" s="311"/>
      <c r="BM44" s="52"/>
      <c r="BN44" s="52"/>
      <c r="BO44" s="387"/>
      <c r="BP44" s="320"/>
      <c r="BQ44" s="320"/>
      <c r="BR44" s="4"/>
      <c r="BS44" s="4"/>
      <c r="BT44" s="11"/>
      <c r="BU44" s="11"/>
      <c r="BV44" s="11"/>
      <c r="BW44" s="11"/>
      <c r="BX44" s="11"/>
      <c r="BY44" s="232">
        <v>241000</v>
      </c>
      <c r="BZ44" s="232">
        <f t="shared" si="2"/>
        <v>45790</v>
      </c>
      <c r="CA44" s="232">
        <f t="shared" si="3"/>
        <v>286790</v>
      </c>
      <c r="CB44" s="348" t="s">
        <v>772</v>
      </c>
      <c r="CC44" s="348">
        <v>610006</v>
      </c>
      <c r="CD44" s="11"/>
      <c r="CE44" s="11"/>
      <c r="CF44" s="11"/>
      <c r="CG44" s="11"/>
      <c r="CH44" s="11"/>
      <c r="CI44" s="11"/>
      <c r="CJ44" s="11"/>
      <c r="CK44" s="11"/>
      <c r="CL44" s="11"/>
      <c r="CM44" s="11"/>
      <c r="CN44" s="274"/>
      <c r="CO44" s="274"/>
      <c r="CP44" s="274"/>
      <c r="CQ44" s="11"/>
      <c r="CR44" s="11"/>
      <c r="CS44" s="11"/>
      <c r="CT44" s="11"/>
      <c r="CU44" s="11"/>
      <c r="CV44" s="11"/>
      <c r="CW44" s="11"/>
      <c r="CX44" s="11"/>
      <c r="CY44" s="11"/>
      <c r="CZ44" s="11"/>
      <c r="DA44" s="11"/>
      <c r="DB44" s="11"/>
      <c r="DC44" s="11"/>
      <c r="DD44" s="11"/>
      <c r="DE44" s="11"/>
      <c r="DF44" s="11"/>
      <c r="DG44" s="11"/>
      <c r="DH44" s="11"/>
      <c r="DI44" s="11"/>
      <c r="DJ44" s="11"/>
      <c r="DK44" s="11"/>
      <c r="DL44" s="11"/>
      <c r="DM44" s="118"/>
      <c r="DN44" s="118"/>
      <c r="DO44" s="118"/>
      <c r="DP44" s="52"/>
      <c r="DQ44" s="52"/>
      <c r="DR44" s="77"/>
      <c r="DS44" s="77"/>
      <c r="DT44" s="77"/>
      <c r="DU44" s="11"/>
      <c r="DV44" s="11"/>
      <c r="DW44" s="11"/>
      <c r="DX44" s="11"/>
      <c r="DY44" s="11"/>
      <c r="DZ44" s="11"/>
      <c r="EA44" s="11"/>
      <c r="EB44" s="11"/>
      <c r="EC44" s="11"/>
      <c r="ED44" s="11"/>
      <c r="EE44" s="11"/>
      <c r="EF44" s="11"/>
    </row>
    <row r="45" spans="1:136" ht="12.75" customHeight="1" x14ac:dyDescent="0.25">
      <c r="A45" s="425">
        <v>43</v>
      </c>
      <c r="B45" s="427" t="s">
        <v>784</v>
      </c>
      <c r="C45" s="427" t="s">
        <v>785</v>
      </c>
      <c r="D45" s="427" t="s">
        <v>60</v>
      </c>
      <c r="E45" s="79">
        <v>1</v>
      </c>
      <c r="F45" s="405"/>
      <c r="G45" s="274"/>
      <c r="H45" s="274"/>
      <c r="I45" s="274"/>
      <c r="J45" s="274"/>
      <c r="K45" s="11"/>
      <c r="L45" s="274"/>
      <c r="M45" s="274"/>
      <c r="N45" s="274"/>
      <c r="O45" s="48"/>
      <c r="P45" s="11"/>
      <c r="Q45" s="274"/>
      <c r="R45" s="274"/>
      <c r="S45" s="274"/>
      <c r="T45" s="11"/>
      <c r="U45" s="11"/>
      <c r="V45" s="11"/>
      <c r="W45" s="11"/>
      <c r="X45" s="11"/>
      <c r="Y45" s="11"/>
      <c r="Z45" s="48"/>
      <c r="AA45" s="52"/>
      <c r="AB45" s="52"/>
      <c r="AC45" s="118"/>
      <c r="AD45" s="5"/>
      <c r="AE45" s="52"/>
      <c r="AF45" s="113"/>
      <c r="AG45" s="113"/>
      <c r="AH45" s="113"/>
      <c r="AI45" s="52"/>
      <c r="AJ45" s="11"/>
      <c r="AK45" s="269"/>
      <c r="AL45" s="269"/>
      <c r="AM45" s="269"/>
      <c r="AN45" s="301"/>
      <c r="AO45" s="302"/>
      <c r="AP45" s="11"/>
      <c r="AQ45" s="11"/>
      <c r="AR45" s="11"/>
      <c r="AS45" s="11"/>
      <c r="AT45" s="11"/>
      <c r="AU45" s="118"/>
      <c r="AV45" s="118"/>
      <c r="AW45" s="118"/>
      <c r="AX45" s="52"/>
      <c r="AY45" s="52"/>
      <c r="AZ45" s="11"/>
      <c r="BA45" s="11"/>
      <c r="BB45" s="11"/>
      <c r="BC45" s="11"/>
      <c r="BD45" s="11"/>
      <c r="BE45" s="274"/>
      <c r="BF45" s="274"/>
      <c r="BG45" s="274"/>
      <c r="BH45" s="11"/>
      <c r="BI45" s="11"/>
      <c r="BJ45" s="311"/>
      <c r="BK45" s="311"/>
      <c r="BL45" s="311"/>
      <c r="BM45" s="52"/>
      <c r="BN45" s="52"/>
      <c r="BO45" s="387"/>
      <c r="BP45" s="320"/>
      <c r="BQ45" s="320"/>
      <c r="BR45" s="4"/>
      <c r="BS45" s="4"/>
      <c r="BT45" s="11"/>
      <c r="BU45" s="11"/>
      <c r="BV45" s="11"/>
      <c r="BW45" s="11"/>
      <c r="BX45" s="11"/>
      <c r="BY45" s="232">
        <v>266000</v>
      </c>
      <c r="BZ45" s="232">
        <f t="shared" si="2"/>
        <v>50540</v>
      </c>
      <c r="CA45" s="232">
        <f t="shared" si="3"/>
        <v>316540</v>
      </c>
      <c r="CB45" s="348" t="s">
        <v>767</v>
      </c>
      <c r="CC45" s="348" t="s">
        <v>786</v>
      </c>
      <c r="CD45" s="11"/>
      <c r="CE45" s="11"/>
      <c r="CF45" s="11"/>
      <c r="CG45" s="11"/>
      <c r="CH45" s="11"/>
      <c r="CI45" s="11"/>
      <c r="CJ45" s="11"/>
      <c r="CK45" s="11"/>
      <c r="CL45" s="11"/>
      <c r="CM45" s="11"/>
      <c r="CN45" s="274"/>
      <c r="CO45" s="274"/>
      <c r="CP45" s="274"/>
      <c r="CQ45" s="11"/>
      <c r="CR45" s="11"/>
      <c r="CS45" s="11"/>
      <c r="CT45" s="11"/>
      <c r="CU45" s="11"/>
      <c r="CV45" s="11"/>
      <c r="CW45" s="11"/>
      <c r="CX45" s="11"/>
      <c r="CY45" s="11"/>
      <c r="CZ45" s="11"/>
      <c r="DA45" s="11"/>
      <c r="DB45" s="11"/>
      <c r="DC45" s="11"/>
      <c r="DD45" s="11"/>
      <c r="DE45" s="11"/>
      <c r="DF45" s="11"/>
      <c r="DG45" s="11"/>
      <c r="DH45" s="11"/>
      <c r="DI45" s="11"/>
      <c r="DJ45" s="11"/>
      <c r="DK45" s="11"/>
      <c r="DL45" s="11"/>
      <c r="DM45" s="118"/>
      <c r="DN45" s="118"/>
      <c r="DO45" s="118"/>
      <c r="DP45" s="52"/>
      <c r="DQ45" s="52"/>
      <c r="DR45" s="77"/>
      <c r="DS45" s="77"/>
      <c r="DT45" s="77"/>
      <c r="DU45" s="11"/>
      <c r="DV45" s="11"/>
      <c r="DW45" s="11"/>
      <c r="DX45" s="11"/>
      <c r="DY45" s="11"/>
      <c r="DZ45" s="11"/>
      <c r="EA45" s="11"/>
      <c r="EB45" s="11"/>
      <c r="EC45" s="11"/>
      <c r="ED45" s="11"/>
      <c r="EE45" s="11"/>
      <c r="EF45" s="11"/>
    </row>
    <row r="46" spans="1:136" ht="40.5" x14ac:dyDescent="0.25">
      <c r="A46" s="425">
        <v>44</v>
      </c>
      <c r="B46" s="426" t="s">
        <v>787</v>
      </c>
      <c r="C46" s="413" t="s">
        <v>788</v>
      </c>
      <c r="D46" s="426" t="s">
        <v>132</v>
      </c>
      <c r="E46" s="79">
        <v>1</v>
      </c>
      <c r="F46" s="405"/>
      <c r="G46" s="274"/>
      <c r="H46" s="274"/>
      <c r="I46" s="274"/>
      <c r="J46" s="274"/>
      <c r="K46" s="11"/>
      <c r="L46" s="274"/>
      <c r="M46" s="274"/>
      <c r="N46" s="274"/>
      <c r="O46" s="48"/>
      <c r="P46" s="11"/>
      <c r="Q46" s="274"/>
      <c r="R46" s="274"/>
      <c r="S46" s="274"/>
      <c r="T46" s="11"/>
      <c r="U46" s="11"/>
      <c r="V46" s="11"/>
      <c r="W46" s="11"/>
      <c r="X46" s="11"/>
      <c r="Y46" s="11"/>
      <c r="Z46" s="48"/>
      <c r="AA46" s="52"/>
      <c r="AB46" s="52"/>
      <c r="AC46" s="118"/>
      <c r="AD46" s="5"/>
      <c r="AE46" s="52"/>
      <c r="AF46" s="113">
        <v>242000</v>
      </c>
      <c r="AG46" s="113">
        <f>AF46*0.19</f>
        <v>45980</v>
      </c>
      <c r="AH46" s="113">
        <f>AF46+AG46</f>
        <v>287980</v>
      </c>
      <c r="AI46" s="52" t="s">
        <v>770</v>
      </c>
      <c r="AJ46" s="11" t="s">
        <v>789</v>
      </c>
      <c r="AK46" s="269">
        <v>276265</v>
      </c>
      <c r="AL46" s="269">
        <v>52490.35</v>
      </c>
      <c r="AM46" s="269">
        <v>328755.34999999998</v>
      </c>
      <c r="AN46" s="301" t="s">
        <v>88</v>
      </c>
      <c r="AO46" s="302">
        <v>1054580500</v>
      </c>
      <c r="AP46" s="11"/>
      <c r="AQ46" s="11"/>
      <c r="AR46" s="11"/>
      <c r="AS46" s="11"/>
      <c r="AT46" s="11"/>
      <c r="AU46" s="118">
        <v>348493</v>
      </c>
      <c r="AV46" s="118">
        <v>66214</v>
      </c>
      <c r="AW46" s="118">
        <v>414707</v>
      </c>
      <c r="AX46" s="52" t="s">
        <v>607</v>
      </c>
      <c r="AY46" s="52">
        <v>1054580500</v>
      </c>
      <c r="AZ46" s="11"/>
      <c r="BA46" s="11"/>
      <c r="BB46" s="11"/>
      <c r="BC46" s="11"/>
      <c r="BD46" s="11"/>
      <c r="BE46" s="274"/>
      <c r="BF46" s="274"/>
      <c r="BG46" s="274"/>
      <c r="BH46" s="11"/>
      <c r="BI46" s="11"/>
      <c r="BJ46" s="311"/>
      <c r="BK46" s="311"/>
      <c r="BL46" s="311"/>
      <c r="BM46" s="52"/>
      <c r="BN46" s="52"/>
      <c r="BO46" s="387"/>
      <c r="BP46" s="320"/>
      <c r="BQ46" s="320"/>
      <c r="BR46" s="4"/>
      <c r="BS46" s="4"/>
      <c r="BT46" s="11"/>
      <c r="BU46" s="11"/>
      <c r="BV46" s="11"/>
      <c r="BW46" s="11"/>
      <c r="BX46" s="11"/>
      <c r="BY46" s="232">
        <v>194000</v>
      </c>
      <c r="BZ46" s="232">
        <f t="shared" si="2"/>
        <v>36860</v>
      </c>
      <c r="CA46" s="232">
        <f t="shared" si="3"/>
        <v>230860</v>
      </c>
      <c r="CB46" s="348" t="s">
        <v>767</v>
      </c>
      <c r="CC46" s="348" t="s">
        <v>790</v>
      </c>
      <c r="CD46" s="11"/>
      <c r="CE46" s="11"/>
      <c r="CF46" s="11"/>
      <c r="CG46" s="11"/>
      <c r="CH46" s="11"/>
      <c r="CI46" s="11"/>
      <c r="CJ46" s="11"/>
      <c r="CK46" s="11"/>
      <c r="CL46" s="11"/>
      <c r="CM46" s="11"/>
      <c r="CN46" s="274"/>
      <c r="CO46" s="274"/>
      <c r="CP46" s="274"/>
      <c r="CQ46" s="11"/>
      <c r="CR46" s="11"/>
      <c r="CS46" s="11"/>
      <c r="CT46" s="11"/>
      <c r="CU46" s="11"/>
      <c r="CV46" s="11"/>
      <c r="CW46" s="11"/>
      <c r="CX46" s="11"/>
      <c r="CY46" s="11"/>
      <c r="CZ46" s="11"/>
      <c r="DA46" s="11"/>
      <c r="DB46" s="11"/>
      <c r="DC46" s="11"/>
      <c r="DD46" s="11"/>
      <c r="DE46" s="11"/>
      <c r="DF46" s="11"/>
      <c r="DG46" s="11"/>
      <c r="DH46" s="11"/>
      <c r="DI46" s="11"/>
      <c r="DJ46" s="11"/>
      <c r="DK46" s="11"/>
      <c r="DL46" s="11"/>
      <c r="DM46" s="118"/>
      <c r="DN46" s="118"/>
      <c r="DO46" s="118"/>
      <c r="DP46" s="52"/>
      <c r="DQ46" s="52"/>
      <c r="DR46" s="77"/>
      <c r="DS46" s="77"/>
      <c r="DT46" s="77"/>
      <c r="DU46" s="11"/>
      <c r="DV46" s="11"/>
      <c r="DW46" s="11"/>
      <c r="DX46" s="11"/>
      <c r="DY46" s="11"/>
      <c r="DZ46" s="11"/>
      <c r="EA46" s="11"/>
      <c r="EB46" s="11"/>
      <c r="EC46" s="11"/>
      <c r="ED46" s="11"/>
      <c r="EE46" s="11"/>
      <c r="EF46" s="11"/>
    </row>
    <row r="47" spans="1:136" ht="27" x14ac:dyDescent="0.25">
      <c r="A47" s="425">
        <v>45</v>
      </c>
      <c r="B47" s="426" t="s">
        <v>791</v>
      </c>
      <c r="C47" s="413" t="s">
        <v>792</v>
      </c>
      <c r="D47" s="426" t="s">
        <v>132</v>
      </c>
      <c r="E47" s="79">
        <v>1</v>
      </c>
      <c r="F47" s="405"/>
      <c r="G47" s="274"/>
      <c r="H47" s="274"/>
      <c r="I47" s="274"/>
      <c r="J47" s="274"/>
      <c r="K47" s="11"/>
      <c r="L47" s="274"/>
      <c r="M47" s="274"/>
      <c r="N47" s="274"/>
      <c r="O47" s="48"/>
      <c r="P47" s="11"/>
      <c r="Q47" s="274"/>
      <c r="R47" s="274"/>
      <c r="S47" s="274"/>
      <c r="T47" s="11"/>
      <c r="U47" s="11"/>
      <c r="V47" s="11"/>
      <c r="W47" s="11"/>
      <c r="X47" s="11"/>
      <c r="Y47" s="11"/>
      <c r="Z47" s="48"/>
      <c r="AA47" s="52"/>
      <c r="AB47" s="52"/>
      <c r="AC47" s="118"/>
      <c r="AD47" s="5"/>
      <c r="AE47" s="52"/>
      <c r="AF47" s="113">
        <v>255000</v>
      </c>
      <c r="AG47" s="113">
        <f>AF47*0.19</f>
        <v>48450</v>
      </c>
      <c r="AH47" s="113">
        <f>AF47+AG47</f>
        <v>303450</v>
      </c>
      <c r="AI47" s="52" t="s">
        <v>770</v>
      </c>
      <c r="AJ47" s="11" t="s">
        <v>793</v>
      </c>
      <c r="AK47" s="269">
        <v>444037</v>
      </c>
      <c r="AL47" s="269">
        <v>84367.03</v>
      </c>
      <c r="AM47" s="269">
        <v>528404.03</v>
      </c>
      <c r="AN47" s="301" t="s">
        <v>88</v>
      </c>
      <c r="AO47" s="302">
        <v>1038580500</v>
      </c>
      <c r="AP47" s="11"/>
      <c r="AQ47" s="11"/>
      <c r="AR47" s="11"/>
      <c r="AS47" s="11"/>
      <c r="AT47" s="11"/>
      <c r="AU47" s="118">
        <v>610385</v>
      </c>
      <c r="AV47" s="118">
        <v>115973</v>
      </c>
      <c r="AW47" s="118">
        <v>726358</v>
      </c>
      <c r="AX47" s="52" t="s">
        <v>607</v>
      </c>
      <c r="AY47" s="52">
        <v>1038580500</v>
      </c>
      <c r="AZ47" s="11"/>
      <c r="BA47" s="11"/>
      <c r="BB47" s="11"/>
      <c r="BC47" s="11"/>
      <c r="BD47" s="11"/>
      <c r="BE47" s="274"/>
      <c r="BF47" s="274"/>
      <c r="BG47" s="274"/>
      <c r="BH47" s="11"/>
      <c r="BI47" s="11"/>
      <c r="BJ47" s="311"/>
      <c r="BK47" s="311"/>
      <c r="BL47" s="311"/>
      <c r="BM47" s="52"/>
      <c r="BN47" s="52"/>
      <c r="BO47" s="387"/>
      <c r="BP47" s="320"/>
      <c r="BQ47" s="320"/>
      <c r="BR47" s="4"/>
      <c r="BS47" s="4"/>
      <c r="BT47" s="11"/>
      <c r="BU47" s="11"/>
      <c r="BV47" s="11"/>
      <c r="BW47" s="11"/>
      <c r="BX47" s="11"/>
      <c r="BY47" s="232">
        <v>259000</v>
      </c>
      <c r="BZ47" s="232">
        <f t="shared" ref="BZ47:BZ56" si="4">BY47*0.19</f>
        <v>49210</v>
      </c>
      <c r="CA47" s="232">
        <f t="shared" ref="CA47:CA56" si="5">BY47+BZ47</f>
        <v>308210</v>
      </c>
      <c r="CB47" s="348" t="s">
        <v>767</v>
      </c>
      <c r="CC47" s="348" t="s">
        <v>794</v>
      </c>
      <c r="CD47" s="11"/>
      <c r="CE47" s="11"/>
      <c r="CF47" s="11"/>
      <c r="CG47" s="11"/>
      <c r="CH47" s="11"/>
      <c r="CI47" s="11"/>
      <c r="CJ47" s="11"/>
      <c r="CK47" s="11"/>
      <c r="CL47" s="11"/>
      <c r="CM47" s="11"/>
      <c r="CN47" s="274"/>
      <c r="CO47" s="274"/>
      <c r="CP47" s="274"/>
      <c r="CQ47" s="11"/>
      <c r="CR47" s="11"/>
      <c r="CS47" s="11"/>
      <c r="CT47" s="11"/>
      <c r="CU47" s="11"/>
      <c r="CV47" s="11"/>
      <c r="CW47" s="11"/>
      <c r="CX47" s="11"/>
      <c r="CY47" s="11"/>
      <c r="CZ47" s="11"/>
      <c r="DA47" s="11"/>
      <c r="DB47" s="11"/>
      <c r="DC47" s="11"/>
      <c r="DD47" s="11"/>
      <c r="DE47" s="11"/>
      <c r="DF47" s="11"/>
      <c r="DG47" s="11"/>
      <c r="DH47" s="11"/>
      <c r="DI47" s="11"/>
      <c r="DJ47" s="11"/>
      <c r="DK47" s="11"/>
      <c r="DL47" s="11"/>
      <c r="DM47" s="118"/>
      <c r="DN47" s="118"/>
      <c r="DO47" s="118"/>
      <c r="DP47" s="52"/>
      <c r="DQ47" s="52"/>
      <c r="DR47" s="77"/>
      <c r="DS47" s="77"/>
      <c r="DT47" s="77"/>
      <c r="DU47" s="11"/>
      <c r="DV47" s="11"/>
      <c r="DW47" s="11"/>
      <c r="DX47" s="11"/>
      <c r="DY47" s="11"/>
      <c r="DZ47" s="11"/>
      <c r="EA47" s="11"/>
      <c r="EB47" s="11"/>
      <c r="EC47" s="11"/>
      <c r="ED47" s="11"/>
      <c r="EE47" s="11"/>
      <c r="EF47" s="11"/>
    </row>
    <row r="48" spans="1:136" ht="12.75" customHeight="1" x14ac:dyDescent="0.25">
      <c r="A48" s="425">
        <v>46</v>
      </c>
      <c r="B48" s="426" t="s">
        <v>795</v>
      </c>
      <c r="C48" s="413" t="s">
        <v>788</v>
      </c>
      <c r="D48" s="426" t="s">
        <v>132</v>
      </c>
      <c r="E48" s="79">
        <v>1</v>
      </c>
      <c r="F48" s="405"/>
      <c r="G48" s="274"/>
      <c r="H48" s="274"/>
      <c r="I48" s="274"/>
      <c r="J48" s="274"/>
      <c r="K48" s="11"/>
      <c r="L48" s="274"/>
      <c r="M48" s="274"/>
      <c r="N48" s="274"/>
      <c r="O48" s="48"/>
      <c r="P48" s="11"/>
      <c r="Q48" s="274"/>
      <c r="R48" s="274"/>
      <c r="S48" s="274"/>
      <c r="T48" s="11"/>
      <c r="U48" s="11"/>
      <c r="V48" s="11"/>
      <c r="W48" s="11"/>
      <c r="X48" s="11"/>
      <c r="Y48" s="11"/>
      <c r="Z48" s="48"/>
      <c r="AA48" s="52"/>
      <c r="AB48" s="52"/>
      <c r="AC48" s="118"/>
      <c r="AD48" s="5"/>
      <c r="AE48" s="52"/>
      <c r="AF48" s="113"/>
      <c r="AG48" s="113"/>
      <c r="AH48" s="113"/>
      <c r="AI48" s="52"/>
      <c r="AJ48" s="11"/>
      <c r="AK48" s="269">
        <v>3068183</v>
      </c>
      <c r="AL48" s="269">
        <v>582954.77</v>
      </c>
      <c r="AM48" s="269">
        <v>3651137.77</v>
      </c>
      <c r="AN48" s="301" t="s">
        <v>88</v>
      </c>
      <c r="AO48" s="302">
        <v>1009500500</v>
      </c>
      <c r="AP48" s="11"/>
      <c r="AQ48" s="11"/>
      <c r="AR48" s="11"/>
      <c r="AS48" s="11"/>
      <c r="AT48" s="11"/>
      <c r="AU48" s="118">
        <v>3916571</v>
      </c>
      <c r="AV48" s="118">
        <v>744148</v>
      </c>
      <c r="AW48" s="118">
        <v>4660719</v>
      </c>
      <c r="AX48" s="52" t="s">
        <v>607</v>
      </c>
      <c r="AY48" s="52">
        <v>1009500500</v>
      </c>
      <c r="AZ48" s="11"/>
      <c r="BA48" s="11"/>
      <c r="BB48" s="11"/>
      <c r="BC48" s="11"/>
      <c r="BD48" s="11"/>
      <c r="BE48" s="274"/>
      <c r="BF48" s="274"/>
      <c r="BG48" s="274"/>
      <c r="BH48" s="11"/>
      <c r="BI48" s="11"/>
      <c r="BJ48" s="311"/>
      <c r="BK48" s="311"/>
      <c r="BL48" s="311"/>
      <c r="BM48" s="52"/>
      <c r="BN48" s="52"/>
      <c r="BO48" s="387"/>
      <c r="BP48" s="320"/>
      <c r="BQ48" s="320"/>
      <c r="BR48" s="4"/>
      <c r="BS48" s="4"/>
      <c r="BT48" s="11"/>
      <c r="BU48" s="11"/>
      <c r="BV48" s="11"/>
      <c r="BW48" s="11"/>
      <c r="BX48" s="11"/>
      <c r="BY48" s="232">
        <v>300000</v>
      </c>
      <c r="BZ48" s="232">
        <f t="shared" si="4"/>
        <v>57000</v>
      </c>
      <c r="CA48" s="232">
        <f t="shared" si="5"/>
        <v>357000</v>
      </c>
      <c r="CB48" s="348" t="s">
        <v>767</v>
      </c>
      <c r="CC48" s="348" t="s">
        <v>796</v>
      </c>
      <c r="CD48" s="11"/>
      <c r="CE48" s="11"/>
      <c r="CF48" s="11"/>
      <c r="CG48" s="11"/>
      <c r="CH48" s="11"/>
      <c r="CI48" s="11"/>
      <c r="CJ48" s="11"/>
      <c r="CK48" s="11"/>
      <c r="CL48" s="11"/>
      <c r="CM48" s="11"/>
      <c r="CN48" s="274"/>
      <c r="CO48" s="274"/>
      <c r="CP48" s="274"/>
      <c r="CQ48" s="11"/>
      <c r="CR48" s="11"/>
      <c r="CS48" s="11"/>
      <c r="CT48" s="11"/>
      <c r="CU48" s="11"/>
      <c r="CV48" s="11"/>
      <c r="CW48" s="11"/>
      <c r="CX48" s="11"/>
      <c r="CY48" s="11"/>
      <c r="CZ48" s="11"/>
      <c r="DA48" s="11"/>
      <c r="DB48" s="11"/>
      <c r="DC48" s="11"/>
      <c r="DD48" s="11"/>
      <c r="DE48" s="11"/>
      <c r="DF48" s="11"/>
      <c r="DG48" s="11"/>
      <c r="DH48" s="11"/>
      <c r="DI48" s="11"/>
      <c r="DJ48" s="11"/>
      <c r="DK48" s="11"/>
      <c r="DL48" s="11"/>
      <c r="DM48" s="118"/>
      <c r="DN48" s="118"/>
      <c r="DO48" s="118"/>
      <c r="DP48" s="52"/>
      <c r="DQ48" s="52"/>
      <c r="DR48" s="77"/>
      <c r="DS48" s="77"/>
      <c r="DT48" s="77"/>
      <c r="DU48" s="11"/>
      <c r="DV48" s="11"/>
      <c r="DW48" s="11"/>
      <c r="DX48" s="11"/>
      <c r="DY48" s="11"/>
      <c r="DZ48" s="11"/>
      <c r="EA48" s="11"/>
      <c r="EB48" s="11"/>
      <c r="EC48" s="11"/>
      <c r="ED48" s="11"/>
      <c r="EE48" s="11"/>
      <c r="EF48" s="11"/>
    </row>
    <row r="49" spans="1:136" ht="27" x14ac:dyDescent="0.25">
      <c r="A49" s="425">
        <v>47</v>
      </c>
      <c r="B49" s="427" t="s">
        <v>797</v>
      </c>
      <c r="C49" s="427" t="s">
        <v>798</v>
      </c>
      <c r="D49" s="427" t="s">
        <v>60</v>
      </c>
      <c r="E49" s="79">
        <v>1</v>
      </c>
      <c r="F49" s="405">
        <v>1318465.0220000001</v>
      </c>
      <c r="G49" s="274"/>
      <c r="H49" s="274"/>
      <c r="I49" s="274"/>
      <c r="J49" s="274"/>
      <c r="K49" s="11"/>
      <c r="L49" s="274"/>
      <c r="M49" s="274"/>
      <c r="N49" s="274"/>
      <c r="O49" s="48"/>
      <c r="P49" s="11"/>
      <c r="Q49" s="274"/>
      <c r="R49" s="274"/>
      <c r="S49" s="274"/>
      <c r="T49" s="11"/>
      <c r="U49" s="11"/>
      <c r="V49" s="11"/>
      <c r="W49" s="11"/>
      <c r="X49" s="11"/>
      <c r="Y49" s="11"/>
      <c r="Z49" s="48"/>
      <c r="AA49" s="52"/>
      <c r="AB49" s="52"/>
      <c r="AC49" s="118"/>
      <c r="AD49" s="5"/>
      <c r="AE49" s="52"/>
      <c r="AF49" s="113">
        <v>488000</v>
      </c>
      <c r="AG49" s="113">
        <f>AF49*0.19</f>
        <v>92720</v>
      </c>
      <c r="AH49" s="113">
        <f>AF49+AG49</f>
        <v>580720</v>
      </c>
      <c r="AI49" s="52" t="s">
        <v>770</v>
      </c>
      <c r="AJ49" s="11" t="s">
        <v>799</v>
      </c>
      <c r="AK49" s="269">
        <v>491866</v>
      </c>
      <c r="AL49" s="269">
        <v>93454.540000000008</v>
      </c>
      <c r="AM49" s="269">
        <v>585320.54</v>
      </c>
      <c r="AN49" s="301" t="s">
        <v>88</v>
      </c>
      <c r="AO49" s="302">
        <v>1131160500</v>
      </c>
      <c r="AP49" s="11"/>
      <c r="AQ49" s="11"/>
      <c r="AR49" s="11"/>
      <c r="AS49" s="11"/>
      <c r="AT49" s="11"/>
      <c r="AU49" s="118">
        <v>1295000</v>
      </c>
      <c r="AV49" s="118">
        <v>246050</v>
      </c>
      <c r="AW49" s="118">
        <v>1541050</v>
      </c>
      <c r="AX49" s="52" t="s">
        <v>607</v>
      </c>
      <c r="AY49" s="52">
        <v>1037500500</v>
      </c>
      <c r="AZ49" s="11"/>
      <c r="BA49" s="11"/>
      <c r="BB49" s="11"/>
      <c r="BC49" s="11"/>
      <c r="BD49" s="11"/>
      <c r="BE49" s="274"/>
      <c r="BF49" s="274"/>
      <c r="BG49" s="274"/>
      <c r="BH49" s="11"/>
      <c r="BI49" s="11"/>
      <c r="BJ49" s="311"/>
      <c r="BK49" s="311"/>
      <c r="BL49" s="311"/>
      <c r="BM49" s="52"/>
      <c r="BN49" s="52"/>
      <c r="BO49" s="387"/>
      <c r="BP49" s="320"/>
      <c r="BQ49" s="320"/>
      <c r="BR49" s="4"/>
      <c r="BS49" s="4"/>
      <c r="BT49" s="11"/>
      <c r="BU49" s="11"/>
      <c r="BV49" s="11"/>
      <c r="BW49" s="11"/>
      <c r="BX49" s="11"/>
      <c r="BY49" s="232">
        <v>243000</v>
      </c>
      <c r="BZ49" s="232">
        <f t="shared" si="4"/>
        <v>46170</v>
      </c>
      <c r="CA49" s="232">
        <f t="shared" si="5"/>
        <v>289170</v>
      </c>
      <c r="CB49" s="348" t="s">
        <v>767</v>
      </c>
      <c r="CC49" s="348" t="s">
        <v>800</v>
      </c>
      <c r="CD49" s="11"/>
      <c r="CE49" s="11"/>
      <c r="CF49" s="11"/>
      <c r="CG49" s="11"/>
      <c r="CH49" s="11"/>
      <c r="CI49" s="11"/>
      <c r="CJ49" s="11"/>
      <c r="CK49" s="11"/>
      <c r="CL49" s="11"/>
      <c r="CM49" s="11"/>
      <c r="CN49" s="274"/>
      <c r="CO49" s="274"/>
      <c r="CP49" s="274"/>
      <c r="CQ49" s="11"/>
      <c r="CR49" s="11"/>
      <c r="CS49" s="11"/>
      <c r="CT49" s="11"/>
      <c r="CU49" s="11"/>
      <c r="CV49" s="11"/>
      <c r="CW49" s="11"/>
      <c r="CX49" s="11"/>
      <c r="CY49" s="11"/>
      <c r="CZ49" s="11"/>
      <c r="DA49" s="11"/>
      <c r="DB49" s="11"/>
      <c r="DC49" s="11"/>
      <c r="DD49" s="11"/>
      <c r="DE49" s="11"/>
      <c r="DF49" s="11"/>
      <c r="DG49" s="11"/>
      <c r="DH49" s="11"/>
      <c r="DI49" s="11"/>
      <c r="DJ49" s="11"/>
      <c r="DK49" s="11"/>
      <c r="DL49" s="11"/>
      <c r="DM49" s="118"/>
      <c r="DN49" s="118"/>
      <c r="DO49" s="118"/>
      <c r="DP49" s="52"/>
      <c r="DQ49" s="52"/>
      <c r="DR49" s="77"/>
      <c r="DS49" s="77"/>
      <c r="DT49" s="77"/>
      <c r="DU49" s="11"/>
      <c r="DV49" s="11"/>
      <c r="DW49" s="11"/>
      <c r="DX49" s="11"/>
      <c r="DY49" s="11"/>
      <c r="DZ49" s="11"/>
      <c r="EA49" s="11"/>
      <c r="EB49" s="11"/>
      <c r="EC49" s="11"/>
      <c r="ED49" s="11"/>
      <c r="EE49" s="11"/>
      <c r="EF49" s="11"/>
    </row>
    <row r="50" spans="1:136" ht="12.75" customHeight="1" x14ac:dyDescent="0.25">
      <c r="A50" s="425">
        <v>48</v>
      </c>
      <c r="B50" s="427" t="s">
        <v>801</v>
      </c>
      <c r="C50" s="427" t="s">
        <v>802</v>
      </c>
      <c r="D50" s="427" t="s">
        <v>60</v>
      </c>
      <c r="E50" s="79">
        <v>1</v>
      </c>
      <c r="F50" s="405">
        <v>1357428.24</v>
      </c>
      <c r="G50" s="274"/>
      <c r="H50" s="274"/>
      <c r="I50" s="274"/>
      <c r="J50" s="274"/>
      <c r="K50" s="11"/>
      <c r="L50" s="274"/>
      <c r="M50" s="274"/>
      <c r="N50" s="274"/>
      <c r="O50" s="48"/>
      <c r="P50" s="11"/>
      <c r="Q50" s="274"/>
      <c r="R50" s="274"/>
      <c r="S50" s="274"/>
      <c r="T50" s="11"/>
      <c r="U50" s="11"/>
      <c r="V50" s="11"/>
      <c r="W50" s="11"/>
      <c r="X50" s="11"/>
      <c r="Y50" s="11"/>
      <c r="Z50" s="48"/>
      <c r="AA50" s="52"/>
      <c r="AB50" s="52"/>
      <c r="AC50" s="118"/>
      <c r="AD50" s="5"/>
      <c r="AE50" s="52"/>
      <c r="AF50" s="113"/>
      <c r="AG50" s="113"/>
      <c r="AH50" s="113"/>
      <c r="AI50" s="52"/>
      <c r="AJ50" s="11"/>
      <c r="AK50" s="269"/>
      <c r="AL50" s="269"/>
      <c r="AM50" s="269"/>
      <c r="AN50" s="301"/>
      <c r="AO50" s="302"/>
      <c r="AP50" s="11"/>
      <c r="AQ50" s="11"/>
      <c r="AR50" s="11"/>
      <c r="AS50" s="11"/>
      <c r="AT50" s="11"/>
      <c r="AU50" s="118"/>
      <c r="AV50" s="118"/>
      <c r="AW50" s="118"/>
      <c r="AX50" s="52"/>
      <c r="AY50" s="52"/>
      <c r="AZ50" s="11"/>
      <c r="BA50" s="11"/>
      <c r="BB50" s="11"/>
      <c r="BC50" s="11"/>
      <c r="BD50" s="11"/>
      <c r="BE50" s="274"/>
      <c r="BF50" s="274"/>
      <c r="BG50" s="274"/>
      <c r="BH50" s="11"/>
      <c r="BI50" s="11"/>
      <c r="BJ50" s="311"/>
      <c r="BK50" s="311"/>
      <c r="BL50" s="311"/>
      <c r="BM50" s="52"/>
      <c r="BN50" s="52"/>
      <c r="BO50" s="387"/>
      <c r="BP50" s="320"/>
      <c r="BQ50" s="320"/>
      <c r="BR50" s="4"/>
      <c r="BS50" s="4"/>
      <c r="BT50" s="11"/>
      <c r="BU50" s="11"/>
      <c r="BV50" s="11"/>
      <c r="BW50" s="11"/>
      <c r="BX50" s="11"/>
      <c r="BY50" s="232">
        <v>380000</v>
      </c>
      <c r="BZ50" s="232">
        <f t="shared" si="4"/>
        <v>72200</v>
      </c>
      <c r="CA50" s="232">
        <f t="shared" si="5"/>
        <v>452200</v>
      </c>
      <c r="CB50" s="348" t="s">
        <v>772</v>
      </c>
      <c r="CC50" s="348">
        <v>610304</v>
      </c>
      <c r="CD50" s="11"/>
      <c r="CE50" s="11"/>
      <c r="CF50" s="11"/>
      <c r="CG50" s="11"/>
      <c r="CH50" s="11"/>
      <c r="CI50" s="11"/>
      <c r="CJ50" s="11"/>
      <c r="CK50" s="11"/>
      <c r="CL50" s="11"/>
      <c r="CM50" s="11"/>
      <c r="CN50" s="274"/>
      <c r="CO50" s="274"/>
      <c r="CP50" s="274"/>
      <c r="CQ50" s="11"/>
      <c r="CR50" s="11"/>
      <c r="CS50" s="11"/>
      <c r="CT50" s="11"/>
      <c r="CU50" s="11"/>
      <c r="CV50" s="11"/>
      <c r="CW50" s="11"/>
      <c r="CX50" s="11"/>
      <c r="CY50" s="11"/>
      <c r="CZ50" s="11"/>
      <c r="DA50" s="11"/>
      <c r="DB50" s="11"/>
      <c r="DC50" s="11"/>
      <c r="DD50" s="11"/>
      <c r="DE50" s="11"/>
      <c r="DF50" s="11"/>
      <c r="DG50" s="11"/>
      <c r="DH50" s="11"/>
      <c r="DI50" s="11"/>
      <c r="DJ50" s="11"/>
      <c r="DK50" s="11"/>
      <c r="DL50" s="11"/>
      <c r="DM50" s="118"/>
      <c r="DN50" s="118"/>
      <c r="DO50" s="118"/>
      <c r="DP50" s="52"/>
      <c r="DQ50" s="52"/>
      <c r="DR50" s="77"/>
      <c r="DS50" s="77"/>
      <c r="DT50" s="77"/>
      <c r="DU50" s="11"/>
      <c r="DV50" s="11"/>
      <c r="DW50" s="11"/>
      <c r="DX50" s="11"/>
      <c r="DY50" s="11"/>
      <c r="DZ50" s="11"/>
      <c r="EA50" s="11"/>
      <c r="EB50" s="11"/>
      <c r="EC50" s="11"/>
      <c r="ED50" s="11"/>
      <c r="EE50" s="11"/>
      <c r="EF50" s="11"/>
    </row>
    <row r="51" spans="1:136" ht="13.5" x14ac:dyDescent="0.25">
      <c r="A51" s="425">
        <v>49</v>
      </c>
      <c r="B51" s="428" t="s">
        <v>803</v>
      </c>
      <c r="C51" s="413" t="s">
        <v>753</v>
      </c>
      <c r="D51" s="428" t="s">
        <v>57</v>
      </c>
      <c r="E51" s="79">
        <v>1</v>
      </c>
      <c r="F51" s="405"/>
      <c r="G51" s="274"/>
      <c r="H51" s="274"/>
      <c r="I51" s="274"/>
      <c r="J51" s="274"/>
      <c r="K51" s="11"/>
      <c r="L51" s="274"/>
      <c r="M51" s="274"/>
      <c r="N51" s="274"/>
      <c r="O51" s="48"/>
      <c r="P51" s="11"/>
      <c r="Q51" s="274"/>
      <c r="R51" s="274"/>
      <c r="S51" s="274"/>
      <c r="T51" s="11"/>
      <c r="U51" s="11"/>
      <c r="V51" s="11"/>
      <c r="W51" s="11"/>
      <c r="X51" s="11"/>
      <c r="Y51" s="11"/>
      <c r="Z51" s="48"/>
      <c r="AA51" s="52"/>
      <c r="AB51" s="52"/>
      <c r="AC51" s="118"/>
      <c r="AD51" s="5"/>
      <c r="AE51" s="52"/>
      <c r="AF51" s="113"/>
      <c r="AG51" s="113"/>
      <c r="AH51" s="113"/>
      <c r="AI51" s="52"/>
      <c r="AJ51" s="11"/>
      <c r="AK51" s="269"/>
      <c r="AL51" s="269"/>
      <c r="AM51" s="269"/>
      <c r="AN51" s="301"/>
      <c r="AO51" s="302"/>
      <c r="AP51" s="11"/>
      <c r="AQ51" s="11"/>
      <c r="AR51" s="11"/>
      <c r="AS51" s="11"/>
      <c r="AT51" s="11"/>
      <c r="AU51" s="118">
        <v>1302786</v>
      </c>
      <c r="AV51" s="118">
        <v>247529</v>
      </c>
      <c r="AW51" s="118">
        <v>1550315</v>
      </c>
      <c r="AX51" s="52" t="s">
        <v>607</v>
      </c>
      <c r="AY51" s="52">
        <v>1153380500</v>
      </c>
      <c r="AZ51" s="11"/>
      <c r="BA51" s="11"/>
      <c r="BB51" s="11"/>
      <c r="BC51" s="11"/>
      <c r="BD51" s="11"/>
      <c r="BE51" s="274"/>
      <c r="BF51" s="274"/>
      <c r="BG51" s="274"/>
      <c r="BH51" s="11"/>
      <c r="BI51" s="11"/>
      <c r="BJ51" s="311"/>
      <c r="BK51" s="311"/>
      <c r="BL51" s="311"/>
      <c r="BM51" s="52"/>
      <c r="BN51" s="52"/>
      <c r="BO51" s="387"/>
      <c r="BP51" s="320"/>
      <c r="BQ51" s="320"/>
      <c r="BR51" s="4"/>
      <c r="BS51" s="4"/>
      <c r="BT51" s="11"/>
      <c r="BU51" s="11"/>
      <c r="BV51" s="11"/>
      <c r="BW51" s="11"/>
      <c r="BX51" s="11"/>
      <c r="BY51" s="232">
        <v>90000</v>
      </c>
      <c r="BZ51" s="232">
        <f t="shared" si="4"/>
        <v>17100</v>
      </c>
      <c r="CA51" s="232">
        <f t="shared" si="5"/>
        <v>107100</v>
      </c>
      <c r="CB51" s="348" t="s">
        <v>772</v>
      </c>
      <c r="CC51" s="348">
        <v>620073</v>
      </c>
      <c r="CD51" s="11"/>
      <c r="CE51" s="11"/>
      <c r="CF51" s="11"/>
      <c r="CG51" s="11"/>
      <c r="CH51" s="11"/>
      <c r="CI51" s="11"/>
      <c r="CJ51" s="11"/>
      <c r="CK51" s="11"/>
      <c r="CL51" s="11"/>
      <c r="CM51" s="11"/>
      <c r="CN51" s="274"/>
      <c r="CO51" s="274"/>
      <c r="CP51" s="274"/>
      <c r="CQ51" s="11"/>
      <c r="CR51" s="11"/>
      <c r="CS51" s="11"/>
      <c r="CT51" s="11"/>
      <c r="CU51" s="11"/>
      <c r="CV51" s="11"/>
      <c r="CW51" s="11"/>
      <c r="CX51" s="11"/>
      <c r="CY51" s="11"/>
      <c r="CZ51" s="11"/>
      <c r="DA51" s="11"/>
      <c r="DB51" s="11"/>
      <c r="DC51" s="11"/>
      <c r="DD51" s="11"/>
      <c r="DE51" s="11"/>
      <c r="DF51" s="11"/>
      <c r="DG51" s="11"/>
      <c r="DH51" s="11"/>
      <c r="DI51" s="11"/>
      <c r="DJ51" s="11"/>
      <c r="DK51" s="11"/>
      <c r="DL51" s="11"/>
      <c r="DM51" s="118"/>
      <c r="DN51" s="118"/>
      <c r="DO51" s="118"/>
      <c r="DP51" s="52"/>
      <c r="DQ51" s="52"/>
      <c r="DR51" s="77"/>
      <c r="DS51" s="77"/>
      <c r="DT51" s="77"/>
      <c r="DU51" s="11"/>
      <c r="DV51" s="11"/>
      <c r="DW51" s="11"/>
      <c r="DX51" s="11"/>
      <c r="DY51" s="11"/>
      <c r="DZ51" s="11"/>
      <c r="EA51" s="11"/>
      <c r="EB51" s="11"/>
      <c r="EC51" s="11"/>
      <c r="ED51" s="11"/>
      <c r="EE51" s="11"/>
      <c r="EF51" s="11"/>
    </row>
    <row r="52" spans="1:136" ht="12.75" customHeight="1" x14ac:dyDescent="0.25">
      <c r="A52" s="425">
        <v>50</v>
      </c>
      <c r="B52" s="426" t="s">
        <v>804</v>
      </c>
      <c r="C52" s="413" t="s">
        <v>805</v>
      </c>
      <c r="D52" s="426" t="s">
        <v>132</v>
      </c>
      <c r="E52" s="79">
        <v>1</v>
      </c>
      <c r="F52" s="405"/>
      <c r="G52" s="274"/>
      <c r="H52" s="274"/>
      <c r="I52" s="274"/>
      <c r="J52" s="274"/>
      <c r="K52" s="11"/>
      <c r="L52" s="274"/>
      <c r="M52" s="274"/>
      <c r="N52" s="274"/>
      <c r="O52" s="48"/>
      <c r="P52" s="11"/>
      <c r="Q52" s="274"/>
      <c r="R52" s="274"/>
      <c r="S52" s="274"/>
      <c r="T52" s="11"/>
      <c r="U52" s="11"/>
      <c r="V52" s="11"/>
      <c r="W52" s="11"/>
      <c r="X52" s="11"/>
      <c r="Y52" s="11"/>
      <c r="Z52" s="48"/>
      <c r="AA52" s="52"/>
      <c r="AB52" s="52"/>
      <c r="AC52" s="118"/>
      <c r="AD52" s="5"/>
      <c r="AE52" s="52"/>
      <c r="AF52" s="113"/>
      <c r="AG52" s="113"/>
      <c r="AH52" s="113"/>
      <c r="AI52" s="52"/>
      <c r="AJ52" s="11"/>
      <c r="AK52" s="269">
        <v>904800</v>
      </c>
      <c r="AL52" s="269">
        <v>171912</v>
      </c>
      <c r="AM52" s="269">
        <v>1076712</v>
      </c>
      <c r="AN52" s="301" t="s">
        <v>562</v>
      </c>
      <c r="AO52" s="302" t="s">
        <v>806</v>
      </c>
      <c r="AP52" s="11"/>
      <c r="AQ52" s="11"/>
      <c r="AR52" s="11"/>
      <c r="AS52" s="11"/>
      <c r="AT52" s="11"/>
      <c r="AU52" s="118">
        <v>1987857</v>
      </c>
      <c r="AV52" s="118">
        <v>377693</v>
      </c>
      <c r="AW52" s="118">
        <v>2365550</v>
      </c>
      <c r="AX52" s="52" t="s">
        <v>607</v>
      </c>
      <c r="AY52" s="52">
        <v>1004270500</v>
      </c>
      <c r="AZ52" s="11"/>
      <c r="BA52" s="11"/>
      <c r="BB52" s="11"/>
      <c r="BC52" s="11"/>
      <c r="BD52" s="11"/>
      <c r="BE52" s="274"/>
      <c r="BF52" s="274"/>
      <c r="BG52" s="274"/>
      <c r="BH52" s="11"/>
      <c r="BI52" s="11"/>
      <c r="BJ52" s="311"/>
      <c r="BK52" s="311"/>
      <c r="BL52" s="311"/>
      <c r="BM52" s="52"/>
      <c r="BN52" s="52"/>
      <c r="BO52" s="387"/>
      <c r="BP52" s="320"/>
      <c r="BQ52" s="320"/>
      <c r="BR52" s="4"/>
      <c r="BS52" s="4"/>
      <c r="BT52" s="11"/>
      <c r="BU52" s="11"/>
      <c r="BV52" s="11"/>
      <c r="BW52" s="11"/>
      <c r="BX52" s="11"/>
      <c r="BY52" s="232">
        <v>380000</v>
      </c>
      <c r="BZ52" s="232">
        <f t="shared" si="4"/>
        <v>72200</v>
      </c>
      <c r="CA52" s="232">
        <f t="shared" si="5"/>
        <v>452200</v>
      </c>
      <c r="CB52" s="348" t="s">
        <v>767</v>
      </c>
      <c r="CC52" s="348" t="s">
        <v>807</v>
      </c>
      <c r="CD52" s="11"/>
      <c r="CE52" s="11"/>
      <c r="CF52" s="11"/>
      <c r="CG52" s="11"/>
      <c r="CH52" s="11"/>
      <c r="CI52" s="11"/>
      <c r="CJ52" s="11"/>
      <c r="CK52" s="11"/>
      <c r="CL52" s="11"/>
      <c r="CM52" s="11"/>
      <c r="CN52" s="274"/>
      <c r="CO52" s="274"/>
      <c r="CP52" s="274"/>
      <c r="CQ52" s="11"/>
      <c r="CR52" s="11"/>
      <c r="CS52" s="11"/>
      <c r="CT52" s="11"/>
      <c r="CU52" s="11"/>
      <c r="CV52" s="11"/>
      <c r="CW52" s="11"/>
      <c r="CX52" s="11"/>
      <c r="CY52" s="11"/>
      <c r="CZ52" s="11"/>
      <c r="DA52" s="11"/>
      <c r="DB52" s="11"/>
      <c r="DC52" s="11"/>
      <c r="DD52" s="11"/>
      <c r="DE52" s="11"/>
      <c r="DF52" s="11"/>
      <c r="DG52" s="11"/>
      <c r="DH52" s="11"/>
      <c r="DI52" s="11"/>
      <c r="DJ52" s="11"/>
      <c r="DK52" s="11"/>
      <c r="DL52" s="11"/>
      <c r="DM52" s="118"/>
      <c r="DN52" s="118"/>
      <c r="DO52" s="118"/>
      <c r="DP52" s="52"/>
      <c r="DQ52" s="52"/>
      <c r="DR52" s="77"/>
      <c r="DS52" s="77"/>
      <c r="DT52" s="77"/>
      <c r="DU52" s="11"/>
      <c r="DV52" s="11"/>
      <c r="DW52" s="11"/>
      <c r="DX52" s="11"/>
      <c r="DY52" s="11"/>
      <c r="DZ52" s="11"/>
      <c r="EA52" s="11"/>
      <c r="EB52" s="11"/>
      <c r="EC52" s="11"/>
      <c r="ED52" s="11"/>
      <c r="EE52" s="11"/>
      <c r="EF52" s="11"/>
    </row>
    <row r="53" spans="1:136" ht="40.5" x14ac:dyDescent="0.25">
      <c r="A53" s="425">
        <v>51</v>
      </c>
      <c r="B53" s="426" t="s">
        <v>808</v>
      </c>
      <c r="C53" s="413" t="s">
        <v>788</v>
      </c>
      <c r="D53" s="586" t="s">
        <v>776</v>
      </c>
      <c r="E53" s="79">
        <v>1</v>
      </c>
      <c r="F53" s="405">
        <v>584448.27</v>
      </c>
      <c r="G53" s="274">
        <v>483750</v>
      </c>
      <c r="H53" s="274">
        <v>91912.5</v>
      </c>
      <c r="I53" s="274">
        <v>575662.5</v>
      </c>
      <c r="J53" s="274" t="s">
        <v>45</v>
      </c>
      <c r="K53" s="11" t="s">
        <v>809</v>
      </c>
      <c r="L53" s="274"/>
      <c r="M53" s="274"/>
      <c r="N53" s="274"/>
      <c r="O53" s="48"/>
      <c r="P53" s="11"/>
      <c r="Q53" s="274"/>
      <c r="R53" s="274"/>
      <c r="S53" s="274"/>
      <c r="T53" s="11"/>
      <c r="U53" s="11"/>
      <c r="V53" s="11"/>
      <c r="W53" s="11"/>
      <c r="X53" s="11"/>
      <c r="Y53" s="11"/>
      <c r="Z53" s="48"/>
      <c r="AA53" s="52"/>
      <c r="AB53" s="52"/>
      <c r="AC53" s="118"/>
      <c r="AD53" s="5"/>
      <c r="AE53" s="52"/>
      <c r="AF53" s="113">
        <v>335000</v>
      </c>
      <c r="AG53" s="113">
        <f>AF53*0.19</f>
        <v>63650</v>
      </c>
      <c r="AH53" s="113">
        <f>AF53+AG53</f>
        <v>398650</v>
      </c>
      <c r="AI53" s="52" t="s">
        <v>770</v>
      </c>
      <c r="AJ53" s="11" t="s">
        <v>810</v>
      </c>
      <c r="AK53" s="269">
        <v>363244</v>
      </c>
      <c r="AL53" s="269">
        <v>69016.36</v>
      </c>
      <c r="AM53" s="269">
        <v>432260.36</v>
      </c>
      <c r="AN53" s="301" t="s">
        <v>88</v>
      </c>
      <c r="AO53" s="302">
        <v>1002050500</v>
      </c>
      <c r="AP53" s="11"/>
      <c r="AQ53" s="11"/>
      <c r="AR53" s="11"/>
      <c r="AS53" s="11"/>
      <c r="AT53" s="11"/>
      <c r="AU53" s="118">
        <v>498923</v>
      </c>
      <c r="AV53" s="118">
        <v>94795</v>
      </c>
      <c r="AW53" s="118">
        <v>593718</v>
      </c>
      <c r="AX53" s="52" t="s">
        <v>607</v>
      </c>
      <c r="AY53" s="52">
        <v>1002050500</v>
      </c>
      <c r="AZ53" s="11"/>
      <c r="BA53" s="11"/>
      <c r="BB53" s="11"/>
      <c r="BC53" s="11"/>
      <c r="BD53" s="11"/>
      <c r="BE53" s="274"/>
      <c r="BF53" s="274"/>
      <c r="BG53" s="274"/>
      <c r="BH53" s="11"/>
      <c r="BI53" s="11"/>
      <c r="BJ53" s="311"/>
      <c r="BK53" s="311"/>
      <c r="BL53" s="311"/>
      <c r="BM53" s="52"/>
      <c r="BN53" s="52"/>
      <c r="BO53" s="387"/>
      <c r="BP53" s="320"/>
      <c r="BQ53" s="320"/>
      <c r="BR53" s="4"/>
      <c r="BS53" s="4"/>
      <c r="BT53" s="11"/>
      <c r="BU53" s="11"/>
      <c r="BV53" s="11"/>
      <c r="BW53" s="11"/>
      <c r="BX53" s="11"/>
      <c r="BY53" s="232">
        <v>200000</v>
      </c>
      <c r="BZ53" s="232">
        <f t="shared" si="4"/>
        <v>38000</v>
      </c>
      <c r="CA53" s="232">
        <f t="shared" si="5"/>
        <v>238000</v>
      </c>
      <c r="CB53" s="348" t="s">
        <v>767</v>
      </c>
      <c r="CC53" s="348" t="s">
        <v>811</v>
      </c>
      <c r="CD53" s="11"/>
      <c r="CE53" s="11"/>
      <c r="CF53" s="11"/>
      <c r="CG53" s="11"/>
      <c r="CH53" s="11"/>
      <c r="CI53" s="11"/>
      <c r="CJ53" s="11"/>
      <c r="CK53" s="11"/>
      <c r="CL53" s="11"/>
      <c r="CM53" s="11"/>
      <c r="CN53" s="274"/>
      <c r="CO53" s="274"/>
      <c r="CP53" s="274"/>
      <c r="CQ53" s="11"/>
      <c r="CR53" s="11"/>
      <c r="CS53" s="11"/>
      <c r="CT53" s="11"/>
      <c r="CU53" s="11"/>
      <c r="CV53" s="11"/>
      <c r="CW53" s="11"/>
      <c r="CX53" s="11"/>
      <c r="CY53" s="11"/>
      <c r="CZ53" s="11"/>
      <c r="DA53" s="11"/>
      <c r="DB53" s="11"/>
      <c r="DC53" s="11"/>
      <c r="DD53" s="11"/>
      <c r="DE53" s="11"/>
      <c r="DF53" s="11"/>
      <c r="DG53" s="11"/>
      <c r="DH53" s="11"/>
      <c r="DI53" s="11"/>
      <c r="DJ53" s="11"/>
      <c r="DK53" s="11"/>
      <c r="DL53" s="11"/>
      <c r="DM53" s="118"/>
      <c r="DN53" s="118"/>
      <c r="DO53" s="118"/>
      <c r="DP53" s="52"/>
      <c r="DQ53" s="52"/>
      <c r="DR53" s="77"/>
      <c r="DS53" s="77"/>
      <c r="DT53" s="77"/>
      <c r="DU53" s="11"/>
      <c r="DV53" s="11"/>
      <c r="DW53" s="11"/>
      <c r="DX53" s="11"/>
      <c r="DY53" s="11"/>
      <c r="DZ53" s="11"/>
      <c r="EA53" s="11"/>
      <c r="EB53" s="11"/>
      <c r="EC53" s="11"/>
      <c r="ED53" s="11"/>
      <c r="EE53" s="11"/>
      <c r="EF53" s="11"/>
    </row>
    <row r="54" spans="1:136" ht="25.5" customHeight="1" x14ac:dyDescent="0.25">
      <c r="A54" s="425">
        <v>52</v>
      </c>
      <c r="B54" s="413" t="s">
        <v>812</v>
      </c>
      <c r="C54" s="428" t="s">
        <v>813</v>
      </c>
      <c r="D54" s="413" t="s">
        <v>132</v>
      </c>
      <c r="E54" s="79">
        <v>1</v>
      </c>
      <c r="F54" s="405"/>
      <c r="G54" s="274"/>
      <c r="H54" s="274"/>
      <c r="I54" s="274"/>
      <c r="J54" s="274"/>
      <c r="K54" s="11"/>
      <c r="L54" s="274"/>
      <c r="M54" s="274"/>
      <c r="N54" s="274"/>
      <c r="O54" s="48"/>
      <c r="P54" s="11"/>
      <c r="Q54" s="274"/>
      <c r="R54" s="274"/>
      <c r="S54" s="274"/>
      <c r="T54" s="11"/>
      <c r="U54" s="11"/>
      <c r="V54" s="11"/>
      <c r="W54" s="11"/>
      <c r="X54" s="11"/>
      <c r="Y54" s="11"/>
      <c r="Z54" s="48"/>
      <c r="AA54" s="52"/>
      <c r="AB54" s="52"/>
      <c r="AC54" s="118"/>
      <c r="AD54" s="5"/>
      <c r="AE54" s="52"/>
      <c r="AF54" s="113"/>
      <c r="AG54" s="113"/>
      <c r="AH54" s="113"/>
      <c r="AI54" s="52"/>
      <c r="AJ54" s="11"/>
      <c r="AK54" s="269"/>
      <c r="AL54" s="269"/>
      <c r="AM54" s="269"/>
      <c r="AN54" s="301"/>
      <c r="AO54" s="302"/>
      <c r="AP54" s="11"/>
      <c r="AQ54" s="11"/>
      <c r="AR54" s="11"/>
      <c r="AS54" s="11"/>
      <c r="AT54" s="11"/>
      <c r="AU54" s="118">
        <v>1456923</v>
      </c>
      <c r="AV54" s="118">
        <v>276815</v>
      </c>
      <c r="AW54" s="118">
        <v>1733738</v>
      </c>
      <c r="AX54" s="52" t="s">
        <v>607</v>
      </c>
      <c r="AY54" s="52">
        <v>1002130500</v>
      </c>
      <c r="AZ54" s="11"/>
      <c r="BA54" s="11"/>
      <c r="BB54" s="11"/>
      <c r="BC54" s="11"/>
      <c r="BD54" s="11"/>
      <c r="BE54" s="274"/>
      <c r="BF54" s="274"/>
      <c r="BG54" s="274"/>
      <c r="BH54" s="11"/>
      <c r="BI54" s="11"/>
      <c r="BJ54" s="311"/>
      <c r="BK54" s="311"/>
      <c r="BL54" s="311"/>
      <c r="BM54" s="52"/>
      <c r="BN54" s="52"/>
      <c r="BO54" s="387"/>
      <c r="BP54" s="320"/>
      <c r="BQ54" s="320"/>
      <c r="BR54" s="4"/>
      <c r="BS54" s="4"/>
      <c r="BT54" s="11"/>
      <c r="BU54" s="11"/>
      <c r="BV54" s="11"/>
      <c r="BW54" s="11"/>
      <c r="BX54" s="11"/>
      <c r="BY54" s="232">
        <v>585500</v>
      </c>
      <c r="BZ54" s="232">
        <f t="shared" si="4"/>
        <v>111245</v>
      </c>
      <c r="CA54" s="232">
        <f t="shared" si="5"/>
        <v>696745</v>
      </c>
      <c r="CB54" s="348" t="s">
        <v>767</v>
      </c>
      <c r="CC54" s="348" t="s">
        <v>814</v>
      </c>
      <c r="CD54" s="11"/>
      <c r="CE54" s="11"/>
      <c r="CF54" s="11"/>
      <c r="CG54" s="11"/>
      <c r="CH54" s="11"/>
      <c r="CI54" s="11"/>
      <c r="CJ54" s="11"/>
      <c r="CK54" s="11"/>
      <c r="CL54" s="11"/>
      <c r="CM54" s="11"/>
      <c r="CN54" s="274"/>
      <c r="CO54" s="274"/>
      <c r="CP54" s="274"/>
      <c r="CQ54" s="11"/>
      <c r="CR54" s="11"/>
      <c r="CS54" s="11"/>
      <c r="CT54" s="11"/>
      <c r="CU54" s="11"/>
      <c r="CV54" s="11"/>
      <c r="CW54" s="11"/>
      <c r="CX54" s="11"/>
      <c r="CY54" s="11"/>
      <c r="CZ54" s="11"/>
      <c r="DA54" s="11"/>
      <c r="DB54" s="11"/>
      <c r="DC54" s="11"/>
      <c r="DD54" s="11"/>
      <c r="DE54" s="11"/>
      <c r="DF54" s="11"/>
      <c r="DG54" s="11"/>
      <c r="DH54" s="11"/>
      <c r="DI54" s="11"/>
      <c r="DJ54" s="11"/>
      <c r="DK54" s="11"/>
      <c r="DL54" s="11"/>
      <c r="DM54" s="118"/>
      <c r="DN54" s="118"/>
      <c r="DO54" s="118"/>
      <c r="DP54" s="52"/>
      <c r="DQ54" s="52"/>
      <c r="DR54" s="77"/>
      <c r="DS54" s="77"/>
      <c r="DT54" s="77"/>
      <c r="DU54" s="11"/>
      <c r="DV54" s="11"/>
      <c r="DW54" s="11"/>
      <c r="DX54" s="11"/>
      <c r="DY54" s="11"/>
      <c r="DZ54" s="11"/>
      <c r="EA54" s="11"/>
      <c r="EB54" s="11"/>
      <c r="EC54" s="11"/>
      <c r="ED54" s="11"/>
      <c r="EE54" s="11"/>
      <c r="EF54" s="11"/>
    </row>
    <row r="55" spans="1:136" ht="27" x14ac:dyDescent="0.25">
      <c r="A55" s="425">
        <v>53</v>
      </c>
      <c r="B55" s="426" t="s">
        <v>815</v>
      </c>
      <c r="C55" s="413" t="s">
        <v>816</v>
      </c>
      <c r="D55" s="426" t="s">
        <v>132</v>
      </c>
      <c r="E55" s="79">
        <v>1</v>
      </c>
      <c r="F55" s="405"/>
      <c r="G55" s="274">
        <v>287500</v>
      </c>
      <c r="H55" s="274">
        <v>54625</v>
      </c>
      <c r="I55" s="274">
        <v>342125</v>
      </c>
      <c r="J55" s="274" t="s">
        <v>45</v>
      </c>
      <c r="K55" s="11" t="s">
        <v>817</v>
      </c>
      <c r="L55" s="274"/>
      <c r="M55" s="274"/>
      <c r="N55" s="274"/>
      <c r="O55" s="48"/>
      <c r="P55" s="11"/>
      <c r="Q55" s="274"/>
      <c r="R55" s="274"/>
      <c r="S55" s="274"/>
      <c r="T55" s="11"/>
      <c r="U55" s="11"/>
      <c r="V55" s="11"/>
      <c r="W55" s="11"/>
      <c r="X55" s="11"/>
      <c r="Y55" s="11"/>
      <c r="Z55" s="48"/>
      <c r="AA55" s="52"/>
      <c r="AB55" s="52"/>
      <c r="AC55" s="118"/>
      <c r="AD55" s="5"/>
      <c r="AE55" s="52"/>
      <c r="AF55" s="113">
        <v>252000</v>
      </c>
      <c r="AG55" s="113">
        <f>AF55*0.19</f>
        <v>47880</v>
      </c>
      <c r="AH55" s="113">
        <f>AF55+AG55</f>
        <v>299880</v>
      </c>
      <c r="AI55" s="52" t="s">
        <v>770</v>
      </c>
      <c r="AJ55" s="11" t="s">
        <v>818</v>
      </c>
      <c r="AK55" s="269">
        <v>430463</v>
      </c>
      <c r="AL55" s="269">
        <v>81787.97</v>
      </c>
      <c r="AM55" s="269">
        <v>512250.97</v>
      </c>
      <c r="AN55" s="301" t="s">
        <v>88</v>
      </c>
      <c r="AO55" s="302">
        <v>1054040500</v>
      </c>
      <c r="AP55" s="11"/>
      <c r="AQ55" s="11"/>
      <c r="AR55" s="11"/>
      <c r="AS55" s="11"/>
      <c r="AT55" s="11"/>
      <c r="AU55" s="118">
        <v>590923</v>
      </c>
      <c r="AV55" s="118">
        <v>112275</v>
      </c>
      <c r="AW55" s="118">
        <v>703198</v>
      </c>
      <c r="AX55" s="52" t="s">
        <v>607</v>
      </c>
      <c r="AY55" s="52">
        <v>1054040500</v>
      </c>
      <c r="AZ55" s="11"/>
      <c r="BA55" s="11"/>
      <c r="BB55" s="11"/>
      <c r="BC55" s="11"/>
      <c r="BD55" s="11"/>
      <c r="BE55" s="274"/>
      <c r="BF55" s="274"/>
      <c r="BG55" s="274"/>
      <c r="BH55" s="11"/>
      <c r="BI55" s="11"/>
      <c r="BJ55" s="311"/>
      <c r="BK55" s="311"/>
      <c r="BL55" s="311"/>
      <c r="BM55" s="52"/>
      <c r="BN55" s="52"/>
      <c r="BO55" s="387"/>
      <c r="BP55" s="320"/>
      <c r="BQ55" s="320"/>
      <c r="BR55" s="4"/>
      <c r="BS55" s="4"/>
      <c r="BT55" s="11"/>
      <c r="BU55" s="11"/>
      <c r="BV55" s="11"/>
      <c r="BW55" s="11"/>
      <c r="BX55" s="11"/>
      <c r="BY55" s="232">
        <v>140000</v>
      </c>
      <c r="BZ55" s="232">
        <f t="shared" si="4"/>
        <v>26600</v>
      </c>
      <c r="CA55" s="232">
        <f t="shared" si="5"/>
        <v>166600</v>
      </c>
      <c r="CB55" s="348" t="s">
        <v>767</v>
      </c>
      <c r="CC55" s="348" t="s">
        <v>819</v>
      </c>
      <c r="CD55" s="11"/>
      <c r="CE55" s="11"/>
      <c r="CF55" s="11"/>
      <c r="CG55" s="11"/>
      <c r="CH55" s="11"/>
      <c r="CI55" s="11"/>
      <c r="CJ55" s="11"/>
      <c r="CK55" s="11"/>
      <c r="CL55" s="11"/>
      <c r="CM55" s="11"/>
      <c r="CN55" s="274"/>
      <c r="CO55" s="274"/>
      <c r="CP55" s="274"/>
      <c r="CQ55" s="11"/>
      <c r="CR55" s="11"/>
      <c r="CS55" s="11"/>
      <c r="CT55" s="11"/>
      <c r="CU55" s="11"/>
      <c r="CV55" s="11"/>
      <c r="CW55" s="11"/>
      <c r="CX55" s="11"/>
      <c r="CY55" s="11"/>
      <c r="CZ55" s="11"/>
      <c r="DA55" s="11"/>
      <c r="DB55" s="11"/>
      <c r="DC55" s="11"/>
      <c r="DD55" s="11"/>
      <c r="DE55" s="11"/>
      <c r="DF55" s="11"/>
      <c r="DG55" s="11"/>
      <c r="DH55" s="11"/>
      <c r="DI55" s="11"/>
      <c r="DJ55" s="11"/>
      <c r="DK55" s="11"/>
      <c r="DL55" s="11"/>
      <c r="DM55" s="118"/>
      <c r="DN55" s="118"/>
      <c r="DO55" s="118"/>
      <c r="DP55" s="52"/>
      <c r="DQ55" s="52"/>
      <c r="DR55" s="77"/>
      <c r="DS55" s="77"/>
      <c r="DT55" s="77"/>
      <c r="DU55" s="11"/>
      <c r="DV55" s="11"/>
      <c r="DW55" s="11"/>
      <c r="DX55" s="11"/>
      <c r="DY55" s="11"/>
      <c r="DZ55" s="11"/>
      <c r="EA55" s="11"/>
      <c r="EB55" s="11"/>
      <c r="EC55" s="11"/>
      <c r="ED55" s="11"/>
      <c r="EE55" s="11"/>
      <c r="EF55" s="11"/>
    </row>
    <row r="56" spans="1:136" ht="27" x14ac:dyDescent="0.25">
      <c r="A56" s="425">
        <v>54</v>
      </c>
      <c r="B56" s="426" t="s">
        <v>820</v>
      </c>
      <c r="C56" s="413" t="s">
        <v>821</v>
      </c>
      <c r="D56" s="426" t="s">
        <v>132</v>
      </c>
      <c r="E56" s="79">
        <v>1</v>
      </c>
      <c r="F56" s="405"/>
      <c r="G56" s="274">
        <v>561250</v>
      </c>
      <c r="H56" s="274">
        <v>106637.5</v>
      </c>
      <c r="I56" s="274">
        <v>667887.5</v>
      </c>
      <c r="J56" s="274" t="s">
        <v>45</v>
      </c>
      <c r="K56" s="11" t="s">
        <v>822</v>
      </c>
      <c r="L56" s="274"/>
      <c r="M56" s="274"/>
      <c r="N56" s="274"/>
      <c r="O56" s="48"/>
      <c r="P56" s="11"/>
      <c r="Q56" s="274"/>
      <c r="R56" s="274"/>
      <c r="S56" s="274"/>
      <c r="T56" s="11"/>
      <c r="U56" s="11"/>
      <c r="V56" s="11"/>
      <c r="W56" s="11"/>
      <c r="X56" s="11"/>
      <c r="Y56" s="11"/>
      <c r="Z56" s="48"/>
      <c r="AA56" s="52"/>
      <c r="AB56" s="52"/>
      <c r="AC56" s="118"/>
      <c r="AD56" s="5"/>
      <c r="AE56" s="52"/>
      <c r="AF56" s="113">
        <v>428000</v>
      </c>
      <c r="AG56" s="113">
        <f>AF56*0.19</f>
        <v>81320</v>
      </c>
      <c r="AH56" s="113">
        <f>AF56+AG56</f>
        <v>509320</v>
      </c>
      <c r="AI56" s="52" t="s">
        <v>770</v>
      </c>
      <c r="AJ56" s="11" t="s">
        <v>823</v>
      </c>
      <c r="AK56" s="269">
        <v>418829</v>
      </c>
      <c r="AL56" s="269">
        <v>79577.509999999995</v>
      </c>
      <c r="AM56" s="269">
        <v>498406.51</v>
      </c>
      <c r="AN56" s="301" t="s">
        <v>88</v>
      </c>
      <c r="AO56" s="302">
        <v>1038720500</v>
      </c>
      <c r="AP56" s="11"/>
      <c r="AQ56" s="11"/>
      <c r="AR56" s="11"/>
      <c r="AS56" s="11"/>
      <c r="AT56" s="11"/>
      <c r="AU56" s="118">
        <v>575000</v>
      </c>
      <c r="AV56" s="118">
        <v>109250</v>
      </c>
      <c r="AW56" s="118">
        <v>684250</v>
      </c>
      <c r="AX56" s="52" t="s">
        <v>607</v>
      </c>
      <c r="AY56" s="52">
        <v>1038720500</v>
      </c>
      <c r="AZ56" s="11"/>
      <c r="BA56" s="11"/>
      <c r="BB56" s="11"/>
      <c r="BC56" s="11"/>
      <c r="BD56" s="11"/>
      <c r="BE56" s="274"/>
      <c r="BF56" s="274"/>
      <c r="BG56" s="274"/>
      <c r="BH56" s="11"/>
      <c r="BI56" s="11"/>
      <c r="BJ56" s="311"/>
      <c r="BK56" s="311"/>
      <c r="BL56" s="311"/>
      <c r="BM56" s="52"/>
      <c r="BN56" s="52"/>
      <c r="BO56" s="387"/>
      <c r="BP56" s="320"/>
      <c r="BQ56" s="320"/>
      <c r="BR56" s="4"/>
      <c r="BS56" s="4"/>
      <c r="BT56" s="11"/>
      <c r="BU56" s="11"/>
      <c r="BV56" s="11"/>
      <c r="BW56" s="11"/>
      <c r="BX56" s="11"/>
      <c r="BY56" s="232">
        <v>287000</v>
      </c>
      <c r="BZ56" s="232">
        <f t="shared" si="4"/>
        <v>54530</v>
      </c>
      <c r="CA56" s="232">
        <f t="shared" si="5"/>
        <v>341530</v>
      </c>
      <c r="CB56" s="348" t="s">
        <v>767</v>
      </c>
      <c r="CC56" s="348" t="s">
        <v>824</v>
      </c>
      <c r="CD56" s="11"/>
      <c r="CE56" s="11"/>
      <c r="CF56" s="11"/>
      <c r="CG56" s="11"/>
      <c r="CH56" s="11"/>
      <c r="CI56" s="11"/>
      <c r="CJ56" s="11"/>
      <c r="CK56" s="11"/>
      <c r="CL56" s="11"/>
      <c r="CM56" s="11"/>
      <c r="CN56" s="274"/>
      <c r="CO56" s="274"/>
      <c r="CP56" s="274"/>
      <c r="CQ56" s="11"/>
      <c r="CR56" s="11"/>
      <c r="CS56" s="11"/>
      <c r="CT56" s="11"/>
      <c r="CU56" s="11"/>
      <c r="CV56" s="11"/>
      <c r="CW56" s="11"/>
      <c r="CX56" s="11"/>
      <c r="CY56" s="11"/>
      <c r="CZ56" s="11"/>
      <c r="DA56" s="11"/>
      <c r="DB56" s="11"/>
      <c r="DC56" s="11"/>
      <c r="DD56" s="11"/>
      <c r="DE56" s="11"/>
      <c r="DF56" s="11"/>
      <c r="DG56" s="11"/>
      <c r="DH56" s="11"/>
      <c r="DI56" s="11"/>
      <c r="DJ56" s="11"/>
      <c r="DK56" s="11"/>
      <c r="DL56" s="11"/>
      <c r="DM56" s="118"/>
      <c r="DN56" s="118"/>
      <c r="DO56" s="118"/>
      <c r="DP56" s="52"/>
      <c r="DQ56" s="52"/>
      <c r="DR56" s="77"/>
      <c r="DS56" s="77"/>
      <c r="DT56" s="77"/>
      <c r="DU56" s="11"/>
      <c r="DV56" s="11"/>
      <c r="DW56" s="11"/>
      <c r="DX56" s="11"/>
      <c r="DY56" s="11"/>
      <c r="DZ56" s="11"/>
      <c r="EA56" s="11"/>
      <c r="EB56" s="11"/>
      <c r="EC56" s="11"/>
      <c r="ED56" s="11"/>
      <c r="EE56" s="11"/>
      <c r="EF56" s="11"/>
    </row>
    <row r="57" spans="1:136" ht="12.75" customHeight="1" x14ac:dyDescent="0.25">
      <c r="A57" s="425">
        <v>55</v>
      </c>
      <c r="B57" s="428" t="s">
        <v>825</v>
      </c>
      <c r="C57" s="413" t="s">
        <v>753</v>
      </c>
      <c r="D57" s="428" t="s">
        <v>783</v>
      </c>
      <c r="E57" s="79">
        <v>1</v>
      </c>
      <c r="F57" s="405"/>
      <c r="G57" s="274"/>
      <c r="H57" s="274"/>
      <c r="I57" s="274"/>
      <c r="J57" s="274"/>
      <c r="K57" s="11"/>
      <c r="L57" s="274"/>
      <c r="M57" s="274"/>
      <c r="N57" s="274"/>
      <c r="O57" s="48"/>
      <c r="P57" s="11"/>
      <c r="Q57" s="274"/>
      <c r="R57" s="274"/>
      <c r="S57" s="274"/>
      <c r="T57" s="11"/>
      <c r="U57" s="11"/>
      <c r="V57" s="11"/>
      <c r="W57" s="11"/>
      <c r="X57" s="11"/>
      <c r="Y57" s="11"/>
      <c r="Z57" s="48"/>
      <c r="AA57" s="52"/>
      <c r="AB57" s="52"/>
      <c r="AC57" s="118"/>
      <c r="AD57" s="5"/>
      <c r="AE57" s="52"/>
      <c r="AF57" s="113"/>
      <c r="AG57" s="113"/>
      <c r="AH57" s="113"/>
      <c r="AI57" s="52"/>
      <c r="AJ57" s="11"/>
      <c r="AK57" s="269">
        <v>1326000</v>
      </c>
      <c r="AL57" s="269">
        <v>251940</v>
      </c>
      <c r="AM57" s="269">
        <v>1577940</v>
      </c>
      <c r="AN57" s="301" t="s">
        <v>37</v>
      </c>
      <c r="AO57" s="302" t="s">
        <v>826</v>
      </c>
      <c r="AP57" s="11"/>
      <c r="AQ57" s="11"/>
      <c r="AR57" s="11"/>
      <c r="AS57" s="11"/>
      <c r="AT57" s="11"/>
      <c r="AU57" s="118"/>
      <c r="AV57" s="118"/>
      <c r="AW57" s="118"/>
      <c r="AX57" s="52"/>
      <c r="AY57" s="52"/>
      <c r="AZ57" s="11"/>
      <c r="BA57" s="11"/>
      <c r="BB57" s="11"/>
      <c r="BC57" s="11"/>
      <c r="BD57" s="11"/>
      <c r="BE57" s="274"/>
      <c r="BF57" s="274"/>
      <c r="BG57" s="274"/>
      <c r="BH57" s="11"/>
      <c r="BI57" s="11"/>
      <c r="BJ57" s="311"/>
      <c r="BK57" s="311"/>
      <c r="BL57" s="311"/>
      <c r="BM57" s="52"/>
      <c r="BN57" s="52"/>
      <c r="BO57" s="387"/>
      <c r="BP57" s="320"/>
      <c r="BQ57" s="320"/>
      <c r="BR57" s="4"/>
      <c r="BS57" s="4"/>
      <c r="BT57" s="11"/>
      <c r="BU57" s="11"/>
      <c r="BV57" s="11"/>
      <c r="BW57" s="11"/>
      <c r="BX57" s="11"/>
      <c r="BY57" s="232"/>
      <c r="BZ57" s="232"/>
      <c r="CA57" s="232"/>
      <c r="CB57" s="348"/>
      <c r="CC57" s="348"/>
      <c r="CD57" s="11"/>
      <c r="CE57" s="11"/>
      <c r="CF57" s="11"/>
      <c r="CG57" s="11"/>
      <c r="CH57" s="11"/>
      <c r="CI57" s="11"/>
      <c r="CJ57" s="11"/>
      <c r="CK57" s="11"/>
      <c r="CL57" s="11"/>
      <c r="CM57" s="11"/>
      <c r="CN57" s="274"/>
      <c r="CO57" s="274"/>
      <c r="CP57" s="274"/>
      <c r="CQ57" s="11"/>
      <c r="CR57" s="11"/>
      <c r="CS57" s="11"/>
      <c r="CT57" s="11"/>
      <c r="CU57" s="11"/>
      <c r="CV57" s="11"/>
      <c r="CW57" s="11"/>
      <c r="CX57" s="11"/>
      <c r="CY57" s="11"/>
      <c r="CZ57" s="11"/>
      <c r="DA57" s="11"/>
      <c r="DB57" s="11"/>
      <c r="DC57" s="11"/>
      <c r="DD57" s="11"/>
      <c r="DE57" s="11"/>
      <c r="DF57" s="11"/>
      <c r="DG57" s="11"/>
      <c r="DH57" s="11"/>
      <c r="DI57" s="11"/>
      <c r="DJ57" s="11"/>
      <c r="DK57" s="11"/>
      <c r="DL57" s="11"/>
      <c r="DM57" s="118"/>
      <c r="DN57" s="118"/>
      <c r="DO57" s="118"/>
      <c r="DP57" s="52"/>
      <c r="DQ57" s="52"/>
      <c r="DR57" s="77"/>
      <c r="DS57" s="77"/>
      <c r="DT57" s="77"/>
      <c r="DU57" s="11"/>
      <c r="DV57" s="11"/>
      <c r="DW57" s="11"/>
      <c r="DX57" s="11"/>
      <c r="DY57" s="11"/>
      <c r="DZ57" s="11"/>
      <c r="EA57" s="11"/>
      <c r="EB57" s="11"/>
      <c r="EC57" s="11"/>
      <c r="ED57" s="11"/>
      <c r="EE57" s="11"/>
      <c r="EF57" s="11"/>
    </row>
    <row r="58" spans="1:136" ht="13.5" x14ac:dyDescent="0.25">
      <c r="A58" s="425">
        <v>56</v>
      </c>
      <c r="B58" s="428" t="s">
        <v>827</v>
      </c>
      <c r="C58" s="428" t="s">
        <v>828</v>
      </c>
      <c r="D58" s="428" t="s">
        <v>829</v>
      </c>
      <c r="E58" s="79">
        <v>1</v>
      </c>
      <c r="F58" s="405"/>
      <c r="G58" s="274"/>
      <c r="H58" s="274"/>
      <c r="I58" s="274"/>
      <c r="J58" s="274"/>
      <c r="K58" s="11"/>
      <c r="L58" s="274"/>
      <c r="M58" s="274"/>
      <c r="N58" s="274"/>
      <c r="O58" s="48"/>
      <c r="P58" s="11"/>
      <c r="Q58" s="274"/>
      <c r="R58" s="274"/>
      <c r="S58" s="274"/>
      <c r="T58" s="11"/>
      <c r="U58" s="11"/>
      <c r="V58" s="11"/>
      <c r="W58" s="11"/>
      <c r="X58" s="11"/>
      <c r="Y58" s="11"/>
      <c r="Z58" s="48"/>
      <c r="AA58" s="52"/>
      <c r="AB58" s="52"/>
      <c r="AC58" s="118"/>
      <c r="AD58" s="5"/>
      <c r="AE58" s="52"/>
      <c r="AF58" s="113">
        <v>427000</v>
      </c>
      <c r="AG58" s="113">
        <f>AF58*0.19</f>
        <v>81130</v>
      </c>
      <c r="AH58" s="113">
        <f>AF58+AG58</f>
        <v>508130</v>
      </c>
      <c r="AI58" s="52" t="s">
        <v>770</v>
      </c>
      <c r="AJ58" s="11" t="s">
        <v>830</v>
      </c>
      <c r="AK58" s="269">
        <v>1416134</v>
      </c>
      <c r="AL58" s="269">
        <v>269065.46000000002</v>
      </c>
      <c r="AM58" s="269">
        <v>1685199.46</v>
      </c>
      <c r="AN58" s="301" t="s">
        <v>88</v>
      </c>
      <c r="AO58" s="302">
        <v>1004660500</v>
      </c>
      <c r="AP58" s="11"/>
      <c r="AQ58" s="11"/>
      <c r="AR58" s="11"/>
      <c r="AS58" s="11"/>
      <c r="AT58" s="11"/>
      <c r="AU58" s="118">
        <v>1807142</v>
      </c>
      <c r="AV58" s="118">
        <v>343357</v>
      </c>
      <c r="AW58" s="118">
        <v>2150499</v>
      </c>
      <c r="AX58" s="52" t="s">
        <v>607</v>
      </c>
      <c r="AY58" s="52">
        <v>1004660500</v>
      </c>
      <c r="AZ58" s="11"/>
      <c r="BA58" s="11"/>
      <c r="BB58" s="11"/>
      <c r="BC58" s="11"/>
      <c r="BD58" s="11"/>
      <c r="BE58" s="274"/>
      <c r="BF58" s="274"/>
      <c r="BG58" s="274"/>
      <c r="BH58" s="11"/>
      <c r="BI58" s="11"/>
      <c r="BJ58" s="311"/>
      <c r="BK58" s="311"/>
      <c r="BL58" s="311"/>
      <c r="BM58" s="52"/>
      <c r="BN58" s="52"/>
      <c r="BO58" s="387"/>
      <c r="BP58" s="320"/>
      <c r="BQ58" s="320"/>
      <c r="BR58" s="4"/>
      <c r="BS58" s="4"/>
      <c r="BT58" s="11"/>
      <c r="BU58" s="11"/>
      <c r="BV58" s="11"/>
      <c r="BW58" s="11"/>
      <c r="BX58" s="11"/>
      <c r="BY58" s="232">
        <v>232000</v>
      </c>
      <c r="BZ58" s="232">
        <f t="shared" ref="BZ58:BZ66" si="6">BY58*0.19</f>
        <v>44080</v>
      </c>
      <c r="CA58" s="232">
        <f t="shared" ref="CA58:CA66" si="7">BY58+BZ58</f>
        <v>276080</v>
      </c>
      <c r="CB58" s="348" t="s">
        <v>767</v>
      </c>
      <c r="CC58" s="348" t="s">
        <v>831</v>
      </c>
      <c r="CD58" s="11"/>
      <c r="CE58" s="11"/>
      <c r="CF58" s="11"/>
      <c r="CG58" s="11"/>
      <c r="CH58" s="11"/>
      <c r="CI58" s="11"/>
      <c r="CJ58" s="11"/>
      <c r="CK58" s="11"/>
      <c r="CL58" s="11"/>
      <c r="CM58" s="11"/>
      <c r="CN58" s="274"/>
      <c r="CO58" s="274"/>
      <c r="CP58" s="274"/>
      <c r="CQ58" s="11"/>
      <c r="CR58" s="11"/>
      <c r="CS58" s="11"/>
      <c r="CT58" s="11"/>
      <c r="CU58" s="11"/>
      <c r="CV58" s="11"/>
      <c r="CW58" s="11"/>
      <c r="CX58" s="11"/>
      <c r="CY58" s="11"/>
      <c r="CZ58" s="11"/>
      <c r="DA58" s="11"/>
      <c r="DB58" s="11"/>
      <c r="DC58" s="11"/>
      <c r="DD58" s="11"/>
      <c r="DE58" s="11"/>
      <c r="DF58" s="11"/>
      <c r="DG58" s="11"/>
      <c r="DH58" s="11"/>
      <c r="DI58" s="11"/>
      <c r="DJ58" s="11"/>
      <c r="DK58" s="11"/>
      <c r="DL58" s="11"/>
      <c r="DM58" s="118"/>
      <c r="DN58" s="118"/>
      <c r="DO58" s="118"/>
      <c r="DP58" s="52"/>
      <c r="DQ58" s="52"/>
      <c r="DR58" s="77"/>
      <c r="DS58" s="77"/>
      <c r="DT58" s="77"/>
      <c r="DU58" s="11"/>
      <c r="DV58" s="11"/>
      <c r="DW58" s="11"/>
      <c r="DX58" s="11"/>
      <c r="DY58" s="11"/>
      <c r="DZ58" s="11"/>
      <c r="EA58" s="11"/>
      <c r="EB58" s="11"/>
      <c r="EC58" s="11"/>
      <c r="ED58" s="11"/>
      <c r="EE58" s="11"/>
      <c r="EF58" s="11"/>
    </row>
    <row r="59" spans="1:136" ht="12.75" customHeight="1" x14ac:dyDescent="0.25">
      <c r="A59" s="425">
        <v>57</v>
      </c>
      <c r="B59" s="427" t="s">
        <v>832</v>
      </c>
      <c r="C59" s="427" t="s">
        <v>833</v>
      </c>
      <c r="D59" s="427" t="s">
        <v>60</v>
      </c>
      <c r="E59" s="79">
        <v>1</v>
      </c>
      <c r="F59" s="405">
        <v>369522.13199999998</v>
      </c>
      <c r="G59" s="274">
        <v>428750</v>
      </c>
      <c r="H59" s="274">
        <v>81462.5</v>
      </c>
      <c r="I59" s="274">
        <v>510212.5</v>
      </c>
      <c r="J59" s="274" t="s">
        <v>45</v>
      </c>
      <c r="K59" s="11" t="s">
        <v>834</v>
      </c>
      <c r="L59" s="274"/>
      <c r="M59" s="274"/>
      <c r="N59" s="274"/>
      <c r="O59" s="48"/>
      <c r="P59" s="11"/>
      <c r="Q59" s="274"/>
      <c r="R59" s="274"/>
      <c r="S59" s="274"/>
      <c r="T59" s="11"/>
      <c r="U59" s="11"/>
      <c r="V59" s="11"/>
      <c r="W59" s="11"/>
      <c r="X59" s="11"/>
      <c r="Y59" s="11"/>
      <c r="Z59" s="48"/>
      <c r="AA59" s="52"/>
      <c r="AB59" s="52"/>
      <c r="AC59" s="118"/>
      <c r="AD59" s="5"/>
      <c r="AE59" s="52"/>
      <c r="AF59" s="113">
        <v>188000</v>
      </c>
      <c r="AG59" s="113">
        <f>AF59*0.19</f>
        <v>35720</v>
      </c>
      <c r="AH59" s="113">
        <f>AF59+AG59</f>
        <v>223720</v>
      </c>
      <c r="AI59" s="52" t="s">
        <v>770</v>
      </c>
      <c r="AJ59" s="11" t="s">
        <v>835</v>
      </c>
      <c r="AK59" s="269">
        <v>304000</v>
      </c>
      <c r="AL59" s="269">
        <v>57760</v>
      </c>
      <c r="AM59" s="269">
        <v>361760</v>
      </c>
      <c r="AN59" s="301" t="s">
        <v>562</v>
      </c>
      <c r="AO59" s="302" t="s">
        <v>836</v>
      </c>
      <c r="AP59" s="11"/>
      <c r="AQ59" s="11"/>
      <c r="AR59" s="11"/>
      <c r="AS59" s="11"/>
      <c r="AT59" s="11"/>
      <c r="AU59" s="118">
        <v>276476</v>
      </c>
      <c r="AV59" s="118">
        <v>52530</v>
      </c>
      <c r="AW59" s="118">
        <v>329006</v>
      </c>
      <c r="AX59" s="52" t="s">
        <v>607</v>
      </c>
      <c r="AY59" s="52">
        <v>1054380500</v>
      </c>
      <c r="AZ59" s="11"/>
      <c r="BA59" s="11"/>
      <c r="BB59" s="11"/>
      <c r="BC59" s="11"/>
      <c r="BD59" s="11"/>
      <c r="BE59" s="274"/>
      <c r="BF59" s="274"/>
      <c r="BG59" s="274"/>
      <c r="BH59" s="11"/>
      <c r="BI59" s="11"/>
      <c r="BJ59" s="311"/>
      <c r="BK59" s="311"/>
      <c r="BL59" s="311"/>
      <c r="BM59" s="52"/>
      <c r="BN59" s="52"/>
      <c r="BO59" s="387"/>
      <c r="BP59" s="320"/>
      <c r="BQ59" s="320"/>
      <c r="BR59" s="4"/>
      <c r="BS59" s="4"/>
      <c r="BT59" s="11"/>
      <c r="BU59" s="11"/>
      <c r="BV59" s="11"/>
      <c r="BW59" s="11"/>
      <c r="BX59" s="11"/>
      <c r="BY59" s="232">
        <v>148000</v>
      </c>
      <c r="BZ59" s="232">
        <f t="shared" si="6"/>
        <v>28120</v>
      </c>
      <c r="CA59" s="232">
        <f t="shared" si="7"/>
        <v>176120</v>
      </c>
      <c r="CB59" s="348" t="s">
        <v>767</v>
      </c>
      <c r="CC59" s="348" t="s">
        <v>837</v>
      </c>
      <c r="CD59" s="11"/>
      <c r="CE59" s="11"/>
      <c r="CF59" s="11"/>
      <c r="CG59" s="11"/>
      <c r="CH59" s="11"/>
      <c r="CI59" s="11"/>
      <c r="CJ59" s="11"/>
      <c r="CK59" s="11"/>
      <c r="CL59" s="11"/>
      <c r="CM59" s="11"/>
      <c r="CN59" s="274"/>
      <c r="CO59" s="274"/>
      <c r="CP59" s="274"/>
      <c r="CQ59" s="11"/>
      <c r="CR59" s="11"/>
      <c r="CS59" s="11"/>
      <c r="CT59" s="11"/>
      <c r="CU59" s="11"/>
      <c r="CV59" s="11"/>
      <c r="CW59" s="11"/>
      <c r="CX59" s="11"/>
      <c r="CY59" s="11"/>
      <c r="CZ59" s="11"/>
      <c r="DA59" s="11"/>
      <c r="DB59" s="11"/>
      <c r="DC59" s="11"/>
      <c r="DD59" s="11"/>
      <c r="DE59" s="11"/>
      <c r="DF59" s="11"/>
      <c r="DG59" s="11"/>
      <c r="DH59" s="11"/>
      <c r="DI59" s="11"/>
      <c r="DJ59" s="11"/>
      <c r="DK59" s="11"/>
      <c r="DL59" s="11"/>
      <c r="DM59" s="118"/>
      <c r="DN59" s="118"/>
      <c r="DO59" s="118"/>
      <c r="DP59" s="52"/>
      <c r="DQ59" s="52"/>
      <c r="DR59" s="77"/>
      <c r="DS59" s="77"/>
      <c r="DT59" s="77"/>
      <c r="DU59" s="11"/>
      <c r="DV59" s="11"/>
      <c r="DW59" s="11"/>
      <c r="DX59" s="11"/>
      <c r="DY59" s="11"/>
      <c r="DZ59" s="11"/>
      <c r="EA59" s="11"/>
      <c r="EB59" s="11"/>
      <c r="EC59" s="11"/>
      <c r="ED59" s="11"/>
      <c r="EE59" s="11"/>
      <c r="EF59" s="11"/>
    </row>
    <row r="60" spans="1:136" ht="13.5" x14ac:dyDescent="0.25">
      <c r="A60" s="425">
        <v>58</v>
      </c>
      <c r="B60" s="428" t="s">
        <v>838</v>
      </c>
      <c r="C60" s="428" t="s">
        <v>839</v>
      </c>
      <c r="D60" s="428" t="s">
        <v>829</v>
      </c>
      <c r="E60" s="79">
        <v>1</v>
      </c>
      <c r="F60" s="405"/>
      <c r="G60" s="274"/>
      <c r="H60" s="274"/>
      <c r="I60" s="274"/>
      <c r="J60" s="274"/>
      <c r="K60" s="11"/>
      <c r="L60" s="274"/>
      <c r="M60" s="274"/>
      <c r="N60" s="274"/>
      <c r="O60" s="48"/>
      <c r="P60" s="11"/>
      <c r="Q60" s="274"/>
      <c r="R60" s="274"/>
      <c r="S60" s="274"/>
      <c r="T60" s="11"/>
      <c r="U60" s="11"/>
      <c r="V60" s="11"/>
      <c r="W60" s="11"/>
      <c r="X60" s="11"/>
      <c r="Y60" s="11"/>
      <c r="Z60" s="48"/>
      <c r="AA60" s="52"/>
      <c r="AB60" s="52"/>
      <c r="AC60" s="118"/>
      <c r="AD60" s="5"/>
      <c r="AE60" s="52"/>
      <c r="AF60" s="113">
        <v>245000</v>
      </c>
      <c r="AG60" s="113">
        <f>AF60*0.19</f>
        <v>46550</v>
      </c>
      <c r="AH60" s="113">
        <f>AF60+AG60</f>
        <v>291550</v>
      </c>
      <c r="AI60" s="52" t="s">
        <v>770</v>
      </c>
      <c r="AJ60" s="11" t="s">
        <v>840</v>
      </c>
      <c r="AK60" s="269"/>
      <c r="AL60" s="269"/>
      <c r="AM60" s="269"/>
      <c r="AN60" s="301"/>
      <c r="AO60" s="302"/>
      <c r="AP60" s="11"/>
      <c r="AQ60" s="11"/>
      <c r="AR60" s="11"/>
      <c r="AS60" s="11"/>
      <c r="AT60" s="11"/>
      <c r="AU60" s="118">
        <v>537846</v>
      </c>
      <c r="AV60" s="118">
        <v>102191</v>
      </c>
      <c r="AW60" s="118">
        <v>640037</v>
      </c>
      <c r="AX60" s="52" t="s">
        <v>607</v>
      </c>
      <c r="AY60" s="52" t="s">
        <v>841</v>
      </c>
      <c r="AZ60" s="11"/>
      <c r="BA60" s="11"/>
      <c r="BB60" s="11"/>
      <c r="BC60" s="11"/>
      <c r="BD60" s="11"/>
      <c r="BE60" s="274"/>
      <c r="BF60" s="274"/>
      <c r="BG60" s="274"/>
      <c r="BH60" s="11"/>
      <c r="BI60" s="11"/>
      <c r="BJ60" s="311"/>
      <c r="BK60" s="311"/>
      <c r="BL60" s="311"/>
      <c r="BM60" s="52"/>
      <c r="BN60" s="52"/>
      <c r="BO60" s="387"/>
      <c r="BP60" s="320"/>
      <c r="BQ60" s="320"/>
      <c r="BR60" s="4"/>
      <c r="BS60" s="4"/>
      <c r="BT60" s="11"/>
      <c r="BU60" s="11"/>
      <c r="BV60" s="11"/>
      <c r="BW60" s="11"/>
      <c r="BX60" s="11"/>
      <c r="BY60" s="232">
        <v>149000</v>
      </c>
      <c r="BZ60" s="232">
        <f t="shared" si="6"/>
        <v>28310</v>
      </c>
      <c r="CA60" s="232">
        <f t="shared" si="7"/>
        <v>177310</v>
      </c>
      <c r="CB60" s="348" t="s">
        <v>767</v>
      </c>
      <c r="CC60" s="348" t="s">
        <v>842</v>
      </c>
      <c r="CD60" s="11"/>
      <c r="CE60" s="11"/>
      <c r="CF60" s="11"/>
      <c r="CG60" s="11"/>
      <c r="CH60" s="11"/>
      <c r="CI60" s="11"/>
      <c r="CJ60" s="11"/>
      <c r="CK60" s="11"/>
      <c r="CL60" s="11"/>
      <c r="CM60" s="11"/>
      <c r="CN60" s="274"/>
      <c r="CO60" s="274"/>
      <c r="CP60" s="274"/>
      <c r="CQ60" s="11"/>
      <c r="CR60" s="11"/>
      <c r="CS60" s="11"/>
      <c r="CT60" s="11"/>
      <c r="CU60" s="11"/>
      <c r="CV60" s="11"/>
      <c r="CW60" s="11"/>
      <c r="CX60" s="11"/>
      <c r="CY60" s="11"/>
      <c r="CZ60" s="11"/>
      <c r="DA60" s="11"/>
      <c r="DB60" s="11"/>
      <c r="DC60" s="11"/>
      <c r="DD60" s="11"/>
      <c r="DE60" s="11"/>
      <c r="DF60" s="11"/>
      <c r="DG60" s="11"/>
      <c r="DH60" s="11"/>
      <c r="DI60" s="11"/>
      <c r="DJ60" s="11"/>
      <c r="DK60" s="11"/>
      <c r="DL60" s="11"/>
      <c r="DM60" s="118"/>
      <c r="DN60" s="118"/>
      <c r="DO60" s="118"/>
      <c r="DP60" s="52"/>
      <c r="DQ60" s="52"/>
      <c r="DR60" s="77"/>
      <c r="DS60" s="77"/>
      <c r="DT60" s="77"/>
      <c r="DU60" s="11"/>
      <c r="DV60" s="11"/>
      <c r="DW60" s="11"/>
      <c r="DX60" s="11"/>
      <c r="DY60" s="11"/>
      <c r="DZ60" s="11"/>
      <c r="EA60" s="11"/>
      <c r="EB60" s="11"/>
      <c r="EC60" s="11"/>
      <c r="ED60" s="11"/>
      <c r="EE60" s="11"/>
      <c r="EF60" s="11"/>
    </row>
    <row r="61" spans="1:136" ht="12.75" customHeight="1" x14ac:dyDescent="0.25">
      <c r="A61" s="425">
        <v>59</v>
      </c>
      <c r="B61" s="428" t="s">
        <v>843</v>
      </c>
      <c r="C61" s="413" t="s">
        <v>753</v>
      </c>
      <c r="D61" s="428" t="s">
        <v>415</v>
      </c>
      <c r="E61" s="79">
        <v>1</v>
      </c>
      <c r="F61" s="405"/>
      <c r="G61" s="274"/>
      <c r="H61" s="274"/>
      <c r="I61" s="274"/>
      <c r="J61" s="274"/>
      <c r="K61" s="11"/>
      <c r="L61" s="274"/>
      <c r="M61" s="274"/>
      <c r="N61" s="274"/>
      <c r="O61" s="48"/>
      <c r="P61" s="11"/>
      <c r="Q61" s="275"/>
      <c r="R61" s="275"/>
      <c r="S61" s="275"/>
      <c r="T61" s="11"/>
      <c r="U61" s="11"/>
      <c r="V61" s="11"/>
      <c r="W61" s="11"/>
      <c r="X61" s="11"/>
      <c r="Y61" s="11"/>
      <c r="Z61" s="48"/>
      <c r="AA61" s="52"/>
      <c r="AB61" s="52"/>
      <c r="AC61" s="113"/>
      <c r="AD61" s="5"/>
      <c r="AE61" s="52"/>
      <c r="AF61" s="113">
        <v>435000</v>
      </c>
      <c r="AG61" s="113">
        <f>AF61*0.19</f>
        <v>82650</v>
      </c>
      <c r="AH61" s="113">
        <f>AF61+AG61</f>
        <v>517650</v>
      </c>
      <c r="AI61" s="52" t="s">
        <v>770</v>
      </c>
      <c r="AJ61" s="11" t="s">
        <v>844</v>
      </c>
      <c r="AK61" s="116">
        <v>580415</v>
      </c>
      <c r="AL61" s="269">
        <v>110278.85</v>
      </c>
      <c r="AM61" s="269">
        <v>690693.85</v>
      </c>
      <c r="AN61" s="305" t="s">
        <v>88</v>
      </c>
      <c r="AO61" s="306">
        <v>1102350500</v>
      </c>
      <c r="AP61" s="11"/>
      <c r="AQ61" s="11"/>
      <c r="AR61" s="11"/>
      <c r="AS61" s="11"/>
      <c r="AT61" s="11"/>
      <c r="AU61" s="113">
        <v>740929</v>
      </c>
      <c r="AV61" s="113">
        <v>140777</v>
      </c>
      <c r="AW61" s="113">
        <v>881706</v>
      </c>
      <c r="AX61" s="52" t="s">
        <v>607</v>
      </c>
      <c r="AY61" s="52">
        <v>1102350500</v>
      </c>
      <c r="AZ61" s="11"/>
      <c r="BA61" s="11"/>
      <c r="BB61" s="11"/>
      <c r="BC61" s="11"/>
      <c r="BD61" s="11"/>
      <c r="BE61" s="275"/>
      <c r="BF61" s="275"/>
      <c r="BG61" s="275"/>
      <c r="BH61" s="11"/>
      <c r="BI61" s="11"/>
      <c r="BJ61" s="318"/>
      <c r="BK61" s="318"/>
      <c r="BL61" s="318"/>
      <c r="BM61" s="52"/>
      <c r="BN61" s="52"/>
      <c r="BO61" s="387"/>
      <c r="BP61" s="320"/>
      <c r="BQ61" s="320"/>
      <c r="BR61" s="4"/>
      <c r="BS61" s="4"/>
      <c r="BT61" s="11"/>
      <c r="BU61" s="11"/>
      <c r="BV61" s="11"/>
      <c r="BW61" s="11"/>
      <c r="BX61" s="11"/>
      <c r="BY61" s="232">
        <v>277000</v>
      </c>
      <c r="BZ61" s="232">
        <f t="shared" si="6"/>
        <v>52630</v>
      </c>
      <c r="CA61" s="232">
        <f t="shared" si="7"/>
        <v>329630</v>
      </c>
      <c r="CB61" s="348" t="s">
        <v>772</v>
      </c>
      <c r="CC61" s="348">
        <v>610148</v>
      </c>
      <c r="CD61" s="11"/>
      <c r="CE61" s="11"/>
      <c r="CF61" s="11"/>
      <c r="CG61" s="11"/>
      <c r="CH61" s="11"/>
      <c r="CI61" s="11"/>
      <c r="CJ61" s="11"/>
      <c r="CK61" s="11"/>
      <c r="CL61" s="11"/>
      <c r="CM61" s="11"/>
      <c r="CN61" s="274"/>
      <c r="CO61" s="274"/>
      <c r="CP61" s="274"/>
      <c r="CQ61" s="11"/>
      <c r="CR61" s="11"/>
      <c r="CS61" s="11"/>
      <c r="CT61" s="11"/>
      <c r="CU61" s="11"/>
      <c r="CV61" s="11"/>
      <c r="CW61" s="11"/>
      <c r="CX61" s="11"/>
      <c r="CY61" s="11"/>
      <c r="CZ61" s="11"/>
      <c r="DA61" s="11"/>
      <c r="DB61" s="11"/>
      <c r="DC61" s="11"/>
      <c r="DD61" s="11"/>
      <c r="DE61" s="11"/>
      <c r="DF61" s="11"/>
      <c r="DG61" s="11"/>
      <c r="DH61" s="11"/>
      <c r="DI61" s="11"/>
      <c r="DJ61" s="11"/>
      <c r="DK61" s="11"/>
      <c r="DL61" s="11"/>
      <c r="DM61" s="118"/>
      <c r="DN61" s="118"/>
      <c r="DO61" s="118"/>
      <c r="DP61" s="52"/>
      <c r="DQ61" s="52"/>
      <c r="DR61" s="77"/>
      <c r="DS61" s="77"/>
      <c r="DT61" s="77"/>
      <c r="DU61" s="11"/>
      <c r="DV61" s="11"/>
      <c r="DW61" s="11"/>
      <c r="DX61" s="11"/>
      <c r="DY61" s="11"/>
      <c r="DZ61" s="11"/>
      <c r="EA61" s="11"/>
      <c r="EB61" s="11"/>
      <c r="EC61" s="11"/>
      <c r="ED61" s="11"/>
      <c r="EE61" s="11"/>
      <c r="EF61" s="11"/>
    </row>
    <row r="62" spans="1:136" ht="40.5" x14ac:dyDescent="0.25">
      <c r="A62" s="425">
        <v>60</v>
      </c>
      <c r="B62" s="413" t="s">
        <v>845</v>
      </c>
      <c r="C62" s="428" t="s">
        <v>813</v>
      </c>
      <c r="D62" s="413" t="s">
        <v>132</v>
      </c>
      <c r="E62" s="79">
        <v>1</v>
      </c>
      <c r="F62" s="405"/>
      <c r="G62" s="274"/>
      <c r="H62" s="274"/>
      <c r="I62" s="274"/>
      <c r="J62" s="274"/>
      <c r="K62" s="11"/>
      <c r="L62" s="274"/>
      <c r="M62" s="274"/>
      <c r="N62" s="274"/>
      <c r="O62" s="48"/>
      <c r="P62" s="11"/>
      <c r="Q62" s="275"/>
      <c r="R62" s="275"/>
      <c r="S62" s="275"/>
      <c r="T62" s="11"/>
      <c r="U62" s="11"/>
      <c r="V62" s="11"/>
      <c r="W62" s="11"/>
      <c r="X62" s="11"/>
      <c r="Y62" s="11"/>
      <c r="Z62" s="48"/>
      <c r="AA62" s="52"/>
      <c r="AB62" s="52"/>
      <c r="AC62" s="113"/>
      <c r="AD62" s="5"/>
      <c r="AE62" s="52"/>
      <c r="AF62" s="113"/>
      <c r="AG62" s="113"/>
      <c r="AH62" s="113"/>
      <c r="AI62" s="52"/>
      <c r="AJ62" s="11"/>
      <c r="AK62" s="116">
        <v>2713988</v>
      </c>
      <c r="AL62" s="269">
        <v>515657.72000000003</v>
      </c>
      <c r="AM62" s="269">
        <v>3229645.72</v>
      </c>
      <c r="AN62" s="305" t="s">
        <v>88</v>
      </c>
      <c r="AO62" s="306">
        <v>1161220500</v>
      </c>
      <c r="AP62" s="11"/>
      <c r="AQ62" s="11"/>
      <c r="AR62" s="11"/>
      <c r="AS62" s="11"/>
      <c r="AT62" s="11"/>
      <c r="AU62" s="113">
        <v>3731750</v>
      </c>
      <c r="AV62" s="113">
        <v>709033</v>
      </c>
      <c r="AW62" s="113">
        <v>4440783</v>
      </c>
      <c r="AX62" s="52" t="s">
        <v>607</v>
      </c>
      <c r="AY62" s="52">
        <v>1161220500</v>
      </c>
      <c r="AZ62" s="11"/>
      <c r="BA62" s="11"/>
      <c r="BB62" s="11"/>
      <c r="BC62" s="11"/>
      <c r="BD62" s="11"/>
      <c r="BE62" s="275"/>
      <c r="BF62" s="275"/>
      <c r="BG62" s="275"/>
      <c r="BH62" s="11"/>
      <c r="BI62" s="11"/>
      <c r="BJ62" s="318"/>
      <c r="BK62" s="318"/>
      <c r="BL62" s="318"/>
      <c r="BM62" s="52"/>
      <c r="BN62" s="52"/>
      <c r="BO62" s="387"/>
      <c r="BP62" s="320"/>
      <c r="BQ62" s="320"/>
      <c r="BR62" s="4"/>
      <c r="BS62" s="4"/>
      <c r="BT62" s="11"/>
      <c r="BU62" s="11"/>
      <c r="BV62" s="11"/>
      <c r="BW62" s="11"/>
      <c r="BX62" s="11"/>
      <c r="BY62" s="232">
        <v>650000</v>
      </c>
      <c r="BZ62" s="232">
        <f t="shared" si="6"/>
        <v>123500</v>
      </c>
      <c r="CA62" s="232">
        <f t="shared" si="7"/>
        <v>773500</v>
      </c>
      <c r="CB62" s="348" t="s">
        <v>767</v>
      </c>
      <c r="CC62" s="348" t="s">
        <v>846</v>
      </c>
      <c r="CD62" s="11"/>
      <c r="CE62" s="11"/>
      <c r="CF62" s="11"/>
      <c r="CG62" s="11"/>
      <c r="CH62" s="11"/>
      <c r="CI62" s="11"/>
      <c r="CJ62" s="11"/>
      <c r="CK62" s="11"/>
      <c r="CL62" s="11"/>
      <c r="CM62" s="11"/>
      <c r="CN62" s="274"/>
      <c r="CO62" s="274"/>
      <c r="CP62" s="274"/>
      <c r="CQ62" s="11"/>
      <c r="CR62" s="11"/>
      <c r="CS62" s="11"/>
      <c r="CT62" s="11"/>
      <c r="CU62" s="11"/>
      <c r="CV62" s="11"/>
      <c r="CW62" s="11"/>
      <c r="CX62" s="11"/>
      <c r="CY62" s="11"/>
      <c r="CZ62" s="11"/>
      <c r="DA62" s="11"/>
      <c r="DB62" s="11"/>
      <c r="DC62" s="11"/>
      <c r="DD62" s="11"/>
      <c r="DE62" s="11"/>
      <c r="DF62" s="11"/>
      <c r="DG62" s="11"/>
      <c r="DH62" s="11"/>
      <c r="DI62" s="11"/>
      <c r="DJ62" s="11"/>
      <c r="DK62" s="11"/>
      <c r="DL62" s="11"/>
      <c r="DM62" s="118"/>
      <c r="DN62" s="118"/>
      <c r="DO62" s="118"/>
      <c r="DP62" s="52"/>
      <c r="DQ62" s="52"/>
      <c r="DR62" s="77"/>
      <c r="DS62" s="77"/>
      <c r="DT62" s="77"/>
      <c r="DU62" s="11"/>
      <c r="DV62" s="11"/>
      <c r="DW62" s="11"/>
      <c r="DX62" s="11"/>
      <c r="DY62" s="11"/>
      <c r="DZ62" s="11"/>
      <c r="EA62" s="11"/>
      <c r="EB62" s="11"/>
      <c r="EC62" s="11"/>
      <c r="ED62" s="11"/>
      <c r="EE62" s="11"/>
      <c r="EF62" s="11"/>
    </row>
    <row r="63" spans="1:136" ht="25.5" customHeight="1" x14ac:dyDescent="0.25">
      <c r="A63" s="425">
        <v>61</v>
      </c>
      <c r="B63" s="427" t="s">
        <v>847</v>
      </c>
      <c r="C63" s="427" t="s">
        <v>848</v>
      </c>
      <c r="D63" s="427" t="s">
        <v>54</v>
      </c>
      <c r="E63" s="79">
        <v>1</v>
      </c>
      <c r="F63" s="405">
        <v>571879.49</v>
      </c>
      <c r="G63" s="274"/>
      <c r="H63" s="274"/>
      <c r="I63" s="274"/>
      <c r="J63" s="274"/>
      <c r="K63" s="11"/>
      <c r="L63" s="274"/>
      <c r="M63" s="274"/>
      <c r="N63" s="274"/>
      <c r="O63" s="48"/>
      <c r="P63" s="11"/>
      <c r="Q63" s="274"/>
      <c r="R63" s="274"/>
      <c r="S63" s="274"/>
      <c r="T63" s="11"/>
      <c r="U63" s="11"/>
      <c r="V63" s="11"/>
      <c r="W63" s="11"/>
      <c r="X63" s="11"/>
      <c r="Y63" s="11"/>
      <c r="Z63" s="48"/>
      <c r="AA63" s="52"/>
      <c r="AB63" s="52"/>
      <c r="AC63" s="118"/>
      <c r="AD63" s="5"/>
      <c r="AE63" s="52"/>
      <c r="AF63" s="113">
        <v>363000</v>
      </c>
      <c r="AG63" s="113">
        <f>AF63*0.19</f>
        <v>68970</v>
      </c>
      <c r="AH63" s="113">
        <f>AF63+AG63</f>
        <v>431970</v>
      </c>
      <c r="AI63" s="52" t="s">
        <v>770</v>
      </c>
      <c r="AJ63" s="11" t="s">
        <v>849</v>
      </c>
      <c r="AK63" s="269">
        <v>683829</v>
      </c>
      <c r="AL63" s="269">
        <v>129927.51</v>
      </c>
      <c r="AM63" s="269">
        <v>813756.51</v>
      </c>
      <c r="AN63" s="301" t="s">
        <v>88</v>
      </c>
      <c r="AO63" s="302">
        <v>1039150500</v>
      </c>
      <c r="AP63" s="11"/>
      <c r="AQ63" s="11"/>
      <c r="AR63" s="11"/>
      <c r="AS63" s="11"/>
      <c r="AT63" s="11"/>
      <c r="AU63" s="118">
        <v>874000</v>
      </c>
      <c r="AV63" s="118">
        <v>166060</v>
      </c>
      <c r="AW63" s="118">
        <v>1040060</v>
      </c>
      <c r="AX63" s="52" t="s">
        <v>607</v>
      </c>
      <c r="AY63" s="52">
        <v>1039150500</v>
      </c>
      <c r="AZ63" s="11"/>
      <c r="BA63" s="11"/>
      <c r="BB63" s="11"/>
      <c r="BC63" s="11"/>
      <c r="BD63" s="11"/>
      <c r="BE63" s="274"/>
      <c r="BF63" s="274"/>
      <c r="BG63" s="274"/>
      <c r="BH63" s="11"/>
      <c r="BI63" s="11"/>
      <c r="BJ63" s="311"/>
      <c r="BK63" s="311"/>
      <c r="BL63" s="311"/>
      <c r="BM63" s="52"/>
      <c r="BN63" s="52"/>
      <c r="BO63" s="387"/>
      <c r="BP63" s="320"/>
      <c r="BQ63" s="320"/>
      <c r="BR63" s="4"/>
      <c r="BS63" s="4"/>
      <c r="BT63" s="11"/>
      <c r="BU63" s="11"/>
      <c r="BV63" s="11"/>
      <c r="BW63" s="11"/>
      <c r="BX63" s="11"/>
      <c r="BY63" s="232">
        <v>60000</v>
      </c>
      <c r="BZ63" s="232">
        <f t="shared" si="6"/>
        <v>11400</v>
      </c>
      <c r="CA63" s="232">
        <f t="shared" si="7"/>
        <v>71400</v>
      </c>
      <c r="CB63" s="348" t="s">
        <v>772</v>
      </c>
      <c r="CC63" s="348">
        <v>620055</v>
      </c>
      <c r="CD63" s="11"/>
      <c r="CE63" s="11"/>
      <c r="CF63" s="11"/>
      <c r="CG63" s="11"/>
      <c r="CH63" s="11"/>
      <c r="CI63" s="11"/>
      <c r="CJ63" s="11"/>
      <c r="CK63" s="11"/>
      <c r="CL63" s="11"/>
      <c r="CM63" s="11"/>
      <c r="CN63" s="274"/>
      <c r="CO63" s="274"/>
      <c r="CP63" s="274"/>
      <c r="CQ63" s="11"/>
      <c r="CR63" s="11"/>
      <c r="CS63" s="11"/>
      <c r="CT63" s="11"/>
      <c r="CU63" s="11"/>
      <c r="CV63" s="11"/>
      <c r="CW63" s="11"/>
      <c r="CX63" s="11"/>
      <c r="CY63" s="11"/>
      <c r="CZ63" s="11"/>
      <c r="DA63" s="11"/>
      <c r="DB63" s="11"/>
      <c r="DC63" s="11"/>
      <c r="DD63" s="11"/>
      <c r="DE63" s="11"/>
      <c r="DF63" s="11"/>
      <c r="DG63" s="11"/>
      <c r="DH63" s="11"/>
      <c r="DI63" s="11"/>
      <c r="DJ63" s="11"/>
      <c r="DK63" s="11"/>
      <c r="DL63" s="11"/>
      <c r="DM63" s="118"/>
      <c r="DN63" s="118"/>
      <c r="DO63" s="118"/>
      <c r="DP63" s="52"/>
      <c r="DQ63" s="52"/>
      <c r="DR63" s="77"/>
      <c r="DS63" s="77"/>
      <c r="DT63" s="77"/>
      <c r="DU63" s="11"/>
      <c r="DV63" s="11"/>
      <c r="DW63" s="11"/>
      <c r="DX63" s="11"/>
      <c r="DY63" s="11"/>
      <c r="DZ63" s="11"/>
      <c r="EA63" s="11"/>
      <c r="EB63" s="11"/>
      <c r="EC63" s="11"/>
      <c r="ED63" s="11"/>
      <c r="EE63" s="11"/>
      <c r="EF63" s="11"/>
    </row>
    <row r="64" spans="1:136" ht="13.5" x14ac:dyDescent="0.25">
      <c r="A64" s="425">
        <v>62</v>
      </c>
      <c r="B64" s="426" t="s">
        <v>850</v>
      </c>
      <c r="C64" s="413" t="s">
        <v>647</v>
      </c>
      <c r="D64" s="426" t="s">
        <v>132</v>
      </c>
      <c r="E64" s="79">
        <v>1</v>
      </c>
      <c r="F64" s="405"/>
      <c r="G64" s="274"/>
      <c r="H64" s="274"/>
      <c r="I64" s="274"/>
      <c r="J64" s="274"/>
      <c r="K64" s="11"/>
      <c r="L64" s="274"/>
      <c r="M64" s="274"/>
      <c r="N64" s="274"/>
      <c r="O64" s="48"/>
      <c r="P64" s="11"/>
      <c r="Q64" s="274"/>
      <c r="R64" s="274"/>
      <c r="S64" s="274"/>
      <c r="T64" s="11"/>
      <c r="U64" s="11"/>
      <c r="V64" s="11"/>
      <c r="W64" s="11"/>
      <c r="X64" s="11"/>
      <c r="Y64" s="11"/>
      <c r="Z64" s="48"/>
      <c r="AA64" s="52"/>
      <c r="AB64" s="52"/>
      <c r="AC64" s="118"/>
      <c r="AD64" s="5"/>
      <c r="AE64" s="52"/>
      <c r="AF64" s="113">
        <v>1011000</v>
      </c>
      <c r="AG64" s="113">
        <f>AF64*0.19</f>
        <v>192090</v>
      </c>
      <c r="AH64" s="113">
        <f>AF64+AG64</f>
        <v>1203090</v>
      </c>
      <c r="AI64" s="52" t="s">
        <v>770</v>
      </c>
      <c r="AJ64" s="11" t="s">
        <v>851</v>
      </c>
      <c r="AK64" s="269"/>
      <c r="AL64" s="269"/>
      <c r="AM64" s="269"/>
      <c r="AN64" s="301"/>
      <c r="AO64" s="302"/>
      <c r="AP64" s="11"/>
      <c r="AQ64" s="11"/>
      <c r="AR64" s="11"/>
      <c r="AS64" s="11"/>
      <c r="AT64" s="11"/>
      <c r="AU64" s="118">
        <v>590923</v>
      </c>
      <c r="AV64" s="118">
        <v>112275</v>
      </c>
      <c r="AW64" s="118">
        <v>703198</v>
      </c>
      <c r="AX64" s="52" t="s">
        <v>607</v>
      </c>
      <c r="AY64" s="52" t="s">
        <v>852</v>
      </c>
      <c r="AZ64" s="11"/>
      <c r="BA64" s="11"/>
      <c r="BB64" s="11"/>
      <c r="BC64" s="11"/>
      <c r="BD64" s="11"/>
      <c r="BE64" s="274"/>
      <c r="BF64" s="274"/>
      <c r="BG64" s="274"/>
      <c r="BH64" s="11"/>
      <c r="BI64" s="11"/>
      <c r="BJ64" s="311"/>
      <c r="BK64" s="311"/>
      <c r="BL64" s="311"/>
      <c r="BM64" s="52"/>
      <c r="BN64" s="52"/>
      <c r="BO64" s="387"/>
      <c r="BP64" s="320"/>
      <c r="BQ64" s="320"/>
      <c r="BR64" s="4"/>
      <c r="BS64" s="4"/>
      <c r="BT64" s="11"/>
      <c r="BU64" s="11"/>
      <c r="BV64" s="11"/>
      <c r="BW64" s="11"/>
      <c r="BX64" s="11"/>
      <c r="BY64" s="232">
        <v>246000</v>
      </c>
      <c r="BZ64" s="232">
        <f t="shared" si="6"/>
        <v>46740</v>
      </c>
      <c r="CA64" s="232">
        <f t="shared" si="7"/>
        <v>292740</v>
      </c>
      <c r="CB64" s="348" t="s">
        <v>767</v>
      </c>
      <c r="CC64" s="348" t="s">
        <v>853</v>
      </c>
      <c r="CD64" s="11"/>
      <c r="CE64" s="11"/>
      <c r="CF64" s="11"/>
      <c r="CG64" s="11"/>
      <c r="CH64" s="11"/>
      <c r="CI64" s="11"/>
      <c r="CJ64" s="11"/>
      <c r="CK64" s="11"/>
      <c r="CL64" s="11"/>
      <c r="CM64" s="11"/>
      <c r="CN64" s="274"/>
      <c r="CO64" s="274"/>
      <c r="CP64" s="274"/>
      <c r="CQ64" s="11"/>
      <c r="CR64" s="11"/>
      <c r="CS64" s="11"/>
      <c r="CT64" s="11"/>
      <c r="CU64" s="11"/>
      <c r="CV64" s="11"/>
      <c r="CW64" s="11"/>
      <c r="CX64" s="11"/>
      <c r="CY64" s="11"/>
      <c r="CZ64" s="11"/>
      <c r="DA64" s="11"/>
      <c r="DB64" s="11"/>
      <c r="DC64" s="11"/>
      <c r="DD64" s="11"/>
      <c r="DE64" s="11"/>
      <c r="DF64" s="11"/>
      <c r="DG64" s="11"/>
      <c r="DH64" s="11"/>
      <c r="DI64" s="11"/>
      <c r="DJ64" s="11"/>
      <c r="DK64" s="11"/>
      <c r="DL64" s="11"/>
      <c r="DM64" s="118"/>
      <c r="DN64" s="118"/>
      <c r="DO64" s="118"/>
      <c r="DP64" s="52"/>
      <c r="DQ64" s="52"/>
      <c r="DR64" s="77"/>
      <c r="DS64" s="77"/>
      <c r="DT64" s="77"/>
      <c r="DU64" s="11"/>
      <c r="DV64" s="11"/>
      <c r="DW64" s="11"/>
      <c r="DX64" s="11"/>
      <c r="DY64" s="11"/>
      <c r="DZ64" s="11"/>
      <c r="EA64" s="11"/>
      <c r="EB64" s="11"/>
      <c r="EC64" s="11"/>
      <c r="ED64" s="11"/>
      <c r="EE64" s="11"/>
      <c r="EF64" s="11"/>
    </row>
    <row r="65" spans="1:136" ht="12.75" customHeight="1" x14ac:dyDescent="0.25">
      <c r="A65" s="425">
        <v>63</v>
      </c>
      <c r="B65" s="426" t="s">
        <v>854</v>
      </c>
      <c r="C65" s="413" t="s">
        <v>647</v>
      </c>
      <c r="D65" s="426" t="s">
        <v>132</v>
      </c>
      <c r="E65" s="79">
        <v>1</v>
      </c>
      <c r="F65" s="405"/>
      <c r="G65" s="274"/>
      <c r="H65" s="274"/>
      <c r="I65" s="274"/>
      <c r="J65" s="274"/>
      <c r="K65" s="11"/>
      <c r="L65" s="274"/>
      <c r="M65" s="274"/>
      <c r="N65" s="274"/>
      <c r="O65" s="48"/>
      <c r="P65" s="11"/>
      <c r="Q65" s="274"/>
      <c r="R65" s="274"/>
      <c r="S65" s="274"/>
      <c r="T65" s="11"/>
      <c r="U65" s="11"/>
      <c r="V65" s="11"/>
      <c r="W65" s="11"/>
      <c r="X65" s="11"/>
      <c r="Y65" s="11"/>
      <c r="Z65" s="48"/>
      <c r="AA65" s="52"/>
      <c r="AB65" s="52"/>
      <c r="AC65" s="118"/>
      <c r="AD65" s="5"/>
      <c r="AE65" s="52"/>
      <c r="AF65" s="113">
        <v>418000</v>
      </c>
      <c r="AG65" s="113">
        <f>AF65*0.19</f>
        <v>79420</v>
      </c>
      <c r="AH65" s="113">
        <f>AF65+AG65</f>
        <v>497420</v>
      </c>
      <c r="AI65" s="52" t="s">
        <v>770</v>
      </c>
      <c r="AJ65" s="11" t="s">
        <v>855</v>
      </c>
      <c r="AK65" s="269">
        <v>358720</v>
      </c>
      <c r="AL65" s="269">
        <v>68156.800000000003</v>
      </c>
      <c r="AM65" s="269">
        <v>426876.8</v>
      </c>
      <c r="AN65" s="301" t="s">
        <v>88</v>
      </c>
      <c r="AO65" s="302">
        <v>1014060500</v>
      </c>
      <c r="AP65" s="11"/>
      <c r="AQ65" s="11"/>
      <c r="AR65" s="11"/>
      <c r="AS65" s="11"/>
      <c r="AT65" s="11"/>
      <c r="AU65" s="118">
        <v>493616</v>
      </c>
      <c r="AV65" s="118">
        <v>93787</v>
      </c>
      <c r="AW65" s="118">
        <v>587403</v>
      </c>
      <c r="AX65" s="52" t="s">
        <v>607</v>
      </c>
      <c r="AY65" s="52">
        <v>1014060500</v>
      </c>
      <c r="AZ65" s="11"/>
      <c r="BA65" s="11"/>
      <c r="BB65" s="11"/>
      <c r="BC65" s="11"/>
      <c r="BD65" s="11"/>
      <c r="BE65" s="274"/>
      <c r="BF65" s="274"/>
      <c r="BG65" s="274"/>
      <c r="BH65" s="11"/>
      <c r="BI65" s="11"/>
      <c r="BJ65" s="311"/>
      <c r="BK65" s="311"/>
      <c r="BL65" s="311"/>
      <c r="BM65" s="52"/>
      <c r="BN65" s="52"/>
      <c r="BO65" s="387"/>
      <c r="BP65" s="320"/>
      <c r="BQ65" s="320"/>
      <c r="BR65" s="4"/>
      <c r="BS65" s="4"/>
      <c r="BT65" s="11"/>
      <c r="BU65" s="11"/>
      <c r="BV65" s="11"/>
      <c r="BW65" s="11"/>
      <c r="BX65" s="11"/>
      <c r="BY65" s="232">
        <v>240000</v>
      </c>
      <c r="BZ65" s="232">
        <f t="shared" si="6"/>
        <v>45600</v>
      </c>
      <c r="CA65" s="232">
        <f t="shared" si="7"/>
        <v>285600</v>
      </c>
      <c r="CB65" s="348" t="s">
        <v>767</v>
      </c>
      <c r="CC65" s="348" t="s">
        <v>856</v>
      </c>
      <c r="CD65" s="11"/>
      <c r="CE65" s="11"/>
      <c r="CF65" s="11"/>
      <c r="CG65" s="11"/>
      <c r="CH65" s="11"/>
      <c r="CI65" s="11"/>
      <c r="CJ65" s="11"/>
      <c r="CK65" s="11"/>
      <c r="CL65" s="11"/>
      <c r="CM65" s="11"/>
      <c r="CN65" s="274"/>
      <c r="CO65" s="274"/>
      <c r="CP65" s="274"/>
      <c r="CQ65" s="11"/>
      <c r="CR65" s="11"/>
      <c r="CS65" s="11"/>
      <c r="CT65" s="11"/>
      <c r="CU65" s="11"/>
      <c r="CV65" s="11"/>
      <c r="CW65" s="11"/>
      <c r="CX65" s="11"/>
      <c r="CY65" s="11"/>
      <c r="CZ65" s="11"/>
      <c r="DA65" s="11"/>
      <c r="DB65" s="11"/>
      <c r="DC65" s="11"/>
      <c r="DD65" s="11"/>
      <c r="DE65" s="11"/>
      <c r="DF65" s="11"/>
      <c r="DG65" s="11"/>
      <c r="DH65" s="11"/>
      <c r="DI65" s="11"/>
      <c r="DJ65" s="11"/>
      <c r="DK65" s="11"/>
      <c r="DL65" s="11"/>
      <c r="DM65" s="118"/>
      <c r="DN65" s="118"/>
      <c r="DO65" s="118"/>
      <c r="DP65" s="52"/>
      <c r="DQ65" s="52"/>
      <c r="DR65" s="77"/>
      <c r="DS65" s="77"/>
      <c r="DT65" s="77"/>
      <c r="DU65" s="11"/>
      <c r="DV65" s="11"/>
      <c r="DW65" s="11"/>
      <c r="DX65" s="11"/>
      <c r="DY65" s="11"/>
      <c r="DZ65" s="11"/>
      <c r="EA65" s="11"/>
      <c r="EB65" s="11"/>
      <c r="EC65" s="11"/>
      <c r="ED65" s="11"/>
      <c r="EE65" s="11"/>
      <c r="EF65" s="11"/>
    </row>
    <row r="66" spans="1:136" ht="13.5" x14ac:dyDescent="0.25">
      <c r="A66" s="425">
        <v>64</v>
      </c>
      <c r="B66" s="426" t="s">
        <v>857</v>
      </c>
      <c r="C66" s="413" t="s">
        <v>647</v>
      </c>
      <c r="D66" s="426" t="s">
        <v>132</v>
      </c>
      <c r="E66" s="79">
        <v>1</v>
      </c>
      <c r="F66" s="405"/>
      <c r="G66" s="274"/>
      <c r="H66" s="274"/>
      <c r="I66" s="274"/>
      <c r="J66" s="274"/>
      <c r="K66" s="11"/>
      <c r="L66" s="274"/>
      <c r="M66" s="274"/>
      <c r="N66" s="274"/>
      <c r="O66" s="48"/>
      <c r="P66" s="11"/>
      <c r="Q66" s="274"/>
      <c r="R66" s="274"/>
      <c r="S66" s="274"/>
      <c r="T66" s="11"/>
      <c r="U66" s="11"/>
      <c r="V66" s="11"/>
      <c r="W66" s="11"/>
      <c r="X66" s="11"/>
      <c r="Y66" s="11"/>
      <c r="Z66" s="48"/>
      <c r="AA66" s="52"/>
      <c r="AB66" s="52"/>
      <c r="AC66" s="118"/>
      <c r="AD66" s="5"/>
      <c r="AE66" s="52"/>
      <c r="AF66" s="113">
        <v>280000</v>
      </c>
      <c r="AG66" s="113">
        <f>AF66*0.19</f>
        <v>53200</v>
      </c>
      <c r="AH66" s="113">
        <f>AF66+AG66</f>
        <v>333200</v>
      </c>
      <c r="AI66" s="52" t="s">
        <v>770</v>
      </c>
      <c r="AJ66" s="11" t="s">
        <v>858</v>
      </c>
      <c r="AK66" s="269">
        <v>366190</v>
      </c>
      <c r="AL66" s="269">
        <v>69576.100000000006</v>
      </c>
      <c r="AM66" s="269">
        <v>435766.1</v>
      </c>
      <c r="AN66" s="301" t="s">
        <v>88</v>
      </c>
      <c r="AO66" s="302">
        <v>1160000500</v>
      </c>
      <c r="AP66" s="11"/>
      <c r="AQ66" s="11"/>
      <c r="AR66" s="11"/>
      <c r="AS66" s="11"/>
      <c r="AT66" s="11"/>
      <c r="AU66" s="118">
        <v>481357</v>
      </c>
      <c r="AV66" s="118">
        <v>91458</v>
      </c>
      <c r="AW66" s="118">
        <v>572815</v>
      </c>
      <c r="AX66" s="52" t="s">
        <v>607</v>
      </c>
      <c r="AY66" s="52">
        <v>1160000500</v>
      </c>
      <c r="AZ66" s="11"/>
      <c r="BA66" s="11"/>
      <c r="BB66" s="11"/>
      <c r="BC66" s="11"/>
      <c r="BD66" s="11"/>
      <c r="BE66" s="274"/>
      <c r="BF66" s="274"/>
      <c r="BG66" s="274"/>
      <c r="BH66" s="11"/>
      <c r="BI66" s="11"/>
      <c r="BJ66" s="311"/>
      <c r="BK66" s="311"/>
      <c r="BL66" s="311"/>
      <c r="BM66" s="52"/>
      <c r="BN66" s="52"/>
      <c r="BO66" s="387"/>
      <c r="BP66" s="320"/>
      <c r="BQ66" s="320"/>
      <c r="BR66" s="4"/>
      <c r="BS66" s="4"/>
      <c r="BT66" s="11"/>
      <c r="BU66" s="11"/>
      <c r="BV66" s="11"/>
      <c r="BW66" s="11"/>
      <c r="BX66" s="11"/>
      <c r="BY66" s="232">
        <v>181000</v>
      </c>
      <c r="BZ66" s="232">
        <f t="shared" si="6"/>
        <v>34390</v>
      </c>
      <c r="CA66" s="232">
        <f t="shared" si="7"/>
        <v>215390</v>
      </c>
      <c r="CB66" s="348"/>
      <c r="CC66" s="348">
        <v>610070</v>
      </c>
      <c r="CD66" s="11"/>
      <c r="CE66" s="11"/>
      <c r="CF66" s="11"/>
      <c r="CG66" s="11"/>
      <c r="CH66" s="11"/>
      <c r="CI66" s="11"/>
      <c r="CJ66" s="11"/>
      <c r="CK66" s="11"/>
      <c r="CL66" s="11"/>
      <c r="CM66" s="11"/>
      <c r="CN66" s="274"/>
      <c r="CO66" s="274"/>
      <c r="CP66" s="274"/>
      <c r="CQ66" s="11"/>
      <c r="CR66" s="11"/>
      <c r="CS66" s="11"/>
      <c r="CT66" s="11"/>
      <c r="CU66" s="11"/>
      <c r="CV66" s="11"/>
      <c r="CW66" s="11"/>
      <c r="CX66" s="11"/>
      <c r="CY66" s="11"/>
      <c r="CZ66" s="11"/>
      <c r="DA66" s="11"/>
      <c r="DB66" s="11"/>
      <c r="DC66" s="11"/>
      <c r="DD66" s="11"/>
      <c r="DE66" s="11"/>
      <c r="DF66" s="11"/>
      <c r="DG66" s="11"/>
      <c r="DH66" s="11"/>
      <c r="DI66" s="11"/>
      <c r="DJ66" s="11"/>
      <c r="DK66" s="11"/>
      <c r="DL66" s="11"/>
      <c r="DM66" s="118"/>
      <c r="DN66" s="118"/>
      <c r="DO66" s="118"/>
      <c r="DP66" s="52"/>
      <c r="DQ66" s="52"/>
      <c r="DR66" s="77"/>
      <c r="DS66" s="77"/>
      <c r="DT66" s="77"/>
      <c r="DU66" s="11"/>
      <c r="DV66" s="11"/>
      <c r="DW66" s="11"/>
      <c r="DX66" s="11"/>
      <c r="DY66" s="11"/>
      <c r="DZ66" s="11"/>
      <c r="EA66" s="11"/>
      <c r="EB66" s="11"/>
      <c r="EC66" s="11"/>
      <c r="ED66" s="11"/>
      <c r="EE66" s="11"/>
      <c r="EF66" s="11"/>
    </row>
    <row r="67" spans="1:136" ht="94.5" x14ac:dyDescent="0.25">
      <c r="A67" s="425">
        <v>65</v>
      </c>
      <c r="B67" s="427" t="s">
        <v>859</v>
      </c>
      <c r="C67" s="427" t="s">
        <v>860</v>
      </c>
      <c r="D67" s="427" t="s">
        <v>861</v>
      </c>
      <c r="E67" s="79">
        <v>1</v>
      </c>
      <c r="F67" s="405">
        <v>3716588.2460000003</v>
      </c>
      <c r="G67" s="274"/>
      <c r="H67" s="274"/>
      <c r="I67" s="274"/>
      <c r="J67" s="274"/>
      <c r="K67" s="11"/>
      <c r="L67" s="274">
        <v>1800000</v>
      </c>
      <c r="M67" s="274">
        <f>L67*19%</f>
        <v>342000</v>
      </c>
      <c r="N67" s="274">
        <f>M67+L67</f>
        <v>2142000</v>
      </c>
      <c r="O67" s="48" t="s">
        <v>862</v>
      </c>
      <c r="P67" s="11" t="s">
        <v>863</v>
      </c>
      <c r="Q67" s="274"/>
      <c r="R67" s="274"/>
      <c r="S67" s="274"/>
      <c r="T67" s="11"/>
      <c r="U67" s="11"/>
      <c r="V67" s="11"/>
      <c r="W67" s="11"/>
      <c r="X67" s="11"/>
      <c r="Y67" s="11"/>
      <c r="Z67" s="48"/>
      <c r="AA67" s="52"/>
      <c r="AB67" s="52"/>
      <c r="AC67" s="118"/>
      <c r="AD67" s="5"/>
      <c r="AE67" s="52"/>
      <c r="AF67" s="113"/>
      <c r="AG67" s="113"/>
      <c r="AH67" s="113"/>
      <c r="AI67" s="52"/>
      <c r="AJ67" s="11"/>
      <c r="AK67" s="269">
        <v>5043000</v>
      </c>
      <c r="AL67" s="269">
        <v>958170</v>
      </c>
      <c r="AM67" s="269">
        <v>6001170</v>
      </c>
      <c r="AN67" s="301" t="s">
        <v>37</v>
      </c>
      <c r="AO67" s="302" t="s">
        <v>864</v>
      </c>
      <c r="AP67" s="11"/>
      <c r="AQ67" s="11"/>
      <c r="AR67" s="11"/>
      <c r="AS67" s="11"/>
      <c r="AT67" s="11"/>
      <c r="AU67" s="118">
        <v>5312251</v>
      </c>
      <c r="AV67" s="118">
        <v>1009328</v>
      </c>
      <c r="AW67" s="118">
        <v>6321579</v>
      </c>
      <c r="AX67" s="52" t="s">
        <v>607</v>
      </c>
      <c r="AY67" s="52" t="s">
        <v>864</v>
      </c>
      <c r="AZ67" s="11"/>
      <c r="BA67" s="11"/>
      <c r="BB67" s="11"/>
      <c r="BC67" s="11"/>
      <c r="BD67" s="11"/>
      <c r="BE67" s="274"/>
      <c r="BF67" s="274"/>
      <c r="BG67" s="274"/>
      <c r="BH67" s="11"/>
      <c r="BI67" s="11"/>
      <c r="BJ67" s="311"/>
      <c r="BK67" s="311"/>
      <c r="BL67" s="311"/>
      <c r="BM67" s="52"/>
      <c r="BN67" s="52"/>
      <c r="BO67" s="387">
        <v>3411700</v>
      </c>
      <c r="BP67" s="320">
        <f>BO67*0.19</f>
        <v>648223</v>
      </c>
      <c r="BQ67" s="320">
        <f>BO67+BP67</f>
        <v>4059923</v>
      </c>
      <c r="BR67" s="4" t="s">
        <v>865</v>
      </c>
      <c r="BS67" s="4" t="s">
        <v>866</v>
      </c>
      <c r="BT67" s="11"/>
      <c r="BU67" s="11"/>
      <c r="BV67" s="11"/>
      <c r="BW67" s="11"/>
      <c r="BX67" s="11"/>
      <c r="BY67" s="232"/>
      <c r="BZ67" s="232"/>
      <c r="CA67" s="232"/>
      <c r="CB67" s="348"/>
      <c r="CC67" s="348"/>
      <c r="CD67" s="11"/>
      <c r="CE67" s="11"/>
      <c r="CF67" s="11"/>
      <c r="CG67" s="11"/>
      <c r="CH67" s="11"/>
      <c r="CI67" s="11"/>
      <c r="CJ67" s="11"/>
      <c r="CK67" s="11"/>
      <c r="CL67" s="11"/>
      <c r="CM67" s="11"/>
      <c r="CN67" s="274"/>
      <c r="CO67" s="274"/>
      <c r="CP67" s="274"/>
      <c r="CQ67" s="11"/>
      <c r="CR67" s="11"/>
      <c r="CS67" s="11"/>
      <c r="CT67" s="11"/>
      <c r="CU67" s="11"/>
      <c r="CV67" s="11"/>
      <c r="CW67" s="11"/>
      <c r="CX67" s="11"/>
      <c r="CY67" s="11"/>
      <c r="CZ67" s="11"/>
      <c r="DA67" s="11"/>
      <c r="DB67" s="11"/>
      <c r="DC67" s="11"/>
      <c r="DD67" s="11"/>
      <c r="DE67" s="11"/>
      <c r="DF67" s="11"/>
      <c r="DG67" s="11"/>
      <c r="DH67" s="11"/>
      <c r="DI67" s="11"/>
      <c r="DJ67" s="11"/>
      <c r="DK67" s="11"/>
      <c r="DL67" s="11"/>
      <c r="DM67" s="118"/>
      <c r="DN67" s="118"/>
      <c r="DO67" s="118"/>
      <c r="DP67" s="52"/>
      <c r="DQ67" s="52"/>
      <c r="DR67" s="77"/>
      <c r="DS67" s="77"/>
      <c r="DT67" s="77"/>
      <c r="DU67" s="11"/>
      <c r="DV67" s="11"/>
      <c r="DW67" s="11"/>
      <c r="DX67" s="11"/>
      <c r="DY67" s="11"/>
      <c r="DZ67" s="11"/>
      <c r="EA67" s="11"/>
      <c r="EB67" s="11"/>
      <c r="EC67" s="11"/>
      <c r="ED67" s="11"/>
      <c r="EE67" s="11"/>
      <c r="EF67" s="11"/>
    </row>
    <row r="68" spans="1:136" ht="27" x14ac:dyDescent="0.25">
      <c r="A68" s="425">
        <v>66</v>
      </c>
      <c r="B68" s="427" t="s">
        <v>867</v>
      </c>
      <c r="C68" s="427" t="s">
        <v>868</v>
      </c>
      <c r="D68" s="427" t="s">
        <v>869</v>
      </c>
      <c r="E68" s="79">
        <v>1</v>
      </c>
      <c r="F68" s="405">
        <v>1563556.2320000001</v>
      </c>
      <c r="G68" s="274"/>
      <c r="H68" s="274"/>
      <c r="I68" s="274"/>
      <c r="J68" s="274"/>
      <c r="K68" s="11"/>
      <c r="L68" s="274"/>
      <c r="M68" s="274"/>
      <c r="N68" s="274"/>
      <c r="O68" s="48"/>
      <c r="P68" s="11"/>
      <c r="Q68" s="274"/>
      <c r="R68" s="274"/>
      <c r="S68" s="274"/>
      <c r="T68" s="11"/>
      <c r="U68" s="11"/>
      <c r="V68" s="11"/>
      <c r="W68" s="11"/>
      <c r="X68" s="11"/>
      <c r="Y68" s="11"/>
      <c r="Z68" s="48"/>
      <c r="AA68" s="52"/>
      <c r="AB68" s="52"/>
      <c r="AC68" s="118"/>
      <c r="AD68" s="5"/>
      <c r="AE68" s="52"/>
      <c r="AF68" s="113"/>
      <c r="AG68" s="113"/>
      <c r="AH68" s="113"/>
      <c r="AI68" s="52"/>
      <c r="AJ68" s="11"/>
      <c r="AK68" s="269"/>
      <c r="AL68" s="269"/>
      <c r="AM68" s="269"/>
      <c r="AN68" s="301"/>
      <c r="AO68" s="302"/>
      <c r="AP68" s="11"/>
      <c r="AQ68" s="11"/>
      <c r="AR68" s="11"/>
      <c r="AS68" s="11"/>
      <c r="AT68" s="11"/>
      <c r="AU68" s="118">
        <v>1711760</v>
      </c>
      <c r="AV68" s="118">
        <v>325234</v>
      </c>
      <c r="AW68" s="118">
        <v>2036995</v>
      </c>
      <c r="AX68" s="52" t="s">
        <v>607</v>
      </c>
      <c r="AY68" s="52" t="s">
        <v>870</v>
      </c>
      <c r="AZ68" s="11"/>
      <c r="BA68" s="11"/>
      <c r="BB68" s="11"/>
      <c r="BC68" s="11"/>
      <c r="BD68" s="11"/>
      <c r="BE68" s="274"/>
      <c r="BF68" s="274"/>
      <c r="BG68" s="274"/>
      <c r="BH68" s="11"/>
      <c r="BI68" s="11"/>
      <c r="BJ68" s="311">
        <v>1163076.92</v>
      </c>
      <c r="BK68" s="311">
        <v>220984.61479999998</v>
      </c>
      <c r="BL68" s="311">
        <v>1384061.5347999998</v>
      </c>
      <c r="BM68" s="52" t="s">
        <v>871</v>
      </c>
      <c r="BN68" s="52" t="s">
        <v>872</v>
      </c>
      <c r="BO68" s="387"/>
      <c r="BP68" s="320"/>
      <c r="BQ68" s="320"/>
      <c r="BR68" s="4"/>
      <c r="BS68" s="4"/>
      <c r="BT68" s="11"/>
      <c r="BU68" s="11"/>
      <c r="BV68" s="11"/>
      <c r="BW68" s="11"/>
      <c r="BX68" s="11"/>
      <c r="BY68" s="348"/>
      <c r="BZ68" s="348"/>
      <c r="CA68" s="348"/>
      <c r="CB68" s="348"/>
      <c r="CC68" s="348"/>
      <c r="CD68" s="11"/>
      <c r="CE68" s="11"/>
      <c r="CF68" s="11"/>
      <c r="CG68" s="11"/>
      <c r="CH68" s="11"/>
      <c r="CI68" s="11"/>
      <c r="CJ68" s="11"/>
      <c r="CK68" s="11"/>
      <c r="CL68" s="11"/>
      <c r="CM68" s="11"/>
      <c r="CN68" s="274"/>
      <c r="CO68" s="274"/>
      <c r="CP68" s="274"/>
      <c r="CQ68" s="11"/>
      <c r="CR68" s="11"/>
      <c r="CS68" s="11"/>
      <c r="CT68" s="11"/>
      <c r="CU68" s="11"/>
      <c r="CV68" s="11"/>
      <c r="CW68" s="11"/>
      <c r="CX68" s="11"/>
      <c r="CY68" s="11"/>
      <c r="CZ68" s="11"/>
      <c r="DA68" s="11"/>
      <c r="DB68" s="11"/>
      <c r="DC68" s="11"/>
      <c r="DD68" s="11"/>
      <c r="DE68" s="11"/>
      <c r="DF68" s="11"/>
      <c r="DG68" s="11"/>
      <c r="DH68" s="11"/>
      <c r="DI68" s="11"/>
      <c r="DJ68" s="11"/>
      <c r="DK68" s="11"/>
      <c r="DL68" s="11"/>
      <c r="DM68" s="118"/>
      <c r="DN68" s="118"/>
      <c r="DO68" s="118"/>
      <c r="DP68" s="52"/>
      <c r="DQ68" s="52"/>
      <c r="DR68" s="77"/>
      <c r="DS68" s="77"/>
      <c r="DT68" s="77"/>
      <c r="DU68" s="11"/>
      <c r="DV68" s="11"/>
      <c r="DW68" s="11"/>
      <c r="DX68" s="11"/>
      <c r="DY68" s="11"/>
      <c r="DZ68" s="11"/>
      <c r="EA68" s="11"/>
      <c r="EB68" s="11"/>
      <c r="EC68" s="11"/>
      <c r="ED68" s="11"/>
      <c r="EE68" s="11"/>
      <c r="EF68" s="11"/>
    </row>
    <row r="69" spans="1:136" ht="40.5" x14ac:dyDescent="0.25">
      <c r="A69" s="425">
        <v>67</v>
      </c>
      <c r="B69" s="427" t="s">
        <v>873</v>
      </c>
      <c r="C69" s="427" t="s">
        <v>874</v>
      </c>
      <c r="D69" s="427" t="s">
        <v>875</v>
      </c>
      <c r="E69" s="79">
        <v>1</v>
      </c>
      <c r="F69" s="405"/>
      <c r="G69" s="274"/>
      <c r="H69" s="274"/>
      <c r="I69" s="274"/>
      <c r="J69" s="274"/>
      <c r="K69" s="11"/>
      <c r="L69" s="274"/>
      <c r="M69" s="274"/>
      <c r="N69" s="274"/>
      <c r="O69" s="48"/>
      <c r="P69" s="11"/>
      <c r="Q69" s="274"/>
      <c r="R69" s="274"/>
      <c r="S69" s="274"/>
      <c r="T69" s="11"/>
      <c r="U69" s="11"/>
      <c r="V69" s="11"/>
      <c r="W69" s="11"/>
      <c r="X69" s="11"/>
      <c r="Y69" s="11"/>
      <c r="Z69" s="48"/>
      <c r="AA69" s="52"/>
      <c r="AB69" s="52"/>
      <c r="AC69" s="118"/>
      <c r="AD69" s="5"/>
      <c r="AE69" s="52"/>
      <c r="AF69" s="113"/>
      <c r="AG69" s="113"/>
      <c r="AH69" s="113"/>
      <c r="AI69" s="52"/>
      <c r="AJ69" s="11"/>
      <c r="AK69" s="269"/>
      <c r="AL69" s="269"/>
      <c r="AM69" s="269"/>
      <c r="AN69" s="301"/>
      <c r="AO69" s="302"/>
      <c r="AP69" s="11"/>
      <c r="AQ69" s="11"/>
      <c r="AR69" s="11"/>
      <c r="AS69" s="11"/>
      <c r="AT69" s="11"/>
      <c r="AU69" s="118"/>
      <c r="AV69" s="118"/>
      <c r="AW69" s="118"/>
      <c r="AX69" s="52"/>
      <c r="AY69" s="52"/>
      <c r="AZ69" s="11"/>
      <c r="BA69" s="11"/>
      <c r="BB69" s="11"/>
      <c r="BC69" s="11"/>
      <c r="BD69" s="11"/>
      <c r="BE69" s="274"/>
      <c r="BF69" s="274"/>
      <c r="BG69" s="274"/>
      <c r="BH69" s="11"/>
      <c r="BI69" s="11"/>
      <c r="BJ69" s="311">
        <v>640769.23</v>
      </c>
      <c r="BK69" s="311">
        <v>121746.1537</v>
      </c>
      <c r="BL69" s="311">
        <v>762515.38369999989</v>
      </c>
      <c r="BM69" s="52" t="s">
        <v>138</v>
      </c>
      <c r="BN69" s="52" t="s">
        <v>876</v>
      </c>
      <c r="BO69" s="387">
        <v>201004</v>
      </c>
      <c r="BP69" s="320">
        <f>BO69*0.19</f>
        <v>38190.76</v>
      </c>
      <c r="BQ69" s="320">
        <f>BO69+BP69</f>
        <v>239194.76</v>
      </c>
      <c r="BR69" s="76" t="s">
        <v>877</v>
      </c>
      <c r="BS69" s="22" t="s">
        <v>878</v>
      </c>
      <c r="BT69" s="11"/>
      <c r="BU69" s="11"/>
      <c r="BV69" s="11"/>
      <c r="BW69" s="11"/>
      <c r="BX69" s="11"/>
      <c r="BY69" s="348"/>
      <c r="BZ69" s="348"/>
      <c r="CA69" s="348"/>
      <c r="CB69" s="348"/>
      <c r="CC69" s="348"/>
      <c r="CD69" s="11"/>
      <c r="CE69" s="11"/>
      <c r="CF69" s="11"/>
      <c r="CG69" s="11"/>
      <c r="CH69" s="11"/>
      <c r="CI69" s="11"/>
      <c r="CJ69" s="11"/>
      <c r="CK69" s="11"/>
      <c r="CL69" s="11"/>
      <c r="CM69" s="11"/>
      <c r="CN69" s="274"/>
      <c r="CO69" s="274"/>
      <c r="CP69" s="274"/>
      <c r="CQ69" s="11"/>
      <c r="CR69" s="11"/>
      <c r="CS69" s="11"/>
      <c r="CT69" s="11"/>
      <c r="CU69" s="11"/>
      <c r="CV69" s="11"/>
      <c r="CW69" s="11"/>
      <c r="CX69" s="11"/>
      <c r="CY69" s="11"/>
      <c r="CZ69" s="11"/>
      <c r="DA69" s="11"/>
      <c r="DB69" s="11"/>
      <c r="DC69" s="11"/>
      <c r="DD69" s="11"/>
      <c r="DE69" s="11"/>
      <c r="DF69" s="11"/>
      <c r="DG69" s="11"/>
      <c r="DH69" s="11"/>
      <c r="DI69" s="11"/>
      <c r="DJ69" s="11"/>
      <c r="DK69" s="11"/>
      <c r="DL69" s="11"/>
      <c r="DM69" s="118"/>
      <c r="DN69" s="118"/>
      <c r="DO69" s="118"/>
      <c r="DP69" s="52"/>
      <c r="DQ69" s="52"/>
      <c r="DR69" s="77"/>
      <c r="DS69" s="77"/>
      <c r="DT69" s="77"/>
      <c r="DU69" s="11"/>
      <c r="DV69" s="11"/>
      <c r="DW69" s="11"/>
      <c r="DX69" s="11"/>
      <c r="DY69" s="11"/>
      <c r="DZ69" s="11"/>
      <c r="EA69" s="11"/>
      <c r="EB69" s="11"/>
      <c r="EC69" s="11"/>
      <c r="ED69" s="11"/>
      <c r="EE69" s="11"/>
      <c r="EF69" s="11"/>
    </row>
    <row r="70" spans="1:136" ht="27" x14ac:dyDescent="0.25">
      <c r="A70" s="425">
        <v>68</v>
      </c>
      <c r="B70" s="427" t="s">
        <v>879</v>
      </c>
      <c r="C70" s="427" t="s">
        <v>880</v>
      </c>
      <c r="D70" s="427" t="s">
        <v>881</v>
      </c>
      <c r="E70" s="79">
        <v>1</v>
      </c>
      <c r="F70" s="406">
        <v>113817.1682</v>
      </c>
      <c r="G70" s="274"/>
      <c r="H70" s="274"/>
      <c r="I70" s="274"/>
      <c r="J70" s="274"/>
      <c r="K70" s="11"/>
      <c r="L70" s="274"/>
      <c r="M70" s="274"/>
      <c r="N70" s="274"/>
      <c r="O70" s="48"/>
      <c r="P70" s="11"/>
      <c r="Q70" s="274"/>
      <c r="R70" s="274"/>
      <c r="S70" s="274"/>
      <c r="T70" s="11"/>
      <c r="U70" s="11"/>
      <c r="V70" s="11"/>
      <c r="W70" s="11"/>
      <c r="X70" s="11"/>
      <c r="Y70" s="11"/>
      <c r="Z70" s="48"/>
      <c r="AA70" s="52"/>
      <c r="AB70" s="52"/>
      <c r="AC70" s="118"/>
      <c r="AD70" s="5"/>
      <c r="AE70" s="52"/>
      <c r="AF70" s="113"/>
      <c r="AG70" s="113"/>
      <c r="AH70" s="113"/>
      <c r="AI70" s="52"/>
      <c r="AJ70" s="11"/>
      <c r="AK70" s="269"/>
      <c r="AL70" s="269"/>
      <c r="AM70" s="269"/>
      <c r="AN70" s="301"/>
      <c r="AO70" s="302"/>
      <c r="AP70" s="11"/>
      <c r="AQ70" s="11"/>
      <c r="AR70" s="11"/>
      <c r="AS70" s="11"/>
      <c r="AT70" s="11"/>
      <c r="AU70" s="118"/>
      <c r="AV70" s="118"/>
      <c r="AW70" s="118"/>
      <c r="AX70" s="52"/>
      <c r="AY70" s="52"/>
      <c r="AZ70" s="11"/>
      <c r="BA70" s="11"/>
      <c r="BB70" s="11"/>
      <c r="BC70" s="11"/>
      <c r="BD70" s="11"/>
      <c r="BE70" s="274"/>
      <c r="BF70" s="274"/>
      <c r="BG70" s="274"/>
      <c r="BH70" s="11"/>
      <c r="BI70" s="11"/>
      <c r="BJ70" s="311"/>
      <c r="BK70" s="311"/>
      <c r="BL70" s="311"/>
      <c r="BM70" s="52"/>
      <c r="BN70" s="52"/>
      <c r="BO70" s="387"/>
      <c r="BP70" s="320"/>
      <c r="BQ70" s="320"/>
      <c r="BR70" s="76"/>
      <c r="BS70" s="4"/>
      <c r="BT70" s="11"/>
      <c r="BU70" s="11"/>
      <c r="BV70" s="11"/>
      <c r="BW70" s="11"/>
      <c r="BX70" s="11"/>
      <c r="BY70" s="348"/>
      <c r="BZ70" s="348"/>
      <c r="CA70" s="348"/>
      <c r="CB70" s="348"/>
      <c r="CC70" s="348"/>
      <c r="CD70" s="11"/>
      <c r="CE70" s="11"/>
      <c r="CF70" s="11"/>
      <c r="CG70" s="11"/>
      <c r="CH70" s="11"/>
      <c r="CI70" s="11"/>
      <c r="CJ70" s="11"/>
      <c r="CK70" s="11"/>
      <c r="CL70" s="11"/>
      <c r="CM70" s="11"/>
      <c r="CN70" s="274"/>
      <c r="CO70" s="274"/>
      <c r="CP70" s="274"/>
      <c r="CQ70" s="11"/>
      <c r="CR70" s="11"/>
      <c r="CS70" s="11"/>
      <c r="CT70" s="11"/>
      <c r="CU70" s="11"/>
      <c r="CV70" s="11"/>
      <c r="CW70" s="11"/>
      <c r="CX70" s="11"/>
      <c r="CY70" s="11"/>
      <c r="CZ70" s="11"/>
      <c r="DA70" s="11"/>
      <c r="DB70" s="11"/>
      <c r="DC70" s="11"/>
      <c r="DD70" s="11"/>
      <c r="DE70" s="11"/>
      <c r="DF70" s="11"/>
      <c r="DG70" s="11"/>
      <c r="DH70" s="11"/>
      <c r="DI70" s="11"/>
      <c r="DJ70" s="11"/>
      <c r="DK70" s="11"/>
      <c r="DL70" s="11"/>
      <c r="DM70" s="118"/>
      <c r="DN70" s="118"/>
      <c r="DO70" s="118"/>
      <c r="DP70" s="52"/>
      <c r="DQ70" s="52"/>
      <c r="DR70" s="77"/>
      <c r="DS70" s="77"/>
      <c r="DT70" s="77"/>
      <c r="DU70" s="11"/>
      <c r="DV70" s="11"/>
      <c r="DW70" s="11"/>
      <c r="DX70" s="11"/>
      <c r="DY70" s="11"/>
      <c r="DZ70" s="11"/>
      <c r="EA70" s="11"/>
      <c r="EB70" s="11"/>
      <c r="EC70" s="11"/>
      <c r="ED70" s="11"/>
      <c r="EE70" s="11"/>
      <c r="EF70" s="11"/>
    </row>
    <row r="71" spans="1:136" ht="12.75" customHeight="1" x14ac:dyDescent="0.25">
      <c r="A71" s="425">
        <v>69</v>
      </c>
      <c r="B71" s="427" t="s">
        <v>882</v>
      </c>
      <c r="C71" s="427" t="s">
        <v>622</v>
      </c>
      <c r="D71" s="427" t="s">
        <v>60</v>
      </c>
      <c r="E71" s="79">
        <v>1</v>
      </c>
      <c r="F71" s="406">
        <v>405971.59399999998</v>
      </c>
      <c r="G71" s="274"/>
      <c r="H71" s="274"/>
      <c r="I71" s="274"/>
      <c r="J71" s="274"/>
      <c r="K71" s="11"/>
      <c r="L71" s="274"/>
      <c r="M71" s="274"/>
      <c r="N71" s="274"/>
      <c r="O71" s="48"/>
      <c r="P71" s="11"/>
      <c r="Q71" s="274"/>
      <c r="R71" s="274"/>
      <c r="S71" s="274"/>
      <c r="T71" s="11"/>
      <c r="U71" s="11"/>
      <c r="V71" s="11"/>
      <c r="W71" s="11"/>
      <c r="X71" s="11"/>
      <c r="Y71" s="11"/>
      <c r="Z71" s="48"/>
      <c r="AA71" s="52"/>
      <c r="AB71" s="52"/>
      <c r="AC71" s="118"/>
      <c r="AD71" s="5"/>
      <c r="AE71" s="52"/>
      <c r="AF71" s="113"/>
      <c r="AG71" s="113"/>
      <c r="AH71" s="113"/>
      <c r="AI71" s="52"/>
      <c r="AJ71" s="11"/>
      <c r="AK71" s="269">
        <v>170000</v>
      </c>
      <c r="AL71" s="269">
        <v>32300</v>
      </c>
      <c r="AM71" s="269">
        <v>202300</v>
      </c>
      <c r="AN71" s="301" t="s">
        <v>88</v>
      </c>
      <c r="AO71" s="302">
        <v>1072280500</v>
      </c>
      <c r="AP71" s="11"/>
      <c r="AQ71" s="11"/>
      <c r="AR71" s="11"/>
      <c r="AS71" s="11"/>
      <c r="AT71" s="11"/>
      <c r="AU71" s="118"/>
      <c r="AV71" s="118"/>
      <c r="AW71" s="118"/>
      <c r="AX71" s="52"/>
      <c r="AY71" s="52"/>
      <c r="AZ71" s="11"/>
      <c r="BA71" s="11"/>
      <c r="BB71" s="11"/>
      <c r="BC71" s="11"/>
      <c r="BD71" s="11"/>
      <c r="BE71" s="274"/>
      <c r="BF71" s="274"/>
      <c r="BG71" s="274"/>
      <c r="BH71" s="11"/>
      <c r="BI71" s="11"/>
      <c r="BJ71" s="311"/>
      <c r="BK71" s="311"/>
      <c r="BL71" s="311"/>
      <c r="BM71" s="52"/>
      <c r="BN71" s="52"/>
      <c r="BO71" s="387"/>
      <c r="BP71" s="320"/>
      <c r="BQ71" s="320"/>
      <c r="BR71" s="76"/>
      <c r="BS71" s="4"/>
      <c r="BT71" s="11"/>
      <c r="BU71" s="11"/>
      <c r="BV71" s="11"/>
      <c r="BW71" s="11"/>
      <c r="BX71" s="11"/>
      <c r="BY71" s="232">
        <v>140000</v>
      </c>
      <c r="BZ71" s="232">
        <f>BY71*0.19</f>
        <v>26600</v>
      </c>
      <c r="CA71" s="232">
        <f>BY71+BZ71</f>
        <v>166600</v>
      </c>
      <c r="CB71" s="348" t="s">
        <v>767</v>
      </c>
      <c r="CC71" s="348" t="s">
        <v>883</v>
      </c>
      <c r="CD71" s="11"/>
      <c r="CE71" s="11"/>
      <c r="CF71" s="11"/>
      <c r="CG71" s="11"/>
      <c r="CH71" s="11"/>
      <c r="CI71" s="11"/>
      <c r="CJ71" s="11"/>
      <c r="CK71" s="11"/>
      <c r="CL71" s="11"/>
      <c r="CM71" s="11"/>
      <c r="CN71" s="274"/>
      <c r="CO71" s="274"/>
      <c r="CP71" s="274"/>
      <c r="CQ71" s="11"/>
      <c r="CR71" s="11"/>
      <c r="CS71" s="11"/>
      <c r="CT71" s="11"/>
      <c r="CU71" s="11"/>
      <c r="CV71" s="11"/>
      <c r="CW71" s="11"/>
      <c r="CX71" s="11"/>
      <c r="CY71" s="11"/>
      <c r="CZ71" s="11"/>
      <c r="DA71" s="11"/>
      <c r="DB71" s="11"/>
      <c r="DC71" s="11"/>
      <c r="DD71" s="11"/>
      <c r="DE71" s="11"/>
      <c r="DF71" s="11"/>
      <c r="DG71" s="11"/>
      <c r="DH71" s="11"/>
      <c r="DI71" s="11"/>
      <c r="DJ71" s="11"/>
      <c r="DK71" s="11"/>
      <c r="DL71" s="11"/>
      <c r="DM71" s="118"/>
      <c r="DN71" s="118"/>
      <c r="DO71" s="118"/>
      <c r="DP71" s="52"/>
      <c r="DQ71" s="52"/>
      <c r="DR71" s="77"/>
      <c r="DS71" s="77"/>
      <c r="DT71" s="77"/>
      <c r="DU71" s="11"/>
      <c r="DV71" s="11"/>
      <c r="DW71" s="11"/>
      <c r="DX71" s="11"/>
      <c r="DY71" s="11"/>
      <c r="DZ71" s="11"/>
      <c r="EA71" s="11"/>
      <c r="EB71" s="11"/>
      <c r="EC71" s="11"/>
      <c r="ED71" s="11"/>
      <c r="EE71" s="11"/>
      <c r="EF71" s="11"/>
    </row>
    <row r="72" spans="1:136" ht="67.5" x14ac:dyDescent="0.25">
      <c r="A72" s="425">
        <v>70</v>
      </c>
      <c r="B72" s="426" t="s">
        <v>884</v>
      </c>
      <c r="C72" s="413" t="s">
        <v>138</v>
      </c>
      <c r="D72" s="413" t="s">
        <v>609</v>
      </c>
      <c r="E72" s="79">
        <v>1</v>
      </c>
      <c r="F72" s="406">
        <v>718934.21600000001</v>
      </c>
      <c r="G72" s="274"/>
      <c r="H72" s="274"/>
      <c r="I72" s="274"/>
      <c r="J72" s="274"/>
      <c r="K72" s="11"/>
      <c r="L72" s="274"/>
      <c r="M72" s="274"/>
      <c r="N72" s="274"/>
      <c r="O72" s="48"/>
      <c r="P72" s="11"/>
      <c r="Q72" s="274"/>
      <c r="R72" s="274"/>
      <c r="S72" s="274"/>
      <c r="T72" s="11"/>
      <c r="U72" s="11"/>
      <c r="V72" s="11"/>
      <c r="W72" s="11"/>
      <c r="X72" s="11"/>
      <c r="Y72" s="11"/>
      <c r="Z72" s="48"/>
      <c r="AA72" s="52"/>
      <c r="AB72" s="52"/>
      <c r="AC72" s="118"/>
      <c r="AD72" s="5"/>
      <c r="AE72" s="52"/>
      <c r="AF72" s="113"/>
      <c r="AG72" s="113"/>
      <c r="AH72" s="113"/>
      <c r="AI72" s="52"/>
      <c r="AJ72" s="11"/>
      <c r="AK72" s="269"/>
      <c r="AL72" s="269"/>
      <c r="AM72" s="269"/>
      <c r="AN72" s="301"/>
      <c r="AO72" s="302"/>
      <c r="AP72" s="11"/>
      <c r="AQ72" s="11"/>
      <c r="AR72" s="11"/>
      <c r="AS72" s="11"/>
      <c r="AT72" s="11"/>
      <c r="AU72" s="118"/>
      <c r="AV72" s="118"/>
      <c r="AW72" s="118"/>
      <c r="AX72" s="52"/>
      <c r="AY72" s="52"/>
      <c r="AZ72" s="11"/>
      <c r="BA72" s="11"/>
      <c r="BB72" s="11"/>
      <c r="BC72" s="11"/>
      <c r="BD72" s="11"/>
      <c r="BE72" s="274"/>
      <c r="BF72" s="274"/>
      <c r="BG72" s="274"/>
      <c r="BH72" s="11"/>
      <c r="BI72" s="11"/>
      <c r="BJ72" s="311">
        <v>507500</v>
      </c>
      <c r="BK72" s="311">
        <v>96425</v>
      </c>
      <c r="BL72" s="311">
        <v>603925</v>
      </c>
      <c r="BM72" s="33" t="s">
        <v>138</v>
      </c>
      <c r="BN72" s="33">
        <v>750024</v>
      </c>
      <c r="BO72" s="387"/>
      <c r="BP72" s="320"/>
      <c r="BQ72" s="320"/>
      <c r="BR72" s="76"/>
      <c r="BS72" s="4"/>
      <c r="BT72" s="11"/>
      <c r="BU72" s="11"/>
      <c r="BV72" s="11"/>
      <c r="BW72" s="11"/>
      <c r="BX72" s="11"/>
      <c r="BY72" s="348"/>
      <c r="BZ72" s="348"/>
      <c r="CA72" s="348"/>
      <c r="CB72" s="348"/>
      <c r="CC72" s="348"/>
      <c r="CD72" s="11"/>
      <c r="CE72" s="11"/>
      <c r="CF72" s="11"/>
      <c r="CG72" s="11"/>
      <c r="CH72" s="11"/>
      <c r="CI72" s="11"/>
      <c r="CJ72" s="11"/>
      <c r="CK72" s="11"/>
      <c r="CL72" s="11"/>
      <c r="CM72" s="11"/>
      <c r="CN72" s="274"/>
      <c r="CO72" s="274"/>
      <c r="CP72" s="274"/>
      <c r="CQ72" s="11"/>
      <c r="CR72" s="11"/>
      <c r="CS72" s="11"/>
      <c r="CT72" s="11"/>
      <c r="CU72" s="11"/>
      <c r="CV72" s="11"/>
      <c r="CW72" s="11"/>
      <c r="CX72" s="11"/>
      <c r="CY72" s="11"/>
      <c r="CZ72" s="11"/>
      <c r="DA72" s="11"/>
      <c r="DB72" s="11"/>
      <c r="DC72" s="11"/>
      <c r="DD72" s="11"/>
      <c r="DE72" s="11"/>
      <c r="DF72" s="11"/>
      <c r="DG72" s="11"/>
      <c r="DH72" s="11"/>
      <c r="DI72" s="11"/>
      <c r="DJ72" s="11"/>
      <c r="DK72" s="11"/>
      <c r="DL72" s="11"/>
      <c r="DM72" s="118"/>
      <c r="DN72" s="118"/>
      <c r="DO72" s="118"/>
      <c r="DP72" s="52"/>
      <c r="DQ72" s="52"/>
      <c r="DR72" s="77"/>
      <c r="DS72" s="77"/>
      <c r="DT72" s="77"/>
      <c r="DU72" s="11"/>
      <c r="DV72" s="11"/>
      <c r="DW72" s="11"/>
      <c r="DX72" s="11"/>
      <c r="DY72" s="11"/>
      <c r="DZ72" s="11"/>
      <c r="EA72" s="11"/>
      <c r="EB72" s="11"/>
      <c r="EC72" s="11"/>
      <c r="ED72" s="11"/>
      <c r="EE72" s="11"/>
      <c r="EF72" s="11"/>
    </row>
    <row r="73" spans="1:136" ht="12.75" customHeight="1" x14ac:dyDescent="0.25">
      <c r="A73" s="425">
        <v>71</v>
      </c>
      <c r="B73" s="427" t="s">
        <v>885</v>
      </c>
      <c r="C73" s="427" t="s">
        <v>622</v>
      </c>
      <c r="D73" s="427" t="s">
        <v>49</v>
      </c>
      <c r="E73" s="79">
        <v>1</v>
      </c>
      <c r="F73" s="406">
        <v>89777</v>
      </c>
      <c r="G73" s="274"/>
      <c r="H73" s="274"/>
      <c r="I73" s="274"/>
      <c r="J73" s="274"/>
      <c r="K73" s="11"/>
      <c r="L73" s="274"/>
      <c r="M73" s="274"/>
      <c r="N73" s="274"/>
      <c r="O73" s="48"/>
      <c r="P73" s="11"/>
      <c r="Q73" s="274"/>
      <c r="R73" s="274"/>
      <c r="S73" s="274"/>
      <c r="T73" s="11"/>
      <c r="U73" s="11"/>
      <c r="V73" s="11"/>
      <c r="W73" s="11"/>
      <c r="X73" s="11"/>
      <c r="Y73" s="11"/>
      <c r="Z73" s="48"/>
      <c r="AA73" s="52"/>
      <c r="AB73" s="52"/>
      <c r="AC73" s="118"/>
      <c r="AD73" s="5"/>
      <c r="AE73" s="52"/>
      <c r="AF73" s="113"/>
      <c r="AG73" s="113"/>
      <c r="AH73" s="113"/>
      <c r="AI73" s="52"/>
      <c r="AJ73" s="11"/>
      <c r="AK73" s="269"/>
      <c r="AL73" s="269"/>
      <c r="AM73" s="269"/>
      <c r="AN73" s="301"/>
      <c r="AO73" s="302"/>
      <c r="AP73" s="11"/>
      <c r="AQ73" s="11"/>
      <c r="AR73" s="11"/>
      <c r="AS73" s="11"/>
      <c r="AT73" s="11"/>
      <c r="AU73" s="118"/>
      <c r="AV73" s="118"/>
      <c r="AW73" s="118"/>
      <c r="AX73" s="52"/>
      <c r="AY73" s="52"/>
      <c r="AZ73" s="11"/>
      <c r="BA73" s="11"/>
      <c r="BB73" s="11"/>
      <c r="BC73" s="11"/>
      <c r="BD73" s="11"/>
      <c r="BE73" s="274">
        <v>66000</v>
      </c>
      <c r="BF73" s="274">
        <v>12540</v>
      </c>
      <c r="BG73" s="274">
        <v>78540</v>
      </c>
      <c r="BH73" s="11" t="s">
        <v>48</v>
      </c>
      <c r="BI73" s="11" t="s">
        <v>886</v>
      </c>
      <c r="BJ73" s="311"/>
      <c r="BK73" s="311"/>
      <c r="BL73" s="311"/>
      <c r="BM73" s="52"/>
      <c r="BN73" s="52"/>
      <c r="BO73" s="387"/>
      <c r="BP73" s="320"/>
      <c r="BQ73" s="320"/>
      <c r="BR73" s="76"/>
      <c r="BS73" s="4"/>
      <c r="BT73" s="11"/>
      <c r="BU73" s="11"/>
      <c r="BV73" s="11"/>
      <c r="BW73" s="11"/>
      <c r="BX73" s="11"/>
      <c r="BY73" s="348"/>
      <c r="BZ73" s="348"/>
      <c r="CA73" s="348"/>
      <c r="CB73" s="348"/>
      <c r="CC73" s="348"/>
      <c r="CD73" s="11"/>
      <c r="CE73" s="11"/>
      <c r="CF73" s="11"/>
      <c r="CG73" s="11"/>
      <c r="CH73" s="11"/>
      <c r="CI73" s="11"/>
      <c r="CJ73" s="11"/>
      <c r="CK73" s="11"/>
      <c r="CL73" s="11"/>
      <c r="CM73" s="11"/>
      <c r="CN73" s="274"/>
      <c r="CO73" s="274"/>
      <c r="CP73" s="274"/>
      <c r="CQ73" s="11"/>
      <c r="CR73" s="11"/>
      <c r="CS73" s="11"/>
      <c r="CT73" s="11"/>
      <c r="CU73" s="11"/>
      <c r="CV73" s="11"/>
      <c r="CW73" s="11"/>
      <c r="CX73" s="11"/>
      <c r="CY73" s="11"/>
      <c r="CZ73" s="11"/>
      <c r="DA73" s="11"/>
      <c r="DB73" s="11"/>
      <c r="DC73" s="11"/>
      <c r="DD73" s="11"/>
      <c r="DE73" s="11"/>
      <c r="DF73" s="11"/>
      <c r="DG73" s="11"/>
      <c r="DH73" s="11"/>
      <c r="DI73" s="11"/>
      <c r="DJ73" s="11"/>
      <c r="DK73" s="11"/>
      <c r="DL73" s="11"/>
      <c r="DM73" s="118"/>
      <c r="DN73" s="118"/>
      <c r="DO73" s="118"/>
      <c r="DP73" s="52"/>
      <c r="DQ73" s="52"/>
      <c r="DR73" s="77"/>
      <c r="DS73" s="77"/>
      <c r="DT73" s="77"/>
      <c r="DU73" s="11"/>
      <c r="DV73" s="11"/>
      <c r="DW73" s="11"/>
      <c r="DX73" s="11"/>
      <c r="DY73" s="11"/>
      <c r="DZ73" s="11"/>
      <c r="EA73" s="11"/>
      <c r="EB73" s="11"/>
      <c r="EC73" s="11"/>
      <c r="ED73" s="11"/>
      <c r="EE73" s="11"/>
      <c r="EF73" s="11"/>
    </row>
    <row r="74" spans="1:136" ht="27" x14ac:dyDescent="0.25">
      <c r="A74" s="425">
        <v>72</v>
      </c>
      <c r="B74" s="427" t="s">
        <v>887</v>
      </c>
      <c r="C74" s="427" t="s">
        <v>622</v>
      </c>
      <c r="D74" s="427" t="s">
        <v>888</v>
      </c>
      <c r="E74" s="79">
        <v>1</v>
      </c>
      <c r="F74" s="406">
        <v>6284.39</v>
      </c>
      <c r="G74" s="274"/>
      <c r="H74" s="274"/>
      <c r="I74" s="274"/>
      <c r="J74" s="274"/>
      <c r="K74" s="11"/>
      <c r="L74" s="274"/>
      <c r="M74" s="274"/>
      <c r="N74" s="274"/>
      <c r="O74" s="48"/>
      <c r="P74" s="11"/>
      <c r="Q74" s="274"/>
      <c r="R74" s="274"/>
      <c r="S74" s="274"/>
      <c r="T74" s="11"/>
      <c r="U74" s="11"/>
      <c r="V74" s="11"/>
      <c r="W74" s="11"/>
      <c r="X74" s="11"/>
      <c r="Y74" s="11"/>
      <c r="Z74" s="48"/>
      <c r="AA74" s="52"/>
      <c r="AB74" s="52"/>
      <c r="AC74" s="118"/>
      <c r="AD74" s="5"/>
      <c r="AE74" s="52"/>
      <c r="AF74" s="113"/>
      <c r="AG74" s="113"/>
      <c r="AH74" s="113"/>
      <c r="AI74" s="52"/>
      <c r="AJ74" s="11"/>
      <c r="AK74" s="269"/>
      <c r="AL74" s="269"/>
      <c r="AM74" s="269"/>
      <c r="AN74" s="301"/>
      <c r="AO74" s="302"/>
      <c r="AP74" s="11"/>
      <c r="AQ74" s="11"/>
      <c r="AR74" s="11"/>
      <c r="AS74" s="11"/>
      <c r="AT74" s="11"/>
      <c r="AU74" s="118"/>
      <c r="AV74" s="118"/>
      <c r="AW74" s="118"/>
      <c r="AX74" s="52"/>
      <c r="AY74" s="52"/>
      <c r="AZ74" s="11"/>
      <c r="BA74" s="11"/>
      <c r="BB74" s="11"/>
      <c r="BC74" s="11"/>
      <c r="BD74" s="11"/>
      <c r="BE74" s="274">
        <v>10000</v>
      </c>
      <c r="BF74" s="274">
        <v>1900</v>
      </c>
      <c r="BG74" s="274">
        <v>11900</v>
      </c>
      <c r="BH74" s="11" t="s">
        <v>889</v>
      </c>
      <c r="BI74" s="11" t="s">
        <v>890</v>
      </c>
      <c r="BJ74" s="311"/>
      <c r="BK74" s="311"/>
      <c r="BL74" s="311"/>
      <c r="BM74" s="52"/>
      <c r="BN74" s="52"/>
      <c r="BO74" s="387"/>
      <c r="BP74" s="320"/>
      <c r="BQ74" s="320"/>
      <c r="BR74" s="76"/>
      <c r="BS74" s="4"/>
      <c r="BT74" s="11"/>
      <c r="BU74" s="11"/>
      <c r="BV74" s="11"/>
      <c r="BW74" s="11"/>
      <c r="BX74" s="11"/>
      <c r="BY74" s="348"/>
      <c r="BZ74" s="348"/>
      <c r="CA74" s="348"/>
      <c r="CB74" s="348"/>
      <c r="CC74" s="348"/>
      <c r="CD74" s="11"/>
      <c r="CE74" s="11"/>
      <c r="CF74" s="11"/>
      <c r="CG74" s="11"/>
      <c r="CH74" s="11"/>
      <c r="CI74" s="11"/>
      <c r="CJ74" s="11"/>
      <c r="CK74" s="11"/>
      <c r="CL74" s="11"/>
      <c r="CM74" s="11"/>
      <c r="CN74" s="274"/>
      <c r="CO74" s="274"/>
      <c r="CP74" s="274"/>
      <c r="CQ74" s="11"/>
      <c r="CR74" s="11"/>
      <c r="CS74" s="11"/>
      <c r="CT74" s="11"/>
      <c r="CU74" s="11"/>
      <c r="CV74" s="11"/>
      <c r="CW74" s="11"/>
      <c r="CX74" s="11"/>
      <c r="CY74" s="11"/>
      <c r="CZ74" s="11"/>
      <c r="DA74" s="11"/>
      <c r="DB74" s="11"/>
      <c r="DC74" s="11"/>
      <c r="DD74" s="11"/>
      <c r="DE74" s="11"/>
      <c r="DF74" s="11"/>
      <c r="DG74" s="11"/>
      <c r="DH74" s="11"/>
      <c r="DI74" s="11"/>
      <c r="DJ74" s="11"/>
      <c r="DK74" s="11"/>
      <c r="DL74" s="11"/>
      <c r="DM74" s="118"/>
      <c r="DN74" s="118"/>
      <c r="DO74" s="118"/>
      <c r="DP74" s="52"/>
      <c r="DQ74" s="52"/>
      <c r="DR74" s="77"/>
      <c r="DS74" s="77"/>
      <c r="DT74" s="77"/>
      <c r="DU74" s="11"/>
      <c r="DV74" s="11"/>
      <c r="DW74" s="11"/>
      <c r="DX74" s="11"/>
      <c r="DY74" s="11"/>
      <c r="DZ74" s="11"/>
      <c r="EA74" s="11"/>
      <c r="EB74" s="11"/>
      <c r="EC74" s="11"/>
      <c r="ED74" s="11"/>
      <c r="EE74" s="11"/>
      <c r="EF74" s="11"/>
    </row>
    <row r="75" spans="1:136" ht="12.75" customHeight="1" x14ac:dyDescent="0.25">
      <c r="A75" s="425">
        <v>73</v>
      </c>
      <c r="B75" s="427" t="s">
        <v>891</v>
      </c>
      <c r="C75" s="427" t="s">
        <v>622</v>
      </c>
      <c r="D75" s="586" t="s">
        <v>892</v>
      </c>
      <c r="E75" s="79">
        <v>1</v>
      </c>
      <c r="F75" s="405"/>
      <c r="G75" s="274">
        <v>215000</v>
      </c>
      <c r="H75" s="274">
        <v>40850</v>
      </c>
      <c r="I75" s="274">
        <v>255850</v>
      </c>
      <c r="J75" s="274" t="s">
        <v>45</v>
      </c>
      <c r="K75" s="11" t="s">
        <v>893</v>
      </c>
      <c r="L75" s="274"/>
      <c r="M75" s="274"/>
      <c r="N75" s="274"/>
      <c r="O75" s="48"/>
      <c r="P75" s="11"/>
      <c r="Q75" s="274"/>
      <c r="R75" s="274"/>
      <c r="S75" s="274"/>
      <c r="T75" s="11"/>
      <c r="U75" s="11"/>
      <c r="V75" s="11"/>
      <c r="W75" s="11"/>
      <c r="X75" s="11"/>
      <c r="Y75" s="11"/>
      <c r="Z75" s="48"/>
      <c r="AA75" s="52"/>
      <c r="AB75" s="52"/>
      <c r="AC75" s="118"/>
      <c r="AD75" s="5"/>
      <c r="AE75" s="52"/>
      <c r="AF75" s="113">
        <v>205000</v>
      </c>
      <c r="AG75" s="113">
        <f>AF75*0.19</f>
        <v>38950</v>
      </c>
      <c r="AH75" s="113">
        <f>AF75+AG75</f>
        <v>243950</v>
      </c>
      <c r="AI75" s="52" t="s">
        <v>628</v>
      </c>
      <c r="AJ75" s="11" t="s">
        <v>894</v>
      </c>
      <c r="AK75" s="269">
        <v>273600</v>
      </c>
      <c r="AL75" s="269">
        <v>51984</v>
      </c>
      <c r="AM75" s="269">
        <v>325584</v>
      </c>
      <c r="AN75" s="301" t="s">
        <v>88</v>
      </c>
      <c r="AO75" s="302">
        <v>1096261000</v>
      </c>
      <c r="AP75" s="11"/>
      <c r="AQ75" s="11"/>
      <c r="AR75" s="11"/>
      <c r="AS75" s="11"/>
      <c r="AT75" s="11"/>
      <c r="AU75" s="118"/>
      <c r="AV75" s="118"/>
      <c r="AW75" s="118"/>
      <c r="AX75" s="52"/>
      <c r="AY75" s="52"/>
      <c r="AZ75" s="11"/>
      <c r="BA75" s="11"/>
      <c r="BB75" s="11"/>
      <c r="BC75" s="11"/>
      <c r="BD75" s="11"/>
      <c r="BE75" s="274"/>
      <c r="BF75" s="274"/>
      <c r="BG75" s="274"/>
      <c r="BH75" s="11"/>
      <c r="BI75" s="11"/>
      <c r="BJ75" s="311"/>
      <c r="BK75" s="311"/>
      <c r="BL75" s="311"/>
      <c r="BM75" s="52"/>
      <c r="BN75" s="52"/>
      <c r="BO75" s="387"/>
      <c r="BP75" s="320"/>
      <c r="BQ75" s="320"/>
      <c r="BR75" s="76"/>
      <c r="BS75" s="4"/>
      <c r="BT75" s="11"/>
      <c r="BU75" s="11"/>
      <c r="BV75" s="11"/>
      <c r="BW75" s="11"/>
      <c r="BX75" s="11"/>
      <c r="BY75" s="348"/>
      <c r="BZ75" s="348"/>
      <c r="CA75" s="348"/>
      <c r="CB75" s="348"/>
      <c r="CC75" s="348"/>
      <c r="CD75" s="11"/>
      <c r="CE75" s="11"/>
      <c r="CF75" s="11"/>
      <c r="CG75" s="11"/>
      <c r="CH75" s="11"/>
      <c r="CI75" s="11"/>
      <c r="CJ75" s="11"/>
      <c r="CK75" s="11"/>
      <c r="CL75" s="11"/>
      <c r="CM75" s="11"/>
      <c r="CN75" s="274"/>
      <c r="CO75" s="274"/>
      <c r="CP75" s="274"/>
      <c r="CQ75" s="11"/>
      <c r="CR75" s="11"/>
      <c r="CS75" s="11"/>
      <c r="CT75" s="11"/>
      <c r="CU75" s="11"/>
      <c r="CV75" s="11"/>
      <c r="CW75" s="11"/>
      <c r="CX75" s="11"/>
      <c r="CY75" s="11"/>
      <c r="CZ75" s="11"/>
      <c r="DA75" s="11"/>
      <c r="DB75" s="11"/>
      <c r="DC75" s="11"/>
      <c r="DD75" s="11"/>
      <c r="DE75" s="11"/>
      <c r="DF75" s="11"/>
      <c r="DG75" s="11"/>
      <c r="DH75" s="11"/>
      <c r="DI75" s="11"/>
      <c r="DJ75" s="11"/>
      <c r="DK75" s="11"/>
      <c r="DL75" s="11"/>
      <c r="DM75" s="118"/>
      <c r="DN75" s="118"/>
      <c r="DO75" s="118"/>
      <c r="DP75" s="52"/>
      <c r="DQ75" s="52"/>
      <c r="DR75" s="77"/>
      <c r="DS75" s="77"/>
      <c r="DT75" s="77"/>
      <c r="DU75" s="11"/>
      <c r="DV75" s="11"/>
      <c r="DW75" s="11"/>
      <c r="DX75" s="11"/>
      <c r="DY75" s="11"/>
      <c r="DZ75" s="11"/>
      <c r="EA75" s="11"/>
      <c r="EB75" s="11"/>
      <c r="EC75" s="11"/>
      <c r="ED75" s="11"/>
      <c r="EE75" s="11"/>
      <c r="EF75" s="11"/>
    </row>
    <row r="76" spans="1:136" ht="27" x14ac:dyDescent="0.25">
      <c r="A76" s="425">
        <v>74</v>
      </c>
      <c r="B76" s="427" t="s">
        <v>895</v>
      </c>
      <c r="C76" s="427" t="s">
        <v>622</v>
      </c>
      <c r="D76" s="427" t="s">
        <v>69</v>
      </c>
      <c r="E76" s="79">
        <v>1</v>
      </c>
      <c r="F76" s="406">
        <v>119403.41</v>
      </c>
      <c r="G76" s="274"/>
      <c r="H76" s="274"/>
      <c r="I76" s="274"/>
      <c r="J76" s="274"/>
      <c r="K76" s="11"/>
      <c r="L76" s="274"/>
      <c r="M76" s="274"/>
      <c r="N76" s="274"/>
      <c r="O76" s="48"/>
      <c r="P76" s="11"/>
      <c r="Q76" s="274"/>
      <c r="R76" s="274"/>
      <c r="S76" s="274"/>
      <c r="T76" s="11"/>
      <c r="U76" s="11"/>
      <c r="V76" s="11"/>
      <c r="W76" s="11"/>
      <c r="X76" s="11"/>
      <c r="Y76" s="11"/>
      <c r="Z76" s="48"/>
      <c r="AA76" s="52"/>
      <c r="AB76" s="52"/>
      <c r="AC76" s="118"/>
      <c r="AD76" s="5"/>
      <c r="AE76" s="52"/>
      <c r="AF76" s="113"/>
      <c r="AG76" s="113"/>
      <c r="AH76" s="113"/>
      <c r="AI76" s="52"/>
      <c r="AJ76" s="11"/>
      <c r="AK76" s="269"/>
      <c r="AL76" s="269"/>
      <c r="AM76" s="269"/>
      <c r="AN76" s="301"/>
      <c r="AO76" s="302"/>
      <c r="AP76" s="11"/>
      <c r="AQ76" s="11"/>
      <c r="AR76" s="11"/>
      <c r="AS76" s="11"/>
      <c r="AT76" s="11"/>
      <c r="AU76" s="118"/>
      <c r="AV76" s="118"/>
      <c r="AW76" s="118"/>
      <c r="AX76" s="52"/>
      <c r="AY76" s="52"/>
      <c r="AZ76" s="11"/>
      <c r="BA76" s="11"/>
      <c r="BB76" s="11"/>
      <c r="BC76" s="11"/>
      <c r="BD76" s="11"/>
      <c r="BE76" s="274">
        <v>36000</v>
      </c>
      <c r="BF76" s="274">
        <v>6840</v>
      </c>
      <c r="BG76" s="274">
        <v>42840</v>
      </c>
      <c r="BH76" s="11" t="s">
        <v>48</v>
      </c>
      <c r="BI76" s="11" t="s">
        <v>896</v>
      </c>
      <c r="BJ76" s="311"/>
      <c r="BK76" s="311"/>
      <c r="BL76" s="311"/>
      <c r="BM76" s="52"/>
      <c r="BN76" s="52"/>
      <c r="BO76" s="387"/>
      <c r="BP76" s="320"/>
      <c r="BQ76" s="320"/>
      <c r="BR76" s="76"/>
      <c r="BS76" s="4"/>
      <c r="BT76" s="11"/>
      <c r="BU76" s="11"/>
      <c r="BV76" s="11"/>
      <c r="BW76" s="11"/>
      <c r="BX76" s="11"/>
      <c r="BY76" s="348"/>
      <c r="BZ76" s="348"/>
      <c r="CA76" s="348"/>
      <c r="CB76" s="348"/>
      <c r="CC76" s="348"/>
      <c r="CD76" s="11"/>
      <c r="CE76" s="11"/>
      <c r="CF76" s="11"/>
      <c r="CG76" s="11"/>
      <c r="CH76" s="11"/>
      <c r="CI76" s="11"/>
      <c r="CJ76" s="11"/>
      <c r="CK76" s="11"/>
      <c r="CL76" s="11"/>
      <c r="CM76" s="11"/>
      <c r="CN76" s="274"/>
      <c r="CO76" s="274"/>
      <c r="CP76" s="274"/>
      <c r="CQ76" s="11"/>
      <c r="CR76" s="11"/>
      <c r="CS76" s="11"/>
      <c r="CT76" s="11"/>
      <c r="CU76" s="11"/>
      <c r="CV76" s="11"/>
      <c r="CW76" s="11"/>
      <c r="CX76" s="11"/>
      <c r="CY76" s="11"/>
      <c r="CZ76" s="11"/>
      <c r="DA76" s="11"/>
      <c r="DB76" s="11"/>
      <c r="DC76" s="11"/>
      <c r="DD76" s="11"/>
      <c r="DE76" s="11"/>
      <c r="DF76" s="11"/>
      <c r="DG76" s="11"/>
      <c r="DH76" s="11"/>
      <c r="DI76" s="11"/>
      <c r="DJ76" s="11"/>
      <c r="DK76" s="11"/>
      <c r="DL76" s="11"/>
      <c r="DM76" s="118"/>
      <c r="DN76" s="118"/>
      <c r="DO76" s="118"/>
      <c r="DP76" s="52"/>
      <c r="DQ76" s="52"/>
      <c r="DR76" s="77"/>
      <c r="DS76" s="77"/>
      <c r="DT76" s="77"/>
      <c r="DU76" s="11"/>
      <c r="DV76" s="11"/>
      <c r="DW76" s="11"/>
      <c r="DX76" s="11"/>
      <c r="DY76" s="11"/>
      <c r="DZ76" s="11"/>
      <c r="EA76" s="11"/>
      <c r="EB76" s="11"/>
      <c r="EC76" s="11"/>
      <c r="ED76" s="11"/>
      <c r="EE76" s="11"/>
      <c r="EF76" s="11"/>
    </row>
    <row r="77" spans="1:136" ht="12.75" customHeight="1" x14ac:dyDescent="0.25">
      <c r="A77" s="425">
        <v>75</v>
      </c>
      <c r="B77" s="427" t="s">
        <v>897</v>
      </c>
      <c r="C77" s="427" t="s">
        <v>622</v>
      </c>
      <c r="D77" s="427" t="s">
        <v>49</v>
      </c>
      <c r="E77" s="79">
        <v>1</v>
      </c>
      <c r="F77" s="406">
        <v>33935.705999999998</v>
      </c>
      <c r="G77" s="274">
        <v>98750</v>
      </c>
      <c r="H77" s="274">
        <v>18762.5</v>
      </c>
      <c r="I77" s="274">
        <v>117512.5</v>
      </c>
      <c r="J77" s="274" t="s">
        <v>50</v>
      </c>
      <c r="K77" s="11" t="s">
        <v>898</v>
      </c>
      <c r="L77" s="274"/>
      <c r="M77" s="274"/>
      <c r="N77" s="274"/>
      <c r="O77" s="48"/>
      <c r="P77" s="11"/>
      <c r="Q77" s="274"/>
      <c r="R77" s="274"/>
      <c r="S77" s="274"/>
      <c r="T77" s="11"/>
      <c r="U77" s="11"/>
      <c r="V77" s="11"/>
      <c r="W77" s="11"/>
      <c r="X77" s="11"/>
      <c r="Y77" s="11"/>
      <c r="Z77" s="48"/>
      <c r="AA77" s="52"/>
      <c r="AB77" s="52"/>
      <c r="AC77" s="118"/>
      <c r="AD77" s="5"/>
      <c r="AE77" s="52"/>
      <c r="AF77" s="113"/>
      <c r="AG77" s="113"/>
      <c r="AH77" s="113"/>
      <c r="AI77" s="52"/>
      <c r="AJ77" s="11"/>
      <c r="AK77" s="269"/>
      <c r="AL77" s="269"/>
      <c r="AM77" s="269"/>
      <c r="AN77" s="301"/>
      <c r="AO77" s="302"/>
      <c r="AP77" s="11"/>
      <c r="AQ77" s="11"/>
      <c r="AR77" s="11"/>
      <c r="AS77" s="11"/>
      <c r="AT77" s="11"/>
      <c r="AU77" s="118"/>
      <c r="AV77" s="118"/>
      <c r="AW77" s="118"/>
      <c r="AX77" s="52"/>
      <c r="AY77" s="52"/>
      <c r="AZ77" s="11"/>
      <c r="BA77" s="11"/>
      <c r="BB77" s="11"/>
      <c r="BC77" s="11"/>
      <c r="BD77" s="11"/>
      <c r="BE77" s="274">
        <v>36000</v>
      </c>
      <c r="BF77" s="274">
        <v>6840</v>
      </c>
      <c r="BG77" s="274">
        <v>42840</v>
      </c>
      <c r="BH77" s="11" t="s">
        <v>48</v>
      </c>
      <c r="BI77" s="11" t="s">
        <v>896</v>
      </c>
      <c r="BJ77" s="311"/>
      <c r="BK77" s="311"/>
      <c r="BL77" s="311"/>
      <c r="BM77" s="52"/>
      <c r="BN77" s="52"/>
      <c r="BO77" s="387"/>
      <c r="BP77" s="320"/>
      <c r="BQ77" s="320"/>
      <c r="BR77" s="76"/>
      <c r="BS77" s="4"/>
      <c r="BT77" s="11"/>
      <c r="BU77" s="11"/>
      <c r="BV77" s="11"/>
      <c r="BW77" s="11"/>
      <c r="BX77" s="11"/>
      <c r="BY77" s="348"/>
      <c r="BZ77" s="348"/>
      <c r="CA77" s="348"/>
      <c r="CB77" s="348"/>
      <c r="CC77" s="348"/>
      <c r="CD77" s="11"/>
      <c r="CE77" s="11"/>
      <c r="CF77" s="11"/>
      <c r="CG77" s="11"/>
      <c r="CH77" s="11"/>
      <c r="CI77" s="11"/>
      <c r="CJ77" s="11"/>
      <c r="CK77" s="11"/>
      <c r="CL77" s="11"/>
      <c r="CM77" s="11"/>
      <c r="CN77" s="274"/>
      <c r="CO77" s="274"/>
      <c r="CP77" s="274"/>
      <c r="CQ77" s="11"/>
      <c r="CR77" s="11"/>
      <c r="CS77" s="11"/>
      <c r="CT77" s="11"/>
      <c r="CU77" s="11"/>
      <c r="CV77" s="11"/>
      <c r="CW77" s="11"/>
      <c r="CX77" s="11"/>
      <c r="CY77" s="11"/>
      <c r="CZ77" s="11"/>
      <c r="DA77" s="11"/>
      <c r="DB77" s="11"/>
      <c r="DC77" s="11"/>
      <c r="DD77" s="11"/>
      <c r="DE77" s="11"/>
      <c r="DF77" s="11"/>
      <c r="DG77" s="11"/>
      <c r="DH77" s="11"/>
      <c r="DI77" s="11"/>
      <c r="DJ77" s="11"/>
      <c r="DK77" s="11"/>
      <c r="DL77" s="11"/>
      <c r="DM77" s="118"/>
      <c r="DN77" s="118"/>
      <c r="DO77" s="118"/>
      <c r="DP77" s="52"/>
      <c r="DQ77" s="52"/>
      <c r="DR77" s="77"/>
      <c r="DS77" s="77"/>
      <c r="DT77" s="77"/>
      <c r="DU77" s="11"/>
      <c r="DV77" s="11"/>
      <c r="DW77" s="11"/>
      <c r="DX77" s="11"/>
      <c r="DY77" s="11"/>
      <c r="DZ77" s="11"/>
      <c r="EA77" s="11"/>
      <c r="EB77" s="11"/>
      <c r="EC77" s="11"/>
      <c r="ED77" s="11"/>
      <c r="EE77" s="11"/>
      <c r="EF77" s="11"/>
    </row>
    <row r="78" spans="1:136" ht="27" x14ac:dyDescent="0.25">
      <c r="A78" s="425">
        <v>76</v>
      </c>
      <c r="B78" s="428" t="s">
        <v>899</v>
      </c>
      <c r="C78" s="427" t="s">
        <v>622</v>
      </c>
      <c r="D78" s="427" t="s">
        <v>900</v>
      </c>
      <c r="E78" s="79">
        <v>1</v>
      </c>
      <c r="F78" s="405"/>
      <c r="G78" s="274">
        <v>300000</v>
      </c>
      <c r="H78" s="274">
        <v>57000</v>
      </c>
      <c r="I78" s="274">
        <v>357000</v>
      </c>
      <c r="J78" s="274" t="s">
        <v>45</v>
      </c>
      <c r="K78" s="11" t="s">
        <v>901</v>
      </c>
      <c r="L78" s="274"/>
      <c r="M78" s="274"/>
      <c r="N78" s="274"/>
      <c r="O78" s="48"/>
      <c r="P78" s="11"/>
      <c r="Q78" s="274"/>
      <c r="R78" s="274"/>
      <c r="S78" s="274"/>
      <c r="T78" s="11"/>
      <c r="U78" s="11"/>
      <c r="V78" s="11"/>
      <c r="W78" s="11"/>
      <c r="X78" s="11"/>
      <c r="Y78" s="11"/>
      <c r="Z78" s="48"/>
      <c r="AA78" s="52"/>
      <c r="AB78" s="52"/>
      <c r="AC78" s="118"/>
      <c r="AD78" s="5"/>
      <c r="AE78" s="52"/>
      <c r="AF78" s="113">
        <v>658000</v>
      </c>
      <c r="AG78" s="113">
        <f>AF78*0.19</f>
        <v>125020</v>
      </c>
      <c r="AH78" s="113">
        <f>AF78+AG78</f>
        <v>783020</v>
      </c>
      <c r="AI78" s="277" t="s">
        <v>628</v>
      </c>
      <c r="AJ78" s="33" t="s">
        <v>902</v>
      </c>
      <c r="AK78" s="269"/>
      <c r="AL78" s="269"/>
      <c r="AM78" s="269"/>
      <c r="AN78" s="301"/>
      <c r="AO78" s="302"/>
      <c r="AP78" s="11"/>
      <c r="AQ78" s="11"/>
      <c r="AR78" s="11"/>
      <c r="AS78" s="11"/>
      <c r="AT78" s="11"/>
      <c r="AU78" s="118">
        <v>324675</v>
      </c>
      <c r="AV78" s="118">
        <v>61688</v>
      </c>
      <c r="AW78" s="118">
        <v>386364</v>
      </c>
      <c r="AX78" s="52" t="s">
        <v>607</v>
      </c>
      <c r="AY78" s="52">
        <v>1012520100</v>
      </c>
      <c r="AZ78" s="11"/>
      <c r="BA78" s="11"/>
      <c r="BB78" s="11"/>
      <c r="BC78" s="11"/>
      <c r="BD78" s="11"/>
      <c r="BE78" s="274"/>
      <c r="BF78" s="274"/>
      <c r="BG78" s="274"/>
      <c r="BH78" s="11"/>
      <c r="BI78" s="11"/>
      <c r="BJ78" s="311"/>
      <c r="BK78" s="311"/>
      <c r="BL78" s="311"/>
      <c r="BM78" s="52"/>
      <c r="BN78" s="52"/>
      <c r="BO78" s="387"/>
      <c r="BP78" s="320"/>
      <c r="BQ78" s="320"/>
      <c r="BR78" s="76"/>
      <c r="BS78" s="4"/>
      <c r="BT78" s="11"/>
      <c r="BU78" s="11"/>
      <c r="BV78" s="11"/>
      <c r="BW78" s="11"/>
      <c r="BX78" s="11"/>
      <c r="BY78" s="348"/>
      <c r="BZ78" s="348"/>
      <c r="CA78" s="348"/>
      <c r="CB78" s="348"/>
      <c r="CC78" s="348"/>
      <c r="CD78" s="11"/>
      <c r="CE78" s="11"/>
      <c r="CF78" s="11"/>
      <c r="CG78" s="11"/>
      <c r="CH78" s="11"/>
      <c r="CI78" s="11"/>
      <c r="CJ78" s="11"/>
      <c r="CK78" s="11"/>
      <c r="CL78" s="11"/>
      <c r="CM78" s="11"/>
      <c r="CN78" s="274"/>
      <c r="CO78" s="274"/>
      <c r="CP78" s="274"/>
      <c r="CQ78" s="11"/>
      <c r="CR78" s="11"/>
      <c r="CS78" s="11"/>
      <c r="CT78" s="11"/>
      <c r="CU78" s="11"/>
      <c r="CV78" s="11"/>
      <c r="CW78" s="11"/>
      <c r="CX78" s="11"/>
      <c r="CY78" s="11"/>
      <c r="CZ78" s="11"/>
      <c r="DA78" s="11"/>
      <c r="DB78" s="11"/>
      <c r="DC78" s="11"/>
      <c r="DD78" s="11"/>
      <c r="DE78" s="11"/>
      <c r="DF78" s="11"/>
      <c r="DG78" s="11"/>
      <c r="DH78" s="11"/>
      <c r="DI78" s="11"/>
      <c r="DJ78" s="11"/>
      <c r="DK78" s="11"/>
      <c r="DL78" s="11"/>
      <c r="DM78" s="118"/>
      <c r="DN78" s="118"/>
      <c r="DO78" s="118"/>
      <c r="DP78" s="52"/>
      <c r="DQ78" s="52"/>
      <c r="DR78" s="77"/>
      <c r="DS78" s="77"/>
      <c r="DT78" s="77"/>
      <c r="DU78" s="11"/>
      <c r="DV78" s="11"/>
      <c r="DW78" s="11"/>
      <c r="DX78" s="11"/>
      <c r="DY78" s="11"/>
      <c r="DZ78" s="11"/>
      <c r="EA78" s="11"/>
      <c r="EB78" s="11"/>
      <c r="EC78" s="11"/>
      <c r="ED78" s="11"/>
      <c r="EE78" s="11"/>
      <c r="EF78" s="11"/>
    </row>
    <row r="79" spans="1:136" ht="54" x14ac:dyDescent="0.25">
      <c r="A79" s="425">
        <v>77</v>
      </c>
      <c r="B79" s="427" t="s">
        <v>903</v>
      </c>
      <c r="C79" s="427" t="s">
        <v>622</v>
      </c>
      <c r="D79" s="427" t="s">
        <v>900</v>
      </c>
      <c r="E79" s="79">
        <v>1</v>
      </c>
      <c r="F79" s="405"/>
      <c r="G79" s="274">
        <v>300000</v>
      </c>
      <c r="H79" s="274">
        <v>57000</v>
      </c>
      <c r="I79" s="274">
        <v>357000</v>
      </c>
      <c r="J79" s="274" t="s">
        <v>45</v>
      </c>
      <c r="K79" s="11" t="s">
        <v>901</v>
      </c>
      <c r="L79" s="274"/>
      <c r="M79" s="274"/>
      <c r="N79" s="274"/>
      <c r="O79" s="48"/>
      <c r="P79" s="11"/>
      <c r="Q79" s="274"/>
      <c r="R79" s="274"/>
      <c r="S79" s="274"/>
      <c r="T79" s="11"/>
      <c r="U79" s="11"/>
      <c r="V79" s="11"/>
      <c r="W79" s="11"/>
      <c r="X79" s="11"/>
      <c r="Y79" s="11"/>
      <c r="Z79" s="48"/>
      <c r="AA79" s="52"/>
      <c r="AB79" s="52"/>
      <c r="AC79" s="118"/>
      <c r="AD79" s="5"/>
      <c r="AE79" s="52"/>
      <c r="AF79" s="113">
        <v>658000</v>
      </c>
      <c r="AG79" s="113">
        <f>AF79*0.19</f>
        <v>125020</v>
      </c>
      <c r="AH79" s="113">
        <f>AF79+AG79</f>
        <v>783020</v>
      </c>
      <c r="AI79" s="277" t="s">
        <v>628</v>
      </c>
      <c r="AJ79" s="33" t="s">
        <v>902</v>
      </c>
      <c r="AK79" s="269">
        <v>250000</v>
      </c>
      <c r="AL79" s="269">
        <v>47500</v>
      </c>
      <c r="AM79" s="269">
        <v>297500</v>
      </c>
      <c r="AN79" s="301" t="s">
        <v>88</v>
      </c>
      <c r="AO79" s="302">
        <v>1012520100</v>
      </c>
      <c r="AP79" s="11"/>
      <c r="AQ79" s="11"/>
      <c r="AR79" s="11"/>
      <c r="AS79" s="11"/>
      <c r="AT79" s="11"/>
      <c r="AU79" s="118">
        <v>324675</v>
      </c>
      <c r="AV79" s="118">
        <v>61688</v>
      </c>
      <c r="AW79" s="118">
        <v>386364</v>
      </c>
      <c r="AX79" s="52" t="s">
        <v>607</v>
      </c>
      <c r="AY79" s="52">
        <v>1012520100</v>
      </c>
      <c r="AZ79" s="11"/>
      <c r="BA79" s="11"/>
      <c r="BB79" s="11"/>
      <c r="BC79" s="11"/>
      <c r="BD79" s="11"/>
      <c r="BE79" s="274"/>
      <c r="BF79" s="274"/>
      <c r="BG79" s="274"/>
      <c r="BH79" s="11"/>
      <c r="BI79" s="11"/>
      <c r="BJ79" s="311"/>
      <c r="BK79" s="311"/>
      <c r="BL79" s="311"/>
      <c r="BM79" s="52"/>
      <c r="BN79" s="52"/>
      <c r="BO79" s="387"/>
      <c r="BP79" s="320"/>
      <c r="BQ79" s="320"/>
      <c r="BR79" s="76"/>
      <c r="BS79" s="4"/>
      <c r="BT79" s="11"/>
      <c r="BU79" s="11"/>
      <c r="BV79" s="11"/>
      <c r="BW79" s="11"/>
      <c r="BX79" s="11"/>
      <c r="BY79" s="348"/>
      <c r="BZ79" s="348"/>
      <c r="CA79" s="348"/>
      <c r="CB79" s="348"/>
      <c r="CC79" s="348"/>
      <c r="CD79" s="11"/>
      <c r="CE79" s="11"/>
      <c r="CF79" s="11"/>
      <c r="CG79" s="11"/>
      <c r="CH79" s="11"/>
      <c r="CI79" s="11"/>
      <c r="CJ79" s="11"/>
      <c r="CK79" s="11"/>
      <c r="CL79" s="11"/>
      <c r="CM79" s="11"/>
      <c r="CN79" s="274"/>
      <c r="CO79" s="274"/>
      <c r="CP79" s="274"/>
      <c r="CQ79" s="11"/>
      <c r="CR79" s="11"/>
      <c r="CS79" s="11"/>
      <c r="CT79" s="11"/>
      <c r="CU79" s="11"/>
      <c r="CV79" s="11"/>
      <c r="CW79" s="11"/>
      <c r="CX79" s="11"/>
      <c r="CY79" s="11"/>
      <c r="CZ79" s="11"/>
      <c r="DA79" s="11"/>
      <c r="DB79" s="11"/>
      <c r="DC79" s="11"/>
      <c r="DD79" s="11"/>
      <c r="DE79" s="11"/>
      <c r="DF79" s="11"/>
      <c r="DG79" s="11"/>
      <c r="DH79" s="11"/>
      <c r="DI79" s="11"/>
      <c r="DJ79" s="11"/>
      <c r="DK79" s="11"/>
      <c r="DL79" s="11"/>
      <c r="DM79" s="118"/>
      <c r="DN79" s="118"/>
      <c r="DO79" s="118"/>
      <c r="DP79" s="52"/>
      <c r="DQ79" s="52"/>
      <c r="DR79" s="77"/>
      <c r="DS79" s="77"/>
      <c r="DT79" s="77"/>
      <c r="DU79" s="11"/>
      <c r="DV79" s="11"/>
      <c r="DW79" s="11"/>
      <c r="DX79" s="11"/>
      <c r="DY79" s="11"/>
      <c r="DZ79" s="11"/>
      <c r="EA79" s="11"/>
      <c r="EB79" s="11"/>
      <c r="EC79" s="11"/>
      <c r="ED79" s="11"/>
      <c r="EE79" s="11"/>
      <c r="EF79" s="11"/>
    </row>
    <row r="80" spans="1:136" ht="25.5" x14ac:dyDescent="0.25">
      <c r="A80" s="425">
        <v>78</v>
      </c>
      <c r="B80" s="427" t="s">
        <v>904</v>
      </c>
      <c r="C80" s="427" t="s">
        <v>905</v>
      </c>
      <c r="D80" s="427" t="s">
        <v>39</v>
      </c>
      <c r="E80" s="79">
        <v>1</v>
      </c>
      <c r="F80" s="406">
        <v>364494.62</v>
      </c>
      <c r="G80" s="274"/>
      <c r="H80" s="274"/>
      <c r="I80" s="274"/>
      <c r="J80" s="274"/>
      <c r="K80" s="11"/>
      <c r="L80" s="274">
        <v>280000</v>
      </c>
      <c r="M80" s="274">
        <f>L80*19%</f>
        <v>53200</v>
      </c>
      <c r="N80" s="274">
        <f>M80+L80</f>
        <v>333200</v>
      </c>
      <c r="O80" s="48" t="s">
        <v>906</v>
      </c>
      <c r="P80" s="11" t="s">
        <v>907</v>
      </c>
      <c r="Q80" s="274"/>
      <c r="R80" s="274"/>
      <c r="S80" s="274"/>
      <c r="T80" s="11"/>
      <c r="U80" s="11"/>
      <c r="V80" s="11"/>
      <c r="W80" s="11"/>
      <c r="X80" s="11"/>
      <c r="Y80" s="11"/>
      <c r="Z80" s="48"/>
      <c r="AA80" s="52"/>
      <c r="AB80" s="52"/>
      <c r="AC80" s="118"/>
      <c r="AD80" s="5"/>
      <c r="AE80" s="52"/>
      <c r="AF80" s="113"/>
      <c r="AG80" s="113"/>
      <c r="AH80" s="113"/>
      <c r="AI80" s="52"/>
      <c r="AJ80" s="11"/>
      <c r="AK80" s="269"/>
      <c r="AL80" s="269"/>
      <c r="AM80" s="269"/>
      <c r="AN80" s="301"/>
      <c r="AO80" s="302"/>
      <c r="AP80" s="11"/>
      <c r="AQ80" s="11"/>
      <c r="AR80" s="11"/>
      <c r="AS80" s="11"/>
      <c r="AT80" s="11"/>
      <c r="AU80" s="118">
        <v>92698</v>
      </c>
      <c r="AV80" s="118">
        <v>17613</v>
      </c>
      <c r="AW80" s="118">
        <v>110311</v>
      </c>
      <c r="AX80" s="52" t="s">
        <v>607</v>
      </c>
      <c r="AY80" s="52" t="s">
        <v>908</v>
      </c>
      <c r="AZ80" s="11"/>
      <c r="BA80" s="11"/>
      <c r="BB80" s="11"/>
      <c r="BC80" s="11"/>
      <c r="BD80" s="11"/>
      <c r="BE80" s="274"/>
      <c r="BF80" s="274"/>
      <c r="BG80" s="274"/>
      <c r="BH80" s="11"/>
      <c r="BI80" s="11"/>
      <c r="BJ80" s="311">
        <v>117761.54</v>
      </c>
      <c r="BK80" s="311">
        <v>22374.692599999998</v>
      </c>
      <c r="BL80" s="311">
        <v>140136.23259999999</v>
      </c>
      <c r="BM80" s="52" t="s">
        <v>612</v>
      </c>
      <c r="BN80" s="52">
        <v>11140050</v>
      </c>
      <c r="BO80" s="387">
        <v>330270</v>
      </c>
      <c r="BP80" s="320">
        <f>BO80*0.19</f>
        <v>62751.3</v>
      </c>
      <c r="BQ80" s="320">
        <f>BO80+BP80</f>
        <v>393021.3</v>
      </c>
      <c r="BR80" s="76" t="s">
        <v>909</v>
      </c>
      <c r="BS80" s="4" t="s">
        <v>866</v>
      </c>
      <c r="BT80" s="11"/>
      <c r="BU80" s="11"/>
      <c r="BV80" s="11"/>
      <c r="BW80" s="11"/>
      <c r="BX80" s="11"/>
      <c r="BY80" s="348"/>
      <c r="BZ80" s="348"/>
      <c r="CA80" s="348"/>
      <c r="CB80" s="348"/>
      <c r="CC80" s="348"/>
      <c r="CD80" s="11"/>
      <c r="CE80" s="11"/>
      <c r="CF80" s="11"/>
      <c r="CG80" s="11"/>
      <c r="CH80" s="11"/>
      <c r="CI80" s="11"/>
      <c r="CJ80" s="11"/>
      <c r="CK80" s="11"/>
      <c r="CL80" s="11"/>
      <c r="CM80" s="11"/>
      <c r="CN80" s="274"/>
      <c r="CO80" s="274"/>
      <c r="CP80" s="274"/>
      <c r="CQ80" s="11"/>
      <c r="CR80" s="11"/>
      <c r="CS80" s="11"/>
      <c r="CT80" s="11"/>
      <c r="CU80" s="11"/>
      <c r="CV80" s="11"/>
      <c r="CW80" s="11"/>
      <c r="CX80" s="11"/>
      <c r="CY80" s="11"/>
      <c r="CZ80" s="11"/>
      <c r="DA80" s="11"/>
      <c r="DB80" s="11"/>
      <c r="DC80" s="11"/>
      <c r="DD80" s="11"/>
      <c r="DE80" s="11"/>
      <c r="DF80" s="11"/>
      <c r="DG80" s="11"/>
      <c r="DH80" s="11"/>
      <c r="DI80" s="11"/>
      <c r="DJ80" s="11"/>
      <c r="DK80" s="11"/>
      <c r="DL80" s="11"/>
      <c r="DM80" s="118"/>
      <c r="DN80" s="118"/>
      <c r="DO80" s="118"/>
      <c r="DP80" s="52"/>
      <c r="DQ80" s="52"/>
      <c r="DR80" s="77"/>
      <c r="DS80" s="77"/>
      <c r="DT80" s="77"/>
      <c r="DU80" s="11"/>
      <c r="DV80" s="11"/>
      <c r="DW80" s="11"/>
      <c r="DX80" s="11"/>
      <c r="DY80" s="11"/>
      <c r="DZ80" s="11"/>
      <c r="EA80" s="11"/>
      <c r="EB80" s="11"/>
      <c r="EC80" s="11"/>
      <c r="ED80" s="11"/>
      <c r="EE80" s="11"/>
      <c r="EF80" s="11"/>
    </row>
    <row r="81" spans="1:136" ht="121.5" x14ac:dyDescent="0.25">
      <c r="A81" s="425">
        <v>79</v>
      </c>
      <c r="B81" s="413" t="s">
        <v>910</v>
      </c>
      <c r="C81" s="413" t="s">
        <v>911</v>
      </c>
      <c r="D81" s="413" t="s">
        <v>912</v>
      </c>
      <c r="E81" s="79">
        <v>1</v>
      </c>
      <c r="F81" s="405"/>
      <c r="G81" s="274">
        <v>456250</v>
      </c>
      <c r="H81" s="274">
        <v>86687.5</v>
      </c>
      <c r="I81" s="274">
        <v>542937.5</v>
      </c>
      <c r="J81" s="274" t="s">
        <v>45</v>
      </c>
      <c r="K81" s="11">
        <v>1311271211</v>
      </c>
      <c r="L81" s="274"/>
      <c r="M81" s="274"/>
      <c r="N81" s="274"/>
      <c r="O81" s="48"/>
      <c r="P81" s="11"/>
      <c r="Q81" s="274"/>
      <c r="R81" s="274"/>
      <c r="S81" s="274"/>
      <c r="T81" s="11"/>
      <c r="U81" s="11"/>
      <c r="V81" s="11"/>
      <c r="W81" s="11"/>
      <c r="X81" s="11"/>
      <c r="Y81" s="11"/>
      <c r="Z81" s="48"/>
      <c r="AA81" s="52"/>
      <c r="AB81" s="52"/>
      <c r="AC81" s="118"/>
      <c r="AD81" s="5"/>
      <c r="AE81" s="52"/>
      <c r="AF81" s="113"/>
      <c r="AG81" s="113"/>
      <c r="AH81" s="113"/>
      <c r="AI81" s="52"/>
      <c r="AJ81" s="11"/>
      <c r="AK81" s="269">
        <v>299000</v>
      </c>
      <c r="AL81" s="269">
        <v>0</v>
      </c>
      <c r="AM81" s="269">
        <v>299000</v>
      </c>
      <c r="AN81" s="301" t="s">
        <v>37</v>
      </c>
      <c r="AO81" s="302" t="s">
        <v>913</v>
      </c>
      <c r="AP81" s="11"/>
      <c r="AQ81" s="11"/>
      <c r="AR81" s="11"/>
      <c r="AS81" s="11"/>
      <c r="AT81" s="11"/>
      <c r="AU81" s="118">
        <v>314964</v>
      </c>
      <c r="AV81" s="118">
        <v>59843</v>
      </c>
      <c r="AW81" s="118">
        <v>374807</v>
      </c>
      <c r="AX81" s="52" t="s">
        <v>607</v>
      </c>
      <c r="AY81" s="52" t="s">
        <v>913</v>
      </c>
      <c r="AZ81" s="11"/>
      <c r="BA81" s="11"/>
      <c r="BB81" s="11"/>
      <c r="BC81" s="11"/>
      <c r="BD81" s="11"/>
      <c r="BE81" s="274"/>
      <c r="BF81" s="274"/>
      <c r="BG81" s="274"/>
      <c r="BH81" s="11"/>
      <c r="BI81" s="11"/>
      <c r="BJ81" s="311"/>
      <c r="BK81" s="311"/>
      <c r="BL81" s="311"/>
      <c r="BM81" s="52"/>
      <c r="BN81" s="52"/>
      <c r="BO81" s="387"/>
      <c r="BP81" s="320"/>
      <c r="BQ81" s="320"/>
      <c r="BR81" s="76"/>
      <c r="BS81" s="4"/>
      <c r="BT81" s="11"/>
      <c r="BU81" s="11"/>
      <c r="BV81" s="11"/>
      <c r="BW81" s="11"/>
      <c r="BX81" s="11"/>
      <c r="BY81" s="348"/>
      <c r="BZ81" s="348"/>
      <c r="CA81" s="348"/>
      <c r="CB81" s="348"/>
      <c r="CC81" s="348"/>
      <c r="CD81" s="11"/>
      <c r="CE81" s="11"/>
      <c r="CF81" s="11"/>
      <c r="CG81" s="11"/>
      <c r="CH81" s="11"/>
      <c r="CI81" s="11"/>
      <c r="CJ81" s="11"/>
      <c r="CK81" s="11"/>
      <c r="CL81" s="11"/>
      <c r="CM81" s="11"/>
      <c r="CN81" s="274"/>
      <c r="CO81" s="274"/>
      <c r="CP81" s="274"/>
      <c r="CQ81" s="11"/>
      <c r="CR81" s="11"/>
      <c r="CS81" s="11"/>
      <c r="CT81" s="11"/>
      <c r="CU81" s="11"/>
      <c r="CV81" s="11"/>
      <c r="CW81" s="11"/>
      <c r="CX81" s="11"/>
      <c r="CY81" s="11"/>
      <c r="CZ81" s="11"/>
      <c r="DA81" s="11"/>
      <c r="DB81" s="11"/>
      <c r="DC81" s="11"/>
      <c r="DD81" s="11"/>
      <c r="DE81" s="11"/>
      <c r="DF81" s="11"/>
      <c r="DG81" s="11"/>
      <c r="DH81" s="11"/>
      <c r="DI81" s="11"/>
      <c r="DJ81" s="11"/>
      <c r="DK81" s="11"/>
      <c r="DL81" s="11"/>
      <c r="DM81" s="118"/>
      <c r="DN81" s="118"/>
      <c r="DO81" s="118"/>
      <c r="DP81" s="52"/>
      <c r="DQ81" s="52"/>
      <c r="DR81" s="77"/>
      <c r="DS81" s="77"/>
      <c r="DT81" s="77"/>
      <c r="DU81" s="11"/>
      <c r="DV81" s="11"/>
      <c r="DW81" s="11"/>
      <c r="DX81" s="11"/>
      <c r="DY81" s="11"/>
      <c r="DZ81" s="11"/>
      <c r="EA81" s="11"/>
      <c r="EB81" s="11"/>
      <c r="EC81" s="11"/>
      <c r="ED81" s="11"/>
      <c r="EE81" s="11"/>
      <c r="EF81" s="11"/>
    </row>
    <row r="82" spans="1:136" ht="40.5" x14ac:dyDescent="0.25">
      <c r="A82" s="425">
        <v>80</v>
      </c>
      <c r="B82" s="427" t="s">
        <v>914</v>
      </c>
      <c r="C82" s="427" t="s">
        <v>622</v>
      </c>
      <c r="D82" s="427" t="s">
        <v>49</v>
      </c>
      <c r="E82" s="79">
        <v>1</v>
      </c>
      <c r="F82" s="406">
        <v>208641.74799999999</v>
      </c>
      <c r="G82" s="274">
        <v>145000</v>
      </c>
      <c r="H82" s="274">
        <v>27550</v>
      </c>
      <c r="I82" s="274">
        <v>172550</v>
      </c>
      <c r="J82" s="274" t="s">
        <v>45</v>
      </c>
      <c r="K82" s="11" t="s">
        <v>915</v>
      </c>
      <c r="L82" s="274"/>
      <c r="M82" s="274"/>
      <c r="N82" s="274"/>
      <c r="O82" s="48"/>
      <c r="P82" s="11"/>
      <c r="Q82" s="274"/>
      <c r="R82" s="274"/>
      <c r="S82" s="274"/>
      <c r="T82" s="11"/>
      <c r="U82" s="11"/>
      <c r="V82" s="11"/>
      <c r="W82" s="11"/>
      <c r="X82" s="11"/>
      <c r="Y82" s="11"/>
      <c r="Z82" s="48"/>
      <c r="AA82" s="52"/>
      <c r="AB82" s="52"/>
      <c r="AC82" s="118"/>
      <c r="AD82" s="5"/>
      <c r="AE82" s="52"/>
      <c r="AF82" s="113">
        <v>135000</v>
      </c>
      <c r="AG82" s="113">
        <f>AF82*0.19</f>
        <v>25650</v>
      </c>
      <c r="AH82" s="113">
        <f>AF82+AG82</f>
        <v>160650</v>
      </c>
      <c r="AI82" s="277" t="s">
        <v>628</v>
      </c>
      <c r="AJ82" s="33" t="s">
        <v>916</v>
      </c>
      <c r="AK82" s="269">
        <v>87210</v>
      </c>
      <c r="AL82" s="269">
        <v>16569.900000000001</v>
      </c>
      <c r="AM82" s="269">
        <v>103779.9</v>
      </c>
      <c r="AN82" s="301" t="s">
        <v>88</v>
      </c>
      <c r="AO82" s="302">
        <v>1054321000</v>
      </c>
      <c r="AP82" s="11"/>
      <c r="AQ82" s="11"/>
      <c r="AR82" s="11"/>
      <c r="AS82" s="11"/>
      <c r="AT82" s="11"/>
      <c r="AU82" s="118">
        <v>89157</v>
      </c>
      <c r="AV82" s="118">
        <v>16940</v>
      </c>
      <c r="AW82" s="118">
        <v>106097</v>
      </c>
      <c r="AX82" s="52" t="s">
        <v>607</v>
      </c>
      <c r="AY82" s="52">
        <v>1054321011</v>
      </c>
      <c r="AZ82" s="11"/>
      <c r="BA82" s="11"/>
      <c r="BB82" s="11"/>
      <c r="BC82" s="11"/>
      <c r="BD82" s="11"/>
      <c r="BE82" s="274">
        <v>60000</v>
      </c>
      <c r="BF82" s="274">
        <v>11400</v>
      </c>
      <c r="BG82" s="274">
        <v>71400</v>
      </c>
      <c r="BH82" s="11" t="s">
        <v>48</v>
      </c>
      <c r="BI82" s="11" t="s">
        <v>917</v>
      </c>
      <c r="BJ82" s="311"/>
      <c r="BK82" s="311"/>
      <c r="BL82" s="311"/>
      <c r="BM82" s="52"/>
      <c r="BN82" s="52"/>
      <c r="BO82" s="387"/>
      <c r="BP82" s="320"/>
      <c r="BQ82" s="320"/>
      <c r="BR82" s="76"/>
      <c r="BS82" s="4"/>
      <c r="BT82" s="11"/>
      <c r="BU82" s="11"/>
      <c r="BV82" s="11"/>
      <c r="BW82" s="11"/>
      <c r="BX82" s="11"/>
      <c r="BY82" s="348"/>
      <c r="BZ82" s="348"/>
      <c r="CA82" s="348"/>
      <c r="CB82" s="348"/>
      <c r="CC82" s="348"/>
      <c r="CD82" s="11"/>
      <c r="CE82" s="11"/>
      <c r="CF82" s="11"/>
      <c r="CG82" s="11"/>
      <c r="CH82" s="11"/>
      <c r="CI82" s="11"/>
      <c r="CJ82" s="11"/>
      <c r="CK82" s="11"/>
      <c r="CL82" s="11"/>
      <c r="CM82" s="11"/>
      <c r="CN82" s="274"/>
      <c r="CO82" s="274"/>
      <c r="CP82" s="274"/>
      <c r="CQ82" s="11"/>
      <c r="CR82" s="11"/>
      <c r="CS82" s="11"/>
      <c r="CT82" s="11"/>
      <c r="CU82" s="11"/>
      <c r="CV82" s="11"/>
      <c r="CW82" s="11"/>
      <c r="CX82" s="11"/>
      <c r="CY82" s="11"/>
      <c r="CZ82" s="11"/>
      <c r="DA82" s="11"/>
      <c r="DB82" s="11"/>
      <c r="DC82" s="11"/>
      <c r="DD82" s="11"/>
      <c r="DE82" s="11"/>
      <c r="DF82" s="11"/>
      <c r="DG82" s="11"/>
      <c r="DH82" s="11"/>
      <c r="DI82" s="11"/>
      <c r="DJ82" s="11"/>
      <c r="DK82" s="11"/>
      <c r="DL82" s="11"/>
      <c r="DM82" s="118"/>
      <c r="DN82" s="118"/>
      <c r="DO82" s="118"/>
      <c r="DP82" s="52"/>
      <c r="DQ82" s="52"/>
      <c r="DR82" s="77"/>
      <c r="DS82" s="77"/>
      <c r="DT82" s="77"/>
      <c r="DU82" s="11"/>
      <c r="DV82" s="11"/>
      <c r="DW82" s="11"/>
      <c r="DX82" s="11"/>
      <c r="DY82" s="11"/>
      <c r="DZ82" s="11"/>
      <c r="EA82" s="11"/>
      <c r="EB82" s="11"/>
      <c r="EC82" s="11"/>
      <c r="ED82" s="11"/>
      <c r="EE82" s="11"/>
      <c r="EF82" s="11"/>
    </row>
    <row r="83" spans="1:136" ht="40.5" x14ac:dyDescent="0.25">
      <c r="A83" s="425">
        <v>81</v>
      </c>
      <c r="B83" s="413" t="s">
        <v>918</v>
      </c>
      <c r="C83" s="413" t="s">
        <v>919</v>
      </c>
      <c r="D83" s="413" t="s">
        <v>920</v>
      </c>
      <c r="E83" s="79">
        <v>1</v>
      </c>
      <c r="F83" s="405"/>
      <c r="G83" s="274">
        <v>650000</v>
      </c>
      <c r="H83" s="274">
        <v>123500</v>
      </c>
      <c r="I83" s="274">
        <v>773500</v>
      </c>
      <c r="J83" s="274" t="s">
        <v>45</v>
      </c>
      <c r="K83" s="11" t="s">
        <v>921</v>
      </c>
      <c r="L83" s="274"/>
      <c r="M83" s="274"/>
      <c r="N83" s="274"/>
      <c r="O83" s="48"/>
      <c r="P83" s="11"/>
      <c r="Q83" s="274"/>
      <c r="R83" s="274"/>
      <c r="S83" s="274"/>
      <c r="T83" s="11"/>
      <c r="U83" s="11"/>
      <c r="V83" s="11"/>
      <c r="W83" s="11"/>
      <c r="X83" s="11"/>
      <c r="Y83" s="11"/>
      <c r="Z83" s="48"/>
      <c r="AA83" s="52"/>
      <c r="AB83" s="52"/>
      <c r="AC83" s="118"/>
      <c r="AD83" s="5"/>
      <c r="AE83" s="52"/>
      <c r="AF83" s="113">
        <v>137000</v>
      </c>
      <c r="AG83" s="113">
        <f>AF83*0.19</f>
        <v>26030</v>
      </c>
      <c r="AH83" s="113">
        <f>AF83+AG83</f>
        <v>163030</v>
      </c>
      <c r="AI83" s="277" t="s">
        <v>628</v>
      </c>
      <c r="AJ83" s="33" t="s">
        <v>922</v>
      </c>
      <c r="AK83" s="269">
        <v>474810</v>
      </c>
      <c r="AL83" s="269">
        <v>90213.9</v>
      </c>
      <c r="AM83" s="269">
        <v>565023.9</v>
      </c>
      <c r="AN83" s="301" t="s">
        <v>88</v>
      </c>
      <c r="AO83" s="302">
        <v>1037921000</v>
      </c>
      <c r="AP83" s="11"/>
      <c r="AQ83" s="11"/>
      <c r="AR83" s="11"/>
      <c r="AS83" s="11"/>
      <c r="AT83" s="11"/>
      <c r="AU83" s="118">
        <v>603802</v>
      </c>
      <c r="AV83" s="118">
        <v>114722</v>
      </c>
      <c r="AW83" s="118">
        <v>718524</v>
      </c>
      <c r="AX83" s="52" t="s">
        <v>607</v>
      </c>
      <c r="AY83" s="52">
        <v>1037921000</v>
      </c>
      <c r="AZ83" s="11"/>
      <c r="BA83" s="11"/>
      <c r="BB83" s="11"/>
      <c r="BC83" s="11"/>
      <c r="BD83" s="11"/>
      <c r="BE83" s="274"/>
      <c r="BF83" s="274"/>
      <c r="BG83" s="274"/>
      <c r="BH83" s="11"/>
      <c r="BI83" s="11"/>
      <c r="BJ83" s="311"/>
      <c r="BK83" s="311"/>
      <c r="BL83" s="311"/>
      <c r="BM83" s="52"/>
      <c r="BN83" s="52"/>
      <c r="BO83" s="387"/>
      <c r="BP83" s="320"/>
      <c r="BQ83" s="320"/>
      <c r="BR83" s="76"/>
      <c r="BS83" s="4"/>
      <c r="BT83" s="11"/>
      <c r="BU83" s="11"/>
      <c r="BV83" s="11"/>
      <c r="BW83" s="11"/>
      <c r="BX83" s="11"/>
      <c r="BY83" s="348"/>
      <c r="BZ83" s="348"/>
      <c r="CA83" s="348"/>
      <c r="CB83" s="348"/>
      <c r="CC83" s="348"/>
      <c r="CD83" s="11"/>
      <c r="CE83" s="11"/>
      <c r="CF83" s="11"/>
      <c r="CG83" s="11"/>
      <c r="CH83" s="11"/>
      <c r="CI83" s="11"/>
      <c r="CJ83" s="11"/>
      <c r="CK83" s="11"/>
      <c r="CL83" s="11"/>
      <c r="CM83" s="11"/>
      <c r="CN83" s="274"/>
      <c r="CO83" s="274"/>
      <c r="CP83" s="274"/>
      <c r="CQ83" s="11"/>
      <c r="CR83" s="11"/>
      <c r="CS83" s="11"/>
      <c r="CT83" s="11"/>
      <c r="CU83" s="11"/>
      <c r="CV83" s="11"/>
      <c r="CW83" s="11"/>
      <c r="CX83" s="11"/>
      <c r="CY83" s="11"/>
      <c r="CZ83" s="11"/>
      <c r="DA83" s="11"/>
      <c r="DB83" s="11"/>
      <c r="DC83" s="11"/>
      <c r="DD83" s="11"/>
      <c r="DE83" s="11"/>
      <c r="DF83" s="11"/>
      <c r="DG83" s="11"/>
      <c r="DH83" s="11"/>
      <c r="DI83" s="11"/>
      <c r="DJ83" s="11"/>
      <c r="DK83" s="11"/>
      <c r="DL83" s="11"/>
      <c r="DM83" s="118"/>
      <c r="DN83" s="118"/>
      <c r="DO83" s="118"/>
      <c r="DP83" s="52"/>
      <c r="DQ83" s="52"/>
      <c r="DR83" s="77"/>
      <c r="DS83" s="77"/>
      <c r="DT83" s="77"/>
      <c r="DU83" s="11"/>
      <c r="DV83" s="11"/>
      <c r="DW83" s="11"/>
      <c r="DX83" s="11"/>
      <c r="DY83" s="11"/>
      <c r="DZ83" s="11"/>
      <c r="EA83" s="11"/>
      <c r="EB83" s="11"/>
      <c r="EC83" s="11"/>
      <c r="ED83" s="11"/>
      <c r="EE83" s="11"/>
      <c r="EF83" s="11"/>
    </row>
    <row r="84" spans="1:136" ht="27" x14ac:dyDescent="0.25">
      <c r="A84" s="425">
        <v>82</v>
      </c>
      <c r="B84" s="427" t="s">
        <v>923</v>
      </c>
      <c r="C84" s="427" t="s">
        <v>924</v>
      </c>
      <c r="D84" s="427" t="s">
        <v>925</v>
      </c>
      <c r="E84" s="79">
        <v>1</v>
      </c>
      <c r="F84" s="406">
        <v>378320.27799999999</v>
      </c>
      <c r="G84" s="274"/>
      <c r="H84" s="274"/>
      <c r="I84" s="274"/>
      <c r="J84" s="274"/>
      <c r="K84" s="11"/>
      <c r="L84" s="274"/>
      <c r="M84" s="274"/>
      <c r="N84" s="274"/>
      <c r="O84" s="48"/>
      <c r="P84" s="11"/>
      <c r="Q84" s="274"/>
      <c r="R84" s="274"/>
      <c r="S84" s="274"/>
      <c r="T84" s="11"/>
      <c r="U84" s="11"/>
      <c r="V84" s="11"/>
      <c r="W84" s="11"/>
      <c r="X84" s="11"/>
      <c r="Y84" s="11"/>
      <c r="Z84" s="48"/>
      <c r="AA84" s="52"/>
      <c r="AB84" s="52"/>
      <c r="AC84" s="118"/>
      <c r="AD84" s="5"/>
      <c r="AE84" s="52"/>
      <c r="AF84" s="113">
        <v>257000</v>
      </c>
      <c r="AG84" s="113">
        <f>AF84*0.19</f>
        <v>48830</v>
      </c>
      <c r="AH84" s="113">
        <f>AF84+AG84</f>
        <v>305830</v>
      </c>
      <c r="AI84" s="277" t="s">
        <v>628</v>
      </c>
      <c r="AJ84" s="33" t="s">
        <v>926</v>
      </c>
      <c r="AK84" s="269">
        <v>246000</v>
      </c>
      <c r="AL84" s="269"/>
      <c r="AM84" s="269">
        <v>246000</v>
      </c>
      <c r="AN84" s="301" t="s">
        <v>37</v>
      </c>
      <c r="AO84" s="302" t="s">
        <v>927</v>
      </c>
      <c r="AP84" s="11"/>
      <c r="AQ84" s="11"/>
      <c r="AR84" s="11"/>
      <c r="AS84" s="11"/>
      <c r="AT84" s="11"/>
      <c r="AU84" s="118">
        <v>259134</v>
      </c>
      <c r="AV84" s="118">
        <v>49235</v>
      </c>
      <c r="AW84" s="118">
        <v>308370</v>
      </c>
      <c r="AX84" s="52" t="s">
        <v>607</v>
      </c>
      <c r="AY84" s="52" t="s">
        <v>927</v>
      </c>
      <c r="AZ84" s="11"/>
      <c r="BA84" s="11"/>
      <c r="BB84" s="11"/>
      <c r="BC84" s="11"/>
      <c r="BD84" s="11"/>
      <c r="BE84" s="274">
        <v>450000</v>
      </c>
      <c r="BF84" s="274">
        <v>85500</v>
      </c>
      <c r="BG84" s="274">
        <v>535500</v>
      </c>
      <c r="BH84" s="11" t="s">
        <v>37</v>
      </c>
      <c r="BI84" s="11" t="s">
        <v>927</v>
      </c>
      <c r="BJ84" s="311">
        <v>208869.23</v>
      </c>
      <c r="BK84" s="311">
        <v>39685.153700000003</v>
      </c>
      <c r="BL84" s="311">
        <v>248554.38370000001</v>
      </c>
      <c r="BM84" s="52" t="s">
        <v>612</v>
      </c>
      <c r="BN84" s="52">
        <v>11593027</v>
      </c>
      <c r="BO84" s="387"/>
      <c r="BP84" s="320"/>
      <c r="BQ84" s="320"/>
      <c r="BR84" s="76"/>
      <c r="BS84" s="4"/>
      <c r="BT84" s="11"/>
      <c r="BU84" s="11"/>
      <c r="BV84" s="11"/>
      <c r="BW84" s="11"/>
      <c r="BX84" s="11"/>
      <c r="BY84" s="348"/>
      <c r="BZ84" s="348"/>
      <c r="CA84" s="348"/>
      <c r="CB84" s="348"/>
      <c r="CC84" s="348"/>
      <c r="CD84" s="11"/>
      <c r="CE84" s="11"/>
      <c r="CF84" s="11"/>
      <c r="CG84" s="11"/>
      <c r="CH84" s="11"/>
      <c r="CI84" s="11"/>
      <c r="CJ84" s="11"/>
      <c r="CK84" s="11"/>
      <c r="CL84" s="11"/>
      <c r="CM84" s="11"/>
      <c r="CN84" s="274"/>
      <c r="CO84" s="274"/>
      <c r="CP84" s="274"/>
      <c r="CQ84" s="11"/>
      <c r="CR84" s="11"/>
      <c r="CS84" s="11"/>
      <c r="CT84" s="11"/>
      <c r="CU84" s="11"/>
      <c r="CV84" s="11"/>
      <c r="CW84" s="11"/>
      <c r="CX84" s="11"/>
      <c r="CY84" s="11"/>
      <c r="CZ84" s="11"/>
      <c r="DA84" s="11"/>
      <c r="DB84" s="11"/>
      <c r="DC84" s="11"/>
      <c r="DD84" s="11"/>
      <c r="DE84" s="11"/>
      <c r="DF84" s="11"/>
      <c r="DG84" s="11"/>
      <c r="DH84" s="11"/>
      <c r="DI84" s="11"/>
      <c r="DJ84" s="11"/>
      <c r="DK84" s="11"/>
      <c r="DL84" s="11"/>
      <c r="DM84" s="118"/>
      <c r="DN84" s="118"/>
      <c r="DO84" s="118"/>
      <c r="DP84" s="52"/>
      <c r="DQ84" s="52"/>
      <c r="DR84" s="77"/>
      <c r="DS84" s="77"/>
      <c r="DT84" s="77"/>
      <c r="DU84" s="11"/>
      <c r="DV84" s="11"/>
      <c r="DW84" s="274">
        <v>270600</v>
      </c>
      <c r="DX84" s="311">
        <v>0</v>
      </c>
      <c r="DY84" s="311">
        <f>+DW84+DX84</f>
        <v>270600</v>
      </c>
      <c r="DZ84" s="76" t="s">
        <v>928</v>
      </c>
      <c r="EA84" s="11"/>
      <c r="EB84" s="11"/>
      <c r="EC84" s="11"/>
      <c r="ED84" s="11"/>
      <c r="EE84" s="11"/>
      <c r="EF84" s="11"/>
    </row>
    <row r="85" spans="1:136" ht="12.75" customHeight="1" x14ac:dyDescent="0.25">
      <c r="A85" s="425">
        <v>83</v>
      </c>
      <c r="B85" s="427" t="s">
        <v>929</v>
      </c>
      <c r="C85" s="427" t="s">
        <v>58</v>
      </c>
      <c r="D85" s="427" t="s">
        <v>930</v>
      </c>
      <c r="E85" s="79">
        <v>1</v>
      </c>
      <c r="F85" s="406">
        <v>355696.47399999999</v>
      </c>
      <c r="G85" s="274"/>
      <c r="H85" s="274"/>
      <c r="I85" s="274"/>
      <c r="J85" s="274"/>
      <c r="K85" s="11"/>
      <c r="L85" s="274"/>
      <c r="M85" s="274"/>
      <c r="N85" s="274"/>
      <c r="O85" s="48"/>
      <c r="P85" s="11"/>
      <c r="Q85" s="274"/>
      <c r="R85" s="274"/>
      <c r="S85" s="274"/>
      <c r="T85" s="11"/>
      <c r="U85" s="11"/>
      <c r="V85" s="11"/>
      <c r="W85" s="11"/>
      <c r="X85" s="11"/>
      <c r="Y85" s="11"/>
      <c r="Z85" s="48"/>
      <c r="AA85" s="52"/>
      <c r="AB85" s="52"/>
      <c r="AC85" s="118"/>
      <c r="AD85" s="5"/>
      <c r="AE85" s="52"/>
      <c r="AF85" s="113"/>
      <c r="AG85" s="113"/>
      <c r="AH85" s="113"/>
      <c r="AI85" s="52"/>
      <c r="AJ85" s="11"/>
      <c r="AK85" s="269">
        <v>173220</v>
      </c>
      <c r="AL85" s="269">
        <v>32911.800000000003</v>
      </c>
      <c r="AM85" s="269">
        <v>206131.8</v>
      </c>
      <c r="AN85" s="301" t="s">
        <v>88</v>
      </c>
      <c r="AO85" s="302">
        <v>1323810001</v>
      </c>
      <c r="AP85" s="11"/>
      <c r="AQ85" s="11"/>
      <c r="AR85" s="11"/>
      <c r="AS85" s="11"/>
      <c r="AT85" s="11"/>
      <c r="AU85" s="118">
        <v>310500</v>
      </c>
      <c r="AV85" s="118">
        <v>58995</v>
      </c>
      <c r="AW85" s="118">
        <v>369495</v>
      </c>
      <c r="AX85" s="52" t="s">
        <v>607</v>
      </c>
      <c r="AY85" s="52">
        <v>1323810001</v>
      </c>
      <c r="AZ85" s="11"/>
      <c r="BA85" s="11"/>
      <c r="BB85" s="11"/>
      <c r="BC85" s="11"/>
      <c r="BD85" s="11"/>
      <c r="BE85" s="274"/>
      <c r="BF85" s="274"/>
      <c r="BG85" s="274"/>
      <c r="BH85" s="11"/>
      <c r="BI85" s="11"/>
      <c r="BJ85" s="311"/>
      <c r="BK85" s="311"/>
      <c r="BL85" s="311"/>
      <c r="BM85" s="52"/>
      <c r="BN85" s="52"/>
      <c r="BO85" s="387"/>
      <c r="BP85" s="320"/>
      <c r="BQ85" s="320"/>
      <c r="BR85" s="76"/>
      <c r="BS85" s="4"/>
      <c r="BT85" s="11"/>
      <c r="BU85" s="11"/>
      <c r="BV85" s="11"/>
      <c r="BW85" s="11"/>
      <c r="BX85" s="11"/>
      <c r="BY85" s="348"/>
      <c r="BZ85" s="348"/>
      <c r="CA85" s="348"/>
      <c r="CB85" s="348"/>
      <c r="CC85" s="348"/>
      <c r="CD85" s="11"/>
      <c r="CE85" s="11"/>
      <c r="CF85" s="11"/>
      <c r="CG85" s="11"/>
      <c r="CH85" s="11"/>
      <c r="CI85" s="11"/>
      <c r="CJ85" s="11"/>
      <c r="CK85" s="11"/>
      <c r="CL85" s="11"/>
      <c r="CM85" s="11"/>
      <c r="CN85" s="274"/>
      <c r="CO85" s="274"/>
      <c r="CP85" s="274"/>
      <c r="CQ85" s="11"/>
      <c r="CR85" s="11"/>
      <c r="CS85" s="11"/>
      <c r="CT85" s="11"/>
      <c r="CU85" s="11"/>
      <c r="CV85" s="11"/>
      <c r="CW85" s="11"/>
      <c r="CX85" s="11"/>
      <c r="CY85" s="11"/>
      <c r="CZ85" s="11"/>
      <c r="DA85" s="11"/>
      <c r="DB85" s="11"/>
      <c r="DC85" s="11"/>
      <c r="DD85" s="11"/>
      <c r="DE85" s="11"/>
      <c r="DF85" s="11"/>
      <c r="DG85" s="11"/>
      <c r="DH85" s="11"/>
      <c r="DI85" s="11"/>
      <c r="DJ85" s="11"/>
      <c r="DK85" s="11"/>
      <c r="DL85" s="11"/>
      <c r="DM85" s="118"/>
      <c r="DN85" s="118"/>
      <c r="DO85" s="118"/>
      <c r="DP85" s="52"/>
      <c r="DQ85" s="52"/>
      <c r="DR85" s="77"/>
      <c r="DS85" s="77"/>
      <c r="DT85" s="77"/>
      <c r="DU85" s="11"/>
      <c r="DV85" s="11"/>
      <c r="DW85" s="11"/>
      <c r="DX85" s="11"/>
      <c r="DY85" s="11"/>
      <c r="DZ85" s="11"/>
      <c r="EA85" s="11"/>
      <c r="EB85" s="11"/>
      <c r="EC85" s="11"/>
      <c r="ED85" s="11"/>
      <c r="EE85" s="11"/>
      <c r="EF85" s="11"/>
    </row>
    <row r="86" spans="1:136" ht="13.5" x14ac:dyDescent="0.25">
      <c r="A86" s="425">
        <v>84</v>
      </c>
      <c r="B86" s="427" t="s">
        <v>931</v>
      </c>
      <c r="C86" s="427" t="s">
        <v>932</v>
      </c>
      <c r="D86" s="427" t="s">
        <v>933</v>
      </c>
      <c r="E86" s="79">
        <v>1</v>
      </c>
      <c r="F86" s="406">
        <v>715163.58200000005</v>
      </c>
      <c r="G86" s="274"/>
      <c r="H86" s="274"/>
      <c r="I86" s="274"/>
      <c r="J86" s="274"/>
      <c r="K86" s="11"/>
      <c r="L86" s="274"/>
      <c r="M86" s="274"/>
      <c r="N86" s="274"/>
      <c r="O86" s="48"/>
      <c r="P86" s="11"/>
      <c r="Q86" s="274"/>
      <c r="R86" s="274"/>
      <c r="S86" s="274"/>
      <c r="T86" s="11"/>
      <c r="U86" s="11"/>
      <c r="V86" s="11"/>
      <c r="W86" s="11"/>
      <c r="X86" s="11"/>
      <c r="Y86" s="11"/>
      <c r="Z86" s="48"/>
      <c r="AA86" s="52"/>
      <c r="AB86" s="52"/>
      <c r="AC86" s="118"/>
      <c r="AD86" s="5"/>
      <c r="AE86" s="52"/>
      <c r="AF86" s="113"/>
      <c r="AG86" s="113"/>
      <c r="AH86" s="113"/>
      <c r="AI86" s="52"/>
      <c r="AJ86" s="11"/>
      <c r="AK86" s="269"/>
      <c r="AL86" s="269"/>
      <c r="AM86" s="269"/>
      <c r="AN86" s="301"/>
      <c r="AO86" s="302"/>
      <c r="AP86" s="11"/>
      <c r="AQ86" s="11"/>
      <c r="AR86" s="11"/>
      <c r="AS86" s="11"/>
      <c r="AT86" s="11"/>
      <c r="AU86" s="118">
        <v>552000</v>
      </c>
      <c r="AV86" s="118">
        <v>104880</v>
      </c>
      <c r="AW86" s="118">
        <v>656880</v>
      </c>
      <c r="AX86" s="52" t="s">
        <v>607</v>
      </c>
      <c r="AY86" s="52">
        <v>1323830001</v>
      </c>
      <c r="AZ86" s="11"/>
      <c r="BA86" s="11"/>
      <c r="BB86" s="11"/>
      <c r="BC86" s="11"/>
      <c r="BD86" s="11"/>
      <c r="BE86" s="274"/>
      <c r="BF86" s="274"/>
      <c r="BG86" s="274"/>
      <c r="BH86" s="11"/>
      <c r="BI86" s="11"/>
      <c r="BJ86" s="311"/>
      <c r="BK86" s="311"/>
      <c r="BL86" s="311"/>
      <c r="BM86" s="52"/>
      <c r="BN86" s="52"/>
      <c r="BO86" s="387"/>
      <c r="BP86" s="320"/>
      <c r="BQ86" s="320"/>
      <c r="BR86" s="76"/>
      <c r="BS86" s="4"/>
      <c r="BT86" s="11"/>
      <c r="BU86" s="11"/>
      <c r="BV86" s="11"/>
      <c r="BW86" s="11"/>
      <c r="BX86" s="11"/>
      <c r="BY86" s="348"/>
      <c r="BZ86" s="348"/>
      <c r="CA86" s="348"/>
      <c r="CB86" s="348"/>
      <c r="CC86" s="348"/>
      <c r="CD86" s="11"/>
      <c r="CE86" s="11"/>
      <c r="CF86" s="11"/>
      <c r="CG86" s="11"/>
      <c r="CH86" s="11"/>
      <c r="CI86" s="11"/>
      <c r="CJ86" s="11"/>
      <c r="CK86" s="11"/>
      <c r="CL86" s="11"/>
      <c r="CM86" s="11"/>
      <c r="CN86" s="274"/>
      <c r="CO86" s="274"/>
      <c r="CP86" s="274"/>
      <c r="CQ86" s="11"/>
      <c r="CR86" s="11"/>
      <c r="CS86" s="11"/>
      <c r="CT86" s="11"/>
      <c r="CU86" s="11"/>
      <c r="CV86" s="11"/>
      <c r="CW86" s="11"/>
      <c r="CX86" s="11"/>
      <c r="CY86" s="11"/>
      <c r="CZ86" s="11"/>
      <c r="DA86" s="11"/>
      <c r="DB86" s="11"/>
      <c r="DC86" s="11"/>
      <c r="DD86" s="11"/>
      <c r="DE86" s="11"/>
      <c r="DF86" s="11"/>
      <c r="DG86" s="11"/>
      <c r="DH86" s="11"/>
      <c r="DI86" s="11"/>
      <c r="DJ86" s="11"/>
      <c r="DK86" s="11"/>
      <c r="DL86" s="11"/>
      <c r="DM86" s="118"/>
      <c r="DN86" s="118"/>
      <c r="DO86" s="118"/>
      <c r="DP86" s="52"/>
      <c r="DQ86" s="52"/>
      <c r="DR86" s="77"/>
      <c r="DS86" s="77"/>
      <c r="DT86" s="77"/>
      <c r="DU86" s="11"/>
      <c r="DV86" s="11"/>
      <c r="DW86" s="11"/>
      <c r="DX86" s="11"/>
      <c r="DY86" s="11"/>
      <c r="DZ86" s="11"/>
      <c r="EA86" s="11"/>
      <c r="EB86" s="11"/>
      <c r="EC86" s="11"/>
      <c r="ED86" s="11"/>
      <c r="EE86" s="11"/>
      <c r="EF86" s="11"/>
    </row>
    <row r="87" spans="1:136" ht="12.75" customHeight="1" x14ac:dyDescent="0.25">
      <c r="A87" s="425">
        <v>85</v>
      </c>
      <c r="B87" s="427" t="s">
        <v>934</v>
      </c>
      <c r="C87" s="427" t="s">
        <v>935</v>
      </c>
      <c r="D87" s="427" t="s">
        <v>936</v>
      </c>
      <c r="E87" s="79">
        <v>1</v>
      </c>
      <c r="F87" s="406">
        <v>243834.33199999999</v>
      </c>
      <c r="G87" s="274"/>
      <c r="H87" s="274"/>
      <c r="I87" s="274"/>
      <c r="J87" s="274"/>
      <c r="K87" s="11"/>
      <c r="L87" s="274"/>
      <c r="M87" s="274"/>
      <c r="N87" s="274"/>
      <c r="O87" s="48"/>
      <c r="P87" s="11"/>
      <c r="Q87" s="274"/>
      <c r="R87" s="274"/>
      <c r="S87" s="274"/>
      <c r="T87" s="11"/>
      <c r="U87" s="11"/>
      <c r="V87" s="11"/>
      <c r="W87" s="11"/>
      <c r="X87" s="11"/>
      <c r="Y87" s="11"/>
      <c r="Z87" s="48"/>
      <c r="AA87" s="52"/>
      <c r="AB87" s="52"/>
      <c r="AC87" s="118"/>
      <c r="AD87" s="5"/>
      <c r="AE87" s="52"/>
      <c r="AF87" s="113"/>
      <c r="AG87" s="113"/>
      <c r="AH87" s="113"/>
      <c r="AI87" s="52"/>
      <c r="AJ87" s="11"/>
      <c r="AK87" s="269">
        <v>160293</v>
      </c>
      <c r="AL87" s="269">
        <v>30455.670000000002</v>
      </c>
      <c r="AM87" s="269">
        <v>190748.67</v>
      </c>
      <c r="AN87" s="301" t="s">
        <v>88</v>
      </c>
      <c r="AO87" s="302">
        <v>1323710001</v>
      </c>
      <c r="AP87" s="11"/>
      <c r="AQ87" s="11"/>
      <c r="AR87" s="11"/>
      <c r="AS87" s="11"/>
      <c r="AT87" s="11"/>
      <c r="AU87" s="118">
        <v>190492</v>
      </c>
      <c r="AV87" s="118">
        <v>36193</v>
      </c>
      <c r="AW87" s="118">
        <v>226685</v>
      </c>
      <c r="AX87" s="52" t="s">
        <v>607</v>
      </c>
      <c r="AY87" s="52">
        <v>1323710001</v>
      </c>
      <c r="AZ87" s="11"/>
      <c r="BA87" s="11"/>
      <c r="BB87" s="11"/>
      <c r="BC87" s="11"/>
      <c r="BD87" s="11"/>
      <c r="BE87" s="274"/>
      <c r="BF87" s="274"/>
      <c r="BG87" s="274"/>
      <c r="BH87" s="11"/>
      <c r="BI87" s="11"/>
      <c r="BJ87" s="311"/>
      <c r="BK87" s="311"/>
      <c r="BL87" s="311"/>
      <c r="BM87" s="52"/>
      <c r="BN87" s="52"/>
      <c r="BO87" s="387"/>
      <c r="BP87" s="320"/>
      <c r="BQ87" s="320"/>
      <c r="BR87" s="76"/>
      <c r="BS87" s="4"/>
      <c r="BT87" s="11"/>
      <c r="BU87" s="11"/>
      <c r="BV87" s="11"/>
      <c r="BW87" s="11"/>
      <c r="BX87" s="11"/>
      <c r="BY87" s="348"/>
      <c r="BZ87" s="348"/>
      <c r="CA87" s="348"/>
      <c r="CB87" s="348"/>
      <c r="CC87" s="348"/>
      <c r="CD87" s="11"/>
      <c r="CE87" s="11"/>
      <c r="CF87" s="11"/>
      <c r="CG87" s="11"/>
      <c r="CH87" s="11"/>
      <c r="CI87" s="11"/>
      <c r="CJ87" s="11"/>
      <c r="CK87" s="11"/>
      <c r="CL87" s="11"/>
      <c r="CM87" s="11"/>
      <c r="CN87" s="274"/>
      <c r="CO87" s="274"/>
      <c r="CP87" s="274"/>
      <c r="CQ87" s="11"/>
      <c r="CR87" s="11"/>
      <c r="CS87" s="11"/>
      <c r="CT87" s="11"/>
      <c r="CU87" s="11"/>
      <c r="CV87" s="11"/>
      <c r="CW87" s="11"/>
      <c r="CX87" s="11"/>
      <c r="CY87" s="11"/>
      <c r="CZ87" s="11"/>
      <c r="DA87" s="11"/>
      <c r="DB87" s="11"/>
      <c r="DC87" s="11"/>
      <c r="DD87" s="11"/>
      <c r="DE87" s="11"/>
      <c r="DF87" s="11"/>
      <c r="DG87" s="11"/>
      <c r="DH87" s="11"/>
      <c r="DI87" s="11"/>
      <c r="DJ87" s="11"/>
      <c r="DK87" s="11"/>
      <c r="DL87" s="11"/>
      <c r="DM87" s="118"/>
      <c r="DN87" s="118"/>
      <c r="DO87" s="118"/>
      <c r="DP87" s="52"/>
      <c r="DQ87" s="52"/>
      <c r="DR87" s="77"/>
      <c r="DS87" s="77"/>
      <c r="DT87" s="77"/>
      <c r="DU87" s="11"/>
      <c r="DV87" s="11"/>
      <c r="DW87" s="11"/>
      <c r="DX87" s="11"/>
      <c r="DY87" s="11"/>
      <c r="DZ87" s="11"/>
      <c r="EA87" s="11"/>
      <c r="EB87" s="11"/>
      <c r="EC87" s="11"/>
      <c r="ED87" s="11"/>
      <c r="EE87" s="11"/>
      <c r="EF87" s="11"/>
    </row>
    <row r="88" spans="1:136" ht="27" x14ac:dyDescent="0.25">
      <c r="A88" s="425">
        <v>86</v>
      </c>
      <c r="B88" s="427" t="s">
        <v>937</v>
      </c>
      <c r="C88" s="427" t="s">
        <v>113</v>
      </c>
      <c r="D88" s="427" t="s">
        <v>938</v>
      </c>
      <c r="E88" s="79">
        <v>1</v>
      </c>
      <c r="F88" s="406">
        <v>447448.56800000003</v>
      </c>
      <c r="G88" s="274"/>
      <c r="H88" s="274"/>
      <c r="I88" s="274"/>
      <c r="J88" s="274"/>
      <c r="K88" s="11"/>
      <c r="L88" s="274">
        <v>320000</v>
      </c>
      <c r="M88" s="274">
        <v>0</v>
      </c>
      <c r="N88" s="274">
        <f>M88+L88</f>
        <v>320000</v>
      </c>
      <c r="O88" s="48" t="s">
        <v>906</v>
      </c>
      <c r="P88" s="11" t="s">
        <v>939</v>
      </c>
      <c r="Q88" s="274"/>
      <c r="R88" s="274"/>
      <c r="S88" s="274"/>
      <c r="T88" s="11"/>
      <c r="U88" s="11"/>
      <c r="V88" s="11"/>
      <c r="W88" s="11"/>
      <c r="X88" s="11"/>
      <c r="Y88" s="11"/>
      <c r="Z88" s="48"/>
      <c r="AA88" s="52"/>
      <c r="AB88" s="52"/>
      <c r="AC88" s="118"/>
      <c r="AD88" s="5"/>
      <c r="AE88" s="52"/>
      <c r="AF88" s="113"/>
      <c r="AG88" s="113"/>
      <c r="AH88" s="113"/>
      <c r="AI88" s="52"/>
      <c r="AJ88" s="11"/>
      <c r="AK88" s="269"/>
      <c r="AL88" s="269"/>
      <c r="AM88" s="269"/>
      <c r="AN88" s="301"/>
      <c r="AO88" s="302"/>
      <c r="AP88" s="11"/>
      <c r="AQ88" s="11"/>
      <c r="AR88" s="11"/>
      <c r="AS88" s="11"/>
      <c r="AT88" s="11"/>
      <c r="AU88" s="118">
        <v>248600</v>
      </c>
      <c r="AV88" s="118">
        <v>47234</v>
      </c>
      <c r="AW88" s="118">
        <v>295834</v>
      </c>
      <c r="AX88" s="52" t="s">
        <v>607</v>
      </c>
      <c r="AY88" s="52" t="s">
        <v>940</v>
      </c>
      <c r="AZ88" s="11"/>
      <c r="BA88" s="11"/>
      <c r="BB88" s="11"/>
      <c r="BC88" s="11"/>
      <c r="BD88" s="11"/>
      <c r="BE88" s="274">
        <v>431000</v>
      </c>
      <c r="BF88" s="274">
        <v>81890</v>
      </c>
      <c r="BG88" s="274">
        <v>512890</v>
      </c>
      <c r="BH88" s="11" t="s">
        <v>37</v>
      </c>
      <c r="BI88" s="11" t="s">
        <v>940</v>
      </c>
      <c r="BJ88" s="311">
        <v>356730.77</v>
      </c>
      <c r="BK88" s="311">
        <v>67778.846300000005</v>
      </c>
      <c r="BL88" s="311">
        <v>424509.61629999999</v>
      </c>
      <c r="BM88" s="52" t="s">
        <v>612</v>
      </c>
      <c r="BN88" s="52">
        <v>15290026</v>
      </c>
      <c r="BO88" s="387"/>
      <c r="BP88" s="320"/>
      <c r="BQ88" s="320"/>
      <c r="BR88" s="76"/>
      <c r="BS88" s="4"/>
      <c r="BT88" s="11"/>
      <c r="BU88" s="11"/>
      <c r="BV88" s="11"/>
      <c r="BW88" s="11"/>
      <c r="BX88" s="11"/>
      <c r="BY88" s="348"/>
      <c r="BZ88" s="348"/>
      <c r="CA88" s="348"/>
      <c r="CB88" s="348"/>
      <c r="CC88" s="348"/>
      <c r="CD88" s="11"/>
      <c r="CE88" s="11"/>
      <c r="CF88" s="11"/>
      <c r="CG88" s="11"/>
      <c r="CH88" s="11"/>
      <c r="CI88" s="11"/>
      <c r="CJ88" s="11"/>
      <c r="CK88" s="11"/>
      <c r="CL88" s="11"/>
      <c r="CM88" s="11"/>
      <c r="CN88" s="274"/>
      <c r="CO88" s="274"/>
      <c r="CP88" s="274"/>
      <c r="CQ88" s="11"/>
      <c r="CR88" s="11"/>
      <c r="CS88" s="11"/>
      <c r="CT88" s="11"/>
      <c r="CU88" s="11"/>
      <c r="CV88" s="11"/>
      <c r="CW88" s="11"/>
      <c r="CX88" s="11"/>
      <c r="CY88" s="11"/>
      <c r="CZ88" s="11"/>
      <c r="DA88" s="11"/>
      <c r="DB88" s="11"/>
      <c r="DC88" s="11"/>
      <c r="DD88" s="11"/>
      <c r="DE88" s="11"/>
      <c r="DF88" s="11"/>
      <c r="DG88" s="11"/>
      <c r="DH88" s="11"/>
      <c r="DI88" s="11"/>
      <c r="DJ88" s="11"/>
      <c r="DK88" s="11"/>
      <c r="DL88" s="11"/>
      <c r="DM88" s="118"/>
      <c r="DN88" s="118"/>
      <c r="DO88" s="118"/>
      <c r="DP88" s="52"/>
      <c r="DQ88" s="52"/>
      <c r="DR88" s="77"/>
      <c r="DS88" s="77"/>
      <c r="DT88" s="77"/>
      <c r="DU88" s="11"/>
      <c r="DV88" s="11"/>
      <c r="DW88" s="11"/>
      <c r="DX88" s="11"/>
      <c r="DY88" s="11"/>
      <c r="DZ88" s="11"/>
      <c r="EA88" s="11"/>
      <c r="EB88" s="11"/>
      <c r="EC88" s="11"/>
      <c r="ED88" s="11"/>
      <c r="EE88" s="11"/>
      <c r="EF88" s="11"/>
    </row>
    <row r="89" spans="1:136" ht="81" x14ac:dyDescent="0.25">
      <c r="A89" s="425">
        <v>87</v>
      </c>
      <c r="B89" s="427" t="s">
        <v>941</v>
      </c>
      <c r="C89" s="427" t="s">
        <v>942</v>
      </c>
      <c r="D89" s="427" t="s">
        <v>39</v>
      </c>
      <c r="E89" s="79">
        <v>1</v>
      </c>
      <c r="F89" s="405"/>
      <c r="G89" s="274"/>
      <c r="H89" s="274"/>
      <c r="I89" s="274"/>
      <c r="J89" s="274"/>
      <c r="K89" s="11"/>
      <c r="L89" s="274">
        <v>320000</v>
      </c>
      <c r="M89" s="274">
        <v>0</v>
      </c>
      <c r="N89" s="274">
        <f>M89+L89</f>
        <v>320000</v>
      </c>
      <c r="O89" s="48" t="s">
        <v>906</v>
      </c>
      <c r="P89" s="11" t="s">
        <v>943</v>
      </c>
      <c r="Q89" s="274"/>
      <c r="R89" s="274"/>
      <c r="S89" s="274"/>
      <c r="T89" s="11"/>
      <c r="U89" s="11"/>
      <c r="V89" s="11"/>
      <c r="W89" s="11"/>
      <c r="X89" s="11"/>
      <c r="Y89" s="11"/>
      <c r="Z89" s="48"/>
      <c r="AA89" s="52"/>
      <c r="AB89" s="52"/>
      <c r="AC89" s="118"/>
      <c r="AD89" s="5"/>
      <c r="AE89" s="52"/>
      <c r="AF89" s="113"/>
      <c r="AG89" s="113"/>
      <c r="AH89" s="113"/>
      <c r="AI89" s="52"/>
      <c r="AJ89" s="11"/>
      <c r="AK89" s="116">
        <v>158000</v>
      </c>
      <c r="AL89" s="116">
        <v>30020</v>
      </c>
      <c r="AM89" s="116">
        <v>188020</v>
      </c>
      <c r="AN89" s="305" t="s">
        <v>37</v>
      </c>
      <c r="AO89" s="306" t="s">
        <v>944</v>
      </c>
      <c r="AP89" s="11"/>
      <c r="AQ89" s="11"/>
      <c r="AR89" s="11"/>
      <c r="AS89" s="11"/>
      <c r="AT89" s="11"/>
      <c r="AU89" s="118">
        <v>166436</v>
      </c>
      <c r="AV89" s="118">
        <v>31623</v>
      </c>
      <c r="AW89" s="118">
        <v>198059</v>
      </c>
      <c r="AX89" s="52" t="s">
        <v>607</v>
      </c>
      <c r="AY89" s="52" t="s">
        <v>944</v>
      </c>
      <c r="AZ89" s="11"/>
      <c r="BA89" s="11"/>
      <c r="BB89" s="11"/>
      <c r="BC89" s="11"/>
      <c r="BD89" s="11"/>
      <c r="BE89" s="274">
        <v>288000</v>
      </c>
      <c r="BF89" s="274">
        <v>54720</v>
      </c>
      <c r="BG89" s="274">
        <v>342720</v>
      </c>
      <c r="BH89" s="11" t="s">
        <v>37</v>
      </c>
      <c r="BI89" s="11" t="s">
        <v>944</v>
      </c>
      <c r="BJ89" s="311">
        <v>234661.54</v>
      </c>
      <c r="BK89" s="311">
        <v>44585.692600000002</v>
      </c>
      <c r="BL89" s="311">
        <v>279247.23259999999</v>
      </c>
      <c r="BM89" s="52" t="s">
        <v>612</v>
      </c>
      <c r="BN89" s="52">
        <v>15240062</v>
      </c>
      <c r="BO89" s="387"/>
      <c r="BP89" s="320"/>
      <c r="BQ89" s="320"/>
      <c r="BR89" s="76"/>
      <c r="BS89" s="4"/>
      <c r="BT89" s="11"/>
      <c r="BU89" s="11"/>
      <c r="BV89" s="11"/>
      <c r="BW89" s="11"/>
      <c r="BX89" s="11"/>
      <c r="BY89" s="348"/>
      <c r="BZ89" s="348"/>
      <c r="CA89" s="348"/>
      <c r="CB89" s="348"/>
      <c r="CC89" s="348"/>
      <c r="CD89" s="11"/>
      <c r="CE89" s="11"/>
      <c r="CF89" s="11"/>
      <c r="CG89" s="11"/>
      <c r="CH89" s="11"/>
      <c r="CI89" s="11"/>
      <c r="CJ89" s="11"/>
      <c r="CK89" s="11"/>
      <c r="CL89" s="11"/>
      <c r="CM89" s="11"/>
      <c r="CN89" s="274"/>
      <c r="CO89" s="274"/>
      <c r="CP89" s="274"/>
      <c r="CQ89" s="11"/>
      <c r="CR89" s="11"/>
      <c r="CS89" s="11"/>
      <c r="CT89" s="11"/>
      <c r="CU89" s="11"/>
      <c r="CV89" s="11"/>
      <c r="CW89" s="11"/>
      <c r="CX89" s="11"/>
      <c r="CY89" s="11"/>
      <c r="CZ89" s="11"/>
      <c r="DA89" s="11"/>
      <c r="DB89" s="11"/>
      <c r="DC89" s="11"/>
      <c r="DD89" s="11"/>
      <c r="DE89" s="11"/>
      <c r="DF89" s="11"/>
      <c r="DG89" s="11"/>
      <c r="DH89" s="11"/>
      <c r="DI89" s="11"/>
      <c r="DJ89" s="11"/>
      <c r="DK89" s="11"/>
      <c r="DL89" s="11"/>
      <c r="DM89" s="118"/>
      <c r="DN89" s="118"/>
      <c r="DO89" s="118"/>
      <c r="DP89" s="52"/>
      <c r="DQ89" s="52"/>
      <c r="DR89" s="77"/>
      <c r="DS89" s="77"/>
      <c r="DT89" s="77"/>
      <c r="DU89" s="11"/>
      <c r="DV89" s="11"/>
      <c r="DW89" s="11"/>
      <c r="DX89" s="11"/>
      <c r="DY89" s="11"/>
      <c r="DZ89" s="11"/>
      <c r="EA89" s="11"/>
      <c r="EB89" s="11"/>
      <c r="EC89" s="11"/>
      <c r="ED89" s="11"/>
      <c r="EE89" s="11"/>
      <c r="EF89" s="11"/>
    </row>
    <row r="90" spans="1:136" ht="13.5" x14ac:dyDescent="0.25">
      <c r="A90" s="425">
        <v>88</v>
      </c>
      <c r="B90" s="428" t="s">
        <v>945</v>
      </c>
      <c r="C90" s="428" t="s">
        <v>946</v>
      </c>
      <c r="D90" s="428" t="s">
        <v>947</v>
      </c>
      <c r="E90" s="79">
        <v>1</v>
      </c>
      <c r="F90" s="405"/>
      <c r="G90" s="274"/>
      <c r="H90" s="274"/>
      <c r="I90" s="274"/>
      <c r="J90" s="274"/>
      <c r="K90" s="11"/>
      <c r="L90" s="274"/>
      <c r="M90" s="274"/>
      <c r="N90" s="274"/>
      <c r="O90" s="48"/>
      <c r="P90" s="11"/>
      <c r="Q90" s="274"/>
      <c r="R90" s="274"/>
      <c r="S90" s="274"/>
      <c r="T90" s="11"/>
      <c r="U90" s="11"/>
      <c r="V90" s="11"/>
      <c r="W90" s="11"/>
      <c r="X90" s="11"/>
      <c r="Y90" s="11"/>
      <c r="Z90" s="48"/>
      <c r="AA90" s="52"/>
      <c r="AB90" s="52"/>
      <c r="AC90" s="118"/>
      <c r="AD90" s="5"/>
      <c r="AE90" s="52"/>
      <c r="AF90" s="113"/>
      <c r="AG90" s="113"/>
      <c r="AH90" s="113"/>
      <c r="AI90" s="52"/>
      <c r="AJ90" s="11"/>
      <c r="AK90" s="269"/>
      <c r="AL90" s="116"/>
      <c r="AM90" s="116"/>
      <c r="AN90" s="301"/>
      <c r="AO90" s="302"/>
      <c r="AP90" s="11"/>
      <c r="AQ90" s="11"/>
      <c r="AR90" s="11"/>
      <c r="AS90" s="11"/>
      <c r="AT90" s="11"/>
      <c r="AU90" s="118"/>
      <c r="AV90" s="118"/>
      <c r="AW90" s="118"/>
      <c r="AX90" s="52"/>
      <c r="AY90" s="52"/>
      <c r="AZ90" s="11"/>
      <c r="BA90" s="11"/>
      <c r="BB90" s="11"/>
      <c r="BC90" s="11"/>
      <c r="BD90" s="11"/>
      <c r="BE90" s="274">
        <v>180000</v>
      </c>
      <c r="BF90" s="274">
        <v>34200</v>
      </c>
      <c r="BG90" s="274">
        <v>214200</v>
      </c>
      <c r="BH90" s="11" t="s">
        <v>37</v>
      </c>
      <c r="BI90" s="11" t="s">
        <v>948</v>
      </c>
      <c r="BJ90" s="311"/>
      <c r="BK90" s="311"/>
      <c r="BL90" s="311"/>
      <c r="BM90" s="52"/>
      <c r="BN90" s="52"/>
      <c r="BO90" s="387"/>
      <c r="BP90" s="320"/>
      <c r="BQ90" s="320"/>
      <c r="BR90" s="76"/>
      <c r="BS90" s="4"/>
      <c r="BT90" s="11"/>
      <c r="BU90" s="11"/>
      <c r="BV90" s="11"/>
      <c r="BW90" s="11"/>
      <c r="BX90" s="11"/>
      <c r="BY90" s="348"/>
      <c r="BZ90" s="348"/>
      <c r="CA90" s="348"/>
      <c r="CB90" s="348"/>
      <c r="CC90" s="348"/>
      <c r="CD90" s="11"/>
      <c r="CE90" s="11"/>
      <c r="CF90" s="11"/>
      <c r="CG90" s="11"/>
      <c r="CH90" s="11"/>
      <c r="CI90" s="11"/>
      <c r="CJ90" s="11"/>
      <c r="CK90" s="11"/>
      <c r="CL90" s="11"/>
      <c r="CM90" s="11"/>
      <c r="CN90" s="274"/>
      <c r="CO90" s="274"/>
      <c r="CP90" s="274"/>
      <c r="CQ90" s="11"/>
      <c r="CR90" s="11"/>
      <c r="CS90" s="11"/>
      <c r="CT90" s="11"/>
      <c r="CU90" s="11"/>
      <c r="CV90" s="11"/>
      <c r="CW90" s="11"/>
      <c r="CX90" s="11"/>
      <c r="CY90" s="11"/>
      <c r="CZ90" s="11"/>
      <c r="DA90" s="11"/>
      <c r="DB90" s="11"/>
      <c r="DC90" s="11"/>
      <c r="DD90" s="11"/>
      <c r="DE90" s="11"/>
      <c r="DF90" s="11"/>
      <c r="DG90" s="11"/>
      <c r="DH90" s="11"/>
      <c r="DI90" s="11"/>
      <c r="DJ90" s="11"/>
      <c r="DK90" s="11"/>
      <c r="DL90" s="11"/>
      <c r="DM90" s="118"/>
      <c r="DN90" s="118"/>
      <c r="DO90" s="118"/>
      <c r="DP90" s="52"/>
      <c r="DQ90" s="52"/>
      <c r="DR90" s="77"/>
      <c r="DS90" s="77"/>
      <c r="DT90" s="77"/>
      <c r="DU90" s="11"/>
      <c r="DV90" s="11"/>
      <c r="DW90" s="11"/>
      <c r="DX90" s="11"/>
      <c r="DY90" s="11"/>
      <c r="DZ90" s="11"/>
      <c r="EA90" s="11"/>
      <c r="EB90" s="11"/>
      <c r="EC90" s="11"/>
      <c r="ED90" s="11"/>
      <c r="EE90" s="11"/>
      <c r="EF90" s="11"/>
    </row>
    <row r="91" spans="1:136" ht="25.5" customHeight="1" x14ac:dyDescent="0.25">
      <c r="A91" s="425">
        <v>89</v>
      </c>
      <c r="B91" s="427" t="s">
        <v>949</v>
      </c>
      <c r="C91" s="427" t="s">
        <v>950</v>
      </c>
      <c r="D91" s="427" t="s">
        <v>925</v>
      </c>
      <c r="E91" s="79">
        <v>1</v>
      </c>
      <c r="F91" s="405"/>
      <c r="G91" s="274"/>
      <c r="H91" s="274"/>
      <c r="I91" s="274"/>
      <c r="J91" s="274"/>
      <c r="K91" s="11"/>
      <c r="L91" s="274"/>
      <c r="M91" s="274"/>
      <c r="N91" s="274"/>
      <c r="O91" s="48"/>
      <c r="P91" s="11"/>
      <c r="Q91" s="274"/>
      <c r="R91" s="274"/>
      <c r="S91" s="274"/>
      <c r="T91" s="11"/>
      <c r="U91" s="11"/>
      <c r="V91" s="11"/>
      <c r="W91" s="11"/>
      <c r="X91" s="11"/>
      <c r="Y91" s="11"/>
      <c r="Z91" s="48"/>
      <c r="AA91" s="52"/>
      <c r="AB91" s="52"/>
      <c r="AC91" s="118"/>
      <c r="AD91" s="5"/>
      <c r="AE91" s="52"/>
      <c r="AF91" s="113"/>
      <c r="AG91" s="113"/>
      <c r="AH91" s="113"/>
      <c r="AI91" s="52"/>
      <c r="AJ91" s="11"/>
      <c r="AK91" s="269">
        <v>98000</v>
      </c>
      <c r="AL91" s="116">
        <v>18620</v>
      </c>
      <c r="AM91" s="116">
        <v>116620</v>
      </c>
      <c r="AN91" s="301" t="s">
        <v>37</v>
      </c>
      <c r="AO91" s="302" t="s">
        <v>948</v>
      </c>
      <c r="AP91" s="11"/>
      <c r="AQ91" s="11"/>
      <c r="AR91" s="11"/>
      <c r="AS91" s="11"/>
      <c r="AT91" s="11"/>
      <c r="AU91" s="118">
        <v>103232</v>
      </c>
      <c r="AV91" s="118">
        <v>19614</v>
      </c>
      <c r="AW91" s="118">
        <v>122846</v>
      </c>
      <c r="AX91" s="52" t="s">
        <v>607</v>
      </c>
      <c r="AY91" s="52" t="s">
        <v>948</v>
      </c>
      <c r="AZ91" s="11"/>
      <c r="BA91" s="11"/>
      <c r="BB91" s="11"/>
      <c r="BC91" s="11"/>
      <c r="BD91" s="11"/>
      <c r="BE91" s="274">
        <v>180000</v>
      </c>
      <c r="BF91" s="274">
        <v>34200</v>
      </c>
      <c r="BG91" s="274">
        <v>214200</v>
      </c>
      <c r="BH91" s="11" t="s">
        <v>37</v>
      </c>
      <c r="BI91" s="11" t="s">
        <v>948</v>
      </c>
      <c r="BJ91" s="311"/>
      <c r="BK91" s="311"/>
      <c r="BL91" s="311"/>
      <c r="BM91" s="52"/>
      <c r="BN91" s="52"/>
      <c r="BO91" s="387"/>
      <c r="BP91" s="320"/>
      <c r="BQ91" s="320"/>
      <c r="BR91" s="76"/>
      <c r="BS91" s="4"/>
      <c r="BT91" s="11"/>
      <c r="BU91" s="11"/>
      <c r="BV91" s="11"/>
      <c r="BW91" s="11"/>
      <c r="BX91" s="11"/>
      <c r="BY91" s="348"/>
      <c r="BZ91" s="348"/>
      <c r="CA91" s="348"/>
      <c r="CB91" s="348"/>
      <c r="CC91" s="348"/>
      <c r="CD91" s="11"/>
      <c r="CE91" s="11"/>
      <c r="CF91" s="11"/>
      <c r="CG91" s="11"/>
      <c r="CH91" s="11"/>
      <c r="CI91" s="11"/>
      <c r="CJ91" s="11"/>
      <c r="CK91" s="11"/>
      <c r="CL91" s="11"/>
      <c r="CM91" s="11"/>
      <c r="CN91" s="274"/>
      <c r="CO91" s="274"/>
      <c r="CP91" s="274"/>
      <c r="CQ91" s="11"/>
      <c r="CR91" s="11"/>
      <c r="CS91" s="11"/>
      <c r="CT91" s="11"/>
      <c r="CU91" s="11"/>
      <c r="CV91" s="11"/>
      <c r="CW91" s="11"/>
      <c r="CX91" s="11"/>
      <c r="CY91" s="11"/>
      <c r="CZ91" s="11"/>
      <c r="DA91" s="11"/>
      <c r="DB91" s="11"/>
      <c r="DC91" s="11"/>
      <c r="DD91" s="11"/>
      <c r="DE91" s="11"/>
      <c r="DF91" s="11"/>
      <c r="DG91" s="11"/>
      <c r="DH91" s="11"/>
      <c r="DI91" s="11"/>
      <c r="DJ91" s="11"/>
      <c r="DK91" s="11"/>
      <c r="DL91" s="11"/>
      <c r="DM91" s="118"/>
      <c r="DN91" s="118"/>
      <c r="DO91" s="118"/>
      <c r="DP91" s="52"/>
      <c r="DQ91" s="52"/>
      <c r="DR91" s="77"/>
      <c r="DS91" s="77"/>
      <c r="DT91" s="77"/>
      <c r="DU91" s="11"/>
      <c r="DV91" s="11"/>
      <c r="DW91" s="11"/>
      <c r="DX91" s="11"/>
      <c r="DY91" s="11"/>
      <c r="DZ91" s="11"/>
      <c r="EA91" s="11"/>
      <c r="EB91" s="11"/>
      <c r="EC91" s="11"/>
      <c r="ED91" s="11"/>
      <c r="EE91" s="11"/>
      <c r="EF91" s="11"/>
    </row>
    <row r="92" spans="1:136" ht="27" x14ac:dyDescent="0.25">
      <c r="A92" s="425">
        <v>90</v>
      </c>
      <c r="B92" s="427" t="s">
        <v>951</v>
      </c>
      <c r="C92" s="413" t="s">
        <v>952</v>
      </c>
      <c r="D92" s="413" t="s">
        <v>427</v>
      </c>
      <c r="E92" s="79">
        <v>1</v>
      </c>
      <c r="F92" s="405"/>
      <c r="G92" s="274"/>
      <c r="H92" s="274"/>
      <c r="I92" s="274"/>
      <c r="J92" s="274"/>
      <c r="K92" s="11"/>
      <c r="L92" s="274"/>
      <c r="M92" s="274"/>
      <c r="N92" s="274"/>
      <c r="O92" s="48"/>
      <c r="P92" s="11"/>
      <c r="Q92" s="274"/>
      <c r="R92" s="274"/>
      <c r="S92" s="274"/>
      <c r="T92" s="11"/>
      <c r="U92" s="11"/>
      <c r="V92" s="11"/>
      <c r="W92" s="11"/>
      <c r="X92" s="11"/>
      <c r="Y92" s="11"/>
      <c r="Z92" s="48"/>
      <c r="AA92" s="52"/>
      <c r="AB92" s="52"/>
      <c r="AC92" s="118"/>
      <c r="AD92" s="5"/>
      <c r="AE92" s="52"/>
      <c r="AF92" s="113"/>
      <c r="AG92" s="113"/>
      <c r="AH92" s="113"/>
      <c r="AI92" s="52"/>
      <c r="AJ92" s="11"/>
      <c r="AK92" s="269">
        <v>162000</v>
      </c>
      <c r="AL92" s="269">
        <v>0</v>
      </c>
      <c r="AM92" s="116">
        <v>162000</v>
      </c>
      <c r="AN92" s="301" t="s">
        <v>37</v>
      </c>
      <c r="AO92" s="302" t="s">
        <v>953</v>
      </c>
      <c r="AP92" s="11"/>
      <c r="AQ92" s="11"/>
      <c r="AR92" s="11"/>
      <c r="AS92" s="11"/>
      <c r="AT92" s="11"/>
      <c r="AU92" s="118">
        <v>170649</v>
      </c>
      <c r="AV92" s="118">
        <v>32423</v>
      </c>
      <c r="AW92" s="118">
        <v>203073</v>
      </c>
      <c r="AX92" s="52" t="s">
        <v>607</v>
      </c>
      <c r="AY92" s="52" t="s">
        <v>953</v>
      </c>
      <c r="AZ92" s="11"/>
      <c r="BA92" s="11"/>
      <c r="BB92" s="11"/>
      <c r="BC92" s="11"/>
      <c r="BD92" s="11"/>
      <c r="BE92" s="274">
        <v>296000</v>
      </c>
      <c r="BF92" s="274">
        <v>56240</v>
      </c>
      <c r="BG92" s="274">
        <v>352240</v>
      </c>
      <c r="BH92" s="11" t="s">
        <v>37</v>
      </c>
      <c r="BI92" s="11" t="s">
        <v>953</v>
      </c>
      <c r="BJ92" s="311"/>
      <c r="BK92" s="311"/>
      <c r="BL92" s="311"/>
      <c r="BM92" s="52"/>
      <c r="BN92" s="52"/>
      <c r="BO92" s="387"/>
      <c r="BP92" s="320"/>
      <c r="BQ92" s="320"/>
      <c r="BR92" s="76"/>
      <c r="BS92" s="4"/>
      <c r="BT92" s="11"/>
      <c r="BU92" s="11"/>
      <c r="BV92" s="11"/>
      <c r="BW92" s="11"/>
      <c r="BX92" s="11"/>
      <c r="BY92" s="348"/>
      <c r="BZ92" s="348"/>
      <c r="CA92" s="348"/>
      <c r="CB92" s="348"/>
      <c r="CC92" s="348"/>
      <c r="CD92" s="11"/>
      <c r="CE92" s="11"/>
      <c r="CF92" s="11"/>
      <c r="CG92" s="11"/>
      <c r="CH92" s="11"/>
      <c r="CI92" s="11"/>
      <c r="CJ92" s="11"/>
      <c r="CK92" s="11"/>
      <c r="CL92" s="11"/>
      <c r="CM92" s="11"/>
      <c r="CN92" s="274"/>
      <c r="CO92" s="274"/>
      <c r="CP92" s="274"/>
      <c r="CQ92" s="11"/>
      <c r="CR92" s="11"/>
      <c r="CS92" s="11"/>
      <c r="CT92" s="11"/>
      <c r="CU92" s="11"/>
      <c r="CV92" s="11"/>
      <c r="CW92" s="11"/>
      <c r="CX92" s="11"/>
      <c r="CY92" s="11"/>
      <c r="CZ92" s="11"/>
      <c r="DA92" s="11"/>
      <c r="DB92" s="11"/>
      <c r="DC92" s="11"/>
      <c r="DD92" s="11"/>
      <c r="DE92" s="11"/>
      <c r="DF92" s="11"/>
      <c r="DG92" s="11"/>
      <c r="DH92" s="11"/>
      <c r="DI92" s="11"/>
      <c r="DJ92" s="11"/>
      <c r="DK92" s="11"/>
      <c r="DL92" s="11"/>
      <c r="DM92" s="118"/>
      <c r="DN92" s="118"/>
      <c r="DO92" s="118"/>
      <c r="DP92" s="52"/>
      <c r="DQ92" s="52"/>
      <c r="DR92" s="77"/>
      <c r="DS92" s="77"/>
      <c r="DT92" s="77"/>
      <c r="DU92" s="11"/>
      <c r="DV92" s="11"/>
      <c r="DW92" s="274">
        <v>178200</v>
      </c>
      <c r="DX92" s="11">
        <f>+DW92*0.19</f>
        <v>33858</v>
      </c>
      <c r="DY92" s="77">
        <f>+DW92+DX92</f>
        <v>212058</v>
      </c>
      <c r="DZ92" s="382" t="s">
        <v>954</v>
      </c>
      <c r="EA92" s="11"/>
      <c r="EB92" s="11"/>
      <c r="EC92" s="11"/>
      <c r="ED92" s="11"/>
      <c r="EE92" s="11"/>
      <c r="EF92" s="11"/>
    </row>
    <row r="93" spans="1:136" ht="13.5" x14ac:dyDescent="0.25">
      <c r="A93" s="425">
        <v>91</v>
      </c>
      <c r="B93" s="427" t="s">
        <v>955</v>
      </c>
      <c r="C93" s="427" t="s">
        <v>622</v>
      </c>
      <c r="D93" s="427" t="s">
        <v>196</v>
      </c>
      <c r="E93" s="79">
        <v>1</v>
      </c>
      <c r="F93" s="405">
        <v>2406654.1513999999</v>
      </c>
      <c r="G93" s="274"/>
      <c r="H93" s="274"/>
      <c r="I93" s="274"/>
      <c r="J93" s="274"/>
      <c r="K93" s="11"/>
      <c r="L93" s="274"/>
      <c r="M93" s="274"/>
      <c r="N93" s="274"/>
      <c r="O93" s="48"/>
      <c r="P93" s="11"/>
      <c r="Q93" s="274"/>
      <c r="R93" s="274"/>
      <c r="S93" s="274"/>
      <c r="T93" s="11"/>
      <c r="U93" s="11"/>
      <c r="V93" s="11"/>
      <c r="W93" s="11"/>
      <c r="X93" s="11"/>
      <c r="Y93" s="11"/>
      <c r="Z93" s="48"/>
      <c r="AA93" s="52"/>
      <c r="AB93" s="52"/>
      <c r="AC93" s="118"/>
      <c r="AD93" s="5"/>
      <c r="AE93" s="52"/>
      <c r="AF93" s="113"/>
      <c r="AG93" s="113"/>
      <c r="AH93" s="113"/>
      <c r="AI93" s="52"/>
      <c r="AJ93" s="11"/>
      <c r="AK93" s="269"/>
      <c r="AL93" s="269"/>
      <c r="AM93" s="116"/>
      <c r="AN93" s="301"/>
      <c r="AO93" s="302"/>
      <c r="AP93" s="11"/>
      <c r="AQ93" s="11"/>
      <c r="AR93" s="11"/>
      <c r="AS93" s="11"/>
      <c r="AT93" s="11"/>
      <c r="AU93" s="118"/>
      <c r="AV93" s="118"/>
      <c r="AW93" s="118"/>
      <c r="AX93" s="52"/>
      <c r="AY93" s="52"/>
      <c r="AZ93" s="11"/>
      <c r="BA93" s="11"/>
      <c r="BB93" s="11"/>
      <c r="BC93" s="11"/>
      <c r="BD93" s="11"/>
      <c r="BE93" s="274"/>
      <c r="BF93" s="274"/>
      <c r="BG93" s="274"/>
      <c r="BH93" s="11"/>
      <c r="BI93" s="11"/>
      <c r="BJ93" s="317"/>
      <c r="BK93" s="317"/>
      <c r="BL93" s="317"/>
      <c r="BM93" s="76"/>
      <c r="BN93" s="79"/>
      <c r="BO93" s="387"/>
      <c r="BP93" s="320"/>
      <c r="BQ93" s="320"/>
      <c r="BR93" s="76"/>
      <c r="BS93" s="4"/>
      <c r="BT93" s="11"/>
      <c r="BU93" s="11"/>
      <c r="BV93" s="11"/>
      <c r="BW93" s="11"/>
      <c r="BX93" s="11"/>
      <c r="BY93" s="348"/>
      <c r="BZ93" s="348"/>
      <c r="CA93" s="348"/>
      <c r="CB93" s="348"/>
      <c r="CC93" s="348"/>
      <c r="CD93" s="11"/>
      <c r="CE93" s="11"/>
      <c r="CF93" s="11"/>
      <c r="CG93" s="11"/>
      <c r="CH93" s="11"/>
      <c r="CI93" s="11"/>
      <c r="CJ93" s="11"/>
      <c r="CK93" s="11"/>
      <c r="CL93" s="11"/>
      <c r="CM93" s="11"/>
      <c r="CN93" s="274"/>
      <c r="CO93" s="274"/>
      <c r="CP93" s="274"/>
      <c r="CQ93" s="11"/>
      <c r="CR93" s="11"/>
      <c r="CS93" s="11"/>
      <c r="CT93" s="11"/>
      <c r="CU93" s="11"/>
      <c r="CV93" s="11"/>
      <c r="CW93" s="11"/>
      <c r="CX93" s="11"/>
      <c r="CY93" s="11"/>
      <c r="CZ93" s="11"/>
      <c r="DA93" s="11"/>
      <c r="DB93" s="11"/>
      <c r="DC93" s="11"/>
      <c r="DD93" s="11"/>
      <c r="DE93" s="11"/>
      <c r="DF93" s="11"/>
      <c r="DG93" s="11"/>
      <c r="DH93" s="11"/>
      <c r="DI93" s="11"/>
      <c r="DJ93" s="11"/>
      <c r="DK93" s="11"/>
      <c r="DL93" s="11"/>
      <c r="DM93" s="118"/>
      <c r="DN93" s="118"/>
      <c r="DO93" s="118"/>
      <c r="DP93" s="52"/>
      <c r="DQ93" s="52"/>
      <c r="DR93" s="77"/>
      <c r="DS93" s="77"/>
      <c r="DT93" s="77"/>
      <c r="DU93" s="11"/>
      <c r="DV93" s="11"/>
      <c r="DW93" s="11"/>
      <c r="DX93" s="11"/>
      <c r="DY93" s="11"/>
      <c r="DZ93" s="11"/>
      <c r="EA93" s="11"/>
      <c r="EB93" s="11"/>
      <c r="EC93" s="11"/>
      <c r="ED93" s="11"/>
      <c r="EE93" s="11"/>
      <c r="EF93" s="11"/>
    </row>
    <row r="94" spans="1:136" ht="40.5" x14ac:dyDescent="0.25">
      <c r="A94" s="425">
        <v>92</v>
      </c>
      <c r="B94" s="427" t="s">
        <v>956</v>
      </c>
      <c r="C94" s="427" t="s">
        <v>957</v>
      </c>
      <c r="D94" s="427" t="s">
        <v>958</v>
      </c>
      <c r="E94" s="79">
        <v>1</v>
      </c>
      <c r="F94" s="406">
        <v>1583666.28</v>
      </c>
      <c r="G94" s="274"/>
      <c r="H94" s="274"/>
      <c r="I94" s="274"/>
      <c r="J94" s="274"/>
      <c r="K94" s="11"/>
      <c r="L94" s="274"/>
      <c r="M94" s="274"/>
      <c r="N94" s="274"/>
      <c r="O94" s="48"/>
      <c r="P94" s="11"/>
      <c r="Q94" s="274"/>
      <c r="R94" s="274"/>
      <c r="S94" s="274"/>
      <c r="T94" s="11"/>
      <c r="U94" s="11"/>
      <c r="V94" s="11"/>
      <c r="W94" s="11"/>
      <c r="X94" s="11"/>
      <c r="Y94" s="11"/>
      <c r="Z94" s="48"/>
      <c r="AA94" s="52"/>
      <c r="AB94" s="52"/>
      <c r="AC94" s="118"/>
      <c r="AD94" s="5"/>
      <c r="AE94" s="52"/>
      <c r="AF94" s="113"/>
      <c r="AG94" s="113"/>
      <c r="AH94" s="113"/>
      <c r="AI94" s="52"/>
      <c r="AJ94" s="11"/>
      <c r="AK94" s="269"/>
      <c r="AL94" s="269"/>
      <c r="AM94" s="116"/>
      <c r="AN94" s="301"/>
      <c r="AO94" s="302"/>
      <c r="AP94" s="11"/>
      <c r="AQ94" s="11"/>
      <c r="AR94" s="11"/>
      <c r="AS94" s="11"/>
      <c r="AT94" s="11"/>
      <c r="AU94" s="118"/>
      <c r="AV94" s="118"/>
      <c r="AW94" s="118"/>
      <c r="AX94" s="52"/>
      <c r="AY94" s="52"/>
      <c r="AZ94" s="11"/>
      <c r="BA94" s="11"/>
      <c r="BB94" s="11"/>
      <c r="BC94" s="11"/>
      <c r="BD94" s="11"/>
      <c r="BE94" s="274">
        <v>676000</v>
      </c>
      <c r="BF94" s="274">
        <v>128440</v>
      </c>
      <c r="BG94" s="274">
        <v>804440</v>
      </c>
      <c r="BH94" s="11" t="s">
        <v>959</v>
      </c>
      <c r="BI94" s="11" t="s">
        <v>960</v>
      </c>
      <c r="BJ94" s="311"/>
      <c r="BK94" s="311"/>
      <c r="BL94" s="311"/>
      <c r="BM94" s="52"/>
      <c r="BN94" s="52"/>
      <c r="BO94" s="387"/>
      <c r="BP94" s="320"/>
      <c r="BQ94" s="320"/>
      <c r="BR94" s="76"/>
      <c r="BS94" s="4"/>
      <c r="BT94" s="11"/>
      <c r="BU94" s="11"/>
      <c r="BV94" s="11"/>
      <c r="BW94" s="11"/>
      <c r="BX94" s="11"/>
      <c r="BY94" s="348"/>
      <c r="BZ94" s="348"/>
      <c r="CA94" s="348"/>
      <c r="CB94" s="348"/>
      <c r="CC94" s="348"/>
      <c r="CD94" s="11"/>
      <c r="CE94" s="11"/>
      <c r="CF94" s="11"/>
      <c r="CG94" s="11"/>
      <c r="CH94" s="11"/>
      <c r="CI94" s="11"/>
      <c r="CJ94" s="11"/>
      <c r="CK94" s="11"/>
      <c r="CL94" s="11"/>
      <c r="CM94" s="11"/>
      <c r="CN94" s="274"/>
      <c r="CO94" s="274"/>
      <c r="CP94" s="274"/>
      <c r="CQ94" s="11"/>
      <c r="CR94" s="11"/>
      <c r="CS94" s="11"/>
      <c r="CT94" s="11"/>
      <c r="CU94" s="11"/>
      <c r="CV94" s="11"/>
      <c r="CW94" s="11"/>
      <c r="CX94" s="11"/>
      <c r="CY94" s="11"/>
      <c r="CZ94" s="11"/>
      <c r="DA94" s="11"/>
      <c r="DB94" s="11"/>
      <c r="DC94" s="11"/>
      <c r="DD94" s="11"/>
      <c r="DE94" s="11"/>
      <c r="DF94" s="11"/>
      <c r="DG94" s="11"/>
      <c r="DH94" s="11"/>
      <c r="DI94" s="11"/>
      <c r="DJ94" s="11"/>
      <c r="DK94" s="11"/>
      <c r="DL94" s="11"/>
      <c r="DM94" s="118"/>
      <c r="DN94" s="118"/>
      <c r="DO94" s="118"/>
      <c r="DP94" s="52"/>
      <c r="DQ94" s="52"/>
      <c r="DR94" s="77"/>
      <c r="DS94" s="77"/>
      <c r="DT94" s="77"/>
      <c r="DU94" s="11"/>
      <c r="DV94" s="11"/>
      <c r="DW94" s="11"/>
      <c r="DX94" s="11"/>
      <c r="DY94" s="11"/>
      <c r="DZ94" s="11"/>
      <c r="EA94" s="11"/>
      <c r="EB94" s="11"/>
      <c r="EC94" s="11"/>
      <c r="ED94" s="11"/>
      <c r="EE94" s="11"/>
      <c r="EF94" s="11"/>
    </row>
    <row r="95" spans="1:136" ht="40.5" x14ac:dyDescent="0.25">
      <c r="A95" s="425">
        <v>93</v>
      </c>
      <c r="B95" s="427" t="s">
        <v>961</v>
      </c>
      <c r="C95" s="427" t="s">
        <v>957</v>
      </c>
      <c r="D95" s="427" t="s">
        <v>958</v>
      </c>
      <c r="E95" s="79">
        <v>1</v>
      </c>
      <c r="F95" s="406">
        <v>1757115.4440000001</v>
      </c>
      <c r="G95" s="274"/>
      <c r="H95" s="274"/>
      <c r="I95" s="274"/>
      <c r="J95" s="274"/>
      <c r="K95" s="11"/>
      <c r="L95" s="274"/>
      <c r="M95" s="274"/>
      <c r="N95" s="274"/>
      <c r="O95" s="48"/>
      <c r="P95" s="11"/>
      <c r="Q95" s="274"/>
      <c r="R95" s="274"/>
      <c r="S95" s="274"/>
      <c r="T95" s="11"/>
      <c r="U95" s="11"/>
      <c r="V95" s="11"/>
      <c r="W95" s="11"/>
      <c r="X95" s="11"/>
      <c r="Y95" s="11"/>
      <c r="Z95" s="48"/>
      <c r="AA95" s="52"/>
      <c r="AB95" s="52"/>
      <c r="AC95" s="118"/>
      <c r="AD95" s="5"/>
      <c r="AE95" s="52"/>
      <c r="AF95" s="113"/>
      <c r="AG95" s="113"/>
      <c r="AH95" s="113"/>
      <c r="AI95" s="52"/>
      <c r="AJ95" s="11"/>
      <c r="AK95" s="269"/>
      <c r="AL95" s="269"/>
      <c r="AM95" s="116"/>
      <c r="AN95" s="301"/>
      <c r="AO95" s="302"/>
      <c r="AP95" s="11"/>
      <c r="AQ95" s="11"/>
      <c r="AR95" s="11"/>
      <c r="AS95" s="11"/>
      <c r="AT95" s="11"/>
      <c r="AU95" s="118"/>
      <c r="AV95" s="118"/>
      <c r="AW95" s="118"/>
      <c r="AX95" s="52"/>
      <c r="AY95" s="52"/>
      <c r="AZ95" s="11"/>
      <c r="BA95" s="11"/>
      <c r="BB95" s="11"/>
      <c r="BC95" s="11"/>
      <c r="BD95" s="11"/>
      <c r="BE95" s="274">
        <v>676000</v>
      </c>
      <c r="BF95" s="274">
        <v>128440</v>
      </c>
      <c r="BG95" s="274">
        <v>804440</v>
      </c>
      <c r="BH95" s="11" t="s">
        <v>959</v>
      </c>
      <c r="BI95" s="11" t="s">
        <v>962</v>
      </c>
      <c r="BJ95" s="311"/>
      <c r="BK95" s="311"/>
      <c r="BL95" s="311"/>
      <c r="BM95" s="52"/>
      <c r="BN95" s="52"/>
      <c r="BO95" s="387"/>
      <c r="BP95" s="320"/>
      <c r="BQ95" s="320"/>
      <c r="BR95" s="76"/>
      <c r="BS95" s="4"/>
      <c r="BT95" s="11"/>
      <c r="BU95" s="11"/>
      <c r="BV95" s="11"/>
      <c r="BW95" s="11"/>
      <c r="BX95" s="11"/>
      <c r="BY95" s="348"/>
      <c r="BZ95" s="348"/>
      <c r="CA95" s="348"/>
      <c r="CB95" s="348"/>
      <c r="CC95" s="348"/>
      <c r="CD95" s="11"/>
      <c r="CE95" s="11"/>
      <c r="CF95" s="11"/>
      <c r="CG95" s="11"/>
      <c r="CH95" s="11"/>
      <c r="CI95" s="11"/>
      <c r="CJ95" s="11"/>
      <c r="CK95" s="11"/>
      <c r="CL95" s="11"/>
      <c r="CM95" s="11"/>
      <c r="CN95" s="274"/>
      <c r="CO95" s="274"/>
      <c r="CP95" s="274"/>
      <c r="CQ95" s="11"/>
      <c r="CR95" s="11"/>
      <c r="CS95" s="11"/>
      <c r="CT95" s="11"/>
      <c r="CU95" s="11"/>
      <c r="CV95" s="11"/>
      <c r="CW95" s="11"/>
      <c r="CX95" s="11"/>
      <c r="CY95" s="11"/>
      <c r="CZ95" s="11"/>
      <c r="DA95" s="11"/>
      <c r="DB95" s="11"/>
      <c r="DC95" s="11"/>
      <c r="DD95" s="11"/>
      <c r="DE95" s="11"/>
      <c r="DF95" s="11"/>
      <c r="DG95" s="11"/>
      <c r="DH95" s="11"/>
      <c r="DI95" s="11"/>
      <c r="DJ95" s="11"/>
      <c r="DK95" s="11"/>
      <c r="DL95" s="11"/>
      <c r="DM95" s="118"/>
      <c r="DN95" s="118"/>
      <c r="DO95" s="118"/>
      <c r="DP95" s="52"/>
      <c r="DQ95" s="52"/>
      <c r="DR95" s="77"/>
      <c r="DS95" s="77"/>
      <c r="DT95" s="77"/>
      <c r="DU95" s="11"/>
      <c r="DV95" s="11"/>
      <c r="DW95" s="11"/>
      <c r="DX95" s="11"/>
      <c r="DY95" s="11"/>
      <c r="DZ95" s="11"/>
      <c r="EA95" s="11"/>
      <c r="EB95" s="11"/>
      <c r="EC95" s="11"/>
      <c r="ED95" s="11"/>
      <c r="EE95" s="11"/>
      <c r="EF95" s="11"/>
    </row>
    <row r="96" spans="1:136" ht="40.5" x14ac:dyDescent="0.25">
      <c r="A96" s="425">
        <v>94</v>
      </c>
      <c r="B96" s="427" t="s">
        <v>963</v>
      </c>
      <c r="C96" s="427" t="s">
        <v>957</v>
      </c>
      <c r="D96" s="427" t="s">
        <v>958</v>
      </c>
      <c r="E96" s="79">
        <v>1</v>
      </c>
      <c r="F96" s="405"/>
      <c r="G96" s="274"/>
      <c r="H96" s="274"/>
      <c r="I96" s="274"/>
      <c r="J96" s="274"/>
      <c r="K96" s="11"/>
      <c r="L96" s="274"/>
      <c r="M96" s="274"/>
      <c r="N96" s="274"/>
      <c r="O96" s="48"/>
      <c r="P96" s="11"/>
      <c r="Q96" s="274"/>
      <c r="R96" s="274"/>
      <c r="S96" s="274"/>
      <c r="T96" s="11"/>
      <c r="U96" s="11"/>
      <c r="V96" s="11"/>
      <c r="W96" s="11"/>
      <c r="X96" s="11"/>
      <c r="Y96" s="11"/>
      <c r="Z96" s="48"/>
      <c r="AA96" s="52"/>
      <c r="AB96" s="52"/>
      <c r="AC96" s="118"/>
      <c r="AD96" s="5"/>
      <c r="AE96" s="52"/>
      <c r="AF96" s="113"/>
      <c r="AG96" s="113"/>
      <c r="AH96" s="113"/>
      <c r="AI96" s="52"/>
      <c r="AJ96" s="11"/>
      <c r="AK96" s="269"/>
      <c r="AL96" s="269"/>
      <c r="AM96" s="116"/>
      <c r="AN96" s="301"/>
      <c r="AO96" s="302"/>
      <c r="AP96" s="11"/>
      <c r="AQ96" s="11"/>
      <c r="AR96" s="11"/>
      <c r="AS96" s="11"/>
      <c r="AT96" s="11"/>
      <c r="AU96" s="118"/>
      <c r="AV96" s="118"/>
      <c r="AW96" s="118"/>
      <c r="AX96" s="52"/>
      <c r="AY96" s="52"/>
      <c r="AZ96" s="11"/>
      <c r="BA96" s="11"/>
      <c r="BB96" s="11"/>
      <c r="BC96" s="11"/>
      <c r="BD96" s="11"/>
      <c r="BE96" s="274">
        <v>676000</v>
      </c>
      <c r="BF96" s="274">
        <v>128440</v>
      </c>
      <c r="BG96" s="274">
        <v>804440</v>
      </c>
      <c r="BH96" s="11" t="s">
        <v>959</v>
      </c>
      <c r="BI96" s="11" t="s">
        <v>964</v>
      </c>
      <c r="BJ96" s="311"/>
      <c r="BK96" s="311"/>
      <c r="BL96" s="311"/>
      <c r="BM96" s="52"/>
      <c r="BN96" s="52"/>
      <c r="BO96" s="387"/>
      <c r="BP96" s="320"/>
      <c r="BQ96" s="320"/>
      <c r="BR96" s="76"/>
      <c r="BS96" s="4"/>
      <c r="BT96" s="11"/>
      <c r="BU96" s="11"/>
      <c r="BV96" s="11"/>
      <c r="BW96" s="11"/>
      <c r="BX96" s="11"/>
      <c r="BY96" s="348"/>
      <c r="BZ96" s="348"/>
      <c r="CA96" s="348"/>
      <c r="CB96" s="348"/>
      <c r="CC96" s="348"/>
      <c r="CD96" s="11"/>
      <c r="CE96" s="11"/>
      <c r="CF96" s="11"/>
      <c r="CG96" s="11"/>
      <c r="CH96" s="11"/>
      <c r="CI96" s="11"/>
      <c r="CJ96" s="11"/>
      <c r="CK96" s="11"/>
      <c r="CL96" s="11"/>
      <c r="CM96" s="11"/>
      <c r="CN96" s="274"/>
      <c r="CO96" s="274"/>
      <c r="CP96" s="274"/>
      <c r="CQ96" s="11"/>
      <c r="CR96" s="11"/>
      <c r="CS96" s="11"/>
      <c r="CT96" s="11"/>
      <c r="CU96" s="11"/>
      <c r="CV96" s="11"/>
      <c r="CW96" s="11"/>
      <c r="CX96" s="11"/>
      <c r="CY96" s="11"/>
      <c r="CZ96" s="11"/>
      <c r="DA96" s="11"/>
      <c r="DB96" s="11"/>
      <c r="DC96" s="11"/>
      <c r="DD96" s="11"/>
      <c r="DE96" s="11"/>
      <c r="DF96" s="11"/>
      <c r="DG96" s="11"/>
      <c r="DH96" s="11"/>
      <c r="DI96" s="11"/>
      <c r="DJ96" s="11"/>
      <c r="DK96" s="11"/>
      <c r="DL96" s="11"/>
      <c r="DM96" s="118"/>
      <c r="DN96" s="118"/>
      <c r="DO96" s="118"/>
      <c r="DP96" s="52"/>
      <c r="DQ96" s="52"/>
      <c r="DR96" s="77"/>
      <c r="DS96" s="77"/>
      <c r="DT96" s="77"/>
      <c r="DU96" s="11"/>
      <c r="DV96" s="11"/>
      <c r="DW96" s="11"/>
      <c r="DX96" s="11"/>
      <c r="DY96" s="11"/>
      <c r="DZ96" s="11"/>
      <c r="EA96" s="11"/>
      <c r="EB96" s="11"/>
      <c r="EC96" s="11"/>
      <c r="ED96" s="11"/>
      <c r="EE96" s="11"/>
      <c r="EF96" s="11"/>
    </row>
    <row r="97" spans="1:136" ht="40.5" x14ac:dyDescent="0.25">
      <c r="A97" s="425">
        <v>95</v>
      </c>
      <c r="B97" s="427" t="s">
        <v>965</v>
      </c>
      <c r="C97" s="427" t="s">
        <v>957</v>
      </c>
      <c r="D97" s="427" t="s">
        <v>958</v>
      </c>
      <c r="E97" s="79">
        <v>1</v>
      </c>
      <c r="F97" s="405"/>
      <c r="G97" s="274"/>
      <c r="H97" s="274"/>
      <c r="I97" s="274"/>
      <c r="J97" s="274"/>
      <c r="K97" s="11"/>
      <c r="L97" s="274"/>
      <c r="M97" s="274"/>
      <c r="N97" s="274"/>
      <c r="O97" s="48"/>
      <c r="P97" s="11"/>
      <c r="Q97" s="274"/>
      <c r="R97" s="274"/>
      <c r="S97" s="274"/>
      <c r="T97" s="11"/>
      <c r="U97" s="11"/>
      <c r="V97" s="11"/>
      <c r="W97" s="11"/>
      <c r="X97" s="11"/>
      <c r="Y97" s="11"/>
      <c r="Z97" s="48"/>
      <c r="AA97" s="52"/>
      <c r="AB97" s="52"/>
      <c r="AC97" s="118"/>
      <c r="AD97" s="5"/>
      <c r="AE97" s="52"/>
      <c r="AF97" s="113"/>
      <c r="AG97" s="113"/>
      <c r="AH97" s="113"/>
      <c r="AI97" s="52"/>
      <c r="AJ97" s="11"/>
      <c r="AK97" s="269"/>
      <c r="AL97" s="269"/>
      <c r="AM97" s="116"/>
      <c r="AN97" s="301"/>
      <c r="AO97" s="302"/>
      <c r="AP97" s="11"/>
      <c r="AQ97" s="11"/>
      <c r="AR97" s="11"/>
      <c r="AS97" s="11"/>
      <c r="AT97" s="11"/>
      <c r="AU97" s="118"/>
      <c r="AV97" s="118"/>
      <c r="AW97" s="118"/>
      <c r="AX97" s="52"/>
      <c r="AY97" s="52"/>
      <c r="AZ97" s="11"/>
      <c r="BA97" s="11"/>
      <c r="BB97" s="11"/>
      <c r="BC97" s="11"/>
      <c r="BD97" s="11"/>
      <c r="BE97" s="274">
        <v>676000</v>
      </c>
      <c r="BF97" s="274">
        <v>128440</v>
      </c>
      <c r="BG97" s="274">
        <v>804440</v>
      </c>
      <c r="BH97" s="11" t="s">
        <v>959</v>
      </c>
      <c r="BI97" s="11" t="s">
        <v>966</v>
      </c>
      <c r="BJ97" s="311"/>
      <c r="BK97" s="311"/>
      <c r="BL97" s="311"/>
      <c r="BM97" s="52"/>
      <c r="BN97" s="52"/>
      <c r="BO97" s="387"/>
      <c r="BP97" s="320"/>
      <c r="BQ97" s="320"/>
      <c r="BR97" s="76"/>
      <c r="BS97" s="4"/>
      <c r="BT97" s="11"/>
      <c r="BU97" s="11"/>
      <c r="BV97" s="11"/>
      <c r="BW97" s="11"/>
      <c r="BX97" s="11"/>
      <c r="BY97" s="348"/>
      <c r="BZ97" s="348"/>
      <c r="CA97" s="348"/>
      <c r="CB97" s="348"/>
      <c r="CC97" s="348"/>
      <c r="CD97" s="11"/>
      <c r="CE97" s="11"/>
      <c r="CF97" s="11"/>
      <c r="CG97" s="11"/>
      <c r="CH97" s="11"/>
      <c r="CI97" s="11"/>
      <c r="CJ97" s="11"/>
      <c r="CK97" s="11"/>
      <c r="CL97" s="11"/>
      <c r="CM97" s="11"/>
      <c r="CN97" s="274"/>
      <c r="CO97" s="274"/>
      <c r="CP97" s="274"/>
      <c r="CQ97" s="11"/>
      <c r="CR97" s="11"/>
      <c r="CS97" s="11"/>
      <c r="CT97" s="11"/>
      <c r="CU97" s="11"/>
      <c r="CV97" s="11"/>
      <c r="CW97" s="11"/>
      <c r="CX97" s="11"/>
      <c r="CY97" s="11"/>
      <c r="CZ97" s="11"/>
      <c r="DA97" s="11"/>
      <c r="DB97" s="11"/>
      <c r="DC97" s="11"/>
      <c r="DD97" s="11"/>
      <c r="DE97" s="11"/>
      <c r="DF97" s="11"/>
      <c r="DG97" s="11"/>
      <c r="DH97" s="11"/>
      <c r="DI97" s="11"/>
      <c r="DJ97" s="11"/>
      <c r="DK97" s="11"/>
      <c r="DL97" s="11"/>
      <c r="DM97" s="118"/>
      <c r="DN97" s="118"/>
      <c r="DO97" s="118"/>
      <c r="DP97" s="52"/>
      <c r="DQ97" s="52"/>
      <c r="DR97" s="77"/>
      <c r="DS97" s="77"/>
      <c r="DT97" s="77"/>
      <c r="DU97" s="11"/>
      <c r="DV97" s="11"/>
      <c r="DW97" s="11"/>
      <c r="DX97" s="11"/>
      <c r="DY97" s="11"/>
      <c r="DZ97" s="11"/>
      <c r="EA97" s="11"/>
      <c r="EB97" s="11"/>
      <c r="EC97" s="11"/>
      <c r="ED97" s="11"/>
      <c r="EE97" s="11"/>
      <c r="EF97" s="11"/>
    </row>
    <row r="98" spans="1:136" ht="12.75" customHeight="1" x14ac:dyDescent="0.25">
      <c r="A98" s="425">
        <v>96</v>
      </c>
      <c r="B98" s="428" t="s">
        <v>967</v>
      </c>
      <c r="C98" s="428" t="s">
        <v>968</v>
      </c>
      <c r="D98" s="428" t="s">
        <v>259</v>
      </c>
      <c r="E98" s="79">
        <v>1</v>
      </c>
      <c r="F98" s="405"/>
      <c r="G98" s="274"/>
      <c r="H98" s="274"/>
      <c r="I98" s="274"/>
      <c r="J98" s="274"/>
      <c r="K98" s="11"/>
      <c r="L98" s="274"/>
      <c r="M98" s="274"/>
      <c r="N98" s="274"/>
      <c r="O98" s="48"/>
      <c r="P98" s="11"/>
      <c r="Q98" s="274"/>
      <c r="R98" s="274"/>
      <c r="S98" s="274"/>
      <c r="T98" s="11"/>
      <c r="U98" s="11"/>
      <c r="V98" s="11"/>
      <c r="W98" s="11"/>
      <c r="X98" s="11"/>
      <c r="Y98" s="11"/>
      <c r="Z98" s="48"/>
      <c r="AA98" s="52"/>
      <c r="AB98" s="52"/>
      <c r="AC98" s="118"/>
      <c r="AD98" s="5"/>
      <c r="AE98" s="52"/>
      <c r="AF98" s="113"/>
      <c r="AG98" s="113"/>
      <c r="AH98" s="113"/>
      <c r="AI98" s="52"/>
      <c r="AJ98" s="11"/>
      <c r="AK98" s="116">
        <v>1138000</v>
      </c>
      <c r="AL98" s="116"/>
      <c r="AM98" s="116">
        <v>1138000</v>
      </c>
      <c r="AN98" s="305" t="s">
        <v>37</v>
      </c>
      <c r="AO98" s="306" t="s">
        <v>969</v>
      </c>
      <c r="AP98" s="11"/>
      <c r="AQ98" s="11"/>
      <c r="AR98" s="11"/>
      <c r="AS98" s="11"/>
      <c r="AT98" s="11"/>
      <c r="AU98" s="118">
        <v>1198759</v>
      </c>
      <c r="AV98" s="118">
        <v>227764</v>
      </c>
      <c r="AW98" s="118">
        <v>1426523</v>
      </c>
      <c r="AX98" s="52" t="s">
        <v>607</v>
      </c>
      <c r="AY98" s="52" t="s">
        <v>969</v>
      </c>
      <c r="AZ98" s="11"/>
      <c r="BA98" s="11"/>
      <c r="BB98" s="11"/>
      <c r="BC98" s="11"/>
      <c r="BD98" s="11"/>
      <c r="BE98" s="274">
        <v>2077000</v>
      </c>
      <c r="BF98" s="274">
        <v>394630</v>
      </c>
      <c r="BG98" s="274">
        <v>2471630</v>
      </c>
      <c r="BH98" s="11" t="s">
        <v>37</v>
      </c>
      <c r="BI98" s="11" t="s">
        <v>969</v>
      </c>
      <c r="BJ98" s="311"/>
      <c r="BK98" s="311"/>
      <c r="BL98" s="311"/>
      <c r="BM98" s="52"/>
      <c r="BN98" s="52"/>
      <c r="BO98" s="387"/>
      <c r="BP98" s="320"/>
      <c r="BQ98" s="320"/>
      <c r="BR98" s="76"/>
      <c r="BS98" s="4"/>
      <c r="BT98" s="11"/>
      <c r="BU98" s="11"/>
      <c r="BV98" s="11"/>
      <c r="BW98" s="11"/>
      <c r="BX98" s="11"/>
      <c r="BY98" s="348"/>
      <c r="BZ98" s="348"/>
      <c r="CA98" s="348"/>
      <c r="CB98" s="348"/>
      <c r="CC98" s="348"/>
      <c r="CD98" s="11"/>
      <c r="CE98" s="11"/>
      <c r="CF98" s="11"/>
      <c r="CG98" s="11"/>
      <c r="CH98" s="11"/>
      <c r="CI98" s="11"/>
      <c r="CJ98" s="11"/>
      <c r="CK98" s="11"/>
      <c r="CL98" s="11"/>
      <c r="CM98" s="11"/>
      <c r="CN98" s="274"/>
      <c r="CO98" s="274"/>
      <c r="CP98" s="274"/>
      <c r="CQ98" s="11"/>
      <c r="CR98" s="11"/>
      <c r="CS98" s="11"/>
      <c r="CT98" s="11"/>
      <c r="CU98" s="11"/>
      <c r="CV98" s="11"/>
      <c r="CW98" s="11"/>
      <c r="CX98" s="11"/>
      <c r="CY98" s="11"/>
      <c r="CZ98" s="11"/>
      <c r="DA98" s="11"/>
      <c r="DB98" s="11"/>
      <c r="DC98" s="11"/>
      <c r="DD98" s="11"/>
      <c r="DE98" s="11"/>
      <c r="DF98" s="11"/>
      <c r="DG98" s="11"/>
      <c r="DH98" s="11"/>
      <c r="DI98" s="11"/>
      <c r="DJ98" s="11"/>
      <c r="DK98" s="11"/>
      <c r="DL98" s="11"/>
      <c r="DM98" s="118"/>
      <c r="DN98" s="118"/>
      <c r="DO98" s="118"/>
      <c r="DP98" s="52"/>
      <c r="DQ98" s="52"/>
      <c r="DR98" s="77"/>
      <c r="DS98" s="77"/>
      <c r="DT98" s="77"/>
      <c r="DU98" s="11"/>
      <c r="DV98" s="11"/>
      <c r="DW98" s="11"/>
      <c r="DX98" s="11"/>
      <c r="DY98" s="11"/>
      <c r="DZ98" s="11"/>
      <c r="EA98" s="11"/>
      <c r="EB98" s="11"/>
      <c r="EC98" s="11"/>
      <c r="ED98" s="11"/>
      <c r="EE98" s="11"/>
      <c r="EF98" s="11"/>
    </row>
    <row r="99" spans="1:136" ht="40.5" x14ac:dyDescent="0.25">
      <c r="A99" s="425">
        <v>97</v>
      </c>
      <c r="B99" s="427" t="s">
        <v>970</v>
      </c>
      <c r="C99" s="587"/>
      <c r="D99" s="587" t="s">
        <v>971</v>
      </c>
      <c r="E99" s="79">
        <v>1</v>
      </c>
      <c r="F99" s="405">
        <v>581332.47999999998</v>
      </c>
      <c r="G99" s="274"/>
      <c r="H99" s="274"/>
      <c r="I99" s="274"/>
      <c r="J99" s="274"/>
      <c r="K99" s="11"/>
      <c r="L99" s="274"/>
      <c r="M99" s="274"/>
      <c r="N99" s="274"/>
      <c r="O99" s="48"/>
      <c r="P99" s="11"/>
      <c r="Q99" s="274"/>
      <c r="R99" s="274"/>
      <c r="S99" s="274"/>
      <c r="T99" s="11"/>
      <c r="U99" s="11"/>
      <c r="V99" s="11"/>
      <c r="W99" s="11"/>
      <c r="X99" s="11"/>
      <c r="Y99" s="11"/>
      <c r="Z99" s="48"/>
      <c r="AA99" s="52"/>
      <c r="AB99" s="52"/>
      <c r="AC99" s="118"/>
      <c r="AD99" s="5"/>
      <c r="AE99" s="52"/>
      <c r="AF99" s="113"/>
      <c r="AG99" s="113"/>
      <c r="AH99" s="113"/>
      <c r="AI99" s="52"/>
      <c r="AJ99" s="11"/>
      <c r="AK99" s="269"/>
      <c r="AL99" s="269"/>
      <c r="AM99" s="116"/>
      <c r="AN99" s="301"/>
      <c r="AO99" s="302"/>
      <c r="AP99" s="11"/>
      <c r="AQ99" s="11"/>
      <c r="AR99" s="11"/>
      <c r="AS99" s="11"/>
      <c r="AT99" s="11"/>
      <c r="AU99" s="118"/>
      <c r="AV99" s="118"/>
      <c r="AW99" s="118"/>
      <c r="AX99" s="52"/>
      <c r="AY99" s="52"/>
      <c r="AZ99" s="11"/>
      <c r="BA99" s="11"/>
      <c r="BB99" s="11"/>
      <c r="BC99" s="11"/>
      <c r="BD99" s="11"/>
      <c r="BE99" s="274"/>
      <c r="BF99" s="274"/>
      <c r="BG99" s="274"/>
      <c r="BH99" s="11" t="s">
        <v>972</v>
      </c>
      <c r="BI99" s="11"/>
      <c r="BJ99" s="311"/>
      <c r="BK99" s="311"/>
      <c r="BL99" s="311"/>
      <c r="BM99" s="52"/>
      <c r="BN99" s="52"/>
      <c r="BO99" s="387"/>
      <c r="BP99" s="320"/>
      <c r="BQ99" s="320"/>
      <c r="BR99" s="76"/>
      <c r="BS99" s="4"/>
      <c r="BT99" s="11"/>
      <c r="BU99" s="11"/>
      <c r="BV99" s="11"/>
      <c r="BW99" s="11"/>
      <c r="BX99" s="11"/>
      <c r="BY99" s="348"/>
      <c r="BZ99" s="348"/>
      <c r="CA99" s="348"/>
      <c r="CB99" s="348"/>
      <c r="CC99" s="348"/>
      <c r="CD99" s="11"/>
      <c r="CE99" s="11"/>
      <c r="CF99" s="11"/>
      <c r="CG99" s="11"/>
      <c r="CH99" s="11"/>
      <c r="CI99" s="11"/>
      <c r="CJ99" s="11"/>
      <c r="CK99" s="11"/>
      <c r="CL99" s="11"/>
      <c r="CM99" s="11"/>
      <c r="CN99" s="274"/>
      <c r="CO99" s="274"/>
      <c r="CP99" s="274"/>
      <c r="CQ99" s="11"/>
      <c r="CR99" s="11"/>
      <c r="CS99" s="11"/>
      <c r="CT99" s="11"/>
      <c r="CU99" s="11"/>
      <c r="CV99" s="11"/>
      <c r="CW99" s="11"/>
      <c r="CX99" s="11"/>
      <c r="CY99" s="11"/>
      <c r="CZ99" s="11"/>
      <c r="DA99" s="11"/>
      <c r="DB99" s="11"/>
      <c r="DC99" s="11"/>
      <c r="DD99" s="11"/>
      <c r="DE99" s="11"/>
      <c r="DF99" s="11"/>
      <c r="DG99" s="11"/>
      <c r="DH99" s="11"/>
      <c r="DI99" s="11"/>
      <c r="DJ99" s="11"/>
      <c r="DK99" s="11"/>
      <c r="DL99" s="11"/>
      <c r="DM99" s="118"/>
      <c r="DN99" s="118"/>
      <c r="DO99" s="118"/>
      <c r="DP99" s="52"/>
      <c r="DQ99" s="52"/>
      <c r="DR99" s="77"/>
      <c r="DS99" s="77"/>
      <c r="DT99" s="77"/>
      <c r="DU99" s="11"/>
      <c r="DV99" s="11"/>
      <c r="DW99" s="11"/>
      <c r="DX99" s="11"/>
      <c r="DY99" s="11"/>
      <c r="DZ99" s="11"/>
      <c r="EA99" s="11"/>
      <c r="EB99" s="11"/>
      <c r="EC99" s="11"/>
      <c r="ED99" s="11"/>
      <c r="EE99" s="11"/>
      <c r="EF99" s="11"/>
    </row>
    <row r="100" spans="1:136" ht="13.5" x14ac:dyDescent="0.25">
      <c r="A100" s="425">
        <v>98</v>
      </c>
      <c r="B100" s="427" t="s">
        <v>973</v>
      </c>
      <c r="C100" s="586"/>
      <c r="D100" s="586" t="s">
        <v>974</v>
      </c>
      <c r="E100" s="79">
        <v>1</v>
      </c>
      <c r="F100" s="405">
        <v>181256.5944</v>
      </c>
      <c r="G100" s="274"/>
      <c r="H100" s="274"/>
      <c r="I100" s="274"/>
      <c r="J100" s="274"/>
      <c r="K100" s="11"/>
      <c r="L100" s="274"/>
      <c r="M100" s="274"/>
      <c r="N100" s="274"/>
      <c r="O100" s="48"/>
      <c r="P100" s="11"/>
      <c r="Q100" s="274"/>
      <c r="R100" s="274"/>
      <c r="S100" s="274"/>
      <c r="T100" s="11"/>
      <c r="U100" s="11"/>
      <c r="V100" s="11"/>
      <c r="W100" s="11"/>
      <c r="X100" s="11"/>
      <c r="Y100" s="11"/>
      <c r="Z100" s="48"/>
      <c r="AA100" s="52"/>
      <c r="AB100" s="52"/>
      <c r="AC100" s="118"/>
      <c r="AD100" s="5"/>
      <c r="AE100" s="52"/>
      <c r="AF100" s="113"/>
      <c r="AG100" s="113"/>
      <c r="AH100" s="113"/>
      <c r="AI100" s="52"/>
      <c r="AJ100" s="11"/>
      <c r="AK100" s="269"/>
      <c r="AL100" s="269"/>
      <c r="AM100" s="116"/>
      <c r="AN100" s="301"/>
      <c r="AO100" s="302"/>
      <c r="AP100" s="11"/>
      <c r="AQ100" s="11"/>
      <c r="AR100" s="11"/>
      <c r="AS100" s="11"/>
      <c r="AT100" s="11"/>
      <c r="AU100" s="118"/>
      <c r="AV100" s="118"/>
      <c r="AW100" s="118"/>
      <c r="AX100" s="52"/>
      <c r="AY100" s="52"/>
      <c r="AZ100" s="11"/>
      <c r="BA100" s="11"/>
      <c r="BB100" s="11"/>
      <c r="BC100" s="11"/>
      <c r="BD100" s="11"/>
      <c r="BE100" s="274"/>
      <c r="BF100" s="274"/>
      <c r="BG100" s="274"/>
      <c r="BH100" s="11" t="s">
        <v>972</v>
      </c>
      <c r="BI100" s="11"/>
      <c r="BJ100" s="311"/>
      <c r="BK100" s="311"/>
      <c r="BL100" s="311"/>
      <c r="BM100" s="52"/>
      <c r="BN100" s="52"/>
      <c r="BO100" s="387"/>
      <c r="BP100" s="320"/>
      <c r="BQ100" s="320"/>
      <c r="BR100" s="76"/>
      <c r="BS100" s="4"/>
      <c r="BT100" s="11"/>
      <c r="BU100" s="11"/>
      <c r="BV100" s="11"/>
      <c r="BW100" s="11"/>
      <c r="BX100" s="11"/>
      <c r="BY100" s="348"/>
      <c r="BZ100" s="348"/>
      <c r="CA100" s="348"/>
      <c r="CB100" s="348"/>
      <c r="CC100" s="348"/>
      <c r="CD100" s="11"/>
      <c r="CE100" s="11"/>
      <c r="CF100" s="11"/>
      <c r="CG100" s="11"/>
      <c r="CH100" s="11"/>
      <c r="CI100" s="11"/>
      <c r="CJ100" s="11"/>
      <c r="CK100" s="11"/>
      <c r="CL100" s="11"/>
      <c r="CM100" s="11"/>
      <c r="CN100" s="274"/>
      <c r="CO100" s="274"/>
      <c r="CP100" s="274"/>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8"/>
      <c r="DN100" s="118"/>
      <c r="DO100" s="118"/>
      <c r="DP100" s="52"/>
      <c r="DQ100" s="52"/>
      <c r="DR100" s="77"/>
      <c r="DS100" s="77"/>
      <c r="DT100" s="77"/>
      <c r="DU100" s="11"/>
      <c r="DV100" s="11"/>
      <c r="DW100" s="11"/>
      <c r="DX100" s="11"/>
      <c r="DY100" s="11"/>
      <c r="DZ100" s="11"/>
      <c r="EA100" s="11"/>
      <c r="EB100" s="11"/>
      <c r="EC100" s="11"/>
      <c r="ED100" s="11"/>
      <c r="EE100" s="11"/>
      <c r="EF100" s="11"/>
    </row>
    <row r="101" spans="1:136" ht="12.75" customHeight="1" x14ac:dyDescent="0.25">
      <c r="A101" s="425">
        <v>99</v>
      </c>
      <c r="B101" s="427" t="s">
        <v>975</v>
      </c>
      <c r="C101" s="427" t="s">
        <v>976</v>
      </c>
      <c r="D101" s="427" t="s">
        <v>977</v>
      </c>
      <c r="E101" s="79">
        <v>1</v>
      </c>
      <c r="F101" s="405">
        <v>359832.55320000002</v>
      </c>
      <c r="G101" s="274"/>
      <c r="H101" s="274"/>
      <c r="I101" s="274"/>
      <c r="J101" s="274"/>
      <c r="K101" s="11"/>
      <c r="L101" s="274"/>
      <c r="M101" s="274"/>
      <c r="N101" s="274"/>
      <c r="O101" s="48"/>
      <c r="P101" s="11"/>
      <c r="Q101" s="274"/>
      <c r="R101" s="274"/>
      <c r="S101" s="274"/>
      <c r="T101" s="11"/>
      <c r="U101" s="11"/>
      <c r="V101" s="11"/>
      <c r="W101" s="11"/>
      <c r="X101" s="11"/>
      <c r="Y101" s="11"/>
      <c r="Z101" s="48"/>
      <c r="AA101" s="52"/>
      <c r="AB101" s="52"/>
      <c r="AC101" s="118"/>
      <c r="AD101" s="5"/>
      <c r="AE101" s="52"/>
      <c r="AF101" s="113"/>
      <c r="AG101" s="113"/>
      <c r="AH101" s="113"/>
      <c r="AI101" s="52"/>
      <c r="AJ101" s="11"/>
      <c r="AK101" s="269"/>
      <c r="AL101" s="269"/>
      <c r="AM101" s="116"/>
      <c r="AN101" s="301"/>
      <c r="AO101" s="302"/>
      <c r="AP101" s="11"/>
      <c r="AQ101" s="11"/>
      <c r="AR101" s="11"/>
      <c r="AS101" s="11"/>
      <c r="AT101" s="11"/>
      <c r="AU101" s="118"/>
      <c r="AV101" s="118"/>
      <c r="AW101" s="118"/>
      <c r="AX101" s="52"/>
      <c r="AY101" s="52"/>
      <c r="AZ101" s="11"/>
      <c r="BA101" s="11"/>
      <c r="BB101" s="11"/>
      <c r="BC101" s="11"/>
      <c r="BD101" s="11"/>
      <c r="BE101" s="274"/>
      <c r="BF101" s="274"/>
      <c r="BG101" s="274"/>
      <c r="BH101" s="11"/>
      <c r="BI101" s="11"/>
      <c r="BJ101" s="311"/>
      <c r="BK101" s="311"/>
      <c r="BL101" s="311"/>
      <c r="BM101" s="52"/>
      <c r="BN101" s="52"/>
      <c r="BO101" s="387"/>
      <c r="BP101" s="320"/>
      <c r="BQ101" s="320"/>
      <c r="BR101" s="76"/>
      <c r="BS101" s="4"/>
      <c r="BT101" s="11"/>
      <c r="BU101" s="11"/>
      <c r="BV101" s="11"/>
      <c r="BW101" s="11"/>
      <c r="BX101" s="11"/>
      <c r="BY101" s="348"/>
      <c r="BZ101" s="348"/>
      <c r="CA101" s="348"/>
      <c r="CB101" s="348"/>
      <c r="CC101" s="348"/>
      <c r="CD101" s="11"/>
      <c r="CE101" s="11"/>
      <c r="CF101" s="11"/>
      <c r="CG101" s="11"/>
      <c r="CH101" s="11"/>
      <c r="CI101" s="11"/>
      <c r="CJ101" s="11"/>
      <c r="CK101" s="11"/>
      <c r="CL101" s="11"/>
      <c r="CM101" s="11"/>
      <c r="CN101" s="274"/>
      <c r="CO101" s="274"/>
      <c r="CP101" s="274"/>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8"/>
      <c r="DN101" s="118"/>
      <c r="DO101" s="118"/>
      <c r="DP101" s="52"/>
      <c r="DQ101" s="52"/>
      <c r="DR101" s="77"/>
      <c r="DS101" s="77"/>
      <c r="DT101" s="77"/>
      <c r="DU101" s="11"/>
      <c r="DV101" s="11"/>
      <c r="DW101" s="11"/>
      <c r="DX101" s="11"/>
      <c r="DY101" s="11"/>
      <c r="DZ101" s="11"/>
      <c r="EA101" s="11"/>
      <c r="EB101" s="11"/>
      <c r="EC101" s="11"/>
      <c r="ED101" s="11"/>
      <c r="EE101" s="11"/>
      <c r="EF101" s="11"/>
    </row>
    <row r="102" spans="1:136" ht="27" x14ac:dyDescent="0.25">
      <c r="A102" s="425">
        <v>100</v>
      </c>
      <c r="B102" s="427" t="s">
        <v>978</v>
      </c>
      <c r="C102" s="427" t="s">
        <v>976</v>
      </c>
      <c r="D102" s="427" t="s">
        <v>977</v>
      </c>
      <c r="E102" s="79">
        <v>1</v>
      </c>
      <c r="F102" s="405">
        <v>89011.255000000005</v>
      </c>
      <c r="G102" s="274"/>
      <c r="H102" s="274"/>
      <c r="I102" s="274"/>
      <c r="J102" s="274"/>
      <c r="K102" s="11"/>
      <c r="L102" s="274"/>
      <c r="M102" s="274"/>
      <c r="N102" s="274"/>
      <c r="O102" s="48"/>
      <c r="P102" s="11"/>
      <c r="Q102" s="274"/>
      <c r="R102" s="274"/>
      <c r="S102" s="274"/>
      <c r="T102" s="11"/>
      <c r="U102" s="11"/>
      <c r="V102" s="11"/>
      <c r="W102" s="11"/>
      <c r="X102" s="11"/>
      <c r="Y102" s="11"/>
      <c r="Z102" s="48"/>
      <c r="AA102" s="52"/>
      <c r="AB102" s="52"/>
      <c r="AC102" s="118"/>
      <c r="AD102" s="5"/>
      <c r="AE102" s="52"/>
      <c r="AF102" s="113"/>
      <c r="AG102" s="113"/>
      <c r="AH102" s="113"/>
      <c r="AI102" s="52"/>
      <c r="AJ102" s="11"/>
      <c r="AK102" s="269"/>
      <c r="AL102" s="269"/>
      <c r="AM102" s="116"/>
      <c r="AN102" s="301"/>
      <c r="AO102" s="302"/>
      <c r="AP102" s="11"/>
      <c r="AQ102" s="11"/>
      <c r="AR102" s="11"/>
      <c r="AS102" s="11"/>
      <c r="AT102" s="11"/>
      <c r="AU102" s="118"/>
      <c r="AV102" s="118"/>
      <c r="AW102" s="118"/>
      <c r="AX102" s="52"/>
      <c r="AY102" s="52"/>
      <c r="AZ102" s="11"/>
      <c r="BA102" s="11"/>
      <c r="BB102" s="11"/>
      <c r="BC102" s="11"/>
      <c r="BD102" s="11"/>
      <c r="BE102" s="274"/>
      <c r="BF102" s="274"/>
      <c r="BG102" s="274"/>
      <c r="BH102" s="11"/>
      <c r="BI102" s="11"/>
      <c r="BJ102" s="311"/>
      <c r="BK102" s="311"/>
      <c r="BL102" s="311"/>
      <c r="BM102" s="52"/>
      <c r="BN102" s="52"/>
      <c r="BO102" s="387"/>
      <c r="BP102" s="320"/>
      <c r="BQ102" s="320"/>
      <c r="BR102" s="76"/>
      <c r="BS102" s="4"/>
      <c r="BT102" s="11"/>
      <c r="BU102" s="11"/>
      <c r="BV102" s="11"/>
      <c r="BW102" s="11"/>
      <c r="BX102" s="11"/>
      <c r="BY102" s="348"/>
      <c r="BZ102" s="348"/>
      <c r="CA102" s="348"/>
      <c r="CB102" s="348"/>
      <c r="CC102" s="348"/>
      <c r="CD102" s="11"/>
      <c r="CE102" s="11"/>
      <c r="CF102" s="11"/>
      <c r="CG102" s="11"/>
      <c r="CH102" s="11"/>
      <c r="CI102" s="11"/>
      <c r="CJ102" s="11"/>
      <c r="CK102" s="11"/>
      <c r="CL102" s="11"/>
      <c r="CM102" s="11"/>
      <c r="CN102" s="274"/>
      <c r="CO102" s="274"/>
      <c r="CP102" s="274"/>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8"/>
      <c r="DN102" s="118"/>
      <c r="DO102" s="118"/>
      <c r="DP102" s="52"/>
      <c r="DQ102" s="52"/>
      <c r="DR102" s="77"/>
      <c r="DS102" s="77"/>
      <c r="DT102" s="77"/>
      <c r="DU102" s="11"/>
      <c r="DV102" s="11"/>
      <c r="DW102" s="11"/>
      <c r="DX102" s="11"/>
      <c r="DY102" s="11"/>
      <c r="DZ102" s="11"/>
      <c r="EA102" s="11"/>
      <c r="EB102" s="11"/>
      <c r="EC102" s="11"/>
      <c r="ED102" s="11"/>
      <c r="EE102" s="11"/>
      <c r="EF102" s="11"/>
    </row>
    <row r="103" spans="1:136" ht="12.75" customHeight="1" x14ac:dyDescent="0.25">
      <c r="A103" s="425">
        <v>101</v>
      </c>
      <c r="B103" s="427" t="s">
        <v>979</v>
      </c>
      <c r="C103" s="427" t="s">
        <v>980</v>
      </c>
      <c r="D103" s="427" t="s">
        <v>981</v>
      </c>
      <c r="E103" s="79">
        <v>1</v>
      </c>
      <c r="F103" s="405">
        <v>904140.99840000004</v>
      </c>
      <c r="G103" s="274"/>
      <c r="H103" s="274"/>
      <c r="I103" s="274"/>
      <c r="J103" s="274"/>
      <c r="K103" s="11"/>
      <c r="L103" s="274"/>
      <c r="M103" s="274"/>
      <c r="N103" s="274"/>
      <c r="O103" s="48"/>
      <c r="P103" s="11"/>
      <c r="Q103" s="274"/>
      <c r="R103" s="274"/>
      <c r="S103" s="274"/>
      <c r="T103" s="11"/>
      <c r="U103" s="11"/>
      <c r="V103" s="11"/>
      <c r="W103" s="11"/>
      <c r="X103" s="11"/>
      <c r="Y103" s="11"/>
      <c r="Z103" s="48"/>
      <c r="AA103" s="52"/>
      <c r="AB103" s="52"/>
      <c r="AC103" s="118"/>
      <c r="AD103" s="5"/>
      <c r="AE103" s="52"/>
      <c r="AF103" s="113"/>
      <c r="AG103" s="113"/>
      <c r="AH103" s="113"/>
      <c r="AI103" s="52"/>
      <c r="AJ103" s="11"/>
      <c r="AK103" s="269"/>
      <c r="AL103" s="269"/>
      <c r="AM103" s="116"/>
      <c r="AN103" s="301"/>
      <c r="AO103" s="302"/>
      <c r="AP103" s="11"/>
      <c r="AQ103" s="11"/>
      <c r="AR103" s="11"/>
      <c r="AS103" s="11"/>
      <c r="AT103" s="11"/>
      <c r="AU103" s="118"/>
      <c r="AV103" s="118"/>
      <c r="AW103" s="118"/>
      <c r="AX103" s="52"/>
      <c r="AY103" s="52"/>
      <c r="AZ103" s="11"/>
      <c r="BA103" s="11"/>
      <c r="BB103" s="11"/>
      <c r="BC103" s="11"/>
      <c r="BD103" s="11"/>
      <c r="BE103" s="274"/>
      <c r="BF103" s="274"/>
      <c r="BG103" s="274"/>
      <c r="BH103" s="11"/>
      <c r="BI103" s="11"/>
      <c r="BJ103" s="311"/>
      <c r="BK103" s="311"/>
      <c r="BL103" s="311"/>
      <c r="BM103" s="52"/>
      <c r="BN103" s="52"/>
      <c r="BO103" s="387"/>
      <c r="BP103" s="320"/>
      <c r="BQ103" s="320"/>
      <c r="BR103" s="76"/>
      <c r="BS103" s="4"/>
      <c r="BT103" s="11"/>
      <c r="BU103" s="11"/>
      <c r="BV103" s="11"/>
      <c r="BW103" s="11"/>
      <c r="BX103" s="11"/>
      <c r="BY103" s="348"/>
      <c r="BZ103" s="348"/>
      <c r="CA103" s="348"/>
      <c r="CB103" s="348"/>
      <c r="CC103" s="348"/>
      <c r="CD103" s="11"/>
      <c r="CE103" s="11"/>
      <c r="CF103" s="11"/>
      <c r="CG103" s="11"/>
      <c r="CH103" s="11"/>
      <c r="CI103" s="11"/>
      <c r="CJ103" s="11"/>
      <c r="CK103" s="11"/>
      <c r="CL103" s="11"/>
      <c r="CM103" s="11"/>
      <c r="CN103" s="274"/>
      <c r="CO103" s="274"/>
      <c r="CP103" s="274"/>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8"/>
      <c r="DN103" s="118"/>
      <c r="DO103" s="118"/>
      <c r="DP103" s="52"/>
      <c r="DQ103" s="52"/>
      <c r="DR103" s="77"/>
      <c r="DS103" s="77"/>
      <c r="DT103" s="77"/>
      <c r="DU103" s="11"/>
      <c r="DV103" s="11"/>
      <c r="DW103" s="11"/>
      <c r="DX103" s="11"/>
      <c r="DY103" s="11"/>
      <c r="DZ103" s="11"/>
      <c r="EA103" s="11"/>
      <c r="EB103" s="11"/>
      <c r="EC103" s="11"/>
      <c r="ED103" s="11"/>
      <c r="EE103" s="11"/>
      <c r="EF103" s="11"/>
    </row>
    <row r="104" spans="1:136" ht="25.5" customHeight="1" x14ac:dyDescent="0.25">
      <c r="A104" s="425">
        <v>102</v>
      </c>
      <c r="B104" s="427" t="s">
        <v>982</v>
      </c>
      <c r="C104" s="427" t="s">
        <v>976</v>
      </c>
      <c r="D104" s="427" t="s">
        <v>983</v>
      </c>
      <c r="E104" s="79">
        <v>1</v>
      </c>
      <c r="F104" s="405">
        <v>1090727.1780000001</v>
      </c>
      <c r="G104" s="274"/>
      <c r="H104" s="274"/>
      <c r="I104" s="274"/>
      <c r="J104" s="274"/>
      <c r="K104" s="11"/>
      <c r="L104" s="274"/>
      <c r="M104" s="274"/>
      <c r="N104" s="274"/>
      <c r="O104" s="48"/>
      <c r="P104" s="11"/>
      <c r="Q104" s="274"/>
      <c r="R104" s="274"/>
      <c r="S104" s="274"/>
      <c r="T104" s="11"/>
      <c r="U104" s="11"/>
      <c r="V104" s="11"/>
      <c r="W104" s="11"/>
      <c r="X104" s="11"/>
      <c r="Y104" s="11"/>
      <c r="Z104" s="48"/>
      <c r="AA104" s="52"/>
      <c r="AB104" s="52"/>
      <c r="AC104" s="118"/>
      <c r="AD104" s="5"/>
      <c r="AE104" s="52"/>
      <c r="AF104" s="113"/>
      <c r="AG104" s="113"/>
      <c r="AH104" s="113"/>
      <c r="AI104" s="52"/>
      <c r="AJ104" s="11"/>
      <c r="AK104" s="269"/>
      <c r="AL104" s="269"/>
      <c r="AM104" s="116"/>
      <c r="AN104" s="301"/>
      <c r="AO104" s="302"/>
      <c r="AP104" s="11"/>
      <c r="AQ104" s="11"/>
      <c r="AR104" s="11"/>
      <c r="AS104" s="11"/>
      <c r="AT104" s="11"/>
      <c r="AU104" s="118"/>
      <c r="AV104" s="118"/>
      <c r="AW104" s="118"/>
      <c r="AX104" s="52"/>
      <c r="AY104" s="52"/>
      <c r="AZ104" s="11"/>
      <c r="BA104" s="11"/>
      <c r="BB104" s="11"/>
      <c r="BC104" s="11"/>
      <c r="BD104" s="11"/>
      <c r="BE104" s="274"/>
      <c r="BF104" s="274"/>
      <c r="BG104" s="274"/>
      <c r="BH104" s="11"/>
      <c r="BI104" s="11"/>
      <c r="BJ104" s="311"/>
      <c r="BK104" s="311"/>
      <c r="BL104" s="311"/>
      <c r="BM104" s="52"/>
      <c r="BN104" s="52"/>
      <c r="BO104" s="387"/>
      <c r="BP104" s="320"/>
      <c r="BQ104" s="320"/>
      <c r="BR104" s="76"/>
      <c r="BS104" s="4"/>
      <c r="BT104" s="11"/>
      <c r="BU104" s="11"/>
      <c r="BV104" s="11"/>
      <c r="BW104" s="11"/>
      <c r="BX104" s="11"/>
      <c r="BY104" s="348"/>
      <c r="BZ104" s="348"/>
      <c r="CA104" s="348"/>
      <c r="CB104" s="348"/>
      <c r="CC104" s="348"/>
      <c r="CD104" s="11"/>
      <c r="CE104" s="11"/>
      <c r="CF104" s="11"/>
      <c r="CG104" s="11"/>
      <c r="CH104" s="11"/>
      <c r="CI104" s="11"/>
      <c r="CJ104" s="11"/>
      <c r="CK104" s="11"/>
      <c r="CL104" s="11"/>
      <c r="CM104" s="11"/>
      <c r="CN104" s="274"/>
      <c r="CO104" s="274"/>
      <c r="CP104" s="274"/>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8"/>
      <c r="DN104" s="118"/>
      <c r="DO104" s="118"/>
      <c r="DP104" s="52"/>
      <c r="DQ104" s="52"/>
      <c r="DR104" s="77"/>
      <c r="DS104" s="77"/>
      <c r="DT104" s="77"/>
      <c r="DU104" s="11"/>
      <c r="DV104" s="11"/>
      <c r="DW104" s="11"/>
      <c r="DX104" s="11"/>
      <c r="DY104" s="11"/>
      <c r="DZ104" s="11"/>
      <c r="EA104" s="11"/>
      <c r="EB104" s="11"/>
      <c r="EC104" s="11"/>
      <c r="ED104" s="11"/>
      <c r="EE104" s="11"/>
      <c r="EF104" s="11"/>
    </row>
    <row r="105" spans="1:136" ht="27" x14ac:dyDescent="0.25">
      <c r="A105" s="425">
        <v>103</v>
      </c>
      <c r="B105" s="427" t="s">
        <v>984</v>
      </c>
      <c r="C105" s="427" t="s">
        <v>976</v>
      </c>
      <c r="D105" s="427" t="s">
        <v>983</v>
      </c>
      <c r="E105" s="79">
        <v>1</v>
      </c>
      <c r="F105" s="405">
        <v>973156.27500000002</v>
      </c>
      <c r="G105" s="274"/>
      <c r="H105" s="274"/>
      <c r="I105" s="274"/>
      <c r="J105" s="274"/>
      <c r="K105" s="11"/>
      <c r="L105" s="274"/>
      <c r="M105" s="274"/>
      <c r="N105" s="274"/>
      <c r="O105" s="48"/>
      <c r="P105" s="11"/>
      <c r="Q105" s="274"/>
      <c r="R105" s="274"/>
      <c r="S105" s="274"/>
      <c r="T105" s="11"/>
      <c r="U105" s="11"/>
      <c r="V105" s="11"/>
      <c r="W105" s="11"/>
      <c r="X105" s="11"/>
      <c r="Y105" s="11"/>
      <c r="Z105" s="48"/>
      <c r="AA105" s="52"/>
      <c r="AB105" s="52"/>
      <c r="AC105" s="118"/>
      <c r="AD105" s="5"/>
      <c r="AE105" s="52"/>
      <c r="AF105" s="113"/>
      <c r="AG105" s="113"/>
      <c r="AH105" s="113"/>
      <c r="AI105" s="52"/>
      <c r="AJ105" s="11"/>
      <c r="AK105" s="269"/>
      <c r="AL105" s="269"/>
      <c r="AM105" s="116"/>
      <c r="AN105" s="301"/>
      <c r="AO105" s="302"/>
      <c r="AP105" s="11"/>
      <c r="AQ105" s="11"/>
      <c r="AR105" s="11"/>
      <c r="AS105" s="11"/>
      <c r="AT105" s="11"/>
      <c r="AU105" s="118"/>
      <c r="AV105" s="118"/>
      <c r="AW105" s="118"/>
      <c r="AX105" s="52"/>
      <c r="AY105" s="52"/>
      <c r="AZ105" s="11"/>
      <c r="BA105" s="11"/>
      <c r="BB105" s="11"/>
      <c r="BC105" s="11"/>
      <c r="BD105" s="11"/>
      <c r="BE105" s="274"/>
      <c r="BF105" s="274"/>
      <c r="BG105" s="274"/>
      <c r="BH105" s="11"/>
      <c r="BI105" s="11"/>
      <c r="BJ105" s="311"/>
      <c r="BK105" s="311"/>
      <c r="BL105" s="311"/>
      <c r="BM105" s="52"/>
      <c r="BN105" s="52"/>
      <c r="BO105" s="387"/>
      <c r="BP105" s="320"/>
      <c r="BQ105" s="320"/>
      <c r="BR105" s="76"/>
      <c r="BS105" s="4"/>
      <c r="BT105" s="11"/>
      <c r="BU105" s="11"/>
      <c r="BV105" s="11"/>
      <c r="BW105" s="11"/>
      <c r="BX105" s="11"/>
      <c r="BY105" s="348"/>
      <c r="BZ105" s="348"/>
      <c r="CA105" s="348"/>
      <c r="CB105" s="348"/>
      <c r="CC105" s="348"/>
      <c r="CD105" s="11"/>
      <c r="CE105" s="11"/>
      <c r="CF105" s="11"/>
      <c r="CG105" s="11"/>
      <c r="CH105" s="11"/>
      <c r="CI105" s="11"/>
      <c r="CJ105" s="11"/>
      <c r="CK105" s="11"/>
      <c r="CL105" s="11"/>
      <c r="CM105" s="11"/>
      <c r="CN105" s="274"/>
      <c r="CO105" s="274"/>
      <c r="CP105" s="274"/>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8"/>
      <c r="DN105" s="118"/>
      <c r="DO105" s="118"/>
      <c r="DP105" s="52"/>
      <c r="DQ105" s="52"/>
      <c r="DR105" s="77"/>
      <c r="DS105" s="77"/>
      <c r="DT105" s="77"/>
      <c r="DU105" s="11"/>
      <c r="DV105" s="11"/>
      <c r="DW105" s="11"/>
      <c r="DX105" s="11"/>
      <c r="DY105" s="11"/>
      <c r="DZ105" s="11"/>
      <c r="EA105" s="11"/>
      <c r="EB105" s="11"/>
      <c r="EC105" s="11"/>
      <c r="ED105" s="11"/>
      <c r="EE105" s="11"/>
      <c r="EF105" s="11"/>
    </row>
    <row r="106" spans="1:136" ht="25.5" customHeight="1" x14ac:dyDescent="0.25">
      <c r="A106" s="425">
        <v>104</v>
      </c>
      <c r="B106" s="427" t="s">
        <v>985</v>
      </c>
      <c r="C106" s="587"/>
      <c r="D106" s="587" t="s">
        <v>986</v>
      </c>
      <c r="E106" s="79">
        <v>1</v>
      </c>
      <c r="F106" s="405">
        <v>4576.5146000000004</v>
      </c>
      <c r="G106" s="274"/>
      <c r="H106" s="274"/>
      <c r="I106" s="274"/>
      <c r="J106" s="274"/>
      <c r="K106" s="11"/>
      <c r="L106" s="274"/>
      <c r="M106" s="274"/>
      <c r="N106" s="274"/>
      <c r="O106" s="48"/>
      <c r="P106" s="11"/>
      <c r="Q106" s="274"/>
      <c r="R106" s="274"/>
      <c r="S106" s="274"/>
      <c r="T106" s="11"/>
      <c r="U106" s="11"/>
      <c r="V106" s="11"/>
      <c r="W106" s="11"/>
      <c r="X106" s="11"/>
      <c r="Y106" s="11"/>
      <c r="Z106" s="48"/>
      <c r="AA106" s="52"/>
      <c r="AB106" s="52"/>
      <c r="AC106" s="118"/>
      <c r="AD106" s="5"/>
      <c r="AE106" s="52"/>
      <c r="AF106" s="113"/>
      <c r="AG106" s="113"/>
      <c r="AH106" s="113"/>
      <c r="AI106" s="52"/>
      <c r="AJ106" s="11"/>
      <c r="AK106" s="269"/>
      <c r="AL106" s="269"/>
      <c r="AM106" s="116"/>
      <c r="AN106" s="301"/>
      <c r="AO106" s="302"/>
      <c r="AP106" s="11"/>
      <c r="AQ106" s="11"/>
      <c r="AR106" s="11"/>
      <c r="AS106" s="11"/>
      <c r="AT106" s="11"/>
      <c r="AU106" s="118"/>
      <c r="AV106" s="118"/>
      <c r="AW106" s="118"/>
      <c r="AX106" s="52"/>
      <c r="AY106" s="52"/>
      <c r="AZ106" s="11"/>
      <c r="BA106" s="11"/>
      <c r="BB106" s="11"/>
      <c r="BC106" s="11"/>
      <c r="BD106" s="11"/>
      <c r="BE106" s="274"/>
      <c r="BF106" s="274"/>
      <c r="BG106" s="274"/>
      <c r="BH106" s="11"/>
      <c r="BI106" s="11"/>
      <c r="BJ106" s="311"/>
      <c r="BK106" s="311"/>
      <c r="BL106" s="311"/>
      <c r="BM106" s="52"/>
      <c r="BN106" s="52"/>
      <c r="BO106" s="387"/>
      <c r="BP106" s="320"/>
      <c r="BQ106" s="320"/>
      <c r="BR106" s="76"/>
      <c r="BS106" s="4"/>
      <c r="BT106" s="11"/>
      <c r="BU106" s="11"/>
      <c r="BV106" s="11"/>
      <c r="BW106" s="11"/>
      <c r="BX106" s="11"/>
      <c r="BY106" s="348"/>
      <c r="BZ106" s="348"/>
      <c r="CA106" s="348"/>
      <c r="CB106" s="348"/>
      <c r="CC106" s="348"/>
      <c r="CD106" s="11"/>
      <c r="CE106" s="11"/>
      <c r="CF106" s="11"/>
      <c r="CG106" s="11"/>
      <c r="CH106" s="11"/>
      <c r="CI106" s="11"/>
      <c r="CJ106" s="11"/>
      <c r="CK106" s="11"/>
      <c r="CL106" s="11"/>
      <c r="CM106" s="11"/>
      <c r="CN106" s="274"/>
      <c r="CO106" s="274"/>
      <c r="CP106" s="274"/>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8"/>
      <c r="DN106" s="118"/>
      <c r="DO106" s="118"/>
      <c r="DP106" s="52"/>
      <c r="DQ106" s="52"/>
      <c r="DR106" s="77"/>
      <c r="DS106" s="77"/>
      <c r="DT106" s="77"/>
      <c r="DU106" s="11"/>
      <c r="DV106" s="11"/>
      <c r="DW106" s="11"/>
      <c r="DX106" s="11"/>
      <c r="DY106" s="11"/>
      <c r="DZ106" s="11"/>
      <c r="EA106" s="11"/>
      <c r="EB106" s="11"/>
      <c r="EC106" s="11"/>
      <c r="ED106" s="11"/>
      <c r="EE106" s="11"/>
      <c r="EF106" s="11"/>
    </row>
    <row r="107" spans="1:136" ht="13.5" x14ac:dyDescent="0.25">
      <c r="A107" s="425">
        <v>105</v>
      </c>
      <c r="B107" s="427" t="s">
        <v>987</v>
      </c>
      <c r="C107" s="587"/>
      <c r="D107" s="587" t="s">
        <v>988</v>
      </c>
      <c r="E107" s="79">
        <v>1</v>
      </c>
      <c r="F107" s="405">
        <v>1852450.1684000001</v>
      </c>
      <c r="G107" s="274"/>
      <c r="H107" s="274"/>
      <c r="I107" s="274"/>
      <c r="J107" s="274"/>
      <c r="K107" s="11"/>
      <c r="L107" s="274"/>
      <c r="M107" s="274"/>
      <c r="N107" s="274"/>
      <c r="O107" s="48"/>
      <c r="P107" s="11"/>
      <c r="Q107" s="274"/>
      <c r="R107" s="274"/>
      <c r="S107" s="274"/>
      <c r="T107" s="11"/>
      <c r="U107" s="11"/>
      <c r="V107" s="11"/>
      <c r="W107" s="11"/>
      <c r="X107" s="11"/>
      <c r="Y107" s="11"/>
      <c r="Z107" s="48"/>
      <c r="AA107" s="52"/>
      <c r="AB107" s="52"/>
      <c r="AC107" s="118"/>
      <c r="AD107" s="5"/>
      <c r="AE107" s="52"/>
      <c r="AF107" s="113"/>
      <c r="AG107" s="113"/>
      <c r="AH107" s="113"/>
      <c r="AI107" s="52"/>
      <c r="AJ107" s="11"/>
      <c r="AK107" s="269"/>
      <c r="AL107" s="269"/>
      <c r="AM107" s="116"/>
      <c r="AN107" s="301"/>
      <c r="AO107" s="302"/>
      <c r="AP107" s="11"/>
      <c r="AQ107" s="11"/>
      <c r="AR107" s="11"/>
      <c r="AS107" s="11"/>
      <c r="AT107" s="11"/>
      <c r="AU107" s="118"/>
      <c r="AV107" s="118"/>
      <c r="AW107" s="118"/>
      <c r="AX107" s="52"/>
      <c r="AY107" s="52"/>
      <c r="AZ107" s="11"/>
      <c r="BA107" s="11"/>
      <c r="BB107" s="11"/>
      <c r="BC107" s="11"/>
      <c r="BD107" s="11"/>
      <c r="BE107" s="274"/>
      <c r="BF107" s="274"/>
      <c r="BG107" s="274"/>
      <c r="BH107" s="11"/>
      <c r="BI107" s="11"/>
      <c r="BJ107" s="311"/>
      <c r="BK107" s="311"/>
      <c r="BL107" s="311"/>
      <c r="BM107" s="52"/>
      <c r="BN107" s="52"/>
      <c r="BO107" s="387"/>
      <c r="BP107" s="320"/>
      <c r="BQ107" s="320"/>
      <c r="BR107" s="76"/>
      <c r="BS107" s="4"/>
      <c r="BT107" s="11"/>
      <c r="BU107" s="11"/>
      <c r="BV107" s="11"/>
      <c r="BW107" s="11"/>
      <c r="BX107" s="11"/>
      <c r="BY107" s="348"/>
      <c r="BZ107" s="348"/>
      <c r="CA107" s="348"/>
      <c r="CB107" s="348"/>
      <c r="CC107" s="348"/>
      <c r="CD107" s="11"/>
      <c r="CE107" s="11"/>
      <c r="CF107" s="11"/>
      <c r="CG107" s="11"/>
      <c r="CH107" s="11"/>
      <c r="CI107" s="11"/>
      <c r="CJ107" s="11"/>
      <c r="CK107" s="11"/>
      <c r="CL107" s="11"/>
      <c r="CM107" s="11"/>
      <c r="CN107" s="274"/>
      <c r="CO107" s="274"/>
      <c r="CP107" s="274"/>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8"/>
      <c r="DN107" s="118"/>
      <c r="DO107" s="118"/>
      <c r="DP107" s="52"/>
      <c r="DQ107" s="52"/>
      <c r="DR107" s="77"/>
      <c r="DS107" s="77"/>
      <c r="DT107" s="77"/>
      <c r="DU107" s="11"/>
      <c r="DV107" s="11"/>
      <c r="DW107" s="11"/>
      <c r="DX107" s="11"/>
      <c r="DY107" s="11"/>
      <c r="DZ107" s="11"/>
      <c r="EA107" s="11"/>
      <c r="EB107" s="11"/>
      <c r="EC107" s="11"/>
      <c r="ED107" s="11"/>
      <c r="EE107" s="11"/>
      <c r="EF107" s="11"/>
    </row>
    <row r="108" spans="1:136" ht="25.5" customHeight="1" x14ac:dyDescent="0.25">
      <c r="A108" s="425">
        <v>106</v>
      </c>
      <c r="B108" s="427" t="s">
        <v>989</v>
      </c>
      <c r="C108" s="587"/>
      <c r="D108" s="587" t="s">
        <v>986</v>
      </c>
      <c r="E108" s="79">
        <v>1</v>
      </c>
      <c r="F108" s="405">
        <v>1865022.1170000001</v>
      </c>
      <c r="G108" s="274"/>
      <c r="H108" s="274"/>
      <c r="I108" s="274"/>
      <c r="J108" s="274"/>
      <c r="K108" s="11"/>
      <c r="L108" s="274"/>
      <c r="M108" s="274"/>
      <c r="N108" s="274"/>
      <c r="O108" s="48"/>
      <c r="P108" s="11"/>
      <c r="Q108" s="274"/>
      <c r="R108" s="274"/>
      <c r="S108" s="274"/>
      <c r="T108" s="11"/>
      <c r="U108" s="11"/>
      <c r="V108" s="11"/>
      <c r="W108" s="11"/>
      <c r="X108" s="11"/>
      <c r="Y108" s="11"/>
      <c r="Z108" s="48"/>
      <c r="AA108" s="52"/>
      <c r="AB108" s="52"/>
      <c r="AC108" s="118"/>
      <c r="AD108" s="5"/>
      <c r="AE108" s="52"/>
      <c r="AF108" s="113"/>
      <c r="AG108" s="113"/>
      <c r="AH108" s="113"/>
      <c r="AI108" s="52"/>
      <c r="AJ108" s="11"/>
      <c r="AK108" s="269"/>
      <c r="AL108" s="269"/>
      <c r="AM108" s="116"/>
      <c r="AN108" s="301"/>
      <c r="AO108" s="302"/>
      <c r="AP108" s="11"/>
      <c r="AQ108" s="11"/>
      <c r="AR108" s="11"/>
      <c r="AS108" s="11"/>
      <c r="AT108" s="11"/>
      <c r="AU108" s="118"/>
      <c r="AV108" s="118"/>
      <c r="AW108" s="118"/>
      <c r="AX108" s="52"/>
      <c r="AY108" s="52"/>
      <c r="AZ108" s="11"/>
      <c r="BA108" s="11"/>
      <c r="BB108" s="11"/>
      <c r="BC108" s="11"/>
      <c r="BD108" s="11"/>
      <c r="BE108" s="274"/>
      <c r="BF108" s="274"/>
      <c r="BG108" s="274"/>
      <c r="BH108" s="11"/>
      <c r="BI108" s="11"/>
      <c r="BJ108" s="311"/>
      <c r="BK108" s="311"/>
      <c r="BL108" s="311"/>
      <c r="BM108" s="52"/>
      <c r="BN108" s="52"/>
      <c r="BO108" s="387"/>
      <c r="BP108" s="320"/>
      <c r="BQ108" s="320"/>
      <c r="BR108" s="76"/>
      <c r="BS108" s="4"/>
      <c r="BT108" s="11"/>
      <c r="BU108" s="11"/>
      <c r="BV108" s="11"/>
      <c r="BW108" s="11"/>
      <c r="BX108" s="11"/>
      <c r="BY108" s="348"/>
      <c r="BZ108" s="348"/>
      <c r="CA108" s="348"/>
      <c r="CB108" s="348"/>
      <c r="CC108" s="348"/>
      <c r="CD108" s="11"/>
      <c r="CE108" s="11"/>
      <c r="CF108" s="11"/>
      <c r="CG108" s="11"/>
      <c r="CH108" s="11"/>
      <c r="CI108" s="11"/>
      <c r="CJ108" s="11"/>
      <c r="CK108" s="11"/>
      <c r="CL108" s="11"/>
      <c r="CM108" s="11"/>
      <c r="CN108" s="274"/>
      <c r="CO108" s="274"/>
      <c r="CP108" s="274"/>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8"/>
      <c r="DN108" s="118"/>
      <c r="DO108" s="118"/>
      <c r="DP108" s="52"/>
      <c r="DQ108" s="52"/>
      <c r="DR108" s="77"/>
      <c r="DS108" s="77"/>
      <c r="DT108" s="77"/>
      <c r="DU108" s="11"/>
      <c r="DV108" s="11"/>
      <c r="DW108" s="11"/>
      <c r="DX108" s="11"/>
      <c r="DY108" s="11"/>
      <c r="DZ108" s="11"/>
      <c r="EA108" s="11"/>
      <c r="EB108" s="11"/>
      <c r="EC108" s="11"/>
      <c r="ED108" s="11"/>
      <c r="EE108" s="11"/>
      <c r="EF108" s="11"/>
    </row>
    <row r="109" spans="1:136" ht="13.5" x14ac:dyDescent="0.25">
      <c r="A109" s="425">
        <v>107</v>
      </c>
      <c r="B109" s="427" t="s">
        <v>990</v>
      </c>
      <c r="C109" s="587"/>
      <c r="D109" s="587" t="s">
        <v>986</v>
      </c>
      <c r="E109" s="79">
        <v>1</v>
      </c>
      <c r="F109" s="405">
        <v>2221296.3324000002</v>
      </c>
      <c r="G109" s="274"/>
      <c r="H109" s="274"/>
      <c r="I109" s="274"/>
      <c r="J109" s="274"/>
      <c r="K109" s="11"/>
      <c r="L109" s="274"/>
      <c r="M109" s="274"/>
      <c r="N109" s="274"/>
      <c r="O109" s="48"/>
      <c r="P109" s="11"/>
      <c r="Q109" s="274"/>
      <c r="R109" s="274"/>
      <c r="S109" s="274"/>
      <c r="T109" s="11"/>
      <c r="U109" s="11"/>
      <c r="V109" s="11"/>
      <c r="W109" s="11"/>
      <c r="X109" s="11"/>
      <c r="Y109" s="11"/>
      <c r="Z109" s="48"/>
      <c r="AA109" s="52"/>
      <c r="AB109" s="52"/>
      <c r="AC109" s="118"/>
      <c r="AD109" s="5"/>
      <c r="AE109" s="52"/>
      <c r="AF109" s="113"/>
      <c r="AG109" s="113"/>
      <c r="AH109" s="113"/>
      <c r="AI109" s="52"/>
      <c r="AJ109" s="11"/>
      <c r="AK109" s="269"/>
      <c r="AL109" s="269"/>
      <c r="AM109" s="116"/>
      <c r="AN109" s="301"/>
      <c r="AO109" s="302"/>
      <c r="AP109" s="11"/>
      <c r="AQ109" s="11"/>
      <c r="AR109" s="11"/>
      <c r="AS109" s="11"/>
      <c r="AT109" s="11"/>
      <c r="AU109" s="118"/>
      <c r="AV109" s="118"/>
      <c r="AW109" s="118"/>
      <c r="AX109" s="52"/>
      <c r="AY109" s="52"/>
      <c r="AZ109" s="11"/>
      <c r="BA109" s="11"/>
      <c r="BB109" s="11"/>
      <c r="BC109" s="11"/>
      <c r="BD109" s="11"/>
      <c r="BE109" s="274"/>
      <c r="BF109" s="274"/>
      <c r="BG109" s="274"/>
      <c r="BH109" s="11"/>
      <c r="BI109" s="11"/>
      <c r="BJ109" s="311"/>
      <c r="BK109" s="311"/>
      <c r="BL109" s="311"/>
      <c r="BM109" s="52"/>
      <c r="BN109" s="52"/>
      <c r="BO109" s="387"/>
      <c r="BP109" s="320"/>
      <c r="BQ109" s="320"/>
      <c r="BR109" s="76"/>
      <c r="BS109" s="4"/>
      <c r="BT109" s="11"/>
      <c r="BU109" s="11"/>
      <c r="BV109" s="11"/>
      <c r="BW109" s="11"/>
      <c r="BX109" s="11"/>
      <c r="BY109" s="348"/>
      <c r="BZ109" s="348"/>
      <c r="CA109" s="348"/>
      <c r="CB109" s="348"/>
      <c r="CC109" s="348"/>
      <c r="CD109" s="11"/>
      <c r="CE109" s="11"/>
      <c r="CF109" s="11"/>
      <c r="CG109" s="11"/>
      <c r="CH109" s="11"/>
      <c r="CI109" s="11"/>
      <c r="CJ109" s="11"/>
      <c r="CK109" s="11"/>
      <c r="CL109" s="11"/>
      <c r="CM109" s="11"/>
      <c r="CN109" s="274"/>
      <c r="CO109" s="274"/>
      <c r="CP109" s="274"/>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8"/>
      <c r="DN109" s="118"/>
      <c r="DO109" s="118"/>
      <c r="DP109" s="52"/>
      <c r="DQ109" s="52"/>
      <c r="DR109" s="77"/>
      <c r="DS109" s="77"/>
      <c r="DT109" s="77"/>
      <c r="DU109" s="11"/>
      <c r="DV109" s="11"/>
      <c r="DW109" s="11"/>
      <c r="DX109" s="11"/>
      <c r="DY109" s="11"/>
      <c r="DZ109" s="11"/>
      <c r="EA109" s="11"/>
      <c r="EB109" s="11"/>
      <c r="EC109" s="11"/>
      <c r="ED109" s="11"/>
      <c r="EE109" s="11"/>
      <c r="EF109" s="11"/>
    </row>
    <row r="110" spans="1:136" ht="40.5" x14ac:dyDescent="0.25">
      <c r="A110" s="425">
        <v>108</v>
      </c>
      <c r="B110" s="427" t="s">
        <v>991</v>
      </c>
      <c r="C110" s="427" t="s">
        <v>992</v>
      </c>
      <c r="D110" s="427" t="s">
        <v>993</v>
      </c>
      <c r="E110" s="79">
        <v>1</v>
      </c>
      <c r="F110" s="406">
        <v>2418233.2719999999</v>
      </c>
      <c r="G110" s="274"/>
      <c r="H110" s="274"/>
      <c r="I110" s="274"/>
      <c r="J110" s="274"/>
      <c r="K110" s="11"/>
      <c r="L110" s="274"/>
      <c r="M110" s="274"/>
      <c r="N110" s="274"/>
      <c r="O110" s="48"/>
      <c r="P110" s="11"/>
      <c r="Q110" s="274"/>
      <c r="R110" s="274"/>
      <c r="S110" s="274"/>
      <c r="T110" s="11"/>
      <c r="U110" s="11"/>
      <c r="V110" s="11"/>
      <c r="W110" s="11"/>
      <c r="X110" s="11"/>
      <c r="Y110" s="11"/>
      <c r="Z110" s="48"/>
      <c r="AA110" s="52"/>
      <c r="AB110" s="52"/>
      <c r="AC110" s="118"/>
      <c r="AD110" s="5"/>
      <c r="AE110" s="52"/>
      <c r="AF110" s="113"/>
      <c r="AG110" s="113"/>
      <c r="AH110" s="113"/>
      <c r="AI110" s="52"/>
      <c r="AJ110" s="11"/>
      <c r="AK110" s="269"/>
      <c r="AL110" s="269"/>
      <c r="AM110" s="116"/>
      <c r="AN110" s="301"/>
      <c r="AO110" s="302"/>
      <c r="AP110" s="11"/>
      <c r="AQ110" s="11"/>
      <c r="AR110" s="11"/>
      <c r="AS110" s="11"/>
      <c r="AT110" s="11"/>
      <c r="AU110" s="118"/>
      <c r="AV110" s="118"/>
      <c r="AW110" s="118"/>
      <c r="AX110" s="52"/>
      <c r="AY110" s="52"/>
      <c r="AZ110" s="311"/>
      <c r="BA110" s="311"/>
      <c r="BB110" s="311"/>
      <c r="BC110" s="311"/>
      <c r="BD110" s="311"/>
      <c r="BE110" s="274">
        <v>2516000</v>
      </c>
      <c r="BF110" s="274">
        <v>478040</v>
      </c>
      <c r="BG110" s="274">
        <v>2994040</v>
      </c>
      <c r="BH110" s="11" t="s">
        <v>366</v>
      </c>
      <c r="BI110" s="11" t="s">
        <v>994</v>
      </c>
      <c r="BJ110" s="311"/>
      <c r="BK110" s="311"/>
      <c r="BL110" s="311"/>
      <c r="BM110" s="52"/>
      <c r="BN110" s="52"/>
      <c r="BO110" s="387"/>
      <c r="BP110" s="320"/>
      <c r="BQ110" s="320"/>
      <c r="BR110" s="76"/>
      <c r="BS110" s="4"/>
      <c r="BT110" s="11"/>
      <c r="BU110" s="11"/>
      <c r="BV110" s="11"/>
      <c r="BW110" s="11"/>
      <c r="BX110" s="11"/>
      <c r="BY110" s="348"/>
      <c r="BZ110" s="348"/>
      <c r="CA110" s="348"/>
      <c r="CB110" s="348"/>
      <c r="CC110" s="348"/>
      <c r="CD110" s="11"/>
      <c r="CE110" s="11"/>
      <c r="CF110" s="11"/>
      <c r="CG110" s="11"/>
      <c r="CH110" s="11"/>
      <c r="CI110" s="11"/>
      <c r="CJ110" s="11"/>
      <c r="CK110" s="11"/>
      <c r="CL110" s="11"/>
      <c r="CM110" s="11"/>
      <c r="CN110" s="274"/>
      <c r="CO110" s="274"/>
      <c r="CP110" s="274"/>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8"/>
      <c r="DN110" s="118"/>
      <c r="DO110" s="118"/>
      <c r="DP110" s="52"/>
      <c r="DQ110" s="52"/>
      <c r="DR110" s="77"/>
      <c r="DS110" s="77"/>
      <c r="DT110" s="77"/>
      <c r="DU110" s="11"/>
      <c r="DV110" s="11"/>
      <c r="DW110" s="11"/>
      <c r="DX110" s="11"/>
      <c r="DY110" s="11"/>
      <c r="DZ110" s="11"/>
      <c r="EA110" s="11"/>
      <c r="EB110" s="11"/>
      <c r="EC110" s="11"/>
      <c r="ED110" s="11"/>
      <c r="EE110" s="11"/>
      <c r="EF110" s="11"/>
    </row>
    <row r="111" spans="1:136" ht="25.5" customHeight="1" x14ac:dyDescent="0.25">
      <c r="A111" s="425">
        <v>109</v>
      </c>
      <c r="B111" s="427" t="s">
        <v>995</v>
      </c>
      <c r="C111" s="427" t="s">
        <v>996</v>
      </c>
      <c r="D111" s="427" t="s">
        <v>997</v>
      </c>
      <c r="E111" s="79">
        <v>1</v>
      </c>
      <c r="F111" s="405"/>
      <c r="G111" s="274"/>
      <c r="H111" s="274"/>
      <c r="I111" s="274"/>
      <c r="J111" s="274"/>
      <c r="K111" s="11"/>
      <c r="L111" s="274"/>
      <c r="M111" s="274"/>
      <c r="N111" s="274"/>
      <c r="O111" s="48"/>
      <c r="P111" s="11"/>
      <c r="Q111" s="274"/>
      <c r="R111" s="274"/>
      <c r="S111" s="274"/>
      <c r="T111" s="11"/>
      <c r="U111" s="11"/>
      <c r="V111" s="11"/>
      <c r="W111" s="11"/>
      <c r="X111" s="11"/>
      <c r="Y111" s="11"/>
      <c r="Z111" s="48"/>
      <c r="AA111" s="52"/>
      <c r="AB111" s="52"/>
      <c r="AC111" s="118"/>
      <c r="AD111" s="5"/>
      <c r="AE111" s="52"/>
      <c r="AF111" s="113"/>
      <c r="AG111" s="113"/>
      <c r="AH111" s="113"/>
      <c r="AI111" s="52"/>
      <c r="AJ111" s="11"/>
      <c r="AK111" s="269"/>
      <c r="AL111" s="269"/>
      <c r="AM111" s="116"/>
      <c r="AN111" s="301"/>
      <c r="AO111" s="302"/>
      <c r="AP111" s="11"/>
      <c r="AQ111" s="11"/>
      <c r="AR111" s="11"/>
      <c r="AS111" s="11"/>
      <c r="AT111" s="11"/>
      <c r="AU111" s="118"/>
      <c r="AV111" s="118"/>
      <c r="AW111" s="118"/>
      <c r="AX111" s="52"/>
      <c r="AY111" s="52"/>
      <c r="AZ111" s="311">
        <v>2629700</v>
      </c>
      <c r="BA111" s="311">
        <v>0</v>
      </c>
      <c r="BB111" s="311">
        <f>+AZ111+BA111</f>
        <v>2629700</v>
      </c>
      <c r="BC111" s="144" t="s">
        <v>998</v>
      </c>
      <c r="BD111" s="144">
        <v>42050</v>
      </c>
      <c r="BE111" s="274"/>
      <c r="BF111" s="274"/>
      <c r="BG111" s="274"/>
      <c r="BH111" s="11"/>
      <c r="BI111" s="11"/>
      <c r="BJ111" s="311"/>
      <c r="BK111" s="311"/>
      <c r="BL111" s="311"/>
      <c r="BM111" s="52"/>
      <c r="BN111" s="52"/>
      <c r="BO111" s="387"/>
      <c r="BP111" s="320"/>
      <c r="BQ111" s="320"/>
      <c r="BR111" s="76"/>
      <c r="BS111" s="4"/>
      <c r="BT111" s="11"/>
      <c r="BU111" s="11"/>
      <c r="BV111" s="11"/>
      <c r="BW111" s="11"/>
      <c r="BX111" s="11"/>
      <c r="BY111" s="348"/>
      <c r="BZ111" s="348"/>
      <c r="CA111" s="348"/>
      <c r="CB111" s="348"/>
      <c r="CC111" s="348"/>
      <c r="CD111" s="11"/>
      <c r="CE111" s="11"/>
      <c r="CF111" s="11"/>
      <c r="CG111" s="11"/>
      <c r="CH111" s="11"/>
      <c r="CI111" s="11"/>
      <c r="CJ111" s="11"/>
      <c r="CK111" s="11"/>
      <c r="CL111" s="11"/>
      <c r="CM111" s="11"/>
      <c r="CN111" s="274"/>
      <c r="CO111" s="274"/>
      <c r="CP111" s="274"/>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8"/>
      <c r="DN111" s="118"/>
      <c r="DO111" s="118"/>
      <c r="DP111" s="52"/>
      <c r="DQ111" s="52"/>
      <c r="DR111" s="77"/>
      <c r="DS111" s="77"/>
      <c r="DT111" s="77"/>
      <c r="DU111" s="11"/>
      <c r="DV111" s="11"/>
      <c r="DW111" s="11"/>
      <c r="DX111" s="11"/>
      <c r="DY111" s="11"/>
      <c r="DZ111" s="11"/>
      <c r="EA111" s="11"/>
      <c r="EB111" s="11"/>
      <c r="EC111" s="11"/>
      <c r="ED111" s="11"/>
      <c r="EE111" s="11"/>
      <c r="EF111" s="11"/>
    </row>
    <row r="112" spans="1:136" ht="40.5" x14ac:dyDescent="0.25">
      <c r="A112" s="425">
        <v>110</v>
      </c>
      <c r="B112" s="427" t="s">
        <v>999</v>
      </c>
      <c r="C112" s="427" t="s">
        <v>1000</v>
      </c>
      <c r="D112" s="427" t="s">
        <v>549</v>
      </c>
      <c r="E112" s="79">
        <v>1</v>
      </c>
      <c r="F112" s="405"/>
      <c r="G112" s="274"/>
      <c r="H112" s="274"/>
      <c r="I112" s="274"/>
      <c r="J112" s="274"/>
      <c r="K112" s="11"/>
      <c r="L112" s="274"/>
      <c r="M112" s="274"/>
      <c r="N112" s="274"/>
      <c r="O112" s="48"/>
      <c r="P112" s="11"/>
      <c r="Q112" s="274"/>
      <c r="R112" s="274"/>
      <c r="S112" s="274"/>
      <c r="T112" s="11"/>
      <c r="U112" s="11"/>
      <c r="V112" s="11"/>
      <c r="W112" s="11"/>
      <c r="X112" s="11"/>
      <c r="Y112" s="11"/>
      <c r="Z112" s="48"/>
      <c r="AA112" s="52"/>
      <c r="AB112" s="52"/>
      <c r="AC112" s="118"/>
      <c r="AD112" s="5"/>
      <c r="AE112" s="52"/>
      <c r="AF112" s="113"/>
      <c r="AG112" s="113"/>
      <c r="AH112" s="113"/>
      <c r="AI112" s="52"/>
      <c r="AJ112" s="11"/>
      <c r="AK112" s="269"/>
      <c r="AL112" s="269"/>
      <c r="AM112" s="116"/>
      <c r="AN112" s="301"/>
      <c r="AO112" s="302"/>
      <c r="AP112" s="11"/>
      <c r="AQ112" s="11"/>
      <c r="AR112" s="11"/>
      <c r="AS112" s="11"/>
      <c r="AT112" s="11"/>
      <c r="AU112" s="118">
        <v>1252482</v>
      </c>
      <c r="AV112" s="118">
        <v>237972</v>
      </c>
      <c r="AW112" s="118">
        <v>1490454</v>
      </c>
      <c r="AX112" s="52" t="s">
        <v>607</v>
      </c>
      <c r="AY112" s="52" t="s">
        <v>1001</v>
      </c>
      <c r="AZ112" s="11"/>
      <c r="BA112" s="11"/>
      <c r="BB112" s="11"/>
      <c r="BC112" s="11"/>
      <c r="BD112" s="11"/>
      <c r="BE112" s="274"/>
      <c r="BF112" s="274"/>
      <c r="BG112" s="274"/>
      <c r="BH112" s="11"/>
      <c r="BI112" s="11"/>
      <c r="BJ112" s="311"/>
      <c r="BK112" s="311"/>
      <c r="BL112" s="311"/>
      <c r="BM112" s="52"/>
      <c r="BN112" s="52"/>
      <c r="BO112" s="387"/>
      <c r="BP112" s="320"/>
      <c r="BQ112" s="320"/>
      <c r="BR112" s="76"/>
      <c r="BS112" s="4"/>
      <c r="BT112" s="11"/>
      <c r="BU112" s="11"/>
      <c r="BV112" s="11"/>
      <c r="BW112" s="11"/>
      <c r="BX112" s="11"/>
      <c r="BY112" s="348"/>
      <c r="BZ112" s="348"/>
      <c r="CA112" s="348"/>
      <c r="CB112" s="348"/>
      <c r="CC112" s="348"/>
      <c r="CD112" s="11"/>
      <c r="CE112" s="11"/>
      <c r="CF112" s="11"/>
      <c r="CG112" s="11"/>
      <c r="CH112" s="11"/>
      <c r="CI112" s="16">
        <v>1408240</v>
      </c>
      <c r="CJ112" s="11">
        <f>+CI112*0.19</f>
        <v>267565.59999999998</v>
      </c>
      <c r="CK112" s="16">
        <f>+CI112+CJ112</f>
        <v>1675805.6</v>
      </c>
      <c r="CL112" s="11" t="s">
        <v>1002</v>
      </c>
      <c r="CM112" s="11">
        <v>36629</v>
      </c>
      <c r="CN112" s="274"/>
      <c r="CO112" s="274"/>
      <c r="CP112" s="274"/>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8"/>
      <c r="DN112" s="118"/>
      <c r="DO112" s="118"/>
      <c r="DP112" s="52"/>
      <c r="DQ112" s="52"/>
      <c r="DR112" s="77"/>
      <c r="DS112" s="77"/>
      <c r="DT112" s="77"/>
      <c r="DU112" s="11"/>
      <c r="DV112" s="11"/>
      <c r="DW112" s="11"/>
      <c r="DX112" s="11"/>
      <c r="DY112" s="11"/>
      <c r="DZ112" s="11"/>
      <c r="EA112" s="11"/>
      <c r="EB112" s="11"/>
      <c r="EC112" s="11"/>
      <c r="ED112" s="11"/>
      <c r="EE112" s="11"/>
      <c r="EF112" s="11"/>
    </row>
    <row r="113" spans="1:136" ht="27" x14ac:dyDescent="0.25">
      <c r="A113" s="425">
        <v>111</v>
      </c>
      <c r="B113" s="427" t="s">
        <v>1003</v>
      </c>
      <c r="C113" s="427" t="s">
        <v>1004</v>
      </c>
      <c r="D113" s="427" t="s">
        <v>1005</v>
      </c>
      <c r="E113" s="79">
        <v>1</v>
      </c>
      <c r="F113" s="405"/>
      <c r="G113" s="274"/>
      <c r="H113" s="274"/>
      <c r="I113" s="274"/>
      <c r="J113" s="274"/>
      <c r="K113" s="11"/>
      <c r="L113" s="274"/>
      <c r="M113" s="274"/>
      <c r="N113" s="274"/>
      <c r="O113" s="48"/>
      <c r="P113" s="11"/>
      <c r="Q113" s="274"/>
      <c r="R113" s="274"/>
      <c r="S113" s="274"/>
      <c r="T113" s="11"/>
      <c r="U113" s="11"/>
      <c r="V113" s="11"/>
      <c r="W113" s="11"/>
      <c r="X113" s="11"/>
      <c r="Y113" s="11"/>
      <c r="Z113" s="48"/>
      <c r="AA113" s="52"/>
      <c r="AB113" s="52"/>
      <c r="AC113" s="118"/>
      <c r="AD113" s="5"/>
      <c r="AE113" s="52"/>
      <c r="AF113" s="113"/>
      <c r="AG113" s="113"/>
      <c r="AH113" s="113"/>
      <c r="AI113" s="52"/>
      <c r="AJ113" s="11"/>
      <c r="AK113" s="269"/>
      <c r="AL113" s="269"/>
      <c r="AM113" s="116"/>
      <c r="AN113" s="301"/>
      <c r="AO113" s="302"/>
      <c r="AP113" s="11"/>
      <c r="AQ113" s="11"/>
      <c r="AR113" s="11"/>
      <c r="AS113" s="11"/>
      <c r="AT113" s="11"/>
      <c r="AU113" s="118"/>
      <c r="AV113" s="118"/>
      <c r="AW113" s="118"/>
      <c r="AX113" s="52"/>
      <c r="AY113" s="52"/>
      <c r="AZ113" s="11"/>
      <c r="BA113" s="11"/>
      <c r="BB113" s="11"/>
      <c r="BC113" s="11"/>
      <c r="BD113" s="11"/>
      <c r="BE113" s="274"/>
      <c r="BF113" s="274"/>
      <c r="BG113" s="274"/>
      <c r="BH113" s="11"/>
      <c r="BI113" s="11"/>
      <c r="BJ113" s="311"/>
      <c r="BK113" s="311"/>
      <c r="BL113" s="311"/>
      <c r="BM113" s="52"/>
      <c r="BN113" s="52"/>
      <c r="BO113" s="387"/>
      <c r="BP113" s="320"/>
      <c r="BQ113" s="320"/>
      <c r="BR113" s="76"/>
      <c r="BS113" s="4"/>
      <c r="BT113" s="11"/>
      <c r="BU113" s="11"/>
      <c r="BV113" s="11"/>
      <c r="BW113" s="11"/>
      <c r="BX113" s="11"/>
      <c r="BY113" s="349">
        <v>487000</v>
      </c>
      <c r="BZ113" s="349"/>
      <c r="CA113" s="349">
        <f>BY113+BZ113</f>
        <v>487000</v>
      </c>
      <c r="CB113" s="348" t="s">
        <v>1006</v>
      </c>
      <c r="CC113" s="348">
        <v>10110442</v>
      </c>
      <c r="CD113" s="11"/>
      <c r="CE113" s="11"/>
      <c r="CF113" s="11"/>
      <c r="CG113" s="11"/>
      <c r="CH113" s="11"/>
      <c r="CI113" s="11"/>
      <c r="CJ113" s="11"/>
      <c r="CK113" s="11"/>
      <c r="CL113" s="11"/>
      <c r="CM113" s="11"/>
      <c r="CN113" s="274"/>
      <c r="CO113" s="274"/>
      <c r="CP113" s="274"/>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8"/>
      <c r="DN113" s="118"/>
      <c r="DO113" s="118"/>
      <c r="DP113" s="52"/>
      <c r="DQ113" s="52"/>
      <c r="DR113" s="77"/>
      <c r="DS113" s="77"/>
      <c r="DT113" s="77"/>
      <c r="DU113" s="11"/>
      <c r="DV113" s="11"/>
      <c r="DW113" s="11"/>
      <c r="DX113" s="11"/>
      <c r="DY113" s="11"/>
      <c r="DZ113" s="11"/>
      <c r="EA113" s="11"/>
      <c r="EB113" s="11"/>
      <c r="EC113" s="11"/>
      <c r="ED113" s="11"/>
      <c r="EE113" s="11"/>
      <c r="EF113" s="11"/>
    </row>
    <row r="114" spans="1:136" ht="27" x14ac:dyDescent="0.25">
      <c r="A114" s="425">
        <v>112</v>
      </c>
      <c r="B114" s="427" t="s">
        <v>1007</v>
      </c>
      <c r="C114" s="427" t="s">
        <v>1008</v>
      </c>
      <c r="D114" s="427" t="s">
        <v>1005</v>
      </c>
      <c r="E114" s="79">
        <v>1</v>
      </c>
      <c r="F114" s="405"/>
      <c r="G114" s="274"/>
      <c r="H114" s="274"/>
      <c r="I114" s="274"/>
      <c r="J114" s="274"/>
      <c r="K114" s="11"/>
      <c r="L114" s="274"/>
      <c r="M114" s="274"/>
      <c r="N114" s="274"/>
      <c r="O114" s="48"/>
      <c r="P114" s="11"/>
      <c r="Q114" s="274"/>
      <c r="R114" s="274"/>
      <c r="S114" s="274"/>
      <c r="T114" s="11"/>
      <c r="U114" s="11"/>
      <c r="V114" s="11"/>
      <c r="W114" s="11"/>
      <c r="X114" s="11"/>
      <c r="Y114" s="11"/>
      <c r="Z114" s="48"/>
      <c r="AA114" s="52"/>
      <c r="AB114" s="52"/>
      <c r="AC114" s="118"/>
      <c r="AD114" s="5"/>
      <c r="AE114" s="52"/>
      <c r="AF114" s="113"/>
      <c r="AG114" s="113"/>
      <c r="AH114" s="113"/>
      <c r="AI114" s="52"/>
      <c r="AJ114" s="11"/>
      <c r="AK114" s="269"/>
      <c r="AL114" s="269"/>
      <c r="AM114" s="116"/>
      <c r="AN114" s="301"/>
      <c r="AO114" s="302"/>
      <c r="AP114" s="11"/>
      <c r="AQ114" s="11"/>
      <c r="AR114" s="11"/>
      <c r="AS114" s="11"/>
      <c r="AT114" s="11"/>
      <c r="AU114" s="118"/>
      <c r="AV114" s="118"/>
      <c r="AW114" s="118"/>
      <c r="AX114" s="52"/>
      <c r="AY114" s="52"/>
      <c r="AZ114" s="11"/>
      <c r="BA114" s="11"/>
      <c r="BB114" s="11"/>
      <c r="BC114" s="11"/>
      <c r="BD114" s="11"/>
      <c r="BE114" s="274"/>
      <c r="BF114" s="274"/>
      <c r="BG114" s="274"/>
      <c r="BH114" s="11"/>
      <c r="BI114" s="11"/>
      <c r="BJ114" s="311"/>
      <c r="BK114" s="311"/>
      <c r="BL114" s="311"/>
      <c r="BM114" s="52"/>
      <c r="BN114" s="52"/>
      <c r="BO114" s="387"/>
      <c r="BP114" s="320"/>
      <c r="BQ114" s="320"/>
      <c r="BR114" s="76"/>
      <c r="BS114" s="4"/>
      <c r="BT114" s="11"/>
      <c r="BU114" s="11"/>
      <c r="BV114" s="11"/>
      <c r="BW114" s="11"/>
      <c r="BX114" s="11"/>
      <c r="BY114" s="349">
        <v>487000</v>
      </c>
      <c r="BZ114" s="349"/>
      <c r="CA114" s="349">
        <f>BY114+BZ114</f>
        <v>487000</v>
      </c>
      <c r="CB114" s="348" t="s">
        <v>1006</v>
      </c>
      <c r="CC114" s="348">
        <v>10100462</v>
      </c>
      <c r="CD114" s="11"/>
      <c r="CE114" s="11"/>
      <c r="CF114" s="11"/>
      <c r="CG114" s="11"/>
      <c r="CH114" s="11"/>
      <c r="CI114" s="11"/>
      <c r="CJ114" s="11"/>
      <c r="CK114" s="11"/>
      <c r="CL114" s="11"/>
      <c r="CM114" s="11"/>
      <c r="CN114" s="274"/>
      <c r="CO114" s="274"/>
      <c r="CP114" s="274"/>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8"/>
      <c r="DN114" s="118"/>
      <c r="DO114" s="118"/>
      <c r="DP114" s="52"/>
      <c r="DQ114" s="52"/>
      <c r="DR114" s="77"/>
      <c r="DS114" s="77"/>
      <c r="DT114" s="77"/>
      <c r="DU114" s="11"/>
      <c r="DV114" s="11"/>
      <c r="DW114" s="11"/>
      <c r="DX114" s="11"/>
      <c r="DY114" s="11"/>
      <c r="DZ114" s="11"/>
      <c r="EA114" s="11"/>
      <c r="EB114" s="11"/>
      <c r="EC114" s="11"/>
      <c r="ED114" s="11"/>
      <c r="EE114" s="11"/>
      <c r="EF114" s="11"/>
    </row>
    <row r="115" spans="1:136" ht="40.5" x14ac:dyDescent="0.25">
      <c r="A115" s="425">
        <v>113</v>
      </c>
      <c r="B115" s="427" t="s">
        <v>1009</v>
      </c>
      <c r="C115" s="427" t="s">
        <v>1010</v>
      </c>
      <c r="D115" s="427" t="s">
        <v>1011</v>
      </c>
      <c r="E115" s="79">
        <v>1</v>
      </c>
      <c r="F115" s="405"/>
      <c r="G115" s="274"/>
      <c r="H115" s="274"/>
      <c r="I115" s="274"/>
      <c r="J115" s="274"/>
      <c r="K115" s="11"/>
      <c r="L115" s="274"/>
      <c r="M115" s="274"/>
      <c r="N115" s="274"/>
      <c r="O115" s="48"/>
      <c r="P115" s="11"/>
      <c r="Q115" s="274"/>
      <c r="R115" s="274"/>
      <c r="S115" s="274"/>
      <c r="T115" s="11"/>
      <c r="U115" s="11"/>
      <c r="V115" s="11"/>
      <c r="W115" s="11"/>
      <c r="X115" s="11"/>
      <c r="Y115" s="11"/>
      <c r="Z115" s="48"/>
      <c r="AA115" s="52"/>
      <c r="AB115" s="52"/>
      <c r="AC115" s="118"/>
      <c r="AD115" s="5"/>
      <c r="AE115" s="52"/>
      <c r="AF115" s="113"/>
      <c r="AG115" s="113"/>
      <c r="AH115" s="113"/>
      <c r="AI115" s="52"/>
      <c r="AJ115" s="11"/>
      <c r="AK115" s="269">
        <v>1501950</v>
      </c>
      <c r="AL115" s="269">
        <v>285370.5</v>
      </c>
      <c r="AM115" s="116">
        <v>1787320.5</v>
      </c>
      <c r="AN115" s="301" t="s">
        <v>88</v>
      </c>
      <c r="AO115" s="302">
        <v>1119620010</v>
      </c>
      <c r="AP115" s="11"/>
      <c r="AQ115" s="11"/>
      <c r="AR115" s="11"/>
      <c r="AS115" s="11"/>
      <c r="AT115" s="11"/>
      <c r="AU115" s="118">
        <v>1909985</v>
      </c>
      <c r="AV115" s="118">
        <v>362897</v>
      </c>
      <c r="AW115" s="118">
        <v>2272882</v>
      </c>
      <c r="AX115" s="52" t="s">
        <v>607</v>
      </c>
      <c r="AY115" s="52">
        <v>1119620010</v>
      </c>
      <c r="AZ115" s="11"/>
      <c r="BA115" s="11"/>
      <c r="BB115" s="11"/>
      <c r="BC115" s="11"/>
      <c r="BD115" s="11"/>
      <c r="BE115" s="274">
        <v>3294000</v>
      </c>
      <c r="BF115" s="274">
        <v>625860</v>
      </c>
      <c r="BG115" s="274">
        <v>3919860</v>
      </c>
      <c r="BH115" s="11" t="s">
        <v>88</v>
      </c>
      <c r="BI115" s="11">
        <v>1119620010</v>
      </c>
      <c r="BJ115" s="311"/>
      <c r="BK115" s="311"/>
      <c r="BL115" s="311"/>
      <c r="BM115" s="52"/>
      <c r="BN115" s="52"/>
      <c r="BO115" s="387"/>
      <c r="BP115" s="320"/>
      <c r="BQ115" s="320"/>
      <c r="BR115" s="76"/>
      <c r="BS115" s="4"/>
      <c r="BT115" s="11"/>
      <c r="BU115" s="11"/>
      <c r="BV115" s="11"/>
      <c r="BW115" s="11"/>
      <c r="BX115" s="11"/>
      <c r="BY115" s="348"/>
      <c r="BZ115" s="348"/>
      <c r="CA115" s="348"/>
      <c r="CB115" s="348"/>
      <c r="CC115" s="348"/>
      <c r="CD115" s="11"/>
      <c r="CE115" s="11"/>
      <c r="CF115" s="11"/>
      <c r="CG115" s="11"/>
      <c r="CH115" s="11"/>
      <c r="CI115" s="11"/>
      <c r="CJ115" s="11"/>
      <c r="CK115" s="11"/>
      <c r="CL115" s="11"/>
      <c r="CM115" s="11"/>
      <c r="CN115" s="274"/>
      <c r="CO115" s="274"/>
      <c r="CP115" s="274"/>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8"/>
      <c r="DN115" s="118"/>
      <c r="DO115" s="118"/>
      <c r="DP115" s="52"/>
      <c r="DQ115" s="52"/>
      <c r="DR115" s="77"/>
      <c r="DS115" s="77"/>
      <c r="DT115" s="77"/>
      <c r="DU115" s="11"/>
      <c r="DV115" s="11"/>
      <c r="DW115" s="11"/>
      <c r="DX115" s="11"/>
      <c r="DY115" s="11"/>
      <c r="DZ115" s="11"/>
      <c r="EA115" s="11"/>
      <c r="EB115" s="11"/>
      <c r="EC115" s="11"/>
      <c r="ED115" s="11"/>
      <c r="EE115" s="11"/>
      <c r="EF115" s="11"/>
    </row>
    <row r="116" spans="1:136" ht="12.75" customHeight="1" x14ac:dyDescent="0.25">
      <c r="A116" s="425">
        <v>114</v>
      </c>
      <c r="B116" s="427" t="s">
        <v>1012</v>
      </c>
      <c r="C116" s="427" t="s">
        <v>622</v>
      </c>
      <c r="D116" s="427" t="s">
        <v>1013</v>
      </c>
      <c r="E116" s="79">
        <v>1</v>
      </c>
      <c r="F116" s="406">
        <v>157109.75</v>
      </c>
      <c r="G116" s="274"/>
      <c r="H116" s="274"/>
      <c r="I116" s="274"/>
      <c r="J116" s="274"/>
      <c r="K116" s="11"/>
      <c r="L116" s="274"/>
      <c r="M116" s="274"/>
      <c r="N116" s="274"/>
      <c r="O116" s="48"/>
      <c r="P116" s="11"/>
      <c r="Q116" s="274"/>
      <c r="R116" s="274"/>
      <c r="S116" s="274"/>
      <c r="T116" s="11"/>
      <c r="U116" s="11"/>
      <c r="V116" s="11"/>
      <c r="W116" s="11"/>
      <c r="X116" s="11"/>
      <c r="Y116" s="11"/>
      <c r="Z116" s="48"/>
      <c r="AA116" s="52"/>
      <c r="AB116" s="52"/>
      <c r="AC116" s="118"/>
      <c r="AD116" s="5"/>
      <c r="AE116" s="52"/>
      <c r="AF116" s="113"/>
      <c r="AG116" s="113"/>
      <c r="AH116" s="113"/>
      <c r="AI116" s="52"/>
      <c r="AJ116" s="11"/>
      <c r="AK116" s="269"/>
      <c r="AL116" s="269"/>
      <c r="AM116" s="116"/>
      <c r="AN116" s="301"/>
      <c r="AO116" s="302"/>
      <c r="AP116" s="11"/>
      <c r="AQ116" s="11"/>
      <c r="AR116" s="11"/>
      <c r="AS116" s="11"/>
      <c r="AT116" s="11"/>
      <c r="AU116" s="118">
        <v>1211688</v>
      </c>
      <c r="AV116" s="118">
        <v>230221</v>
      </c>
      <c r="AW116" s="118">
        <v>1441909</v>
      </c>
      <c r="AX116" s="52" t="s">
        <v>607</v>
      </c>
      <c r="AY116" s="52">
        <v>1076875000</v>
      </c>
      <c r="AZ116" s="11"/>
      <c r="BA116" s="11"/>
      <c r="BB116" s="11"/>
      <c r="BC116" s="11"/>
      <c r="BD116" s="11"/>
      <c r="BE116" s="274">
        <v>80000</v>
      </c>
      <c r="BF116" s="274">
        <v>15200</v>
      </c>
      <c r="BG116" s="274">
        <v>95200</v>
      </c>
      <c r="BH116" s="11" t="s">
        <v>1014</v>
      </c>
      <c r="BI116" s="11" t="s">
        <v>1015</v>
      </c>
      <c r="BJ116" s="311"/>
      <c r="BK116" s="311"/>
      <c r="BL116" s="311"/>
      <c r="BM116" s="52"/>
      <c r="BN116" s="52"/>
      <c r="BO116" s="387"/>
      <c r="BP116" s="320"/>
      <c r="BQ116" s="320"/>
      <c r="BR116" s="76"/>
      <c r="BS116" s="4"/>
      <c r="BT116" s="11"/>
      <c r="BU116" s="11"/>
      <c r="BV116" s="11"/>
      <c r="BW116" s="11"/>
      <c r="BX116" s="11"/>
      <c r="BY116" s="348"/>
      <c r="BZ116" s="348"/>
      <c r="CA116" s="348"/>
      <c r="CB116" s="348"/>
      <c r="CC116" s="348"/>
      <c r="CD116" s="11"/>
      <c r="CE116" s="11"/>
      <c r="CF116" s="11"/>
      <c r="CG116" s="11"/>
      <c r="CH116" s="11"/>
      <c r="CI116" s="11"/>
      <c r="CJ116" s="11"/>
      <c r="CK116" s="11"/>
      <c r="CL116" s="11"/>
      <c r="CM116" s="11"/>
      <c r="CN116" s="274"/>
      <c r="CO116" s="274"/>
      <c r="CP116" s="274"/>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8"/>
      <c r="DN116" s="118"/>
      <c r="DO116" s="118"/>
      <c r="DP116" s="52"/>
      <c r="DQ116" s="52"/>
      <c r="DR116" s="77"/>
      <c r="DS116" s="77"/>
      <c r="DT116" s="77"/>
      <c r="DU116" s="11"/>
      <c r="DV116" s="11"/>
      <c r="DW116" s="11"/>
      <c r="DX116" s="11"/>
      <c r="DY116" s="11"/>
      <c r="DZ116" s="11"/>
      <c r="EA116" s="11"/>
      <c r="EB116" s="11"/>
      <c r="EC116" s="11"/>
      <c r="ED116" s="11"/>
      <c r="EE116" s="11"/>
      <c r="EF116" s="11"/>
    </row>
    <row r="117" spans="1:136" ht="13.5" x14ac:dyDescent="0.25">
      <c r="A117" s="425">
        <v>115</v>
      </c>
      <c r="B117" s="427" t="s">
        <v>1016</v>
      </c>
      <c r="C117" s="427" t="s">
        <v>622</v>
      </c>
      <c r="D117" s="427" t="s">
        <v>925</v>
      </c>
      <c r="E117" s="79">
        <v>1</v>
      </c>
      <c r="F117" s="406">
        <v>603301.44000000006</v>
      </c>
      <c r="G117" s="274"/>
      <c r="H117" s="274"/>
      <c r="I117" s="274"/>
      <c r="J117" s="274"/>
      <c r="K117" s="11"/>
      <c r="L117" s="274"/>
      <c r="M117" s="274"/>
      <c r="N117" s="274"/>
      <c r="O117" s="48"/>
      <c r="P117" s="11"/>
      <c r="Q117" s="274"/>
      <c r="R117" s="274"/>
      <c r="S117" s="274"/>
      <c r="T117" s="11"/>
      <c r="U117" s="11"/>
      <c r="V117" s="11"/>
      <c r="W117" s="11"/>
      <c r="X117" s="11"/>
      <c r="Y117" s="11"/>
      <c r="Z117" s="48"/>
      <c r="AA117" s="52"/>
      <c r="AB117" s="52"/>
      <c r="AC117" s="118"/>
      <c r="AD117" s="5"/>
      <c r="AE117" s="52"/>
      <c r="AF117" s="113"/>
      <c r="AG117" s="113"/>
      <c r="AH117" s="113"/>
      <c r="AI117" s="52"/>
      <c r="AJ117" s="11"/>
      <c r="AK117" s="269"/>
      <c r="AL117" s="269"/>
      <c r="AM117" s="116"/>
      <c r="AN117" s="301"/>
      <c r="AO117" s="302"/>
      <c r="AP117" s="11"/>
      <c r="AQ117" s="11"/>
      <c r="AR117" s="11"/>
      <c r="AS117" s="11"/>
      <c r="AT117" s="11"/>
      <c r="AU117" s="118"/>
      <c r="AV117" s="118"/>
      <c r="AW117" s="118"/>
      <c r="AX117" s="52"/>
      <c r="AY117" s="52"/>
      <c r="AZ117" s="11"/>
      <c r="BA117" s="11"/>
      <c r="BB117" s="11"/>
      <c r="BC117" s="11"/>
      <c r="BD117" s="11"/>
      <c r="BE117" s="274"/>
      <c r="BF117" s="274"/>
      <c r="BG117" s="274"/>
      <c r="BH117" s="11"/>
      <c r="BI117" s="11"/>
      <c r="BJ117" s="311"/>
      <c r="BK117" s="311"/>
      <c r="BL117" s="311"/>
      <c r="BM117" s="52"/>
      <c r="BN117" s="52"/>
      <c r="BO117" s="387"/>
      <c r="BP117" s="320"/>
      <c r="BQ117" s="320"/>
      <c r="BR117" s="76"/>
      <c r="BS117" s="4"/>
      <c r="BT117" s="11"/>
      <c r="BU117" s="11"/>
      <c r="BV117" s="11"/>
      <c r="BW117" s="11"/>
      <c r="BX117" s="11"/>
      <c r="BY117" s="348"/>
      <c r="BZ117" s="348"/>
      <c r="CA117" s="348"/>
      <c r="CB117" s="348"/>
      <c r="CC117" s="348"/>
      <c r="CD117" s="11"/>
      <c r="CE117" s="11"/>
      <c r="CF117" s="11"/>
      <c r="CG117" s="11"/>
      <c r="CH117" s="11"/>
      <c r="CI117" s="11"/>
      <c r="CJ117" s="11"/>
      <c r="CK117" s="11"/>
      <c r="CL117" s="11"/>
      <c r="CM117" s="11"/>
      <c r="CN117" s="274"/>
      <c r="CO117" s="274"/>
      <c r="CP117" s="274"/>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8"/>
      <c r="DN117" s="118"/>
      <c r="DO117" s="118"/>
      <c r="DP117" s="52"/>
      <c r="DQ117" s="52"/>
      <c r="DR117" s="77"/>
      <c r="DS117" s="77"/>
      <c r="DT117" s="77"/>
      <c r="DU117" s="11"/>
      <c r="DV117" s="11"/>
      <c r="DW117" s="11"/>
      <c r="DX117" s="11"/>
      <c r="DY117" s="11"/>
      <c r="DZ117" s="11"/>
      <c r="EA117" s="11"/>
      <c r="EB117" s="11"/>
      <c r="EC117" s="11"/>
      <c r="ED117" s="11"/>
      <c r="EE117" s="11"/>
      <c r="EF117" s="11"/>
    </row>
    <row r="118" spans="1:136" ht="40.5" x14ac:dyDescent="0.25">
      <c r="A118" s="425">
        <v>116</v>
      </c>
      <c r="B118" s="427" t="s">
        <v>1017</v>
      </c>
      <c r="C118" s="427" t="s">
        <v>622</v>
      </c>
      <c r="D118" s="427" t="s">
        <v>1018</v>
      </c>
      <c r="E118" s="79">
        <v>1</v>
      </c>
      <c r="F118" s="406">
        <v>1419015.2620000001</v>
      </c>
      <c r="G118" s="274"/>
      <c r="H118" s="274"/>
      <c r="I118" s="274"/>
      <c r="J118" s="274"/>
      <c r="K118" s="11"/>
      <c r="L118" s="274"/>
      <c r="M118" s="274"/>
      <c r="N118" s="274"/>
      <c r="O118" s="48"/>
      <c r="P118" s="11"/>
      <c r="Q118" s="274"/>
      <c r="R118" s="274"/>
      <c r="S118" s="274"/>
      <c r="T118" s="11"/>
      <c r="U118" s="11"/>
      <c r="V118" s="11"/>
      <c r="W118" s="11"/>
      <c r="X118" s="11"/>
      <c r="Y118" s="11"/>
      <c r="Z118" s="48"/>
      <c r="AA118" s="52"/>
      <c r="AB118" s="52"/>
      <c r="AC118" s="118"/>
      <c r="AD118" s="5"/>
      <c r="AE118" s="52"/>
      <c r="AF118" s="113">
        <v>731000</v>
      </c>
      <c r="AG118" s="113">
        <f>AF118*0.19</f>
        <v>138890</v>
      </c>
      <c r="AH118" s="113">
        <f>AF118+AG118</f>
        <v>869890</v>
      </c>
      <c r="AI118" s="277" t="s">
        <v>628</v>
      </c>
      <c r="AJ118" s="33" t="s">
        <v>1019</v>
      </c>
      <c r="AK118" s="269"/>
      <c r="AL118" s="269"/>
      <c r="AM118" s="116"/>
      <c r="AN118" s="301"/>
      <c r="AO118" s="302"/>
      <c r="AP118" s="11"/>
      <c r="AQ118" s="11"/>
      <c r="AR118" s="11"/>
      <c r="AS118" s="11"/>
      <c r="AT118" s="11"/>
      <c r="AU118" s="118"/>
      <c r="AV118" s="118"/>
      <c r="AW118" s="118"/>
      <c r="AX118" s="52"/>
      <c r="AY118" s="52"/>
      <c r="AZ118" s="11"/>
      <c r="BA118" s="11"/>
      <c r="BB118" s="11"/>
      <c r="BC118" s="11"/>
      <c r="BD118" s="11"/>
      <c r="BE118" s="274"/>
      <c r="BF118" s="274"/>
      <c r="BG118" s="274"/>
      <c r="BH118" s="11"/>
      <c r="BI118" s="11"/>
      <c r="BJ118" s="311"/>
      <c r="BK118" s="311"/>
      <c r="BL118" s="311"/>
      <c r="BM118" s="52"/>
      <c r="BN118" s="52"/>
      <c r="BO118" s="387"/>
      <c r="BP118" s="320"/>
      <c r="BQ118" s="320"/>
      <c r="BR118" s="76"/>
      <c r="BS118" s="4"/>
      <c r="BT118" s="11"/>
      <c r="BU118" s="11"/>
      <c r="BV118" s="11"/>
      <c r="BW118" s="11"/>
      <c r="BX118" s="11"/>
      <c r="BY118" s="348"/>
      <c r="BZ118" s="348"/>
      <c r="CA118" s="348"/>
      <c r="CB118" s="348"/>
      <c r="CC118" s="348"/>
      <c r="CD118" s="11"/>
      <c r="CE118" s="11"/>
      <c r="CF118" s="11"/>
      <c r="CG118" s="11"/>
      <c r="CH118" s="11"/>
      <c r="CI118" s="11"/>
      <c r="CJ118" s="11"/>
      <c r="CK118" s="11"/>
      <c r="CL118" s="11"/>
      <c r="CM118" s="11"/>
      <c r="CN118" s="274"/>
      <c r="CO118" s="274"/>
      <c r="CP118" s="274"/>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8"/>
      <c r="DN118" s="118"/>
      <c r="DO118" s="118"/>
      <c r="DP118" s="52"/>
      <c r="DQ118" s="52"/>
      <c r="DR118" s="77"/>
      <c r="DS118" s="77"/>
      <c r="DT118" s="77"/>
      <c r="DU118" s="11"/>
      <c r="DV118" s="11"/>
      <c r="DW118" s="11"/>
      <c r="DX118" s="11"/>
      <c r="DY118" s="11"/>
      <c r="DZ118" s="11"/>
      <c r="EA118" s="11"/>
      <c r="EB118" s="11"/>
      <c r="EC118" s="11"/>
      <c r="ED118" s="11"/>
      <c r="EE118" s="11"/>
      <c r="EF118" s="11"/>
    </row>
    <row r="119" spans="1:136" ht="27" x14ac:dyDescent="0.25">
      <c r="A119" s="425">
        <v>117</v>
      </c>
      <c r="B119" s="427" t="s">
        <v>1020</v>
      </c>
      <c r="C119" s="427" t="s">
        <v>622</v>
      </c>
      <c r="D119" s="427" t="s">
        <v>1021</v>
      </c>
      <c r="E119" s="79">
        <v>1</v>
      </c>
      <c r="F119" s="406">
        <v>524118.12599999999</v>
      </c>
      <c r="G119" s="274">
        <v>525000</v>
      </c>
      <c r="H119" s="274">
        <v>99750</v>
      </c>
      <c r="I119" s="274">
        <v>624750</v>
      </c>
      <c r="J119" s="274" t="s">
        <v>45</v>
      </c>
      <c r="K119" s="11" t="s">
        <v>1022</v>
      </c>
      <c r="L119" s="274"/>
      <c r="M119" s="274"/>
      <c r="N119" s="274"/>
      <c r="O119" s="48"/>
      <c r="P119" s="11"/>
      <c r="Q119" s="274"/>
      <c r="R119" s="274"/>
      <c r="S119" s="274"/>
      <c r="T119" s="11"/>
      <c r="U119" s="11"/>
      <c r="V119" s="11"/>
      <c r="W119" s="11"/>
      <c r="X119" s="11"/>
      <c r="Y119" s="11"/>
      <c r="Z119" s="48"/>
      <c r="AA119" s="52"/>
      <c r="AB119" s="52"/>
      <c r="AC119" s="118"/>
      <c r="AD119" s="5"/>
      <c r="AE119" s="52"/>
      <c r="AF119" s="113">
        <v>702000</v>
      </c>
      <c r="AG119" s="113">
        <f>AF119*0.19</f>
        <v>133380</v>
      </c>
      <c r="AH119" s="113">
        <f>AF119+AG119</f>
        <v>835380</v>
      </c>
      <c r="AI119" s="277" t="s">
        <v>628</v>
      </c>
      <c r="AJ119" s="33" t="s">
        <v>1023</v>
      </c>
      <c r="AK119" s="269">
        <v>400140</v>
      </c>
      <c r="AL119" s="269">
        <v>76026.600000000006</v>
      </c>
      <c r="AM119" s="116">
        <v>476166.6</v>
      </c>
      <c r="AN119" s="301" t="s">
        <v>88</v>
      </c>
      <c r="AO119" s="302">
        <v>1030260005</v>
      </c>
      <c r="AP119" s="11"/>
      <c r="AQ119" s="11"/>
      <c r="AR119" s="11"/>
      <c r="AS119" s="11"/>
      <c r="AT119" s="11"/>
      <c r="AU119" s="118">
        <v>508846</v>
      </c>
      <c r="AV119" s="118">
        <v>96681</v>
      </c>
      <c r="AW119" s="118">
        <v>605527</v>
      </c>
      <c r="AX119" s="52" t="s">
        <v>607</v>
      </c>
      <c r="AY119" s="52">
        <v>1030260005</v>
      </c>
      <c r="AZ119" s="11"/>
      <c r="BA119" s="11"/>
      <c r="BB119" s="11"/>
      <c r="BC119" s="11"/>
      <c r="BD119" s="11"/>
      <c r="BE119" s="274">
        <v>418000</v>
      </c>
      <c r="BF119" s="274">
        <v>79420</v>
      </c>
      <c r="BG119" s="274">
        <v>497420</v>
      </c>
      <c r="BH119" s="11" t="s">
        <v>63</v>
      </c>
      <c r="BI119" s="11" t="s">
        <v>1024</v>
      </c>
      <c r="BJ119" s="311"/>
      <c r="BK119" s="311"/>
      <c r="BL119" s="311"/>
      <c r="BM119" s="52"/>
      <c r="BN119" s="52"/>
      <c r="BO119" s="387"/>
      <c r="BP119" s="320"/>
      <c r="BQ119" s="320"/>
      <c r="BR119" s="76"/>
      <c r="BS119" s="4"/>
      <c r="BT119" s="11"/>
      <c r="BU119" s="11"/>
      <c r="BV119" s="11"/>
      <c r="BW119" s="11"/>
      <c r="BX119" s="11"/>
      <c r="BY119" s="348"/>
      <c r="BZ119" s="348"/>
      <c r="CA119" s="348"/>
      <c r="CB119" s="348"/>
      <c r="CC119" s="348"/>
      <c r="CD119" s="11"/>
      <c r="CE119" s="11"/>
      <c r="CF119" s="11"/>
      <c r="CG119" s="11"/>
      <c r="CH119" s="11"/>
      <c r="CI119" s="11"/>
      <c r="CJ119" s="11"/>
      <c r="CK119" s="11"/>
      <c r="CL119" s="11"/>
      <c r="CM119" s="11"/>
      <c r="CN119" s="274"/>
      <c r="CO119" s="274"/>
      <c r="CP119" s="274"/>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8"/>
      <c r="DN119" s="118"/>
      <c r="DO119" s="118"/>
      <c r="DP119" s="52"/>
      <c r="DQ119" s="52"/>
      <c r="DR119" s="77"/>
      <c r="DS119" s="77"/>
      <c r="DT119" s="77"/>
      <c r="DU119" s="11"/>
      <c r="DV119" s="11"/>
      <c r="DW119" s="11"/>
      <c r="DX119" s="11"/>
      <c r="DY119" s="11"/>
      <c r="DZ119" s="11"/>
      <c r="EA119" s="11"/>
      <c r="EB119" s="11"/>
      <c r="EC119" s="11"/>
      <c r="ED119" s="11"/>
      <c r="EE119" s="11"/>
      <c r="EF119" s="11"/>
    </row>
    <row r="120" spans="1:136" ht="25.5" customHeight="1" x14ac:dyDescent="0.25">
      <c r="A120" s="425">
        <v>118</v>
      </c>
      <c r="B120" s="427" t="s">
        <v>1025</v>
      </c>
      <c r="C120" s="427" t="s">
        <v>622</v>
      </c>
      <c r="D120" s="427" t="s">
        <v>39</v>
      </c>
      <c r="E120" s="79">
        <v>1</v>
      </c>
      <c r="F120" s="406">
        <v>167164.774</v>
      </c>
      <c r="G120" s="274"/>
      <c r="H120" s="274"/>
      <c r="I120" s="274"/>
      <c r="J120" s="274"/>
      <c r="K120" s="11"/>
      <c r="L120" s="274"/>
      <c r="M120" s="274"/>
      <c r="N120" s="274"/>
      <c r="O120" s="48"/>
      <c r="P120" s="11"/>
      <c r="Q120" s="274"/>
      <c r="R120" s="274"/>
      <c r="S120" s="274"/>
      <c r="T120" s="11"/>
      <c r="U120" s="11"/>
      <c r="V120" s="11"/>
      <c r="W120" s="11"/>
      <c r="X120" s="11"/>
      <c r="Y120" s="11"/>
      <c r="Z120" s="48"/>
      <c r="AA120" s="52"/>
      <c r="AB120" s="52"/>
      <c r="AC120" s="118"/>
      <c r="AD120" s="5"/>
      <c r="AE120" s="52"/>
      <c r="AF120" s="113">
        <v>158000</v>
      </c>
      <c r="AG120" s="113">
        <f>AF120*0.19</f>
        <v>30020</v>
      </c>
      <c r="AH120" s="113">
        <f>AF120+AG120</f>
        <v>188020</v>
      </c>
      <c r="AI120" s="277" t="s">
        <v>628</v>
      </c>
      <c r="AJ120" s="33" t="s">
        <v>1026</v>
      </c>
      <c r="AK120" s="269">
        <v>137940</v>
      </c>
      <c r="AL120" s="269">
        <v>0</v>
      </c>
      <c r="AM120" s="116">
        <v>137940</v>
      </c>
      <c r="AN120" s="301" t="s">
        <v>88</v>
      </c>
      <c r="AO120" s="302">
        <v>1137410100</v>
      </c>
      <c r="AP120" s="11"/>
      <c r="AQ120" s="11"/>
      <c r="AR120" s="11"/>
      <c r="AS120" s="11"/>
      <c r="AT120" s="11"/>
      <c r="AU120" s="118">
        <v>175414</v>
      </c>
      <c r="AV120" s="118">
        <v>33329</v>
      </c>
      <c r="AW120" s="118">
        <v>208743</v>
      </c>
      <c r="AX120" s="52" t="s">
        <v>607</v>
      </c>
      <c r="AY120" s="52">
        <v>1137410100</v>
      </c>
      <c r="AZ120" s="11"/>
      <c r="BA120" s="11"/>
      <c r="BB120" s="11"/>
      <c r="BC120" s="11"/>
      <c r="BD120" s="11"/>
      <c r="BE120" s="274">
        <v>70000</v>
      </c>
      <c r="BF120" s="274">
        <v>13300</v>
      </c>
      <c r="BG120" s="274">
        <v>83300</v>
      </c>
      <c r="BH120" s="11" t="s">
        <v>48</v>
      </c>
      <c r="BI120" s="11" t="s">
        <v>1027</v>
      </c>
      <c r="BJ120" s="311"/>
      <c r="BK120" s="311"/>
      <c r="BL120" s="311"/>
      <c r="BM120" s="52"/>
      <c r="BN120" s="52"/>
      <c r="BO120" s="387"/>
      <c r="BP120" s="320"/>
      <c r="BQ120" s="320"/>
      <c r="BR120" s="76"/>
      <c r="BS120" s="4"/>
      <c r="BT120" s="11"/>
      <c r="BU120" s="11"/>
      <c r="BV120" s="11"/>
      <c r="BW120" s="11"/>
      <c r="BX120" s="11"/>
      <c r="BY120" s="348"/>
      <c r="BZ120" s="348"/>
      <c r="CA120" s="348"/>
      <c r="CB120" s="348"/>
      <c r="CC120" s="348"/>
      <c r="CD120" s="11"/>
      <c r="CE120" s="11"/>
      <c r="CF120" s="11"/>
      <c r="CG120" s="11"/>
      <c r="CH120" s="11"/>
      <c r="CI120" s="11"/>
      <c r="CJ120" s="11"/>
      <c r="CK120" s="11"/>
      <c r="CL120" s="11"/>
      <c r="CM120" s="11"/>
      <c r="CN120" s="274"/>
      <c r="CO120" s="274"/>
      <c r="CP120" s="274"/>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8"/>
      <c r="DN120" s="118"/>
      <c r="DO120" s="118"/>
      <c r="DP120" s="52"/>
      <c r="DQ120" s="52"/>
      <c r="DR120" s="77"/>
      <c r="DS120" s="77"/>
      <c r="DT120" s="77"/>
      <c r="DU120" s="11"/>
      <c r="DV120" s="11"/>
      <c r="DW120" s="11"/>
      <c r="DX120" s="11"/>
      <c r="DY120" s="11"/>
      <c r="DZ120" s="11"/>
      <c r="EA120" s="11"/>
      <c r="EB120" s="11"/>
      <c r="EC120" s="11"/>
      <c r="ED120" s="11"/>
      <c r="EE120" s="11"/>
      <c r="EF120" s="11"/>
    </row>
    <row r="121" spans="1:136" ht="27" x14ac:dyDescent="0.25">
      <c r="A121" s="425">
        <v>119</v>
      </c>
      <c r="B121" s="427" t="s">
        <v>1028</v>
      </c>
      <c r="C121" s="427" t="s">
        <v>642</v>
      </c>
      <c r="D121" s="427" t="s">
        <v>1029</v>
      </c>
      <c r="E121" s="79">
        <v>1</v>
      </c>
      <c r="F121" s="406">
        <v>257785.6778</v>
      </c>
      <c r="G121" s="274">
        <v>622500</v>
      </c>
      <c r="H121" s="274">
        <v>118275</v>
      </c>
      <c r="I121" s="274">
        <v>740775</v>
      </c>
      <c r="J121" s="274" t="s">
        <v>45</v>
      </c>
      <c r="K121" s="11" t="s">
        <v>1030</v>
      </c>
      <c r="L121" s="274"/>
      <c r="M121" s="274"/>
      <c r="N121" s="274"/>
      <c r="O121" s="48"/>
      <c r="P121" s="11"/>
      <c r="Q121" s="274"/>
      <c r="R121" s="274"/>
      <c r="S121" s="274"/>
      <c r="T121" s="11"/>
      <c r="U121" s="11"/>
      <c r="V121" s="11"/>
      <c r="W121" s="11"/>
      <c r="X121" s="11"/>
      <c r="Y121" s="11"/>
      <c r="Z121" s="48"/>
      <c r="AA121" s="52"/>
      <c r="AB121" s="52"/>
      <c r="AC121" s="118"/>
      <c r="AD121" s="5"/>
      <c r="AE121" s="52"/>
      <c r="AF121" s="113">
        <v>138000</v>
      </c>
      <c r="AG121" s="113">
        <f>AF121*0.19</f>
        <v>26220</v>
      </c>
      <c r="AH121" s="113">
        <f>AF121+AG121</f>
        <v>164220</v>
      </c>
      <c r="AI121" s="277" t="s">
        <v>628</v>
      </c>
      <c r="AJ121" s="33" t="s">
        <v>1031</v>
      </c>
      <c r="AK121" s="269">
        <v>218880</v>
      </c>
      <c r="AL121" s="269">
        <v>41587.199999999997</v>
      </c>
      <c r="AM121" s="116">
        <v>260467.20000000001</v>
      </c>
      <c r="AN121" s="301" t="s">
        <v>88</v>
      </c>
      <c r="AO121" s="302">
        <v>1159430025</v>
      </c>
      <c r="AP121" s="11"/>
      <c r="AQ121" s="11"/>
      <c r="AR121" s="11"/>
      <c r="AS121" s="11"/>
      <c r="AT121" s="11"/>
      <c r="AU121" s="118">
        <v>477678</v>
      </c>
      <c r="AV121" s="118">
        <v>90759</v>
      </c>
      <c r="AW121" s="118">
        <v>568436</v>
      </c>
      <c r="AX121" s="52" t="s">
        <v>607</v>
      </c>
      <c r="AY121" s="52">
        <v>1592700100</v>
      </c>
      <c r="AZ121" s="11"/>
      <c r="BA121" s="11"/>
      <c r="BB121" s="11"/>
      <c r="BC121" s="11"/>
      <c r="BD121" s="11"/>
      <c r="BE121" s="274">
        <v>495000</v>
      </c>
      <c r="BF121" s="274">
        <v>94050</v>
      </c>
      <c r="BG121" s="274">
        <v>589050</v>
      </c>
      <c r="BH121" s="11" t="s">
        <v>63</v>
      </c>
      <c r="BI121" s="11" t="s">
        <v>1032</v>
      </c>
      <c r="BJ121" s="311"/>
      <c r="BK121" s="311"/>
      <c r="BL121" s="311"/>
      <c r="BM121" s="52"/>
      <c r="BN121" s="52"/>
      <c r="BO121" s="387"/>
      <c r="BP121" s="320"/>
      <c r="BQ121" s="320"/>
      <c r="BR121" s="76"/>
      <c r="BS121" s="4"/>
      <c r="BT121" s="11"/>
      <c r="BU121" s="11"/>
      <c r="BV121" s="11"/>
      <c r="BW121" s="11"/>
      <c r="BX121" s="11"/>
      <c r="BY121" s="348"/>
      <c r="BZ121" s="348"/>
      <c r="CA121" s="348"/>
      <c r="CB121" s="348"/>
      <c r="CC121" s="348"/>
      <c r="CD121" s="11"/>
      <c r="CE121" s="11"/>
      <c r="CF121" s="11"/>
      <c r="CG121" s="11"/>
      <c r="CH121" s="11"/>
      <c r="CI121" s="11"/>
      <c r="CJ121" s="11"/>
      <c r="CK121" s="11"/>
      <c r="CL121" s="11"/>
      <c r="CM121" s="11"/>
      <c r="CN121" s="274"/>
      <c r="CO121" s="274"/>
      <c r="CP121" s="274"/>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8"/>
      <c r="DN121" s="118"/>
      <c r="DO121" s="118"/>
      <c r="DP121" s="52"/>
      <c r="DQ121" s="52"/>
      <c r="DR121" s="77"/>
      <c r="DS121" s="77"/>
      <c r="DT121" s="77"/>
      <c r="DU121" s="11"/>
      <c r="DV121" s="11"/>
      <c r="DW121" s="11"/>
      <c r="DX121" s="11"/>
      <c r="DY121" s="11"/>
      <c r="DZ121" s="11"/>
      <c r="EA121" s="11"/>
      <c r="EB121" s="11"/>
      <c r="EC121" s="11"/>
      <c r="ED121" s="11"/>
      <c r="EE121" s="11"/>
      <c r="EF121" s="11"/>
    </row>
    <row r="122" spans="1:136" ht="12.75" customHeight="1" x14ac:dyDescent="0.25">
      <c r="A122" s="425">
        <v>120</v>
      </c>
      <c r="B122" s="427" t="s">
        <v>1033</v>
      </c>
      <c r="C122" s="427" t="s">
        <v>622</v>
      </c>
      <c r="D122" s="427" t="s">
        <v>49</v>
      </c>
      <c r="E122" s="79">
        <v>1</v>
      </c>
      <c r="F122" s="406">
        <v>84496</v>
      </c>
      <c r="G122" s="274"/>
      <c r="H122" s="274"/>
      <c r="I122" s="274"/>
      <c r="J122" s="274"/>
      <c r="K122" s="11"/>
      <c r="L122" s="274"/>
      <c r="M122" s="274"/>
      <c r="N122" s="274"/>
      <c r="O122" s="48"/>
      <c r="P122" s="11"/>
      <c r="Q122" s="274"/>
      <c r="R122" s="274"/>
      <c r="S122" s="274"/>
      <c r="T122" s="11"/>
      <c r="U122" s="11"/>
      <c r="V122" s="11"/>
      <c r="W122" s="11"/>
      <c r="X122" s="11"/>
      <c r="Y122" s="11"/>
      <c r="Z122" s="48"/>
      <c r="AA122" s="52"/>
      <c r="AB122" s="52"/>
      <c r="AC122" s="118"/>
      <c r="AD122" s="5"/>
      <c r="AE122" s="52"/>
      <c r="AF122" s="113"/>
      <c r="AG122" s="113"/>
      <c r="AH122" s="113"/>
      <c r="AI122" s="52"/>
      <c r="AJ122" s="11"/>
      <c r="AK122" s="269"/>
      <c r="AL122" s="269"/>
      <c r="AM122" s="116"/>
      <c r="AN122" s="301"/>
      <c r="AO122" s="302"/>
      <c r="AP122" s="11"/>
      <c r="AQ122" s="11"/>
      <c r="AR122" s="11"/>
      <c r="AS122" s="11"/>
      <c r="AT122" s="11"/>
      <c r="AU122" s="118">
        <v>677737</v>
      </c>
      <c r="AV122" s="118">
        <v>128770</v>
      </c>
      <c r="AW122" s="118">
        <v>806507</v>
      </c>
      <c r="AX122" s="52" t="s">
        <v>607</v>
      </c>
      <c r="AY122" s="52">
        <v>1159430100</v>
      </c>
      <c r="AZ122" s="11"/>
      <c r="BA122" s="11"/>
      <c r="BB122" s="11"/>
      <c r="BC122" s="11"/>
      <c r="BD122" s="11"/>
      <c r="BE122" s="274">
        <v>76000</v>
      </c>
      <c r="BF122" s="274">
        <v>14440</v>
      </c>
      <c r="BG122" s="274">
        <v>90440</v>
      </c>
      <c r="BH122" s="11" t="s">
        <v>48</v>
      </c>
      <c r="BI122" s="11" t="s">
        <v>1034</v>
      </c>
      <c r="BJ122" s="311"/>
      <c r="BK122" s="311"/>
      <c r="BL122" s="311"/>
      <c r="BM122" s="52"/>
      <c r="BN122" s="52"/>
      <c r="BO122" s="387"/>
      <c r="BP122" s="320"/>
      <c r="BQ122" s="320"/>
      <c r="BR122" s="76"/>
      <c r="BS122" s="4"/>
      <c r="BT122" s="11"/>
      <c r="BU122" s="11"/>
      <c r="BV122" s="11"/>
      <c r="BW122" s="11"/>
      <c r="BX122" s="11"/>
      <c r="BY122" s="348"/>
      <c r="BZ122" s="348"/>
      <c r="CA122" s="348"/>
      <c r="CB122" s="348"/>
      <c r="CC122" s="348"/>
      <c r="CD122" s="11"/>
      <c r="CE122" s="11"/>
      <c r="CF122" s="11"/>
      <c r="CG122" s="11"/>
      <c r="CH122" s="11"/>
      <c r="CI122" s="11"/>
      <c r="CJ122" s="11"/>
      <c r="CK122" s="11"/>
      <c r="CL122" s="11"/>
      <c r="CM122" s="11"/>
      <c r="CN122" s="274"/>
      <c r="CO122" s="274"/>
      <c r="CP122" s="274"/>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8"/>
      <c r="DN122" s="118"/>
      <c r="DO122" s="118"/>
      <c r="DP122" s="52"/>
      <c r="DQ122" s="52"/>
      <c r="DR122" s="77"/>
      <c r="DS122" s="77"/>
      <c r="DT122" s="77"/>
      <c r="DU122" s="11"/>
      <c r="DV122" s="11"/>
      <c r="DW122" s="11"/>
      <c r="DX122" s="11"/>
      <c r="DY122" s="11"/>
      <c r="DZ122" s="11"/>
      <c r="EA122" s="11"/>
      <c r="EB122" s="11"/>
      <c r="EC122" s="11"/>
      <c r="ED122" s="11"/>
      <c r="EE122" s="11"/>
      <c r="EF122" s="11"/>
    </row>
    <row r="123" spans="1:136" ht="27" x14ac:dyDescent="0.25">
      <c r="A123" s="425">
        <v>121</v>
      </c>
      <c r="B123" s="427" t="s">
        <v>1035</v>
      </c>
      <c r="C123" s="427" t="s">
        <v>723</v>
      </c>
      <c r="D123" s="427" t="s">
        <v>1029</v>
      </c>
      <c r="E123" s="79">
        <v>1</v>
      </c>
      <c r="F123" s="405"/>
      <c r="G123" s="274"/>
      <c r="H123" s="274"/>
      <c r="I123" s="274"/>
      <c r="J123" s="274"/>
      <c r="K123" s="11"/>
      <c r="L123" s="274"/>
      <c r="M123" s="274"/>
      <c r="N123" s="274"/>
      <c r="O123" s="48"/>
      <c r="P123" s="11"/>
      <c r="Q123" s="274"/>
      <c r="R123" s="274"/>
      <c r="S123" s="274"/>
      <c r="T123" s="11"/>
      <c r="U123" s="11"/>
      <c r="V123" s="11"/>
      <c r="W123" s="11"/>
      <c r="X123" s="11"/>
      <c r="Y123" s="11"/>
      <c r="Z123" s="48"/>
      <c r="AA123" s="52"/>
      <c r="AB123" s="52"/>
      <c r="AC123" s="118"/>
      <c r="AD123" s="5"/>
      <c r="AE123" s="52"/>
      <c r="AF123" s="113"/>
      <c r="AG123" s="113"/>
      <c r="AH123" s="113"/>
      <c r="AI123" s="52"/>
      <c r="AJ123" s="11"/>
      <c r="AK123" s="269">
        <v>512000</v>
      </c>
      <c r="AL123" s="269">
        <v>97280</v>
      </c>
      <c r="AM123" s="116">
        <v>609280</v>
      </c>
      <c r="AN123" s="301" t="s">
        <v>37</v>
      </c>
      <c r="AO123" s="302" t="s">
        <v>1036</v>
      </c>
      <c r="AP123" s="11"/>
      <c r="AQ123" s="11"/>
      <c r="AR123" s="11"/>
      <c r="AS123" s="11"/>
      <c r="AT123" s="11"/>
      <c r="AU123" s="118">
        <v>539336</v>
      </c>
      <c r="AV123" s="118">
        <v>102474</v>
      </c>
      <c r="AW123" s="118">
        <v>641810</v>
      </c>
      <c r="AX123" s="52" t="s">
        <v>607</v>
      </c>
      <c r="AY123" s="52" t="s">
        <v>1036</v>
      </c>
      <c r="AZ123" s="11"/>
      <c r="BA123" s="11"/>
      <c r="BB123" s="11"/>
      <c r="BC123" s="11"/>
      <c r="BD123" s="11"/>
      <c r="BE123" s="274"/>
      <c r="BF123" s="274"/>
      <c r="BG123" s="274"/>
      <c r="BH123" s="11"/>
      <c r="BI123" s="11"/>
      <c r="BJ123" s="311"/>
      <c r="BK123" s="311"/>
      <c r="BL123" s="311"/>
      <c r="BM123" s="52"/>
      <c r="BN123" s="52"/>
      <c r="BO123" s="387"/>
      <c r="BP123" s="320"/>
      <c r="BQ123" s="320"/>
      <c r="BR123" s="76"/>
      <c r="BS123" s="4"/>
      <c r="BT123" s="11"/>
      <c r="BU123" s="11"/>
      <c r="BV123" s="11"/>
      <c r="BW123" s="11"/>
      <c r="BX123" s="11"/>
      <c r="BY123" s="348"/>
      <c r="BZ123" s="348"/>
      <c r="CA123" s="348"/>
      <c r="CB123" s="348"/>
      <c r="CC123" s="348"/>
      <c r="CD123" s="11"/>
      <c r="CE123" s="11"/>
      <c r="CF123" s="11"/>
      <c r="CG123" s="11"/>
      <c r="CH123" s="11"/>
      <c r="CI123" s="11"/>
      <c r="CJ123" s="11"/>
      <c r="CK123" s="11"/>
      <c r="CL123" s="11"/>
      <c r="CM123" s="11"/>
      <c r="CN123" s="274"/>
      <c r="CO123" s="274"/>
      <c r="CP123" s="274"/>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8"/>
      <c r="DN123" s="118"/>
      <c r="DO123" s="118"/>
      <c r="DP123" s="52"/>
      <c r="DQ123" s="52"/>
      <c r="DR123" s="77"/>
      <c r="DS123" s="77"/>
      <c r="DT123" s="77"/>
      <c r="DU123" s="11"/>
      <c r="DV123" s="11"/>
      <c r="DW123" s="11"/>
      <c r="DX123" s="11"/>
      <c r="DY123" s="11"/>
      <c r="DZ123" s="11"/>
      <c r="EA123" s="11"/>
      <c r="EB123" s="11"/>
      <c r="EC123" s="11"/>
      <c r="ED123" s="11"/>
      <c r="EE123" s="11"/>
      <c r="EF123" s="11"/>
    </row>
    <row r="124" spans="1:136" ht="12.75" customHeight="1" x14ac:dyDescent="0.25">
      <c r="A124" s="425">
        <v>122</v>
      </c>
      <c r="B124" s="427" t="s">
        <v>1037</v>
      </c>
      <c r="C124" s="427" t="s">
        <v>1038</v>
      </c>
      <c r="D124" s="427" t="s">
        <v>132</v>
      </c>
      <c r="E124" s="79">
        <v>1</v>
      </c>
      <c r="F124" s="405"/>
      <c r="G124" s="274"/>
      <c r="H124" s="274"/>
      <c r="I124" s="274"/>
      <c r="J124" s="274"/>
      <c r="K124" s="11"/>
      <c r="L124" s="274"/>
      <c r="M124" s="274"/>
      <c r="N124" s="274"/>
      <c r="O124" s="48"/>
      <c r="P124" s="11"/>
      <c r="Q124" s="274"/>
      <c r="R124" s="274"/>
      <c r="S124" s="274"/>
      <c r="T124" s="11"/>
      <c r="U124" s="11"/>
      <c r="V124" s="11"/>
      <c r="W124" s="11"/>
      <c r="X124" s="11"/>
      <c r="Y124" s="11"/>
      <c r="Z124" s="48"/>
      <c r="AA124" s="52"/>
      <c r="AB124" s="52"/>
      <c r="AC124" s="118"/>
      <c r="AD124" s="5"/>
      <c r="AE124" s="52"/>
      <c r="AF124" s="113"/>
      <c r="AG124" s="113"/>
      <c r="AH124" s="113"/>
      <c r="AI124" s="52"/>
      <c r="AJ124" s="11"/>
      <c r="AK124" s="269"/>
      <c r="AL124" s="269"/>
      <c r="AM124" s="116"/>
      <c r="AN124" s="301"/>
      <c r="AO124" s="302"/>
      <c r="AP124" s="11"/>
      <c r="AQ124" s="11"/>
      <c r="AR124" s="11"/>
      <c r="AS124" s="11"/>
      <c r="AT124" s="11"/>
      <c r="AU124" s="118">
        <v>1153286</v>
      </c>
      <c r="AV124" s="118">
        <v>219124</v>
      </c>
      <c r="AW124" s="118">
        <v>1372410</v>
      </c>
      <c r="AX124" s="52" t="s">
        <v>607</v>
      </c>
      <c r="AY124" s="52">
        <v>1070431000</v>
      </c>
      <c r="AZ124" s="11"/>
      <c r="BA124" s="11"/>
      <c r="BB124" s="11"/>
      <c r="BC124" s="11"/>
      <c r="BD124" s="11"/>
      <c r="BE124" s="274"/>
      <c r="BF124" s="274"/>
      <c r="BG124" s="274"/>
      <c r="BH124" s="11"/>
      <c r="BI124" s="11"/>
      <c r="BJ124" s="311"/>
      <c r="BK124" s="311"/>
      <c r="BL124" s="311"/>
      <c r="BM124" s="52"/>
      <c r="BN124" s="52"/>
      <c r="BO124" s="387"/>
      <c r="BP124" s="320"/>
      <c r="BQ124" s="320"/>
      <c r="BR124" s="76"/>
      <c r="BS124" s="4"/>
      <c r="BT124" s="11"/>
      <c r="BU124" s="11"/>
      <c r="BV124" s="11"/>
      <c r="BW124" s="11"/>
      <c r="BX124" s="11"/>
      <c r="BY124" s="232">
        <v>191000</v>
      </c>
      <c r="BZ124" s="232">
        <f>BY124*0.19</f>
        <v>36290</v>
      </c>
      <c r="CA124" s="232">
        <f>BY124+BZ124</f>
        <v>227290</v>
      </c>
      <c r="CB124" s="348" t="s">
        <v>767</v>
      </c>
      <c r="CC124" s="348" t="s">
        <v>1039</v>
      </c>
      <c r="CD124" s="11"/>
      <c r="CE124" s="11"/>
      <c r="CF124" s="11"/>
      <c r="CG124" s="11"/>
      <c r="CH124" s="11"/>
      <c r="CI124" s="11"/>
      <c r="CJ124" s="11"/>
      <c r="CK124" s="11"/>
      <c r="CL124" s="11"/>
      <c r="CM124" s="11"/>
      <c r="CN124" s="274"/>
      <c r="CO124" s="274"/>
      <c r="CP124" s="274"/>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8"/>
      <c r="DN124" s="118"/>
      <c r="DO124" s="118"/>
      <c r="DP124" s="52"/>
      <c r="DQ124" s="52"/>
      <c r="DR124" s="77"/>
      <c r="DS124" s="77"/>
      <c r="DT124" s="77"/>
      <c r="DU124" s="11"/>
      <c r="DV124" s="11"/>
      <c r="DW124" s="11"/>
      <c r="DX124" s="11"/>
      <c r="DY124" s="11"/>
      <c r="DZ124" s="11"/>
      <c r="EA124" s="11"/>
      <c r="EB124" s="11"/>
      <c r="EC124" s="11"/>
      <c r="ED124" s="11"/>
      <c r="EE124" s="11"/>
      <c r="EF124" s="11"/>
    </row>
    <row r="125" spans="1:136" ht="27" x14ac:dyDescent="0.25">
      <c r="A125" s="425">
        <v>123</v>
      </c>
      <c r="B125" s="427" t="s">
        <v>1040</v>
      </c>
      <c r="C125" s="427" t="s">
        <v>1041</v>
      </c>
      <c r="D125" s="427" t="s">
        <v>1042</v>
      </c>
      <c r="E125" s="79">
        <v>1</v>
      </c>
      <c r="F125" s="405"/>
      <c r="G125" s="274"/>
      <c r="H125" s="274"/>
      <c r="I125" s="274"/>
      <c r="J125" s="274"/>
      <c r="K125" s="11"/>
      <c r="L125" s="274"/>
      <c r="M125" s="274"/>
      <c r="N125" s="274"/>
      <c r="O125" s="48"/>
      <c r="P125" s="11"/>
      <c r="Q125" s="274"/>
      <c r="R125" s="274"/>
      <c r="S125" s="274"/>
      <c r="T125" s="11"/>
      <c r="U125" s="11"/>
      <c r="V125" s="11"/>
      <c r="W125" s="11"/>
      <c r="X125" s="11"/>
      <c r="Y125" s="11"/>
      <c r="Z125" s="48"/>
      <c r="AA125" s="52"/>
      <c r="AB125" s="52"/>
      <c r="AC125" s="118"/>
      <c r="AD125" s="5"/>
      <c r="AE125" s="52"/>
      <c r="AF125" s="113"/>
      <c r="AG125" s="113"/>
      <c r="AH125" s="113"/>
      <c r="AI125" s="52"/>
      <c r="AJ125" s="11"/>
      <c r="AK125" s="269"/>
      <c r="AL125" s="269"/>
      <c r="AM125" s="116"/>
      <c r="AN125" s="301"/>
      <c r="AO125" s="302"/>
      <c r="AP125" s="11"/>
      <c r="AQ125" s="11"/>
      <c r="AR125" s="11"/>
      <c r="AS125" s="11"/>
      <c r="AT125" s="11"/>
      <c r="AU125" s="118">
        <v>1917</v>
      </c>
      <c r="AV125" s="118">
        <v>364</v>
      </c>
      <c r="AW125" s="118">
        <v>2281</v>
      </c>
      <c r="AX125" s="52" t="s">
        <v>607</v>
      </c>
      <c r="AY125" s="52" t="s">
        <v>1043</v>
      </c>
      <c r="AZ125" s="11"/>
      <c r="BA125" s="11"/>
      <c r="BB125" s="11"/>
      <c r="BC125" s="11"/>
      <c r="BD125" s="11"/>
      <c r="BE125" s="274"/>
      <c r="BF125" s="274"/>
      <c r="BG125" s="274"/>
      <c r="BH125" s="11"/>
      <c r="BI125" s="11"/>
      <c r="BJ125" s="311"/>
      <c r="BK125" s="311"/>
      <c r="BL125" s="311"/>
      <c r="BM125" s="52"/>
      <c r="BN125" s="52"/>
      <c r="BO125" s="387"/>
      <c r="BP125" s="320"/>
      <c r="BQ125" s="320"/>
      <c r="BR125" s="76"/>
      <c r="BS125" s="4"/>
      <c r="BT125" s="11"/>
      <c r="BU125" s="11"/>
      <c r="BV125" s="11"/>
      <c r="BW125" s="11"/>
      <c r="BX125" s="11"/>
      <c r="BY125" s="348"/>
      <c r="BZ125" s="348"/>
      <c r="CA125" s="348"/>
      <c r="CB125" s="348"/>
      <c r="CC125" s="348"/>
      <c r="CD125" s="11"/>
      <c r="CE125" s="11"/>
      <c r="CF125" s="11"/>
      <c r="CG125" s="11"/>
      <c r="CH125" s="11"/>
      <c r="CI125" s="11"/>
      <c r="CJ125" s="11"/>
      <c r="CK125" s="11"/>
      <c r="CL125" s="11"/>
      <c r="CM125" s="11"/>
      <c r="CN125" s="274"/>
      <c r="CO125" s="274"/>
      <c r="CP125" s="274"/>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8"/>
      <c r="DN125" s="118"/>
      <c r="DO125" s="118"/>
      <c r="DP125" s="52"/>
      <c r="DQ125" s="52"/>
      <c r="DR125" s="77"/>
      <c r="DS125" s="77"/>
      <c r="DT125" s="77"/>
      <c r="DU125" s="11"/>
      <c r="DV125" s="11"/>
      <c r="DW125" s="11"/>
      <c r="DX125" s="11"/>
      <c r="DY125" s="11"/>
      <c r="DZ125" s="11"/>
      <c r="EA125" s="11"/>
      <c r="EB125" s="11"/>
      <c r="EC125" s="11"/>
      <c r="ED125" s="11"/>
      <c r="EE125" s="11"/>
      <c r="EF125" s="11"/>
    </row>
    <row r="126" spans="1:136" ht="12.75" customHeight="1" x14ac:dyDescent="0.25">
      <c r="A126" s="425">
        <v>124</v>
      </c>
      <c r="B126" s="427" t="s">
        <v>1044</v>
      </c>
      <c r="C126" s="427" t="s">
        <v>1045</v>
      </c>
      <c r="D126" s="427" t="s">
        <v>1046</v>
      </c>
      <c r="E126" s="79">
        <v>1</v>
      </c>
      <c r="F126" s="406">
        <v>1823729.9780000001</v>
      </c>
      <c r="G126" s="274"/>
      <c r="H126" s="274"/>
      <c r="I126" s="274"/>
      <c r="J126" s="274"/>
      <c r="K126" s="11"/>
      <c r="L126" s="274"/>
      <c r="M126" s="274"/>
      <c r="N126" s="274"/>
      <c r="O126" s="48"/>
      <c r="P126" s="11"/>
      <c r="Q126" s="274"/>
      <c r="R126" s="274"/>
      <c r="S126" s="274"/>
      <c r="T126" s="11"/>
      <c r="U126" s="11"/>
      <c r="V126" s="11"/>
      <c r="W126" s="11"/>
      <c r="X126" s="11"/>
      <c r="Y126" s="11"/>
      <c r="Z126" s="48"/>
      <c r="AA126" s="52"/>
      <c r="AB126" s="52"/>
      <c r="AC126" s="118"/>
      <c r="AD126" s="5"/>
      <c r="AE126" s="52"/>
      <c r="AF126" s="113"/>
      <c r="AG126" s="113"/>
      <c r="AH126" s="113"/>
      <c r="AI126" s="52"/>
      <c r="AJ126" s="11"/>
      <c r="AK126" s="269"/>
      <c r="AL126" s="269"/>
      <c r="AM126" s="116"/>
      <c r="AN126" s="301"/>
      <c r="AO126" s="302"/>
      <c r="AP126" s="11"/>
      <c r="AQ126" s="11"/>
      <c r="AR126" s="11"/>
      <c r="AS126" s="11"/>
      <c r="AT126" s="11"/>
      <c r="AU126" s="118"/>
      <c r="AV126" s="118"/>
      <c r="AW126" s="118"/>
      <c r="AX126" s="52"/>
      <c r="AY126" s="52"/>
      <c r="AZ126" s="11"/>
      <c r="BA126" s="11"/>
      <c r="BB126" s="11"/>
      <c r="BC126" s="11"/>
      <c r="BD126" s="11"/>
      <c r="BE126" s="274"/>
      <c r="BF126" s="274"/>
      <c r="BG126" s="274"/>
      <c r="BH126" s="11"/>
      <c r="BI126" s="11"/>
      <c r="BJ126" s="311"/>
      <c r="BK126" s="311"/>
      <c r="BL126" s="311"/>
      <c r="BM126" s="52"/>
      <c r="BN126" s="52"/>
      <c r="BO126" s="387"/>
      <c r="BP126" s="320"/>
      <c r="BQ126" s="320"/>
      <c r="BR126" s="76"/>
      <c r="BS126" s="4"/>
      <c r="BT126" s="11"/>
      <c r="BU126" s="11"/>
      <c r="BV126" s="11"/>
      <c r="BW126" s="11"/>
      <c r="BX126" s="11"/>
      <c r="BY126" s="348"/>
      <c r="BZ126" s="348"/>
      <c r="CA126" s="348"/>
      <c r="CB126" s="348"/>
      <c r="CC126" s="348"/>
      <c r="CD126" s="11"/>
      <c r="CE126" s="11"/>
      <c r="CF126" s="11"/>
      <c r="CG126" s="11"/>
      <c r="CH126" s="11"/>
      <c r="CI126" s="11"/>
      <c r="CJ126" s="11"/>
      <c r="CK126" s="11"/>
      <c r="CL126" s="11"/>
      <c r="CM126" s="11"/>
      <c r="CN126" s="274"/>
      <c r="CO126" s="274"/>
      <c r="CP126" s="274"/>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8"/>
      <c r="DN126" s="118"/>
      <c r="DO126" s="118"/>
      <c r="DP126" s="52"/>
      <c r="DQ126" s="52"/>
      <c r="DR126" s="77"/>
      <c r="DS126" s="77"/>
      <c r="DT126" s="77"/>
      <c r="DU126" s="11"/>
      <c r="DV126" s="11"/>
      <c r="DW126" s="11"/>
      <c r="DX126" s="11"/>
      <c r="DY126" s="11"/>
      <c r="DZ126" s="11"/>
      <c r="EA126" s="11"/>
      <c r="EB126" s="11"/>
      <c r="EC126" s="11"/>
      <c r="ED126" s="11"/>
      <c r="EE126" s="11"/>
      <c r="EF126" s="11"/>
    </row>
    <row r="127" spans="1:136" ht="27" x14ac:dyDescent="0.25">
      <c r="A127" s="425">
        <v>125</v>
      </c>
      <c r="B127" s="427" t="s">
        <v>1047</v>
      </c>
      <c r="C127" s="427" t="s">
        <v>1048</v>
      </c>
      <c r="D127" s="427" t="s">
        <v>1049</v>
      </c>
      <c r="E127" s="79">
        <v>1</v>
      </c>
      <c r="F127" s="406">
        <v>1647767.058</v>
      </c>
      <c r="G127" s="274"/>
      <c r="H127" s="274"/>
      <c r="I127" s="274"/>
      <c r="J127" s="274"/>
      <c r="K127" s="11"/>
      <c r="L127" s="274"/>
      <c r="M127" s="274"/>
      <c r="N127" s="274"/>
      <c r="O127" s="48"/>
      <c r="P127" s="11"/>
      <c r="Q127" s="274"/>
      <c r="R127" s="274"/>
      <c r="S127" s="274"/>
      <c r="T127" s="11"/>
      <c r="U127" s="11"/>
      <c r="V127" s="11"/>
      <c r="W127" s="11"/>
      <c r="X127" s="11"/>
      <c r="Y127" s="11"/>
      <c r="Z127" s="48"/>
      <c r="AA127" s="52"/>
      <c r="AB127" s="52"/>
      <c r="AC127" s="118"/>
      <c r="AD127" s="5"/>
      <c r="AE127" s="52"/>
      <c r="AF127" s="113"/>
      <c r="AG127" s="113"/>
      <c r="AH127" s="113"/>
      <c r="AI127" s="52"/>
      <c r="AJ127" s="11"/>
      <c r="AK127" s="269"/>
      <c r="AL127" s="269"/>
      <c r="AM127" s="116"/>
      <c r="AN127" s="301"/>
      <c r="AO127" s="302"/>
      <c r="AP127" s="11"/>
      <c r="AQ127" s="11"/>
      <c r="AR127" s="11"/>
      <c r="AS127" s="11"/>
      <c r="AT127" s="11"/>
      <c r="AU127" s="118"/>
      <c r="AV127" s="118"/>
      <c r="AW127" s="118"/>
      <c r="AX127" s="52"/>
      <c r="AY127" s="52"/>
      <c r="AZ127" s="11"/>
      <c r="BA127" s="11"/>
      <c r="BB127" s="11"/>
      <c r="BC127" s="11"/>
      <c r="BD127" s="11"/>
      <c r="BE127" s="274"/>
      <c r="BF127" s="274"/>
      <c r="BG127" s="274"/>
      <c r="BH127" s="11"/>
      <c r="BI127" s="11"/>
      <c r="BJ127" s="311"/>
      <c r="BK127" s="311"/>
      <c r="BL127" s="311"/>
      <c r="BM127" s="52"/>
      <c r="BN127" s="52"/>
      <c r="BO127" s="387"/>
      <c r="BP127" s="320"/>
      <c r="BQ127" s="320"/>
      <c r="BR127" s="76"/>
      <c r="BS127" s="4"/>
      <c r="BT127" s="11"/>
      <c r="BU127" s="11"/>
      <c r="BV127" s="11"/>
      <c r="BW127" s="11"/>
      <c r="BX127" s="11"/>
      <c r="BY127" s="348"/>
      <c r="BZ127" s="348"/>
      <c r="CA127" s="348"/>
      <c r="CB127" s="348"/>
      <c r="CC127" s="348"/>
      <c r="CD127" s="11"/>
      <c r="CE127" s="11"/>
      <c r="CF127" s="11"/>
      <c r="CG127" s="11"/>
      <c r="CH127" s="11"/>
      <c r="CI127" s="11"/>
      <c r="CJ127" s="11"/>
      <c r="CK127" s="11"/>
      <c r="CL127" s="11"/>
      <c r="CM127" s="11"/>
      <c r="CN127" s="274"/>
      <c r="CO127" s="274"/>
      <c r="CP127" s="274"/>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8"/>
      <c r="DN127" s="118"/>
      <c r="DO127" s="118"/>
      <c r="DP127" s="52"/>
      <c r="DQ127" s="52"/>
      <c r="DR127" s="77"/>
      <c r="DS127" s="77"/>
      <c r="DT127" s="77"/>
      <c r="DU127" s="11"/>
      <c r="DV127" s="11"/>
      <c r="DW127" s="11"/>
      <c r="DX127" s="11"/>
      <c r="DY127" s="11"/>
      <c r="DZ127" s="11"/>
      <c r="EA127" s="11"/>
      <c r="EB127" s="11"/>
      <c r="EC127" s="11"/>
      <c r="ED127" s="11"/>
      <c r="EE127" s="11"/>
      <c r="EF127" s="11"/>
    </row>
    <row r="128" spans="1:136" ht="12.75" customHeight="1" x14ac:dyDescent="0.25">
      <c r="A128" s="425">
        <v>126</v>
      </c>
      <c r="B128" s="427" t="s">
        <v>1050</v>
      </c>
      <c r="C128" s="427" t="s">
        <v>1051</v>
      </c>
      <c r="D128" s="427" t="s">
        <v>1046</v>
      </c>
      <c r="E128" s="79">
        <v>1</v>
      </c>
      <c r="F128" s="406">
        <v>2039912.9939999999</v>
      </c>
      <c r="G128" s="274"/>
      <c r="H128" s="274"/>
      <c r="I128" s="274"/>
      <c r="J128" s="274"/>
      <c r="K128" s="11"/>
      <c r="L128" s="274"/>
      <c r="M128" s="274"/>
      <c r="N128" s="274"/>
      <c r="O128" s="48"/>
      <c r="P128" s="11"/>
      <c r="Q128" s="274"/>
      <c r="R128" s="274"/>
      <c r="S128" s="274"/>
      <c r="T128" s="11"/>
      <c r="U128" s="11"/>
      <c r="V128" s="11"/>
      <c r="W128" s="11"/>
      <c r="X128" s="11"/>
      <c r="Y128" s="11"/>
      <c r="Z128" s="48"/>
      <c r="AA128" s="52"/>
      <c r="AB128" s="52"/>
      <c r="AC128" s="118"/>
      <c r="AD128" s="5"/>
      <c r="AE128" s="52"/>
      <c r="AF128" s="113"/>
      <c r="AG128" s="113"/>
      <c r="AH128" s="113"/>
      <c r="AI128" s="52"/>
      <c r="AJ128" s="11"/>
      <c r="AK128" s="269"/>
      <c r="AL128" s="269"/>
      <c r="AM128" s="116"/>
      <c r="AN128" s="301"/>
      <c r="AO128" s="302"/>
      <c r="AP128" s="11"/>
      <c r="AQ128" s="11"/>
      <c r="AR128" s="11"/>
      <c r="AS128" s="11"/>
      <c r="AT128" s="11"/>
      <c r="AU128" s="118"/>
      <c r="AV128" s="118"/>
      <c r="AW128" s="118"/>
      <c r="AX128" s="52"/>
      <c r="AY128" s="52"/>
      <c r="AZ128" s="11"/>
      <c r="BA128" s="11"/>
      <c r="BB128" s="11"/>
      <c r="BC128" s="11"/>
      <c r="BD128" s="11"/>
      <c r="BE128" s="274"/>
      <c r="BF128" s="274"/>
      <c r="BG128" s="274"/>
      <c r="BH128" s="11"/>
      <c r="BI128" s="11"/>
      <c r="BJ128" s="311"/>
      <c r="BK128" s="311"/>
      <c r="BL128" s="311"/>
      <c r="BM128" s="52"/>
      <c r="BN128" s="52"/>
      <c r="BO128" s="387"/>
      <c r="BP128" s="320"/>
      <c r="BQ128" s="320"/>
      <c r="BR128" s="76"/>
      <c r="BS128" s="4"/>
      <c r="BT128" s="11"/>
      <c r="BU128" s="11"/>
      <c r="BV128" s="11"/>
      <c r="BW128" s="11"/>
      <c r="BX128" s="11"/>
      <c r="BY128" s="348"/>
      <c r="BZ128" s="348"/>
      <c r="CA128" s="348"/>
      <c r="CB128" s="348"/>
      <c r="CC128" s="348"/>
      <c r="CD128" s="11"/>
      <c r="CE128" s="11"/>
      <c r="CF128" s="11"/>
      <c r="CG128" s="11"/>
      <c r="CH128" s="11"/>
      <c r="CI128" s="11"/>
      <c r="CJ128" s="11"/>
      <c r="CK128" s="11"/>
      <c r="CL128" s="11"/>
      <c r="CM128" s="11"/>
      <c r="CN128" s="274"/>
      <c r="CO128" s="274"/>
      <c r="CP128" s="274"/>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8"/>
      <c r="DN128" s="118"/>
      <c r="DO128" s="118"/>
      <c r="DP128" s="52"/>
      <c r="DQ128" s="52"/>
      <c r="DR128" s="77"/>
      <c r="DS128" s="77"/>
      <c r="DT128" s="77"/>
      <c r="DU128" s="11"/>
      <c r="DV128" s="11"/>
      <c r="DW128" s="11"/>
      <c r="DX128" s="11"/>
      <c r="DY128" s="11"/>
      <c r="DZ128" s="11"/>
      <c r="EA128" s="11"/>
      <c r="EB128" s="11"/>
      <c r="EC128" s="11"/>
      <c r="ED128" s="11"/>
      <c r="EE128" s="11"/>
      <c r="EF128" s="11"/>
    </row>
    <row r="129" spans="1:136" ht="27" x14ac:dyDescent="0.25">
      <c r="A129" s="425">
        <v>127</v>
      </c>
      <c r="B129" s="427" t="s">
        <v>1052</v>
      </c>
      <c r="C129" s="427" t="s">
        <v>1053</v>
      </c>
      <c r="D129" s="427" t="s">
        <v>132</v>
      </c>
      <c r="E129" s="79">
        <v>1</v>
      </c>
      <c r="F129" s="405">
        <v>169122.9688</v>
      </c>
      <c r="G129" s="274"/>
      <c r="H129" s="274"/>
      <c r="I129" s="274"/>
      <c r="J129" s="274"/>
      <c r="K129" s="11"/>
      <c r="L129" s="274"/>
      <c r="M129" s="274"/>
      <c r="N129" s="274"/>
      <c r="O129" s="48"/>
      <c r="P129" s="11"/>
      <c r="Q129" s="274"/>
      <c r="R129" s="274"/>
      <c r="S129" s="274"/>
      <c r="T129" s="11"/>
      <c r="U129" s="11"/>
      <c r="V129" s="11"/>
      <c r="W129" s="11"/>
      <c r="X129" s="11"/>
      <c r="Y129" s="11"/>
      <c r="Z129" s="48"/>
      <c r="AA129" s="52"/>
      <c r="AB129" s="52"/>
      <c r="AC129" s="118"/>
      <c r="AD129" s="5"/>
      <c r="AE129" s="52"/>
      <c r="AF129" s="113"/>
      <c r="AG129" s="113"/>
      <c r="AH129" s="113"/>
      <c r="AI129" s="52"/>
      <c r="AJ129" s="11"/>
      <c r="AK129" s="269"/>
      <c r="AL129" s="269"/>
      <c r="AM129" s="116"/>
      <c r="AN129" s="301"/>
      <c r="AO129" s="302"/>
      <c r="AP129" s="11"/>
      <c r="AQ129" s="11"/>
      <c r="AR129" s="11"/>
      <c r="AS129" s="11"/>
      <c r="AT129" s="11"/>
      <c r="AU129" s="118"/>
      <c r="AV129" s="118"/>
      <c r="AW129" s="118"/>
      <c r="AX129" s="52"/>
      <c r="AY129" s="52"/>
      <c r="AZ129" s="11"/>
      <c r="BA129" s="11"/>
      <c r="BB129" s="11"/>
      <c r="BC129" s="11"/>
      <c r="BD129" s="11"/>
      <c r="BE129" s="274"/>
      <c r="BF129" s="274"/>
      <c r="BG129" s="274"/>
      <c r="BH129" s="11"/>
      <c r="BI129" s="11"/>
      <c r="BJ129" s="311"/>
      <c r="BK129" s="311"/>
      <c r="BL129" s="311"/>
      <c r="BM129" s="52"/>
      <c r="BN129" s="52"/>
      <c r="BO129" s="387"/>
      <c r="BP129" s="320"/>
      <c r="BQ129" s="320"/>
      <c r="BR129" s="76"/>
      <c r="BS129" s="4"/>
      <c r="BT129" s="11"/>
      <c r="BU129" s="11"/>
      <c r="BV129" s="11"/>
      <c r="BW129" s="11"/>
      <c r="BX129" s="11"/>
      <c r="BY129" s="348"/>
      <c r="BZ129" s="348"/>
      <c r="CA129" s="348"/>
      <c r="CB129" s="348"/>
      <c r="CC129" s="348"/>
      <c r="CD129" s="11"/>
      <c r="CE129" s="11"/>
      <c r="CF129" s="11"/>
      <c r="CG129" s="11"/>
      <c r="CH129" s="11"/>
      <c r="CI129" s="11"/>
      <c r="CJ129" s="11"/>
      <c r="CK129" s="11"/>
      <c r="CL129" s="11"/>
      <c r="CM129" s="11"/>
      <c r="CN129" s="274"/>
      <c r="CO129" s="274"/>
      <c r="CP129" s="274"/>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8"/>
      <c r="DN129" s="118"/>
      <c r="DO129" s="118"/>
      <c r="DP129" s="52"/>
      <c r="DQ129" s="52"/>
      <c r="DR129" s="77"/>
      <c r="DS129" s="77"/>
      <c r="DT129" s="77"/>
      <c r="DU129" s="11"/>
      <c r="DV129" s="11"/>
      <c r="DW129" s="11"/>
      <c r="DX129" s="11"/>
      <c r="DY129" s="11"/>
      <c r="DZ129" s="11"/>
      <c r="EA129" s="11"/>
      <c r="EB129" s="11"/>
      <c r="EC129" s="11"/>
      <c r="ED129" s="11"/>
      <c r="EE129" s="11"/>
      <c r="EF129" s="11"/>
    </row>
    <row r="130" spans="1:136" ht="12.75" customHeight="1" x14ac:dyDescent="0.25">
      <c r="A130" s="425">
        <v>128</v>
      </c>
      <c r="B130" s="427" t="s">
        <v>1054</v>
      </c>
      <c r="C130" s="427" t="s">
        <v>622</v>
      </c>
      <c r="D130" s="427" t="s">
        <v>1055</v>
      </c>
      <c r="E130" s="79">
        <v>1</v>
      </c>
      <c r="F130" s="405">
        <v>663353.80339999998</v>
      </c>
      <c r="G130" s="274"/>
      <c r="H130" s="274"/>
      <c r="I130" s="274"/>
      <c r="J130" s="274"/>
      <c r="K130" s="11"/>
      <c r="L130" s="274"/>
      <c r="M130" s="274"/>
      <c r="N130" s="274"/>
      <c r="O130" s="48"/>
      <c r="P130" s="11"/>
      <c r="Q130" s="274"/>
      <c r="R130" s="274"/>
      <c r="S130" s="274"/>
      <c r="T130" s="11"/>
      <c r="U130" s="11"/>
      <c r="V130" s="11"/>
      <c r="W130" s="11"/>
      <c r="X130" s="11"/>
      <c r="Y130" s="11"/>
      <c r="Z130" s="48"/>
      <c r="AA130" s="52"/>
      <c r="AB130" s="52"/>
      <c r="AC130" s="118"/>
      <c r="AD130" s="5"/>
      <c r="AE130" s="52"/>
      <c r="AF130" s="113"/>
      <c r="AG130" s="113"/>
      <c r="AH130" s="113"/>
      <c r="AI130" s="52"/>
      <c r="AJ130" s="11"/>
      <c r="AK130" s="269"/>
      <c r="AL130" s="269"/>
      <c r="AM130" s="116"/>
      <c r="AN130" s="301"/>
      <c r="AO130" s="302"/>
      <c r="AP130" s="11"/>
      <c r="AQ130" s="11"/>
      <c r="AR130" s="11"/>
      <c r="AS130" s="11"/>
      <c r="AT130" s="11"/>
      <c r="AU130" s="118"/>
      <c r="AV130" s="118"/>
      <c r="AW130" s="118"/>
      <c r="AX130" s="52"/>
      <c r="AY130" s="52"/>
      <c r="AZ130" s="11"/>
      <c r="BA130" s="11"/>
      <c r="BB130" s="11"/>
      <c r="BC130" s="11"/>
      <c r="BD130" s="11"/>
      <c r="BE130" s="274"/>
      <c r="BF130" s="274"/>
      <c r="BG130" s="274"/>
      <c r="BH130" s="11"/>
      <c r="BI130" s="11"/>
      <c r="BJ130" s="311"/>
      <c r="BK130" s="311"/>
      <c r="BL130" s="311"/>
      <c r="BM130" s="52"/>
      <c r="BN130" s="52"/>
      <c r="BO130" s="387"/>
      <c r="BP130" s="320"/>
      <c r="BQ130" s="320"/>
      <c r="BR130" s="76"/>
      <c r="BS130" s="4"/>
      <c r="BT130" s="11"/>
      <c r="BU130" s="11"/>
      <c r="BV130" s="11"/>
      <c r="BW130" s="11"/>
      <c r="BX130" s="11"/>
      <c r="BY130" s="348"/>
      <c r="BZ130" s="348"/>
      <c r="CA130" s="348"/>
      <c r="CB130" s="348"/>
      <c r="CC130" s="348"/>
      <c r="CD130" s="11"/>
      <c r="CE130" s="11"/>
      <c r="CF130" s="11"/>
      <c r="CG130" s="11"/>
      <c r="CH130" s="11"/>
      <c r="CI130" s="11"/>
      <c r="CJ130" s="11"/>
      <c r="CK130" s="11"/>
      <c r="CL130" s="11"/>
      <c r="CM130" s="11"/>
      <c r="CN130" s="274"/>
      <c r="CO130" s="274"/>
      <c r="CP130" s="274"/>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8"/>
      <c r="DN130" s="118"/>
      <c r="DO130" s="118"/>
      <c r="DP130" s="52"/>
      <c r="DQ130" s="52"/>
      <c r="DR130" s="77"/>
      <c r="DS130" s="77"/>
      <c r="DT130" s="77"/>
      <c r="DU130" s="11"/>
      <c r="DV130" s="11"/>
      <c r="DW130" s="11"/>
      <c r="DX130" s="11"/>
      <c r="DY130" s="11"/>
      <c r="DZ130" s="11"/>
      <c r="EA130" s="11"/>
      <c r="EB130" s="11"/>
      <c r="EC130" s="11"/>
      <c r="ED130" s="11"/>
      <c r="EE130" s="11"/>
      <c r="EF130" s="11"/>
    </row>
    <row r="131" spans="1:136" ht="67.5" x14ac:dyDescent="0.25">
      <c r="A131" s="425">
        <v>129</v>
      </c>
      <c r="B131" s="427" t="s">
        <v>1056</v>
      </c>
      <c r="C131" s="427" t="s">
        <v>1057</v>
      </c>
      <c r="D131" s="427" t="s">
        <v>1058</v>
      </c>
      <c r="E131" s="79">
        <v>1</v>
      </c>
      <c r="F131" s="406">
        <v>3501662.108</v>
      </c>
      <c r="G131" s="274"/>
      <c r="H131" s="274"/>
      <c r="I131" s="274"/>
      <c r="J131" s="274"/>
      <c r="K131" s="11"/>
      <c r="L131" s="274"/>
      <c r="M131" s="274"/>
      <c r="N131" s="274"/>
      <c r="O131" s="48"/>
      <c r="P131" s="11"/>
      <c r="Q131" s="274"/>
      <c r="R131" s="274"/>
      <c r="S131" s="274"/>
      <c r="T131" s="11"/>
      <c r="U131" s="11"/>
      <c r="V131" s="11"/>
      <c r="W131" s="11"/>
      <c r="X131" s="11"/>
      <c r="Y131" s="11"/>
      <c r="Z131" s="48"/>
      <c r="AA131" s="52"/>
      <c r="AB131" s="52"/>
      <c r="AC131" s="118"/>
      <c r="AD131" s="5"/>
      <c r="AE131" s="52"/>
      <c r="AF131" s="113"/>
      <c r="AG131" s="113"/>
      <c r="AH131" s="113"/>
      <c r="AI131" s="52"/>
      <c r="AJ131" s="11"/>
      <c r="AK131" s="269">
        <v>2285000</v>
      </c>
      <c r="AL131" s="269">
        <v>434150</v>
      </c>
      <c r="AM131" s="116">
        <v>2719150</v>
      </c>
      <c r="AN131" s="301" t="s">
        <v>37</v>
      </c>
      <c r="AO131" s="302" t="s">
        <v>1059</v>
      </c>
      <c r="AP131" s="11"/>
      <c r="AQ131" s="11"/>
      <c r="AR131" s="11"/>
      <c r="AS131" s="11"/>
      <c r="AT131" s="11"/>
      <c r="AU131" s="118">
        <v>2406999</v>
      </c>
      <c r="AV131" s="118">
        <v>457330</v>
      </c>
      <c r="AW131" s="118">
        <v>2864328</v>
      </c>
      <c r="AX131" s="52" t="s">
        <v>607</v>
      </c>
      <c r="AY131" s="52" t="s">
        <v>1059</v>
      </c>
      <c r="AZ131" s="11"/>
      <c r="BA131" s="11"/>
      <c r="BB131" s="11"/>
      <c r="BC131" s="11"/>
      <c r="BD131" s="11"/>
      <c r="BE131" s="274">
        <v>4170000</v>
      </c>
      <c r="BF131" s="274">
        <v>792300</v>
      </c>
      <c r="BG131" s="274">
        <v>4962300</v>
      </c>
      <c r="BH131" s="11" t="s">
        <v>37</v>
      </c>
      <c r="BI131" s="11" t="s">
        <v>1059</v>
      </c>
      <c r="BJ131" s="311"/>
      <c r="BK131" s="311"/>
      <c r="BL131" s="311"/>
      <c r="BM131" s="52"/>
      <c r="BN131" s="52"/>
      <c r="BO131" s="387"/>
      <c r="BP131" s="320"/>
      <c r="BQ131" s="320"/>
      <c r="BR131" s="76"/>
      <c r="BS131" s="4"/>
      <c r="BT131" s="11"/>
      <c r="BU131" s="11"/>
      <c r="BV131" s="11"/>
      <c r="BW131" s="11"/>
      <c r="BX131" s="11"/>
      <c r="BY131" s="348"/>
      <c r="BZ131" s="348"/>
      <c r="CA131" s="348"/>
      <c r="CB131" s="348"/>
      <c r="CC131" s="348"/>
      <c r="CD131" s="11"/>
      <c r="CE131" s="11"/>
      <c r="CF131" s="11"/>
      <c r="CG131" s="11"/>
      <c r="CH131" s="11"/>
      <c r="CI131" s="11"/>
      <c r="CJ131" s="11"/>
      <c r="CK131" s="11"/>
      <c r="CL131" s="11"/>
      <c r="CM131" s="11"/>
      <c r="CN131" s="274"/>
      <c r="CO131" s="274"/>
      <c r="CP131" s="274"/>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8"/>
      <c r="DN131" s="118"/>
      <c r="DO131" s="118"/>
      <c r="DP131" s="52"/>
      <c r="DQ131" s="52"/>
      <c r="DR131" s="77"/>
      <c r="DS131" s="77"/>
      <c r="DT131" s="77"/>
      <c r="DU131" s="11"/>
      <c r="DV131" s="11"/>
      <c r="DW131" s="11"/>
      <c r="DX131" s="11"/>
      <c r="DY131" s="11"/>
      <c r="DZ131" s="11"/>
      <c r="EA131" s="11"/>
      <c r="EB131" s="11"/>
      <c r="EC131" s="11"/>
      <c r="ED131" s="11"/>
      <c r="EE131" s="11"/>
      <c r="EF131" s="11"/>
    </row>
    <row r="132" spans="1:136" ht="25.5" customHeight="1" x14ac:dyDescent="0.25">
      <c r="A132" s="425">
        <v>130</v>
      </c>
      <c r="B132" s="427" t="s">
        <v>1060</v>
      </c>
      <c r="C132" s="427" t="s">
        <v>1061</v>
      </c>
      <c r="D132" s="427" t="s">
        <v>1062</v>
      </c>
      <c r="E132" s="79">
        <v>1</v>
      </c>
      <c r="F132" s="405"/>
      <c r="G132" s="274"/>
      <c r="H132" s="274"/>
      <c r="I132" s="274"/>
      <c r="J132" s="274"/>
      <c r="K132" s="11"/>
      <c r="L132" s="274"/>
      <c r="M132" s="274"/>
      <c r="N132" s="274"/>
      <c r="O132" s="48"/>
      <c r="P132" s="11"/>
      <c r="Q132" s="274"/>
      <c r="R132" s="274"/>
      <c r="S132" s="274"/>
      <c r="T132" s="11"/>
      <c r="U132" s="11"/>
      <c r="V132" s="11"/>
      <c r="W132" s="11"/>
      <c r="X132" s="11"/>
      <c r="Y132" s="11"/>
      <c r="Z132" s="48"/>
      <c r="AA132" s="52"/>
      <c r="AB132" s="52"/>
      <c r="AC132" s="118"/>
      <c r="AD132" s="5"/>
      <c r="AE132" s="52"/>
      <c r="AF132" s="113"/>
      <c r="AG132" s="113"/>
      <c r="AH132" s="113"/>
      <c r="AI132" s="52"/>
      <c r="AJ132" s="11"/>
      <c r="AK132" s="269">
        <v>458000</v>
      </c>
      <c r="AL132" s="269">
        <v>87020</v>
      </c>
      <c r="AM132" s="116">
        <v>545020</v>
      </c>
      <c r="AN132" s="301" t="s">
        <v>88</v>
      </c>
      <c r="AO132" s="302">
        <v>1041140002</v>
      </c>
      <c r="AP132" s="11"/>
      <c r="AQ132" s="11"/>
      <c r="AR132" s="11"/>
      <c r="AS132" s="11"/>
      <c r="AT132" s="11"/>
      <c r="AU132" s="118">
        <v>594805</v>
      </c>
      <c r="AV132" s="118">
        <v>113013</v>
      </c>
      <c r="AW132" s="118">
        <v>707818</v>
      </c>
      <c r="AX132" s="52" t="s">
        <v>607</v>
      </c>
      <c r="AY132" s="52">
        <v>1041140002</v>
      </c>
      <c r="AZ132" s="11"/>
      <c r="BA132" s="11"/>
      <c r="BB132" s="11"/>
      <c r="BC132" s="11"/>
      <c r="BD132" s="11"/>
      <c r="BE132" s="274"/>
      <c r="BF132" s="274"/>
      <c r="BG132" s="274"/>
      <c r="BH132" s="11"/>
      <c r="BI132" s="11"/>
      <c r="BJ132" s="311"/>
      <c r="BK132" s="311"/>
      <c r="BL132" s="311"/>
      <c r="BM132" s="52"/>
      <c r="BN132" s="52"/>
      <c r="BO132" s="387"/>
      <c r="BP132" s="320"/>
      <c r="BQ132" s="320"/>
      <c r="BR132" s="76"/>
      <c r="BS132" s="4"/>
      <c r="BT132" s="11"/>
      <c r="BU132" s="11"/>
      <c r="BV132" s="11"/>
      <c r="BW132" s="11"/>
      <c r="BX132" s="11"/>
      <c r="BY132" s="348"/>
      <c r="BZ132" s="348"/>
      <c r="CA132" s="348"/>
      <c r="CB132" s="348"/>
      <c r="CC132" s="348"/>
      <c r="CD132" s="11"/>
      <c r="CE132" s="11"/>
      <c r="CF132" s="11"/>
      <c r="CG132" s="11"/>
      <c r="CH132" s="11"/>
      <c r="CI132" s="11"/>
      <c r="CJ132" s="11"/>
      <c r="CK132" s="11"/>
      <c r="CL132" s="11"/>
      <c r="CM132" s="11"/>
      <c r="CN132" s="274"/>
      <c r="CO132" s="274"/>
      <c r="CP132" s="274"/>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8"/>
      <c r="DN132" s="118"/>
      <c r="DO132" s="118"/>
      <c r="DP132" s="52"/>
      <c r="DQ132" s="52"/>
      <c r="DR132" s="77"/>
      <c r="DS132" s="77"/>
      <c r="DT132" s="77"/>
      <c r="DU132" s="11"/>
      <c r="DV132" s="11"/>
      <c r="DW132" s="11"/>
      <c r="DX132" s="11"/>
      <c r="DY132" s="11"/>
      <c r="DZ132" s="11"/>
      <c r="EA132" s="11"/>
      <c r="EB132" s="11"/>
      <c r="EC132" s="11"/>
      <c r="ED132" s="11"/>
      <c r="EE132" s="11"/>
      <c r="EF132" s="11"/>
    </row>
    <row r="133" spans="1:136" ht="27" x14ac:dyDescent="0.25">
      <c r="A133" s="425">
        <v>131</v>
      </c>
      <c r="B133" s="426" t="s">
        <v>1063</v>
      </c>
      <c r="C133" s="413" t="s">
        <v>1064</v>
      </c>
      <c r="D133" s="426" t="s">
        <v>558</v>
      </c>
      <c r="E133" s="79">
        <v>1</v>
      </c>
      <c r="F133" s="405"/>
      <c r="G133" s="274"/>
      <c r="H133" s="274"/>
      <c r="I133" s="274"/>
      <c r="J133" s="274"/>
      <c r="K133" s="11"/>
      <c r="L133" s="274"/>
      <c r="M133" s="274"/>
      <c r="N133" s="274"/>
      <c r="O133" s="48"/>
      <c r="P133" s="11"/>
      <c r="Q133" s="274"/>
      <c r="R133" s="274"/>
      <c r="S133" s="274"/>
      <c r="T133" s="11"/>
      <c r="U133" s="11"/>
      <c r="V133" s="11"/>
      <c r="W133" s="11"/>
      <c r="X133" s="11"/>
      <c r="Y133" s="11"/>
      <c r="Z133" s="48"/>
      <c r="AA133" s="52"/>
      <c r="AB133" s="52"/>
      <c r="AC133" s="118"/>
      <c r="AD133" s="5"/>
      <c r="AE133" s="52"/>
      <c r="AF133" s="113"/>
      <c r="AG133" s="113"/>
      <c r="AH133" s="113"/>
      <c r="AI133" s="52"/>
      <c r="AJ133" s="11"/>
      <c r="AK133" s="116">
        <v>477000</v>
      </c>
      <c r="AL133" s="269">
        <v>90630</v>
      </c>
      <c r="AM133" s="116">
        <v>567630</v>
      </c>
      <c r="AN133" s="305" t="s">
        <v>37</v>
      </c>
      <c r="AO133" s="306" t="s">
        <v>1065</v>
      </c>
      <c r="AP133" s="11"/>
      <c r="AQ133" s="11"/>
      <c r="AR133" s="11"/>
      <c r="AS133" s="11"/>
      <c r="AT133" s="11"/>
      <c r="AU133" s="118">
        <v>502468</v>
      </c>
      <c r="AV133" s="118">
        <v>95469</v>
      </c>
      <c r="AW133" s="118">
        <v>597936</v>
      </c>
      <c r="AX133" s="52" t="s">
        <v>607</v>
      </c>
      <c r="AY133" s="52" t="s">
        <v>1065</v>
      </c>
      <c r="AZ133" s="11"/>
      <c r="BA133" s="11"/>
      <c r="BB133" s="11"/>
      <c r="BC133" s="11"/>
      <c r="BD133" s="11"/>
      <c r="BE133" s="274">
        <v>871000</v>
      </c>
      <c r="BF133" s="274">
        <v>165490</v>
      </c>
      <c r="BG133" s="274">
        <v>1036490</v>
      </c>
      <c r="BH133" s="11" t="s">
        <v>37</v>
      </c>
      <c r="BI133" s="11" t="s">
        <v>1065</v>
      </c>
      <c r="BJ133" s="311"/>
      <c r="BK133" s="311"/>
      <c r="BL133" s="311"/>
      <c r="BM133" s="52"/>
      <c r="BN133" s="52"/>
      <c r="BO133" s="387"/>
      <c r="BP133" s="320"/>
      <c r="BQ133" s="320"/>
      <c r="BR133" s="76"/>
      <c r="BS133" s="4"/>
      <c r="BT133" s="11"/>
      <c r="BU133" s="11"/>
      <c r="BV133" s="11"/>
      <c r="BW133" s="11"/>
      <c r="BX133" s="11"/>
      <c r="BY133" s="348"/>
      <c r="BZ133" s="348"/>
      <c r="CA133" s="348"/>
      <c r="CB133" s="348"/>
      <c r="CC133" s="348"/>
      <c r="CD133" s="11"/>
      <c r="CE133" s="11"/>
      <c r="CF133" s="11"/>
      <c r="CG133" s="11"/>
      <c r="CH133" s="11"/>
      <c r="CI133" s="11"/>
      <c r="CJ133" s="11"/>
      <c r="CK133" s="11"/>
      <c r="CL133" s="11"/>
      <c r="CM133" s="11"/>
      <c r="CN133" s="274"/>
      <c r="CO133" s="274"/>
      <c r="CP133" s="274"/>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8"/>
      <c r="DN133" s="118"/>
      <c r="DO133" s="118"/>
      <c r="DP133" s="52"/>
      <c r="DQ133" s="52"/>
      <c r="DR133" s="77"/>
      <c r="DS133" s="77"/>
      <c r="DT133" s="77"/>
      <c r="DU133" s="11"/>
      <c r="DV133" s="11"/>
      <c r="DW133" s="11"/>
      <c r="DX133" s="11"/>
      <c r="DY133" s="11"/>
      <c r="DZ133" s="11"/>
      <c r="EA133" s="11"/>
      <c r="EB133" s="11"/>
      <c r="EC133" s="11"/>
      <c r="ED133" s="11"/>
      <c r="EE133" s="11"/>
      <c r="EF133" s="11"/>
    </row>
    <row r="134" spans="1:136" ht="25.5" customHeight="1" x14ac:dyDescent="0.25">
      <c r="A134" s="425">
        <v>132</v>
      </c>
      <c r="B134" s="427" t="s">
        <v>1066</v>
      </c>
      <c r="C134" s="427" t="s">
        <v>1067</v>
      </c>
      <c r="D134" s="427" t="s">
        <v>1068</v>
      </c>
      <c r="E134" s="79">
        <v>1</v>
      </c>
      <c r="F134" s="405"/>
      <c r="G134" s="274">
        <v>145000</v>
      </c>
      <c r="H134" s="274">
        <v>27550</v>
      </c>
      <c r="I134" s="274">
        <v>172550</v>
      </c>
      <c r="J134" s="274" t="s">
        <v>45</v>
      </c>
      <c r="K134" s="11" t="s">
        <v>1069</v>
      </c>
      <c r="L134" s="274"/>
      <c r="M134" s="274"/>
      <c r="N134" s="274"/>
      <c r="O134" s="48"/>
      <c r="P134" s="11"/>
      <c r="Q134" s="274"/>
      <c r="R134" s="274"/>
      <c r="S134" s="274"/>
      <c r="T134" s="11"/>
      <c r="U134" s="11"/>
      <c r="V134" s="11"/>
      <c r="W134" s="11"/>
      <c r="X134" s="11"/>
      <c r="Y134" s="11"/>
      <c r="Z134" s="48"/>
      <c r="AA134" s="52"/>
      <c r="AB134" s="52"/>
      <c r="AC134" s="118"/>
      <c r="AD134" s="5"/>
      <c r="AE134" s="52"/>
      <c r="AF134" s="113">
        <v>109000</v>
      </c>
      <c r="AG134" s="113">
        <f>AF134*0.19</f>
        <v>20710</v>
      </c>
      <c r="AH134" s="113">
        <f>AF134+AG134</f>
        <v>129710</v>
      </c>
      <c r="AI134" s="277" t="s">
        <v>628</v>
      </c>
      <c r="AJ134" s="33" t="s">
        <v>1070</v>
      </c>
      <c r="AK134" s="269">
        <v>88350</v>
      </c>
      <c r="AL134" s="269">
        <v>16786.5</v>
      </c>
      <c r="AM134" s="116">
        <v>105136.5</v>
      </c>
      <c r="AN134" s="301" t="s">
        <v>88</v>
      </c>
      <c r="AO134" s="302">
        <v>1063291000</v>
      </c>
      <c r="AP134" s="11"/>
      <c r="AQ134" s="11"/>
      <c r="AR134" s="11"/>
      <c r="AS134" s="11"/>
      <c r="AT134" s="11"/>
      <c r="AU134" s="118">
        <v>112352</v>
      </c>
      <c r="AV134" s="118">
        <v>21347</v>
      </c>
      <c r="AW134" s="118">
        <v>133699</v>
      </c>
      <c r="AX134" s="52" t="s">
        <v>607</v>
      </c>
      <c r="AY134" s="52">
        <v>1063291000</v>
      </c>
      <c r="AZ134" s="11"/>
      <c r="BA134" s="11"/>
      <c r="BB134" s="11"/>
      <c r="BC134" s="11"/>
      <c r="BD134" s="11"/>
      <c r="BE134" s="274">
        <v>194000</v>
      </c>
      <c r="BF134" s="274">
        <v>36860</v>
      </c>
      <c r="BG134" s="274">
        <v>230860</v>
      </c>
      <c r="BH134" s="11" t="s">
        <v>88</v>
      </c>
      <c r="BI134" s="11">
        <v>1063291000</v>
      </c>
      <c r="BJ134" s="311"/>
      <c r="BK134" s="311"/>
      <c r="BL134" s="311"/>
      <c r="BM134" s="52"/>
      <c r="BN134" s="52"/>
      <c r="BO134" s="387"/>
      <c r="BP134" s="320"/>
      <c r="BQ134" s="320"/>
      <c r="BR134" s="76"/>
      <c r="BS134" s="4"/>
      <c r="BT134" s="11"/>
      <c r="BU134" s="11"/>
      <c r="BV134" s="11"/>
      <c r="BW134" s="11"/>
      <c r="BX134" s="11"/>
      <c r="BY134" s="348"/>
      <c r="BZ134" s="348"/>
      <c r="CA134" s="348"/>
      <c r="CB134" s="348"/>
      <c r="CC134" s="348"/>
      <c r="CD134" s="11"/>
      <c r="CE134" s="11"/>
      <c r="CF134" s="11"/>
      <c r="CG134" s="11"/>
      <c r="CH134" s="11"/>
      <c r="CI134" s="11"/>
      <c r="CJ134" s="11"/>
      <c r="CK134" s="11"/>
      <c r="CL134" s="11"/>
      <c r="CM134" s="11"/>
      <c r="CN134" s="274"/>
      <c r="CO134" s="274"/>
      <c r="CP134" s="274"/>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8"/>
      <c r="DN134" s="118"/>
      <c r="DO134" s="118"/>
      <c r="DP134" s="52"/>
      <c r="DQ134" s="52"/>
      <c r="DR134" s="77"/>
      <c r="DS134" s="77"/>
      <c r="DT134" s="77"/>
      <c r="DU134" s="11"/>
      <c r="DV134" s="11"/>
      <c r="DW134" s="11"/>
      <c r="DX134" s="11"/>
      <c r="DY134" s="11"/>
      <c r="DZ134" s="11"/>
      <c r="EA134" s="11"/>
      <c r="EB134" s="11"/>
      <c r="EC134" s="11"/>
      <c r="ED134" s="11"/>
      <c r="EE134" s="11"/>
      <c r="EF134" s="11"/>
    </row>
    <row r="135" spans="1:136" ht="40.5" x14ac:dyDescent="0.25">
      <c r="A135" s="425">
        <v>133</v>
      </c>
      <c r="B135" s="427" t="s">
        <v>1071</v>
      </c>
      <c r="C135" s="427" t="s">
        <v>871</v>
      </c>
      <c r="D135" s="427" t="s">
        <v>1072</v>
      </c>
      <c r="E135" s="79">
        <v>1</v>
      </c>
      <c r="F135" s="405">
        <v>6479575.7599999998</v>
      </c>
      <c r="G135" s="274"/>
      <c r="H135" s="274"/>
      <c r="I135" s="274"/>
      <c r="J135" s="274"/>
      <c r="K135" s="11"/>
      <c r="L135" s="274"/>
      <c r="M135" s="274"/>
      <c r="N135" s="274"/>
      <c r="O135" s="48"/>
      <c r="P135" s="11"/>
      <c r="Q135" s="274"/>
      <c r="R135" s="274"/>
      <c r="S135" s="274"/>
      <c r="T135" s="11"/>
      <c r="U135" s="11"/>
      <c r="V135" s="11"/>
      <c r="W135" s="11"/>
      <c r="X135" s="11"/>
      <c r="Y135" s="11"/>
      <c r="Z135" s="48"/>
      <c r="AA135" s="52"/>
      <c r="AB135" s="52"/>
      <c r="AC135" s="118"/>
      <c r="AD135" s="5"/>
      <c r="AE135" s="52"/>
      <c r="AF135" s="113"/>
      <c r="AG135" s="113"/>
      <c r="AH135" s="113"/>
      <c r="AI135" s="52"/>
      <c r="AJ135" s="11"/>
      <c r="AK135" s="269"/>
      <c r="AL135" s="269"/>
      <c r="AM135" s="116"/>
      <c r="AN135" s="301"/>
      <c r="AO135" s="302"/>
      <c r="AP135" s="11"/>
      <c r="AQ135" s="11"/>
      <c r="AR135" s="11"/>
      <c r="AS135" s="11"/>
      <c r="AT135" s="11"/>
      <c r="AU135" s="118"/>
      <c r="AV135" s="118"/>
      <c r="AW135" s="118"/>
      <c r="AX135" s="52"/>
      <c r="AY135" s="52"/>
      <c r="AZ135" s="11"/>
      <c r="BA135" s="11"/>
      <c r="BB135" s="11"/>
      <c r="BC135" s="11"/>
      <c r="BD135" s="11"/>
      <c r="BE135" s="274"/>
      <c r="BF135" s="274"/>
      <c r="BG135" s="274"/>
      <c r="BH135" s="11"/>
      <c r="BI135" s="11"/>
      <c r="BJ135" s="311"/>
      <c r="BK135" s="311"/>
      <c r="BL135" s="311"/>
      <c r="BM135" s="52"/>
      <c r="BN135" s="52"/>
      <c r="BO135" s="387"/>
      <c r="BP135" s="320"/>
      <c r="BQ135" s="320"/>
      <c r="BR135" s="76"/>
      <c r="BS135" s="4"/>
      <c r="BT135" s="11"/>
      <c r="BU135" s="11"/>
      <c r="BV135" s="11"/>
      <c r="BW135" s="11"/>
      <c r="BX135" s="11"/>
      <c r="BY135" s="348"/>
      <c r="BZ135" s="348"/>
      <c r="CA135" s="348"/>
      <c r="CB135" s="348"/>
      <c r="CC135" s="348"/>
      <c r="CD135" s="11"/>
      <c r="CE135" s="11"/>
      <c r="CF135" s="11"/>
      <c r="CG135" s="11"/>
      <c r="CH135" s="11"/>
      <c r="CI135" s="11"/>
      <c r="CJ135" s="11"/>
      <c r="CK135" s="11"/>
      <c r="CL135" s="11"/>
      <c r="CM135" s="11"/>
      <c r="CN135" s="274"/>
      <c r="CO135" s="274"/>
      <c r="CP135" s="274"/>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8"/>
      <c r="DN135" s="118"/>
      <c r="DO135" s="118"/>
      <c r="DP135" s="52"/>
      <c r="DQ135" s="52"/>
      <c r="DR135" s="77"/>
      <c r="DS135" s="77"/>
      <c r="DT135" s="77"/>
      <c r="DU135" s="11"/>
      <c r="DV135" s="11"/>
      <c r="DW135" s="11"/>
      <c r="DX135" s="11"/>
      <c r="DY135" s="11"/>
      <c r="DZ135" s="11"/>
      <c r="EA135" s="11"/>
      <c r="EB135" s="11"/>
      <c r="EC135" s="11"/>
      <c r="ED135" s="11"/>
      <c r="EE135" s="11"/>
      <c r="EF135" s="11"/>
    </row>
    <row r="136" spans="1:136" ht="27" x14ac:dyDescent="0.25">
      <c r="A136" s="425">
        <v>134</v>
      </c>
      <c r="B136" s="427" t="s">
        <v>1073</v>
      </c>
      <c r="C136" s="427" t="s">
        <v>1074</v>
      </c>
      <c r="D136" s="427" t="s">
        <v>1075</v>
      </c>
      <c r="E136" s="79">
        <v>1</v>
      </c>
      <c r="F136" s="406">
        <v>257712.80000000002</v>
      </c>
      <c r="G136" s="274"/>
      <c r="H136" s="274"/>
      <c r="I136" s="274"/>
      <c r="J136" s="274"/>
      <c r="K136" s="11"/>
      <c r="L136" s="274"/>
      <c r="M136" s="274"/>
      <c r="N136" s="274"/>
      <c r="O136" s="48"/>
      <c r="P136" s="11"/>
      <c r="Q136" s="274"/>
      <c r="R136" s="274"/>
      <c r="S136" s="274"/>
      <c r="T136" s="11"/>
      <c r="U136" s="11"/>
      <c r="V136" s="11"/>
      <c r="W136" s="11"/>
      <c r="X136" s="11"/>
      <c r="Y136" s="11"/>
      <c r="Z136" s="48"/>
      <c r="AA136" s="52"/>
      <c r="AB136" s="52"/>
      <c r="AC136" s="118"/>
      <c r="AD136" s="5"/>
      <c r="AE136" s="52"/>
      <c r="AF136" s="113"/>
      <c r="AG136" s="113"/>
      <c r="AH136" s="113"/>
      <c r="AI136" s="52"/>
      <c r="AJ136" s="11"/>
      <c r="AK136" s="269"/>
      <c r="AL136" s="269"/>
      <c r="AM136" s="116"/>
      <c r="AN136" s="301"/>
      <c r="AO136" s="302"/>
      <c r="AP136" s="11"/>
      <c r="AQ136" s="11"/>
      <c r="AR136" s="11"/>
      <c r="AS136" s="11"/>
      <c r="AT136" s="11"/>
      <c r="AU136" s="118"/>
      <c r="AV136" s="118"/>
      <c r="AW136" s="118"/>
      <c r="AX136" s="52"/>
      <c r="AY136" s="52"/>
      <c r="AZ136" s="11"/>
      <c r="BA136" s="11"/>
      <c r="BB136" s="11"/>
      <c r="BC136" s="11"/>
      <c r="BD136" s="11"/>
      <c r="BE136" s="274"/>
      <c r="BF136" s="274"/>
      <c r="BG136" s="274"/>
      <c r="BH136" s="11"/>
      <c r="BI136" s="11"/>
      <c r="BJ136" s="311"/>
      <c r="BK136" s="311"/>
      <c r="BL136" s="311"/>
      <c r="BM136" s="52"/>
      <c r="BN136" s="52"/>
      <c r="BO136" s="387"/>
      <c r="BP136" s="320"/>
      <c r="BQ136" s="320"/>
      <c r="BR136" s="76"/>
      <c r="BS136" s="4"/>
      <c r="BT136" s="11"/>
      <c r="BU136" s="11"/>
      <c r="BV136" s="11"/>
      <c r="BW136" s="11"/>
      <c r="BX136" s="11"/>
      <c r="BY136" s="348"/>
      <c r="BZ136" s="348"/>
      <c r="CA136" s="348"/>
      <c r="CB136" s="348"/>
      <c r="CC136" s="348"/>
      <c r="CD136" s="11"/>
      <c r="CE136" s="11"/>
      <c r="CF136" s="11"/>
      <c r="CG136" s="11"/>
      <c r="CH136" s="11"/>
      <c r="CI136" s="11"/>
      <c r="CJ136" s="11"/>
      <c r="CK136" s="11"/>
      <c r="CL136" s="11"/>
      <c r="CM136" s="11"/>
      <c r="CN136" s="274"/>
      <c r="CO136" s="274"/>
      <c r="CP136" s="274"/>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8"/>
      <c r="DN136" s="118"/>
      <c r="DO136" s="118"/>
      <c r="DP136" s="52"/>
      <c r="DQ136" s="52"/>
      <c r="DR136" s="77"/>
      <c r="DS136" s="77"/>
      <c r="DT136" s="77"/>
      <c r="DU136" s="11"/>
      <c r="DV136" s="11"/>
      <c r="DW136" s="11"/>
      <c r="DX136" s="11"/>
      <c r="DY136" s="11"/>
      <c r="DZ136" s="11"/>
      <c r="EA136" s="11"/>
      <c r="EB136" s="11"/>
      <c r="EC136" s="11"/>
      <c r="ED136" s="11"/>
      <c r="EE136" s="11"/>
      <c r="EF136" s="11"/>
    </row>
    <row r="137" spans="1:136" ht="40.5" x14ac:dyDescent="0.25">
      <c r="A137" s="425">
        <v>135</v>
      </c>
      <c r="B137" s="427" t="s">
        <v>1076</v>
      </c>
      <c r="C137" s="413" t="s">
        <v>1077</v>
      </c>
      <c r="D137" s="427" t="s">
        <v>1078</v>
      </c>
      <c r="E137" s="79">
        <v>1</v>
      </c>
      <c r="F137" s="405"/>
      <c r="G137" s="274"/>
      <c r="H137" s="274"/>
      <c r="I137" s="274"/>
      <c r="J137" s="274"/>
      <c r="K137" s="11"/>
      <c r="L137" s="274"/>
      <c r="M137" s="274"/>
      <c r="N137" s="274"/>
      <c r="O137" s="48"/>
      <c r="P137" s="11"/>
      <c r="Q137" s="274"/>
      <c r="R137" s="274"/>
      <c r="S137" s="274"/>
      <c r="T137" s="11"/>
      <c r="U137" s="11"/>
      <c r="V137" s="11"/>
      <c r="W137" s="11"/>
      <c r="X137" s="11"/>
      <c r="Y137" s="11"/>
      <c r="Z137" s="48"/>
      <c r="AA137" s="52"/>
      <c r="AB137" s="52"/>
      <c r="AC137" s="118"/>
      <c r="AD137" s="5"/>
      <c r="AE137" s="52"/>
      <c r="AF137" s="113"/>
      <c r="AG137" s="113"/>
      <c r="AH137" s="113"/>
      <c r="AI137" s="52"/>
      <c r="AJ137" s="11"/>
      <c r="AK137" s="269"/>
      <c r="AL137" s="269"/>
      <c r="AM137" s="116"/>
      <c r="AN137" s="301"/>
      <c r="AO137" s="302"/>
      <c r="AP137" s="11"/>
      <c r="AQ137" s="11"/>
      <c r="AR137" s="11"/>
      <c r="AS137" s="11"/>
      <c r="AT137" s="11"/>
      <c r="AU137" s="118">
        <v>1246162</v>
      </c>
      <c r="AV137" s="118">
        <v>236771</v>
      </c>
      <c r="AW137" s="118">
        <v>1482932</v>
      </c>
      <c r="AX137" s="52" t="s">
        <v>607</v>
      </c>
      <c r="AY137" s="52" t="s">
        <v>1079</v>
      </c>
      <c r="AZ137" s="11"/>
      <c r="BA137" s="11"/>
      <c r="BB137" s="11"/>
      <c r="BC137" s="11"/>
      <c r="BD137" s="11"/>
      <c r="BE137" s="274"/>
      <c r="BF137" s="274"/>
      <c r="BG137" s="274"/>
      <c r="BH137" s="11"/>
      <c r="BI137" s="11"/>
      <c r="BJ137" s="311"/>
      <c r="BK137" s="311"/>
      <c r="BL137" s="311"/>
      <c r="BM137" s="52"/>
      <c r="BN137" s="52"/>
      <c r="BO137" s="387"/>
      <c r="BP137" s="320"/>
      <c r="BQ137" s="320"/>
      <c r="BR137" s="76"/>
      <c r="BS137" s="4"/>
      <c r="BT137" s="11"/>
      <c r="BU137" s="11"/>
      <c r="BV137" s="11"/>
      <c r="BW137" s="11"/>
      <c r="BX137" s="11"/>
      <c r="BY137" s="348"/>
      <c r="BZ137" s="348"/>
      <c r="CA137" s="348"/>
      <c r="CB137" s="348"/>
      <c r="CC137" s="348"/>
      <c r="CD137" s="11"/>
      <c r="CE137" s="11"/>
      <c r="CF137" s="11"/>
      <c r="CG137" s="11"/>
      <c r="CH137" s="11"/>
      <c r="CI137" s="118">
        <v>2310000</v>
      </c>
      <c r="CJ137" s="118">
        <f>+CI137*0.19</f>
        <v>438900</v>
      </c>
      <c r="CK137" s="118">
        <f>+CI137+CJ137</f>
        <v>2748900</v>
      </c>
      <c r="CL137" s="52" t="s">
        <v>1080</v>
      </c>
      <c r="CM137" s="52">
        <v>12213012</v>
      </c>
      <c r="CN137" s="274"/>
      <c r="CO137" s="274"/>
      <c r="CP137" s="274"/>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8"/>
      <c r="DN137" s="118"/>
      <c r="DO137" s="118"/>
      <c r="DP137" s="52"/>
      <c r="DQ137" s="52"/>
      <c r="DR137" s="77"/>
      <c r="DS137" s="77"/>
      <c r="DT137" s="77"/>
      <c r="DU137" s="11"/>
      <c r="DV137" s="11"/>
      <c r="DW137" s="11"/>
      <c r="DX137" s="11"/>
      <c r="DY137" s="11"/>
      <c r="DZ137" s="11"/>
      <c r="EA137" s="11"/>
      <c r="EB137" s="11"/>
      <c r="EC137" s="11"/>
      <c r="ED137" s="11"/>
      <c r="EE137" s="11"/>
      <c r="EF137" s="11"/>
    </row>
    <row r="138" spans="1:136" ht="27" x14ac:dyDescent="0.25">
      <c r="A138" s="425">
        <v>136</v>
      </c>
      <c r="B138" s="427" t="s">
        <v>1081</v>
      </c>
      <c r="C138" s="427" t="s">
        <v>1082</v>
      </c>
      <c r="D138" s="427" t="s">
        <v>54</v>
      </c>
      <c r="E138" s="79">
        <v>1</v>
      </c>
      <c r="F138" s="406">
        <v>4666788.0140000004</v>
      </c>
      <c r="G138" s="274"/>
      <c r="H138" s="274"/>
      <c r="I138" s="274"/>
      <c r="J138" s="274"/>
      <c r="K138" s="11"/>
      <c r="L138" s="274"/>
      <c r="M138" s="274"/>
      <c r="N138" s="274"/>
      <c r="O138" s="48"/>
      <c r="P138" s="11"/>
      <c r="Q138" s="274"/>
      <c r="R138" s="274"/>
      <c r="S138" s="274"/>
      <c r="T138" s="11"/>
      <c r="U138" s="11"/>
      <c r="V138" s="11"/>
      <c r="W138" s="11"/>
      <c r="X138" s="11"/>
      <c r="Y138" s="11"/>
      <c r="Z138" s="48"/>
      <c r="AA138" s="52"/>
      <c r="AB138" s="52"/>
      <c r="AC138" s="118"/>
      <c r="AD138" s="5"/>
      <c r="AE138" s="52"/>
      <c r="AF138" s="113"/>
      <c r="AG138" s="113"/>
      <c r="AH138" s="113"/>
      <c r="AI138" s="52"/>
      <c r="AJ138" s="11"/>
      <c r="AK138" s="269"/>
      <c r="AL138" s="269"/>
      <c r="AM138" s="116"/>
      <c r="AN138" s="301"/>
      <c r="AO138" s="302"/>
      <c r="AP138" s="11"/>
      <c r="AQ138" s="11"/>
      <c r="AR138" s="11"/>
      <c r="AS138" s="11"/>
      <c r="AT138" s="11"/>
      <c r="AU138" s="118"/>
      <c r="AV138" s="118"/>
      <c r="AW138" s="118"/>
      <c r="AX138" s="52"/>
      <c r="AY138" s="52"/>
      <c r="AZ138" s="11"/>
      <c r="BA138" s="11"/>
      <c r="BB138" s="11"/>
      <c r="BC138" s="11"/>
      <c r="BD138" s="11"/>
      <c r="BE138" s="274"/>
      <c r="BF138" s="274"/>
      <c r="BG138" s="274"/>
      <c r="BH138" s="11"/>
      <c r="BI138" s="11"/>
      <c r="BJ138" s="311"/>
      <c r="BK138" s="311"/>
      <c r="BL138" s="311"/>
      <c r="BM138" s="52"/>
      <c r="BN138" s="52"/>
      <c r="BO138" s="387"/>
      <c r="BP138" s="320"/>
      <c r="BQ138" s="320"/>
      <c r="BR138" s="76"/>
      <c r="BS138" s="4"/>
      <c r="BT138" s="11"/>
      <c r="BU138" s="11"/>
      <c r="BV138" s="11"/>
      <c r="BW138" s="11"/>
      <c r="BX138" s="11"/>
      <c r="BY138" s="348"/>
      <c r="BZ138" s="348"/>
      <c r="CA138" s="348"/>
      <c r="CB138" s="348"/>
      <c r="CC138" s="348"/>
      <c r="CD138" s="11"/>
      <c r="CE138" s="11"/>
      <c r="CF138" s="11"/>
      <c r="CG138" s="11"/>
      <c r="CH138" s="11"/>
      <c r="CI138" s="11"/>
      <c r="CJ138" s="11"/>
      <c r="CK138" s="11"/>
      <c r="CL138" s="11"/>
      <c r="CM138" s="11"/>
      <c r="CN138" s="274"/>
      <c r="CO138" s="274"/>
      <c r="CP138" s="274"/>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8"/>
      <c r="DN138" s="118"/>
      <c r="DO138" s="118"/>
      <c r="DP138" s="52"/>
      <c r="DQ138" s="52"/>
      <c r="DR138" s="77"/>
      <c r="DS138" s="77"/>
      <c r="DT138" s="77"/>
      <c r="DU138" s="11"/>
      <c r="DV138" s="11"/>
      <c r="DW138" s="11"/>
      <c r="DX138" s="11"/>
      <c r="DY138" s="11"/>
      <c r="DZ138" s="11"/>
      <c r="EA138" s="11"/>
      <c r="EB138" s="11"/>
      <c r="EC138" s="11"/>
      <c r="ED138" s="11"/>
      <c r="EE138" s="11"/>
      <c r="EF138" s="11"/>
    </row>
    <row r="139" spans="1:136" ht="54" x14ac:dyDescent="0.25">
      <c r="A139" s="425">
        <v>137</v>
      </c>
      <c r="B139" s="427" t="s">
        <v>1083</v>
      </c>
      <c r="C139" s="427" t="s">
        <v>409</v>
      </c>
      <c r="D139" s="427" t="s">
        <v>502</v>
      </c>
      <c r="E139" s="79">
        <v>1</v>
      </c>
      <c r="F139" s="405"/>
      <c r="G139" s="274"/>
      <c r="H139" s="274"/>
      <c r="I139" s="274"/>
      <c r="J139" s="274"/>
      <c r="K139" s="11"/>
      <c r="L139" s="274"/>
      <c r="M139" s="274"/>
      <c r="N139" s="274"/>
      <c r="O139" s="48"/>
      <c r="P139" s="11"/>
      <c r="Q139" s="274"/>
      <c r="R139" s="274"/>
      <c r="S139" s="274"/>
      <c r="T139" s="11"/>
      <c r="U139" s="11"/>
      <c r="V139" s="11"/>
      <c r="W139" s="11"/>
      <c r="X139" s="11"/>
      <c r="Y139" s="11"/>
      <c r="Z139" s="48"/>
      <c r="AA139" s="52"/>
      <c r="AB139" s="52"/>
      <c r="AC139" s="118"/>
      <c r="AD139" s="5"/>
      <c r="AE139" s="52"/>
      <c r="AF139" s="113"/>
      <c r="AG139" s="113"/>
      <c r="AH139" s="113"/>
      <c r="AI139" s="52"/>
      <c r="AJ139" s="11"/>
      <c r="AK139" s="269"/>
      <c r="AL139" s="269"/>
      <c r="AM139" s="116"/>
      <c r="AN139" s="301"/>
      <c r="AO139" s="302"/>
      <c r="AP139" s="11"/>
      <c r="AQ139" s="11"/>
      <c r="AR139" s="11"/>
      <c r="AS139" s="11"/>
      <c r="AT139" s="11"/>
      <c r="AU139" s="118"/>
      <c r="AV139" s="118"/>
      <c r="AW139" s="118"/>
      <c r="AX139" s="52"/>
      <c r="AY139" s="52"/>
      <c r="AZ139" s="11"/>
      <c r="BA139" s="11"/>
      <c r="BB139" s="11"/>
      <c r="BC139" s="11"/>
      <c r="BD139" s="11"/>
      <c r="BE139" s="274">
        <v>1252000</v>
      </c>
      <c r="BF139" s="274">
        <v>237880</v>
      </c>
      <c r="BG139" s="274">
        <v>1489880</v>
      </c>
      <c r="BH139" s="11" t="s">
        <v>409</v>
      </c>
      <c r="BI139" s="11" t="s">
        <v>1084</v>
      </c>
      <c r="BJ139" s="311"/>
      <c r="BK139" s="311"/>
      <c r="BL139" s="311"/>
      <c r="BM139" s="52"/>
      <c r="BN139" s="52"/>
      <c r="BO139" s="387"/>
      <c r="BP139" s="320"/>
      <c r="BQ139" s="320"/>
      <c r="BR139" s="76"/>
      <c r="BS139" s="4"/>
      <c r="BT139" s="11"/>
      <c r="BU139" s="11"/>
      <c r="BV139" s="11"/>
      <c r="BW139" s="11"/>
      <c r="BX139" s="11"/>
      <c r="BY139" s="348"/>
      <c r="BZ139" s="348"/>
      <c r="CA139" s="348"/>
      <c r="CB139" s="348"/>
      <c r="CC139" s="348"/>
      <c r="CD139" s="11"/>
      <c r="CE139" s="11"/>
      <c r="CF139" s="11"/>
      <c r="CG139" s="11"/>
      <c r="CH139" s="11"/>
      <c r="CI139" s="11"/>
      <c r="CJ139" s="11"/>
      <c r="CK139" s="11"/>
      <c r="CL139" s="11"/>
      <c r="CM139" s="11"/>
      <c r="CN139" s="274"/>
      <c r="CO139" s="274"/>
      <c r="CP139" s="274"/>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8"/>
      <c r="DN139" s="118"/>
      <c r="DO139" s="118"/>
      <c r="DP139" s="52"/>
      <c r="DQ139" s="52"/>
      <c r="DR139" s="77"/>
      <c r="DS139" s="77"/>
      <c r="DT139" s="77"/>
      <c r="DU139" s="11"/>
      <c r="DV139" s="11"/>
      <c r="DW139" s="11"/>
      <c r="DX139" s="11"/>
      <c r="DY139" s="11"/>
      <c r="DZ139" s="11"/>
      <c r="EA139" s="11"/>
      <c r="EB139" s="11"/>
      <c r="EC139" s="11"/>
      <c r="ED139" s="11"/>
      <c r="EE139" s="11"/>
      <c r="EF139" s="11"/>
    </row>
    <row r="140" spans="1:136" ht="27" x14ac:dyDescent="0.25">
      <c r="A140" s="425">
        <v>138</v>
      </c>
      <c r="B140" s="427" t="s">
        <v>1085</v>
      </c>
      <c r="C140" s="427" t="s">
        <v>409</v>
      </c>
      <c r="D140" s="427" t="s">
        <v>1086</v>
      </c>
      <c r="E140" s="79">
        <v>1</v>
      </c>
      <c r="F140" s="406">
        <v>1391363.946</v>
      </c>
      <c r="G140" s="274"/>
      <c r="H140" s="274"/>
      <c r="I140" s="274"/>
      <c r="J140" s="274"/>
      <c r="K140" s="11"/>
      <c r="L140" s="274"/>
      <c r="M140" s="274"/>
      <c r="N140" s="274"/>
      <c r="O140" s="48"/>
      <c r="P140" s="11"/>
      <c r="Q140" s="274"/>
      <c r="R140" s="274"/>
      <c r="S140" s="274"/>
      <c r="T140" s="11"/>
      <c r="U140" s="11"/>
      <c r="V140" s="11"/>
      <c r="W140" s="11"/>
      <c r="X140" s="11"/>
      <c r="Y140" s="11"/>
      <c r="Z140" s="48"/>
      <c r="AA140" s="52"/>
      <c r="AB140" s="52"/>
      <c r="AC140" s="118"/>
      <c r="AD140" s="5"/>
      <c r="AE140" s="52"/>
      <c r="AF140" s="113"/>
      <c r="AG140" s="113"/>
      <c r="AH140" s="113"/>
      <c r="AI140" s="52"/>
      <c r="AJ140" s="11"/>
      <c r="AK140" s="269"/>
      <c r="AL140" s="269"/>
      <c r="AM140" s="116"/>
      <c r="AN140" s="301"/>
      <c r="AO140" s="302"/>
      <c r="AP140" s="11"/>
      <c r="AQ140" s="11"/>
      <c r="AR140" s="11"/>
      <c r="AS140" s="11"/>
      <c r="AT140" s="11"/>
      <c r="AU140" s="118"/>
      <c r="AV140" s="118"/>
      <c r="AW140" s="118"/>
      <c r="AX140" s="52"/>
      <c r="AY140" s="52"/>
      <c r="AZ140" s="11"/>
      <c r="BA140" s="11"/>
      <c r="BB140" s="11"/>
      <c r="BC140" s="11"/>
      <c r="BD140" s="11"/>
      <c r="BE140" s="274">
        <v>626000</v>
      </c>
      <c r="BF140" s="274">
        <v>118940</v>
      </c>
      <c r="BG140" s="274">
        <v>744940</v>
      </c>
      <c r="BH140" s="11" t="s">
        <v>409</v>
      </c>
      <c r="BI140" s="11" t="s">
        <v>1087</v>
      </c>
      <c r="BJ140" s="311"/>
      <c r="BK140" s="311"/>
      <c r="BL140" s="311"/>
      <c r="BM140" s="52"/>
      <c r="BN140" s="52"/>
      <c r="BO140" s="387"/>
      <c r="BP140" s="320"/>
      <c r="BQ140" s="320"/>
      <c r="BR140" s="76"/>
      <c r="BS140" s="4"/>
      <c r="BT140" s="11"/>
      <c r="BU140" s="11"/>
      <c r="BV140" s="11"/>
      <c r="BW140" s="11"/>
      <c r="BX140" s="11"/>
      <c r="BY140" s="348"/>
      <c r="BZ140" s="348"/>
      <c r="CA140" s="348"/>
      <c r="CB140" s="348"/>
      <c r="CC140" s="348"/>
      <c r="CD140" s="11"/>
      <c r="CE140" s="11"/>
      <c r="CF140" s="11"/>
      <c r="CG140" s="11"/>
      <c r="CH140" s="11"/>
      <c r="CI140" s="11"/>
      <c r="CJ140" s="11"/>
      <c r="CK140" s="11"/>
      <c r="CL140" s="11"/>
      <c r="CM140" s="11"/>
      <c r="CN140" s="274"/>
      <c r="CO140" s="274"/>
      <c r="CP140" s="274"/>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8"/>
      <c r="DN140" s="118"/>
      <c r="DO140" s="118"/>
      <c r="DP140" s="52"/>
      <c r="DQ140" s="52"/>
      <c r="DR140" s="77"/>
      <c r="DS140" s="77"/>
      <c r="DT140" s="77"/>
      <c r="DU140" s="11"/>
      <c r="DV140" s="11"/>
      <c r="DW140" s="11"/>
      <c r="DX140" s="11"/>
      <c r="DY140" s="11"/>
      <c r="DZ140" s="11"/>
      <c r="EA140" s="11"/>
      <c r="EB140" s="11"/>
      <c r="EC140" s="11"/>
      <c r="ED140" s="11"/>
      <c r="EE140" s="11"/>
      <c r="EF140" s="11"/>
    </row>
    <row r="141" spans="1:136" ht="25.5" customHeight="1" x14ac:dyDescent="0.25">
      <c r="A141" s="425">
        <v>139</v>
      </c>
      <c r="B141" s="427" t="s">
        <v>1088</v>
      </c>
      <c r="C141" s="427" t="s">
        <v>409</v>
      </c>
      <c r="D141" s="427" t="s">
        <v>502</v>
      </c>
      <c r="E141" s="79">
        <v>1</v>
      </c>
      <c r="F141" s="406">
        <v>996704.25400000007</v>
      </c>
      <c r="G141" s="274"/>
      <c r="H141" s="274"/>
      <c r="I141" s="274"/>
      <c r="J141" s="274"/>
      <c r="K141" s="11"/>
      <c r="L141" s="274"/>
      <c r="M141" s="274"/>
      <c r="N141" s="274"/>
      <c r="O141" s="48"/>
      <c r="P141" s="11"/>
      <c r="Q141" s="274"/>
      <c r="R141" s="274"/>
      <c r="S141" s="274"/>
      <c r="T141" s="11"/>
      <c r="U141" s="11"/>
      <c r="V141" s="11"/>
      <c r="W141" s="11"/>
      <c r="X141" s="11"/>
      <c r="Y141" s="11"/>
      <c r="Z141" s="48"/>
      <c r="AA141" s="52"/>
      <c r="AB141" s="52"/>
      <c r="AC141" s="118"/>
      <c r="AD141" s="5"/>
      <c r="AE141" s="52"/>
      <c r="AF141" s="113"/>
      <c r="AG141" s="113"/>
      <c r="AH141" s="113"/>
      <c r="AI141" s="52"/>
      <c r="AJ141" s="11"/>
      <c r="AK141" s="269"/>
      <c r="AL141" s="269"/>
      <c r="AM141" s="116"/>
      <c r="AN141" s="301"/>
      <c r="AO141" s="302"/>
      <c r="AP141" s="11"/>
      <c r="AQ141" s="11"/>
      <c r="AR141" s="11"/>
      <c r="AS141" s="11"/>
      <c r="AT141" s="11"/>
      <c r="AU141" s="118"/>
      <c r="AV141" s="118"/>
      <c r="AW141" s="118"/>
      <c r="AX141" s="52"/>
      <c r="AY141" s="52"/>
      <c r="AZ141" s="11"/>
      <c r="BA141" s="11"/>
      <c r="BB141" s="11"/>
      <c r="BC141" s="11"/>
      <c r="BD141" s="11"/>
      <c r="BE141" s="274">
        <v>190000</v>
      </c>
      <c r="BF141" s="274">
        <v>36100</v>
      </c>
      <c r="BG141" s="274">
        <v>226100</v>
      </c>
      <c r="BH141" s="11" t="s">
        <v>409</v>
      </c>
      <c r="BI141" s="11" t="s">
        <v>1089</v>
      </c>
      <c r="BJ141" s="311"/>
      <c r="BK141" s="311"/>
      <c r="BL141" s="311"/>
      <c r="BM141" s="52"/>
      <c r="BN141" s="52"/>
      <c r="BO141" s="387"/>
      <c r="BP141" s="320"/>
      <c r="BQ141" s="320"/>
      <c r="BR141" s="76"/>
      <c r="BS141" s="4"/>
      <c r="BT141" s="11"/>
      <c r="BU141" s="11"/>
      <c r="BV141" s="11"/>
      <c r="BW141" s="11"/>
      <c r="BX141" s="11"/>
      <c r="BY141" s="348"/>
      <c r="BZ141" s="348"/>
      <c r="CA141" s="348"/>
      <c r="CB141" s="348"/>
      <c r="CC141" s="348"/>
      <c r="CD141" s="11"/>
      <c r="CE141" s="11"/>
      <c r="CF141" s="11"/>
      <c r="CG141" s="11"/>
      <c r="CH141" s="11"/>
      <c r="CI141" s="11"/>
      <c r="CJ141" s="11"/>
      <c r="CK141" s="11"/>
      <c r="CL141" s="11"/>
      <c r="CM141" s="11"/>
      <c r="CN141" s="274"/>
      <c r="CO141" s="274"/>
      <c r="CP141" s="274"/>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8"/>
      <c r="DN141" s="118"/>
      <c r="DO141" s="118"/>
      <c r="DP141" s="52"/>
      <c r="DQ141" s="52"/>
      <c r="DR141" s="77"/>
      <c r="DS141" s="77"/>
      <c r="DT141" s="77"/>
      <c r="DU141" s="11"/>
      <c r="DV141" s="11"/>
      <c r="DW141" s="11"/>
      <c r="DX141" s="11"/>
      <c r="DY141" s="11"/>
      <c r="DZ141" s="11"/>
      <c r="EA141" s="11"/>
      <c r="EB141" s="11"/>
      <c r="EC141" s="11"/>
      <c r="ED141" s="11"/>
      <c r="EE141" s="11"/>
      <c r="EF141" s="11"/>
    </row>
    <row r="142" spans="1:136" ht="27" x14ac:dyDescent="0.25">
      <c r="A142" s="425">
        <v>140</v>
      </c>
      <c r="B142" s="427" t="s">
        <v>1090</v>
      </c>
      <c r="C142" s="427" t="s">
        <v>409</v>
      </c>
      <c r="D142" s="427" t="s">
        <v>502</v>
      </c>
      <c r="E142" s="79">
        <v>1</v>
      </c>
      <c r="F142" s="405"/>
      <c r="G142" s="274"/>
      <c r="H142" s="274"/>
      <c r="I142" s="274"/>
      <c r="J142" s="274"/>
      <c r="K142" s="11"/>
      <c r="L142" s="274"/>
      <c r="M142" s="274"/>
      <c r="N142" s="274"/>
      <c r="O142" s="48"/>
      <c r="P142" s="11"/>
      <c r="Q142" s="274"/>
      <c r="R142" s="274"/>
      <c r="S142" s="274"/>
      <c r="T142" s="11"/>
      <c r="U142" s="11"/>
      <c r="V142" s="11"/>
      <c r="W142" s="11"/>
      <c r="X142" s="11"/>
      <c r="Y142" s="11"/>
      <c r="Z142" s="48"/>
      <c r="AA142" s="52"/>
      <c r="AB142" s="52"/>
      <c r="AC142" s="118"/>
      <c r="AD142" s="5"/>
      <c r="AE142" s="52"/>
      <c r="AF142" s="113"/>
      <c r="AG142" s="113"/>
      <c r="AH142" s="113"/>
      <c r="AI142" s="52"/>
      <c r="AJ142" s="11"/>
      <c r="AK142" s="269"/>
      <c r="AL142" s="269"/>
      <c r="AM142" s="116"/>
      <c r="AN142" s="301"/>
      <c r="AO142" s="302"/>
      <c r="AP142" s="11"/>
      <c r="AQ142" s="11"/>
      <c r="AR142" s="11"/>
      <c r="AS142" s="11"/>
      <c r="AT142" s="11"/>
      <c r="AU142" s="118"/>
      <c r="AV142" s="118"/>
      <c r="AW142" s="118"/>
      <c r="AX142" s="52"/>
      <c r="AY142" s="52"/>
      <c r="AZ142" s="11"/>
      <c r="BA142" s="11"/>
      <c r="BB142" s="11"/>
      <c r="BC142" s="11"/>
      <c r="BD142" s="11"/>
      <c r="BE142" s="274">
        <v>626000</v>
      </c>
      <c r="BF142" s="274">
        <v>118940</v>
      </c>
      <c r="BG142" s="274">
        <v>744940</v>
      </c>
      <c r="BH142" s="11" t="s">
        <v>409</v>
      </c>
      <c r="BI142" s="11">
        <v>712</v>
      </c>
      <c r="BJ142" s="311"/>
      <c r="BK142" s="311"/>
      <c r="BL142" s="311"/>
      <c r="BM142" s="52"/>
      <c r="BN142" s="52"/>
      <c r="BO142" s="387"/>
      <c r="BP142" s="320"/>
      <c r="BQ142" s="320"/>
      <c r="BR142" s="76"/>
      <c r="BS142" s="4"/>
      <c r="BT142" s="11"/>
      <c r="BU142" s="11"/>
      <c r="BV142" s="11"/>
      <c r="BW142" s="11"/>
      <c r="BX142" s="11"/>
      <c r="BY142" s="348"/>
      <c r="BZ142" s="348"/>
      <c r="CA142" s="348"/>
      <c r="CB142" s="348"/>
      <c r="CC142" s="348"/>
      <c r="CD142" s="11"/>
      <c r="CE142" s="11"/>
      <c r="CF142" s="11"/>
      <c r="CG142" s="11"/>
      <c r="CH142" s="11"/>
      <c r="CI142" s="11"/>
      <c r="CJ142" s="11"/>
      <c r="CK142" s="11"/>
      <c r="CL142" s="11"/>
      <c r="CM142" s="11"/>
      <c r="CN142" s="274"/>
      <c r="CO142" s="274"/>
      <c r="CP142" s="274"/>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8"/>
      <c r="DN142" s="118"/>
      <c r="DO142" s="118"/>
      <c r="DP142" s="52"/>
      <c r="DQ142" s="52"/>
      <c r="DR142" s="77"/>
      <c r="DS142" s="77"/>
      <c r="DT142" s="77"/>
      <c r="DU142" s="11"/>
      <c r="DV142" s="11"/>
      <c r="DW142" s="11"/>
      <c r="DX142" s="11"/>
      <c r="DY142" s="11"/>
      <c r="DZ142" s="11"/>
      <c r="EA142" s="11"/>
      <c r="EB142" s="11"/>
      <c r="EC142" s="11"/>
      <c r="ED142" s="11"/>
      <c r="EE142" s="11"/>
      <c r="EF142" s="11"/>
    </row>
    <row r="143" spans="1:136" ht="25.5" customHeight="1" x14ac:dyDescent="0.25">
      <c r="A143" s="425">
        <v>141</v>
      </c>
      <c r="B143" s="427" t="s">
        <v>1091</v>
      </c>
      <c r="C143" s="427" t="s">
        <v>409</v>
      </c>
      <c r="D143" s="427" t="s">
        <v>1092</v>
      </c>
      <c r="E143" s="79">
        <v>1</v>
      </c>
      <c r="F143" s="405"/>
      <c r="G143" s="274"/>
      <c r="H143" s="274"/>
      <c r="I143" s="274"/>
      <c r="J143" s="274"/>
      <c r="K143" s="11"/>
      <c r="L143" s="274"/>
      <c r="M143" s="274"/>
      <c r="N143" s="274"/>
      <c r="O143" s="48"/>
      <c r="P143" s="11"/>
      <c r="Q143" s="274"/>
      <c r="R143" s="274"/>
      <c r="S143" s="274"/>
      <c r="T143" s="11"/>
      <c r="U143" s="11"/>
      <c r="V143" s="11"/>
      <c r="W143" s="11"/>
      <c r="X143" s="11"/>
      <c r="Y143" s="11"/>
      <c r="Z143" s="48"/>
      <c r="AA143" s="52"/>
      <c r="AB143" s="52"/>
      <c r="AC143" s="118"/>
      <c r="AD143" s="5"/>
      <c r="AE143" s="52"/>
      <c r="AF143" s="113"/>
      <c r="AG143" s="113"/>
      <c r="AH143" s="113"/>
      <c r="AI143" s="52"/>
      <c r="AJ143" s="11"/>
      <c r="AK143" s="269"/>
      <c r="AL143" s="269"/>
      <c r="AM143" s="116"/>
      <c r="AN143" s="301"/>
      <c r="AO143" s="302"/>
      <c r="AP143" s="11"/>
      <c r="AQ143" s="11"/>
      <c r="AR143" s="11"/>
      <c r="AS143" s="11"/>
      <c r="AT143" s="11"/>
      <c r="AU143" s="118"/>
      <c r="AV143" s="118"/>
      <c r="AW143" s="118"/>
      <c r="AX143" s="52"/>
      <c r="AY143" s="52"/>
      <c r="AZ143" s="11"/>
      <c r="BA143" s="11"/>
      <c r="BB143" s="11"/>
      <c r="BC143" s="11"/>
      <c r="BD143" s="11"/>
      <c r="BE143" s="274">
        <v>3737000</v>
      </c>
      <c r="BF143" s="274">
        <v>710030</v>
      </c>
      <c r="BG143" s="274">
        <v>4447030</v>
      </c>
      <c r="BH143" s="11" t="s">
        <v>409</v>
      </c>
      <c r="BI143" s="11">
        <v>512</v>
      </c>
      <c r="BJ143" s="311"/>
      <c r="BK143" s="311"/>
      <c r="BL143" s="311"/>
      <c r="BM143" s="52"/>
      <c r="BN143" s="52"/>
      <c r="BO143" s="387"/>
      <c r="BP143" s="320"/>
      <c r="BQ143" s="320"/>
      <c r="BR143" s="76"/>
      <c r="BS143" s="4"/>
      <c r="BT143" s="11"/>
      <c r="BU143" s="11"/>
      <c r="BV143" s="11"/>
      <c r="BW143" s="11"/>
      <c r="BX143" s="11"/>
      <c r="BY143" s="348"/>
      <c r="BZ143" s="348"/>
      <c r="CA143" s="348"/>
      <c r="CB143" s="348"/>
      <c r="CC143" s="348"/>
      <c r="CD143" s="11"/>
      <c r="CE143" s="11"/>
      <c r="CF143" s="11"/>
      <c r="CG143" s="11"/>
      <c r="CH143" s="11"/>
      <c r="CI143" s="11"/>
      <c r="CJ143" s="11"/>
      <c r="CK143" s="11"/>
      <c r="CL143" s="11"/>
      <c r="CM143" s="11"/>
      <c r="CN143" s="274"/>
      <c r="CO143" s="274"/>
      <c r="CP143" s="274"/>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8"/>
      <c r="DN143" s="118"/>
      <c r="DO143" s="118"/>
      <c r="DP143" s="52"/>
      <c r="DQ143" s="52"/>
      <c r="DR143" s="77"/>
      <c r="DS143" s="77"/>
      <c r="DT143" s="77"/>
      <c r="DU143" s="11"/>
      <c r="DV143" s="11"/>
      <c r="DW143" s="11"/>
      <c r="DX143" s="11"/>
      <c r="DY143" s="11"/>
      <c r="DZ143" s="11"/>
      <c r="EA143" s="11"/>
      <c r="EB143" s="11"/>
      <c r="EC143" s="11"/>
      <c r="ED143" s="11"/>
      <c r="EE143" s="11"/>
      <c r="EF143" s="11"/>
    </row>
    <row r="144" spans="1:136" ht="27" x14ac:dyDescent="0.25">
      <c r="A144" s="425">
        <v>142</v>
      </c>
      <c r="B144" s="427" t="s">
        <v>1093</v>
      </c>
      <c r="C144" s="427" t="s">
        <v>1094</v>
      </c>
      <c r="D144" s="427"/>
      <c r="E144" s="79">
        <v>1</v>
      </c>
      <c r="F144" s="405"/>
      <c r="G144" s="274"/>
      <c r="H144" s="274"/>
      <c r="I144" s="274"/>
      <c r="J144" s="274"/>
      <c r="K144" s="11"/>
      <c r="L144" s="274"/>
      <c r="M144" s="274"/>
      <c r="N144" s="274"/>
      <c r="O144" s="48"/>
      <c r="P144" s="11"/>
      <c r="Q144" s="274"/>
      <c r="R144" s="274"/>
      <c r="S144" s="274"/>
      <c r="T144" s="11"/>
      <c r="U144" s="11"/>
      <c r="V144" s="11"/>
      <c r="W144" s="11"/>
      <c r="X144" s="11"/>
      <c r="Y144" s="11"/>
      <c r="Z144" s="48"/>
      <c r="AA144" s="52"/>
      <c r="AB144" s="52"/>
      <c r="AC144" s="118"/>
      <c r="AD144" s="5"/>
      <c r="AE144" s="52"/>
      <c r="AF144" s="113"/>
      <c r="AG144" s="113"/>
      <c r="AH144" s="113"/>
      <c r="AI144" s="52"/>
      <c r="AJ144" s="11"/>
      <c r="AK144" s="269"/>
      <c r="AL144" s="269"/>
      <c r="AM144" s="116"/>
      <c r="AN144" s="301"/>
      <c r="AO144" s="302"/>
      <c r="AP144" s="11"/>
      <c r="AQ144" s="11"/>
      <c r="AR144" s="11"/>
      <c r="AS144" s="11"/>
      <c r="AT144" s="11"/>
      <c r="AU144" s="118"/>
      <c r="AV144" s="118"/>
      <c r="AW144" s="118"/>
      <c r="AX144" s="52"/>
      <c r="AY144" s="52"/>
      <c r="AZ144" s="11"/>
      <c r="BA144" s="11"/>
      <c r="BB144" s="11"/>
      <c r="BC144" s="11"/>
      <c r="BD144" s="11"/>
      <c r="BE144" s="274">
        <v>1328000</v>
      </c>
      <c r="BF144" s="274">
        <v>252320</v>
      </c>
      <c r="BG144" s="274">
        <v>1580320</v>
      </c>
      <c r="BH144" s="11" t="s">
        <v>409</v>
      </c>
      <c r="BI144" s="11" t="s">
        <v>1095</v>
      </c>
      <c r="BJ144" s="311"/>
      <c r="BK144" s="311"/>
      <c r="BL144" s="311"/>
      <c r="BM144" s="52"/>
      <c r="BN144" s="52"/>
      <c r="BO144" s="387"/>
      <c r="BP144" s="320"/>
      <c r="BQ144" s="320"/>
      <c r="BR144" s="76"/>
      <c r="BS144" s="4"/>
      <c r="BT144" s="11"/>
      <c r="BU144" s="11"/>
      <c r="BV144" s="11"/>
      <c r="BW144" s="11"/>
      <c r="BX144" s="11"/>
      <c r="BY144" s="348"/>
      <c r="BZ144" s="348"/>
      <c r="CA144" s="348"/>
      <c r="CB144" s="348"/>
      <c r="CC144" s="348"/>
      <c r="CD144" s="11"/>
      <c r="CE144" s="11"/>
      <c r="CF144" s="11"/>
      <c r="CG144" s="11"/>
      <c r="CH144" s="11"/>
      <c r="CI144" s="11"/>
      <c r="CJ144" s="11"/>
      <c r="CK144" s="11"/>
      <c r="CL144" s="11"/>
      <c r="CM144" s="11"/>
      <c r="CN144" s="274"/>
      <c r="CO144" s="274"/>
      <c r="CP144" s="274"/>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8"/>
      <c r="DN144" s="118"/>
      <c r="DO144" s="118"/>
      <c r="DP144" s="52"/>
      <c r="DQ144" s="52"/>
      <c r="DR144" s="77"/>
      <c r="DS144" s="77"/>
      <c r="DT144" s="77"/>
      <c r="DU144" s="11"/>
      <c r="DV144" s="11"/>
      <c r="DW144" s="11"/>
      <c r="DX144" s="11"/>
      <c r="DY144" s="11"/>
      <c r="DZ144" s="11"/>
      <c r="EA144" s="11"/>
      <c r="EB144" s="11"/>
      <c r="EC144" s="11"/>
      <c r="ED144" s="11"/>
      <c r="EE144" s="11"/>
      <c r="EF144" s="11"/>
    </row>
    <row r="145" spans="1:136" ht="54" x14ac:dyDescent="0.25">
      <c r="A145" s="425">
        <v>143</v>
      </c>
      <c r="B145" s="427" t="s">
        <v>1096</v>
      </c>
      <c r="C145" s="427" t="s">
        <v>113</v>
      </c>
      <c r="D145" s="427" t="s">
        <v>1097</v>
      </c>
      <c r="E145" s="79">
        <v>1</v>
      </c>
      <c r="F145" s="406">
        <v>3624836.1520000002</v>
      </c>
      <c r="G145" s="274"/>
      <c r="H145" s="274"/>
      <c r="I145" s="274"/>
      <c r="J145" s="274"/>
      <c r="K145" s="11"/>
      <c r="L145" s="274">
        <v>480000</v>
      </c>
      <c r="M145" s="274">
        <f>L145*19%</f>
        <v>91200</v>
      </c>
      <c r="N145" s="274">
        <f>M145+L145</f>
        <v>571200</v>
      </c>
      <c r="O145" s="48" t="s">
        <v>906</v>
      </c>
      <c r="P145" s="11" t="s">
        <v>1098</v>
      </c>
      <c r="Q145" s="274"/>
      <c r="R145" s="274"/>
      <c r="S145" s="274"/>
      <c r="T145" s="11"/>
      <c r="U145" s="11"/>
      <c r="V145" s="11"/>
      <c r="W145" s="11"/>
      <c r="X145" s="11"/>
      <c r="Y145" s="11"/>
      <c r="Z145" s="48"/>
      <c r="AA145" s="52"/>
      <c r="AB145" s="52"/>
      <c r="AC145" s="118"/>
      <c r="AD145" s="5"/>
      <c r="AE145" s="52"/>
      <c r="AF145" s="113"/>
      <c r="AG145" s="113"/>
      <c r="AH145" s="113"/>
      <c r="AI145" s="52"/>
      <c r="AJ145" s="11"/>
      <c r="AK145" s="269">
        <v>424000</v>
      </c>
      <c r="AL145" s="269">
        <v>80560</v>
      </c>
      <c r="AM145" s="116">
        <v>504560</v>
      </c>
      <c r="AN145" s="301" t="s">
        <v>37</v>
      </c>
      <c r="AO145" s="302">
        <v>10735078001</v>
      </c>
      <c r="AP145" s="11"/>
      <c r="AQ145" s="11"/>
      <c r="AR145" s="11"/>
      <c r="AS145" s="11"/>
      <c r="AT145" s="11"/>
      <c r="AU145" s="118">
        <v>446638</v>
      </c>
      <c r="AV145" s="118">
        <v>84861</v>
      </c>
      <c r="AW145" s="118">
        <v>531499</v>
      </c>
      <c r="AX145" s="52" t="s">
        <v>607</v>
      </c>
      <c r="AY145" s="52">
        <v>10735078001</v>
      </c>
      <c r="AZ145" s="11"/>
      <c r="BA145" s="11"/>
      <c r="BB145" s="11"/>
      <c r="BC145" s="11"/>
      <c r="BD145" s="11"/>
      <c r="BE145" s="274">
        <v>11118000</v>
      </c>
      <c r="BF145" s="274">
        <v>2112420</v>
      </c>
      <c r="BG145" s="274">
        <v>13230420</v>
      </c>
      <c r="BH145" s="11" t="s">
        <v>37</v>
      </c>
      <c r="BI145" s="11" t="s">
        <v>1099</v>
      </c>
      <c r="BJ145" s="311"/>
      <c r="BK145" s="311"/>
      <c r="BL145" s="311"/>
      <c r="BM145" s="52"/>
      <c r="BN145" s="52"/>
      <c r="BO145" s="387">
        <v>262784</v>
      </c>
      <c r="BP145" s="320">
        <f>BO145*0.19</f>
        <v>49928.959999999999</v>
      </c>
      <c r="BQ145" s="320">
        <f>BO145+BP145</f>
        <v>312712.96000000002</v>
      </c>
      <c r="BR145" s="76" t="s">
        <v>1100</v>
      </c>
      <c r="BS145" s="4" t="s">
        <v>1101</v>
      </c>
      <c r="BT145" s="11"/>
      <c r="BU145" s="11"/>
      <c r="BV145" s="11"/>
      <c r="BW145" s="11"/>
      <c r="BX145" s="11"/>
      <c r="BY145" s="348"/>
      <c r="BZ145" s="348"/>
      <c r="CA145" s="348"/>
      <c r="CB145" s="348"/>
      <c r="CC145" s="348"/>
      <c r="CD145" s="11"/>
      <c r="CE145" s="11"/>
      <c r="CF145" s="11"/>
      <c r="CG145" s="11"/>
      <c r="CH145" s="11"/>
      <c r="CI145" s="11"/>
      <c r="CJ145" s="11"/>
      <c r="CK145" s="11"/>
      <c r="CL145" s="11"/>
      <c r="CM145" s="11"/>
      <c r="CN145" s="274"/>
      <c r="CO145" s="274"/>
      <c r="CP145" s="274"/>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8"/>
      <c r="DN145" s="118"/>
      <c r="DO145" s="118"/>
      <c r="DP145" s="52"/>
      <c r="DQ145" s="52"/>
      <c r="DR145" s="77"/>
      <c r="DS145" s="77"/>
      <c r="DT145" s="77"/>
      <c r="DU145" s="11"/>
      <c r="DV145" s="11"/>
      <c r="DW145" s="11"/>
      <c r="DX145" s="11"/>
      <c r="DY145" s="11"/>
      <c r="DZ145" s="11"/>
      <c r="EA145" s="11"/>
      <c r="EB145" s="11"/>
      <c r="EC145" s="11"/>
      <c r="ED145" s="11"/>
      <c r="EE145" s="11"/>
      <c r="EF145" s="11"/>
    </row>
    <row r="146" spans="1:136" ht="67.5" x14ac:dyDescent="0.25">
      <c r="A146" s="425">
        <v>144</v>
      </c>
      <c r="B146" s="427" t="s">
        <v>1102</v>
      </c>
      <c r="C146" s="427" t="s">
        <v>952</v>
      </c>
      <c r="D146" s="427" t="s">
        <v>1103</v>
      </c>
      <c r="E146" s="79">
        <v>1</v>
      </c>
      <c r="F146" s="405"/>
      <c r="G146" s="274"/>
      <c r="H146" s="274"/>
      <c r="I146" s="274"/>
      <c r="J146" s="274"/>
      <c r="K146" s="11"/>
      <c r="L146" s="274"/>
      <c r="M146" s="274"/>
      <c r="N146" s="274"/>
      <c r="O146" s="48"/>
      <c r="P146" s="11"/>
      <c r="Q146" s="274"/>
      <c r="R146" s="274"/>
      <c r="S146" s="274"/>
      <c r="T146" s="11"/>
      <c r="U146" s="11"/>
      <c r="V146" s="11"/>
      <c r="W146" s="11"/>
      <c r="X146" s="11"/>
      <c r="Y146" s="11"/>
      <c r="Z146" s="48"/>
      <c r="AA146" s="52"/>
      <c r="AB146" s="52"/>
      <c r="AC146" s="118"/>
      <c r="AD146" s="5"/>
      <c r="AE146" s="52"/>
      <c r="AF146" s="113"/>
      <c r="AG146" s="113"/>
      <c r="AH146" s="113"/>
      <c r="AI146" s="52"/>
      <c r="AJ146" s="11"/>
      <c r="AK146" s="269"/>
      <c r="AL146" s="269"/>
      <c r="AM146" s="116"/>
      <c r="AN146" s="301"/>
      <c r="AO146" s="302"/>
      <c r="AP146" s="11"/>
      <c r="AQ146" s="11"/>
      <c r="AR146" s="11"/>
      <c r="AS146" s="11"/>
      <c r="AT146" s="11"/>
      <c r="AU146" s="118">
        <v>29495</v>
      </c>
      <c r="AV146" s="118">
        <v>5604</v>
      </c>
      <c r="AW146" s="118">
        <v>35099</v>
      </c>
      <c r="AX146" s="52" t="s">
        <v>607</v>
      </c>
      <c r="AY146" s="52" t="s">
        <v>1104</v>
      </c>
      <c r="AZ146" s="11"/>
      <c r="BA146" s="11"/>
      <c r="BB146" s="11"/>
      <c r="BC146" s="11"/>
      <c r="BD146" s="11"/>
      <c r="BE146" s="274"/>
      <c r="BF146" s="274"/>
      <c r="BG146" s="274"/>
      <c r="BH146" s="11"/>
      <c r="BI146" s="11"/>
      <c r="BJ146" s="311"/>
      <c r="BK146" s="311"/>
      <c r="BL146" s="311"/>
      <c r="BM146" s="52"/>
      <c r="BN146" s="52"/>
      <c r="BO146" s="387"/>
      <c r="BP146" s="320"/>
      <c r="BQ146" s="320"/>
      <c r="BR146" s="76"/>
      <c r="BS146" s="4"/>
      <c r="BT146" s="11"/>
      <c r="BU146" s="11"/>
      <c r="BV146" s="11"/>
      <c r="BW146" s="11"/>
      <c r="BX146" s="11"/>
      <c r="BY146" s="348"/>
      <c r="BZ146" s="348"/>
      <c r="CA146" s="348"/>
      <c r="CB146" s="348"/>
      <c r="CC146" s="348"/>
      <c r="CD146" s="11"/>
      <c r="CE146" s="11"/>
      <c r="CF146" s="11"/>
      <c r="CG146" s="11"/>
      <c r="CH146" s="11"/>
      <c r="CI146" s="11"/>
      <c r="CJ146" s="11"/>
      <c r="CK146" s="11"/>
      <c r="CL146" s="11"/>
      <c r="CM146" s="11"/>
      <c r="CN146" s="274"/>
      <c r="CO146" s="274"/>
      <c r="CP146" s="274"/>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8"/>
      <c r="DN146" s="118"/>
      <c r="DO146" s="118"/>
      <c r="DP146" s="52"/>
      <c r="DQ146" s="52"/>
      <c r="DR146" s="77"/>
      <c r="DS146" s="77"/>
      <c r="DT146" s="77"/>
      <c r="DU146" s="11"/>
      <c r="DV146" s="11"/>
      <c r="DW146" s="11"/>
      <c r="DX146" s="11"/>
      <c r="DY146" s="11"/>
      <c r="DZ146" s="11"/>
      <c r="EA146" s="11"/>
      <c r="EB146" s="11"/>
      <c r="EC146" s="11"/>
      <c r="ED146" s="11"/>
      <c r="EE146" s="11"/>
      <c r="EF146" s="11"/>
    </row>
    <row r="147" spans="1:136" ht="54" x14ac:dyDescent="0.25">
      <c r="A147" s="425">
        <v>145</v>
      </c>
      <c r="B147" s="427" t="s">
        <v>1105</v>
      </c>
      <c r="C147" s="427" t="s">
        <v>647</v>
      </c>
      <c r="D147" s="427" t="s">
        <v>1106</v>
      </c>
      <c r="E147" s="79">
        <v>1</v>
      </c>
      <c r="F147" s="405"/>
      <c r="G147" s="274">
        <v>118750</v>
      </c>
      <c r="H147" s="274">
        <v>22562.5</v>
      </c>
      <c r="I147" s="274">
        <v>141312.5</v>
      </c>
      <c r="J147" s="274" t="s">
        <v>45</v>
      </c>
      <c r="K147" s="11" t="s">
        <v>1107</v>
      </c>
      <c r="L147" s="274"/>
      <c r="M147" s="274"/>
      <c r="N147" s="274"/>
      <c r="O147" s="48"/>
      <c r="P147" s="11"/>
      <c r="Q147" s="274"/>
      <c r="R147" s="274"/>
      <c r="S147" s="274"/>
      <c r="T147" s="11"/>
      <c r="U147" s="11"/>
      <c r="V147" s="11"/>
      <c r="W147" s="11"/>
      <c r="X147" s="11"/>
      <c r="Y147" s="11"/>
      <c r="Z147" s="48"/>
      <c r="AA147" s="52"/>
      <c r="AB147" s="52"/>
      <c r="AC147" s="118"/>
      <c r="AD147" s="5"/>
      <c r="AE147" s="52"/>
      <c r="AF147" s="113">
        <v>91000</v>
      </c>
      <c r="AG147" s="113">
        <f>AF147*0.19</f>
        <v>17290</v>
      </c>
      <c r="AH147" s="113">
        <f>AF147+AG147</f>
        <v>108290</v>
      </c>
      <c r="AI147" s="277" t="s">
        <v>628</v>
      </c>
      <c r="AJ147" s="33" t="s">
        <v>1108</v>
      </c>
      <c r="AK147" s="269"/>
      <c r="AL147" s="269"/>
      <c r="AM147" s="116"/>
      <c r="AN147" s="301"/>
      <c r="AO147" s="302"/>
      <c r="AP147" s="11"/>
      <c r="AQ147" s="11"/>
      <c r="AR147" s="11"/>
      <c r="AS147" s="11"/>
      <c r="AT147" s="11"/>
      <c r="AU147" s="118">
        <v>122500</v>
      </c>
      <c r="AV147" s="118">
        <v>23275</v>
      </c>
      <c r="AW147" s="118">
        <v>145775</v>
      </c>
      <c r="AX147" s="52" t="s">
        <v>607</v>
      </c>
      <c r="AY147" s="52">
        <v>1094381000</v>
      </c>
      <c r="AZ147" s="11"/>
      <c r="BA147" s="11"/>
      <c r="BB147" s="11"/>
      <c r="BC147" s="11"/>
      <c r="BD147" s="11"/>
      <c r="BE147" s="274"/>
      <c r="BF147" s="274"/>
      <c r="BG147" s="274"/>
      <c r="BH147" s="11"/>
      <c r="BI147" s="11"/>
      <c r="BJ147" s="311"/>
      <c r="BK147" s="311"/>
      <c r="BL147" s="311"/>
      <c r="BM147" s="52"/>
      <c r="BN147" s="52"/>
      <c r="BO147" s="387"/>
      <c r="BP147" s="320"/>
      <c r="BQ147" s="320"/>
      <c r="BR147" s="76"/>
      <c r="BS147" s="4"/>
      <c r="BT147" s="11"/>
      <c r="BU147" s="11"/>
      <c r="BV147" s="11"/>
      <c r="BW147" s="11"/>
      <c r="BX147" s="11"/>
      <c r="BY147" s="348"/>
      <c r="BZ147" s="348"/>
      <c r="CA147" s="348"/>
      <c r="CB147" s="348"/>
      <c r="CC147" s="348"/>
      <c r="CD147" s="11"/>
      <c r="CE147" s="11"/>
      <c r="CF147" s="11"/>
      <c r="CG147" s="11"/>
      <c r="CH147" s="11"/>
      <c r="CI147" s="11"/>
      <c r="CJ147" s="11"/>
      <c r="CK147" s="11"/>
      <c r="CL147" s="11"/>
      <c r="CM147" s="11"/>
      <c r="CN147" s="274"/>
      <c r="CO147" s="274"/>
      <c r="CP147" s="274"/>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8"/>
      <c r="DN147" s="118"/>
      <c r="DO147" s="118"/>
      <c r="DP147" s="52"/>
      <c r="DQ147" s="52"/>
      <c r="DR147" s="77"/>
      <c r="DS147" s="77"/>
      <c r="DT147" s="77"/>
      <c r="DU147" s="11"/>
      <c r="DV147" s="11"/>
      <c r="DW147" s="11"/>
      <c r="DX147" s="11"/>
      <c r="DY147" s="11"/>
      <c r="DZ147" s="11"/>
      <c r="EA147" s="11"/>
      <c r="EB147" s="11"/>
      <c r="EC147" s="11"/>
      <c r="ED147" s="11"/>
      <c r="EE147" s="11"/>
      <c r="EF147" s="11"/>
    </row>
    <row r="148" spans="1:136" ht="94.5" x14ac:dyDescent="0.25">
      <c r="A148" s="425">
        <v>146</v>
      </c>
      <c r="B148" s="413" t="s">
        <v>1109</v>
      </c>
      <c r="C148" s="427" t="s">
        <v>647</v>
      </c>
      <c r="D148" s="427" t="s">
        <v>1106</v>
      </c>
      <c r="E148" s="79">
        <v>1</v>
      </c>
      <c r="F148" s="405"/>
      <c r="G148" s="274"/>
      <c r="H148" s="274"/>
      <c r="I148" s="274"/>
      <c r="J148" s="274"/>
      <c r="K148" s="11"/>
      <c r="L148" s="274"/>
      <c r="M148" s="274"/>
      <c r="N148" s="274"/>
      <c r="O148" s="48"/>
      <c r="P148" s="11"/>
      <c r="Q148" s="274"/>
      <c r="R148" s="274"/>
      <c r="S148" s="274"/>
      <c r="T148" s="11"/>
      <c r="U148" s="11"/>
      <c r="V148" s="11"/>
      <c r="W148" s="11"/>
      <c r="X148" s="11"/>
      <c r="Y148" s="11"/>
      <c r="Z148" s="48"/>
      <c r="AA148" s="52"/>
      <c r="AB148" s="52"/>
      <c r="AC148" s="118"/>
      <c r="AD148" s="5"/>
      <c r="AE148" s="52"/>
      <c r="AF148" s="113">
        <v>305000</v>
      </c>
      <c r="AG148" s="113">
        <f>AF148*0.19</f>
        <v>57950</v>
      </c>
      <c r="AH148" s="113">
        <f>AF148+AG148</f>
        <v>362950</v>
      </c>
      <c r="AI148" s="277" t="s">
        <v>628</v>
      </c>
      <c r="AJ148" s="33" t="s">
        <v>1110</v>
      </c>
      <c r="AK148" s="269">
        <v>190950</v>
      </c>
      <c r="AL148" s="269">
        <v>36280.5</v>
      </c>
      <c r="AM148" s="116">
        <v>227230.5</v>
      </c>
      <c r="AN148" s="301" t="s">
        <v>88</v>
      </c>
      <c r="AO148" s="302">
        <v>1094331000</v>
      </c>
      <c r="AP148" s="11"/>
      <c r="AQ148" s="11"/>
      <c r="AR148" s="11"/>
      <c r="AS148" s="11"/>
      <c r="AT148" s="11"/>
      <c r="AU148" s="118">
        <v>242825</v>
      </c>
      <c r="AV148" s="118">
        <v>46137</v>
      </c>
      <c r="AW148" s="118">
        <v>288962</v>
      </c>
      <c r="AX148" s="52" t="s">
        <v>607</v>
      </c>
      <c r="AY148" s="52">
        <v>1094331000</v>
      </c>
      <c r="AZ148" s="11"/>
      <c r="BA148" s="11"/>
      <c r="BB148" s="11"/>
      <c r="BC148" s="11"/>
      <c r="BD148" s="11"/>
      <c r="BE148" s="274"/>
      <c r="BF148" s="274"/>
      <c r="BG148" s="274"/>
      <c r="BH148" s="11"/>
      <c r="BI148" s="11"/>
      <c r="BJ148" s="311"/>
      <c r="BK148" s="311"/>
      <c r="BL148" s="311"/>
      <c r="BM148" s="52"/>
      <c r="BN148" s="52"/>
      <c r="BO148" s="387"/>
      <c r="BP148" s="320"/>
      <c r="BQ148" s="320"/>
      <c r="BR148" s="76"/>
      <c r="BS148" s="4"/>
      <c r="BT148" s="11"/>
      <c r="BU148" s="11"/>
      <c r="BV148" s="11"/>
      <c r="BW148" s="11"/>
      <c r="BX148" s="11"/>
      <c r="BY148" s="348"/>
      <c r="BZ148" s="348"/>
      <c r="CA148" s="348"/>
      <c r="CB148" s="348"/>
      <c r="CC148" s="348"/>
      <c r="CD148" s="11"/>
      <c r="CE148" s="11"/>
      <c r="CF148" s="11"/>
      <c r="CG148" s="11"/>
      <c r="CH148" s="11"/>
      <c r="CI148" s="11"/>
      <c r="CJ148" s="11"/>
      <c r="CK148" s="11"/>
      <c r="CL148" s="11"/>
      <c r="CM148" s="11"/>
      <c r="CN148" s="274"/>
      <c r="CO148" s="274"/>
      <c r="CP148" s="274"/>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8"/>
      <c r="DN148" s="118"/>
      <c r="DO148" s="118"/>
      <c r="DP148" s="52"/>
      <c r="DQ148" s="52"/>
      <c r="DR148" s="77"/>
      <c r="DS148" s="77"/>
      <c r="DT148" s="77"/>
      <c r="DU148" s="11"/>
      <c r="DV148" s="11"/>
      <c r="DW148" s="11"/>
      <c r="DX148" s="11"/>
      <c r="DY148" s="11"/>
      <c r="DZ148" s="11"/>
      <c r="EA148" s="11"/>
      <c r="EB148" s="11"/>
      <c r="EC148" s="11"/>
      <c r="ED148" s="11"/>
      <c r="EE148" s="11"/>
      <c r="EF148" s="11"/>
    </row>
    <row r="149" spans="1:136" ht="108" x14ac:dyDescent="0.25">
      <c r="A149" s="425">
        <v>147</v>
      </c>
      <c r="B149" s="413" t="s">
        <v>1111</v>
      </c>
      <c r="C149" s="427" t="s">
        <v>647</v>
      </c>
      <c r="D149" s="427" t="s">
        <v>1106</v>
      </c>
      <c r="E149" s="79">
        <v>1</v>
      </c>
      <c r="F149" s="406">
        <v>89741.089200000002</v>
      </c>
      <c r="G149" s="274">
        <v>127500</v>
      </c>
      <c r="H149" s="274">
        <v>24225</v>
      </c>
      <c r="I149" s="274">
        <v>151725</v>
      </c>
      <c r="J149" s="274" t="s">
        <v>45</v>
      </c>
      <c r="K149" s="11" t="s">
        <v>1112</v>
      </c>
      <c r="L149" s="274"/>
      <c r="M149" s="274"/>
      <c r="N149" s="274"/>
      <c r="O149" s="48"/>
      <c r="P149" s="11"/>
      <c r="Q149" s="274"/>
      <c r="R149" s="274"/>
      <c r="S149" s="274"/>
      <c r="T149" s="11"/>
      <c r="U149" s="11"/>
      <c r="V149" s="11"/>
      <c r="W149" s="11"/>
      <c r="X149" s="11"/>
      <c r="Y149" s="11"/>
      <c r="Z149" s="48"/>
      <c r="AA149" s="52"/>
      <c r="AB149" s="52"/>
      <c r="AC149" s="118"/>
      <c r="AD149" s="5"/>
      <c r="AE149" s="52"/>
      <c r="AF149" s="113">
        <v>289000</v>
      </c>
      <c r="AG149" s="113">
        <f>AF149*0.19</f>
        <v>54910</v>
      </c>
      <c r="AH149" s="113">
        <f>AF149+AG149</f>
        <v>343910</v>
      </c>
      <c r="AI149" s="277" t="s">
        <v>628</v>
      </c>
      <c r="AJ149" s="33" t="s">
        <v>1113</v>
      </c>
      <c r="AK149" s="269">
        <v>73170</v>
      </c>
      <c r="AL149" s="269">
        <v>13902.3</v>
      </c>
      <c r="AM149" s="116">
        <v>87072.3</v>
      </c>
      <c r="AN149" s="301" t="s">
        <v>88</v>
      </c>
      <c r="AO149" s="302">
        <v>1094351000</v>
      </c>
      <c r="AP149" s="11"/>
      <c r="AQ149" s="11"/>
      <c r="AR149" s="11"/>
      <c r="AS149" s="11"/>
      <c r="AT149" s="11"/>
      <c r="AU149" s="118">
        <v>96405</v>
      </c>
      <c r="AV149" s="118">
        <f>+AU149*0.19</f>
        <v>18316.95</v>
      </c>
      <c r="AW149" s="118">
        <f>+AU149+AV149</f>
        <v>114721.95</v>
      </c>
      <c r="AX149" s="52" t="s">
        <v>343</v>
      </c>
      <c r="AY149" s="52">
        <v>1094351000</v>
      </c>
      <c r="AZ149" s="11"/>
      <c r="BA149" s="11"/>
      <c r="BB149" s="11"/>
      <c r="BC149" s="11"/>
      <c r="BD149" s="11"/>
      <c r="BE149" s="274"/>
      <c r="BF149" s="274"/>
      <c r="BG149" s="274"/>
      <c r="BH149" s="11"/>
      <c r="BI149" s="11"/>
      <c r="BJ149" s="311"/>
      <c r="BK149" s="311"/>
      <c r="BL149" s="311"/>
      <c r="BM149" s="52"/>
      <c r="BN149" s="52"/>
      <c r="BO149" s="387"/>
      <c r="BP149" s="320"/>
      <c r="BQ149" s="320"/>
      <c r="BR149" s="76"/>
      <c r="BS149" s="4"/>
      <c r="BT149" s="11"/>
      <c r="BU149" s="11"/>
      <c r="BV149" s="11"/>
      <c r="BW149" s="11"/>
      <c r="BX149" s="11"/>
      <c r="BY149" s="348"/>
      <c r="BZ149" s="348"/>
      <c r="CA149" s="348"/>
      <c r="CB149" s="348"/>
      <c r="CC149" s="348"/>
      <c r="CD149" s="11"/>
      <c r="CE149" s="11"/>
      <c r="CF149" s="11"/>
      <c r="CG149" s="11"/>
      <c r="CH149" s="11"/>
      <c r="CI149" s="11"/>
      <c r="CJ149" s="11"/>
      <c r="CK149" s="11"/>
      <c r="CL149" s="11"/>
      <c r="CM149" s="11"/>
      <c r="CN149" s="274"/>
      <c r="CO149" s="274"/>
      <c r="CP149" s="274"/>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8">
        <v>99750</v>
      </c>
      <c r="DN149" s="118">
        <f>+DM149*0.19</f>
        <v>18952.5</v>
      </c>
      <c r="DO149" s="118">
        <f>+DM149+DN149</f>
        <v>118702.5</v>
      </c>
      <c r="DP149" s="52"/>
      <c r="DQ149" s="52">
        <v>1094351000</v>
      </c>
      <c r="DR149" s="77"/>
      <c r="DS149" s="77"/>
      <c r="DT149" s="77"/>
      <c r="DU149" s="11"/>
      <c r="DV149" s="11"/>
      <c r="DW149" s="11"/>
      <c r="DX149" s="11"/>
      <c r="DY149" s="11"/>
      <c r="DZ149" s="11"/>
      <c r="EA149" s="11"/>
      <c r="EB149" s="11"/>
      <c r="EC149" s="11"/>
      <c r="ED149" s="11"/>
      <c r="EE149" s="11"/>
      <c r="EF149" s="11"/>
    </row>
    <row r="150" spans="1:136" ht="94.5" x14ac:dyDescent="0.25">
      <c r="A150" s="425">
        <v>148</v>
      </c>
      <c r="B150" s="413" t="s">
        <v>1114</v>
      </c>
      <c r="C150" s="427" t="s">
        <v>647</v>
      </c>
      <c r="D150" s="427" t="s">
        <v>1106</v>
      </c>
      <c r="E150" s="79">
        <v>1</v>
      </c>
      <c r="F150" s="406">
        <v>89741.089200000002</v>
      </c>
      <c r="G150" s="274">
        <v>127500</v>
      </c>
      <c r="H150" s="274">
        <v>24225</v>
      </c>
      <c r="I150" s="274">
        <v>151725</v>
      </c>
      <c r="J150" s="274" t="s">
        <v>45</v>
      </c>
      <c r="K150" s="11">
        <v>2721701211</v>
      </c>
      <c r="L150" s="274"/>
      <c r="M150" s="274"/>
      <c r="N150" s="274"/>
      <c r="O150" s="48"/>
      <c r="P150" s="11"/>
      <c r="Q150" s="274"/>
      <c r="R150" s="274"/>
      <c r="S150" s="274"/>
      <c r="T150" s="11"/>
      <c r="U150" s="11"/>
      <c r="V150" s="11"/>
      <c r="W150" s="11"/>
      <c r="X150" s="11"/>
      <c r="Y150" s="11"/>
      <c r="Z150" s="48"/>
      <c r="AA150" s="52"/>
      <c r="AB150" s="52"/>
      <c r="AC150" s="118"/>
      <c r="AD150" s="5"/>
      <c r="AE150" s="52"/>
      <c r="AF150" s="113">
        <v>289000</v>
      </c>
      <c r="AG150" s="113">
        <f>AF150*0.19</f>
        <v>54910</v>
      </c>
      <c r="AH150" s="113">
        <f>AF150+AG150</f>
        <v>343910</v>
      </c>
      <c r="AI150" s="277" t="s">
        <v>628</v>
      </c>
      <c r="AJ150" s="33" t="s">
        <v>1115</v>
      </c>
      <c r="AK150" s="269">
        <v>79268</v>
      </c>
      <c r="AL150" s="269">
        <v>15060.92</v>
      </c>
      <c r="AM150" s="116">
        <v>94328.92</v>
      </c>
      <c r="AN150" s="301" t="s">
        <v>88</v>
      </c>
      <c r="AO150" s="302">
        <v>1094391000</v>
      </c>
      <c r="AP150" s="11"/>
      <c r="AQ150" s="11"/>
      <c r="AR150" s="11"/>
      <c r="AS150" s="11"/>
      <c r="AT150" s="11"/>
      <c r="AU150" s="118">
        <v>98580</v>
      </c>
      <c r="AV150" s="118">
        <f>+AU150*0.19</f>
        <v>18730.2</v>
      </c>
      <c r="AW150" s="118">
        <f>+AU150+AV150</f>
        <v>117310.2</v>
      </c>
      <c r="AX150" s="52" t="s">
        <v>343</v>
      </c>
      <c r="AY150" s="52">
        <v>1094071000</v>
      </c>
      <c r="AZ150" s="11"/>
      <c r="BA150" s="11"/>
      <c r="BB150" s="11"/>
      <c r="BC150" s="11"/>
      <c r="BD150" s="11"/>
      <c r="BE150" s="274"/>
      <c r="BF150" s="274"/>
      <c r="BG150" s="274"/>
      <c r="BH150" s="11"/>
      <c r="BI150" s="11"/>
      <c r="BJ150" s="311"/>
      <c r="BK150" s="311"/>
      <c r="BL150" s="311"/>
      <c r="BM150" s="52"/>
      <c r="BN150" s="52"/>
      <c r="BO150" s="387"/>
      <c r="BP150" s="320"/>
      <c r="BQ150" s="320"/>
      <c r="BR150" s="76"/>
      <c r="BS150" s="4"/>
      <c r="BT150" s="11"/>
      <c r="BU150" s="11"/>
      <c r="BV150" s="11"/>
      <c r="BW150" s="11"/>
      <c r="BX150" s="11"/>
      <c r="BY150" s="348"/>
      <c r="BZ150" s="348"/>
      <c r="CA150" s="348"/>
      <c r="CB150" s="348"/>
      <c r="CC150" s="348"/>
      <c r="CD150" s="11"/>
      <c r="CE150" s="11"/>
      <c r="CF150" s="11"/>
      <c r="CG150" s="11"/>
      <c r="CH150" s="11"/>
      <c r="CI150" s="11"/>
      <c r="CJ150" s="11"/>
      <c r="CK150" s="11"/>
      <c r="CL150" s="11"/>
      <c r="CM150" s="11"/>
      <c r="CN150" s="274"/>
      <c r="CO150" s="274"/>
      <c r="CP150" s="274"/>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8">
        <v>109500</v>
      </c>
      <c r="DN150" s="118">
        <f>+DM150*0.19</f>
        <v>20805</v>
      </c>
      <c r="DO150" s="118">
        <f>+DM150+DN150</f>
        <v>130305</v>
      </c>
      <c r="DP150" s="52"/>
      <c r="DQ150" s="52">
        <v>1094391000</v>
      </c>
      <c r="DR150" s="77"/>
      <c r="DS150" s="77"/>
      <c r="DT150" s="77"/>
      <c r="DU150" s="11"/>
      <c r="DV150" s="11"/>
      <c r="DW150" s="11"/>
      <c r="DX150" s="11"/>
      <c r="DY150" s="11"/>
      <c r="DZ150" s="11"/>
      <c r="EA150" s="11"/>
      <c r="EB150" s="11"/>
      <c r="EC150" s="11"/>
      <c r="ED150" s="11"/>
      <c r="EE150" s="11"/>
      <c r="EF150" s="11"/>
    </row>
    <row r="151" spans="1:136" ht="25.5" customHeight="1" x14ac:dyDescent="0.25">
      <c r="A151" s="425">
        <v>149</v>
      </c>
      <c r="B151" s="427" t="s">
        <v>1116</v>
      </c>
      <c r="C151" s="427" t="s">
        <v>1117</v>
      </c>
      <c r="D151" s="427" t="s">
        <v>1118</v>
      </c>
      <c r="E151" s="79">
        <v>1</v>
      </c>
      <c r="F151" s="405">
        <v>1087199.47</v>
      </c>
      <c r="G151" s="274"/>
      <c r="H151" s="274"/>
      <c r="I151" s="274"/>
      <c r="J151" s="274"/>
      <c r="K151" s="11"/>
      <c r="L151" s="274"/>
      <c r="M151" s="274"/>
      <c r="N151" s="274"/>
      <c r="O151" s="48"/>
      <c r="P151" s="11"/>
      <c r="Q151" s="274"/>
      <c r="R151" s="274"/>
      <c r="S151" s="274"/>
      <c r="T151" s="11"/>
      <c r="U151" s="11"/>
      <c r="V151" s="11"/>
      <c r="W151" s="11"/>
      <c r="X151" s="11"/>
      <c r="Y151" s="11"/>
      <c r="Z151" s="48"/>
      <c r="AA151" s="52"/>
      <c r="AB151" s="52"/>
      <c r="AC151" s="118"/>
      <c r="AD151" s="5"/>
      <c r="AE151" s="52"/>
      <c r="AF151" s="113"/>
      <c r="AG151" s="113"/>
      <c r="AH151" s="113"/>
      <c r="AI151" s="52"/>
      <c r="AJ151" s="11"/>
      <c r="AK151" s="269"/>
      <c r="AL151" s="269"/>
      <c r="AM151" s="116"/>
      <c r="AN151" s="301"/>
      <c r="AO151" s="302"/>
      <c r="AP151" s="11"/>
      <c r="AQ151" s="11"/>
      <c r="AR151" s="11"/>
      <c r="AS151" s="11"/>
      <c r="AT151" s="11"/>
      <c r="AU151" s="118"/>
      <c r="AV151" s="118"/>
      <c r="AW151" s="118"/>
      <c r="AX151" s="52"/>
      <c r="AY151" s="52"/>
      <c r="AZ151" s="11"/>
      <c r="BA151" s="11"/>
      <c r="BB151" s="11"/>
      <c r="BC151" s="11"/>
      <c r="BD151" s="11"/>
      <c r="BE151" s="274"/>
      <c r="BF151" s="274"/>
      <c r="BG151" s="274"/>
      <c r="BH151" s="11"/>
      <c r="BI151" s="11"/>
      <c r="BJ151" s="311"/>
      <c r="BK151" s="311"/>
      <c r="BL151" s="311"/>
      <c r="BM151" s="52"/>
      <c r="BN151" s="52"/>
      <c r="BO151" s="387"/>
      <c r="BP151" s="320"/>
      <c r="BQ151" s="320"/>
      <c r="BR151" s="76"/>
      <c r="BS151" s="4"/>
      <c r="BT151" s="11"/>
      <c r="BU151" s="11"/>
      <c r="BV151" s="11"/>
      <c r="BW151" s="11"/>
      <c r="BX151" s="11"/>
      <c r="BY151" s="348"/>
      <c r="BZ151" s="348"/>
      <c r="CA151" s="348"/>
      <c r="CB151" s="348"/>
      <c r="CC151" s="348"/>
      <c r="CD151" s="11"/>
      <c r="CE151" s="11"/>
      <c r="CF151" s="11"/>
      <c r="CG151" s="11"/>
      <c r="CH151" s="11"/>
      <c r="CI151" s="11"/>
      <c r="CJ151" s="11"/>
      <c r="CK151" s="11"/>
      <c r="CL151" s="11"/>
      <c r="CM151" s="11"/>
      <c r="CN151" s="274"/>
      <c r="CO151" s="274"/>
      <c r="CP151" s="274"/>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8"/>
      <c r="DN151" s="118"/>
      <c r="DO151" s="118"/>
      <c r="DP151" s="52"/>
      <c r="DQ151" s="52"/>
      <c r="DR151" s="77"/>
      <c r="DS151" s="77"/>
      <c r="DT151" s="77"/>
      <c r="DU151" s="11"/>
      <c r="DV151" s="11"/>
      <c r="DW151" s="11"/>
      <c r="DX151" s="11"/>
      <c r="DY151" s="11"/>
      <c r="DZ151" s="11"/>
      <c r="EA151" s="11"/>
      <c r="EB151" s="11"/>
      <c r="EC151" s="11"/>
      <c r="ED151" s="11"/>
      <c r="EE151" s="11"/>
      <c r="EF151" s="11"/>
    </row>
    <row r="152" spans="1:136" ht="40.5" x14ac:dyDescent="0.25">
      <c r="A152" s="425">
        <v>150</v>
      </c>
      <c r="B152" s="427" t="s">
        <v>1119</v>
      </c>
      <c r="C152" s="427" t="s">
        <v>1120</v>
      </c>
      <c r="D152" s="427" t="s">
        <v>445</v>
      </c>
      <c r="E152" s="79">
        <v>1</v>
      </c>
      <c r="F152" s="405"/>
      <c r="G152" s="274"/>
      <c r="H152" s="274"/>
      <c r="I152" s="274"/>
      <c r="J152" s="274"/>
      <c r="K152" s="11"/>
      <c r="L152" s="274"/>
      <c r="M152" s="274"/>
      <c r="N152" s="274"/>
      <c r="O152" s="48"/>
      <c r="P152" s="11"/>
      <c r="Q152" s="274"/>
      <c r="R152" s="274"/>
      <c r="S152" s="274"/>
      <c r="T152" s="11"/>
      <c r="U152" s="11"/>
      <c r="V152" s="11"/>
      <c r="W152" s="11"/>
      <c r="X152" s="11"/>
      <c r="Y152" s="11"/>
      <c r="Z152" s="48"/>
      <c r="AA152" s="52"/>
      <c r="AB152" s="52"/>
      <c r="AC152" s="118"/>
      <c r="AD152" s="5"/>
      <c r="AE152" s="52"/>
      <c r="AF152" s="113">
        <v>464000</v>
      </c>
      <c r="AG152" s="113">
        <f>AF152*0.19</f>
        <v>88160</v>
      </c>
      <c r="AH152" s="113">
        <f>AF152+AG152</f>
        <v>552160</v>
      </c>
      <c r="AI152" s="277" t="s">
        <v>628</v>
      </c>
      <c r="AJ152" s="33" t="s">
        <v>1121</v>
      </c>
      <c r="AK152" s="269">
        <v>270000</v>
      </c>
      <c r="AL152" s="269">
        <v>51300</v>
      </c>
      <c r="AM152" s="116">
        <v>321300</v>
      </c>
      <c r="AN152" s="301" t="s">
        <v>37</v>
      </c>
      <c r="AO152" s="302" t="s">
        <v>1122</v>
      </c>
      <c r="AP152" s="11"/>
      <c r="AQ152" s="11"/>
      <c r="AR152" s="11"/>
      <c r="AS152" s="11"/>
      <c r="AT152" s="11"/>
      <c r="AU152" s="118">
        <v>1734935</v>
      </c>
      <c r="AV152" s="118">
        <v>329638</v>
      </c>
      <c r="AW152" s="118">
        <v>2064573</v>
      </c>
      <c r="AX152" s="52" t="s">
        <v>607</v>
      </c>
      <c r="AY152" s="52" t="s">
        <v>1123</v>
      </c>
      <c r="AZ152" s="11"/>
      <c r="BA152" s="11"/>
      <c r="BB152" s="11"/>
      <c r="BC152" s="11"/>
      <c r="BD152" s="11"/>
      <c r="BE152" s="274">
        <v>1850000</v>
      </c>
      <c r="BF152" s="274">
        <v>351500</v>
      </c>
      <c r="BG152" s="274">
        <v>2201500</v>
      </c>
      <c r="BH152" s="11" t="s">
        <v>338</v>
      </c>
      <c r="BI152" s="11" t="s">
        <v>1124</v>
      </c>
      <c r="BJ152" s="311"/>
      <c r="BK152" s="311"/>
      <c r="BL152" s="311"/>
      <c r="BM152" s="52"/>
      <c r="BN152" s="52"/>
      <c r="BO152" s="387"/>
      <c r="BP152" s="320"/>
      <c r="BQ152" s="320"/>
      <c r="BR152" s="76"/>
      <c r="BS152" s="4"/>
      <c r="BT152" s="11"/>
      <c r="BU152" s="11"/>
      <c r="BV152" s="11"/>
      <c r="BW152" s="11"/>
      <c r="BX152" s="11"/>
      <c r="BY152" s="348"/>
      <c r="BZ152" s="348"/>
      <c r="CA152" s="348"/>
      <c r="CB152" s="348"/>
      <c r="CC152" s="348"/>
      <c r="CD152" s="11"/>
      <c r="CE152" s="11"/>
      <c r="CF152" s="11"/>
      <c r="CG152" s="11"/>
      <c r="CH152" s="11"/>
      <c r="CI152" s="11"/>
      <c r="CJ152" s="11"/>
      <c r="CK152" s="11"/>
      <c r="CL152" s="11"/>
      <c r="CM152" s="11"/>
      <c r="CN152" s="274"/>
      <c r="CO152" s="274"/>
      <c r="CP152" s="274"/>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8"/>
      <c r="DN152" s="118"/>
      <c r="DO152" s="118"/>
      <c r="DP152" s="52"/>
      <c r="DQ152" s="52"/>
      <c r="DR152" s="77"/>
      <c r="DS152" s="77"/>
      <c r="DT152" s="77"/>
      <c r="DU152" s="11"/>
      <c r="DV152" s="11"/>
      <c r="DW152" s="11"/>
      <c r="DX152" s="11"/>
      <c r="DY152" s="11"/>
      <c r="DZ152" s="11"/>
      <c r="EA152" s="11"/>
      <c r="EB152" s="11"/>
      <c r="EC152" s="11"/>
      <c r="ED152" s="11"/>
      <c r="EE152" s="11"/>
      <c r="EF152" s="11"/>
    </row>
    <row r="153" spans="1:136" ht="12.75" customHeight="1" x14ac:dyDescent="0.25">
      <c r="A153" s="425">
        <v>151</v>
      </c>
      <c r="B153" s="428" t="s">
        <v>1125</v>
      </c>
      <c r="C153" s="428" t="s">
        <v>1126</v>
      </c>
      <c r="D153" s="428" t="s">
        <v>1127</v>
      </c>
      <c r="E153" s="79">
        <v>1</v>
      </c>
      <c r="F153" s="405"/>
      <c r="G153" s="274">
        <v>731250</v>
      </c>
      <c r="H153" s="274">
        <v>138937.5</v>
      </c>
      <c r="I153" s="274">
        <v>870187.5</v>
      </c>
      <c r="J153" s="274" t="s">
        <v>45</v>
      </c>
      <c r="K153" s="11" t="s">
        <v>1128</v>
      </c>
      <c r="L153" s="274"/>
      <c r="M153" s="274"/>
      <c r="N153" s="274"/>
      <c r="O153" s="48"/>
      <c r="P153" s="11"/>
      <c r="Q153" s="274"/>
      <c r="R153" s="274"/>
      <c r="S153" s="274"/>
      <c r="T153" s="11"/>
      <c r="U153" s="11"/>
      <c r="V153" s="11"/>
      <c r="W153" s="11"/>
      <c r="X153" s="11"/>
      <c r="Y153" s="11"/>
      <c r="Z153" s="48"/>
      <c r="AA153" s="52"/>
      <c r="AB153" s="52"/>
      <c r="AC153" s="118"/>
      <c r="AD153" s="5"/>
      <c r="AE153" s="52"/>
      <c r="AF153" s="113">
        <v>311000</v>
      </c>
      <c r="AG153" s="113">
        <f>AF153*0.19</f>
        <v>59090</v>
      </c>
      <c r="AH153" s="113">
        <f>AF153+AG153</f>
        <v>370090</v>
      </c>
      <c r="AI153" s="52" t="s">
        <v>770</v>
      </c>
      <c r="AJ153" s="11" t="s">
        <v>1129</v>
      </c>
      <c r="AK153" s="269">
        <v>445976</v>
      </c>
      <c r="AL153" s="269">
        <v>84735.44</v>
      </c>
      <c r="AM153" s="116">
        <v>530711.43999999994</v>
      </c>
      <c r="AN153" s="301" t="s">
        <v>88</v>
      </c>
      <c r="AO153" s="302">
        <v>1104930500</v>
      </c>
      <c r="AP153" s="11"/>
      <c r="AQ153" s="11"/>
      <c r="AR153" s="11"/>
      <c r="AS153" s="11"/>
      <c r="AT153" s="11"/>
      <c r="AU153" s="118">
        <v>570071</v>
      </c>
      <c r="AV153" s="118">
        <v>108313</v>
      </c>
      <c r="AW153" s="118">
        <v>678384</v>
      </c>
      <c r="AX153" s="52" t="s">
        <v>607</v>
      </c>
      <c r="AY153" s="52">
        <v>1104930500</v>
      </c>
      <c r="AZ153" s="11"/>
      <c r="BA153" s="11"/>
      <c r="BB153" s="11"/>
      <c r="BC153" s="11"/>
      <c r="BD153" s="11"/>
      <c r="BE153" s="274">
        <v>916000</v>
      </c>
      <c r="BF153" s="274">
        <v>174040</v>
      </c>
      <c r="BG153" s="274">
        <v>1090040</v>
      </c>
      <c r="BH153" s="11" t="s">
        <v>88</v>
      </c>
      <c r="BI153" s="11">
        <v>1104930500</v>
      </c>
      <c r="BJ153" s="311"/>
      <c r="BK153" s="311"/>
      <c r="BL153" s="311"/>
      <c r="BM153" s="52"/>
      <c r="BN153" s="52"/>
      <c r="BO153" s="387"/>
      <c r="BP153" s="320"/>
      <c r="BQ153" s="320"/>
      <c r="BR153" s="76"/>
      <c r="BS153" s="4"/>
      <c r="BT153" s="11"/>
      <c r="BU153" s="11"/>
      <c r="BV153" s="11"/>
      <c r="BW153" s="11"/>
      <c r="BX153" s="11"/>
      <c r="BY153" s="232">
        <v>223000</v>
      </c>
      <c r="BZ153" s="232">
        <f t="shared" ref="BZ153:BZ158" si="8">BY153*0.19</f>
        <v>42370</v>
      </c>
      <c r="CA153" s="232">
        <f t="shared" ref="CA153:CA158" si="9">BY153+BZ153</f>
        <v>265370</v>
      </c>
      <c r="CB153" s="348" t="s">
        <v>767</v>
      </c>
      <c r="CC153" s="348" t="s">
        <v>1130</v>
      </c>
      <c r="CD153" s="11"/>
      <c r="CE153" s="11"/>
      <c r="CF153" s="11"/>
      <c r="CG153" s="11"/>
      <c r="CH153" s="11"/>
      <c r="CI153" s="11"/>
      <c r="CJ153" s="11"/>
      <c r="CK153" s="11"/>
      <c r="CL153" s="11"/>
      <c r="CM153" s="11"/>
      <c r="CN153" s="274"/>
      <c r="CO153" s="274"/>
      <c r="CP153" s="274"/>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8"/>
      <c r="DN153" s="118"/>
      <c r="DO153" s="118"/>
      <c r="DP153" s="52"/>
      <c r="DQ153" s="52"/>
      <c r="DR153" s="77"/>
      <c r="DS153" s="77"/>
      <c r="DT153" s="77"/>
      <c r="DU153" s="11"/>
      <c r="DV153" s="11"/>
      <c r="DW153" s="11"/>
      <c r="DX153" s="11"/>
      <c r="DY153" s="11"/>
      <c r="DZ153" s="11"/>
      <c r="EA153" s="11"/>
      <c r="EB153" s="11"/>
      <c r="EC153" s="11"/>
      <c r="ED153" s="11"/>
      <c r="EE153" s="11"/>
      <c r="EF153" s="11"/>
    </row>
    <row r="154" spans="1:136" ht="13.5" x14ac:dyDescent="0.25">
      <c r="A154" s="425">
        <v>152</v>
      </c>
      <c r="B154" s="426" t="s">
        <v>1131</v>
      </c>
      <c r="C154" s="413" t="s">
        <v>1132</v>
      </c>
      <c r="D154" s="426" t="s">
        <v>132</v>
      </c>
      <c r="E154" s="79">
        <v>1</v>
      </c>
      <c r="F154" s="405"/>
      <c r="G154" s="274"/>
      <c r="H154" s="274"/>
      <c r="I154" s="274"/>
      <c r="J154" s="274"/>
      <c r="K154" s="11"/>
      <c r="L154" s="274"/>
      <c r="M154" s="274"/>
      <c r="N154" s="274"/>
      <c r="O154" s="48"/>
      <c r="P154" s="11"/>
      <c r="Q154" s="274"/>
      <c r="R154" s="274"/>
      <c r="S154" s="274"/>
      <c r="T154" s="11"/>
      <c r="U154" s="11"/>
      <c r="V154" s="11"/>
      <c r="W154" s="11"/>
      <c r="X154" s="11"/>
      <c r="Y154" s="11"/>
      <c r="Z154" s="48"/>
      <c r="AA154" s="52"/>
      <c r="AB154" s="52"/>
      <c r="AC154" s="118"/>
      <c r="AD154" s="5"/>
      <c r="AE154" s="52"/>
      <c r="AF154" s="113">
        <v>188000</v>
      </c>
      <c r="AG154" s="113">
        <f>AF154*0.19</f>
        <v>35720</v>
      </c>
      <c r="AH154" s="113">
        <f>AF154+AG154</f>
        <v>223720</v>
      </c>
      <c r="AI154" s="52" t="s">
        <v>770</v>
      </c>
      <c r="AJ154" s="11" t="s">
        <v>1133</v>
      </c>
      <c r="AK154" s="269">
        <v>201920</v>
      </c>
      <c r="AL154" s="269">
        <v>38364.800000000003</v>
      </c>
      <c r="AM154" s="116">
        <v>240284.79999999999</v>
      </c>
      <c r="AN154" s="301" t="s">
        <v>88</v>
      </c>
      <c r="AO154" s="302">
        <v>1054590500</v>
      </c>
      <c r="AP154" s="11"/>
      <c r="AQ154" s="11"/>
      <c r="AR154" s="11"/>
      <c r="AS154" s="11"/>
      <c r="AT154" s="11"/>
      <c r="AU154" s="118">
        <v>310882</v>
      </c>
      <c r="AV154" s="118">
        <v>59068</v>
      </c>
      <c r="AW154" s="118">
        <v>369950</v>
      </c>
      <c r="AX154" s="52" t="s">
        <v>607</v>
      </c>
      <c r="AY154" s="52">
        <v>1054590500</v>
      </c>
      <c r="AZ154" s="11"/>
      <c r="BA154" s="11"/>
      <c r="BB154" s="11"/>
      <c r="BC154" s="11"/>
      <c r="BD154" s="11"/>
      <c r="BE154" s="274"/>
      <c r="BF154" s="274"/>
      <c r="BG154" s="274"/>
      <c r="BH154" s="11"/>
      <c r="BI154" s="11"/>
      <c r="BJ154" s="311"/>
      <c r="BK154" s="311"/>
      <c r="BL154" s="311"/>
      <c r="BM154" s="52"/>
      <c r="BN154" s="52"/>
      <c r="BO154" s="387"/>
      <c r="BP154" s="320"/>
      <c r="BQ154" s="320"/>
      <c r="BR154" s="76"/>
      <c r="BS154" s="4"/>
      <c r="BT154" s="11"/>
      <c r="BU154" s="11"/>
      <c r="BV154" s="11"/>
      <c r="BW154" s="11"/>
      <c r="BX154" s="11"/>
      <c r="BY154" s="232">
        <v>138000</v>
      </c>
      <c r="BZ154" s="232">
        <f t="shared" si="8"/>
        <v>26220</v>
      </c>
      <c r="CA154" s="232">
        <f t="shared" si="9"/>
        <v>164220</v>
      </c>
      <c r="CB154" s="348" t="s">
        <v>767</v>
      </c>
      <c r="CC154" s="348" t="s">
        <v>1134</v>
      </c>
      <c r="CD154" s="11"/>
      <c r="CE154" s="11"/>
      <c r="CF154" s="11"/>
      <c r="CG154" s="11"/>
      <c r="CH154" s="11"/>
      <c r="CI154" s="11"/>
      <c r="CJ154" s="11"/>
      <c r="CK154" s="11"/>
      <c r="CL154" s="11"/>
      <c r="CM154" s="11"/>
      <c r="CN154" s="274"/>
      <c r="CO154" s="274"/>
      <c r="CP154" s="274"/>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8"/>
      <c r="DN154" s="118"/>
      <c r="DO154" s="118"/>
      <c r="DP154" s="52"/>
      <c r="DQ154" s="52"/>
      <c r="DR154" s="77"/>
      <c r="DS154" s="77"/>
      <c r="DT154" s="77"/>
      <c r="DU154" s="11"/>
      <c r="DV154" s="11"/>
      <c r="DW154" s="11"/>
      <c r="DX154" s="11"/>
      <c r="DY154" s="11"/>
      <c r="DZ154" s="11"/>
      <c r="EA154" s="11"/>
      <c r="EB154" s="11"/>
      <c r="EC154" s="11"/>
      <c r="ED154" s="11"/>
      <c r="EE154" s="11"/>
      <c r="EF154" s="11"/>
    </row>
    <row r="155" spans="1:136" ht="25.5" customHeight="1" x14ac:dyDescent="0.25">
      <c r="A155" s="425">
        <v>153</v>
      </c>
      <c r="B155" s="427" t="s">
        <v>1135</v>
      </c>
      <c r="C155" s="427" t="s">
        <v>1136</v>
      </c>
      <c r="D155" s="427" t="s">
        <v>132</v>
      </c>
      <c r="E155" s="79">
        <v>1</v>
      </c>
      <c r="F155" s="406">
        <v>1396391.4580000001</v>
      </c>
      <c r="G155" s="274"/>
      <c r="H155" s="274"/>
      <c r="I155" s="274"/>
      <c r="J155" s="274"/>
      <c r="K155" s="11"/>
      <c r="L155" s="274"/>
      <c r="M155" s="274"/>
      <c r="N155" s="274"/>
      <c r="O155" s="48"/>
      <c r="P155" s="11"/>
      <c r="Q155" s="274"/>
      <c r="R155" s="274"/>
      <c r="S155" s="274"/>
      <c r="T155" s="11"/>
      <c r="U155" s="11"/>
      <c r="V155" s="11"/>
      <c r="W155" s="11"/>
      <c r="X155" s="11"/>
      <c r="Y155" s="11"/>
      <c r="Z155" s="48"/>
      <c r="AA155" s="52"/>
      <c r="AB155" s="52"/>
      <c r="AC155" s="118"/>
      <c r="AD155" s="5"/>
      <c r="AE155" s="52"/>
      <c r="AF155" s="113"/>
      <c r="AG155" s="113"/>
      <c r="AH155" s="113"/>
      <c r="AI155" s="52"/>
      <c r="AJ155" s="11"/>
      <c r="AK155" s="269"/>
      <c r="AL155" s="269"/>
      <c r="AM155" s="116"/>
      <c r="AN155" s="301"/>
      <c r="AO155" s="302"/>
      <c r="AP155" s="11"/>
      <c r="AQ155" s="11"/>
      <c r="AR155" s="11"/>
      <c r="AS155" s="11"/>
      <c r="AT155" s="11"/>
      <c r="AU155" s="118">
        <v>611417</v>
      </c>
      <c r="AV155" s="118">
        <v>116169</v>
      </c>
      <c r="AW155" s="118">
        <v>727586</v>
      </c>
      <c r="AX155" s="52" t="s">
        <v>607</v>
      </c>
      <c r="AY155" s="52" t="s">
        <v>1137</v>
      </c>
      <c r="AZ155" s="11"/>
      <c r="BA155" s="11"/>
      <c r="BB155" s="11"/>
      <c r="BC155" s="11"/>
      <c r="BD155" s="11"/>
      <c r="BE155" s="274"/>
      <c r="BF155" s="274"/>
      <c r="BG155" s="274"/>
      <c r="BH155" s="11"/>
      <c r="BI155" s="11"/>
      <c r="BJ155" s="311"/>
      <c r="BK155" s="311"/>
      <c r="BL155" s="311"/>
      <c r="BM155" s="52"/>
      <c r="BN155" s="52"/>
      <c r="BO155" s="387"/>
      <c r="BP155" s="320"/>
      <c r="BQ155" s="320"/>
      <c r="BR155" s="76"/>
      <c r="BS155" s="4"/>
      <c r="BT155" s="11"/>
      <c r="BU155" s="11"/>
      <c r="BV155" s="11"/>
      <c r="BW155" s="11"/>
      <c r="BX155" s="11"/>
      <c r="BY155" s="232">
        <v>825000</v>
      </c>
      <c r="BZ155" s="232">
        <f t="shared" si="8"/>
        <v>156750</v>
      </c>
      <c r="CA155" s="232">
        <f t="shared" si="9"/>
        <v>981750</v>
      </c>
      <c r="CB155" s="348" t="s">
        <v>772</v>
      </c>
      <c r="CC155" s="348">
        <v>610218</v>
      </c>
      <c r="CD155" s="11"/>
      <c r="CE155" s="11"/>
      <c r="CF155" s="11"/>
      <c r="CG155" s="11"/>
      <c r="CH155" s="11"/>
      <c r="CI155" s="11"/>
      <c r="CJ155" s="11"/>
      <c r="CK155" s="11"/>
      <c r="CL155" s="11"/>
      <c r="CM155" s="11"/>
      <c r="CN155" s="274"/>
      <c r="CO155" s="274"/>
      <c r="CP155" s="274"/>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8"/>
      <c r="DN155" s="118"/>
      <c r="DO155" s="118"/>
      <c r="DP155" s="52"/>
      <c r="DQ155" s="52"/>
      <c r="DR155" s="77"/>
      <c r="DS155" s="77"/>
      <c r="DT155" s="77"/>
      <c r="DU155" s="11"/>
      <c r="DV155" s="11"/>
      <c r="DW155" s="11"/>
      <c r="DX155" s="11"/>
      <c r="DY155" s="11"/>
      <c r="DZ155" s="11"/>
      <c r="EA155" s="11"/>
      <c r="EB155" s="11"/>
      <c r="EC155" s="11"/>
      <c r="ED155" s="11"/>
      <c r="EE155" s="11"/>
      <c r="EF155" s="11"/>
    </row>
    <row r="156" spans="1:136" ht="27" x14ac:dyDescent="0.25">
      <c r="A156" s="425">
        <v>154</v>
      </c>
      <c r="B156" s="427" t="s">
        <v>1138</v>
      </c>
      <c r="C156" s="427" t="s">
        <v>1139</v>
      </c>
      <c r="D156" s="427" t="s">
        <v>132</v>
      </c>
      <c r="E156" s="79">
        <v>1</v>
      </c>
      <c r="F156" s="406">
        <v>961511.67</v>
      </c>
      <c r="G156" s="274"/>
      <c r="H156" s="274"/>
      <c r="I156" s="274"/>
      <c r="J156" s="274"/>
      <c r="K156" s="11"/>
      <c r="L156" s="274"/>
      <c r="M156" s="274"/>
      <c r="N156" s="274"/>
      <c r="O156" s="48"/>
      <c r="P156" s="11"/>
      <c r="Q156" s="274"/>
      <c r="R156" s="274"/>
      <c r="S156" s="274"/>
      <c r="T156" s="11"/>
      <c r="U156" s="11"/>
      <c r="V156" s="11"/>
      <c r="W156" s="11"/>
      <c r="X156" s="11"/>
      <c r="Y156" s="11"/>
      <c r="Z156" s="48"/>
      <c r="AA156" s="52"/>
      <c r="AB156" s="52"/>
      <c r="AC156" s="118"/>
      <c r="AD156" s="5"/>
      <c r="AE156" s="52"/>
      <c r="AF156" s="113">
        <v>485000</v>
      </c>
      <c r="AG156" s="113">
        <f>AF156*0.19</f>
        <v>92150</v>
      </c>
      <c r="AH156" s="113">
        <f>AF156+AG156</f>
        <v>577150</v>
      </c>
      <c r="AI156" s="52" t="s">
        <v>770</v>
      </c>
      <c r="AJ156" s="11" t="s">
        <v>1140</v>
      </c>
      <c r="AK156" s="269">
        <v>669610</v>
      </c>
      <c r="AL156" s="269">
        <v>127225.90000000001</v>
      </c>
      <c r="AM156" s="116">
        <v>796835.9</v>
      </c>
      <c r="AN156" s="301" t="s">
        <v>88</v>
      </c>
      <c r="AO156" s="302">
        <v>1057120500</v>
      </c>
      <c r="AP156" s="11"/>
      <c r="AQ156" s="11"/>
      <c r="AR156" s="11"/>
      <c r="AS156" s="11"/>
      <c r="AT156" s="11"/>
      <c r="AU156" s="118">
        <v>758540</v>
      </c>
      <c r="AV156" s="118">
        <v>144123</v>
      </c>
      <c r="AW156" s="118">
        <v>902663</v>
      </c>
      <c r="AX156" s="52" t="s">
        <v>607</v>
      </c>
      <c r="AY156" s="52">
        <v>1057120500</v>
      </c>
      <c r="AZ156" s="11"/>
      <c r="BA156" s="11"/>
      <c r="BB156" s="11"/>
      <c r="BC156" s="11"/>
      <c r="BD156" s="11"/>
      <c r="BE156" s="274">
        <v>1373000</v>
      </c>
      <c r="BF156" s="274">
        <v>260870</v>
      </c>
      <c r="BG156" s="274">
        <v>1633870</v>
      </c>
      <c r="BH156" s="11" t="s">
        <v>88</v>
      </c>
      <c r="BI156" s="11" t="s">
        <v>1141</v>
      </c>
      <c r="BJ156" s="311"/>
      <c r="BK156" s="311"/>
      <c r="BL156" s="311"/>
      <c r="BM156" s="52"/>
      <c r="BN156" s="52"/>
      <c r="BO156" s="387"/>
      <c r="BP156" s="320"/>
      <c r="BQ156" s="320"/>
      <c r="BR156" s="76"/>
      <c r="BS156" s="4"/>
      <c r="BT156" s="11"/>
      <c r="BU156" s="11"/>
      <c r="BV156" s="11"/>
      <c r="BW156" s="11"/>
      <c r="BX156" s="11"/>
      <c r="BY156" s="232">
        <v>160000</v>
      </c>
      <c r="BZ156" s="232">
        <f t="shared" si="8"/>
        <v>30400</v>
      </c>
      <c r="CA156" s="232">
        <f t="shared" si="9"/>
        <v>190400</v>
      </c>
      <c r="CB156" s="348" t="s">
        <v>772</v>
      </c>
      <c r="CC156" s="348">
        <v>610032</v>
      </c>
      <c r="CD156" s="11"/>
      <c r="CE156" s="11"/>
      <c r="CF156" s="11"/>
      <c r="CG156" s="11"/>
      <c r="CH156" s="11"/>
      <c r="CI156" s="11"/>
      <c r="CJ156" s="11"/>
      <c r="CK156" s="11"/>
      <c r="CL156" s="11"/>
      <c r="CM156" s="11"/>
      <c r="CN156" s="274"/>
      <c r="CO156" s="274"/>
      <c r="CP156" s="274"/>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8"/>
      <c r="DN156" s="118"/>
      <c r="DO156" s="118"/>
      <c r="DP156" s="52"/>
      <c r="DQ156" s="52"/>
      <c r="DR156" s="77"/>
      <c r="DS156" s="77"/>
      <c r="DT156" s="77"/>
      <c r="DU156" s="11"/>
      <c r="DV156" s="11"/>
      <c r="DW156" s="11"/>
      <c r="DX156" s="11"/>
      <c r="DY156" s="11"/>
      <c r="DZ156" s="11"/>
      <c r="EA156" s="11"/>
      <c r="EB156" s="11"/>
      <c r="EC156" s="11"/>
      <c r="ED156" s="11"/>
      <c r="EE156" s="11"/>
      <c r="EF156" s="11"/>
    </row>
    <row r="157" spans="1:136" ht="12.75" customHeight="1" x14ac:dyDescent="0.25">
      <c r="A157" s="425">
        <v>155</v>
      </c>
      <c r="B157" s="426" t="s">
        <v>1142</v>
      </c>
      <c r="C157" s="413" t="s">
        <v>1143</v>
      </c>
      <c r="D157" s="426" t="s">
        <v>132</v>
      </c>
      <c r="E157" s="79">
        <v>1</v>
      </c>
      <c r="F157" s="405"/>
      <c r="G157" s="274"/>
      <c r="H157" s="274"/>
      <c r="I157" s="274"/>
      <c r="J157" s="274"/>
      <c r="K157" s="11"/>
      <c r="L157" s="274"/>
      <c r="M157" s="274"/>
      <c r="N157" s="274"/>
      <c r="O157" s="48"/>
      <c r="P157" s="11"/>
      <c r="Q157" s="274"/>
      <c r="R157" s="274"/>
      <c r="S157" s="274"/>
      <c r="T157" s="11"/>
      <c r="U157" s="11"/>
      <c r="V157" s="11"/>
      <c r="W157" s="11"/>
      <c r="X157" s="11"/>
      <c r="Y157" s="11"/>
      <c r="Z157" s="48"/>
      <c r="AA157" s="52"/>
      <c r="AB157" s="52"/>
      <c r="AC157" s="118"/>
      <c r="AD157" s="5"/>
      <c r="AE157" s="52"/>
      <c r="AF157" s="113">
        <v>447000</v>
      </c>
      <c r="AG157" s="113">
        <f>AF157*0.19</f>
        <v>84930</v>
      </c>
      <c r="AH157" s="113">
        <f>AF157+AG157</f>
        <v>531930</v>
      </c>
      <c r="AI157" s="52" t="s">
        <v>770</v>
      </c>
      <c r="AJ157" s="11" t="s">
        <v>1144</v>
      </c>
      <c r="AK157" s="269">
        <v>729720</v>
      </c>
      <c r="AL157" s="269">
        <v>138646.79999999999</v>
      </c>
      <c r="AM157" s="116">
        <v>868366.8</v>
      </c>
      <c r="AN157" s="301" t="s">
        <v>88</v>
      </c>
      <c r="AO157" s="302">
        <v>1052850500</v>
      </c>
      <c r="AP157" s="11"/>
      <c r="AQ157" s="11"/>
      <c r="AR157" s="11"/>
      <c r="AS157" s="11"/>
      <c r="AT157" s="11"/>
      <c r="AU157" s="118">
        <v>1003154</v>
      </c>
      <c r="AV157" s="118">
        <v>190599</v>
      </c>
      <c r="AW157" s="118">
        <v>1193753</v>
      </c>
      <c r="AX157" s="52" t="s">
        <v>607</v>
      </c>
      <c r="AY157" s="52">
        <v>1052850500</v>
      </c>
      <c r="AZ157" s="11"/>
      <c r="BA157" s="11"/>
      <c r="BB157" s="11"/>
      <c r="BC157" s="11"/>
      <c r="BD157" s="11"/>
      <c r="BE157" s="274"/>
      <c r="BF157" s="274"/>
      <c r="BG157" s="274"/>
      <c r="BH157" s="11"/>
      <c r="BI157" s="11"/>
      <c r="BJ157" s="311"/>
      <c r="BK157" s="311"/>
      <c r="BL157" s="311"/>
      <c r="BM157" s="52"/>
      <c r="BN157" s="52"/>
      <c r="BO157" s="387"/>
      <c r="BP157" s="320"/>
      <c r="BQ157" s="320"/>
      <c r="BR157" s="76"/>
      <c r="BS157" s="4"/>
      <c r="BT157" s="11"/>
      <c r="BU157" s="11"/>
      <c r="BV157" s="11"/>
      <c r="BW157" s="11"/>
      <c r="BX157" s="11"/>
      <c r="BY157" s="232">
        <v>126000</v>
      </c>
      <c r="BZ157" s="232">
        <f t="shared" si="8"/>
        <v>23940</v>
      </c>
      <c r="CA157" s="232">
        <f t="shared" si="9"/>
        <v>149940</v>
      </c>
      <c r="CB157" s="348" t="s">
        <v>767</v>
      </c>
      <c r="CC157" s="348" t="s">
        <v>1145</v>
      </c>
      <c r="CD157" s="11"/>
      <c r="CE157" s="11"/>
      <c r="CF157" s="11"/>
      <c r="CG157" s="11"/>
      <c r="CH157" s="11"/>
      <c r="CI157" s="11"/>
      <c r="CJ157" s="11"/>
      <c r="CK157" s="11"/>
      <c r="CL157" s="11"/>
      <c r="CM157" s="11"/>
      <c r="CN157" s="274"/>
      <c r="CO157" s="274"/>
      <c r="CP157" s="274"/>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8"/>
      <c r="DN157" s="118"/>
      <c r="DO157" s="118"/>
      <c r="DP157" s="52"/>
      <c r="DQ157" s="52"/>
      <c r="DR157" s="77"/>
      <c r="DS157" s="77"/>
      <c r="DT157" s="77"/>
      <c r="DU157" s="11"/>
      <c r="DV157" s="11"/>
      <c r="DW157" s="11"/>
      <c r="DX157" s="11"/>
      <c r="DY157" s="11"/>
      <c r="DZ157" s="11"/>
      <c r="EA157" s="11"/>
      <c r="EB157" s="11"/>
      <c r="EC157" s="11"/>
      <c r="ED157" s="11"/>
      <c r="EE157" s="11"/>
      <c r="EF157" s="11"/>
    </row>
    <row r="158" spans="1:136" ht="40.5" x14ac:dyDescent="0.25">
      <c r="A158" s="425">
        <v>156</v>
      </c>
      <c r="B158" s="427" t="s">
        <v>1146</v>
      </c>
      <c r="C158" s="427" t="s">
        <v>1147</v>
      </c>
      <c r="D158" s="427" t="s">
        <v>1148</v>
      </c>
      <c r="E158" s="79">
        <v>1</v>
      </c>
      <c r="F158" s="405"/>
      <c r="G158" s="274"/>
      <c r="H158" s="274"/>
      <c r="I158" s="274"/>
      <c r="J158" s="274"/>
      <c r="K158" s="11"/>
      <c r="L158" s="274"/>
      <c r="M158" s="274"/>
      <c r="N158" s="274"/>
      <c r="O158" s="48"/>
      <c r="P158" s="11"/>
      <c r="Q158" s="274"/>
      <c r="R158" s="274"/>
      <c r="S158" s="274"/>
      <c r="T158" s="11"/>
      <c r="U158" s="11"/>
      <c r="V158" s="11"/>
      <c r="W158" s="11"/>
      <c r="X158" s="11"/>
      <c r="Y158" s="11"/>
      <c r="Z158" s="48"/>
      <c r="AA158" s="52"/>
      <c r="AB158" s="52"/>
      <c r="AC158" s="118"/>
      <c r="AD158" s="5"/>
      <c r="AE158" s="52"/>
      <c r="AF158" s="113"/>
      <c r="AG158" s="113"/>
      <c r="AH158" s="113"/>
      <c r="AI158" s="52"/>
      <c r="AJ158" s="11"/>
      <c r="AK158" s="269">
        <v>324096</v>
      </c>
      <c r="AL158" s="269">
        <v>61578.239999999998</v>
      </c>
      <c r="AM158" s="116">
        <v>385674.23999999999</v>
      </c>
      <c r="AN158" s="301" t="s">
        <v>88</v>
      </c>
      <c r="AO158" s="302">
        <v>1081900500</v>
      </c>
      <c r="AP158" s="11"/>
      <c r="AQ158" s="11"/>
      <c r="AR158" s="11"/>
      <c r="AS158" s="11"/>
      <c r="AT158" s="11"/>
      <c r="AU158" s="118">
        <v>441423</v>
      </c>
      <c r="AV158" s="118">
        <v>83870</v>
      </c>
      <c r="AW158" s="118">
        <v>525293</v>
      </c>
      <c r="AX158" s="52" t="s">
        <v>607</v>
      </c>
      <c r="AY158" s="52">
        <v>1081900500</v>
      </c>
      <c r="AZ158" s="11"/>
      <c r="BA158" s="11"/>
      <c r="BB158" s="11"/>
      <c r="BC158" s="11"/>
      <c r="BD158" s="11"/>
      <c r="BE158" s="274">
        <v>3617000</v>
      </c>
      <c r="BF158" s="274">
        <v>687230</v>
      </c>
      <c r="BG158" s="274">
        <v>4304230</v>
      </c>
      <c r="BH158" s="11" t="s">
        <v>88</v>
      </c>
      <c r="BI158" s="11" t="s">
        <v>1149</v>
      </c>
      <c r="BJ158" s="311"/>
      <c r="BK158" s="311"/>
      <c r="BL158" s="311"/>
      <c r="BM158" s="52"/>
      <c r="BN158" s="52"/>
      <c r="BO158" s="387"/>
      <c r="BP158" s="320"/>
      <c r="BQ158" s="320"/>
      <c r="BR158" s="76"/>
      <c r="BS158" s="4"/>
      <c r="BT158" s="11"/>
      <c r="BU158" s="11"/>
      <c r="BV158" s="11"/>
      <c r="BW158" s="11"/>
      <c r="BX158" s="11"/>
      <c r="BY158" s="232">
        <v>270000</v>
      </c>
      <c r="BZ158" s="232">
        <f t="shared" si="8"/>
        <v>51300</v>
      </c>
      <c r="CA158" s="232">
        <f t="shared" si="9"/>
        <v>321300</v>
      </c>
      <c r="CB158" s="348" t="s">
        <v>767</v>
      </c>
      <c r="CC158" s="14" t="s">
        <v>1150</v>
      </c>
      <c r="CD158" s="11"/>
      <c r="CE158" s="11"/>
      <c r="CF158" s="11"/>
      <c r="CG158" s="11"/>
      <c r="CH158" s="11"/>
      <c r="CI158" s="11"/>
      <c r="CJ158" s="11"/>
      <c r="CK158" s="11"/>
      <c r="CL158" s="11"/>
      <c r="CM158" s="11"/>
      <c r="CN158" s="274"/>
      <c r="CO158" s="274"/>
      <c r="CP158" s="274"/>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8"/>
      <c r="DN158" s="118"/>
      <c r="DO158" s="118"/>
      <c r="DP158" s="52"/>
      <c r="DQ158" s="52"/>
      <c r="DR158" s="77"/>
      <c r="DS158" s="77"/>
      <c r="DT158" s="77"/>
      <c r="DU158" s="11"/>
      <c r="DV158" s="11"/>
      <c r="DW158" s="11"/>
      <c r="DX158" s="11"/>
      <c r="DY158" s="11"/>
      <c r="DZ158" s="11"/>
      <c r="EA158" s="11"/>
      <c r="EB158" s="11"/>
      <c r="EC158" s="11"/>
      <c r="ED158" s="11"/>
      <c r="EE158" s="11"/>
      <c r="EF158" s="11"/>
    </row>
    <row r="159" spans="1:136" ht="25.5" customHeight="1" x14ac:dyDescent="0.25">
      <c r="A159" s="425">
        <v>157</v>
      </c>
      <c r="B159" s="427" t="s">
        <v>1151</v>
      </c>
      <c r="C159" s="427" t="s">
        <v>1152</v>
      </c>
      <c r="D159" s="427" t="s">
        <v>132</v>
      </c>
      <c r="E159" s="79">
        <v>1</v>
      </c>
      <c r="F159" s="406">
        <v>592735.21519999998</v>
      </c>
      <c r="G159" s="274"/>
      <c r="H159" s="274"/>
      <c r="I159" s="274"/>
      <c r="J159" s="274"/>
      <c r="K159" s="11"/>
      <c r="L159" s="274"/>
      <c r="M159" s="274"/>
      <c r="N159" s="274"/>
      <c r="O159" s="48"/>
      <c r="P159" s="11"/>
      <c r="Q159" s="274"/>
      <c r="R159" s="274"/>
      <c r="S159" s="274"/>
      <c r="T159" s="11"/>
      <c r="U159" s="11"/>
      <c r="V159" s="11"/>
      <c r="W159" s="11"/>
      <c r="X159" s="11"/>
      <c r="Y159" s="11"/>
      <c r="Z159" s="48"/>
      <c r="AA159" s="52"/>
      <c r="AB159" s="52"/>
      <c r="AC159" s="118"/>
      <c r="AD159" s="5"/>
      <c r="AE159" s="52"/>
      <c r="AF159" s="113"/>
      <c r="AG159" s="113"/>
      <c r="AH159" s="113"/>
      <c r="AI159" s="52"/>
      <c r="AJ159" s="11"/>
      <c r="AK159" s="269"/>
      <c r="AL159" s="269"/>
      <c r="AM159" s="116"/>
      <c r="AN159" s="301"/>
      <c r="AO159" s="302"/>
      <c r="AP159" s="11"/>
      <c r="AQ159" s="11"/>
      <c r="AR159" s="11"/>
      <c r="AS159" s="11"/>
      <c r="AT159" s="11"/>
      <c r="AU159" s="118"/>
      <c r="AV159" s="118"/>
      <c r="AW159" s="118"/>
      <c r="AX159" s="52"/>
      <c r="AY159" s="52"/>
      <c r="AZ159" s="11"/>
      <c r="BA159" s="11"/>
      <c r="BB159" s="11"/>
      <c r="BC159" s="11"/>
      <c r="BD159" s="11"/>
      <c r="BE159" s="274"/>
      <c r="BF159" s="274"/>
      <c r="BG159" s="274"/>
      <c r="BH159" s="11"/>
      <c r="BI159" s="11"/>
      <c r="BJ159" s="311"/>
      <c r="BK159" s="311"/>
      <c r="BL159" s="311"/>
      <c r="BM159" s="52"/>
      <c r="BN159" s="52"/>
      <c r="BO159" s="387"/>
      <c r="BP159" s="320"/>
      <c r="BQ159" s="320"/>
      <c r="BR159" s="76"/>
      <c r="BS159" s="4"/>
      <c r="BT159" s="11"/>
      <c r="BU159" s="11"/>
      <c r="BV159" s="11"/>
      <c r="BW159" s="11"/>
      <c r="BX159" s="11"/>
      <c r="BY159" s="232"/>
      <c r="BZ159" s="232"/>
      <c r="CA159" s="232"/>
      <c r="CB159" s="348"/>
      <c r="CC159" s="348"/>
      <c r="CD159" s="11"/>
      <c r="CE159" s="11"/>
      <c r="CF159" s="11"/>
      <c r="CG159" s="11"/>
      <c r="CH159" s="11"/>
      <c r="CI159" s="11"/>
      <c r="CJ159" s="11"/>
      <c r="CK159" s="11"/>
      <c r="CL159" s="11"/>
      <c r="CM159" s="11"/>
      <c r="CN159" s="274"/>
      <c r="CO159" s="274"/>
      <c r="CP159" s="274"/>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8"/>
      <c r="DN159" s="118"/>
      <c r="DO159" s="118"/>
      <c r="DP159" s="52"/>
      <c r="DQ159" s="52"/>
      <c r="DR159" s="77"/>
      <c r="DS159" s="77"/>
      <c r="DT159" s="77"/>
      <c r="DU159" s="11"/>
      <c r="DV159" s="11"/>
      <c r="DW159" s="11"/>
      <c r="DX159" s="11"/>
      <c r="DY159" s="11"/>
      <c r="DZ159" s="11"/>
      <c r="EA159" s="11"/>
      <c r="EB159" s="11"/>
      <c r="EC159" s="11"/>
      <c r="ED159" s="11"/>
      <c r="EE159" s="11"/>
      <c r="EF159" s="11"/>
    </row>
    <row r="160" spans="1:136" ht="27" x14ac:dyDescent="0.25">
      <c r="A160" s="425">
        <v>158</v>
      </c>
      <c r="B160" s="426" t="s">
        <v>1153</v>
      </c>
      <c r="C160" s="413" t="s">
        <v>1154</v>
      </c>
      <c r="D160" s="426" t="s">
        <v>132</v>
      </c>
      <c r="E160" s="79">
        <v>1</v>
      </c>
      <c r="F160" s="405"/>
      <c r="G160" s="274"/>
      <c r="H160" s="274"/>
      <c r="I160" s="274"/>
      <c r="J160" s="274"/>
      <c r="K160" s="11"/>
      <c r="L160" s="274"/>
      <c r="M160" s="274"/>
      <c r="N160" s="274"/>
      <c r="O160" s="48"/>
      <c r="P160" s="11"/>
      <c r="Q160" s="274"/>
      <c r="R160" s="274"/>
      <c r="S160" s="274"/>
      <c r="T160" s="11"/>
      <c r="U160" s="11"/>
      <c r="V160" s="11"/>
      <c r="W160" s="11"/>
      <c r="X160" s="11"/>
      <c r="Y160" s="11"/>
      <c r="Z160" s="48"/>
      <c r="AA160" s="52"/>
      <c r="AB160" s="52"/>
      <c r="AC160" s="118"/>
      <c r="AD160" s="5"/>
      <c r="AE160" s="52"/>
      <c r="AF160" s="113"/>
      <c r="AG160" s="113"/>
      <c r="AH160" s="113"/>
      <c r="AI160" s="52"/>
      <c r="AJ160" s="11"/>
      <c r="AK160" s="269"/>
      <c r="AL160" s="269"/>
      <c r="AM160" s="116"/>
      <c r="AN160" s="301"/>
      <c r="AO160" s="302"/>
      <c r="AP160" s="11"/>
      <c r="AQ160" s="11"/>
      <c r="AR160" s="11"/>
      <c r="AS160" s="11"/>
      <c r="AT160" s="11"/>
      <c r="AU160" s="118"/>
      <c r="AV160" s="118"/>
      <c r="AW160" s="118"/>
      <c r="AX160" s="52"/>
      <c r="AY160" s="52"/>
      <c r="AZ160" s="11"/>
      <c r="BA160" s="11"/>
      <c r="BB160" s="11"/>
      <c r="BC160" s="11"/>
      <c r="BD160" s="11"/>
      <c r="BE160" s="274"/>
      <c r="BF160" s="274"/>
      <c r="BG160" s="274"/>
      <c r="BH160" s="11"/>
      <c r="BI160" s="11"/>
      <c r="BJ160" s="311"/>
      <c r="BK160" s="311"/>
      <c r="BL160" s="311"/>
      <c r="BM160" s="52"/>
      <c r="BN160" s="52"/>
      <c r="BO160" s="387"/>
      <c r="BP160" s="320"/>
      <c r="BQ160" s="320"/>
      <c r="BR160" s="76"/>
      <c r="BS160" s="4"/>
      <c r="BT160" s="11"/>
      <c r="BU160" s="11"/>
      <c r="BV160" s="11"/>
      <c r="BW160" s="11"/>
      <c r="BX160" s="11"/>
      <c r="BY160" s="232">
        <v>250000</v>
      </c>
      <c r="BZ160" s="232">
        <f>BY160*0.19</f>
        <v>47500</v>
      </c>
      <c r="CA160" s="232">
        <f>BY160+BZ160</f>
        <v>297500</v>
      </c>
      <c r="CB160" s="348" t="s">
        <v>767</v>
      </c>
      <c r="CC160" s="348" t="s">
        <v>1155</v>
      </c>
      <c r="CD160" s="11"/>
      <c r="CE160" s="11"/>
      <c r="CF160" s="11"/>
      <c r="CG160" s="11"/>
      <c r="CH160" s="11"/>
      <c r="CI160" s="11"/>
      <c r="CJ160" s="11"/>
      <c r="CK160" s="11"/>
      <c r="CL160" s="11"/>
      <c r="CM160" s="11"/>
      <c r="CN160" s="274"/>
      <c r="CO160" s="274"/>
      <c r="CP160" s="274"/>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8"/>
      <c r="DN160" s="118"/>
      <c r="DO160" s="118"/>
      <c r="DP160" s="52"/>
      <c r="DQ160" s="52"/>
      <c r="DR160" s="77"/>
      <c r="DS160" s="77"/>
      <c r="DT160" s="77"/>
      <c r="DU160" s="11"/>
      <c r="DV160" s="11"/>
      <c r="DW160" s="11"/>
      <c r="DX160" s="11"/>
      <c r="DY160" s="11"/>
      <c r="DZ160" s="11"/>
      <c r="EA160" s="11"/>
      <c r="EB160" s="11"/>
      <c r="EC160" s="11"/>
      <c r="ED160" s="11"/>
      <c r="EE160" s="11"/>
      <c r="EF160" s="11"/>
    </row>
    <row r="161" spans="1:136" ht="25.5" customHeight="1" x14ac:dyDescent="0.25">
      <c r="A161" s="425">
        <v>159</v>
      </c>
      <c r="B161" s="427" t="s">
        <v>1156</v>
      </c>
      <c r="C161" s="427" t="s">
        <v>1157</v>
      </c>
      <c r="D161" s="427" t="s">
        <v>637</v>
      </c>
      <c r="E161" s="79">
        <v>1</v>
      </c>
      <c r="F161" s="406">
        <v>638494.02399999998</v>
      </c>
      <c r="G161" s="274"/>
      <c r="H161" s="274"/>
      <c r="I161" s="274"/>
      <c r="J161" s="274"/>
      <c r="K161" s="11"/>
      <c r="L161" s="274"/>
      <c r="M161" s="274"/>
      <c r="N161" s="274"/>
      <c r="O161" s="48"/>
      <c r="P161" s="11"/>
      <c r="Q161" s="274"/>
      <c r="R161" s="274"/>
      <c r="S161" s="274"/>
      <c r="T161" s="11"/>
      <c r="U161" s="11"/>
      <c r="V161" s="11"/>
      <c r="W161" s="11"/>
      <c r="X161" s="11"/>
      <c r="Y161" s="11"/>
      <c r="Z161" s="48"/>
      <c r="AA161" s="52"/>
      <c r="AB161" s="52"/>
      <c r="AC161" s="118"/>
      <c r="AD161" s="5"/>
      <c r="AE161" s="52"/>
      <c r="AF161" s="113">
        <v>372000</v>
      </c>
      <c r="AG161" s="113">
        <f>AF161*0.19</f>
        <v>70680</v>
      </c>
      <c r="AH161" s="113">
        <f>AF161+AG161</f>
        <v>442680</v>
      </c>
      <c r="AI161" s="52" t="s">
        <v>770</v>
      </c>
      <c r="AJ161" s="11" t="s">
        <v>1158</v>
      </c>
      <c r="AK161" s="269"/>
      <c r="AL161" s="269"/>
      <c r="AM161" s="116"/>
      <c r="AN161" s="301"/>
      <c r="AO161" s="302"/>
      <c r="AP161" s="11"/>
      <c r="AQ161" s="11"/>
      <c r="AR161" s="11"/>
      <c r="AS161" s="11"/>
      <c r="AT161" s="11"/>
      <c r="AU161" s="118">
        <v>1301142</v>
      </c>
      <c r="AV161" s="118">
        <v>247217</v>
      </c>
      <c r="AW161" s="118">
        <v>1548359</v>
      </c>
      <c r="AX161" s="52" t="s">
        <v>607</v>
      </c>
      <c r="AY161" s="52">
        <v>1084920500</v>
      </c>
      <c r="AZ161" s="11"/>
      <c r="BA161" s="11"/>
      <c r="BB161" s="11"/>
      <c r="BC161" s="11"/>
      <c r="BD161" s="11"/>
      <c r="BE161" s="274"/>
      <c r="BF161" s="274"/>
      <c r="BG161" s="274"/>
      <c r="BH161" s="11"/>
      <c r="BI161" s="11"/>
      <c r="BJ161" s="311"/>
      <c r="BK161" s="311"/>
      <c r="BL161" s="311"/>
      <c r="BM161" s="52"/>
      <c r="BN161" s="52"/>
      <c r="BO161" s="387"/>
      <c r="BP161" s="320"/>
      <c r="BQ161" s="320"/>
      <c r="BR161" s="76"/>
      <c r="BS161" s="4"/>
      <c r="BT161" s="11"/>
      <c r="BU161" s="11"/>
      <c r="BV161" s="11"/>
      <c r="BW161" s="11"/>
      <c r="BX161" s="11"/>
      <c r="BY161" s="232"/>
      <c r="BZ161" s="232"/>
      <c r="CA161" s="232"/>
      <c r="CB161" s="348"/>
      <c r="CC161" s="348"/>
      <c r="CD161" s="11"/>
      <c r="CE161" s="11"/>
      <c r="CF161" s="11"/>
      <c r="CG161" s="11"/>
      <c r="CH161" s="11"/>
      <c r="CI161" s="11"/>
      <c r="CJ161" s="11"/>
      <c r="CK161" s="11"/>
      <c r="CL161" s="11"/>
      <c r="CM161" s="11"/>
      <c r="CN161" s="274"/>
      <c r="CO161" s="274"/>
      <c r="CP161" s="274"/>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8"/>
      <c r="DN161" s="118"/>
      <c r="DO161" s="118"/>
      <c r="DP161" s="52"/>
      <c r="DQ161" s="52"/>
      <c r="DR161" s="77"/>
      <c r="DS161" s="77"/>
      <c r="DT161" s="77"/>
      <c r="DU161" s="11"/>
      <c r="DV161" s="11"/>
      <c r="DW161" s="11"/>
      <c r="DX161" s="11"/>
      <c r="DY161" s="11"/>
      <c r="DZ161" s="11"/>
      <c r="EA161" s="11"/>
      <c r="EB161" s="11"/>
      <c r="EC161" s="11"/>
      <c r="ED161" s="11"/>
      <c r="EE161" s="11"/>
      <c r="EF161" s="11"/>
    </row>
    <row r="162" spans="1:136" ht="13.5" x14ac:dyDescent="0.25">
      <c r="A162" s="425">
        <v>160</v>
      </c>
      <c r="B162" s="427" t="s">
        <v>1159</v>
      </c>
      <c r="C162" s="427" t="s">
        <v>622</v>
      </c>
      <c r="D162" s="427" t="s">
        <v>132</v>
      </c>
      <c r="E162" s="79">
        <v>1</v>
      </c>
      <c r="F162" s="405"/>
      <c r="G162" s="274"/>
      <c r="H162" s="274"/>
      <c r="I162" s="274"/>
      <c r="J162" s="274"/>
      <c r="K162" s="11"/>
      <c r="L162" s="274"/>
      <c r="M162" s="274"/>
      <c r="N162" s="274"/>
      <c r="O162" s="48"/>
      <c r="P162" s="11"/>
      <c r="Q162" s="274"/>
      <c r="R162" s="274"/>
      <c r="S162" s="274"/>
      <c r="T162" s="11"/>
      <c r="U162" s="11"/>
      <c r="V162" s="11"/>
      <c r="W162" s="11"/>
      <c r="X162" s="11"/>
      <c r="Y162" s="11"/>
      <c r="Z162" s="48"/>
      <c r="AA162" s="52"/>
      <c r="AB162" s="52"/>
      <c r="AC162" s="118"/>
      <c r="AD162" s="5"/>
      <c r="AE162" s="52"/>
      <c r="AF162" s="113">
        <v>868000</v>
      </c>
      <c r="AG162" s="113">
        <f>AF162*0.19</f>
        <v>164920</v>
      </c>
      <c r="AH162" s="113">
        <f>AF162+AG162</f>
        <v>1032920</v>
      </c>
      <c r="AI162" s="52" t="s">
        <v>770</v>
      </c>
      <c r="AJ162" s="11" t="s">
        <v>1160</v>
      </c>
      <c r="AK162" s="269"/>
      <c r="AL162" s="269"/>
      <c r="AM162" s="116"/>
      <c r="AN162" s="301"/>
      <c r="AO162" s="302"/>
      <c r="AP162" s="11"/>
      <c r="AQ162" s="11"/>
      <c r="AR162" s="11"/>
      <c r="AS162" s="11"/>
      <c r="AT162" s="11"/>
      <c r="AU162" s="118">
        <v>1872857</v>
      </c>
      <c r="AV162" s="118">
        <v>355843</v>
      </c>
      <c r="AW162" s="118">
        <v>2228700</v>
      </c>
      <c r="AX162" s="52" t="s">
        <v>607</v>
      </c>
      <c r="AY162" s="52">
        <v>1102850500</v>
      </c>
      <c r="AZ162" s="11"/>
      <c r="BA162" s="11"/>
      <c r="BB162" s="11"/>
      <c r="BC162" s="11"/>
      <c r="BD162" s="11"/>
      <c r="BE162" s="274"/>
      <c r="BF162" s="274"/>
      <c r="BG162" s="274"/>
      <c r="BH162" s="11"/>
      <c r="BI162" s="11"/>
      <c r="BJ162" s="311"/>
      <c r="BK162" s="311"/>
      <c r="BL162" s="311"/>
      <c r="BM162" s="52"/>
      <c r="BN162" s="52"/>
      <c r="BO162" s="387"/>
      <c r="BP162" s="320"/>
      <c r="BQ162" s="320"/>
      <c r="BR162" s="76"/>
      <c r="BS162" s="4"/>
      <c r="BT162" s="11"/>
      <c r="BU162" s="11"/>
      <c r="BV162" s="11"/>
      <c r="BW162" s="11"/>
      <c r="BX162" s="11"/>
      <c r="BY162" s="232">
        <v>380000</v>
      </c>
      <c r="BZ162" s="232">
        <f>BY162*0.19</f>
        <v>72200</v>
      </c>
      <c r="CA162" s="232">
        <f>BY162+BZ162</f>
        <v>452200</v>
      </c>
      <c r="CB162" s="348" t="s">
        <v>772</v>
      </c>
      <c r="CC162" s="348">
        <v>610322</v>
      </c>
      <c r="CD162" s="11"/>
      <c r="CE162" s="11"/>
      <c r="CF162" s="11"/>
      <c r="CG162" s="11"/>
      <c r="CH162" s="11"/>
      <c r="CI162" s="11"/>
      <c r="CJ162" s="11"/>
      <c r="CK162" s="11"/>
      <c r="CL162" s="11"/>
      <c r="CM162" s="11"/>
      <c r="CN162" s="274"/>
      <c r="CO162" s="274"/>
      <c r="CP162" s="274"/>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8"/>
      <c r="DN162" s="118"/>
      <c r="DO162" s="118"/>
      <c r="DP162" s="52"/>
      <c r="DQ162" s="52"/>
      <c r="DR162" s="77"/>
      <c r="DS162" s="77"/>
      <c r="DT162" s="77"/>
      <c r="DU162" s="11"/>
      <c r="DV162" s="11"/>
      <c r="DW162" s="11"/>
      <c r="DX162" s="11"/>
      <c r="DY162" s="11"/>
      <c r="DZ162" s="11"/>
      <c r="EA162" s="11"/>
      <c r="EB162" s="11"/>
      <c r="EC162" s="11"/>
      <c r="ED162" s="11"/>
      <c r="EE162" s="11"/>
      <c r="EF162" s="11"/>
    </row>
    <row r="163" spans="1:136" ht="25.5" customHeight="1" x14ac:dyDescent="0.25">
      <c r="A163" s="425">
        <v>161</v>
      </c>
      <c r="B163" s="427" t="s">
        <v>1161</v>
      </c>
      <c r="C163" s="588" t="s">
        <v>1162</v>
      </c>
      <c r="D163" s="427" t="s">
        <v>300</v>
      </c>
      <c r="E163" s="79">
        <v>1</v>
      </c>
      <c r="F163" s="405"/>
      <c r="G163" s="274"/>
      <c r="H163" s="274"/>
      <c r="I163" s="274"/>
      <c r="J163" s="274"/>
      <c r="K163" s="11"/>
      <c r="L163" s="274"/>
      <c r="M163" s="274"/>
      <c r="N163" s="274"/>
      <c r="O163" s="48"/>
      <c r="P163" s="11"/>
      <c r="Q163" s="274"/>
      <c r="R163" s="274"/>
      <c r="S163" s="274"/>
      <c r="T163" s="11"/>
      <c r="U163" s="11"/>
      <c r="V163" s="11"/>
      <c r="W163" s="11"/>
      <c r="X163" s="11"/>
      <c r="Y163" s="11"/>
      <c r="Z163" s="48"/>
      <c r="AA163" s="52"/>
      <c r="AB163" s="52"/>
      <c r="AC163" s="118"/>
      <c r="AD163" s="5"/>
      <c r="AE163" s="52"/>
      <c r="AF163" s="113"/>
      <c r="AG163" s="113"/>
      <c r="AH163" s="113"/>
      <c r="AI163" s="52"/>
      <c r="AJ163" s="11"/>
      <c r="AK163" s="269"/>
      <c r="AL163" s="269"/>
      <c r="AM163" s="116"/>
      <c r="AN163" s="301"/>
      <c r="AO163" s="302"/>
      <c r="AP163" s="11"/>
      <c r="AQ163" s="11"/>
      <c r="AR163" s="11"/>
      <c r="AS163" s="11"/>
      <c r="AT163" s="11"/>
      <c r="AU163" s="118">
        <v>186450</v>
      </c>
      <c r="AV163" s="118">
        <v>35426</v>
      </c>
      <c r="AW163" s="118">
        <v>221876</v>
      </c>
      <c r="AX163" s="52" t="s">
        <v>607</v>
      </c>
      <c r="AY163" s="52" t="s">
        <v>1163</v>
      </c>
      <c r="AZ163" s="11"/>
      <c r="BA163" s="11"/>
      <c r="BB163" s="11"/>
      <c r="BC163" s="11"/>
      <c r="BD163" s="11"/>
      <c r="BE163" s="274"/>
      <c r="BF163" s="274"/>
      <c r="BG163" s="274"/>
      <c r="BH163" s="11"/>
      <c r="BI163" s="11"/>
      <c r="BJ163" s="311"/>
      <c r="BK163" s="311"/>
      <c r="BL163" s="311"/>
      <c r="BM163" s="52"/>
      <c r="BN163" s="52"/>
      <c r="BO163" s="387"/>
      <c r="BP163" s="320"/>
      <c r="BQ163" s="320"/>
      <c r="BR163" s="76"/>
      <c r="BS163" s="4"/>
      <c r="BT163" s="11"/>
      <c r="BU163" s="11"/>
      <c r="BV163" s="11"/>
      <c r="BW163" s="11"/>
      <c r="BX163" s="11"/>
      <c r="BY163" s="348"/>
      <c r="BZ163" s="348"/>
      <c r="CA163" s="348"/>
      <c r="CB163" s="348"/>
      <c r="CC163" s="348"/>
      <c r="CD163" s="11"/>
      <c r="CE163" s="11"/>
      <c r="CF163" s="11"/>
      <c r="CG163" s="11"/>
      <c r="CH163" s="11"/>
      <c r="CI163" s="11"/>
      <c r="CJ163" s="11"/>
      <c r="CK163" s="11"/>
      <c r="CL163" s="11"/>
      <c r="CM163" s="11"/>
      <c r="CN163" s="274"/>
      <c r="CO163" s="274"/>
      <c r="CP163" s="274"/>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8"/>
      <c r="DN163" s="118"/>
      <c r="DO163" s="118"/>
      <c r="DP163" s="52"/>
      <c r="DQ163" s="52"/>
      <c r="DR163" s="77"/>
      <c r="DS163" s="77"/>
      <c r="DT163" s="77"/>
      <c r="DU163" s="11"/>
      <c r="DV163" s="11"/>
      <c r="DW163" s="11"/>
      <c r="DX163" s="11"/>
      <c r="DY163" s="11"/>
      <c r="DZ163" s="11"/>
      <c r="EA163" s="11"/>
      <c r="EB163" s="11"/>
      <c r="EC163" s="11"/>
      <c r="ED163" s="11"/>
      <c r="EE163" s="11"/>
      <c r="EF163" s="11"/>
    </row>
    <row r="164" spans="1:136" ht="40.5" x14ac:dyDescent="0.25">
      <c r="A164" s="425">
        <v>162</v>
      </c>
      <c r="B164" s="427" t="s">
        <v>1164</v>
      </c>
      <c r="C164" s="588" t="s">
        <v>1162</v>
      </c>
      <c r="D164" s="427" t="s">
        <v>49</v>
      </c>
      <c r="E164" s="79">
        <v>1</v>
      </c>
      <c r="F164" s="405"/>
      <c r="G164" s="274">
        <v>525000</v>
      </c>
      <c r="H164" s="274">
        <v>99750</v>
      </c>
      <c r="I164" s="274">
        <v>624750</v>
      </c>
      <c r="J164" s="274" t="s">
        <v>45</v>
      </c>
      <c r="K164" s="11" t="s">
        <v>1165</v>
      </c>
      <c r="L164" s="274"/>
      <c r="M164" s="274"/>
      <c r="N164" s="274"/>
      <c r="O164" s="48"/>
      <c r="P164" s="11"/>
      <c r="Q164" s="274"/>
      <c r="R164" s="274"/>
      <c r="S164" s="274"/>
      <c r="T164" s="11"/>
      <c r="U164" s="11"/>
      <c r="V164" s="11"/>
      <c r="W164" s="11"/>
      <c r="X164" s="11"/>
      <c r="Y164" s="11"/>
      <c r="Z164" s="48"/>
      <c r="AA164" s="52"/>
      <c r="AB164" s="52"/>
      <c r="AC164" s="118"/>
      <c r="AD164" s="5"/>
      <c r="AE164" s="52"/>
      <c r="AF164" s="113"/>
      <c r="AG164" s="113"/>
      <c r="AH164" s="113"/>
      <c r="AI164" s="52"/>
      <c r="AJ164" s="11"/>
      <c r="AK164" s="269"/>
      <c r="AL164" s="269"/>
      <c r="AM164" s="116"/>
      <c r="AN164" s="301"/>
      <c r="AO164" s="302"/>
      <c r="AP164" s="11"/>
      <c r="AQ164" s="11"/>
      <c r="AR164" s="11"/>
      <c r="AS164" s="11"/>
      <c r="AT164" s="11"/>
      <c r="AU164" s="118">
        <v>616234</v>
      </c>
      <c r="AV164" s="118">
        <v>117084</v>
      </c>
      <c r="AW164" s="118">
        <v>733318</v>
      </c>
      <c r="AX164" s="52" t="s">
        <v>607</v>
      </c>
      <c r="AY164" s="52" t="s">
        <v>1166</v>
      </c>
      <c r="AZ164" s="11"/>
      <c r="BA164" s="11"/>
      <c r="BB164" s="11"/>
      <c r="BC164" s="11"/>
      <c r="BD164" s="11"/>
      <c r="BE164" s="274"/>
      <c r="BF164" s="274"/>
      <c r="BG164" s="274"/>
      <c r="BH164" s="11"/>
      <c r="BI164" s="11"/>
      <c r="BJ164" s="311"/>
      <c r="BK164" s="311"/>
      <c r="BL164" s="311"/>
      <c r="BM164" s="52"/>
      <c r="BN164" s="52"/>
      <c r="BO164" s="387"/>
      <c r="BP164" s="320"/>
      <c r="BQ164" s="320"/>
      <c r="BR164" s="76"/>
      <c r="BS164" s="4"/>
      <c r="BT164" s="11"/>
      <c r="BU164" s="11"/>
      <c r="BV164" s="11"/>
      <c r="BW164" s="11"/>
      <c r="BX164" s="11"/>
      <c r="BY164" s="348"/>
      <c r="BZ164" s="348"/>
      <c r="CA164" s="348"/>
      <c r="CB164" s="348"/>
      <c r="CC164" s="348"/>
      <c r="CD164" s="11"/>
      <c r="CE164" s="11"/>
      <c r="CF164" s="11"/>
      <c r="CG164" s="11"/>
      <c r="CH164" s="11"/>
      <c r="CI164" s="11"/>
      <c r="CJ164" s="11"/>
      <c r="CK164" s="11"/>
      <c r="CL164" s="11"/>
      <c r="CM164" s="11"/>
      <c r="CN164" s="274"/>
      <c r="CO164" s="274"/>
      <c r="CP164" s="274"/>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8"/>
      <c r="DN164" s="118"/>
      <c r="DO164" s="118"/>
      <c r="DP164" s="52"/>
      <c r="DQ164" s="52"/>
      <c r="DR164" s="77"/>
      <c r="DS164" s="77"/>
      <c r="DT164" s="77"/>
      <c r="DU164" s="11"/>
      <c r="DV164" s="11"/>
      <c r="DW164" s="11"/>
      <c r="DX164" s="11"/>
      <c r="DY164" s="11"/>
      <c r="DZ164" s="11"/>
      <c r="EA164" s="11"/>
      <c r="EB164" s="11"/>
      <c r="EC164" s="11"/>
      <c r="ED164" s="11"/>
      <c r="EE164" s="11"/>
      <c r="EF164" s="11"/>
    </row>
    <row r="165" spans="1:136" ht="40.5" x14ac:dyDescent="0.25">
      <c r="A165" s="425">
        <v>163</v>
      </c>
      <c r="B165" s="413" t="s">
        <v>1167</v>
      </c>
      <c r="C165" s="413" t="s">
        <v>1168</v>
      </c>
      <c r="D165" s="427" t="s">
        <v>515</v>
      </c>
      <c r="E165" s="79">
        <v>1</v>
      </c>
      <c r="F165" s="406">
        <v>671172.85200000007</v>
      </c>
      <c r="G165" s="274">
        <v>650000</v>
      </c>
      <c r="H165" s="274">
        <v>123500</v>
      </c>
      <c r="I165" s="274">
        <v>773500</v>
      </c>
      <c r="J165" s="274" t="s">
        <v>45</v>
      </c>
      <c r="K165" s="11" t="s">
        <v>1169</v>
      </c>
      <c r="L165" s="274"/>
      <c r="M165" s="274"/>
      <c r="N165" s="274"/>
      <c r="O165" s="48"/>
      <c r="P165" s="11"/>
      <c r="Q165" s="274"/>
      <c r="R165" s="274"/>
      <c r="S165" s="274"/>
      <c r="T165" s="11"/>
      <c r="U165" s="11"/>
      <c r="V165" s="11"/>
      <c r="W165" s="11"/>
      <c r="X165" s="11"/>
      <c r="Y165" s="11"/>
      <c r="Z165" s="48"/>
      <c r="AA165" s="52"/>
      <c r="AB165" s="52"/>
      <c r="AC165" s="118"/>
      <c r="AD165" s="5"/>
      <c r="AE165" s="52"/>
      <c r="AF165" s="113">
        <v>155000</v>
      </c>
      <c r="AG165" s="113">
        <f>AF165*0.19</f>
        <v>29450</v>
      </c>
      <c r="AH165" s="113">
        <f>AF165+AG165</f>
        <v>184450</v>
      </c>
      <c r="AI165" s="277" t="s">
        <v>628</v>
      </c>
      <c r="AJ165" s="33" t="s">
        <v>1170</v>
      </c>
      <c r="AK165" s="269">
        <v>444600</v>
      </c>
      <c r="AL165" s="269">
        <v>84474</v>
      </c>
      <c r="AM165" s="116">
        <v>529074</v>
      </c>
      <c r="AN165" s="301" t="s">
        <v>88</v>
      </c>
      <c r="AO165" s="302">
        <v>1020661000</v>
      </c>
      <c r="AP165" s="11"/>
      <c r="AQ165" s="11"/>
      <c r="AR165" s="11"/>
      <c r="AS165" s="11"/>
      <c r="AT165" s="11"/>
      <c r="AU165" s="118">
        <v>565385</v>
      </c>
      <c r="AV165" s="118">
        <v>107423</v>
      </c>
      <c r="AW165" s="118">
        <v>672808</v>
      </c>
      <c r="AX165" s="52" t="s">
        <v>607</v>
      </c>
      <c r="AY165" s="52">
        <v>1020661000</v>
      </c>
      <c r="AZ165" s="11"/>
      <c r="BA165" s="11"/>
      <c r="BB165" s="11"/>
      <c r="BC165" s="11"/>
      <c r="BD165" s="11"/>
      <c r="BE165" s="274">
        <v>359000</v>
      </c>
      <c r="BF165" s="274">
        <v>68210</v>
      </c>
      <c r="BG165" s="274">
        <v>427210</v>
      </c>
      <c r="BH165" s="11" t="s">
        <v>63</v>
      </c>
      <c r="BI165" s="11" t="s">
        <v>1171</v>
      </c>
      <c r="BJ165" s="311"/>
      <c r="BK165" s="311"/>
      <c r="BL165" s="311"/>
      <c r="BM165" s="52"/>
      <c r="BN165" s="52"/>
      <c r="BO165" s="387"/>
      <c r="BP165" s="320"/>
      <c r="BQ165" s="320"/>
      <c r="BR165" s="76"/>
      <c r="BS165" s="4"/>
      <c r="BT165" s="11"/>
      <c r="BU165" s="11"/>
      <c r="BV165" s="11"/>
      <c r="BW165" s="11"/>
      <c r="BX165" s="11"/>
      <c r="BY165" s="348"/>
      <c r="BZ165" s="348"/>
      <c r="CA165" s="348"/>
      <c r="CB165" s="348"/>
      <c r="CC165" s="348"/>
      <c r="CD165" s="11"/>
      <c r="CE165" s="11"/>
      <c r="CF165" s="11"/>
      <c r="CG165" s="11"/>
      <c r="CH165" s="11"/>
      <c r="CI165" s="11"/>
      <c r="CJ165" s="11"/>
      <c r="CK165" s="11"/>
      <c r="CL165" s="11"/>
      <c r="CM165" s="11"/>
      <c r="CN165" s="274"/>
      <c r="CO165" s="274"/>
      <c r="CP165" s="274"/>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8"/>
      <c r="DN165" s="118"/>
      <c r="DO165" s="118"/>
      <c r="DP165" s="52"/>
      <c r="DQ165" s="52"/>
      <c r="DR165" s="77"/>
      <c r="DS165" s="77"/>
      <c r="DT165" s="77"/>
      <c r="DU165" s="11"/>
      <c r="DV165" s="11"/>
      <c r="DW165" s="11"/>
      <c r="DX165" s="11"/>
      <c r="DY165" s="11"/>
      <c r="DZ165" s="11"/>
      <c r="EA165" s="11"/>
      <c r="EB165" s="11"/>
      <c r="EC165" s="11"/>
      <c r="ED165" s="11"/>
      <c r="EE165" s="11"/>
      <c r="EF165" s="11"/>
    </row>
    <row r="166" spans="1:136" ht="40.5" x14ac:dyDescent="0.25">
      <c r="A166" s="425">
        <v>164</v>
      </c>
      <c r="B166" s="413" t="s">
        <v>1172</v>
      </c>
      <c r="C166" s="428" t="s">
        <v>1173</v>
      </c>
      <c r="D166" s="428" t="s">
        <v>1174</v>
      </c>
      <c r="E166" s="79">
        <v>1</v>
      </c>
      <c r="F166" s="406">
        <v>346898.32800000004</v>
      </c>
      <c r="G166" s="274">
        <v>240000</v>
      </c>
      <c r="H166" s="274">
        <v>45600</v>
      </c>
      <c r="I166" s="274">
        <v>285600</v>
      </c>
      <c r="J166" s="274" t="s">
        <v>45</v>
      </c>
      <c r="K166" s="11" t="s">
        <v>1175</v>
      </c>
      <c r="L166" s="274"/>
      <c r="M166" s="274"/>
      <c r="N166" s="274"/>
      <c r="O166" s="48"/>
      <c r="P166" s="11"/>
      <c r="Q166" s="274"/>
      <c r="R166" s="274"/>
      <c r="S166" s="274"/>
      <c r="T166" s="11"/>
      <c r="U166" s="11"/>
      <c r="V166" s="11"/>
      <c r="W166" s="11"/>
      <c r="X166" s="11"/>
      <c r="Y166" s="11"/>
      <c r="Z166" s="48"/>
      <c r="AA166" s="52"/>
      <c r="AB166" s="52"/>
      <c r="AC166" s="118"/>
      <c r="AD166" s="5"/>
      <c r="AE166" s="52"/>
      <c r="AF166" s="113">
        <v>155000</v>
      </c>
      <c r="AG166" s="113">
        <f>AF166*0.19</f>
        <v>29450</v>
      </c>
      <c r="AH166" s="113">
        <f>AF166+AG166</f>
        <v>184450</v>
      </c>
      <c r="AI166" s="277" t="s">
        <v>628</v>
      </c>
      <c r="AJ166" s="33" t="s">
        <v>1170</v>
      </c>
      <c r="AK166" s="269">
        <v>209760</v>
      </c>
      <c r="AL166" s="269">
        <v>39854.400000000001</v>
      </c>
      <c r="AM166" s="116">
        <v>249614.4</v>
      </c>
      <c r="AN166" s="301" t="s">
        <v>88</v>
      </c>
      <c r="AO166" s="302">
        <v>1063931000</v>
      </c>
      <c r="AP166" s="11"/>
      <c r="AQ166" s="11"/>
      <c r="AR166" s="11"/>
      <c r="AS166" s="11"/>
      <c r="AT166" s="11"/>
      <c r="AU166" s="118">
        <v>125399</v>
      </c>
      <c r="AV166" s="118">
        <v>23826</v>
      </c>
      <c r="AW166" s="118">
        <v>149225</v>
      </c>
      <c r="AX166" s="52" t="s">
        <v>607</v>
      </c>
      <c r="AY166" s="52">
        <v>1063920500</v>
      </c>
      <c r="AZ166" s="11"/>
      <c r="BA166" s="11"/>
      <c r="BB166" s="11"/>
      <c r="BC166" s="11"/>
      <c r="BD166" s="11"/>
      <c r="BE166" s="274">
        <v>180000</v>
      </c>
      <c r="BF166" s="274">
        <v>34200</v>
      </c>
      <c r="BG166" s="274">
        <v>214200</v>
      </c>
      <c r="BH166" s="11" t="s">
        <v>63</v>
      </c>
      <c r="BI166" s="11" t="s">
        <v>1176</v>
      </c>
      <c r="BJ166" s="311"/>
      <c r="BK166" s="311"/>
      <c r="BL166" s="311"/>
      <c r="BM166" s="52"/>
      <c r="BN166" s="52"/>
      <c r="BO166" s="387"/>
      <c r="BP166" s="320"/>
      <c r="BQ166" s="320"/>
      <c r="BR166" s="76"/>
      <c r="BS166" s="4"/>
      <c r="BT166" s="11"/>
      <c r="BU166" s="11"/>
      <c r="BV166" s="11"/>
      <c r="BW166" s="11"/>
      <c r="BX166" s="11"/>
      <c r="BY166" s="348"/>
      <c r="BZ166" s="348"/>
      <c r="CA166" s="348"/>
      <c r="CB166" s="348"/>
      <c r="CC166" s="348"/>
      <c r="CD166" s="11"/>
      <c r="CE166" s="11"/>
      <c r="CF166" s="11"/>
      <c r="CG166" s="11"/>
      <c r="CH166" s="11"/>
      <c r="CI166" s="11"/>
      <c r="CJ166" s="11"/>
      <c r="CK166" s="11"/>
      <c r="CL166" s="11"/>
      <c r="CM166" s="11"/>
      <c r="CN166" s="274"/>
      <c r="CO166" s="274"/>
      <c r="CP166" s="274"/>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8"/>
      <c r="DN166" s="118"/>
      <c r="DO166" s="118"/>
      <c r="DP166" s="52"/>
      <c r="DQ166" s="52"/>
      <c r="DR166" s="77"/>
      <c r="DS166" s="77"/>
      <c r="DT166" s="77"/>
      <c r="DU166" s="11"/>
      <c r="DV166" s="11"/>
      <c r="DW166" s="11"/>
      <c r="DX166" s="11"/>
      <c r="DY166" s="11"/>
      <c r="DZ166" s="11"/>
      <c r="EA166" s="11"/>
      <c r="EB166" s="11"/>
      <c r="EC166" s="11"/>
      <c r="ED166" s="11"/>
      <c r="EE166" s="11"/>
      <c r="EF166" s="11"/>
    </row>
    <row r="167" spans="1:136" ht="25.5" customHeight="1" x14ac:dyDescent="0.25">
      <c r="A167" s="425">
        <v>165</v>
      </c>
      <c r="B167" s="427" t="s">
        <v>1177</v>
      </c>
      <c r="C167" s="588" t="s">
        <v>1178</v>
      </c>
      <c r="D167" s="427" t="s">
        <v>1179</v>
      </c>
      <c r="E167" s="79">
        <v>1</v>
      </c>
      <c r="F167" s="406">
        <v>1989637.8740000001</v>
      </c>
      <c r="G167" s="274"/>
      <c r="H167" s="274"/>
      <c r="I167" s="274"/>
      <c r="J167" s="274"/>
      <c r="K167" s="11"/>
      <c r="L167" s="274"/>
      <c r="M167" s="274"/>
      <c r="N167" s="274"/>
      <c r="O167" s="48"/>
      <c r="P167" s="11"/>
      <c r="Q167" s="274"/>
      <c r="R167" s="274"/>
      <c r="S167" s="274"/>
      <c r="T167" s="11"/>
      <c r="U167" s="11"/>
      <c r="V167" s="11"/>
      <c r="W167" s="11"/>
      <c r="X167" s="11"/>
      <c r="Y167" s="11"/>
      <c r="Z167" s="48"/>
      <c r="AA167" s="52"/>
      <c r="AB167" s="52"/>
      <c r="AC167" s="118"/>
      <c r="AD167" s="5"/>
      <c r="AE167" s="52"/>
      <c r="AF167" s="113"/>
      <c r="AG167" s="113"/>
      <c r="AH167" s="113"/>
      <c r="AI167" s="52"/>
      <c r="AJ167" s="11"/>
      <c r="AK167" s="269"/>
      <c r="AL167" s="269"/>
      <c r="AM167" s="116"/>
      <c r="AN167" s="301"/>
      <c r="AO167" s="302"/>
      <c r="AP167" s="11"/>
      <c r="AQ167" s="11"/>
      <c r="AR167" s="11"/>
      <c r="AS167" s="11"/>
      <c r="AT167" s="11"/>
      <c r="AU167" s="118">
        <v>1156864</v>
      </c>
      <c r="AV167" s="118">
        <v>219804</v>
      </c>
      <c r="AW167" s="118">
        <v>1376668</v>
      </c>
      <c r="AX167" s="52" t="s">
        <v>607</v>
      </c>
      <c r="AY167" s="52">
        <v>1196870001</v>
      </c>
      <c r="AZ167" s="11"/>
      <c r="BA167" s="11"/>
      <c r="BB167" s="11"/>
      <c r="BC167" s="11"/>
      <c r="BD167" s="11"/>
      <c r="BE167" s="274">
        <v>1484000</v>
      </c>
      <c r="BF167" s="274">
        <v>281960</v>
      </c>
      <c r="BG167" s="274">
        <v>1765960</v>
      </c>
      <c r="BH167" s="11" t="s">
        <v>63</v>
      </c>
      <c r="BI167" s="11" t="s">
        <v>1180</v>
      </c>
      <c r="BJ167" s="311"/>
      <c r="BK167" s="311"/>
      <c r="BL167" s="311"/>
      <c r="BM167" s="52"/>
      <c r="BN167" s="52"/>
      <c r="BO167" s="387"/>
      <c r="BP167" s="320"/>
      <c r="BQ167" s="320"/>
      <c r="BR167" s="76"/>
      <c r="BS167" s="4"/>
      <c r="BT167" s="11"/>
      <c r="BU167" s="11"/>
      <c r="BV167" s="11"/>
      <c r="BW167" s="11"/>
      <c r="BX167" s="11"/>
      <c r="BY167" s="348"/>
      <c r="BZ167" s="348"/>
      <c r="CA167" s="348"/>
      <c r="CB167" s="348"/>
      <c r="CC167" s="348"/>
      <c r="CD167" s="11"/>
      <c r="CE167" s="11"/>
      <c r="CF167" s="11"/>
      <c r="CG167" s="11"/>
      <c r="CH167" s="11"/>
      <c r="CI167" s="11"/>
      <c r="CJ167" s="11"/>
      <c r="CK167" s="11"/>
      <c r="CL167" s="11"/>
      <c r="CM167" s="11"/>
      <c r="CN167" s="274"/>
      <c r="CO167" s="274"/>
      <c r="CP167" s="274"/>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8"/>
      <c r="DN167" s="118"/>
      <c r="DO167" s="118"/>
      <c r="DP167" s="52"/>
      <c r="DQ167" s="52"/>
      <c r="DR167" s="77"/>
      <c r="DS167" s="77"/>
      <c r="DT167" s="77"/>
      <c r="DU167" s="11"/>
      <c r="DV167" s="11"/>
      <c r="DW167" s="11"/>
      <c r="DX167" s="11"/>
      <c r="DY167" s="11"/>
      <c r="DZ167" s="11"/>
      <c r="EA167" s="11"/>
      <c r="EB167" s="11"/>
      <c r="EC167" s="11"/>
      <c r="ED167" s="11"/>
      <c r="EE167" s="11"/>
      <c r="EF167" s="11"/>
    </row>
    <row r="168" spans="1:136" ht="25.5" x14ac:dyDescent="0.25">
      <c r="A168" s="425">
        <v>166</v>
      </c>
      <c r="B168" s="427" t="s">
        <v>1181</v>
      </c>
      <c r="C168" s="427" t="s">
        <v>1182</v>
      </c>
      <c r="D168" s="427" t="s">
        <v>1183</v>
      </c>
      <c r="E168" s="79">
        <v>1</v>
      </c>
      <c r="F168" s="405"/>
      <c r="G168" s="274"/>
      <c r="H168" s="274"/>
      <c r="I168" s="274"/>
      <c r="J168" s="274"/>
      <c r="K168" s="11"/>
      <c r="L168" s="274"/>
      <c r="M168" s="274"/>
      <c r="N168" s="274"/>
      <c r="O168" s="48"/>
      <c r="P168" s="11"/>
      <c r="Q168" s="274"/>
      <c r="R168" s="274"/>
      <c r="S168" s="274"/>
      <c r="T168" s="11"/>
      <c r="U168" s="11"/>
      <c r="V168" s="11"/>
      <c r="W168" s="11"/>
      <c r="X168" s="11"/>
      <c r="Y168" s="11"/>
      <c r="Z168" s="48"/>
      <c r="AA168" s="293">
        <v>336700</v>
      </c>
      <c r="AB168" s="118">
        <f>+AA168*0.19</f>
        <v>63973</v>
      </c>
      <c r="AC168" s="118">
        <f>+AA168+AB168</f>
        <v>400673</v>
      </c>
      <c r="AD168" s="5" t="s">
        <v>542</v>
      </c>
      <c r="AE168" s="52">
        <v>290129301</v>
      </c>
      <c r="AF168" s="113"/>
      <c r="AG168" s="113"/>
      <c r="AH168" s="113"/>
      <c r="AI168" s="52"/>
      <c r="AJ168" s="11"/>
      <c r="AK168" s="269"/>
      <c r="AL168" s="269"/>
      <c r="AM168" s="116"/>
      <c r="AN168" s="301"/>
      <c r="AO168" s="302"/>
      <c r="AP168" s="11"/>
      <c r="AQ168" s="11"/>
      <c r="AR168" s="11"/>
      <c r="AS168" s="11"/>
      <c r="AT168" s="11"/>
      <c r="AU168" s="118"/>
      <c r="AV168" s="118"/>
      <c r="AW168" s="118"/>
      <c r="AX168" s="52"/>
      <c r="AY168" s="52"/>
      <c r="AZ168" s="11"/>
      <c r="BA168" s="11"/>
      <c r="BB168" s="11"/>
      <c r="BC168" s="11"/>
      <c r="BD168" s="11"/>
      <c r="BE168" s="274"/>
      <c r="BF168" s="274"/>
      <c r="BG168" s="274"/>
      <c r="BH168" s="11"/>
      <c r="BI168" s="11"/>
      <c r="BJ168" s="311"/>
      <c r="BK168" s="311"/>
      <c r="BL168" s="311"/>
      <c r="BM168" s="52"/>
      <c r="BN168" s="52"/>
      <c r="BO168" s="387"/>
      <c r="BP168" s="320"/>
      <c r="BQ168" s="320"/>
      <c r="BR168" s="76"/>
      <c r="BS168" s="4"/>
      <c r="BT168" s="11"/>
      <c r="BU168" s="11"/>
      <c r="BV168" s="11"/>
      <c r="BW168" s="11"/>
      <c r="BX168" s="11"/>
      <c r="BY168" s="348"/>
      <c r="BZ168" s="348"/>
      <c r="CA168" s="348"/>
      <c r="CB168" s="348"/>
      <c r="CC168" s="348"/>
      <c r="CD168" s="11"/>
      <c r="CE168" s="11"/>
      <c r="CF168" s="11"/>
      <c r="CG168" s="11"/>
      <c r="CH168" s="11"/>
      <c r="CI168" s="11"/>
      <c r="CJ168" s="11"/>
      <c r="CK168" s="11"/>
      <c r="CL168" s="11"/>
      <c r="CM168" s="11"/>
      <c r="CN168" s="274"/>
      <c r="CO168" s="274"/>
      <c r="CP168" s="274"/>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8"/>
      <c r="DN168" s="118"/>
      <c r="DO168" s="118"/>
      <c r="DP168" s="52"/>
      <c r="DQ168" s="52"/>
      <c r="DR168" s="77"/>
      <c r="DS168" s="77"/>
      <c r="DT168" s="77"/>
      <c r="DU168" s="11"/>
      <c r="DV168" s="11"/>
      <c r="DW168" s="11"/>
      <c r="DX168" s="11"/>
      <c r="DY168" s="11"/>
      <c r="DZ168" s="11"/>
      <c r="EA168" s="11"/>
      <c r="EB168" s="11"/>
      <c r="EC168" s="11"/>
      <c r="ED168" s="11"/>
      <c r="EE168" s="11"/>
      <c r="EF168" s="11"/>
    </row>
    <row r="169" spans="1:136" ht="54" x14ac:dyDescent="0.25">
      <c r="A169" s="425">
        <v>167</v>
      </c>
      <c r="B169" s="413" t="s">
        <v>1184</v>
      </c>
      <c r="C169" s="427" t="s">
        <v>1185</v>
      </c>
      <c r="D169" s="427" t="s">
        <v>1186</v>
      </c>
      <c r="E169" s="79">
        <v>1</v>
      </c>
      <c r="F169" s="405">
        <v>101722.622</v>
      </c>
      <c r="G169" s="274"/>
      <c r="H169" s="274"/>
      <c r="I169" s="274"/>
      <c r="J169" s="274"/>
      <c r="K169" s="11"/>
      <c r="L169" s="274"/>
      <c r="M169" s="274"/>
      <c r="N169" s="274"/>
      <c r="O169" s="48"/>
      <c r="P169" s="11"/>
      <c r="Q169" s="274"/>
      <c r="R169" s="274"/>
      <c r="S169" s="274"/>
      <c r="T169" s="11"/>
      <c r="U169" s="11"/>
      <c r="V169" s="11"/>
      <c r="W169" s="11"/>
      <c r="X169" s="11"/>
      <c r="Y169" s="11"/>
      <c r="Z169" s="48"/>
      <c r="AA169" s="52"/>
      <c r="AB169" s="52"/>
      <c r="AC169" s="118"/>
      <c r="AD169" s="5"/>
      <c r="AE169" s="52"/>
      <c r="AF169" s="113"/>
      <c r="AG169" s="113"/>
      <c r="AH169" s="113"/>
      <c r="AI169" s="52"/>
      <c r="AJ169" s="11"/>
      <c r="AK169" s="269"/>
      <c r="AL169" s="269"/>
      <c r="AM169" s="116"/>
      <c r="AN169" s="301"/>
      <c r="AO169" s="302"/>
      <c r="AP169" s="11"/>
      <c r="AQ169" s="11"/>
      <c r="AR169" s="11"/>
      <c r="AS169" s="11"/>
      <c r="AT169" s="11"/>
      <c r="AU169" s="118"/>
      <c r="AV169" s="118"/>
      <c r="AW169" s="118"/>
      <c r="AX169" s="52"/>
      <c r="AY169" s="52"/>
      <c r="AZ169" s="11"/>
      <c r="BA169" s="11"/>
      <c r="BB169" s="11"/>
      <c r="BC169" s="11"/>
      <c r="BD169" s="11"/>
      <c r="BE169" s="274"/>
      <c r="BF169" s="274"/>
      <c r="BG169" s="274"/>
      <c r="BH169" s="11"/>
      <c r="BI169" s="11"/>
      <c r="BJ169" s="311"/>
      <c r="BK169" s="311"/>
      <c r="BL169" s="311"/>
      <c r="BM169" s="52"/>
      <c r="BN169" s="52"/>
      <c r="BO169" s="387"/>
      <c r="BP169" s="320"/>
      <c r="BQ169" s="320"/>
      <c r="BR169" s="76"/>
      <c r="BS169" s="4"/>
      <c r="BT169" s="11"/>
      <c r="BU169" s="11"/>
      <c r="BV169" s="11"/>
      <c r="BW169" s="11"/>
      <c r="BX169" s="11"/>
      <c r="BY169" s="232"/>
      <c r="BZ169" s="232"/>
      <c r="CA169" s="232"/>
      <c r="CB169" s="348"/>
      <c r="CC169" s="348"/>
      <c r="CD169" s="11"/>
      <c r="CE169" s="11"/>
      <c r="CF169" s="11"/>
      <c r="CG169" s="11"/>
      <c r="CH169" s="11"/>
      <c r="CI169" s="11"/>
      <c r="CJ169" s="11"/>
      <c r="CK169" s="11"/>
      <c r="CL169" s="11"/>
      <c r="CM169" s="11"/>
      <c r="CN169" s="274"/>
      <c r="CO169" s="274"/>
      <c r="CP169" s="274"/>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8"/>
      <c r="DN169" s="118"/>
      <c r="DO169" s="118"/>
      <c r="DP169" s="52"/>
      <c r="DQ169" s="52"/>
      <c r="DR169" s="77"/>
      <c r="DS169" s="77"/>
      <c r="DT169" s="77"/>
      <c r="DU169" s="11"/>
      <c r="DV169" s="11"/>
      <c r="DW169" s="11"/>
      <c r="DX169" s="11"/>
      <c r="DY169" s="11"/>
      <c r="DZ169" s="11"/>
      <c r="EA169" s="11"/>
      <c r="EB169" s="11"/>
      <c r="EC169" s="11"/>
      <c r="ED169" s="11"/>
      <c r="EE169" s="11"/>
      <c r="EF169" s="11"/>
    </row>
    <row r="170" spans="1:136" ht="54" x14ac:dyDescent="0.25">
      <c r="A170" s="425">
        <v>168</v>
      </c>
      <c r="B170" s="413" t="s">
        <v>1187</v>
      </c>
      <c r="C170" s="427" t="s">
        <v>1188</v>
      </c>
      <c r="D170" s="427" t="s">
        <v>1186</v>
      </c>
      <c r="E170" s="79">
        <v>1</v>
      </c>
      <c r="F170" s="405">
        <v>893890.57740000007</v>
      </c>
      <c r="G170" s="274"/>
      <c r="H170" s="274"/>
      <c r="I170" s="274"/>
      <c r="J170" s="274"/>
      <c r="K170" s="11"/>
      <c r="L170" s="274"/>
      <c r="M170" s="274"/>
      <c r="N170" s="274"/>
      <c r="O170" s="48"/>
      <c r="P170" s="11"/>
      <c r="Q170" s="274"/>
      <c r="R170" s="274"/>
      <c r="S170" s="274"/>
      <c r="T170" s="11"/>
      <c r="U170" s="11"/>
      <c r="V170" s="11"/>
      <c r="W170" s="11"/>
      <c r="X170" s="11"/>
      <c r="Y170" s="11"/>
      <c r="Z170" s="48"/>
      <c r="AA170" s="52"/>
      <c r="AB170" s="52"/>
      <c r="AC170" s="118"/>
      <c r="AD170" s="5"/>
      <c r="AE170" s="52"/>
      <c r="AF170" s="113"/>
      <c r="AG170" s="113"/>
      <c r="AH170" s="113"/>
      <c r="AI170" s="52"/>
      <c r="AJ170" s="11"/>
      <c r="AK170" s="269"/>
      <c r="AL170" s="269"/>
      <c r="AM170" s="116"/>
      <c r="AN170" s="301"/>
      <c r="AO170" s="302"/>
      <c r="AP170" s="11"/>
      <c r="AQ170" s="11"/>
      <c r="AR170" s="11"/>
      <c r="AS170" s="11"/>
      <c r="AT170" s="11"/>
      <c r="AU170" s="118"/>
      <c r="AV170" s="118"/>
      <c r="AW170" s="118"/>
      <c r="AX170" s="52"/>
      <c r="AY170" s="52"/>
      <c r="AZ170" s="11"/>
      <c r="BA170" s="11"/>
      <c r="BB170" s="11"/>
      <c r="BC170" s="11"/>
      <c r="BD170" s="11"/>
      <c r="BE170" s="274"/>
      <c r="BF170" s="274"/>
      <c r="BG170" s="274"/>
      <c r="BH170" s="11"/>
      <c r="BI170" s="11"/>
      <c r="BJ170" s="311"/>
      <c r="BK170" s="311"/>
      <c r="BL170" s="311"/>
      <c r="BM170" s="52"/>
      <c r="BN170" s="52"/>
      <c r="BO170" s="387"/>
      <c r="BP170" s="320"/>
      <c r="BQ170" s="320"/>
      <c r="BR170" s="76"/>
      <c r="BS170" s="4"/>
      <c r="BT170" s="11"/>
      <c r="BU170" s="11"/>
      <c r="BV170" s="11"/>
      <c r="BW170" s="11"/>
      <c r="BX170" s="11"/>
      <c r="BY170" s="232"/>
      <c r="BZ170" s="232"/>
      <c r="CA170" s="232"/>
      <c r="CB170" s="232"/>
      <c r="CC170" s="348"/>
      <c r="CD170" s="11"/>
      <c r="CE170" s="11"/>
      <c r="CF170" s="11"/>
      <c r="CG170" s="11"/>
      <c r="CH170" s="11"/>
      <c r="CI170" s="11"/>
      <c r="CJ170" s="11"/>
      <c r="CK170" s="11"/>
      <c r="CL170" s="11"/>
      <c r="CM170" s="11"/>
      <c r="CN170" s="274"/>
      <c r="CO170" s="274"/>
      <c r="CP170" s="274"/>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8"/>
      <c r="DN170" s="118"/>
      <c r="DO170" s="118"/>
      <c r="DP170" s="52"/>
      <c r="DQ170" s="52"/>
      <c r="DR170" s="77"/>
      <c r="DS170" s="77"/>
      <c r="DT170" s="77"/>
      <c r="DU170" s="11"/>
      <c r="DV170" s="11"/>
      <c r="DW170" s="11"/>
      <c r="DX170" s="11"/>
      <c r="DY170" s="11"/>
      <c r="DZ170" s="11"/>
      <c r="EA170" s="11"/>
      <c r="EB170" s="11"/>
      <c r="EC170" s="11"/>
      <c r="ED170" s="11"/>
      <c r="EE170" s="11"/>
      <c r="EF170" s="11"/>
    </row>
    <row r="171" spans="1:136" ht="54" x14ac:dyDescent="0.25">
      <c r="A171" s="425">
        <v>169</v>
      </c>
      <c r="B171" s="413" t="s">
        <v>1189</v>
      </c>
      <c r="C171" s="427" t="s">
        <v>1188</v>
      </c>
      <c r="D171" s="427" t="s">
        <v>1186</v>
      </c>
      <c r="E171" s="79">
        <v>1</v>
      </c>
      <c r="F171" s="405">
        <v>1422951.7194000001</v>
      </c>
      <c r="G171" s="274"/>
      <c r="H171" s="274"/>
      <c r="I171" s="274"/>
      <c r="J171" s="274"/>
      <c r="K171" s="11"/>
      <c r="L171" s="274"/>
      <c r="M171" s="274"/>
      <c r="N171" s="274"/>
      <c r="O171" s="48"/>
      <c r="P171" s="11"/>
      <c r="Q171" s="274"/>
      <c r="R171" s="274"/>
      <c r="S171" s="274"/>
      <c r="T171" s="11"/>
      <c r="U171" s="11"/>
      <c r="V171" s="11"/>
      <c r="W171" s="11"/>
      <c r="X171" s="11"/>
      <c r="Y171" s="11"/>
      <c r="Z171" s="48"/>
      <c r="AA171" s="52"/>
      <c r="AB171" s="52"/>
      <c r="AC171" s="118"/>
      <c r="AD171" s="5"/>
      <c r="AE171" s="52"/>
      <c r="AF171" s="113"/>
      <c r="AG171" s="113"/>
      <c r="AH171" s="113"/>
      <c r="AI171" s="52"/>
      <c r="AJ171" s="11"/>
      <c r="AK171" s="269"/>
      <c r="AL171" s="269"/>
      <c r="AM171" s="116"/>
      <c r="AN171" s="301"/>
      <c r="AO171" s="302"/>
      <c r="AP171" s="11"/>
      <c r="AQ171" s="11"/>
      <c r="AR171" s="11"/>
      <c r="AS171" s="11"/>
      <c r="AT171" s="11"/>
      <c r="AU171" s="118"/>
      <c r="AV171" s="118"/>
      <c r="AW171" s="118"/>
      <c r="AX171" s="52"/>
      <c r="AY171" s="52"/>
      <c r="AZ171" s="11"/>
      <c r="BA171" s="11"/>
      <c r="BB171" s="11"/>
      <c r="BC171" s="11"/>
      <c r="BD171" s="11"/>
      <c r="BE171" s="274"/>
      <c r="BF171" s="274"/>
      <c r="BG171" s="274"/>
      <c r="BH171" s="11"/>
      <c r="BI171" s="11"/>
      <c r="BJ171" s="311"/>
      <c r="BK171" s="311"/>
      <c r="BL171" s="311"/>
      <c r="BM171" s="52"/>
      <c r="BN171" s="52"/>
      <c r="BO171" s="387"/>
      <c r="BP171" s="320"/>
      <c r="BQ171" s="320"/>
      <c r="BR171" s="76"/>
      <c r="BS171" s="4"/>
      <c r="BT171" s="11"/>
      <c r="BU171" s="11"/>
      <c r="BV171" s="11"/>
      <c r="BW171" s="11"/>
      <c r="BX171" s="11"/>
      <c r="BY171" s="232"/>
      <c r="BZ171" s="232"/>
      <c r="CA171" s="232"/>
      <c r="CB171" s="232"/>
      <c r="CC171" s="348"/>
      <c r="CD171" s="11"/>
      <c r="CE171" s="11"/>
      <c r="CF171" s="11"/>
      <c r="CG171" s="11"/>
      <c r="CH171" s="11"/>
      <c r="CI171" s="11"/>
      <c r="CJ171" s="11"/>
      <c r="CK171" s="11"/>
      <c r="CL171" s="11"/>
      <c r="CM171" s="11"/>
      <c r="CN171" s="274"/>
      <c r="CO171" s="274"/>
      <c r="CP171" s="274"/>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8"/>
      <c r="DN171" s="118"/>
      <c r="DO171" s="118"/>
      <c r="DP171" s="52"/>
      <c r="DQ171" s="52"/>
      <c r="DR171" s="77"/>
      <c r="DS171" s="77"/>
      <c r="DT171" s="77"/>
      <c r="DU171" s="11"/>
      <c r="DV171" s="11"/>
      <c r="DW171" s="11"/>
      <c r="DX171" s="11"/>
      <c r="DY171" s="11"/>
      <c r="DZ171" s="11"/>
      <c r="EA171" s="11"/>
      <c r="EB171" s="11"/>
      <c r="EC171" s="11"/>
      <c r="ED171" s="11"/>
      <c r="EE171" s="11"/>
      <c r="EF171" s="11"/>
    </row>
    <row r="172" spans="1:136" ht="54" x14ac:dyDescent="0.25">
      <c r="A172" s="425">
        <v>170</v>
      </c>
      <c r="B172" s="413" t="s">
        <v>1190</v>
      </c>
      <c r="C172" s="427" t="s">
        <v>1188</v>
      </c>
      <c r="D172" s="427" t="s">
        <v>1186</v>
      </c>
      <c r="E172" s="79">
        <v>1</v>
      </c>
      <c r="F172" s="405">
        <v>139901.0834</v>
      </c>
      <c r="G172" s="274"/>
      <c r="H172" s="274"/>
      <c r="I172" s="274"/>
      <c r="J172" s="274"/>
      <c r="K172" s="11"/>
      <c r="L172" s="274"/>
      <c r="M172" s="274"/>
      <c r="N172" s="274"/>
      <c r="O172" s="48"/>
      <c r="P172" s="11"/>
      <c r="Q172" s="274"/>
      <c r="R172" s="274"/>
      <c r="S172" s="274"/>
      <c r="T172" s="11"/>
      <c r="U172" s="11"/>
      <c r="V172" s="11"/>
      <c r="W172" s="11"/>
      <c r="X172" s="11"/>
      <c r="Y172" s="11"/>
      <c r="Z172" s="48"/>
      <c r="AA172" s="52"/>
      <c r="AB172" s="52"/>
      <c r="AC172" s="118"/>
      <c r="AD172" s="5"/>
      <c r="AE172" s="52"/>
      <c r="AF172" s="113"/>
      <c r="AG172" s="113"/>
      <c r="AH172" s="113"/>
      <c r="AI172" s="52"/>
      <c r="AJ172" s="11"/>
      <c r="AK172" s="269"/>
      <c r="AL172" s="269"/>
      <c r="AM172" s="116"/>
      <c r="AN172" s="301"/>
      <c r="AO172" s="302"/>
      <c r="AP172" s="11"/>
      <c r="AQ172" s="11"/>
      <c r="AR172" s="11"/>
      <c r="AS172" s="11"/>
      <c r="AT172" s="11"/>
      <c r="AU172" s="118"/>
      <c r="AV172" s="118"/>
      <c r="AW172" s="118"/>
      <c r="AX172" s="52"/>
      <c r="AY172" s="52"/>
      <c r="AZ172" s="11"/>
      <c r="BA172" s="11"/>
      <c r="BB172" s="11"/>
      <c r="BC172" s="11"/>
      <c r="BD172" s="11"/>
      <c r="BE172" s="274"/>
      <c r="BF172" s="274"/>
      <c r="BG172" s="274"/>
      <c r="BH172" s="11"/>
      <c r="BI172" s="11"/>
      <c r="BJ172" s="311"/>
      <c r="BK172" s="311"/>
      <c r="BL172" s="311"/>
      <c r="BM172" s="52"/>
      <c r="BN172" s="52"/>
      <c r="BO172" s="387"/>
      <c r="BP172" s="320"/>
      <c r="BQ172" s="320"/>
      <c r="BR172" s="76"/>
      <c r="BS172" s="4"/>
      <c r="BT172" s="11"/>
      <c r="BU172" s="11"/>
      <c r="BV172" s="11"/>
      <c r="BW172" s="11"/>
      <c r="BX172" s="11"/>
      <c r="BY172" s="232"/>
      <c r="BZ172" s="232"/>
      <c r="CA172" s="232"/>
      <c r="CB172" s="232"/>
      <c r="CC172" s="348"/>
      <c r="CD172" s="11"/>
      <c r="CE172" s="11"/>
      <c r="CF172" s="11"/>
      <c r="CG172" s="11"/>
      <c r="CH172" s="11"/>
      <c r="CI172" s="11"/>
      <c r="CJ172" s="11"/>
      <c r="CK172" s="11"/>
      <c r="CL172" s="11"/>
      <c r="CM172" s="11"/>
      <c r="CN172" s="274"/>
      <c r="CO172" s="274"/>
      <c r="CP172" s="274"/>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8"/>
      <c r="DN172" s="118"/>
      <c r="DO172" s="118"/>
      <c r="DP172" s="52"/>
      <c r="DQ172" s="52"/>
      <c r="DR172" s="77"/>
      <c r="DS172" s="77"/>
      <c r="DT172" s="77"/>
      <c r="DU172" s="11"/>
      <c r="DV172" s="11"/>
      <c r="DW172" s="11"/>
      <c r="DX172" s="11"/>
      <c r="DY172" s="11"/>
      <c r="DZ172" s="11"/>
      <c r="EA172" s="11"/>
      <c r="EB172" s="11"/>
      <c r="EC172" s="11"/>
      <c r="ED172" s="11"/>
      <c r="EE172" s="11"/>
      <c r="EF172" s="11"/>
    </row>
    <row r="173" spans="1:136" ht="54" x14ac:dyDescent="0.25">
      <c r="A173" s="425">
        <v>171</v>
      </c>
      <c r="B173" s="413" t="s">
        <v>1191</v>
      </c>
      <c r="C173" s="427" t="s">
        <v>1188</v>
      </c>
      <c r="D173" s="427" t="s">
        <v>1186</v>
      </c>
      <c r="E173" s="79">
        <v>1</v>
      </c>
      <c r="F173" s="405">
        <v>961185.30420000001</v>
      </c>
      <c r="G173" s="274"/>
      <c r="H173" s="274"/>
      <c r="I173" s="274"/>
      <c r="J173" s="274"/>
      <c r="K173" s="11"/>
      <c r="L173" s="274"/>
      <c r="M173" s="274"/>
      <c r="N173" s="274"/>
      <c r="O173" s="48"/>
      <c r="P173" s="11"/>
      <c r="Q173" s="274"/>
      <c r="R173" s="274"/>
      <c r="S173" s="274"/>
      <c r="T173" s="11"/>
      <c r="U173" s="11"/>
      <c r="V173" s="11"/>
      <c r="W173" s="11"/>
      <c r="X173" s="11"/>
      <c r="Y173" s="11"/>
      <c r="Z173" s="48"/>
      <c r="AA173" s="52"/>
      <c r="AB173" s="52"/>
      <c r="AC173" s="118"/>
      <c r="AD173" s="5"/>
      <c r="AE173" s="52"/>
      <c r="AF173" s="113"/>
      <c r="AG173" s="113"/>
      <c r="AH173" s="113"/>
      <c r="AI173" s="52"/>
      <c r="AJ173" s="11"/>
      <c r="AK173" s="269"/>
      <c r="AL173" s="269"/>
      <c r="AM173" s="116"/>
      <c r="AN173" s="301"/>
      <c r="AO173" s="302"/>
      <c r="AP173" s="11"/>
      <c r="AQ173" s="11"/>
      <c r="AR173" s="11"/>
      <c r="AS173" s="11"/>
      <c r="AT173" s="11"/>
      <c r="AU173" s="118"/>
      <c r="AV173" s="118"/>
      <c r="AW173" s="118"/>
      <c r="AX173" s="52"/>
      <c r="AY173" s="52"/>
      <c r="AZ173" s="11"/>
      <c r="BA173" s="11"/>
      <c r="BB173" s="11"/>
      <c r="BC173" s="11"/>
      <c r="BD173" s="11"/>
      <c r="BE173" s="274"/>
      <c r="BF173" s="274"/>
      <c r="BG173" s="274"/>
      <c r="BH173" s="11"/>
      <c r="BI173" s="11"/>
      <c r="BJ173" s="311"/>
      <c r="BK173" s="311"/>
      <c r="BL173" s="311"/>
      <c r="BM173" s="52"/>
      <c r="BN173" s="52"/>
      <c r="BO173" s="387"/>
      <c r="BP173" s="320"/>
      <c r="BQ173" s="320"/>
      <c r="BR173" s="76"/>
      <c r="BS173" s="4"/>
      <c r="BT173" s="11"/>
      <c r="BU173" s="11"/>
      <c r="BV173" s="11"/>
      <c r="BW173" s="11"/>
      <c r="BX173" s="11"/>
      <c r="BY173" s="232"/>
      <c r="BZ173" s="232"/>
      <c r="CA173" s="232"/>
      <c r="CB173" s="232"/>
      <c r="CC173" s="348"/>
      <c r="CD173" s="11"/>
      <c r="CE173" s="11"/>
      <c r="CF173" s="11"/>
      <c r="CG173" s="11"/>
      <c r="CH173" s="11"/>
      <c r="CI173" s="11"/>
      <c r="CJ173" s="11"/>
      <c r="CK173" s="11"/>
      <c r="CL173" s="11"/>
      <c r="CM173" s="11"/>
      <c r="CN173" s="274"/>
      <c r="CO173" s="274"/>
      <c r="CP173" s="274"/>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8"/>
      <c r="DN173" s="118"/>
      <c r="DO173" s="118"/>
      <c r="DP173" s="52"/>
      <c r="DQ173" s="52"/>
      <c r="DR173" s="77"/>
      <c r="DS173" s="77"/>
      <c r="DT173" s="77"/>
      <c r="DU173" s="11"/>
      <c r="DV173" s="11"/>
      <c r="DW173" s="11"/>
      <c r="DX173" s="11"/>
      <c r="DY173" s="11"/>
      <c r="DZ173" s="11"/>
      <c r="EA173" s="11"/>
      <c r="EB173" s="11"/>
      <c r="EC173" s="11"/>
      <c r="ED173" s="11"/>
      <c r="EE173" s="11"/>
      <c r="EF173" s="11"/>
    </row>
    <row r="174" spans="1:136" ht="40.5" x14ac:dyDescent="0.25">
      <c r="A174" s="425">
        <v>172</v>
      </c>
      <c r="B174" s="427" t="s">
        <v>2856</v>
      </c>
      <c r="C174" s="427" t="s">
        <v>1192</v>
      </c>
      <c r="D174" s="427" t="s">
        <v>1186</v>
      </c>
      <c r="E174" s="79">
        <v>1</v>
      </c>
      <c r="F174" s="405"/>
      <c r="G174" s="274"/>
      <c r="H174" s="274"/>
      <c r="I174" s="274"/>
      <c r="J174" s="274"/>
      <c r="K174" s="11"/>
      <c r="L174" s="274"/>
      <c r="M174" s="274"/>
      <c r="N174" s="274"/>
      <c r="O174" s="48"/>
      <c r="P174" s="11"/>
      <c r="Q174" s="274"/>
      <c r="R174" s="274"/>
      <c r="S174" s="274"/>
      <c r="T174" s="11"/>
      <c r="U174" s="11"/>
      <c r="V174" s="11"/>
      <c r="W174" s="11"/>
      <c r="X174" s="11"/>
      <c r="Y174" s="11"/>
      <c r="Z174" s="48"/>
      <c r="AA174" s="52"/>
      <c r="AB174" s="52"/>
      <c r="AC174" s="118"/>
      <c r="AD174" s="5"/>
      <c r="AE174" s="52"/>
      <c r="AF174" s="113">
        <v>353000</v>
      </c>
      <c r="AG174" s="113">
        <v>0</v>
      </c>
      <c r="AH174" s="113">
        <f>AF174+AG174</f>
        <v>353000</v>
      </c>
      <c r="AI174" s="52" t="s">
        <v>1193</v>
      </c>
      <c r="AJ174" s="11" t="s">
        <v>1194</v>
      </c>
      <c r="AK174" s="269"/>
      <c r="AL174" s="269"/>
      <c r="AM174" s="116"/>
      <c r="AN174" s="301"/>
      <c r="AO174" s="302"/>
      <c r="AP174" s="11"/>
      <c r="AQ174" s="11"/>
      <c r="AR174" s="11"/>
      <c r="AS174" s="11"/>
      <c r="AT174" s="11"/>
      <c r="AU174" s="118"/>
      <c r="AV174" s="118"/>
      <c r="AW174" s="118"/>
      <c r="AX174" s="52"/>
      <c r="AY174" s="52"/>
      <c r="AZ174" s="11"/>
      <c r="BA174" s="11"/>
      <c r="BB174" s="11"/>
      <c r="BC174" s="11"/>
      <c r="BD174" s="11"/>
      <c r="BE174" s="274"/>
      <c r="BF174" s="274"/>
      <c r="BG174" s="274"/>
      <c r="BH174" s="11"/>
      <c r="BI174" s="11"/>
      <c r="BJ174" s="311"/>
      <c r="BK174" s="311"/>
      <c r="BL174" s="311"/>
      <c r="BM174" s="52"/>
      <c r="BN174" s="52"/>
      <c r="BO174" s="387"/>
      <c r="BP174" s="320"/>
      <c r="BQ174" s="320"/>
      <c r="BR174" s="76"/>
      <c r="BS174" s="4"/>
      <c r="BT174" s="11"/>
      <c r="BU174" s="11"/>
      <c r="BV174" s="11"/>
      <c r="BW174" s="11"/>
      <c r="BX174" s="11"/>
      <c r="BY174" s="232">
        <v>660000</v>
      </c>
      <c r="BZ174" s="232">
        <f>BY174*0.19</f>
        <v>125400</v>
      </c>
      <c r="CA174" s="232">
        <f>BY174+BZ174</f>
        <v>785400</v>
      </c>
      <c r="CB174" s="232" t="s">
        <v>772</v>
      </c>
      <c r="CC174" s="348">
        <v>89024</v>
      </c>
      <c r="CD174" s="11"/>
      <c r="CE174" s="11"/>
      <c r="CF174" s="11"/>
      <c r="CG174" s="11"/>
      <c r="CH174" s="11"/>
      <c r="CI174" s="11"/>
      <c r="CJ174" s="11"/>
      <c r="CK174" s="11"/>
      <c r="CL174" s="11"/>
      <c r="CM174" s="11"/>
      <c r="CN174" s="274"/>
      <c r="CO174" s="274"/>
      <c r="CP174" s="274"/>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8"/>
      <c r="DN174" s="118"/>
      <c r="DO174" s="118"/>
      <c r="DP174" s="52"/>
      <c r="DQ174" s="52"/>
      <c r="DR174" s="77"/>
      <c r="DS174" s="77"/>
      <c r="DT174" s="77"/>
      <c r="DU174" s="11"/>
      <c r="DV174" s="11"/>
      <c r="DW174" s="11"/>
      <c r="DX174" s="11"/>
      <c r="DY174" s="11"/>
      <c r="DZ174" s="11"/>
      <c r="EA174" s="11"/>
      <c r="EB174" s="11"/>
      <c r="EC174" s="11"/>
      <c r="ED174" s="11"/>
      <c r="EE174" s="11"/>
      <c r="EF174" s="11"/>
    </row>
    <row r="175" spans="1:136" ht="40.5" x14ac:dyDescent="0.25">
      <c r="A175" s="425">
        <v>173</v>
      </c>
      <c r="B175" s="427" t="s">
        <v>1195</v>
      </c>
      <c r="C175" s="427" t="s">
        <v>1196</v>
      </c>
      <c r="D175" s="427" t="s">
        <v>1186</v>
      </c>
      <c r="E175" s="79">
        <v>1</v>
      </c>
      <c r="F175" s="405"/>
      <c r="G175" s="274"/>
      <c r="H175" s="274"/>
      <c r="I175" s="274"/>
      <c r="J175" s="274"/>
      <c r="K175" s="11"/>
      <c r="L175" s="274"/>
      <c r="M175" s="274"/>
      <c r="N175" s="274"/>
      <c r="O175" s="48"/>
      <c r="P175" s="11"/>
      <c r="Q175" s="274"/>
      <c r="R175" s="274"/>
      <c r="S175" s="274"/>
      <c r="T175" s="11"/>
      <c r="U175" s="11"/>
      <c r="V175" s="11"/>
      <c r="W175" s="11"/>
      <c r="X175" s="11"/>
      <c r="Y175" s="11"/>
      <c r="Z175" s="48"/>
      <c r="AA175" s="52"/>
      <c r="AB175" s="52"/>
      <c r="AC175" s="118"/>
      <c r="AD175" s="5"/>
      <c r="AE175" s="52"/>
      <c r="AF175" s="113">
        <v>353000</v>
      </c>
      <c r="AG175" s="113">
        <v>0</v>
      </c>
      <c r="AH175" s="113">
        <f>AF175+AG175</f>
        <v>353000</v>
      </c>
      <c r="AI175" s="52" t="s">
        <v>1193</v>
      </c>
      <c r="AJ175" s="11" t="s">
        <v>1197</v>
      </c>
      <c r="AK175" s="269"/>
      <c r="AL175" s="269"/>
      <c r="AM175" s="116"/>
      <c r="AN175" s="301"/>
      <c r="AO175" s="302"/>
      <c r="AP175" s="11"/>
      <c r="AQ175" s="11"/>
      <c r="AR175" s="11"/>
      <c r="AS175" s="11"/>
      <c r="AT175" s="11"/>
      <c r="AU175" s="118"/>
      <c r="AV175" s="118"/>
      <c r="AW175" s="118"/>
      <c r="AX175" s="52"/>
      <c r="AY175" s="52"/>
      <c r="AZ175" s="11"/>
      <c r="BA175" s="11"/>
      <c r="BB175" s="11"/>
      <c r="BC175" s="11"/>
      <c r="BD175" s="11"/>
      <c r="BE175" s="274"/>
      <c r="BF175" s="274"/>
      <c r="BG175" s="274"/>
      <c r="BH175" s="11"/>
      <c r="BI175" s="11"/>
      <c r="BJ175" s="311"/>
      <c r="BK175" s="311"/>
      <c r="BL175" s="311"/>
      <c r="BM175" s="52"/>
      <c r="BN175" s="52"/>
      <c r="BO175" s="387"/>
      <c r="BP175" s="320"/>
      <c r="BQ175" s="320"/>
      <c r="BR175" s="76"/>
      <c r="BS175" s="4"/>
      <c r="BT175" s="11"/>
      <c r="BU175" s="11"/>
      <c r="BV175" s="11"/>
      <c r="BW175" s="11"/>
      <c r="BX175" s="11"/>
      <c r="BY175" s="232">
        <v>660000</v>
      </c>
      <c r="BZ175" s="232">
        <f>BY175*0.19</f>
        <v>125400</v>
      </c>
      <c r="CA175" s="232">
        <f>BY175+BZ175</f>
        <v>785400</v>
      </c>
      <c r="CB175" s="232" t="s">
        <v>772</v>
      </c>
      <c r="CC175" s="348">
        <v>89095</v>
      </c>
      <c r="CD175" s="11"/>
      <c r="CE175" s="11"/>
      <c r="CF175" s="11"/>
      <c r="CG175" s="11"/>
      <c r="CH175" s="11"/>
      <c r="CI175" s="11"/>
      <c r="CJ175" s="11"/>
      <c r="CK175" s="11"/>
      <c r="CL175" s="11"/>
      <c r="CM175" s="11"/>
      <c r="CN175" s="274"/>
      <c r="CO175" s="274"/>
      <c r="CP175" s="274"/>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8"/>
      <c r="DN175" s="118"/>
      <c r="DO175" s="118"/>
      <c r="DP175" s="52"/>
      <c r="DQ175" s="52"/>
      <c r="DR175" s="77"/>
      <c r="DS175" s="77"/>
      <c r="DT175" s="77"/>
      <c r="DU175" s="11"/>
      <c r="DV175" s="11"/>
      <c r="DW175" s="11"/>
      <c r="DX175" s="11"/>
      <c r="DY175" s="11"/>
      <c r="DZ175" s="11"/>
      <c r="EA175" s="11"/>
      <c r="EB175" s="11"/>
      <c r="EC175" s="11"/>
      <c r="ED175" s="11"/>
      <c r="EE175" s="11"/>
      <c r="EF175" s="11"/>
    </row>
    <row r="176" spans="1:136" ht="12.75" customHeight="1" x14ac:dyDescent="0.25">
      <c r="A176" s="425">
        <v>174</v>
      </c>
      <c r="B176" s="427" t="s">
        <v>1198</v>
      </c>
      <c r="C176" s="427" t="s">
        <v>1199</v>
      </c>
      <c r="D176" s="427" t="s">
        <v>1186</v>
      </c>
      <c r="E176" s="79">
        <v>1</v>
      </c>
      <c r="F176" s="405"/>
      <c r="G176" s="274"/>
      <c r="H176" s="274"/>
      <c r="I176" s="274"/>
      <c r="J176" s="274"/>
      <c r="K176" s="11"/>
      <c r="L176" s="274"/>
      <c r="M176" s="274"/>
      <c r="N176" s="274"/>
      <c r="O176" s="48"/>
      <c r="P176" s="11"/>
      <c r="Q176" s="274"/>
      <c r="R176" s="274"/>
      <c r="S176" s="274"/>
      <c r="T176" s="11"/>
      <c r="U176" s="11"/>
      <c r="V176" s="11"/>
      <c r="W176" s="11"/>
      <c r="X176" s="11"/>
      <c r="Y176" s="11"/>
      <c r="Z176" s="48"/>
      <c r="AA176" s="52"/>
      <c r="AB176" s="52"/>
      <c r="AC176" s="118"/>
      <c r="AD176" s="5"/>
      <c r="AE176" s="52"/>
      <c r="AF176" s="113">
        <v>353000</v>
      </c>
      <c r="AG176" s="113">
        <v>0</v>
      </c>
      <c r="AH176" s="113">
        <f>AF176+AG176</f>
        <v>353000</v>
      </c>
      <c r="AI176" s="52" t="s">
        <v>1193</v>
      </c>
      <c r="AJ176" s="11" t="s">
        <v>1200</v>
      </c>
      <c r="AK176" s="269"/>
      <c r="AL176" s="269"/>
      <c r="AM176" s="116"/>
      <c r="AN176" s="301"/>
      <c r="AO176" s="302"/>
      <c r="AP176" s="11"/>
      <c r="AQ176" s="11"/>
      <c r="AR176" s="11"/>
      <c r="AS176" s="11"/>
      <c r="AT176" s="11"/>
      <c r="AU176" s="118"/>
      <c r="AV176" s="118"/>
      <c r="AW176" s="118"/>
      <c r="AX176" s="52"/>
      <c r="AY176" s="52"/>
      <c r="AZ176" s="11"/>
      <c r="BA176" s="11"/>
      <c r="BB176" s="11"/>
      <c r="BC176" s="11"/>
      <c r="BD176" s="11"/>
      <c r="BE176" s="274"/>
      <c r="BF176" s="274"/>
      <c r="BG176" s="274"/>
      <c r="BH176" s="11"/>
      <c r="BI176" s="11"/>
      <c r="BJ176" s="311"/>
      <c r="BK176" s="311"/>
      <c r="BL176" s="311"/>
      <c r="BM176" s="52"/>
      <c r="BN176" s="52"/>
      <c r="BO176" s="387"/>
      <c r="BP176" s="320"/>
      <c r="BQ176" s="320"/>
      <c r="BR176" s="76"/>
      <c r="BS176" s="4"/>
      <c r="BT176" s="11"/>
      <c r="BU176" s="11"/>
      <c r="BV176" s="11"/>
      <c r="BW176" s="11"/>
      <c r="BX176" s="11"/>
      <c r="BY176" s="232">
        <v>660000</v>
      </c>
      <c r="BZ176" s="232">
        <f>BY176*0.19</f>
        <v>125400</v>
      </c>
      <c r="CA176" s="232">
        <f>BY176+BZ176</f>
        <v>785400</v>
      </c>
      <c r="CB176" s="232" t="s">
        <v>772</v>
      </c>
      <c r="CC176" s="348">
        <v>89021</v>
      </c>
      <c r="CD176" s="11"/>
      <c r="CE176" s="11"/>
      <c r="CF176" s="11"/>
      <c r="CG176" s="11"/>
      <c r="CH176" s="11"/>
      <c r="CI176" s="11"/>
      <c r="CJ176" s="11"/>
      <c r="CK176" s="11"/>
      <c r="CL176" s="11"/>
      <c r="CM176" s="11"/>
      <c r="CN176" s="274"/>
      <c r="CO176" s="274"/>
      <c r="CP176" s="274"/>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8"/>
      <c r="DN176" s="118"/>
      <c r="DO176" s="118"/>
      <c r="DP176" s="52"/>
      <c r="DQ176" s="52"/>
      <c r="DR176" s="77"/>
      <c r="DS176" s="77"/>
      <c r="DT176" s="77"/>
      <c r="DU176" s="11"/>
      <c r="DV176" s="11"/>
      <c r="DW176" s="11"/>
      <c r="DX176" s="11"/>
      <c r="DY176" s="11"/>
      <c r="DZ176" s="11"/>
      <c r="EA176" s="11"/>
      <c r="EB176" s="11"/>
      <c r="EC176" s="11"/>
      <c r="ED176" s="11"/>
      <c r="EE176" s="11"/>
      <c r="EF176" s="11"/>
    </row>
    <row r="177" spans="1:136" ht="40.5" x14ac:dyDescent="0.25">
      <c r="A177" s="425">
        <v>175</v>
      </c>
      <c r="B177" s="427" t="s">
        <v>1201</v>
      </c>
      <c r="C177" s="427" t="s">
        <v>1202</v>
      </c>
      <c r="D177" s="427" t="s">
        <v>1186</v>
      </c>
      <c r="E177" s="79">
        <v>1</v>
      </c>
      <c r="F177" s="405"/>
      <c r="G177" s="274"/>
      <c r="H177" s="274"/>
      <c r="I177" s="274"/>
      <c r="J177" s="274"/>
      <c r="K177" s="11"/>
      <c r="L177" s="274"/>
      <c r="M177" s="274"/>
      <c r="N177" s="274"/>
      <c r="O177" s="48"/>
      <c r="P177" s="11"/>
      <c r="Q177" s="274"/>
      <c r="R177" s="274"/>
      <c r="S177" s="274"/>
      <c r="T177" s="11"/>
      <c r="U177" s="11"/>
      <c r="V177" s="11"/>
      <c r="W177" s="11"/>
      <c r="X177" s="11"/>
      <c r="Y177" s="11"/>
      <c r="Z177" s="48"/>
      <c r="AA177" s="52"/>
      <c r="AB177" s="52"/>
      <c r="AC177" s="118"/>
      <c r="AD177" s="5"/>
      <c r="AE177" s="52"/>
      <c r="AF177" s="113">
        <v>353000</v>
      </c>
      <c r="AG177" s="113">
        <v>0</v>
      </c>
      <c r="AH177" s="113">
        <f>AF177+AG177</f>
        <v>353000</v>
      </c>
      <c r="AI177" s="52" t="s">
        <v>1193</v>
      </c>
      <c r="AJ177" s="11" t="s">
        <v>1203</v>
      </c>
      <c r="AK177" s="269"/>
      <c r="AL177" s="269"/>
      <c r="AM177" s="116"/>
      <c r="AN177" s="301"/>
      <c r="AO177" s="302"/>
      <c r="AP177" s="11"/>
      <c r="AQ177" s="11"/>
      <c r="AR177" s="11"/>
      <c r="AS177" s="11"/>
      <c r="AT177" s="11"/>
      <c r="AU177" s="118"/>
      <c r="AV177" s="118"/>
      <c r="AW177" s="118"/>
      <c r="AX177" s="52"/>
      <c r="AY177" s="52"/>
      <c r="AZ177" s="11"/>
      <c r="BA177" s="11"/>
      <c r="BB177" s="11"/>
      <c r="BC177" s="11"/>
      <c r="BD177" s="11"/>
      <c r="BE177" s="274"/>
      <c r="BF177" s="274"/>
      <c r="BG177" s="274"/>
      <c r="BH177" s="11"/>
      <c r="BI177" s="11"/>
      <c r="BJ177" s="311"/>
      <c r="BK177" s="311"/>
      <c r="BL177" s="311"/>
      <c r="BM177" s="52"/>
      <c r="BN177" s="52"/>
      <c r="BO177" s="387"/>
      <c r="BP177" s="320"/>
      <c r="BQ177" s="320"/>
      <c r="BR177" s="76"/>
      <c r="BS177" s="4"/>
      <c r="BT177" s="11"/>
      <c r="BU177" s="11"/>
      <c r="BV177" s="11"/>
      <c r="BW177" s="11"/>
      <c r="BX177" s="11"/>
      <c r="BY177" s="232">
        <v>660000</v>
      </c>
      <c r="BZ177" s="232">
        <f>BY177*0.19</f>
        <v>125400</v>
      </c>
      <c r="CA177" s="232">
        <f>BY177+BZ177</f>
        <v>785400</v>
      </c>
      <c r="CB177" s="232" t="s">
        <v>772</v>
      </c>
      <c r="CC177" s="348">
        <v>89023</v>
      </c>
      <c r="CD177" s="11"/>
      <c r="CE177" s="11"/>
      <c r="CF177" s="11"/>
      <c r="CG177" s="11"/>
      <c r="CH177" s="11"/>
      <c r="CI177" s="11"/>
      <c r="CJ177" s="11"/>
      <c r="CK177" s="11"/>
      <c r="CL177" s="11"/>
      <c r="CM177" s="11"/>
      <c r="CN177" s="274"/>
      <c r="CO177" s="274"/>
      <c r="CP177" s="274"/>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8"/>
      <c r="DN177" s="118"/>
      <c r="DO177" s="118"/>
      <c r="DP177" s="52"/>
      <c r="DQ177" s="52"/>
      <c r="DR177" s="77"/>
      <c r="DS177" s="77"/>
      <c r="DT177" s="77"/>
      <c r="DU177" s="11"/>
      <c r="DV177" s="11"/>
      <c r="DW177" s="11"/>
      <c r="DX177" s="11"/>
      <c r="DY177" s="11"/>
      <c r="DZ177" s="11"/>
      <c r="EA177" s="11"/>
      <c r="EB177" s="11"/>
      <c r="EC177" s="11"/>
      <c r="ED177" s="11"/>
      <c r="EE177" s="11"/>
      <c r="EF177" s="11"/>
    </row>
    <row r="178" spans="1:136" ht="12.75" customHeight="1" x14ac:dyDescent="0.25">
      <c r="A178" s="425">
        <v>176</v>
      </c>
      <c r="B178" s="413" t="s">
        <v>1204</v>
      </c>
      <c r="C178" s="428" t="s">
        <v>1205</v>
      </c>
      <c r="D178" s="428" t="s">
        <v>1206</v>
      </c>
      <c r="E178" s="79">
        <v>1</v>
      </c>
      <c r="F178" s="405"/>
      <c r="G178" s="274"/>
      <c r="H178" s="274"/>
      <c r="I178" s="274"/>
      <c r="J178" s="274"/>
      <c r="K178" s="11"/>
      <c r="L178" s="274"/>
      <c r="M178" s="274"/>
      <c r="N178" s="274"/>
      <c r="O178" s="48"/>
      <c r="P178" s="11"/>
      <c r="Q178" s="274"/>
      <c r="R178" s="274"/>
      <c r="S178" s="274"/>
      <c r="T178" s="11"/>
      <c r="U178" s="11"/>
      <c r="V178" s="11"/>
      <c r="W178" s="11"/>
      <c r="X178" s="11"/>
      <c r="Y178" s="11"/>
      <c r="Z178" s="48"/>
      <c r="AA178" s="52"/>
      <c r="AB178" s="52"/>
      <c r="AC178" s="118"/>
      <c r="AD178" s="5"/>
      <c r="AE178" s="52"/>
      <c r="AF178" s="113"/>
      <c r="AG178" s="113"/>
      <c r="AH178" s="113"/>
      <c r="AI178" s="52"/>
      <c r="AJ178" s="11"/>
      <c r="AK178" s="269"/>
      <c r="AL178" s="269"/>
      <c r="AM178" s="116"/>
      <c r="AN178" s="301"/>
      <c r="AO178" s="302"/>
      <c r="AP178" s="11"/>
      <c r="AQ178" s="11"/>
      <c r="AR178" s="11"/>
      <c r="AS178" s="11"/>
      <c r="AT178" s="11"/>
      <c r="AU178" s="118"/>
      <c r="AV178" s="118"/>
      <c r="AW178" s="118"/>
      <c r="AX178" s="52"/>
      <c r="AY178" s="52"/>
      <c r="AZ178" s="11"/>
      <c r="BA178" s="11"/>
      <c r="BB178" s="11"/>
      <c r="BC178" s="11"/>
      <c r="BD178" s="11"/>
      <c r="BE178" s="274">
        <v>2362000</v>
      </c>
      <c r="BF178" s="274">
        <v>448780</v>
      </c>
      <c r="BG178" s="274">
        <v>2810780</v>
      </c>
      <c r="BH178" s="11" t="s">
        <v>409</v>
      </c>
      <c r="BI178" s="11">
        <v>19</v>
      </c>
      <c r="BJ178" s="311"/>
      <c r="BK178" s="311"/>
      <c r="BL178" s="311"/>
      <c r="BM178" s="52"/>
      <c r="BN178" s="52"/>
      <c r="BO178" s="387"/>
      <c r="BP178" s="320"/>
      <c r="BQ178" s="320"/>
      <c r="BR178" s="76"/>
      <c r="BS178" s="4"/>
      <c r="BT178" s="11"/>
      <c r="BU178" s="11"/>
      <c r="BV178" s="11"/>
      <c r="BW178" s="11"/>
      <c r="BX178" s="11"/>
      <c r="BY178" s="232"/>
      <c r="BZ178" s="232"/>
      <c r="CA178" s="232"/>
      <c r="CB178" s="232"/>
      <c r="CC178" s="348"/>
      <c r="CD178" s="11"/>
      <c r="CE178" s="11"/>
      <c r="CF178" s="11"/>
      <c r="CG178" s="11"/>
      <c r="CH178" s="11"/>
      <c r="CI178" s="11"/>
      <c r="CJ178" s="11"/>
      <c r="CK178" s="11"/>
      <c r="CL178" s="11"/>
      <c r="CM178" s="11"/>
      <c r="CN178" s="274"/>
      <c r="CO178" s="274"/>
      <c r="CP178" s="274"/>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8"/>
      <c r="DN178" s="118"/>
      <c r="DO178" s="118"/>
      <c r="DP178" s="52"/>
      <c r="DQ178" s="52"/>
      <c r="DR178" s="77"/>
      <c r="DS178" s="77"/>
      <c r="DT178" s="77"/>
      <c r="DU178" s="11"/>
      <c r="DV178" s="11"/>
      <c r="DW178" s="11"/>
      <c r="DX178" s="11"/>
      <c r="DY178" s="11"/>
      <c r="DZ178" s="11"/>
      <c r="EA178" s="11"/>
      <c r="EB178" s="11"/>
      <c r="EC178" s="11"/>
      <c r="ED178" s="11"/>
      <c r="EE178" s="11"/>
      <c r="EF178" s="11"/>
    </row>
    <row r="179" spans="1:136" ht="40.5" x14ac:dyDescent="0.25">
      <c r="A179" s="425">
        <v>177</v>
      </c>
      <c r="B179" s="427" t="s">
        <v>1207</v>
      </c>
      <c r="C179" s="427" t="s">
        <v>1188</v>
      </c>
      <c r="D179" s="427" t="s">
        <v>1208</v>
      </c>
      <c r="E179" s="79">
        <v>1</v>
      </c>
      <c r="F179" s="405"/>
      <c r="G179" s="274"/>
      <c r="H179" s="274"/>
      <c r="I179" s="274"/>
      <c r="J179" s="274"/>
      <c r="K179" s="11"/>
      <c r="L179" s="274"/>
      <c r="M179" s="274"/>
      <c r="N179" s="274"/>
      <c r="O179" s="48"/>
      <c r="P179" s="11"/>
      <c r="Q179" s="274"/>
      <c r="R179" s="274"/>
      <c r="S179" s="274"/>
      <c r="T179" s="11"/>
      <c r="U179" s="11"/>
      <c r="V179" s="11"/>
      <c r="W179" s="11"/>
      <c r="X179" s="11"/>
      <c r="Y179" s="11"/>
      <c r="Z179" s="48"/>
      <c r="AA179" s="52"/>
      <c r="AB179" s="52"/>
      <c r="AC179" s="118"/>
      <c r="AD179" s="5"/>
      <c r="AE179" s="52"/>
      <c r="AF179" s="113">
        <v>353000</v>
      </c>
      <c r="AG179" s="113">
        <v>0</v>
      </c>
      <c r="AH179" s="113">
        <f t="shared" ref="AH179:AH185" si="10">AF179+AG179</f>
        <v>353000</v>
      </c>
      <c r="AI179" s="52" t="s">
        <v>1193</v>
      </c>
      <c r="AJ179" s="11" t="s">
        <v>1209</v>
      </c>
      <c r="AK179" s="269"/>
      <c r="AL179" s="269"/>
      <c r="AM179" s="116"/>
      <c r="AN179" s="301"/>
      <c r="AO179" s="302"/>
      <c r="AP179" s="11"/>
      <c r="AQ179" s="11"/>
      <c r="AR179" s="11"/>
      <c r="AS179" s="11"/>
      <c r="AT179" s="11"/>
      <c r="AU179" s="118"/>
      <c r="AV179" s="118"/>
      <c r="AW179" s="118"/>
      <c r="AX179" s="52"/>
      <c r="AY179" s="52"/>
      <c r="AZ179" s="11"/>
      <c r="BA179" s="11"/>
      <c r="BB179" s="11"/>
      <c r="BC179" s="11"/>
      <c r="BD179" s="11"/>
      <c r="BE179" s="274"/>
      <c r="BF179" s="274"/>
      <c r="BG179" s="274"/>
      <c r="BH179" s="11"/>
      <c r="BI179" s="11"/>
      <c r="BJ179" s="311"/>
      <c r="BK179" s="311"/>
      <c r="BL179" s="311"/>
      <c r="BM179" s="52"/>
      <c r="BN179" s="52"/>
      <c r="BO179" s="387"/>
      <c r="BP179" s="320"/>
      <c r="BQ179" s="320"/>
      <c r="BR179" s="76"/>
      <c r="BS179" s="4"/>
      <c r="BT179" s="11"/>
      <c r="BU179" s="11"/>
      <c r="BV179" s="11"/>
      <c r="BW179" s="11"/>
      <c r="BX179" s="11"/>
      <c r="BY179" s="232">
        <v>660000</v>
      </c>
      <c r="BZ179" s="232">
        <f>BY179*0.19</f>
        <v>125400</v>
      </c>
      <c r="CA179" s="232">
        <f>BY179+BZ179</f>
        <v>785400</v>
      </c>
      <c r="CB179" s="232" t="s">
        <v>772</v>
      </c>
      <c r="CC179" s="348">
        <v>89027</v>
      </c>
      <c r="CD179" s="11"/>
      <c r="CE179" s="11"/>
      <c r="CF179" s="11"/>
      <c r="CG179" s="11"/>
      <c r="CH179" s="11"/>
      <c r="CI179" s="11"/>
      <c r="CJ179" s="11"/>
      <c r="CK179" s="11"/>
      <c r="CL179" s="11"/>
      <c r="CM179" s="11"/>
      <c r="CN179" s="274"/>
      <c r="CO179" s="274"/>
      <c r="CP179" s="274"/>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8"/>
      <c r="DN179" s="118"/>
      <c r="DO179" s="118"/>
      <c r="DP179" s="52"/>
      <c r="DQ179" s="52"/>
      <c r="DR179" s="77"/>
      <c r="DS179" s="77"/>
      <c r="DT179" s="77"/>
      <c r="DU179" s="11"/>
      <c r="DV179" s="11"/>
      <c r="DW179" s="11"/>
      <c r="DX179" s="11"/>
      <c r="DY179" s="11"/>
      <c r="DZ179" s="11"/>
      <c r="EA179" s="11"/>
      <c r="EB179" s="11"/>
      <c r="EC179" s="11"/>
      <c r="ED179" s="11"/>
      <c r="EE179" s="11"/>
      <c r="EF179" s="11"/>
    </row>
    <row r="180" spans="1:136" ht="12.75" customHeight="1" x14ac:dyDescent="0.25">
      <c r="A180" s="425">
        <v>178</v>
      </c>
      <c r="B180" s="413" t="s">
        <v>1210</v>
      </c>
      <c r="C180" s="427" t="s">
        <v>1211</v>
      </c>
      <c r="D180" s="427" t="s">
        <v>1212</v>
      </c>
      <c r="E180" s="79">
        <v>1</v>
      </c>
      <c r="F180" s="405"/>
      <c r="G180" s="274"/>
      <c r="H180" s="274"/>
      <c r="I180" s="274"/>
      <c r="J180" s="274"/>
      <c r="K180" s="11"/>
      <c r="L180" s="274"/>
      <c r="M180" s="274"/>
      <c r="N180" s="274"/>
      <c r="O180" s="48"/>
      <c r="P180" s="11"/>
      <c r="Q180" s="274"/>
      <c r="R180" s="274"/>
      <c r="S180" s="274"/>
      <c r="T180" s="11"/>
      <c r="U180" s="11"/>
      <c r="V180" s="11"/>
      <c r="W180" s="11"/>
      <c r="X180" s="11"/>
      <c r="Y180" s="11"/>
      <c r="Z180" s="48"/>
      <c r="AA180" s="52"/>
      <c r="AB180" s="52"/>
      <c r="AC180" s="118"/>
      <c r="AD180" s="5"/>
      <c r="AE180" s="52"/>
      <c r="AF180" s="113">
        <v>316000</v>
      </c>
      <c r="AG180" s="113">
        <v>0</v>
      </c>
      <c r="AH180" s="113">
        <f t="shared" si="10"/>
        <v>316000</v>
      </c>
      <c r="AI180" s="52" t="s">
        <v>1193</v>
      </c>
      <c r="AJ180" s="11" t="s">
        <v>1213</v>
      </c>
      <c r="AK180" s="269"/>
      <c r="AL180" s="269"/>
      <c r="AM180" s="116"/>
      <c r="AN180" s="301"/>
      <c r="AO180" s="302"/>
      <c r="AP180" s="11"/>
      <c r="AQ180" s="11"/>
      <c r="AR180" s="11"/>
      <c r="AS180" s="11"/>
      <c r="AT180" s="11"/>
      <c r="AU180" s="118"/>
      <c r="AV180" s="118"/>
      <c r="AW180" s="118"/>
      <c r="AX180" s="52"/>
      <c r="AY180" s="52"/>
      <c r="AZ180" s="11"/>
      <c r="BA180" s="11"/>
      <c r="BB180" s="11"/>
      <c r="BC180" s="11"/>
      <c r="BD180" s="11"/>
      <c r="BE180" s="274"/>
      <c r="BF180" s="274"/>
      <c r="BG180" s="274"/>
      <c r="BH180" s="11"/>
      <c r="BI180" s="11"/>
      <c r="BJ180" s="311"/>
      <c r="BK180" s="311"/>
      <c r="BL180" s="311"/>
      <c r="BM180" s="52"/>
      <c r="BN180" s="52"/>
      <c r="BO180" s="387"/>
      <c r="BP180" s="320"/>
      <c r="BQ180" s="320"/>
      <c r="BR180" s="76"/>
      <c r="BS180" s="4"/>
      <c r="BT180" s="11"/>
      <c r="BU180" s="11"/>
      <c r="BV180" s="11"/>
      <c r="BW180" s="11"/>
      <c r="BX180" s="11"/>
      <c r="BY180" s="232">
        <v>660000</v>
      </c>
      <c r="BZ180" s="232">
        <f>BY180*0.19</f>
        <v>125400</v>
      </c>
      <c r="CA180" s="232">
        <f>BY180+BZ180</f>
        <v>785400</v>
      </c>
      <c r="CB180" s="232" t="s">
        <v>772</v>
      </c>
      <c r="CC180" s="348">
        <v>89123</v>
      </c>
      <c r="CD180" s="11"/>
      <c r="CE180" s="11"/>
      <c r="CF180" s="11"/>
      <c r="CG180" s="11"/>
      <c r="CH180" s="11"/>
      <c r="CI180" s="11"/>
      <c r="CJ180" s="11"/>
      <c r="CK180" s="11"/>
      <c r="CL180" s="11"/>
      <c r="CM180" s="11"/>
      <c r="CN180" s="274"/>
      <c r="CO180" s="274"/>
      <c r="CP180" s="274"/>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8"/>
      <c r="DN180" s="118"/>
      <c r="DO180" s="118"/>
      <c r="DP180" s="52"/>
      <c r="DQ180" s="52"/>
      <c r="DR180" s="77"/>
      <c r="DS180" s="77"/>
      <c r="DT180" s="77"/>
      <c r="DU180" s="11"/>
      <c r="DV180" s="11"/>
      <c r="DW180" s="11"/>
      <c r="DX180" s="11"/>
      <c r="DY180" s="11"/>
      <c r="DZ180" s="11"/>
      <c r="EA180" s="11"/>
      <c r="EB180" s="11"/>
      <c r="EC180" s="11"/>
      <c r="ED180" s="11"/>
      <c r="EE180" s="11"/>
      <c r="EF180" s="11"/>
    </row>
    <row r="181" spans="1:136" ht="67.5" x14ac:dyDescent="0.25">
      <c r="A181" s="425">
        <v>179</v>
      </c>
      <c r="B181" s="413" t="s">
        <v>1214</v>
      </c>
      <c r="C181" s="427" t="s">
        <v>1188</v>
      </c>
      <c r="D181" s="427" t="s">
        <v>1186</v>
      </c>
      <c r="E181" s="79">
        <v>1</v>
      </c>
      <c r="F181" s="406">
        <v>902438.40399999998</v>
      </c>
      <c r="G181" s="274"/>
      <c r="H181" s="274"/>
      <c r="I181" s="274"/>
      <c r="J181" s="274"/>
      <c r="K181" s="11"/>
      <c r="L181" s="274"/>
      <c r="M181" s="274"/>
      <c r="N181" s="274"/>
      <c r="O181" s="48"/>
      <c r="P181" s="11"/>
      <c r="Q181" s="274"/>
      <c r="R181" s="274"/>
      <c r="S181" s="274"/>
      <c r="T181" s="11"/>
      <c r="U181" s="11"/>
      <c r="V181" s="11"/>
      <c r="W181" s="11"/>
      <c r="X181" s="11"/>
      <c r="Y181" s="11"/>
      <c r="Z181" s="48"/>
      <c r="AA181" s="52"/>
      <c r="AB181" s="52"/>
      <c r="AC181" s="118"/>
      <c r="AD181" s="5"/>
      <c r="AE181" s="52"/>
      <c r="AF181" s="113">
        <v>353000</v>
      </c>
      <c r="AG181" s="113">
        <v>0</v>
      </c>
      <c r="AH181" s="113">
        <f t="shared" si="10"/>
        <v>353000</v>
      </c>
      <c r="AI181" s="52" t="s">
        <v>1193</v>
      </c>
      <c r="AJ181" s="11" t="s">
        <v>1215</v>
      </c>
      <c r="AK181" s="269"/>
      <c r="AL181" s="269"/>
      <c r="AM181" s="116"/>
      <c r="AN181" s="301"/>
      <c r="AO181" s="302"/>
      <c r="AP181" s="11"/>
      <c r="AQ181" s="11"/>
      <c r="AR181" s="11"/>
      <c r="AS181" s="11"/>
      <c r="AT181" s="11"/>
      <c r="AU181" s="118"/>
      <c r="AV181" s="118"/>
      <c r="AW181" s="118"/>
      <c r="AX181" s="52"/>
      <c r="AY181" s="52"/>
      <c r="AZ181" s="11"/>
      <c r="BA181" s="11"/>
      <c r="BB181" s="11"/>
      <c r="BC181" s="11"/>
      <c r="BD181" s="11"/>
      <c r="BE181" s="274"/>
      <c r="BF181" s="274"/>
      <c r="BG181" s="274"/>
      <c r="BH181" s="11"/>
      <c r="BI181" s="11"/>
      <c r="BJ181" s="311"/>
      <c r="BK181" s="311"/>
      <c r="BL181" s="311"/>
      <c r="BM181" s="52"/>
      <c r="BN181" s="52"/>
      <c r="BO181" s="387"/>
      <c r="BP181" s="320"/>
      <c r="BQ181" s="320"/>
      <c r="BR181" s="76"/>
      <c r="BS181" s="4"/>
      <c r="BT181" s="11"/>
      <c r="BU181" s="11"/>
      <c r="BV181" s="11"/>
      <c r="BW181" s="11"/>
      <c r="BX181" s="11"/>
      <c r="BY181" s="232">
        <v>660000</v>
      </c>
      <c r="BZ181" s="232">
        <f>BY181*0.19</f>
        <v>125400</v>
      </c>
      <c r="CA181" s="232">
        <f>BY181+BZ181</f>
        <v>785400</v>
      </c>
      <c r="CB181" s="232" t="s">
        <v>772</v>
      </c>
      <c r="CC181" s="348">
        <v>89037</v>
      </c>
      <c r="CD181" s="11"/>
      <c r="CE181" s="11"/>
      <c r="CF181" s="11"/>
      <c r="CG181" s="11"/>
      <c r="CH181" s="11"/>
      <c r="CI181" s="11"/>
      <c r="CJ181" s="11"/>
      <c r="CK181" s="11"/>
      <c r="CL181" s="11"/>
      <c r="CM181" s="11"/>
      <c r="CN181" s="274"/>
      <c r="CO181" s="274"/>
      <c r="CP181" s="274"/>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8"/>
      <c r="DN181" s="118"/>
      <c r="DO181" s="118"/>
      <c r="DP181" s="52"/>
      <c r="DQ181" s="52"/>
      <c r="DR181" s="77"/>
      <c r="DS181" s="77"/>
      <c r="DT181" s="77"/>
      <c r="DU181" s="11"/>
      <c r="DV181" s="11"/>
      <c r="DW181" s="11"/>
      <c r="DX181" s="11"/>
      <c r="DY181" s="11"/>
      <c r="DZ181" s="11"/>
      <c r="EA181" s="11"/>
      <c r="EB181" s="11"/>
      <c r="EC181" s="11"/>
      <c r="ED181" s="11"/>
      <c r="EE181" s="11"/>
      <c r="EF181" s="11"/>
    </row>
    <row r="182" spans="1:136" ht="12.75" customHeight="1" x14ac:dyDescent="0.25">
      <c r="A182" s="425">
        <v>180</v>
      </c>
      <c r="B182" s="427" t="s">
        <v>2857</v>
      </c>
      <c r="C182" s="427" t="s">
        <v>1216</v>
      </c>
      <c r="D182" s="427" t="s">
        <v>1186</v>
      </c>
      <c r="E182" s="79">
        <v>1</v>
      </c>
      <c r="F182" s="405"/>
      <c r="G182" s="274"/>
      <c r="H182" s="274"/>
      <c r="I182" s="274"/>
      <c r="J182" s="274"/>
      <c r="K182" s="11"/>
      <c r="L182" s="274"/>
      <c r="M182" s="274"/>
      <c r="N182" s="274"/>
      <c r="O182" s="48"/>
      <c r="P182" s="11"/>
      <c r="Q182" s="274"/>
      <c r="R182" s="274"/>
      <c r="S182" s="274"/>
      <c r="T182" s="11"/>
      <c r="U182" s="11"/>
      <c r="V182" s="11"/>
      <c r="W182" s="11"/>
      <c r="X182" s="11"/>
      <c r="Y182" s="11"/>
      <c r="Z182" s="48"/>
      <c r="AA182" s="52"/>
      <c r="AB182" s="52"/>
      <c r="AC182" s="118"/>
      <c r="AD182" s="5"/>
      <c r="AE182" s="52"/>
      <c r="AF182" s="113">
        <v>353000</v>
      </c>
      <c r="AG182" s="113">
        <v>0</v>
      </c>
      <c r="AH182" s="113">
        <f t="shared" si="10"/>
        <v>353000</v>
      </c>
      <c r="AI182" s="52" t="s">
        <v>1193</v>
      </c>
      <c r="AJ182" s="11" t="s">
        <v>1217</v>
      </c>
      <c r="AK182" s="269"/>
      <c r="AL182" s="269"/>
      <c r="AM182" s="116"/>
      <c r="AN182" s="301"/>
      <c r="AO182" s="302"/>
      <c r="AP182" s="11"/>
      <c r="AQ182" s="11"/>
      <c r="AR182" s="11"/>
      <c r="AS182" s="11"/>
      <c r="AT182" s="11"/>
      <c r="AU182" s="118"/>
      <c r="AV182" s="118"/>
      <c r="AW182" s="118"/>
      <c r="AX182" s="52"/>
      <c r="AY182" s="52"/>
      <c r="AZ182" s="11"/>
      <c r="BA182" s="11"/>
      <c r="BB182" s="11"/>
      <c r="BC182" s="11"/>
      <c r="BD182" s="11"/>
      <c r="BE182" s="274"/>
      <c r="BF182" s="274"/>
      <c r="BG182" s="274"/>
      <c r="BH182" s="11"/>
      <c r="BI182" s="11"/>
      <c r="BJ182" s="311"/>
      <c r="BK182" s="311"/>
      <c r="BL182" s="311"/>
      <c r="BM182" s="52"/>
      <c r="BN182" s="52"/>
      <c r="BO182" s="387"/>
      <c r="BP182" s="320"/>
      <c r="BQ182" s="320"/>
      <c r="BR182" s="76"/>
      <c r="BS182" s="4"/>
      <c r="BT182" s="11"/>
      <c r="BU182" s="11"/>
      <c r="BV182" s="11"/>
      <c r="BW182" s="11"/>
      <c r="BX182" s="11"/>
      <c r="BY182" s="232">
        <v>660000</v>
      </c>
      <c r="BZ182" s="232">
        <f>BY182*0.19</f>
        <v>125400</v>
      </c>
      <c r="CA182" s="232">
        <f>BY182+BZ182</f>
        <v>785400</v>
      </c>
      <c r="CB182" s="232" t="s">
        <v>772</v>
      </c>
      <c r="CC182" s="348">
        <v>89044</v>
      </c>
      <c r="CD182" s="11"/>
      <c r="CE182" s="11"/>
      <c r="CF182" s="11"/>
      <c r="CG182" s="11"/>
      <c r="CH182" s="11"/>
      <c r="CI182" s="11"/>
      <c r="CJ182" s="11"/>
      <c r="CK182" s="11"/>
      <c r="CL182" s="11"/>
      <c r="CM182" s="11"/>
      <c r="CN182" s="274"/>
      <c r="CO182" s="274"/>
      <c r="CP182" s="274"/>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8"/>
      <c r="DN182" s="118"/>
      <c r="DO182" s="118"/>
      <c r="DP182" s="52"/>
      <c r="DQ182" s="52"/>
      <c r="DR182" s="77"/>
      <c r="DS182" s="77"/>
      <c r="DT182" s="77"/>
      <c r="DU182" s="11"/>
      <c r="DV182" s="11"/>
      <c r="DW182" s="11"/>
      <c r="DX182" s="11"/>
      <c r="DY182" s="11"/>
      <c r="DZ182" s="11"/>
      <c r="EA182" s="11"/>
      <c r="EB182" s="11"/>
      <c r="EC182" s="11"/>
      <c r="ED182" s="11"/>
      <c r="EE182" s="11"/>
      <c r="EF182" s="11"/>
    </row>
    <row r="183" spans="1:136" ht="54" x14ac:dyDescent="0.25">
      <c r="A183" s="425">
        <v>181</v>
      </c>
      <c r="B183" s="427" t="s">
        <v>1218</v>
      </c>
      <c r="C183" s="427" t="s">
        <v>622</v>
      </c>
      <c r="D183" s="413" t="s">
        <v>60</v>
      </c>
      <c r="E183" s="79">
        <v>1</v>
      </c>
      <c r="F183" s="406">
        <v>591989.53800000006</v>
      </c>
      <c r="G183" s="274">
        <v>175000</v>
      </c>
      <c r="H183" s="274">
        <v>33250</v>
      </c>
      <c r="I183" s="274">
        <v>208250</v>
      </c>
      <c r="J183" s="274" t="s">
        <v>45</v>
      </c>
      <c r="K183" s="11" t="s">
        <v>1219</v>
      </c>
      <c r="L183" s="274"/>
      <c r="M183" s="274"/>
      <c r="N183" s="274"/>
      <c r="O183" s="48"/>
      <c r="P183" s="11"/>
      <c r="Q183" s="274"/>
      <c r="R183" s="274"/>
      <c r="S183" s="274"/>
      <c r="T183" s="11"/>
      <c r="U183" s="11"/>
      <c r="V183" s="11"/>
      <c r="W183" s="11"/>
      <c r="X183" s="11"/>
      <c r="Y183" s="11"/>
      <c r="Z183" s="48"/>
      <c r="AA183" s="52"/>
      <c r="AB183" s="52"/>
      <c r="AC183" s="118"/>
      <c r="AD183" s="5"/>
      <c r="AE183" s="52"/>
      <c r="AF183" s="113">
        <v>195000</v>
      </c>
      <c r="AG183" s="113">
        <f>AF183*0.19</f>
        <v>37050</v>
      </c>
      <c r="AH183" s="113">
        <f t="shared" si="10"/>
        <v>232050</v>
      </c>
      <c r="AI183" s="277" t="s">
        <v>628</v>
      </c>
      <c r="AJ183" s="33" t="s">
        <v>1220</v>
      </c>
      <c r="AK183" s="269">
        <v>206910</v>
      </c>
      <c r="AL183" s="269">
        <v>39312.9</v>
      </c>
      <c r="AM183" s="116">
        <v>246222.9</v>
      </c>
      <c r="AN183" s="301" t="s">
        <v>88</v>
      </c>
      <c r="AO183" s="302">
        <v>1020510500</v>
      </c>
      <c r="AP183" s="11"/>
      <c r="AQ183" s="11"/>
      <c r="AR183" s="11"/>
      <c r="AS183" s="11"/>
      <c r="AT183" s="11"/>
      <c r="AU183" s="118">
        <v>263121</v>
      </c>
      <c r="AV183" s="118">
        <v>49993</v>
      </c>
      <c r="AW183" s="118">
        <v>313114</v>
      </c>
      <c r="AX183" s="52" t="s">
        <v>607</v>
      </c>
      <c r="AY183" s="52">
        <v>1020510500</v>
      </c>
      <c r="AZ183" s="11"/>
      <c r="BA183" s="11"/>
      <c r="BB183" s="11"/>
      <c r="BC183" s="11"/>
      <c r="BD183" s="11"/>
      <c r="BE183" s="274">
        <v>454000</v>
      </c>
      <c r="BF183" s="274">
        <v>86260</v>
      </c>
      <c r="BG183" s="274">
        <v>540260</v>
      </c>
      <c r="BH183" s="11" t="s">
        <v>88</v>
      </c>
      <c r="BI183" s="11" t="s">
        <v>1221</v>
      </c>
      <c r="BJ183" s="311"/>
      <c r="BK183" s="311"/>
      <c r="BL183" s="311"/>
      <c r="BM183" s="52"/>
      <c r="BN183" s="52"/>
      <c r="BO183" s="387"/>
      <c r="BP183" s="320"/>
      <c r="BQ183" s="320"/>
      <c r="BR183" s="76"/>
      <c r="BS183" s="4"/>
      <c r="BT183" s="11"/>
      <c r="BU183" s="11"/>
      <c r="BV183" s="11"/>
      <c r="BW183" s="11"/>
      <c r="BX183" s="11"/>
      <c r="BY183" s="232"/>
      <c r="BZ183" s="232"/>
      <c r="CA183" s="232"/>
      <c r="CB183" s="232"/>
      <c r="CC183" s="348"/>
      <c r="CD183" s="11"/>
      <c r="CE183" s="11"/>
      <c r="CF183" s="11"/>
      <c r="CG183" s="11"/>
      <c r="CH183" s="11"/>
      <c r="CI183" s="11"/>
      <c r="CJ183" s="11"/>
      <c r="CK183" s="11"/>
      <c r="CL183" s="11"/>
      <c r="CM183" s="11"/>
      <c r="CN183" s="274"/>
      <c r="CO183" s="274"/>
      <c r="CP183" s="274"/>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8"/>
      <c r="DN183" s="118"/>
      <c r="DO183" s="118"/>
      <c r="DP183" s="52"/>
      <c r="DQ183" s="52"/>
      <c r="DR183" s="77"/>
      <c r="DS183" s="77"/>
      <c r="DT183" s="77"/>
      <c r="DU183" s="11"/>
      <c r="DV183" s="11"/>
      <c r="DW183" s="11"/>
      <c r="DX183" s="11"/>
      <c r="DY183" s="11"/>
      <c r="DZ183" s="11"/>
      <c r="EA183" s="11"/>
      <c r="EB183" s="11"/>
      <c r="EC183" s="11"/>
      <c r="ED183" s="11"/>
      <c r="EE183" s="11"/>
      <c r="EF183" s="11"/>
    </row>
    <row r="184" spans="1:136" ht="12.75" customHeight="1" x14ac:dyDescent="0.25">
      <c r="A184" s="425">
        <v>182</v>
      </c>
      <c r="B184" s="413" t="s">
        <v>1222</v>
      </c>
      <c r="C184" s="413" t="s">
        <v>1223</v>
      </c>
      <c r="D184" s="413" t="s">
        <v>1224</v>
      </c>
      <c r="E184" s="79">
        <v>1</v>
      </c>
      <c r="F184" s="405"/>
      <c r="G184" s="274">
        <v>650000</v>
      </c>
      <c r="H184" s="274">
        <v>123500</v>
      </c>
      <c r="I184" s="274">
        <v>773500</v>
      </c>
      <c r="J184" s="274" t="s">
        <v>45</v>
      </c>
      <c r="K184" s="11" t="s">
        <v>1225</v>
      </c>
      <c r="L184" s="274"/>
      <c r="M184" s="274"/>
      <c r="N184" s="274"/>
      <c r="O184" s="48"/>
      <c r="P184" s="11"/>
      <c r="Q184" s="274"/>
      <c r="R184" s="274"/>
      <c r="S184" s="274"/>
      <c r="T184" s="11"/>
      <c r="U184" s="11"/>
      <c r="V184" s="11"/>
      <c r="W184" s="11"/>
      <c r="X184" s="11"/>
      <c r="Y184" s="11"/>
      <c r="Z184" s="48"/>
      <c r="AA184" s="52"/>
      <c r="AB184" s="52"/>
      <c r="AC184" s="118"/>
      <c r="AD184" s="5"/>
      <c r="AE184" s="52"/>
      <c r="AF184" s="113">
        <v>235000</v>
      </c>
      <c r="AG184" s="113">
        <f>AF184*0.19</f>
        <v>44650</v>
      </c>
      <c r="AH184" s="113">
        <f t="shared" si="10"/>
        <v>279650</v>
      </c>
      <c r="AI184" s="277" t="s">
        <v>628</v>
      </c>
      <c r="AJ184" s="33" t="s">
        <v>1226</v>
      </c>
      <c r="AK184" s="269">
        <v>103000</v>
      </c>
      <c r="AL184" s="269">
        <v>19570</v>
      </c>
      <c r="AM184" s="116">
        <v>122570</v>
      </c>
      <c r="AN184" s="301" t="s">
        <v>37</v>
      </c>
      <c r="AO184" s="302" t="s">
        <v>1227</v>
      </c>
      <c r="AP184" s="11"/>
      <c r="AQ184" s="11"/>
      <c r="AR184" s="11"/>
      <c r="AS184" s="11"/>
      <c r="AT184" s="11"/>
      <c r="AU184" s="118">
        <v>95680</v>
      </c>
      <c r="AV184" s="118">
        <v>18179</v>
      </c>
      <c r="AW184" s="118">
        <v>113860</v>
      </c>
      <c r="AX184" s="52" t="s">
        <v>607</v>
      </c>
      <c r="AY184" s="52">
        <v>1064480500</v>
      </c>
      <c r="AZ184" s="11"/>
      <c r="BA184" s="11"/>
      <c r="BB184" s="11"/>
      <c r="BC184" s="11"/>
      <c r="BD184" s="11"/>
      <c r="BE184" s="274">
        <v>112000</v>
      </c>
      <c r="BF184" s="274">
        <v>21280</v>
      </c>
      <c r="BG184" s="274">
        <v>133280</v>
      </c>
      <c r="BH184" s="11" t="s">
        <v>63</v>
      </c>
      <c r="BI184" s="11" t="s">
        <v>1228</v>
      </c>
      <c r="BJ184" s="311"/>
      <c r="BK184" s="311"/>
      <c r="BL184" s="311"/>
      <c r="BM184" s="52"/>
      <c r="BN184" s="52"/>
      <c r="BO184" s="387"/>
      <c r="BP184" s="320"/>
      <c r="BQ184" s="320"/>
      <c r="BR184" s="76"/>
      <c r="BS184" s="4"/>
      <c r="BT184" s="11"/>
      <c r="BU184" s="11"/>
      <c r="BV184" s="11"/>
      <c r="BW184" s="11"/>
      <c r="BX184" s="11"/>
      <c r="BY184" s="232"/>
      <c r="BZ184" s="232"/>
      <c r="CA184" s="232"/>
      <c r="CB184" s="232"/>
      <c r="CC184" s="348"/>
      <c r="CD184" s="11"/>
      <c r="CE184" s="11"/>
      <c r="CF184" s="11"/>
      <c r="CG184" s="11"/>
      <c r="CH184" s="11"/>
      <c r="CI184" s="11"/>
      <c r="CJ184" s="11"/>
      <c r="CK184" s="11"/>
      <c r="CL184" s="11"/>
      <c r="CM184" s="11"/>
      <c r="CN184" s="274"/>
      <c r="CO184" s="274"/>
      <c r="CP184" s="274"/>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8"/>
      <c r="DN184" s="118"/>
      <c r="DO184" s="118"/>
      <c r="DP184" s="52"/>
      <c r="DQ184" s="52"/>
      <c r="DR184" s="77"/>
      <c r="DS184" s="77"/>
      <c r="DT184" s="77"/>
      <c r="DU184" s="11"/>
      <c r="DV184" s="11"/>
      <c r="DW184" s="11"/>
      <c r="DX184" s="11"/>
      <c r="DY184" s="11"/>
      <c r="DZ184" s="11"/>
      <c r="EA184" s="11"/>
      <c r="EB184" s="11"/>
      <c r="EC184" s="11"/>
      <c r="ED184" s="11"/>
      <c r="EE184" s="11"/>
      <c r="EF184" s="11"/>
    </row>
    <row r="185" spans="1:136" ht="40.5" x14ac:dyDescent="0.25">
      <c r="A185" s="425">
        <v>183</v>
      </c>
      <c r="B185" s="428" t="s">
        <v>1229</v>
      </c>
      <c r="C185" s="413" t="s">
        <v>1230</v>
      </c>
      <c r="D185" s="413" t="s">
        <v>1174</v>
      </c>
      <c r="E185" s="79">
        <v>1</v>
      </c>
      <c r="F185" s="405"/>
      <c r="G185" s="274"/>
      <c r="H185" s="274"/>
      <c r="I185" s="274"/>
      <c r="J185" s="274"/>
      <c r="K185" s="11"/>
      <c r="L185" s="274"/>
      <c r="M185" s="274"/>
      <c r="N185" s="274"/>
      <c r="O185" s="48"/>
      <c r="P185" s="11"/>
      <c r="Q185" s="274"/>
      <c r="R185" s="274"/>
      <c r="S185" s="274"/>
      <c r="T185" s="11"/>
      <c r="U185" s="11"/>
      <c r="V185" s="11"/>
      <c r="W185" s="11"/>
      <c r="X185" s="11"/>
      <c r="Y185" s="11"/>
      <c r="Z185" s="48"/>
      <c r="AA185" s="52"/>
      <c r="AB185" s="52"/>
      <c r="AC185" s="118"/>
      <c r="AD185" s="5"/>
      <c r="AE185" s="52"/>
      <c r="AF185" s="113">
        <v>221000</v>
      </c>
      <c r="AG185" s="113">
        <f>AF185*0.19</f>
        <v>41990</v>
      </c>
      <c r="AH185" s="113">
        <f t="shared" si="10"/>
        <v>262990</v>
      </c>
      <c r="AI185" s="277" t="s">
        <v>628</v>
      </c>
      <c r="AJ185" s="33" t="s">
        <v>1231</v>
      </c>
      <c r="AK185" s="269"/>
      <c r="AL185" s="269"/>
      <c r="AM185" s="116"/>
      <c r="AN185" s="301"/>
      <c r="AO185" s="302"/>
      <c r="AP185" s="11"/>
      <c r="AQ185" s="11"/>
      <c r="AR185" s="11"/>
      <c r="AS185" s="11"/>
      <c r="AT185" s="11"/>
      <c r="AU185" s="118">
        <v>263846</v>
      </c>
      <c r="AV185" s="118">
        <v>50131</v>
      </c>
      <c r="AW185" s="118">
        <v>313977</v>
      </c>
      <c r="AX185" s="52" t="s">
        <v>607</v>
      </c>
      <c r="AY185" s="52">
        <v>1122640500</v>
      </c>
      <c r="AZ185" s="11"/>
      <c r="BA185" s="11"/>
      <c r="BB185" s="11"/>
      <c r="BC185" s="11"/>
      <c r="BD185" s="11"/>
      <c r="BE185" s="274">
        <v>991000</v>
      </c>
      <c r="BF185" s="274">
        <v>188290</v>
      </c>
      <c r="BG185" s="274">
        <v>1179290</v>
      </c>
      <c r="BH185" s="11" t="s">
        <v>424</v>
      </c>
      <c r="BI185" s="11" t="s">
        <v>1232</v>
      </c>
      <c r="BJ185" s="311"/>
      <c r="BK185" s="311"/>
      <c r="BL185" s="311"/>
      <c r="BM185" s="52"/>
      <c r="BN185" s="52"/>
      <c r="BO185" s="387"/>
      <c r="BP185" s="320"/>
      <c r="BQ185" s="320"/>
      <c r="BR185" s="76"/>
      <c r="BS185" s="4"/>
      <c r="BT185" s="11"/>
      <c r="BU185" s="11"/>
      <c r="BV185" s="11"/>
      <c r="BW185" s="11"/>
      <c r="BX185" s="11"/>
      <c r="BY185" s="232"/>
      <c r="BZ185" s="232"/>
      <c r="CA185" s="232"/>
      <c r="CB185" s="232"/>
      <c r="CC185" s="348"/>
      <c r="CD185" s="11"/>
      <c r="CE185" s="11"/>
      <c r="CF185" s="11"/>
      <c r="CG185" s="11"/>
      <c r="CH185" s="11"/>
      <c r="CI185" s="11"/>
      <c r="CJ185" s="11"/>
      <c r="CK185" s="11"/>
      <c r="CL185" s="11"/>
      <c r="CM185" s="11"/>
      <c r="CN185" s="274"/>
      <c r="CO185" s="274"/>
      <c r="CP185" s="274"/>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8"/>
      <c r="DN185" s="118"/>
      <c r="DO185" s="118"/>
      <c r="DP185" s="52"/>
      <c r="DQ185" s="52"/>
      <c r="DR185" s="77"/>
      <c r="DS185" s="77"/>
      <c r="DT185" s="77"/>
      <c r="DU185" s="11"/>
      <c r="DV185" s="11"/>
      <c r="DW185" s="11"/>
      <c r="DX185" s="11"/>
      <c r="DY185" s="11"/>
      <c r="DZ185" s="11"/>
      <c r="EA185" s="11"/>
      <c r="EB185" s="11"/>
      <c r="EC185" s="11"/>
      <c r="ED185" s="11"/>
      <c r="EE185" s="11"/>
      <c r="EF185" s="11"/>
    </row>
    <row r="186" spans="1:136" ht="25.5" customHeight="1" x14ac:dyDescent="0.25">
      <c r="A186" s="425">
        <v>184</v>
      </c>
      <c r="B186" s="427" t="s">
        <v>1233</v>
      </c>
      <c r="C186" s="427" t="s">
        <v>1234</v>
      </c>
      <c r="D186" s="427" t="s">
        <v>157</v>
      </c>
      <c r="E186" s="79">
        <v>1</v>
      </c>
      <c r="F186" s="406">
        <v>560567.58799999999</v>
      </c>
      <c r="G186" s="274"/>
      <c r="H186" s="274"/>
      <c r="I186" s="274"/>
      <c r="J186" s="274"/>
      <c r="K186" s="11"/>
      <c r="L186" s="274"/>
      <c r="M186" s="274"/>
      <c r="N186" s="274"/>
      <c r="O186" s="48"/>
      <c r="P186" s="11"/>
      <c r="Q186" s="274"/>
      <c r="R186" s="274"/>
      <c r="S186" s="274"/>
      <c r="T186" s="11"/>
      <c r="U186" s="11"/>
      <c r="V186" s="11"/>
      <c r="W186" s="11"/>
      <c r="X186" s="11"/>
      <c r="Y186" s="11"/>
      <c r="Z186" s="48"/>
      <c r="AA186" s="52"/>
      <c r="AB186" s="52"/>
      <c r="AC186" s="118"/>
      <c r="AD186" s="5"/>
      <c r="AE186" s="52"/>
      <c r="AF186" s="113"/>
      <c r="AG186" s="113"/>
      <c r="AH186" s="113"/>
      <c r="AI186" s="52"/>
      <c r="AJ186" s="11"/>
      <c r="AK186" s="269">
        <v>267000</v>
      </c>
      <c r="AL186" s="269">
        <v>50730</v>
      </c>
      <c r="AM186" s="116">
        <v>317730</v>
      </c>
      <c r="AN186" s="301" t="s">
        <v>37</v>
      </c>
      <c r="AO186" s="302" t="s">
        <v>1235</v>
      </c>
      <c r="AP186" s="11"/>
      <c r="AQ186" s="11"/>
      <c r="AR186" s="11"/>
      <c r="AS186" s="11"/>
      <c r="AT186" s="11"/>
      <c r="AU186" s="118">
        <v>281255</v>
      </c>
      <c r="AV186" s="118">
        <v>53439</v>
      </c>
      <c r="AW186" s="118">
        <v>334694</v>
      </c>
      <c r="AX186" s="52" t="s">
        <v>607</v>
      </c>
      <c r="AY186" s="52" t="s">
        <v>1235</v>
      </c>
      <c r="AZ186" s="11"/>
      <c r="BA186" s="11"/>
      <c r="BB186" s="11"/>
      <c r="BC186" s="11"/>
      <c r="BD186" s="11"/>
      <c r="BE186" s="274">
        <v>487000</v>
      </c>
      <c r="BF186" s="274">
        <v>92530</v>
      </c>
      <c r="BG186" s="274">
        <v>579530</v>
      </c>
      <c r="BH186" s="11" t="s">
        <v>37</v>
      </c>
      <c r="BI186" s="11" t="s">
        <v>1236</v>
      </c>
      <c r="BJ186" s="311"/>
      <c r="BK186" s="311"/>
      <c r="BL186" s="311"/>
      <c r="BM186" s="52"/>
      <c r="BN186" s="52"/>
      <c r="BO186" s="387"/>
      <c r="BP186" s="320"/>
      <c r="BQ186" s="320"/>
      <c r="BR186" s="76"/>
      <c r="BS186" s="4"/>
      <c r="BT186" s="11"/>
      <c r="BU186" s="11"/>
      <c r="BV186" s="11"/>
      <c r="BW186" s="11"/>
      <c r="BX186" s="11"/>
      <c r="BY186" s="232"/>
      <c r="BZ186" s="232"/>
      <c r="CA186" s="232"/>
      <c r="CB186" s="232"/>
      <c r="CC186" s="348"/>
      <c r="CD186" s="11"/>
      <c r="CE186" s="11"/>
      <c r="CF186" s="11"/>
      <c r="CG186" s="11"/>
      <c r="CH186" s="11"/>
      <c r="CI186" s="11"/>
      <c r="CJ186" s="11"/>
      <c r="CK186" s="11"/>
      <c r="CL186" s="11"/>
      <c r="CM186" s="11"/>
      <c r="CN186" s="274"/>
      <c r="CO186" s="274"/>
      <c r="CP186" s="274"/>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8"/>
      <c r="DN186" s="118"/>
      <c r="DO186" s="118"/>
      <c r="DP186" s="52"/>
      <c r="DQ186" s="52"/>
      <c r="DR186" s="77"/>
      <c r="DS186" s="77"/>
      <c r="DT186" s="77"/>
      <c r="DU186" s="11"/>
      <c r="DV186" s="11"/>
      <c r="DW186" s="11"/>
      <c r="DX186" s="11"/>
      <c r="DY186" s="11"/>
      <c r="DZ186" s="11"/>
      <c r="EA186" s="11"/>
      <c r="EB186" s="11"/>
      <c r="EC186" s="11"/>
      <c r="ED186" s="11"/>
      <c r="EE186" s="11"/>
      <c r="EF186" s="11"/>
    </row>
    <row r="187" spans="1:136" ht="40.5" x14ac:dyDescent="0.25">
      <c r="A187" s="425">
        <v>185</v>
      </c>
      <c r="B187" s="427" t="s">
        <v>1237</v>
      </c>
      <c r="C187" s="427" t="s">
        <v>1238</v>
      </c>
      <c r="D187" s="427" t="s">
        <v>1239</v>
      </c>
      <c r="E187" s="79">
        <v>1</v>
      </c>
      <c r="F187" s="405"/>
      <c r="G187" s="274">
        <v>307500</v>
      </c>
      <c r="H187" s="274">
        <v>58425</v>
      </c>
      <c r="I187" s="274">
        <v>365925</v>
      </c>
      <c r="J187" s="274" t="s">
        <v>45</v>
      </c>
      <c r="K187" s="11" t="s">
        <v>1240</v>
      </c>
      <c r="L187" s="274"/>
      <c r="M187" s="274"/>
      <c r="N187" s="274"/>
      <c r="O187" s="48"/>
      <c r="P187" s="11"/>
      <c r="Q187" s="274"/>
      <c r="R187" s="274"/>
      <c r="S187" s="274"/>
      <c r="T187" s="11"/>
      <c r="U187" s="11"/>
      <c r="V187" s="11"/>
      <c r="W187" s="11"/>
      <c r="X187" s="11"/>
      <c r="Y187" s="11"/>
      <c r="Z187" s="48"/>
      <c r="AA187" s="52"/>
      <c r="AB187" s="52"/>
      <c r="AC187" s="118"/>
      <c r="AD187" s="5"/>
      <c r="AE187" s="52"/>
      <c r="AF187" s="113">
        <v>213000</v>
      </c>
      <c r="AG187" s="113">
        <f>AF187*0.19</f>
        <v>40470</v>
      </c>
      <c r="AH187" s="113">
        <f>AF187+AG187</f>
        <v>253470</v>
      </c>
      <c r="AI187" s="277" t="s">
        <v>628</v>
      </c>
      <c r="AJ187" s="33" t="s">
        <v>1241</v>
      </c>
      <c r="AK187" s="269">
        <v>354540</v>
      </c>
      <c r="AL187" s="269">
        <v>67362.600000000006</v>
      </c>
      <c r="AM187" s="116">
        <v>421902.6</v>
      </c>
      <c r="AN187" s="301" t="s">
        <v>88</v>
      </c>
      <c r="AO187" s="302">
        <v>1024454000</v>
      </c>
      <c r="AP187" s="11"/>
      <c r="AQ187" s="11"/>
      <c r="AR187" s="11"/>
      <c r="AS187" s="11"/>
      <c r="AT187" s="11"/>
      <c r="AU187" s="118">
        <v>450858</v>
      </c>
      <c r="AV187" s="118">
        <v>85663</v>
      </c>
      <c r="AW187" s="118">
        <v>536521</v>
      </c>
      <c r="AX187" s="52" t="s">
        <v>607</v>
      </c>
      <c r="AY187" s="52">
        <v>1024454000</v>
      </c>
      <c r="AZ187" s="11"/>
      <c r="BA187" s="11"/>
      <c r="BB187" s="11"/>
      <c r="BC187" s="11"/>
      <c r="BD187" s="11"/>
      <c r="BE187" s="274">
        <v>371000</v>
      </c>
      <c r="BF187" s="274">
        <v>70490</v>
      </c>
      <c r="BG187" s="274">
        <v>441490</v>
      </c>
      <c r="BH187" s="11" t="s">
        <v>63</v>
      </c>
      <c r="BI187" s="11" t="s">
        <v>1242</v>
      </c>
      <c r="BJ187" s="311"/>
      <c r="BK187" s="311"/>
      <c r="BL187" s="311"/>
      <c r="BM187" s="52"/>
      <c r="BN187" s="52"/>
      <c r="BO187" s="387"/>
      <c r="BP187" s="320"/>
      <c r="BQ187" s="320"/>
      <c r="BR187" s="76"/>
      <c r="BS187" s="4"/>
      <c r="BT187" s="11"/>
      <c r="BU187" s="11"/>
      <c r="BV187" s="11"/>
      <c r="BW187" s="11"/>
      <c r="BX187" s="11"/>
      <c r="BY187" s="232"/>
      <c r="BZ187" s="232"/>
      <c r="CA187" s="232"/>
      <c r="CB187" s="232"/>
      <c r="CC187" s="348"/>
      <c r="CD187" s="11"/>
      <c r="CE187" s="11"/>
      <c r="CF187" s="11"/>
      <c r="CG187" s="11"/>
      <c r="CH187" s="11"/>
      <c r="CI187" s="11"/>
      <c r="CJ187" s="11"/>
      <c r="CK187" s="11"/>
      <c r="CL187" s="11"/>
      <c r="CM187" s="11"/>
      <c r="CN187" s="274"/>
      <c r="CO187" s="274"/>
      <c r="CP187" s="274"/>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8"/>
      <c r="DN187" s="118"/>
      <c r="DO187" s="118"/>
      <c r="DP187" s="52"/>
      <c r="DQ187" s="52"/>
      <c r="DR187" s="77"/>
      <c r="DS187" s="77"/>
      <c r="DT187" s="77"/>
      <c r="DU187" s="11"/>
      <c r="DV187" s="11"/>
      <c r="DW187" s="11"/>
      <c r="DX187" s="11"/>
      <c r="DY187" s="11"/>
      <c r="DZ187" s="11"/>
      <c r="EA187" s="11"/>
      <c r="EB187" s="11"/>
      <c r="EC187" s="11"/>
      <c r="ED187" s="11"/>
      <c r="EE187" s="11"/>
      <c r="EF187" s="11"/>
    </row>
    <row r="188" spans="1:136" ht="54" x14ac:dyDescent="0.25">
      <c r="A188" s="425">
        <v>186</v>
      </c>
      <c r="B188" s="427" t="s">
        <v>1243</v>
      </c>
      <c r="C188" s="413" t="s">
        <v>1244</v>
      </c>
      <c r="D188" s="586" t="s">
        <v>1245</v>
      </c>
      <c r="E188" s="79">
        <v>1</v>
      </c>
      <c r="F188" s="405"/>
      <c r="G188" s="274"/>
      <c r="H188" s="274"/>
      <c r="I188" s="274"/>
      <c r="J188" s="274"/>
      <c r="K188" s="11"/>
      <c r="L188" s="274"/>
      <c r="M188" s="274"/>
      <c r="N188" s="274"/>
      <c r="O188" s="48"/>
      <c r="P188" s="11"/>
      <c r="Q188" s="274"/>
      <c r="R188" s="274"/>
      <c r="S188" s="274"/>
      <c r="T188" s="11"/>
      <c r="U188" s="11"/>
      <c r="V188" s="11"/>
      <c r="W188" s="11"/>
      <c r="X188" s="11"/>
      <c r="Y188" s="11"/>
      <c r="Z188" s="48"/>
      <c r="AA188" s="52"/>
      <c r="AB188" s="52"/>
      <c r="AC188" s="118"/>
      <c r="AD188" s="5"/>
      <c r="AE188" s="52"/>
      <c r="AF188" s="113"/>
      <c r="AG188" s="113"/>
      <c r="AH188" s="113"/>
      <c r="AI188" s="52"/>
      <c r="AJ188" s="11"/>
      <c r="AK188" s="269"/>
      <c r="AL188" s="269"/>
      <c r="AM188" s="116"/>
      <c r="AN188" s="301"/>
      <c r="AO188" s="302"/>
      <c r="AP188" s="11"/>
      <c r="AQ188" s="11"/>
      <c r="AR188" s="11"/>
      <c r="AS188" s="11"/>
      <c r="AT188" s="11"/>
      <c r="AU188" s="118">
        <v>1345180</v>
      </c>
      <c r="AV188" s="118">
        <v>255584</v>
      </c>
      <c r="AW188" s="118">
        <v>1600765</v>
      </c>
      <c r="AX188" s="52" t="s">
        <v>607</v>
      </c>
      <c r="AY188" s="52" t="s">
        <v>1246</v>
      </c>
      <c r="AZ188" s="11"/>
      <c r="BA188" s="11"/>
      <c r="BB188" s="11"/>
      <c r="BC188" s="11"/>
      <c r="BD188" s="11"/>
      <c r="BE188" s="274">
        <v>7778000</v>
      </c>
      <c r="BF188" s="274">
        <v>1477820</v>
      </c>
      <c r="BG188" s="274">
        <v>9255820</v>
      </c>
      <c r="BH188" s="11" t="s">
        <v>310</v>
      </c>
      <c r="BI188" s="11" t="s">
        <v>1247</v>
      </c>
      <c r="BJ188" s="311"/>
      <c r="BK188" s="311"/>
      <c r="BL188" s="311"/>
      <c r="BM188" s="52"/>
      <c r="BN188" s="52"/>
      <c r="BO188" s="387"/>
      <c r="BP188" s="320"/>
      <c r="BQ188" s="320"/>
      <c r="BR188" s="76"/>
      <c r="BS188" s="4"/>
      <c r="BT188" s="11"/>
      <c r="BU188" s="11"/>
      <c r="BV188" s="11"/>
      <c r="BW188" s="11"/>
      <c r="BX188" s="11"/>
      <c r="BY188" s="348"/>
      <c r="BZ188" s="348"/>
      <c r="CA188" s="348"/>
      <c r="CB188" s="348"/>
      <c r="CC188" s="348"/>
      <c r="CD188" s="11"/>
      <c r="CE188" s="11"/>
      <c r="CF188" s="11"/>
      <c r="CG188" s="11"/>
      <c r="CH188" s="11"/>
      <c r="CI188" s="11"/>
      <c r="CJ188" s="11"/>
      <c r="CK188" s="11"/>
      <c r="CL188" s="11"/>
      <c r="CM188" s="11"/>
      <c r="CN188" s="274"/>
      <c r="CO188" s="274"/>
      <c r="CP188" s="274"/>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8"/>
      <c r="DN188" s="118"/>
      <c r="DO188" s="118"/>
      <c r="DP188" s="52"/>
      <c r="DQ188" s="52"/>
      <c r="DR188" s="77"/>
      <c r="DS188" s="77"/>
      <c r="DT188" s="77"/>
      <c r="DU188" s="11"/>
      <c r="DV188" s="11"/>
      <c r="DW188" s="11"/>
      <c r="DX188" s="11"/>
      <c r="DY188" s="11"/>
      <c r="DZ188" s="11"/>
      <c r="EA188" s="11"/>
      <c r="EB188" s="11"/>
      <c r="EC188" s="11"/>
      <c r="ED188" s="11"/>
      <c r="EE188" s="11"/>
      <c r="EF188" s="11"/>
    </row>
    <row r="189" spans="1:136" ht="13.5" x14ac:dyDescent="0.25">
      <c r="A189" s="425">
        <v>187</v>
      </c>
      <c r="B189" s="427" t="s">
        <v>1248</v>
      </c>
      <c r="C189" s="427" t="s">
        <v>622</v>
      </c>
      <c r="D189" s="427" t="s">
        <v>637</v>
      </c>
      <c r="E189" s="79">
        <v>1</v>
      </c>
      <c r="F189" s="406">
        <v>2942351.398</v>
      </c>
      <c r="G189" s="274"/>
      <c r="H189" s="274"/>
      <c r="I189" s="274"/>
      <c r="J189" s="274"/>
      <c r="K189" s="11"/>
      <c r="L189" s="274"/>
      <c r="M189" s="274"/>
      <c r="N189" s="274"/>
      <c r="O189" s="48"/>
      <c r="P189" s="11"/>
      <c r="Q189" s="274"/>
      <c r="R189" s="274"/>
      <c r="S189" s="274"/>
      <c r="T189" s="11"/>
      <c r="U189" s="11"/>
      <c r="V189" s="11"/>
      <c r="W189" s="11"/>
      <c r="X189" s="11"/>
      <c r="Y189" s="11"/>
      <c r="Z189" s="48"/>
      <c r="AA189" s="52"/>
      <c r="AB189" s="52"/>
      <c r="AC189" s="118"/>
      <c r="AD189" s="5"/>
      <c r="AE189" s="52"/>
      <c r="AF189" s="113"/>
      <c r="AG189" s="113"/>
      <c r="AH189" s="113"/>
      <c r="AI189" s="52"/>
      <c r="AJ189" s="11"/>
      <c r="AK189" s="269">
        <v>2037268</v>
      </c>
      <c r="AL189" s="269">
        <v>387080.92</v>
      </c>
      <c r="AM189" s="116">
        <v>2424348.92</v>
      </c>
      <c r="AN189" s="301" t="s">
        <v>88</v>
      </c>
      <c r="AO189" s="302">
        <v>1083800100</v>
      </c>
      <c r="AP189" s="11"/>
      <c r="AQ189" s="11"/>
      <c r="AR189" s="11"/>
      <c r="AS189" s="11"/>
      <c r="AT189" s="11"/>
      <c r="AU189" s="118"/>
      <c r="AV189" s="118"/>
      <c r="AW189" s="118"/>
      <c r="AX189" s="52"/>
      <c r="AY189" s="52"/>
      <c r="AZ189" s="11"/>
      <c r="BA189" s="11"/>
      <c r="BB189" s="11"/>
      <c r="BC189" s="11"/>
      <c r="BD189" s="11"/>
      <c r="BE189" s="274">
        <v>2473000</v>
      </c>
      <c r="BF189" s="274">
        <v>469870</v>
      </c>
      <c r="BG189" s="274">
        <v>2942870</v>
      </c>
      <c r="BH189" s="11" t="s">
        <v>37</v>
      </c>
      <c r="BI189" s="11" t="s">
        <v>1249</v>
      </c>
      <c r="BJ189" s="311"/>
      <c r="BK189" s="311"/>
      <c r="BL189" s="311"/>
      <c r="BM189" s="52"/>
      <c r="BN189" s="52"/>
      <c r="BO189" s="387"/>
      <c r="BP189" s="320"/>
      <c r="BQ189" s="320"/>
      <c r="BR189" s="76"/>
      <c r="BS189" s="4"/>
      <c r="BT189" s="11"/>
      <c r="BU189" s="11"/>
      <c r="BV189" s="11"/>
      <c r="BW189" s="11"/>
      <c r="BX189" s="11"/>
      <c r="BY189" s="348"/>
      <c r="BZ189" s="348"/>
      <c r="CA189" s="348"/>
      <c r="CB189" s="348"/>
      <c r="CC189" s="348"/>
      <c r="CD189" s="11"/>
      <c r="CE189" s="11"/>
      <c r="CF189" s="11"/>
      <c r="CG189" s="11"/>
      <c r="CH189" s="11"/>
      <c r="CI189" s="11"/>
      <c r="CJ189" s="11"/>
      <c r="CK189" s="11"/>
      <c r="CL189" s="11"/>
      <c r="CM189" s="11"/>
      <c r="CN189" s="274"/>
      <c r="CO189" s="274"/>
      <c r="CP189" s="274"/>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8"/>
      <c r="DN189" s="118"/>
      <c r="DO189" s="118"/>
      <c r="DP189" s="52"/>
      <c r="DQ189" s="52"/>
      <c r="DR189" s="77"/>
      <c r="DS189" s="77"/>
      <c r="DT189" s="77"/>
      <c r="DU189" s="11"/>
      <c r="DV189" s="11"/>
      <c r="DW189" s="11"/>
      <c r="DX189" s="11"/>
      <c r="DY189" s="11"/>
      <c r="DZ189" s="11"/>
      <c r="EA189" s="11"/>
      <c r="EB189" s="11"/>
      <c r="EC189" s="11"/>
      <c r="ED189" s="11"/>
      <c r="EE189" s="11"/>
      <c r="EF189" s="11"/>
    </row>
    <row r="190" spans="1:136" ht="13.5" x14ac:dyDescent="0.25">
      <c r="A190" s="425">
        <v>188</v>
      </c>
      <c r="B190" s="428" t="s">
        <v>1250</v>
      </c>
      <c r="C190" s="413" t="s">
        <v>753</v>
      </c>
      <c r="D190" s="428" t="s">
        <v>1251</v>
      </c>
      <c r="E190" s="79">
        <v>1</v>
      </c>
      <c r="F190" s="405"/>
      <c r="G190" s="274">
        <v>225000</v>
      </c>
      <c r="H190" s="274">
        <v>42750</v>
      </c>
      <c r="I190" s="274">
        <v>267750</v>
      </c>
      <c r="J190" s="274" t="s">
        <v>45</v>
      </c>
      <c r="K190" s="11" t="s">
        <v>1252</v>
      </c>
      <c r="L190" s="274"/>
      <c r="M190" s="274"/>
      <c r="N190" s="274"/>
      <c r="O190" s="48"/>
      <c r="P190" s="11"/>
      <c r="Q190" s="274"/>
      <c r="R190" s="274"/>
      <c r="S190" s="274"/>
      <c r="T190" s="11"/>
      <c r="U190" s="11"/>
      <c r="V190" s="11"/>
      <c r="W190" s="11"/>
      <c r="X190" s="11"/>
      <c r="Y190" s="11"/>
      <c r="Z190" s="48"/>
      <c r="AA190" s="52"/>
      <c r="AB190" s="52"/>
      <c r="AC190" s="118"/>
      <c r="AD190" s="5"/>
      <c r="AE190" s="52"/>
      <c r="AF190" s="113">
        <v>175000</v>
      </c>
      <c r="AG190" s="113">
        <f t="shared" ref="AG190:AG195" si="11">AF190*0.19</f>
        <v>33250</v>
      </c>
      <c r="AH190" s="113">
        <f t="shared" ref="AH190:AH196" si="12">AF190+AG190</f>
        <v>208250</v>
      </c>
      <c r="AI190" s="277" t="s">
        <v>628</v>
      </c>
      <c r="AJ190" s="33" t="s">
        <v>1253</v>
      </c>
      <c r="AK190" s="269">
        <v>132810</v>
      </c>
      <c r="AL190" s="269">
        <v>25233.9</v>
      </c>
      <c r="AM190" s="116">
        <v>158043.9</v>
      </c>
      <c r="AN190" s="301" t="s">
        <v>88</v>
      </c>
      <c r="AO190" s="302">
        <v>1017190500</v>
      </c>
      <c r="AP190" s="11"/>
      <c r="AQ190" s="11"/>
      <c r="AR190" s="11"/>
      <c r="AS190" s="11"/>
      <c r="AT190" s="11"/>
      <c r="AU190" s="118">
        <v>149582</v>
      </c>
      <c r="AV190" s="118">
        <v>28420</v>
      </c>
      <c r="AW190" s="118">
        <v>178002</v>
      </c>
      <c r="AX190" s="52" t="s">
        <v>607</v>
      </c>
      <c r="AY190" s="52" t="s">
        <v>1254</v>
      </c>
      <c r="AZ190" s="11"/>
      <c r="BA190" s="11"/>
      <c r="BB190" s="11"/>
      <c r="BC190" s="11"/>
      <c r="BD190" s="11"/>
      <c r="BE190" s="274">
        <v>397000</v>
      </c>
      <c r="BF190" s="274">
        <v>75430</v>
      </c>
      <c r="BG190" s="274">
        <v>472430</v>
      </c>
      <c r="BH190" s="11" t="s">
        <v>63</v>
      </c>
      <c r="BI190" s="11" t="s">
        <v>1255</v>
      </c>
      <c r="BJ190" s="311"/>
      <c r="BK190" s="311"/>
      <c r="BL190" s="311"/>
      <c r="BM190" s="52"/>
      <c r="BN190" s="52"/>
      <c r="BO190" s="387"/>
      <c r="BP190" s="320"/>
      <c r="BQ190" s="320"/>
      <c r="BR190" s="76"/>
      <c r="BS190" s="4"/>
      <c r="BT190" s="11"/>
      <c r="BU190" s="11"/>
      <c r="BV190" s="11"/>
      <c r="BW190" s="11"/>
      <c r="BX190" s="11"/>
      <c r="BY190" s="348"/>
      <c r="BZ190" s="348"/>
      <c r="CA190" s="348"/>
      <c r="CB190" s="348"/>
      <c r="CC190" s="348"/>
      <c r="CD190" s="11"/>
      <c r="CE190" s="11"/>
      <c r="CF190" s="11"/>
      <c r="CG190" s="11"/>
      <c r="CH190" s="11"/>
      <c r="CI190" s="11"/>
      <c r="CJ190" s="11"/>
      <c r="CK190" s="11"/>
      <c r="CL190" s="11"/>
      <c r="CM190" s="11"/>
      <c r="CN190" s="274"/>
      <c r="CO190" s="274"/>
      <c r="CP190" s="274"/>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8"/>
      <c r="DN190" s="118"/>
      <c r="DO190" s="118"/>
      <c r="DP190" s="52"/>
      <c r="DQ190" s="52"/>
      <c r="DR190" s="77"/>
      <c r="DS190" s="77"/>
      <c r="DT190" s="77"/>
      <c r="DU190" s="11"/>
      <c r="DV190" s="11"/>
      <c r="DW190" s="11"/>
      <c r="DX190" s="11"/>
      <c r="DY190" s="11"/>
      <c r="DZ190" s="11"/>
      <c r="EA190" s="11"/>
      <c r="EB190" s="11"/>
      <c r="EC190" s="11"/>
      <c r="ED190" s="11"/>
      <c r="EE190" s="11"/>
      <c r="EF190" s="11"/>
    </row>
    <row r="191" spans="1:136" ht="94.5" x14ac:dyDescent="0.25">
      <c r="A191" s="425">
        <v>189</v>
      </c>
      <c r="B191" s="427" t="s">
        <v>1256</v>
      </c>
      <c r="C191" s="427" t="s">
        <v>622</v>
      </c>
      <c r="D191" s="427" t="s">
        <v>1257</v>
      </c>
      <c r="E191" s="79">
        <v>1</v>
      </c>
      <c r="F191" s="406">
        <v>260173.74600000001</v>
      </c>
      <c r="G191" s="274">
        <v>222500</v>
      </c>
      <c r="H191" s="274">
        <v>42275</v>
      </c>
      <c r="I191" s="274">
        <v>264775</v>
      </c>
      <c r="J191" s="274" t="s">
        <v>45</v>
      </c>
      <c r="K191" s="11" t="s">
        <v>1258</v>
      </c>
      <c r="L191" s="274"/>
      <c r="M191" s="274"/>
      <c r="N191" s="274"/>
      <c r="O191" s="48"/>
      <c r="P191" s="11"/>
      <c r="Q191" s="274"/>
      <c r="R191" s="274"/>
      <c r="S191" s="274"/>
      <c r="T191" s="11"/>
      <c r="U191" s="11"/>
      <c r="V191" s="11"/>
      <c r="W191" s="11"/>
      <c r="X191" s="11"/>
      <c r="Y191" s="11"/>
      <c r="Z191" s="48"/>
      <c r="AA191" s="52"/>
      <c r="AB191" s="52"/>
      <c r="AC191" s="118"/>
      <c r="AD191" s="5"/>
      <c r="AE191" s="52"/>
      <c r="AF191" s="113">
        <v>221000</v>
      </c>
      <c r="AG191" s="113">
        <f t="shared" si="11"/>
        <v>41990</v>
      </c>
      <c r="AH191" s="113">
        <f t="shared" si="12"/>
        <v>262990</v>
      </c>
      <c r="AI191" s="277" t="s">
        <v>628</v>
      </c>
      <c r="AJ191" s="33" t="s">
        <v>1259</v>
      </c>
      <c r="AK191" s="269">
        <v>98610</v>
      </c>
      <c r="AL191" s="269">
        <v>18735.900000000001</v>
      </c>
      <c r="AM191" s="116">
        <v>117345.9</v>
      </c>
      <c r="AN191" s="301" t="s">
        <v>88</v>
      </c>
      <c r="AO191" s="302">
        <v>1023820250</v>
      </c>
      <c r="AP191" s="11"/>
      <c r="AQ191" s="11"/>
      <c r="AR191" s="11"/>
      <c r="AS191" s="11"/>
      <c r="AT191" s="11"/>
      <c r="AU191" s="118">
        <v>125399</v>
      </c>
      <c r="AV191" s="118">
        <v>23826</v>
      </c>
      <c r="AW191" s="118">
        <v>149225</v>
      </c>
      <c r="AX191" s="52" t="s">
        <v>607</v>
      </c>
      <c r="AY191" s="52">
        <v>1023820250</v>
      </c>
      <c r="AZ191" s="11"/>
      <c r="BA191" s="11"/>
      <c r="BB191" s="11"/>
      <c r="BC191" s="11"/>
      <c r="BD191" s="11"/>
      <c r="BE191" s="274">
        <v>151000</v>
      </c>
      <c r="BF191" s="274">
        <v>28690</v>
      </c>
      <c r="BG191" s="274">
        <v>179690</v>
      </c>
      <c r="BH191" s="11" t="s">
        <v>63</v>
      </c>
      <c r="BI191" s="11" t="s">
        <v>1260</v>
      </c>
      <c r="BJ191" s="311"/>
      <c r="BK191" s="311"/>
      <c r="BL191" s="311"/>
      <c r="BM191" s="52"/>
      <c r="BN191" s="52"/>
      <c r="BO191" s="387"/>
      <c r="BP191" s="320"/>
      <c r="BQ191" s="320"/>
      <c r="BR191" s="76"/>
      <c r="BS191" s="4"/>
      <c r="BT191" s="11"/>
      <c r="BU191" s="11"/>
      <c r="BV191" s="11"/>
      <c r="BW191" s="11"/>
      <c r="BX191" s="11"/>
      <c r="BY191" s="348"/>
      <c r="BZ191" s="348"/>
      <c r="CA191" s="348"/>
      <c r="CB191" s="348"/>
      <c r="CC191" s="348"/>
      <c r="CD191" s="11"/>
      <c r="CE191" s="11"/>
      <c r="CF191" s="11"/>
      <c r="CG191" s="11"/>
      <c r="CH191" s="11"/>
      <c r="CI191" s="11"/>
      <c r="CJ191" s="11"/>
      <c r="CK191" s="11"/>
      <c r="CL191" s="11"/>
      <c r="CM191" s="11"/>
      <c r="CN191" s="274"/>
      <c r="CO191" s="274"/>
      <c r="CP191" s="274"/>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8"/>
      <c r="DN191" s="118"/>
      <c r="DO191" s="118"/>
      <c r="DP191" s="52"/>
      <c r="DQ191" s="52"/>
      <c r="DR191" s="77"/>
      <c r="DS191" s="77"/>
      <c r="DT191" s="77"/>
      <c r="DU191" s="11"/>
      <c r="DV191" s="11"/>
      <c r="DW191" s="11"/>
      <c r="DX191" s="11"/>
      <c r="DY191" s="11"/>
      <c r="DZ191" s="11"/>
      <c r="EA191" s="11"/>
      <c r="EB191" s="11"/>
      <c r="EC191" s="11"/>
      <c r="ED191" s="11"/>
      <c r="EE191" s="11"/>
      <c r="EF191" s="11"/>
    </row>
    <row r="192" spans="1:136" ht="27" x14ac:dyDescent="0.25">
      <c r="A192" s="425">
        <v>190</v>
      </c>
      <c r="B192" s="413" t="s">
        <v>1261</v>
      </c>
      <c r="C192" s="413" t="s">
        <v>1262</v>
      </c>
      <c r="D192" s="427" t="s">
        <v>1263</v>
      </c>
      <c r="E192" s="79">
        <v>1</v>
      </c>
      <c r="F192" s="406">
        <v>550512.56400000001</v>
      </c>
      <c r="G192" s="274">
        <v>587500</v>
      </c>
      <c r="H192" s="274">
        <v>111625</v>
      </c>
      <c r="I192" s="274">
        <v>699125</v>
      </c>
      <c r="J192" s="274" t="s">
        <v>45</v>
      </c>
      <c r="K192" s="11" t="s">
        <v>1264</v>
      </c>
      <c r="L192" s="274"/>
      <c r="M192" s="274"/>
      <c r="N192" s="274"/>
      <c r="O192" s="48"/>
      <c r="P192" s="11"/>
      <c r="Q192" s="274"/>
      <c r="R192" s="274"/>
      <c r="S192" s="274"/>
      <c r="T192" s="11"/>
      <c r="U192" s="11"/>
      <c r="V192" s="11"/>
      <c r="W192" s="11"/>
      <c r="X192" s="11"/>
      <c r="Y192" s="11"/>
      <c r="Z192" s="48"/>
      <c r="AA192" s="52"/>
      <c r="AB192" s="52"/>
      <c r="AC192" s="118"/>
      <c r="AD192" s="5"/>
      <c r="AE192" s="52"/>
      <c r="AF192" s="113">
        <v>360000</v>
      </c>
      <c r="AG192" s="113">
        <f t="shared" si="11"/>
        <v>68400</v>
      </c>
      <c r="AH192" s="113">
        <f t="shared" si="12"/>
        <v>428400</v>
      </c>
      <c r="AI192" s="277" t="s">
        <v>628</v>
      </c>
      <c r="AJ192" s="33" t="s">
        <v>1265</v>
      </c>
      <c r="AK192" s="269">
        <v>836760</v>
      </c>
      <c r="AL192" s="269">
        <v>158984.4</v>
      </c>
      <c r="AM192" s="116">
        <v>995744.4</v>
      </c>
      <c r="AN192" s="301" t="s">
        <v>88</v>
      </c>
      <c r="AO192" s="302">
        <v>1078380250</v>
      </c>
      <c r="AP192" s="11"/>
      <c r="AQ192" s="11"/>
      <c r="AR192" s="11"/>
      <c r="AS192" s="11"/>
      <c r="AT192" s="11"/>
      <c r="AU192" s="118"/>
      <c r="AV192" s="118"/>
      <c r="AW192" s="118"/>
      <c r="AX192" s="52"/>
      <c r="AY192" s="52"/>
      <c r="AZ192" s="11"/>
      <c r="BA192" s="11"/>
      <c r="BB192" s="11"/>
      <c r="BC192" s="11"/>
      <c r="BD192" s="11"/>
      <c r="BE192" s="274">
        <v>494000</v>
      </c>
      <c r="BF192" s="274">
        <v>93860</v>
      </c>
      <c r="BG192" s="274">
        <v>587860</v>
      </c>
      <c r="BH192" s="11" t="s">
        <v>63</v>
      </c>
      <c r="BI192" s="11" t="s">
        <v>1266</v>
      </c>
      <c r="BJ192" s="311"/>
      <c r="BK192" s="311"/>
      <c r="BL192" s="311"/>
      <c r="BM192" s="52"/>
      <c r="BN192" s="52"/>
      <c r="BO192" s="387"/>
      <c r="BP192" s="320"/>
      <c r="BQ192" s="320"/>
      <c r="BR192" s="76"/>
      <c r="BS192" s="4"/>
      <c r="BT192" s="11"/>
      <c r="BU192" s="11"/>
      <c r="BV192" s="11"/>
      <c r="BW192" s="11"/>
      <c r="BX192" s="11"/>
      <c r="BY192" s="348"/>
      <c r="BZ192" s="348"/>
      <c r="CA192" s="348"/>
      <c r="CB192" s="348"/>
      <c r="CC192" s="348"/>
      <c r="CD192" s="11"/>
      <c r="CE192" s="11"/>
      <c r="CF192" s="11"/>
      <c r="CG192" s="11"/>
      <c r="CH192" s="11"/>
      <c r="CI192" s="11"/>
      <c r="CJ192" s="11"/>
      <c r="CK192" s="11"/>
      <c r="CL192" s="11"/>
      <c r="CM192" s="11"/>
      <c r="CN192" s="274"/>
      <c r="CO192" s="274"/>
      <c r="CP192" s="274"/>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8"/>
      <c r="DN192" s="118"/>
      <c r="DO192" s="118"/>
      <c r="DP192" s="52"/>
      <c r="DQ192" s="52"/>
      <c r="DR192" s="77"/>
      <c r="DS192" s="77"/>
      <c r="DT192" s="77"/>
      <c r="DU192" s="11"/>
      <c r="DV192" s="11"/>
      <c r="DW192" s="11"/>
      <c r="DX192" s="11"/>
      <c r="DY192" s="11"/>
      <c r="DZ192" s="11"/>
      <c r="EA192" s="11"/>
      <c r="EB192" s="11"/>
      <c r="EC192" s="11"/>
      <c r="ED192" s="11"/>
      <c r="EE192" s="11"/>
      <c r="EF192" s="11"/>
    </row>
    <row r="193" spans="1:136" ht="40.5" x14ac:dyDescent="0.25">
      <c r="A193" s="425">
        <v>191</v>
      </c>
      <c r="B193" s="427" t="s">
        <v>1267</v>
      </c>
      <c r="C193" s="427" t="s">
        <v>1268</v>
      </c>
      <c r="D193" s="427" t="s">
        <v>132</v>
      </c>
      <c r="E193" s="79">
        <v>1</v>
      </c>
      <c r="F193" s="406">
        <v>268971.89199999999</v>
      </c>
      <c r="G193" s="274">
        <v>287500</v>
      </c>
      <c r="H193" s="274">
        <v>54625</v>
      </c>
      <c r="I193" s="274">
        <v>342125</v>
      </c>
      <c r="J193" s="274" t="s">
        <v>45</v>
      </c>
      <c r="K193" s="11" t="s">
        <v>1269</v>
      </c>
      <c r="L193" s="274"/>
      <c r="M193" s="274"/>
      <c r="N193" s="274"/>
      <c r="O193" s="48"/>
      <c r="P193" s="11"/>
      <c r="Q193" s="274"/>
      <c r="R193" s="274"/>
      <c r="S193" s="274"/>
      <c r="T193" s="11"/>
      <c r="U193" s="11"/>
      <c r="V193" s="11"/>
      <c r="W193" s="11"/>
      <c r="X193" s="11"/>
      <c r="Y193" s="11"/>
      <c r="Z193" s="48"/>
      <c r="AA193" s="52"/>
      <c r="AB193" s="52"/>
      <c r="AC193" s="118"/>
      <c r="AD193" s="5"/>
      <c r="AE193" s="52"/>
      <c r="AF193" s="113">
        <v>127000</v>
      </c>
      <c r="AG193" s="113">
        <f t="shared" si="11"/>
        <v>24130</v>
      </c>
      <c r="AH193" s="113">
        <f t="shared" si="12"/>
        <v>151130</v>
      </c>
      <c r="AI193" s="277" t="s">
        <v>628</v>
      </c>
      <c r="AJ193" s="33" t="s">
        <v>1270</v>
      </c>
      <c r="AK193" s="269">
        <v>217740</v>
      </c>
      <c r="AL193" s="269">
        <v>41370.6</v>
      </c>
      <c r="AM193" s="116">
        <v>259110.6</v>
      </c>
      <c r="AN193" s="301" t="s">
        <v>88</v>
      </c>
      <c r="AO193" s="302">
        <v>1058330250</v>
      </c>
      <c r="AP193" s="11"/>
      <c r="AQ193" s="11"/>
      <c r="AR193" s="11"/>
      <c r="AS193" s="11"/>
      <c r="AT193" s="11"/>
      <c r="AU193" s="118">
        <v>350828</v>
      </c>
      <c r="AV193" s="118">
        <v>66657</v>
      </c>
      <c r="AW193" s="118">
        <v>417486</v>
      </c>
      <c r="AX193" s="52" t="s">
        <v>607</v>
      </c>
      <c r="AY193" s="52">
        <v>1058331000</v>
      </c>
      <c r="AZ193" s="11"/>
      <c r="BA193" s="11"/>
      <c r="BB193" s="11"/>
      <c r="BC193" s="11"/>
      <c r="BD193" s="11"/>
      <c r="BE193" s="274">
        <v>97000</v>
      </c>
      <c r="BF193" s="274">
        <v>18430</v>
      </c>
      <c r="BG193" s="274">
        <v>115430</v>
      </c>
      <c r="BH193" s="11" t="s">
        <v>63</v>
      </c>
      <c r="BI193" s="11" t="s">
        <v>1271</v>
      </c>
      <c r="BJ193" s="311"/>
      <c r="BK193" s="311"/>
      <c r="BL193" s="311"/>
      <c r="BM193" s="52"/>
      <c r="BN193" s="52"/>
      <c r="BO193" s="387"/>
      <c r="BP193" s="320"/>
      <c r="BQ193" s="320"/>
      <c r="BR193" s="76"/>
      <c r="BS193" s="4"/>
      <c r="BT193" s="11"/>
      <c r="BU193" s="11"/>
      <c r="BV193" s="11"/>
      <c r="BW193" s="11"/>
      <c r="BX193" s="11"/>
      <c r="BY193" s="348"/>
      <c r="BZ193" s="348"/>
      <c r="CA193" s="348"/>
      <c r="CB193" s="348"/>
      <c r="CC193" s="348"/>
      <c r="CD193" s="11"/>
      <c r="CE193" s="11"/>
      <c r="CF193" s="11"/>
      <c r="CG193" s="11"/>
      <c r="CH193" s="11"/>
      <c r="CI193" s="11"/>
      <c r="CJ193" s="11"/>
      <c r="CK193" s="11"/>
      <c r="CL193" s="11"/>
      <c r="CM193" s="11"/>
      <c r="CN193" s="274"/>
      <c r="CO193" s="274"/>
      <c r="CP193" s="274"/>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8"/>
      <c r="DN193" s="118"/>
      <c r="DO193" s="118"/>
      <c r="DP193" s="52"/>
      <c r="DQ193" s="52"/>
      <c r="DR193" s="77"/>
      <c r="DS193" s="77"/>
      <c r="DT193" s="77"/>
      <c r="DU193" s="11"/>
      <c r="DV193" s="11"/>
      <c r="DW193" s="11"/>
      <c r="DX193" s="11"/>
      <c r="DY193" s="11"/>
      <c r="DZ193" s="11"/>
      <c r="EA193" s="11"/>
      <c r="EB193" s="11"/>
      <c r="EC193" s="11"/>
      <c r="ED193" s="11"/>
      <c r="EE193" s="11"/>
      <c r="EF193" s="11"/>
    </row>
    <row r="194" spans="1:136" ht="40.5" x14ac:dyDescent="0.25">
      <c r="A194" s="425">
        <v>192</v>
      </c>
      <c r="B194" s="427" t="s">
        <v>1272</v>
      </c>
      <c r="C194" s="413" t="s">
        <v>1273</v>
      </c>
      <c r="D194" s="413" t="s">
        <v>132</v>
      </c>
      <c r="E194" s="79">
        <v>1</v>
      </c>
      <c r="F194" s="406">
        <v>330558.91399999999</v>
      </c>
      <c r="G194" s="274">
        <v>650000</v>
      </c>
      <c r="H194" s="274">
        <v>123500</v>
      </c>
      <c r="I194" s="274">
        <v>773500</v>
      </c>
      <c r="J194" s="274" t="s">
        <v>45</v>
      </c>
      <c r="K194" s="11" t="s">
        <v>1274</v>
      </c>
      <c r="L194" s="274"/>
      <c r="M194" s="274"/>
      <c r="N194" s="274"/>
      <c r="O194" s="48"/>
      <c r="P194" s="11"/>
      <c r="Q194" s="274"/>
      <c r="R194" s="274"/>
      <c r="S194" s="274"/>
      <c r="T194" s="11"/>
      <c r="U194" s="11"/>
      <c r="V194" s="11"/>
      <c r="W194" s="11"/>
      <c r="X194" s="11"/>
      <c r="Y194" s="11"/>
      <c r="Z194" s="48"/>
      <c r="AA194" s="52"/>
      <c r="AB194" s="52"/>
      <c r="AC194" s="118"/>
      <c r="AD194" s="5"/>
      <c r="AE194" s="52"/>
      <c r="AF194" s="113">
        <v>221000</v>
      </c>
      <c r="AG194" s="113">
        <f t="shared" si="11"/>
        <v>41990</v>
      </c>
      <c r="AH194" s="113">
        <f t="shared" si="12"/>
        <v>262990</v>
      </c>
      <c r="AI194" s="277" t="s">
        <v>628</v>
      </c>
      <c r="AJ194" s="33" t="s">
        <v>1275</v>
      </c>
      <c r="AK194" s="269">
        <v>69540</v>
      </c>
      <c r="AL194" s="269">
        <v>0</v>
      </c>
      <c r="AM194" s="116">
        <v>69540</v>
      </c>
      <c r="AN194" s="301" t="s">
        <v>88</v>
      </c>
      <c r="AO194" s="302">
        <v>1049360500</v>
      </c>
      <c r="AP194" s="11"/>
      <c r="AQ194" s="11"/>
      <c r="AR194" s="11"/>
      <c r="AS194" s="11"/>
      <c r="AT194" s="11"/>
      <c r="AU194" s="118">
        <v>369675</v>
      </c>
      <c r="AV194" s="118">
        <v>70238</v>
      </c>
      <c r="AW194" s="118">
        <v>439913</v>
      </c>
      <c r="AX194" s="52" t="s">
        <v>607</v>
      </c>
      <c r="AY194" s="52">
        <v>1049330500</v>
      </c>
      <c r="AZ194" s="11"/>
      <c r="BA194" s="11"/>
      <c r="BB194" s="11"/>
      <c r="BC194" s="11"/>
      <c r="BD194" s="11"/>
      <c r="BE194" s="274">
        <v>199000</v>
      </c>
      <c r="BF194" s="274">
        <v>37810</v>
      </c>
      <c r="BG194" s="274">
        <v>236810</v>
      </c>
      <c r="BH194" s="11" t="s">
        <v>63</v>
      </c>
      <c r="BI194" s="11" t="s">
        <v>1276</v>
      </c>
      <c r="BJ194" s="311"/>
      <c r="BK194" s="311"/>
      <c r="BL194" s="311"/>
      <c r="BM194" s="52"/>
      <c r="BN194" s="52"/>
      <c r="BO194" s="387"/>
      <c r="BP194" s="320"/>
      <c r="BQ194" s="320"/>
      <c r="BR194" s="76"/>
      <c r="BS194" s="4"/>
      <c r="BT194" s="11"/>
      <c r="BU194" s="11"/>
      <c r="BV194" s="11"/>
      <c r="BW194" s="11"/>
      <c r="BX194" s="11"/>
      <c r="BY194" s="348"/>
      <c r="BZ194" s="348"/>
      <c r="CA194" s="348"/>
      <c r="CB194" s="348"/>
      <c r="CC194" s="348"/>
      <c r="CD194" s="11"/>
      <c r="CE194" s="11"/>
      <c r="CF194" s="11"/>
      <c r="CG194" s="11"/>
      <c r="CH194" s="11"/>
      <c r="CI194" s="11"/>
      <c r="CJ194" s="11"/>
      <c r="CK194" s="11"/>
      <c r="CL194" s="11"/>
      <c r="CM194" s="11"/>
      <c r="CN194" s="274"/>
      <c r="CO194" s="274"/>
      <c r="CP194" s="274"/>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8">
        <v>91500</v>
      </c>
      <c r="DN194" s="118">
        <f>+DM194*0.19</f>
        <v>17385</v>
      </c>
      <c r="DO194" s="118">
        <f>+DM194+DN194</f>
        <v>108885</v>
      </c>
      <c r="DP194" s="52"/>
      <c r="DQ194" s="52">
        <v>1049360500</v>
      </c>
      <c r="DR194" s="77">
        <v>117000</v>
      </c>
      <c r="DS194" s="77">
        <f>+DR194*0</f>
        <v>0</v>
      </c>
      <c r="DT194" s="77">
        <f>+DR194+DS194</f>
        <v>117000</v>
      </c>
      <c r="DU194" s="11" t="s">
        <v>88</v>
      </c>
      <c r="DV194" s="11">
        <v>1049360500</v>
      </c>
      <c r="DW194" s="11"/>
      <c r="DX194" s="11"/>
      <c r="DY194" s="11"/>
      <c r="DZ194" s="11"/>
      <c r="EA194" s="11"/>
      <c r="EB194" s="11"/>
      <c r="EC194" s="11"/>
      <c r="ED194" s="11"/>
      <c r="EE194" s="11"/>
      <c r="EF194" s="11"/>
    </row>
    <row r="195" spans="1:136" ht="54" x14ac:dyDescent="0.25">
      <c r="A195" s="425">
        <v>193</v>
      </c>
      <c r="B195" s="427" t="s">
        <v>1277</v>
      </c>
      <c r="C195" s="413" t="s">
        <v>1278</v>
      </c>
      <c r="D195" s="413" t="s">
        <v>1279</v>
      </c>
      <c r="E195" s="79">
        <v>1</v>
      </c>
      <c r="F195" s="406">
        <v>74784.241000000009</v>
      </c>
      <c r="G195" s="274">
        <v>106250</v>
      </c>
      <c r="H195" s="274">
        <v>20187.5</v>
      </c>
      <c r="I195" s="274">
        <v>126437.5</v>
      </c>
      <c r="J195" s="274" t="s">
        <v>45</v>
      </c>
      <c r="K195" s="11" t="s">
        <v>1280</v>
      </c>
      <c r="L195" s="274"/>
      <c r="M195" s="274"/>
      <c r="N195" s="274"/>
      <c r="O195" s="48"/>
      <c r="P195" s="11"/>
      <c r="Q195" s="274"/>
      <c r="R195" s="274"/>
      <c r="S195" s="274"/>
      <c r="T195" s="11"/>
      <c r="U195" s="11"/>
      <c r="V195" s="11"/>
      <c r="W195" s="11"/>
      <c r="X195" s="11"/>
      <c r="Y195" s="11"/>
      <c r="Z195" s="48"/>
      <c r="AA195" s="52"/>
      <c r="AB195" s="52"/>
      <c r="AC195" s="118"/>
      <c r="AD195" s="5"/>
      <c r="AE195" s="52"/>
      <c r="AF195" s="113">
        <v>89000</v>
      </c>
      <c r="AG195" s="113">
        <f t="shared" si="11"/>
        <v>16910</v>
      </c>
      <c r="AH195" s="113">
        <f t="shared" si="12"/>
        <v>105910</v>
      </c>
      <c r="AI195" s="277" t="s">
        <v>628</v>
      </c>
      <c r="AJ195" s="33" t="s">
        <v>1281</v>
      </c>
      <c r="AK195" s="269">
        <v>157320</v>
      </c>
      <c r="AL195" s="269">
        <v>29890.799999999999</v>
      </c>
      <c r="AM195" s="116">
        <v>187210.8</v>
      </c>
      <c r="AN195" s="301" t="s">
        <v>88</v>
      </c>
      <c r="AO195" s="302">
        <v>1048170250</v>
      </c>
      <c r="AP195" s="11"/>
      <c r="AQ195" s="11"/>
      <c r="AR195" s="11"/>
      <c r="AS195" s="11"/>
      <c r="AT195" s="11"/>
      <c r="AU195" s="118">
        <v>260222</v>
      </c>
      <c r="AV195" s="118">
        <v>49442</v>
      </c>
      <c r="AW195" s="118">
        <v>309664</v>
      </c>
      <c r="AX195" s="52" t="s">
        <v>607</v>
      </c>
      <c r="AY195" s="52">
        <v>1048180100</v>
      </c>
      <c r="AZ195" s="11"/>
      <c r="BA195" s="11"/>
      <c r="BB195" s="11"/>
      <c r="BC195" s="11"/>
      <c r="BD195" s="11"/>
      <c r="BE195" s="274"/>
      <c r="BF195" s="274"/>
      <c r="BG195" s="274"/>
      <c r="BH195" s="11"/>
      <c r="BI195" s="11"/>
      <c r="BJ195" s="311"/>
      <c r="BK195" s="311"/>
      <c r="BL195" s="311"/>
      <c r="BM195" s="52"/>
      <c r="BN195" s="52"/>
      <c r="BO195" s="387"/>
      <c r="BP195" s="320"/>
      <c r="BQ195" s="320"/>
      <c r="BR195" s="76"/>
      <c r="BS195" s="4"/>
      <c r="BT195" s="11"/>
      <c r="BU195" s="11"/>
      <c r="BV195" s="11"/>
      <c r="BW195" s="11"/>
      <c r="BX195" s="11"/>
      <c r="BY195" s="348"/>
      <c r="BZ195" s="348"/>
      <c r="CA195" s="348"/>
      <c r="CB195" s="348"/>
      <c r="CC195" s="348"/>
      <c r="CD195" s="11"/>
      <c r="CE195" s="11"/>
      <c r="CF195" s="11"/>
      <c r="CG195" s="11"/>
      <c r="CH195" s="11"/>
      <c r="CI195" s="11"/>
      <c r="CJ195" s="11"/>
      <c r="CK195" s="11"/>
      <c r="CL195" s="11"/>
      <c r="CM195" s="11"/>
      <c r="CN195" s="274"/>
      <c r="CO195" s="274"/>
      <c r="CP195" s="274"/>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8"/>
      <c r="DN195" s="118"/>
      <c r="DO195" s="118"/>
      <c r="DP195" s="52"/>
      <c r="DQ195" s="52"/>
      <c r="DR195" s="77"/>
      <c r="DS195" s="77"/>
      <c r="DT195" s="77"/>
      <c r="DU195" s="11"/>
      <c r="DV195" s="11"/>
      <c r="DW195" s="11"/>
      <c r="DX195" s="11"/>
      <c r="DY195" s="11"/>
      <c r="DZ195" s="11"/>
      <c r="EA195" s="11"/>
      <c r="EB195" s="11"/>
      <c r="EC195" s="11"/>
      <c r="ED195" s="11"/>
      <c r="EE195" s="11"/>
      <c r="EF195" s="11"/>
    </row>
    <row r="196" spans="1:136" ht="40.5" x14ac:dyDescent="0.25">
      <c r="A196" s="425">
        <v>194</v>
      </c>
      <c r="B196" s="427" t="s">
        <v>1282</v>
      </c>
      <c r="C196" s="413" t="s">
        <v>1283</v>
      </c>
      <c r="D196" s="413" t="s">
        <v>515</v>
      </c>
      <c r="E196" s="79">
        <v>1</v>
      </c>
      <c r="F196" s="406">
        <v>103063.996</v>
      </c>
      <c r="G196" s="274">
        <v>100000</v>
      </c>
      <c r="H196" s="274">
        <v>19000</v>
      </c>
      <c r="I196" s="274">
        <v>119000</v>
      </c>
      <c r="J196" s="274" t="s">
        <v>45</v>
      </c>
      <c r="K196" s="11">
        <v>1416591211</v>
      </c>
      <c r="L196" s="274"/>
      <c r="M196" s="274"/>
      <c r="N196" s="274"/>
      <c r="O196" s="48"/>
      <c r="P196" s="11"/>
      <c r="Q196" s="274"/>
      <c r="R196" s="274"/>
      <c r="S196" s="274"/>
      <c r="T196" s="11"/>
      <c r="U196" s="11"/>
      <c r="V196" s="11"/>
      <c r="W196" s="11"/>
      <c r="X196" s="11"/>
      <c r="Y196" s="11"/>
      <c r="Z196" s="48"/>
      <c r="AA196" s="52"/>
      <c r="AB196" s="52"/>
      <c r="AC196" s="118"/>
      <c r="AD196" s="5"/>
      <c r="AE196" s="52"/>
      <c r="AF196" s="113">
        <v>78000</v>
      </c>
      <c r="AG196" s="113">
        <v>0</v>
      </c>
      <c r="AH196" s="113">
        <f t="shared" si="12"/>
        <v>78000</v>
      </c>
      <c r="AI196" s="277" t="s">
        <v>628</v>
      </c>
      <c r="AJ196" s="33" t="s">
        <v>1284</v>
      </c>
      <c r="AK196" s="269">
        <v>42200</v>
      </c>
      <c r="AL196" s="269">
        <v>0</v>
      </c>
      <c r="AM196" s="116">
        <v>42200</v>
      </c>
      <c r="AN196" s="301" t="s">
        <v>88</v>
      </c>
      <c r="AO196" s="302">
        <v>1064041000</v>
      </c>
      <c r="AP196" s="274">
        <v>22000</v>
      </c>
      <c r="AQ196" s="274">
        <v>4180</v>
      </c>
      <c r="AR196" s="274">
        <v>26180</v>
      </c>
      <c r="AS196" s="11" t="s">
        <v>1285</v>
      </c>
      <c r="AT196" s="11" t="s">
        <v>1286</v>
      </c>
      <c r="AU196" s="118">
        <v>71760</v>
      </c>
      <c r="AV196" s="118">
        <v>13634</v>
      </c>
      <c r="AW196" s="118">
        <v>85395</v>
      </c>
      <c r="AX196" s="52" t="s">
        <v>607</v>
      </c>
      <c r="AY196" s="52">
        <v>1064041000</v>
      </c>
      <c r="AZ196" s="11"/>
      <c r="BA196" s="11"/>
      <c r="BB196" s="11"/>
      <c r="BC196" s="11"/>
      <c r="BD196" s="11"/>
      <c r="BE196" s="274">
        <v>76000</v>
      </c>
      <c r="BF196" s="274">
        <v>14440</v>
      </c>
      <c r="BG196" s="274">
        <v>90440</v>
      </c>
      <c r="BH196" s="11" t="s">
        <v>63</v>
      </c>
      <c r="BI196" s="11" t="s">
        <v>1287</v>
      </c>
      <c r="BJ196" s="311"/>
      <c r="BK196" s="311"/>
      <c r="BL196" s="311"/>
      <c r="BM196" s="52"/>
      <c r="BN196" s="52"/>
      <c r="BO196" s="387"/>
      <c r="BP196" s="320"/>
      <c r="BQ196" s="320"/>
      <c r="BR196" s="76"/>
      <c r="BS196" s="4"/>
      <c r="BT196" s="11"/>
      <c r="BU196" s="11"/>
      <c r="BV196" s="11"/>
      <c r="BW196" s="11"/>
      <c r="BX196" s="11"/>
      <c r="BY196" s="348"/>
      <c r="BZ196" s="348"/>
      <c r="CA196" s="348"/>
      <c r="CB196" s="348"/>
      <c r="CC196" s="348"/>
      <c r="CD196" s="11"/>
      <c r="CE196" s="11"/>
      <c r="CF196" s="11"/>
      <c r="CG196" s="11"/>
      <c r="CH196" s="11"/>
      <c r="CI196" s="11"/>
      <c r="CJ196" s="11"/>
      <c r="CK196" s="11"/>
      <c r="CL196" s="11"/>
      <c r="CM196" s="11"/>
      <c r="CN196" s="274"/>
      <c r="CO196" s="274"/>
      <c r="CP196" s="274"/>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8"/>
      <c r="DN196" s="118"/>
      <c r="DO196" s="118"/>
      <c r="DP196" s="52"/>
      <c r="DQ196" s="52"/>
      <c r="DR196" s="77"/>
      <c r="DS196" s="77"/>
      <c r="DT196" s="77"/>
      <c r="DU196" s="11"/>
      <c r="DV196" s="11"/>
      <c r="DW196" s="11"/>
      <c r="DX196" s="11"/>
      <c r="DY196" s="11"/>
      <c r="DZ196" s="11"/>
      <c r="EA196" s="11"/>
      <c r="EB196" s="11"/>
      <c r="EC196" s="11"/>
      <c r="ED196" s="11"/>
      <c r="EE196" s="11"/>
      <c r="EF196" s="11"/>
    </row>
    <row r="197" spans="1:136" ht="54" x14ac:dyDescent="0.25">
      <c r="A197" s="425">
        <v>195</v>
      </c>
      <c r="B197" s="427" t="s">
        <v>1288</v>
      </c>
      <c r="C197" s="413" t="s">
        <v>1289</v>
      </c>
      <c r="D197" s="413" t="s">
        <v>1290</v>
      </c>
      <c r="E197" s="79">
        <v>1</v>
      </c>
      <c r="F197" s="406">
        <v>553026.32000000007</v>
      </c>
      <c r="G197" s="274"/>
      <c r="H197" s="274"/>
      <c r="I197" s="274"/>
      <c r="J197" s="274"/>
      <c r="K197" s="11"/>
      <c r="L197" s="274"/>
      <c r="M197" s="274"/>
      <c r="N197" s="274"/>
      <c r="O197" s="48"/>
      <c r="P197" s="11"/>
      <c r="Q197" s="274"/>
      <c r="R197" s="274"/>
      <c r="S197" s="274"/>
      <c r="T197" s="11"/>
      <c r="U197" s="11"/>
      <c r="V197" s="11"/>
      <c r="W197" s="11"/>
      <c r="X197" s="11"/>
      <c r="Y197" s="11"/>
      <c r="Z197" s="48"/>
      <c r="AA197" s="52"/>
      <c r="AB197" s="52"/>
      <c r="AC197" s="118"/>
      <c r="AD197" s="5"/>
      <c r="AE197" s="52"/>
      <c r="AF197" s="113"/>
      <c r="AG197" s="113"/>
      <c r="AH197" s="113"/>
      <c r="AI197" s="52"/>
      <c r="AJ197" s="11"/>
      <c r="AK197" s="269"/>
      <c r="AL197" s="269"/>
      <c r="AM197" s="116"/>
      <c r="AN197" s="301"/>
      <c r="AO197" s="302"/>
      <c r="AP197" s="11"/>
      <c r="AQ197" s="11"/>
      <c r="AR197" s="11"/>
      <c r="AS197" s="11"/>
      <c r="AT197" s="11"/>
      <c r="AU197" s="118">
        <v>580717</v>
      </c>
      <c r="AV197" s="118">
        <v>110336</v>
      </c>
      <c r="AW197" s="118">
        <v>691053</v>
      </c>
      <c r="AX197" s="52" t="s">
        <v>607</v>
      </c>
      <c r="AY197" s="52">
        <v>1133060001</v>
      </c>
      <c r="AZ197" s="11"/>
      <c r="BA197" s="11"/>
      <c r="BB197" s="11"/>
      <c r="BC197" s="11"/>
      <c r="BD197" s="11"/>
      <c r="BE197" s="274"/>
      <c r="BF197" s="274"/>
      <c r="BG197" s="274"/>
      <c r="BH197" s="11"/>
      <c r="BI197" s="11"/>
      <c r="BJ197" s="311"/>
      <c r="BK197" s="311"/>
      <c r="BL197" s="311"/>
      <c r="BM197" s="52"/>
      <c r="BN197" s="52"/>
      <c r="BO197" s="387"/>
      <c r="BP197" s="320"/>
      <c r="BQ197" s="320"/>
      <c r="BR197" s="76"/>
      <c r="BS197" s="4"/>
      <c r="BT197" s="11"/>
      <c r="BU197" s="11"/>
      <c r="BV197" s="11"/>
      <c r="BW197" s="11"/>
      <c r="BX197" s="11"/>
      <c r="BY197" s="232">
        <v>2100000</v>
      </c>
      <c r="BZ197" s="232">
        <f>BY197*0.19</f>
        <v>399000</v>
      </c>
      <c r="CA197" s="232">
        <f>BY197+BZ197</f>
        <v>2499000</v>
      </c>
      <c r="CB197" s="348" t="s">
        <v>772</v>
      </c>
      <c r="CC197" s="348">
        <v>88030</v>
      </c>
      <c r="CD197" s="11"/>
      <c r="CE197" s="11"/>
      <c r="CF197" s="11"/>
      <c r="CG197" s="11"/>
      <c r="CH197" s="11"/>
      <c r="CI197" s="11"/>
      <c r="CJ197" s="11"/>
      <c r="CK197" s="11"/>
      <c r="CL197" s="11"/>
      <c r="CM197" s="11"/>
      <c r="CN197" s="274"/>
      <c r="CO197" s="274"/>
      <c r="CP197" s="274"/>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8"/>
      <c r="DN197" s="118"/>
      <c r="DO197" s="118"/>
      <c r="DP197" s="52"/>
      <c r="DQ197" s="52"/>
      <c r="DR197" s="77"/>
      <c r="DS197" s="77"/>
      <c r="DT197" s="77"/>
      <c r="DU197" s="11"/>
      <c r="DV197" s="11"/>
      <c r="DW197" s="11"/>
      <c r="DX197" s="11"/>
      <c r="DY197" s="11"/>
      <c r="DZ197" s="11"/>
      <c r="EA197" s="11"/>
      <c r="EB197" s="11"/>
      <c r="EC197" s="11"/>
      <c r="ED197" s="11"/>
      <c r="EE197" s="11"/>
      <c r="EF197" s="11"/>
    </row>
    <row r="198" spans="1:136" ht="135" x14ac:dyDescent="0.25">
      <c r="A198" s="425">
        <v>196</v>
      </c>
      <c r="B198" s="427" t="s">
        <v>1291</v>
      </c>
      <c r="C198" s="427" t="s">
        <v>1292</v>
      </c>
      <c r="D198" s="427" t="s">
        <v>1293</v>
      </c>
      <c r="E198" s="79">
        <v>1</v>
      </c>
      <c r="F198" s="406">
        <v>118146.53200000001</v>
      </c>
      <c r="G198" s="274"/>
      <c r="H198" s="274"/>
      <c r="I198" s="274"/>
      <c r="J198" s="274"/>
      <c r="K198" s="11"/>
      <c r="L198" s="274"/>
      <c r="M198" s="274"/>
      <c r="N198" s="274"/>
      <c r="O198" s="48"/>
      <c r="P198" s="11"/>
      <c r="Q198" s="274"/>
      <c r="R198" s="274"/>
      <c r="S198" s="274"/>
      <c r="T198" s="11"/>
      <c r="U198" s="11"/>
      <c r="V198" s="11"/>
      <c r="W198" s="11"/>
      <c r="X198" s="11"/>
      <c r="Y198" s="11"/>
      <c r="Z198" s="48"/>
      <c r="AA198" s="52"/>
      <c r="AB198" s="52"/>
      <c r="AC198" s="118"/>
      <c r="AD198" s="5"/>
      <c r="AE198" s="52"/>
      <c r="AF198" s="113">
        <v>186000</v>
      </c>
      <c r="AG198" s="113">
        <f>AF198*0.19</f>
        <v>35340</v>
      </c>
      <c r="AH198" s="113">
        <f>AF198+AG198</f>
        <v>221340</v>
      </c>
      <c r="AI198" s="52" t="s">
        <v>770</v>
      </c>
      <c r="AJ198" s="11" t="s">
        <v>1294</v>
      </c>
      <c r="AK198" s="269"/>
      <c r="AL198" s="269"/>
      <c r="AM198" s="116"/>
      <c r="AN198" s="301"/>
      <c r="AO198" s="302"/>
      <c r="AP198" s="11"/>
      <c r="AQ198" s="11"/>
      <c r="AR198" s="11"/>
      <c r="AS198" s="11"/>
      <c r="AT198" s="11"/>
      <c r="AU198" s="118"/>
      <c r="AV198" s="118"/>
      <c r="AW198" s="118"/>
      <c r="AX198" s="52"/>
      <c r="AY198" s="52"/>
      <c r="AZ198" s="11"/>
      <c r="BA198" s="11"/>
      <c r="BB198" s="11"/>
      <c r="BC198" s="11"/>
      <c r="BD198" s="11"/>
      <c r="BE198" s="274">
        <v>90000</v>
      </c>
      <c r="BF198" s="274">
        <v>17100</v>
      </c>
      <c r="BG198" s="274">
        <v>107100</v>
      </c>
      <c r="BH198" s="11" t="s">
        <v>48</v>
      </c>
      <c r="BI198" s="11" t="s">
        <v>1295</v>
      </c>
      <c r="BJ198" s="311"/>
      <c r="BK198" s="311"/>
      <c r="BL198" s="311"/>
      <c r="BM198" s="52"/>
      <c r="BN198" s="52"/>
      <c r="BO198" s="387"/>
      <c r="BP198" s="320"/>
      <c r="BQ198" s="320"/>
      <c r="BR198" s="76"/>
      <c r="BS198" s="4"/>
      <c r="BT198" s="11"/>
      <c r="BU198" s="11"/>
      <c r="BV198" s="11"/>
      <c r="BW198" s="11"/>
      <c r="BX198" s="11"/>
      <c r="BY198" s="348"/>
      <c r="BZ198" s="232"/>
      <c r="CA198" s="232"/>
      <c r="CB198" s="348"/>
      <c r="CC198" s="348"/>
      <c r="CD198" s="11"/>
      <c r="CE198" s="11"/>
      <c r="CF198" s="11"/>
      <c r="CG198" s="11"/>
      <c r="CH198" s="11"/>
      <c r="CI198" s="11"/>
      <c r="CJ198" s="11"/>
      <c r="CK198" s="11"/>
      <c r="CL198" s="11"/>
      <c r="CM198" s="11"/>
      <c r="CN198" s="274"/>
      <c r="CO198" s="274"/>
      <c r="CP198" s="274"/>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8"/>
      <c r="DN198" s="118"/>
      <c r="DO198" s="118"/>
      <c r="DP198" s="52"/>
      <c r="DQ198" s="52"/>
      <c r="DR198" s="77"/>
      <c r="DS198" s="77"/>
      <c r="DT198" s="77"/>
      <c r="DU198" s="11"/>
      <c r="DV198" s="11"/>
      <c r="DW198" s="11"/>
      <c r="DX198" s="11"/>
      <c r="DY198" s="11"/>
      <c r="DZ198" s="11"/>
      <c r="EA198" s="11"/>
      <c r="EB198" s="11"/>
      <c r="EC198" s="11"/>
      <c r="ED198" s="11"/>
      <c r="EE198" s="11"/>
      <c r="EF198" s="11"/>
    </row>
    <row r="199" spans="1:136" ht="12.75" customHeight="1" x14ac:dyDescent="0.25">
      <c r="A199" s="425">
        <v>197</v>
      </c>
      <c r="B199" s="427" t="s">
        <v>1296</v>
      </c>
      <c r="C199" s="427" t="s">
        <v>622</v>
      </c>
      <c r="D199" s="427" t="s">
        <v>1297</v>
      </c>
      <c r="E199" s="79">
        <v>1</v>
      </c>
      <c r="F199" s="406">
        <v>960254.79200000002</v>
      </c>
      <c r="G199" s="274"/>
      <c r="H199" s="274"/>
      <c r="I199" s="274"/>
      <c r="J199" s="274"/>
      <c r="K199" s="11"/>
      <c r="L199" s="274"/>
      <c r="M199" s="274"/>
      <c r="N199" s="274"/>
      <c r="O199" s="48"/>
      <c r="P199" s="11"/>
      <c r="Q199" s="274"/>
      <c r="R199" s="274"/>
      <c r="S199" s="274"/>
      <c r="T199" s="11"/>
      <c r="U199" s="11"/>
      <c r="V199" s="11"/>
      <c r="W199" s="11"/>
      <c r="X199" s="11"/>
      <c r="Y199" s="11"/>
      <c r="Z199" s="48"/>
      <c r="AA199" s="52"/>
      <c r="AB199" s="52"/>
      <c r="AC199" s="118"/>
      <c r="AD199" s="5"/>
      <c r="AE199" s="52"/>
      <c r="AF199" s="113"/>
      <c r="AG199" s="113"/>
      <c r="AH199" s="113"/>
      <c r="AI199" s="52"/>
      <c r="AJ199" s="11"/>
      <c r="AK199" s="269"/>
      <c r="AL199" s="269"/>
      <c r="AM199" s="116"/>
      <c r="AN199" s="301"/>
      <c r="AO199" s="302"/>
      <c r="AP199" s="11"/>
      <c r="AQ199" s="11"/>
      <c r="AR199" s="11"/>
      <c r="AS199" s="11"/>
      <c r="AT199" s="11"/>
      <c r="AU199" s="118"/>
      <c r="AV199" s="118"/>
      <c r="AW199" s="118"/>
      <c r="AX199" s="52"/>
      <c r="AY199" s="52"/>
      <c r="AZ199" s="11"/>
      <c r="BA199" s="11"/>
      <c r="BB199" s="11"/>
      <c r="BC199" s="11"/>
      <c r="BD199" s="11"/>
      <c r="BE199" s="274"/>
      <c r="BF199" s="274"/>
      <c r="BG199" s="274"/>
      <c r="BH199" s="11"/>
      <c r="BI199" s="11"/>
      <c r="BJ199" s="311"/>
      <c r="BK199" s="311"/>
      <c r="BL199" s="311"/>
      <c r="BM199" s="52"/>
      <c r="BN199" s="52"/>
      <c r="BO199" s="387"/>
      <c r="BP199" s="320"/>
      <c r="BQ199" s="320"/>
      <c r="BR199" s="76"/>
      <c r="BS199" s="4"/>
      <c r="BT199" s="11"/>
      <c r="BU199" s="11"/>
      <c r="BV199" s="11"/>
      <c r="BW199" s="11"/>
      <c r="BX199" s="11"/>
      <c r="BY199" s="348"/>
      <c r="BZ199" s="232"/>
      <c r="CA199" s="232"/>
      <c r="CB199" s="348"/>
      <c r="CC199" s="348"/>
      <c r="CD199" s="11"/>
      <c r="CE199" s="11"/>
      <c r="CF199" s="11"/>
      <c r="CG199" s="11"/>
      <c r="CH199" s="11"/>
      <c r="CI199" s="11"/>
      <c r="CJ199" s="11"/>
      <c r="CK199" s="11"/>
      <c r="CL199" s="11"/>
      <c r="CM199" s="11"/>
      <c r="CN199" s="274"/>
      <c r="CO199" s="274"/>
      <c r="CP199" s="274"/>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8"/>
      <c r="DN199" s="118"/>
      <c r="DO199" s="118"/>
      <c r="DP199" s="52"/>
      <c r="DQ199" s="52"/>
      <c r="DR199" s="77"/>
      <c r="DS199" s="77"/>
      <c r="DT199" s="77"/>
      <c r="DU199" s="11"/>
      <c r="DV199" s="11"/>
      <c r="DW199" s="11"/>
      <c r="DX199" s="11"/>
      <c r="DY199" s="11"/>
      <c r="DZ199" s="11"/>
      <c r="EA199" s="11"/>
      <c r="EB199" s="11"/>
      <c r="EC199" s="11"/>
      <c r="ED199" s="11"/>
      <c r="EE199" s="11"/>
      <c r="EF199" s="11"/>
    </row>
    <row r="200" spans="1:136" ht="13.5" x14ac:dyDescent="0.25">
      <c r="A200" s="425">
        <v>198</v>
      </c>
      <c r="B200" s="427" t="s">
        <v>1298</v>
      </c>
      <c r="C200" s="427" t="s">
        <v>1292</v>
      </c>
      <c r="D200" s="427" t="s">
        <v>49</v>
      </c>
      <c r="E200" s="79">
        <v>1</v>
      </c>
      <c r="F200" s="406">
        <v>105577.75200000001</v>
      </c>
      <c r="G200" s="274"/>
      <c r="H200" s="274"/>
      <c r="I200" s="274"/>
      <c r="J200" s="274"/>
      <c r="K200" s="11"/>
      <c r="L200" s="274"/>
      <c r="M200" s="274"/>
      <c r="N200" s="274"/>
      <c r="O200" s="48"/>
      <c r="P200" s="11"/>
      <c r="Q200" s="274"/>
      <c r="R200" s="274"/>
      <c r="S200" s="274"/>
      <c r="T200" s="11"/>
      <c r="U200" s="11"/>
      <c r="V200" s="11"/>
      <c r="W200" s="11"/>
      <c r="X200" s="11"/>
      <c r="Y200" s="11"/>
      <c r="Z200" s="48"/>
      <c r="AA200" s="52"/>
      <c r="AB200" s="52"/>
      <c r="AC200" s="118"/>
      <c r="AD200" s="5"/>
      <c r="AE200" s="52"/>
      <c r="AF200" s="113"/>
      <c r="AG200" s="113"/>
      <c r="AH200" s="113"/>
      <c r="AI200" s="52"/>
      <c r="AJ200" s="11"/>
      <c r="AK200" s="269"/>
      <c r="AL200" s="269"/>
      <c r="AM200" s="116"/>
      <c r="AN200" s="301"/>
      <c r="AO200" s="302"/>
      <c r="AP200" s="11"/>
      <c r="AQ200" s="11"/>
      <c r="AR200" s="11"/>
      <c r="AS200" s="11"/>
      <c r="AT200" s="11"/>
      <c r="AU200" s="118"/>
      <c r="AV200" s="118"/>
      <c r="AW200" s="118"/>
      <c r="AX200" s="52"/>
      <c r="AY200" s="52"/>
      <c r="AZ200" s="11"/>
      <c r="BA200" s="11"/>
      <c r="BB200" s="11"/>
      <c r="BC200" s="11"/>
      <c r="BD200" s="11"/>
      <c r="BE200" s="274">
        <v>54000</v>
      </c>
      <c r="BF200" s="274">
        <v>10260</v>
      </c>
      <c r="BG200" s="274">
        <v>64260</v>
      </c>
      <c r="BH200" s="11" t="s">
        <v>48</v>
      </c>
      <c r="BI200" s="11" t="s">
        <v>1299</v>
      </c>
      <c r="BJ200" s="311"/>
      <c r="BK200" s="311"/>
      <c r="BL200" s="311"/>
      <c r="BM200" s="52"/>
      <c r="BN200" s="52"/>
      <c r="BO200" s="387"/>
      <c r="BP200" s="320"/>
      <c r="BQ200" s="320"/>
      <c r="BR200" s="76"/>
      <c r="BS200" s="4"/>
      <c r="BT200" s="11"/>
      <c r="BU200" s="11"/>
      <c r="BV200" s="11"/>
      <c r="BW200" s="11"/>
      <c r="BX200" s="11"/>
      <c r="BY200" s="348"/>
      <c r="BZ200" s="232"/>
      <c r="CA200" s="232"/>
      <c r="CB200" s="348"/>
      <c r="CC200" s="348"/>
      <c r="CD200" s="11"/>
      <c r="CE200" s="11"/>
      <c r="CF200" s="11"/>
      <c r="CG200" s="11"/>
      <c r="CH200" s="11"/>
      <c r="CI200" s="11"/>
      <c r="CJ200" s="11"/>
      <c r="CK200" s="11"/>
      <c r="CL200" s="11"/>
      <c r="CM200" s="11"/>
      <c r="CN200" s="274"/>
      <c r="CO200" s="274"/>
      <c r="CP200" s="274"/>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8"/>
      <c r="DN200" s="118"/>
      <c r="DO200" s="118"/>
      <c r="DP200" s="52"/>
      <c r="DQ200" s="52"/>
      <c r="DR200" s="77"/>
      <c r="DS200" s="77"/>
      <c r="DT200" s="77"/>
      <c r="DU200" s="11"/>
      <c r="DV200" s="11"/>
      <c r="DW200" s="11"/>
      <c r="DX200" s="11"/>
      <c r="DY200" s="11"/>
      <c r="DZ200" s="11"/>
      <c r="EA200" s="11"/>
      <c r="EB200" s="11"/>
      <c r="EC200" s="11"/>
      <c r="ED200" s="11"/>
      <c r="EE200" s="11"/>
      <c r="EF200" s="11"/>
    </row>
    <row r="201" spans="1:136" ht="25.5" customHeight="1" x14ac:dyDescent="0.25">
      <c r="A201" s="425">
        <v>199</v>
      </c>
      <c r="B201" s="427" t="s">
        <v>1300</v>
      </c>
      <c r="C201" s="427" t="s">
        <v>1301</v>
      </c>
      <c r="D201" s="427" t="s">
        <v>1302</v>
      </c>
      <c r="E201" s="79">
        <v>1</v>
      </c>
      <c r="F201" s="406">
        <v>1204089.1240000001</v>
      </c>
      <c r="G201" s="274"/>
      <c r="H201" s="274"/>
      <c r="I201" s="274"/>
      <c r="J201" s="274"/>
      <c r="K201" s="11"/>
      <c r="L201" s="274"/>
      <c r="M201" s="274"/>
      <c r="N201" s="274"/>
      <c r="O201" s="48"/>
      <c r="P201" s="11"/>
      <c r="Q201" s="274"/>
      <c r="R201" s="274"/>
      <c r="S201" s="274"/>
      <c r="T201" s="11"/>
      <c r="U201" s="11"/>
      <c r="V201" s="11"/>
      <c r="W201" s="11"/>
      <c r="X201" s="11"/>
      <c r="Y201" s="11"/>
      <c r="Z201" s="48"/>
      <c r="AA201" s="52"/>
      <c r="AB201" s="52"/>
      <c r="AC201" s="118"/>
      <c r="AD201" s="5"/>
      <c r="AE201" s="52"/>
      <c r="AF201" s="113"/>
      <c r="AG201" s="113"/>
      <c r="AH201" s="113"/>
      <c r="AI201" s="52"/>
      <c r="AJ201" s="11"/>
      <c r="AK201" s="269">
        <v>883200</v>
      </c>
      <c r="AL201" s="269">
        <v>0</v>
      </c>
      <c r="AM201" s="116">
        <v>883200</v>
      </c>
      <c r="AN201" s="301" t="s">
        <v>37</v>
      </c>
      <c r="AO201" s="302" t="s">
        <v>1303</v>
      </c>
      <c r="AP201" s="11"/>
      <c r="AQ201" s="11"/>
      <c r="AR201" s="11"/>
      <c r="AS201" s="11"/>
      <c r="AT201" s="11"/>
      <c r="AU201" s="118">
        <v>997403</v>
      </c>
      <c r="AV201" s="118">
        <v>189506</v>
      </c>
      <c r="AW201" s="118">
        <v>1186909</v>
      </c>
      <c r="AX201" s="52" t="s">
        <v>607</v>
      </c>
      <c r="AY201" s="52" t="s">
        <v>1303</v>
      </c>
      <c r="AZ201" s="11"/>
      <c r="BA201" s="11"/>
      <c r="BB201" s="11"/>
      <c r="BC201" s="11"/>
      <c r="BD201" s="11"/>
      <c r="BE201" s="274"/>
      <c r="BF201" s="274"/>
      <c r="BG201" s="274"/>
      <c r="BH201" s="11"/>
      <c r="BI201" s="11"/>
      <c r="BJ201" s="311"/>
      <c r="BK201" s="311"/>
      <c r="BL201" s="311"/>
      <c r="BM201" s="52"/>
      <c r="BN201" s="52"/>
      <c r="BO201" s="387"/>
      <c r="BP201" s="320"/>
      <c r="BQ201" s="320"/>
      <c r="BR201" s="76"/>
      <c r="BS201" s="4"/>
      <c r="BT201" s="11"/>
      <c r="BU201" s="11"/>
      <c r="BV201" s="11"/>
      <c r="BW201" s="11"/>
      <c r="BX201" s="11"/>
      <c r="BY201" s="348"/>
      <c r="BZ201" s="348"/>
      <c r="CA201" s="348"/>
      <c r="CB201" s="348"/>
      <c r="CC201" s="348"/>
      <c r="CD201" s="11"/>
      <c r="CE201" s="11"/>
      <c r="CF201" s="11"/>
      <c r="CG201" s="11"/>
      <c r="CH201" s="11"/>
      <c r="CI201" s="11"/>
      <c r="CJ201" s="11"/>
      <c r="CK201" s="11"/>
      <c r="CL201" s="11"/>
      <c r="CM201" s="11"/>
      <c r="CN201" s="274"/>
      <c r="CO201" s="274"/>
      <c r="CP201" s="274"/>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8"/>
      <c r="DN201" s="118"/>
      <c r="DO201" s="118"/>
      <c r="DP201" s="52"/>
      <c r="DQ201" s="52"/>
      <c r="DR201" s="77"/>
      <c r="DS201" s="77"/>
      <c r="DT201" s="77"/>
      <c r="DU201" s="11"/>
      <c r="DV201" s="11"/>
      <c r="DW201" s="11"/>
      <c r="DX201" s="11"/>
      <c r="DY201" s="11"/>
      <c r="DZ201" s="11"/>
      <c r="EA201" s="11"/>
      <c r="EB201" s="11"/>
      <c r="EC201" s="11"/>
      <c r="ED201" s="11"/>
      <c r="EE201" s="11"/>
      <c r="EF201" s="11"/>
    </row>
    <row r="202" spans="1:136" ht="27" x14ac:dyDescent="0.25">
      <c r="A202" s="425">
        <v>200</v>
      </c>
      <c r="B202" s="427" t="s">
        <v>1304</v>
      </c>
      <c r="C202" s="427" t="s">
        <v>1305</v>
      </c>
      <c r="D202" s="427" t="s">
        <v>1306</v>
      </c>
      <c r="E202" s="79">
        <v>1</v>
      </c>
      <c r="F202" s="405">
        <v>1742738.4495999999</v>
      </c>
      <c r="G202" s="274"/>
      <c r="H202" s="274"/>
      <c r="I202" s="274"/>
      <c r="J202" s="274"/>
      <c r="K202" s="11"/>
      <c r="L202" s="274"/>
      <c r="M202" s="274"/>
      <c r="N202" s="274"/>
      <c r="O202" s="48"/>
      <c r="P202" s="11"/>
      <c r="Q202" s="274"/>
      <c r="R202" s="274"/>
      <c r="S202" s="274"/>
      <c r="T202" s="11"/>
      <c r="U202" s="11"/>
      <c r="V202" s="11"/>
      <c r="W202" s="11"/>
      <c r="X202" s="11"/>
      <c r="Y202" s="11"/>
      <c r="Z202" s="48"/>
      <c r="AA202" s="52"/>
      <c r="AB202" s="52"/>
      <c r="AC202" s="118"/>
      <c r="AD202" s="5"/>
      <c r="AE202" s="52"/>
      <c r="AF202" s="113"/>
      <c r="AG202" s="113"/>
      <c r="AH202" s="113"/>
      <c r="AI202" s="52"/>
      <c r="AJ202" s="11"/>
      <c r="AK202" s="269"/>
      <c r="AL202" s="269"/>
      <c r="AM202" s="116"/>
      <c r="AN202" s="301"/>
      <c r="AO202" s="302"/>
      <c r="AP202" s="11"/>
      <c r="AQ202" s="11"/>
      <c r="AR202" s="11"/>
      <c r="AS202" s="11"/>
      <c r="AT202" s="11"/>
      <c r="AU202" s="118"/>
      <c r="AV202" s="118"/>
      <c r="AW202" s="118"/>
      <c r="AX202" s="52"/>
      <c r="AY202" s="52"/>
      <c r="AZ202" s="11"/>
      <c r="BA202" s="11"/>
      <c r="BB202" s="11"/>
      <c r="BC202" s="11"/>
      <c r="BD202" s="11"/>
      <c r="BE202" s="274"/>
      <c r="BF202" s="274"/>
      <c r="BG202" s="274"/>
      <c r="BH202" s="11"/>
      <c r="BI202" s="11"/>
      <c r="BJ202" s="311"/>
      <c r="BK202" s="311"/>
      <c r="BL202" s="311"/>
      <c r="BM202" s="52"/>
      <c r="BN202" s="52"/>
      <c r="BO202" s="387"/>
      <c r="BP202" s="320"/>
      <c r="BQ202" s="320"/>
      <c r="BR202" s="76"/>
      <c r="BS202" s="4"/>
      <c r="BT202" s="11"/>
      <c r="BU202" s="11"/>
      <c r="BV202" s="11"/>
      <c r="BW202" s="11"/>
      <c r="BX202" s="11"/>
      <c r="BY202" s="348"/>
      <c r="BZ202" s="348"/>
      <c r="CA202" s="348"/>
      <c r="CB202" s="348"/>
      <c r="CC202" s="348"/>
      <c r="CD202" s="11"/>
      <c r="CE202" s="11"/>
      <c r="CF202" s="11"/>
      <c r="CG202" s="11"/>
      <c r="CH202" s="11"/>
      <c r="CI202" s="11"/>
      <c r="CJ202" s="11"/>
      <c r="CK202" s="11"/>
      <c r="CL202" s="11"/>
      <c r="CM202" s="11"/>
      <c r="CN202" s="274"/>
      <c r="CO202" s="274"/>
      <c r="CP202" s="274"/>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8"/>
      <c r="DN202" s="118"/>
      <c r="DO202" s="118"/>
      <c r="DP202" s="52"/>
      <c r="DQ202" s="52"/>
      <c r="DR202" s="77"/>
      <c r="DS202" s="77"/>
      <c r="DT202" s="77"/>
      <c r="DU202" s="11"/>
      <c r="DV202" s="11"/>
      <c r="DW202" s="11"/>
      <c r="DX202" s="11"/>
      <c r="DY202" s="11"/>
      <c r="DZ202" s="11"/>
      <c r="EA202" s="11"/>
      <c r="EB202" s="11"/>
      <c r="EC202" s="11"/>
      <c r="ED202" s="11"/>
      <c r="EE202" s="11"/>
      <c r="EF202" s="11"/>
    </row>
    <row r="203" spans="1:136" ht="25.5" customHeight="1" x14ac:dyDescent="0.25">
      <c r="A203" s="425">
        <v>201</v>
      </c>
      <c r="B203" s="427" t="s">
        <v>2858</v>
      </c>
      <c r="C203" s="427" t="s">
        <v>1307</v>
      </c>
      <c r="D203" s="427" t="s">
        <v>1308</v>
      </c>
      <c r="E203" s="79">
        <v>1</v>
      </c>
      <c r="F203" s="405">
        <v>601766.78139999998</v>
      </c>
      <c r="G203" s="274"/>
      <c r="H203" s="274"/>
      <c r="I203" s="274"/>
      <c r="J203" s="274"/>
      <c r="K203" s="11"/>
      <c r="L203" s="274"/>
      <c r="M203" s="274"/>
      <c r="N203" s="274"/>
      <c r="O203" s="48"/>
      <c r="P203" s="11"/>
      <c r="Q203" s="274"/>
      <c r="R203" s="274"/>
      <c r="S203" s="274"/>
      <c r="T203" s="11"/>
      <c r="U203" s="11"/>
      <c r="V203" s="11"/>
      <c r="W203" s="11"/>
      <c r="X203" s="11"/>
      <c r="Y203" s="11"/>
      <c r="Z203" s="48"/>
      <c r="AA203" s="52"/>
      <c r="AB203" s="52"/>
      <c r="AC203" s="118"/>
      <c r="AD203" s="5"/>
      <c r="AE203" s="52"/>
      <c r="AF203" s="113"/>
      <c r="AG203" s="113"/>
      <c r="AH203" s="113"/>
      <c r="AI203" s="52"/>
      <c r="AJ203" s="11"/>
      <c r="AK203" s="269"/>
      <c r="AL203" s="269"/>
      <c r="AM203" s="116"/>
      <c r="AN203" s="301"/>
      <c r="AO203" s="302"/>
      <c r="AP203" s="11"/>
      <c r="AQ203" s="11"/>
      <c r="AR203" s="11"/>
      <c r="AS203" s="11"/>
      <c r="AT203" s="11"/>
      <c r="AU203" s="118"/>
      <c r="AV203" s="118"/>
      <c r="AW203" s="118"/>
      <c r="AX203" s="52"/>
      <c r="AY203" s="52"/>
      <c r="AZ203" s="11"/>
      <c r="BA203" s="11"/>
      <c r="BB203" s="11"/>
      <c r="BC203" s="11"/>
      <c r="BD203" s="11"/>
      <c r="BE203" s="274"/>
      <c r="BF203" s="274"/>
      <c r="BG203" s="274"/>
      <c r="BH203" s="11"/>
      <c r="BI203" s="11"/>
      <c r="BJ203" s="311"/>
      <c r="BK203" s="311"/>
      <c r="BL203" s="311"/>
      <c r="BM203" s="52"/>
      <c r="BN203" s="52"/>
      <c r="BO203" s="387"/>
      <c r="BP203" s="320"/>
      <c r="BQ203" s="320"/>
      <c r="BR203" s="76"/>
      <c r="BS203" s="4"/>
      <c r="BT203" s="11"/>
      <c r="BU203" s="11"/>
      <c r="BV203" s="11"/>
      <c r="BW203" s="11"/>
      <c r="BX203" s="11"/>
      <c r="BY203" s="348"/>
      <c r="BZ203" s="348"/>
      <c r="CA203" s="348"/>
      <c r="CB203" s="348"/>
      <c r="CC203" s="348"/>
      <c r="CD203" s="11"/>
      <c r="CE203" s="11"/>
      <c r="CF203" s="11"/>
      <c r="CG203" s="11"/>
      <c r="CH203" s="11"/>
      <c r="CI203" s="11"/>
      <c r="CJ203" s="11"/>
      <c r="CK203" s="11"/>
      <c r="CL203" s="11"/>
      <c r="CM203" s="11"/>
      <c r="CN203" s="274"/>
      <c r="CO203" s="274"/>
      <c r="CP203" s="274"/>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8"/>
      <c r="DN203" s="118"/>
      <c r="DO203" s="118"/>
      <c r="DP203" s="52"/>
      <c r="DQ203" s="52"/>
      <c r="DR203" s="77"/>
      <c r="DS203" s="77"/>
      <c r="DT203" s="77"/>
      <c r="DU203" s="11"/>
      <c r="DV203" s="11"/>
      <c r="DW203" s="11"/>
      <c r="DX203" s="11"/>
      <c r="DY203" s="11"/>
      <c r="DZ203" s="11"/>
      <c r="EA203" s="11"/>
      <c r="EB203" s="11"/>
      <c r="EC203" s="11"/>
      <c r="ED203" s="11"/>
      <c r="EE203" s="11"/>
      <c r="EF203" s="11"/>
    </row>
    <row r="204" spans="1:136" ht="13.5" x14ac:dyDescent="0.25">
      <c r="A204" s="425">
        <v>202</v>
      </c>
      <c r="B204" s="427" t="s">
        <v>1309</v>
      </c>
      <c r="C204" s="427" t="s">
        <v>622</v>
      </c>
      <c r="D204" s="427" t="s">
        <v>1297</v>
      </c>
      <c r="E204" s="79">
        <v>1</v>
      </c>
      <c r="F204" s="406">
        <v>213669.26</v>
      </c>
      <c r="G204" s="274"/>
      <c r="H204" s="274"/>
      <c r="I204" s="274"/>
      <c r="J204" s="274"/>
      <c r="K204" s="11"/>
      <c r="L204" s="274"/>
      <c r="M204" s="274"/>
      <c r="N204" s="274"/>
      <c r="O204" s="48"/>
      <c r="P204" s="11"/>
      <c r="Q204" s="274"/>
      <c r="R204" s="274"/>
      <c r="S204" s="274"/>
      <c r="T204" s="11"/>
      <c r="U204" s="11"/>
      <c r="V204" s="11"/>
      <c r="W204" s="11"/>
      <c r="X204" s="11"/>
      <c r="Y204" s="11"/>
      <c r="Z204" s="48"/>
      <c r="AA204" s="52"/>
      <c r="AB204" s="52"/>
      <c r="AC204" s="118"/>
      <c r="AD204" s="5"/>
      <c r="AE204" s="52"/>
      <c r="AF204" s="113">
        <v>112000</v>
      </c>
      <c r="AG204" s="113">
        <f>AF204*0.19</f>
        <v>21280</v>
      </c>
      <c r="AH204" s="113">
        <f>AF204+AG204</f>
        <v>133280</v>
      </c>
      <c r="AI204" s="52" t="s">
        <v>628</v>
      </c>
      <c r="AJ204" s="11" t="s">
        <v>1310</v>
      </c>
      <c r="AK204" s="269">
        <v>119700</v>
      </c>
      <c r="AL204" s="269">
        <v>22743</v>
      </c>
      <c r="AM204" s="116">
        <v>142443</v>
      </c>
      <c r="AN204" s="301" t="s">
        <v>88</v>
      </c>
      <c r="AO204" s="302">
        <v>1014080025</v>
      </c>
      <c r="AP204" s="11"/>
      <c r="AQ204" s="11"/>
      <c r="AR204" s="11"/>
      <c r="AS204" s="11"/>
      <c r="AT204" s="11"/>
      <c r="AU204" s="118"/>
      <c r="AV204" s="118"/>
      <c r="AW204" s="118"/>
      <c r="AX204" s="52"/>
      <c r="AY204" s="52"/>
      <c r="AZ204" s="11"/>
      <c r="BA204" s="11"/>
      <c r="BB204" s="11"/>
      <c r="BC204" s="11"/>
      <c r="BD204" s="11"/>
      <c r="BE204" s="274">
        <v>938000</v>
      </c>
      <c r="BF204" s="274">
        <v>178220</v>
      </c>
      <c r="BG204" s="274">
        <v>1116220</v>
      </c>
      <c r="BH204" s="11" t="s">
        <v>338</v>
      </c>
      <c r="BI204" s="11" t="s">
        <v>1311</v>
      </c>
      <c r="BJ204" s="311"/>
      <c r="BK204" s="311"/>
      <c r="BL204" s="311"/>
      <c r="BM204" s="52"/>
      <c r="BN204" s="52"/>
      <c r="BO204" s="387"/>
      <c r="BP204" s="320"/>
      <c r="BQ204" s="320"/>
      <c r="BR204" s="76"/>
      <c r="BS204" s="4"/>
      <c r="BT204" s="11"/>
      <c r="BU204" s="11"/>
      <c r="BV204" s="11"/>
      <c r="BW204" s="11"/>
      <c r="BX204" s="11"/>
      <c r="BY204" s="232"/>
      <c r="BZ204" s="232"/>
      <c r="CA204" s="232"/>
      <c r="CB204" s="348"/>
      <c r="CC204" s="348"/>
      <c r="CD204" s="11"/>
      <c r="CE204" s="11"/>
      <c r="CF204" s="11"/>
      <c r="CG204" s="11"/>
      <c r="CH204" s="11"/>
      <c r="CI204" s="11"/>
      <c r="CJ204" s="11"/>
      <c r="CK204" s="11"/>
      <c r="CL204" s="11"/>
      <c r="CM204" s="11"/>
      <c r="CN204" s="274"/>
      <c r="CO204" s="274"/>
      <c r="CP204" s="274"/>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8"/>
      <c r="DN204" s="118"/>
      <c r="DO204" s="118"/>
      <c r="DP204" s="52"/>
      <c r="DQ204" s="52"/>
      <c r="DR204" s="77"/>
      <c r="DS204" s="77"/>
      <c r="DT204" s="77"/>
      <c r="DU204" s="11"/>
      <c r="DV204" s="11"/>
      <c r="DW204" s="11"/>
      <c r="DX204" s="11"/>
      <c r="DY204" s="11"/>
      <c r="DZ204" s="11"/>
      <c r="EA204" s="11"/>
      <c r="EB204" s="11"/>
      <c r="EC204" s="11"/>
      <c r="ED204" s="11"/>
      <c r="EE204" s="11"/>
      <c r="EF204" s="11"/>
    </row>
    <row r="205" spans="1:136" ht="40.5" x14ac:dyDescent="0.25">
      <c r="A205" s="425">
        <v>203</v>
      </c>
      <c r="B205" s="427" t="s">
        <v>1312</v>
      </c>
      <c r="C205" s="427" t="s">
        <v>622</v>
      </c>
      <c r="D205" s="427" t="s">
        <v>637</v>
      </c>
      <c r="E205" s="79">
        <v>1</v>
      </c>
      <c r="F205" s="406">
        <v>482641.152</v>
      </c>
      <c r="G205" s="274"/>
      <c r="H205" s="274"/>
      <c r="I205" s="274"/>
      <c r="J205" s="274"/>
      <c r="K205" s="11"/>
      <c r="L205" s="274"/>
      <c r="M205" s="274"/>
      <c r="N205" s="274"/>
      <c r="O205" s="48"/>
      <c r="P205" s="11"/>
      <c r="Q205" s="274"/>
      <c r="R205" s="274"/>
      <c r="S205" s="274"/>
      <c r="T205" s="11"/>
      <c r="U205" s="11"/>
      <c r="V205" s="11"/>
      <c r="W205" s="11"/>
      <c r="X205" s="11"/>
      <c r="Y205" s="11"/>
      <c r="Z205" s="48"/>
      <c r="AA205" s="52"/>
      <c r="AB205" s="52"/>
      <c r="AC205" s="118"/>
      <c r="AD205" s="5"/>
      <c r="AE205" s="52"/>
      <c r="AF205" s="113"/>
      <c r="AG205" s="113"/>
      <c r="AH205" s="113"/>
      <c r="AI205" s="52"/>
      <c r="AJ205" s="11"/>
      <c r="AK205" s="269">
        <v>267900</v>
      </c>
      <c r="AL205" s="269">
        <v>50901</v>
      </c>
      <c r="AM205" s="116">
        <v>318801</v>
      </c>
      <c r="AN205" s="301" t="s">
        <v>88</v>
      </c>
      <c r="AO205" s="302">
        <v>8141190100</v>
      </c>
      <c r="AP205" s="11"/>
      <c r="AQ205" s="11"/>
      <c r="AR205" s="11"/>
      <c r="AS205" s="11"/>
      <c r="AT205" s="11"/>
      <c r="AU205" s="118"/>
      <c r="AV205" s="118"/>
      <c r="AW205" s="118"/>
      <c r="AX205" s="52"/>
      <c r="AY205" s="52"/>
      <c r="AZ205" s="11"/>
      <c r="BA205" s="11"/>
      <c r="BB205" s="11"/>
      <c r="BC205" s="11"/>
      <c r="BD205" s="11"/>
      <c r="BE205" s="274">
        <v>1621000</v>
      </c>
      <c r="BF205" s="274">
        <v>307990</v>
      </c>
      <c r="BG205" s="274">
        <v>1928990</v>
      </c>
      <c r="BH205" s="11" t="s">
        <v>338</v>
      </c>
      <c r="BI205" s="11" t="s">
        <v>1313</v>
      </c>
      <c r="BJ205" s="311"/>
      <c r="BK205" s="311"/>
      <c r="BL205" s="311"/>
      <c r="BM205" s="52"/>
      <c r="BN205" s="52"/>
      <c r="BO205" s="387"/>
      <c r="BP205" s="320"/>
      <c r="BQ205" s="320"/>
      <c r="BR205" s="76"/>
      <c r="BS205" s="4"/>
      <c r="BT205" s="11"/>
      <c r="BU205" s="11"/>
      <c r="BV205" s="11"/>
      <c r="BW205" s="11"/>
      <c r="BX205" s="11"/>
      <c r="BY205" s="348"/>
      <c r="BZ205" s="348"/>
      <c r="CA205" s="348"/>
      <c r="CB205" s="348"/>
      <c r="CC205" s="348"/>
      <c r="CD205" s="11"/>
      <c r="CE205" s="11"/>
      <c r="CF205" s="11"/>
      <c r="CG205" s="11"/>
      <c r="CH205" s="11"/>
      <c r="CI205" s="11"/>
      <c r="CJ205" s="11"/>
      <c r="CK205" s="11"/>
      <c r="CL205" s="11"/>
      <c r="CM205" s="11"/>
      <c r="CN205" s="274"/>
      <c r="CO205" s="274"/>
      <c r="CP205" s="274"/>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8"/>
      <c r="DN205" s="118"/>
      <c r="DO205" s="118"/>
      <c r="DP205" s="52"/>
      <c r="DQ205" s="52"/>
      <c r="DR205" s="77"/>
      <c r="DS205" s="77"/>
      <c r="DT205" s="77"/>
      <c r="DU205" s="11"/>
      <c r="DV205" s="11"/>
      <c r="DW205" s="11"/>
      <c r="DX205" s="11"/>
      <c r="DY205" s="11"/>
      <c r="DZ205" s="11"/>
      <c r="EA205" s="11"/>
      <c r="EB205" s="11"/>
      <c r="EC205" s="11"/>
      <c r="ED205" s="11"/>
      <c r="EE205" s="11"/>
      <c r="EF205" s="11"/>
    </row>
    <row r="206" spans="1:136" ht="27" x14ac:dyDescent="0.25">
      <c r="A206" s="425">
        <v>204</v>
      </c>
      <c r="B206" s="427" t="s">
        <v>1314</v>
      </c>
      <c r="C206" s="427" t="s">
        <v>622</v>
      </c>
      <c r="D206" s="427" t="s">
        <v>1315</v>
      </c>
      <c r="E206" s="79">
        <v>1</v>
      </c>
      <c r="F206" s="405">
        <v>107285.6274</v>
      </c>
      <c r="G206" s="274"/>
      <c r="H206" s="274"/>
      <c r="I206" s="274"/>
      <c r="J206" s="274"/>
      <c r="K206" s="11"/>
      <c r="L206" s="274"/>
      <c r="M206" s="274"/>
      <c r="N206" s="274"/>
      <c r="O206" s="48"/>
      <c r="P206" s="11"/>
      <c r="Q206" s="274"/>
      <c r="R206" s="274"/>
      <c r="S206" s="274"/>
      <c r="T206" s="11"/>
      <c r="U206" s="11"/>
      <c r="V206" s="11"/>
      <c r="W206" s="11"/>
      <c r="X206" s="11"/>
      <c r="Y206" s="11"/>
      <c r="Z206" s="48"/>
      <c r="AA206" s="52"/>
      <c r="AB206" s="52"/>
      <c r="AC206" s="118"/>
      <c r="AD206" s="5"/>
      <c r="AE206" s="52"/>
      <c r="AF206" s="113"/>
      <c r="AG206" s="113"/>
      <c r="AH206" s="113"/>
      <c r="AI206" s="52"/>
      <c r="AJ206" s="11"/>
      <c r="AK206" s="269"/>
      <c r="AL206" s="269"/>
      <c r="AM206" s="116"/>
      <c r="AN206" s="301"/>
      <c r="AO206" s="302"/>
      <c r="AP206" s="11"/>
      <c r="AQ206" s="11"/>
      <c r="AR206" s="11"/>
      <c r="AS206" s="11"/>
      <c r="AT206" s="11"/>
      <c r="AU206" s="118"/>
      <c r="AV206" s="118"/>
      <c r="AW206" s="118"/>
      <c r="AX206" s="52"/>
      <c r="AY206" s="52"/>
      <c r="AZ206" s="11"/>
      <c r="BA206" s="11"/>
      <c r="BB206" s="11"/>
      <c r="BC206" s="11"/>
      <c r="BD206" s="11"/>
      <c r="BE206" s="274"/>
      <c r="BF206" s="274"/>
      <c r="BG206" s="274"/>
      <c r="BH206" s="11"/>
      <c r="BI206" s="11"/>
      <c r="BJ206" s="311"/>
      <c r="BK206" s="311"/>
      <c r="BL206" s="311"/>
      <c r="BM206" s="52"/>
      <c r="BN206" s="52"/>
      <c r="BO206" s="387"/>
      <c r="BP206" s="320"/>
      <c r="BQ206" s="320"/>
      <c r="BR206" s="76"/>
      <c r="BS206" s="4"/>
      <c r="BT206" s="11"/>
      <c r="BU206" s="11"/>
      <c r="BV206" s="11"/>
      <c r="BW206" s="11"/>
      <c r="BX206" s="11"/>
      <c r="BY206" s="348"/>
      <c r="BZ206" s="348"/>
      <c r="CA206" s="348"/>
      <c r="CB206" s="348"/>
      <c r="CC206" s="348"/>
      <c r="CD206" s="11"/>
      <c r="CE206" s="11"/>
      <c r="CF206" s="11"/>
      <c r="CG206" s="11"/>
      <c r="CH206" s="11"/>
      <c r="CI206" s="11"/>
      <c r="CJ206" s="11"/>
      <c r="CK206" s="11"/>
      <c r="CL206" s="11"/>
      <c r="CM206" s="11"/>
      <c r="CN206" s="274"/>
      <c r="CO206" s="274"/>
      <c r="CP206" s="274"/>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8"/>
      <c r="DN206" s="118"/>
      <c r="DO206" s="118"/>
      <c r="DP206" s="52"/>
      <c r="DQ206" s="52"/>
      <c r="DR206" s="77"/>
      <c r="DS206" s="77"/>
      <c r="DT206" s="77"/>
      <c r="DU206" s="11"/>
      <c r="DV206" s="11"/>
      <c r="DW206" s="11"/>
      <c r="DX206" s="11"/>
      <c r="DY206" s="11"/>
      <c r="DZ206" s="11"/>
      <c r="EA206" s="11"/>
      <c r="EB206" s="11"/>
      <c r="EC206" s="11"/>
      <c r="ED206" s="11"/>
      <c r="EE206" s="11"/>
      <c r="EF206" s="11"/>
    </row>
    <row r="207" spans="1:136" ht="12.75" customHeight="1" x14ac:dyDescent="0.25">
      <c r="A207" s="425">
        <v>205</v>
      </c>
      <c r="B207" s="428" t="s">
        <v>1316</v>
      </c>
      <c r="C207" s="428" t="s">
        <v>1317</v>
      </c>
      <c r="D207" s="586" t="s">
        <v>502</v>
      </c>
      <c r="E207" s="79">
        <v>1</v>
      </c>
      <c r="F207" s="405"/>
      <c r="G207" s="274"/>
      <c r="H207" s="274"/>
      <c r="I207" s="274"/>
      <c r="J207" s="274"/>
      <c r="K207" s="11"/>
      <c r="L207" s="274"/>
      <c r="M207" s="274"/>
      <c r="N207" s="274"/>
      <c r="O207" s="48"/>
      <c r="P207" s="11"/>
      <c r="Q207" s="274"/>
      <c r="R207" s="274"/>
      <c r="S207" s="274"/>
      <c r="T207" s="11"/>
      <c r="U207" s="11"/>
      <c r="V207" s="11"/>
      <c r="W207" s="11"/>
      <c r="X207" s="11"/>
      <c r="Y207" s="11"/>
      <c r="Z207" s="48"/>
      <c r="AA207" s="52"/>
      <c r="AB207" s="52"/>
      <c r="AC207" s="118"/>
      <c r="AD207" s="5"/>
      <c r="AE207" s="52"/>
      <c r="AF207" s="113"/>
      <c r="AG207" s="113"/>
      <c r="AH207" s="113"/>
      <c r="AI207" s="52"/>
      <c r="AJ207" s="11"/>
      <c r="AK207" s="269"/>
      <c r="AL207" s="269"/>
      <c r="AM207" s="116"/>
      <c r="AN207" s="301"/>
      <c r="AO207" s="302"/>
      <c r="AP207" s="11"/>
      <c r="AQ207" s="11"/>
      <c r="AR207" s="11"/>
      <c r="AS207" s="11"/>
      <c r="AT207" s="11"/>
      <c r="AU207" s="118"/>
      <c r="AV207" s="118"/>
      <c r="AW207" s="118"/>
      <c r="AX207" s="52"/>
      <c r="AY207" s="52"/>
      <c r="AZ207" s="11"/>
      <c r="BA207" s="11"/>
      <c r="BB207" s="11"/>
      <c r="BC207" s="11"/>
      <c r="BD207" s="11"/>
      <c r="BE207" s="274"/>
      <c r="BF207" s="274"/>
      <c r="BG207" s="274"/>
      <c r="BH207" s="11"/>
      <c r="BI207" s="11"/>
      <c r="BJ207" s="311">
        <v>56484.62</v>
      </c>
      <c r="BK207" s="311">
        <v>10732.077800000001</v>
      </c>
      <c r="BL207" s="311">
        <v>67216.697799999994</v>
      </c>
      <c r="BM207" s="52" t="s">
        <v>1318</v>
      </c>
      <c r="BN207" s="52" t="s">
        <v>1319</v>
      </c>
      <c r="BO207" s="387"/>
      <c r="BP207" s="320"/>
      <c r="BQ207" s="320"/>
      <c r="BR207" s="76"/>
      <c r="BS207" s="4"/>
      <c r="BT207" s="11"/>
      <c r="BU207" s="11"/>
      <c r="BV207" s="11"/>
      <c r="BW207" s="11"/>
      <c r="BX207" s="11"/>
      <c r="BY207" s="348"/>
      <c r="BZ207" s="348"/>
      <c r="CA207" s="348"/>
      <c r="CB207" s="348"/>
      <c r="CC207" s="348"/>
      <c r="CD207" s="11"/>
      <c r="CE207" s="11"/>
      <c r="CF207" s="11"/>
      <c r="CG207" s="11"/>
      <c r="CH207" s="11"/>
      <c r="CI207" s="11"/>
      <c r="CJ207" s="11"/>
      <c r="CK207" s="11"/>
      <c r="CL207" s="11"/>
      <c r="CM207" s="11"/>
      <c r="CN207" s="274"/>
      <c r="CO207" s="274"/>
      <c r="CP207" s="274"/>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8"/>
      <c r="DN207" s="118"/>
      <c r="DO207" s="118"/>
      <c r="DP207" s="52"/>
      <c r="DQ207" s="52"/>
      <c r="DR207" s="77"/>
      <c r="DS207" s="77"/>
      <c r="DT207" s="77"/>
      <c r="DU207" s="11"/>
      <c r="DV207" s="11"/>
      <c r="DW207" s="11"/>
      <c r="DX207" s="11"/>
      <c r="DY207" s="11"/>
      <c r="DZ207" s="11"/>
      <c r="EA207" s="11"/>
      <c r="EB207" s="11"/>
      <c r="EC207" s="11"/>
      <c r="ED207" s="11"/>
      <c r="EE207" s="11"/>
      <c r="EF207" s="11"/>
    </row>
    <row r="208" spans="1:136" ht="25.5" x14ac:dyDescent="0.25">
      <c r="A208" s="425">
        <v>206</v>
      </c>
      <c r="B208" s="427" t="s">
        <v>1320</v>
      </c>
      <c r="C208" s="427" t="s">
        <v>622</v>
      </c>
      <c r="D208" s="427" t="s">
        <v>300</v>
      </c>
      <c r="E208" s="79">
        <v>1</v>
      </c>
      <c r="F208" s="405"/>
      <c r="G208" s="274">
        <v>247500</v>
      </c>
      <c r="H208" s="274">
        <v>47025</v>
      </c>
      <c r="I208" s="274">
        <v>294525</v>
      </c>
      <c r="J208" s="274" t="s">
        <v>45</v>
      </c>
      <c r="K208" s="11" t="s">
        <v>1321</v>
      </c>
      <c r="L208" s="274"/>
      <c r="M208" s="274"/>
      <c r="N208" s="274"/>
      <c r="O208" s="48"/>
      <c r="P208" s="11"/>
      <c r="Q208" s="274"/>
      <c r="R208" s="274"/>
      <c r="S208" s="274"/>
      <c r="T208" s="11"/>
      <c r="U208" s="11"/>
      <c r="V208" s="11"/>
      <c r="W208" s="11"/>
      <c r="X208" s="11"/>
      <c r="Y208" s="11"/>
      <c r="Z208" s="48"/>
      <c r="AA208" s="293">
        <v>807450</v>
      </c>
      <c r="AB208" s="118">
        <f>+AA208*0.19</f>
        <v>153415.5</v>
      </c>
      <c r="AC208" s="118">
        <f>+AA208+AB208</f>
        <v>960865.5</v>
      </c>
      <c r="AD208" s="5" t="s">
        <v>542</v>
      </c>
      <c r="AE208" s="52" t="s">
        <v>1322</v>
      </c>
      <c r="AF208" s="113"/>
      <c r="AG208" s="113"/>
      <c r="AH208" s="113"/>
      <c r="AI208" s="52"/>
      <c r="AJ208" s="11"/>
      <c r="AK208" s="269">
        <v>121000</v>
      </c>
      <c r="AL208" s="269">
        <v>22990</v>
      </c>
      <c r="AM208" s="116">
        <v>143990</v>
      </c>
      <c r="AN208" s="301" t="s">
        <v>88</v>
      </c>
      <c r="AO208" s="302">
        <v>1083370250</v>
      </c>
      <c r="AP208" s="11"/>
      <c r="AQ208" s="11"/>
      <c r="AR208" s="11"/>
      <c r="AS208" s="11"/>
      <c r="AT208" s="11"/>
      <c r="AU208" s="118">
        <v>157143</v>
      </c>
      <c r="AV208" s="118">
        <v>29857</v>
      </c>
      <c r="AW208" s="118">
        <v>187000</v>
      </c>
      <c r="AX208" s="52" t="s">
        <v>607</v>
      </c>
      <c r="AY208" s="52">
        <v>1083370250</v>
      </c>
      <c r="AZ208" s="11"/>
      <c r="BA208" s="11"/>
      <c r="BB208" s="11"/>
      <c r="BC208" s="11"/>
      <c r="BD208" s="11"/>
      <c r="BE208" s="274"/>
      <c r="BF208" s="274"/>
      <c r="BG208" s="274"/>
      <c r="BH208" s="11"/>
      <c r="BI208" s="11"/>
      <c r="BJ208" s="311"/>
      <c r="BK208" s="311"/>
      <c r="BL208" s="311"/>
      <c r="BM208" s="52"/>
      <c r="BN208" s="52"/>
      <c r="BO208" s="387"/>
      <c r="BP208" s="320"/>
      <c r="BQ208" s="320"/>
      <c r="BR208" s="76"/>
      <c r="BS208" s="4"/>
      <c r="BT208" s="11"/>
      <c r="BU208" s="11"/>
      <c r="BV208" s="11"/>
      <c r="BW208" s="11"/>
      <c r="BX208" s="11"/>
      <c r="BY208" s="232">
        <v>57000</v>
      </c>
      <c r="BZ208" s="232">
        <f>BY208*0.19</f>
        <v>10830</v>
      </c>
      <c r="CA208" s="232">
        <f>BY208+BZ208</f>
        <v>67830</v>
      </c>
      <c r="CB208" s="348" t="s">
        <v>767</v>
      </c>
      <c r="CC208" s="348" t="s">
        <v>1323</v>
      </c>
      <c r="CD208" s="11"/>
      <c r="CE208" s="11"/>
      <c r="CF208" s="11"/>
      <c r="CG208" s="11"/>
      <c r="CH208" s="11"/>
      <c r="CI208" s="11"/>
      <c r="CJ208" s="11"/>
      <c r="CK208" s="11"/>
      <c r="CL208" s="11"/>
      <c r="CM208" s="11"/>
      <c r="CN208" s="274"/>
      <c r="CO208" s="274"/>
      <c r="CP208" s="274"/>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8"/>
      <c r="DN208" s="118"/>
      <c r="DO208" s="118"/>
      <c r="DP208" s="52"/>
      <c r="DQ208" s="52"/>
      <c r="DR208" s="77"/>
      <c r="DS208" s="77"/>
      <c r="DT208" s="77"/>
      <c r="DU208" s="11"/>
      <c r="DV208" s="11"/>
      <c r="DW208" s="11"/>
      <c r="DX208" s="11"/>
      <c r="DY208" s="11"/>
      <c r="DZ208" s="11"/>
      <c r="EA208" s="11"/>
      <c r="EB208" s="11"/>
      <c r="EC208" s="11"/>
      <c r="ED208" s="11"/>
      <c r="EE208" s="11"/>
      <c r="EF208" s="11"/>
    </row>
    <row r="209" spans="1:136" ht="25.5" customHeight="1" x14ac:dyDescent="0.25">
      <c r="A209" s="425">
        <v>207</v>
      </c>
      <c r="B209" s="413" t="s">
        <v>1324</v>
      </c>
      <c r="C209" s="413" t="s">
        <v>1325</v>
      </c>
      <c r="D209" s="413" t="s">
        <v>132</v>
      </c>
      <c r="E209" s="79">
        <v>1</v>
      </c>
      <c r="F209" s="405"/>
      <c r="G209" s="274">
        <v>247500</v>
      </c>
      <c r="H209" s="274">
        <v>47025</v>
      </c>
      <c r="I209" s="274">
        <v>294525</v>
      </c>
      <c r="J209" s="274" t="s">
        <v>45</v>
      </c>
      <c r="K209" s="11" t="s">
        <v>1321</v>
      </c>
      <c r="L209" s="274"/>
      <c r="M209" s="274"/>
      <c r="N209" s="274"/>
      <c r="O209" s="48"/>
      <c r="P209" s="11"/>
      <c r="Q209" s="274"/>
      <c r="R209" s="274"/>
      <c r="S209" s="274"/>
      <c r="T209" s="11"/>
      <c r="U209" s="11"/>
      <c r="V209" s="11"/>
      <c r="W209" s="11"/>
      <c r="X209" s="11"/>
      <c r="Y209" s="11"/>
      <c r="Z209" s="48"/>
      <c r="AA209" s="293">
        <v>288750</v>
      </c>
      <c r="AB209" s="118">
        <f>+AA209*0.19</f>
        <v>54862.5</v>
      </c>
      <c r="AC209" s="118">
        <f>+AA209+AB209</f>
        <v>343612.5</v>
      </c>
      <c r="AD209" s="5" t="s">
        <v>542</v>
      </c>
      <c r="AE209" s="52" t="s">
        <v>1326</v>
      </c>
      <c r="AF209" s="113">
        <v>141000</v>
      </c>
      <c r="AG209" s="113">
        <f>AF209*0.19</f>
        <v>26790</v>
      </c>
      <c r="AH209" s="113">
        <f>AF209+AG209</f>
        <v>167790</v>
      </c>
      <c r="AI209" s="277" t="s">
        <v>628</v>
      </c>
      <c r="AJ209" s="33" t="s">
        <v>1327</v>
      </c>
      <c r="AK209" s="269"/>
      <c r="AL209" s="269"/>
      <c r="AM209" s="116"/>
      <c r="AN209" s="301"/>
      <c r="AO209" s="302"/>
      <c r="AP209" s="274">
        <v>158000</v>
      </c>
      <c r="AQ209" s="274">
        <v>30020</v>
      </c>
      <c r="AR209" s="274">
        <v>188020</v>
      </c>
      <c r="AS209" s="274" t="s">
        <v>92</v>
      </c>
      <c r="AT209" s="274" t="s">
        <v>1328</v>
      </c>
      <c r="AU209" s="118">
        <v>157143</v>
      </c>
      <c r="AV209" s="118">
        <v>29857</v>
      </c>
      <c r="AW209" s="118">
        <v>187000</v>
      </c>
      <c r="AX209" s="52" t="s">
        <v>607</v>
      </c>
      <c r="AY209" s="52">
        <v>1083370250</v>
      </c>
      <c r="AZ209" s="11"/>
      <c r="BA209" s="11"/>
      <c r="BB209" s="11"/>
      <c r="BC209" s="11"/>
      <c r="BD209" s="11"/>
      <c r="BE209" s="274"/>
      <c r="BF209" s="274"/>
      <c r="BG209" s="274"/>
      <c r="BH209" s="11"/>
      <c r="BI209" s="11"/>
      <c r="BJ209" s="311"/>
      <c r="BK209" s="311"/>
      <c r="BL209" s="311"/>
      <c r="BM209" s="52"/>
      <c r="BN209" s="52"/>
      <c r="BO209" s="387"/>
      <c r="BP209" s="320"/>
      <c r="BQ209" s="320"/>
      <c r="BR209" s="76"/>
      <c r="BS209" s="4"/>
      <c r="BT209" s="11"/>
      <c r="BU209" s="11"/>
      <c r="BV209" s="11"/>
      <c r="BW209" s="11"/>
      <c r="BX209" s="11"/>
      <c r="BY209" s="232">
        <v>65000</v>
      </c>
      <c r="BZ209" s="232">
        <f>BY209*0.19</f>
        <v>12350</v>
      </c>
      <c r="CA209" s="232">
        <f>BY209+BZ209</f>
        <v>77350</v>
      </c>
      <c r="CB209" s="348" t="s">
        <v>767</v>
      </c>
      <c r="CC209" s="348" t="s">
        <v>1329</v>
      </c>
      <c r="CD209" s="11"/>
      <c r="CE209" s="11"/>
      <c r="CF209" s="11"/>
      <c r="CG209" s="11"/>
      <c r="CH209" s="11"/>
      <c r="CI209" s="11"/>
      <c r="CJ209" s="11"/>
      <c r="CK209" s="11"/>
      <c r="CL209" s="11"/>
      <c r="CM209" s="11"/>
      <c r="CN209" s="274"/>
      <c r="CO209" s="274"/>
      <c r="CP209" s="274"/>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8"/>
      <c r="DN209" s="118"/>
      <c r="DO209" s="118"/>
      <c r="DP209" s="52"/>
      <c r="DQ209" s="52"/>
      <c r="DR209" s="77"/>
      <c r="DS209" s="77"/>
      <c r="DT209" s="77"/>
      <c r="DU209" s="11"/>
      <c r="DV209" s="11"/>
      <c r="DW209" s="11"/>
      <c r="DX209" s="11"/>
      <c r="DY209" s="11"/>
      <c r="DZ209" s="11"/>
      <c r="EA209" s="11"/>
      <c r="EB209" s="11"/>
      <c r="EC209" s="11"/>
      <c r="ED209" s="11"/>
      <c r="EE209" s="11"/>
      <c r="EF209" s="11"/>
    </row>
    <row r="210" spans="1:136" ht="40.5" x14ac:dyDescent="0.25">
      <c r="A210" s="425">
        <v>208</v>
      </c>
      <c r="B210" s="413" t="s">
        <v>1330</v>
      </c>
      <c r="C210" s="413" t="s">
        <v>1331</v>
      </c>
      <c r="D210" s="427" t="s">
        <v>132</v>
      </c>
      <c r="E210" s="79">
        <v>1</v>
      </c>
      <c r="F210" s="405"/>
      <c r="G210" s="274">
        <v>456250</v>
      </c>
      <c r="H210" s="274">
        <v>0</v>
      </c>
      <c r="I210" s="274">
        <v>456250</v>
      </c>
      <c r="J210" s="274" t="s">
        <v>45</v>
      </c>
      <c r="K210" s="11" t="s">
        <v>1332</v>
      </c>
      <c r="L210" s="274"/>
      <c r="M210" s="274"/>
      <c r="N210" s="274"/>
      <c r="O210" s="48"/>
      <c r="P210" s="11"/>
      <c r="Q210" s="274"/>
      <c r="R210" s="274"/>
      <c r="S210" s="274"/>
      <c r="T210" s="11"/>
      <c r="U210" s="11"/>
      <c r="V210" s="11"/>
      <c r="W210" s="11"/>
      <c r="X210" s="11"/>
      <c r="Y210" s="11"/>
      <c r="Z210" s="48"/>
      <c r="AA210" s="52"/>
      <c r="AB210" s="52"/>
      <c r="AC210" s="118"/>
      <c r="AD210" s="5"/>
      <c r="AE210" s="52"/>
      <c r="AF210" s="113">
        <v>188000</v>
      </c>
      <c r="AG210" s="113">
        <f>AF210*0.19</f>
        <v>35720</v>
      </c>
      <c r="AH210" s="113">
        <f>AF210+AG210</f>
        <v>223720</v>
      </c>
      <c r="AI210" s="277" t="s">
        <v>628</v>
      </c>
      <c r="AJ210" s="33" t="s">
        <v>1333</v>
      </c>
      <c r="AK210" s="269">
        <v>274170</v>
      </c>
      <c r="AL210" s="269">
        <v>0</v>
      </c>
      <c r="AM210" s="116">
        <v>274170</v>
      </c>
      <c r="AN210" s="301" t="s">
        <v>88</v>
      </c>
      <c r="AO210" s="302">
        <v>1012070500</v>
      </c>
      <c r="AP210" s="11"/>
      <c r="AQ210" s="11"/>
      <c r="AR210" s="11"/>
      <c r="AS210" s="11"/>
      <c r="AT210" s="11"/>
      <c r="AU210" s="118">
        <v>348654</v>
      </c>
      <c r="AV210" s="118">
        <v>66244</v>
      </c>
      <c r="AW210" s="118">
        <v>414898</v>
      </c>
      <c r="AX210" s="52" t="s">
        <v>607</v>
      </c>
      <c r="AY210" s="52">
        <v>1012070500</v>
      </c>
      <c r="AZ210" s="11"/>
      <c r="BA210" s="11"/>
      <c r="BB210" s="11"/>
      <c r="BC210" s="11"/>
      <c r="BD210" s="11"/>
      <c r="BE210" s="274">
        <v>601000</v>
      </c>
      <c r="BF210" s="274">
        <v>114190</v>
      </c>
      <c r="BG210" s="274">
        <v>715190</v>
      </c>
      <c r="BH210" s="11" t="s">
        <v>88</v>
      </c>
      <c r="BI210" s="11">
        <v>1012070500</v>
      </c>
      <c r="BJ210" s="311"/>
      <c r="BK210" s="311"/>
      <c r="BL210" s="311"/>
      <c r="BM210" s="52"/>
      <c r="BN210" s="52"/>
      <c r="BO210" s="387"/>
      <c r="BP210" s="320"/>
      <c r="BQ210" s="320"/>
      <c r="BR210" s="76"/>
      <c r="BS210" s="4"/>
      <c r="BT210" s="11"/>
      <c r="BU210" s="11"/>
      <c r="BV210" s="11"/>
      <c r="BW210" s="11"/>
      <c r="BX210" s="11"/>
      <c r="BY210" s="348"/>
      <c r="BZ210" s="348"/>
      <c r="CA210" s="348"/>
      <c r="CB210" s="348"/>
      <c r="CC210" s="348"/>
      <c r="CD210" s="11"/>
      <c r="CE210" s="11"/>
      <c r="CF210" s="11"/>
      <c r="CG210" s="11"/>
      <c r="CH210" s="11"/>
      <c r="CI210" s="11"/>
      <c r="CJ210" s="11"/>
      <c r="CK210" s="11"/>
      <c r="CL210" s="11"/>
      <c r="CM210" s="11"/>
      <c r="CN210" s="274"/>
      <c r="CO210" s="274"/>
      <c r="CP210" s="274"/>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8"/>
      <c r="DN210" s="118"/>
      <c r="DO210" s="118"/>
      <c r="DP210" s="52"/>
      <c r="DQ210" s="52"/>
      <c r="DR210" s="77"/>
      <c r="DS210" s="77"/>
      <c r="DT210" s="77"/>
      <c r="DU210" s="11"/>
      <c r="DV210" s="11"/>
      <c r="DW210" s="11"/>
      <c r="DX210" s="11"/>
      <c r="DY210" s="11"/>
      <c r="DZ210" s="11"/>
      <c r="EA210" s="11"/>
      <c r="EB210" s="11"/>
      <c r="EC210" s="11"/>
      <c r="ED210" s="11"/>
      <c r="EE210" s="11"/>
      <c r="EF210" s="11"/>
    </row>
    <row r="211" spans="1:136" ht="25.5" customHeight="1" x14ac:dyDescent="0.25">
      <c r="A211" s="425">
        <v>209</v>
      </c>
      <c r="B211" s="413" t="s">
        <v>1334</v>
      </c>
      <c r="C211" s="427" t="s">
        <v>1335</v>
      </c>
      <c r="D211" s="427" t="s">
        <v>60</v>
      </c>
      <c r="E211" s="79">
        <v>1</v>
      </c>
      <c r="F211" s="405"/>
      <c r="G211" s="274"/>
      <c r="H211" s="274"/>
      <c r="I211" s="274"/>
      <c r="J211" s="274"/>
      <c r="K211" s="11"/>
      <c r="L211" s="274"/>
      <c r="M211" s="274"/>
      <c r="N211" s="274"/>
      <c r="O211" s="48"/>
      <c r="P211" s="11"/>
      <c r="Q211" s="274"/>
      <c r="R211" s="274"/>
      <c r="S211" s="274"/>
      <c r="T211" s="11"/>
      <c r="U211" s="11"/>
      <c r="V211" s="11"/>
      <c r="W211" s="11"/>
      <c r="X211" s="11"/>
      <c r="Y211" s="11"/>
      <c r="Z211" s="48"/>
      <c r="AA211" s="52"/>
      <c r="AB211" s="52"/>
      <c r="AC211" s="118"/>
      <c r="AD211" s="5"/>
      <c r="AE211" s="52"/>
      <c r="AF211" s="113">
        <v>424000</v>
      </c>
      <c r="AG211" s="113">
        <f>AF211*0.19</f>
        <v>80560</v>
      </c>
      <c r="AH211" s="113">
        <f>AF211+AG211</f>
        <v>504560</v>
      </c>
      <c r="AI211" s="277" t="s">
        <v>628</v>
      </c>
      <c r="AJ211" s="33" t="s">
        <v>1336</v>
      </c>
      <c r="AK211" s="269">
        <v>335730</v>
      </c>
      <c r="AL211" s="269">
        <v>63788.700000000004</v>
      </c>
      <c r="AM211" s="116">
        <v>399518.7</v>
      </c>
      <c r="AN211" s="301" t="s">
        <v>88</v>
      </c>
      <c r="AO211" s="302">
        <v>1011540500</v>
      </c>
      <c r="AP211" s="11"/>
      <c r="AQ211" s="11"/>
      <c r="AR211" s="11"/>
      <c r="AS211" s="11"/>
      <c r="AT211" s="11"/>
      <c r="AU211" s="118">
        <v>426938</v>
      </c>
      <c r="AV211" s="118">
        <v>81118</v>
      </c>
      <c r="AW211" s="118">
        <v>508056</v>
      </c>
      <c r="AX211" s="52" t="s">
        <v>607</v>
      </c>
      <c r="AY211" s="52">
        <v>1011540500</v>
      </c>
      <c r="AZ211" s="11"/>
      <c r="BA211" s="11"/>
      <c r="BB211" s="11"/>
      <c r="BC211" s="11"/>
      <c r="BD211" s="11"/>
      <c r="BE211" s="274">
        <v>736000</v>
      </c>
      <c r="BF211" s="274">
        <v>139840</v>
      </c>
      <c r="BG211" s="274">
        <v>875840</v>
      </c>
      <c r="BH211" s="11" t="s">
        <v>88</v>
      </c>
      <c r="BI211" s="11">
        <v>1011540500</v>
      </c>
      <c r="BJ211" s="311"/>
      <c r="BK211" s="311"/>
      <c r="BL211" s="311"/>
      <c r="BM211" s="52"/>
      <c r="BN211" s="52"/>
      <c r="BO211" s="387"/>
      <c r="BP211" s="320"/>
      <c r="BQ211" s="320"/>
      <c r="BR211" s="76"/>
      <c r="BS211" s="4"/>
      <c r="BT211" s="11"/>
      <c r="BU211" s="11"/>
      <c r="BV211" s="11"/>
      <c r="BW211" s="11"/>
      <c r="BX211" s="11"/>
      <c r="BY211" s="348"/>
      <c r="BZ211" s="348"/>
      <c r="CA211" s="348"/>
      <c r="CB211" s="348"/>
      <c r="CC211" s="348"/>
      <c r="CD211" s="11"/>
      <c r="CE211" s="11"/>
      <c r="CF211" s="11"/>
      <c r="CG211" s="11"/>
      <c r="CH211" s="11"/>
      <c r="CI211" s="11"/>
      <c r="CJ211" s="11"/>
      <c r="CK211" s="11"/>
      <c r="CL211" s="11"/>
      <c r="CM211" s="11"/>
      <c r="CN211" s="274"/>
      <c r="CO211" s="274"/>
      <c r="CP211" s="274"/>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8"/>
      <c r="DN211" s="118"/>
      <c r="DO211" s="118"/>
      <c r="DP211" s="52"/>
      <c r="DQ211" s="52"/>
      <c r="DR211" s="77"/>
      <c r="DS211" s="77"/>
      <c r="DT211" s="77"/>
      <c r="DU211" s="11"/>
      <c r="DV211" s="11"/>
      <c r="DW211" s="11"/>
      <c r="DX211" s="11"/>
      <c r="DY211" s="11"/>
      <c r="DZ211" s="11"/>
      <c r="EA211" s="11"/>
      <c r="EB211" s="11"/>
      <c r="EC211" s="11"/>
      <c r="ED211" s="11"/>
      <c r="EE211" s="11"/>
      <c r="EF211" s="11"/>
    </row>
    <row r="212" spans="1:136" ht="27" x14ac:dyDescent="0.25">
      <c r="A212" s="425">
        <v>210</v>
      </c>
      <c r="B212" s="427" t="s">
        <v>1337</v>
      </c>
      <c r="C212" s="413" t="s">
        <v>1338</v>
      </c>
      <c r="D212" s="427" t="s">
        <v>157</v>
      </c>
      <c r="E212" s="79">
        <v>1</v>
      </c>
      <c r="F212" s="406">
        <v>480092.54139999999</v>
      </c>
      <c r="G212" s="274"/>
      <c r="H212" s="274"/>
      <c r="I212" s="274"/>
      <c r="J212" s="274"/>
      <c r="K212" s="11"/>
      <c r="L212" s="274"/>
      <c r="M212" s="274"/>
      <c r="N212" s="274"/>
      <c r="O212" s="48"/>
      <c r="P212" s="11"/>
      <c r="Q212" s="274"/>
      <c r="R212" s="274"/>
      <c r="S212" s="274"/>
      <c r="T212" s="11"/>
      <c r="U212" s="11"/>
      <c r="V212" s="11"/>
      <c r="W212" s="11"/>
      <c r="X212" s="11"/>
      <c r="Y212" s="11"/>
      <c r="Z212" s="48"/>
      <c r="AA212" s="52"/>
      <c r="AB212" s="52"/>
      <c r="AC212" s="118"/>
      <c r="AD212" s="5"/>
      <c r="AE212" s="52"/>
      <c r="AF212" s="113"/>
      <c r="AG212" s="113"/>
      <c r="AH212" s="113"/>
      <c r="AI212" s="52"/>
      <c r="AJ212" s="11"/>
      <c r="AK212" s="269"/>
      <c r="AL212" s="269"/>
      <c r="AM212" s="116"/>
      <c r="AN212" s="301"/>
      <c r="AO212" s="302"/>
      <c r="AP212" s="11"/>
      <c r="AQ212" s="11"/>
      <c r="AR212" s="11"/>
      <c r="AS212" s="11"/>
      <c r="AT212" s="11"/>
      <c r="AU212" s="118"/>
      <c r="AV212" s="118"/>
      <c r="AW212" s="118"/>
      <c r="AX212" s="52"/>
      <c r="AY212" s="52"/>
      <c r="AZ212" s="11"/>
      <c r="BA212" s="11"/>
      <c r="BB212" s="11"/>
      <c r="BC212" s="11"/>
      <c r="BD212" s="11"/>
      <c r="BE212" s="274"/>
      <c r="BF212" s="274"/>
      <c r="BG212" s="274"/>
      <c r="BH212" s="11"/>
      <c r="BI212" s="11"/>
      <c r="BJ212" s="311"/>
      <c r="BK212" s="311"/>
      <c r="BL212" s="311"/>
      <c r="BM212" s="52"/>
      <c r="BN212" s="52"/>
      <c r="BO212" s="387"/>
      <c r="BP212" s="320"/>
      <c r="BQ212" s="320"/>
      <c r="BR212" s="76"/>
      <c r="BS212" s="4"/>
      <c r="BT212" s="11"/>
      <c r="BU212" s="11"/>
      <c r="BV212" s="11"/>
      <c r="BW212" s="11"/>
      <c r="BX212" s="11"/>
      <c r="BY212" s="348"/>
      <c r="BZ212" s="348"/>
      <c r="CA212" s="348"/>
      <c r="CB212" s="348"/>
      <c r="CC212" s="348"/>
      <c r="CD212" s="11"/>
      <c r="CE212" s="11"/>
      <c r="CF212" s="11"/>
      <c r="CG212" s="11"/>
      <c r="CH212" s="11"/>
      <c r="CI212" s="11"/>
      <c r="CJ212" s="11"/>
      <c r="CK212" s="11"/>
      <c r="CL212" s="11"/>
      <c r="CM212" s="11"/>
      <c r="CN212" s="274"/>
      <c r="CO212" s="274"/>
      <c r="CP212" s="274"/>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8"/>
      <c r="DN212" s="118"/>
      <c r="DO212" s="118"/>
      <c r="DP212" s="52"/>
      <c r="DQ212" s="52"/>
      <c r="DR212" s="77"/>
      <c r="DS212" s="77"/>
      <c r="DT212" s="77"/>
      <c r="DU212" s="11"/>
      <c r="DV212" s="11"/>
      <c r="DW212" s="11"/>
      <c r="DX212" s="11"/>
      <c r="DY212" s="11"/>
      <c r="DZ212" s="11"/>
      <c r="EA212" s="11"/>
      <c r="EB212" s="11"/>
      <c r="EC212" s="11"/>
      <c r="ED212" s="11"/>
      <c r="EE212" s="11"/>
      <c r="EF212" s="11"/>
    </row>
    <row r="213" spans="1:136" ht="40.5" x14ac:dyDescent="0.25">
      <c r="A213" s="425">
        <v>211</v>
      </c>
      <c r="B213" s="427" t="s">
        <v>1339</v>
      </c>
      <c r="C213" s="427" t="s">
        <v>1340</v>
      </c>
      <c r="D213" s="427" t="s">
        <v>54</v>
      </c>
      <c r="E213" s="79">
        <v>1</v>
      </c>
      <c r="F213" s="405"/>
      <c r="G213" s="274"/>
      <c r="H213" s="274"/>
      <c r="I213" s="274"/>
      <c r="J213" s="274"/>
      <c r="K213" s="11"/>
      <c r="L213" s="274"/>
      <c r="M213" s="274"/>
      <c r="N213" s="274"/>
      <c r="O213" s="48"/>
      <c r="P213" s="11"/>
      <c r="Q213" s="274"/>
      <c r="R213" s="274"/>
      <c r="S213" s="274"/>
      <c r="T213" s="11"/>
      <c r="U213" s="11"/>
      <c r="V213" s="11"/>
      <c r="W213" s="11"/>
      <c r="X213" s="11"/>
      <c r="Y213" s="11"/>
      <c r="Z213" s="48"/>
      <c r="AA213" s="52"/>
      <c r="AB213" s="52"/>
      <c r="AC213" s="118"/>
      <c r="AD213" s="5"/>
      <c r="AE213" s="52"/>
      <c r="AF213" s="113">
        <v>303000</v>
      </c>
      <c r="AG213" s="113">
        <f>AF213*0.19</f>
        <v>57570</v>
      </c>
      <c r="AH213" s="113">
        <f>AF213+AG213</f>
        <v>360570</v>
      </c>
      <c r="AI213" s="277" t="s">
        <v>628</v>
      </c>
      <c r="AJ213" s="33" t="s">
        <v>1341</v>
      </c>
      <c r="AK213" s="269">
        <v>326610</v>
      </c>
      <c r="AL213" s="269">
        <v>62055.9</v>
      </c>
      <c r="AM213" s="116">
        <v>388665.9</v>
      </c>
      <c r="AN213" s="301" t="s">
        <v>88</v>
      </c>
      <c r="AO213" s="302">
        <v>1048640500</v>
      </c>
      <c r="AP213" s="11"/>
      <c r="AQ213" s="11"/>
      <c r="AR213" s="11"/>
      <c r="AS213" s="11"/>
      <c r="AT213" s="11"/>
      <c r="AU213" s="118">
        <v>415340</v>
      </c>
      <c r="AV213" s="118">
        <v>78915</v>
      </c>
      <c r="AW213" s="118">
        <v>494255</v>
      </c>
      <c r="AX213" s="52" t="s">
        <v>607</v>
      </c>
      <c r="AY213" s="52">
        <v>1048640500</v>
      </c>
      <c r="AZ213" s="11"/>
      <c r="BA213" s="11"/>
      <c r="BB213" s="11"/>
      <c r="BC213" s="11"/>
      <c r="BD213" s="11"/>
      <c r="BE213" s="274"/>
      <c r="BF213" s="274"/>
      <c r="BG213" s="274"/>
      <c r="BH213" s="11"/>
      <c r="BI213" s="11"/>
      <c r="BJ213" s="311"/>
      <c r="BK213" s="311"/>
      <c r="BL213" s="311"/>
      <c r="BM213" s="52"/>
      <c r="BN213" s="52"/>
      <c r="BO213" s="387"/>
      <c r="BP213" s="320"/>
      <c r="BQ213" s="320"/>
      <c r="BR213" s="76"/>
      <c r="BS213" s="4"/>
      <c r="BT213" s="11"/>
      <c r="BU213" s="11"/>
      <c r="BV213" s="11"/>
      <c r="BW213" s="11"/>
      <c r="BX213" s="11"/>
      <c r="BY213" s="348"/>
      <c r="BZ213" s="348"/>
      <c r="CA213" s="348"/>
      <c r="CB213" s="348"/>
      <c r="CC213" s="348"/>
      <c r="CD213" s="11"/>
      <c r="CE213" s="11"/>
      <c r="CF213" s="11"/>
      <c r="CG213" s="11"/>
      <c r="CH213" s="11"/>
      <c r="CI213" s="11"/>
      <c r="CJ213" s="11"/>
      <c r="CK213" s="11"/>
      <c r="CL213" s="11"/>
      <c r="CM213" s="11"/>
      <c r="CN213" s="274"/>
      <c r="CO213" s="274"/>
      <c r="CP213" s="274"/>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8"/>
      <c r="DN213" s="118"/>
      <c r="DO213" s="118"/>
      <c r="DP213" s="52"/>
      <c r="DQ213" s="52"/>
      <c r="DR213" s="77"/>
      <c r="DS213" s="77"/>
      <c r="DT213" s="77"/>
      <c r="DU213" s="11"/>
      <c r="DV213" s="11"/>
      <c r="DW213" s="11"/>
      <c r="DX213" s="11"/>
      <c r="DY213" s="11"/>
      <c r="DZ213" s="11"/>
      <c r="EA213" s="11"/>
      <c r="EB213" s="11"/>
      <c r="EC213" s="11"/>
      <c r="ED213" s="11"/>
      <c r="EE213" s="11"/>
      <c r="EF213" s="11"/>
    </row>
    <row r="214" spans="1:136" ht="25.5" customHeight="1" x14ac:dyDescent="0.25">
      <c r="A214" s="425">
        <v>212</v>
      </c>
      <c r="B214" s="428" t="s">
        <v>1342</v>
      </c>
      <c r="C214" s="413" t="s">
        <v>676</v>
      </c>
      <c r="D214" s="586" t="s">
        <v>1343</v>
      </c>
      <c r="E214" s="79">
        <v>1</v>
      </c>
      <c r="F214" s="405"/>
      <c r="G214" s="274">
        <v>233750</v>
      </c>
      <c r="H214" s="274">
        <v>44412.5</v>
      </c>
      <c r="I214" s="274">
        <v>278162.5</v>
      </c>
      <c r="J214" s="274" t="s">
        <v>45</v>
      </c>
      <c r="K214" s="11" t="s">
        <v>1344</v>
      </c>
      <c r="L214" s="274"/>
      <c r="M214" s="274"/>
      <c r="N214" s="274"/>
      <c r="O214" s="48"/>
      <c r="P214" s="11"/>
      <c r="Q214" s="274"/>
      <c r="R214" s="274"/>
      <c r="S214" s="274"/>
      <c r="T214" s="11"/>
      <c r="U214" s="11"/>
      <c r="V214" s="11"/>
      <c r="W214" s="11"/>
      <c r="X214" s="11"/>
      <c r="Y214" s="11"/>
      <c r="Z214" s="48"/>
      <c r="AA214" s="52"/>
      <c r="AB214" s="52"/>
      <c r="AC214" s="118"/>
      <c r="AD214" s="5"/>
      <c r="AE214" s="52"/>
      <c r="AF214" s="113"/>
      <c r="AG214" s="113"/>
      <c r="AH214" s="113"/>
      <c r="AI214" s="52"/>
      <c r="AJ214" s="11"/>
      <c r="AK214" s="269">
        <v>2322750</v>
      </c>
      <c r="AL214" s="269">
        <v>441322.5</v>
      </c>
      <c r="AM214" s="116">
        <v>2764072.5</v>
      </c>
      <c r="AN214" s="301" t="s">
        <v>88</v>
      </c>
      <c r="AO214" s="302">
        <v>1065660500</v>
      </c>
      <c r="AP214" s="11"/>
      <c r="AQ214" s="11"/>
      <c r="AR214" s="11"/>
      <c r="AS214" s="11"/>
      <c r="AT214" s="11"/>
      <c r="AU214" s="118">
        <v>888757</v>
      </c>
      <c r="AV214" s="118">
        <v>168864</v>
      </c>
      <c r="AW214" s="118">
        <v>1057621</v>
      </c>
      <c r="AX214" s="52" t="s">
        <v>607</v>
      </c>
      <c r="AY214" s="52">
        <v>5438400250</v>
      </c>
      <c r="AZ214" s="11"/>
      <c r="BA214" s="11"/>
      <c r="BB214" s="11"/>
      <c r="BC214" s="11"/>
      <c r="BD214" s="11"/>
      <c r="BE214" s="274"/>
      <c r="BF214" s="274"/>
      <c r="BG214" s="274"/>
      <c r="BH214" s="11"/>
      <c r="BI214" s="11"/>
      <c r="BJ214" s="311"/>
      <c r="BK214" s="311"/>
      <c r="BL214" s="311"/>
      <c r="BM214" s="52"/>
      <c r="BN214" s="52"/>
      <c r="BO214" s="387"/>
      <c r="BP214" s="320"/>
      <c r="BQ214" s="320"/>
      <c r="BR214" s="76"/>
      <c r="BS214" s="4"/>
      <c r="BT214" s="11"/>
      <c r="BU214" s="11"/>
      <c r="BV214" s="11"/>
      <c r="BW214" s="11"/>
      <c r="BX214" s="11"/>
      <c r="BY214" s="348"/>
      <c r="BZ214" s="348"/>
      <c r="CA214" s="348"/>
      <c r="CB214" s="348"/>
      <c r="CC214" s="348"/>
      <c r="CD214" s="11"/>
      <c r="CE214" s="11"/>
      <c r="CF214" s="11"/>
      <c r="CG214" s="11"/>
      <c r="CH214" s="11"/>
      <c r="CI214" s="11"/>
      <c r="CJ214" s="11"/>
      <c r="CK214" s="11"/>
      <c r="CL214" s="11"/>
      <c r="CM214" s="11"/>
      <c r="CN214" s="274"/>
      <c r="CO214" s="274"/>
      <c r="CP214" s="274"/>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8"/>
      <c r="DN214" s="118"/>
      <c r="DO214" s="118"/>
      <c r="DP214" s="52"/>
      <c r="DQ214" s="52"/>
      <c r="DR214" s="77"/>
      <c r="DS214" s="77"/>
      <c r="DT214" s="77"/>
      <c r="DU214" s="11"/>
      <c r="DV214" s="11"/>
      <c r="DW214" s="11"/>
      <c r="DX214" s="11"/>
      <c r="DY214" s="11"/>
      <c r="DZ214" s="11"/>
      <c r="EA214" s="11"/>
      <c r="EB214" s="11"/>
      <c r="EC214" s="11"/>
      <c r="ED214" s="11"/>
      <c r="EE214" s="11"/>
      <c r="EF214" s="11"/>
    </row>
    <row r="215" spans="1:136" ht="27" x14ac:dyDescent="0.25">
      <c r="A215" s="425">
        <v>213</v>
      </c>
      <c r="B215" s="427" t="s">
        <v>1345</v>
      </c>
      <c r="C215" s="427" t="s">
        <v>622</v>
      </c>
      <c r="D215" s="427" t="s">
        <v>1346</v>
      </c>
      <c r="E215" s="79">
        <v>1</v>
      </c>
      <c r="F215" s="405"/>
      <c r="G215" s="274"/>
      <c r="H215" s="274"/>
      <c r="I215" s="274"/>
      <c r="J215" s="274"/>
      <c r="K215" s="11"/>
      <c r="L215" s="274"/>
      <c r="M215" s="274"/>
      <c r="N215" s="274"/>
      <c r="O215" s="48"/>
      <c r="P215" s="11"/>
      <c r="Q215" s="274"/>
      <c r="R215" s="274"/>
      <c r="S215" s="274"/>
      <c r="T215" s="11"/>
      <c r="U215" s="11"/>
      <c r="V215" s="11"/>
      <c r="W215" s="11"/>
      <c r="X215" s="11"/>
      <c r="Y215" s="11"/>
      <c r="Z215" s="48"/>
      <c r="AA215" s="293">
        <v>1010800</v>
      </c>
      <c r="AB215" s="118">
        <f>+AA215*0.19</f>
        <v>192052</v>
      </c>
      <c r="AC215" s="118">
        <f>+AA215+AB215</f>
        <v>1202852</v>
      </c>
      <c r="AD215" s="5" t="s">
        <v>542</v>
      </c>
      <c r="AE215" s="52" t="s">
        <v>1347</v>
      </c>
      <c r="AF215" s="113">
        <v>357000</v>
      </c>
      <c r="AG215" s="113">
        <f>AF215*0.19</f>
        <v>67830</v>
      </c>
      <c r="AH215" s="113">
        <f>AF215+AG215</f>
        <v>424830</v>
      </c>
      <c r="AI215" s="277" t="s">
        <v>628</v>
      </c>
      <c r="AJ215" s="33" t="s">
        <v>1348</v>
      </c>
      <c r="AK215" s="269"/>
      <c r="AL215" s="269"/>
      <c r="AM215" s="116"/>
      <c r="AN215" s="301"/>
      <c r="AO215" s="302"/>
      <c r="AP215" s="11"/>
      <c r="AQ215" s="11"/>
      <c r="AR215" s="11"/>
      <c r="AS215" s="11"/>
      <c r="AT215" s="11"/>
      <c r="AU215" s="118">
        <v>142071</v>
      </c>
      <c r="AV215" s="118">
        <v>26993</v>
      </c>
      <c r="AW215" s="118">
        <v>169064</v>
      </c>
      <c r="AX215" s="52" t="s">
        <v>607</v>
      </c>
      <c r="AY215" s="52">
        <v>1029521011</v>
      </c>
      <c r="AZ215" s="11"/>
      <c r="BA215" s="11"/>
      <c r="BB215" s="11"/>
      <c r="BC215" s="11"/>
      <c r="BD215" s="11"/>
      <c r="BE215" s="274"/>
      <c r="BF215" s="274"/>
      <c r="BG215" s="274"/>
      <c r="BH215" s="11"/>
      <c r="BI215" s="11"/>
      <c r="BJ215" s="311"/>
      <c r="BK215" s="311"/>
      <c r="BL215" s="311"/>
      <c r="BM215" s="52"/>
      <c r="BN215" s="52"/>
      <c r="BO215" s="387">
        <v>497040</v>
      </c>
      <c r="BP215" s="320">
        <f>BO215*0.19</f>
        <v>94437.6</v>
      </c>
      <c r="BQ215" s="320">
        <f>BO215+BP215</f>
        <v>591477.6</v>
      </c>
      <c r="BR215" s="76" t="s">
        <v>1349</v>
      </c>
      <c r="BS215" s="4" t="s">
        <v>1101</v>
      </c>
      <c r="BT215" s="11"/>
      <c r="BU215" s="11"/>
      <c r="BV215" s="11"/>
      <c r="BW215" s="11"/>
      <c r="BX215" s="11"/>
      <c r="BY215" s="348"/>
      <c r="BZ215" s="348"/>
      <c r="CA215" s="348"/>
      <c r="CB215" s="348"/>
      <c r="CC215" s="348"/>
      <c r="CD215" s="11"/>
      <c r="CE215" s="11"/>
      <c r="CF215" s="11"/>
      <c r="CG215" s="11"/>
      <c r="CH215" s="11"/>
      <c r="CI215" s="11"/>
      <c r="CJ215" s="11"/>
      <c r="CK215" s="11"/>
      <c r="CL215" s="11"/>
      <c r="CM215" s="11"/>
      <c r="CN215" s="274"/>
      <c r="CO215" s="274"/>
      <c r="CP215" s="274"/>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8"/>
      <c r="DN215" s="118"/>
      <c r="DO215" s="118"/>
      <c r="DP215" s="52"/>
      <c r="DQ215" s="52"/>
      <c r="DR215" s="77"/>
      <c r="DS215" s="77"/>
      <c r="DT215" s="77"/>
      <c r="DU215" s="11"/>
      <c r="DV215" s="11"/>
      <c r="DW215" s="11"/>
      <c r="DX215" s="11"/>
      <c r="DY215" s="11"/>
      <c r="DZ215" s="11"/>
      <c r="EA215" s="11"/>
      <c r="EB215" s="11"/>
      <c r="EC215" s="11"/>
      <c r="ED215" s="11"/>
      <c r="EE215" s="11"/>
      <c r="EF215" s="11"/>
    </row>
    <row r="216" spans="1:136" ht="25.5" customHeight="1" x14ac:dyDescent="0.25">
      <c r="A216" s="425">
        <v>214</v>
      </c>
      <c r="B216" s="428" t="s">
        <v>1350</v>
      </c>
      <c r="C216" s="413" t="s">
        <v>676</v>
      </c>
      <c r="D216" s="586" t="s">
        <v>677</v>
      </c>
      <c r="E216" s="79">
        <v>1</v>
      </c>
      <c r="F216" s="405"/>
      <c r="G216" s="274"/>
      <c r="H216" s="274"/>
      <c r="I216" s="274"/>
      <c r="J216" s="274"/>
      <c r="K216" s="11"/>
      <c r="L216" s="274"/>
      <c r="M216" s="274"/>
      <c r="N216" s="274"/>
      <c r="O216" s="48"/>
      <c r="P216" s="11"/>
      <c r="Q216" s="274"/>
      <c r="R216" s="274"/>
      <c r="S216" s="274"/>
      <c r="T216" s="11"/>
      <c r="U216" s="11"/>
      <c r="V216" s="11"/>
      <c r="W216" s="11"/>
      <c r="X216" s="11"/>
      <c r="Y216" s="11"/>
      <c r="Z216" s="48"/>
      <c r="AA216" s="52"/>
      <c r="AB216" s="52"/>
      <c r="AC216" s="118"/>
      <c r="AD216" s="5"/>
      <c r="AE216" s="52"/>
      <c r="AF216" s="113">
        <v>1106000</v>
      </c>
      <c r="AG216" s="113">
        <f>AF216*0.19</f>
        <v>210140</v>
      </c>
      <c r="AH216" s="113">
        <f>AF216+AG216</f>
        <v>1316140</v>
      </c>
      <c r="AI216" s="277" t="s">
        <v>628</v>
      </c>
      <c r="AJ216" s="33" t="s">
        <v>1351</v>
      </c>
      <c r="AK216" s="269">
        <v>737010</v>
      </c>
      <c r="AL216" s="269">
        <v>140031.9</v>
      </c>
      <c r="AM216" s="116">
        <v>877041.9</v>
      </c>
      <c r="AN216" s="301" t="s">
        <v>88</v>
      </c>
      <c r="AO216" s="302">
        <v>1030534000</v>
      </c>
      <c r="AP216" s="11"/>
      <c r="AQ216" s="11"/>
      <c r="AR216" s="11"/>
      <c r="AS216" s="11"/>
      <c r="AT216" s="11"/>
      <c r="AU216" s="118">
        <v>937234</v>
      </c>
      <c r="AV216" s="118">
        <v>178074</v>
      </c>
      <c r="AW216" s="118">
        <v>1115308</v>
      </c>
      <c r="AX216" s="52" t="s">
        <v>607</v>
      </c>
      <c r="AY216" s="52">
        <v>1030534000</v>
      </c>
      <c r="AZ216" s="11"/>
      <c r="BA216" s="11"/>
      <c r="BB216" s="11"/>
      <c r="BC216" s="11"/>
      <c r="BD216" s="11"/>
      <c r="BE216" s="274"/>
      <c r="BF216" s="274"/>
      <c r="BG216" s="274"/>
      <c r="BH216" s="11"/>
      <c r="BI216" s="11"/>
      <c r="BJ216" s="311"/>
      <c r="BK216" s="311"/>
      <c r="BL216" s="311"/>
      <c r="BM216" s="52"/>
      <c r="BN216" s="52"/>
      <c r="BO216" s="387"/>
      <c r="BP216" s="320"/>
      <c r="BQ216" s="320"/>
      <c r="BR216" s="76"/>
      <c r="BS216" s="4"/>
      <c r="BT216" s="11"/>
      <c r="BU216" s="11"/>
      <c r="BV216" s="11"/>
      <c r="BW216" s="11"/>
      <c r="BX216" s="11"/>
      <c r="BY216" s="348"/>
      <c r="BZ216" s="348"/>
      <c r="CA216" s="348"/>
      <c r="CB216" s="348"/>
      <c r="CC216" s="348"/>
      <c r="CD216" s="11"/>
      <c r="CE216" s="11"/>
      <c r="CF216" s="11"/>
      <c r="CG216" s="11"/>
      <c r="CH216" s="11"/>
      <c r="CI216" s="11"/>
      <c r="CJ216" s="11"/>
      <c r="CK216" s="11"/>
      <c r="CL216" s="11"/>
      <c r="CM216" s="11"/>
      <c r="CN216" s="274"/>
      <c r="CO216" s="274"/>
      <c r="CP216" s="274"/>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8"/>
      <c r="DN216" s="118"/>
      <c r="DO216" s="118"/>
      <c r="DP216" s="52"/>
      <c r="DQ216" s="52"/>
      <c r="DR216" s="77"/>
      <c r="DS216" s="77"/>
      <c r="DT216" s="77"/>
      <c r="DU216" s="11"/>
      <c r="DV216" s="11"/>
      <c r="DW216" s="11"/>
      <c r="DX216" s="11"/>
      <c r="DY216" s="11"/>
      <c r="DZ216" s="11"/>
      <c r="EA216" s="11"/>
      <c r="EB216" s="11"/>
      <c r="EC216" s="11"/>
      <c r="ED216" s="11"/>
      <c r="EE216" s="11"/>
      <c r="EF216" s="11"/>
    </row>
    <row r="217" spans="1:136" ht="27" x14ac:dyDescent="0.25">
      <c r="A217" s="425">
        <v>215</v>
      </c>
      <c r="B217" s="413" t="s">
        <v>1352</v>
      </c>
      <c r="C217" s="413" t="s">
        <v>622</v>
      </c>
      <c r="D217" s="413" t="s">
        <v>686</v>
      </c>
      <c r="E217" s="79">
        <v>1</v>
      </c>
      <c r="F217" s="406">
        <v>329930.47500000003</v>
      </c>
      <c r="G217" s="274">
        <v>468750</v>
      </c>
      <c r="H217" s="274">
        <v>89062.5</v>
      </c>
      <c r="I217" s="274">
        <v>557812.5</v>
      </c>
      <c r="J217" s="274" t="s">
        <v>45</v>
      </c>
      <c r="K217" s="11" t="s">
        <v>1353</v>
      </c>
      <c r="L217" s="274"/>
      <c r="M217" s="274"/>
      <c r="N217" s="274"/>
      <c r="O217" s="48"/>
      <c r="P217" s="11"/>
      <c r="Q217" s="274"/>
      <c r="R217" s="274"/>
      <c r="S217" s="274"/>
      <c r="T217" s="11"/>
      <c r="U217" s="11"/>
      <c r="V217" s="11"/>
      <c r="W217" s="11"/>
      <c r="X217" s="11"/>
      <c r="Y217" s="11"/>
      <c r="Z217" s="48"/>
      <c r="AA217" s="52"/>
      <c r="AB217" s="52"/>
      <c r="AC217" s="118"/>
      <c r="AD217" s="5"/>
      <c r="AE217" s="52"/>
      <c r="AF217" s="113">
        <v>1007000</v>
      </c>
      <c r="AG217" s="113">
        <f>AF217*0.19</f>
        <v>191330</v>
      </c>
      <c r="AH217" s="113">
        <f>AF217+AG217</f>
        <v>1198330</v>
      </c>
      <c r="AI217" s="277" t="s">
        <v>628</v>
      </c>
      <c r="AJ217" s="33" t="s">
        <v>1354</v>
      </c>
      <c r="AK217" s="269"/>
      <c r="AL217" s="269"/>
      <c r="AM217" s="116"/>
      <c r="AN217" s="301"/>
      <c r="AO217" s="302"/>
      <c r="AP217" s="11"/>
      <c r="AQ217" s="11"/>
      <c r="AR217" s="11"/>
      <c r="AS217" s="11"/>
      <c r="AT217" s="11"/>
      <c r="AU217" s="118">
        <v>296464</v>
      </c>
      <c r="AV217" s="118">
        <v>56328</v>
      </c>
      <c r="AW217" s="118">
        <v>352793</v>
      </c>
      <c r="AX217" s="52" t="s">
        <v>607</v>
      </c>
      <c r="AY217" s="52">
        <v>1029522511</v>
      </c>
      <c r="AZ217" s="11"/>
      <c r="BA217" s="11"/>
      <c r="BB217" s="11"/>
      <c r="BC217" s="11"/>
      <c r="BD217" s="11"/>
      <c r="BE217" s="274"/>
      <c r="BF217" s="274"/>
      <c r="BG217" s="274"/>
      <c r="BH217" s="11"/>
      <c r="BI217" s="11"/>
      <c r="BJ217" s="311"/>
      <c r="BK217" s="311"/>
      <c r="BL217" s="311"/>
      <c r="BM217" s="52"/>
      <c r="BN217" s="52"/>
      <c r="BO217" s="387"/>
      <c r="BP217" s="320"/>
      <c r="BQ217" s="320"/>
      <c r="BR217" s="76"/>
      <c r="BS217" s="4"/>
      <c r="BT217" s="11"/>
      <c r="BU217" s="11"/>
      <c r="BV217" s="11"/>
      <c r="BW217" s="11"/>
      <c r="BX217" s="11"/>
      <c r="BY217" s="348"/>
      <c r="BZ217" s="348"/>
      <c r="CA217" s="348"/>
      <c r="CB217" s="348"/>
      <c r="CC217" s="348"/>
      <c r="CD217" s="11"/>
      <c r="CE217" s="11"/>
      <c r="CF217" s="11"/>
      <c r="CG217" s="11"/>
      <c r="CH217" s="11"/>
      <c r="CI217" s="11"/>
      <c r="CJ217" s="11"/>
      <c r="CK217" s="11"/>
      <c r="CL217" s="11"/>
      <c r="CM217" s="11"/>
      <c r="CN217" s="274"/>
      <c r="CO217" s="274"/>
      <c r="CP217" s="274"/>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8"/>
      <c r="DN217" s="118"/>
      <c r="DO217" s="118"/>
      <c r="DP217" s="52"/>
      <c r="DQ217" s="52"/>
      <c r="DR217" s="77"/>
      <c r="DS217" s="77"/>
      <c r="DT217" s="77"/>
      <c r="DU217" s="11"/>
      <c r="DV217" s="11"/>
      <c r="DW217" s="11"/>
      <c r="DX217" s="11"/>
      <c r="DY217" s="11"/>
      <c r="DZ217" s="11"/>
      <c r="EA217" s="11"/>
      <c r="EB217" s="11"/>
      <c r="EC217" s="11"/>
      <c r="ED217" s="11"/>
      <c r="EE217" s="11"/>
      <c r="EF217" s="11"/>
    </row>
    <row r="218" spans="1:136" ht="40.5" x14ac:dyDescent="0.25">
      <c r="A218" s="425">
        <v>216</v>
      </c>
      <c r="B218" s="427" t="s">
        <v>1355</v>
      </c>
      <c r="C218" s="427" t="s">
        <v>1000</v>
      </c>
      <c r="D218" s="427" t="s">
        <v>549</v>
      </c>
      <c r="E218" s="79">
        <v>1</v>
      </c>
      <c r="F218" s="405"/>
      <c r="G218" s="274"/>
      <c r="H218" s="274"/>
      <c r="I218" s="274"/>
      <c r="J218" s="274"/>
      <c r="K218" s="11"/>
      <c r="L218" s="274"/>
      <c r="M218" s="274"/>
      <c r="N218" s="274"/>
      <c r="O218" s="48"/>
      <c r="P218" s="11"/>
      <c r="Q218" s="274"/>
      <c r="R218" s="274"/>
      <c r="S218" s="274"/>
      <c r="T218" s="11"/>
      <c r="U218" s="11"/>
      <c r="V218" s="11"/>
      <c r="W218" s="11"/>
      <c r="X218" s="11"/>
      <c r="Y218" s="11"/>
      <c r="Z218" s="48"/>
      <c r="AA218" s="52"/>
      <c r="AB218" s="52"/>
      <c r="AC218" s="118"/>
      <c r="AD218" s="5"/>
      <c r="AE218" s="52"/>
      <c r="AF218" s="113"/>
      <c r="AG218" s="113"/>
      <c r="AH218" s="113"/>
      <c r="AI218" s="52"/>
      <c r="AJ218" s="11"/>
      <c r="AK218" s="269"/>
      <c r="AL218" s="269"/>
      <c r="AM218" s="116"/>
      <c r="AN218" s="301"/>
      <c r="AO218" s="302"/>
      <c r="AP218" s="11"/>
      <c r="AQ218" s="11"/>
      <c r="AR218" s="11"/>
      <c r="AS218" s="11"/>
      <c r="AT218" s="11"/>
      <c r="AU218" s="118">
        <v>2159452</v>
      </c>
      <c r="AV218" s="118">
        <v>410296</v>
      </c>
      <c r="AW218" s="118">
        <v>2569747</v>
      </c>
      <c r="AX218" s="52" t="s">
        <v>607</v>
      </c>
      <c r="AY218" s="52" t="s">
        <v>1356</v>
      </c>
      <c r="AZ218" s="11"/>
      <c r="BA218" s="11"/>
      <c r="BB218" s="11"/>
      <c r="BC218" s="11"/>
      <c r="BD218" s="11"/>
      <c r="BE218" s="274">
        <v>1489000</v>
      </c>
      <c r="BF218" s="274">
        <v>282910</v>
      </c>
      <c r="BG218" s="274">
        <v>1771910</v>
      </c>
      <c r="BH218" s="11" t="s">
        <v>310</v>
      </c>
      <c r="BI218" s="11" t="s">
        <v>1357</v>
      </c>
      <c r="BJ218" s="311"/>
      <c r="BK218" s="311"/>
      <c r="BL218" s="311"/>
      <c r="BM218" s="52"/>
      <c r="BN218" s="52"/>
      <c r="BO218" s="387"/>
      <c r="BP218" s="320"/>
      <c r="BQ218" s="320"/>
      <c r="BR218" s="76"/>
      <c r="BS218" s="4"/>
      <c r="BT218" s="11"/>
      <c r="BU218" s="11"/>
      <c r="BV218" s="11"/>
      <c r="BW218" s="11"/>
      <c r="BX218" s="11"/>
      <c r="BY218" s="348"/>
      <c r="BZ218" s="348"/>
      <c r="CA218" s="348"/>
      <c r="CB218" s="348"/>
      <c r="CC218" s="348"/>
      <c r="CD218" s="11"/>
      <c r="CE218" s="11"/>
      <c r="CF218" s="11"/>
      <c r="CG218" s="11"/>
      <c r="CH218" s="11"/>
      <c r="CI218" s="11"/>
      <c r="CJ218" s="11"/>
      <c r="CK218" s="11"/>
      <c r="CL218" s="11"/>
      <c r="CM218" s="11"/>
      <c r="CN218" s="274"/>
      <c r="CO218" s="274"/>
      <c r="CP218" s="274"/>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8"/>
      <c r="DN218" s="118"/>
      <c r="DO218" s="118"/>
      <c r="DP218" s="52"/>
      <c r="DQ218" s="52"/>
      <c r="DR218" s="77"/>
      <c r="DS218" s="77"/>
      <c r="DT218" s="77"/>
      <c r="DU218" s="11"/>
      <c r="DV218" s="11"/>
      <c r="DW218" s="11"/>
      <c r="DX218" s="11"/>
      <c r="DY218" s="11"/>
      <c r="DZ218" s="11"/>
      <c r="EA218" s="11"/>
      <c r="EB218" s="11"/>
      <c r="EC218" s="11"/>
      <c r="ED218" s="11"/>
      <c r="EE218" s="11"/>
      <c r="EF218" s="11"/>
    </row>
    <row r="219" spans="1:136" ht="38.25" x14ac:dyDescent="0.25">
      <c r="A219" s="425">
        <v>217</v>
      </c>
      <c r="B219" s="426" t="s">
        <v>1358</v>
      </c>
      <c r="C219" s="413" t="s">
        <v>138</v>
      </c>
      <c r="D219" s="413" t="s">
        <v>609</v>
      </c>
      <c r="E219" s="79">
        <v>1</v>
      </c>
      <c r="F219" s="406">
        <v>3179901.34</v>
      </c>
      <c r="G219" s="274"/>
      <c r="H219" s="274"/>
      <c r="I219" s="274"/>
      <c r="J219" s="274"/>
      <c r="K219" s="11"/>
      <c r="L219" s="274">
        <v>520000</v>
      </c>
      <c r="M219" s="274">
        <f>L219*19%</f>
        <v>98800</v>
      </c>
      <c r="N219" s="274">
        <f>M219+L219</f>
        <v>618800</v>
      </c>
      <c r="O219" s="48" t="s">
        <v>862</v>
      </c>
      <c r="P219" s="11" t="s">
        <v>1359</v>
      </c>
      <c r="Q219" s="274"/>
      <c r="R219" s="274"/>
      <c r="S219" s="274"/>
      <c r="T219" s="11"/>
      <c r="U219" s="11"/>
      <c r="V219" s="11"/>
      <c r="W219" s="11"/>
      <c r="X219" s="11"/>
      <c r="Y219" s="11"/>
      <c r="Z219" s="48"/>
      <c r="AA219" s="293">
        <v>324000</v>
      </c>
      <c r="AB219" s="118">
        <f>+AA219*0.19</f>
        <v>61560</v>
      </c>
      <c r="AC219" s="118">
        <f>+AA219+AB219</f>
        <v>385560</v>
      </c>
      <c r="AD219" s="5" t="s">
        <v>610</v>
      </c>
      <c r="AE219" s="52" t="s">
        <v>1360</v>
      </c>
      <c r="AF219" s="113"/>
      <c r="AG219" s="113"/>
      <c r="AH219" s="113"/>
      <c r="AI219" s="52"/>
      <c r="AJ219" s="11"/>
      <c r="AK219" s="269"/>
      <c r="AL219" s="269"/>
      <c r="AM219" s="116"/>
      <c r="AN219" s="301"/>
      <c r="AO219" s="302"/>
      <c r="AP219" s="11"/>
      <c r="AQ219" s="11"/>
      <c r="AR219" s="11"/>
      <c r="AS219" s="11"/>
      <c r="AT219" s="11"/>
      <c r="AU219" s="118"/>
      <c r="AV219" s="118"/>
      <c r="AW219" s="118"/>
      <c r="AX219" s="52"/>
      <c r="AY219" s="52"/>
      <c r="AZ219" s="11"/>
      <c r="BA219" s="11"/>
      <c r="BB219" s="11"/>
      <c r="BC219" s="11"/>
      <c r="BD219" s="11"/>
      <c r="BE219" s="274"/>
      <c r="BF219" s="274"/>
      <c r="BG219" s="274"/>
      <c r="BH219" s="11"/>
      <c r="BI219" s="11"/>
      <c r="BJ219" s="311">
        <v>2654615.38</v>
      </c>
      <c r="BK219" s="311">
        <v>504376.92219999997</v>
      </c>
      <c r="BL219" s="311">
        <v>3158992.3021999998</v>
      </c>
      <c r="BM219" s="52" t="s">
        <v>138</v>
      </c>
      <c r="BN219" s="52">
        <v>10787026</v>
      </c>
      <c r="BO219" s="387">
        <v>679070</v>
      </c>
      <c r="BP219" s="320">
        <f>BO219*0.19</f>
        <v>129023.3</v>
      </c>
      <c r="BQ219" s="320">
        <f>BO219+BP219</f>
        <v>808093.3</v>
      </c>
      <c r="BR219" s="76" t="s">
        <v>1361</v>
      </c>
      <c r="BS219" s="4" t="s">
        <v>866</v>
      </c>
      <c r="BT219" s="11"/>
      <c r="BU219" s="11"/>
      <c r="BV219" s="11"/>
      <c r="BW219" s="11"/>
      <c r="BX219" s="11"/>
      <c r="BY219" s="348"/>
      <c r="BZ219" s="348"/>
      <c r="CA219" s="348"/>
      <c r="CB219" s="348"/>
      <c r="CC219" s="348"/>
      <c r="CD219" s="11"/>
      <c r="CE219" s="11"/>
      <c r="CF219" s="11"/>
      <c r="CG219" s="11"/>
      <c r="CH219" s="11"/>
      <c r="CI219" s="11"/>
      <c r="CJ219" s="11"/>
      <c r="CK219" s="11"/>
      <c r="CL219" s="11"/>
      <c r="CM219" s="11"/>
      <c r="CN219" s="274"/>
      <c r="CO219" s="274"/>
      <c r="CP219" s="274"/>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8"/>
      <c r="DN219" s="118"/>
      <c r="DO219" s="118"/>
      <c r="DP219" s="52"/>
      <c r="DQ219" s="52"/>
      <c r="DR219" s="77"/>
      <c r="DS219" s="77"/>
      <c r="DT219" s="77"/>
      <c r="DU219" s="11"/>
      <c r="DV219" s="11"/>
      <c r="DW219" s="11"/>
      <c r="DX219" s="11"/>
      <c r="DY219" s="11"/>
      <c r="DZ219" s="11"/>
      <c r="EA219" s="11"/>
      <c r="EB219" s="11"/>
      <c r="EC219" s="11"/>
      <c r="ED219" s="11"/>
      <c r="EE219" s="11"/>
      <c r="EF219" s="11"/>
    </row>
    <row r="220" spans="1:136" ht="27" x14ac:dyDescent="0.25">
      <c r="A220" s="425">
        <v>218</v>
      </c>
      <c r="B220" s="426" t="s">
        <v>1362</v>
      </c>
      <c r="C220" s="413" t="s">
        <v>138</v>
      </c>
      <c r="D220" s="413" t="s">
        <v>609</v>
      </c>
      <c r="E220" s="79">
        <v>1</v>
      </c>
      <c r="F220" s="406">
        <v>1327214.5828</v>
      </c>
      <c r="G220" s="274"/>
      <c r="H220" s="274"/>
      <c r="I220" s="274"/>
      <c r="J220" s="274"/>
      <c r="K220" s="11"/>
      <c r="L220" s="274"/>
      <c r="M220" s="274"/>
      <c r="N220" s="274"/>
      <c r="O220" s="48"/>
      <c r="P220" s="11"/>
      <c r="Q220" s="274"/>
      <c r="R220" s="274"/>
      <c r="S220" s="274"/>
      <c r="T220" s="11"/>
      <c r="U220" s="11"/>
      <c r="V220" s="11"/>
      <c r="W220" s="11"/>
      <c r="X220" s="11"/>
      <c r="Y220" s="11"/>
      <c r="Z220" s="48"/>
      <c r="AA220" s="293">
        <v>641250</v>
      </c>
      <c r="AB220" s="118">
        <f>+AA220*0.19</f>
        <v>121837.5</v>
      </c>
      <c r="AC220" s="118">
        <f>+AA220+AB220</f>
        <v>763087.5</v>
      </c>
      <c r="AD220" s="5" t="s">
        <v>610</v>
      </c>
      <c r="AE220" s="52" t="s">
        <v>1363</v>
      </c>
      <c r="AF220" s="113"/>
      <c r="AG220" s="113"/>
      <c r="AH220" s="113"/>
      <c r="AI220" s="52"/>
      <c r="AJ220" s="11"/>
      <c r="AK220" s="269"/>
      <c r="AL220" s="269"/>
      <c r="AM220" s="116"/>
      <c r="AN220" s="301"/>
      <c r="AO220" s="302"/>
      <c r="AP220" s="11"/>
      <c r="AQ220" s="11"/>
      <c r="AR220" s="11"/>
      <c r="AS220" s="11"/>
      <c r="AT220" s="11"/>
      <c r="AU220" s="118"/>
      <c r="AV220" s="118"/>
      <c r="AW220" s="118"/>
      <c r="AX220" s="52"/>
      <c r="AY220" s="52"/>
      <c r="AZ220" s="11"/>
      <c r="BA220" s="11"/>
      <c r="BB220" s="11"/>
      <c r="BC220" s="11"/>
      <c r="BD220" s="11"/>
      <c r="BE220" s="274"/>
      <c r="BF220" s="274"/>
      <c r="BG220" s="274"/>
      <c r="BH220" s="11"/>
      <c r="BI220" s="11"/>
      <c r="BJ220" s="311">
        <v>1270769.23</v>
      </c>
      <c r="BK220" s="311">
        <v>241446.1537</v>
      </c>
      <c r="BL220" s="311">
        <v>1512215.3836999999</v>
      </c>
      <c r="BM220" s="52" t="s">
        <v>138</v>
      </c>
      <c r="BN220" s="52" t="s">
        <v>1364</v>
      </c>
      <c r="BO220" s="387">
        <v>262690</v>
      </c>
      <c r="BP220" s="320">
        <f>BO220*0.19</f>
        <v>49911.1</v>
      </c>
      <c r="BQ220" s="320">
        <f>BO220+BP220</f>
        <v>312601.09999999998</v>
      </c>
      <c r="BR220" s="76" t="s">
        <v>1365</v>
      </c>
      <c r="BS220" s="4" t="s">
        <v>866</v>
      </c>
      <c r="BT220" s="11"/>
      <c r="BU220" s="11"/>
      <c r="BV220" s="11"/>
      <c r="BW220" s="11"/>
      <c r="BX220" s="11"/>
      <c r="BY220" s="348"/>
      <c r="BZ220" s="348"/>
      <c r="CA220" s="348"/>
      <c r="CB220" s="348"/>
      <c r="CC220" s="348"/>
      <c r="CD220" s="11"/>
      <c r="CE220" s="11"/>
      <c r="CF220" s="11"/>
      <c r="CG220" s="11"/>
      <c r="CH220" s="11"/>
      <c r="CI220" s="11"/>
      <c r="CJ220" s="11"/>
      <c r="CK220" s="11"/>
      <c r="CL220" s="11"/>
      <c r="CM220" s="11"/>
      <c r="CN220" s="274"/>
      <c r="CO220" s="274"/>
      <c r="CP220" s="274"/>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8"/>
      <c r="DN220" s="118"/>
      <c r="DO220" s="118"/>
      <c r="DP220" s="52"/>
      <c r="DQ220" s="52"/>
      <c r="DR220" s="77"/>
      <c r="DS220" s="77"/>
      <c r="DT220" s="77"/>
      <c r="DU220" s="11"/>
      <c r="DV220" s="11"/>
      <c r="DW220" s="11"/>
      <c r="DX220" s="11"/>
      <c r="DY220" s="11"/>
      <c r="DZ220" s="11"/>
      <c r="EA220" s="11"/>
      <c r="EB220" s="11"/>
      <c r="EC220" s="11"/>
      <c r="ED220" s="11"/>
      <c r="EE220" s="11"/>
      <c r="EF220" s="11"/>
    </row>
    <row r="221" spans="1:136" ht="30" customHeight="1" x14ac:dyDescent="0.25">
      <c r="A221" s="425">
        <v>219</v>
      </c>
      <c r="B221" s="427" t="s">
        <v>1366</v>
      </c>
      <c r="C221" s="413" t="s">
        <v>1367</v>
      </c>
      <c r="D221" s="413" t="s">
        <v>637</v>
      </c>
      <c r="E221" s="79">
        <v>1</v>
      </c>
      <c r="F221" s="405"/>
      <c r="G221" s="274">
        <v>282500</v>
      </c>
      <c r="H221" s="274">
        <v>53675</v>
      </c>
      <c r="I221" s="274">
        <v>336175</v>
      </c>
      <c r="J221" s="274" t="s">
        <v>45</v>
      </c>
      <c r="K221" s="11" t="s">
        <v>1368</v>
      </c>
      <c r="L221" s="274"/>
      <c r="M221" s="274"/>
      <c r="N221" s="274"/>
      <c r="O221" s="48"/>
      <c r="P221" s="11"/>
      <c r="Q221" s="274"/>
      <c r="R221" s="274"/>
      <c r="S221" s="274"/>
      <c r="T221" s="11"/>
      <c r="U221" s="11"/>
      <c r="V221" s="11"/>
      <c r="W221" s="11"/>
      <c r="X221" s="11"/>
      <c r="Y221" s="11"/>
      <c r="Z221" s="48"/>
      <c r="AA221" s="293">
        <v>246750</v>
      </c>
      <c r="AB221" s="118">
        <f>+AA221*0.19</f>
        <v>46882.5</v>
      </c>
      <c r="AC221" s="118">
        <f>+AA221+AB221</f>
        <v>293632.5</v>
      </c>
      <c r="AD221" s="5" t="s">
        <v>542</v>
      </c>
      <c r="AE221" s="52">
        <v>210330080</v>
      </c>
      <c r="AF221" s="113">
        <v>639000</v>
      </c>
      <c r="AG221" s="113">
        <f>AF221*0.19</f>
        <v>121410</v>
      </c>
      <c r="AH221" s="113">
        <f>AF221+AG221</f>
        <v>760410</v>
      </c>
      <c r="AI221" s="277" t="s">
        <v>628</v>
      </c>
      <c r="AJ221" s="33" t="s">
        <v>1369</v>
      </c>
      <c r="AK221" s="269">
        <v>288000</v>
      </c>
      <c r="AL221" s="269">
        <v>54720</v>
      </c>
      <c r="AM221" s="116">
        <v>342720</v>
      </c>
      <c r="AN221" s="301" t="s">
        <v>88</v>
      </c>
      <c r="AO221" s="302">
        <v>1086890100</v>
      </c>
      <c r="AP221" s="11"/>
      <c r="AQ221" s="11"/>
      <c r="AR221" s="11"/>
      <c r="AS221" s="11"/>
      <c r="AT221" s="11"/>
      <c r="AU221" s="118">
        <v>374026</v>
      </c>
      <c r="AV221" s="118">
        <v>71065</v>
      </c>
      <c r="AW221" s="118">
        <v>445091</v>
      </c>
      <c r="AX221" s="52" t="s">
        <v>607</v>
      </c>
      <c r="AY221" s="52">
        <v>1086890100</v>
      </c>
      <c r="AZ221" s="11"/>
      <c r="BA221" s="11"/>
      <c r="BB221" s="11"/>
      <c r="BC221" s="11"/>
      <c r="BD221" s="11"/>
      <c r="BE221" s="274"/>
      <c r="BF221" s="274"/>
      <c r="BG221" s="274"/>
      <c r="BH221" s="11"/>
      <c r="BI221" s="11"/>
      <c r="BJ221" s="311"/>
      <c r="BK221" s="311"/>
      <c r="BL221" s="311"/>
      <c r="BM221" s="52"/>
      <c r="BN221" s="52"/>
      <c r="BO221" s="387"/>
      <c r="BP221" s="320"/>
      <c r="BQ221" s="320"/>
      <c r="BR221" s="76"/>
      <c r="BS221" s="4"/>
      <c r="BT221" s="11"/>
      <c r="BU221" s="11"/>
      <c r="BV221" s="11"/>
      <c r="BW221" s="11"/>
      <c r="BX221" s="11"/>
      <c r="BY221" s="348"/>
      <c r="BZ221" s="348"/>
      <c r="CA221" s="348"/>
      <c r="CB221" s="348"/>
      <c r="CC221" s="348"/>
      <c r="CD221" s="11"/>
      <c r="CE221" s="11"/>
      <c r="CF221" s="11"/>
      <c r="CG221" s="11"/>
      <c r="CH221" s="11"/>
      <c r="CI221" s="11"/>
      <c r="CJ221" s="11"/>
      <c r="CK221" s="11"/>
      <c r="CL221" s="11"/>
      <c r="CM221" s="11"/>
      <c r="CN221" s="274"/>
      <c r="CO221" s="274"/>
      <c r="CP221" s="274"/>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8"/>
      <c r="DN221" s="118"/>
      <c r="DO221" s="118"/>
      <c r="DP221" s="52"/>
      <c r="DQ221" s="52"/>
      <c r="DR221" s="77"/>
      <c r="DS221" s="77"/>
      <c r="DT221" s="77"/>
      <c r="DU221" s="11"/>
      <c r="DV221" s="11"/>
      <c r="DW221" s="11"/>
      <c r="DX221" s="11"/>
      <c r="DY221" s="11"/>
      <c r="DZ221" s="11"/>
      <c r="EA221" s="11"/>
      <c r="EB221" s="11"/>
      <c r="EC221" s="11"/>
      <c r="ED221" s="11"/>
      <c r="EE221" s="11"/>
      <c r="EF221" s="11"/>
    </row>
    <row r="222" spans="1:136" ht="13.5" x14ac:dyDescent="0.25">
      <c r="A222" s="425">
        <v>220</v>
      </c>
      <c r="B222" s="413" t="s">
        <v>1370</v>
      </c>
      <c r="C222" s="413" t="s">
        <v>1371</v>
      </c>
      <c r="D222" s="413" t="s">
        <v>637</v>
      </c>
      <c r="E222" s="79">
        <v>1</v>
      </c>
      <c r="F222" s="406">
        <v>188531.7</v>
      </c>
      <c r="G222" s="274">
        <v>315000</v>
      </c>
      <c r="H222" s="274">
        <v>59850</v>
      </c>
      <c r="I222" s="274">
        <v>374850</v>
      </c>
      <c r="J222" s="274" t="s">
        <v>45</v>
      </c>
      <c r="K222" s="11" t="s">
        <v>1372</v>
      </c>
      <c r="L222" s="274"/>
      <c r="M222" s="274"/>
      <c r="N222" s="274"/>
      <c r="O222" s="48"/>
      <c r="P222" s="11"/>
      <c r="Q222" s="274"/>
      <c r="R222" s="274"/>
      <c r="S222" s="274"/>
      <c r="T222" s="11"/>
      <c r="U222" s="11"/>
      <c r="V222" s="11"/>
      <c r="W222" s="11"/>
      <c r="X222" s="11"/>
      <c r="Y222" s="11"/>
      <c r="Z222" s="48"/>
      <c r="AA222" s="52"/>
      <c r="AB222" s="52"/>
      <c r="AC222" s="118"/>
      <c r="AD222" s="5"/>
      <c r="AE222" s="52"/>
      <c r="AF222" s="113">
        <v>236000</v>
      </c>
      <c r="AG222" s="113">
        <f>AF222*0.19</f>
        <v>44840</v>
      </c>
      <c r="AH222" s="113">
        <f>AF222+AG222</f>
        <v>280840</v>
      </c>
      <c r="AI222" s="277" t="s">
        <v>628</v>
      </c>
      <c r="AJ222" s="33" t="s">
        <v>1373</v>
      </c>
      <c r="AK222" s="269">
        <v>160170</v>
      </c>
      <c r="AL222" s="269">
        <v>30432.3</v>
      </c>
      <c r="AM222" s="116">
        <v>190602.3</v>
      </c>
      <c r="AN222" s="301" t="s">
        <v>88</v>
      </c>
      <c r="AO222" s="302">
        <v>1084180100</v>
      </c>
      <c r="AP222" s="11"/>
      <c r="AQ222" s="11"/>
      <c r="AR222" s="11"/>
      <c r="AS222" s="11"/>
      <c r="AT222" s="11"/>
      <c r="AU222" s="118">
        <v>255844</v>
      </c>
      <c r="AV222" s="118">
        <v>48610</v>
      </c>
      <c r="AW222" s="118">
        <v>304455</v>
      </c>
      <c r="AX222" s="52" t="s">
        <v>607</v>
      </c>
      <c r="AY222" s="52" t="s">
        <v>1374</v>
      </c>
      <c r="AZ222" s="11"/>
      <c r="BA222" s="11"/>
      <c r="BB222" s="11"/>
      <c r="BC222" s="11"/>
      <c r="BD222" s="11"/>
      <c r="BE222" s="274"/>
      <c r="BF222" s="274"/>
      <c r="BG222" s="274"/>
      <c r="BH222" s="11"/>
      <c r="BI222" s="11"/>
      <c r="BJ222" s="311"/>
      <c r="BK222" s="311"/>
      <c r="BL222" s="311"/>
      <c r="BM222" s="52"/>
      <c r="BN222" s="52"/>
      <c r="BO222" s="387"/>
      <c r="BP222" s="320"/>
      <c r="BQ222" s="320"/>
      <c r="BR222" s="76"/>
      <c r="BS222" s="4"/>
      <c r="BT222" s="11"/>
      <c r="BU222" s="11"/>
      <c r="BV222" s="11"/>
      <c r="BW222" s="11"/>
      <c r="BX222" s="11"/>
      <c r="BY222" s="348"/>
      <c r="BZ222" s="348"/>
      <c r="CA222" s="348"/>
      <c r="CB222" s="348"/>
      <c r="CC222" s="348"/>
      <c r="CD222" s="11"/>
      <c r="CE222" s="11"/>
      <c r="CF222" s="11"/>
      <c r="CG222" s="11"/>
      <c r="CH222" s="11"/>
      <c r="CI222" s="11"/>
      <c r="CJ222" s="11"/>
      <c r="CK222" s="11"/>
      <c r="CL222" s="11"/>
      <c r="CM222" s="11"/>
      <c r="CN222" s="274"/>
      <c r="CO222" s="274"/>
      <c r="CP222" s="274"/>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8"/>
      <c r="DN222" s="118"/>
      <c r="DO222" s="118"/>
      <c r="DP222" s="52"/>
      <c r="DQ222" s="52"/>
      <c r="DR222" s="77"/>
      <c r="DS222" s="77"/>
      <c r="DT222" s="77"/>
      <c r="DU222" s="11"/>
      <c r="DV222" s="11"/>
      <c r="DW222" s="274">
        <v>180400</v>
      </c>
      <c r="DX222" s="274">
        <v>71064.935064935067</v>
      </c>
      <c r="DY222" s="274">
        <f>+DW222+DX222</f>
        <v>251464.93506493507</v>
      </c>
      <c r="DZ222" s="382" t="s">
        <v>1375</v>
      </c>
      <c r="EA222" s="11"/>
      <c r="EB222" s="11"/>
      <c r="EC222" s="11"/>
      <c r="ED222" s="11"/>
      <c r="EE222" s="11"/>
      <c r="EF222" s="11"/>
    </row>
    <row r="223" spans="1:136" ht="25.5" customHeight="1" x14ac:dyDescent="0.25">
      <c r="A223" s="425">
        <v>221</v>
      </c>
      <c r="B223" s="427" t="s">
        <v>1376</v>
      </c>
      <c r="C223" s="427" t="s">
        <v>1377</v>
      </c>
      <c r="D223" s="427" t="s">
        <v>1378</v>
      </c>
      <c r="E223" s="79">
        <v>1</v>
      </c>
      <c r="F223" s="405"/>
      <c r="G223" s="274"/>
      <c r="H223" s="274"/>
      <c r="I223" s="274"/>
      <c r="J223" s="274"/>
      <c r="K223" s="11"/>
      <c r="L223" s="274"/>
      <c r="M223" s="274"/>
      <c r="N223" s="274"/>
      <c r="O223" s="48"/>
      <c r="P223" s="11"/>
      <c r="Q223" s="274"/>
      <c r="R223" s="274"/>
      <c r="S223" s="274"/>
      <c r="T223" s="11"/>
      <c r="U223" s="11"/>
      <c r="V223" s="11"/>
      <c r="W223" s="11"/>
      <c r="X223" s="11"/>
      <c r="Y223" s="11"/>
      <c r="Z223" s="48"/>
      <c r="AA223" s="52"/>
      <c r="AB223" s="52"/>
      <c r="AC223" s="118"/>
      <c r="AD223" s="5"/>
      <c r="AE223" s="52"/>
      <c r="AF223" s="113"/>
      <c r="AG223" s="113"/>
      <c r="AH223" s="113"/>
      <c r="AI223" s="52"/>
      <c r="AJ223" s="11"/>
      <c r="AK223" s="269">
        <v>747000</v>
      </c>
      <c r="AL223" s="269">
        <v>141930</v>
      </c>
      <c r="AM223" s="116">
        <v>888930</v>
      </c>
      <c r="AN223" s="301" t="s">
        <v>37</v>
      </c>
      <c r="AO223" s="302" t="s">
        <v>1379</v>
      </c>
      <c r="AP223" s="11"/>
      <c r="AQ223" s="11"/>
      <c r="AR223" s="11"/>
      <c r="AS223" s="11"/>
      <c r="AT223" s="11"/>
      <c r="AU223" s="118">
        <v>786883</v>
      </c>
      <c r="AV223" s="118">
        <v>149508</v>
      </c>
      <c r="AW223" s="118">
        <v>936391</v>
      </c>
      <c r="AX223" s="52" t="s">
        <v>607</v>
      </c>
      <c r="AY223" s="52" t="s">
        <v>1379</v>
      </c>
      <c r="AZ223" s="11"/>
      <c r="BA223" s="11"/>
      <c r="BB223" s="11"/>
      <c r="BC223" s="11"/>
      <c r="BD223" s="11"/>
      <c r="BE223" s="274">
        <v>1364000</v>
      </c>
      <c r="BF223" s="274">
        <v>259160</v>
      </c>
      <c r="BG223" s="274">
        <v>1623160</v>
      </c>
      <c r="BH223" s="11" t="s">
        <v>37</v>
      </c>
      <c r="BI223" s="11" t="s">
        <v>1379</v>
      </c>
      <c r="BJ223" s="311"/>
      <c r="BK223" s="311"/>
      <c r="BL223" s="311"/>
      <c r="BM223" s="52"/>
      <c r="BN223" s="52"/>
      <c r="BO223" s="387"/>
      <c r="BP223" s="320"/>
      <c r="BQ223" s="320"/>
      <c r="BR223" s="76"/>
      <c r="BS223" s="4"/>
      <c r="BT223" s="11"/>
      <c r="BU223" s="11"/>
      <c r="BV223" s="11"/>
      <c r="BW223" s="11"/>
      <c r="BX223" s="11"/>
      <c r="BY223" s="348"/>
      <c r="BZ223" s="348"/>
      <c r="CA223" s="348"/>
      <c r="CB223" s="348"/>
      <c r="CC223" s="348"/>
      <c r="CD223" s="11"/>
      <c r="CE223" s="11"/>
      <c r="CF223" s="11"/>
      <c r="CG223" s="11"/>
      <c r="CH223" s="11"/>
      <c r="CI223" s="11"/>
      <c r="CJ223" s="11"/>
      <c r="CK223" s="11"/>
      <c r="CL223" s="11"/>
      <c r="CM223" s="11"/>
      <c r="CN223" s="274"/>
      <c r="CO223" s="274"/>
      <c r="CP223" s="274"/>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8"/>
      <c r="DN223" s="118"/>
      <c r="DO223" s="118"/>
      <c r="DP223" s="52"/>
      <c r="DQ223" s="52"/>
      <c r="DR223" s="77"/>
      <c r="DS223" s="77"/>
      <c r="DT223" s="77"/>
      <c r="DU223" s="11"/>
      <c r="DV223" s="11"/>
      <c r="DW223" s="11"/>
      <c r="DX223" s="11"/>
      <c r="DY223" s="11"/>
      <c r="DZ223" s="11"/>
      <c r="EA223" s="11"/>
      <c r="EB223" s="11"/>
      <c r="EC223" s="11"/>
      <c r="ED223" s="11"/>
      <c r="EE223" s="11"/>
      <c r="EF223" s="11"/>
    </row>
    <row r="224" spans="1:136" ht="38.25" x14ac:dyDescent="0.25">
      <c r="A224" s="425">
        <v>222</v>
      </c>
      <c r="B224" s="427" t="s">
        <v>1380</v>
      </c>
      <c r="C224" s="413" t="s">
        <v>952</v>
      </c>
      <c r="D224" s="413" t="s">
        <v>132</v>
      </c>
      <c r="E224" s="79">
        <v>1</v>
      </c>
      <c r="F224" s="406">
        <v>389632.18</v>
      </c>
      <c r="G224" s="274">
        <v>531250</v>
      </c>
      <c r="H224" s="274">
        <v>100937.5</v>
      </c>
      <c r="I224" s="274">
        <v>632187.5</v>
      </c>
      <c r="J224" s="274" t="s">
        <v>45</v>
      </c>
      <c r="K224" s="11" t="s">
        <v>1381</v>
      </c>
      <c r="L224" s="274">
        <v>740000</v>
      </c>
      <c r="M224" s="274">
        <f>L224*19%</f>
        <v>140600</v>
      </c>
      <c r="N224" s="274">
        <f>M224+L224</f>
        <v>880600</v>
      </c>
      <c r="O224" s="48" t="s">
        <v>862</v>
      </c>
      <c r="P224" s="11" t="s">
        <v>1382</v>
      </c>
      <c r="Q224" s="274"/>
      <c r="R224" s="274"/>
      <c r="S224" s="274"/>
      <c r="T224" s="11"/>
      <c r="U224" s="11"/>
      <c r="V224" s="11"/>
      <c r="W224" s="11"/>
      <c r="X224" s="11"/>
      <c r="Y224" s="11"/>
      <c r="Z224" s="48"/>
      <c r="AA224" s="293">
        <v>911050</v>
      </c>
      <c r="AB224" s="118">
        <f>+AA224*0.19</f>
        <v>173099.5</v>
      </c>
      <c r="AC224" s="118">
        <f>+AA224+AB224</f>
        <v>1084149.5</v>
      </c>
      <c r="AD224" s="5" t="s">
        <v>542</v>
      </c>
      <c r="AE224" s="52" t="s">
        <v>1383</v>
      </c>
      <c r="AF224" s="113">
        <v>996000</v>
      </c>
      <c r="AG224" s="113">
        <f>AF224*0.19</f>
        <v>189240</v>
      </c>
      <c r="AH224" s="113">
        <f>AF224+AG224</f>
        <v>1185240</v>
      </c>
      <c r="AI224" s="277" t="s">
        <v>628</v>
      </c>
      <c r="AJ224" s="33" t="s">
        <v>1384</v>
      </c>
      <c r="AK224" s="269"/>
      <c r="AL224" s="269"/>
      <c r="AM224" s="269"/>
      <c r="AN224" s="301"/>
      <c r="AO224" s="302"/>
      <c r="AP224" s="11"/>
      <c r="AQ224" s="11"/>
      <c r="AR224" s="11"/>
      <c r="AS224" s="11"/>
      <c r="AT224" s="11"/>
      <c r="AU224" s="118">
        <v>817633</v>
      </c>
      <c r="AV224" s="118">
        <v>155350</v>
      </c>
      <c r="AW224" s="118">
        <v>972983</v>
      </c>
      <c r="AX224" s="52" t="s">
        <v>607</v>
      </c>
      <c r="AY224" s="52">
        <v>1084541000</v>
      </c>
      <c r="AZ224" s="11"/>
      <c r="BA224" s="11"/>
      <c r="BB224" s="11"/>
      <c r="BC224" s="11"/>
      <c r="BD224" s="11"/>
      <c r="BE224" s="274"/>
      <c r="BF224" s="274"/>
      <c r="BG224" s="274"/>
      <c r="BH224" s="11"/>
      <c r="BI224" s="11"/>
      <c r="BJ224" s="311"/>
      <c r="BK224" s="311"/>
      <c r="BL224" s="311"/>
      <c r="BM224" s="52"/>
      <c r="BN224" s="52"/>
      <c r="BO224" s="387">
        <v>635470</v>
      </c>
      <c r="BP224" s="320">
        <f>BO224*0.19</f>
        <v>120739.3</v>
      </c>
      <c r="BQ224" s="320">
        <f>BO224+BP224</f>
        <v>756209.3</v>
      </c>
      <c r="BR224" s="4" t="s">
        <v>1385</v>
      </c>
      <c r="BS224" s="4" t="s">
        <v>866</v>
      </c>
      <c r="BT224" s="11"/>
      <c r="BU224" s="11"/>
      <c r="BV224" s="11"/>
      <c r="BW224" s="11"/>
      <c r="BX224" s="11"/>
      <c r="BY224" s="348"/>
      <c r="BZ224" s="348"/>
      <c r="CA224" s="348"/>
      <c r="CB224" s="348"/>
      <c r="CC224" s="348"/>
      <c r="CD224" s="11"/>
      <c r="CE224" s="11"/>
      <c r="CF224" s="11"/>
      <c r="CG224" s="11"/>
      <c r="CH224" s="11"/>
      <c r="CI224" s="11"/>
      <c r="CJ224" s="11"/>
      <c r="CK224" s="11"/>
      <c r="CL224" s="11"/>
      <c r="CM224" s="11"/>
      <c r="CN224" s="274"/>
      <c r="CO224" s="274"/>
      <c r="CP224" s="274"/>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8"/>
      <c r="DN224" s="118"/>
      <c r="DO224" s="118"/>
      <c r="DP224" s="52"/>
      <c r="DQ224" s="52"/>
      <c r="DR224" s="77"/>
      <c r="DS224" s="77"/>
      <c r="DT224" s="77"/>
      <c r="DU224" s="11"/>
      <c r="DV224" s="11"/>
      <c r="DW224" s="274">
        <v>505000</v>
      </c>
      <c r="DX224" s="274">
        <v>71064.935064935067</v>
      </c>
      <c r="DY224" s="274">
        <f>+DW224+DX224</f>
        <v>576064.93506493513</v>
      </c>
      <c r="DZ224" s="383" t="s">
        <v>1375</v>
      </c>
      <c r="EA224" s="11"/>
      <c r="EB224" s="11"/>
      <c r="EC224" s="11"/>
      <c r="ED224" s="11"/>
      <c r="EE224" s="11"/>
      <c r="EF224" s="11"/>
    </row>
    <row r="225" spans="1:136" ht="40.5" x14ac:dyDescent="0.25">
      <c r="A225" s="425">
        <v>223</v>
      </c>
      <c r="B225" s="427" t="s">
        <v>1386</v>
      </c>
      <c r="C225" s="413" t="s">
        <v>1387</v>
      </c>
      <c r="D225" s="413" t="s">
        <v>1388</v>
      </c>
      <c r="E225" s="79">
        <v>1</v>
      </c>
      <c r="F225" s="406">
        <v>542971.29599999997</v>
      </c>
      <c r="G225" s="274"/>
      <c r="H225" s="274"/>
      <c r="I225" s="274"/>
      <c r="J225" s="274"/>
      <c r="K225" s="11"/>
      <c r="L225" s="274"/>
      <c r="M225" s="274"/>
      <c r="N225" s="274"/>
      <c r="O225" s="48"/>
      <c r="P225" s="11"/>
      <c r="Q225" s="274"/>
      <c r="R225" s="274"/>
      <c r="S225" s="274"/>
      <c r="T225" s="11"/>
      <c r="U225" s="11"/>
      <c r="V225" s="11"/>
      <c r="W225" s="11"/>
      <c r="X225" s="11"/>
      <c r="Y225" s="11"/>
      <c r="Z225" s="48"/>
      <c r="AA225" s="52"/>
      <c r="AB225" s="52"/>
      <c r="AC225" s="118"/>
      <c r="AD225" s="5"/>
      <c r="AE225" s="52"/>
      <c r="AF225" s="113">
        <v>89000</v>
      </c>
      <c r="AG225" s="113">
        <f>AF225*0.19</f>
        <v>16910</v>
      </c>
      <c r="AH225" s="113">
        <f>AF225+AG225</f>
        <v>105910</v>
      </c>
      <c r="AI225" s="277" t="s">
        <v>628</v>
      </c>
      <c r="AJ225" s="33" t="s">
        <v>1281</v>
      </c>
      <c r="AK225" s="269"/>
      <c r="AL225" s="269"/>
      <c r="AM225" s="269"/>
      <c r="AN225" s="301"/>
      <c r="AO225" s="302"/>
      <c r="AP225" s="11"/>
      <c r="AQ225" s="11"/>
      <c r="AR225" s="11"/>
      <c r="AS225" s="11"/>
      <c r="AT225" s="11"/>
      <c r="AU225" s="118"/>
      <c r="AV225" s="118"/>
      <c r="AW225" s="118"/>
      <c r="AX225" s="52"/>
      <c r="AY225" s="52"/>
      <c r="AZ225" s="11"/>
      <c r="BA225" s="11"/>
      <c r="BB225" s="11"/>
      <c r="BC225" s="11"/>
      <c r="BD225" s="11"/>
      <c r="BE225" s="274"/>
      <c r="BF225" s="274"/>
      <c r="BG225" s="274"/>
      <c r="BH225" s="11"/>
      <c r="BI225" s="11"/>
      <c r="BJ225" s="311"/>
      <c r="BK225" s="311"/>
      <c r="BL225" s="311"/>
      <c r="BM225" s="52"/>
      <c r="BN225" s="52"/>
      <c r="BO225" s="387"/>
      <c r="BP225" s="320"/>
      <c r="BQ225" s="320"/>
      <c r="BR225" s="4"/>
      <c r="BS225" s="4"/>
      <c r="BT225" s="11"/>
      <c r="BU225" s="11"/>
      <c r="BV225" s="11"/>
      <c r="BW225" s="11"/>
      <c r="BX225" s="11"/>
      <c r="BY225" s="348"/>
      <c r="BZ225" s="348"/>
      <c r="CA225" s="348"/>
      <c r="CB225" s="348"/>
      <c r="CC225" s="348"/>
      <c r="CD225" s="11"/>
      <c r="CE225" s="11"/>
      <c r="CF225" s="11"/>
      <c r="CG225" s="11"/>
      <c r="CH225" s="11"/>
      <c r="CI225" s="11"/>
      <c r="CJ225" s="11"/>
      <c r="CK225" s="11"/>
      <c r="CL225" s="11"/>
      <c r="CM225" s="11"/>
      <c r="CN225" s="274"/>
      <c r="CO225" s="274"/>
      <c r="CP225" s="274"/>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8"/>
      <c r="DN225" s="118"/>
      <c r="DO225" s="118"/>
      <c r="DP225" s="52"/>
      <c r="DQ225" s="52"/>
      <c r="DR225" s="77"/>
      <c r="DS225" s="77"/>
      <c r="DT225" s="77"/>
      <c r="DU225" s="11"/>
      <c r="DV225" s="11"/>
      <c r="DW225" s="11"/>
      <c r="DX225" s="11"/>
      <c r="DY225" s="11"/>
      <c r="DZ225" s="11"/>
      <c r="EA225" s="11"/>
      <c r="EB225" s="11"/>
      <c r="EC225" s="11"/>
      <c r="ED225" s="11"/>
      <c r="EE225" s="11"/>
      <c r="EF225" s="11"/>
    </row>
    <row r="226" spans="1:136" ht="13.5" x14ac:dyDescent="0.25">
      <c r="A226" s="425">
        <v>224</v>
      </c>
      <c r="B226" s="427" t="s">
        <v>1389</v>
      </c>
      <c r="C226" s="427" t="s">
        <v>622</v>
      </c>
      <c r="D226" s="413" t="s">
        <v>1390</v>
      </c>
      <c r="E226" s="79">
        <v>1</v>
      </c>
      <c r="F226" s="406">
        <v>693796.65600000008</v>
      </c>
      <c r="G226" s="274"/>
      <c r="H226" s="274"/>
      <c r="I226" s="274"/>
      <c r="J226" s="274"/>
      <c r="K226" s="11"/>
      <c r="L226" s="274"/>
      <c r="M226" s="274"/>
      <c r="N226" s="274"/>
      <c r="O226" s="48"/>
      <c r="P226" s="11"/>
      <c r="Q226" s="274"/>
      <c r="R226" s="274"/>
      <c r="S226" s="274"/>
      <c r="T226" s="11"/>
      <c r="U226" s="11"/>
      <c r="V226" s="11"/>
      <c r="W226" s="11"/>
      <c r="X226" s="11"/>
      <c r="Y226" s="11"/>
      <c r="Z226" s="48"/>
      <c r="AA226" s="52"/>
      <c r="AB226" s="52"/>
      <c r="AC226" s="118"/>
      <c r="AD226" s="5"/>
      <c r="AE226" s="52"/>
      <c r="AF226" s="113"/>
      <c r="AG226" s="113"/>
      <c r="AH226" s="113"/>
      <c r="AI226" s="52"/>
      <c r="AJ226" s="11"/>
      <c r="AK226" s="269"/>
      <c r="AL226" s="269"/>
      <c r="AM226" s="269"/>
      <c r="AN226" s="301"/>
      <c r="AO226" s="302"/>
      <c r="AP226" s="11"/>
      <c r="AQ226" s="11"/>
      <c r="AR226" s="11"/>
      <c r="AS226" s="11"/>
      <c r="AT226" s="11"/>
      <c r="AU226" s="118">
        <v>408716</v>
      </c>
      <c r="AV226" s="118">
        <v>77656</v>
      </c>
      <c r="AW226" s="118">
        <v>486372</v>
      </c>
      <c r="AX226" s="52" t="s">
        <v>607</v>
      </c>
      <c r="AY226" s="52" t="s">
        <v>1391</v>
      </c>
      <c r="AZ226" s="11"/>
      <c r="BA226" s="11"/>
      <c r="BB226" s="11"/>
      <c r="BC226" s="11"/>
      <c r="BD226" s="11"/>
      <c r="BE226" s="274">
        <v>1113000</v>
      </c>
      <c r="BF226" s="274">
        <v>211470</v>
      </c>
      <c r="BG226" s="274">
        <v>1324470</v>
      </c>
      <c r="BH226" s="11" t="s">
        <v>338</v>
      </c>
      <c r="BI226" s="11" t="s">
        <v>1392</v>
      </c>
      <c r="BJ226" s="311"/>
      <c r="BK226" s="311"/>
      <c r="BL226" s="311"/>
      <c r="BM226" s="52"/>
      <c r="BN226" s="52"/>
      <c r="BO226" s="387"/>
      <c r="BP226" s="320"/>
      <c r="BQ226" s="320"/>
      <c r="BR226" s="4"/>
      <c r="BS226" s="4"/>
      <c r="BT226" s="11"/>
      <c r="BU226" s="11"/>
      <c r="BV226" s="11"/>
      <c r="BW226" s="11"/>
      <c r="BX226" s="11"/>
      <c r="BY226" s="348"/>
      <c r="BZ226" s="348"/>
      <c r="CA226" s="348"/>
      <c r="CB226" s="348"/>
      <c r="CC226" s="348"/>
      <c r="CD226" s="11"/>
      <c r="CE226" s="11"/>
      <c r="CF226" s="11"/>
      <c r="CG226" s="11"/>
      <c r="CH226" s="11"/>
      <c r="CI226" s="11"/>
      <c r="CJ226" s="11"/>
      <c r="CK226" s="11"/>
      <c r="CL226" s="11"/>
      <c r="CM226" s="11"/>
      <c r="CN226" s="274"/>
      <c r="CO226" s="274"/>
      <c r="CP226" s="274"/>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8"/>
      <c r="DN226" s="118"/>
      <c r="DO226" s="118"/>
      <c r="DP226" s="52"/>
      <c r="DQ226" s="52"/>
      <c r="DR226" s="77"/>
      <c r="DS226" s="77"/>
      <c r="DT226" s="77"/>
      <c r="DU226" s="11"/>
      <c r="DV226" s="11"/>
      <c r="DW226" s="11"/>
      <c r="DX226" s="11"/>
      <c r="DY226" s="11"/>
      <c r="DZ226" s="11"/>
      <c r="EA226" s="11"/>
      <c r="EB226" s="11"/>
      <c r="EC226" s="11"/>
      <c r="ED226" s="11"/>
      <c r="EE226" s="11"/>
      <c r="EF226" s="11"/>
    </row>
    <row r="227" spans="1:136" ht="25.5" customHeight="1" x14ac:dyDescent="0.25">
      <c r="A227" s="425">
        <v>225</v>
      </c>
      <c r="B227" s="427" t="s">
        <v>1393</v>
      </c>
      <c r="C227" s="413" t="s">
        <v>1394</v>
      </c>
      <c r="D227" s="413" t="s">
        <v>1395</v>
      </c>
      <c r="E227" s="79">
        <v>1</v>
      </c>
      <c r="F227" s="405">
        <v>2929530.1861999999</v>
      </c>
      <c r="G227" s="274"/>
      <c r="H227" s="274"/>
      <c r="I227" s="274"/>
      <c r="J227" s="274"/>
      <c r="K227" s="11"/>
      <c r="L227" s="274"/>
      <c r="M227" s="274"/>
      <c r="N227" s="274"/>
      <c r="O227" s="48"/>
      <c r="P227" s="11"/>
      <c r="Q227" s="274"/>
      <c r="R227" s="274"/>
      <c r="S227" s="274"/>
      <c r="T227" s="11"/>
      <c r="U227" s="11"/>
      <c r="V227" s="11"/>
      <c r="W227" s="11"/>
      <c r="X227" s="11"/>
      <c r="Y227" s="11"/>
      <c r="Z227" s="48"/>
      <c r="AA227" s="52"/>
      <c r="AB227" s="52"/>
      <c r="AC227" s="118"/>
      <c r="AD227" s="5"/>
      <c r="AE227" s="52"/>
      <c r="AF227" s="113"/>
      <c r="AG227" s="113"/>
      <c r="AH227" s="113"/>
      <c r="AI227" s="52"/>
      <c r="AJ227" s="11"/>
      <c r="AK227" s="269"/>
      <c r="AL227" s="269"/>
      <c r="AM227" s="269"/>
      <c r="AN227" s="301"/>
      <c r="AO227" s="302"/>
      <c r="AP227" s="11"/>
      <c r="AQ227" s="11"/>
      <c r="AR227" s="11"/>
      <c r="AS227" s="11"/>
      <c r="AT227" s="11"/>
      <c r="AU227" s="118"/>
      <c r="AV227" s="118"/>
      <c r="AW227" s="118"/>
      <c r="AX227" s="52"/>
      <c r="AY227" s="52"/>
      <c r="AZ227" s="11"/>
      <c r="BA227" s="11"/>
      <c r="BB227" s="11"/>
      <c r="BC227" s="11"/>
      <c r="BD227" s="11"/>
      <c r="BE227" s="274"/>
      <c r="BF227" s="274"/>
      <c r="BG227" s="274"/>
      <c r="BH227" s="11"/>
      <c r="BI227" s="11"/>
      <c r="BJ227" s="311"/>
      <c r="BK227" s="311"/>
      <c r="BL227" s="311"/>
      <c r="BM227" s="52"/>
      <c r="BN227" s="52"/>
      <c r="BO227" s="387"/>
      <c r="BP227" s="320"/>
      <c r="BQ227" s="320"/>
      <c r="BR227" s="4"/>
      <c r="BS227" s="4"/>
      <c r="BT227" s="11"/>
      <c r="BU227" s="11"/>
      <c r="BV227" s="11"/>
      <c r="BW227" s="11"/>
      <c r="BX227" s="11"/>
      <c r="BY227" s="348"/>
      <c r="BZ227" s="348"/>
      <c r="CA227" s="348"/>
      <c r="CB227" s="348"/>
      <c r="CC227" s="348"/>
      <c r="CD227" s="11"/>
      <c r="CE227" s="11"/>
      <c r="CF227" s="11"/>
      <c r="CG227" s="11"/>
      <c r="CH227" s="11"/>
      <c r="CI227" s="11"/>
      <c r="CJ227" s="11"/>
      <c r="CK227" s="11"/>
      <c r="CL227" s="11"/>
      <c r="CM227" s="11"/>
      <c r="CN227" s="274"/>
      <c r="CO227" s="274"/>
      <c r="CP227" s="274"/>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8"/>
      <c r="DN227" s="118"/>
      <c r="DO227" s="118"/>
      <c r="DP227" s="52"/>
      <c r="DQ227" s="52"/>
      <c r="DR227" s="77"/>
      <c r="DS227" s="77"/>
      <c r="DT227" s="77"/>
      <c r="DU227" s="11"/>
      <c r="DV227" s="11"/>
      <c r="DW227" s="11"/>
      <c r="DX227" s="11"/>
      <c r="DY227" s="11"/>
      <c r="DZ227" s="11"/>
      <c r="EA227" s="11"/>
      <c r="EB227" s="11"/>
      <c r="EC227" s="11"/>
      <c r="ED227" s="11"/>
      <c r="EE227" s="11"/>
      <c r="EF227" s="11"/>
    </row>
    <row r="228" spans="1:136" ht="27" x14ac:dyDescent="0.25">
      <c r="A228" s="425">
        <v>226</v>
      </c>
      <c r="B228" s="426" t="s">
        <v>1396</v>
      </c>
      <c r="C228" s="413" t="s">
        <v>128</v>
      </c>
      <c r="D228" s="426" t="s">
        <v>1397</v>
      </c>
      <c r="E228" s="79">
        <v>1</v>
      </c>
      <c r="F228" s="407"/>
      <c r="G228" s="274"/>
      <c r="H228" s="274"/>
      <c r="I228" s="274"/>
      <c r="J228" s="274"/>
      <c r="K228" s="11"/>
      <c r="L228" s="274"/>
      <c r="M228" s="274"/>
      <c r="N228" s="274"/>
      <c r="O228" s="48"/>
      <c r="P228" s="11"/>
      <c r="Q228" s="274"/>
      <c r="R228" s="274"/>
      <c r="S228" s="274"/>
      <c r="T228" s="11"/>
      <c r="U228" s="11"/>
      <c r="V228" s="11"/>
      <c r="W228" s="11"/>
      <c r="X228" s="11"/>
      <c r="Y228" s="11"/>
      <c r="Z228" s="48"/>
      <c r="AA228" s="52"/>
      <c r="AB228" s="52"/>
      <c r="AC228" s="118"/>
      <c r="AD228" s="5"/>
      <c r="AE228" s="52"/>
      <c r="AF228" s="113"/>
      <c r="AG228" s="113"/>
      <c r="AH228" s="113"/>
      <c r="AI228" s="52"/>
      <c r="AJ228" s="11"/>
      <c r="AK228" s="269">
        <v>311536</v>
      </c>
      <c r="AL228" s="269">
        <v>59191.840000000004</v>
      </c>
      <c r="AM228" s="269">
        <v>370727.84</v>
      </c>
      <c r="AN228" s="301" t="s">
        <v>88</v>
      </c>
      <c r="AO228" s="302">
        <v>1037850001</v>
      </c>
      <c r="AP228" s="11"/>
      <c r="AQ228" s="11"/>
      <c r="AR228" s="11"/>
      <c r="AS228" s="11"/>
      <c r="AT228" s="11"/>
      <c r="AU228" s="118">
        <v>162631</v>
      </c>
      <c r="AV228" s="118">
        <v>30900</v>
      </c>
      <c r="AW228" s="118">
        <v>193531</v>
      </c>
      <c r="AX228" s="52" t="s">
        <v>607</v>
      </c>
      <c r="AY228" s="52" t="s">
        <v>1398</v>
      </c>
      <c r="AZ228" s="11"/>
      <c r="BA228" s="11"/>
      <c r="BB228" s="11"/>
      <c r="BC228" s="11"/>
      <c r="BD228" s="11"/>
      <c r="BE228" s="274"/>
      <c r="BF228" s="274"/>
      <c r="BG228" s="274"/>
      <c r="BH228" s="11"/>
      <c r="BI228" s="11"/>
      <c r="BJ228" s="311"/>
      <c r="BK228" s="311"/>
      <c r="BL228" s="311"/>
      <c r="BM228" s="52"/>
      <c r="BN228" s="52"/>
      <c r="BO228" s="387"/>
      <c r="BP228" s="320"/>
      <c r="BQ228" s="320"/>
      <c r="BR228" s="4"/>
      <c r="BS228" s="4"/>
      <c r="BT228" s="11"/>
      <c r="BU228" s="11"/>
      <c r="BV228" s="11"/>
      <c r="BW228" s="11"/>
      <c r="BX228" s="11"/>
      <c r="BY228" s="232">
        <v>70000</v>
      </c>
      <c r="BZ228" s="232">
        <f>BY228*0.19</f>
        <v>13300</v>
      </c>
      <c r="CA228" s="232">
        <f>BY228+BZ228</f>
        <v>83300</v>
      </c>
      <c r="CB228" s="348" t="s">
        <v>767</v>
      </c>
      <c r="CC228" s="348" t="s">
        <v>1399</v>
      </c>
      <c r="CD228" s="11"/>
      <c r="CE228" s="11"/>
      <c r="CF228" s="11"/>
      <c r="CG228" s="11"/>
      <c r="CH228" s="11"/>
      <c r="CI228" s="11"/>
      <c r="CJ228" s="11"/>
      <c r="CK228" s="11"/>
      <c r="CL228" s="11"/>
      <c r="CM228" s="11"/>
      <c r="CN228" s="274"/>
      <c r="CO228" s="274"/>
      <c r="CP228" s="274"/>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8"/>
      <c r="DN228" s="118"/>
      <c r="DO228" s="118"/>
      <c r="DP228" s="52"/>
      <c r="DQ228" s="52"/>
      <c r="DR228" s="77"/>
      <c r="DS228" s="77"/>
      <c r="DT228" s="77"/>
      <c r="DU228" s="11"/>
      <c r="DV228" s="11"/>
      <c r="DW228" s="11"/>
      <c r="DX228" s="11"/>
      <c r="DY228" s="11"/>
      <c r="DZ228" s="11"/>
      <c r="EA228" s="11"/>
      <c r="EB228" s="11"/>
      <c r="EC228" s="11"/>
      <c r="ED228" s="11"/>
      <c r="EE228" s="11"/>
      <c r="EF228" s="11"/>
    </row>
    <row r="229" spans="1:136" ht="12.75" customHeight="1" x14ac:dyDescent="0.25">
      <c r="A229" s="425">
        <v>227</v>
      </c>
      <c r="B229" s="427" t="s">
        <v>1400</v>
      </c>
      <c r="C229" s="413" t="s">
        <v>647</v>
      </c>
      <c r="D229" s="413" t="s">
        <v>39</v>
      </c>
      <c r="E229" s="79">
        <v>1</v>
      </c>
      <c r="F229" s="405"/>
      <c r="G229" s="274"/>
      <c r="H229" s="274"/>
      <c r="I229" s="274"/>
      <c r="J229" s="274"/>
      <c r="K229" s="11"/>
      <c r="L229" s="274"/>
      <c r="M229" s="274"/>
      <c r="N229" s="274"/>
      <c r="O229" s="48"/>
      <c r="P229" s="11"/>
      <c r="Q229" s="274"/>
      <c r="R229" s="274"/>
      <c r="S229" s="274"/>
      <c r="T229" s="11"/>
      <c r="U229" s="11"/>
      <c r="V229" s="11"/>
      <c r="W229" s="11"/>
      <c r="X229" s="11"/>
      <c r="Y229" s="11"/>
      <c r="Z229" s="48"/>
      <c r="AA229" s="52"/>
      <c r="AB229" s="52"/>
      <c r="AC229" s="118"/>
      <c r="AD229" s="5"/>
      <c r="AE229" s="52"/>
      <c r="AF229" s="113"/>
      <c r="AG229" s="113"/>
      <c r="AH229" s="113"/>
      <c r="AI229" s="52"/>
      <c r="AJ229" s="11"/>
      <c r="AK229" s="269">
        <v>95760</v>
      </c>
      <c r="AL229" s="269">
        <v>18194.400000000001</v>
      </c>
      <c r="AM229" s="116">
        <v>113954.4</v>
      </c>
      <c r="AN229" s="301" t="s">
        <v>88</v>
      </c>
      <c r="AO229" s="302">
        <v>1079610100</v>
      </c>
      <c r="AP229" s="11"/>
      <c r="AQ229" s="11"/>
      <c r="AR229" s="11"/>
      <c r="AS229" s="11"/>
      <c r="AT229" s="11"/>
      <c r="AU229" s="118">
        <v>121775</v>
      </c>
      <c r="AV229" s="118">
        <v>23137</v>
      </c>
      <c r="AW229" s="118">
        <v>144912</v>
      </c>
      <c r="AX229" s="52" t="s">
        <v>607</v>
      </c>
      <c r="AY229" s="52">
        <v>1079610100</v>
      </c>
      <c r="AZ229" s="11"/>
      <c r="BA229" s="11"/>
      <c r="BB229" s="11"/>
      <c r="BC229" s="11"/>
      <c r="BD229" s="11"/>
      <c r="BE229" s="274"/>
      <c r="BF229" s="274"/>
      <c r="BG229" s="274"/>
      <c r="BH229" s="11"/>
      <c r="BI229" s="11"/>
      <c r="BJ229" s="311"/>
      <c r="BK229" s="311"/>
      <c r="BL229" s="311"/>
      <c r="BM229" s="52"/>
      <c r="BN229" s="52"/>
      <c r="BO229" s="387"/>
      <c r="BP229" s="320"/>
      <c r="BQ229" s="320"/>
      <c r="BR229" s="4"/>
      <c r="BS229" s="4"/>
      <c r="BT229" s="11"/>
      <c r="BU229" s="11"/>
      <c r="BV229" s="11"/>
      <c r="BW229" s="11"/>
      <c r="BX229" s="11"/>
      <c r="BY229" s="348"/>
      <c r="BZ229" s="348"/>
      <c r="CA229" s="348"/>
      <c r="CB229" s="348"/>
      <c r="CC229" s="348"/>
      <c r="CD229" s="11"/>
      <c r="CE229" s="11"/>
      <c r="CF229" s="11"/>
      <c r="CG229" s="11"/>
      <c r="CH229" s="11"/>
      <c r="CI229" s="11"/>
      <c r="CJ229" s="11"/>
      <c r="CK229" s="11"/>
      <c r="CL229" s="11"/>
      <c r="CM229" s="11"/>
      <c r="CN229" s="274"/>
      <c r="CO229" s="274"/>
      <c r="CP229" s="274"/>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8"/>
      <c r="DN229" s="118"/>
      <c r="DO229" s="118"/>
      <c r="DP229" s="52"/>
      <c r="DQ229" s="52"/>
      <c r="DR229" s="77"/>
      <c r="DS229" s="77"/>
      <c r="DT229" s="77"/>
      <c r="DU229" s="11"/>
      <c r="DV229" s="11"/>
      <c r="DW229" s="11"/>
      <c r="DX229" s="11"/>
      <c r="DY229" s="11"/>
      <c r="DZ229" s="11"/>
      <c r="EA229" s="11"/>
      <c r="EB229" s="11"/>
      <c r="EC229" s="11"/>
      <c r="ED229" s="11"/>
      <c r="EE229" s="11"/>
      <c r="EF229" s="11"/>
    </row>
    <row r="230" spans="1:136" ht="25.5" customHeight="1" x14ac:dyDescent="0.25">
      <c r="A230" s="425">
        <v>228</v>
      </c>
      <c r="B230" s="413" t="s">
        <v>1401</v>
      </c>
      <c r="C230" s="413" t="s">
        <v>723</v>
      </c>
      <c r="D230" s="413" t="s">
        <v>1297</v>
      </c>
      <c r="E230" s="79">
        <v>1</v>
      </c>
      <c r="F230" s="405"/>
      <c r="G230" s="274">
        <v>546250</v>
      </c>
      <c r="H230" s="274">
        <v>103787.5</v>
      </c>
      <c r="I230" s="274">
        <v>650037.5</v>
      </c>
      <c r="J230" s="274" t="s">
        <v>45</v>
      </c>
      <c r="K230" s="11" t="s">
        <v>1402</v>
      </c>
      <c r="L230" s="274"/>
      <c r="M230" s="274"/>
      <c r="N230" s="274"/>
      <c r="O230" s="48"/>
      <c r="P230" s="11"/>
      <c r="Q230" s="274"/>
      <c r="R230" s="274"/>
      <c r="S230" s="274"/>
      <c r="T230" s="11"/>
      <c r="U230" s="11"/>
      <c r="V230" s="11"/>
      <c r="W230" s="11"/>
      <c r="X230" s="11"/>
      <c r="Y230" s="11"/>
      <c r="Z230" s="48"/>
      <c r="AA230" s="293">
        <v>1263500</v>
      </c>
      <c r="AB230" s="118">
        <f>+AA230*0.19</f>
        <v>240065</v>
      </c>
      <c r="AC230" s="118">
        <f>+AA230+AB230</f>
        <v>1503565</v>
      </c>
      <c r="AD230" s="5" t="s">
        <v>542</v>
      </c>
      <c r="AE230" s="52" t="s">
        <v>1403</v>
      </c>
      <c r="AF230" s="113">
        <v>110000</v>
      </c>
      <c r="AG230" s="113">
        <f>AF230*0.19</f>
        <v>20900</v>
      </c>
      <c r="AH230" s="113">
        <f>AF230+AG230</f>
        <v>130900</v>
      </c>
      <c r="AI230" s="277" t="s">
        <v>628</v>
      </c>
      <c r="AJ230" s="33" t="s">
        <v>1404</v>
      </c>
      <c r="AK230" s="269">
        <v>529000</v>
      </c>
      <c r="AL230" s="269">
        <v>100510</v>
      </c>
      <c r="AM230" s="116">
        <v>629510</v>
      </c>
      <c r="AN230" s="301" t="s">
        <v>37</v>
      </c>
      <c r="AO230" s="302" t="s">
        <v>1405</v>
      </c>
      <c r="AP230" s="11"/>
      <c r="AQ230" s="11"/>
      <c r="AR230" s="11"/>
      <c r="AS230" s="11"/>
      <c r="AT230" s="11"/>
      <c r="AU230" s="118">
        <v>1050231</v>
      </c>
      <c r="AV230" s="118">
        <v>199544</v>
      </c>
      <c r="AW230" s="118">
        <v>1249775</v>
      </c>
      <c r="AX230" s="52" t="s">
        <v>607</v>
      </c>
      <c r="AY230" s="52" t="s">
        <v>1406</v>
      </c>
      <c r="AZ230" s="11"/>
      <c r="BA230" s="11"/>
      <c r="BB230" s="11"/>
      <c r="BC230" s="11"/>
      <c r="BD230" s="11"/>
      <c r="BE230" s="274"/>
      <c r="BF230" s="274"/>
      <c r="BG230" s="274"/>
      <c r="BH230" s="11"/>
      <c r="BI230" s="11"/>
      <c r="BJ230" s="311"/>
      <c r="BK230" s="311"/>
      <c r="BL230" s="311"/>
      <c r="BM230" s="52"/>
      <c r="BN230" s="52"/>
      <c r="BO230" s="387"/>
      <c r="BP230" s="320"/>
      <c r="BQ230" s="320"/>
      <c r="BR230" s="4"/>
      <c r="BS230" s="4"/>
      <c r="BT230" s="11"/>
      <c r="BU230" s="11"/>
      <c r="BV230" s="11"/>
      <c r="BW230" s="11"/>
      <c r="BX230" s="11"/>
      <c r="BY230" s="348"/>
      <c r="BZ230" s="348"/>
      <c r="CA230" s="348"/>
      <c r="CB230" s="348"/>
      <c r="CC230" s="348"/>
      <c r="CD230" s="11"/>
      <c r="CE230" s="11"/>
      <c r="CF230" s="11"/>
      <c r="CG230" s="11"/>
      <c r="CH230" s="11"/>
      <c r="CI230" s="11"/>
      <c r="CJ230" s="11"/>
      <c r="CK230" s="11"/>
      <c r="CL230" s="11"/>
      <c r="CM230" s="11"/>
      <c r="CN230" s="274"/>
      <c r="CO230" s="274"/>
      <c r="CP230" s="274"/>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8"/>
      <c r="DN230" s="118"/>
      <c r="DO230" s="118"/>
      <c r="DP230" s="52"/>
      <c r="DQ230" s="52"/>
      <c r="DR230" s="77"/>
      <c r="DS230" s="77"/>
      <c r="DT230" s="77"/>
      <c r="DU230" s="11"/>
      <c r="DV230" s="11"/>
      <c r="DW230" s="11"/>
      <c r="DX230" s="11"/>
      <c r="DY230" s="11"/>
      <c r="DZ230" s="11"/>
      <c r="EA230" s="11"/>
      <c r="EB230" s="11"/>
      <c r="EC230" s="11"/>
      <c r="ED230" s="11"/>
      <c r="EE230" s="11"/>
      <c r="EF230" s="11"/>
    </row>
    <row r="231" spans="1:136" ht="25.5" customHeight="1" x14ac:dyDescent="0.25">
      <c r="A231" s="425">
        <v>229</v>
      </c>
      <c r="B231" s="427" t="s">
        <v>1407</v>
      </c>
      <c r="C231" s="413" t="s">
        <v>622</v>
      </c>
      <c r="D231" s="413" t="s">
        <v>1408</v>
      </c>
      <c r="E231" s="79">
        <v>1</v>
      </c>
      <c r="F231" s="406">
        <v>843365.13800000004</v>
      </c>
      <c r="G231" s="274"/>
      <c r="H231" s="274"/>
      <c r="I231" s="274"/>
      <c r="J231" s="274"/>
      <c r="K231" s="11"/>
      <c r="L231" s="274"/>
      <c r="M231" s="274"/>
      <c r="N231" s="274"/>
      <c r="O231" s="48"/>
      <c r="P231" s="11"/>
      <c r="Q231" s="274"/>
      <c r="R231" s="274"/>
      <c r="S231" s="274"/>
      <c r="T231" s="11"/>
      <c r="U231" s="11"/>
      <c r="V231" s="11"/>
      <c r="W231" s="11"/>
      <c r="X231" s="11"/>
      <c r="Y231" s="11"/>
      <c r="Z231" s="48"/>
      <c r="AA231" s="52"/>
      <c r="AB231" s="52"/>
      <c r="AC231" s="118"/>
      <c r="AD231" s="5"/>
      <c r="AE231" s="52"/>
      <c r="AF231" s="113"/>
      <c r="AG231" s="113"/>
      <c r="AH231" s="113"/>
      <c r="AI231" s="52"/>
      <c r="AJ231" s="11"/>
      <c r="AK231" s="269"/>
      <c r="AL231" s="269"/>
      <c r="AM231" s="116"/>
      <c r="AN231" s="301"/>
      <c r="AO231" s="302"/>
      <c r="AP231" s="11"/>
      <c r="AQ231" s="11"/>
      <c r="AR231" s="11"/>
      <c r="AS231" s="11"/>
      <c r="AT231" s="11"/>
      <c r="AU231" s="118"/>
      <c r="AV231" s="118"/>
      <c r="AW231" s="118"/>
      <c r="AX231" s="52"/>
      <c r="AY231" s="52"/>
      <c r="AZ231" s="11"/>
      <c r="BA231" s="11"/>
      <c r="BB231" s="11"/>
      <c r="BC231" s="11"/>
      <c r="BD231" s="11"/>
      <c r="BE231" s="274">
        <v>900000</v>
      </c>
      <c r="BF231" s="274">
        <v>171000</v>
      </c>
      <c r="BG231" s="274">
        <v>1071000</v>
      </c>
      <c r="BH231" s="11" t="s">
        <v>1409</v>
      </c>
      <c r="BI231" s="11" t="s">
        <v>1410</v>
      </c>
      <c r="BJ231" s="311"/>
      <c r="BK231" s="311"/>
      <c r="BL231" s="311"/>
      <c r="BM231" s="52"/>
      <c r="BN231" s="52"/>
      <c r="BO231" s="387"/>
      <c r="BP231" s="320"/>
      <c r="BQ231" s="320"/>
      <c r="BR231" s="4"/>
      <c r="BS231" s="4"/>
      <c r="BT231" s="11"/>
      <c r="BU231" s="11"/>
      <c r="BV231" s="11"/>
      <c r="BW231" s="11"/>
      <c r="BX231" s="11"/>
      <c r="BY231" s="201">
        <v>740000</v>
      </c>
      <c r="BZ231" s="201">
        <f>BY231*0.19</f>
        <v>140600</v>
      </c>
      <c r="CA231" s="201">
        <f>BY231+BZ231</f>
        <v>880600</v>
      </c>
      <c r="CB231" s="348" t="s">
        <v>772</v>
      </c>
      <c r="CC231" s="348">
        <v>80405</v>
      </c>
      <c r="CD231" s="11"/>
      <c r="CE231" s="11"/>
      <c r="CF231" s="11"/>
      <c r="CG231" s="11"/>
      <c r="CH231" s="11"/>
      <c r="CI231" s="11"/>
      <c r="CJ231" s="11"/>
      <c r="CK231" s="11"/>
      <c r="CL231" s="11"/>
      <c r="CM231" s="11"/>
      <c r="CN231" s="274"/>
      <c r="CO231" s="274"/>
      <c r="CP231" s="274"/>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8"/>
      <c r="DN231" s="118"/>
      <c r="DO231" s="118"/>
      <c r="DP231" s="52"/>
      <c r="DQ231" s="52"/>
      <c r="DR231" s="77"/>
      <c r="DS231" s="77"/>
      <c r="DT231" s="77"/>
      <c r="DU231" s="11"/>
      <c r="DV231" s="11"/>
      <c r="DW231" s="11"/>
      <c r="DX231" s="11"/>
      <c r="DY231" s="11"/>
      <c r="DZ231" s="11"/>
      <c r="EA231" s="11"/>
      <c r="EB231" s="11"/>
      <c r="EC231" s="11"/>
      <c r="ED231" s="11"/>
      <c r="EE231" s="11"/>
      <c r="EF231" s="11"/>
    </row>
    <row r="232" spans="1:136" ht="13.5" x14ac:dyDescent="0.25">
      <c r="A232" s="425">
        <v>230</v>
      </c>
      <c r="B232" s="427" t="s">
        <v>1411</v>
      </c>
      <c r="C232" s="413" t="s">
        <v>1412</v>
      </c>
      <c r="D232" s="413" t="s">
        <v>445</v>
      </c>
      <c r="E232" s="79">
        <v>1</v>
      </c>
      <c r="F232" s="406">
        <v>17596.292000000001</v>
      </c>
      <c r="G232" s="274"/>
      <c r="H232" s="274"/>
      <c r="I232" s="274"/>
      <c r="J232" s="274"/>
      <c r="K232" s="11"/>
      <c r="L232" s="274"/>
      <c r="M232" s="274"/>
      <c r="N232" s="274"/>
      <c r="O232" s="48"/>
      <c r="P232" s="11"/>
      <c r="Q232" s="274"/>
      <c r="R232" s="274"/>
      <c r="S232" s="274"/>
      <c r="T232" s="11"/>
      <c r="U232" s="11"/>
      <c r="V232" s="11"/>
      <c r="W232" s="11"/>
      <c r="X232" s="11"/>
      <c r="Y232" s="11"/>
      <c r="Z232" s="48"/>
      <c r="AA232" s="52"/>
      <c r="AB232" s="52"/>
      <c r="AC232" s="118"/>
      <c r="AD232" s="5"/>
      <c r="AE232" s="52"/>
      <c r="AF232" s="113"/>
      <c r="AG232" s="113"/>
      <c r="AH232" s="113"/>
      <c r="AI232" s="52"/>
      <c r="AJ232" s="11"/>
      <c r="AK232" s="269"/>
      <c r="AL232" s="269"/>
      <c r="AM232" s="116"/>
      <c r="AN232" s="301"/>
      <c r="AO232" s="302"/>
      <c r="AP232" s="11"/>
      <c r="AQ232" s="11"/>
      <c r="AR232" s="11"/>
      <c r="AS232" s="11"/>
      <c r="AT232" s="11"/>
      <c r="AU232" s="118"/>
      <c r="AV232" s="118"/>
      <c r="AW232" s="118"/>
      <c r="AX232" s="52"/>
      <c r="AY232" s="52"/>
      <c r="AZ232" s="11"/>
      <c r="BA232" s="11"/>
      <c r="BB232" s="11"/>
      <c r="BC232" s="11"/>
      <c r="BD232" s="11"/>
      <c r="BE232" s="274"/>
      <c r="BF232" s="274"/>
      <c r="BG232" s="274"/>
      <c r="BH232" s="11"/>
      <c r="BI232" s="11"/>
      <c r="BJ232" s="311"/>
      <c r="BK232" s="311"/>
      <c r="BL232" s="311"/>
      <c r="BM232" s="52"/>
      <c r="BN232" s="52"/>
      <c r="BO232" s="387"/>
      <c r="BP232" s="320"/>
      <c r="BQ232" s="320"/>
      <c r="BR232" s="4"/>
      <c r="BS232" s="4"/>
      <c r="BT232" s="11"/>
      <c r="BU232" s="11"/>
      <c r="BV232" s="11"/>
      <c r="BW232" s="11"/>
      <c r="BX232" s="11"/>
      <c r="BY232" s="348"/>
      <c r="BZ232" s="348"/>
      <c r="CA232" s="348"/>
      <c r="CB232" s="348"/>
      <c r="CC232" s="348"/>
      <c r="CD232" s="11"/>
      <c r="CE232" s="11"/>
      <c r="CF232" s="11"/>
      <c r="CG232" s="11"/>
      <c r="CH232" s="11"/>
      <c r="CI232" s="11"/>
      <c r="CJ232" s="11"/>
      <c r="CK232" s="11"/>
      <c r="CL232" s="11"/>
      <c r="CM232" s="11"/>
      <c r="CN232" s="274"/>
      <c r="CO232" s="274"/>
      <c r="CP232" s="274"/>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8"/>
      <c r="DN232" s="118"/>
      <c r="DO232" s="118"/>
      <c r="DP232" s="52"/>
      <c r="DQ232" s="52"/>
      <c r="DR232" s="77"/>
      <c r="DS232" s="77"/>
      <c r="DT232" s="77"/>
      <c r="DU232" s="11"/>
      <c r="DV232" s="11"/>
      <c r="DW232" s="11"/>
      <c r="DX232" s="11"/>
      <c r="DY232" s="11"/>
      <c r="DZ232" s="11"/>
      <c r="EA232" s="11"/>
      <c r="EB232" s="11"/>
      <c r="EC232" s="11"/>
      <c r="ED232" s="11"/>
      <c r="EE232" s="11"/>
      <c r="EF232" s="11"/>
    </row>
    <row r="233" spans="1:136" ht="40.5" x14ac:dyDescent="0.25">
      <c r="A233" s="425">
        <v>231</v>
      </c>
      <c r="B233" s="427" t="s">
        <v>1413</v>
      </c>
      <c r="C233" s="427" t="s">
        <v>1000</v>
      </c>
      <c r="D233" s="427" t="s">
        <v>549</v>
      </c>
      <c r="E233" s="79">
        <v>1</v>
      </c>
      <c r="F233" s="405"/>
      <c r="G233" s="274"/>
      <c r="H233" s="274"/>
      <c r="I233" s="274"/>
      <c r="J233" s="274"/>
      <c r="K233" s="11"/>
      <c r="L233" s="274"/>
      <c r="M233" s="274"/>
      <c r="N233" s="274"/>
      <c r="O233" s="48"/>
      <c r="P233" s="11"/>
      <c r="Q233" s="274"/>
      <c r="R233" s="274"/>
      <c r="S233" s="274"/>
      <c r="T233" s="11"/>
      <c r="U233" s="11"/>
      <c r="V233" s="11"/>
      <c r="W233" s="11"/>
      <c r="X233" s="11"/>
      <c r="Y233" s="11"/>
      <c r="Z233" s="48"/>
      <c r="AA233" s="52"/>
      <c r="AB233" s="52"/>
      <c r="AC233" s="118"/>
      <c r="AD233" s="5"/>
      <c r="AE233" s="52"/>
      <c r="AF233" s="113"/>
      <c r="AG233" s="113"/>
      <c r="AH233" s="113"/>
      <c r="AI233" s="52"/>
      <c r="AJ233" s="11"/>
      <c r="AK233" s="269">
        <v>155000</v>
      </c>
      <c r="AL233" s="269">
        <v>29450</v>
      </c>
      <c r="AM233" s="116">
        <v>184450</v>
      </c>
      <c r="AN233" s="301" t="s">
        <v>37</v>
      </c>
      <c r="AO233" s="302" t="s">
        <v>1414</v>
      </c>
      <c r="AP233" s="11"/>
      <c r="AQ233" s="11"/>
      <c r="AR233" s="11"/>
      <c r="AS233" s="11"/>
      <c r="AT233" s="11"/>
      <c r="AU233" s="118">
        <v>163276</v>
      </c>
      <c r="AV233" s="118">
        <v>31022</v>
      </c>
      <c r="AW233" s="118">
        <v>194298</v>
      </c>
      <c r="AX233" s="52" t="s">
        <v>607</v>
      </c>
      <c r="AY233" s="52" t="s">
        <v>1414</v>
      </c>
      <c r="AZ233" s="11"/>
      <c r="BA233" s="11"/>
      <c r="BB233" s="11"/>
      <c r="BC233" s="11"/>
      <c r="BD233" s="11"/>
      <c r="BE233" s="274">
        <v>1205000</v>
      </c>
      <c r="BF233" s="274">
        <v>228950</v>
      </c>
      <c r="BG233" s="274">
        <v>1433950</v>
      </c>
      <c r="BH233" s="11" t="s">
        <v>310</v>
      </c>
      <c r="BI233" s="11" t="s">
        <v>1415</v>
      </c>
      <c r="BJ233" s="311"/>
      <c r="BK233" s="311"/>
      <c r="BL233" s="311"/>
      <c r="BM233" s="52"/>
      <c r="BN233" s="52"/>
      <c r="BO233" s="387"/>
      <c r="BP233" s="320"/>
      <c r="BQ233" s="320"/>
      <c r="BR233" s="4"/>
      <c r="BS233" s="4"/>
      <c r="BT233" s="11"/>
      <c r="BU233" s="11"/>
      <c r="BV233" s="11"/>
      <c r="BW233" s="11"/>
      <c r="BX233" s="11"/>
      <c r="BY233" s="348"/>
      <c r="BZ233" s="348"/>
      <c r="CA233" s="348"/>
      <c r="CB233" s="348"/>
      <c r="CC233" s="348"/>
      <c r="CD233" s="11"/>
      <c r="CE233" s="11"/>
      <c r="CF233" s="11"/>
      <c r="CG233" s="11"/>
      <c r="CH233" s="11"/>
      <c r="CI233" s="11"/>
      <c r="CJ233" s="11"/>
      <c r="CK233" s="11"/>
      <c r="CL233" s="11"/>
      <c r="CM233" s="11"/>
      <c r="CN233" s="274"/>
      <c r="CO233" s="274"/>
      <c r="CP233" s="274"/>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8"/>
      <c r="DN233" s="118"/>
      <c r="DO233" s="118"/>
      <c r="DP233" s="52"/>
      <c r="DQ233" s="52"/>
      <c r="DR233" s="77"/>
      <c r="DS233" s="77"/>
      <c r="DT233" s="77"/>
      <c r="DU233" s="11"/>
      <c r="DV233" s="11"/>
      <c r="DW233" s="11"/>
      <c r="DX233" s="11"/>
      <c r="DY233" s="11"/>
      <c r="DZ233" s="11"/>
      <c r="EA233" s="11"/>
      <c r="EB233" s="11"/>
      <c r="EC233" s="11"/>
      <c r="ED233" s="11"/>
      <c r="EE233" s="11"/>
      <c r="EF233" s="11"/>
    </row>
    <row r="234" spans="1:136" ht="40.5" x14ac:dyDescent="0.25">
      <c r="A234" s="425">
        <v>232</v>
      </c>
      <c r="B234" s="427" t="s">
        <v>1416</v>
      </c>
      <c r="C234" s="427" t="s">
        <v>1000</v>
      </c>
      <c r="D234" s="427" t="s">
        <v>549</v>
      </c>
      <c r="E234" s="79">
        <v>1</v>
      </c>
      <c r="F234" s="405"/>
      <c r="G234" s="274"/>
      <c r="H234" s="274"/>
      <c r="I234" s="274"/>
      <c r="J234" s="274"/>
      <c r="K234" s="11"/>
      <c r="L234" s="274"/>
      <c r="M234" s="274"/>
      <c r="N234" s="274"/>
      <c r="O234" s="48"/>
      <c r="P234" s="11"/>
      <c r="Q234" s="274"/>
      <c r="R234" s="274"/>
      <c r="S234" s="274"/>
      <c r="T234" s="11"/>
      <c r="U234" s="11"/>
      <c r="V234" s="11"/>
      <c r="W234" s="11"/>
      <c r="X234" s="11"/>
      <c r="Y234" s="11"/>
      <c r="Z234" s="48"/>
      <c r="AA234" s="52"/>
      <c r="AB234" s="52"/>
      <c r="AC234" s="118"/>
      <c r="AD234" s="5"/>
      <c r="AE234" s="52"/>
      <c r="AF234" s="113"/>
      <c r="AG234" s="113"/>
      <c r="AH234" s="113"/>
      <c r="AI234" s="52"/>
      <c r="AJ234" s="11"/>
      <c r="AK234" s="269">
        <v>233000</v>
      </c>
      <c r="AL234" s="269">
        <v>44270</v>
      </c>
      <c r="AM234" s="116">
        <v>277270</v>
      </c>
      <c r="AN234" s="301" t="s">
        <v>37</v>
      </c>
      <c r="AO234" s="302" t="s">
        <v>1417</v>
      </c>
      <c r="AP234" s="11"/>
      <c r="AQ234" s="11"/>
      <c r="AR234" s="11"/>
      <c r="AS234" s="11"/>
      <c r="AT234" s="11"/>
      <c r="AU234" s="118">
        <v>245440</v>
      </c>
      <c r="AV234" s="118">
        <v>46634</v>
      </c>
      <c r="AW234" s="118">
        <v>292074</v>
      </c>
      <c r="AX234" s="52" t="s">
        <v>607</v>
      </c>
      <c r="AY234" s="52" t="s">
        <v>1417</v>
      </c>
      <c r="AZ234" s="11"/>
      <c r="BA234" s="11"/>
      <c r="BB234" s="11"/>
      <c r="BC234" s="11"/>
      <c r="BD234" s="11"/>
      <c r="BE234" s="274">
        <v>1091000</v>
      </c>
      <c r="BF234" s="274">
        <v>207290</v>
      </c>
      <c r="BG234" s="274">
        <v>1298290</v>
      </c>
      <c r="BH234" s="11" t="s">
        <v>310</v>
      </c>
      <c r="BI234" s="11" t="s">
        <v>1418</v>
      </c>
      <c r="BJ234" s="311"/>
      <c r="BK234" s="311"/>
      <c r="BL234" s="311"/>
      <c r="BM234" s="52"/>
      <c r="BN234" s="52"/>
      <c r="BO234" s="387"/>
      <c r="BP234" s="320"/>
      <c r="BQ234" s="320"/>
      <c r="BR234" s="4"/>
      <c r="BS234" s="4"/>
      <c r="BT234" s="11"/>
      <c r="BU234" s="11"/>
      <c r="BV234" s="11"/>
      <c r="BW234" s="11"/>
      <c r="BX234" s="11"/>
      <c r="BY234" s="348"/>
      <c r="BZ234" s="348"/>
      <c r="CA234" s="348"/>
      <c r="CB234" s="348"/>
      <c r="CC234" s="348"/>
      <c r="CD234" s="11"/>
      <c r="CE234" s="11"/>
      <c r="CF234" s="11"/>
      <c r="CG234" s="11"/>
      <c r="CH234" s="11"/>
      <c r="CI234" s="11"/>
      <c r="CJ234" s="11"/>
      <c r="CK234" s="11"/>
      <c r="CL234" s="11"/>
      <c r="CM234" s="11"/>
      <c r="CN234" s="274"/>
      <c r="CO234" s="274"/>
      <c r="CP234" s="274"/>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8"/>
      <c r="DN234" s="118"/>
      <c r="DO234" s="118"/>
      <c r="DP234" s="52"/>
      <c r="DQ234" s="52"/>
      <c r="DR234" s="77"/>
      <c r="DS234" s="77"/>
      <c r="DT234" s="77"/>
      <c r="DU234" s="11"/>
      <c r="DV234" s="11"/>
      <c r="DW234" s="11"/>
      <c r="DX234" s="11"/>
      <c r="DY234" s="11"/>
      <c r="DZ234" s="11"/>
      <c r="EA234" s="11"/>
      <c r="EB234" s="11"/>
      <c r="EC234" s="11"/>
      <c r="ED234" s="11"/>
      <c r="EE234" s="11"/>
      <c r="EF234" s="11"/>
    </row>
    <row r="235" spans="1:136" ht="40.5" x14ac:dyDescent="0.25">
      <c r="A235" s="425">
        <v>233</v>
      </c>
      <c r="B235" s="427" t="s">
        <v>1419</v>
      </c>
      <c r="C235" s="427" t="s">
        <v>1000</v>
      </c>
      <c r="D235" s="427" t="s">
        <v>549</v>
      </c>
      <c r="E235" s="79">
        <v>1</v>
      </c>
      <c r="F235" s="405"/>
      <c r="G235" s="274"/>
      <c r="H235" s="274"/>
      <c r="I235" s="274"/>
      <c r="J235" s="274"/>
      <c r="K235" s="11"/>
      <c r="L235" s="274"/>
      <c r="M235" s="274"/>
      <c r="N235" s="274"/>
      <c r="O235" s="48"/>
      <c r="P235" s="11"/>
      <c r="Q235" s="274"/>
      <c r="R235" s="274"/>
      <c r="S235" s="274"/>
      <c r="T235" s="11"/>
      <c r="U235" s="11"/>
      <c r="V235" s="11"/>
      <c r="W235" s="11"/>
      <c r="X235" s="11"/>
      <c r="Y235" s="11"/>
      <c r="Z235" s="48"/>
      <c r="AA235" s="52"/>
      <c r="AB235" s="52"/>
      <c r="AC235" s="118"/>
      <c r="AD235" s="5"/>
      <c r="AE235" s="52"/>
      <c r="AF235" s="113"/>
      <c r="AG235" s="113"/>
      <c r="AH235" s="113"/>
      <c r="AI235" s="52"/>
      <c r="AJ235" s="11"/>
      <c r="AK235" s="269">
        <v>219000</v>
      </c>
      <c r="AL235" s="269">
        <v>41610</v>
      </c>
      <c r="AM235" s="116">
        <v>260610</v>
      </c>
      <c r="AN235" s="301" t="s">
        <v>37</v>
      </c>
      <c r="AO235" s="302" t="s">
        <v>1420</v>
      </c>
      <c r="AP235" s="11"/>
      <c r="AQ235" s="11"/>
      <c r="AR235" s="11"/>
      <c r="AS235" s="11"/>
      <c r="AT235" s="11"/>
      <c r="AU235" s="118">
        <v>230693</v>
      </c>
      <c r="AV235" s="118">
        <v>43832</v>
      </c>
      <c r="AW235" s="118">
        <v>274524</v>
      </c>
      <c r="AX235" s="52" t="s">
        <v>607</v>
      </c>
      <c r="AY235" s="52" t="s">
        <v>1420</v>
      </c>
      <c r="AZ235" s="11"/>
      <c r="BA235" s="11"/>
      <c r="BB235" s="11"/>
      <c r="BC235" s="11"/>
      <c r="BD235" s="11"/>
      <c r="BE235" s="274">
        <v>1375000</v>
      </c>
      <c r="BF235" s="274">
        <v>261250</v>
      </c>
      <c r="BG235" s="274">
        <v>1636250</v>
      </c>
      <c r="BH235" s="11" t="s">
        <v>310</v>
      </c>
      <c r="BI235" s="11" t="s">
        <v>1421</v>
      </c>
      <c r="BJ235" s="311"/>
      <c r="BK235" s="311"/>
      <c r="BL235" s="311"/>
      <c r="BM235" s="52"/>
      <c r="BN235" s="52"/>
      <c r="BO235" s="387"/>
      <c r="BP235" s="320"/>
      <c r="BQ235" s="320"/>
      <c r="BR235" s="4"/>
      <c r="BS235" s="4"/>
      <c r="BT235" s="11"/>
      <c r="BU235" s="11"/>
      <c r="BV235" s="11"/>
      <c r="BW235" s="11"/>
      <c r="BX235" s="11"/>
      <c r="BY235" s="348"/>
      <c r="BZ235" s="348"/>
      <c r="CA235" s="348"/>
      <c r="CB235" s="348"/>
      <c r="CC235" s="348"/>
      <c r="CD235" s="11"/>
      <c r="CE235" s="11"/>
      <c r="CF235" s="11"/>
      <c r="CG235" s="11"/>
      <c r="CH235" s="11"/>
      <c r="CI235" s="11"/>
      <c r="CJ235" s="11"/>
      <c r="CK235" s="11"/>
      <c r="CL235" s="11"/>
      <c r="CM235" s="11"/>
      <c r="CN235" s="274"/>
      <c r="CO235" s="274"/>
      <c r="CP235" s="274"/>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8"/>
      <c r="DN235" s="118"/>
      <c r="DO235" s="118"/>
      <c r="DP235" s="52"/>
      <c r="DQ235" s="52"/>
      <c r="DR235" s="77"/>
      <c r="DS235" s="77"/>
      <c r="DT235" s="77"/>
      <c r="DU235" s="11"/>
      <c r="DV235" s="11"/>
      <c r="DW235" s="11"/>
      <c r="DX235" s="11"/>
      <c r="DY235" s="11"/>
      <c r="DZ235" s="11"/>
      <c r="EA235" s="11"/>
      <c r="EB235" s="11"/>
      <c r="EC235" s="11"/>
      <c r="ED235" s="11"/>
      <c r="EE235" s="11"/>
      <c r="EF235" s="11"/>
    </row>
    <row r="236" spans="1:136" ht="81" x14ac:dyDescent="0.25">
      <c r="A236" s="425">
        <v>234</v>
      </c>
      <c r="B236" s="426" t="s">
        <v>1422</v>
      </c>
      <c r="C236" s="426" t="s">
        <v>1423</v>
      </c>
      <c r="D236" s="426" t="s">
        <v>1424</v>
      </c>
      <c r="E236" s="79">
        <v>1</v>
      </c>
      <c r="F236" s="405"/>
      <c r="G236" s="274"/>
      <c r="H236" s="274"/>
      <c r="I236" s="274"/>
      <c r="J236" s="274"/>
      <c r="K236" s="11"/>
      <c r="L236" s="274"/>
      <c r="M236" s="274"/>
      <c r="N236" s="274"/>
      <c r="O236" s="48"/>
      <c r="P236" s="11"/>
      <c r="Q236" s="274"/>
      <c r="R236" s="274"/>
      <c r="S236" s="274"/>
      <c r="T236" s="11"/>
      <c r="U236" s="11"/>
      <c r="V236" s="16">
        <v>734624</v>
      </c>
      <c r="W236" s="274">
        <v>0</v>
      </c>
      <c r="X236" s="16">
        <f>+V236+W236</f>
        <v>734624</v>
      </c>
      <c r="Y236" s="11" t="s">
        <v>343</v>
      </c>
      <c r="Z236" s="48" t="s">
        <v>1425</v>
      </c>
      <c r="AA236" s="52"/>
      <c r="AB236" s="52"/>
      <c r="AC236" s="118"/>
      <c r="AD236" s="5"/>
      <c r="AE236" s="52"/>
      <c r="AF236" s="113"/>
      <c r="AG236" s="113"/>
      <c r="AH236" s="113"/>
      <c r="AI236" s="52"/>
      <c r="AJ236" s="11"/>
      <c r="AK236" s="269"/>
      <c r="AL236" s="269"/>
      <c r="AM236" s="116"/>
      <c r="AN236" s="301"/>
      <c r="AO236" s="302"/>
      <c r="AP236" s="11"/>
      <c r="AQ236" s="11"/>
      <c r="AR236" s="11"/>
      <c r="AS236" s="11"/>
      <c r="AT236" s="11"/>
      <c r="AU236" s="118">
        <v>330588</v>
      </c>
      <c r="AV236" s="118">
        <f>+AU236*0.19</f>
        <v>62811.72</v>
      </c>
      <c r="AW236" s="118">
        <f>+AU236+AV236</f>
        <v>393399.72</v>
      </c>
      <c r="AX236" s="52" t="s">
        <v>343</v>
      </c>
      <c r="AY236" s="52" t="s">
        <v>1426</v>
      </c>
      <c r="AZ236" s="11"/>
      <c r="BA236" s="11"/>
      <c r="BB236" s="11"/>
      <c r="BC236" s="11"/>
      <c r="BD236" s="11"/>
      <c r="BE236" s="274">
        <v>1679000</v>
      </c>
      <c r="BF236" s="274">
        <v>319010</v>
      </c>
      <c r="BG236" s="274">
        <v>1998010</v>
      </c>
      <c r="BH236" s="11" t="s">
        <v>310</v>
      </c>
      <c r="BI236" s="11" t="s">
        <v>1427</v>
      </c>
      <c r="BJ236" s="311"/>
      <c r="BK236" s="311"/>
      <c r="BL236" s="311"/>
      <c r="BM236" s="52"/>
      <c r="BN236" s="52"/>
      <c r="BO236" s="387"/>
      <c r="BP236" s="320"/>
      <c r="BQ236" s="320"/>
      <c r="BR236" s="4"/>
      <c r="BS236" s="4"/>
      <c r="BT236" s="11"/>
      <c r="BU236" s="11"/>
      <c r="BV236" s="11"/>
      <c r="BW236" s="11"/>
      <c r="BX236" s="11"/>
      <c r="BY236" s="348"/>
      <c r="BZ236" s="348"/>
      <c r="CA236" s="348"/>
      <c r="CB236" s="348"/>
      <c r="CC236" s="348"/>
      <c r="CD236" s="11"/>
      <c r="CE236" s="11"/>
      <c r="CF236" s="11"/>
      <c r="CG236" s="11"/>
      <c r="CH236" s="11"/>
      <c r="CI236" s="11"/>
      <c r="CJ236" s="11"/>
      <c r="CK236" s="11"/>
      <c r="CL236" s="11"/>
      <c r="CM236" s="11"/>
      <c r="CN236" s="274"/>
      <c r="CO236" s="274"/>
      <c r="CP236" s="274"/>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8">
        <v>311650</v>
      </c>
      <c r="DN236" s="118">
        <f>DM236*0.19</f>
        <v>59213.5</v>
      </c>
      <c r="DO236" s="118">
        <f>DM236+DN236</f>
        <v>370863.5</v>
      </c>
      <c r="DP236" s="52" t="s">
        <v>37</v>
      </c>
      <c r="DQ236" s="52" t="s">
        <v>1428</v>
      </c>
      <c r="DR236" s="77">
        <v>281000</v>
      </c>
      <c r="DS236" s="77">
        <f>DR236*0.19</f>
        <v>53390</v>
      </c>
      <c r="DT236" s="77">
        <f>DR236+DS236</f>
        <v>334390</v>
      </c>
      <c r="DU236" s="11" t="s">
        <v>37</v>
      </c>
      <c r="DV236" s="11" t="s">
        <v>1425</v>
      </c>
      <c r="DW236" s="11"/>
      <c r="DX236" s="11"/>
      <c r="DY236" s="11"/>
      <c r="DZ236" s="11"/>
      <c r="EA236" s="11"/>
      <c r="EB236" s="11"/>
      <c r="EC236" s="11"/>
      <c r="ED236" s="11"/>
      <c r="EE236" s="11"/>
      <c r="EF236" s="11"/>
    </row>
    <row r="237" spans="1:136" ht="40.5" x14ac:dyDescent="0.25">
      <c r="A237" s="425">
        <v>235</v>
      </c>
      <c r="B237" s="427" t="s">
        <v>1429</v>
      </c>
      <c r="C237" s="427" t="s">
        <v>1000</v>
      </c>
      <c r="D237" s="427" t="s">
        <v>549</v>
      </c>
      <c r="E237" s="79">
        <v>1</v>
      </c>
      <c r="F237" s="405"/>
      <c r="G237" s="274"/>
      <c r="H237" s="274"/>
      <c r="I237" s="274"/>
      <c r="J237" s="274"/>
      <c r="K237" s="11"/>
      <c r="L237" s="274"/>
      <c r="M237" s="274"/>
      <c r="N237" s="274"/>
      <c r="O237" s="48"/>
      <c r="P237" s="11"/>
      <c r="Q237" s="274"/>
      <c r="R237" s="274"/>
      <c r="S237" s="274"/>
      <c r="T237" s="11"/>
      <c r="U237" s="11"/>
      <c r="V237" s="11"/>
      <c r="W237" s="11"/>
      <c r="X237" s="11"/>
      <c r="Y237" s="11"/>
      <c r="Z237" s="48"/>
      <c r="AA237" s="52"/>
      <c r="AB237" s="52"/>
      <c r="AC237" s="118"/>
      <c r="AD237" s="5"/>
      <c r="AE237" s="52"/>
      <c r="AF237" s="113"/>
      <c r="AG237" s="113"/>
      <c r="AH237" s="113"/>
      <c r="AI237" s="52"/>
      <c r="AJ237" s="11"/>
      <c r="AK237" s="269">
        <v>293000</v>
      </c>
      <c r="AL237" s="269">
        <v>55670</v>
      </c>
      <c r="AM237" s="116">
        <v>348670</v>
      </c>
      <c r="AN237" s="301" t="s">
        <v>37</v>
      </c>
      <c r="AO237" s="302" t="s">
        <v>1430</v>
      </c>
      <c r="AP237" s="11"/>
      <c r="AQ237" s="11"/>
      <c r="AR237" s="11"/>
      <c r="AS237" s="11"/>
      <c r="AT237" s="11"/>
      <c r="AU237" s="118">
        <v>308644</v>
      </c>
      <c r="AV237" s="118">
        <v>58642</v>
      </c>
      <c r="AW237" s="118">
        <v>367286</v>
      </c>
      <c r="AX237" s="52" t="s">
        <v>607</v>
      </c>
      <c r="AY237" s="52" t="s">
        <v>1430</v>
      </c>
      <c r="AZ237" s="11"/>
      <c r="BA237" s="11"/>
      <c r="BB237" s="11"/>
      <c r="BC237" s="11"/>
      <c r="BD237" s="11"/>
      <c r="BE237" s="274">
        <v>1461000</v>
      </c>
      <c r="BF237" s="274">
        <v>277590</v>
      </c>
      <c r="BG237" s="274">
        <v>1738590</v>
      </c>
      <c r="BH237" s="11" t="s">
        <v>310</v>
      </c>
      <c r="BI237" s="11" t="s">
        <v>1431</v>
      </c>
      <c r="BJ237" s="311"/>
      <c r="BK237" s="311"/>
      <c r="BL237" s="311"/>
      <c r="BM237" s="52"/>
      <c r="BN237" s="52"/>
      <c r="BO237" s="387"/>
      <c r="BP237" s="320"/>
      <c r="BQ237" s="320"/>
      <c r="BR237" s="4"/>
      <c r="BS237" s="4"/>
      <c r="BT237" s="11"/>
      <c r="BU237" s="11"/>
      <c r="BV237" s="11"/>
      <c r="BW237" s="11"/>
      <c r="BX237" s="11"/>
      <c r="BY237" s="348"/>
      <c r="BZ237" s="348"/>
      <c r="CA237" s="348"/>
      <c r="CB237" s="348"/>
      <c r="CC237" s="348"/>
      <c r="CD237" s="11"/>
      <c r="CE237" s="11"/>
      <c r="CF237" s="11"/>
      <c r="CG237" s="11"/>
      <c r="CH237" s="11"/>
      <c r="CI237" s="11"/>
      <c r="CJ237" s="11"/>
      <c r="CK237" s="11"/>
      <c r="CL237" s="11"/>
      <c r="CM237" s="11"/>
      <c r="CN237" s="274"/>
      <c r="CO237" s="274"/>
      <c r="CP237" s="274"/>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8"/>
      <c r="DN237" s="118"/>
      <c r="DO237" s="118"/>
      <c r="DP237" s="52"/>
      <c r="DQ237" s="52"/>
      <c r="DR237" s="77"/>
      <c r="DS237" s="77"/>
      <c r="DT237" s="77"/>
      <c r="DU237" s="11"/>
      <c r="DV237" s="11"/>
      <c r="DW237" s="11"/>
      <c r="DX237" s="11"/>
      <c r="DY237" s="11"/>
      <c r="DZ237" s="11"/>
      <c r="EA237" s="11"/>
      <c r="EB237" s="11"/>
      <c r="EC237" s="11"/>
      <c r="ED237" s="11"/>
      <c r="EE237" s="11"/>
      <c r="EF237" s="11"/>
    </row>
    <row r="238" spans="1:136" ht="81" x14ac:dyDescent="0.25">
      <c r="A238" s="425">
        <v>236</v>
      </c>
      <c r="B238" s="426" t="s">
        <v>1432</v>
      </c>
      <c r="C238" s="426" t="s">
        <v>1423</v>
      </c>
      <c r="D238" s="426" t="s">
        <v>1424</v>
      </c>
      <c r="E238" s="79">
        <v>1</v>
      </c>
      <c r="F238" s="405"/>
      <c r="G238" s="274"/>
      <c r="H238" s="274"/>
      <c r="I238" s="274"/>
      <c r="J238" s="274"/>
      <c r="K238" s="11"/>
      <c r="L238" s="274"/>
      <c r="M238" s="274"/>
      <c r="N238" s="274"/>
      <c r="O238" s="48"/>
      <c r="P238" s="11"/>
      <c r="Q238" s="274"/>
      <c r="R238" s="274"/>
      <c r="S238" s="274"/>
      <c r="T238" s="11"/>
      <c r="U238" s="11"/>
      <c r="V238" s="16">
        <v>3675396</v>
      </c>
      <c r="W238" s="274">
        <v>0</v>
      </c>
      <c r="X238" s="16">
        <f>+V238+W238</f>
        <v>3675396</v>
      </c>
      <c r="Y238" s="11" t="s">
        <v>343</v>
      </c>
      <c r="Z238" s="48" t="s">
        <v>1433</v>
      </c>
      <c r="AA238" s="52"/>
      <c r="AB238" s="52"/>
      <c r="AC238" s="118"/>
      <c r="AD238" s="5"/>
      <c r="AE238" s="52"/>
      <c r="AF238" s="113"/>
      <c r="AG238" s="113"/>
      <c r="AH238" s="113"/>
      <c r="AI238" s="52"/>
      <c r="AJ238" s="11"/>
      <c r="AK238" s="269">
        <v>1485160</v>
      </c>
      <c r="AL238" s="269">
        <v>282180.40000000002</v>
      </c>
      <c r="AM238" s="116">
        <v>1767340.4</v>
      </c>
      <c r="AN238" s="301" t="s">
        <v>37</v>
      </c>
      <c r="AO238" s="302" t="s">
        <v>1433</v>
      </c>
      <c r="AP238" s="11"/>
      <c r="AQ238" s="11"/>
      <c r="AR238" s="11"/>
      <c r="AS238" s="11"/>
      <c r="AT238" s="11"/>
      <c r="AU238" s="118">
        <v>119033</v>
      </c>
      <c r="AV238" s="118">
        <v>22616</v>
      </c>
      <c r="AW238" s="118">
        <v>141649</v>
      </c>
      <c r="AX238" s="52" t="s">
        <v>607</v>
      </c>
      <c r="AY238" s="52" t="s">
        <v>1434</v>
      </c>
      <c r="AZ238" s="11"/>
      <c r="BA238" s="11"/>
      <c r="BB238" s="11"/>
      <c r="BC238" s="11"/>
      <c r="BD238" s="11"/>
      <c r="BE238" s="274">
        <v>1375000</v>
      </c>
      <c r="BF238" s="274">
        <v>261250</v>
      </c>
      <c r="BG238" s="274">
        <v>1636250</v>
      </c>
      <c r="BH238" s="11" t="s">
        <v>310</v>
      </c>
      <c r="BI238" s="11" t="s">
        <v>1435</v>
      </c>
      <c r="BJ238" s="311"/>
      <c r="BK238" s="311"/>
      <c r="BL238" s="311"/>
      <c r="BM238" s="52"/>
      <c r="BN238" s="52"/>
      <c r="BO238" s="387"/>
      <c r="BP238" s="320"/>
      <c r="BQ238" s="320"/>
      <c r="BR238" s="4"/>
      <c r="BS238" s="4"/>
      <c r="BT238" s="11"/>
      <c r="BU238" s="11"/>
      <c r="BV238" s="11"/>
      <c r="BW238" s="11"/>
      <c r="BX238" s="11"/>
      <c r="BY238" s="348"/>
      <c r="BZ238" s="348"/>
      <c r="CA238" s="348"/>
      <c r="CB238" s="348"/>
      <c r="CC238" s="348"/>
      <c r="CD238" s="11"/>
      <c r="CE238" s="11"/>
      <c r="CF238" s="11"/>
      <c r="CG238" s="11"/>
      <c r="CH238" s="11"/>
      <c r="CI238" s="11"/>
      <c r="CJ238" s="11"/>
      <c r="CK238" s="11"/>
      <c r="CL238" s="11"/>
      <c r="CM238" s="11"/>
      <c r="CN238" s="274"/>
      <c r="CO238" s="274"/>
      <c r="CP238" s="274"/>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8">
        <v>130000</v>
      </c>
      <c r="DN238" s="118">
        <f>DM238*0.19</f>
        <v>24700</v>
      </c>
      <c r="DO238" s="118">
        <f>DM238+DN238</f>
        <v>154700</v>
      </c>
      <c r="DP238" s="52" t="s">
        <v>37</v>
      </c>
      <c r="DQ238" s="52" t="s">
        <v>1434</v>
      </c>
      <c r="DR238" s="77">
        <v>113000</v>
      </c>
      <c r="DS238" s="77">
        <f>DR238*0.19</f>
        <v>21470</v>
      </c>
      <c r="DT238" s="77">
        <f>DR238+DS238</f>
        <v>134470</v>
      </c>
      <c r="DU238" s="11" t="s">
        <v>37</v>
      </c>
      <c r="DV238" s="11" t="s">
        <v>1434</v>
      </c>
      <c r="DW238" s="11"/>
      <c r="DX238" s="11"/>
      <c r="DY238" s="11"/>
      <c r="DZ238" s="11"/>
      <c r="EA238" s="11"/>
      <c r="EB238" s="11"/>
      <c r="EC238" s="11"/>
      <c r="ED238" s="11"/>
      <c r="EE238" s="11"/>
      <c r="EF238" s="11"/>
    </row>
    <row r="239" spans="1:136" ht="67.5" x14ac:dyDescent="0.25">
      <c r="A239" s="425">
        <v>237</v>
      </c>
      <c r="B239" s="426" t="s">
        <v>1436</v>
      </c>
      <c r="C239" s="426" t="s">
        <v>1423</v>
      </c>
      <c r="D239" s="426" t="s">
        <v>1437</v>
      </c>
      <c r="E239" s="79">
        <v>1</v>
      </c>
      <c r="F239" s="405"/>
      <c r="G239" s="274"/>
      <c r="H239" s="274"/>
      <c r="I239" s="274"/>
      <c r="J239" s="274"/>
      <c r="K239" s="11"/>
      <c r="L239" s="274"/>
      <c r="M239" s="274"/>
      <c r="N239" s="274"/>
      <c r="O239" s="48"/>
      <c r="P239" s="11"/>
      <c r="Q239" s="274"/>
      <c r="R239" s="274"/>
      <c r="S239" s="274"/>
      <c r="T239" s="11"/>
      <c r="U239" s="11"/>
      <c r="V239" s="16">
        <v>3893035</v>
      </c>
      <c r="W239" s="274">
        <v>0</v>
      </c>
      <c r="X239" s="16">
        <f>+V239+W239</f>
        <v>3893035</v>
      </c>
      <c r="Y239" s="11" t="s">
        <v>343</v>
      </c>
      <c r="Z239" s="48" t="s">
        <v>1438</v>
      </c>
      <c r="AA239" s="52"/>
      <c r="AB239" s="52"/>
      <c r="AC239" s="118"/>
      <c r="AD239" s="5"/>
      <c r="AE239" s="52"/>
      <c r="AF239" s="113"/>
      <c r="AG239" s="113"/>
      <c r="AH239" s="113"/>
      <c r="AI239" s="52"/>
      <c r="AJ239" s="11"/>
      <c r="AK239" s="269"/>
      <c r="AL239" s="269"/>
      <c r="AM239" s="116"/>
      <c r="AN239" s="301"/>
      <c r="AO239" s="302"/>
      <c r="AP239" s="11"/>
      <c r="AQ239" s="11"/>
      <c r="AR239" s="11"/>
      <c r="AS239" s="11"/>
      <c r="AT239" s="11"/>
      <c r="AU239" s="118">
        <v>304706</v>
      </c>
      <c r="AV239" s="118">
        <f>+AU239*0.19</f>
        <v>57894.14</v>
      </c>
      <c r="AW239" s="118">
        <f>+AU239+AV239</f>
        <v>362600.14</v>
      </c>
      <c r="AX239" s="52" t="s">
        <v>343</v>
      </c>
      <c r="AY239" s="52" t="s">
        <v>1439</v>
      </c>
      <c r="AZ239" s="11"/>
      <c r="BA239" s="11"/>
      <c r="BB239" s="11"/>
      <c r="BC239" s="11"/>
      <c r="BD239" s="11"/>
      <c r="BE239" s="274">
        <v>768000</v>
      </c>
      <c r="BF239" s="274">
        <v>145920</v>
      </c>
      <c r="BG239" s="274">
        <v>913920</v>
      </c>
      <c r="BH239" s="11" t="s">
        <v>310</v>
      </c>
      <c r="BI239" s="11" t="s">
        <v>1440</v>
      </c>
      <c r="BJ239" s="311"/>
      <c r="BK239" s="311"/>
      <c r="BL239" s="311"/>
      <c r="BM239" s="52"/>
      <c r="BN239" s="52"/>
      <c r="BO239" s="387"/>
      <c r="BP239" s="320"/>
      <c r="BQ239" s="320"/>
      <c r="BR239" s="4"/>
      <c r="BS239" s="4"/>
      <c r="BT239" s="11"/>
      <c r="BU239" s="11"/>
      <c r="BV239" s="11"/>
      <c r="BW239" s="11"/>
      <c r="BX239" s="11"/>
      <c r="BY239" s="348"/>
      <c r="BZ239" s="348"/>
      <c r="CA239" s="348"/>
      <c r="CB239" s="348"/>
      <c r="CC239" s="348"/>
      <c r="CD239" s="11"/>
      <c r="CE239" s="11"/>
      <c r="CF239" s="11"/>
      <c r="CG239" s="11"/>
      <c r="CH239" s="11"/>
      <c r="CI239" s="11"/>
      <c r="CJ239" s="11"/>
      <c r="CK239" s="11"/>
      <c r="CL239" s="11"/>
      <c r="CM239" s="11"/>
      <c r="CN239" s="274"/>
      <c r="CO239" s="274"/>
      <c r="CP239" s="274"/>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8">
        <v>1596200</v>
      </c>
      <c r="DN239" s="118">
        <v>0</v>
      </c>
      <c r="DO239" s="118">
        <f>DM239+DN239</f>
        <v>1596200</v>
      </c>
      <c r="DP239" s="52" t="s">
        <v>88</v>
      </c>
      <c r="DQ239" s="52" t="s">
        <v>1438</v>
      </c>
      <c r="DR239" s="77">
        <v>281000</v>
      </c>
      <c r="DS239" s="77">
        <v>0</v>
      </c>
      <c r="DT239" s="77">
        <f>DR239+DS239</f>
        <v>281000</v>
      </c>
      <c r="DU239" s="11" t="s">
        <v>37</v>
      </c>
      <c r="DV239" s="11" t="s">
        <v>1441</v>
      </c>
      <c r="DW239" s="11"/>
      <c r="DX239" s="11"/>
      <c r="DY239" s="11"/>
      <c r="DZ239" s="11"/>
      <c r="EA239" s="11"/>
      <c r="EB239" s="11"/>
      <c r="EC239" s="11"/>
      <c r="ED239" s="11"/>
      <c r="EE239" s="11"/>
      <c r="EF239" s="11"/>
    </row>
    <row r="240" spans="1:136" ht="81" x14ac:dyDescent="0.25">
      <c r="A240" s="425">
        <v>238</v>
      </c>
      <c r="B240" s="426" t="s">
        <v>1442</v>
      </c>
      <c r="C240" s="426" t="s">
        <v>1423</v>
      </c>
      <c r="D240" s="426" t="s">
        <v>1424</v>
      </c>
      <c r="E240" s="79">
        <v>1</v>
      </c>
      <c r="F240" s="405"/>
      <c r="G240" s="274"/>
      <c r="H240" s="274"/>
      <c r="I240" s="274"/>
      <c r="J240" s="274"/>
      <c r="K240" s="11"/>
      <c r="L240" s="274"/>
      <c r="M240" s="274"/>
      <c r="N240" s="274"/>
      <c r="O240" s="48"/>
      <c r="P240" s="11"/>
      <c r="Q240" s="274"/>
      <c r="R240" s="274"/>
      <c r="S240" s="274"/>
      <c r="T240" s="11"/>
      <c r="U240" s="11"/>
      <c r="V240" s="11"/>
      <c r="W240" s="11"/>
      <c r="X240" s="11"/>
      <c r="Y240" s="11"/>
      <c r="Z240" s="48"/>
      <c r="AA240" s="52"/>
      <c r="AB240" s="52"/>
      <c r="AC240" s="118"/>
      <c r="AD240" s="5"/>
      <c r="AE240" s="52"/>
      <c r="AF240" s="113"/>
      <c r="AG240" s="113"/>
      <c r="AH240" s="113"/>
      <c r="AI240" s="52"/>
      <c r="AJ240" s="11"/>
      <c r="AK240" s="269">
        <v>184040</v>
      </c>
      <c r="AL240" s="269">
        <v>0</v>
      </c>
      <c r="AM240" s="116">
        <v>184040</v>
      </c>
      <c r="AN240" s="301" t="s">
        <v>37</v>
      </c>
      <c r="AO240" s="302" t="s">
        <v>1443</v>
      </c>
      <c r="AP240" s="11"/>
      <c r="AQ240" s="11"/>
      <c r="AR240" s="11"/>
      <c r="AS240" s="11"/>
      <c r="AT240" s="11"/>
      <c r="AU240" s="118">
        <v>303808.82</v>
      </c>
      <c r="AV240" s="118">
        <v>0</v>
      </c>
      <c r="AW240" s="118">
        <f>+AU240+AV240</f>
        <v>303808.82</v>
      </c>
      <c r="AX240" s="52" t="s">
        <v>343</v>
      </c>
      <c r="AY240" s="52" t="s">
        <v>1444</v>
      </c>
      <c r="AZ240" s="11"/>
      <c r="BA240" s="11"/>
      <c r="BB240" s="11"/>
      <c r="BC240" s="11"/>
      <c r="BD240" s="11"/>
      <c r="BE240" s="274">
        <v>2466000</v>
      </c>
      <c r="BF240" s="274">
        <v>468540</v>
      </c>
      <c r="BG240" s="274">
        <v>2934540</v>
      </c>
      <c r="BH240" s="11" t="s">
        <v>310</v>
      </c>
      <c r="BI240" s="11" t="s">
        <v>1445</v>
      </c>
      <c r="BJ240" s="311"/>
      <c r="BK240" s="311"/>
      <c r="BL240" s="311"/>
      <c r="BM240" s="52"/>
      <c r="BN240" s="52"/>
      <c r="BO240" s="387"/>
      <c r="BP240" s="320"/>
      <c r="BQ240" s="320"/>
      <c r="BR240" s="4"/>
      <c r="BS240" s="4"/>
      <c r="BT240" s="11"/>
      <c r="BU240" s="11"/>
      <c r="BV240" s="11"/>
      <c r="BW240" s="11"/>
      <c r="BX240" s="11"/>
      <c r="BY240" s="348"/>
      <c r="BZ240" s="348"/>
      <c r="CA240" s="348"/>
      <c r="CB240" s="348"/>
      <c r="CC240" s="348"/>
      <c r="CD240" s="11"/>
      <c r="CE240" s="11"/>
      <c r="CF240" s="11"/>
      <c r="CG240" s="11"/>
      <c r="CH240" s="11"/>
      <c r="CI240" s="11"/>
      <c r="CJ240" s="11"/>
      <c r="CK240" s="11"/>
      <c r="CL240" s="11"/>
      <c r="CM240" s="11"/>
      <c r="CN240" s="274"/>
      <c r="CO240" s="274"/>
      <c r="CP240" s="274"/>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8"/>
      <c r="DN240" s="118"/>
      <c r="DO240" s="118"/>
      <c r="DP240" s="52"/>
      <c r="DQ240" s="52"/>
      <c r="DR240" s="77">
        <v>306000</v>
      </c>
      <c r="DS240" s="77">
        <v>0</v>
      </c>
      <c r="DT240" s="77">
        <f>DR240+DS240</f>
        <v>306000</v>
      </c>
      <c r="DU240" s="11" t="s">
        <v>37</v>
      </c>
      <c r="DV240" s="11" t="s">
        <v>1446</v>
      </c>
      <c r="DW240" s="11"/>
      <c r="DX240" s="11"/>
      <c r="DY240" s="11"/>
      <c r="DZ240" s="11"/>
      <c r="EA240" s="11"/>
      <c r="EB240" s="11"/>
      <c r="EC240" s="11"/>
      <c r="ED240" s="11"/>
      <c r="EE240" s="11"/>
      <c r="EF240" s="11"/>
    </row>
    <row r="241" spans="1:136" ht="81" x14ac:dyDescent="0.25">
      <c r="A241" s="425">
        <v>239</v>
      </c>
      <c r="B241" s="426" t="s">
        <v>1447</v>
      </c>
      <c r="C241" s="426" t="s">
        <v>1423</v>
      </c>
      <c r="D241" s="426" t="s">
        <v>1424</v>
      </c>
      <c r="E241" s="79">
        <v>1</v>
      </c>
      <c r="F241" s="405"/>
      <c r="G241" s="274"/>
      <c r="H241" s="274"/>
      <c r="I241" s="274"/>
      <c r="J241" s="274"/>
      <c r="K241" s="11"/>
      <c r="L241" s="274"/>
      <c r="M241" s="274"/>
      <c r="N241" s="274"/>
      <c r="O241" s="48"/>
      <c r="P241" s="11"/>
      <c r="Q241" s="274"/>
      <c r="R241" s="274"/>
      <c r="S241" s="274"/>
      <c r="T241" s="11"/>
      <c r="U241" s="11"/>
      <c r="V241" s="16">
        <v>2023276</v>
      </c>
      <c r="W241" s="274">
        <v>0</v>
      </c>
      <c r="X241" s="16">
        <f>+V241+W241</f>
        <v>2023276</v>
      </c>
      <c r="Y241" s="11" t="s">
        <v>343</v>
      </c>
      <c r="Z241" s="48" t="s">
        <v>1448</v>
      </c>
      <c r="AA241" s="52"/>
      <c r="AB241" s="52"/>
      <c r="AC241" s="118"/>
      <c r="AD241" s="5"/>
      <c r="AE241" s="52"/>
      <c r="AF241" s="113"/>
      <c r="AG241" s="113"/>
      <c r="AH241" s="113"/>
      <c r="AI241" s="52"/>
      <c r="AJ241" s="11"/>
      <c r="AK241" s="269">
        <v>1485160</v>
      </c>
      <c r="AL241" s="269">
        <v>282180.40000000002</v>
      </c>
      <c r="AM241" s="116">
        <v>1767340.4</v>
      </c>
      <c r="AN241" s="301" t="s">
        <v>37</v>
      </c>
      <c r="AO241" s="302" t="s">
        <v>1449</v>
      </c>
      <c r="AP241" s="11"/>
      <c r="AQ241" s="11"/>
      <c r="AR241" s="11"/>
      <c r="AS241" s="11"/>
      <c r="AT241" s="11"/>
      <c r="AU241" s="118">
        <v>161029.41</v>
      </c>
      <c r="AV241" s="118">
        <f>+AU241*0.19</f>
        <v>30595.587900000002</v>
      </c>
      <c r="AW241" s="118">
        <f>+AU241+AV241</f>
        <v>191624.99790000002</v>
      </c>
      <c r="AX241" s="52" t="s">
        <v>343</v>
      </c>
      <c r="AY241" s="52" t="s">
        <v>1450</v>
      </c>
      <c r="AZ241" s="11"/>
      <c r="BA241" s="11"/>
      <c r="BB241" s="11"/>
      <c r="BC241" s="11"/>
      <c r="BD241" s="11"/>
      <c r="BE241" s="274">
        <v>560000</v>
      </c>
      <c r="BF241" s="274">
        <v>106400</v>
      </c>
      <c r="BG241" s="274">
        <v>666400</v>
      </c>
      <c r="BH241" s="11" t="s">
        <v>310</v>
      </c>
      <c r="BI241" s="11" t="s">
        <v>1451</v>
      </c>
      <c r="BJ241" s="311"/>
      <c r="BK241" s="311"/>
      <c r="BL241" s="311"/>
      <c r="BM241" s="52"/>
      <c r="BN241" s="52"/>
      <c r="BO241" s="387"/>
      <c r="BP241" s="320"/>
      <c r="BQ241" s="320"/>
      <c r="BR241" s="4"/>
      <c r="BS241" s="4"/>
      <c r="BT241" s="11"/>
      <c r="BU241" s="11"/>
      <c r="BV241" s="11"/>
      <c r="BW241" s="11"/>
      <c r="BX241" s="11"/>
      <c r="BY241" s="348"/>
      <c r="BZ241" s="348"/>
      <c r="CA241" s="348"/>
      <c r="CB241" s="348"/>
      <c r="CC241" s="348"/>
      <c r="CD241" s="11"/>
      <c r="CE241" s="11"/>
      <c r="CF241" s="11"/>
      <c r="CG241" s="11"/>
      <c r="CH241" s="11"/>
      <c r="CI241" s="11"/>
      <c r="CJ241" s="11"/>
      <c r="CK241" s="11"/>
      <c r="CL241" s="11"/>
      <c r="CM241" s="11"/>
      <c r="CN241" s="274"/>
      <c r="CO241" s="274"/>
      <c r="CP241" s="274"/>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8">
        <v>1596200</v>
      </c>
      <c r="DN241" s="118">
        <f>DM241*0.19</f>
        <v>303278</v>
      </c>
      <c r="DO241" s="118">
        <f>DM241+DN241</f>
        <v>1899478</v>
      </c>
      <c r="DP241" s="52" t="s">
        <v>88</v>
      </c>
      <c r="DQ241" s="52" t="s">
        <v>1449</v>
      </c>
      <c r="DR241" s="77">
        <v>835000</v>
      </c>
      <c r="DS241" s="77">
        <v>0</v>
      </c>
      <c r="DT241" s="77">
        <f>DR241+DS241</f>
        <v>835000</v>
      </c>
      <c r="DU241" s="11" t="s">
        <v>37</v>
      </c>
      <c r="DV241" s="11" t="s">
        <v>1448</v>
      </c>
      <c r="DW241" s="11"/>
      <c r="DX241" s="11"/>
      <c r="DY241" s="11"/>
      <c r="DZ241" s="11"/>
      <c r="EA241" s="11"/>
      <c r="EB241" s="11"/>
      <c r="EC241" s="11"/>
      <c r="ED241" s="11"/>
      <c r="EE241" s="11"/>
      <c r="EF241" s="11"/>
    </row>
    <row r="242" spans="1:136" ht="81" x14ac:dyDescent="0.25">
      <c r="A242" s="425">
        <v>240</v>
      </c>
      <c r="B242" s="426" t="s">
        <v>1452</v>
      </c>
      <c r="C242" s="426" t="s">
        <v>1453</v>
      </c>
      <c r="D242" s="426" t="s">
        <v>1424</v>
      </c>
      <c r="E242" s="79">
        <v>1</v>
      </c>
      <c r="F242" s="405"/>
      <c r="G242" s="274"/>
      <c r="H242" s="274"/>
      <c r="I242" s="274"/>
      <c r="J242" s="274"/>
      <c r="K242" s="11"/>
      <c r="L242" s="274"/>
      <c r="M242" s="274"/>
      <c r="N242" s="274"/>
      <c r="O242" s="48"/>
      <c r="P242" s="11"/>
      <c r="Q242" s="274"/>
      <c r="R242" s="274"/>
      <c r="S242" s="274"/>
      <c r="T242" s="11"/>
      <c r="U242" s="11"/>
      <c r="V242" s="16">
        <v>3658035</v>
      </c>
      <c r="W242" s="274">
        <v>0</v>
      </c>
      <c r="X242" s="16">
        <f>+V242+W242</f>
        <v>3658035</v>
      </c>
      <c r="Y242" s="11" t="s">
        <v>343</v>
      </c>
      <c r="Z242" s="394" t="s">
        <v>1454</v>
      </c>
      <c r="AA242" s="52"/>
      <c r="AB242" s="52"/>
      <c r="AC242" s="118"/>
      <c r="AD242" s="5"/>
      <c r="AE242" s="52"/>
      <c r="AF242" s="113"/>
      <c r="AG242" s="113"/>
      <c r="AH242" s="113"/>
      <c r="AI242" s="52"/>
      <c r="AJ242" s="11"/>
      <c r="AK242" s="269">
        <v>1485160</v>
      </c>
      <c r="AL242" s="269">
        <v>282180.40000000002</v>
      </c>
      <c r="AM242" s="116">
        <v>1767340.4</v>
      </c>
      <c r="AN242" s="301" t="s">
        <v>37</v>
      </c>
      <c r="AO242" s="302" t="s">
        <v>1454</v>
      </c>
      <c r="AP242" s="11"/>
      <c r="AQ242" s="11"/>
      <c r="AR242" s="11"/>
      <c r="AS242" s="11"/>
      <c r="AT242" s="11"/>
      <c r="AU242" s="118">
        <v>1632941</v>
      </c>
      <c r="AV242" s="118">
        <f>+AU242*0.19</f>
        <v>310258.78999999998</v>
      </c>
      <c r="AW242" s="118">
        <f>+AU242+AV242</f>
        <v>1943199.79</v>
      </c>
      <c r="AX242" s="52" t="s">
        <v>343</v>
      </c>
      <c r="AY242" s="52" t="s">
        <v>1454</v>
      </c>
      <c r="AZ242" s="11"/>
      <c r="BA242" s="11"/>
      <c r="BB242" s="11"/>
      <c r="BC242" s="11"/>
      <c r="BD242" s="11"/>
      <c r="BE242" s="274">
        <v>2523000</v>
      </c>
      <c r="BF242" s="274">
        <v>479370</v>
      </c>
      <c r="BG242" s="274">
        <v>3002370</v>
      </c>
      <c r="BH242" s="11" t="s">
        <v>310</v>
      </c>
      <c r="BI242" s="11" t="s">
        <v>1455</v>
      </c>
      <c r="BJ242" s="311"/>
      <c r="BK242" s="311"/>
      <c r="BL242" s="311"/>
      <c r="BM242" s="52"/>
      <c r="BN242" s="52"/>
      <c r="BO242" s="387"/>
      <c r="BP242" s="320"/>
      <c r="BQ242" s="320"/>
      <c r="BR242" s="4"/>
      <c r="BS242" s="4"/>
      <c r="BT242" s="11"/>
      <c r="BU242" s="11"/>
      <c r="BV242" s="11"/>
      <c r="BW242" s="11"/>
      <c r="BX242" s="11"/>
      <c r="BY242" s="348"/>
      <c r="BZ242" s="348"/>
      <c r="CA242" s="348"/>
      <c r="CB242" s="348"/>
      <c r="CC242" s="348"/>
      <c r="CD242" s="11"/>
      <c r="CE242" s="11"/>
      <c r="CF242" s="11"/>
      <c r="CG242" s="11"/>
      <c r="CH242" s="11"/>
      <c r="CI242" s="11"/>
      <c r="CJ242" s="11"/>
      <c r="CK242" s="11"/>
      <c r="CL242" s="11"/>
      <c r="CM242" s="11"/>
      <c r="CN242" s="274"/>
      <c r="CO242" s="274"/>
      <c r="CP242" s="274"/>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8">
        <v>1596200</v>
      </c>
      <c r="DN242" s="118">
        <f>DM242*0.19</f>
        <v>303278</v>
      </c>
      <c r="DO242" s="118">
        <f>DM242+DN242</f>
        <v>1899478</v>
      </c>
      <c r="DP242" s="52" t="s">
        <v>88</v>
      </c>
      <c r="DQ242" s="52" t="s">
        <v>1454</v>
      </c>
      <c r="DR242" s="77">
        <v>1720000</v>
      </c>
      <c r="DS242" s="77">
        <v>0</v>
      </c>
      <c r="DT242" s="77">
        <f>DR242+DS242</f>
        <v>1720000</v>
      </c>
      <c r="DU242" s="11" t="s">
        <v>37</v>
      </c>
      <c r="DV242" s="11" t="s">
        <v>1454</v>
      </c>
      <c r="DW242" s="11"/>
      <c r="DX242" s="11"/>
      <c r="DY242" s="11"/>
      <c r="DZ242" s="11"/>
      <c r="EA242" s="11"/>
      <c r="EB242" s="11"/>
      <c r="EC242" s="11"/>
      <c r="ED242" s="11"/>
      <c r="EE242" s="11"/>
      <c r="EF242" s="11"/>
    </row>
    <row r="243" spans="1:136" ht="81" x14ac:dyDescent="0.25">
      <c r="A243" s="425">
        <v>241</v>
      </c>
      <c r="B243" s="426" t="s">
        <v>1456</v>
      </c>
      <c r="C243" s="426" t="s">
        <v>1423</v>
      </c>
      <c r="D243" s="426" t="s">
        <v>1424</v>
      </c>
      <c r="E243" s="79">
        <v>1</v>
      </c>
      <c r="F243" s="405"/>
      <c r="G243" s="274"/>
      <c r="H243" s="274"/>
      <c r="I243" s="274"/>
      <c r="J243" s="274"/>
      <c r="K243" s="11"/>
      <c r="L243" s="274"/>
      <c r="M243" s="274"/>
      <c r="N243" s="274"/>
      <c r="O243" s="48"/>
      <c r="P243" s="11"/>
      <c r="Q243" s="274"/>
      <c r="R243" s="274"/>
      <c r="S243" s="274"/>
      <c r="T243" s="11"/>
      <c r="U243" s="11"/>
      <c r="V243" s="16">
        <v>3860674</v>
      </c>
      <c r="W243" s="274">
        <v>0</v>
      </c>
      <c r="X243" s="16">
        <f>+V243+W243</f>
        <v>3860674</v>
      </c>
      <c r="Y243" s="11" t="s">
        <v>343</v>
      </c>
      <c r="Z243" s="48" t="s">
        <v>1457</v>
      </c>
      <c r="AA243" s="52"/>
      <c r="AB243" s="52"/>
      <c r="AC243" s="118"/>
      <c r="AD243" s="5"/>
      <c r="AE243" s="52"/>
      <c r="AF243" s="113"/>
      <c r="AG243" s="113"/>
      <c r="AH243" s="113"/>
      <c r="AI243" s="52"/>
      <c r="AJ243" s="11"/>
      <c r="AK243" s="269"/>
      <c r="AL243" s="269"/>
      <c r="AM243" s="116"/>
      <c r="AN243" s="301"/>
      <c r="AO243" s="302"/>
      <c r="AP243" s="11"/>
      <c r="AQ243" s="11"/>
      <c r="AR243" s="11"/>
      <c r="AS243" s="11"/>
      <c r="AT243" s="11"/>
      <c r="AU243" s="118"/>
      <c r="AV243" s="118"/>
      <c r="AW243" s="118"/>
      <c r="AX243" s="52"/>
      <c r="AY243" s="52"/>
      <c r="AZ243" s="11"/>
      <c r="BA243" s="11"/>
      <c r="BB243" s="11"/>
      <c r="BC243" s="11"/>
      <c r="BD243" s="11"/>
      <c r="BE243" s="274">
        <v>38888000</v>
      </c>
      <c r="BF243" s="274">
        <v>7388720</v>
      </c>
      <c r="BG243" s="274">
        <v>46276720</v>
      </c>
      <c r="BH243" s="11" t="s">
        <v>310</v>
      </c>
      <c r="BI243" s="11" t="s">
        <v>1458</v>
      </c>
      <c r="BJ243" s="311"/>
      <c r="BK243" s="311"/>
      <c r="BL243" s="311"/>
      <c r="BM243" s="52"/>
      <c r="BN243" s="52"/>
      <c r="BO243" s="387"/>
      <c r="BP243" s="320"/>
      <c r="BQ243" s="320"/>
      <c r="BR243" s="4"/>
      <c r="BS243" s="4"/>
      <c r="BT243" s="11"/>
      <c r="BU243" s="11"/>
      <c r="BV243" s="11"/>
      <c r="BW243" s="11"/>
      <c r="BX243" s="11"/>
      <c r="BY243" s="348"/>
      <c r="BZ243" s="348"/>
      <c r="CA243" s="348"/>
      <c r="CB243" s="348"/>
      <c r="CC243" s="348"/>
      <c r="CD243" s="11"/>
      <c r="CE243" s="11"/>
      <c r="CF243" s="11"/>
      <c r="CG243" s="11"/>
      <c r="CH243" s="11"/>
      <c r="CI243" s="11"/>
      <c r="CJ243" s="11"/>
      <c r="CK243" s="11"/>
      <c r="CL243" s="11"/>
      <c r="CM243" s="11"/>
      <c r="CN243" s="274"/>
      <c r="CO243" s="274"/>
      <c r="CP243" s="274"/>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8"/>
      <c r="DN243" s="118"/>
      <c r="DO243" s="118"/>
      <c r="DP243" s="52"/>
      <c r="DQ243" s="52"/>
      <c r="DR243" s="77"/>
      <c r="DS243" s="77"/>
      <c r="DT243" s="77"/>
      <c r="DU243" s="11"/>
      <c r="DV243" s="11"/>
      <c r="DW243" s="11"/>
      <c r="DX243" s="11"/>
      <c r="DY243" s="11"/>
      <c r="DZ243" s="11"/>
      <c r="EA243" s="11"/>
      <c r="EB243" s="11"/>
      <c r="EC243" s="11"/>
      <c r="ED243" s="11"/>
      <c r="EE243" s="11"/>
      <c r="EF243" s="11"/>
    </row>
    <row r="244" spans="1:136" ht="81" x14ac:dyDescent="0.25">
      <c r="A244" s="425">
        <v>242</v>
      </c>
      <c r="B244" s="428" t="s">
        <v>1459</v>
      </c>
      <c r="C244" s="413" t="s">
        <v>1460</v>
      </c>
      <c r="D244" s="426" t="s">
        <v>1461</v>
      </c>
      <c r="E244" s="79">
        <v>1</v>
      </c>
      <c r="F244" s="405"/>
      <c r="G244" s="274"/>
      <c r="H244" s="274"/>
      <c r="I244" s="274"/>
      <c r="J244" s="274"/>
      <c r="K244" s="11"/>
      <c r="L244" s="274"/>
      <c r="M244" s="274"/>
      <c r="N244" s="274"/>
      <c r="O244" s="48"/>
      <c r="P244" s="11"/>
      <c r="Q244" s="274"/>
      <c r="R244" s="274"/>
      <c r="S244" s="274"/>
      <c r="T244" s="11"/>
      <c r="U244" s="11"/>
      <c r="V244" s="11"/>
      <c r="W244" s="11"/>
      <c r="X244" s="11"/>
      <c r="Y244" s="11"/>
      <c r="Z244" s="48"/>
      <c r="AA244" s="52"/>
      <c r="AB244" s="52"/>
      <c r="AC244" s="118"/>
      <c r="AD244" s="5"/>
      <c r="AE244" s="52"/>
      <c r="AF244" s="113"/>
      <c r="AG244" s="113"/>
      <c r="AH244" s="113"/>
      <c r="AI244" s="52"/>
      <c r="AJ244" s="11"/>
      <c r="AK244" s="269"/>
      <c r="AL244" s="269"/>
      <c r="AM244" s="116"/>
      <c r="AN244" s="301"/>
      <c r="AO244" s="302"/>
      <c r="AP244" s="11"/>
      <c r="AQ244" s="11"/>
      <c r="AR244" s="11"/>
      <c r="AS244" s="11"/>
      <c r="AT244" s="11"/>
      <c r="AU244" s="118"/>
      <c r="AV244" s="118"/>
      <c r="AW244" s="118"/>
      <c r="AX244" s="52"/>
      <c r="AY244" s="52"/>
      <c r="AZ244" s="11"/>
      <c r="BA244" s="11"/>
      <c r="BB244" s="11"/>
      <c r="BC244" s="11"/>
      <c r="BD244" s="11"/>
      <c r="BE244" s="274">
        <v>2210000</v>
      </c>
      <c r="BF244" s="274">
        <v>419900</v>
      </c>
      <c r="BG244" s="274">
        <v>2629900</v>
      </c>
      <c r="BH244" s="11" t="s">
        <v>310</v>
      </c>
      <c r="BI244" s="11" t="s">
        <v>1462</v>
      </c>
      <c r="BJ244" s="311"/>
      <c r="BK244" s="311"/>
      <c r="BL244" s="311"/>
      <c r="BM244" s="52"/>
      <c r="BN244" s="52"/>
      <c r="BO244" s="387"/>
      <c r="BP244" s="320"/>
      <c r="BQ244" s="320"/>
      <c r="BR244" s="4"/>
      <c r="BS244" s="4"/>
      <c r="BT244" s="11"/>
      <c r="BU244" s="11"/>
      <c r="BV244" s="11"/>
      <c r="BW244" s="11"/>
      <c r="BX244" s="11"/>
      <c r="BY244" s="348"/>
      <c r="BZ244" s="348"/>
      <c r="CA244" s="348"/>
      <c r="CB244" s="348"/>
      <c r="CC244" s="348"/>
      <c r="CD244" s="11"/>
      <c r="CE244" s="11"/>
      <c r="CF244" s="11"/>
      <c r="CG244" s="11"/>
      <c r="CH244" s="11"/>
      <c r="CI244" s="11"/>
      <c r="CJ244" s="11"/>
      <c r="CK244" s="11"/>
      <c r="CL244" s="11"/>
      <c r="CM244" s="11"/>
      <c r="CN244" s="274"/>
      <c r="CO244" s="274"/>
      <c r="CP244" s="274"/>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8"/>
      <c r="DN244" s="118"/>
      <c r="DO244" s="118"/>
      <c r="DP244" s="52"/>
      <c r="DQ244" s="52"/>
      <c r="DR244" s="77"/>
      <c r="DS244" s="77"/>
      <c r="DT244" s="77"/>
      <c r="DU244" s="11"/>
      <c r="DV244" s="11"/>
      <c r="DW244" s="11"/>
      <c r="DX244" s="11"/>
      <c r="DY244" s="11"/>
      <c r="DZ244" s="11"/>
      <c r="EA244" s="11"/>
      <c r="EB244" s="11"/>
      <c r="EC244" s="11"/>
      <c r="ED244" s="11"/>
      <c r="EE244" s="11"/>
      <c r="EF244" s="11"/>
    </row>
    <row r="245" spans="1:136" ht="81" x14ac:dyDescent="0.25">
      <c r="A245" s="425">
        <v>243</v>
      </c>
      <c r="B245" s="426" t="s">
        <v>1463</v>
      </c>
      <c r="C245" s="426" t="s">
        <v>1423</v>
      </c>
      <c r="D245" s="426" t="s">
        <v>1424</v>
      </c>
      <c r="E245" s="79">
        <v>1</v>
      </c>
      <c r="F245" s="405"/>
      <c r="G245" s="274"/>
      <c r="H245" s="274"/>
      <c r="I245" s="274"/>
      <c r="J245" s="274"/>
      <c r="K245" s="11"/>
      <c r="L245" s="274"/>
      <c r="M245" s="274"/>
      <c r="N245" s="274"/>
      <c r="O245" s="48"/>
      <c r="P245" s="11"/>
      <c r="Q245" s="274"/>
      <c r="R245" s="274"/>
      <c r="S245" s="274"/>
      <c r="T245" s="11"/>
      <c r="U245" s="11"/>
      <c r="V245" s="16">
        <v>13211960</v>
      </c>
      <c r="W245" s="274">
        <v>0</v>
      </c>
      <c r="X245" s="16">
        <f>+V245+W245</f>
        <v>13211960</v>
      </c>
      <c r="Y245" s="11" t="s">
        <v>343</v>
      </c>
      <c r="Z245" s="48" t="s">
        <v>1464</v>
      </c>
      <c r="AA245" s="52"/>
      <c r="AB245" s="52"/>
      <c r="AC245" s="118"/>
      <c r="AD245" s="5"/>
      <c r="AE245" s="52"/>
      <c r="AF245" s="113"/>
      <c r="AG245" s="113"/>
      <c r="AH245" s="113"/>
      <c r="AI245" s="52"/>
      <c r="AJ245" s="11"/>
      <c r="AK245" s="269">
        <v>5250490</v>
      </c>
      <c r="AL245" s="269">
        <v>997593.1</v>
      </c>
      <c r="AM245" s="116">
        <v>6248083.0999999996</v>
      </c>
      <c r="AN245" s="301" t="s">
        <v>37</v>
      </c>
      <c r="AO245" s="302" t="s">
        <v>1464</v>
      </c>
      <c r="AP245" s="11"/>
      <c r="AQ245" s="11"/>
      <c r="AR245" s="11"/>
      <c r="AS245" s="11"/>
      <c r="AT245" s="11"/>
      <c r="AU245" s="118">
        <v>524098</v>
      </c>
      <c r="AV245" s="118">
        <v>99579</v>
      </c>
      <c r="AW245" s="118">
        <v>623677</v>
      </c>
      <c r="AX245" s="52" t="s">
        <v>607</v>
      </c>
      <c r="AY245" s="52" t="s">
        <v>1465</v>
      </c>
      <c r="AZ245" s="11"/>
      <c r="BA245" s="11"/>
      <c r="BB245" s="11"/>
      <c r="BC245" s="11"/>
      <c r="BD245" s="11"/>
      <c r="BE245" s="274">
        <v>2011000</v>
      </c>
      <c r="BF245" s="274">
        <v>382090</v>
      </c>
      <c r="BG245" s="274">
        <v>2393090</v>
      </c>
      <c r="BH245" s="11" t="s">
        <v>310</v>
      </c>
      <c r="BI245" s="11" t="s">
        <v>1466</v>
      </c>
      <c r="BJ245" s="311"/>
      <c r="BK245" s="311"/>
      <c r="BL245" s="311"/>
      <c r="BM245" s="52"/>
      <c r="BN245" s="52"/>
      <c r="BO245" s="387"/>
      <c r="BP245" s="320"/>
      <c r="BQ245" s="320"/>
      <c r="BR245" s="4"/>
      <c r="BS245" s="4"/>
      <c r="BT245" s="11"/>
      <c r="BU245" s="11"/>
      <c r="BV245" s="11"/>
      <c r="BW245" s="11"/>
      <c r="BX245" s="11"/>
      <c r="BY245" s="348"/>
      <c r="BZ245" s="348"/>
      <c r="CA245" s="348"/>
      <c r="CB245" s="348"/>
      <c r="CC245" s="348"/>
      <c r="CD245" s="11"/>
      <c r="CE245" s="11"/>
      <c r="CF245" s="11"/>
      <c r="CG245" s="11"/>
      <c r="CH245" s="11"/>
      <c r="CI245" s="11"/>
      <c r="CJ245" s="11"/>
      <c r="CK245" s="11"/>
      <c r="CL245" s="11"/>
      <c r="CM245" s="11"/>
      <c r="CN245" s="274"/>
      <c r="CO245" s="274"/>
      <c r="CP245" s="274"/>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8">
        <v>5643050</v>
      </c>
      <c r="DN245" s="118">
        <f>DM245*0.19</f>
        <v>1072179.5</v>
      </c>
      <c r="DO245" s="118">
        <f>DM245+DN245</f>
        <v>6715229.5</v>
      </c>
      <c r="DP245" s="52" t="s">
        <v>37</v>
      </c>
      <c r="DQ245" s="52" t="s">
        <v>1467</v>
      </c>
      <c r="DR245" s="77">
        <v>454000</v>
      </c>
      <c r="DS245" s="77">
        <v>0</v>
      </c>
      <c r="DT245" s="77">
        <f>DR245+DS245</f>
        <v>454000</v>
      </c>
      <c r="DU245" s="11" t="s">
        <v>37</v>
      </c>
      <c r="DV245" s="11" t="s">
        <v>1465</v>
      </c>
      <c r="DW245" s="11"/>
      <c r="DX245" s="11"/>
      <c r="DY245" s="11"/>
      <c r="DZ245" s="11"/>
      <c r="EA245" s="11"/>
      <c r="EB245" s="11"/>
      <c r="EC245" s="11"/>
      <c r="ED245" s="11"/>
      <c r="EE245" s="11"/>
      <c r="EF245" s="11"/>
    </row>
    <row r="246" spans="1:136" ht="81" x14ac:dyDescent="0.25">
      <c r="A246" s="425">
        <v>244</v>
      </c>
      <c r="B246" s="426" t="s">
        <v>1468</v>
      </c>
      <c r="C246" s="426" t="s">
        <v>1423</v>
      </c>
      <c r="D246" s="426" t="s">
        <v>1424</v>
      </c>
      <c r="E246" s="79">
        <v>1</v>
      </c>
      <c r="F246" s="405"/>
      <c r="G246" s="274"/>
      <c r="H246" s="274"/>
      <c r="I246" s="274"/>
      <c r="J246" s="274"/>
      <c r="K246" s="11"/>
      <c r="L246" s="274"/>
      <c r="M246" s="274"/>
      <c r="N246" s="274"/>
      <c r="O246" s="48"/>
      <c r="P246" s="11"/>
      <c r="Q246" s="274"/>
      <c r="R246" s="274"/>
      <c r="S246" s="274"/>
      <c r="T246" s="11"/>
      <c r="U246" s="11"/>
      <c r="V246" s="16">
        <v>1111211</v>
      </c>
      <c r="W246" s="274">
        <v>0</v>
      </c>
      <c r="X246" s="16">
        <f>+V246+W246</f>
        <v>1111211</v>
      </c>
      <c r="Y246" s="11" t="s">
        <v>343</v>
      </c>
      <c r="Z246" s="48" t="s">
        <v>1469</v>
      </c>
      <c r="AA246" s="52"/>
      <c r="AB246" s="52"/>
      <c r="AC246" s="118"/>
      <c r="AD246" s="5"/>
      <c r="AE246" s="52"/>
      <c r="AF246" s="113"/>
      <c r="AG246" s="113"/>
      <c r="AH246" s="113"/>
      <c r="AI246" s="52"/>
      <c r="AJ246" s="11"/>
      <c r="AK246" s="269">
        <v>352030</v>
      </c>
      <c r="AL246" s="269">
        <v>0</v>
      </c>
      <c r="AM246" s="116">
        <v>352030</v>
      </c>
      <c r="AN246" s="301" t="s">
        <v>37</v>
      </c>
      <c r="AO246" s="302" t="s">
        <v>1469</v>
      </c>
      <c r="AP246" s="11"/>
      <c r="AQ246" s="11"/>
      <c r="AR246" s="11"/>
      <c r="AS246" s="11"/>
      <c r="AT246" s="11"/>
      <c r="AU246" s="118">
        <v>387059</v>
      </c>
      <c r="AV246" s="118">
        <v>0</v>
      </c>
      <c r="AW246" s="118">
        <f>+AU246+AV246</f>
        <v>387059</v>
      </c>
      <c r="AX246" s="52" t="s">
        <v>343</v>
      </c>
      <c r="AY246" s="52" t="s">
        <v>1470</v>
      </c>
      <c r="AZ246" s="11"/>
      <c r="BA246" s="11"/>
      <c r="BB246" s="11"/>
      <c r="BC246" s="11"/>
      <c r="BD246" s="11"/>
      <c r="BE246" s="274">
        <v>3908000</v>
      </c>
      <c r="BF246" s="274">
        <v>742520</v>
      </c>
      <c r="BG246" s="274">
        <v>4650520</v>
      </c>
      <c r="BH246" s="11" t="s">
        <v>310</v>
      </c>
      <c r="BI246" s="11" t="s">
        <v>1471</v>
      </c>
      <c r="BJ246" s="311"/>
      <c r="BK246" s="311"/>
      <c r="BL246" s="311"/>
      <c r="BM246" s="52"/>
      <c r="BN246" s="52"/>
      <c r="BO246" s="387"/>
      <c r="BP246" s="320"/>
      <c r="BQ246" s="320"/>
      <c r="BR246" s="4"/>
      <c r="BS246" s="4"/>
      <c r="BT246" s="11"/>
      <c r="BU246" s="11"/>
      <c r="BV246" s="11"/>
      <c r="BW246" s="11"/>
      <c r="BX246" s="11"/>
      <c r="BY246" s="348"/>
      <c r="BZ246" s="348"/>
      <c r="CA246" s="348"/>
      <c r="CB246" s="348"/>
      <c r="CC246" s="348"/>
      <c r="CD246" s="11"/>
      <c r="CE246" s="11"/>
      <c r="CF246" s="11"/>
      <c r="CG246" s="11"/>
      <c r="CH246" s="11"/>
      <c r="CI246" s="11"/>
      <c r="CJ246" s="11"/>
      <c r="CK246" s="11"/>
      <c r="CL246" s="11"/>
      <c r="CM246" s="11"/>
      <c r="CN246" s="274"/>
      <c r="CO246" s="274"/>
      <c r="CP246" s="274"/>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8">
        <v>378350</v>
      </c>
      <c r="DN246" s="118">
        <v>0</v>
      </c>
      <c r="DO246" s="118">
        <f>DM246+DN246</f>
        <v>378350</v>
      </c>
      <c r="DP246" s="52" t="s">
        <v>37</v>
      </c>
      <c r="DQ246" s="52" t="s">
        <v>1469</v>
      </c>
      <c r="DR246" s="77">
        <v>329000</v>
      </c>
      <c r="DS246" s="77">
        <v>0</v>
      </c>
      <c r="DT246" s="77">
        <f>DR246+DS246</f>
        <v>329000</v>
      </c>
      <c r="DU246" s="11" t="s">
        <v>37</v>
      </c>
      <c r="DV246" s="11" t="s">
        <v>1469</v>
      </c>
      <c r="DW246" s="11"/>
      <c r="DX246" s="11"/>
      <c r="DY246" s="11"/>
      <c r="DZ246" s="11"/>
      <c r="EA246" s="11"/>
      <c r="EB246" s="11"/>
      <c r="EC246" s="11"/>
      <c r="ED246" s="11"/>
      <c r="EE246" s="11"/>
      <c r="EF246" s="11"/>
    </row>
    <row r="247" spans="1:136" ht="81" x14ac:dyDescent="0.25">
      <c r="A247" s="425">
        <v>245</v>
      </c>
      <c r="B247" s="426" t="s">
        <v>1472</v>
      </c>
      <c r="C247" s="426" t="s">
        <v>1423</v>
      </c>
      <c r="D247" s="426" t="s">
        <v>1424</v>
      </c>
      <c r="E247" s="79">
        <v>1</v>
      </c>
      <c r="F247" s="405"/>
      <c r="G247" s="274"/>
      <c r="H247" s="274"/>
      <c r="I247" s="274"/>
      <c r="J247" s="274"/>
      <c r="K247" s="11"/>
      <c r="L247" s="274"/>
      <c r="M247" s="274"/>
      <c r="N247" s="274"/>
      <c r="O247" s="48"/>
      <c r="P247" s="11"/>
      <c r="Q247" s="274"/>
      <c r="R247" s="274"/>
      <c r="S247" s="274"/>
      <c r="T247" s="11"/>
      <c r="U247" s="11"/>
      <c r="V247" s="16">
        <v>842362</v>
      </c>
      <c r="W247" s="274">
        <v>0</v>
      </c>
      <c r="X247" s="16">
        <f>+V247+W247</f>
        <v>842362</v>
      </c>
      <c r="Y247" s="11" t="s">
        <v>343</v>
      </c>
      <c r="Z247" s="48" t="s">
        <v>1473</v>
      </c>
      <c r="AA247" s="52"/>
      <c r="AB247" s="52"/>
      <c r="AC247" s="118"/>
      <c r="AD247" s="5"/>
      <c r="AE247" s="52"/>
      <c r="AF247" s="113"/>
      <c r="AG247" s="113"/>
      <c r="AH247" s="113"/>
      <c r="AI247" s="52"/>
      <c r="AJ247" s="11"/>
      <c r="AK247" s="269">
        <v>1195190</v>
      </c>
      <c r="AL247" s="269">
        <v>227086.1</v>
      </c>
      <c r="AM247" s="116">
        <v>1422276.1</v>
      </c>
      <c r="AN247" s="301" t="s">
        <v>37</v>
      </c>
      <c r="AO247" s="302" t="s">
        <v>1474</v>
      </c>
      <c r="AP247" s="11"/>
      <c r="AQ247" s="11"/>
      <c r="AR247" s="11"/>
      <c r="AS247" s="11"/>
      <c r="AT247" s="11"/>
      <c r="AU247" s="118">
        <v>1314118</v>
      </c>
      <c r="AV247" s="118">
        <f>+AU247*0.19</f>
        <v>249682.42</v>
      </c>
      <c r="AW247" s="118">
        <f>+AU247+AV247</f>
        <v>1563800.42</v>
      </c>
      <c r="AX247" s="52" t="s">
        <v>343</v>
      </c>
      <c r="AY247" s="52" t="s">
        <v>1475</v>
      </c>
      <c r="AZ247" s="11"/>
      <c r="BA247" s="11"/>
      <c r="BB247" s="11"/>
      <c r="BC247" s="11"/>
      <c r="BD247" s="11"/>
      <c r="BE247" s="274">
        <v>3149000</v>
      </c>
      <c r="BF247" s="274">
        <v>598310</v>
      </c>
      <c r="BG247" s="274">
        <v>3747310</v>
      </c>
      <c r="BH247" s="11" t="s">
        <v>310</v>
      </c>
      <c r="BI247" s="11" t="s">
        <v>1476</v>
      </c>
      <c r="BJ247" s="311"/>
      <c r="BK247" s="311"/>
      <c r="BL247" s="311"/>
      <c r="BM247" s="52"/>
      <c r="BN247" s="52"/>
      <c r="BO247" s="387"/>
      <c r="BP247" s="320"/>
      <c r="BQ247" s="320"/>
      <c r="BR247" s="4"/>
      <c r="BS247" s="4"/>
      <c r="BT247" s="11"/>
      <c r="BU247" s="11"/>
      <c r="BV247" s="11"/>
      <c r="BW247" s="11"/>
      <c r="BX247" s="11"/>
      <c r="BY247" s="348"/>
      <c r="BZ247" s="348"/>
      <c r="CA247" s="348"/>
      <c r="CB247" s="348"/>
      <c r="CC247" s="348"/>
      <c r="CD247" s="11"/>
      <c r="CE247" s="11"/>
      <c r="CF247" s="11"/>
      <c r="CG247" s="11"/>
      <c r="CH247" s="11"/>
      <c r="CI247" s="11"/>
      <c r="CJ247" s="11"/>
      <c r="CK247" s="11"/>
      <c r="CL247" s="11"/>
      <c r="CM247" s="11"/>
      <c r="CN247" s="274"/>
      <c r="CO247" s="274"/>
      <c r="CP247" s="274"/>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8">
        <v>442750</v>
      </c>
      <c r="DN247" s="118">
        <f>DM247*0.19</f>
        <v>84122.5</v>
      </c>
      <c r="DO247" s="118">
        <f>DM247+DN247</f>
        <v>526872.5</v>
      </c>
      <c r="DP247" s="52" t="s">
        <v>37</v>
      </c>
      <c r="DQ247" s="52" t="s">
        <v>1473</v>
      </c>
      <c r="DR247" s="77">
        <v>385000</v>
      </c>
      <c r="DS247" s="77">
        <f>+DR247*0.19</f>
        <v>73150</v>
      </c>
      <c r="DT247" s="77">
        <f>DR247+DS247</f>
        <v>458150</v>
      </c>
      <c r="DU247" s="11" t="s">
        <v>37</v>
      </c>
      <c r="DV247" s="11" t="s">
        <v>1473</v>
      </c>
      <c r="DW247" s="11"/>
      <c r="DX247" s="11"/>
      <c r="DY247" s="11"/>
      <c r="DZ247" s="11"/>
      <c r="EA247" s="11"/>
      <c r="EB247" s="11"/>
      <c r="EC247" s="11"/>
      <c r="ED247" s="11"/>
      <c r="EE247" s="11"/>
      <c r="EF247" s="11"/>
    </row>
    <row r="248" spans="1:136" ht="81" x14ac:dyDescent="0.25">
      <c r="A248" s="425">
        <v>246</v>
      </c>
      <c r="B248" s="426" t="s">
        <v>1477</v>
      </c>
      <c r="C248" s="426" t="s">
        <v>1423</v>
      </c>
      <c r="D248" s="426" t="s">
        <v>1424</v>
      </c>
      <c r="E248" s="79">
        <v>1</v>
      </c>
      <c r="F248" s="405"/>
      <c r="G248" s="274"/>
      <c r="H248" s="274"/>
      <c r="I248" s="274"/>
      <c r="J248" s="274"/>
      <c r="K248" s="11"/>
      <c r="L248" s="274"/>
      <c r="M248" s="274"/>
      <c r="N248" s="274"/>
      <c r="O248" s="48"/>
      <c r="P248" s="11"/>
      <c r="Q248" s="274"/>
      <c r="R248" s="274"/>
      <c r="S248" s="274"/>
      <c r="T248" s="11"/>
      <c r="U248" s="11"/>
      <c r="V248" s="16">
        <v>1568222</v>
      </c>
      <c r="W248" s="274">
        <v>0</v>
      </c>
      <c r="X248" s="16">
        <f>+V248+W248</f>
        <v>1568222</v>
      </c>
      <c r="Y248" s="11" t="s">
        <v>343</v>
      </c>
      <c r="Z248" s="48" t="s">
        <v>1478</v>
      </c>
      <c r="AA248" s="52"/>
      <c r="AB248" s="52"/>
      <c r="AC248" s="118"/>
      <c r="AD248" s="5"/>
      <c r="AE248" s="52"/>
      <c r="AF248" s="113"/>
      <c r="AG248" s="113"/>
      <c r="AH248" s="113"/>
      <c r="AI248" s="52"/>
      <c r="AJ248" s="11"/>
      <c r="AK248" s="269">
        <v>1596200</v>
      </c>
      <c r="AL248" s="269">
        <v>303278</v>
      </c>
      <c r="AM248" s="116">
        <v>1899478</v>
      </c>
      <c r="AN248" s="301" t="s">
        <v>37</v>
      </c>
      <c r="AO248" s="302" t="s">
        <v>1479</v>
      </c>
      <c r="AP248" s="11"/>
      <c r="AQ248" s="11"/>
      <c r="AR248" s="11"/>
      <c r="AS248" s="11"/>
      <c r="AT248" s="11"/>
      <c r="AU248" s="118">
        <v>487382.35</v>
      </c>
      <c r="AV248" s="118">
        <f>+AU248*0.19</f>
        <v>92602.646500000003</v>
      </c>
      <c r="AW248" s="118">
        <f>+AU248+AV248</f>
        <v>579984.99650000001</v>
      </c>
      <c r="AX248" s="52" t="s">
        <v>343</v>
      </c>
      <c r="AY248" s="52" t="s">
        <v>1480</v>
      </c>
      <c r="AZ248" s="11"/>
      <c r="BA248" s="11"/>
      <c r="BB248" s="11"/>
      <c r="BC248" s="11"/>
      <c r="BD248" s="11"/>
      <c r="BE248" s="274">
        <v>1489000</v>
      </c>
      <c r="BF248" s="274">
        <v>282910</v>
      </c>
      <c r="BG248" s="274">
        <v>1771910</v>
      </c>
      <c r="BH248" s="11" t="s">
        <v>310</v>
      </c>
      <c r="BI248" s="11" t="s">
        <v>1481</v>
      </c>
      <c r="BJ248" s="311"/>
      <c r="BK248" s="311"/>
      <c r="BL248" s="311"/>
      <c r="BM248" s="52"/>
      <c r="BN248" s="52"/>
      <c r="BO248" s="387"/>
      <c r="BP248" s="320"/>
      <c r="BQ248" s="320"/>
      <c r="BR248" s="4"/>
      <c r="BS248" s="4"/>
      <c r="BT248" s="11"/>
      <c r="BU248" s="11"/>
      <c r="BV248" s="11"/>
      <c r="BW248" s="11"/>
      <c r="BX248" s="11"/>
      <c r="BY248" s="348"/>
      <c r="BZ248" s="348"/>
      <c r="CA248" s="348"/>
      <c r="CB248" s="348"/>
      <c r="CC248" s="348"/>
      <c r="CD248" s="11"/>
      <c r="CE248" s="11"/>
      <c r="CF248" s="11"/>
      <c r="CG248" s="11"/>
      <c r="CH248" s="11"/>
      <c r="CI248" s="11"/>
      <c r="CJ248" s="11"/>
      <c r="CK248" s="11"/>
      <c r="CL248" s="11"/>
      <c r="CM248" s="11"/>
      <c r="CN248" s="274"/>
      <c r="CO248" s="274"/>
      <c r="CP248" s="274"/>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8">
        <v>1596200</v>
      </c>
      <c r="DN248" s="118">
        <f>DM248*0.19</f>
        <v>303278</v>
      </c>
      <c r="DO248" s="118">
        <f>DM248+DN248</f>
        <v>1899478</v>
      </c>
      <c r="DP248" s="52" t="s">
        <v>37</v>
      </c>
      <c r="DQ248" s="52" t="s">
        <v>1478</v>
      </c>
      <c r="DR248" s="77">
        <v>490000</v>
      </c>
      <c r="DS248" s="77">
        <v>0</v>
      </c>
      <c r="DT248" s="77">
        <f>DR248+DS248</f>
        <v>490000</v>
      </c>
      <c r="DU248" s="11" t="s">
        <v>37</v>
      </c>
      <c r="DV248" s="11" t="s">
        <v>1482</v>
      </c>
      <c r="DW248" s="11"/>
      <c r="DX248" s="11"/>
      <c r="DY248" s="11"/>
      <c r="DZ248" s="11"/>
      <c r="EA248" s="11"/>
      <c r="EB248" s="11"/>
      <c r="EC248" s="11"/>
      <c r="ED248" s="11"/>
      <c r="EE248" s="11"/>
      <c r="EF248" s="11"/>
    </row>
    <row r="249" spans="1:136" ht="67.5" x14ac:dyDescent="0.25">
      <c r="A249" s="425">
        <v>247</v>
      </c>
      <c r="B249" s="427" t="s">
        <v>1483</v>
      </c>
      <c r="C249" s="427" t="s">
        <v>1484</v>
      </c>
      <c r="D249" s="427" t="s">
        <v>1485</v>
      </c>
      <c r="E249" s="79">
        <v>1</v>
      </c>
      <c r="F249" s="406">
        <v>1265676.1459999999</v>
      </c>
      <c r="G249" s="274"/>
      <c r="H249" s="274"/>
      <c r="I249" s="274"/>
      <c r="J249" s="274"/>
      <c r="K249" s="11"/>
      <c r="L249" s="274"/>
      <c r="M249" s="274"/>
      <c r="N249" s="274"/>
      <c r="O249" s="48"/>
      <c r="P249" s="11"/>
      <c r="Q249" s="274"/>
      <c r="R249" s="274"/>
      <c r="S249" s="274"/>
      <c r="T249" s="11"/>
      <c r="U249" s="11"/>
      <c r="V249" s="11"/>
      <c r="W249" s="11"/>
      <c r="X249" s="11"/>
      <c r="Y249" s="11"/>
      <c r="Z249" s="48"/>
      <c r="AA249" s="52"/>
      <c r="AB249" s="52"/>
      <c r="AC249" s="118"/>
      <c r="AD249" s="5"/>
      <c r="AE249" s="52"/>
      <c r="AF249" s="113"/>
      <c r="AG249" s="113"/>
      <c r="AH249" s="113"/>
      <c r="AI249" s="52"/>
      <c r="AJ249" s="11"/>
      <c r="AK249" s="269"/>
      <c r="AL249" s="269"/>
      <c r="AM249" s="116"/>
      <c r="AN249" s="301"/>
      <c r="AO249" s="302"/>
      <c r="AP249" s="11"/>
      <c r="AQ249" s="11"/>
      <c r="AR249" s="11"/>
      <c r="AS249" s="11"/>
      <c r="AT249" s="11"/>
      <c r="AU249" s="118">
        <v>660317</v>
      </c>
      <c r="AV249" s="118">
        <v>125460</v>
      </c>
      <c r="AW249" s="118">
        <v>785778</v>
      </c>
      <c r="AX249" s="52" t="s">
        <v>607</v>
      </c>
      <c r="AY249" s="52" t="s">
        <v>1486</v>
      </c>
      <c r="AZ249" s="11"/>
      <c r="BA249" s="11"/>
      <c r="BB249" s="11"/>
      <c r="BC249" s="11"/>
      <c r="BD249" s="11"/>
      <c r="BE249" s="274">
        <v>2741000</v>
      </c>
      <c r="BF249" s="274">
        <v>520790</v>
      </c>
      <c r="BG249" s="274">
        <v>3261790</v>
      </c>
      <c r="BH249" s="11" t="s">
        <v>310</v>
      </c>
      <c r="BI249" s="11" t="s">
        <v>1487</v>
      </c>
      <c r="BJ249" s="311"/>
      <c r="BK249" s="311"/>
      <c r="BL249" s="311"/>
      <c r="BM249" s="52"/>
      <c r="BN249" s="52"/>
      <c r="BO249" s="387"/>
      <c r="BP249" s="320"/>
      <c r="BQ249" s="320"/>
      <c r="BR249" s="4"/>
      <c r="BS249" s="4"/>
      <c r="BT249" s="11"/>
      <c r="BU249" s="11"/>
      <c r="BV249" s="11"/>
      <c r="BW249" s="11"/>
      <c r="BX249" s="11"/>
      <c r="BY249" s="348"/>
      <c r="BZ249" s="348"/>
      <c r="CA249" s="348"/>
      <c r="CB249" s="348"/>
      <c r="CC249" s="348"/>
      <c r="CD249" s="11"/>
      <c r="CE249" s="11"/>
      <c r="CF249" s="11"/>
      <c r="CG249" s="11"/>
      <c r="CH249" s="11"/>
      <c r="CI249" s="11"/>
      <c r="CJ249" s="11"/>
      <c r="CK249" s="11"/>
      <c r="CL249" s="11"/>
      <c r="CM249" s="11"/>
      <c r="CN249" s="274"/>
      <c r="CO249" s="274"/>
      <c r="CP249" s="274"/>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8"/>
      <c r="DN249" s="118"/>
      <c r="DO249" s="118"/>
      <c r="DP249" s="52"/>
      <c r="DQ249" s="52"/>
      <c r="DR249" s="77"/>
      <c r="DS249" s="77"/>
      <c r="DT249" s="77"/>
      <c r="DU249" s="11"/>
      <c r="DV249" s="11"/>
      <c r="DW249" s="11"/>
      <c r="DX249" s="11"/>
      <c r="DY249" s="11"/>
      <c r="DZ249" s="11"/>
      <c r="EA249" s="11"/>
      <c r="EB249" s="11"/>
      <c r="EC249" s="11"/>
      <c r="ED249" s="11"/>
      <c r="EE249" s="11"/>
      <c r="EF249" s="11"/>
    </row>
    <row r="250" spans="1:136" ht="67.5" x14ac:dyDescent="0.25">
      <c r="A250" s="425">
        <v>248</v>
      </c>
      <c r="B250" s="427" t="s">
        <v>1488</v>
      </c>
      <c r="C250" s="427" t="s">
        <v>1489</v>
      </c>
      <c r="D250" s="427" t="s">
        <v>1485</v>
      </c>
      <c r="E250" s="79">
        <v>1</v>
      </c>
      <c r="F250" s="406">
        <v>1204089.1240000001</v>
      </c>
      <c r="G250" s="274"/>
      <c r="H250" s="274"/>
      <c r="I250" s="274"/>
      <c r="J250" s="274"/>
      <c r="K250" s="11"/>
      <c r="L250" s="274"/>
      <c r="M250" s="274"/>
      <c r="N250" s="274"/>
      <c r="O250" s="48"/>
      <c r="P250" s="11"/>
      <c r="Q250" s="274"/>
      <c r="R250" s="274"/>
      <c r="S250" s="274"/>
      <c r="T250" s="11"/>
      <c r="U250" s="11"/>
      <c r="V250" s="11"/>
      <c r="W250" s="11"/>
      <c r="X250" s="11"/>
      <c r="Y250" s="11"/>
      <c r="Z250" s="48"/>
      <c r="AA250" s="52"/>
      <c r="AB250" s="52"/>
      <c r="AC250" s="118"/>
      <c r="AD250" s="5"/>
      <c r="AE250" s="52"/>
      <c r="AF250" s="113"/>
      <c r="AG250" s="113"/>
      <c r="AH250" s="113"/>
      <c r="AI250" s="52"/>
      <c r="AJ250" s="11"/>
      <c r="AK250" s="269"/>
      <c r="AL250" s="269"/>
      <c r="AM250" s="116"/>
      <c r="AN250" s="301"/>
      <c r="AO250" s="302"/>
      <c r="AP250" s="11"/>
      <c r="AQ250" s="11"/>
      <c r="AR250" s="11"/>
      <c r="AS250" s="11"/>
      <c r="AT250" s="11"/>
      <c r="AU250" s="118">
        <v>625685</v>
      </c>
      <c r="AV250" s="118">
        <v>118880</v>
      </c>
      <c r="AW250" s="118">
        <v>744566</v>
      </c>
      <c r="AX250" s="52" t="s">
        <v>607</v>
      </c>
      <c r="AY250" s="52" t="s">
        <v>1490</v>
      </c>
      <c r="AZ250" s="11"/>
      <c r="BA250" s="11"/>
      <c r="BB250" s="11"/>
      <c r="BC250" s="11"/>
      <c r="BD250" s="11"/>
      <c r="BE250" s="274">
        <v>1878000</v>
      </c>
      <c r="BF250" s="274">
        <v>356820</v>
      </c>
      <c r="BG250" s="274">
        <v>2234820</v>
      </c>
      <c r="BH250" s="11" t="s">
        <v>310</v>
      </c>
      <c r="BI250" s="11" t="s">
        <v>1491</v>
      </c>
      <c r="BJ250" s="311"/>
      <c r="BK250" s="311"/>
      <c r="BL250" s="311"/>
      <c r="BM250" s="52"/>
      <c r="BN250" s="52"/>
      <c r="BO250" s="387"/>
      <c r="BP250" s="320"/>
      <c r="BQ250" s="320"/>
      <c r="BR250" s="4"/>
      <c r="BS250" s="4"/>
      <c r="BT250" s="11"/>
      <c r="BU250" s="11"/>
      <c r="BV250" s="11"/>
      <c r="BW250" s="11"/>
      <c r="BX250" s="11"/>
      <c r="BY250" s="348"/>
      <c r="BZ250" s="348"/>
      <c r="CA250" s="348"/>
      <c r="CB250" s="348"/>
      <c r="CC250" s="348"/>
      <c r="CD250" s="11"/>
      <c r="CE250" s="11"/>
      <c r="CF250" s="11"/>
      <c r="CG250" s="11"/>
      <c r="CH250" s="11"/>
      <c r="CI250" s="11"/>
      <c r="CJ250" s="11"/>
      <c r="CK250" s="11"/>
      <c r="CL250" s="11"/>
      <c r="CM250" s="11"/>
      <c r="CN250" s="274"/>
      <c r="CO250" s="274"/>
      <c r="CP250" s="274"/>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8"/>
      <c r="DN250" s="118"/>
      <c r="DO250" s="118"/>
      <c r="DP250" s="52"/>
      <c r="DQ250" s="52"/>
      <c r="DR250" s="77"/>
      <c r="DS250" s="77"/>
      <c r="DT250" s="77"/>
      <c r="DU250" s="11"/>
      <c r="DV250" s="11"/>
      <c r="DW250" s="11"/>
      <c r="DX250" s="11"/>
      <c r="DY250" s="11"/>
      <c r="DZ250" s="11"/>
      <c r="EA250" s="11"/>
      <c r="EB250" s="11"/>
      <c r="EC250" s="11"/>
      <c r="ED250" s="11"/>
      <c r="EE250" s="11"/>
      <c r="EF250" s="11"/>
    </row>
    <row r="251" spans="1:136" ht="67.5" x14ac:dyDescent="0.25">
      <c r="A251" s="425">
        <v>249</v>
      </c>
      <c r="B251" s="427" t="s">
        <v>1492</v>
      </c>
      <c r="C251" s="427" t="s">
        <v>1493</v>
      </c>
      <c r="D251" s="427" t="s">
        <v>1485</v>
      </c>
      <c r="E251" s="79">
        <v>1</v>
      </c>
      <c r="F251" s="406">
        <v>1167639.662</v>
      </c>
      <c r="G251" s="274"/>
      <c r="H251" s="274"/>
      <c r="I251" s="274"/>
      <c r="J251" s="274"/>
      <c r="K251" s="11"/>
      <c r="L251" s="274"/>
      <c r="M251" s="274"/>
      <c r="N251" s="274"/>
      <c r="O251" s="48"/>
      <c r="P251" s="11"/>
      <c r="Q251" s="274"/>
      <c r="R251" s="274"/>
      <c r="S251" s="274"/>
      <c r="T251" s="11"/>
      <c r="U251" s="11"/>
      <c r="V251" s="11"/>
      <c r="W251" s="11"/>
      <c r="X251" s="11"/>
      <c r="Y251" s="11"/>
      <c r="Z251" s="48"/>
      <c r="AA251" s="52"/>
      <c r="AB251" s="52"/>
      <c r="AC251" s="118"/>
      <c r="AD251" s="5"/>
      <c r="AE251" s="52"/>
      <c r="AF251" s="113"/>
      <c r="AG251" s="113"/>
      <c r="AH251" s="113"/>
      <c r="AI251" s="52"/>
      <c r="AJ251" s="11"/>
      <c r="AK251" s="269"/>
      <c r="AL251" s="269"/>
      <c r="AM251" s="116"/>
      <c r="AN251" s="301"/>
      <c r="AO251" s="302"/>
      <c r="AP251" s="11"/>
      <c r="AQ251" s="11"/>
      <c r="AR251" s="11"/>
      <c r="AS251" s="11"/>
      <c r="AT251" s="11"/>
      <c r="AU251" s="118">
        <v>588745</v>
      </c>
      <c r="AV251" s="118">
        <v>111861</v>
      </c>
      <c r="AW251" s="118">
        <v>700606</v>
      </c>
      <c r="AX251" s="52" t="s">
        <v>607</v>
      </c>
      <c r="AY251" s="52" t="s">
        <v>1494</v>
      </c>
      <c r="AZ251" s="11"/>
      <c r="BA251" s="11"/>
      <c r="BB251" s="11"/>
      <c r="BC251" s="11"/>
      <c r="BD251" s="11"/>
      <c r="BE251" s="274">
        <v>1878000</v>
      </c>
      <c r="BF251" s="274">
        <v>356820</v>
      </c>
      <c r="BG251" s="274">
        <v>2234820</v>
      </c>
      <c r="BH251" s="11" t="s">
        <v>310</v>
      </c>
      <c r="BI251" s="11" t="s">
        <v>1495</v>
      </c>
      <c r="BJ251" s="311"/>
      <c r="BK251" s="311"/>
      <c r="BL251" s="311"/>
      <c r="BM251" s="52"/>
      <c r="BN251" s="52"/>
      <c r="BO251" s="387"/>
      <c r="BP251" s="320"/>
      <c r="BQ251" s="320"/>
      <c r="BR251" s="4"/>
      <c r="BS251" s="4"/>
      <c r="BT251" s="11"/>
      <c r="BU251" s="11"/>
      <c r="BV251" s="11"/>
      <c r="BW251" s="11"/>
      <c r="BX251" s="11"/>
      <c r="BY251" s="348"/>
      <c r="BZ251" s="348"/>
      <c r="CA251" s="348"/>
      <c r="CB251" s="348"/>
      <c r="CC251" s="348"/>
      <c r="CD251" s="11"/>
      <c r="CE251" s="11"/>
      <c r="CF251" s="11"/>
      <c r="CG251" s="11"/>
      <c r="CH251" s="11"/>
      <c r="CI251" s="11"/>
      <c r="CJ251" s="11"/>
      <c r="CK251" s="11"/>
      <c r="CL251" s="11"/>
      <c r="CM251" s="11"/>
      <c r="CN251" s="274"/>
      <c r="CO251" s="274"/>
      <c r="CP251" s="274"/>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8"/>
      <c r="DN251" s="118"/>
      <c r="DO251" s="118"/>
      <c r="DP251" s="52"/>
      <c r="DQ251" s="52"/>
      <c r="DR251" s="77"/>
      <c r="DS251" s="77"/>
      <c r="DT251" s="77"/>
      <c r="DU251" s="11"/>
      <c r="DV251" s="11"/>
      <c r="DW251" s="11"/>
      <c r="DX251" s="11"/>
      <c r="DY251" s="11"/>
      <c r="DZ251" s="11"/>
      <c r="EA251" s="11"/>
      <c r="EB251" s="11"/>
      <c r="EC251" s="11"/>
      <c r="ED251" s="11"/>
      <c r="EE251" s="11"/>
      <c r="EF251" s="11"/>
    </row>
    <row r="252" spans="1:136" ht="67.5" x14ac:dyDescent="0.25">
      <c r="A252" s="425">
        <v>250</v>
      </c>
      <c r="B252" s="427" t="s">
        <v>1496</v>
      </c>
      <c r="C252" s="427" t="s">
        <v>1497</v>
      </c>
      <c r="D252" s="427" t="s">
        <v>1485</v>
      </c>
      <c r="E252" s="79">
        <v>1</v>
      </c>
      <c r="F252" s="406">
        <v>270373.4694</v>
      </c>
      <c r="G252" s="274"/>
      <c r="H252" s="274"/>
      <c r="I252" s="274"/>
      <c r="J252" s="274"/>
      <c r="K252" s="11"/>
      <c r="L252" s="274"/>
      <c r="M252" s="274"/>
      <c r="N252" s="274"/>
      <c r="O252" s="48"/>
      <c r="P252" s="11"/>
      <c r="Q252" s="274"/>
      <c r="R252" s="274"/>
      <c r="S252" s="274"/>
      <c r="T252" s="11"/>
      <c r="U252" s="11"/>
      <c r="V252" s="11"/>
      <c r="W252" s="11"/>
      <c r="X252" s="11"/>
      <c r="Y252" s="11"/>
      <c r="Z252" s="48"/>
      <c r="AA252" s="52"/>
      <c r="AB252" s="52"/>
      <c r="AC252" s="118"/>
      <c r="AD252" s="5"/>
      <c r="AE252" s="52"/>
      <c r="AF252" s="113"/>
      <c r="AG252" s="113"/>
      <c r="AH252" s="113"/>
      <c r="AI252" s="52"/>
      <c r="AJ252" s="11"/>
      <c r="AK252" s="269"/>
      <c r="AL252" s="269"/>
      <c r="AM252" s="116"/>
      <c r="AN252" s="301"/>
      <c r="AO252" s="302"/>
      <c r="AP252" s="11"/>
      <c r="AQ252" s="11"/>
      <c r="AR252" s="11"/>
      <c r="AS252" s="11"/>
      <c r="AT252" s="11"/>
      <c r="AU252" s="118"/>
      <c r="AV252" s="118"/>
      <c r="AW252" s="118"/>
      <c r="AX252" s="52"/>
      <c r="AY252" s="52"/>
      <c r="AZ252" s="11"/>
      <c r="BA252" s="11"/>
      <c r="BB252" s="11"/>
      <c r="BC252" s="11"/>
      <c r="BD252" s="11"/>
      <c r="BE252" s="274">
        <v>1233000</v>
      </c>
      <c r="BF252" s="274">
        <v>234270</v>
      </c>
      <c r="BG252" s="274">
        <v>1467270</v>
      </c>
      <c r="BH252" s="11" t="s">
        <v>310</v>
      </c>
      <c r="BI252" s="11" t="s">
        <v>1498</v>
      </c>
      <c r="BJ252" s="311"/>
      <c r="BK252" s="311"/>
      <c r="BL252" s="311"/>
      <c r="BM252" s="52"/>
      <c r="BN252" s="52"/>
      <c r="BO252" s="387"/>
      <c r="BP252" s="320"/>
      <c r="BQ252" s="320"/>
      <c r="BR252" s="4"/>
      <c r="BS252" s="4"/>
      <c r="BT252" s="11"/>
      <c r="BU252" s="11"/>
      <c r="BV252" s="11"/>
      <c r="BW252" s="11"/>
      <c r="BX252" s="11"/>
      <c r="BY252" s="348"/>
      <c r="BZ252" s="348"/>
      <c r="CA252" s="348"/>
      <c r="CB252" s="348"/>
      <c r="CC252" s="348"/>
      <c r="CD252" s="11"/>
      <c r="CE252" s="11"/>
      <c r="CF252" s="11"/>
      <c r="CG252" s="11"/>
      <c r="CH252" s="11"/>
      <c r="CI252" s="11"/>
      <c r="CJ252" s="11"/>
      <c r="CK252" s="11"/>
      <c r="CL252" s="11"/>
      <c r="CM252" s="11"/>
      <c r="CN252" s="274"/>
      <c r="CO252" s="274"/>
      <c r="CP252" s="274"/>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8"/>
      <c r="DN252" s="118"/>
      <c r="DO252" s="118"/>
      <c r="DP252" s="52"/>
      <c r="DQ252" s="52"/>
      <c r="DR252" s="77"/>
      <c r="DS252" s="77"/>
      <c r="DT252" s="77"/>
      <c r="DU252" s="11"/>
      <c r="DV252" s="11"/>
      <c r="DW252" s="11"/>
      <c r="DX252" s="11"/>
      <c r="DY252" s="11"/>
      <c r="DZ252" s="11"/>
      <c r="EA252" s="11"/>
      <c r="EB252" s="11"/>
      <c r="EC252" s="11"/>
      <c r="ED252" s="11"/>
      <c r="EE252" s="11"/>
      <c r="EF252" s="11"/>
    </row>
    <row r="253" spans="1:136" ht="67.5" x14ac:dyDescent="0.25">
      <c r="A253" s="425">
        <v>251</v>
      </c>
      <c r="B253" s="427" t="s">
        <v>1499</v>
      </c>
      <c r="C253" s="427" t="s">
        <v>1500</v>
      </c>
      <c r="D253" s="427" t="s">
        <v>1501</v>
      </c>
      <c r="E253" s="79">
        <v>1</v>
      </c>
      <c r="F253" s="406">
        <v>498980.56599999999</v>
      </c>
      <c r="G253" s="274"/>
      <c r="H253" s="274"/>
      <c r="I253" s="274"/>
      <c r="J253" s="274"/>
      <c r="K253" s="11"/>
      <c r="L253" s="274"/>
      <c r="M253" s="274"/>
      <c r="N253" s="274"/>
      <c r="O253" s="48"/>
      <c r="P253" s="11"/>
      <c r="Q253" s="274"/>
      <c r="R253" s="274"/>
      <c r="S253" s="274"/>
      <c r="T253" s="11"/>
      <c r="U253" s="11"/>
      <c r="V253" s="11"/>
      <c r="W253" s="11"/>
      <c r="X253" s="11"/>
      <c r="Y253" s="11"/>
      <c r="Z253" s="48"/>
      <c r="AA253" s="52"/>
      <c r="AB253" s="52"/>
      <c r="AC253" s="118"/>
      <c r="AD253" s="5"/>
      <c r="AE253" s="52"/>
      <c r="AF253" s="113"/>
      <c r="AG253" s="113"/>
      <c r="AH253" s="113"/>
      <c r="AI253" s="52"/>
      <c r="AJ253" s="11"/>
      <c r="AK253" s="269"/>
      <c r="AL253" s="269"/>
      <c r="AM253" s="116"/>
      <c r="AN253" s="301"/>
      <c r="AO253" s="302"/>
      <c r="AP253" s="11"/>
      <c r="AQ253" s="11"/>
      <c r="AR253" s="11"/>
      <c r="AS253" s="11"/>
      <c r="AT253" s="11"/>
      <c r="AU253" s="118"/>
      <c r="AV253" s="118"/>
      <c r="AW253" s="118"/>
      <c r="AX253" s="52"/>
      <c r="AY253" s="52"/>
      <c r="AZ253" s="11"/>
      <c r="BA253" s="11"/>
      <c r="BB253" s="11"/>
      <c r="BC253" s="11"/>
      <c r="BD253" s="11"/>
      <c r="BE253" s="274">
        <v>1205000</v>
      </c>
      <c r="BF253" s="274">
        <v>228950</v>
      </c>
      <c r="BG253" s="274">
        <v>1433950</v>
      </c>
      <c r="BH253" s="11" t="s">
        <v>310</v>
      </c>
      <c r="BI253" s="11" t="s">
        <v>1502</v>
      </c>
      <c r="BJ253" s="311"/>
      <c r="BK253" s="311"/>
      <c r="BL253" s="311"/>
      <c r="BM253" s="52"/>
      <c r="BN253" s="52"/>
      <c r="BO253" s="387"/>
      <c r="BP253" s="320"/>
      <c r="BQ253" s="320"/>
      <c r="BR253" s="4"/>
      <c r="BS253" s="4"/>
      <c r="BT253" s="11"/>
      <c r="BU253" s="11"/>
      <c r="BV253" s="11"/>
      <c r="BW253" s="11"/>
      <c r="BX253" s="11"/>
      <c r="BY253" s="348"/>
      <c r="BZ253" s="348"/>
      <c r="CA253" s="348"/>
      <c r="CB253" s="348"/>
      <c r="CC253" s="348"/>
      <c r="CD253" s="11"/>
      <c r="CE253" s="11"/>
      <c r="CF253" s="11"/>
      <c r="CG253" s="11"/>
      <c r="CH253" s="11"/>
      <c r="CI253" s="11"/>
      <c r="CJ253" s="11"/>
      <c r="CK253" s="11"/>
      <c r="CL253" s="11"/>
      <c r="CM253" s="11"/>
      <c r="CN253" s="274"/>
      <c r="CO253" s="274"/>
      <c r="CP253" s="274"/>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8"/>
      <c r="DN253" s="118"/>
      <c r="DO253" s="118"/>
      <c r="DP253" s="52"/>
      <c r="DQ253" s="52"/>
      <c r="DR253" s="77"/>
      <c r="DS253" s="77"/>
      <c r="DT253" s="77"/>
      <c r="DU253" s="11"/>
      <c r="DV253" s="11"/>
      <c r="DW253" s="11"/>
      <c r="DX253" s="11"/>
      <c r="DY253" s="11"/>
      <c r="DZ253" s="11"/>
      <c r="EA253" s="11"/>
      <c r="EB253" s="11"/>
      <c r="EC253" s="11"/>
      <c r="ED253" s="11"/>
      <c r="EE253" s="11"/>
      <c r="EF253" s="11"/>
    </row>
    <row r="254" spans="1:136" ht="67.5" x14ac:dyDescent="0.25">
      <c r="A254" s="425">
        <v>252</v>
      </c>
      <c r="B254" s="427" t="s">
        <v>1503</v>
      </c>
      <c r="C254" s="413" t="s">
        <v>1504</v>
      </c>
      <c r="D254" s="413" t="s">
        <v>1505</v>
      </c>
      <c r="E254" s="79">
        <v>1</v>
      </c>
      <c r="F254" s="404">
        <v>280522.4952</v>
      </c>
      <c r="G254" s="274"/>
      <c r="H254" s="274"/>
      <c r="I254" s="274"/>
      <c r="J254" s="274"/>
      <c r="K254" s="11"/>
      <c r="L254" s="274"/>
      <c r="M254" s="274"/>
      <c r="N254" s="274"/>
      <c r="O254" s="48"/>
      <c r="P254" s="11"/>
      <c r="Q254" s="274"/>
      <c r="R254" s="274"/>
      <c r="S254" s="274"/>
      <c r="T254" s="11"/>
      <c r="U254" s="11"/>
      <c r="V254" s="11"/>
      <c r="W254" s="11"/>
      <c r="X254" s="11"/>
      <c r="Y254" s="11"/>
      <c r="Z254" s="48"/>
      <c r="AA254" s="52"/>
      <c r="AB254" s="52"/>
      <c r="AC254" s="118"/>
      <c r="AD254" s="5"/>
      <c r="AE254" s="52"/>
      <c r="AF254" s="113"/>
      <c r="AG254" s="113"/>
      <c r="AH254" s="113"/>
      <c r="AI254" s="52"/>
      <c r="AJ254" s="11"/>
      <c r="AK254" s="269"/>
      <c r="AL254" s="269"/>
      <c r="AM254" s="116"/>
      <c r="AN254" s="301"/>
      <c r="AO254" s="302"/>
      <c r="AP254" s="11"/>
      <c r="AQ254" s="11"/>
      <c r="AR254" s="11"/>
      <c r="AS254" s="11"/>
      <c r="AT254" s="11"/>
      <c r="AU254" s="118"/>
      <c r="AV254" s="118"/>
      <c r="AW254" s="118"/>
      <c r="AX254" s="52"/>
      <c r="AY254" s="52"/>
      <c r="AZ254" s="11"/>
      <c r="BA254" s="11"/>
      <c r="BB254" s="11"/>
      <c r="BC254" s="11"/>
      <c r="BD254" s="11"/>
      <c r="BE254" s="274">
        <v>465000</v>
      </c>
      <c r="BF254" s="274">
        <v>88350</v>
      </c>
      <c r="BG254" s="274">
        <v>553350</v>
      </c>
      <c r="BH254" s="11" t="s">
        <v>310</v>
      </c>
      <c r="BI254" s="11" t="s">
        <v>1506</v>
      </c>
      <c r="BJ254" s="311"/>
      <c r="BK254" s="311"/>
      <c r="BL254" s="311"/>
      <c r="BM254" s="52"/>
      <c r="BN254" s="52"/>
      <c r="BO254" s="387"/>
      <c r="BP254" s="320"/>
      <c r="BQ254" s="320"/>
      <c r="BR254" s="4"/>
      <c r="BS254" s="4"/>
      <c r="BT254" s="11"/>
      <c r="BU254" s="11"/>
      <c r="BV254" s="11"/>
      <c r="BW254" s="11"/>
      <c r="BX254" s="11"/>
      <c r="BY254" s="348"/>
      <c r="BZ254" s="348"/>
      <c r="CA254" s="348"/>
      <c r="CB254" s="348"/>
      <c r="CC254" s="348"/>
      <c r="CD254" s="11"/>
      <c r="CE254" s="11"/>
      <c r="CF254" s="11"/>
      <c r="CG254" s="11"/>
      <c r="CH254" s="11"/>
      <c r="CI254" s="11"/>
      <c r="CJ254" s="11"/>
      <c r="CK254" s="11"/>
      <c r="CL254" s="11"/>
      <c r="CM254" s="11"/>
      <c r="CN254" s="274"/>
      <c r="CO254" s="274"/>
      <c r="CP254" s="274"/>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8"/>
      <c r="DN254" s="118"/>
      <c r="DO254" s="118"/>
      <c r="DP254" s="52"/>
      <c r="DQ254" s="52"/>
      <c r="DR254" s="77"/>
      <c r="DS254" s="77"/>
      <c r="DT254" s="77"/>
      <c r="DU254" s="11"/>
      <c r="DV254" s="11"/>
      <c r="DW254" s="11"/>
      <c r="DX254" s="11"/>
      <c r="DY254" s="11"/>
      <c r="DZ254" s="11"/>
      <c r="EA254" s="11"/>
      <c r="EB254" s="11"/>
      <c r="EC254" s="11"/>
      <c r="ED254" s="11"/>
      <c r="EE254" s="11"/>
      <c r="EF254" s="11"/>
    </row>
    <row r="255" spans="1:136" ht="81" x14ac:dyDescent="0.25">
      <c r="A255" s="425">
        <v>253</v>
      </c>
      <c r="B255" s="426" t="s">
        <v>1507</v>
      </c>
      <c r="C255" s="413" t="s">
        <v>1508</v>
      </c>
      <c r="D255" s="426" t="s">
        <v>1485</v>
      </c>
      <c r="E255" s="79">
        <v>1</v>
      </c>
      <c r="F255" s="405"/>
      <c r="G255" s="274"/>
      <c r="H255" s="274"/>
      <c r="I255" s="274"/>
      <c r="J255" s="274"/>
      <c r="K255" s="11"/>
      <c r="L255" s="274"/>
      <c r="M255" s="274"/>
      <c r="N255" s="274"/>
      <c r="O255" s="48"/>
      <c r="P255" s="11"/>
      <c r="Q255" s="274"/>
      <c r="R255" s="274"/>
      <c r="S255" s="274"/>
      <c r="T255" s="11"/>
      <c r="U255" s="11"/>
      <c r="V255" s="11"/>
      <c r="W255" s="11"/>
      <c r="X255" s="11"/>
      <c r="Y255" s="11"/>
      <c r="Z255" s="48"/>
      <c r="AA255" s="52"/>
      <c r="AB255" s="52"/>
      <c r="AC255" s="118"/>
      <c r="AD255" s="5"/>
      <c r="AE255" s="52"/>
      <c r="AF255" s="113"/>
      <c r="AG255" s="113"/>
      <c r="AH255" s="113"/>
      <c r="AI255" s="52"/>
      <c r="AJ255" s="11"/>
      <c r="AK255" s="269"/>
      <c r="AL255" s="269"/>
      <c r="AM255" s="116"/>
      <c r="AN255" s="301"/>
      <c r="AO255" s="302"/>
      <c r="AP255" s="11"/>
      <c r="AQ255" s="11"/>
      <c r="AR255" s="11"/>
      <c r="AS255" s="11"/>
      <c r="AT255" s="11"/>
      <c r="AU255" s="118"/>
      <c r="AV255" s="118"/>
      <c r="AW255" s="118"/>
      <c r="AX255" s="52"/>
      <c r="AY255" s="52"/>
      <c r="AZ255" s="11"/>
      <c r="BA255" s="11"/>
      <c r="BB255" s="11"/>
      <c r="BC255" s="11"/>
      <c r="BD255" s="11"/>
      <c r="BE255" s="274">
        <v>645000</v>
      </c>
      <c r="BF255" s="274">
        <v>122550</v>
      </c>
      <c r="BG255" s="274">
        <v>767550</v>
      </c>
      <c r="BH255" s="11" t="s">
        <v>310</v>
      </c>
      <c r="BI255" s="11" t="s">
        <v>1509</v>
      </c>
      <c r="BJ255" s="311"/>
      <c r="BK255" s="311"/>
      <c r="BL255" s="311"/>
      <c r="BM255" s="52"/>
      <c r="BN255" s="52"/>
      <c r="BO255" s="387"/>
      <c r="BP255" s="320"/>
      <c r="BQ255" s="320"/>
      <c r="BR255" s="4"/>
      <c r="BS255" s="4"/>
      <c r="BT255" s="11"/>
      <c r="BU255" s="11"/>
      <c r="BV255" s="11"/>
      <c r="BW255" s="11"/>
      <c r="BX255" s="11"/>
      <c r="BY255" s="348"/>
      <c r="BZ255" s="348"/>
      <c r="CA255" s="348"/>
      <c r="CB255" s="348"/>
      <c r="CC255" s="348"/>
      <c r="CD255" s="11"/>
      <c r="CE255" s="11"/>
      <c r="CF255" s="11"/>
      <c r="CG255" s="11"/>
      <c r="CH255" s="11"/>
      <c r="CI255" s="11"/>
      <c r="CJ255" s="11"/>
      <c r="CK255" s="11"/>
      <c r="CL255" s="11"/>
      <c r="CM255" s="11"/>
      <c r="CN255" s="274"/>
      <c r="CO255" s="274"/>
      <c r="CP255" s="274"/>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8"/>
      <c r="DN255" s="118"/>
      <c r="DO255" s="118"/>
      <c r="DP255" s="52"/>
      <c r="DQ255" s="52"/>
      <c r="DR255" s="77"/>
      <c r="DS255" s="77"/>
      <c r="DT255" s="77"/>
      <c r="DU255" s="11"/>
      <c r="DV255" s="11"/>
      <c r="DW255" s="11"/>
      <c r="DX255" s="11"/>
      <c r="DY255" s="11"/>
      <c r="DZ255" s="11"/>
      <c r="EA255" s="11"/>
      <c r="EB255" s="11"/>
      <c r="EC255" s="11"/>
      <c r="ED255" s="11"/>
      <c r="EE255" s="11"/>
      <c r="EF255" s="11"/>
    </row>
    <row r="256" spans="1:136" ht="54" x14ac:dyDescent="0.25">
      <c r="A256" s="425">
        <v>254</v>
      </c>
      <c r="B256" s="427" t="s">
        <v>1510</v>
      </c>
      <c r="C256" s="413" t="s">
        <v>1511</v>
      </c>
      <c r="D256" s="413" t="s">
        <v>1512</v>
      </c>
      <c r="E256" s="79">
        <v>1</v>
      </c>
      <c r="F256" s="405"/>
      <c r="G256" s="274"/>
      <c r="H256" s="274"/>
      <c r="I256" s="274"/>
      <c r="J256" s="274"/>
      <c r="K256" s="11"/>
      <c r="L256" s="274"/>
      <c r="M256" s="274"/>
      <c r="N256" s="274"/>
      <c r="O256" s="48"/>
      <c r="P256" s="11"/>
      <c r="Q256" s="274"/>
      <c r="R256" s="274"/>
      <c r="S256" s="274"/>
      <c r="T256" s="11"/>
      <c r="U256" s="11"/>
      <c r="V256" s="11"/>
      <c r="W256" s="11"/>
      <c r="X256" s="11"/>
      <c r="Y256" s="11"/>
      <c r="Z256" s="48"/>
      <c r="AA256" s="52"/>
      <c r="AB256" s="52"/>
      <c r="AC256" s="118"/>
      <c r="AD256" s="5"/>
      <c r="AE256" s="52"/>
      <c r="AF256" s="113"/>
      <c r="AG256" s="113"/>
      <c r="AH256" s="113"/>
      <c r="AI256" s="52"/>
      <c r="AJ256" s="11"/>
      <c r="AK256" s="269"/>
      <c r="AL256" s="269"/>
      <c r="AM256" s="116"/>
      <c r="AN256" s="301"/>
      <c r="AO256" s="302"/>
      <c r="AP256" s="11"/>
      <c r="AQ256" s="11"/>
      <c r="AR256" s="11"/>
      <c r="AS256" s="11"/>
      <c r="AT256" s="11"/>
      <c r="AU256" s="118"/>
      <c r="AV256" s="118"/>
      <c r="AW256" s="118"/>
      <c r="AX256" s="52"/>
      <c r="AY256" s="52"/>
      <c r="AZ256" s="11"/>
      <c r="BA256" s="11"/>
      <c r="BB256" s="11"/>
      <c r="BC256" s="11"/>
      <c r="BD256" s="11"/>
      <c r="BE256" s="274">
        <v>6450000</v>
      </c>
      <c r="BF256" s="274">
        <v>1225500</v>
      </c>
      <c r="BG256" s="274">
        <v>7675500</v>
      </c>
      <c r="BH256" s="11" t="s">
        <v>310</v>
      </c>
      <c r="BI256" s="11" t="s">
        <v>1509</v>
      </c>
      <c r="BJ256" s="311"/>
      <c r="BK256" s="311"/>
      <c r="BL256" s="311"/>
      <c r="BM256" s="52"/>
      <c r="BN256" s="52"/>
      <c r="BO256" s="387"/>
      <c r="BP256" s="320"/>
      <c r="BQ256" s="320"/>
      <c r="BR256" s="4"/>
      <c r="BS256" s="4"/>
      <c r="BT256" s="11"/>
      <c r="BU256" s="11"/>
      <c r="BV256" s="11"/>
      <c r="BW256" s="11"/>
      <c r="BX256" s="11"/>
      <c r="BY256" s="348"/>
      <c r="BZ256" s="348"/>
      <c r="CA256" s="348"/>
      <c r="CB256" s="348"/>
      <c r="CC256" s="348"/>
      <c r="CD256" s="11"/>
      <c r="CE256" s="11"/>
      <c r="CF256" s="11"/>
      <c r="CG256" s="11"/>
      <c r="CH256" s="11"/>
      <c r="CI256" s="11"/>
      <c r="CJ256" s="11"/>
      <c r="CK256" s="11"/>
      <c r="CL256" s="11"/>
      <c r="CM256" s="11"/>
      <c r="CN256" s="274"/>
      <c r="CO256" s="274"/>
      <c r="CP256" s="274"/>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8"/>
      <c r="DN256" s="118"/>
      <c r="DO256" s="118"/>
      <c r="DP256" s="52"/>
      <c r="DQ256" s="52"/>
      <c r="DR256" s="77">
        <v>1820000</v>
      </c>
      <c r="DS256" s="77">
        <v>0</v>
      </c>
      <c r="DT256" s="77">
        <f>DR256+DS256</f>
        <v>1820000</v>
      </c>
      <c r="DU256" s="11" t="s">
        <v>37</v>
      </c>
      <c r="DV256" s="11" t="s">
        <v>1457</v>
      </c>
      <c r="DW256" s="11"/>
      <c r="DX256" s="11"/>
      <c r="DY256" s="11"/>
      <c r="DZ256" s="11"/>
      <c r="EA256" s="11"/>
      <c r="EB256" s="11"/>
      <c r="EC256" s="11"/>
      <c r="ED256" s="11"/>
      <c r="EE256" s="11"/>
      <c r="EF256" s="11"/>
    </row>
    <row r="257" spans="1:136" ht="67.5" x14ac:dyDescent="0.25">
      <c r="A257" s="425">
        <v>255</v>
      </c>
      <c r="B257" s="427" t="s">
        <v>1513</v>
      </c>
      <c r="C257" s="413" t="s">
        <v>1514</v>
      </c>
      <c r="D257" s="413" t="s">
        <v>1505</v>
      </c>
      <c r="E257" s="79">
        <v>1</v>
      </c>
      <c r="F257" s="405"/>
      <c r="G257" s="274"/>
      <c r="H257" s="274"/>
      <c r="I257" s="274"/>
      <c r="J257" s="274"/>
      <c r="K257" s="11"/>
      <c r="L257" s="274"/>
      <c r="M257" s="274"/>
      <c r="N257" s="274"/>
      <c r="O257" s="48"/>
      <c r="P257" s="11"/>
      <c r="Q257" s="274"/>
      <c r="R257" s="274"/>
      <c r="S257" s="274"/>
      <c r="T257" s="11"/>
      <c r="U257" s="11"/>
      <c r="V257" s="11"/>
      <c r="W257" s="11"/>
      <c r="X257" s="11"/>
      <c r="Y257" s="11"/>
      <c r="Z257" s="48"/>
      <c r="AA257" s="52"/>
      <c r="AB257" s="52"/>
      <c r="AC257" s="118"/>
      <c r="AD257" s="5"/>
      <c r="AE257" s="52"/>
      <c r="AF257" s="113"/>
      <c r="AG257" s="113"/>
      <c r="AH257" s="113"/>
      <c r="AI257" s="52"/>
      <c r="AJ257" s="11"/>
      <c r="AK257" s="269"/>
      <c r="AL257" s="269"/>
      <c r="AM257" s="116"/>
      <c r="AN257" s="301"/>
      <c r="AO257" s="302"/>
      <c r="AP257" s="11"/>
      <c r="AQ257" s="11"/>
      <c r="AR257" s="11"/>
      <c r="AS257" s="11"/>
      <c r="AT257" s="11"/>
      <c r="AU257" s="118">
        <v>1602309</v>
      </c>
      <c r="AV257" s="118">
        <v>304439</v>
      </c>
      <c r="AW257" s="118">
        <v>1906747</v>
      </c>
      <c r="AX257" s="52" t="s">
        <v>607</v>
      </c>
      <c r="AY257" s="52" t="s">
        <v>1515</v>
      </c>
      <c r="AZ257" s="11"/>
      <c r="BA257" s="11"/>
      <c r="BB257" s="11"/>
      <c r="BC257" s="11"/>
      <c r="BD257" s="11"/>
      <c r="BE257" s="274">
        <v>2912000</v>
      </c>
      <c r="BF257" s="274">
        <v>553280</v>
      </c>
      <c r="BG257" s="274">
        <v>3465280</v>
      </c>
      <c r="BH257" s="11" t="s">
        <v>310</v>
      </c>
      <c r="BI257" s="11" t="s">
        <v>1516</v>
      </c>
      <c r="BJ257" s="311"/>
      <c r="BK257" s="311"/>
      <c r="BL257" s="311"/>
      <c r="BM257" s="52"/>
      <c r="BN257" s="52"/>
      <c r="BO257" s="387"/>
      <c r="BP257" s="320"/>
      <c r="BQ257" s="320"/>
      <c r="BR257" s="4"/>
      <c r="BS257" s="4"/>
      <c r="BT257" s="11"/>
      <c r="BU257" s="11"/>
      <c r="BV257" s="11"/>
      <c r="BW257" s="11"/>
      <c r="BX257" s="11"/>
      <c r="BY257" s="348"/>
      <c r="BZ257" s="348"/>
      <c r="CA257" s="348"/>
      <c r="CB257" s="348"/>
      <c r="CC257" s="348"/>
      <c r="CD257" s="11"/>
      <c r="CE257" s="11"/>
      <c r="CF257" s="11"/>
      <c r="CG257" s="11"/>
      <c r="CH257" s="11"/>
      <c r="CI257" s="11"/>
      <c r="CJ257" s="11"/>
      <c r="CK257" s="11"/>
      <c r="CL257" s="11"/>
      <c r="CM257" s="11"/>
      <c r="CN257" s="274"/>
      <c r="CO257" s="274"/>
      <c r="CP257" s="274"/>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8"/>
      <c r="DN257" s="118"/>
      <c r="DO257" s="118"/>
      <c r="DP257" s="52"/>
      <c r="DQ257" s="52"/>
      <c r="DR257" s="77"/>
      <c r="DS257" s="77"/>
      <c r="DT257" s="77"/>
      <c r="DU257" s="11"/>
      <c r="DV257" s="11"/>
      <c r="DW257" s="11"/>
      <c r="DX257" s="11"/>
      <c r="DY257" s="11"/>
      <c r="DZ257" s="11"/>
      <c r="EA257" s="11"/>
      <c r="EB257" s="11"/>
      <c r="EC257" s="11"/>
      <c r="ED257" s="11"/>
      <c r="EE257" s="11"/>
      <c r="EF257" s="11"/>
    </row>
    <row r="258" spans="1:136" ht="54" x14ac:dyDescent="0.25">
      <c r="A258" s="425">
        <v>256</v>
      </c>
      <c r="B258" s="427" t="s">
        <v>1517</v>
      </c>
      <c r="C258" s="413" t="s">
        <v>1518</v>
      </c>
      <c r="D258" s="413" t="s">
        <v>1519</v>
      </c>
      <c r="E258" s="79">
        <v>1</v>
      </c>
      <c r="F258" s="404">
        <v>2007234.166</v>
      </c>
      <c r="G258" s="274"/>
      <c r="H258" s="274"/>
      <c r="I258" s="274"/>
      <c r="J258" s="274"/>
      <c r="K258" s="11"/>
      <c r="L258" s="274"/>
      <c r="M258" s="274"/>
      <c r="N258" s="274"/>
      <c r="O258" s="48"/>
      <c r="P258" s="11"/>
      <c r="Q258" s="274"/>
      <c r="R258" s="274"/>
      <c r="S258" s="274"/>
      <c r="T258" s="11"/>
      <c r="U258" s="11"/>
      <c r="V258" s="11"/>
      <c r="W258" s="11"/>
      <c r="X258" s="11"/>
      <c r="Y258" s="11"/>
      <c r="Z258" s="48"/>
      <c r="AA258" s="52"/>
      <c r="AB258" s="52"/>
      <c r="AC258" s="118"/>
      <c r="AD258" s="5"/>
      <c r="AE258" s="52"/>
      <c r="AF258" s="113"/>
      <c r="AG258" s="113"/>
      <c r="AH258" s="113"/>
      <c r="AI258" s="52"/>
      <c r="AJ258" s="11"/>
      <c r="AK258" s="269"/>
      <c r="AL258" s="269"/>
      <c r="AM258" s="116"/>
      <c r="AN258" s="301"/>
      <c r="AO258" s="302"/>
      <c r="AP258" s="11"/>
      <c r="AQ258" s="11"/>
      <c r="AR258" s="11"/>
      <c r="AS258" s="11"/>
      <c r="AT258" s="11"/>
      <c r="AU258" s="118">
        <v>318615</v>
      </c>
      <c r="AV258" s="118">
        <v>60537</v>
      </c>
      <c r="AW258" s="118">
        <v>379152</v>
      </c>
      <c r="AX258" s="52" t="s">
        <v>607</v>
      </c>
      <c r="AY258" s="52" t="s">
        <v>1520</v>
      </c>
      <c r="AZ258" s="11"/>
      <c r="BA258" s="11"/>
      <c r="BB258" s="11"/>
      <c r="BC258" s="11"/>
      <c r="BD258" s="11"/>
      <c r="BE258" s="274">
        <v>1261000</v>
      </c>
      <c r="BF258" s="274">
        <v>239590</v>
      </c>
      <c r="BG258" s="274">
        <v>1500590</v>
      </c>
      <c r="BH258" s="11" t="s">
        <v>310</v>
      </c>
      <c r="BI258" s="11" t="s">
        <v>1521</v>
      </c>
      <c r="BJ258" s="311"/>
      <c r="BK258" s="311"/>
      <c r="BL258" s="311"/>
      <c r="BM258" s="52"/>
      <c r="BN258" s="52"/>
      <c r="BO258" s="387"/>
      <c r="BP258" s="320"/>
      <c r="BQ258" s="320"/>
      <c r="BR258" s="4"/>
      <c r="BS258" s="4"/>
      <c r="BT258" s="11"/>
      <c r="BU258" s="11"/>
      <c r="BV258" s="11"/>
      <c r="BW258" s="11"/>
      <c r="BX258" s="11"/>
      <c r="BY258" s="348"/>
      <c r="BZ258" s="348"/>
      <c r="CA258" s="348"/>
      <c r="CB258" s="348"/>
      <c r="CC258" s="348"/>
      <c r="CD258" s="11"/>
      <c r="CE258" s="11"/>
      <c r="CF258" s="11"/>
      <c r="CG258" s="11"/>
      <c r="CH258" s="11"/>
      <c r="CI258" s="11"/>
      <c r="CJ258" s="11"/>
      <c r="CK258" s="11"/>
      <c r="CL258" s="11"/>
      <c r="CM258" s="11"/>
      <c r="CN258" s="274"/>
      <c r="CO258" s="274"/>
      <c r="CP258" s="274"/>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8"/>
      <c r="DN258" s="118"/>
      <c r="DO258" s="118"/>
      <c r="DP258" s="52"/>
      <c r="DQ258" s="52"/>
      <c r="DR258" s="77"/>
      <c r="DS258" s="77"/>
      <c r="DT258" s="77"/>
      <c r="DU258" s="11"/>
      <c r="DV258" s="11"/>
      <c r="DW258" s="11"/>
      <c r="DX258" s="11"/>
      <c r="DY258" s="11"/>
      <c r="DZ258" s="11"/>
      <c r="EA258" s="11"/>
      <c r="EB258" s="11"/>
      <c r="EC258" s="11"/>
      <c r="ED258" s="11"/>
      <c r="EE258" s="11"/>
      <c r="EF258" s="11"/>
    </row>
    <row r="259" spans="1:136" ht="54" x14ac:dyDescent="0.25">
      <c r="A259" s="425">
        <v>257</v>
      </c>
      <c r="B259" s="427" t="s">
        <v>1522</v>
      </c>
      <c r="C259" s="413" t="s">
        <v>1523</v>
      </c>
      <c r="D259" s="413" t="s">
        <v>39</v>
      </c>
      <c r="E259" s="79">
        <v>1</v>
      </c>
      <c r="F259" s="404">
        <v>105577.75200000001</v>
      </c>
      <c r="G259" s="274">
        <v>240000</v>
      </c>
      <c r="H259" s="274">
        <v>45600</v>
      </c>
      <c r="I259" s="274">
        <v>285600</v>
      </c>
      <c r="J259" s="274" t="s">
        <v>316</v>
      </c>
      <c r="K259" s="11" t="s">
        <v>1524</v>
      </c>
      <c r="L259" s="274"/>
      <c r="M259" s="274"/>
      <c r="N259" s="274"/>
      <c r="O259" s="48"/>
      <c r="P259" s="11"/>
      <c r="Q259" s="274"/>
      <c r="R259" s="274"/>
      <c r="S259" s="274"/>
      <c r="T259" s="11"/>
      <c r="U259" s="11"/>
      <c r="V259" s="11"/>
      <c r="W259" s="11"/>
      <c r="X259" s="11"/>
      <c r="Y259" s="11"/>
      <c r="Z259" s="48"/>
      <c r="AA259" s="52"/>
      <c r="AB259" s="52"/>
      <c r="AC259" s="118"/>
      <c r="AD259" s="5"/>
      <c r="AE259" s="52"/>
      <c r="AF259" s="113"/>
      <c r="AG259" s="113"/>
      <c r="AH259" s="113"/>
      <c r="AI259" s="52"/>
      <c r="AJ259" s="11"/>
      <c r="AK259" s="269">
        <v>72960</v>
      </c>
      <c r="AL259" s="269">
        <v>13862.4</v>
      </c>
      <c r="AM259" s="116">
        <v>86822.399999999994</v>
      </c>
      <c r="AN259" s="301" t="s">
        <v>88</v>
      </c>
      <c r="AO259" s="302">
        <v>1198060100</v>
      </c>
      <c r="AP259" s="11"/>
      <c r="AQ259" s="11"/>
      <c r="AR259" s="11"/>
      <c r="AS259" s="11"/>
      <c r="AT259" s="11"/>
      <c r="AU259" s="118">
        <v>92781</v>
      </c>
      <c r="AV259" s="118">
        <v>17628</v>
      </c>
      <c r="AW259" s="118">
        <v>110409</v>
      </c>
      <c r="AX259" s="52" t="s">
        <v>607</v>
      </c>
      <c r="AY259" s="52">
        <v>1198060100</v>
      </c>
      <c r="AZ259" s="11"/>
      <c r="BA259" s="11"/>
      <c r="BB259" s="11"/>
      <c r="BC259" s="11"/>
      <c r="BD259" s="11"/>
      <c r="BE259" s="274">
        <v>160000</v>
      </c>
      <c r="BF259" s="274">
        <v>30400</v>
      </c>
      <c r="BG259" s="274">
        <v>190400</v>
      </c>
      <c r="BH259" s="11" t="s">
        <v>88</v>
      </c>
      <c r="BI259" s="11">
        <v>1198060100</v>
      </c>
      <c r="BJ259" s="311"/>
      <c r="BK259" s="311"/>
      <c r="BL259" s="311"/>
      <c r="BM259" s="52"/>
      <c r="BN259" s="52"/>
      <c r="BO259" s="387"/>
      <c r="BP259" s="320"/>
      <c r="BQ259" s="320"/>
      <c r="BR259" s="4"/>
      <c r="BS259" s="4"/>
      <c r="BT259" s="11"/>
      <c r="BU259" s="11"/>
      <c r="BV259" s="11"/>
      <c r="BW259" s="11"/>
      <c r="BX259" s="11"/>
      <c r="BY259" s="348"/>
      <c r="BZ259" s="348"/>
      <c r="CA259" s="348"/>
      <c r="CB259" s="348"/>
      <c r="CC259" s="348"/>
      <c r="CD259" s="11"/>
      <c r="CE259" s="11"/>
      <c r="CF259" s="11"/>
      <c r="CG259" s="11"/>
      <c r="CH259" s="11"/>
      <c r="CI259" s="11"/>
      <c r="CJ259" s="11"/>
      <c r="CK259" s="11"/>
      <c r="CL259" s="11"/>
      <c r="CM259" s="11"/>
      <c r="CN259" s="274"/>
      <c r="CO259" s="274"/>
      <c r="CP259" s="274"/>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8"/>
      <c r="DN259" s="118"/>
      <c r="DO259" s="118"/>
      <c r="DP259" s="52"/>
      <c r="DQ259" s="52"/>
      <c r="DR259" s="77"/>
      <c r="DS259" s="77"/>
      <c r="DT259" s="77"/>
      <c r="DU259" s="11"/>
      <c r="DV259" s="11"/>
      <c r="DW259" s="11"/>
      <c r="DX259" s="11"/>
      <c r="DY259" s="11"/>
      <c r="DZ259" s="11"/>
      <c r="EA259" s="11"/>
      <c r="EB259" s="11"/>
      <c r="EC259" s="11"/>
      <c r="ED259" s="11"/>
      <c r="EE259" s="11"/>
      <c r="EF259" s="11"/>
    </row>
    <row r="260" spans="1:136" ht="27" x14ac:dyDescent="0.25">
      <c r="A260" s="425">
        <v>258</v>
      </c>
      <c r="B260" s="413" t="s">
        <v>1525</v>
      </c>
      <c r="C260" s="413" t="s">
        <v>1526</v>
      </c>
      <c r="D260" s="586" t="s">
        <v>1501</v>
      </c>
      <c r="E260" s="79">
        <v>1</v>
      </c>
      <c r="F260" s="405"/>
      <c r="G260" s="274"/>
      <c r="H260" s="274"/>
      <c r="I260" s="274"/>
      <c r="J260" s="274"/>
      <c r="K260" s="11"/>
      <c r="L260" s="274"/>
      <c r="M260" s="274"/>
      <c r="N260" s="274"/>
      <c r="O260" s="48"/>
      <c r="P260" s="11"/>
      <c r="Q260" s="274"/>
      <c r="R260" s="274"/>
      <c r="S260" s="274"/>
      <c r="T260" s="11"/>
      <c r="U260" s="11"/>
      <c r="V260" s="11"/>
      <c r="W260" s="11"/>
      <c r="X260" s="11"/>
      <c r="Y260" s="11"/>
      <c r="Z260" s="48"/>
      <c r="AA260" s="52"/>
      <c r="AB260" s="52"/>
      <c r="AC260" s="118"/>
      <c r="AD260" s="5"/>
      <c r="AE260" s="52"/>
      <c r="AF260" s="113"/>
      <c r="AG260" s="113"/>
      <c r="AH260" s="113"/>
      <c r="AI260" s="52"/>
      <c r="AJ260" s="11"/>
      <c r="AK260" s="269"/>
      <c r="AL260" s="269"/>
      <c r="AM260" s="116"/>
      <c r="AN260" s="301"/>
      <c r="AO260" s="302"/>
      <c r="AP260" s="11"/>
      <c r="AQ260" s="11"/>
      <c r="AR260" s="11"/>
      <c r="AS260" s="11"/>
      <c r="AT260" s="11"/>
      <c r="AU260" s="118"/>
      <c r="AV260" s="118"/>
      <c r="AW260" s="118"/>
      <c r="AX260" s="52"/>
      <c r="AY260" s="52"/>
      <c r="AZ260" s="11"/>
      <c r="BA260" s="11"/>
      <c r="BB260" s="11"/>
      <c r="BC260" s="11"/>
      <c r="BD260" s="11"/>
      <c r="BE260" s="274">
        <v>12918000</v>
      </c>
      <c r="BF260" s="274">
        <v>2454420</v>
      </c>
      <c r="BG260" s="274">
        <v>15372420</v>
      </c>
      <c r="BH260" s="11" t="s">
        <v>1527</v>
      </c>
      <c r="BI260" s="11" t="s">
        <v>1528</v>
      </c>
      <c r="BJ260" s="311"/>
      <c r="BK260" s="311"/>
      <c r="BL260" s="311"/>
      <c r="BM260" s="52"/>
      <c r="BN260" s="52"/>
      <c r="BO260" s="387"/>
      <c r="BP260" s="320"/>
      <c r="BQ260" s="320"/>
      <c r="BR260" s="4"/>
      <c r="BS260" s="4"/>
      <c r="BT260" s="11"/>
      <c r="BU260" s="11"/>
      <c r="BV260" s="11"/>
      <c r="BW260" s="11"/>
      <c r="BX260" s="11"/>
      <c r="BY260" s="348"/>
      <c r="BZ260" s="348"/>
      <c r="CA260" s="348"/>
      <c r="CB260" s="348"/>
      <c r="CC260" s="348"/>
      <c r="CD260" s="11"/>
      <c r="CE260" s="11"/>
      <c r="CF260" s="11"/>
      <c r="CG260" s="11"/>
      <c r="CH260" s="11"/>
      <c r="CI260" s="11"/>
      <c r="CJ260" s="11"/>
      <c r="CK260" s="11"/>
      <c r="CL260" s="11"/>
      <c r="CM260" s="11"/>
      <c r="CN260" s="274"/>
      <c r="CO260" s="274"/>
      <c r="CP260" s="274"/>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8"/>
      <c r="DN260" s="118"/>
      <c r="DO260" s="118"/>
      <c r="DP260" s="52"/>
      <c r="DQ260" s="52"/>
      <c r="DR260" s="77"/>
      <c r="DS260" s="77"/>
      <c r="DT260" s="77"/>
      <c r="DU260" s="11"/>
      <c r="DV260" s="11"/>
      <c r="DW260" s="11"/>
      <c r="DX260" s="11"/>
      <c r="DY260" s="11"/>
      <c r="DZ260" s="11"/>
      <c r="EA260" s="11"/>
      <c r="EB260" s="11"/>
      <c r="EC260" s="11"/>
      <c r="ED260" s="11"/>
      <c r="EE260" s="11"/>
      <c r="EF260" s="11"/>
    </row>
    <row r="261" spans="1:136" ht="25.5" customHeight="1" x14ac:dyDescent="0.25">
      <c r="A261" s="425">
        <v>259</v>
      </c>
      <c r="B261" s="427" t="s">
        <v>1529</v>
      </c>
      <c r="C261" s="427" t="s">
        <v>1530</v>
      </c>
      <c r="D261" s="427" t="s">
        <v>1501</v>
      </c>
      <c r="E261" s="79">
        <v>1</v>
      </c>
      <c r="F261" s="405"/>
      <c r="G261" s="274"/>
      <c r="H261" s="274"/>
      <c r="I261" s="274"/>
      <c r="J261" s="274"/>
      <c r="K261" s="11"/>
      <c r="L261" s="274"/>
      <c r="M261" s="274"/>
      <c r="N261" s="274"/>
      <c r="O261" s="48"/>
      <c r="P261" s="11"/>
      <c r="Q261" s="274"/>
      <c r="R261" s="274"/>
      <c r="S261" s="274"/>
      <c r="T261" s="11"/>
      <c r="U261" s="11"/>
      <c r="V261" s="11"/>
      <c r="W261" s="11"/>
      <c r="X261" s="11"/>
      <c r="Y261" s="11"/>
      <c r="Z261" s="48"/>
      <c r="AA261" s="52"/>
      <c r="AB261" s="52"/>
      <c r="AC261" s="118"/>
      <c r="AD261" s="5"/>
      <c r="AE261" s="52"/>
      <c r="AF261" s="113"/>
      <c r="AG261" s="113"/>
      <c r="AH261" s="113"/>
      <c r="AI261" s="52"/>
      <c r="AJ261" s="11"/>
      <c r="AK261" s="269"/>
      <c r="AL261" s="269"/>
      <c r="AM261" s="116"/>
      <c r="AN261" s="301"/>
      <c r="AO261" s="302"/>
      <c r="AP261" s="11"/>
      <c r="AQ261" s="11"/>
      <c r="AR261" s="11"/>
      <c r="AS261" s="11"/>
      <c r="AT261" s="11"/>
      <c r="AU261" s="118">
        <v>252814</v>
      </c>
      <c r="AV261" s="118">
        <v>48035</v>
      </c>
      <c r="AW261" s="118">
        <v>300848</v>
      </c>
      <c r="AX261" s="52" t="s">
        <v>607</v>
      </c>
      <c r="AY261" s="52" t="s">
        <v>1531</v>
      </c>
      <c r="AZ261" s="11"/>
      <c r="BA261" s="11"/>
      <c r="BB261" s="11"/>
      <c r="BC261" s="11"/>
      <c r="BD261" s="11"/>
      <c r="BE261" s="274">
        <v>474000</v>
      </c>
      <c r="BF261" s="274">
        <v>90060</v>
      </c>
      <c r="BG261" s="274">
        <v>564060</v>
      </c>
      <c r="BH261" s="11" t="s">
        <v>310</v>
      </c>
      <c r="BI261" s="11" t="s">
        <v>1532</v>
      </c>
      <c r="BJ261" s="311"/>
      <c r="BK261" s="311"/>
      <c r="BL261" s="311"/>
      <c r="BM261" s="52"/>
      <c r="BN261" s="52"/>
      <c r="BO261" s="387"/>
      <c r="BP261" s="320"/>
      <c r="BQ261" s="320"/>
      <c r="BR261" s="4"/>
      <c r="BS261" s="4"/>
      <c r="BT261" s="11"/>
      <c r="BU261" s="11"/>
      <c r="BV261" s="11"/>
      <c r="BW261" s="11"/>
      <c r="BX261" s="11"/>
      <c r="BY261" s="348"/>
      <c r="BZ261" s="348"/>
      <c r="CA261" s="348"/>
      <c r="CB261" s="348"/>
      <c r="CC261" s="348"/>
      <c r="CD261" s="11"/>
      <c r="CE261" s="11"/>
      <c r="CF261" s="11"/>
      <c r="CG261" s="11"/>
      <c r="CH261" s="11"/>
      <c r="CI261" s="11"/>
      <c r="CJ261" s="11"/>
      <c r="CK261" s="11"/>
      <c r="CL261" s="11"/>
      <c r="CM261" s="11"/>
      <c r="CN261" s="274"/>
      <c r="CO261" s="274"/>
      <c r="CP261" s="274"/>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8"/>
      <c r="DN261" s="118"/>
      <c r="DO261" s="118"/>
      <c r="DP261" s="52"/>
      <c r="DQ261" s="52"/>
      <c r="DR261" s="77"/>
      <c r="DS261" s="77"/>
      <c r="DT261" s="77"/>
      <c r="DU261" s="11"/>
      <c r="DV261" s="11"/>
      <c r="DW261" s="11"/>
      <c r="DX261" s="11"/>
      <c r="DY261" s="11"/>
      <c r="DZ261" s="11"/>
      <c r="EA261" s="11"/>
      <c r="EB261" s="11"/>
      <c r="EC261" s="11"/>
      <c r="ED261" s="11"/>
      <c r="EE261" s="11"/>
      <c r="EF261" s="11"/>
    </row>
    <row r="262" spans="1:136" ht="54" x14ac:dyDescent="0.25">
      <c r="A262" s="425">
        <v>260</v>
      </c>
      <c r="B262" s="426" t="s">
        <v>1533</v>
      </c>
      <c r="C262" s="413" t="s">
        <v>1508</v>
      </c>
      <c r="D262" s="426" t="s">
        <v>1534</v>
      </c>
      <c r="E262" s="79">
        <v>1</v>
      </c>
      <c r="F262" s="405">
        <v>441645.8052</v>
      </c>
      <c r="G262" s="274"/>
      <c r="H262" s="274"/>
      <c r="I262" s="274"/>
      <c r="J262" s="274"/>
      <c r="K262" s="11"/>
      <c r="L262" s="274"/>
      <c r="M262" s="274"/>
      <c r="N262" s="274"/>
      <c r="O262" s="48"/>
      <c r="P262" s="11"/>
      <c r="Q262" s="274"/>
      <c r="R262" s="274"/>
      <c r="S262" s="274"/>
      <c r="T262" s="11"/>
      <c r="U262" s="11"/>
      <c r="V262" s="11"/>
      <c r="W262" s="11"/>
      <c r="X262" s="11"/>
      <c r="Y262" s="11"/>
      <c r="Z262" s="48"/>
      <c r="AA262" s="52"/>
      <c r="AB262" s="52"/>
      <c r="AC262" s="118"/>
      <c r="AD262" s="5"/>
      <c r="AE262" s="52"/>
      <c r="AF262" s="113"/>
      <c r="AG262" s="113"/>
      <c r="AH262" s="113"/>
      <c r="AI262" s="52"/>
      <c r="AJ262" s="11"/>
      <c r="AK262" s="269"/>
      <c r="AL262" s="269"/>
      <c r="AM262" s="116"/>
      <c r="AN262" s="301"/>
      <c r="AO262" s="302"/>
      <c r="AP262" s="11"/>
      <c r="AQ262" s="11"/>
      <c r="AR262" s="11"/>
      <c r="AS262" s="11"/>
      <c r="AT262" s="11"/>
      <c r="AU262" s="118"/>
      <c r="AV262" s="118"/>
      <c r="AW262" s="118"/>
      <c r="AX262" s="52"/>
      <c r="AY262" s="52"/>
      <c r="AZ262" s="11"/>
      <c r="BA262" s="11"/>
      <c r="BB262" s="11"/>
      <c r="BC262" s="11"/>
      <c r="BD262" s="11"/>
      <c r="BE262" s="274"/>
      <c r="BF262" s="274"/>
      <c r="BG262" s="274"/>
      <c r="BH262" s="11"/>
      <c r="BI262" s="11"/>
      <c r="BJ262" s="311"/>
      <c r="BK262" s="311"/>
      <c r="BL262" s="311"/>
      <c r="BM262" s="52"/>
      <c r="BN262" s="52"/>
      <c r="BO262" s="387"/>
      <c r="BP262" s="320"/>
      <c r="BQ262" s="320"/>
      <c r="BR262" s="4"/>
      <c r="BS262" s="4"/>
      <c r="BT262" s="11"/>
      <c r="BU262" s="11"/>
      <c r="BV262" s="11"/>
      <c r="BW262" s="11"/>
      <c r="BX262" s="11"/>
      <c r="BY262" s="348"/>
      <c r="BZ262" s="348"/>
      <c r="CA262" s="348"/>
      <c r="CB262" s="348"/>
      <c r="CC262" s="348"/>
      <c r="CD262" s="11"/>
      <c r="CE262" s="11"/>
      <c r="CF262" s="11"/>
      <c r="CG262" s="11"/>
      <c r="CH262" s="11"/>
      <c r="CI262" s="11"/>
      <c r="CJ262" s="11"/>
      <c r="CK262" s="11"/>
      <c r="CL262" s="11"/>
      <c r="CM262" s="11"/>
      <c r="CN262" s="274"/>
      <c r="CO262" s="274"/>
      <c r="CP262" s="274"/>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8"/>
      <c r="DN262" s="118"/>
      <c r="DO262" s="118"/>
      <c r="DP262" s="52"/>
      <c r="DQ262" s="52"/>
      <c r="DR262" s="77"/>
      <c r="DS262" s="77"/>
      <c r="DT262" s="77"/>
      <c r="DU262" s="11"/>
      <c r="DV262" s="11"/>
      <c r="DW262" s="11"/>
      <c r="DX262" s="11"/>
      <c r="DY262" s="11"/>
      <c r="DZ262" s="11"/>
      <c r="EA262" s="11"/>
      <c r="EB262" s="11"/>
      <c r="EC262" s="11"/>
      <c r="ED262" s="11"/>
      <c r="EE262" s="11"/>
      <c r="EF262" s="11"/>
    </row>
    <row r="263" spans="1:136" ht="81" x14ac:dyDescent="0.25">
      <c r="A263" s="425">
        <v>261</v>
      </c>
      <c r="B263" s="426" t="s">
        <v>1535</v>
      </c>
      <c r="C263" s="426" t="s">
        <v>1536</v>
      </c>
      <c r="D263" s="426" t="s">
        <v>99</v>
      </c>
      <c r="E263" s="79">
        <v>1</v>
      </c>
      <c r="F263" s="405">
        <v>1974666.1359999999</v>
      </c>
      <c r="G263" s="274"/>
      <c r="H263" s="274"/>
      <c r="I263" s="274"/>
      <c r="J263" s="274"/>
      <c r="K263" s="11"/>
      <c r="L263" s="274"/>
      <c r="M263" s="274"/>
      <c r="N263" s="274"/>
      <c r="O263" s="48"/>
      <c r="P263" s="11"/>
      <c r="Q263" s="274"/>
      <c r="R263" s="274"/>
      <c r="S263" s="274"/>
      <c r="T263" s="11"/>
      <c r="U263" s="11"/>
      <c r="V263" s="11"/>
      <c r="W263" s="11"/>
      <c r="X263" s="11"/>
      <c r="Y263" s="11"/>
      <c r="Z263" s="48"/>
      <c r="AA263" s="52"/>
      <c r="AB263" s="52"/>
      <c r="AC263" s="118"/>
      <c r="AD263" s="5"/>
      <c r="AE263" s="52"/>
      <c r="AF263" s="113"/>
      <c r="AG263" s="113"/>
      <c r="AH263" s="113"/>
      <c r="AI263" s="52"/>
      <c r="AJ263" s="11"/>
      <c r="AK263" s="269"/>
      <c r="AL263" s="269"/>
      <c r="AM263" s="116"/>
      <c r="AN263" s="301"/>
      <c r="AO263" s="302"/>
      <c r="AP263" s="11"/>
      <c r="AQ263" s="11"/>
      <c r="AR263" s="11"/>
      <c r="AS263" s="11"/>
      <c r="AT263" s="11"/>
      <c r="AU263" s="118"/>
      <c r="AV263" s="118"/>
      <c r="AW263" s="118"/>
      <c r="AX263" s="52"/>
      <c r="AY263" s="52"/>
      <c r="AZ263" s="11"/>
      <c r="BA263" s="11"/>
      <c r="BB263" s="11"/>
      <c r="BC263" s="11"/>
      <c r="BD263" s="11"/>
      <c r="BE263" s="274"/>
      <c r="BF263" s="274"/>
      <c r="BG263" s="274"/>
      <c r="BH263" s="11"/>
      <c r="BI263" s="11"/>
      <c r="BJ263" s="311"/>
      <c r="BK263" s="311"/>
      <c r="BL263" s="311"/>
      <c r="BM263" s="52"/>
      <c r="BN263" s="52"/>
      <c r="BO263" s="387"/>
      <c r="BP263" s="320"/>
      <c r="BQ263" s="320"/>
      <c r="BR263" s="4"/>
      <c r="BS263" s="4"/>
      <c r="BT263" s="11"/>
      <c r="BU263" s="11"/>
      <c r="BV263" s="11"/>
      <c r="BW263" s="11"/>
      <c r="BX263" s="11"/>
      <c r="BY263" s="348"/>
      <c r="BZ263" s="348"/>
      <c r="CA263" s="348"/>
      <c r="CB263" s="348"/>
      <c r="CC263" s="348"/>
      <c r="CD263" s="11"/>
      <c r="CE263" s="11"/>
      <c r="CF263" s="11"/>
      <c r="CG263" s="11"/>
      <c r="CH263" s="11"/>
      <c r="CI263" s="11"/>
      <c r="CJ263" s="11"/>
      <c r="CK263" s="11"/>
      <c r="CL263" s="11"/>
      <c r="CM263" s="11"/>
      <c r="CN263" s="274"/>
      <c r="CO263" s="274"/>
      <c r="CP263" s="274"/>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8"/>
      <c r="DN263" s="118"/>
      <c r="DO263" s="118"/>
      <c r="DP263" s="52"/>
      <c r="DQ263" s="52"/>
      <c r="DR263" s="77"/>
      <c r="DS263" s="77"/>
      <c r="DT263" s="77"/>
      <c r="DU263" s="11"/>
      <c r="DV263" s="11"/>
      <c r="DW263" s="11"/>
      <c r="DX263" s="11"/>
      <c r="DY263" s="11"/>
      <c r="DZ263" s="11"/>
      <c r="EA263" s="11"/>
      <c r="EB263" s="11"/>
      <c r="EC263" s="11"/>
      <c r="ED263" s="11"/>
      <c r="EE263" s="11"/>
      <c r="EF263" s="11"/>
    </row>
    <row r="264" spans="1:136" ht="54" x14ac:dyDescent="0.25">
      <c r="A264" s="425">
        <v>262</v>
      </c>
      <c r="B264" s="426" t="s">
        <v>1537</v>
      </c>
      <c r="C264" s="413" t="s">
        <v>1508</v>
      </c>
      <c r="D264" s="426" t="s">
        <v>1534</v>
      </c>
      <c r="E264" s="79">
        <v>1</v>
      </c>
      <c r="F264" s="405"/>
      <c r="G264" s="274"/>
      <c r="H264" s="274"/>
      <c r="I264" s="274"/>
      <c r="J264" s="274"/>
      <c r="K264" s="11"/>
      <c r="L264" s="274"/>
      <c r="M264" s="274"/>
      <c r="N264" s="274"/>
      <c r="O264" s="48"/>
      <c r="P264" s="11"/>
      <c r="Q264" s="274"/>
      <c r="R264" s="274"/>
      <c r="S264" s="274"/>
      <c r="T264" s="11"/>
      <c r="U264" s="11"/>
      <c r="V264" s="11"/>
      <c r="W264" s="11"/>
      <c r="X264" s="11"/>
      <c r="Y264" s="11"/>
      <c r="Z264" s="48"/>
      <c r="AA264" s="52"/>
      <c r="AB264" s="52"/>
      <c r="AC264" s="118"/>
      <c r="AD264" s="5"/>
      <c r="AE264" s="52"/>
      <c r="AF264" s="113"/>
      <c r="AG264" s="113"/>
      <c r="AH264" s="113"/>
      <c r="AI264" s="52"/>
      <c r="AJ264" s="11"/>
      <c r="AK264" s="269"/>
      <c r="AL264" s="269"/>
      <c r="AM264" s="116"/>
      <c r="AN264" s="301"/>
      <c r="AO264" s="302"/>
      <c r="AP264" s="11"/>
      <c r="AQ264" s="11"/>
      <c r="AR264" s="11"/>
      <c r="AS264" s="11"/>
      <c r="AT264" s="11"/>
      <c r="AU264" s="118"/>
      <c r="AV264" s="118"/>
      <c r="AW264" s="118"/>
      <c r="AX264" s="52"/>
      <c r="AY264" s="52"/>
      <c r="AZ264" s="11"/>
      <c r="BA264" s="11"/>
      <c r="BB264" s="11"/>
      <c r="BC264" s="11"/>
      <c r="BD264" s="11"/>
      <c r="BE264" s="274">
        <v>4401000</v>
      </c>
      <c r="BF264" s="274">
        <v>836190</v>
      </c>
      <c r="BG264" s="274">
        <v>5237190</v>
      </c>
      <c r="BH264" s="11" t="s">
        <v>310</v>
      </c>
      <c r="BI264" s="11" t="s">
        <v>1538</v>
      </c>
      <c r="BJ264" s="311"/>
      <c r="BK264" s="311"/>
      <c r="BL264" s="311"/>
      <c r="BM264" s="52"/>
      <c r="BN264" s="52"/>
      <c r="BO264" s="387"/>
      <c r="BP264" s="320"/>
      <c r="BQ264" s="320"/>
      <c r="BR264" s="4"/>
      <c r="BS264" s="4"/>
      <c r="BT264" s="11"/>
      <c r="BU264" s="11"/>
      <c r="BV264" s="11"/>
      <c r="BW264" s="11"/>
      <c r="BX264" s="11"/>
      <c r="BY264" s="348"/>
      <c r="BZ264" s="348"/>
      <c r="CA264" s="348"/>
      <c r="CB264" s="348"/>
      <c r="CC264" s="348"/>
      <c r="CD264" s="11"/>
      <c r="CE264" s="11"/>
      <c r="CF264" s="11"/>
      <c r="CG264" s="11"/>
      <c r="CH264" s="11"/>
      <c r="CI264" s="11"/>
      <c r="CJ264" s="11"/>
      <c r="CK264" s="11"/>
      <c r="CL264" s="11"/>
      <c r="CM264" s="11"/>
      <c r="CN264" s="274"/>
      <c r="CO264" s="274"/>
      <c r="CP264" s="274"/>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8"/>
      <c r="DN264" s="118"/>
      <c r="DO264" s="118"/>
      <c r="DP264" s="52"/>
      <c r="DQ264" s="52"/>
      <c r="DR264" s="77"/>
      <c r="DS264" s="77"/>
      <c r="DT264" s="77"/>
      <c r="DU264" s="11"/>
      <c r="DV264" s="11"/>
      <c r="DW264" s="11"/>
      <c r="DX264" s="11"/>
      <c r="DY264" s="11"/>
      <c r="DZ264" s="11"/>
      <c r="EA264" s="11"/>
      <c r="EB264" s="11"/>
      <c r="EC264" s="11"/>
      <c r="ED264" s="11"/>
      <c r="EE264" s="11"/>
      <c r="EF264" s="11"/>
    </row>
    <row r="265" spans="1:136" ht="54" x14ac:dyDescent="0.25">
      <c r="A265" s="425">
        <v>263</v>
      </c>
      <c r="B265" s="426" t="s">
        <v>1539</v>
      </c>
      <c r="C265" s="413" t="s">
        <v>1508</v>
      </c>
      <c r="D265" s="426" t="s">
        <v>1534</v>
      </c>
      <c r="E265" s="79">
        <v>1</v>
      </c>
      <c r="F265" s="405"/>
      <c r="G265" s="274"/>
      <c r="H265" s="274"/>
      <c r="I265" s="274"/>
      <c r="J265" s="274"/>
      <c r="K265" s="11"/>
      <c r="L265" s="274"/>
      <c r="M265" s="274"/>
      <c r="N265" s="274"/>
      <c r="O265" s="48"/>
      <c r="P265" s="11"/>
      <c r="Q265" s="274"/>
      <c r="R265" s="274"/>
      <c r="S265" s="274"/>
      <c r="T265" s="11"/>
      <c r="U265" s="11"/>
      <c r="V265" s="11"/>
      <c r="W265" s="11"/>
      <c r="X265" s="11"/>
      <c r="Y265" s="11"/>
      <c r="Z265" s="48"/>
      <c r="AA265" s="52"/>
      <c r="AB265" s="52"/>
      <c r="AC265" s="118"/>
      <c r="AD265" s="5"/>
      <c r="AE265" s="52"/>
      <c r="AF265" s="113"/>
      <c r="AG265" s="113"/>
      <c r="AH265" s="113"/>
      <c r="AI265" s="52"/>
      <c r="AJ265" s="11"/>
      <c r="AK265" s="269"/>
      <c r="AL265" s="269"/>
      <c r="AM265" s="116"/>
      <c r="AN265" s="301"/>
      <c r="AO265" s="302"/>
      <c r="AP265" s="11"/>
      <c r="AQ265" s="11"/>
      <c r="AR265" s="11"/>
      <c r="AS265" s="11"/>
      <c r="AT265" s="11"/>
      <c r="AU265" s="118"/>
      <c r="AV265" s="118"/>
      <c r="AW265" s="118"/>
      <c r="AX265" s="52"/>
      <c r="AY265" s="52"/>
      <c r="AZ265" s="11"/>
      <c r="BA265" s="11"/>
      <c r="BB265" s="11"/>
      <c r="BC265" s="11"/>
      <c r="BD265" s="11"/>
      <c r="BE265" s="274">
        <v>5131000</v>
      </c>
      <c r="BF265" s="274">
        <v>974890</v>
      </c>
      <c r="BG265" s="274">
        <v>6105890</v>
      </c>
      <c r="BH265" s="11" t="s">
        <v>310</v>
      </c>
      <c r="BI265" s="11" t="s">
        <v>1540</v>
      </c>
      <c r="BJ265" s="311"/>
      <c r="BK265" s="311"/>
      <c r="BL265" s="311"/>
      <c r="BM265" s="52"/>
      <c r="BN265" s="52"/>
      <c r="BO265" s="387"/>
      <c r="BP265" s="320"/>
      <c r="BQ265" s="320"/>
      <c r="BR265" s="4"/>
      <c r="BS265" s="4"/>
      <c r="BT265" s="11"/>
      <c r="BU265" s="11"/>
      <c r="BV265" s="11"/>
      <c r="BW265" s="11"/>
      <c r="BX265" s="11"/>
      <c r="BY265" s="348"/>
      <c r="BZ265" s="348"/>
      <c r="CA265" s="348"/>
      <c r="CB265" s="348"/>
      <c r="CC265" s="348"/>
      <c r="CD265" s="11"/>
      <c r="CE265" s="11"/>
      <c r="CF265" s="11"/>
      <c r="CG265" s="11"/>
      <c r="CH265" s="11"/>
      <c r="CI265" s="11"/>
      <c r="CJ265" s="11"/>
      <c r="CK265" s="11"/>
      <c r="CL265" s="11"/>
      <c r="CM265" s="11"/>
      <c r="CN265" s="274"/>
      <c r="CO265" s="274"/>
      <c r="CP265" s="274"/>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8"/>
      <c r="DN265" s="118"/>
      <c r="DO265" s="118"/>
      <c r="DP265" s="52"/>
      <c r="DQ265" s="52"/>
      <c r="DR265" s="77"/>
      <c r="DS265" s="77"/>
      <c r="DT265" s="77"/>
      <c r="DU265" s="11"/>
      <c r="DV265" s="11"/>
      <c r="DW265" s="11"/>
      <c r="DX265" s="11"/>
      <c r="DY265" s="11"/>
      <c r="DZ265" s="11"/>
      <c r="EA265" s="11"/>
      <c r="EB265" s="11"/>
      <c r="EC265" s="11"/>
      <c r="ED265" s="11"/>
      <c r="EE265" s="11"/>
      <c r="EF265" s="11"/>
    </row>
    <row r="266" spans="1:136" ht="54" x14ac:dyDescent="0.25">
      <c r="A266" s="425">
        <v>264</v>
      </c>
      <c r="B266" s="427" t="s">
        <v>1541</v>
      </c>
      <c r="C266" s="566" t="s">
        <v>1542</v>
      </c>
      <c r="D266" s="427" t="s">
        <v>39</v>
      </c>
      <c r="E266" s="79">
        <v>1</v>
      </c>
      <c r="F266" s="405"/>
      <c r="G266" s="274">
        <v>247500</v>
      </c>
      <c r="H266" s="274">
        <v>47025</v>
      </c>
      <c r="I266" s="274">
        <v>294525</v>
      </c>
      <c r="J266" s="274" t="s">
        <v>316</v>
      </c>
      <c r="K266" s="11" t="s">
        <v>1543</v>
      </c>
      <c r="L266" s="274"/>
      <c r="M266" s="274"/>
      <c r="N266" s="274"/>
      <c r="O266" s="48"/>
      <c r="P266" s="11"/>
      <c r="Q266" s="274"/>
      <c r="R266" s="274"/>
      <c r="S266" s="274"/>
      <c r="T266" s="11"/>
      <c r="U266" s="11"/>
      <c r="V266" s="11"/>
      <c r="W266" s="11"/>
      <c r="X266" s="11"/>
      <c r="Y266" s="11"/>
      <c r="Z266" s="48"/>
      <c r="AA266" s="52"/>
      <c r="AB266" s="52"/>
      <c r="AC266" s="118"/>
      <c r="AD266" s="5"/>
      <c r="AE266" s="52"/>
      <c r="AF266" s="113"/>
      <c r="AG266" s="113"/>
      <c r="AH266" s="113"/>
      <c r="AI266" s="52"/>
      <c r="AJ266" s="11"/>
      <c r="AK266" s="269">
        <v>109440</v>
      </c>
      <c r="AL266" s="269">
        <v>20793.599999999999</v>
      </c>
      <c r="AM266" s="116">
        <v>130233.60000000001</v>
      </c>
      <c r="AN266" s="301" t="s">
        <v>88</v>
      </c>
      <c r="AO266" s="302">
        <v>1197770100</v>
      </c>
      <c r="AP266" s="11"/>
      <c r="AQ266" s="11"/>
      <c r="AR266" s="11"/>
      <c r="AS266" s="11"/>
      <c r="AT266" s="11"/>
      <c r="AU266" s="118">
        <v>139172</v>
      </c>
      <c r="AV266" s="118">
        <v>26443</v>
      </c>
      <c r="AW266" s="118">
        <v>165614</v>
      </c>
      <c r="AX266" s="52" t="s">
        <v>607</v>
      </c>
      <c r="AY266" s="52">
        <v>1197770100</v>
      </c>
      <c r="AZ266" s="11"/>
      <c r="BA266" s="11"/>
      <c r="BB266" s="11"/>
      <c r="BC266" s="11"/>
      <c r="BD266" s="11"/>
      <c r="BE266" s="274">
        <v>240000</v>
      </c>
      <c r="BF266" s="274">
        <v>45600</v>
      </c>
      <c r="BG266" s="274">
        <v>285600</v>
      </c>
      <c r="BH266" s="11" t="s">
        <v>88</v>
      </c>
      <c r="BI266" s="11">
        <v>1197770100</v>
      </c>
      <c r="BJ266" s="311"/>
      <c r="BK266" s="311"/>
      <c r="BL266" s="311"/>
      <c r="BM266" s="52"/>
      <c r="BN266" s="52"/>
      <c r="BO266" s="387"/>
      <c r="BP266" s="320"/>
      <c r="BQ266" s="320"/>
      <c r="BR266" s="4"/>
      <c r="BS266" s="4"/>
      <c r="BT266" s="11"/>
      <c r="BU266" s="11"/>
      <c r="BV266" s="11"/>
      <c r="BW266" s="11"/>
      <c r="BX266" s="11"/>
      <c r="BY266" s="348"/>
      <c r="BZ266" s="348"/>
      <c r="CA266" s="348"/>
      <c r="CB266" s="348"/>
      <c r="CC266" s="348"/>
      <c r="CD266" s="11"/>
      <c r="CE266" s="11"/>
      <c r="CF266" s="11"/>
      <c r="CG266" s="11"/>
      <c r="CH266" s="11"/>
      <c r="CI266" s="11"/>
      <c r="CJ266" s="11"/>
      <c r="CK266" s="11"/>
      <c r="CL266" s="11"/>
      <c r="CM266" s="11"/>
      <c r="CN266" s="274"/>
      <c r="CO266" s="274"/>
      <c r="CP266" s="274"/>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8"/>
      <c r="DN266" s="118"/>
      <c r="DO266" s="118"/>
      <c r="DP266" s="52"/>
      <c r="DQ266" s="52"/>
      <c r="DR266" s="77"/>
      <c r="DS266" s="77"/>
      <c r="DT266" s="77"/>
      <c r="DU266" s="11"/>
      <c r="DV266" s="11"/>
      <c r="DW266" s="11"/>
      <c r="DX266" s="11"/>
      <c r="DY266" s="11"/>
      <c r="DZ266" s="11"/>
      <c r="EA266" s="11"/>
      <c r="EB266" s="11"/>
      <c r="EC266" s="11"/>
      <c r="ED266" s="11"/>
      <c r="EE266" s="11"/>
      <c r="EF266" s="11"/>
    </row>
    <row r="267" spans="1:136" ht="67.5" x14ac:dyDescent="0.25">
      <c r="A267" s="425">
        <v>265</v>
      </c>
      <c r="B267" s="427" t="s">
        <v>1544</v>
      </c>
      <c r="C267" s="413" t="s">
        <v>1545</v>
      </c>
      <c r="D267" s="413" t="s">
        <v>39</v>
      </c>
      <c r="E267" s="79">
        <v>1</v>
      </c>
      <c r="F267" s="404">
        <v>92380.532999999996</v>
      </c>
      <c r="G267" s="274">
        <v>247500</v>
      </c>
      <c r="H267" s="274">
        <v>47025</v>
      </c>
      <c r="I267" s="274">
        <v>294525</v>
      </c>
      <c r="J267" s="274" t="s">
        <v>316</v>
      </c>
      <c r="K267" s="11" t="s">
        <v>1546</v>
      </c>
      <c r="L267" s="274"/>
      <c r="M267" s="274"/>
      <c r="N267" s="274"/>
      <c r="O267" s="48"/>
      <c r="P267" s="11"/>
      <c r="Q267" s="274"/>
      <c r="R267" s="274"/>
      <c r="S267" s="274"/>
      <c r="T267" s="11"/>
      <c r="U267" s="11"/>
      <c r="V267" s="11"/>
      <c r="W267" s="11"/>
      <c r="X267" s="11"/>
      <c r="Y267" s="11"/>
      <c r="Z267" s="48"/>
      <c r="AA267" s="52"/>
      <c r="AB267" s="52"/>
      <c r="AC267" s="118"/>
      <c r="AD267" s="5"/>
      <c r="AE267" s="52"/>
      <c r="AF267" s="113"/>
      <c r="AG267" s="113"/>
      <c r="AH267" s="113"/>
      <c r="AI267" s="52"/>
      <c r="AJ267" s="11"/>
      <c r="AK267" s="269">
        <v>135090</v>
      </c>
      <c r="AL267" s="269">
        <v>25667.1</v>
      </c>
      <c r="AM267" s="116">
        <v>160757.1</v>
      </c>
      <c r="AN267" s="301" t="s">
        <v>88</v>
      </c>
      <c r="AO267" s="302">
        <v>1197780100</v>
      </c>
      <c r="AP267" s="11"/>
      <c r="AQ267" s="11"/>
      <c r="AR267" s="11"/>
      <c r="AS267" s="11"/>
      <c r="AT267" s="11"/>
      <c r="AU267" s="118">
        <v>171790</v>
      </c>
      <c r="AV267" s="118">
        <v>32640</v>
      </c>
      <c r="AW267" s="118">
        <v>204430</v>
      </c>
      <c r="AX267" s="52" t="s">
        <v>607</v>
      </c>
      <c r="AY267" s="52">
        <v>1197780100</v>
      </c>
      <c r="AZ267" s="11"/>
      <c r="BA267" s="11"/>
      <c r="BB267" s="11"/>
      <c r="BC267" s="11"/>
      <c r="BD267" s="11"/>
      <c r="BE267" s="274">
        <v>296000</v>
      </c>
      <c r="BF267" s="274">
        <v>56240</v>
      </c>
      <c r="BG267" s="274">
        <v>352240</v>
      </c>
      <c r="BH267" s="11" t="s">
        <v>88</v>
      </c>
      <c r="BI267" s="11">
        <v>1197780100</v>
      </c>
      <c r="BJ267" s="311"/>
      <c r="BK267" s="311"/>
      <c r="BL267" s="311"/>
      <c r="BM267" s="52"/>
      <c r="BN267" s="52"/>
      <c r="BO267" s="387"/>
      <c r="BP267" s="320"/>
      <c r="BQ267" s="320"/>
      <c r="BR267" s="4"/>
      <c r="BS267" s="4"/>
      <c r="BT267" s="11"/>
      <c r="BU267" s="11"/>
      <c r="BV267" s="11"/>
      <c r="BW267" s="11"/>
      <c r="BX267" s="11"/>
      <c r="BY267" s="348"/>
      <c r="BZ267" s="348"/>
      <c r="CA267" s="348"/>
      <c r="CB267" s="348"/>
      <c r="CC267" s="348"/>
      <c r="CD267" s="11"/>
      <c r="CE267" s="11"/>
      <c r="CF267" s="11"/>
      <c r="CG267" s="11"/>
      <c r="CH267" s="11"/>
      <c r="CI267" s="11"/>
      <c r="CJ267" s="11"/>
      <c r="CK267" s="11"/>
      <c r="CL267" s="11"/>
      <c r="CM267" s="11"/>
      <c r="CN267" s="274"/>
      <c r="CO267" s="274"/>
      <c r="CP267" s="274"/>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8"/>
      <c r="DN267" s="118"/>
      <c r="DO267" s="118"/>
      <c r="DP267" s="52"/>
      <c r="DQ267" s="52"/>
      <c r="DR267" s="77"/>
      <c r="DS267" s="77"/>
      <c r="DT267" s="77"/>
      <c r="DU267" s="11"/>
      <c r="DV267" s="11"/>
      <c r="DW267" s="11"/>
      <c r="DX267" s="11"/>
      <c r="DY267" s="11"/>
      <c r="DZ267" s="11"/>
      <c r="EA267" s="11"/>
      <c r="EB267" s="11"/>
      <c r="EC267" s="11"/>
      <c r="ED267" s="11"/>
      <c r="EE267" s="11"/>
      <c r="EF267" s="11"/>
    </row>
    <row r="268" spans="1:136" ht="54" x14ac:dyDescent="0.25">
      <c r="A268" s="425">
        <v>266</v>
      </c>
      <c r="B268" s="589" t="s">
        <v>1547</v>
      </c>
      <c r="C268" s="413" t="s">
        <v>1460</v>
      </c>
      <c r="D268" s="428" t="s">
        <v>1548</v>
      </c>
      <c r="E268" s="79">
        <v>1</v>
      </c>
      <c r="F268" s="405"/>
      <c r="G268" s="274"/>
      <c r="H268" s="274"/>
      <c r="I268" s="274"/>
      <c r="J268" s="274"/>
      <c r="K268" s="11"/>
      <c r="L268" s="274"/>
      <c r="M268" s="274"/>
      <c r="N268" s="274"/>
      <c r="O268" s="48"/>
      <c r="P268" s="11"/>
      <c r="Q268" s="275"/>
      <c r="R268" s="275"/>
      <c r="S268" s="275"/>
      <c r="T268" s="11"/>
      <c r="U268" s="11"/>
      <c r="V268" s="11"/>
      <c r="W268" s="11"/>
      <c r="X268" s="11"/>
      <c r="Y268" s="11"/>
      <c r="Z268" s="48"/>
      <c r="AA268" s="52"/>
      <c r="AB268" s="52"/>
      <c r="AC268" s="113"/>
      <c r="AD268" s="5"/>
      <c r="AE268" s="52"/>
      <c r="AF268" s="113">
        <v>311000</v>
      </c>
      <c r="AG268" s="113">
        <f>AF268*0.19</f>
        <v>59090</v>
      </c>
      <c r="AH268" s="113">
        <f>AF268+AG268</f>
        <v>370090</v>
      </c>
      <c r="AI268" s="277" t="s">
        <v>628</v>
      </c>
      <c r="AJ268" s="33" t="s">
        <v>1549</v>
      </c>
      <c r="AK268" s="116">
        <v>1485160</v>
      </c>
      <c r="AL268" s="269">
        <v>282180.40000000002</v>
      </c>
      <c r="AM268" s="116">
        <v>1767340.4</v>
      </c>
      <c r="AN268" s="305" t="s">
        <v>37</v>
      </c>
      <c r="AO268" s="306" t="s">
        <v>1550</v>
      </c>
      <c r="AP268" s="11"/>
      <c r="AQ268" s="11"/>
      <c r="AR268" s="11"/>
      <c r="AS268" s="11"/>
      <c r="AT268" s="11"/>
      <c r="AU268" s="113">
        <v>273994</v>
      </c>
      <c r="AV268" s="113">
        <v>52059</v>
      </c>
      <c r="AW268" s="113">
        <v>326053</v>
      </c>
      <c r="AX268" s="52" t="s">
        <v>607</v>
      </c>
      <c r="AY268" s="52">
        <v>1024050083</v>
      </c>
      <c r="AZ268" s="11"/>
      <c r="BA268" s="11"/>
      <c r="BB268" s="11"/>
      <c r="BC268" s="11"/>
      <c r="BD268" s="11"/>
      <c r="BE268" s="275"/>
      <c r="BF268" s="275"/>
      <c r="BG268" s="275"/>
      <c r="BH268" s="11"/>
      <c r="BI268" s="11"/>
      <c r="BJ268" s="318"/>
      <c r="BK268" s="318"/>
      <c r="BL268" s="318"/>
      <c r="BM268" s="52"/>
      <c r="BN268" s="52"/>
      <c r="BO268" s="387"/>
      <c r="BP268" s="320"/>
      <c r="BQ268" s="320"/>
      <c r="BR268" s="4"/>
      <c r="BS268" s="4"/>
      <c r="BT268" s="11"/>
      <c r="BU268" s="11"/>
      <c r="BV268" s="11"/>
      <c r="BW268" s="11"/>
      <c r="BX268" s="11"/>
      <c r="BY268" s="348"/>
      <c r="BZ268" s="348"/>
      <c r="CA268" s="348"/>
      <c r="CB268" s="348"/>
      <c r="CC268" s="348"/>
      <c r="CD268" s="11"/>
      <c r="CE268" s="11"/>
      <c r="CF268" s="11"/>
      <c r="CG268" s="11"/>
      <c r="CH268" s="11"/>
      <c r="CI268" s="11"/>
      <c r="CJ268" s="11"/>
      <c r="CK268" s="11"/>
      <c r="CL268" s="11"/>
      <c r="CM268" s="11"/>
      <c r="CN268" s="274"/>
      <c r="CO268" s="274"/>
      <c r="CP268" s="274"/>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8"/>
      <c r="DN268" s="118"/>
      <c r="DO268" s="118"/>
      <c r="DP268" s="52"/>
      <c r="DQ268" s="52"/>
      <c r="DR268" s="77"/>
      <c r="DS268" s="77"/>
      <c r="DT268" s="77"/>
      <c r="DU268" s="11"/>
      <c r="DV268" s="11"/>
      <c r="DW268" s="11"/>
      <c r="DX268" s="11"/>
      <c r="DY268" s="11"/>
      <c r="DZ268" s="11"/>
      <c r="EA268" s="11"/>
      <c r="EB268" s="11"/>
      <c r="EC268" s="11"/>
      <c r="ED268" s="11"/>
      <c r="EE268" s="11"/>
      <c r="EF268" s="11"/>
    </row>
    <row r="269" spans="1:136" ht="54" x14ac:dyDescent="0.25">
      <c r="A269" s="425">
        <v>267</v>
      </c>
      <c r="B269" s="413" t="s">
        <v>1551</v>
      </c>
      <c r="C269" s="413" t="s">
        <v>1552</v>
      </c>
      <c r="D269" s="586" t="s">
        <v>619</v>
      </c>
      <c r="E269" s="79">
        <v>1</v>
      </c>
      <c r="F269" s="405"/>
      <c r="G269" s="274"/>
      <c r="H269" s="274"/>
      <c r="I269" s="274"/>
      <c r="J269" s="274"/>
      <c r="K269" s="11"/>
      <c r="L269" s="274"/>
      <c r="M269" s="274"/>
      <c r="N269" s="274"/>
      <c r="O269" s="48"/>
      <c r="P269" s="11"/>
      <c r="Q269" s="274"/>
      <c r="R269" s="274"/>
      <c r="S269" s="274"/>
      <c r="T269" s="11"/>
      <c r="U269" s="11"/>
      <c r="V269" s="11"/>
      <c r="W269" s="11"/>
      <c r="X269" s="11"/>
      <c r="Y269" s="11"/>
      <c r="Z269" s="48"/>
      <c r="AA269" s="52"/>
      <c r="AB269" s="52"/>
      <c r="AC269" s="118"/>
      <c r="AD269" s="5"/>
      <c r="AE269" s="52"/>
      <c r="AF269" s="113"/>
      <c r="AG269" s="113"/>
      <c r="AH269" s="113"/>
      <c r="AI269" s="52"/>
      <c r="AJ269" s="11"/>
      <c r="AK269" s="269"/>
      <c r="AL269" s="269"/>
      <c r="AM269" s="116"/>
      <c r="AN269" s="301"/>
      <c r="AO269" s="302"/>
      <c r="AP269" s="11"/>
      <c r="AQ269" s="11"/>
      <c r="AR269" s="11"/>
      <c r="AS269" s="11"/>
      <c r="AT269" s="11"/>
      <c r="AU269" s="118">
        <v>349784</v>
      </c>
      <c r="AV269" s="118">
        <v>66459</v>
      </c>
      <c r="AW269" s="118">
        <v>416242</v>
      </c>
      <c r="AX269" s="52" t="s">
        <v>607</v>
      </c>
      <c r="AY269" s="52" t="s">
        <v>1553</v>
      </c>
      <c r="AZ269" s="11"/>
      <c r="BA269" s="11"/>
      <c r="BB269" s="11"/>
      <c r="BC269" s="11"/>
      <c r="BD269" s="11"/>
      <c r="BE269" s="274">
        <v>1309000</v>
      </c>
      <c r="BF269" s="274">
        <v>248710</v>
      </c>
      <c r="BG269" s="274">
        <v>1557710</v>
      </c>
      <c r="BH269" s="11" t="s">
        <v>310</v>
      </c>
      <c r="BI269" s="11" t="s">
        <v>1554</v>
      </c>
      <c r="BJ269" s="311"/>
      <c r="BK269" s="311"/>
      <c r="BL269" s="311"/>
      <c r="BM269" s="52"/>
      <c r="BN269" s="52"/>
      <c r="BO269" s="387"/>
      <c r="BP269" s="320"/>
      <c r="BQ269" s="320"/>
      <c r="BR269" s="4"/>
      <c r="BS269" s="4"/>
      <c r="BT269" s="11"/>
      <c r="BU269" s="11"/>
      <c r="BV269" s="11"/>
      <c r="BW269" s="11"/>
      <c r="BX269" s="11"/>
      <c r="BY269" s="348"/>
      <c r="BZ269" s="348"/>
      <c r="CA269" s="348"/>
      <c r="CB269" s="348"/>
      <c r="CC269" s="348"/>
      <c r="CD269" s="11"/>
      <c r="CE269" s="11"/>
      <c r="CF269" s="11"/>
      <c r="CG269" s="11"/>
      <c r="CH269" s="11"/>
      <c r="CI269" s="11"/>
      <c r="CJ269" s="11"/>
      <c r="CK269" s="11"/>
      <c r="CL269" s="11"/>
      <c r="CM269" s="11"/>
      <c r="CN269" s="274"/>
      <c r="CO269" s="274"/>
      <c r="CP269" s="274"/>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8"/>
      <c r="DN269" s="118"/>
      <c r="DO269" s="118"/>
      <c r="DP269" s="52"/>
      <c r="DQ269" s="52"/>
      <c r="DR269" s="77"/>
      <c r="DS269" s="77"/>
      <c r="DT269" s="77"/>
      <c r="DU269" s="11"/>
      <c r="DV269" s="11"/>
      <c r="DW269" s="11"/>
      <c r="DX269" s="11"/>
      <c r="DY269" s="11"/>
      <c r="DZ269" s="11"/>
      <c r="EA269" s="11"/>
      <c r="EB269" s="11"/>
      <c r="EC269" s="11"/>
      <c r="ED269" s="11"/>
      <c r="EE269" s="11"/>
      <c r="EF269" s="11"/>
    </row>
    <row r="270" spans="1:136" ht="54" x14ac:dyDescent="0.25">
      <c r="A270" s="425">
        <v>268</v>
      </c>
      <c r="B270" s="427" t="s">
        <v>1555</v>
      </c>
      <c r="C270" s="427" t="s">
        <v>1556</v>
      </c>
      <c r="D270" s="427" t="s">
        <v>1505</v>
      </c>
      <c r="E270" s="79">
        <v>1</v>
      </c>
      <c r="F270" s="405"/>
      <c r="G270" s="274"/>
      <c r="H270" s="274"/>
      <c r="I270" s="274"/>
      <c r="J270" s="274"/>
      <c r="K270" s="11"/>
      <c r="L270" s="274"/>
      <c r="M270" s="274"/>
      <c r="N270" s="274"/>
      <c r="O270" s="48"/>
      <c r="P270" s="11"/>
      <c r="Q270" s="274"/>
      <c r="R270" s="274"/>
      <c r="S270" s="274"/>
      <c r="T270" s="11"/>
      <c r="U270" s="11"/>
      <c r="V270" s="11"/>
      <c r="W270" s="11"/>
      <c r="X270" s="11"/>
      <c r="Y270" s="11"/>
      <c r="Z270" s="48"/>
      <c r="AA270" s="52"/>
      <c r="AB270" s="52"/>
      <c r="AC270" s="118"/>
      <c r="AD270" s="5"/>
      <c r="AE270" s="52"/>
      <c r="AF270" s="113"/>
      <c r="AG270" s="113"/>
      <c r="AH270" s="113"/>
      <c r="AI270" s="52"/>
      <c r="AJ270" s="11"/>
      <c r="AK270" s="269"/>
      <c r="AL270" s="269"/>
      <c r="AM270" s="116"/>
      <c r="AN270" s="301"/>
      <c r="AO270" s="302"/>
      <c r="AP270" s="11"/>
      <c r="AQ270" s="11"/>
      <c r="AR270" s="11"/>
      <c r="AS270" s="11"/>
      <c r="AT270" s="11"/>
      <c r="AU270" s="118">
        <v>357864</v>
      </c>
      <c r="AV270" s="118">
        <v>67994</v>
      </c>
      <c r="AW270" s="118">
        <v>425859</v>
      </c>
      <c r="AX270" s="52" t="s">
        <v>607</v>
      </c>
      <c r="AY270" s="52" t="s">
        <v>1557</v>
      </c>
      <c r="AZ270" s="11"/>
      <c r="BA270" s="11"/>
      <c r="BB270" s="11"/>
      <c r="BC270" s="11"/>
      <c r="BD270" s="11"/>
      <c r="BE270" s="274">
        <v>2314000</v>
      </c>
      <c r="BF270" s="274">
        <v>439660</v>
      </c>
      <c r="BG270" s="274">
        <v>2753660</v>
      </c>
      <c r="BH270" s="11" t="s">
        <v>310</v>
      </c>
      <c r="BI270" s="11" t="s">
        <v>1558</v>
      </c>
      <c r="BJ270" s="311"/>
      <c r="BK270" s="311"/>
      <c r="BL270" s="311"/>
      <c r="BM270" s="52"/>
      <c r="BN270" s="52"/>
      <c r="BO270" s="387"/>
      <c r="BP270" s="320"/>
      <c r="BQ270" s="320"/>
      <c r="BR270" s="4"/>
      <c r="BS270" s="4"/>
      <c r="BT270" s="11"/>
      <c r="BU270" s="11"/>
      <c r="BV270" s="11"/>
      <c r="BW270" s="11"/>
      <c r="BX270" s="11"/>
      <c r="BY270" s="348"/>
      <c r="BZ270" s="348"/>
      <c r="CA270" s="348"/>
      <c r="CB270" s="348"/>
      <c r="CC270" s="348"/>
      <c r="CD270" s="11"/>
      <c r="CE270" s="11"/>
      <c r="CF270" s="11"/>
      <c r="CG270" s="11"/>
      <c r="CH270" s="11"/>
      <c r="CI270" s="11"/>
      <c r="CJ270" s="11"/>
      <c r="CK270" s="11"/>
      <c r="CL270" s="11"/>
      <c r="CM270" s="11"/>
      <c r="CN270" s="274"/>
      <c r="CO270" s="274"/>
      <c r="CP270" s="274"/>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8"/>
      <c r="DN270" s="118"/>
      <c r="DO270" s="118"/>
      <c r="DP270" s="52"/>
      <c r="DQ270" s="52"/>
      <c r="DR270" s="77"/>
      <c r="DS270" s="77"/>
      <c r="DT270" s="77"/>
      <c r="DU270" s="11"/>
      <c r="DV270" s="11"/>
      <c r="DW270" s="11"/>
      <c r="DX270" s="11"/>
      <c r="DY270" s="11"/>
      <c r="DZ270" s="11"/>
      <c r="EA270" s="11"/>
      <c r="EB270" s="11"/>
      <c r="EC270" s="11"/>
      <c r="ED270" s="11"/>
      <c r="EE270" s="11"/>
      <c r="EF270" s="11"/>
    </row>
    <row r="271" spans="1:136" ht="54" x14ac:dyDescent="0.25">
      <c r="A271" s="425">
        <v>269</v>
      </c>
      <c r="B271" s="426" t="s">
        <v>1559</v>
      </c>
      <c r="C271" s="413" t="s">
        <v>1560</v>
      </c>
      <c r="D271" s="426" t="s">
        <v>1501</v>
      </c>
      <c r="E271" s="79">
        <v>1</v>
      </c>
      <c r="F271" s="405"/>
      <c r="G271" s="274"/>
      <c r="H271" s="274"/>
      <c r="I271" s="274"/>
      <c r="J271" s="274"/>
      <c r="K271" s="11"/>
      <c r="L271" s="274"/>
      <c r="M271" s="274"/>
      <c r="N271" s="274"/>
      <c r="O271" s="48"/>
      <c r="P271" s="11"/>
      <c r="Q271" s="274"/>
      <c r="R271" s="274"/>
      <c r="S271" s="274"/>
      <c r="T271" s="11"/>
      <c r="U271" s="11"/>
      <c r="V271" s="11"/>
      <c r="W271" s="11"/>
      <c r="X271" s="11"/>
      <c r="Y271" s="11"/>
      <c r="Z271" s="48"/>
      <c r="AA271" s="52"/>
      <c r="AB271" s="52"/>
      <c r="AC271" s="118"/>
      <c r="AD271" s="5"/>
      <c r="AE271" s="52"/>
      <c r="AF271" s="113"/>
      <c r="AG271" s="113"/>
      <c r="AH271" s="113"/>
      <c r="AI271" s="52"/>
      <c r="AJ271" s="11"/>
      <c r="AK271" s="269"/>
      <c r="AL271" s="269"/>
      <c r="AM271" s="116"/>
      <c r="AN271" s="301"/>
      <c r="AO271" s="302"/>
      <c r="AP271" s="11"/>
      <c r="AQ271" s="11"/>
      <c r="AR271" s="11"/>
      <c r="AS271" s="11"/>
      <c r="AT271" s="11"/>
      <c r="AU271" s="118">
        <v>317460</v>
      </c>
      <c r="AV271" s="118">
        <v>60317</v>
      </c>
      <c r="AW271" s="118">
        <v>377778</v>
      </c>
      <c r="AX271" s="52" t="s">
        <v>607</v>
      </c>
      <c r="AY271" s="52" t="s">
        <v>1561</v>
      </c>
      <c r="AZ271" s="11"/>
      <c r="BA271" s="11"/>
      <c r="BB271" s="11"/>
      <c r="BC271" s="11"/>
      <c r="BD271" s="11"/>
      <c r="BE271" s="274">
        <v>455000</v>
      </c>
      <c r="BF271" s="274">
        <v>86450</v>
      </c>
      <c r="BG271" s="274">
        <v>541450</v>
      </c>
      <c r="BH271" s="11" t="s">
        <v>310</v>
      </c>
      <c r="BI271" s="11" t="s">
        <v>1562</v>
      </c>
      <c r="BJ271" s="311"/>
      <c r="BK271" s="311"/>
      <c r="BL271" s="311"/>
      <c r="BM271" s="52"/>
      <c r="BN271" s="52"/>
      <c r="BO271" s="387"/>
      <c r="BP271" s="320"/>
      <c r="BQ271" s="320"/>
      <c r="BR271" s="4"/>
      <c r="BS271" s="4"/>
      <c r="BT271" s="11"/>
      <c r="BU271" s="11"/>
      <c r="BV271" s="11"/>
      <c r="BW271" s="11"/>
      <c r="BX271" s="11"/>
      <c r="BY271" s="348"/>
      <c r="BZ271" s="348"/>
      <c r="CA271" s="348"/>
      <c r="CB271" s="348"/>
      <c r="CC271" s="348"/>
      <c r="CD271" s="11"/>
      <c r="CE271" s="11"/>
      <c r="CF271" s="11"/>
      <c r="CG271" s="11"/>
      <c r="CH271" s="11"/>
      <c r="CI271" s="11"/>
      <c r="CJ271" s="11"/>
      <c r="CK271" s="11"/>
      <c r="CL271" s="11"/>
      <c r="CM271" s="11"/>
      <c r="CN271" s="274"/>
      <c r="CO271" s="274"/>
      <c r="CP271" s="274"/>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8"/>
      <c r="DN271" s="118"/>
      <c r="DO271" s="118"/>
      <c r="DP271" s="52"/>
      <c r="DQ271" s="52"/>
      <c r="DR271" s="77"/>
      <c r="DS271" s="77"/>
      <c r="DT271" s="77"/>
      <c r="DU271" s="11"/>
      <c r="DV271" s="11"/>
      <c r="DW271" s="11"/>
      <c r="DX271" s="11"/>
      <c r="DY271" s="11"/>
      <c r="DZ271" s="11"/>
      <c r="EA271" s="11"/>
      <c r="EB271" s="11"/>
      <c r="EC271" s="11"/>
      <c r="ED271" s="11"/>
      <c r="EE271" s="11"/>
      <c r="EF271" s="11"/>
    </row>
    <row r="272" spans="1:136" ht="54" x14ac:dyDescent="0.25">
      <c r="A272" s="425">
        <v>270</v>
      </c>
      <c r="B272" s="427" t="s">
        <v>1563</v>
      </c>
      <c r="C272" s="413" t="s">
        <v>1545</v>
      </c>
      <c r="D272" s="413" t="s">
        <v>39</v>
      </c>
      <c r="E272" s="79">
        <v>1</v>
      </c>
      <c r="F272" s="405"/>
      <c r="G272" s="274"/>
      <c r="H272" s="274"/>
      <c r="I272" s="274"/>
      <c r="J272" s="274"/>
      <c r="K272" s="11"/>
      <c r="L272" s="274"/>
      <c r="M272" s="274"/>
      <c r="N272" s="274"/>
      <c r="O272" s="48"/>
      <c r="P272" s="11"/>
      <c r="Q272" s="275"/>
      <c r="R272" s="275"/>
      <c r="S272" s="275"/>
      <c r="T272" s="11"/>
      <c r="U272" s="11"/>
      <c r="V272" s="11"/>
      <c r="W272" s="11"/>
      <c r="X272" s="11"/>
      <c r="Y272" s="11"/>
      <c r="Z272" s="48"/>
      <c r="AA272" s="52"/>
      <c r="AB272" s="52"/>
      <c r="AC272" s="113"/>
      <c r="AD272" s="5"/>
      <c r="AE272" s="52"/>
      <c r="AF272" s="113">
        <v>128000</v>
      </c>
      <c r="AG272" s="113">
        <f>AF272*0.19</f>
        <v>24320</v>
      </c>
      <c r="AH272" s="113">
        <f>AF272+AG272</f>
        <v>152320</v>
      </c>
      <c r="AI272" s="277" t="s">
        <v>628</v>
      </c>
      <c r="AJ272" s="33" t="s">
        <v>1564</v>
      </c>
      <c r="AK272" s="116"/>
      <c r="AL272" s="269"/>
      <c r="AM272" s="116"/>
      <c r="AN272" s="305"/>
      <c r="AO272" s="306"/>
      <c r="AP272" s="11"/>
      <c r="AQ272" s="11"/>
      <c r="AR272" s="11"/>
      <c r="AS272" s="11"/>
      <c r="AT272" s="11"/>
      <c r="AU272" s="113">
        <v>171790</v>
      </c>
      <c r="AV272" s="113">
        <v>32640</v>
      </c>
      <c r="AW272" s="113">
        <v>204430</v>
      </c>
      <c r="AX272" s="52" t="s">
        <v>607</v>
      </c>
      <c r="AY272" s="52">
        <v>1197780100</v>
      </c>
      <c r="AZ272" s="11"/>
      <c r="BA272" s="11"/>
      <c r="BB272" s="11"/>
      <c r="BC272" s="11"/>
      <c r="BD272" s="11"/>
      <c r="BE272" s="275"/>
      <c r="BF272" s="275"/>
      <c r="BG272" s="275"/>
      <c r="BH272" s="11"/>
      <c r="BI272" s="11"/>
      <c r="BJ272" s="318"/>
      <c r="BK272" s="318"/>
      <c r="BL272" s="318"/>
      <c r="BM272" s="52"/>
      <c r="BN272" s="52"/>
      <c r="BO272" s="387"/>
      <c r="BP272" s="320"/>
      <c r="BQ272" s="320"/>
      <c r="BR272" s="4"/>
      <c r="BS272" s="4"/>
      <c r="BT272" s="11"/>
      <c r="BU272" s="11"/>
      <c r="BV272" s="11"/>
      <c r="BW272" s="11"/>
      <c r="BX272" s="11"/>
      <c r="BY272" s="348"/>
      <c r="BZ272" s="348"/>
      <c r="CA272" s="348"/>
      <c r="CB272" s="348"/>
      <c r="CC272" s="348"/>
      <c r="CD272" s="11"/>
      <c r="CE272" s="11"/>
      <c r="CF272" s="11"/>
      <c r="CG272" s="11"/>
      <c r="CH272" s="11"/>
      <c r="CI272" s="11"/>
      <c r="CJ272" s="11"/>
      <c r="CK272" s="11"/>
      <c r="CL272" s="11"/>
      <c r="CM272" s="11"/>
      <c r="CN272" s="274"/>
      <c r="CO272" s="274"/>
      <c r="CP272" s="274"/>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8"/>
      <c r="DN272" s="118"/>
      <c r="DO272" s="118"/>
      <c r="DP272" s="52"/>
      <c r="DQ272" s="52"/>
      <c r="DR272" s="77"/>
      <c r="DS272" s="77"/>
      <c r="DT272" s="77"/>
      <c r="DU272" s="11"/>
      <c r="DV272" s="11"/>
      <c r="DW272" s="11"/>
      <c r="DX272" s="11"/>
      <c r="DY272" s="11"/>
      <c r="DZ272" s="11"/>
      <c r="EA272" s="11"/>
      <c r="EB272" s="11"/>
      <c r="EC272" s="11"/>
      <c r="ED272" s="11"/>
      <c r="EE272" s="11"/>
      <c r="EF272" s="11"/>
    </row>
    <row r="273" spans="1:136" ht="67.5" x14ac:dyDescent="0.25">
      <c r="A273" s="425">
        <v>271</v>
      </c>
      <c r="B273" s="427" t="s">
        <v>1565</v>
      </c>
      <c r="C273" s="413" t="s">
        <v>1566</v>
      </c>
      <c r="D273" s="413" t="s">
        <v>39</v>
      </c>
      <c r="E273" s="79">
        <v>1</v>
      </c>
      <c r="F273" s="404">
        <v>96779.606</v>
      </c>
      <c r="G273" s="274"/>
      <c r="H273" s="274"/>
      <c r="I273" s="274"/>
      <c r="J273" s="274"/>
      <c r="K273" s="11"/>
      <c r="L273" s="274"/>
      <c r="M273" s="274"/>
      <c r="N273" s="274"/>
      <c r="O273" s="48"/>
      <c r="P273" s="11"/>
      <c r="Q273" s="274"/>
      <c r="R273" s="274"/>
      <c r="S273" s="274"/>
      <c r="T273" s="11"/>
      <c r="U273" s="11"/>
      <c r="V273" s="11"/>
      <c r="W273" s="11"/>
      <c r="X273" s="11"/>
      <c r="Y273" s="11"/>
      <c r="Z273" s="48"/>
      <c r="AA273" s="52"/>
      <c r="AB273" s="52"/>
      <c r="AC273" s="118"/>
      <c r="AD273" s="5"/>
      <c r="AE273" s="52"/>
      <c r="AF273" s="113">
        <v>128000</v>
      </c>
      <c r="AG273" s="113">
        <f>AF273*0.19</f>
        <v>24320</v>
      </c>
      <c r="AH273" s="113">
        <f>AF273+AG273</f>
        <v>152320</v>
      </c>
      <c r="AI273" s="277" t="s">
        <v>628</v>
      </c>
      <c r="AJ273" s="33" t="s">
        <v>1567</v>
      </c>
      <c r="AK273" s="269">
        <v>135090</v>
      </c>
      <c r="AL273" s="269">
        <v>25667.1</v>
      </c>
      <c r="AM273" s="116">
        <v>160757.1</v>
      </c>
      <c r="AN273" s="301" t="s">
        <v>88</v>
      </c>
      <c r="AO273" s="302">
        <v>1197860100</v>
      </c>
      <c r="AP273" s="11"/>
      <c r="AQ273" s="11"/>
      <c r="AR273" s="11"/>
      <c r="AS273" s="11"/>
      <c r="AT273" s="11"/>
      <c r="AU273" s="118">
        <v>171790</v>
      </c>
      <c r="AV273" s="118">
        <v>32640</v>
      </c>
      <c r="AW273" s="118">
        <v>204430</v>
      </c>
      <c r="AX273" s="52" t="s">
        <v>607</v>
      </c>
      <c r="AY273" s="52">
        <v>1197860100</v>
      </c>
      <c r="AZ273" s="11"/>
      <c r="BA273" s="11"/>
      <c r="BB273" s="11"/>
      <c r="BC273" s="11"/>
      <c r="BD273" s="11"/>
      <c r="BE273" s="274">
        <v>296000</v>
      </c>
      <c r="BF273" s="274">
        <v>56240</v>
      </c>
      <c r="BG273" s="274">
        <v>352240</v>
      </c>
      <c r="BH273" s="11" t="s">
        <v>88</v>
      </c>
      <c r="BI273" s="11">
        <v>1197860100</v>
      </c>
      <c r="BJ273" s="311"/>
      <c r="BK273" s="311"/>
      <c r="BL273" s="311"/>
      <c r="BM273" s="52"/>
      <c r="BN273" s="52"/>
      <c r="BO273" s="387"/>
      <c r="BP273" s="320"/>
      <c r="BQ273" s="320"/>
      <c r="BR273" s="4"/>
      <c r="BS273" s="4"/>
      <c r="BT273" s="11"/>
      <c r="BU273" s="11"/>
      <c r="BV273" s="11"/>
      <c r="BW273" s="11"/>
      <c r="BX273" s="11"/>
      <c r="BY273" s="348"/>
      <c r="BZ273" s="348"/>
      <c r="CA273" s="348"/>
      <c r="CB273" s="348"/>
      <c r="CC273" s="348"/>
      <c r="CD273" s="11"/>
      <c r="CE273" s="11"/>
      <c r="CF273" s="11"/>
      <c r="CG273" s="11"/>
      <c r="CH273" s="11"/>
      <c r="CI273" s="11"/>
      <c r="CJ273" s="11"/>
      <c r="CK273" s="11"/>
      <c r="CL273" s="11"/>
      <c r="CM273" s="11"/>
      <c r="CN273" s="274"/>
      <c r="CO273" s="274"/>
      <c r="CP273" s="274"/>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8"/>
      <c r="DN273" s="118"/>
      <c r="DO273" s="118"/>
      <c r="DP273" s="52"/>
      <c r="DQ273" s="52"/>
      <c r="DR273" s="77"/>
      <c r="DS273" s="77"/>
      <c r="DT273" s="77"/>
      <c r="DU273" s="11"/>
      <c r="DV273" s="11"/>
      <c r="DW273" s="11"/>
      <c r="DX273" s="11"/>
      <c r="DY273" s="11"/>
      <c r="DZ273" s="11"/>
      <c r="EA273" s="11"/>
      <c r="EB273" s="11"/>
      <c r="EC273" s="11"/>
      <c r="ED273" s="11"/>
      <c r="EE273" s="11"/>
      <c r="EF273" s="11"/>
    </row>
    <row r="274" spans="1:136" ht="54" x14ac:dyDescent="0.25">
      <c r="A274" s="425">
        <v>272</v>
      </c>
      <c r="B274" s="427" t="s">
        <v>1568</v>
      </c>
      <c r="C274" s="427" t="s">
        <v>1569</v>
      </c>
      <c r="D274" s="427" t="s">
        <v>1570</v>
      </c>
      <c r="E274" s="79">
        <v>1</v>
      </c>
      <c r="F274" s="405"/>
      <c r="G274" s="274"/>
      <c r="H274" s="274"/>
      <c r="I274" s="274"/>
      <c r="J274" s="274"/>
      <c r="K274" s="11"/>
      <c r="L274" s="274"/>
      <c r="M274" s="274"/>
      <c r="N274" s="274"/>
      <c r="O274" s="48"/>
      <c r="P274" s="11"/>
      <c r="Q274" s="274"/>
      <c r="R274" s="274"/>
      <c r="S274" s="274"/>
      <c r="T274" s="11"/>
      <c r="U274" s="11"/>
      <c r="V274" s="11"/>
      <c r="W274" s="11"/>
      <c r="X274" s="11"/>
      <c r="Y274" s="11"/>
      <c r="Z274" s="48"/>
      <c r="AA274" s="52"/>
      <c r="AB274" s="52"/>
      <c r="AC274" s="118"/>
      <c r="AD274" s="5"/>
      <c r="AE274" s="52"/>
      <c r="AF274" s="113"/>
      <c r="AG274" s="113"/>
      <c r="AH274" s="113"/>
      <c r="AI274" s="52"/>
      <c r="AJ274" s="11"/>
      <c r="AK274" s="269"/>
      <c r="AL274" s="269"/>
      <c r="AM274" s="116"/>
      <c r="AN274" s="301"/>
      <c r="AO274" s="302"/>
      <c r="AP274" s="11"/>
      <c r="AQ274" s="11"/>
      <c r="AR274" s="11"/>
      <c r="AS274" s="11"/>
      <c r="AT274" s="11"/>
      <c r="AU274" s="118">
        <v>820779</v>
      </c>
      <c r="AV274" s="118">
        <v>155948</v>
      </c>
      <c r="AW274" s="118">
        <v>976727</v>
      </c>
      <c r="AX274" s="52" t="s">
        <v>607</v>
      </c>
      <c r="AY274" s="52" t="s">
        <v>1571</v>
      </c>
      <c r="AZ274" s="11"/>
      <c r="BA274" s="11"/>
      <c r="BB274" s="11"/>
      <c r="BC274" s="11"/>
      <c r="BD274" s="11"/>
      <c r="BE274" s="274">
        <v>626000</v>
      </c>
      <c r="BF274" s="274">
        <v>118940</v>
      </c>
      <c r="BG274" s="274">
        <v>744940</v>
      </c>
      <c r="BH274" s="11" t="s">
        <v>310</v>
      </c>
      <c r="BI274" s="11" t="s">
        <v>1572</v>
      </c>
      <c r="BJ274" s="311"/>
      <c r="BK274" s="311"/>
      <c r="BL274" s="311"/>
      <c r="BM274" s="52"/>
      <c r="BN274" s="52"/>
      <c r="BO274" s="387"/>
      <c r="BP274" s="320"/>
      <c r="BQ274" s="320"/>
      <c r="BR274" s="4"/>
      <c r="BS274" s="4"/>
      <c r="BT274" s="11"/>
      <c r="BU274" s="11"/>
      <c r="BV274" s="11"/>
      <c r="BW274" s="11"/>
      <c r="BX274" s="11"/>
      <c r="BY274" s="348"/>
      <c r="BZ274" s="348"/>
      <c r="CA274" s="348"/>
      <c r="CB274" s="348"/>
      <c r="CC274" s="348"/>
      <c r="CD274" s="11"/>
      <c r="CE274" s="11"/>
      <c r="CF274" s="11"/>
      <c r="CG274" s="11"/>
      <c r="CH274" s="11"/>
      <c r="CI274" s="11"/>
      <c r="CJ274" s="11"/>
      <c r="CK274" s="11"/>
      <c r="CL274" s="11"/>
      <c r="CM274" s="11"/>
      <c r="CN274" s="274"/>
      <c r="CO274" s="274"/>
      <c r="CP274" s="274"/>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8"/>
      <c r="DN274" s="118"/>
      <c r="DO274" s="118"/>
      <c r="DP274" s="52"/>
      <c r="DQ274" s="52"/>
      <c r="DR274" s="77"/>
      <c r="DS274" s="77"/>
      <c r="DT274" s="77"/>
      <c r="DU274" s="11"/>
      <c r="DV274" s="11"/>
      <c r="DW274" s="11"/>
      <c r="DX274" s="11"/>
      <c r="DY274" s="11"/>
      <c r="DZ274" s="11"/>
      <c r="EA274" s="11"/>
      <c r="EB274" s="11"/>
      <c r="EC274" s="11"/>
      <c r="ED274" s="11"/>
      <c r="EE274" s="11"/>
      <c r="EF274" s="11"/>
    </row>
    <row r="275" spans="1:136" ht="67.5" x14ac:dyDescent="0.25">
      <c r="A275" s="425">
        <v>273</v>
      </c>
      <c r="B275" s="427" t="s">
        <v>1573</v>
      </c>
      <c r="C275" s="427" t="s">
        <v>1574</v>
      </c>
      <c r="D275" s="427" t="s">
        <v>1519</v>
      </c>
      <c r="E275" s="79">
        <v>1</v>
      </c>
      <c r="F275" s="405"/>
      <c r="G275" s="274"/>
      <c r="H275" s="274"/>
      <c r="I275" s="274"/>
      <c r="J275" s="274"/>
      <c r="K275" s="11"/>
      <c r="L275" s="274"/>
      <c r="M275" s="274"/>
      <c r="N275" s="274"/>
      <c r="O275" s="48"/>
      <c r="P275" s="11"/>
      <c r="Q275" s="274"/>
      <c r="R275" s="274"/>
      <c r="S275" s="274"/>
      <c r="T275" s="11"/>
      <c r="U275" s="11"/>
      <c r="V275" s="11"/>
      <c r="W275" s="11"/>
      <c r="X275" s="11"/>
      <c r="Y275" s="11"/>
      <c r="Z275" s="48"/>
      <c r="AA275" s="52"/>
      <c r="AB275" s="52"/>
      <c r="AC275" s="118"/>
      <c r="AD275" s="5"/>
      <c r="AE275" s="52"/>
      <c r="AF275" s="113"/>
      <c r="AG275" s="113"/>
      <c r="AH275" s="113"/>
      <c r="AI275" s="52"/>
      <c r="AJ275" s="11"/>
      <c r="AK275" s="269"/>
      <c r="AL275" s="269"/>
      <c r="AM275" s="116"/>
      <c r="AN275" s="301"/>
      <c r="AO275" s="302"/>
      <c r="AP275" s="11"/>
      <c r="AQ275" s="11"/>
      <c r="AR275" s="11"/>
      <c r="AS275" s="11"/>
      <c r="AT275" s="11"/>
      <c r="AU275" s="118">
        <v>176970</v>
      </c>
      <c r="AV275" s="118">
        <v>33624</v>
      </c>
      <c r="AW275" s="118">
        <v>210594</v>
      </c>
      <c r="AX275" s="52" t="s">
        <v>607</v>
      </c>
      <c r="AY275" s="52" t="s">
        <v>1575</v>
      </c>
      <c r="AZ275" s="11"/>
      <c r="BA275" s="11"/>
      <c r="BB275" s="11"/>
      <c r="BC275" s="11"/>
      <c r="BD275" s="11"/>
      <c r="BE275" s="274">
        <v>967000</v>
      </c>
      <c r="BF275" s="274">
        <v>183730</v>
      </c>
      <c r="BG275" s="274">
        <v>1150730</v>
      </c>
      <c r="BH275" s="11" t="s">
        <v>310</v>
      </c>
      <c r="BI275" s="11" t="s">
        <v>1576</v>
      </c>
      <c r="BJ275" s="311"/>
      <c r="BK275" s="311"/>
      <c r="BL275" s="311"/>
      <c r="BM275" s="52"/>
      <c r="BN275" s="52"/>
      <c r="BO275" s="387"/>
      <c r="BP275" s="320"/>
      <c r="BQ275" s="320"/>
      <c r="BR275" s="4"/>
      <c r="BS275" s="4"/>
      <c r="BT275" s="11"/>
      <c r="BU275" s="11"/>
      <c r="BV275" s="11"/>
      <c r="BW275" s="11"/>
      <c r="BX275" s="11"/>
      <c r="BY275" s="348"/>
      <c r="BZ275" s="348"/>
      <c r="CA275" s="348"/>
      <c r="CB275" s="348"/>
      <c r="CC275" s="348"/>
      <c r="CD275" s="11"/>
      <c r="CE275" s="11"/>
      <c r="CF275" s="11"/>
      <c r="CG275" s="11"/>
      <c r="CH275" s="11"/>
      <c r="CI275" s="11"/>
      <c r="CJ275" s="11"/>
      <c r="CK275" s="11"/>
      <c r="CL275" s="11"/>
      <c r="CM275" s="11"/>
      <c r="CN275" s="274"/>
      <c r="CO275" s="274"/>
      <c r="CP275" s="274"/>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8"/>
      <c r="DN275" s="118"/>
      <c r="DO275" s="118"/>
      <c r="DP275" s="52"/>
      <c r="DQ275" s="52"/>
      <c r="DR275" s="77"/>
      <c r="DS275" s="77"/>
      <c r="DT275" s="77"/>
      <c r="DU275" s="11"/>
      <c r="DV275" s="11"/>
      <c r="DW275" s="11"/>
      <c r="DX275" s="11"/>
      <c r="DY275" s="11"/>
      <c r="DZ275" s="11"/>
      <c r="EA275" s="11"/>
      <c r="EB275" s="11"/>
      <c r="EC275" s="11"/>
      <c r="ED275" s="11"/>
      <c r="EE275" s="11"/>
      <c r="EF275" s="11"/>
    </row>
    <row r="276" spans="1:136" ht="54" x14ac:dyDescent="0.25">
      <c r="A276" s="425">
        <v>274</v>
      </c>
      <c r="B276" s="427" t="s">
        <v>1577</v>
      </c>
      <c r="C276" s="427" t="s">
        <v>1578</v>
      </c>
      <c r="D276" s="427" t="s">
        <v>1505</v>
      </c>
      <c r="E276" s="79">
        <v>1</v>
      </c>
      <c r="F276" s="405"/>
      <c r="G276" s="274"/>
      <c r="H276" s="274"/>
      <c r="I276" s="274"/>
      <c r="J276" s="274"/>
      <c r="K276" s="11"/>
      <c r="L276" s="274"/>
      <c r="M276" s="274"/>
      <c r="N276" s="274"/>
      <c r="O276" s="48"/>
      <c r="P276" s="11"/>
      <c r="Q276" s="274"/>
      <c r="R276" s="274"/>
      <c r="S276" s="274"/>
      <c r="T276" s="11"/>
      <c r="U276" s="11"/>
      <c r="V276" s="11"/>
      <c r="W276" s="11"/>
      <c r="X276" s="11"/>
      <c r="Y276" s="11"/>
      <c r="Z276" s="48"/>
      <c r="AA276" s="52"/>
      <c r="AB276" s="52"/>
      <c r="AC276" s="118"/>
      <c r="AD276" s="5"/>
      <c r="AE276" s="52"/>
      <c r="AF276" s="113"/>
      <c r="AG276" s="113"/>
      <c r="AH276" s="113"/>
      <c r="AI276" s="52"/>
      <c r="AJ276" s="11"/>
      <c r="AK276" s="269"/>
      <c r="AL276" s="269"/>
      <c r="AM276" s="116"/>
      <c r="AN276" s="301"/>
      <c r="AO276" s="302"/>
      <c r="AP276" s="11"/>
      <c r="AQ276" s="11"/>
      <c r="AR276" s="11"/>
      <c r="AS276" s="11"/>
      <c r="AT276" s="11"/>
      <c r="AU276" s="118">
        <v>230693</v>
      </c>
      <c r="AV276" s="118">
        <v>43832</v>
      </c>
      <c r="AW276" s="118">
        <v>274524</v>
      </c>
      <c r="AX276" s="52" t="s">
        <v>607</v>
      </c>
      <c r="AY276" s="52" t="s">
        <v>1579</v>
      </c>
      <c r="AZ276" s="11"/>
      <c r="BA276" s="11"/>
      <c r="BB276" s="11"/>
      <c r="BC276" s="11"/>
      <c r="BD276" s="11"/>
      <c r="BE276" s="274">
        <v>2068000</v>
      </c>
      <c r="BF276" s="274">
        <v>392920</v>
      </c>
      <c r="BG276" s="274">
        <v>2460920</v>
      </c>
      <c r="BH276" s="11" t="s">
        <v>310</v>
      </c>
      <c r="BI276" s="11" t="s">
        <v>1580</v>
      </c>
      <c r="BJ276" s="311"/>
      <c r="BK276" s="311"/>
      <c r="BL276" s="311"/>
      <c r="BM276" s="52"/>
      <c r="BN276" s="52"/>
      <c r="BO276" s="387"/>
      <c r="BP276" s="320"/>
      <c r="BQ276" s="320"/>
      <c r="BR276" s="4"/>
      <c r="BS276" s="4"/>
      <c r="BT276" s="11"/>
      <c r="BU276" s="11"/>
      <c r="BV276" s="11"/>
      <c r="BW276" s="11"/>
      <c r="BX276" s="11"/>
      <c r="BY276" s="348"/>
      <c r="BZ276" s="348"/>
      <c r="CA276" s="348"/>
      <c r="CB276" s="348"/>
      <c r="CC276" s="348"/>
      <c r="CD276" s="11"/>
      <c r="CE276" s="11"/>
      <c r="CF276" s="11"/>
      <c r="CG276" s="11"/>
      <c r="CH276" s="11"/>
      <c r="CI276" s="11"/>
      <c r="CJ276" s="11"/>
      <c r="CK276" s="11"/>
      <c r="CL276" s="11"/>
      <c r="CM276" s="11"/>
      <c r="CN276" s="274"/>
      <c r="CO276" s="274"/>
      <c r="CP276" s="274"/>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8"/>
      <c r="DN276" s="118"/>
      <c r="DO276" s="118"/>
      <c r="DP276" s="52"/>
      <c r="DQ276" s="52"/>
      <c r="DR276" s="77"/>
      <c r="DS276" s="77"/>
      <c r="DT276" s="77"/>
      <c r="DU276" s="11"/>
      <c r="DV276" s="11"/>
      <c r="DW276" s="11"/>
      <c r="DX276" s="11"/>
      <c r="DY276" s="11"/>
      <c r="DZ276" s="11"/>
      <c r="EA276" s="11"/>
      <c r="EB276" s="11"/>
      <c r="EC276" s="11"/>
      <c r="ED276" s="11"/>
      <c r="EE276" s="11"/>
      <c r="EF276" s="11"/>
    </row>
    <row r="277" spans="1:136" ht="67.5" x14ac:dyDescent="0.25">
      <c r="A277" s="425">
        <v>275</v>
      </c>
      <c r="B277" s="427" t="s">
        <v>1581</v>
      </c>
      <c r="C277" s="413" t="s">
        <v>1582</v>
      </c>
      <c r="D277" s="413" t="s">
        <v>39</v>
      </c>
      <c r="E277" s="79">
        <v>1</v>
      </c>
      <c r="F277" s="404">
        <v>174203.29080000002</v>
      </c>
      <c r="G277" s="274">
        <v>247500</v>
      </c>
      <c r="H277" s="274">
        <v>47025</v>
      </c>
      <c r="I277" s="274">
        <v>294525</v>
      </c>
      <c r="J277" s="274" t="s">
        <v>316</v>
      </c>
      <c r="K277" s="11" t="s">
        <v>1583</v>
      </c>
      <c r="L277" s="274"/>
      <c r="M277" s="274"/>
      <c r="N277" s="274"/>
      <c r="O277" s="48"/>
      <c r="P277" s="11"/>
      <c r="Q277" s="274"/>
      <c r="R277" s="274"/>
      <c r="S277" s="274"/>
      <c r="T277" s="11"/>
      <c r="U277" s="11"/>
      <c r="V277" s="11"/>
      <c r="W277" s="11"/>
      <c r="X277" s="11"/>
      <c r="Y277" s="11"/>
      <c r="Z277" s="48"/>
      <c r="AA277" s="52"/>
      <c r="AB277" s="52"/>
      <c r="AC277" s="118"/>
      <c r="AD277" s="5"/>
      <c r="AE277" s="52"/>
      <c r="AF277" s="113">
        <v>429000</v>
      </c>
      <c r="AG277" s="113">
        <f>AF277*0.19</f>
        <v>81510</v>
      </c>
      <c r="AH277" s="113">
        <f>AF277+AG277</f>
        <v>510510</v>
      </c>
      <c r="AI277" s="277" t="s">
        <v>628</v>
      </c>
      <c r="AJ277" s="33" t="s">
        <v>1584</v>
      </c>
      <c r="AK277" s="269">
        <v>233700</v>
      </c>
      <c r="AL277" s="269">
        <v>44403</v>
      </c>
      <c r="AM277" s="116">
        <v>278103</v>
      </c>
      <c r="AN277" s="301" t="s">
        <v>88</v>
      </c>
      <c r="AO277" s="302">
        <v>1703400100</v>
      </c>
      <c r="AP277" s="11"/>
      <c r="AQ277" s="11"/>
      <c r="AR277" s="11"/>
      <c r="AS277" s="11"/>
      <c r="AT277" s="11"/>
      <c r="AU277" s="118">
        <v>297189</v>
      </c>
      <c r="AV277" s="118">
        <v>56466</v>
      </c>
      <c r="AW277" s="118">
        <v>353655</v>
      </c>
      <c r="AX277" s="52" t="s">
        <v>607</v>
      </c>
      <c r="AY277" s="52">
        <v>1703400100</v>
      </c>
      <c r="AZ277" s="11"/>
      <c r="BA277" s="11"/>
      <c r="BB277" s="11"/>
      <c r="BC277" s="11"/>
      <c r="BD277" s="11"/>
      <c r="BE277" s="274">
        <v>513000</v>
      </c>
      <c r="BF277" s="274">
        <v>97470</v>
      </c>
      <c r="BG277" s="274">
        <v>610470</v>
      </c>
      <c r="BH277" s="11" t="s">
        <v>88</v>
      </c>
      <c r="BI277" s="11">
        <v>1703400100</v>
      </c>
      <c r="BJ277" s="311"/>
      <c r="BK277" s="311"/>
      <c r="BL277" s="311"/>
      <c r="BM277" s="52"/>
      <c r="BN277" s="52"/>
      <c r="BO277" s="387"/>
      <c r="BP277" s="320"/>
      <c r="BQ277" s="320"/>
      <c r="BR277" s="4"/>
      <c r="BS277" s="4"/>
      <c r="BT277" s="11"/>
      <c r="BU277" s="11"/>
      <c r="BV277" s="11"/>
      <c r="BW277" s="11"/>
      <c r="BX277" s="11"/>
      <c r="BY277" s="348"/>
      <c r="BZ277" s="348"/>
      <c r="CA277" s="348"/>
      <c r="CB277" s="348"/>
      <c r="CC277" s="348"/>
      <c r="CD277" s="11"/>
      <c r="CE277" s="11"/>
      <c r="CF277" s="11"/>
      <c r="CG277" s="11"/>
      <c r="CH277" s="11"/>
      <c r="CI277" s="11"/>
      <c r="CJ277" s="11"/>
      <c r="CK277" s="11"/>
      <c r="CL277" s="11"/>
      <c r="CM277" s="11"/>
      <c r="CN277" s="274"/>
      <c r="CO277" s="274"/>
      <c r="CP277" s="274"/>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8"/>
      <c r="DN277" s="118"/>
      <c r="DO277" s="118"/>
      <c r="DP277" s="52"/>
      <c r="DQ277" s="52"/>
      <c r="DR277" s="77"/>
      <c r="DS277" s="77"/>
      <c r="DT277" s="77"/>
      <c r="DU277" s="11"/>
      <c r="DV277" s="11"/>
      <c r="DW277" s="11"/>
      <c r="DX277" s="11"/>
      <c r="DY277" s="11"/>
      <c r="DZ277" s="11"/>
      <c r="EA277" s="11"/>
      <c r="EB277" s="11"/>
      <c r="EC277" s="11"/>
      <c r="ED277" s="11"/>
      <c r="EE277" s="11"/>
      <c r="EF277" s="11"/>
    </row>
    <row r="278" spans="1:136" ht="54" x14ac:dyDescent="0.25">
      <c r="A278" s="425">
        <v>276</v>
      </c>
      <c r="B278" s="427" t="s">
        <v>1585</v>
      </c>
      <c r="C278" s="413" t="s">
        <v>1586</v>
      </c>
      <c r="D278" s="413" t="s">
        <v>1519</v>
      </c>
      <c r="E278" s="79">
        <v>1</v>
      </c>
      <c r="F278" s="404">
        <v>1063318.7879999999</v>
      </c>
      <c r="G278" s="274"/>
      <c r="H278" s="274"/>
      <c r="I278" s="274"/>
      <c r="J278" s="274"/>
      <c r="K278" s="11"/>
      <c r="L278" s="274"/>
      <c r="M278" s="274"/>
      <c r="N278" s="274"/>
      <c r="O278" s="48"/>
      <c r="P278" s="11"/>
      <c r="Q278" s="274"/>
      <c r="R278" s="274"/>
      <c r="S278" s="274"/>
      <c r="T278" s="11"/>
      <c r="U278" s="11"/>
      <c r="V278" s="11"/>
      <c r="W278" s="11"/>
      <c r="X278" s="11"/>
      <c r="Y278" s="11"/>
      <c r="Z278" s="48"/>
      <c r="AA278" s="52"/>
      <c r="AB278" s="52"/>
      <c r="AC278" s="118"/>
      <c r="AD278" s="5"/>
      <c r="AE278" s="52"/>
      <c r="AF278" s="113"/>
      <c r="AG278" s="113"/>
      <c r="AH278" s="113"/>
      <c r="AI278" s="52"/>
      <c r="AJ278" s="11"/>
      <c r="AK278" s="269"/>
      <c r="AL278" s="269"/>
      <c r="AM278" s="116"/>
      <c r="AN278" s="301"/>
      <c r="AO278" s="302"/>
      <c r="AP278" s="11"/>
      <c r="AQ278" s="11"/>
      <c r="AR278" s="11"/>
      <c r="AS278" s="11"/>
      <c r="AT278" s="11"/>
      <c r="AU278" s="118"/>
      <c r="AV278" s="118"/>
      <c r="AW278" s="118"/>
      <c r="AX278" s="52"/>
      <c r="AY278" s="52"/>
      <c r="AZ278" s="11"/>
      <c r="BA278" s="11"/>
      <c r="BB278" s="11"/>
      <c r="BC278" s="11"/>
      <c r="BD278" s="11"/>
      <c r="BE278" s="274">
        <v>617000</v>
      </c>
      <c r="BF278" s="274">
        <v>117230</v>
      </c>
      <c r="BG278" s="274">
        <v>734230</v>
      </c>
      <c r="BH278" s="11" t="s">
        <v>310</v>
      </c>
      <c r="BI278" s="11" t="s">
        <v>1587</v>
      </c>
      <c r="BJ278" s="311"/>
      <c r="BK278" s="311"/>
      <c r="BL278" s="311"/>
      <c r="BM278" s="52"/>
      <c r="BN278" s="52"/>
      <c r="BO278" s="387"/>
      <c r="BP278" s="320"/>
      <c r="BQ278" s="320"/>
      <c r="BR278" s="4"/>
      <c r="BS278" s="4"/>
      <c r="BT278" s="11"/>
      <c r="BU278" s="11"/>
      <c r="BV278" s="11"/>
      <c r="BW278" s="11"/>
      <c r="BX278" s="11"/>
      <c r="BY278" s="348"/>
      <c r="BZ278" s="348"/>
      <c r="CA278" s="348"/>
      <c r="CB278" s="348"/>
      <c r="CC278" s="348"/>
      <c r="CD278" s="11"/>
      <c r="CE278" s="11"/>
      <c r="CF278" s="11"/>
      <c r="CG278" s="11"/>
      <c r="CH278" s="11"/>
      <c r="CI278" s="11"/>
      <c r="CJ278" s="11"/>
      <c r="CK278" s="11"/>
      <c r="CL278" s="11"/>
      <c r="CM278" s="11"/>
      <c r="CN278" s="274"/>
      <c r="CO278" s="274"/>
      <c r="CP278" s="274"/>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8"/>
      <c r="DN278" s="118"/>
      <c r="DO278" s="118"/>
      <c r="DP278" s="52"/>
      <c r="DQ278" s="52"/>
      <c r="DR278" s="77"/>
      <c r="DS278" s="77"/>
      <c r="DT278" s="77"/>
      <c r="DU278" s="11"/>
      <c r="DV278" s="11"/>
      <c r="DW278" s="11"/>
      <c r="DX278" s="11"/>
      <c r="DY278" s="11"/>
      <c r="DZ278" s="11"/>
      <c r="EA278" s="11"/>
      <c r="EB278" s="11"/>
      <c r="EC278" s="11"/>
      <c r="ED278" s="11"/>
      <c r="EE278" s="11"/>
      <c r="EF278" s="11"/>
    </row>
    <row r="279" spans="1:136" ht="54" x14ac:dyDescent="0.25">
      <c r="A279" s="425">
        <v>277</v>
      </c>
      <c r="B279" s="427" t="s">
        <v>1588</v>
      </c>
      <c r="C279" s="413" t="s">
        <v>1589</v>
      </c>
      <c r="D279" s="413" t="s">
        <v>39</v>
      </c>
      <c r="E279" s="79">
        <v>1</v>
      </c>
      <c r="F279" s="405"/>
      <c r="G279" s="274">
        <v>150000</v>
      </c>
      <c r="H279" s="274">
        <v>28500</v>
      </c>
      <c r="I279" s="274">
        <v>178500</v>
      </c>
      <c r="J279" s="274" t="s">
        <v>45</v>
      </c>
      <c r="K279" s="11" t="s">
        <v>1590</v>
      </c>
      <c r="L279" s="274"/>
      <c r="M279" s="274"/>
      <c r="N279" s="274"/>
      <c r="O279" s="48"/>
      <c r="P279" s="11"/>
      <c r="Q279" s="274"/>
      <c r="R279" s="274"/>
      <c r="S279" s="274"/>
      <c r="T279" s="11"/>
      <c r="U279" s="11"/>
      <c r="V279" s="11"/>
      <c r="W279" s="11"/>
      <c r="X279" s="11"/>
      <c r="Y279" s="11"/>
      <c r="Z279" s="48"/>
      <c r="AA279" s="52"/>
      <c r="AB279" s="52"/>
      <c r="AC279" s="118"/>
      <c r="AD279" s="5"/>
      <c r="AE279" s="52"/>
      <c r="AF279" s="113">
        <v>60000</v>
      </c>
      <c r="AG279" s="113">
        <f>AF279*0.19</f>
        <v>11400</v>
      </c>
      <c r="AH279" s="113">
        <f>AF279+AG279</f>
        <v>71400</v>
      </c>
      <c r="AI279" s="277" t="s">
        <v>628</v>
      </c>
      <c r="AJ279" s="33" t="s">
        <v>1591</v>
      </c>
      <c r="AK279" s="269">
        <v>145920</v>
      </c>
      <c r="AL279" s="269">
        <v>27724.799999999999</v>
      </c>
      <c r="AM279" s="116">
        <v>173644.79999999999</v>
      </c>
      <c r="AN279" s="301" t="s">
        <v>88</v>
      </c>
      <c r="AO279" s="302">
        <v>1197880100</v>
      </c>
      <c r="AP279" s="11"/>
      <c r="AQ279" s="11"/>
      <c r="AR279" s="11"/>
      <c r="AS279" s="11"/>
      <c r="AT279" s="11"/>
      <c r="AU279" s="118">
        <v>185562</v>
      </c>
      <c r="AV279" s="118">
        <v>35257</v>
      </c>
      <c r="AW279" s="118">
        <v>220819</v>
      </c>
      <c r="AX279" s="52" t="s">
        <v>607</v>
      </c>
      <c r="AY279" s="52">
        <v>1197880100</v>
      </c>
      <c r="AZ279" s="11"/>
      <c r="BA279" s="11"/>
      <c r="BB279" s="11"/>
      <c r="BC279" s="11"/>
      <c r="BD279" s="11"/>
      <c r="BE279" s="274">
        <v>320000</v>
      </c>
      <c r="BF279" s="274">
        <v>60800</v>
      </c>
      <c r="BG279" s="274">
        <v>380800</v>
      </c>
      <c r="BH279" s="11" t="s">
        <v>88</v>
      </c>
      <c r="BI279" s="11">
        <v>1197880100</v>
      </c>
      <c r="BJ279" s="311"/>
      <c r="BK279" s="311"/>
      <c r="BL279" s="311"/>
      <c r="BM279" s="52"/>
      <c r="BN279" s="52"/>
      <c r="BO279" s="387"/>
      <c r="BP279" s="320"/>
      <c r="BQ279" s="320"/>
      <c r="BR279" s="4"/>
      <c r="BS279" s="4"/>
      <c r="BT279" s="11"/>
      <c r="BU279" s="11"/>
      <c r="BV279" s="11"/>
      <c r="BW279" s="11"/>
      <c r="BX279" s="11"/>
      <c r="BY279" s="348"/>
      <c r="BZ279" s="348"/>
      <c r="CA279" s="348"/>
      <c r="CB279" s="348"/>
      <c r="CC279" s="348"/>
      <c r="CD279" s="11"/>
      <c r="CE279" s="11"/>
      <c r="CF279" s="11"/>
      <c r="CG279" s="11"/>
      <c r="CH279" s="11"/>
      <c r="CI279" s="11"/>
      <c r="CJ279" s="11"/>
      <c r="CK279" s="11"/>
      <c r="CL279" s="11"/>
      <c r="CM279" s="11"/>
      <c r="CN279" s="274"/>
      <c r="CO279" s="274"/>
      <c r="CP279" s="274"/>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8"/>
      <c r="DN279" s="118"/>
      <c r="DO279" s="118"/>
      <c r="DP279" s="52"/>
      <c r="DQ279" s="52"/>
      <c r="DR279" s="77"/>
      <c r="DS279" s="77"/>
      <c r="DT279" s="77"/>
      <c r="DU279" s="11"/>
      <c r="DV279" s="11"/>
      <c r="DW279" s="11"/>
      <c r="DX279" s="11"/>
      <c r="DY279" s="11"/>
      <c r="DZ279" s="11"/>
      <c r="EA279" s="11"/>
      <c r="EB279" s="11"/>
      <c r="EC279" s="11"/>
      <c r="ED279" s="11"/>
      <c r="EE279" s="11"/>
      <c r="EF279" s="11"/>
    </row>
    <row r="280" spans="1:136" ht="40.5" x14ac:dyDescent="0.25">
      <c r="A280" s="425">
        <v>278</v>
      </c>
      <c r="B280" s="427" t="s">
        <v>1592</v>
      </c>
      <c r="C280" s="413" t="s">
        <v>1593</v>
      </c>
      <c r="D280" s="413" t="s">
        <v>39</v>
      </c>
      <c r="E280" s="79">
        <v>1</v>
      </c>
      <c r="F280" s="404">
        <v>105577.75200000001</v>
      </c>
      <c r="G280" s="274">
        <v>150000</v>
      </c>
      <c r="H280" s="274">
        <v>28500</v>
      </c>
      <c r="I280" s="274">
        <v>178500</v>
      </c>
      <c r="J280" s="274" t="s">
        <v>45</v>
      </c>
      <c r="K280" s="11" t="s">
        <v>1594</v>
      </c>
      <c r="L280" s="274"/>
      <c r="M280" s="274"/>
      <c r="N280" s="274"/>
      <c r="O280" s="48"/>
      <c r="P280" s="11"/>
      <c r="Q280" s="274"/>
      <c r="R280" s="274"/>
      <c r="S280" s="274"/>
      <c r="T280" s="11"/>
      <c r="U280" s="11"/>
      <c r="V280" s="11"/>
      <c r="W280" s="11"/>
      <c r="X280" s="11"/>
      <c r="Y280" s="11"/>
      <c r="Z280" s="48"/>
      <c r="AA280" s="52"/>
      <c r="AB280" s="52"/>
      <c r="AC280" s="118"/>
      <c r="AD280" s="5"/>
      <c r="AE280" s="52"/>
      <c r="AF280" s="113">
        <v>128000</v>
      </c>
      <c r="AG280" s="113">
        <f>AF280*0.19</f>
        <v>24320</v>
      </c>
      <c r="AH280" s="113">
        <f>AF280+AG280</f>
        <v>152320</v>
      </c>
      <c r="AI280" s="277" t="s">
        <v>628</v>
      </c>
      <c r="AJ280" s="33" t="s">
        <v>1595</v>
      </c>
      <c r="AK280" s="269">
        <v>83790</v>
      </c>
      <c r="AL280" s="269">
        <v>15920.1</v>
      </c>
      <c r="AM280" s="116">
        <v>99710.1</v>
      </c>
      <c r="AN280" s="301" t="s">
        <v>88</v>
      </c>
      <c r="AO280" s="302">
        <v>1197890100</v>
      </c>
      <c r="AP280" s="11"/>
      <c r="AQ280" s="11"/>
      <c r="AR280" s="11"/>
      <c r="AS280" s="11"/>
      <c r="AT280" s="11"/>
      <c r="AU280" s="118">
        <v>106553</v>
      </c>
      <c r="AV280" s="118">
        <v>20245</v>
      </c>
      <c r="AW280" s="118">
        <v>126798</v>
      </c>
      <c r="AX280" s="52" t="s">
        <v>607</v>
      </c>
      <c r="AY280" s="52">
        <v>1197890100</v>
      </c>
      <c r="AZ280" s="11"/>
      <c r="BA280" s="11"/>
      <c r="BB280" s="11"/>
      <c r="BC280" s="11"/>
      <c r="BD280" s="11"/>
      <c r="BE280" s="274">
        <v>184000</v>
      </c>
      <c r="BF280" s="274">
        <v>34960</v>
      </c>
      <c r="BG280" s="274">
        <v>218960</v>
      </c>
      <c r="BH280" s="11" t="s">
        <v>88</v>
      </c>
      <c r="BI280" s="11">
        <v>1197890100</v>
      </c>
      <c r="BJ280" s="311"/>
      <c r="BK280" s="311"/>
      <c r="BL280" s="311"/>
      <c r="BM280" s="52"/>
      <c r="BN280" s="52"/>
      <c r="BO280" s="387"/>
      <c r="BP280" s="320"/>
      <c r="BQ280" s="320"/>
      <c r="BR280" s="4"/>
      <c r="BS280" s="4"/>
      <c r="BT280" s="11"/>
      <c r="BU280" s="11"/>
      <c r="BV280" s="11"/>
      <c r="BW280" s="11"/>
      <c r="BX280" s="11"/>
      <c r="BY280" s="348"/>
      <c r="BZ280" s="348"/>
      <c r="CA280" s="348"/>
      <c r="CB280" s="348"/>
      <c r="CC280" s="348"/>
      <c r="CD280" s="11"/>
      <c r="CE280" s="11"/>
      <c r="CF280" s="11"/>
      <c r="CG280" s="11"/>
      <c r="CH280" s="11"/>
      <c r="CI280" s="11"/>
      <c r="CJ280" s="11"/>
      <c r="CK280" s="11"/>
      <c r="CL280" s="11"/>
      <c r="CM280" s="11"/>
      <c r="CN280" s="274"/>
      <c r="CO280" s="274"/>
      <c r="CP280" s="274"/>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8"/>
      <c r="DN280" s="118"/>
      <c r="DO280" s="118"/>
      <c r="DP280" s="52"/>
      <c r="DQ280" s="52"/>
      <c r="DR280" s="77"/>
      <c r="DS280" s="77"/>
      <c r="DT280" s="77"/>
      <c r="DU280" s="11"/>
      <c r="DV280" s="11"/>
      <c r="DW280" s="11"/>
      <c r="DX280" s="11"/>
      <c r="DY280" s="11"/>
      <c r="DZ280" s="11"/>
      <c r="EA280" s="11"/>
      <c r="EB280" s="11"/>
      <c r="EC280" s="11"/>
      <c r="ED280" s="11"/>
      <c r="EE280" s="11"/>
      <c r="EF280" s="11"/>
    </row>
    <row r="281" spans="1:136" ht="25.5" customHeight="1" x14ac:dyDescent="0.25">
      <c r="A281" s="425">
        <v>279</v>
      </c>
      <c r="B281" s="427" t="s">
        <v>1596</v>
      </c>
      <c r="C281" s="413" t="s">
        <v>1597</v>
      </c>
      <c r="D281" s="413" t="s">
        <v>1501</v>
      </c>
      <c r="E281" s="79">
        <v>1</v>
      </c>
      <c r="F281" s="404">
        <v>930089.72</v>
      </c>
      <c r="G281" s="274"/>
      <c r="H281" s="274"/>
      <c r="I281" s="274"/>
      <c r="J281" s="274"/>
      <c r="K281" s="11"/>
      <c r="L281" s="274"/>
      <c r="M281" s="274"/>
      <c r="N281" s="274"/>
      <c r="O281" s="48"/>
      <c r="P281" s="11"/>
      <c r="Q281" s="274"/>
      <c r="R281" s="274"/>
      <c r="S281" s="274"/>
      <c r="T281" s="11"/>
      <c r="U281" s="11"/>
      <c r="V281" s="11"/>
      <c r="W281" s="11"/>
      <c r="X281" s="11"/>
      <c r="Y281" s="11"/>
      <c r="Z281" s="48"/>
      <c r="AA281" s="52"/>
      <c r="AB281" s="52"/>
      <c r="AC281" s="118"/>
      <c r="AD281" s="5"/>
      <c r="AE281" s="52"/>
      <c r="AF281" s="113"/>
      <c r="AG281" s="113"/>
      <c r="AH281" s="113"/>
      <c r="AI281" s="52"/>
      <c r="AJ281" s="11"/>
      <c r="AK281" s="269"/>
      <c r="AL281" s="269"/>
      <c r="AM281" s="116"/>
      <c r="AN281" s="301"/>
      <c r="AO281" s="302"/>
      <c r="AP281" s="11"/>
      <c r="AQ281" s="11"/>
      <c r="AR281" s="11"/>
      <c r="AS281" s="11"/>
      <c r="AT281" s="11"/>
      <c r="AU281" s="118">
        <v>271284</v>
      </c>
      <c r="AV281" s="118">
        <v>51544</v>
      </c>
      <c r="AW281" s="118">
        <v>322828</v>
      </c>
      <c r="AX281" s="52" t="s">
        <v>607</v>
      </c>
      <c r="AY281" s="52" t="s">
        <v>1598</v>
      </c>
      <c r="AZ281" s="11"/>
      <c r="BA281" s="11"/>
      <c r="BB281" s="11"/>
      <c r="BC281" s="11"/>
      <c r="BD281" s="11"/>
      <c r="BE281" s="274">
        <v>598000</v>
      </c>
      <c r="BF281" s="274">
        <v>113620</v>
      </c>
      <c r="BG281" s="274">
        <v>711620</v>
      </c>
      <c r="BH281" s="11" t="s">
        <v>310</v>
      </c>
      <c r="BI281" s="11" t="s">
        <v>1599</v>
      </c>
      <c r="BJ281" s="311"/>
      <c r="BK281" s="311"/>
      <c r="BL281" s="311"/>
      <c r="BM281" s="52"/>
      <c r="BN281" s="52"/>
      <c r="BO281" s="387"/>
      <c r="BP281" s="320"/>
      <c r="BQ281" s="320"/>
      <c r="BR281" s="4"/>
      <c r="BS281" s="4"/>
      <c r="BT281" s="11"/>
      <c r="BU281" s="11"/>
      <c r="BV281" s="11"/>
      <c r="BW281" s="11"/>
      <c r="BX281" s="11"/>
      <c r="BY281" s="348"/>
      <c r="BZ281" s="348"/>
      <c r="CA281" s="348"/>
      <c r="CB281" s="348"/>
      <c r="CC281" s="348"/>
      <c r="CD281" s="11"/>
      <c r="CE281" s="11"/>
      <c r="CF281" s="11"/>
      <c r="CG281" s="11"/>
      <c r="CH281" s="11"/>
      <c r="CI281" s="11"/>
      <c r="CJ281" s="11"/>
      <c r="CK281" s="11"/>
      <c r="CL281" s="11"/>
      <c r="CM281" s="11"/>
      <c r="CN281" s="274"/>
      <c r="CO281" s="274"/>
      <c r="CP281" s="274"/>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8"/>
      <c r="DN281" s="118"/>
      <c r="DO281" s="118"/>
      <c r="DP281" s="52"/>
      <c r="DQ281" s="52"/>
      <c r="DR281" s="77"/>
      <c r="DS281" s="77"/>
      <c r="DT281" s="77"/>
      <c r="DU281" s="11"/>
      <c r="DV281" s="11"/>
      <c r="DW281" s="11"/>
      <c r="DX281" s="11"/>
      <c r="DY281" s="11"/>
      <c r="DZ281" s="11"/>
      <c r="EA281" s="11"/>
      <c r="EB281" s="11"/>
      <c r="EC281" s="11"/>
      <c r="ED281" s="11"/>
      <c r="EE281" s="11"/>
      <c r="EF281" s="11"/>
    </row>
    <row r="282" spans="1:136" ht="67.5" x14ac:dyDescent="0.25">
      <c r="A282" s="425">
        <v>280</v>
      </c>
      <c r="B282" s="427" t="s">
        <v>1600</v>
      </c>
      <c r="C282" s="427" t="s">
        <v>1601</v>
      </c>
      <c r="D282" s="427" t="s">
        <v>1501</v>
      </c>
      <c r="E282" s="79">
        <v>1</v>
      </c>
      <c r="F282" s="405"/>
      <c r="G282" s="274"/>
      <c r="H282" s="274"/>
      <c r="I282" s="274"/>
      <c r="J282" s="274"/>
      <c r="K282" s="11"/>
      <c r="L282" s="274"/>
      <c r="M282" s="274"/>
      <c r="N282" s="274"/>
      <c r="O282" s="48"/>
      <c r="P282" s="11"/>
      <c r="Q282" s="274"/>
      <c r="R282" s="274"/>
      <c r="S282" s="274"/>
      <c r="T282" s="11"/>
      <c r="U282" s="11"/>
      <c r="V282" s="11"/>
      <c r="W282" s="11"/>
      <c r="X282" s="11"/>
      <c r="Y282" s="11"/>
      <c r="Z282" s="48"/>
      <c r="AA282" s="52"/>
      <c r="AB282" s="52"/>
      <c r="AC282" s="118"/>
      <c r="AD282" s="5"/>
      <c r="AE282" s="52"/>
      <c r="AF282" s="113"/>
      <c r="AG282" s="113"/>
      <c r="AH282" s="113"/>
      <c r="AI282" s="52"/>
      <c r="AJ282" s="11"/>
      <c r="AK282" s="269"/>
      <c r="AL282" s="269"/>
      <c r="AM282" s="116"/>
      <c r="AN282" s="301"/>
      <c r="AO282" s="302"/>
      <c r="AP282" s="11"/>
      <c r="AQ282" s="11"/>
      <c r="AR282" s="11"/>
      <c r="AS282" s="11"/>
      <c r="AT282" s="11"/>
      <c r="AU282" s="118">
        <v>249351</v>
      </c>
      <c r="AV282" s="118">
        <v>47377</v>
      </c>
      <c r="AW282" s="118">
        <v>296727</v>
      </c>
      <c r="AX282" s="52" t="s">
        <v>607</v>
      </c>
      <c r="AY282" s="52" t="s">
        <v>1602</v>
      </c>
      <c r="AZ282" s="11"/>
      <c r="BA282" s="11"/>
      <c r="BB282" s="11"/>
      <c r="BC282" s="11"/>
      <c r="BD282" s="11"/>
      <c r="BE282" s="274">
        <v>1233000</v>
      </c>
      <c r="BF282" s="274">
        <v>234270</v>
      </c>
      <c r="BG282" s="274">
        <v>1467270</v>
      </c>
      <c r="BH282" s="11" t="s">
        <v>310</v>
      </c>
      <c r="BI282" s="11" t="s">
        <v>1603</v>
      </c>
      <c r="BJ282" s="311"/>
      <c r="BK282" s="311"/>
      <c r="BL282" s="311"/>
      <c r="BM282" s="52"/>
      <c r="BN282" s="52"/>
      <c r="BO282" s="387"/>
      <c r="BP282" s="320"/>
      <c r="BQ282" s="320"/>
      <c r="BR282" s="4"/>
      <c r="BS282" s="4"/>
      <c r="BT282" s="11"/>
      <c r="BU282" s="11"/>
      <c r="BV282" s="11"/>
      <c r="BW282" s="11"/>
      <c r="BX282" s="11"/>
      <c r="BY282" s="348"/>
      <c r="BZ282" s="348"/>
      <c r="CA282" s="348"/>
      <c r="CB282" s="348"/>
      <c r="CC282" s="348"/>
      <c r="CD282" s="11"/>
      <c r="CE282" s="11"/>
      <c r="CF282" s="11"/>
      <c r="CG282" s="11"/>
      <c r="CH282" s="11"/>
      <c r="CI282" s="11"/>
      <c r="CJ282" s="11"/>
      <c r="CK282" s="11"/>
      <c r="CL282" s="11"/>
      <c r="CM282" s="11"/>
      <c r="CN282" s="274"/>
      <c r="CO282" s="274"/>
      <c r="CP282" s="274"/>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8"/>
      <c r="DN282" s="118"/>
      <c r="DO282" s="118"/>
      <c r="DP282" s="52"/>
      <c r="DQ282" s="52"/>
      <c r="DR282" s="77"/>
      <c r="DS282" s="77"/>
      <c r="DT282" s="77"/>
      <c r="DU282" s="11"/>
      <c r="DV282" s="11"/>
      <c r="DW282" s="11"/>
      <c r="DX282" s="11"/>
      <c r="DY282" s="11"/>
      <c r="DZ282" s="11"/>
      <c r="EA282" s="11"/>
      <c r="EB282" s="11"/>
      <c r="EC282" s="11"/>
      <c r="ED282" s="11"/>
      <c r="EE282" s="11"/>
      <c r="EF282" s="11"/>
    </row>
    <row r="283" spans="1:136" ht="67.5" x14ac:dyDescent="0.25">
      <c r="A283" s="425">
        <v>281</v>
      </c>
      <c r="B283" s="427" t="s">
        <v>1604</v>
      </c>
      <c r="C283" s="427" t="s">
        <v>1605</v>
      </c>
      <c r="D283" s="427" t="s">
        <v>99</v>
      </c>
      <c r="E283" s="79">
        <v>1</v>
      </c>
      <c r="F283" s="405"/>
      <c r="G283" s="274"/>
      <c r="H283" s="274"/>
      <c r="I283" s="274"/>
      <c r="J283" s="274"/>
      <c r="K283" s="11"/>
      <c r="L283" s="274"/>
      <c r="M283" s="274"/>
      <c r="N283" s="274"/>
      <c r="O283" s="48"/>
      <c r="P283" s="11"/>
      <c r="Q283" s="274"/>
      <c r="R283" s="274"/>
      <c r="S283" s="274"/>
      <c r="T283" s="11"/>
      <c r="U283" s="11"/>
      <c r="V283" s="11"/>
      <c r="W283" s="11"/>
      <c r="X283" s="11"/>
      <c r="Y283" s="11"/>
      <c r="Z283" s="48"/>
      <c r="AA283" s="52"/>
      <c r="AB283" s="52"/>
      <c r="AC283" s="118"/>
      <c r="AD283" s="5"/>
      <c r="AE283" s="52"/>
      <c r="AF283" s="113"/>
      <c r="AG283" s="113"/>
      <c r="AH283" s="113"/>
      <c r="AI283" s="52"/>
      <c r="AJ283" s="11"/>
      <c r="AK283" s="269"/>
      <c r="AL283" s="269"/>
      <c r="AM283" s="116"/>
      <c r="AN283" s="301"/>
      <c r="AO283" s="302"/>
      <c r="AP283" s="11"/>
      <c r="AQ283" s="11"/>
      <c r="AR283" s="11"/>
      <c r="AS283" s="11"/>
      <c r="AT283" s="11"/>
      <c r="AU283" s="118">
        <v>334776</v>
      </c>
      <c r="AV283" s="118">
        <v>63608</v>
      </c>
      <c r="AW283" s="118">
        <v>398384</v>
      </c>
      <c r="AX283" s="52" t="s">
        <v>607</v>
      </c>
      <c r="AY283" s="52" t="s">
        <v>1606</v>
      </c>
      <c r="AZ283" s="11"/>
      <c r="BA283" s="11"/>
      <c r="BB283" s="11"/>
      <c r="BC283" s="11"/>
      <c r="BD283" s="11"/>
      <c r="BE283" s="274">
        <v>2817000</v>
      </c>
      <c r="BF283" s="274">
        <v>535230</v>
      </c>
      <c r="BG283" s="274">
        <v>3352230</v>
      </c>
      <c r="BH283" s="11" t="s">
        <v>310</v>
      </c>
      <c r="BI283" s="11" t="s">
        <v>1607</v>
      </c>
      <c r="BJ283" s="311"/>
      <c r="BK283" s="311"/>
      <c r="BL283" s="311"/>
      <c r="BM283" s="52"/>
      <c r="BN283" s="52"/>
      <c r="BO283" s="387"/>
      <c r="BP283" s="320"/>
      <c r="BQ283" s="320"/>
      <c r="BR283" s="4"/>
      <c r="BS283" s="4"/>
      <c r="BT283" s="11"/>
      <c r="BU283" s="11"/>
      <c r="BV283" s="11"/>
      <c r="BW283" s="11"/>
      <c r="BX283" s="11"/>
      <c r="BY283" s="348"/>
      <c r="BZ283" s="348"/>
      <c r="CA283" s="348"/>
      <c r="CB283" s="348"/>
      <c r="CC283" s="348"/>
      <c r="CD283" s="11"/>
      <c r="CE283" s="11"/>
      <c r="CF283" s="11"/>
      <c r="CG283" s="11"/>
      <c r="CH283" s="11"/>
      <c r="CI283" s="11"/>
      <c r="CJ283" s="11"/>
      <c r="CK283" s="11"/>
      <c r="CL283" s="11"/>
      <c r="CM283" s="11"/>
      <c r="CN283" s="274"/>
      <c r="CO283" s="274"/>
      <c r="CP283" s="274"/>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8"/>
      <c r="DN283" s="118"/>
      <c r="DO283" s="118"/>
      <c r="DP283" s="52"/>
      <c r="DQ283" s="52"/>
      <c r="DR283" s="77"/>
      <c r="DS283" s="77"/>
      <c r="DT283" s="77"/>
      <c r="DU283" s="11"/>
      <c r="DV283" s="11"/>
      <c r="DW283" s="11"/>
      <c r="DX283" s="11"/>
      <c r="DY283" s="11"/>
      <c r="DZ283" s="11"/>
      <c r="EA283" s="11"/>
      <c r="EB283" s="11"/>
      <c r="EC283" s="11"/>
      <c r="ED283" s="11"/>
      <c r="EE283" s="11"/>
      <c r="EF283" s="11"/>
    </row>
    <row r="284" spans="1:136" ht="67.5" x14ac:dyDescent="0.25">
      <c r="A284" s="425">
        <v>282</v>
      </c>
      <c r="B284" s="426" t="s">
        <v>1608</v>
      </c>
      <c r="C284" s="413" t="s">
        <v>1508</v>
      </c>
      <c r="D284" s="426" t="s">
        <v>561</v>
      </c>
      <c r="E284" s="79">
        <v>1</v>
      </c>
      <c r="F284" s="405"/>
      <c r="G284" s="274"/>
      <c r="H284" s="274"/>
      <c r="I284" s="274"/>
      <c r="J284" s="274"/>
      <c r="K284" s="11"/>
      <c r="L284" s="274"/>
      <c r="M284" s="274"/>
      <c r="N284" s="274"/>
      <c r="O284" s="48"/>
      <c r="P284" s="11"/>
      <c r="Q284" s="274"/>
      <c r="R284" s="274"/>
      <c r="S284" s="274"/>
      <c r="T284" s="11"/>
      <c r="U284" s="11"/>
      <c r="V284" s="11"/>
      <c r="W284" s="11"/>
      <c r="X284" s="11"/>
      <c r="Y284" s="11"/>
      <c r="Z284" s="48"/>
      <c r="AA284" s="52"/>
      <c r="AB284" s="52"/>
      <c r="AC284" s="118"/>
      <c r="AD284" s="5"/>
      <c r="AE284" s="52"/>
      <c r="AF284" s="113"/>
      <c r="AG284" s="113"/>
      <c r="AH284" s="113"/>
      <c r="AI284" s="52"/>
      <c r="AJ284" s="11"/>
      <c r="AK284" s="269"/>
      <c r="AL284" s="269"/>
      <c r="AM284" s="116"/>
      <c r="AN284" s="301"/>
      <c r="AO284" s="302"/>
      <c r="AP284" s="11"/>
      <c r="AQ284" s="11"/>
      <c r="AR284" s="11"/>
      <c r="AS284" s="11"/>
      <c r="AT284" s="11"/>
      <c r="AU284" s="118">
        <v>2633478</v>
      </c>
      <c r="AV284" s="118">
        <v>500361</v>
      </c>
      <c r="AW284" s="118">
        <v>3133838</v>
      </c>
      <c r="AX284" s="52" t="s">
        <v>607</v>
      </c>
      <c r="AY284" s="52" t="s">
        <v>1609</v>
      </c>
      <c r="AZ284" s="11"/>
      <c r="BA284" s="11"/>
      <c r="BB284" s="11"/>
      <c r="BC284" s="11"/>
      <c r="BD284" s="11"/>
      <c r="BE284" s="274">
        <v>9238000</v>
      </c>
      <c r="BF284" s="274">
        <v>1755220</v>
      </c>
      <c r="BG284" s="274">
        <v>10993220</v>
      </c>
      <c r="BH284" s="11" t="s">
        <v>310</v>
      </c>
      <c r="BI284" s="11" t="s">
        <v>1610</v>
      </c>
      <c r="BJ284" s="311"/>
      <c r="BK284" s="311"/>
      <c r="BL284" s="311"/>
      <c r="BM284" s="52"/>
      <c r="BN284" s="52"/>
      <c r="BO284" s="387"/>
      <c r="BP284" s="320"/>
      <c r="BQ284" s="320"/>
      <c r="BR284" s="4"/>
      <c r="BS284" s="4"/>
      <c r="BT284" s="11"/>
      <c r="BU284" s="11"/>
      <c r="BV284" s="11"/>
      <c r="BW284" s="11"/>
      <c r="BX284" s="11"/>
      <c r="BY284" s="348"/>
      <c r="BZ284" s="348"/>
      <c r="CA284" s="348"/>
      <c r="CB284" s="348"/>
      <c r="CC284" s="348"/>
      <c r="CD284" s="11"/>
      <c r="CE284" s="11"/>
      <c r="CF284" s="11"/>
      <c r="CG284" s="11"/>
      <c r="CH284" s="11"/>
      <c r="CI284" s="11"/>
      <c r="CJ284" s="11"/>
      <c r="CK284" s="11"/>
      <c r="CL284" s="11"/>
      <c r="CM284" s="11"/>
      <c r="CN284" s="274"/>
      <c r="CO284" s="274"/>
      <c r="CP284" s="274"/>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8"/>
      <c r="DN284" s="118"/>
      <c r="DO284" s="118"/>
      <c r="DP284" s="52"/>
      <c r="DQ284" s="52"/>
      <c r="DR284" s="77"/>
      <c r="DS284" s="77"/>
      <c r="DT284" s="77"/>
      <c r="DU284" s="11"/>
      <c r="DV284" s="11"/>
      <c r="DW284" s="11"/>
      <c r="DX284" s="11"/>
      <c r="DY284" s="11"/>
      <c r="DZ284" s="11"/>
      <c r="EA284" s="11"/>
      <c r="EB284" s="11"/>
      <c r="EC284" s="11"/>
      <c r="ED284" s="11"/>
      <c r="EE284" s="11"/>
      <c r="EF284" s="11"/>
    </row>
    <row r="285" spans="1:136" ht="67.5" x14ac:dyDescent="0.25">
      <c r="A285" s="425">
        <v>283</v>
      </c>
      <c r="B285" s="427" t="s">
        <v>1611</v>
      </c>
      <c r="C285" s="427" t="s">
        <v>1612</v>
      </c>
      <c r="D285" s="427" t="s">
        <v>1505</v>
      </c>
      <c r="E285" s="79">
        <v>1</v>
      </c>
      <c r="F285" s="405"/>
      <c r="G285" s="274"/>
      <c r="H285" s="274"/>
      <c r="I285" s="274"/>
      <c r="J285" s="274"/>
      <c r="K285" s="11"/>
      <c r="L285" s="274"/>
      <c r="M285" s="274"/>
      <c r="N285" s="274"/>
      <c r="O285" s="48"/>
      <c r="P285" s="11"/>
      <c r="Q285" s="274"/>
      <c r="R285" s="274"/>
      <c r="S285" s="274"/>
      <c r="T285" s="11"/>
      <c r="U285" s="11"/>
      <c r="V285" s="11"/>
      <c r="W285" s="11"/>
      <c r="X285" s="11"/>
      <c r="Y285" s="11"/>
      <c r="Z285" s="48"/>
      <c r="AA285" s="52"/>
      <c r="AB285" s="52"/>
      <c r="AC285" s="118"/>
      <c r="AD285" s="5"/>
      <c r="AE285" s="52"/>
      <c r="AF285" s="113"/>
      <c r="AG285" s="113"/>
      <c r="AH285" s="113"/>
      <c r="AI285" s="52"/>
      <c r="AJ285" s="11"/>
      <c r="AK285" s="269"/>
      <c r="AL285" s="269"/>
      <c r="AM285" s="116"/>
      <c r="AN285" s="301"/>
      <c r="AO285" s="302"/>
      <c r="AP285" s="11"/>
      <c r="AQ285" s="11"/>
      <c r="AR285" s="11"/>
      <c r="AS285" s="11"/>
      <c r="AT285" s="11"/>
      <c r="AU285" s="118">
        <v>286291</v>
      </c>
      <c r="AV285" s="118">
        <v>54395</v>
      </c>
      <c r="AW285" s="118">
        <v>340687</v>
      </c>
      <c r="AX285" s="52" t="s">
        <v>607</v>
      </c>
      <c r="AY285" s="52" t="s">
        <v>1613</v>
      </c>
      <c r="AZ285" s="11"/>
      <c r="BA285" s="11"/>
      <c r="BB285" s="11"/>
      <c r="BC285" s="11"/>
      <c r="BD285" s="11"/>
      <c r="BE285" s="274">
        <v>730000</v>
      </c>
      <c r="BF285" s="274">
        <v>138700</v>
      </c>
      <c r="BG285" s="274">
        <v>868700</v>
      </c>
      <c r="BH285" s="11" t="s">
        <v>310</v>
      </c>
      <c r="BI285" s="11" t="s">
        <v>1614</v>
      </c>
      <c r="BJ285" s="311"/>
      <c r="BK285" s="311"/>
      <c r="BL285" s="311"/>
      <c r="BM285" s="52"/>
      <c r="BN285" s="52"/>
      <c r="BO285" s="387"/>
      <c r="BP285" s="320"/>
      <c r="BQ285" s="320"/>
      <c r="BR285" s="4"/>
      <c r="BS285" s="4"/>
      <c r="BT285" s="11"/>
      <c r="BU285" s="11"/>
      <c r="BV285" s="11"/>
      <c r="BW285" s="11"/>
      <c r="BX285" s="11"/>
      <c r="BY285" s="348"/>
      <c r="BZ285" s="348"/>
      <c r="CA285" s="348"/>
      <c r="CB285" s="348"/>
      <c r="CC285" s="348"/>
      <c r="CD285" s="11"/>
      <c r="CE285" s="11"/>
      <c r="CF285" s="11"/>
      <c r="CG285" s="11"/>
      <c r="CH285" s="11"/>
      <c r="CI285" s="11"/>
      <c r="CJ285" s="11"/>
      <c r="CK285" s="11"/>
      <c r="CL285" s="11"/>
      <c r="CM285" s="11"/>
      <c r="CN285" s="274"/>
      <c r="CO285" s="274"/>
      <c r="CP285" s="274"/>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8"/>
      <c r="DN285" s="118"/>
      <c r="DO285" s="118"/>
      <c r="DP285" s="52"/>
      <c r="DQ285" s="52"/>
      <c r="DR285" s="77"/>
      <c r="DS285" s="77"/>
      <c r="DT285" s="77"/>
      <c r="DU285" s="11"/>
      <c r="DV285" s="11"/>
      <c r="DW285" s="11"/>
      <c r="DX285" s="11"/>
      <c r="DY285" s="11"/>
      <c r="DZ285" s="11"/>
      <c r="EA285" s="11"/>
      <c r="EB285" s="11"/>
      <c r="EC285" s="11"/>
      <c r="ED285" s="11"/>
      <c r="EE285" s="11"/>
      <c r="EF285" s="11"/>
    </row>
    <row r="286" spans="1:136" ht="54" x14ac:dyDescent="0.25">
      <c r="A286" s="425">
        <v>284</v>
      </c>
      <c r="B286" s="427" t="s">
        <v>1615</v>
      </c>
      <c r="C286" s="413" t="s">
        <v>1616</v>
      </c>
      <c r="D286" s="413" t="s">
        <v>1617</v>
      </c>
      <c r="E286" s="79">
        <v>1</v>
      </c>
      <c r="F286" s="404">
        <v>2914700.0819999999</v>
      </c>
      <c r="G286" s="274"/>
      <c r="H286" s="274"/>
      <c r="I286" s="274"/>
      <c r="J286" s="274"/>
      <c r="K286" s="11"/>
      <c r="L286" s="274"/>
      <c r="M286" s="274"/>
      <c r="N286" s="274"/>
      <c r="O286" s="48"/>
      <c r="P286" s="11"/>
      <c r="Q286" s="274"/>
      <c r="R286" s="274"/>
      <c r="S286" s="274"/>
      <c r="T286" s="11"/>
      <c r="U286" s="11"/>
      <c r="V286" s="11"/>
      <c r="W286" s="11"/>
      <c r="X286" s="11"/>
      <c r="Y286" s="11"/>
      <c r="Z286" s="48"/>
      <c r="AA286" s="52"/>
      <c r="AB286" s="52"/>
      <c r="AC286" s="118"/>
      <c r="AD286" s="5"/>
      <c r="AE286" s="52"/>
      <c r="AF286" s="113"/>
      <c r="AG286" s="113"/>
      <c r="AH286" s="113"/>
      <c r="AI286" s="52"/>
      <c r="AJ286" s="11"/>
      <c r="AK286" s="269">
        <v>1485160</v>
      </c>
      <c r="AL286" s="269">
        <v>0</v>
      </c>
      <c r="AM286" s="116">
        <v>1485160</v>
      </c>
      <c r="AN286" s="301" t="s">
        <v>37</v>
      </c>
      <c r="AO286" s="302" t="s">
        <v>1618</v>
      </c>
      <c r="AP286" s="11"/>
      <c r="AQ286" s="11"/>
      <c r="AR286" s="11"/>
      <c r="AS286" s="11"/>
      <c r="AT286" s="11"/>
      <c r="AU286" s="118">
        <v>1602309</v>
      </c>
      <c r="AV286" s="118">
        <v>304439</v>
      </c>
      <c r="AW286" s="118">
        <v>1906747</v>
      </c>
      <c r="AX286" s="52" t="s">
        <v>607</v>
      </c>
      <c r="AY286" s="52" t="s">
        <v>1618</v>
      </c>
      <c r="AZ286" s="11"/>
      <c r="BA286" s="11"/>
      <c r="BB286" s="11"/>
      <c r="BC286" s="11"/>
      <c r="BD286" s="11"/>
      <c r="BE286" s="274">
        <v>1859000</v>
      </c>
      <c r="BF286" s="274">
        <v>353210</v>
      </c>
      <c r="BG286" s="274">
        <v>2212210</v>
      </c>
      <c r="BH286" s="11" t="s">
        <v>310</v>
      </c>
      <c r="BI286" s="11" t="s">
        <v>1619</v>
      </c>
      <c r="BJ286" s="311"/>
      <c r="BK286" s="311"/>
      <c r="BL286" s="311"/>
      <c r="BM286" s="52"/>
      <c r="BN286" s="52"/>
      <c r="BO286" s="387"/>
      <c r="BP286" s="320"/>
      <c r="BQ286" s="320"/>
      <c r="BR286" s="4"/>
      <c r="BS286" s="4"/>
      <c r="BT286" s="11"/>
      <c r="BU286" s="11"/>
      <c r="BV286" s="11"/>
      <c r="BW286" s="11"/>
      <c r="BX286" s="11"/>
      <c r="BY286" s="348"/>
      <c r="BZ286" s="348"/>
      <c r="CA286" s="348"/>
      <c r="CB286" s="348"/>
      <c r="CC286" s="348"/>
      <c r="CD286" s="11"/>
      <c r="CE286" s="11"/>
      <c r="CF286" s="11"/>
      <c r="CG286" s="11"/>
      <c r="CH286" s="11"/>
      <c r="CI286" s="11"/>
      <c r="CJ286" s="11"/>
      <c r="CK286" s="11"/>
      <c r="CL286" s="11"/>
      <c r="CM286" s="11"/>
      <c r="CN286" s="274"/>
      <c r="CO286" s="274"/>
      <c r="CP286" s="274"/>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8"/>
      <c r="DN286" s="118"/>
      <c r="DO286" s="118"/>
      <c r="DP286" s="52"/>
      <c r="DQ286" s="52"/>
      <c r="DR286" s="77"/>
      <c r="DS286" s="77"/>
      <c r="DT286" s="77"/>
      <c r="DU286" s="11"/>
      <c r="DV286" s="11"/>
      <c r="DW286" s="11"/>
      <c r="DX286" s="11"/>
      <c r="DY286" s="11"/>
      <c r="DZ286" s="11"/>
      <c r="EA286" s="11"/>
      <c r="EB286" s="11"/>
      <c r="EC286" s="11"/>
      <c r="ED286" s="11"/>
      <c r="EE286" s="11"/>
      <c r="EF286" s="11"/>
    </row>
    <row r="287" spans="1:136" ht="54" x14ac:dyDescent="0.25">
      <c r="A287" s="425">
        <v>285</v>
      </c>
      <c r="B287" s="427" t="s">
        <v>1620</v>
      </c>
      <c r="C287" s="413" t="s">
        <v>1621</v>
      </c>
      <c r="D287" s="413" t="s">
        <v>1501</v>
      </c>
      <c r="E287" s="79">
        <v>1</v>
      </c>
      <c r="F287" s="404">
        <v>961511.67</v>
      </c>
      <c r="G287" s="274"/>
      <c r="H287" s="274"/>
      <c r="I287" s="274"/>
      <c r="J287" s="274"/>
      <c r="K287" s="11"/>
      <c r="L287" s="274"/>
      <c r="M287" s="274"/>
      <c r="N287" s="274"/>
      <c r="O287" s="48"/>
      <c r="P287" s="11"/>
      <c r="Q287" s="274"/>
      <c r="R287" s="274"/>
      <c r="S287" s="274"/>
      <c r="T287" s="11"/>
      <c r="U287" s="11"/>
      <c r="V287" s="11"/>
      <c r="W287" s="11"/>
      <c r="X287" s="11"/>
      <c r="Y287" s="11"/>
      <c r="Z287" s="48"/>
      <c r="AA287" s="52"/>
      <c r="AB287" s="52"/>
      <c r="AC287" s="118"/>
      <c r="AD287" s="5"/>
      <c r="AE287" s="52"/>
      <c r="AF287" s="113"/>
      <c r="AG287" s="113"/>
      <c r="AH287" s="113"/>
      <c r="AI287" s="52"/>
      <c r="AJ287" s="11"/>
      <c r="AK287" s="269">
        <v>1485160</v>
      </c>
      <c r="AL287" s="269">
        <v>0</v>
      </c>
      <c r="AM287" s="116">
        <v>1485160</v>
      </c>
      <c r="AN287" s="301" t="s">
        <v>37</v>
      </c>
      <c r="AO287" s="302" t="s">
        <v>1622</v>
      </c>
      <c r="AP287" s="11"/>
      <c r="AQ287" s="11"/>
      <c r="AR287" s="11"/>
      <c r="AS287" s="11"/>
      <c r="AT287" s="11"/>
      <c r="AU287" s="118">
        <v>1602309</v>
      </c>
      <c r="AV287" s="118">
        <v>304439</v>
      </c>
      <c r="AW287" s="118">
        <v>1906747</v>
      </c>
      <c r="AX287" s="52" t="s">
        <v>607</v>
      </c>
      <c r="AY287" s="52" t="s">
        <v>1622</v>
      </c>
      <c r="AZ287" s="11"/>
      <c r="BA287" s="11"/>
      <c r="BB287" s="11"/>
      <c r="BC287" s="11"/>
      <c r="BD287" s="11"/>
      <c r="BE287" s="274">
        <v>1309000</v>
      </c>
      <c r="BF287" s="274">
        <v>248710</v>
      </c>
      <c r="BG287" s="274">
        <v>1557710</v>
      </c>
      <c r="BH287" s="11" t="s">
        <v>310</v>
      </c>
      <c r="BI287" s="11" t="s">
        <v>1623</v>
      </c>
      <c r="BJ287" s="311"/>
      <c r="BK287" s="311"/>
      <c r="BL287" s="311"/>
      <c r="BM287" s="52"/>
      <c r="BN287" s="52"/>
      <c r="BO287" s="387"/>
      <c r="BP287" s="320"/>
      <c r="BQ287" s="320"/>
      <c r="BR287" s="4"/>
      <c r="BS287" s="4"/>
      <c r="BT287" s="11"/>
      <c r="BU287" s="11"/>
      <c r="BV287" s="11"/>
      <c r="BW287" s="11"/>
      <c r="BX287" s="11"/>
      <c r="BY287" s="348"/>
      <c r="BZ287" s="348"/>
      <c r="CA287" s="348"/>
      <c r="CB287" s="348"/>
      <c r="CC287" s="348"/>
      <c r="CD287" s="11"/>
      <c r="CE287" s="11"/>
      <c r="CF287" s="11"/>
      <c r="CG287" s="11"/>
      <c r="CH287" s="11"/>
      <c r="CI287" s="11"/>
      <c r="CJ287" s="11"/>
      <c r="CK287" s="11"/>
      <c r="CL287" s="11"/>
      <c r="CM287" s="11"/>
      <c r="CN287" s="274"/>
      <c r="CO287" s="274"/>
      <c r="CP287" s="274"/>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8"/>
      <c r="DN287" s="118"/>
      <c r="DO287" s="118"/>
      <c r="DP287" s="52"/>
      <c r="DQ287" s="52"/>
      <c r="DR287" s="77"/>
      <c r="DS287" s="77"/>
      <c r="DT287" s="77"/>
      <c r="DU287" s="11"/>
      <c r="DV287" s="11"/>
      <c r="DW287" s="11"/>
      <c r="DX287" s="11"/>
      <c r="DY287" s="11"/>
      <c r="DZ287" s="11"/>
      <c r="EA287" s="11"/>
      <c r="EB287" s="11"/>
      <c r="EC287" s="11"/>
      <c r="ED287" s="11"/>
      <c r="EE287" s="11"/>
      <c r="EF287" s="11"/>
    </row>
    <row r="288" spans="1:136" ht="54" x14ac:dyDescent="0.25">
      <c r="A288" s="425">
        <v>286</v>
      </c>
      <c r="B288" s="426" t="s">
        <v>1624</v>
      </c>
      <c r="C288" s="413" t="s">
        <v>1508</v>
      </c>
      <c r="D288" s="426" t="s">
        <v>1485</v>
      </c>
      <c r="E288" s="79">
        <v>1</v>
      </c>
      <c r="F288" s="405"/>
      <c r="G288" s="274"/>
      <c r="H288" s="274"/>
      <c r="I288" s="274"/>
      <c r="J288" s="274"/>
      <c r="K288" s="11"/>
      <c r="L288" s="274"/>
      <c r="M288" s="274"/>
      <c r="N288" s="274"/>
      <c r="O288" s="48"/>
      <c r="P288" s="11"/>
      <c r="Q288" s="274"/>
      <c r="R288" s="274"/>
      <c r="S288" s="274"/>
      <c r="T288" s="11"/>
      <c r="U288" s="11"/>
      <c r="V288" s="11"/>
      <c r="W288" s="11"/>
      <c r="X288" s="11"/>
      <c r="Y288" s="11"/>
      <c r="Z288" s="48"/>
      <c r="AA288" s="52"/>
      <c r="AB288" s="52"/>
      <c r="AC288" s="118"/>
      <c r="AD288" s="5"/>
      <c r="AE288" s="52"/>
      <c r="AF288" s="113"/>
      <c r="AG288" s="113"/>
      <c r="AH288" s="113"/>
      <c r="AI288" s="52"/>
      <c r="AJ288" s="11"/>
      <c r="AK288" s="269"/>
      <c r="AL288" s="269"/>
      <c r="AM288" s="116"/>
      <c r="AN288" s="301"/>
      <c r="AO288" s="302"/>
      <c r="AP288" s="11"/>
      <c r="AQ288" s="11"/>
      <c r="AR288" s="11"/>
      <c r="AS288" s="11"/>
      <c r="AT288" s="11"/>
      <c r="AU288" s="118">
        <v>2633478</v>
      </c>
      <c r="AV288" s="118">
        <v>500361</v>
      </c>
      <c r="AW288" s="118">
        <v>3133838</v>
      </c>
      <c r="AX288" s="52" t="s">
        <v>607</v>
      </c>
      <c r="AY288" s="52" t="s">
        <v>1625</v>
      </c>
      <c r="AZ288" s="11"/>
      <c r="BA288" s="11"/>
      <c r="BB288" s="11"/>
      <c r="BC288" s="11"/>
      <c r="BD288" s="11"/>
      <c r="BE288" s="274">
        <v>7379000</v>
      </c>
      <c r="BF288" s="274">
        <v>1402010</v>
      </c>
      <c r="BG288" s="274">
        <v>8781010</v>
      </c>
      <c r="BH288" s="11" t="s">
        <v>310</v>
      </c>
      <c r="BI288" s="11" t="s">
        <v>1626</v>
      </c>
      <c r="BJ288" s="311"/>
      <c r="BK288" s="311"/>
      <c r="BL288" s="311"/>
      <c r="BM288" s="52"/>
      <c r="BN288" s="52"/>
      <c r="BO288" s="387"/>
      <c r="BP288" s="320"/>
      <c r="BQ288" s="320"/>
      <c r="BR288" s="4"/>
      <c r="BS288" s="4"/>
      <c r="BT288" s="11"/>
      <c r="BU288" s="11"/>
      <c r="BV288" s="11"/>
      <c r="BW288" s="11"/>
      <c r="BX288" s="11"/>
      <c r="BY288" s="348"/>
      <c r="BZ288" s="348"/>
      <c r="CA288" s="348"/>
      <c r="CB288" s="348"/>
      <c r="CC288" s="348"/>
      <c r="CD288" s="11"/>
      <c r="CE288" s="11"/>
      <c r="CF288" s="11"/>
      <c r="CG288" s="11"/>
      <c r="CH288" s="11"/>
      <c r="CI288" s="11"/>
      <c r="CJ288" s="11"/>
      <c r="CK288" s="11"/>
      <c r="CL288" s="11"/>
      <c r="CM288" s="11"/>
      <c r="CN288" s="274"/>
      <c r="CO288" s="274"/>
      <c r="CP288" s="274"/>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77">
        <v>1390350</v>
      </c>
      <c r="DN288" s="77">
        <f>+DM288*0.19</f>
        <v>264166.5</v>
      </c>
      <c r="DO288" s="77">
        <f>DM288+DN288</f>
        <v>1654516.5</v>
      </c>
      <c r="DP288" s="11" t="s">
        <v>37</v>
      </c>
      <c r="DQ288" s="11" t="s">
        <v>1627</v>
      </c>
      <c r="DR288" s="77"/>
      <c r="DS288" s="77"/>
      <c r="DT288" s="77"/>
      <c r="DU288" s="11"/>
      <c r="DV288" s="11"/>
      <c r="DW288" s="11"/>
      <c r="DX288" s="11"/>
      <c r="DY288" s="11"/>
      <c r="DZ288" s="11"/>
      <c r="EA288" s="11"/>
      <c r="EB288" s="11"/>
      <c r="EC288" s="11"/>
      <c r="ED288" s="11"/>
      <c r="EE288" s="11"/>
      <c r="EF288" s="11"/>
    </row>
    <row r="289" spans="1:136" ht="67.5" x14ac:dyDescent="0.25">
      <c r="A289" s="425">
        <v>287</v>
      </c>
      <c r="B289" s="427" t="s">
        <v>1628</v>
      </c>
      <c r="C289" s="413" t="s">
        <v>1629</v>
      </c>
      <c r="D289" s="413" t="s">
        <v>1501</v>
      </c>
      <c r="E289" s="79">
        <v>1</v>
      </c>
      <c r="F289" s="404">
        <v>2281233.5699999998</v>
      </c>
      <c r="G289" s="274"/>
      <c r="H289" s="274"/>
      <c r="I289" s="274"/>
      <c r="J289" s="274"/>
      <c r="K289" s="11"/>
      <c r="L289" s="274"/>
      <c r="M289" s="274"/>
      <c r="N289" s="274"/>
      <c r="O289" s="48"/>
      <c r="P289" s="11"/>
      <c r="Q289" s="274"/>
      <c r="R289" s="274"/>
      <c r="S289" s="274"/>
      <c r="T289" s="11"/>
      <c r="U289" s="11"/>
      <c r="V289" s="11"/>
      <c r="W289" s="11"/>
      <c r="X289" s="11"/>
      <c r="Y289" s="11"/>
      <c r="Z289" s="48"/>
      <c r="AA289" s="52"/>
      <c r="AB289" s="52"/>
      <c r="AC289" s="118"/>
      <c r="AD289" s="5"/>
      <c r="AE289" s="52"/>
      <c r="AF289" s="113"/>
      <c r="AG289" s="113"/>
      <c r="AH289" s="113"/>
      <c r="AI289" s="52"/>
      <c r="AJ289" s="11"/>
      <c r="AK289" s="269"/>
      <c r="AL289" s="269"/>
      <c r="AM289" s="116"/>
      <c r="AN289" s="301"/>
      <c r="AO289" s="302"/>
      <c r="AP289" s="11"/>
      <c r="AQ289" s="11"/>
      <c r="AR289" s="11"/>
      <c r="AS289" s="11"/>
      <c r="AT289" s="11"/>
      <c r="AU289" s="118">
        <v>744589</v>
      </c>
      <c r="AV289" s="118">
        <v>141472</v>
      </c>
      <c r="AW289" s="118">
        <v>886061</v>
      </c>
      <c r="AX289" s="52" t="s">
        <v>607</v>
      </c>
      <c r="AY289" s="52" t="s">
        <v>1630</v>
      </c>
      <c r="AZ289" s="11"/>
      <c r="BA289" s="11"/>
      <c r="BB289" s="11"/>
      <c r="BC289" s="11"/>
      <c r="BD289" s="11"/>
      <c r="BE289" s="274">
        <v>1366000</v>
      </c>
      <c r="BF289" s="274">
        <v>259540</v>
      </c>
      <c r="BG289" s="274">
        <v>1625540</v>
      </c>
      <c r="BH289" s="11" t="s">
        <v>310</v>
      </c>
      <c r="BI289" s="11" t="s">
        <v>1631</v>
      </c>
      <c r="BJ289" s="311"/>
      <c r="BK289" s="311"/>
      <c r="BL289" s="311"/>
      <c r="BM289" s="52"/>
      <c r="BN289" s="52"/>
      <c r="BO289" s="387"/>
      <c r="BP289" s="320"/>
      <c r="BQ289" s="320"/>
      <c r="BR289" s="4"/>
      <c r="BS289" s="4"/>
      <c r="BT289" s="11"/>
      <c r="BU289" s="11"/>
      <c r="BV289" s="11"/>
      <c r="BW289" s="11"/>
      <c r="BX289" s="11"/>
      <c r="BY289" s="348"/>
      <c r="BZ289" s="348"/>
      <c r="CA289" s="348"/>
      <c r="CB289" s="348"/>
      <c r="CC289" s="348"/>
      <c r="CD289" s="11"/>
      <c r="CE289" s="11"/>
      <c r="CF289" s="11"/>
      <c r="CG289" s="11"/>
      <c r="CH289" s="11"/>
      <c r="CI289" s="11"/>
      <c r="CJ289" s="11"/>
      <c r="CK289" s="11"/>
      <c r="CL289" s="11"/>
      <c r="CM289" s="11"/>
      <c r="CN289" s="274"/>
      <c r="CO289" s="274"/>
      <c r="CP289" s="274"/>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8"/>
      <c r="DN289" s="118"/>
      <c r="DO289" s="118"/>
      <c r="DP289" s="52"/>
      <c r="DQ289" s="52"/>
      <c r="DR289" s="77"/>
      <c r="DS289" s="77"/>
      <c r="DT289" s="77"/>
      <c r="DU289" s="11"/>
      <c r="DV289" s="11"/>
      <c r="DW289" s="11"/>
      <c r="DX289" s="11"/>
      <c r="DY289" s="11"/>
      <c r="DZ289" s="11"/>
      <c r="EA289" s="11"/>
      <c r="EB289" s="11"/>
      <c r="EC289" s="11"/>
      <c r="ED289" s="11"/>
      <c r="EE289" s="11"/>
      <c r="EF289" s="11"/>
    </row>
    <row r="290" spans="1:136" ht="81" x14ac:dyDescent="0.25">
      <c r="A290" s="425">
        <v>288</v>
      </c>
      <c r="B290" s="426" t="s">
        <v>1632</v>
      </c>
      <c r="C290" s="426" t="s">
        <v>1423</v>
      </c>
      <c r="D290" s="426" t="s">
        <v>1424</v>
      </c>
      <c r="E290" s="79">
        <v>1</v>
      </c>
      <c r="F290" s="405"/>
      <c r="G290" s="274"/>
      <c r="H290" s="274"/>
      <c r="I290" s="274"/>
      <c r="J290" s="274"/>
      <c r="K290" s="11"/>
      <c r="L290" s="274"/>
      <c r="M290" s="274"/>
      <c r="N290" s="274"/>
      <c r="O290" s="48"/>
      <c r="P290" s="11"/>
      <c r="Q290" s="274"/>
      <c r="R290" s="274"/>
      <c r="S290" s="274"/>
      <c r="T290" s="11"/>
      <c r="U290" s="11"/>
      <c r="V290" s="16">
        <v>935371</v>
      </c>
      <c r="W290" s="274">
        <v>0</v>
      </c>
      <c r="X290" s="16">
        <f>+V290+W290</f>
        <v>935371</v>
      </c>
      <c r="Y290" s="11" t="s">
        <v>343</v>
      </c>
      <c r="Z290" s="48" t="s">
        <v>1633</v>
      </c>
      <c r="AA290" s="52"/>
      <c r="AB290" s="52"/>
      <c r="AC290" s="118"/>
      <c r="AD290" s="5"/>
      <c r="AE290" s="52"/>
      <c r="AF290" s="113"/>
      <c r="AG290" s="113"/>
      <c r="AH290" s="113"/>
      <c r="AI290" s="52"/>
      <c r="AJ290" s="11"/>
      <c r="AK290" s="269">
        <v>1596200</v>
      </c>
      <c r="AL290" s="269">
        <v>303278</v>
      </c>
      <c r="AM290" s="116">
        <v>1899478</v>
      </c>
      <c r="AN290" s="301" t="s">
        <v>37</v>
      </c>
      <c r="AO290" s="302" t="s">
        <v>1634</v>
      </c>
      <c r="AP290" s="11"/>
      <c r="AQ290" s="11"/>
      <c r="AR290" s="11"/>
      <c r="AS290" s="11"/>
      <c r="AT290" s="11"/>
      <c r="AU290" s="118">
        <v>420000</v>
      </c>
      <c r="AV290" s="118">
        <f>+AU290*0.19</f>
        <v>79800</v>
      </c>
      <c r="AW290" s="118">
        <f>+AU290+AV290</f>
        <v>499800</v>
      </c>
      <c r="AX290" s="52" t="s">
        <v>343</v>
      </c>
      <c r="AY290" s="52" t="s">
        <v>1635</v>
      </c>
      <c r="AZ290" s="11"/>
      <c r="BA290" s="11"/>
      <c r="BB290" s="11"/>
      <c r="BC290" s="11"/>
      <c r="BD290" s="11"/>
      <c r="BE290" s="274">
        <v>3263000</v>
      </c>
      <c r="BF290" s="274">
        <v>619970</v>
      </c>
      <c r="BG290" s="274">
        <v>3882970</v>
      </c>
      <c r="BH290" s="11" t="s">
        <v>310</v>
      </c>
      <c r="BI290" s="11" t="s">
        <v>1636</v>
      </c>
      <c r="BJ290" s="311"/>
      <c r="BK290" s="311"/>
      <c r="BL290" s="311"/>
      <c r="BM290" s="52"/>
      <c r="BN290" s="52"/>
      <c r="BO290" s="387"/>
      <c r="BP290" s="320"/>
      <c r="BQ290" s="320"/>
      <c r="BR290" s="4"/>
      <c r="BS290" s="4"/>
      <c r="BT290" s="11"/>
      <c r="BU290" s="11"/>
      <c r="BV290" s="11"/>
      <c r="BW290" s="11"/>
      <c r="BX290" s="11"/>
      <c r="BY290" s="348"/>
      <c r="BZ290" s="348"/>
      <c r="CA290" s="348"/>
      <c r="CB290" s="348"/>
      <c r="CC290" s="348"/>
      <c r="CD290" s="11"/>
      <c r="CE290" s="11"/>
      <c r="CF290" s="11"/>
      <c r="CG290" s="11"/>
      <c r="CH290" s="11"/>
      <c r="CI290" s="11"/>
      <c r="CJ290" s="11"/>
      <c r="CK290" s="11"/>
      <c r="CL290" s="11"/>
      <c r="CM290" s="11"/>
      <c r="CN290" s="274"/>
      <c r="CO290" s="274"/>
      <c r="CP290" s="274"/>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8">
        <v>410550</v>
      </c>
      <c r="DN290" s="118">
        <f>DM290*0.19</f>
        <v>78004.5</v>
      </c>
      <c r="DO290" s="118">
        <f>DM290+DN290</f>
        <v>488554.5</v>
      </c>
      <c r="DP290" s="52" t="s">
        <v>37</v>
      </c>
      <c r="DQ290" s="52" t="s">
        <v>1633</v>
      </c>
      <c r="DR290" s="77">
        <v>357000</v>
      </c>
      <c r="DS290" s="77">
        <f>+DR290*0.19</f>
        <v>67830</v>
      </c>
      <c r="DT290" s="77">
        <f>+DR290+DS290</f>
        <v>424830</v>
      </c>
      <c r="DU290" s="11" t="s">
        <v>37</v>
      </c>
      <c r="DV290" s="11" t="s">
        <v>1633</v>
      </c>
      <c r="DW290" s="11"/>
      <c r="DX290" s="11"/>
      <c r="DY290" s="11"/>
      <c r="DZ290" s="11"/>
      <c r="EA290" s="11"/>
      <c r="EB290" s="11"/>
      <c r="EC290" s="11"/>
      <c r="ED290" s="11"/>
      <c r="EE290" s="11"/>
      <c r="EF290" s="11"/>
    </row>
    <row r="291" spans="1:136" ht="81" x14ac:dyDescent="0.25">
      <c r="A291" s="425">
        <v>289</v>
      </c>
      <c r="B291" s="426" t="s">
        <v>1637</v>
      </c>
      <c r="C291" s="426" t="s">
        <v>1423</v>
      </c>
      <c r="D291" s="426" t="s">
        <v>1424</v>
      </c>
      <c r="E291" s="79">
        <v>1</v>
      </c>
      <c r="F291" s="405"/>
      <c r="G291" s="274"/>
      <c r="H291" s="274"/>
      <c r="I291" s="274"/>
      <c r="J291" s="274"/>
      <c r="K291" s="11"/>
      <c r="L291" s="274"/>
      <c r="M291" s="274"/>
      <c r="N291" s="274"/>
      <c r="O291" s="48"/>
      <c r="P291" s="11"/>
      <c r="Q291" s="274"/>
      <c r="R291" s="274"/>
      <c r="S291" s="274"/>
      <c r="T291" s="11"/>
      <c r="U291" s="11"/>
      <c r="V291" s="16">
        <v>1075928</v>
      </c>
      <c r="W291" s="274">
        <v>0</v>
      </c>
      <c r="X291" s="16">
        <f>+V291+W291</f>
        <v>1075928</v>
      </c>
      <c r="Y291" s="11" t="s">
        <v>343</v>
      </c>
      <c r="Z291" s="48" t="s">
        <v>1638</v>
      </c>
      <c r="AA291" s="52"/>
      <c r="AB291" s="52"/>
      <c r="AC291" s="118"/>
      <c r="AD291" s="5"/>
      <c r="AE291" s="52"/>
      <c r="AF291" s="113"/>
      <c r="AG291" s="113"/>
      <c r="AH291" s="113"/>
      <c r="AI291" s="52"/>
      <c r="AJ291" s="11"/>
      <c r="AK291" s="269">
        <v>1596200</v>
      </c>
      <c r="AL291" s="269">
        <v>303278</v>
      </c>
      <c r="AM291" s="116">
        <v>1899478</v>
      </c>
      <c r="AN291" s="301" t="s">
        <v>37</v>
      </c>
      <c r="AO291" s="302" t="s">
        <v>1639</v>
      </c>
      <c r="AP291" s="11"/>
      <c r="AQ291" s="11"/>
      <c r="AR291" s="11"/>
      <c r="AS291" s="11"/>
      <c r="AT291" s="11"/>
      <c r="AU291" s="118">
        <v>480000</v>
      </c>
      <c r="AV291" s="118">
        <f>+AU291*0.19</f>
        <v>91200</v>
      </c>
      <c r="AW291" s="118">
        <f>+AU291+AV291</f>
        <v>571200</v>
      </c>
      <c r="AX291" s="52" t="s">
        <v>343</v>
      </c>
      <c r="AY291" s="52" t="s">
        <v>1638</v>
      </c>
      <c r="AZ291" s="11"/>
      <c r="BA291" s="11"/>
      <c r="BB291" s="11"/>
      <c r="BC291" s="11"/>
      <c r="BD291" s="11"/>
      <c r="BE291" s="274">
        <v>1214000</v>
      </c>
      <c r="BF291" s="274">
        <v>230660</v>
      </c>
      <c r="BG291" s="274">
        <v>1444660</v>
      </c>
      <c r="BH291" s="11" t="s">
        <v>310</v>
      </c>
      <c r="BI291" s="11" t="s">
        <v>1640</v>
      </c>
      <c r="BJ291" s="311"/>
      <c r="BK291" s="311"/>
      <c r="BL291" s="311"/>
      <c r="BM291" s="52"/>
      <c r="BN291" s="52"/>
      <c r="BO291" s="387"/>
      <c r="BP291" s="320"/>
      <c r="BQ291" s="320"/>
      <c r="BR291" s="4"/>
      <c r="BS291" s="4"/>
      <c r="BT291" s="11"/>
      <c r="BU291" s="11"/>
      <c r="BV291" s="11"/>
      <c r="BW291" s="11"/>
      <c r="BX291" s="11"/>
      <c r="BY291" s="348"/>
      <c r="BZ291" s="348"/>
      <c r="CA291" s="348"/>
      <c r="CB291" s="348"/>
      <c r="CC291" s="348"/>
      <c r="CD291" s="11"/>
      <c r="CE291" s="11"/>
      <c r="CF291" s="11"/>
      <c r="CG291" s="11"/>
      <c r="CH291" s="11"/>
      <c r="CI291" s="11"/>
      <c r="CJ291" s="11"/>
      <c r="CK291" s="11"/>
      <c r="CL291" s="11"/>
      <c r="CM291" s="11"/>
      <c r="CN291" s="274"/>
      <c r="CO291" s="274"/>
      <c r="CP291" s="274"/>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8">
        <v>469200</v>
      </c>
      <c r="DN291" s="118">
        <f>DM291*0.19</f>
        <v>89148</v>
      </c>
      <c r="DO291" s="118">
        <f>DM291+DN291</f>
        <v>558348</v>
      </c>
      <c r="DP291" s="52" t="s">
        <v>37</v>
      </c>
      <c r="DQ291" s="52" t="s">
        <v>1638</v>
      </c>
      <c r="DR291" s="77">
        <v>408000</v>
      </c>
      <c r="DS291" s="77">
        <f>+DR291*0.19</f>
        <v>77520</v>
      </c>
      <c r="DT291" s="77">
        <f>+DR291+DS291</f>
        <v>485520</v>
      </c>
      <c r="DU291" s="11" t="s">
        <v>37</v>
      </c>
      <c r="DV291" s="11" t="s">
        <v>1638</v>
      </c>
      <c r="DW291" s="11"/>
      <c r="DX291" s="11"/>
      <c r="DY291" s="11"/>
      <c r="DZ291" s="11"/>
      <c r="EA291" s="11"/>
      <c r="EB291" s="11"/>
      <c r="EC291" s="11"/>
      <c r="ED291" s="11"/>
      <c r="EE291" s="11"/>
      <c r="EF291" s="11"/>
    </row>
    <row r="292" spans="1:136" ht="40.5" x14ac:dyDescent="0.25">
      <c r="A292" s="425">
        <v>290</v>
      </c>
      <c r="B292" s="427" t="s">
        <v>1641</v>
      </c>
      <c r="C292" s="427" t="s">
        <v>1000</v>
      </c>
      <c r="D292" s="427" t="s">
        <v>549</v>
      </c>
      <c r="E292" s="79">
        <v>1</v>
      </c>
      <c r="F292" s="405"/>
      <c r="G292" s="274"/>
      <c r="H292" s="274"/>
      <c r="I292" s="274"/>
      <c r="J292" s="274"/>
      <c r="K292" s="11"/>
      <c r="L292" s="274"/>
      <c r="M292" s="274"/>
      <c r="N292" s="274"/>
      <c r="O292" s="48"/>
      <c r="P292" s="11"/>
      <c r="Q292" s="274"/>
      <c r="R292" s="274"/>
      <c r="S292" s="274"/>
      <c r="T292" s="11"/>
      <c r="U292" s="11"/>
      <c r="V292" s="11"/>
      <c r="W292" s="11"/>
      <c r="X292" s="11"/>
      <c r="Y292" s="11"/>
      <c r="Z292" s="48"/>
      <c r="AA292" s="52"/>
      <c r="AB292" s="52"/>
      <c r="AC292" s="118"/>
      <c r="AD292" s="5"/>
      <c r="AE292" s="52"/>
      <c r="AF292" s="113"/>
      <c r="AG292" s="113"/>
      <c r="AH292" s="113"/>
      <c r="AI292" s="52"/>
      <c r="AJ292" s="11"/>
      <c r="AK292" s="269">
        <v>212000</v>
      </c>
      <c r="AL292" s="269">
        <v>40280</v>
      </c>
      <c r="AM292" s="116">
        <v>252280</v>
      </c>
      <c r="AN292" s="301" t="s">
        <v>37</v>
      </c>
      <c r="AO292" s="302" t="s">
        <v>1642</v>
      </c>
      <c r="AP292" s="11"/>
      <c r="AQ292" s="11"/>
      <c r="AR292" s="11"/>
      <c r="AS292" s="11"/>
      <c r="AT292" s="11"/>
      <c r="AU292" s="118">
        <v>223319</v>
      </c>
      <c r="AV292" s="118">
        <v>42431</v>
      </c>
      <c r="AW292" s="118">
        <v>265749</v>
      </c>
      <c r="AX292" s="52" t="s">
        <v>607</v>
      </c>
      <c r="AY292" s="52" t="s">
        <v>1642</v>
      </c>
      <c r="AZ292" s="11"/>
      <c r="BA292" s="11"/>
      <c r="BB292" s="11"/>
      <c r="BC292" s="11"/>
      <c r="BD292" s="11"/>
      <c r="BE292" s="274">
        <v>1176000</v>
      </c>
      <c r="BF292" s="274">
        <v>223440</v>
      </c>
      <c r="BG292" s="274">
        <v>1399440</v>
      </c>
      <c r="BH292" s="11" t="s">
        <v>310</v>
      </c>
      <c r="BI292" s="11" t="s">
        <v>1643</v>
      </c>
      <c r="BJ292" s="311"/>
      <c r="BK292" s="311"/>
      <c r="BL292" s="311"/>
      <c r="BM292" s="52"/>
      <c r="BN292" s="52"/>
      <c r="BO292" s="387"/>
      <c r="BP292" s="320"/>
      <c r="BQ292" s="320"/>
      <c r="BR292" s="4"/>
      <c r="BS292" s="4"/>
      <c r="BT292" s="11"/>
      <c r="BU292" s="11"/>
      <c r="BV292" s="11"/>
      <c r="BW292" s="11"/>
      <c r="BX292" s="11"/>
      <c r="BY292" s="348"/>
      <c r="BZ292" s="348"/>
      <c r="CA292" s="348"/>
      <c r="CB292" s="348"/>
      <c r="CC292" s="348"/>
      <c r="CD292" s="11"/>
      <c r="CE292" s="11"/>
      <c r="CF292" s="11"/>
      <c r="CG292" s="11"/>
      <c r="CH292" s="11"/>
      <c r="CI292" s="11"/>
      <c r="CJ292" s="11"/>
      <c r="CK292" s="11"/>
      <c r="CL292" s="11"/>
      <c r="CM292" s="11"/>
      <c r="CN292" s="274"/>
      <c r="CO292" s="274"/>
      <c r="CP292" s="274"/>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8"/>
      <c r="DN292" s="118"/>
      <c r="DO292" s="118"/>
      <c r="DP292" s="52"/>
      <c r="DQ292" s="52"/>
      <c r="DR292" s="77"/>
      <c r="DS292" s="77"/>
      <c r="DT292" s="77"/>
      <c r="DU292" s="11"/>
      <c r="DV292" s="11"/>
      <c r="DW292" s="11"/>
      <c r="DX292" s="11"/>
      <c r="DY292" s="11"/>
      <c r="DZ292" s="11"/>
      <c r="EA292" s="11"/>
      <c r="EB292" s="11"/>
      <c r="EC292" s="11"/>
      <c r="ED292" s="11"/>
      <c r="EE292" s="11"/>
      <c r="EF292" s="11"/>
    </row>
    <row r="293" spans="1:136" ht="40.5" x14ac:dyDescent="0.25">
      <c r="A293" s="425">
        <v>291</v>
      </c>
      <c r="B293" s="427" t="s">
        <v>1644</v>
      </c>
      <c r="C293" s="427" t="s">
        <v>1000</v>
      </c>
      <c r="D293" s="427" t="s">
        <v>549</v>
      </c>
      <c r="E293" s="79">
        <v>1</v>
      </c>
      <c r="F293" s="405"/>
      <c r="G293" s="274"/>
      <c r="H293" s="274"/>
      <c r="I293" s="274"/>
      <c r="J293" s="274"/>
      <c r="K293" s="11"/>
      <c r="L293" s="274"/>
      <c r="M293" s="274"/>
      <c r="N293" s="274"/>
      <c r="O293" s="48"/>
      <c r="P293" s="11"/>
      <c r="Q293" s="274"/>
      <c r="R293" s="274"/>
      <c r="S293" s="274"/>
      <c r="T293" s="11"/>
      <c r="U293" s="11"/>
      <c r="V293" s="11"/>
      <c r="W293" s="11"/>
      <c r="X293" s="11"/>
      <c r="Y293" s="11"/>
      <c r="Z293" s="48"/>
      <c r="AA293" s="52"/>
      <c r="AB293" s="52"/>
      <c r="AC293" s="118"/>
      <c r="AD293" s="5"/>
      <c r="AE293" s="52"/>
      <c r="AF293" s="113"/>
      <c r="AG293" s="113"/>
      <c r="AH293" s="113"/>
      <c r="AI293" s="52"/>
      <c r="AJ293" s="11"/>
      <c r="AK293" s="269">
        <v>330000</v>
      </c>
      <c r="AL293" s="269">
        <v>62700</v>
      </c>
      <c r="AM293" s="116">
        <v>392700</v>
      </c>
      <c r="AN293" s="301" t="s">
        <v>37</v>
      </c>
      <c r="AO293" s="302" t="s">
        <v>1645</v>
      </c>
      <c r="AP293" s="11"/>
      <c r="AQ293" s="11"/>
      <c r="AR293" s="11"/>
      <c r="AS293" s="11"/>
      <c r="AT293" s="11"/>
      <c r="AU293" s="118">
        <v>347619</v>
      </c>
      <c r="AV293" s="118">
        <v>66048</v>
      </c>
      <c r="AW293" s="118">
        <v>413667</v>
      </c>
      <c r="AX293" s="52" t="s">
        <v>607</v>
      </c>
      <c r="AY293" s="52" t="s">
        <v>1645</v>
      </c>
      <c r="AZ293" s="11"/>
      <c r="BA293" s="11"/>
      <c r="BB293" s="11"/>
      <c r="BC293" s="11"/>
      <c r="BD293" s="11"/>
      <c r="BE293" s="274">
        <v>1461000</v>
      </c>
      <c r="BF293" s="274">
        <v>277590</v>
      </c>
      <c r="BG293" s="274">
        <v>1738590</v>
      </c>
      <c r="BH293" s="11" t="s">
        <v>310</v>
      </c>
      <c r="BI293" s="11" t="s">
        <v>1646</v>
      </c>
      <c r="BJ293" s="311"/>
      <c r="BK293" s="311"/>
      <c r="BL293" s="311"/>
      <c r="BM293" s="52"/>
      <c r="BN293" s="52"/>
      <c r="BO293" s="387"/>
      <c r="BP293" s="320"/>
      <c r="BQ293" s="320"/>
      <c r="BR293" s="4"/>
      <c r="BS293" s="4"/>
      <c r="BT293" s="11"/>
      <c r="BU293" s="11"/>
      <c r="BV293" s="11"/>
      <c r="BW293" s="11"/>
      <c r="BX293" s="11"/>
      <c r="BY293" s="348"/>
      <c r="BZ293" s="348"/>
      <c r="CA293" s="348"/>
      <c r="CB293" s="348"/>
      <c r="CC293" s="348"/>
      <c r="CD293" s="11"/>
      <c r="CE293" s="11"/>
      <c r="CF293" s="11"/>
      <c r="CG293" s="11"/>
      <c r="CH293" s="11"/>
      <c r="CI293" s="11"/>
      <c r="CJ293" s="11"/>
      <c r="CK293" s="11"/>
      <c r="CL293" s="11"/>
      <c r="CM293" s="11"/>
      <c r="CN293" s="274"/>
      <c r="CO293" s="274"/>
      <c r="CP293" s="274"/>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8"/>
      <c r="DN293" s="118"/>
      <c r="DO293" s="118"/>
      <c r="DP293" s="52"/>
      <c r="DQ293" s="52"/>
      <c r="DR293" s="77"/>
      <c r="DS293" s="77"/>
      <c r="DT293" s="77"/>
      <c r="DU293" s="11"/>
      <c r="DV293" s="11"/>
      <c r="DW293" s="11"/>
      <c r="DX293" s="11"/>
      <c r="DY293" s="11"/>
      <c r="DZ293" s="11"/>
      <c r="EA293" s="11"/>
      <c r="EB293" s="11"/>
      <c r="EC293" s="11"/>
      <c r="ED293" s="11"/>
      <c r="EE293" s="11"/>
      <c r="EF293" s="11"/>
    </row>
    <row r="294" spans="1:136" ht="81" x14ac:dyDescent="0.25">
      <c r="A294" s="425">
        <v>292</v>
      </c>
      <c r="B294" s="426" t="s">
        <v>1647</v>
      </c>
      <c r="C294" s="426" t="s">
        <v>1648</v>
      </c>
      <c r="D294" s="426" t="s">
        <v>1505</v>
      </c>
      <c r="E294" s="79">
        <v>1</v>
      </c>
      <c r="F294" s="405"/>
      <c r="G294" s="274"/>
      <c r="H294" s="274"/>
      <c r="I294" s="274"/>
      <c r="J294" s="274"/>
      <c r="K294" s="11"/>
      <c r="L294" s="274"/>
      <c r="M294" s="274"/>
      <c r="N294" s="274"/>
      <c r="O294" s="48"/>
      <c r="P294" s="11"/>
      <c r="Q294" s="274"/>
      <c r="R294" s="274"/>
      <c r="S294" s="274"/>
      <c r="T294" s="11"/>
      <c r="U294" s="11"/>
      <c r="V294" s="16">
        <v>876211</v>
      </c>
      <c r="W294" s="274">
        <v>0</v>
      </c>
      <c r="X294" s="16">
        <f>+V294+W294</f>
        <v>876211</v>
      </c>
      <c r="Y294" s="11" t="s">
        <v>343</v>
      </c>
      <c r="Z294" s="48" t="s">
        <v>1649</v>
      </c>
      <c r="AA294" s="52"/>
      <c r="AB294" s="52"/>
      <c r="AC294" s="118"/>
      <c r="AD294" s="5"/>
      <c r="AE294" s="52"/>
      <c r="AF294" s="113"/>
      <c r="AG294" s="113"/>
      <c r="AH294" s="113"/>
      <c r="AI294" s="52"/>
      <c r="AJ294" s="11"/>
      <c r="AK294" s="269"/>
      <c r="AL294" s="269"/>
      <c r="AM294" s="116"/>
      <c r="AN294" s="301"/>
      <c r="AO294" s="302"/>
      <c r="AP294" s="11"/>
      <c r="AQ294" s="11"/>
      <c r="AR294" s="11"/>
      <c r="AS294" s="11"/>
      <c r="AT294" s="11"/>
      <c r="AU294" s="118">
        <v>387059</v>
      </c>
      <c r="AV294" s="118">
        <f>+AU294*0.19</f>
        <v>73541.210000000006</v>
      </c>
      <c r="AW294" s="118">
        <f>+AU294+AV294</f>
        <v>460600.21</v>
      </c>
      <c r="AX294" s="52" t="s">
        <v>607</v>
      </c>
      <c r="AY294" s="52" t="s">
        <v>1649</v>
      </c>
      <c r="AZ294" s="11"/>
      <c r="BA294" s="11"/>
      <c r="BB294" s="11"/>
      <c r="BC294" s="11"/>
      <c r="BD294" s="11"/>
      <c r="BE294" s="274">
        <v>2675000</v>
      </c>
      <c r="BF294" s="274">
        <v>508250</v>
      </c>
      <c r="BG294" s="274">
        <v>3183250</v>
      </c>
      <c r="BH294" s="11" t="s">
        <v>310</v>
      </c>
      <c r="BI294" s="11" t="s">
        <v>1650</v>
      </c>
      <c r="BJ294" s="311"/>
      <c r="BK294" s="311"/>
      <c r="BL294" s="311"/>
      <c r="BM294" s="52"/>
      <c r="BN294" s="52"/>
      <c r="BO294" s="387"/>
      <c r="BP294" s="320"/>
      <c r="BQ294" s="320"/>
      <c r="BR294" s="4"/>
      <c r="BS294" s="4"/>
      <c r="BT294" s="11"/>
      <c r="BU294" s="11"/>
      <c r="BV294" s="11"/>
      <c r="BW294" s="11"/>
      <c r="BX294" s="11"/>
      <c r="BY294" s="348"/>
      <c r="BZ294" s="348"/>
      <c r="CA294" s="348"/>
      <c r="CB294" s="348"/>
      <c r="CC294" s="348"/>
      <c r="CD294" s="11"/>
      <c r="CE294" s="11"/>
      <c r="CF294" s="11"/>
      <c r="CG294" s="11"/>
      <c r="CH294" s="11"/>
      <c r="CI294" s="11"/>
      <c r="CJ294" s="11"/>
      <c r="CK294" s="11"/>
      <c r="CL294" s="11"/>
      <c r="CM294" s="11"/>
      <c r="CN294" s="274"/>
      <c r="CO294" s="274"/>
      <c r="CP294" s="274"/>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8">
        <v>495650</v>
      </c>
      <c r="DN294" s="118">
        <f>DM294*0.19</f>
        <v>94173.5</v>
      </c>
      <c r="DO294" s="118">
        <f>DM294+DN294</f>
        <v>589823.5</v>
      </c>
      <c r="DP294" s="52" t="s">
        <v>37</v>
      </c>
      <c r="DQ294" s="52" t="s">
        <v>1651</v>
      </c>
      <c r="DR294" s="77">
        <v>329000</v>
      </c>
      <c r="DS294" s="77">
        <f>+DR294*0.19</f>
        <v>62510</v>
      </c>
      <c r="DT294" s="77">
        <f>+DR294+DS294</f>
        <v>391510</v>
      </c>
      <c r="DU294" s="11" t="s">
        <v>37</v>
      </c>
      <c r="DV294" s="11" t="s">
        <v>1649</v>
      </c>
      <c r="DW294" s="11"/>
      <c r="DX294" s="11"/>
      <c r="DY294" s="11"/>
      <c r="DZ294" s="11"/>
      <c r="EA294" s="11"/>
      <c r="EB294" s="11"/>
      <c r="EC294" s="11"/>
      <c r="ED294" s="11"/>
      <c r="EE294" s="11"/>
      <c r="EF294" s="11"/>
    </row>
    <row r="295" spans="1:136" ht="81" x14ac:dyDescent="0.25">
      <c r="A295" s="425">
        <v>293</v>
      </c>
      <c r="B295" s="426" t="s">
        <v>1652</v>
      </c>
      <c r="C295" s="426" t="s">
        <v>1423</v>
      </c>
      <c r="D295" s="426" t="s">
        <v>1424</v>
      </c>
      <c r="E295" s="79">
        <v>1</v>
      </c>
      <c r="F295" s="405"/>
      <c r="G295" s="274"/>
      <c r="H295" s="274"/>
      <c r="I295" s="274"/>
      <c r="J295" s="274"/>
      <c r="K295" s="11"/>
      <c r="L295" s="274"/>
      <c r="M295" s="274"/>
      <c r="N295" s="274"/>
      <c r="O295" s="48"/>
      <c r="P295" s="11"/>
      <c r="Q295" s="274"/>
      <c r="R295" s="274"/>
      <c r="S295" s="274"/>
      <c r="T295" s="11"/>
      <c r="U295" s="11"/>
      <c r="V295" s="16">
        <v>1318222</v>
      </c>
      <c r="W295" s="274">
        <v>0</v>
      </c>
      <c r="X295" s="16">
        <f>+V295+W295</f>
        <v>1318222</v>
      </c>
      <c r="Y295" s="11" t="s">
        <v>343</v>
      </c>
      <c r="Z295" s="48" t="s">
        <v>1653</v>
      </c>
      <c r="AA295" s="52"/>
      <c r="AB295" s="52"/>
      <c r="AC295" s="118"/>
      <c r="AD295" s="5"/>
      <c r="AE295" s="52"/>
      <c r="AF295" s="113"/>
      <c r="AG295" s="113"/>
      <c r="AH295" s="113"/>
      <c r="AI295" s="52"/>
      <c r="AJ295" s="11"/>
      <c r="AK295" s="269">
        <v>524300</v>
      </c>
      <c r="AL295" s="269">
        <v>99617</v>
      </c>
      <c r="AM295" s="116">
        <v>623917</v>
      </c>
      <c r="AN295" s="301" t="s">
        <v>37</v>
      </c>
      <c r="AO295" s="302" t="s">
        <v>1653</v>
      </c>
      <c r="AP295" s="11"/>
      <c r="AQ295" s="11"/>
      <c r="AR295" s="11"/>
      <c r="AS295" s="11"/>
      <c r="AT295" s="11"/>
      <c r="AU295" s="118">
        <v>576471</v>
      </c>
      <c r="AV295" s="118">
        <f>+AU295*0.19</f>
        <v>109529.49</v>
      </c>
      <c r="AW295" s="118">
        <f>+AU295+AV295</f>
        <v>686000.49</v>
      </c>
      <c r="AX295" s="52" t="s">
        <v>607</v>
      </c>
      <c r="AY295" s="52" t="s">
        <v>1653</v>
      </c>
      <c r="AZ295" s="11"/>
      <c r="BA295" s="11"/>
      <c r="BB295" s="11"/>
      <c r="BC295" s="11"/>
      <c r="BD295" s="11"/>
      <c r="BE295" s="274">
        <v>2087000</v>
      </c>
      <c r="BF295" s="274">
        <v>396530</v>
      </c>
      <c r="BG295" s="274">
        <v>2483530</v>
      </c>
      <c r="BH295" s="11" t="s">
        <v>310</v>
      </c>
      <c r="BI295" s="11" t="s">
        <v>1654</v>
      </c>
      <c r="BJ295" s="311"/>
      <c r="BK295" s="311"/>
      <c r="BL295" s="311"/>
      <c r="BM295" s="52"/>
      <c r="BN295" s="52"/>
      <c r="BO295" s="387"/>
      <c r="BP295" s="320"/>
      <c r="BQ295" s="320"/>
      <c r="BR295" s="4"/>
      <c r="BS295" s="4"/>
      <c r="BT295" s="11"/>
      <c r="BU295" s="11"/>
      <c r="BV295" s="11"/>
      <c r="BW295" s="11"/>
      <c r="BX295" s="11"/>
      <c r="BY295" s="348"/>
      <c r="BZ295" s="348"/>
      <c r="CA295" s="348"/>
      <c r="CB295" s="348"/>
      <c r="CC295" s="348"/>
      <c r="CD295" s="11"/>
      <c r="CE295" s="11"/>
      <c r="CF295" s="11"/>
      <c r="CG295" s="11"/>
      <c r="CH295" s="11"/>
      <c r="CI295" s="11"/>
      <c r="CJ295" s="11"/>
      <c r="CK295" s="11"/>
      <c r="CL295" s="11"/>
      <c r="CM295" s="11"/>
      <c r="CN295" s="274"/>
      <c r="CO295" s="274"/>
      <c r="CP295" s="274"/>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8">
        <v>308200</v>
      </c>
      <c r="DN295" s="118">
        <f>DM295*0.19</f>
        <v>58558</v>
      </c>
      <c r="DO295" s="118">
        <f>DM295+DN295</f>
        <v>366758</v>
      </c>
      <c r="DP295" s="52" t="s">
        <v>37</v>
      </c>
      <c r="DQ295" s="52" t="s">
        <v>1655</v>
      </c>
      <c r="DR295" s="77">
        <v>490000</v>
      </c>
      <c r="DS295" s="77">
        <f>+DR295*0.19</f>
        <v>93100</v>
      </c>
      <c r="DT295" s="77">
        <f>+DR295+DS295</f>
        <v>583100</v>
      </c>
      <c r="DU295" s="11" t="s">
        <v>37</v>
      </c>
      <c r="DV295" s="11" t="s">
        <v>1653</v>
      </c>
      <c r="DW295" s="11"/>
      <c r="DX295" s="11"/>
      <c r="DY295" s="11"/>
      <c r="DZ295" s="11"/>
      <c r="EA295" s="11"/>
      <c r="EB295" s="11"/>
      <c r="EC295" s="11"/>
      <c r="ED295" s="11"/>
      <c r="EE295" s="11"/>
      <c r="EF295" s="11"/>
    </row>
    <row r="296" spans="1:136" ht="81" x14ac:dyDescent="0.25">
      <c r="A296" s="425">
        <v>294</v>
      </c>
      <c r="B296" s="428" t="s">
        <v>1656</v>
      </c>
      <c r="C296" s="413" t="s">
        <v>1460</v>
      </c>
      <c r="D296" s="426" t="s">
        <v>1461</v>
      </c>
      <c r="E296" s="79">
        <v>1</v>
      </c>
      <c r="F296" s="405"/>
      <c r="G296" s="274"/>
      <c r="H296" s="274"/>
      <c r="I296" s="274"/>
      <c r="J296" s="274"/>
      <c r="K296" s="11"/>
      <c r="L296" s="274"/>
      <c r="M296" s="274"/>
      <c r="N296" s="274"/>
      <c r="O296" s="48"/>
      <c r="P296" s="11"/>
      <c r="Q296" s="274"/>
      <c r="R296" s="274"/>
      <c r="S296" s="274"/>
      <c r="T296" s="11"/>
      <c r="U296" s="11"/>
      <c r="V296" s="11"/>
      <c r="W296" s="11"/>
      <c r="X296" s="11"/>
      <c r="Y296" s="11"/>
      <c r="Z296" s="48"/>
      <c r="AA296" s="52"/>
      <c r="AB296" s="52"/>
      <c r="AC296" s="118"/>
      <c r="AD296" s="5"/>
      <c r="AE296" s="52"/>
      <c r="AF296" s="113"/>
      <c r="AG296" s="113"/>
      <c r="AH296" s="113"/>
      <c r="AI296" s="52"/>
      <c r="AJ296" s="11"/>
      <c r="AK296" s="269">
        <v>1485160</v>
      </c>
      <c r="AL296" s="269">
        <v>282180.40000000002</v>
      </c>
      <c r="AM296" s="116">
        <v>1767340.4</v>
      </c>
      <c r="AN296" s="301" t="s">
        <v>37</v>
      </c>
      <c r="AO296" s="302" t="s">
        <v>1657</v>
      </c>
      <c r="AP296" s="11"/>
      <c r="AQ296" s="11"/>
      <c r="AR296" s="11"/>
      <c r="AS296" s="11"/>
      <c r="AT296" s="11"/>
      <c r="AU296" s="118"/>
      <c r="AV296" s="118"/>
      <c r="AW296" s="118"/>
      <c r="AX296" s="52"/>
      <c r="AY296" s="52"/>
      <c r="AZ296" s="11"/>
      <c r="BA296" s="11"/>
      <c r="BB296" s="11"/>
      <c r="BC296" s="11"/>
      <c r="BD296" s="11"/>
      <c r="BE296" s="274">
        <v>550000</v>
      </c>
      <c r="BF296" s="274">
        <v>104500</v>
      </c>
      <c r="BG296" s="274">
        <v>654500</v>
      </c>
      <c r="BH296" s="11" t="s">
        <v>310</v>
      </c>
      <c r="BI296" s="11" t="s">
        <v>1658</v>
      </c>
      <c r="BJ296" s="311"/>
      <c r="BK296" s="311"/>
      <c r="BL296" s="311"/>
      <c r="BM296" s="52"/>
      <c r="BN296" s="52"/>
      <c r="BO296" s="387"/>
      <c r="BP296" s="320"/>
      <c r="BQ296" s="320"/>
      <c r="BR296" s="4"/>
      <c r="BS296" s="4"/>
      <c r="BT296" s="11"/>
      <c r="BU296" s="11"/>
      <c r="BV296" s="11"/>
      <c r="BW296" s="11"/>
      <c r="BX296" s="11"/>
      <c r="BY296" s="348"/>
      <c r="BZ296" s="348"/>
      <c r="CA296" s="348"/>
      <c r="CB296" s="348"/>
      <c r="CC296" s="348"/>
      <c r="CD296" s="11"/>
      <c r="CE296" s="11"/>
      <c r="CF296" s="11"/>
      <c r="CG296" s="11"/>
      <c r="CH296" s="11"/>
      <c r="CI296" s="11"/>
      <c r="CJ296" s="11"/>
      <c r="CK296" s="11"/>
      <c r="CL296" s="11"/>
      <c r="CM296" s="11"/>
      <c r="CN296" s="274"/>
      <c r="CO296" s="274"/>
      <c r="CP296" s="274"/>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8"/>
      <c r="DN296" s="118"/>
      <c r="DO296" s="118"/>
      <c r="DP296" s="52"/>
      <c r="DQ296" s="52"/>
      <c r="DR296" s="77"/>
      <c r="DS296" s="77"/>
      <c r="DT296" s="77"/>
      <c r="DU296" s="11"/>
      <c r="DV296" s="11"/>
      <c r="DW296" s="11"/>
      <c r="DX296" s="11"/>
      <c r="DY296" s="11"/>
      <c r="DZ296" s="11"/>
      <c r="EA296" s="11"/>
      <c r="EB296" s="11"/>
      <c r="EC296" s="11"/>
      <c r="ED296" s="11"/>
      <c r="EE296" s="11"/>
      <c r="EF296" s="11"/>
    </row>
    <row r="297" spans="1:136" ht="40.5" x14ac:dyDescent="0.25">
      <c r="A297" s="425">
        <v>295</v>
      </c>
      <c r="B297" s="427" t="s">
        <v>1659</v>
      </c>
      <c r="C297" s="427" t="s">
        <v>1000</v>
      </c>
      <c r="D297" s="427" t="s">
        <v>549</v>
      </c>
      <c r="E297" s="79">
        <v>1</v>
      </c>
      <c r="F297" s="405"/>
      <c r="G297" s="274"/>
      <c r="H297" s="274"/>
      <c r="I297" s="274"/>
      <c r="J297" s="274"/>
      <c r="K297" s="11"/>
      <c r="L297" s="274"/>
      <c r="M297" s="274"/>
      <c r="N297" s="274"/>
      <c r="O297" s="48"/>
      <c r="P297" s="11"/>
      <c r="Q297" s="274"/>
      <c r="R297" s="274"/>
      <c r="S297" s="274"/>
      <c r="T297" s="11"/>
      <c r="U297" s="11"/>
      <c r="V297" s="11"/>
      <c r="W297" s="11"/>
      <c r="X297" s="11"/>
      <c r="Y297" s="11"/>
      <c r="Z297" s="48"/>
      <c r="AA297" s="52"/>
      <c r="AB297" s="52"/>
      <c r="AC297" s="118"/>
      <c r="AD297" s="5"/>
      <c r="AE297" s="52"/>
      <c r="AF297" s="113"/>
      <c r="AG297" s="113"/>
      <c r="AH297" s="113"/>
      <c r="AI297" s="52"/>
      <c r="AJ297" s="11"/>
      <c r="AK297" s="269">
        <v>696000</v>
      </c>
      <c r="AL297" s="269">
        <v>132240</v>
      </c>
      <c r="AM297" s="116">
        <v>828240</v>
      </c>
      <c r="AN297" s="301" t="s">
        <v>37</v>
      </c>
      <c r="AO297" s="302" t="s">
        <v>1660</v>
      </c>
      <c r="AP297" s="11"/>
      <c r="AQ297" s="11"/>
      <c r="AR297" s="11"/>
      <c r="AS297" s="11"/>
      <c r="AT297" s="11"/>
      <c r="AU297" s="118">
        <v>733160</v>
      </c>
      <c r="AV297" s="118">
        <v>139300</v>
      </c>
      <c r="AW297" s="118">
        <v>872461</v>
      </c>
      <c r="AX297" s="52" t="s">
        <v>607</v>
      </c>
      <c r="AY297" s="52" t="s">
        <v>1660</v>
      </c>
      <c r="AZ297" s="11"/>
      <c r="BA297" s="11"/>
      <c r="BB297" s="11"/>
      <c r="BC297" s="11"/>
      <c r="BD297" s="11"/>
      <c r="BE297" s="274">
        <v>2333000</v>
      </c>
      <c r="BF297" s="274">
        <v>443270</v>
      </c>
      <c r="BG297" s="274">
        <v>2776270</v>
      </c>
      <c r="BH297" s="11" t="s">
        <v>310</v>
      </c>
      <c r="BI297" s="11" t="s">
        <v>1661</v>
      </c>
      <c r="BJ297" s="311"/>
      <c r="BK297" s="311"/>
      <c r="BL297" s="311"/>
      <c r="BM297" s="52"/>
      <c r="BN297" s="52"/>
      <c r="BO297" s="387"/>
      <c r="BP297" s="320"/>
      <c r="BQ297" s="320"/>
      <c r="BR297" s="4"/>
      <c r="BS297" s="4"/>
      <c r="BT297" s="11"/>
      <c r="BU297" s="11"/>
      <c r="BV297" s="11"/>
      <c r="BW297" s="11"/>
      <c r="BX297" s="11"/>
      <c r="BY297" s="348"/>
      <c r="BZ297" s="348"/>
      <c r="CA297" s="348"/>
      <c r="CB297" s="348"/>
      <c r="CC297" s="348"/>
      <c r="CD297" s="11"/>
      <c r="CE297" s="11"/>
      <c r="CF297" s="11"/>
      <c r="CG297" s="11"/>
      <c r="CH297" s="11"/>
      <c r="CI297" s="11"/>
      <c r="CJ297" s="11"/>
      <c r="CK297" s="11"/>
      <c r="CL297" s="11"/>
      <c r="CM297" s="11"/>
      <c r="CN297" s="274"/>
      <c r="CO297" s="274"/>
      <c r="CP297" s="274"/>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8"/>
      <c r="DN297" s="118"/>
      <c r="DO297" s="118"/>
      <c r="DP297" s="52"/>
      <c r="DQ297" s="52"/>
      <c r="DR297" s="77"/>
      <c r="DS297" s="77"/>
      <c r="DT297" s="77"/>
      <c r="DU297" s="11"/>
      <c r="DV297" s="11"/>
      <c r="DW297" s="11"/>
      <c r="DX297" s="11"/>
      <c r="DY297" s="11"/>
      <c r="DZ297" s="11"/>
      <c r="EA297" s="11"/>
      <c r="EB297" s="11"/>
      <c r="EC297" s="11"/>
      <c r="ED297" s="11"/>
      <c r="EE297" s="11"/>
      <c r="EF297" s="11"/>
    </row>
    <row r="298" spans="1:136" ht="40.5" x14ac:dyDescent="0.25">
      <c r="A298" s="425">
        <v>296</v>
      </c>
      <c r="B298" s="427" t="s">
        <v>1662</v>
      </c>
      <c r="C298" s="427" t="s">
        <v>1000</v>
      </c>
      <c r="D298" s="427" t="s">
        <v>549</v>
      </c>
      <c r="E298" s="79">
        <v>1</v>
      </c>
      <c r="F298" s="405"/>
      <c r="G298" s="274"/>
      <c r="H298" s="274"/>
      <c r="I298" s="274"/>
      <c r="J298" s="274"/>
      <c r="K298" s="11"/>
      <c r="L298" s="274"/>
      <c r="M298" s="274"/>
      <c r="N298" s="274"/>
      <c r="O298" s="48"/>
      <c r="P298" s="11"/>
      <c r="Q298" s="274"/>
      <c r="R298" s="274"/>
      <c r="S298" s="274"/>
      <c r="T298" s="11"/>
      <c r="U298" s="11"/>
      <c r="V298" s="11"/>
      <c r="W298" s="11"/>
      <c r="X298" s="11"/>
      <c r="Y298" s="11"/>
      <c r="Z298" s="48"/>
      <c r="AA298" s="52"/>
      <c r="AB298" s="52"/>
      <c r="AC298" s="118"/>
      <c r="AD298" s="5"/>
      <c r="AE298" s="52"/>
      <c r="AF298" s="113"/>
      <c r="AG298" s="113"/>
      <c r="AH298" s="113"/>
      <c r="AI298" s="52"/>
      <c r="AJ298" s="11"/>
      <c r="AK298" s="269"/>
      <c r="AL298" s="269"/>
      <c r="AM298" s="116"/>
      <c r="AN298" s="301"/>
      <c r="AO298" s="302"/>
      <c r="AP298" s="11"/>
      <c r="AQ298" s="11"/>
      <c r="AR298" s="11"/>
      <c r="AS298" s="11"/>
      <c r="AT298" s="11"/>
      <c r="AU298" s="118">
        <v>147475</v>
      </c>
      <c r="AV298" s="118">
        <v>28020</v>
      </c>
      <c r="AW298" s="118">
        <v>175495</v>
      </c>
      <c r="AX298" s="52" t="s">
        <v>607</v>
      </c>
      <c r="AY298" s="52" t="s">
        <v>1663</v>
      </c>
      <c r="AZ298" s="11"/>
      <c r="BA298" s="11"/>
      <c r="BB298" s="11"/>
      <c r="BC298" s="11"/>
      <c r="BD298" s="11"/>
      <c r="BE298" s="274">
        <v>1176000</v>
      </c>
      <c r="BF298" s="274">
        <v>223440</v>
      </c>
      <c r="BG298" s="274">
        <v>1399440</v>
      </c>
      <c r="BH298" s="11" t="s">
        <v>310</v>
      </c>
      <c r="BI298" s="11" t="s">
        <v>1664</v>
      </c>
      <c r="BJ298" s="311"/>
      <c r="BK298" s="311"/>
      <c r="BL298" s="311"/>
      <c r="BM298" s="52"/>
      <c r="BN298" s="52"/>
      <c r="BO298" s="387"/>
      <c r="BP298" s="320"/>
      <c r="BQ298" s="320"/>
      <c r="BR298" s="4"/>
      <c r="BS298" s="4"/>
      <c r="BT298" s="11"/>
      <c r="BU298" s="11"/>
      <c r="BV298" s="11"/>
      <c r="BW298" s="11"/>
      <c r="BX298" s="11"/>
      <c r="BY298" s="348"/>
      <c r="BZ298" s="348"/>
      <c r="CA298" s="348"/>
      <c r="CB298" s="348"/>
      <c r="CC298" s="348"/>
      <c r="CD298" s="11"/>
      <c r="CE298" s="11"/>
      <c r="CF298" s="11"/>
      <c r="CG298" s="11"/>
      <c r="CH298" s="11"/>
      <c r="CI298" s="11"/>
      <c r="CJ298" s="11"/>
      <c r="CK298" s="11"/>
      <c r="CL298" s="11"/>
      <c r="CM298" s="11"/>
      <c r="CN298" s="274"/>
      <c r="CO298" s="274"/>
      <c r="CP298" s="274"/>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8"/>
      <c r="DN298" s="118"/>
      <c r="DO298" s="118"/>
      <c r="DP298" s="52"/>
      <c r="DQ298" s="52"/>
      <c r="DR298" s="77"/>
      <c r="DS298" s="77"/>
      <c r="DT298" s="77"/>
      <c r="DU298" s="11"/>
      <c r="DV298" s="11"/>
      <c r="DW298" s="11"/>
      <c r="DX298" s="11"/>
      <c r="DY298" s="11"/>
      <c r="DZ298" s="11"/>
      <c r="EA298" s="11"/>
      <c r="EB298" s="11"/>
      <c r="EC298" s="11"/>
      <c r="ED298" s="11"/>
      <c r="EE298" s="11"/>
      <c r="EF298" s="11"/>
    </row>
    <row r="299" spans="1:136" ht="67.5" x14ac:dyDescent="0.25">
      <c r="A299" s="425">
        <v>297</v>
      </c>
      <c r="B299" s="427" t="s">
        <v>1665</v>
      </c>
      <c r="C299" s="413" t="s">
        <v>1666</v>
      </c>
      <c r="D299" s="413" t="s">
        <v>1534</v>
      </c>
      <c r="E299" s="79">
        <v>1</v>
      </c>
      <c r="F299" s="404">
        <v>1705583.446</v>
      </c>
      <c r="G299" s="274"/>
      <c r="H299" s="274"/>
      <c r="I299" s="274"/>
      <c r="J299" s="274"/>
      <c r="K299" s="11"/>
      <c r="L299" s="274"/>
      <c r="M299" s="274"/>
      <c r="N299" s="274"/>
      <c r="O299" s="48"/>
      <c r="P299" s="11"/>
      <c r="Q299" s="274"/>
      <c r="R299" s="274"/>
      <c r="S299" s="274"/>
      <c r="T299" s="11"/>
      <c r="U299" s="11"/>
      <c r="V299" s="11"/>
      <c r="W299" s="11"/>
      <c r="X299" s="11"/>
      <c r="Y299" s="11"/>
      <c r="Z299" s="48"/>
      <c r="AA299" s="52"/>
      <c r="AB299" s="52"/>
      <c r="AC299" s="118"/>
      <c r="AD299" s="5"/>
      <c r="AE299" s="52"/>
      <c r="AF299" s="113"/>
      <c r="AG299" s="113"/>
      <c r="AH299" s="113"/>
      <c r="AI299" s="52"/>
      <c r="AJ299" s="11"/>
      <c r="AK299" s="269"/>
      <c r="AL299" s="269"/>
      <c r="AM299" s="116"/>
      <c r="AN299" s="301"/>
      <c r="AO299" s="302"/>
      <c r="AP299" s="11"/>
      <c r="AQ299" s="11"/>
      <c r="AR299" s="11"/>
      <c r="AS299" s="11"/>
      <c r="AT299" s="11"/>
      <c r="AU299" s="118">
        <v>2388456</v>
      </c>
      <c r="AV299" s="118">
        <v>453807</v>
      </c>
      <c r="AW299" s="118">
        <v>2842263</v>
      </c>
      <c r="AX299" s="52" t="s">
        <v>607</v>
      </c>
      <c r="AY299" s="52" t="s">
        <v>1667</v>
      </c>
      <c r="AZ299" s="11"/>
      <c r="BA299" s="11"/>
      <c r="BB299" s="11"/>
      <c r="BC299" s="11"/>
      <c r="BD299" s="11"/>
      <c r="BE299" s="274">
        <v>2210000</v>
      </c>
      <c r="BF299" s="274">
        <v>419900</v>
      </c>
      <c r="BG299" s="274">
        <v>2629900</v>
      </c>
      <c r="BH299" s="11" t="s">
        <v>310</v>
      </c>
      <c r="BI299" s="11" t="s">
        <v>1668</v>
      </c>
      <c r="BJ299" s="311"/>
      <c r="BK299" s="311"/>
      <c r="BL299" s="311"/>
      <c r="BM299" s="52"/>
      <c r="BN299" s="52"/>
      <c r="BO299" s="387"/>
      <c r="BP299" s="320"/>
      <c r="BQ299" s="320"/>
      <c r="BR299" s="4"/>
      <c r="BS299" s="4"/>
      <c r="BT299" s="11"/>
      <c r="BU299" s="11"/>
      <c r="BV299" s="11"/>
      <c r="BW299" s="11"/>
      <c r="BX299" s="11"/>
      <c r="BY299" s="348"/>
      <c r="BZ299" s="348"/>
      <c r="CA299" s="348"/>
      <c r="CB299" s="348"/>
      <c r="CC299" s="348"/>
      <c r="CD299" s="11"/>
      <c r="CE299" s="11"/>
      <c r="CF299" s="11"/>
      <c r="CG299" s="11"/>
      <c r="CH299" s="11"/>
      <c r="CI299" s="11"/>
      <c r="CJ299" s="11"/>
      <c r="CK299" s="11"/>
      <c r="CL299" s="11"/>
      <c r="CM299" s="11"/>
      <c r="CN299" s="274"/>
      <c r="CO299" s="274"/>
      <c r="CP299" s="274"/>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8"/>
      <c r="DN299" s="118"/>
      <c r="DO299" s="118"/>
      <c r="DP299" s="52"/>
      <c r="DQ299" s="52"/>
      <c r="DR299" s="77"/>
      <c r="DS299" s="77"/>
      <c r="DT299" s="77"/>
      <c r="DU299" s="11"/>
      <c r="DV299" s="11"/>
      <c r="DW299" s="11"/>
      <c r="DX299" s="11"/>
      <c r="DY299" s="11"/>
      <c r="DZ299" s="11"/>
      <c r="EA299" s="11"/>
      <c r="EB299" s="11"/>
      <c r="EC299" s="11"/>
      <c r="ED299" s="11"/>
      <c r="EE299" s="11"/>
      <c r="EF299" s="11"/>
    </row>
    <row r="300" spans="1:136" ht="27" x14ac:dyDescent="0.25">
      <c r="A300" s="425">
        <v>298</v>
      </c>
      <c r="B300" s="427" t="s">
        <v>1669</v>
      </c>
      <c r="C300" s="427" t="s">
        <v>1670</v>
      </c>
      <c r="D300" s="427" t="s">
        <v>1671</v>
      </c>
      <c r="E300" s="79">
        <v>1</v>
      </c>
      <c r="F300" s="405"/>
      <c r="G300" s="274"/>
      <c r="H300" s="274"/>
      <c r="I300" s="274"/>
      <c r="J300" s="274"/>
      <c r="K300" s="11"/>
      <c r="L300" s="274"/>
      <c r="M300" s="274"/>
      <c r="N300" s="274"/>
      <c r="O300" s="48"/>
      <c r="P300" s="11"/>
      <c r="Q300" s="274"/>
      <c r="R300" s="274"/>
      <c r="S300" s="274"/>
      <c r="T300" s="11"/>
      <c r="U300" s="11"/>
      <c r="V300" s="11"/>
      <c r="W300" s="11"/>
      <c r="X300" s="11"/>
      <c r="Y300" s="11"/>
      <c r="Z300" s="48"/>
      <c r="AA300" s="52"/>
      <c r="AB300" s="52"/>
      <c r="AC300" s="118"/>
      <c r="AD300" s="5"/>
      <c r="AE300" s="52"/>
      <c r="AF300" s="113"/>
      <c r="AG300" s="113"/>
      <c r="AH300" s="113"/>
      <c r="AI300" s="52"/>
      <c r="AJ300" s="11"/>
      <c r="AK300" s="269"/>
      <c r="AL300" s="269"/>
      <c r="AM300" s="116"/>
      <c r="AN300" s="301"/>
      <c r="AO300" s="302"/>
      <c r="AP300" s="11"/>
      <c r="AQ300" s="11"/>
      <c r="AR300" s="11"/>
      <c r="AS300" s="11"/>
      <c r="AT300" s="11"/>
      <c r="AU300" s="118">
        <v>360000</v>
      </c>
      <c r="AV300" s="118">
        <f>+AU300*0.19</f>
        <v>68400</v>
      </c>
      <c r="AW300" s="118">
        <f>+AU300+AV300</f>
        <v>428400</v>
      </c>
      <c r="AX300" s="52" t="s">
        <v>343</v>
      </c>
      <c r="AY300" s="52" t="s">
        <v>1672</v>
      </c>
      <c r="AZ300" s="11"/>
      <c r="BA300" s="11"/>
      <c r="BB300" s="11"/>
      <c r="BC300" s="11"/>
      <c r="BD300" s="11"/>
      <c r="BE300" s="274">
        <v>4192000</v>
      </c>
      <c r="BF300" s="274">
        <v>796480</v>
      </c>
      <c r="BG300" s="274">
        <v>4988480</v>
      </c>
      <c r="BH300" s="11" t="s">
        <v>310</v>
      </c>
      <c r="BI300" s="11" t="s">
        <v>1673</v>
      </c>
      <c r="BJ300" s="311"/>
      <c r="BK300" s="311"/>
      <c r="BL300" s="311"/>
      <c r="BM300" s="52"/>
      <c r="BN300" s="52"/>
      <c r="BO300" s="387"/>
      <c r="BP300" s="320"/>
      <c r="BQ300" s="320"/>
      <c r="BR300" s="4"/>
      <c r="BS300" s="4"/>
      <c r="BT300" s="11"/>
      <c r="BU300" s="11"/>
      <c r="BV300" s="11"/>
      <c r="BW300" s="11"/>
      <c r="BX300" s="11"/>
      <c r="BY300" s="348"/>
      <c r="BZ300" s="348"/>
      <c r="CA300" s="348"/>
      <c r="CB300" s="348"/>
      <c r="CC300" s="348"/>
      <c r="CD300" s="11"/>
      <c r="CE300" s="11"/>
      <c r="CF300" s="11"/>
      <c r="CG300" s="11"/>
      <c r="CH300" s="11"/>
      <c r="CI300" s="11"/>
      <c r="CJ300" s="11"/>
      <c r="CK300" s="11"/>
      <c r="CL300" s="11"/>
      <c r="CM300" s="11"/>
      <c r="CN300" s="274"/>
      <c r="CO300" s="274"/>
      <c r="CP300" s="274"/>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8"/>
      <c r="DN300" s="118"/>
      <c r="DO300" s="118"/>
      <c r="DP300" s="52"/>
      <c r="DQ300" s="52"/>
      <c r="DR300" s="77"/>
      <c r="DS300" s="77"/>
      <c r="DT300" s="77"/>
      <c r="DU300" s="11"/>
      <c r="DV300" s="11"/>
      <c r="DW300" s="11"/>
      <c r="DX300" s="11"/>
      <c r="DY300" s="11"/>
      <c r="DZ300" s="11"/>
      <c r="EA300" s="11"/>
      <c r="EB300" s="11"/>
      <c r="EC300" s="11"/>
      <c r="ED300" s="11"/>
      <c r="EE300" s="11"/>
      <c r="EF300" s="11"/>
    </row>
    <row r="301" spans="1:136" ht="81" x14ac:dyDescent="0.25">
      <c r="A301" s="425">
        <v>299</v>
      </c>
      <c r="B301" s="426" t="s">
        <v>1674</v>
      </c>
      <c r="C301" s="426" t="s">
        <v>1460</v>
      </c>
      <c r="D301" s="426" t="s">
        <v>1424</v>
      </c>
      <c r="E301" s="79">
        <v>1</v>
      </c>
      <c r="F301" s="405"/>
      <c r="G301" s="274"/>
      <c r="H301" s="274"/>
      <c r="I301" s="274"/>
      <c r="J301" s="274"/>
      <c r="K301" s="11"/>
      <c r="L301" s="274"/>
      <c r="M301" s="274"/>
      <c r="N301" s="274"/>
      <c r="O301" s="48"/>
      <c r="P301" s="11"/>
      <c r="Q301" s="274"/>
      <c r="R301" s="274"/>
      <c r="S301" s="274"/>
      <c r="T301" s="11"/>
      <c r="U301" s="11"/>
      <c r="V301" s="11"/>
      <c r="W301" s="11"/>
      <c r="X301" s="11"/>
      <c r="Y301" s="11"/>
      <c r="Z301" s="48"/>
      <c r="AA301" s="52"/>
      <c r="AB301" s="52"/>
      <c r="AC301" s="118"/>
      <c r="AD301" s="5"/>
      <c r="AE301" s="52"/>
      <c r="AF301" s="113"/>
      <c r="AG301" s="113"/>
      <c r="AH301" s="113"/>
      <c r="AI301" s="52"/>
      <c r="AJ301" s="11"/>
      <c r="AK301" s="269"/>
      <c r="AL301" s="269"/>
      <c r="AM301" s="116"/>
      <c r="AN301" s="301"/>
      <c r="AO301" s="302"/>
      <c r="AP301" s="11"/>
      <c r="AQ301" s="11"/>
      <c r="AR301" s="11"/>
      <c r="AS301" s="11"/>
      <c r="AT301" s="11"/>
      <c r="AU301" s="118"/>
      <c r="AV301" s="118"/>
      <c r="AW301" s="118"/>
      <c r="AX301" s="52"/>
      <c r="AY301" s="52"/>
      <c r="AZ301" s="11"/>
      <c r="BA301" s="11"/>
      <c r="BB301" s="11"/>
      <c r="BC301" s="11"/>
      <c r="BD301" s="11"/>
      <c r="BE301" s="274"/>
      <c r="BF301" s="274"/>
      <c r="BG301" s="274"/>
      <c r="BH301" s="11"/>
      <c r="BI301" s="11"/>
      <c r="BJ301" s="311"/>
      <c r="BK301" s="311"/>
      <c r="BL301" s="311"/>
      <c r="BM301" s="52"/>
      <c r="BN301" s="52"/>
      <c r="BO301" s="387"/>
      <c r="BP301" s="320"/>
      <c r="BQ301" s="320"/>
      <c r="BR301" s="4"/>
      <c r="BS301" s="4"/>
      <c r="BT301" s="11"/>
      <c r="BU301" s="11"/>
      <c r="BV301" s="11"/>
      <c r="BW301" s="11"/>
      <c r="BX301" s="11"/>
      <c r="BY301" s="348"/>
      <c r="BZ301" s="348"/>
      <c r="CA301" s="348"/>
      <c r="CB301" s="348"/>
      <c r="CC301" s="348"/>
      <c r="CD301" s="11"/>
      <c r="CE301" s="11"/>
      <c r="CF301" s="11"/>
      <c r="CG301" s="11"/>
      <c r="CH301" s="11"/>
      <c r="CI301" s="11"/>
      <c r="CJ301" s="11"/>
      <c r="CK301" s="11"/>
      <c r="CL301" s="11"/>
      <c r="CM301" s="11"/>
      <c r="CN301" s="274"/>
      <c r="CO301" s="274"/>
      <c r="CP301" s="274"/>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8"/>
      <c r="DN301" s="118"/>
      <c r="DO301" s="118"/>
      <c r="DP301" s="52"/>
      <c r="DQ301" s="52"/>
      <c r="DR301" s="77">
        <v>2285000</v>
      </c>
      <c r="DS301" s="77">
        <v>0</v>
      </c>
      <c r="DT301" s="77">
        <f>+DR301+DS301</f>
        <v>2285000</v>
      </c>
      <c r="DU301" s="11" t="s">
        <v>37</v>
      </c>
      <c r="DV301" s="11" t="s">
        <v>1675</v>
      </c>
      <c r="DW301" s="11"/>
      <c r="DX301" s="11"/>
      <c r="DY301" s="11"/>
      <c r="DZ301" s="11"/>
      <c r="EA301" s="11"/>
      <c r="EB301" s="11"/>
      <c r="EC301" s="11"/>
      <c r="ED301" s="11"/>
      <c r="EE301" s="11"/>
      <c r="EF301" s="11"/>
    </row>
    <row r="302" spans="1:136" ht="81" x14ac:dyDescent="0.25">
      <c r="A302" s="425">
        <v>300</v>
      </c>
      <c r="B302" s="426" t="s">
        <v>1676</v>
      </c>
      <c r="C302" s="426" t="s">
        <v>1460</v>
      </c>
      <c r="D302" s="426" t="s">
        <v>1424</v>
      </c>
      <c r="E302" s="79">
        <v>1</v>
      </c>
      <c r="F302" s="405"/>
      <c r="G302" s="274"/>
      <c r="H302" s="274"/>
      <c r="I302" s="274"/>
      <c r="J302" s="274"/>
      <c r="K302" s="11"/>
      <c r="L302" s="274"/>
      <c r="M302" s="274"/>
      <c r="N302" s="274"/>
      <c r="O302" s="48"/>
      <c r="P302" s="11"/>
      <c r="Q302" s="274"/>
      <c r="R302" s="274"/>
      <c r="S302" s="274"/>
      <c r="T302" s="11"/>
      <c r="U302" s="11"/>
      <c r="V302" s="293">
        <v>1680400</v>
      </c>
      <c r="W302" s="274">
        <v>0</v>
      </c>
      <c r="X302" s="293">
        <f>+V302+W302</f>
        <v>1680400</v>
      </c>
      <c r="Y302" s="11" t="s">
        <v>343</v>
      </c>
      <c r="Z302" s="48" t="s">
        <v>1677</v>
      </c>
      <c r="AA302" s="52"/>
      <c r="AB302" s="52"/>
      <c r="AC302" s="118"/>
      <c r="AD302" s="5"/>
      <c r="AE302" s="52"/>
      <c r="AF302" s="113"/>
      <c r="AG302" s="113"/>
      <c r="AH302" s="113"/>
      <c r="AI302" s="52"/>
      <c r="AJ302" s="11"/>
      <c r="AK302" s="269"/>
      <c r="AL302" s="269"/>
      <c r="AM302" s="116"/>
      <c r="AN302" s="301"/>
      <c r="AO302" s="302"/>
      <c r="AP302" s="11"/>
      <c r="AQ302" s="11"/>
      <c r="AR302" s="11"/>
      <c r="AS302" s="11"/>
      <c r="AT302" s="11"/>
      <c r="AU302" s="118">
        <v>395294</v>
      </c>
      <c r="AV302" s="118">
        <f>+AU302*0.19</f>
        <v>75105.86</v>
      </c>
      <c r="AW302" s="118">
        <f>+AU302+AV302</f>
        <v>470399.86</v>
      </c>
      <c r="AX302" s="52" t="s">
        <v>343</v>
      </c>
      <c r="AY302" s="52" t="s">
        <v>1678</v>
      </c>
      <c r="AZ302" s="11"/>
      <c r="BA302" s="11"/>
      <c r="BB302" s="11"/>
      <c r="BC302" s="11"/>
      <c r="BD302" s="11"/>
      <c r="BE302" s="274">
        <v>3149000</v>
      </c>
      <c r="BF302" s="274">
        <v>598310</v>
      </c>
      <c r="BG302" s="274">
        <v>3747310</v>
      </c>
      <c r="BH302" s="11" t="s">
        <v>310</v>
      </c>
      <c r="BI302" s="11" t="s">
        <v>1679</v>
      </c>
      <c r="BJ302" s="311"/>
      <c r="BK302" s="311"/>
      <c r="BL302" s="311"/>
      <c r="BM302" s="52"/>
      <c r="BN302" s="52"/>
      <c r="BO302" s="387"/>
      <c r="BP302" s="320"/>
      <c r="BQ302" s="320"/>
      <c r="BR302" s="4"/>
      <c r="BS302" s="4"/>
      <c r="BT302" s="11"/>
      <c r="BU302" s="11"/>
      <c r="BV302" s="11"/>
      <c r="BW302" s="11"/>
      <c r="BX302" s="11"/>
      <c r="BY302" s="348"/>
      <c r="BZ302" s="348"/>
      <c r="CA302" s="348"/>
      <c r="CB302" s="348"/>
      <c r="CC302" s="348"/>
      <c r="CD302" s="11"/>
      <c r="CE302" s="11"/>
      <c r="CF302" s="11"/>
      <c r="CG302" s="11"/>
      <c r="CH302" s="11"/>
      <c r="CI302" s="11"/>
      <c r="CJ302" s="11"/>
      <c r="CK302" s="11"/>
      <c r="CL302" s="11"/>
      <c r="CM302" s="11"/>
      <c r="CN302" s="274"/>
      <c r="CO302" s="274"/>
      <c r="CP302" s="274"/>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8">
        <v>386400</v>
      </c>
      <c r="DN302" s="118">
        <f>DM302*0.19</f>
        <v>73416</v>
      </c>
      <c r="DO302" s="118">
        <f>DM302+DN302</f>
        <v>459816</v>
      </c>
      <c r="DP302" s="52" t="s">
        <v>37</v>
      </c>
      <c r="DQ302" s="52" t="s">
        <v>1677</v>
      </c>
      <c r="DR302" s="77">
        <v>336000</v>
      </c>
      <c r="DS302" s="77">
        <f>+DR302*0.19</f>
        <v>63840</v>
      </c>
      <c r="DT302" s="77">
        <f>+DR302+DS302</f>
        <v>399840</v>
      </c>
      <c r="DU302" s="11" t="s">
        <v>37</v>
      </c>
      <c r="DV302" s="11" t="s">
        <v>1677</v>
      </c>
      <c r="DW302" s="11"/>
      <c r="DX302" s="11"/>
      <c r="DY302" s="11"/>
      <c r="DZ302" s="11"/>
      <c r="EA302" s="11"/>
      <c r="EB302" s="11"/>
      <c r="EC302" s="11"/>
      <c r="ED302" s="11"/>
      <c r="EE302" s="11"/>
      <c r="EF302" s="11"/>
    </row>
    <row r="303" spans="1:136" ht="81" x14ac:dyDescent="0.25">
      <c r="A303" s="425">
        <v>301</v>
      </c>
      <c r="B303" s="426" t="s">
        <v>1680</v>
      </c>
      <c r="C303" s="426" t="s">
        <v>1423</v>
      </c>
      <c r="D303" s="426" t="s">
        <v>1424</v>
      </c>
      <c r="E303" s="79">
        <v>1</v>
      </c>
      <c r="F303" s="405"/>
      <c r="G303" s="274"/>
      <c r="H303" s="274"/>
      <c r="I303" s="274"/>
      <c r="J303" s="274"/>
      <c r="K303" s="11"/>
      <c r="L303" s="274"/>
      <c r="M303" s="274"/>
      <c r="N303" s="274"/>
      <c r="O303" s="48"/>
      <c r="P303" s="11"/>
      <c r="Q303" s="274"/>
      <c r="R303" s="274"/>
      <c r="S303" s="274"/>
      <c r="T303" s="11"/>
      <c r="U303" s="11"/>
      <c r="V303" s="16">
        <v>2133700</v>
      </c>
      <c r="W303" s="274">
        <v>0</v>
      </c>
      <c r="X303" s="293">
        <f>+V303+W303</f>
        <v>2133700</v>
      </c>
      <c r="Y303" s="11" t="s">
        <v>343</v>
      </c>
      <c r="Z303" s="48" t="s">
        <v>1681</v>
      </c>
      <c r="AA303" s="52"/>
      <c r="AB303" s="52"/>
      <c r="AC303" s="118"/>
      <c r="AD303" s="5"/>
      <c r="AE303" s="52"/>
      <c r="AF303" s="113"/>
      <c r="AG303" s="113"/>
      <c r="AH303" s="113"/>
      <c r="AI303" s="52"/>
      <c r="AJ303" s="11"/>
      <c r="AK303" s="269">
        <v>539280</v>
      </c>
      <c r="AL303" s="269">
        <v>102463.2</v>
      </c>
      <c r="AM303" s="116">
        <v>641743.19999999995</v>
      </c>
      <c r="AN303" s="301" t="s">
        <v>37</v>
      </c>
      <c r="AO303" s="302" t="s">
        <v>1681</v>
      </c>
      <c r="AP303" s="11"/>
      <c r="AQ303" s="11"/>
      <c r="AR303" s="11"/>
      <c r="AS303" s="11"/>
      <c r="AT303" s="11"/>
      <c r="AU303" s="118">
        <v>501338.24</v>
      </c>
      <c r="AV303" s="118">
        <f>+AU303*0.19</f>
        <v>95254.265599999999</v>
      </c>
      <c r="AW303" s="118">
        <f>+AU303+AV303</f>
        <v>596592.50560000003</v>
      </c>
      <c r="AX303" s="52" t="s">
        <v>343</v>
      </c>
      <c r="AY303" s="52" t="s">
        <v>1682</v>
      </c>
      <c r="AZ303" s="11"/>
      <c r="BA303" s="11"/>
      <c r="BB303" s="11"/>
      <c r="BC303" s="11"/>
      <c r="BD303" s="11"/>
      <c r="BE303" s="274">
        <v>1261000</v>
      </c>
      <c r="BF303" s="274">
        <v>239590</v>
      </c>
      <c r="BG303" s="274">
        <v>1500590</v>
      </c>
      <c r="BH303" s="11" t="s">
        <v>310</v>
      </c>
      <c r="BI303" s="11" t="s">
        <v>1683</v>
      </c>
      <c r="BJ303" s="311"/>
      <c r="BK303" s="311"/>
      <c r="BL303" s="311"/>
      <c r="BM303" s="52"/>
      <c r="BN303" s="52"/>
      <c r="BO303" s="387"/>
      <c r="BP303" s="320"/>
      <c r="BQ303" s="320"/>
      <c r="BR303" s="4"/>
      <c r="BS303" s="4"/>
      <c r="BT303" s="11"/>
      <c r="BU303" s="11"/>
      <c r="BV303" s="11"/>
      <c r="BW303" s="11"/>
      <c r="BX303" s="11"/>
      <c r="BY303" s="348"/>
      <c r="BZ303" s="348"/>
      <c r="CA303" s="348"/>
      <c r="CB303" s="348"/>
      <c r="CC303" s="348"/>
      <c r="CD303" s="11"/>
      <c r="CE303" s="11"/>
      <c r="CF303" s="11"/>
      <c r="CG303" s="11"/>
      <c r="CH303" s="11"/>
      <c r="CI303" s="11"/>
      <c r="CJ303" s="11"/>
      <c r="CK303" s="11"/>
      <c r="CL303" s="11"/>
      <c r="CM303" s="11"/>
      <c r="CN303" s="274"/>
      <c r="CO303" s="274"/>
      <c r="CP303" s="274"/>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8">
        <v>579600</v>
      </c>
      <c r="DN303" s="118">
        <f>DM303*0.19</f>
        <v>110124</v>
      </c>
      <c r="DO303" s="118">
        <f>DM303+DN303</f>
        <v>689724</v>
      </c>
      <c r="DP303" s="52" t="s">
        <v>37</v>
      </c>
      <c r="DQ303" s="52" t="s">
        <v>1681</v>
      </c>
      <c r="DR303" s="77">
        <v>504000</v>
      </c>
      <c r="DS303" s="77">
        <f>+DR303*0.19</f>
        <v>95760</v>
      </c>
      <c r="DT303" s="77">
        <f>+DR303+DS303</f>
        <v>599760</v>
      </c>
      <c r="DU303" s="11" t="s">
        <v>37</v>
      </c>
      <c r="DV303" s="11" t="s">
        <v>1681</v>
      </c>
      <c r="DW303" s="11"/>
      <c r="DX303" s="11"/>
      <c r="DY303" s="11"/>
      <c r="DZ303" s="11"/>
      <c r="EA303" s="11"/>
      <c r="EB303" s="11"/>
      <c r="EC303" s="11"/>
      <c r="ED303" s="11"/>
      <c r="EE303" s="11"/>
      <c r="EF303" s="11"/>
    </row>
    <row r="304" spans="1:136" ht="81" x14ac:dyDescent="0.25">
      <c r="A304" s="425">
        <v>302</v>
      </c>
      <c r="B304" s="426" t="s">
        <v>1684</v>
      </c>
      <c r="C304" s="426" t="s">
        <v>1423</v>
      </c>
      <c r="D304" s="426" t="s">
        <v>1424</v>
      </c>
      <c r="E304" s="79">
        <v>1</v>
      </c>
      <c r="F304" s="405"/>
      <c r="G304" s="274"/>
      <c r="H304" s="274"/>
      <c r="I304" s="274"/>
      <c r="J304" s="274"/>
      <c r="K304" s="11"/>
      <c r="L304" s="274"/>
      <c r="M304" s="274"/>
      <c r="N304" s="274"/>
      <c r="O304" s="48"/>
      <c r="P304" s="11"/>
      <c r="Q304" s="274"/>
      <c r="R304" s="274"/>
      <c r="S304" s="274"/>
      <c r="T304" s="11"/>
      <c r="U304" s="11"/>
      <c r="V304" s="16">
        <v>2386641</v>
      </c>
      <c r="W304" s="274">
        <v>0</v>
      </c>
      <c r="X304" s="293">
        <f>+V304+W304</f>
        <v>2386641</v>
      </c>
      <c r="Y304" s="11" t="s">
        <v>343</v>
      </c>
      <c r="Z304" s="48" t="s">
        <v>1685</v>
      </c>
      <c r="AA304" s="52"/>
      <c r="AB304" s="52"/>
      <c r="AC304" s="118"/>
      <c r="AD304" s="5"/>
      <c r="AE304" s="52"/>
      <c r="AF304" s="113"/>
      <c r="AG304" s="113"/>
      <c r="AH304" s="113"/>
      <c r="AI304" s="52"/>
      <c r="AJ304" s="11"/>
      <c r="AK304" s="269">
        <v>1596200</v>
      </c>
      <c r="AL304" s="269">
        <v>303278</v>
      </c>
      <c r="AM304" s="116">
        <v>1899478</v>
      </c>
      <c r="AN304" s="301" t="s">
        <v>37</v>
      </c>
      <c r="AO304" s="302" t="s">
        <v>1686</v>
      </c>
      <c r="AP304" s="11"/>
      <c r="AQ304" s="11"/>
      <c r="AR304" s="11"/>
      <c r="AS304" s="11"/>
      <c r="AT304" s="11"/>
      <c r="AU304" s="118">
        <v>1802597</v>
      </c>
      <c r="AV304" s="118">
        <f>+AU304*0.19</f>
        <v>342493.43</v>
      </c>
      <c r="AW304" s="118">
        <f>+AU304+AV304</f>
        <v>2145090.4300000002</v>
      </c>
      <c r="AX304" s="52" t="s">
        <v>343</v>
      </c>
      <c r="AY304" s="52" t="s">
        <v>1687</v>
      </c>
      <c r="AZ304" s="11"/>
      <c r="BA304" s="11"/>
      <c r="BB304" s="11"/>
      <c r="BC304" s="11"/>
      <c r="BD304" s="11"/>
      <c r="BE304" s="274">
        <v>1556000</v>
      </c>
      <c r="BF304" s="274">
        <v>295640</v>
      </c>
      <c r="BG304" s="274">
        <v>1851640</v>
      </c>
      <c r="BH304" s="11" t="s">
        <v>310</v>
      </c>
      <c r="BI304" s="11" t="s">
        <v>1688</v>
      </c>
      <c r="BJ304" s="311"/>
      <c r="BK304" s="311"/>
      <c r="BL304" s="311"/>
      <c r="BM304" s="52"/>
      <c r="BN304" s="52"/>
      <c r="BO304" s="387"/>
      <c r="BP304" s="320"/>
      <c r="BQ304" s="320"/>
      <c r="BR304" s="4"/>
      <c r="BS304" s="4"/>
      <c r="BT304" s="11"/>
      <c r="BU304" s="11"/>
      <c r="BV304" s="11"/>
      <c r="BW304" s="11"/>
      <c r="BX304" s="11"/>
      <c r="BY304" s="348"/>
      <c r="BZ304" s="348"/>
      <c r="CA304" s="348"/>
      <c r="CB304" s="348"/>
      <c r="CC304" s="348"/>
      <c r="CD304" s="11"/>
      <c r="CE304" s="11"/>
      <c r="CF304" s="11"/>
      <c r="CG304" s="11"/>
      <c r="CH304" s="11"/>
      <c r="CI304" s="11"/>
      <c r="CJ304" s="11"/>
      <c r="CK304" s="11"/>
      <c r="CL304" s="11"/>
      <c r="CM304" s="11"/>
      <c r="CN304" s="274"/>
      <c r="CO304" s="274"/>
      <c r="CP304" s="274"/>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8"/>
      <c r="DN304" s="118"/>
      <c r="DO304" s="118"/>
      <c r="DP304" s="52"/>
      <c r="DQ304" s="52"/>
      <c r="DR304" s="77">
        <v>1067000</v>
      </c>
      <c r="DS304" s="77">
        <f>+DR304*0.19</f>
        <v>202730</v>
      </c>
      <c r="DT304" s="77">
        <f>+DR304+DS304</f>
        <v>1269730</v>
      </c>
      <c r="DU304" s="11" t="s">
        <v>37</v>
      </c>
      <c r="DV304" s="11" t="s">
        <v>1685</v>
      </c>
      <c r="DW304" s="11"/>
      <c r="DX304" s="11"/>
      <c r="DY304" s="11"/>
      <c r="DZ304" s="11"/>
      <c r="EA304" s="11"/>
      <c r="EB304" s="11"/>
      <c r="EC304" s="11"/>
      <c r="ED304" s="11"/>
      <c r="EE304" s="11"/>
      <c r="EF304" s="11"/>
    </row>
    <row r="305" spans="1:136" ht="81" x14ac:dyDescent="0.25">
      <c r="A305" s="425">
        <v>303</v>
      </c>
      <c r="B305" s="426" t="s">
        <v>1689</v>
      </c>
      <c r="C305" s="426" t="s">
        <v>1423</v>
      </c>
      <c r="D305" s="426" t="s">
        <v>1424</v>
      </c>
      <c r="E305" s="79">
        <v>1</v>
      </c>
      <c r="F305" s="405"/>
      <c r="G305" s="274"/>
      <c r="H305" s="274"/>
      <c r="I305" s="274"/>
      <c r="J305" s="274"/>
      <c r="K305" s="11"/>
      <c r="L305" s="274"/>
      <c r="M305" s="274"/>
      <c r="N305" s="274"/>
      <c r="O305" s="48"/>
      <c r="P305" s="11"/>
      <c r="Q305" s="274"/>
      <c r="R305" s="274"/>
      <c r="S305" s="274"/>
      <c r="T305" s="11"/>
      <c r="U305" s="11"/>
      <c r="V305" s="16">
        <v>2148700</v>
      </c>
      <c r="W305" s="274">
        <v>0</v>
      </c>
      <c r="X305" s="293">
        <f>+V305+W305</f>
        <v>2148700</v>
      </c>
      <c r="Y305" s="11" t="s">
        <v>343</v>
      </c>
      <c r="Z305" s="48" t="s">
        <v>1690</v>
      </c>
      <c r="AA305" s="52"/>
      <c r="AB305" s="52"/>
      <c r="AC305" s="118"/>
      <c r="AD305" s="5"/>
      <c r="AE305" s="52"/>
      <c r="AF305" s="113"/>
      <c r="AG305" s="113"/>
      <c r="AH305" s="113"/>
      <c r="AI305" s="52"/>
      <c r="AJ305" s="11"/>
      <c r="AK305" s="269"/>
      <c r="AL305" s="269"/>
      <c r="AM305" s="116"/>
      <c r="AN305" s="301"/>
      <c r="AO305" s="302"/>
      <c r="AP305" s="11"/>
      <c r="AQ305" s="11"/>
      <c r="AR305" s="11"/>
      <c r="AS305" s="11"/>
      <c r="AT305" s="11"/>
      <c r="AU305" s="118">
        <v>3016883</v>
      </c>
      <c r="AV305" s="118">
        <f>+AU305*0.19</f>
        <v>573207.77</v>
      </c>
      <c r="AW305" s="118">
        <f>+AU305+AV305</f>
        <v>3590090.77</v>
      </c>
      <c r="AX305" s="52" t="s">
        <v>343</v>
      </c>
      <c r="AY305" s="52" t="s">
        <v>1691</v>
      </c>
      <c r="AZ305" s="11"/>
      <c r="BA305" s="11"/>
      <c r="BB305" s="11"/>
      <c r="BC305" s="11"/>
      <c r="BD305" s="11"/>
      <c r="BE305" s="274">
        <v>6981000</v>
      </c>
      <c r="BF305" s="274">
        <v>1326390</v>
      </c>
      <c r="BG305" s="274">
        <v>8307390</v>
      </c>
      <c r="BH305" s="11" t="s">
        <v>310</v>
      </c>
      <c r="BI305" s="11" t="s">
        <v>1692</v>
      </c>
      <c r="BJ305" s="311"/>
      <c r="BK305" s="311"/>
      <c r="BL305" s="311"/>
      <c r="BM305" s="52"/>
      <c r="BN305" s="52"/>
      <c r="BO305" s="387"/>
      <c r="BP305" s="320"/>
      <c r="BQ305" s="320"/>
      <c r="BR305" s="4"/>
      <c r="BS305" s="4"/>
      <c r="BT305" s="11"/>
      <c r="BU305" s="11"/>
      <c r="BV305" s="11"/>
      <c r="BW305" s="11"/>
      <c r="BX305" s="11"/>
      <c r="BY305" s="348"/>
      <c r="BZ305" s="348"/>
      <c r="CA305" s="348"/>
      <c r="CB305" s="348"/>
      <c r="CC305" s="348"/>
      <c r="CD305" s="11"/>
      <c r="CE305" s="11"/>
      <c r="CF305" s="11"/>
      <c r="CG305" s="11"/>
      <c r="CH305" s="11"/>
      <c r="CI305" s="11"/>
      <c r="CJ305" s="11"/>
      <c r="CK305" s="11"/>
      <c r="CL305" s="11"/>
      <c r="CM305" s="11"/>
      <c r="CN305" s="274"/>
      <c r="CO305" s="274"/>
      <c r="CP305" s="274"/>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8">
        <v>579600</v>
      </c>
      <c r="DN305" s="118">
        <f>DM305*0.19</f>
        <v>110124</v>
      </c>
      <c r="DO305" s="118">
        <f>DM305+DN305</f>
        <v>689724</v>
      </c>
      <c r="DP305" s="52" t="s">
        <v>37</v>
      </c>
      <c r="DQ305" s="52" t="s">
        <v>1690</v>
      </c>
      <c r="DR305" s="77">
        <v>504000</v>
      </c>
      <c r="DS305" s="77">
        <f>+DR305*0.19</f>
        <v>95760</v>
      </c>
      <c r="DT305" s="77">
        <f>+DR305+DS305</f>
        <v>599760</v>
      </c>
      <c r="DU305" s="11" t="s">
        <v>37</v>
      </c>
      <c r="DV305" s="11" t="s">
        <v>1690</v>
      </c>
      <c r="DW305" s="11"/>
      <c r="DX305" s="11"/>
      <c r="DY305" s="11"/>
      <c r="DZ305" s="11"/>
      <c r="EA305" s="11"/>
      <c r="EB305" s="11"/>
      <c r="EC305" s="11"/>
      <c r="ED305" s="11"/>
      <c r="EE305" s="11"/>
      <c r="EF305" s="11"/>
    </row>
    <row r="306" spans="1:136" ht="40.5" x14ac:dyDescent="0.25">
      <c r="A306" s="425">
        <v>304</v>
      </c>
      <c r="B306" s="427" t="s">
        <v>1693</v>
      </c>
      <c r="C306" s="427" t="s">
        <v>1000</v>
      </c>
      <c r="D306" s="427" t="s">
        <v>549</v>
      </c>
      <c r="E306" s="79">
        <v>1</v>
      </c>
      <c r="F306" s="405"/>
      <c r="G306" s="274"/>
      <c r="H306" s="274"/>
      <c r="I306" s="274"/>
      <c r="J306" s="274"/>
      <c r="K306" s="11"/>
      <c r="L306" s="274"/>
      <c r="M306" s="274"/>
      <c r="N306" s="274"/>
      <c r="O306" s="48"/>
      <c r="P306" s="11"/>
      <c r="Q306" s="274"/>
      <c r="R306" s="274"/>
      <c r="S306" s="274"/>
      <c r="T306" s="11"/>
      <c r="U306" s="11"/>
      <c r="V306" s="11"/>
      <c r="W306" s="11"/>
      <c r="X306" s="11"/>
      <c r="Y306" s="11"/>
      <c r="Z306" s="48"/>
      <c r="AA306" s="52"/>
      <c r="AB306" s="52"/>
      <c r="AC306" s="118"/>
      <c r="AD306" s="5"/>
      <c r="AE306" s="52"/>
      <c r="AF306" s="113"/>
      <c r="AG306" s="113"/>
      <c r="AH306" s="113"/>
      <c r="AI306" s="52"/>
      <c r="AJ306" s="11"/>
      <c r="AK306" s="269"/>
      <c r="AL306" s="269"/>
      <c r="AM306" s="116"/>
      <c r="AN306" s="301"/>
      <c r="AO306" s="302"/>
      <c r="AP306" s="11"/>
      <c r="AQ306" s="11"/>
      <c r="AR306" s="11"/>
      <c r="AS306" s="11"/>
      <c r="AT306" s="11"/>
      <c r="AU306" s="118">
        <v>223319</v>
      </c>
      <c r="AV306" s="118">
        <v>42431</v>
      </c>
      <c r="AW306" s="118">
        <v>265749</v>
      </c>
      <c r="AX306" s="52" t="s">
        <v>607</v>
      </c>
      <c r="AY306" s="52" t="s">
        <v>1694</v>
      </c>
      <c r="AZ306" s="11"/>
      <c r="BA306" s="11"/>
      <c r="BB306" s="11"/>
      <c r="BC306" s="11"/>
      <c r="BD306" s="11"/>
      <c r="BE306" s="274">
        <v>1176000</v>
      </c>
      <c r="BF306" s="274">
        <v>223440</v>
      </c>
      <c r="BG306" s="274">
        <v>1399440</v>
      </c>
      <c r="BH306" s="11" t="s">
        <v>310</v>
      </c>
      <c r="BI306" s="11" t="s">
        <v>1695</v>
      </c>
      <c r="BJ306" s="311"/>
      <c r="BK306" s="311"/>
      <c r="BL306" s="311"/>
      <c r="BM306" s="52"/>
      <c r="BN306" s="52"/>
      <c r="BO306" s="387"/>
      <c r="BP306" s="320"/>
      <c r="BQ306" s="320"/>
      <c r="BR306" s="4"/>
      <c r="BS306" s="4"/>
      <c r="BT306" s="11"/>
      <c r="BU306" s="11"/>
      <c r="BV306" s="11"/>
      <c r="BW306" s="11"/>
      <c r="BX306" s="11"/>
      <c r="BY306" s="348"/>
      <c r="BZ306" s="348"/>
      <c r="CA306" s="348"/>
      <c r="CB306" s="348"/>
      <c r="CC306" s="348"/>
      <c r="CD306" s="11"/>
      <c r="CE306" s="11"/>
      <c r="CF306" s="11"/>
      <c r="CG306" s="11"/>
      <c r="CH306" s="11"/>
      <c r="CI306" s="11"/>
      <c r="CJ306" s="11"/>
      <c r="CK306" s="11"/>
      <c r="CL306" s="11"/>
      <c r="CM306" s="11"/>
      <c r="CN306" s="274"/>
      <c r="CO306" s="274"/>
      <c r="CP306" s="274"/>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8"/>
      <c r="DN306" s="118"/>
      <c r="DO306" s="118"/>
      <c r="DP306" s="52"/>
      <c r="DQ306" s="52"/>
      <c r="DR306" s="77"/>
      <c r="DS306" s="77"/>
      <c r="DT306" s="77"/>
      <c r="DU306" s="11"/>
      <c r="DV306" s="11"/>
      <c r="DW306" s="11"/>
      <c r="DX306" s="11"/>
      <c r="DY306" s="11"/>
      <c r="DZ306" s="11"/>
      <c r="EA306" s="11"/>
      <c r="EB306" s="11"/>
      <c r="EC306" s="11"/>
      <c r="ED306" s="11"/>
      <c r="EE306" s="11"/>
      <c r="EF306" s="11"/>
    </row>
    <row r="307" spans="1:136" ht="81" x14ac:dyDescent="0.25">
      <c r="A307" s="425">
        <v>305</v>
      </c>
      <c r="B307" s="428" t="s">
        <v>1696</v>
      </c>
      <c r="C307" s="413" t="s">
        <v>1460</v>
      </c>
      <c r="D307" s="426" t="s">
        <v>1461</v>
      </c>
      <c r="E307" s="79">
        <v>1</v>
      </c>
      <c r="F307" s="405"/>
      <c r="G307" s="274"/>
      <c r="H307" s="274"/>
      <c r="I307" s="274"/>
      <c r="J307" s="274"/>
      <c r="K307" s="11"/>
      <c r="L307" s="274"/>
      <c r="M307" s="274"/>
      <c r="N307" s="274"/>
      <c r="O307" s="48"/>
      <c r="P307" s="11"/>
      <c r="Q307" s="274"/>
      <c r="R307" s="274"/>
      <c r="S307" s="274"/>
      <c r="T307" s="11"/>
      <c r="U307" s="11"/>
      <c r="V307" s="11"/>
      <c r="W307" s="11"/>
      <c r="X307" s="11"/>
      <c r="Y307" s="11"/>
      <c r="Z307" s="48"/>
      <c r="AA307" s="52"/>
      <c r="AB307" s="52"/>
      <c r="AC307" s="118"/>
      <c r="AD307" s="5"/>
      <c r="AE307" s="52"/>
      <c r="AF307" s="113"/>
      <c r="AG307" s="113"/>
      <c r="AH307" s="113"/>
      <c r="AI307" s="52"/>
      <c r="AJ307" s="11"/>
      <c r="AK307" s="269"/>
      <c r="AL307" s="269"/>
      <c r="AM307" s="116"/>
      <c r="AN307" s="301"/>
      <c r="AO307" s="302"/>
      <c r="AP307" s="11"/>
      <c r="AQ307" s="11"/>
      <c r="AR307" s="11"/>
      <c r="AS307" s="11"/>
      <c r="AT307" s="11"/>
      <c r="AU307" s="118">
        <v>324387</v>
      </c>
      <c r="AV307" s="118">
        <v>61633</v>
      </c>
      <c r="AW307" s="118">
        <v>386020</v>
      </c>
      <c r="AX307" s="52" t="s">
        <v>607</v>
      </c>
      <c r="AY307" s="52" t="s">
        <v>1697</v>
      </c>
      <c r="AZ307" s="11"/>
      <c r="BA307" s="11"/>
      <c r="BB307" s="11"/>
      <c r="BC307" s="11"/>
      <c r="BD307" s="11"/>
      <c r="BE307" s="274">
        <v>474000</v>
      </c>
      <c r="BF307" s="274">
        <v>90060</v>
      </c>
      <c r="BG307" s="274">
        <v>564060</v>
      </c>
      <c r="BH307" s="11" t="s">
        <v>310</v>
      </c>
      <c r="BI307" s="11" t="s">
        <v>1698</v>
      </c>
      <c r="BJ307" s="311"/>
      <c r="BK307" s="311"/>
      <c r="BL307" s="311"/>
      <c r="BM307" s="52"/>
      <c r="BN307" s="52"/>
      <c r="BO307" s="387"/>
      <c r="BP307" s="320"/>
      <c r="BQ307" s="320"/>
      <c r="BR307" s="4"/>
      <c r="BS307" s="4"/>
      <c r="BT307" s="11"/>
      <c r="BU307" s="11"/>
      <c r="BV307" s="11"/>
      <c r="BW307" s="11"/>
      <c r="BX307" s="11"/>
      <c r="BY307" s="348"/>
      <c r="BZ307" s="348"/>
      <c r="CA307" s="348"/>
      <c r="CB307" s="348"/>
      <c r="CC307" s="348"/>
      <c r="CD307" s="11"/>
      <c r="CE307" s="11"/>
      <c r="CF307" s="11"/>
      <c r="CG307" s="11"/>
      <c r="CH307" s="11"/>
      <c r="CI307" s="11"/>
      <c r="CJ307" s="11"/>
      <c r="CK307" s="11"/>
      <c r="CL307" s="11"/>
      <c r="CM307" s="11"/>
      <c r="CN307" s="274"/>
      <c r="CO307" s="274"/>
      <c r="CP307" s="274"/>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8"/>
      <c r="DN307" s="118"/>
      <c r="DO307" s="118"/>
      <c r="DP307" s="52"/>
      <c r="DQ307" s="52"/>
      <c r="DR307" s="77"/>
      <c r="DS307" s="77"/>
      <c r="DT307" s="77"/>
      <c r="DU307" s="11"/>
      <c r="DV307" s="11"/>
      <c r="DW307" s="11"/>
      <c r="DX307" s="11"/>
      <c r="DY307" s="11"/>
      <c r="DZ307" s="11"/>
      <c r="EA307" s="11"/>
      <c r="EB307" s="11"/>
      <c r="EC307" s="11"/>
      <c r="ED307" s="11"/>
      <c r="EE307" s="11"/>
      <c r="EF307" s="11"/>
    </row>
    <row r="308" spans="1:136" ht="81" x14ac:dyDescent="0.25">
      <c r="A308" s="425">
        <v>306</v>
      </c>
      <c r="B308" s="428" t="s">
        <v>1699</v>
      </c>
      <c r="C308" s="413" t="s">
        <v>1460</v>
      </c>
      <c r="D308" s="426" t="s">
        <v>1461</v>
      </c>
      <c r="E308" s="79">
        <v>1</v>
      </c>
      <c r="F308" s="405"/>
      <c r="G308" s="274"/>
      <c r="H308" s="274"/>
      <c r="I308" s="274"/>
      <c r="J308" s="274"/>
      <c r="K308" s="11"/>
      <c r="L308" s="274"/>
      <c r="M308" s="274"/>
      <c r="N308" s="274"/>
      <c r="O308" s="48"/>
      <c r="P308" s="11"/>
      <c r="Q308" s="274"/>
      <c r="R308" s="274"/>
      <c r="S308" s="274"/>
      <c r="T308" s="11"/>
      <c r="U308" s="11"/>
      <c r="V308" s="11"/>
      <c r="W308" s="11"/>
      <c r="X308" s="11"/>
      <c r="Y308" s="11"/>
      <c r="Z308" s="48"/>
      <c r="AA308" s="52"/>
      <c r="AB308" s="52"/>
      <c r="AC308" s="118"/>
      <c r="AD308" s="5"/>
      <c r="AE308" s="52"/>
      <c r="AF308" s="113"/>
      <c r="AG308" s="113"/>
      <c r="AH308" s="113"/>
      <c r="AI308" s="52"/>
      <c r="AJ308" s="11"/>
      <c r="AK308" s="269">
        <v>300670</v>
      </c>
      <c r="AL308" s="269">
        <v>57127.3</v>
      </c>
      <c r="AM308" s="116">
        <v>357797.3</v>
      </c>
      <c r="AN308" s="301" t="s">
        <v>37</v>
      </c>
      <c r="AO308" s="302" t="s">
        <v>1700</v>
      </c>
      <c r="AP308" s="11"/>
      <c r="AQ308" s="11"/>
      <c r="AR308" s="11"/>
      <c r="AS308" s="11"/>
      <c r="AT308" s="11"/>
      <c r="AU308" s="118">
        <v>324387</v>
      </c>
      <c r="AV308" s="118">
        <v>61633</v>
      </c>
      <c r="AW308" s="118">
        <v>386020</v>
      </c>
      <c r="AX308" s="52" t="s">
        <v>607</v>
      </c>
      <c r="AY308" s="52" t="s">
        <v>1700</v>
      </c>
      <c r="AZ308" s="11"/>
      <c r="BA308" s="11"/>
      <c r="BB308" s="11"/>
      <c r="BC308" s="11"/>
      <c r="BD308" s="11"/>
      <c r="BE308" s="274">
        <v>1243000</v>
      </c>
      <c r="BF308" s="274">
        <v>236170</v>
      </c>
      <c r="BG308" s="274">
        <v>1479170</v>
      </c>
      <c r="BH308" s="11" t="s">
        <v>310</v>
      </c>
      <c r="BI308" s="11" t="s">
        <v>1701</v>
      </c>
      <c r="BJ308" s="311"/>
      <c r="BK308" s="311"/>
      <c r="BL308" s="311"/>
      <c r="BM308" s="52"/>
      <c r="BN308" s="52"/>
      <c r="BO308" s="387"/>
      <c r="BP308" s="320"/>
      <c r="BQ308" s="320"/>
      <c r="BR308" s="4"/>
      <c r="BS308" s="4"/>
      <c r="BT308" s="11"/>
      <c r="BU308" s="11"/>
      <c r="BV308" s="11"/>
      <c r="BW308" s="11"/>
      <c r="BX308" s="11"/>
      <c r="BY308" s="348"/>
      <c r="BZ308" s="348"/>
      <c r="CA308" s="348"/>
      <c r="CB308" s="348"/>
      <c r="CC308" s="348"/>
      <c r="CD308" s="11"/>
      <c r="CE308" s="11"/>
      <c r="CF308" s="11"/>
      <c r="CG308" s="11"/>
      <c r="CH308" s="11"/>
      <c r="CI308" s="11"/>
      <c r="CJ308" s="11"/>
      <c r="CK308" s="11"/>
      <c r="CL308" s="11"/>
      <c r="CM308" s="11"/>
      <c r="CN308" s="274"/>
      <c r="CO308" s="274"/>
      <c r="CP308" s="274"/>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8"/>
      <c r="DN308" s="118"/>
      <c r="DO308" s="118"/>
      <c r="DP308" s="52"/>
      <c r="DQ308" s="52"/>
      <c r="DR308" s="77"/>
      <c r="DS308" s="77"/>
      <c r="DT308" s="77"/>
      <c r="DU308" s="11"/>
      <c r="DV308" s="11"/>
      <c r="DW308" s="11"/>
      <c r="DX308" s="11"/>
      <c r="DY308" s="11"/>
      <c r="DZ308" s="11"/>
      <c r="EA308" s="11"/>
      <c r="EB308" s="11"/>
      <c r="EC308" s="11"/>
      <c r="ED308" s="11"/>
      <c r="EE308" s="11"/>
      <c r="EF308" s="11"/>
    </row>
    <row r="309" spans="1:136" ht="81" x14ac:dyDescent="0.25">
      <c r="A309" s="425">
        <v>307</v>
      </c>
      <c r="B309" s="428" t="s">
        <v>1702</v>
      </c>
      <c r="C309" s="413" t="s">
        <v>1460</v>
      </c>
      <c r="D309" s="426" t="s">
        <v>1461</v>
      </c>
      <c r="E309" s="79">
        <v>1</v>
      </c>
      <c r="F309" s="405"/>
      <c r="G309" s="274"/>
      <c r="H309" s="274"/>
      <c r="I309" s="274"/>
      <c r="J309" s="274"/>
      <c r="K309" s="11"/>
      <c r="L309" s="274"/>
      <c r="M309" s="274"/>
      <c r="N309" s="274"/>
      <c r="O309" s="48"/>
      <c r="P309" s="11"/>
      <c r="Q309" s="274"/>
      <c r="R309" s="274"/>
      <c r="S309" s="274"/>
      <c r="T309" s="11"/>
      <c r="U309" s="11"/>
      <c r="V309" s="11"/>
      <c r="W309" s="11"/>
      <c r="X309" s="11"/>
      <c r="Y309" s="11"/>
      <c r="Z309" s="48"/>
      <c r="AA309" s="52"/>
      <c r="AB309" s="52"/>
      <c r="AC309" s="118"/>
      <c r="AD309" s="5"/>
      <c r="AE309" s="52"/>
      <c r="AF309" s="113"/>
      <c r="AG309" s="113"/>
      <c r="AH309" s="113"/>
      <c r="AI309" s="52"/>
      <c r="AJ309" s="11"/>
      <c r="AK309" s="269">
        <v>390550</v>
      </c>
      <c r="AL309" s="269">
        <v>74204.5</v>
      </c>
      <c r="AM309" s="116">
        <v>464754.5</v>
      </c>
      <c r="AN309" s="301" t="s">
        <v>37</v>
      </c>
      <c r="AO309" s="302" t="s">
        <v>1703</v>
      </c>
      <c r="AP309" s="11"/>
      <c r="AQ309" s="11"/>
      <c r="AR309" s="11"/>
      <c r="AS309" s="11"/>
      <c r="AT309" s="11"/>
      <c r="AU309" s="118">
        <v>421356</v>
      </c>
      <c r="AV309" s="118">
        <v>80058</v>
      </c>
      <c r="AW309" s="118">
        <v>501414</v>
      </c>
      <c r="AX309" s="52" t="s">
        <v>607</v>
      </c>
      <c r="AY309" s="52" t="s">
        <v>1703</v>
      </c>
      <c r="AZ309" s="11"/>
      <c r="BA309" s="11"/>
      <c r="BB309" s="11"/>
      <c r="BC309" s="11"/>
      <c r="BD309" s="11"/>
      <c r="BE309" s="274">
        <v>1224000</v>
      </c>
      <c r="BF309" s="274">
        <v>232560</v>
      </c>
      <c r="BG309" s="274">
        <v>1456560</v>
      </c>
      <c r="BH309" s="11" t="s">
        <v>310</v>
      </c>
      <c r="BI309" s="11" t="s">
        <v>1704</v>
      </c>
      <c r="BJ309" s="311"/>
      <c r="BK309" s="311"/>
      <c r="BL309" s="311"/>
      <c r="BM309" s="52"/>
      <c r="BN309" s="52"/>
      <c r="BO309" s="387"/>
      <c r="BP309" s="320"/>
      <c r="BQ309" s="320"/>
      <c r="BR309" s="4"/>
      <c r="BS309" s="4"/>
      <c r="BT309" s="11"/>
      <c r="BU309" s="11"/>
      <c r="BV309" s="11"/>
      <c r="BW309" s="11"/>
      <c r="BX309" s="11"/>
      <c r="BY309" s="348"/>
      <c r="BZ309" s="348"/>
      <c r="CA309" s="348"/>
      <c r="CB309" s="348"/>
      <c r="CC309" s="348"/>
      <c r="CD309" s="11"/>
      <c r="CE309" s="11"/>
      <c r="CF309" s="11"/>
      <c r="CG309" s="11"/>
      <c r="CH309" s="11"/>
      <c r="CI309" s="11"/>
      <c r="CJ309" s="11"/>
      <c r="CK309" s="11"/>
      <c r="CL309" s="11"/>
      <c r="CM309" s="11"/>
      <c r="CN309" s="274"/>
      <c r="CO309" s="274"/>
      <c r="CP309" s="274"/>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8"/>
      <c r="DN309" s="118"/>
      <c r="DO309" s="118"/>
      <c r="DP309" s="52"/>
      <c r="DQ309" s="52"/>
      <c r="DR309" s="77"/>
      <c r="DS309" s="77"/>
      <c r="DT309" s="77"/>
      <c r="DU309" s="11"/>
      <c r="DV309" s="11"/>
      <c r="DW309" s="11"/>
      <c r="DX309" s="11"/>
      <c r="DY309" s="11"/>
      <c r="DZ309" s="11"/>
      <c r="EA309" s="11"/>
      <c r="EB309" s="11"/>
      <c r="EC309" s="11"/>
      <c r="ED309" s="11"/>
      <c r="EE309" s="11"/>
      <c r="EF309" s="11"/>
    </row>
    <row r="310" spans="1:136" ht="25.5" customHeight="1" x14ac:dyDescent="0.25">
      <c r="A310" s="425">
        <v>308</v>
      </c>
      <c r="B310" s="427" t="s">
        <v>1705</v>
      </c>
      <c r="C310" s="427" t="s">
        <v>1670</v>
      </c>
      <c r="D310" s="427" t="s">
        <v>1706</v>
      </c>
      <c r="E310" s="79">
        <v>1</v>
      </c>
      <c r="F310" s="405"/>
      <c r="G310" s="274"/>
      <c r="H310" s="274"/>
      <c r="I310" s="274"/>
      <c r="J310" s="274"/>
      <c r="K310" s="11"/>
      <c r="L310" s="274"/>
      <c r="M310" s="274"/>
      <c r="N310" s="274"/>
      <c r="O310" s="48"/>
      <c r="P310" s="11"/>
      <c r="Q310" s="274"/>
      <c r="R310" s="274"/>
      <c r="S310" s="274"/>
      <c r="T310" s="11"/>
      <c r="U310" s="11"/>
      <c r="V310" s="16">
        <v>1058784</v>
      </c>
      <c r="W310" s="274">
        <v>0</v>
      </c>
      <c r="X310" s="293">
        <f>+V310+W310</f>
        <v>1058784</v>
      </c>
      <c r="Y310" s="11" t="s">
        <v>343</v>
      </c>
      <c r="Z310" s="48" t="s">
        <v>1707</v>
      </c>
      <c r="AA310" s="52"/>
      <c r="AB310" s="52"/>
      <c r="AC310" s="118"/>
      <c r="AD310" s="5"/>
      <c r="AE310" s="52"/>
      <c r="AF310" s="113"/>
      <c r="AG310" s="113"/>
      <c r="AH310" s="113"/>
      <c r="AI310" s="52"/>
      <c r="AJ310" s="11"/>
      <c r="AK310" s="269">
        <v>1485160</v>
      </c>
      <c r="AL310" s="269">
        <v>0</v>
      </c>
      <c r="AM310" s="116">
        <v>1485160</v>
      </c>
      <c r="AN310" s="301" t="s">
        <v>37</v>
      </c>
      <c r="AO310" s="302" t="s">
        <v>1708</v>
      </c>
      <c r="AP310" s="11"/>
      <c r="AQ310" s="11"/>
      <c r="AR310" s="11"/>
      <c r="AS310" s="11"/>
      <c r="AT310" s="11"/>
      <c r="AU310" s="118">
        <v>1632941</v>
      </c>
      <c r="AV310" s="118">
        <f>+AU310*0.19</f>
        <v>310258.78999999998</v>
      </c>
      <c r="AW310" s="118">
        <f>+AU310+AV310</f>
        <v>1943199.79</v>
      </c>
      <c r="AX310" s="52" t="s">
        <v>343</v>
      </c>
      <c r="AY310" s="52" t="s">
        <v>1709</v>
      </c>
      <c r="AZ310" s="11"/>
      <c r="BA310" s="11"/>
      <c r="BB310" s="11"/>
      <c r="BC310" s="11"/>
      <c r="BD310" s="11"/>
      <c r="BE310" s="274">
        <v>2314000</v>
      </c>
      <c r="BF310" s="274">
        <v>439660</v>
      </c>
      <c r="BG310" s="274">
        <v>2753660</v>
      </c>
      <c r="BH310" s="11" t="s">
        <v>310</v>
      </c>
      <c r="BI310" s="11" t="s">
        <v>1710</v>
      </c>
      <c r="BJ310" s="311"/>
      <c r="BK310" s="311"/>
      <c r="BL310" s="311"/>
      <c r="BM310" s="52"/>
      <c r="BN310" s="52"/>
      <c r="BO310" s="387"/>
      <c r="BP310" s="320"/>
      <c r="BQ310" s="320"/>
      <c r="BR310" s="4"/>
      <c r="BS310" s="4"/>
      <c r="BT310" s="11"/>
      <c r="BU310" s="11"/>
      <c r="BV310" s="11"/>
      <c r="BW310" s="11"/>
      <c r="BX310" s="11"/>
      <c r="BY310" s="348"/>
      <c r="BZ310" s="348"/>
      <c r="CA310" s="348"/>
      <c r="CB310" s="348"/>
      <c r="CC310" s="348"/>
      <c r="CD310" s="11"/>
      <c r="CE310" s="11"/>
      <c r="CF310" s="11"/>
      <c r="CG310" s="11"/>
      <c r="CH310" s="11"/>
      <c r="CI310" s="11"/>
      <c r="CJ310" s="11"/>
      <c r="CK310" s="11"/>
      <c r="CL310" s="11"/>
      <c r="CM310" s="11"/>
      <c r="CN310" s="274"/>
      <c r="CO310" s="274"/>
      <c r="CP310" s="274"/>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8"/>
      <c r="DN310" s="118"/>
      <c r="DO310" s="118"/>
      <c r="DP310" s="52"/>
      <c r="DQ310" s="52"/>
      <c r="DR310" s="77">
        <v>310000</v>
      </c>
      <c r="DS310" s="77">
        <v>0</v>
      </c>
      <c r="DT310" s="77">
        <f>+DR310+DS310</f>
        <v>310000</v>
      </c>
      <c r="DU310" s="11" t="s">
        <v>37</v>
      </c>
      <c r="DV310" s="11" t="s">
        <v>1707</v>
      </c>
      <c r="DW310" s="11"/>
      <c r="DX310" s="11"/>
      <c r="DY310" s="11"/>
      <c r="DZ310" s="11"/>
      <c r="EA310" s="11"/>
      <c r="EB310" s="11"/>
      <c r="EC310" s="11"/>
      <c r="ED310" s="11"/>
      <c r="EE310" s="11"/>
      <c r="EF310" s="11"/>
    </row>
    <row r="311" spans="1:136" ht="54" x14ac:dyDescent="0.25">
      <c r="A311" s="425">
        <v>309</v>
      </c>
      <c r="B311" s="426" t="s">
        <v>1711</v>
      </c>
      <c r="C311" s="413" t="s">
        <v>1670</v>
      </c>
      <c r="D311" s="413" t="s">
        <v>1706</v>
      </c>
      <c r="E311" s="79">
        <v>1</v>
      </c>
      <c r="F311" s="404">
        <v>894897.13600000006</v>
      </c>
      <c r="G311" s="274"/>
      <c r="H311" s="274"/>
      <c r="I311" s="274"/>
      <c r="J311" s="274"/>
      <c r="K311" s="11"/>
      <c r="L311" s="274"/>
      <c r="M311" s="274"/>
      <c r="N311" s="274"/>
      <c r="O311" s="48"/>
      <c r="P311" s="11"/>
      <c r="Q311" s="274"/>
      <c r="R311" s="274"/>
      <c r="S311" s="274"/>
      <c r="T311" s="11"/>
      <c r="U311" s="11"/>
      <c r="V311" s="11"/>
      <c r="W311" s="11"/>
      <c r="X311" s="11"/>
      <c r="Y311" s="11"/>
      <c r="Z311" s="48"/>
      <c r="AA311" s="52"/>
      <c r="AB311" s="52"/>
      <c r="AC311" s="118"/>
      <c r="AD311" s="5"/>
      <c r="AE311" s="52"/>
      <c r="AF311" s="113"/>
      <c r="AG311" s="113"/>
      <c r="AH311" s="113"/>
      <c r="AI311" s="52"/>
      <c r="AJ311" s="11"/>
      <c r="AK311" s="269">
        <v>1485160</v>
      </c>
      <c r="AL311" s="269">
        <v>0</v>
      </c>
      <c r="AM311" s="116">
        <v>1485160</v>
      </c>
      <c r="AN311" s="301" t="s">
        <v>37</v>
      </c>
      <c r="AO311" s="302" t="s">
        <v>1712</v>
      </c>
      <c r="AP311" s="11"/>
      <c r="AQ311" s="11"/>
      <c r="AR311" s="11"/>
      <c r="AS311" s="11"/>
      <c r="AT311" s="11"/>
      <c r="AU311" s="118">
        <v>308102.94</v>
      </c>
      <c r="AV311" s="118">
        <f>+AU311*0.19</f>
        <v>58539.558600000004</v>
      </c>
      <c r="AW311" s="118">
        <f>+AU311+AV311</f>
        <v>366642.49859999999</v>
      </c>
      <c r="AX311" s="52" t="s">
        <v>343</v>
      </c>
      <c r="AY311" s="52" t="s">
        <v>1713</v>
      </c>
      <c r="AZ311" s="11"/>
      <c r="BA311" s="11"/>
      <c r="BB311" s="11"/>
      <c r="BC311" s="11"/>
      <c r="BD311" s="11"/>
      <c r="BE311" s="274">
        <v>1119000</v>
      </c>
      <c r="BF311" s="274">
        <v>212610</v>
      </c>
      <c r="BG311" s="274">
        <v>1331610</v>
      </c>
      <c r="BH311" s="11" t="s">
        <v>310</v>
      </c>
      <c r="BI311" s="11" t="s">
        <v>1714</v>
      </c>
      <c r="BJ311" s="311"/>
      <c r="BK311" s="311"/>
      <c r="BL311" s="311"/>
      <c r="BM311" s="52"/>
      <c r="BN311" s="52"/>
      <c r="BO311" s="387"/>
      <c r="BP311" s="320"/>
      <c r="BQ311" s="320"/>
      <c r="BR311" s="4"/>
      <c r="BS311" s="4"/>
      <c r="BT311" s="11"/>
      <c r="BU311" s="11"/>
      <c r="BV311" s="11"/>
      <c r="BW311" s="11"/>
      <c r="BX311" s="11"/>
      <c r="BY311" s="348"/>
      <c r="BZ311" s="348"/>
      <c r="CA311" s="348"/>
      <c r="CB311" s="348"/>
      <c r="CC311" s="348"/>
      <c r="CD311" s="11"/>
      <c r="CE311" s="11"/>
      <c r="CF311" s="11"/>
      <c r="CG311" s="11"/>
      <c r="CH311" s="11"/>
      <c r="CI311" s="11"/>
      <c r="CJ311" s="11"/>
      <c r="CK311" s="11"/>
      <c r="CL311" s="11"/>
      <c r="CM311" s="11"/>
      <c r="CN311" s="274"/>
      <c r="CO311" s="274"/>
      <c r="CP311" s="274"/>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8">
        <v>356500</v>
      </c>
      <c r="DN311" s="118">
        <f>DM311*0.19</f>
        <v>67735</v>
      </c>
      <c r="DO311" s="118">
        <f>DM311+DN311</f>
        <v>424235</v>
      </c>
      <c r="DP311" s="52" t="s">
        <v>37</v>
      </c>
      <c r="DQ311" s="5" t="s">
        <v>1707</v>
      </c>
      <c r="DR311" s="77"/>
      <c r="DS311" s="77"/>
      <c r="DT311" s="77"/>
      <c r="DU311" s="11"/>
      <c r="DV311" s="11"/>
      <c r="DW311" s="11"/>
      <c r="DX311" s="11"/>
      <c r="DY311" s="11"/>
      <c r="DZ311" s="11"/>
      <c r="EA311" s="11"/>
      <c r="EB311" s="11"/>
      <c r="EC311" s="11"/>
      <c r="ED311" s="11"/>
      <c r="EE311" s="11"/>
      <c r="EF311" s="11"/>
    </row>
    <row r="312" spans="1:136" ht="40.5" x14ac:dyDescent="0.25">
      <c r="A312" s="425">
        <v>310</v>
      </c>
      <c r="B312" s="427" t="s">
        <v>1715</v>
      </c>
      <c r="C312" s="427" t="s">
        <v>1000</v>
      </c>
      <c r="D312" s="427" t="s">
        <v>549</v>
      </c>
      <c r="E312" s="79">
        <v>1</v>
      </c>
      <c r="F312" s="405"/>
      <c r="G312" s="274"/>
      <c r="H312" s="274"/>
      <c r="I312" s="274"/>
      <c r="J312" s="274"/>
      <c r="K312" s="11"/>
      <c r="L312" s="274"/>
      <c r="M312" s="274"/>
      <c r="N312" s="274"/>
      <c r="O312" s="48"/>
      <c r="P312" s="11"/>
      <c r="Q312" s="274"/>
      <c r="R312" s="274"/>
      <c r="S312" s="274"/>
      <c r="T312" s="11"/>
      <c r="U312" s="11"/>
      <c r="V312" s="11"/>
      <c r="W312" s="11"/>
      <c r="X312" s="11"/>
      <c r="Y312" s="11"/>
      <c r="Z312" s="48"/>
      <c r="AA312" s="52"/>
      <c r="AB312" s="52"/>
      <c r="AC312" s="118"/>
      <c r="AD312" s="5"/>
      <c r="AE312" s="52"/>
      <c r="AF312" s="113"/>
      <c r="AG312" s="113"/>
      <c r="AH312" s="113"/>
      <c r="AI312" s="52"/>
      <c r="AJ312" s="11"/>
      <c r="AK312" s="269"/>
      <c r="AL312" s="269"/>
      <c r="AM312" s="116"/>
      <c r="AN312" s="301"/>
      <c r="AO312" s="302"/>
      <c r="AP312" s="11"/>
      <c r="AQ312" s="11"/>
      <c r="AR312" s="11"/>
      <c r="AS312" s="11"/>
      <c r="AT312" s="11"/>
      <c r="AU312" s="118">
        <v>666797</v>
      </c>
      <c r="AV312" s="118">
        <v>126691</v>
      </c>
      <c r="AW312" s="118">
        <v>793488</v>
      </c>
      <c r="AX312" s="52" t="s">
        <v>607</v>
      </c>
      <c r="AY312" s="52" t="s">
        <v>1716</v>
      </c>
      <c r="AZ312" s="11"/>
      <c r="BA312" s="11"/>
      <c r="BB312" s="11"/>
      <c r="BC312" s="11"/>
      <c r="BD312" s="11"/>
      <c r="BE312" s="274">
        <v>1205000</v>
      </c>
      <c r="BF312" s="274">
        <v>228950</v>
      </c>
      <c r="BG312" s="274">
        <v>1433950</v>
      </c>
      <c r="BH312" s="11" t="s">
        <v>310</v>
      </c>
      <c r="BI312" s="11" t="s">
        <v>1717</v>
      </c>
      <c r="BJ312" s="311"/>
      <c r="BK312" s="311"/>
      <c r="BL312" s="311"/>
      <c r="BM312" s="52"/>
      <c r="BN312" s="52"/>
      <c r="BO312" s="387"/>
      <c r="BP312" s="320"/>
      <c r="BQ312" s="320"/>
      <c r="BR312" s="4"/>
      <c r="BS312" s="4"/>
      <c r="BT312" s="11"/>
      <c r="BU312" s="11"/>
      <c r="BV312" s="11"/>
      <c r="BW312" s="11"/>
      <c r="BX312" s="11"/>
      <c r="BY312" s="348"/>
      <c r="BZ312" s="348"/>
      <c r="CA312" s="348"/>
      <c r="CB312" s="348"/>
      <c r="CC312" s="348"/>
      <c r="CD312" s="11"/>
      <c r="CE312" s="11"/>
      <c r="CF312" s="11"/>
      <c r="CG312" s="11"/>
      <c r="CH312" s="11"/>
      <c r="CI312" s="11"/>
      <c r="CJ312" s="11"/>
      <c r="CK312" s="11"/>
      <c r="CL312" s="11"/>
      <c r="CM312" s="11"/>
      <c r="CN312" s="274"/>
      <c r="CO312" s="274"/>
      <c r="CP312" s="274"/>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8"/>
      <c r="DN312" s="118"/>
      <c r="DO312" s="118"/>
      <c r="DP312" s="52"/>
      <c r="DQ312" s="52"/>
      <c r="DR312" s="77"/>
      <c r="DS312" s="77"/>
      <c r="DT312" s="77"/>
      <c r="DU312" s="11"/>
      <c r="DV312" s="11"/>
      <c r="DW312" s="11"/>
      <c r="DX312" s="11"/>
      <c r="DY312" s="11"/>
      <c r="DZ312" s="11"/>
      <c r="EA312" s="11"/>
      <c r="EB312" s="11"/>
      <c r="EC312" s="11"/>
      <c r="ED312" s="11"/>
      <c r="EE312" s="11"/>
      <c r="EF312" s="11"/>
    </row>
    <row r="313" spans="1:136" ht="40.5" x14ac:dyDescent="0.25">
      <c r="A313" s="425">
        <v>311</v>
      </c>
      <c r="B313" s="427" t="s">
        <v>1718</v>
      </c>
      <c r="C313" s="427" t="s">
        <v>1000</v>
      </c>
      <c r="D313" s="427" t="s">
        <v>549</v>
      </c>
      <c r="E313" s="79">
        <v>1</v>
      </c>
      <c r="F313" s="405"/>
      <c r="G313" s="274"/>
      <c r="H313" s="274"/>
      <c r="I313" s="274"/>
      <c r="J313" s="274"/>
      <c r="K313" s="11"/>
      <c r="L313" s="274"/>
      <c r="M313" s="274"/>
      <c r="N313" s="274"/>
      <c r="O313" s="48"/>
      <c r="P313" s="11"/>
      <c r="Q313" s="274"/>
      <c r="R313" s="274"/>
      <c r="S313" s="274"/>
      <c r="T313" s="11"/>
      <c r="U313" s="11"/>
      <c r="V313" s="11"/>
      <c r="W313" s="11"/>
      <c r="X313" s="11"/>
      <c r="Y313" s="11"/>
      <c r="Z313" s="48"/>
      <c r="AA313" s="52"/>
      <c r="AB313" s="52"/>
      <c r="AC313" s="118"/>
      <c r="AD313" s="5"/>
      <c r="AE313" s="52"/>
      <c r="AF313" s="113"/>
      <c r="AG313" s="113"/>
      <c r="AH313" s="113"/>
      <c r="AI313" s="52"/>
      <c r="AJ313" s="11"/>
      <c r="AK313" s="269"/>
      <c r="AL313" s="269"/>
      <c r="AM313" s="116"/>
      <c r="AN313" s="301"/>
      <c r="AO313" s="302"/>
      <c r="AP313" s="11"/>
      <c r="AQ313" s="11"/>
      <c r="AR313" s="11"/>
      <c r="AS313" s="11"/>
      <c r="AT313" s="11"/>
      <c r="AU313" s="118">
        <v>634141</v>
      </c>
      <c r="AV313" s="118">
        <v>120487</v>
      </c>
      <c r="AW313" s="118">
        <v>754628</v>
      </c>
      <c r="AX313" s="52" t="s">
        <v>607</v>
      </c>
      <c r="AY313" s="52" t="s">
        <v>1719</v>
      </c>
      <c r="AZ313" s="11"/>
      <c r="BA313" s="11"/>
      <c r="BB313" s="11"/>
      <c r="BC313" s="11"/>
      <c r="BD313" s="11"/>
      <c r="BE313" s="274">
        <v>1508000</v>
      </c>
      <c r="BF313" s="274">
        <v>286520</v>
      </c>
      <c r="BG313" s="274">
        <v>1794520</v>
      </c>
      <c r="BH313" s="11" t="s">
        <v>310</v>
      </c>
      <c r="BI313" s="11" t="s">
        <v>1720</v>
      </c>
      <c r="BJ313" s="311"/>
      <c r="BK313" s="311"/>
      <c r="BL313" s="311"/>
      <c r="BM313" s="52"/>
      <c r="BN313" s="52"/>
      <c r="BO313" s="387"/>
      <c r="BP313" s="320"/>
      <c r="BQ313" s="320"/>
      <c r="BR313" s="4"/>
      <c r="BS313" s="4"/>
      <c r="BT313" s="11"/>
      <c r="BU313" s="11"/>
      <c r="BV313" s="11"/>
      <c r="BW313" s="11"/>
      <c r="BX313" s="11"/>
      <c r="BY313" s="348"/>
      <c r="BZ313" s="348"/>
      <c r="CA313" s="348"/>
      <c r="CB313" s="348"/>
      <c r="CC313" s="348"/>
      <c r="CD313" s="11"/>
      <c r="CE313" s="11"/>
      <c r="CF313" s="11"/>
      <c r="CG313" s="11"/>
      <c r="CH313" s="11"/>
      <c r="CI313" s="11"/>
      <c r="CJ313" s="11"/>
      <c r="CK313" s="11"/>
      <c r="CL313" s="11"/>
      <c r="CM313" s="11"/>
      <c r="CN313" s="274"/>
      <c r="CO313" s="274"/>
      <c r="CP313" s="274"/>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8"/>
      <c r="DN313" s="118"/>
      <c r="DO313" s="118"/>
      <c r="DP313" s="52"/>
      <c r="DQ313" s="52"/>
      <c r="DR313" s="77"/>
      <c r="DS313" s="77"/>
      <c r="DT313" s="77"/>
      <c r="DU313" s="11"/>
      <c r="DV313" s="11"/>
      <c r="DW313" s="11"/>
      <c r="DX313" s="11"/>
      <c r="DY313" s="11"/>
      <c r="DZ313" s="11"/>
      <c r="EA313" s="11"/>
      <c r="EB313" s="11"/>
      <c r="EC313" s="11"/>
      <c r="ED313" s="11"/>
      <c r="EE313" s="11"/>
      <c r="EF313" s="11"/>
    </row>
    <row r="314" spans="1:136" ht="40.5" x14ac:dyDescent="0.25">
      <c r="A314" s="425">
        <v>312</v>
      </c>
      <c r="B314" s="427" t="s">
        <v>1721</v>
      </c>
      <c r="C314" s="427" t="s">
        <v>1000</v>
      </c>
      <c r="D314" s="427" t="s">
        <v>549</v>
      </c>
      <c r="E314" s="79">
        <v>1</v>
      </c>
      <c r="F314" s="405"/>
      <c r="G314" s="274"/>
      <c r="H314" s="274"/>
      <c r="I314" s="274"/>
      <c r="J314" s="274"/>
      <c r="K314" s="11"/>
      <c r="L314" s="274"/>
      <c r="M314" s="274"/>
      <c r="N314" s="274"/>
      <c r="O314" s="48"/>
      <c r="P314" s="11"/>
      <c r="Q314" s="274"/>
      <c r="R314" s="274"/>
      <c r="S314" s="274"/>
      <c r="T314" s="11"/>
      <c r="U314" s="11"/>
      <c r="V314" s="11"/>
      <c r="W314" s="11"/>
      <c r="X314" s="11"/>
      <c r="Y314" s="11"/>
      <c r="Z314" s="48"/>
      <c r="AA314" s="52"/>
      <c r="AB314" s="52"/>
      <c r="AC314" s="118"/>
      <c r="AD314" s="5"/>
      <c r="AE314" s="52"/>
      <c r="AF314" s="113"/>
      <c r="AG314" s="113"/>
      <c r="AH314" s="113"/>
      <c r="AI314" s="52"/>
      <c r="AJ314" s="11"/>
      <c r="AK314" s="269"/>
      <c r="AL314" s="269"/>
      <c r="AM314" s="116"/>
      <c r="AN314" s="301"/>
      <c r="AO314" s="302"/>
      <c r="AP314" s="11"/>
      <c r="AQ314" s="11"/>
      <c r="AR314" s="11"/>
      <c r="AS314" s="11"/>
      <c r="AT314" s="11"/>
      <c r="AU314" s="118"/>
      <c r="AV314" s="118"/>
      <c r="AW314" s="118"/>
      <c r="AX314" s="52"/>
      <c r="AY314" s="52"/>
      <c r="AZ314" s="11"/>
      <c r="BA314" s="11"/>
      <c r="BB314" s="11"/>
      <c r="BC314" s="11"/>
      <c r="BD314" s="11"/>
      <c r="BE314" s="274">
        <v>1375000</v>
      </c>
      <c r="BF314" s="274">
        <v>261250</v>
      </c>
      <c r="BG314" s="274">
        <v>1636250</v>
      </c>
      <c r="BH314" s="11" t="s">
        <v>310</v>
      </c>
      <c r="BI314" s="11" t="s">
        <v>1722</v>
      </c>
      <c r="BJ314" s="311"/>
      <c r="BK314" s="311"/>
      <c r="BL314" s="311"/>
      <c r="BM314" s="52"/>
      <c r="BN314" s="52"/>
      <c r="BO314" s="387"/>
      <c r="BP314" s="320"/>
      <c r="BQ314" s="320"/>
      <c r="BR314" s="4"/>
      <c r="BS314" s="4"/>
      <c r="BT314" s="11"/>
      <c r="BU314" s="11"/>
      <c r="BV314" s="11"/>
      <c r="BW314" s="11"/>
      <c r="BX314" s="11"/>
      <c r="BY314" s="348"/>
      <c r="BZ314" s="348"/>
      <c r="CA314" s="348"/>
      <c r="CB314" s="348"/>
      <c r="CC314" s="348"/>
      <c r="CD314" s="11"/>
      <c r="CE314" s="11"/>
      <c r="CF314" s="11"/>
      <c r="CG314" s="11"/>
      <c r="CH314" s="11"/>
      <c r="CI314" s="11"/>
      <c r="CJ314" s="11"/>
      <c r="CK314" s="11"/>
      <c r="CL314" s="11"/>
      <c r="CM314" s="11"/>
      <c r="CN314" s="274"/>
      <c r="CO314" s="274"/>
      <c r="CP314" s="274"/>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8"/>
      <c r="DN314" s="118"/>
      <c r="DO314" s="118"/>
      <c r="DP314" s="52"/>
      <c r="DQ314" s="52"/>
      <c r="DR314" s="77"/>
      <c r="DS314" s="77"/>
      <c r="DT314" s="77"/>
      <c r="DU314" s="11"/>
      <c r="DV314" s="11"/>
      <c r="DW314" s="11"/>
      <c r="DX314" s="11"/>
      <c r="DY314" s="11"/>
      <c r="DZ314" s="11"/>
      <c r="EA314" s="11"/>
      <c r="EB314" s="11"/>
      <c r="EC314" s="11"/>
      <c r="ED314" s="11"/>
      <c r="EE314" s="11"/>
      <c r="EF314" s="11"/>
    </row>
    <row r="315" spans="1:136" ht="54" x14ac:dyDescent="0.25">
      <c r="A315" s="425">
        <v>313</v>
      </c>
      <c r="B315" s="427" t="s">
        <v>1723</v>
      </c>
      <c r="C315" s="427" t="s">
        <v>1724</v>
      </c>
      <c r="D315" s="427" t="s">
        <v>549</v>
      </c>
      <c r="E315" s="79">
        <v>1</v>
      </c>
      <c r="F315" s="405"/>
      <c r="G315" s="274"/>
      <c r="H315" s="274"/>
      <c r="I315" s="274"/>
      <c r="J315" s="274"/>
      <c r="K315" s="11"/>
      <c r="L315" s="274"/>
      <c r="M315" s="274"/>
      <c r="N315" s="274"/>
      <c r="O315" s="48"/>
      <c r="P315" s="11"/>
      <c r="Q315" s="274"/>
      <c r="R315" s="274"/>
      <c r="S315" s="274"/>
      <c r="T315" s="11"/>
      <c r="U315" s="11"/>
      <c r="V315" s="11"/>
      <c r="W315" s="11"/>
      <c r="X315" s="11"/>
      <c r="Y315" s="11"/>
      <c r="Z315" s="48"/>
      <c r="AA315" s="52"/>
      <c r="AB315" s="52"/>
      <c r="AC315" s="118"/>
      <c r="AD315" s="5"/>
      <c r="AE315" s="52"/>
      <c r="AF315" s="113"/>
      <c r="AG315" s="113"/>
      <c r="AH315" s="113"/>
      <c r="AI315" s="52"/>
      <c r="AJ315" s="11"/>
      <c r="AK315" s="269"/>
      <c r="AL315" s="269"/>
      <c r="AM315" s="116"/>
      <c r="AN315" s="301"/>
      <c r="AO315" s="302"/>
      <c r="AP315" s="11"/>
      <c r="AQ315" s="11"/>
      <c r="AR315" s="11"/>
      <c r="AS315" s="11"/>
      <c r="AT315" s="11"/>
      <c r="AU315" s="118">
        <v>645729</v>
      </c>
      <c r="AV315" s="118">
        <v>122688</v>
      </c>
      <c r="AW315" s="118">
        <v>768417</v>
      </c>
      <c r="AX315" s="52" t="s">
        <v>607</v>
      </c>
      <c r="AY315" s="52" t="s">
        <v>1725</v>
      </c>
      <c r="AZ315" s="11"/>
      <c r="BA315" s="11"/>
      <c r="BB315" s="11"/>
      <c r="BC315" s="11"/>
      <c r="BD315" s="11"/>
      <c r="BE315" s="274">
        <v>2845000</v>
      </c>
      <c r="BF315" s="274">
        <v>540550</v>
      </c>
      <c r="BG315" s="274">
        <v>3385550</v>
      </c>
      <c r="BH315" s="11" t="s">
        <v>310</v>
      </c>
      <c r="BI315" s="11" t="s">
        <v>1726</v>
      </c>
      <c r="BJ315" s="311"/>
      <c r="BK315" s="311"/>
      <c r="BL315" s="311"/>
      <c r="BM315" s="52"/>
      <c r="BN315" s="52"/>
      <c r="BO315" s="387"/>
      <c r="BP315" s="320"/>
      <c r="BQ315" s="320"/>
      <c r="BR315" s="4"/>
      <c r="BS315" s="4"/>
      <c r="BT315" s="11"/>
      <c r="BU315" s="11"/>
      <c r="BV315" s="11"/>
      <c r="BW315" s="11"/>
      <c r="BX315" s="11"/>
      <c r="BY315" s="348"/>
      <c r="BZ315" s="348"/>
      <c r="CA315" s="348"/>
      <c r="CB315" s="348"/>
      <c r="CC315" s="348"/>
      <c r="CD315" s="11"/>
      <c r="CE315" s="11"/>
      <c r="CF315" s="11"/>
      <c r="CG315" s="11"/>
      <c r="CH315" s="11"/>
      <c r="CI315" s="11"/>
      <c r="CJ315" s="11"/>
      <c r="CK315" s="11"/>
      <c r="CL315" s="11"/>
      <c r="CM315" s="11"/>
      <c r="CN315" s="274"/>
      <c r="CO315" s="274"/>
      <c r="CP315" s="274"/>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8"/>
      <c r="DN315" s="118"/>
      <c r="DO315" s="118"/>
      <c r="DP315" s="52"/>
      <c r="DQ315" s="52"/>
      <c r="DR315" s="77"/>
      <c r="DS315" s="77"/>
      <c r="DT315" s="77"/>
      <c r="DU315" s="11"/>
      <c r="DV315" s="11"/>
      <c r="DW315" s="11"/>
      <c r="DX315" s="11"/>
      <c r="DY315" s="11"/>
      <c r="DZ315" s="11"/>
      <c r="EA315" s="11"/>
      <c r="EB315" s="11"/>
      <c r="EC315" s="11"/>
      <c r="ED315" s="11"/>
      <c r="EE315" s="11"/>
      <c r="EF315" s="11"/>
    </row>
    <row r="316" spans="1:136" ht="40.5" x14ac:dyDescent="0.25">
      <c r="A316" s="425">
        <v>314</v>
      </c>
      <c r="B316" s="427" t="s">
        <v>1727</v>
      </c>
      <c r="C316" s="427" t="s">
        <v>1000</v>
      </c>
      <c r="D316" s="427" t="s">
        <v>549</v>
      </c>
      <c r="E316" s="79">
        <v>1</v>
      </c>
      <c r="F316" s="405"/>
      <c r="G316" s="274"/>
      <c r="H316" s="274"/>
      <c r="I316" s="274"/>
      <c r="J316" s="274"/>
      <c r="K316" s="11"/>
      <c r="L316" s="274"/>
      <c r="M316" s="274"/>
      <c r="N316" s="274"/>
      <c r="O316" s="48"/>
      <c r="P316" s="11"/>
      <c r="Q316" s="274"/>
      <c r="R316" s="274"/>
      <c r="S316" s="274"/>
      <c r="T316" s="11"/>
      <c r="U316" s="11"/>
      <c r="V316" s="11"/>
      <c r="W316" s="11"/>
      <c r="X316" s="11"/>
      <c r="Y316" s="11"/>
      <c r="Z316" s="48"/>
      <c r="AA316" s="52"/>
      <c r="AB316" s="52"/>
      <c r="AC316" s="118"/>
      <c r="AD316" s="5"/>
      <c r="AE316" s="52"/>
      <c r="AF316" s="113"/>
      <c r="AG316" s="113"/>
      <c r="AH316" s="113"/>
      <c r="AI316" s="52"/>
      <c r="AJ316" s="11"/>
      <c r="AK316" s="269"/>
      <c r="AL316" s="269"/>
      <c r="AM316" s="116"/>
      <c r="AN316" s="301"/>
      <c r="AO316" s="302"/>
      <c r="AP316" s="11"/>
      <c r="AQ316" s="11"/>
      <c r="AR316" s="11"/>
      <c r="AS316" s="11"/>
      <c r="AT316" s="11"/>
      <c r="AU316" s="118">
        <v>915397</v>
      </c>
      <c r="AV316" s="118">
        <v>173925</v>
      </c>
      <c r="AW316" s="118">
        <v>1089322</v>
      </c>
      <c r="AX316" s="52" t="s">
        <v>607</v>
      </c>
      <c r="AY316" s="52" t="s">
        <v>1728</v>
      </c>
      <c r="AZ316" s="11"/>
      <c r="BA316" s="11"/>
      <c r="BB316" s="11"/>
      <c r="BC316" s="11"/>
      <c r="BD316" s="11"/>
      <c r="BE316" s="274">
        <v>1508000</v>
      </c>
      <c r="BF316" s="274">
        <v>286520</v>
      </c>
      <c r="BG316" s="274">
        <v>1794520</v>
      </c>
      <c r="BH316" s="11" t="s">
        <v>310</v>
      </c>
      <c r="BI316" s="11" t="s">
        <v>1729</v>
      </c>
      <c r="BJ316" s="311"/>
      <c r="BK316" s="311"/>
      <c r="BL316" s="311"/>
      <c r="BM316" s="52"/>
      <c r="BN316" s="52"/>
      <c r="BO316" s="387"/>
      <c r="BP316" s="320"/>
      <c r="BQ316" s="320"/>
      <c r="BR316" s="4"/>
      <c r="BS316" s="4"/>
      <c r="BT316" s="11"/>
      <c r="BU316" s="11"/>
      <c r="BV316" s="11"/>
      <c r="BW316" s="11"/>
      <c r="BX316" s="11"/>
      <c r="BY316" s="348"/>
      <c r="BZ316" s="348"/>
      <c r="CA316" s="348"/>
      <c r="CB316" s="348"/>
      <c r="CC316" s="348"/>
      <c r="CD316" s="11"/>
      <c r="CE316" s="11"/>
      <c r="CF316" s="11"/>
      <c r="CG316" s="11"/>
      <c r="CH316" s="11"/>
      <c r="CI316" s="11"/>
      <c r="CJ316" s="11"/>
      <c r="CK316" s="11"/>
      <c r="CL316" s="11"/>
      <c r="CM316" s="11"/>
      <c r="CN316" s="274"/>
      <c r="CO316" s="274"/>
      <c r="CP316" s="274"/>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8"/>
      <c r="DN316" s="118"/>
      <c r="DO316" s="118"/>
      <c r="DP316" s="52"/>
      <c r="DQ316" s="52"/>
      <c r="DR316" s="77"/>
      <c r="DS316" s="77"/>
      <c r="DT316" s="77"/>
      <c r="DU316" s="11"/>
      <c r="DV316" s="11"/>
      <c r="DW316" s="11"/>
      <c r="DX316" s="11"/>
      <c r="DY316" s="11"/>
      <c r="DZ316" s="11"/>
      <c r="EA316" s="11"/>
      <c r="EB316" s="11"/>
      <c r="EC316" s="11"/>
      <c r="ED316" s="11"/>
      <c r="EE316" s="11"/>
      <c r="EF316" s="11"/>
    </row>
    <row r="317" spans="1:136" ht="81" x14ac:dyDescent="0.25">
      <c r="A317" s="425">
        <v>315</v>
      </c>
      <c r="B317" s="426" t="s">
        <v>1730</v>
      </c>
      <c r="C317" s="426" t="s">
        <v>1423</v>
      </c>
      <c r="D317" s="426" t="s">
        <v>1424</v>
      </c>
      <c r="E317" s="79">
        <v>1</v>
      </c>
      <c r="F317" s="405"/>
      <c r="G317" s="274"/>
      <c r="H317" s="274"/>
      <c r="I317" s="274"/>
      <c r="J317" s="274"/>
      <c r="K317" s="11"/>
      <c r="L317" s="274"/>
      <c r="M317" s="274"/>
      <c r="N317" s="274"/>
      <c r="O317" s="48"/>
      <c r="P317" s="11"/>
      <c r="Q317" s="274"/>
      <c r="R317" s="274"/>
      <c r="S317" s="274"/>
      <c r="T317" s="11"/>
      <c r="U317" s="11"/>
      <c r="V317" s="293">
        <v>734624</v>
      </c>
      <c r="W317" s="118">
        <v>0</v>
      </c>
      <c r="X317" s="293">
        <f t="shared" ref="X317:X322" si="13">+V317+W317</f>
        <v>734624</v>
      </c>
      <c r="Y317" s="52" t="s">
        <v>343</v>
      </c>
      <c r="Z317" s="5" t="s">
        <v>1731</v>
      </c>
      <c r="AA317" s="52"/>
      <c r="AB317" s="52"/>
      <c r="AC317" s="118"/>
      <c r="AD317" s="5"/>
      <c r="AE317" s="52"/>
      <c r="AF317" s="113"/>
      <c r="AG317" s="113"/>
      <c r="AH317" s="113"/>
      <c r="AI317" s="52"/>
      <c r="AJ317" s="11"/>
      <c r="AK317" s="269"/>
      <c r="AL317" s="269"/>
      <c r="AM317" s="116"/>
      <c r="AN317" s="301"/>
      <c r="AO317" s="302"/>
      <c r="AP317" s="11"/>
      <c r="AQ317" s="11"/>
      <c r="AR317" s="11"/>
      <c r="AS317" s="11"/>
      <c r="AT317" s="11"/>
      <c r="AU317" s="118">
        <v>2251948</v>
      </c>
      <c r="AV317" s="118">
        <v>427870</v>
      </c>
      <c r="AW317" s="118">
        <v>2679818</v>
      </c>
      <c r="AX317" s="52" t="s">
        <v>607</v>
      </c>
      <c r="AY317" s="52" t="s">
        <v>1732</v>
      </c>
      <c r="AZ317" s="11"/>
      <c r="BA317" s="11"/>
      <c r="BB317" s="11"/>
      <c r="BC317" s="11"/>
      <c r="BD317" s="11"/>
      <c r="BE317" s="274">
        <v>1271000</v>
      </c>
      <c r="BF317" s="274">
        <v>241490</v>
      </c>
      <c r="BG317" s="274">
        <v>1512490</v>
      </c>
      <c r="BH317" s="11" t="s">
        <v>310</v>
      </c>
      <c r="BI317" s="11" t="s">
        <v>1733</v>
      </c>
      <c r="BJ317" s="311"/>
      <c r="BK317" s="311"/>
      <c r="BL317" s="311"/>
      <c r="BM317" s="52"/>
      <c r="BN317" s="52"/>
      <c r="BO317" s="387"/>
      <c r="BP317" s="320"/>
      <c r="BQ317" s="320"/>
      <c r="BR317" s="4"/>
      <c r="BS317" s="4"/>
      <c r="BT317" s="11"/>
      <c r="BU317" s="11"/>
      <c r="BV317" s="11"/>
      <c r="BW317" s="11"/>
      <c r="BX317" s="11"/>
      <c r="BY317" s="348"/>
      <c r="BZ317" s="348"/>
      <c r="CA317" s="348"/>
      <c r="CB317" s="348"/>
      <c r="CC317" s="348"/>
      <c r="CD317" s="11"/>
      <c r="CE317" s="11"/>
      <c r="CF317" s="11"/>
      <c r="CG317" s="11"/>
      <c r="CH317" s="11"/>
      <c r="CI317" s="11"/>
      <c r="CJ317" s="11"/>
      <c r="CK317" s="11"/>
      <c r="CL317" s="11"/>
      <c r="CM317" s="11"/>
      <c r="CN317" s="274"/>
      <c r="CO317" s="274"/>
      <c r="CP317" s="274"/>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8">
        <v>323150</v>
      </c>
      <c r="DN317" s="118">
        <v>0</v>
      </c>
      <c r="DO317" s="118">
        <f>DM317+DN317</f>
        <v>323150</v>
      </c>
      <c r="DP317" s="52" t="s">
        <v>37</v>
      </c>
      <c r="DQ317" s="52" t="s">
        <v>1731</v>
      </c>
      <c r="DR317" s="77">
        <v>415000</v>
      </c>
      <c r="DS317" s="77">
        <v>0</v>
      </c>
      <c r="DT317" s="77">
        <f t="shared" ref="DT317:DT323" si="14">+DR317+DS317</f>
        <v>415000</v>
      </c>
      <c r="DU317" s="11" t="s">
        <v>37</v>
      </c>
      <c r="DV317" s="11" t="s">
        <v>1731</v>
      </c>
      <c r="DW317" s="11"/>
      <c r="DX317" s="11"/>
      <c r="DY317" s="11"/>
      <c r="DZ317" s="11"/>
      <c r="EA317" s="11"/>
      <c r="EB317" s="11"/>
      <c r="EC317" s="11"/>
      <c r="ED317" s="11"/>
      <c r="EE317" s="11"/>
      <c r="EF317" s="11"/>
    </row>
    <row r="318" spans="1:136" ht="81" x14ac:dyDescent="0.25">
      <c r="A318" s="425">
        <v>316</v>
      </c>
      <c r="B318" s="426" t="s">
        <v>1734</v>
      </c>
      <c r="C318" s="426" t="s">
        <v>1423</v>
      </c>
      <c r="D318" s="426" t="s">
        <v>1424</v>
      </c>
      <c r="E318" s="79">
        <v>1</v>
      </c>
      <c r="F318" s="405"/>
      <c r="G318" s="274"/>
      <c r="H318" s="274"/>
      <c r="I318" s="274"/>
      <c r="J318" s="274"/>
      <c r="K318" s="11"/>
      <c r="L318" s="274"/>
      <c r="M318" s="274"/>
      <c r="N318" s="274"/>
      <c r="O318" s="48"/>
      <c r="P318" s="11"/>
      <c r="Q318" s="274"/>
      <c r="R318" s="274"/>
      <c r="S318" s="274"/>
      <c r="T318" s="11"/>
      <c r="U318" s="11"/>
      <c r="V318" s="293">
        <v>810909</v>
      </c>
      <c r="W318" s="118">
        <v>0</v>
      </c>
      <c r="X318" s="293">
        <f t="shared" si="13"/>
        <v>810909</v>
      </c>
      <c r="Y318" s="52" t="s">
        <v>343</v>
      </c>
      <c r="Z318" s="5" t="s">
        <v>1735</v>
      </c>
      <c r="AA318" s="52"/>
      <c r="AB318" s="52"/>
      <c r="AC318" s="118"/>
      <c r="AD318" s="5"/>
      <c r="AE318" s="52"/>
      <c r="AF318" s="113"/>
      <c r="AG318" s="113"/>
      <c r="AH318" s="113"/>
      <c r="AI318" s="52"/>
      <c r="AJ318" s="11"/>
      <c r="AK318" s="269"/>
      <c r="AL318" s="269"/>
      <c r="AM318" s="116"/>
      <c r="AN318" s="301"/>
      <c r="AO318" s="302"/>
      <c r="AP318" s="11"/>
      <c r="AQ318" s="11"/>
      <c r="AR318" s="11"/>
      <c r="AS318" s="11"/>
      <c r="AT318" s="11"/>
      <c r="AU318" s="118">
        <v>360000</v>
      </c>
      <c r="AV318" s="118">
        <f>+AU318*0.19</f>
        <v>68400</v>
      </c>
      <c r="AW318" s="118">
        <f>+AU318+AV318</f>
        <v>428400</v>
      </c>
      <c r="AX318" s="52" t="s">
        <v>343</v>
      </c>
      <c r="AY318" s="52" t="s">
        <v>1736</v>
      </c>
      <c r="AZ318" s="11"/>
      <c r="BA318" s="11"/>
      <c r="BB318" s="11"/>
      <c r="BC318" s="11"/>
      <c r="BD318" s="11"/>
      <c r="BE318" s="274">
        <v>702000</v>
      </c>
      <c r="BF318" s="274">
        <v>133380</v>
      </c>
      <c r="BG318" s="274">
        <v>835380</v>
      </c>
      <c r="BH318" s="11" t="s">
        <v>310</v>
      </c>
      <c r="BI318" s="11" t="s">
        <v>1737</v>
      </c>
      <c r="BJ318" s="311"/>
      <c r="BK318" s="311"/>
      <c r="BL318" s="311"/>
      <c r="BM318" s="52"/>
      <c r="BN318" s="52"/>
      <c r="BO318" s="387"/>
      <c r="BP318" s="320"/>
      <c r="BQ318" s="320"/>
      <c r="BR318" s="4"/>
      <c r="BS318" s="4"/>
      <c r="BT318" s="11"/>
      <c r="BU318" s="11"/>
      <c r="BV318" s="11"/>
      <c r="BW318" s="11"/>
      <c r="BX318" s="11"/>
      <c r="BY318" s="348"/>
      <c r="BZ318" s="348"/>
      <c r="CA318" s="348"/>
      <c r="CB318" s="348"/>
      <c r="CC318" s="348"/>
      <c r="CD318" s="11"/>
      <c r="CE318" s="11"/>
      <c r="CF318" s="11"/>
      <c r="CG318" s="11"/>
      <c r="CH318" s="11"/>
      <c r="CI318" s="11"/>
      <c r="CJ318" s="11"/>
      <c r="CK318" s="11"/>
      <c r="CL318" s="11"/>
      <c r="CM318" s="11"/>
      <c r="CN318" s="274"/>
      <c r="CO318" s="274"/>
      <c r="CP318" s="274"/>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8">
        <v>352000</v>
      </c>
      <c r="DN318" s="118">
        <f>+DM318*0.19</f>
        <v>66880</v>
      </c>
      <c r="DO318" s="118">
        <f>+DM318+DN318</f>
        <v>418880</v>
      </c>
      <c r="DP318" s="52" t="s">
        <v>37</v>
      </c>
      <c r="DQ318" s="52" t="s">
        <v>1735</v>
      </c>
      <c r="DR318" s="77">
        <v>306000</v>
      </c>
      <c r="DS318" s="77">
        <f>+DR318*0.19</f>
        <v>58140</v>
      </c>
      <c r="DT318" s="77">
        <f t="shared" si="14"/>
        <v>364140</v>
      </c>
      <c r="DU318" s="11" t="s">
        <v>37</v>
      </c>
      <c r="DV318" s="11" t="s">
        <v>1735</v>
      </c>
      <c r="DW318" s="11"/>
      <c r="DX318" s="11"/>
      <c r="DY318" s="11"/>
      <c r="DZ318" s="11"/>
      <c r="EA318" s="11"/>
      <c r="EB318" s="11"/>
      <c r="EC318" s="11"/>
      <c r="ED318" s="11"/>
      <c r="EE318" s="11"/>
      <c r="EF318" s="11"/>
    </row>
    <row r="319" spans="1:136" ht="81" x14ac:dyDescent="0.25">
      <c r="A319" s="425">
        <v>317</v>
      </c>
      <c r="B319" s="426" t="s">
        <v>1738</v>
      </c>
      <c r="C319" s="426" t="s">
        <v>1423</v>
      </c>
      <c r="D319" s="426" t="s">
        <v>1424</v>
      </c>
      <c r="E319" s="79">
        <v>1</v>
      </c>
      <c r="F319" s="405"/>
      <c r="G319" s="274"/>
      <c r="H319" s="274"/>
      <c r="I319" s="274"/>
      <c r="J319" s="274"/>
      <c r="K319" s="11"/>
      <c r="L319" s="274"/>
      <c r="M319" s="274"/>
      <c r="N319" s="274"/>
      <c r="O319" s="48"/>
      <c r="P319" s="11"/>
      <c r="Q319" s="274"/>
      <c r="R319" s="274"/>
      <c r="S319" s="274"/>
      <c r="T319" s="11"/>
      <c r="U319" s="11"/>
      <c r="V319" s="16">
        <v>1273791</v>
      </c>
      <c r="W319" s="274">
        <v>0</v>
      </c>
      <c r="X319" s="293">
        <f t="shared" si="13"/>
        <v>1273791</v>
      </c>
      <c r="Y319" s="11" t="s">
        <v>343</v>
      </c>
      <c r="Z319" s="48" t="s">
        <v>1739</v>
      </c>
      <c r="AA319" s="52"/>
      <c r="AB319" s="52"/>
      <c r="AC319" s="118"/>
      <c r="AD319" s="5"/>
      <c r="AE319" s="52"/>
      <c r="AF319" s="113"/>
      <c r="AG319" s="113"/>
      <c r="AH319" s="113"/>
      <c r="AI319" s="52"/>
      <c r="AJ319" s="11"/>
      <c r="AK319" s="269"/>
      <c r="AL319" s="269"/>
      <c r="AM319" s="116"/>
      <c r="AN319" s="301"/>
      <c r="AO319" s="302"/>
      <c r="AP319" s="11"/>
      <c r="AQ319" s="11"/>
      <c r="AR319" s="11"/>
      <c r="AS319" s="11"/>
      <c r="AT319" s="11"/>
      <c r="AU319" s="118">
        <v>1016000</v>
      </c>
      <c r="AV319" s="118">
        <f>+AU319*0.19</f>
        <v>193040</v>
      </c>
      <c r="AW319" s="118">
        <f>+AV319+AU319</f>
        <v>1209040</v>
      </c>
      <c r="AX319" s="52" t="s">
        <v>343</v>
      </c>
      <c r="AY319" s="52" t="s">
        <v>1740</v>
      </c>
      <c r="AZ319" s="11"/>
      <c r="BA319" s="11"/>
      <c r="BB319" s="11"/>
      <c r="BC319" s="11"/>
      <c r="BD319" s="11"/>
      <c r="BE319" s="274">
        <v>635000</v>
      </c>
      <c r="BF319" s="274">
        <v>120650</v>
      </c>
      <c r="BG319" s="274">
        <v>755650</v>
      </c>
      <c r="BH319" s="11" t="s">
        <v>310</v>
      </c>
      <c r="BI319" s="11" t="s">
        <v>1741</v>
      </c>
      <c r="BJ319" s="311"/>
      <c r="BK319" s="311"/>
      <c r="BL319" s="311"/>
      <c r="BM319" s="52"/>
      <c r="BN319" s="52"/>
      <c r="BO319" s="387"/>
      <c r="BP319" s="320"/>
      <c r="BQ319" s="320"/>
      <c r="BR319" s="4"/>
      <c r="BS319" s="4"/>
      <c r="BT319" s="11"/>
      <c r="BU319" s="11"/>
      <c r="BV319" s="11"/>
      <c r="BW319" s="11"/>
      <c r="BX319" s="11"/>
      <c r="BY319" s="348"/>
      <c r="BZ319" s="348"/>
      <c r="CA319" s="348"/>
      <c r="CB319" s="348"/>
      <c r="CC319" s="348"/>
      <c r="CD319" s="11"/>
      <c r="CE319" s="11"/>
      <c r="CF319" s="11"/>
      <c r="CG319" s="11"/>
      <c r="CH319" s="11"/>
      <c r="CI319" s="11"/>
      <c r="CJ319" s="11"/>
      <c r="CK319" s="11"/>
      <c r="CL319" s="11"/>
      <c r="CM319" s="11"/>
      <c r="CN319" s="274"/>
      <c r="CO319" s="274"/>
      <c r="CP319" s="274"/>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8"/>
      <c r="DN319" s="118"/>
      <c r="DO319" s="118"/>
      <c r="DP319" s="52"/>
      <c r="DQ319" s="52"/>
      <c r="DR319" s="77">
        <v>562000</v>
      </c>
      <c r="DS319" s="77">
        <f>+DR319*0.19</f>
        <v>106780</v>
      </c>
      <c r="DT319" s="77">
        <f t="shared" si="14"/>
        <v>668780</v>
      </c>
      <c r="DU319" s="11" t="s">
        <v>37</v>
      </c>
      <c r="DV319" s="11" t="s">
        <v>1739</v>
      </c>
      <c r="DW319" s="11"/>
      <c r="DX319" s="11"/>
      <c r="DY319" s="11"/>
      <c r="DZ319" s="11"/>
      <c r="EA319" s="11"/>
      <c r="EB319" s="11"/>
      <c r="EC319" s="11"/>
      <c r="ED319" s="11"/>
      <c r="EE319" s="11"/>
      <c r="EF319" s="11"/>
    </row>
    <row r="320" spans="1:136" ht="81" x14ac:dyDescent="0.25">
      <c r="A320" s="425">
        <v>318</v>
      </c>
      <c r="B320" s="426" t="s">
        <v>1742</v>
      </c>
      <c r="C320" s="426" t="s">
        <v>1423</v>
      </c>
      <c r="D320" s="426" t="s">
        <v>1424</v>
      </c>
      <c r="E320" s="79">
        <v>1</v>
      </c>
      <c r="F320" s="405"/>
      <c r="G320" s="274"/>
      <c r="H320" s="274"/>
      <c r="I320" s="274"/>
      <c r="J320" s="274"/>
      <c r="K320" s="11"/>
      <c r="L320" s="274"/>
      <c r="M320" s="274"/>
      <c r="N320" s="274"/>
      <c r="O320" s="48"/>
      <c r="P320" s="11"/>
      <c r="Q320" s="274"/>
      <c r="R320" s="274"/>
      <c r="S320" s="274"/>
      <c r="T320" s="11"/>
      <c r="U320" s="11"/>
      <c r="V320" s="16">
        <v>842362</v>
      </c>
      <c r="W320" s="274">
        <v>0</v>
      </c>
      <c r="X320" s="293">
        <f t="shared" si="13"/>
        <v>842362</v>
      </c>
      <c r="Y320" s="11" t="s">
        <v>343</v>
      </c>
      <c r="Z320" s="48" t="s">
        <v>1743</v>
      </c>
      <c r="AA320" s="52"/>
      <c r="AB320" s="52"/>
      <c r="AC320" s="118"/>
      <c r="AD320" s="5"/>
      <c r="AE320" s="52"/>
      <c r="AF320" s="113"/>
      <c r="AG320" s="113"/>
      <c r="AH320" s="113"/>
      <c r="AI320" s="52"/>
      <c r="AJ320" s="11"/>
      <c r="AK320" s="269">
        <v>1596200</v>
      </c>
      <c r="AL320" s="269">
        <v>0</v>
      </c>
      <c r="AM320" s="116">
        <v>1596200</v>
      </c>
      <c r="AN320" s="301" t="s">
        <v>37</v>
      </c>
      <c r="AO320" s="302" t="s">
        <v>1744</v>
      </c>
      <c r="AP320" s="11"/>
      <c r="AQ320" s="11"/>
      <c r="AR320" s="11"/>
      <c r="AS320" s="11"/>
      <c r="AT320" s="11"/>
      <c r="AU320" s="118">
        <v>1810435</v>
      </c>
      <c r="AV320" s="118">
        <f>+AU320*0.19</f>
        <v>343982.65</v>
      </c>
      <c r="AW320" s="118">
        <f>+AV320+AU320</f>
        <v>2154417.65</v>
      </c>
      <c r="AX320" s="52" t="s">
        <v>37</v>
      </c>
      <c r="AY320" s="52" t="s">
        <v>1745</v>
      </c>
      <c r="AZ320" s="11"/>
      <c r="BA320" s="11"/>
      <c r="BB320" s="11"/>
      <c r="BC320" s="11"/>
      <c r="BD320" s="11"/>
      <c r="BE320" s="274">
        <v>607000</v>
      </c>
      <c r="BF320" s="274">
        <v>115330</v>
      </c>
      <c r="BG320" s="274">
        <v>722330</v>
      </c>
      <c r="BH320" s="11" t="s">
        <v>310</v>
      </c>
      <c r="BI320" s="11" t="s">
        <v>1746</v>
      </c>
      <c r="BJ320" s="311"/>
      <c r="BK320" s="311"/>
      <c r="BL320" s="311"/>
      <c r="BM320" s="52"/>
      <c r="BN320" s="52"/>
      <c r="BO320" s="387"/>
      <c r="BP320" s="320"/>
      <c r="BQ320" s="320"/>
      <c r="BR320" s="4"/>
      <c r="BS320" s="4"/>
      <c r="BT320" s="11"/>
      <c r="BU320" s="11"/>
      <c r="BV320" s="11"/>
      <c r="BW320" s="11"/>
      <c r="BX320" s="11"/>
      <c r="BY320" s="348"/>
      <c r="BZ320" s="348"/>
      <c r="CA320" s="348"/>
      <c r="CB320" s="348"/>
      <c r="CC320" s="348"/>
      <c r="CD320" s="11"/>
      <c r="CE320" s="11"/>
      <c r="CF320" s="11"/>
      <c r="CG320" s="11"/>
      <c r="CH320" s="11"/>
      <c r="CI320" s="11"/>
      <c r="CJ320" s="11"/>
      <c r="CK320" s="11"/>
      <c r="CL320" s="11"/>
      <c r="CM320" s="11"/>
      <c r="CN320" s="274"/>
      <c r="CO320" s="274"/>
      <c r="CP320" s="274"/>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8"/>
      <c r="DN320" s="118"/>
      <c r="DO320" s="118"/>
      <c r="DP320" s="52"/>
      <c r="DQ320" s="52"/>
      <c r="DR320" s="77">
        <v>385000</v>
      </c>
      <c r="DS320" s="77">
        <v>0</v>
      </c>
      <c r="DT320" s="77">
        <f t="shared" si="14"/>
        <v>385000</v>
      </c>
      <c r="DU320" s="11" t="s">
        <v>37</v>
      </c>
      <c r="DV320" s="11" t="s">
        <v>1743</v>
      </c>
      <c r="DW320" s="11"/>
      <c r="DX320" s="11"/>
      <c r="DY320" s="11"/>
      <c r="DZ320" s="11"/>
      <c r="EA320" s="11"/>
      <c r="EB320" s="11"/>
      <c r="EC320" s="11"/>
      <c r="ED320" s="11"/>
      <c r="EE320" s="11"/>
      <c r="EF320" s="11"/>
    </row>
    <row r="321" spans="1:136" ht="81" x14ac:dyDescent="0.25">
      <c r="A321" s="425">
        <v>319</v>
      </c>
      <c r="B321" s="426" t="s">
        <v>1747</v>
      </c>
      <c r="C321" s="426" t="s">
        <v>1423</v>
      </c>
      <c r="D321" s="426" t="s">
        <v>1424</v>
      </c>
      <c r="E321" s="79">
        <v>1</v>
      </c>
      <c r="F321" s="405"/>
      <c r="G321" s="274"/>
      <c r="H321" s="274"/>
      <c r="I321" s="274"/>
      <c r="J321" s="274"/>
      <c r="K321" s="11"/>
      <c r="L321" s="274"/>
      <c r="M321" s="274"/>
      <c r="N321" s="274"/>
      <c r="O321" s="48"/>
      <c r="P321" s="11"/>
      <c r="Q321" s="274"/>
      <c r="R321" s="274"/>
      <c r="S321" s="274"/>
      <c r="T321" s="11"/>
      <c r="U321" s="11"/>
      <c r="V321" s="16">
        <v>857362</v>
      </c>
      <c r="W321" s="274">
        <v>0</v>
      </c>
      <c r="X321" s="293">
        <f t="shared" si="13"/>
        <v>857362</v>
      </c>
      <c r="Y321" s="11" t="s">
        <v>343</v>
      </c>
      <c r="Z321" s="48" t="s">
        <v>1748</v>
      </c>
      <c r="AA321" s="52"/>
      <c r="AB321" s="52"/>
      <c r="AC321" s="118"/>
      <c r="AD321" s="5"/>
      <c r="AE321" s="52"/>
      <c r="AF321" s="113"/>
      <c r="AG321" s="113"/>
      <c r="AH321" s="113"/>
      <c r="AI321" s="52"/>
      <c r="AJ321" s="11"/>
      <c r="AK321" s="269"/>
      <c r="AL321" s="269"/>
      <c r="AM321" s="116"/>
      <c r="AN321" s="301"/>
      <c r="AO321" s="302"/>
      <c r="AP321" s="11"/>
      <c r="AQ321" s="11"/>
      <c r="AR321" s="11"/>
      <c r="AS321" s="11"/>
      <c r="AT321" s="11"/>
      <c r="AU321" s="118">
        <v>1632941</v>
      </c>
      <c r="AV321" s="118">
        <f>+AU321*0.19</f>
        <v>310258.78999999998</v>
      </c>
      <c r="AW321" s="118">
        <f>+AU321+AV321</f>
        <v>1943199.79</v>
      </c>
      <c r="AX321" s="52" t="s">
        <v>343</v>
      </c>
      <c r="AY321" s="52" t="s">
        <v>1749</v>
      </c>
      <c r="AZ321" s="11"/>
      <c r="BA321" s="11"/>
      <c r="BB321" s="11"/>
      <c r="BC321" s="11"/>
      <c r="BD321" s="11"/>
      <c r="BE321" s="274">
        <v>3718000</v>
      </c>
      <c r="BF321" s="274">
        <v>706420</v>
      </c>
      <c r="BG321" s="274">
        <v>4424420</v>
      </c>
      <c r="BH321" s="11" t="s">
        <v>310</v>
      </c>
      <c r="BI321" s="11" t="s">
        <v>1619</v>
      </c>
      <c r="BJ321" s="311"/>
      <c r="BK321" s="311"/>
      <c r="BL321" s="311"/>
      <c r="BM321" s="52"/>
      <c r="BN321" s="52"/>
      <c r="BO321" s="387"/>
      <c r="BP321" s="320"/>
      <c r="BQ321" s="320"/>
      <c r="BR321" s="4"/>
      <c r="BS321" s="4"/>
      <c r="BT321" s="11"/>
      <c r="BU321" s="11"/>
      <c r="BV321" s="11"/>
      <c r="BW321" s="11"/>
      <c r="BX321" s="11"/>
      <c r="BY321" s="348"/>
      <c r="BZ321" s="348"/>
      <c r="CA321" s="348"/>
      <c r="CB321" s="348"/>
      <c r="CC321" s="348"/>
      <c r="CD321" s="11"/>
      <c r="CE321" s="11"/>
      <c r="CF321" s="11"/>
      <c r="CG321" s="11"/>
      <c r="CH321" s="11"/>
      <c r="CI321" s="11"/>
      <c r="CJ321" s="11"/>
      <c r="CK321" s="11"/>
      <c r="CL321" s="11"/>
      <c r="CM321" s="11"/>
      <c r="CN321" s="274"/>
      <c r="CO321" s="274"/>
      <c r="CP321" s="274"/>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8">
        <v>442750</v>
      </c>
      <c r="DN321" s="118">
        <f>+DM321*0.19</f>
        <v>84122.5</v>
      </c>
      <c r="DO321" s="118">
        <f>+DM321+DN321</f>
        <v>526872.5</v>
      </c>
      <c r="DP321" s="52" t="s">
        <v>37</v>
      </c>
      <c r="DQ321" s="52" t="s">
        <v>1748</v>
      </c>
      <c r="DR321" s="77">
        <v>306000</v>
      </c>
      <c r="DS321" s="77">
        <v>0</v>
      </c>
      <c r="DT321" s="77">
        <f t="shared" si="14"/>
        <v>306000</v>
      </c>
      <c r="DU321" s="11" t="s">
        <v>37</v>
      </c>
      <c r="DV321" s="11" t="s">
        <v>1748</v>
      </c>
      <c r="DW321" s="11"/>
      <c r="DX321" s="11"/>
      <c r="DY321" s="11"/>
      <c r="DZ321" s="11"/>
      <c r="EA321" s="11"/>
      <c r="EB321" s="11"/>
      <c r="EC321" s="11"/>
      <c r="ED321" s="11"/>
      <c r="EE321" s="11"/>
      <c r="EF321" s="11"/>
    </row>
    <row r="322" spans="1:136" ht="81" x14ac:dyDescent="0.25">
      <c r="A322" s="425">
        <v>320</v>
      </c>
      <c r="B322" s="426" t="s">
        <v>1750</v>
      </c>
      <c r="C322" s="426" t="s">
        <v>1423</v>
      </c>
      <c r="D322" s="426" t="s">
        <v>1424</v>
      </c>
      <c r="E322" s="79">
        <v>1</v>
      </c>
      <c r="F322" s="405"/>
      <c r="G322" s="274"/>
      <c r="H322" s="274"/>
      <c r="I322" s="274"/>
      <c r="J322" s="274"/>
      <c r="K322" s="11"/>
      <c r="L322" s="274"/>
      <c r="M322" s="274"/>
      <c r="N322" s="274"/>
      <c r="O322" s="48"/>
      <c r="P322" s="11"/>
      <c r="Q322" s="274"/>
      <c r="R322" s="274"/>
      <c r="S322" s="274"/>
      <c r="T322" s="11"/>
      <c r="U322" s="11"/>
      <c r="V322" s="16">
        <v>749624</v>
      </c>
      <c r="W322" s="274">
        <v>0</v>
      </c>
      <c r="X322" s="293">
        <f t="shared" si="13"/>
        <v>749624</v>
      </c>
      <c r="Y322" s="11" t="s">
        <v>343</v>
      </c>
      <c r="Z322" s="48" t="s">
        <v>1751</v>
      </c>
      <c r="AA322" s="52"/>
      <c r="AB322" s="52"/>
      <c r="AC322" s="118"/>
      <c r="AD322" s="5"/>
      <c r="AE322" s="52"/>
      <c r="AF322" s="113"/>
      <c r="AG322" s="113"/>
      <c r="AH322" s="113"/>
      <c r="AI322" s="52"/>
      <c r="AJ322" s="11"/>
      <c r="AK322" s="269">
        <v>1596200</v>
      </c>
      <c r="AL322" s="269">
        <v>0</v>
      </c>
      <c r="AM322" s="116">
        <v>1596200</v>
      </c>
      <c r="AN322" s="301" t="s">
        <v>37</v>
      </c>
      <c r="AO322" s="302" t="s">
        <v>1752</v>
      </c>
      <c r="AP322" s="11"/>
      <c r="AQ322" s="11"/>
      <c r="AR322" s="11"/>
      <c r="AS322" s="11"/>
      <c r="AT322" s="11"/>
      <c r="AU322" s="118">
        <v>383250</v>
      </c>
      <c r="AV322" s="118">
        <v>61633</v>
      </c>
      <c r="AW322" s="118">
        <v>386020</v>
      </c>
      <c r="AX322" s="52" t="s">
        <v>343</v>
      </c>
      <c r="AY322" s="52" t="s">
        <v>1753</v>
      </c>
      <c r="AZ322" s="11"/>
      <c r="BA322" s="11"/>
      <c r="BB322" s="11"/>
      <c r="BC322" s="11"/>
      <c r="BD322" s="11"/>
      <c r="BE322" s="274">
        <v>3718000</v>
      </c>
      <c r="BF322" s="274">
        <v>706420</v>
      </c>
      <c r="BG322" s="274">
        <v>4424420</v>
      </c>
      <c r="BH322" s="11" t="s">
        <v>310</v>
      </c>
      <c r="BI322" s="11" t="s">
        <v>1754</v>
      </c>
      <c r="BJ322" s="311"/>
      <c r="BK322" s="311"/>
      <c r="BL322" s="311"/>
      <c r="BM322" s="52"/>
      <c r="BN322" s="52"/>
      <c r="BO322" s="387"/>
      <c r="BP322" s="320"/>
      <c r="BQ322" s="320"/>
      <c r="BR322" s="4"/>
      <c r="BS322" s="4"/>
      <c r="BT322" s="11"/>
      <c r="BU322" s="11"/>
      <c r="BV322" s="11"/>
      <c r="BW322" s="11"/>
      <c r="BX322" s="11"/>
      <c r="BY322" s="348"/>
      <c r="BZ322" s="348"/>
      <c r="CA322" s="348"/>
      <c r="CB322" s="348"/>
      <c r="CC322" s="348"/>
      <c r="CD322" s="11"/>
      <c r="CE322" s="11"/>
      <c r="CF322" s="11"/>
      <c r="CG322" s="11"/>
      <c r="CH322" s="11"/>
      <c r="CI322" s="11"/>
      <c r="CJ322" s="11"/>
      <c r="CK322" s="11"/>
      <c r="CL322" s="11"/>
      <c r="CM322" s="11"/>
      <c r="CN322" s="274"/>
      <c r="CO322" s="274"/>
      <c r="CP322" s="274"/>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8">
        <v>442750</v>
      </c>
      <c r="DN322" s="118">
        <f>+DM322*0.19</f>
        <v>84122.5</v>
      </c>
      <c r="DO322" s="118">
        <f>+DM322+DN322</f>
        <v>526872.5</v>
      </c>
      <c r="DP322" s="52" t="s">
        <v>37</v>
      </c>
      <c r="DQ322" s="52" t="s">
        <v>1748</v>
      </c>
      <c r="DR322" s="77">
        <v>281000</v>
      </c>
      <c r="DS322" s="77">
        <v>0</v>
      </c>
      <c r="DT322" s="77">
        <f t="shared" si="14"/>
        <v>281000</v>
      </c>
      <c r="DU322" s="11" t="s">
        <v>37</v>
      </c>
      <c r="DV322" s="11" t="s">
        <v>1751</v>
      </c>
      <c r="DW322" s="11"/>
      <c r="DX322" s="11"/>
      <c r="DY322" s="11"/>
      <c r="DZ322" s="11"/>
      <c r="EA322" s="11"/>
      <c r="EB322" s="11"/>
      <c r="EC322" s="11"/>
      <c r="ED322" s="11"/>
      <c r="EE322" s="11"/>
      <c r="EF322" s="11"/>
    </row>
    <row r="323" spans="1:136" ht="54" x14ac:dyDescent="0.25">
      <c r="A323" s="425">
        <v>321</v>
      </c>
      <c r="B323" s="426" t="s">
        <v>1755</v>
      </c>
      <c r="C323" s="413" t="s">
        <v>1508</v>
      </c>
      <c r="D323" s="426" t="s">
        <v>1756</v>
      </c>
      <c r="E323" s="79">
        <v>1</v>
      </c>
      <c r="F323" s="405"/>
      <c r="G323" s="274"/>
      <c r="H323" s="274"/>
      <c r="I323" s="274"/>
      <c r="J323" s="274"/>
      <c r="K323" s="11"/>
      <c r="L323" s="274"/>
      <c r="M323" s="274"/>
      <c r="N323" s="274"/>
      <c r="O323" s="48"/>
      <c r="P323" s="11"/>
      <c r="Q323" s="274"/>
      <c r="R323" s="274"/>
      <c r="S323" s="274"/>
      <c r="T323" s="11"/>
      <c r="U323" s="11"/>
      <c r="V323" s="11"/>
      <c r="W323" s="11"/>
      <c r="X323" s="11"/>
      <c r="Y323" s="11"/>
      <c r="Z323" s="48"/>
      <c r="AA323" s="52"/>
      <c r="AB323" s="52"/>
      <c r="AC323" s="118"/>
      <c r="AD323" s="5"/>
      <c r="AE323" s="52"/>
      <c r="AF323" s="113"/>
      <c r="AG323" s="113"/>
      <c r="AH323" s="113"/>
      <c r="AI323" s="52"/>
      <c r="AJ323" s="11"/>
      <c r="AK323" s="269"/>
      <c r="AL323" s="269"/>
      <c r="AM323" s="116"/>
      <c r="AN323" s="301"/>
      <c r="AO323" s="302"/>
      <c r="AP323" s="11"/>
      <c r="AQ323" s="11"/>
      <c r="AR323" s="11"/>
      <c r="AS323" s="11"/>
      <c r="AT323" s="11"/>
      <c r="AU323" s="118">
        <v>2670346</v>
      </c>
      <c r="AV323" s="118">
        <v>507366</v>
      </c>
      <c r="AW323" s="118">
        <v>3177712</v>
      </c>
      <c r="AX323" s="52" t="s">
        <v>607</v>
      </c>
      <c r="AY323" s="52" t="s">
        <v>1757</v>
      </c>
      <c r="AZ323" s="11"/>
      <c r="BA323" s="11"/>
      <c r="BB323" s="11"/>
      <c r="BC323" s="11"/>
      <c r="BD323" s="11"/>
      <c r="BE323" s="274">
        <v>4458000</v>
      </c>
      <c r="BF323" s="274">
        <v>847020</v>
      </c>
      <c r="BG323" s="274">
        <v>5305020</v>
      </c>
      <c r="BH323" s="11" t="s">
        <v>310</v>
      </c>
      <c r="BI323" s="11" t="s">
        <v>1758</v>
      </c>
      <c r="BJ323" s="311"/>
      <c r="BK323" s="311"/>
      <c r="BL323" s="311"/>
      <c r="BM323" s="52"/>
      <c r="BN323" s="52"/>
      <c r="BO323" s="387"/>
      <c r="BP323" s="320"/>
      <c r="BQ323" s="320"/>
      <c r="BR323" s="4"/>
      <c r="BS323" s="4"/>
      <c r="BT323" s="11"/>
      <c r="BU323" s="11"/>
      <c r="BV323" s="11"/>
      <c r="BW323" s="11"/>
      <c r="BX323" s="11"/>
      <c r="BY323" s="348"/>
      <c r="BZ323" s="348"/>
      <c r="CA323" s="348"/>
      <c r="CB323" s="348"/>
      <c r="CC323" s="348"/>
      <c r="CD323" s="11"/>
      <c r="CE323" s="11"/>
      <c r="CF323" s="11"/>
      <c r="CG323" s="11"/>
      <c r="CH323" s="11"/>
      <c r="CI323" s="11"/>
      <c r="CJ323" s="11"/>
      <c r="CK323" s="11"/>
      <c r="CL323" s="11"/>
      <c r="CM323" s="11"/>
      <c r="CN323" s="274"/>
      <c r="CO323" s="274"/>
      <c r="CP323" s="274"/>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8"/>
      <c r="DN323" s="118"/>
      <c r="DO323" s="118"/>
      <c r="DP323" s="52"/>
      <c r="DQ323" s="52"/>
      <c r="DR323" s="77">
        <v>2500000</v>
      </c>
      <c r="DS323" s="77">
        <f>+DR323*0.19</f>
        <v>475000</v>
      </c>
      <c r="DT323" s="77">
        <f t="shared" si="14"/>
        <v>2975000</v>
      </c>
      <c r="DU323" s="11" t="s">
        <v>37</v>
      </c>
      <c r="DV323" s="11" t="s">
        <v>1625</v>
      </c>
      <c r="DW323" s="11"/>
      <c r="DX323" s="11"/>
      <c r="DY323" s="11"/>
      <c r="DZ323" s="11"/>
      <c r="EA323" s="11"/>
      <c r="EB323" s="11"/>
      <c r="EC323" s="11"/>
      <c r="ED323" s="11"/>
      <c r="EE323" s="11"/>
      <c r="EF323" s="11"/>
    </row>
    <row r="324" spans="1:136" ht="25.5" customHeight="1" x14ac:dyDescent="0.25">
      <c r="A324" s="425">
        <v>322</v>
      </c>
      <c r="B324" s="427" t="s">
        <v>1759</v>
      </c>
      <c r="C324" s="413" t="s">
        <v>1760</v>
      </c>
      <c r="D324" s="413" t="s">
        <v>686</v>
      </c>
      <c r="E324" s="79">
        <v>1</v>
      </c>
      <c r="F324" s="404">
        <v>262687.50199999998</v>
      </c>
      <c r="G324" s="274">
        <v>198750</v>
      </c>
      <c r="H324" s="274">
        <v>37762.5</v>
      </c>
      <c r="I324" s="274">
        <v>236512.5</v>
      </c>
      <c r="J324" s="274" t="s">
        <v>45</v>
      </c>
      <c r="K324" s="11" t="s">
        <v>1761</v>
      </c>
      <c r="L324" s="274"/>
      <c r="M324" s="274"/>
      <c r="N324" s="274"/>
      <c r="O324" s="48"/>
      <c r="P324" s="11"/>
      <c r="Q324" s="274"/>
      <c r="R324" s="274"/>
      <c r="S324" s="274"/>
      <c r="T324" s="11"/>
      <c r="U324" s="11"/>
      <c r="V324" s="11"/>
      <c r="W324" s="11"/>
      <c r="X324" s="11"/>
      <c r="Y324" s="11"/>
      <c r="Z324" s="48"/>
      <c r="AA324" s="52"/>
      <c r="AB324" s="52"/>
      <c r="AC324" s="118"/>
      <c r="AD324" s="5"/>
      <c r="AE324" s="52"/>
      <c r="AF324" s="113">
        <v>170000</v>
      </c>
      <c r="AG324" s="113">
        <f>AF324*0.19</f>
        <v>32300</v>
      </c>
      <c r="AH324" s="113">
        <f>AF324+AG324</f>
        <v>202300</v>
      </c>
      <c r="AI324" s="277" t="s">
        <v>628</v>
      </c>
      <c r="AJ324" s="33" t="s">
        <v>1762</v>
      </c>
      <c r="AK324" s="269">
        <v>115854</v>
      </c>
      <c r="AL324" s="269">
        <v>22012.260000000002</v>
      </c>
      <c r="AM324" s="116">
        <v>137866.26</v>
      </c>
      <c r="AN324" s="301" t="s">
        <v>88</v>
      </c>
      <c r="AO324" s="302">
        <v>1009832500</v>
      </c>
      <c r="AP324" s="11"/>
      <c r="AQ324" s="11"/>
      <c r="AR324" s="11"/>
      <c r="AS324" s="11"/>
      <c r="AT324" s="11"/>
      <c r="AU324" s="118">
        <v>125399</v>
      </c>
      <c r="AV324" s="118">
        <v>23826</v>
      </c>
      <c r="AW324" s="118">
        <v>149225</v>
      </c>
      <c r="AX324" s="52" t="s">
        <v>607</v>
      </c>
      <c r="AY324" s="52">
        <v>8187602500</v>
      </c>
      <c r="AZ324" s="11"/>
      <c r="BA324" s="11"/>
      <c r="BB324" s="11"/>
      <c r="BC324" s="11"/>
      <c r="BD324" s="11"/>
      <c r="BE324" s="274">
        <v>215000</v>
      </c>
      <c r="BF324" s="274">
        <v>40850</v>
      </c>
      <c r="BG324" s="274">
        <v>255850</v>
      </c>
      <c r="BH324" s="11" t="s">
        <v>63</v>
      </c>
      <c r="BI324" s="11" t="s">
        <v>1763</v>
      </c>
      <c r="BJ324" s="311"/>
      <c r="BK324" s="311"/>
      <c r="BL324" s="311"/>
      <c r="BM324" s="52"/>
      <c r="BN324" s="52"/>
      <c r="BO324" s="387"/>
      <c r="BP324" s="320"/>
      <c r="BQ324" s="320"/>
      <c r="BR324" s="4"/>
      <c r="BS324" s="4"/>
      <c r="BT324" s="11"/>
      <c r="BU324" s="11"/>
      <c r="BV324" s="11"/>
      <c r="BW324" s="11"/>
      <c r="BX324" s="11"/>
      <c r="BY324" s="348"/>
      <c r="BZ324" s="348"/>
      <c r="CA324" s="348"/>
      <c r="CB324" s="348"/>
      <c r="CC324" s="348"/>
      <c r="CD324" s="11"/>
      <c r="CE324" s="11"/>
      <c r="CF324" s="11"/>
      <c r="CG324" s="11"/>
      <c r="CH324" s="11"/>
      <c r="CI324" s="11"/>
      <c r="CJ324" s="11"/>
      <c r="CK324" s="11"/>
      <c r="CL324" s="11"/>
      <c r="CM324" s="11"/>
      <c r="CN324" s="274"/>
      <c r="CO324" s="274"/>
      <c r="CP324" s="274"/>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8"/>
      <c r="DN324" s="118"/>
      <c r="DO324" s="118"/>
      <c r="DP324" s="52"/>
      <c r="DQ324" s="52"/>
      <c r="DR324" s="77"/>
      <c r="DS324" s="77"/>
      <c r="DT324" s="77"/>
      <c r="DU324" s="11"/>
      <c r="DV324" s="11"/>
      <c r="DW324" s="11"/>
      <c r="DX324" s="11"/>
      <c r="DY324" s="11"/>
      <c r="DZ324" s="11"/>
      <c r="EA324" s="11"/>
      <c r="EB324" s="11"/>
      <c r="EC324" s="11"/>
      <c r="ED324" s="11"/>
      <c r="EE324" s="11"/>
      <c r="EF324" s="11"/>
    </row>
    <row r="325" spans="1:136" ht="27" x14ac:dyDescent="0.25">
      <c r="A325" s="425">
        <v>323</v>
      </c>
      <c r="B325" s="427" t="s">
        <v>1764</v>
      </c>
      <c r="C325" s="413" t="s">
        <v>1765</v>
      </c>
      <c r="D325" s="413" t="s">
        <v>49</v>
      </c>
      <c r="E325" s="79">
        <v>1</v>
      </c>
      <c r="F325" s="404">
        <v>250118.72200000001</v>
      </c>
      <c r="G325" s="274">
        <v>195000</v>
      </c>
      <c r="H325" s="274">
        <v>37050</v>
      </c>
      <c r="I325" s="274">
        <v>232050</v>
      </c>
      <c r="J325" s="274" t="s">
        <v>45</v>
      </c>
      <c r="K325" s="11" t="s">
        <v>1766</v>
      </c>
      <c r="L325" s="274"/>
      <c r="M325" s="274"/>
      <c r="N325" s="274"/>
      <c r="O325" s="48"/>
      <c r="P325" s="11"/>
      <c r="Q325" s="274"/>
      <c r="R325" s="274"/>
      <c r="S325" s="274"/>
      <c r="T325" s="11"/>
      <c r="U325" s="11"/>
      <c r="V325" s="11"/>
      <c r="W325" s="11"/>
      <c r="X325" s="11"/>
      <c r="Y325" s="11"/>
      <c r="Z325" s="48"/>
      <c r="AA325" s="52"/>
      <c r="AB325" s="52"/>
      <c r="AC325" s="118"/>
      <c r="AD325" s="5"/>
      <c r="AE325" s="52"/>
      <c r="AF325" s="113">
        <v>150000</v>
      </c>
      <c r="AG325" s="113">
        <f>AF325*0.19</f>
        <v>28500</v>
      </c>
      <c r="AH325" s="113">
        <f>AF325+AG325</f>
        <v>178500</v>
      </c>
      <c r="AI325" s="277" t="s">
        <v>628</v>
      </c>
      <c r="AJ325" s="33" t="s">
        <v>1767</v>
      </c>
      <c r="AK325" s="269">
        <v>156000</v>
      </c>
      <c r="AL325" s="269">
        <v>29640</v>
      </c>
      <c r="AM325" s="116">
        <v>185640</v>
      </c>
      <c r="AN325" s="301" t="s">
        <v>88</v>
      </c>
      <c r="AO325" s="302" t="s">
        <v>1766</v>
      </c>
      <c r="AP325" s="11"/>
      <c r="AQ325" s="11"/>
      <c r="AR325" s="11"/>
      <c r="AS325" s="11"/>
      <c r="AT325" s="11"/>
      <c r="AU325" s="118">
        <v>325974</v>
      </c>
      <c r="AV325" s="118">
        <v>61935</v>
      </c>
      <c r="AW325" s="118">
        <v>387909</v>
      </c>
      <c r="AX325" s="52" t="s">
        <v>607</v>
      </c>
      <c r="AY325" s="52">
        <v>1085430250</v>
      </c>
      <c r="AZ325" s="11"/>
      <c r="BA325" s="11"/>
      <c r="BB325" s="11"/>
      <c r="BC325" s="11"/>
      <c r="BD325" s="11"/>
      <c r="BE325" s="274"/>
      <c r="BF325" s="274"/>
      <c r="BG325" s="274"/>
      <c r="BH325" s="11"/>
      <c r="BI325" s="11"/>
      <c r="BJ325" s="311"/>
      <c r="BK325" s="311"/>
      <c r="BL325" s="311"/>
      <c r="BM325" s="52"/>
      <c r="BN325" s="52"/>
      <c r="BO325" s="387">
        <v>272500</v>
      </c>
      <c r="BP325" s="320">
        <f>BO325*0.19</f>
        <v>51775</v>
      </c>
      <c r="BQ325" s="320">
        <f>BO325+BP325</f>
        <v>324275</v>
      </c>
      <c r="BR325" s="4" t="s">
        <v>1767</v>
      </c>
      <c r="BS325" s="4" t="s">
        <v>1768</v>
      </c>
      <c r="BT325" s="11"/>
      <c r="BU325" s="11"/>
      <c r="BV325" s="11"/>
      <c r="BW325" s="11"/>
      <c r="BX325" s="11"/>
      <c r="BY325" s="348"/>
      <c r="BZ325" s="348"/>
      <c r="CA325" s="348"/>
      <c r="CB325" s="348"/>
      <c r="CC325" s="348"/>
      <c r="CD325" s="11"/>
      <c r="CE325" s="11"/>
      <c r="CF325" s="11"/>
      <c r="CG325" s="11"/>
      <c r="CH325" s="11"/>
      <c r="CI325" s="11"/>
      <c r="CJ325" s="11"/>
      <c r="CK325" s="11"/>
      <c r="CL325" s="11"/>
      <c r="CM325" s="11"/>
      <c r="CN325" s="274"/>
      <c r="CO325" s="274"/>
      <c r="CP325" s="274"/>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8"/>
      <c r="DN325" s="118"/>
      <c r="DO325" s="118"/>
      <c r="DP325" s="52"/>
      <c r="DQ325" s="52"/>
      <c r="DR325" s="77"/>
      <c r="DS325" s="77"/>
      <c r="DT325" s="77"/>
      <c r="DU325" s="11"/>
      <c r="DV325" s="11"/>
      <c r="DW325" s="11"/>
      <c r="DX325" s="11"/>
      <c r="DY325" s="11"/>
      <c r="DZ325" s="11"/>
      <c r="EA325" s="11"/>
      <c r="EB325" s="11"/>
      <c r="EC325" s="11"/>
      <c r="ED325" s="11"/>
      <c r="EE325" s="11"/>
      <c r="EF325" s="11"/>
    </row>
    <row r="326" spans="1:136" ht="12.75" customHeight="1" x14ac:dyDescent="0.25">
      <c r="A326" s="425">
        <v>324</v>
      </c>
      <c r="B326" s="427" t="s">
        <v>1769</v>
      </c>
      <c r="C326" s="413" t="s">
        <v>1292</v>
      </c>
      <c r="D326" s="413" t="s">
        <v>49</v>
      </c>
      <c r="E326" s="79">
        <v>1</v>
      </c>
      <c r="F326" s="404">
        <v>113013.40000000001</v>
      </c>
      <c r="G326" s="274">
        <v>81250</v>
      </c>
      <c r="H326" s="274">
        <v>0</v>
      </c>
      <c r="I326" s="274">
        <v>81250</v>
      </c>
      <c r="J326" s="274" t="s">
        <v>164</v>
      </c>
      <c r="K326" s="11" t="s">
        <v>1770</v>
      </c>
      <c r="L326" s="274"/>
      <c r="M326" s="274"/>
      <c r="N326" s="274"/>
      <c r="O326" s="48"/>
      <c r="P326" s="11"/>
      <c r="Q326" s="274"/>
      <c r="R326" s="274"/>
      <c r="S326" s="274"/>
      <c r="T326" s="11"/>
      <c r="U326" s="11"/>
      <c r="V326" s="11"/>
      <c r="W326" s="11"/>
      <c r="X326" s="11"/>
      <c r="Y326" s="11"/>
      <c r="Z326" s="48"/>
      <c r="AA326" s="52"/>
      <c r="AB326" s="52"/>
      <c r="AC326" s="118"/>
      <c r="AD326" s="5"/>
      <c r="AE326" s="52"/>
      <c r="AF326" s="113">
        <v>74000</v>
      </c>
      <c r="AG326" s="113">
        <f>AF326*0.19</f>
        <v>14060</v>
      </c>
      <c r="AH326" s="113">
        <f>AF326+AG326</f>
        <v>88060</v>
      </c>
      <c r="AI326" s="277" t="s">
        <v>628</v>
      </c>
      <c r="AJ326" s="33" t="s">
        <v>1771</v>
      </c>
      <c r="AK326" s="269"/>
      <c r="AL326" s="269"/>
      <c r="AM326" s="116"/>
      <c r="AN326" s="301"/>
      <c r="AO326" s="302"/>
      <c r="AP326" s="11"/>
      <c r="AQ326" s="11"/>
      <c r="AR326" s="11"/>
      <c r="AS326" s="11"/>
      <c r="AT326" s="11"/>
      <c r="AU326" s="118"/>
      <c r="AV326" s="118"/>
      <c r="AW326" s="118"/>
      <c r="AX326" s="52"/>
      <c r="AY326" s="52"/>
      <c r="AZ326" s="11"/>
      <c r="BA326" s="11"/>
      <c r="BB326" s="11"/>
      <c r="BC326" s="11"/>
      <c r="BD326" s="11"/>
      <c r="BE326" s="274">
        <v>84000</v>
      </c>
      <c r="BF326" s="274">
        <v>15960</v>
      </c>
      <c r="BG326" s="274">
        <v>99960</v>
      </c>
      <c r="BH326" s="11" t="s">
        <v>48</v>
      </c>
      <c r="BI326" s="11" t="s">
        <v>1772</v>
      </c>
      <c r="BJ326" s="311"/>
      <c r="BK326" s="311"/>
      <c r="BL326" s="311"/>
      <c r="BM326" s="52"/>
      <c r="BN326" s="52"/>
      <c r="BO326" s="387"/>
      <c r="BP326" s="320"/>
      <c r="BQ326" s="320"/>
      <c r="BR326" s="4"/>
      <c r="BS326" s="4"/>
      <c r="BT326" s="11"/>
      <c r="BU326" s="11"/>
      <c r="BV326" s="11"/>
      <c r="BW326" s="11"/>
      <c r="BX326" s="11"/>
      <c r="BY326" s="348"/>
      <c r="BZ326" s="348"/>
      <c r="CA326" s="348"/>
      <c r="CB326" s="348"/>
      <c r="CC326" s="348"/>
      <c r="CD326" s="11"/>
      <c r="CE326" s="11"/>
      <c r="CF326" s="11"/>
      <c r="CG326" s="11"/>
      <c r="CH326" s="11"/>
      <c r="CI326" s="11"/>
      <c r="CJ326" s="11"/>
      <c r="CK326" s="11"/>
      <c r="CL326" s="11"/>
      <c r="CM326" s="11"/>
      <c r="CN326" s="274"/>
      <c r="CO326" s="274"/>
      <c r="CP326" s="274"/>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8"/>
      <c r="DN326" s="118"/>
      <c r="DO326" s="118"/>
      <c r="DP326" s="52"/>
      <c r="DQ326" s="52"/>
      <c r="DR326" s="77"/>
      <c r="DS326" s="77"/>
      <c r="DT326" s="77"/>
      <c r="DU326" s="11"/>
      <c r="DV326" s="11"/>
      <c r="DW326" s="11"/>
      <c r="DX326" s="11"/>
      <c r="DY326" s="11"/>
      <c r="DZ326" s="11"/>
      <c r="EA326" s="11"/>
      <c r="EB326" s="11"/>
      <c r="EC326" s="11"/>
      <c r="ED326" s="11"/>
      <c r="EE326" s="11"/>
      <c r="EF326" s="11"/>
    </row>
    <row r="327" spans="1:136" ht="40.5" x14ac:dyDescent="0.25">
      <c r="A327" s="425">
        <v>325</v>
      </c>
      <c r="B327" s="427" t="s">
        <v>1773</v>
      </c>
      <c r="C327" s="413" t="s">
        <v>676</v>
      </c>
      <c r="D327" s="413" t="s">
        <v>1774</v>
      </c>
      <c r="E327" s="79">
        <v>1</v>
      </c>
      <c r="F327" s="404">
        <v>500237.44400000002</v>
      </c>
      <c r="G327" s="274">
        <v>550000</v>
      </c>
      <c r="H327" s="274">
        <v>104500</v>
      </c>
      <c r="I327" s="274">
        <v>654500</v>
      </c>
      <c r="J327" s="274" t="s">
        <v>45</v>
      </c>
      <c r="K327" s="11" t="s">
        <v>1775</v>
      </c>
      <c r="L327" s="274"/>
      <c r="M327" s="274"/>
      <c r="N327" s="274"/>
      <c r="O327" s="48"/>
      <c r="P327" s="11"/>
      <c r="Q327" s="274"/>
      <c r="R327" s="274"/>
      <c r="S327" s="274"/>
      <c r="T327" s="11"/>
      <c r="U327" s="11"/>
      <c r="V327" s="11"/>
      <c r="W327" s="11"/>
      <c r="X327" s="11"/>
      <c r="Y327" s="11"/>
      <c r="Z327" s="48"/>
      <c r="AA327" s="52"/>
      <c r="AB327" s="52"/>
      <c r="AC327" s="118"/>
      <c r="AD327" s="5"/>
      <c r="AE327" s="52"/>
      <c r="AF327" s="113">
        <v>498000</v>
      </c>
      <c r="AG327" s="113">
        <f>AF327*0.19</f>
        <v>94620</v>
      </c>
      <c r="AH327" s="113">
        <f>AF327+AG327</f>
        <v>592620</v>
      </c>
      <c r="AI327" s="277" t="s">
        <v>628</v>
      </c>
      <c r="AJ327" s="33" t="s">
        <v>1776</v>
      </c>
      <c r="AK327" s="269">
        <v>318293</v>
      </c>
      <c r="AL327" s="269">
        <v>60475.67</v>
      </c>
      <c r="AM327" s="116">
        <v>378768.67</v>
      </c>
      <c r="AN327" s="301" t="s">
        <v>88</v>
      </c>
      <c r="AO327" s="302">
        <v>1017755000</v>
      </c>
      <c r="AP327" s="11"/>
      <c r="AQ327" s="11"/>
      <c r="AR327" s="11"/>
      <c r="AS327" s="11"/>
      <c r="AT327" s="11"/>
      <c r="AU327" s="118"/>
      <c r="AV327" s="118"/>
      <c r="AW327" s="118"/>
      <c r="AX327" s="52"/>
      <c r="AY327" s="52"/>
      <c r="AZ327" s="11"/>
      <c r="BA327" s="11"/>
      <c r="BB327" s="11"/>
      <c r="BC327" s="11"/>
      <c r="BD327" s="11"/>
      <c r="BE327" s="274">
        <v>291000</v>
      </c>
      <c r="BF327" s="274">
        <v>55290</v>
      </c>
      <c r="BG327" s="274">
        <v>346290</v>
      </c>
      <c r="BH327" s="11" t="s">
        <v>63</v>
      </c>
      <c r="BI327" s="11" t="s">
        <v>1777</v>
      </c>
      <c r="BJ327" s="311"/>
      <c r="BK327" s="311"/>
      <c r="BL327" s="311"/>
      <c r="BM327" s="52"/>
      <c r="BN327" s="52"/>
      <c r="BO327" s="387"/>
      <c r="BP327" s="320"/>
      <c r="BQ327" s="320"/>
      <c r="BR327" s="4"/>
      <c r="BS327" s="4"/>
      <c r="BT327" s="11"/>
      <c r="BU327" s="11"/>
      <c r="BV327" s="11"/>
      <c r="BW327" s="11"/>
      <c r="BX327" s="11"/>
      <c r="BY327" s="348"/>
      <c r="BZ327" s="348"/>
      <c r="CA327" s="348"/>
      <c r="CB327" s="348"/>
      <c r="CC327" s="348"/>
      <c r="CD327" s="11"/>
      <c r="CE327" s="11"/>
      <c r="CF327" s="11"/>
      <c r="CG327" s="11"/>
      <c r="CH327" s="11"/>
      <c r="CI327" s="11"/>
      <c r="CJ327" s="11"/>
      <c r="CK327" s="11"/>
      <c r="CL327" s="11"/>
      <c r="CM327" s="11"/>
      <c r="CN327" s="274"/>
      <c r="CO327" s="274"/>
      <c r="CP327" s="274"/>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8"/>
      <c r="DN327" s="118"/>
      <c r="DO327" s="118"/>
      <c r="DP327" s="52"/>
      <c r="DQ327" s="52"/>
      <c r="DR327" s="77"/>
      <c r="DS327" s="77"/>
      <c r="DT327" s="77"/>
      <c r="DU327" s="11"/>
      <c r="DV327" s="11"/>
      <c r="DW327" s="11"/>
      <c r="DX327" s="11"/>
      <c r="DY327" s="11"/>
      <c r="DZ327" s="11"/>
      <c r="EA327" s="11"/>
      <c r="EB327" s="11"/>
      <c r="EC327" s="11"/>
      <c r="ED327" s="11"/>
      <c r="EE327" s="11"/>
      <c r="EF327" s="11"/>
    </row>
    <row r="328" spans="1:136" ht="12.75" customHeight="1" x14ac:dyDescent="0.25">
      <c r="A328" s="425">
        <v>326</v>
      </c>
      <c r="B328" s="427" t="s">
        <v>1778</v>
      </c>
      <c r="C328" s="428" t="s">
        <v>1779</v>
      </c>
      <c r="D328" s="428" t="s">
        <v>637</v>
      </c>
      <c r="E328" s="79">
        <v>1</v>
      </c>
      <c r="F328" s="405"/>
      <c r="G328" s="274"/>
      <c r="H328" s="274"/>
      <c r="I328" s="274"/>
      <c r="J328" s="274"/>
      <c r="K328" s="11"/>
      <c r="L328" s="274"/>
      <c r="M328" s="274"/>
      <c r="N328" s="274"/>
      <c r="O328" s="48"/>
      <c r="P328" s="11"/>
      <c r="Q328" s="274"/>
      <c r="R328" s="274"/>
      <c r="S328" s="274"/>
      <c r="T328" s="11"/>
      <c r="U328" s="11"/>
      <c r="V328" s="11"/>
      <c r="W328" s="11"/>
      <c r="X328" s="11"/>
      <c r="Y328" s="11"/>
      <c r="Z328" s="48"/>
      <c r="AA328" s="52"/>
      <c r="AB328" s="52"/>
      <c r="AC328" s="118"/>
      <c r="AD328" s="5"/>
      <c r="AE328" s="52"/>
      <c r="AF328" s="113"/>
      <c r="AG328" s="113"/>
      <c r="AH328" s="113"/>
      <c r="AI328" s="52"/>
      <c r="AJ328" s="11"/>
      <c r="AK328" s="269"/>
      <c r="AL328" s="269"/>
      <c r="AM328" s="116"/>
      <c r="AN328" s="301"/>
      <c r="AO328" s="302"/>
      <c r="AP328" s="11"/>
      <c r="AQ328" s="11"/>
      <c r="AR328" s="11"/>
      <c r="AS328" s="11"/>
      <c r="AT328" s="11"/>
      <c r="AU328" s="118"/>
      <c r="AV328" s="118"/>
      <c r="AW328" s="118"/>
      <c r="AX328" s="52"/>
      <c r="AY328" s="52"/>
      <c r="AZ328" s="11"/>
      <c r="BA328" s="11"/>
      <c r="BB328" s="11"/>
      <c r="BC328" s="11"/>
      <c r="BD328" s="11"/>
      <c r="BE328" s="274"/>
      <c r="BF328" s="274"/>
      <c r="BG328" s="274"/>
      <c r="BH328" s="11"/>
      <c r="BI328" s="11"/>
      <c r="BJ328" s="311"/>
      <c r="BK328" s="311"/>
      <c r="BL328" s="311"/>
      <c r="BM328" s="52"/>
      <c r="BN328" s="52"/>
      <c r="BO328" s="387"/>
      <c r="BP328" s="320"/>
      <c r="BQ328" s="320"/>
      <c r="BR328" s="4"/>
      <c r="BS328" s="4"/>
      <c r="BT328" s="11"/>
      <c r="BU328" s="11"/>
      <c r="BV328" s="11"/>
      <c r="BW328" s="11"/>
      <c r="BX328" s="11"/>
      <c r="BY328" s="348"/>
      <c r="BZ328" s="348"/>
      <c r="CA328" s="348"/>
      <c r="CB328" s="348"/>
      <c r="CC328" s="348"/>
      <c r="CD328" s="11"/>
      <c r="CE328" s="11"/>
      <c r="CF328" s="11"/>
      <c r="CG328" s="11"/>
      <c r="CH328" s="11"/>
      <c r="CI328" s="16">
        <v>1809211</v>
      </c>
      <c r="CJ328" s="118">
        <f>+CI328*0.19</f>
        <v>343750.09</v>
      </c>
      <c r="CK328" s="118">
        <f>+CI328+CJ328</f>
        <v>2152961.09</v>
      </c>
      <c r="CL328" s="11" t="s">
        <v>45</v>
      </c>
      <c r="CM328" s="11" t="s">
        <v>1780</v>
      </c>
      <c r="CN328" s="274"/>
      <c r="CO328" s="274"/>
      <c r="CP328" s="274"/>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8"/>
      <c r="DN328" s="118"/>
      <c r="DO328" s="118"/>
      <c r="DP328" s="52"/>
      <c r="DQ328" s="52"/>
      <c r="DR328" s="77"/>
      <c r="DS328" s="77"/>
      <c r="DT328" s="77"/>
      <c r="DU328" s="11"/>
      <c r="DV328" s="11"/>
      <c r="DW328" s="11"/>
      <c r="DX328" s="11"/>
      <c r="DY328" s="11"/>
      <c r="DZ328" s="11"/>
      <c r="EA328" s="11"/>
      <c r="EB328" s="11"/>
      <c r="EC328" s="11"/>
      <c r="ED328" s="11"/>
      <c r="EE328" s="11"/>
      <c r="EF328" s="11"/>
    </row>
    <row r="329" spans="1:136" ht="27" x14ac:dyDescent="0.25">
      <c r="A329" s="425">
        <v>327</v>
      </c>
      <c r="B329" s="427" t="s">
        <v>1781</v>
      </c>
      <c r="C329" s="413" t="s">
        <v>1782</v>
      </c>
      <c r="D329" s="413" t="s">
        <v>686</v>
      </c>
      <c r="E329" s="79">
        <v>1</v>
      </c>
      <c r="F329" s="404">
        <v>399687.20400000003</v>
      </c>
      <c r="G329" s="274">
        <v>115000</v>
      </c>
      <c r="H329" s="274">
        <v>21850</v>
      </c>
      <c r="I329" s="274">
        <v>136850</v>
      </c>
      <c r="J329" s="274" t="s">
        <v>50</v>
      </c>
      <c r="K329" s="11" t="s">
        <v>1783</v>
      </c>
      <c r="L329" s="274"/>
      <c r="M329" s="274"/>
      <c r="N329" s="274"/>
      <c r="O329" s="48"/>
      <c r="P329" s="11"/>
      <c r="Q329" s="274"/>
      <c r="R329" s="274"/>
      <c r="S329" s="274"/>
      <c r="T329" s="11"/>
      <c r="U329" s="11"/>
      <c r="V329" s="11"/>
      <c r="W329" s="11"/>
      <c r="X329" s="11"/>
      <c r="Y329" s="11"/>
      <c r="Z329" s="48"/>
      <c r="AA329" s="52"/>
      <c r="AB329" s="52"/>
      <c r="AC329" s="118"/>
      <c r="AD329" s="5"/>
      <c r="AE329" s="52"/>
      <c r="AF329" s="113"/>
      <c r="AG329" s="113"/>
      <c r="AH329" s="113"/>
      <c r="AI329" s="52"/>
      <c r="AJ329" s="11"/>
      <c r="AK329" s="269">
        <v>230850</v>
      </c>
      <c r="AL329" s="269">
        <v>43861.5</v>
      </c>
      <c r="AM329" s="116">
        <v>274711.5</v>
      </c>
      <c r="AN329" s="301" t="s">
        <v>88</v>
      </c>
      <c r="AO329" s="302">
        <v>1400002500</v>
      </c>
      <c r="AP329" s="11"/>
      <c r="AQ329" s="11"/>
      <c r="AR329" s="11"/>
      <c r="AS329" s="11"/>
      <c r="AT329" s="11"/>
      <c r="AU329" s="118">
        <v>293565</v>
      </c>
      <c r="AV329" s="118">
        <v>55777</v>
      </c>
      <c r="AW329" s="118">
        <v>349342</v>
      </c>
      <c r="AX329" s="52" t="s">
        <v>607</v>
      </c>
      <c r="AY329" s="52">
        <v>1400002500</v>
      </c>
      <c r="AZ329" s="11"/>
      <c r="BA329" s="11"/>
      <c r="BB329" s="11"/>
      <c r="BC329" s="11"/>
      <c r="BD329" s="11"/>
      <c r="BE329" s="274">
        <v>80000</v>
      </c>
      <c r="BF329" s="274">
        <v>15200</v>
      </c>
      <c r="BG329" s="274">
        <v>95200</v>
      </c>
      <c r="BH329" s="11" t="s">
        <v>48</v>
      </c>
      <c r="BI329" s="11" t="s">
        <v>1784</v>
      </c>
      <c r="BJ329" s="311"/>
      <c r="BK329" s="311"/>
      <c r="BL329" s="311"/>
      <c r="BM329" s="52"/>
      <c r="BN329" s="52"/>
      <c r="BO329" s="387"/>
      <c r="BP329" s="320"/>
      <c r="BQ329" s="320"/>
      <c r="BR329" s="4"/>
      <c r="BS329" s="4"/>
      <c r="BT329" s="11"/>
      <c r="BU329" s="11"/>
      <c r="BV329" s="11"/>
      <c r="BW329" s="11"/>
      <c r="BX329" s="11"/>
      <c r="BY329" s="348"/>
      <c r="BZ329" s="348"/>
      <c r="CA329" s="348"/>
      <c r="CB329" s="348"/>
      <c r="CC329" s="348"/>
      <c r="CD329" s="11"/>
      <c r="CE329" s="11"/>
      <c r="CF329" s="11"/>
      <c r="CG329" s="11"/>
      <c r="CH329" s="11"/>
      <c r="CI329" s="11"/>
      <c r="CJ329" s="11"/>
      <c r="CK329" s="11"/>
      <c r="CL329" s="11"/>
      <c r="CM329" s="11"/>
      <c r="CN329" s="274"/>
      <c r="CO329" s="274"/>
      <c r="CP329" s="274"/>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8"/>
      <c r="DN329" s="118"/>
      <c r="DO329" s="118"/>
      <c r="DP329" s="52"/>
      <c r="DQ329" s="52"/>
      <c r="DR329" s="77"/>
      <c r="DS329" s="77"/>
      <c r="DT329" s="77"/>
      <c r="DU329" s="11"/>
      <c r="DV329" s="11"/>
      <c r="DW329" s="11"/>
      <c r="DX329" s="11"/>
      <c r="DY329" s="11"/>
      <c r="DZ329" s="11"/>
      <c r="EA329" s="11"/>
      <c r="EB329" s="11"/>
      <c r="EC329" s="11"/>
      <c r="ED329" s="11"/>
      <c r="EE329" s="11"/>
      <c r="EF329" s="11"/>
    </row>
    <row r="330" spans="1:136" ht="25.5" x14ac:dyDescent="0.25">
      <c r="A330" s="425">
        <v>328</v>
      </c>
      <c r="B330" s="427" t="s">
        <v>1785</v>
      </c>
      <c r="C330" s="413" t="s">
        <v>1273</v>
      </c>
      <c r="D330" s="413" t="s">
        <v>333</v>
      </c>
      <c r="E330" s="79">
        <v>1</v>
      </c>
      <c r="F330" s="404">
        <v>302907.598</v>
      </c>
      <c r="G330" s="274">
        <v>181250</v>
      </c>
      <c r="H330" s="274">
        <v>34437.5</v>
      </c>
      <c r="I330" s="274">
        <v>215687.5</v>
      </c>
      <c r="J330" s="274" t="s">
        <v>50</v>
      </c>
      <c r="K330" s="11" t="s">
        <v>1786</v>
      </c>
      <c r="L330" s="274"/>
      <c r="M330" s="274"/>
      <c r="N330" s="274"/>
      <c r="O330" s="48"/>
      <c r="P330" s="11"/>
      <c r="Q330" s="274"/>
      <c r="R330" s="274"/>
      <c r="S330" s="274"/>
      <c r="T330" s="11"/>
      <c r="U330" s="11"/>
      <c r="V330" s="11"/>
      <c r="W330" s="11"/>
      <c r="X330" s="11"/>
      <c r="Y330" s="11"/>
      <c r="Z330" s="48"/>
      <c r="AA330" s="52"/>
      <c r="AB330" s="52"/>
      <c r="AC330" s="118"/>
      <c r="AD330" s="5"/>
      <c r="AE330" s="52"/>
      <c r="AF330" s="113"/>
      <c r="AG330" s="113"/>
      <c r="AH330" s="113"/>
      <c r="AI330" s="52"/>
      <c r="AJ330" s="11"/>
      <c r="AK330" s="269">
        <v>162195</v>
      </c>
      <c r="AL330" s="269">
        <v>30817.05</v>
      </c>
      <c r="AM330" s="116">
        <v>193012.05</v>
      </c>
      <c r="AN330" s="301" t="s">
        <v>88</v>
      </c>
      <c r="AO330" s="302" t="s">
        <v>1787</v>
      </c>
      <c r="AP330" s="11"/>
      <c r="AQ330" s="11"/>
      <c r="AR330" s="11"/>
      <c r="AS330" s="11"/>
      <c r="AT330" s="11"/>
      <c r="AU330" s="118">
        <v>200059</v>
      </c>
      <c r="AV330" s="118">
        <v>38011</v>
      </c>
      <c r="AW330" s="118">
        <v>238070</v>
      </c>
      <c r="AX330" s="52" t="s">
        <v>343</v>
      </c>
      <c r="AY330" s="52">
        <v>1075535000</v>
      </c>
      <c r="AZ330" s="11"/>
      <c r="BA330" s="11"/>
      <c r="BB330" s="11"/>
      <c r="BC330" s="11"/>
      <c r="BD330" s="11"/>
      <c r="BE330" s="274">
        <v>80000</v>
      </c>
      <c r="BF330" s="274">
        <v>15200</v>
      </c>
      <c r="BG330" s="274">
        <v>95200</v>
      </c>
      <c r="BH330" s="11" t="s">
        <v>48</v>
      </c>
      <c r="BI330" s="11" t="s">
        <v>1788</v>
      </c>
      <c r="BJ330" s="311"/>
      <c r="BK330" s="311"/>
      <c r="BL330" s="311"/>
      <c r="BM330" s="52"/>
      <c r="BN330" s="52"/>
      <c r="BO330" s="387"/>
      <c r="BP330" s="320"/>
      <c r="BQ330" s="320"/>
      <c r="BR330" s="4"/>
      <c r="BS330" s="4"/>
      <c r="BT330" s="11"/>
      <c r="BU330" s="11"/>
      <c r="BV330" s="11"/>
      <c r="BW330" s="11"/>
      <c r="BX330" s="11"/>
      <c r="BY330" s="348"/>
      <c r="BZ330" s="348"/>
      <c r="CA330" s="348"/>
      <c r="CB330" s="348"/>
      <c r="CC330" s="348"/>
      <c r="CD330" s="11"/>
      <c r="CE330" s="11"/>
      <c r="CF330" s="11"/>
      <c r="CG330" s="11"/>
      <c r="CH330" s="11"/>
      <c r="CI330" s="11"/>
      <c r="CJ330" s="11"/>
      <c r="CK330" s="11"/>
      <c r="CL330" s="11"/>
      <c r="CM330" s="11"/>
      <c r="CN330" s="274"/>
      <c r="CO330" s="274"/>
      <c r="CP330" s="274"/>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8">
        <v>886000</v>
      </c>
      <c r="DN330" s="118">
        <f>+DM330*0.19</f>
        <v>168340</v>
      </c>
      <c r="DO330" s="118">
        <f>+DM330+DN330</f>
        <v>1054340</v>
      </c>
      <c r="DP330" s="52"/>
      <c r="DQ330" s="52">
        <v>1075539010</v>
      </c>
      <c r="DR330" s="77">
        <v>276000</v>
      </c>
      <c r="DS330" s="77">
        <f>+DR330*0.19</f>
        <v>52440</v>
      </c>
      <c r="DT330" s="77">
        <f>+DR330+DS330</f>
        <v>328440</v>
      </c>
      <c r="DU330" s="11" t="s">
        <v>37</v>
      </c>
      <c r="DV330" s="11">
        <v>1075535000</v>
      </c>
      <c r="DW330" s="11"/>
      <c r="DX330" s="11"/>
      <c r="DY330" s="11"/>
      <c r="DZ330" s="11"/>
      <c r="EA330" s="11"/>
      <c r="EB330" s="11"/>
      <c r="EC330" s="11"/>
      <c r="ED330" s="11"/>
      <c r="EE330" s="11"/>
      <c r="EF330" s="11"/>
    </row>
    <row r="331" spans="1:136" ht="27" x14ac:dyDescent="0.25">
      <c r="A331" s="425">
        <v>329</v>
      </c>
      <c r="B331" s="413" t="s">
        <v>1789</v>
      </c>
      <c r="C331" s="428" t="s">
        <v>1790</v>
      </c>
      <c r="D331" s="586" t="s">
        <v>502</v>
      </c>
      <c r="E331" s="79">
        <v>1</v>
      </c>
      <c r="F331" s="405"/>
      <c r="G331" s="274"/>
      <c r="H331" s="274"/>
      <c r="I331" s="274"/>
      <c r="J331" s="274"/>
      <c r="K331" s="11"/>
      <c r="L331" s="274"/>
      <c r="M331" s="274"/>
      <c r="N331" s="274"/>
      <c r="O331" s="48"/>
      <c r="P331" s="11"/>
      <c r="Q331" s="274"/>
      <c r="R331" s="274"/>
      <c r="S331" s="274"/>
      <c r="T331" s="11"/>
      <c r="U331" s="11"/>
      <c r="V331" s="11"/>
      <c r="W331" s="11"/>
      <c r="X331" s="11"/>
      <c r="Y331" s="11"/>
      <c r="Z331" s="48"/>
      <c r="AA331" s="294">
        <v>401670</v>
      </c>
      <c r="AB331" s="118">
        <f>+AA331*0.19</f>
        <v>76317.3</v>
      </c>
      <c r="AC331" s="118">
        <f>+AA331+AB331</f>
        <v>477987.3</v>
      </c>
      <c r="AD331" s="5" t="s">
        <v>610</v>
      </c>
      <c r="AE331" s="52" t="s">
        <v>1791</v>
      </c>
      <c r="AF331" s="113"/>
      <c r="AG331" s="113"/>
      <c r="AH331" s="113"/>
      <c r="AI331" s="52"/>
      <c r="AJ331" s="11"/>
      <c r="AK331" s="269"/>
      <c r="AL331" s="269"/>
      <c r="AM331" s="116"/>
      <c r="AN331" s="301"/>
      <c r="AO331" s="302"/>
      <c r="AP331" s="11"/>
      <c r="AQ331" s="11"/>
      <c r="AR331" s="11"/>
      <c r="AS331" s="11"/>
      <c r="AT331" s="11"/>
      <c r="AU331" s="118"/>
      <c r="AV331" s="118"/>
      <c r="AW331" s="118"/>
      <c r="AX331" s="52"/>
      <c r="AY331" s="52"/>
      <c r="AZ331" s="11"/>
      <c r="BA331" s="11"/>
      <c r="BB331" s="11"/>
      <c r="BC331" s="11"/>
      <c r="BD331" s="11"/>
      <c r="BE331" s="274">
        <v>3343000</v>
      </c>
      <c r="BF331" s="274">
        <v>635170</v>
      </c>
      <c r="BG331" s="274">
        <v>3978170</v>
      </c>
      <c r="BH331" s="11" t="s">
        <v>338</v>
      </c>
      <c r="BI331" s="11" t="s">
        <v>1792</v>
      </c>
      <c r="BJ331" s="311"/>
      <c r="BK331" s="311"/>
      <c r="BL331" s="311"/>
      <c r="BM331" s="52"/>
      <c r="BN331" s="52"/>
      <c r="BO331" s="387"/>
      <c r="BP331" s="320"/>
      <c r="BQ331" s="320"/>
      <c r="BR331" s="4"/>
      <c r="BS331" s="4"/>
      <c r="BT331" s="11"/>
      <c r="BU331" s="11"/>
      <c r="BV331" s="11"/>
      <c r="BW331" s="11"/>
      <c r="BX331" s="11"/>
      <c r="BY331" s="348"/>
      <c r="BZ331" s="348"/>
      <c r="CA331" s="348"/>
      <c r="CB331" s="348"/>
      <c r="CC331" s="348"/>
      <c r="CD331" s="274">
        <v>899000</v>
      </c>
      <c r="CE331" s="274">
        <f>+CD331*0.19</f>
        <v>170810</v>
      </c>
      <c r="CF331" s="11">
        <f>+CD331+CE331</f>
        <v>1069810</v>
      </c>
      <c r="CG331" s="11" t="s">
        <v>1793</v>
      </c>
      <c r="CH331" s="11" t="s">
        <v>1794</v>
      </c>
      <c r="CI331" s="11"/>
      <c r="CJ331" s="11"/>
      <c r="CK331" s="11"/>
      <c r="CL331" s="11"/>
      <c r="CM331" s="11"/>
      <c r="CN331" s="274"/>
      <c r="CO331" s="274"/>
      <c r="CP331" s="274"/>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8"/>
      <c r="DN331" s="118"/>
      <c r="DO331" s="118"/>
      <c r="DP331" s="52"/>
      <c r="DQ331" s="52"/>
      <c r="DR331" s="77"/>
      <c r="DS331" s="77"/>
      <c r="DT331" s="77"/>
      <c r="DU331" s="11"/>
      <c r="DV331" s="11"/>
      <c r="DW331" s="11"/>
      <c r="DX331" s="11"/>
      <c r="DY331" s="11"/>
      <c r="DZ331" s="11"/>
      <c r="EA331" s="11"/>
      <c r="EB331" s="11"/>
      <c r="EC331" s="11"/>
      <c r="ED331" s="11"/>
      <c r="EE331" s="11"/>
      <c r="EF331" s="11"/>
    </row>
    <row r="332" spans="1:136" ht="27" x14ac:dyDescent="0.25">
      <c r="A332" s="425">
        <v>330</v>
      </c>
      <c r="B332" s="427" t="s">
        <v>1795</v>
      </c>
      <c r="C332" s="427" t="s">
        <v>1796</v>
      </c>
      <c r="D332" s="427" t="s">
        <v>1297</v>
      </c>
      <c r="E332" s="79">
        <v>1</v>
      </c>
      <c r="F332" s="405"/>
      <c r="G332" s="274">
        <v>192500</v>
      </c>
      <c r="H332" s="274">
        <v>36575</v>
      </c>
      <c r="I332" s="274">
        <v>229075</v>
      </c>
      <c r="J332" s="274" t="s">
        <v>45</v>
      </c>
      <c r="K332" s="11" t="s">
        <v>1797</v>
      </c>
      <c r="L332" s="274"/>
      <c r="M332" s="274"/>
      <c r="N332" s="274"/>
      <c r="O332" s="48"/>
      <c r="P332" s="11"/>
      <c r="Q332" s="274"/>
      <c r="R332" s="274"/>
      <c r="S332" s="274"/>
      <c r="T332" s="11"/>
      <c r="U332" s="11"/>
      <c r="V332" s="11"/>
      <c r="W332" s="11"/>
      <c r="X332" s="11"/>
      <c r="Y332" s="11"/>
      <c r="Z332" s="48"/>
      <c r="AA332" s="52"/>
      <c r="AB332" s="52"/>
      <c r="AC332" s="118"/>
      <c r="AD332" s="5"/>
      <c r="AE332" s="52"/>
      <c r="AF332" s="113">
        <v>66000</v>
      </c>
      <c r="AG332" s="113">
        <f>AF332*0.19</f>
        <v>12540</v>
      </c>
      <c r="AH332" s="113">
        <f>AF332+AG332</f>
        <v>78540</v>
      </c>
      <c r="AI332" s="277" t="s">
        <v>628</v>
      </c>
      <c r="AJ332" s="33" t="s">
        <v>1798</v>
      </c>
      <c r="AK332" s="269">
        <v>78090</v>
      </c>
      <c r="AL332" s="269">
        <v>14837.1</v>
      </c>
      <c r="AM332" s="116">
        <v>92927.1</v>
      </c>
      <c r="AN332" s="301" t="s">
        <v>88</v>
      </c>
      <c r="AO332" s="302">
        <v>1072330025</v>
      </c>
      <c r="AP332" s="11"/>
      <c r="AQ332" s="11"/>
      <c r="AR332" s="11"/>
      <c r="AS332" s="11"/>
      <c r="AT332" s="11"/>
      <c r="AU332" s="118">
        <v>99305</v>
      </c>
      <c r="AV332" s="118">
        <v>18868</v>
      </c>
      <c r="AW332" s="118">
        <v>118173</v>
      </c>
      <c r="AX332" s="52" t="s">
        <v>607</v>
      </c>
      <c r="AY332" s="52">
        <v>1072330025</v>
      </c>
      <c r="AZ332" s="11"/>
      <c r="BA332" s="11"/>
      <c r="BB332" s="11"/>
      <c r="BC332" s="11"/>
      <c r="BD332" s="11"/>
      <c r="BE332" s="274">
        <v>342000</v>
      </c>
      <c r="BF332" s="274">
        <v>64980</v>
      </c>
      <c r="BG332" s="274">
        <v>406980</v>
      </c>
      <c r="BH332" s="11" t="s">
        <v>338</v>
      </c>
      <c r="BI332" s="11" t="s">
        <v>1799</v>
      </c>
      <c r="BJ332" s="311"/>
      <c r="BK332" s="311"/>
      <c r="BL332" s="311"/>
      <c r="BM332" s="52"/>
      <c r="BN332" s="52"/>
      <c r="BO332" s="387"/>
      <c r="BP332" s="320"/>
      <c r="BQ332" s="320"/>
      <c r="BR332" s="4"/>
      <c r="BS332" s="4"/>
      <c r="BT332" s="11"/>
      <c r="BU332" s="11"/>
      <c r="BV332" s="11"/>
      <c r="BW332" s="11"/>
      <c r="BX332" s="11"/>
      <c r="BY332" s="348"/>
      <c r="BZ332" s="348"/>
      <c r="CA332" s="348"/>
      <c r="CB332" s="348"/>
      <c r="CC332" s="348"/>
      <c r="CD332" s="11"/>
      <c r="CE332" s="11"/>
      <c r="CF332" s="11"/>
      <c r="CG332" s="11"/>
      <c r="CH332" s="11"/>
      <c r="CI332" s="11"/>
      <c r="CJ332" s="11"/>
      <c r="CK332" s="11"/>
      <c r="CL332" s="11"/>
      <c r="CM332" s="11"/>
      <c r="CN332" s="274"/>
      <c r="CO332" s="274"/>
      <c r="CP332" s="274"/>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8"/>
      <c r="DN332" s="118"/>
      <c r="DO332" s="118"/>
      <c r="DP332" s="52"/>
      <c r="DQ332" s="52"/>
      <c r="DR332" s="77"/>
      <c r="DS332" s="77"/>
      <c r="DT332" s="77"/>
      <c r="DU332" s="11"/>
      <c r="DV332" s="11"/>
      <c r="DW332" s="11"/>
      <c r="DX332" s="11"/>
      <c r="DY332" s="11"/>
      <c r="DZ332" s="11"/>
      <c r="EA332" s="11"/>
      <c r="EB332" s="11"/>
      <c r="EC332" s="11"/>
      <c r="ED332" s="11"/>
      <c r="EE332" s="11"/>
      <c r="EF332" s="11"/>
    </row>
    <row r="333" spans="1:136" ht="40.5" x14ac:dyDescent="0.25">
      <c r="A333" s="425">
        <v>331</v>
      </c>
      <c r="B333" s="427" t="s">
        <v>1800</v>
      </c>
      <c r="C333" s="427" t="s">
        <v>1000</v>
      </c>
      <c r="D333" s="427" t="s">
        <v>549</v>
      </c>
      <c r="E333" s="79">
        <v>1</v>
      </c>
      <c r="F333" s="405"/>
      <c r="G333" s="274"/>
      <c r="H333" s="274"/>
      <c r="I333" s="274"/>
      <c r="J333" s="274"/>
      <c r="K333" s="11"/>
      <c r="L333" s="274"/>
      <c r="M333" s="274"/>
      <c r="N333" s="274"/>
      <c r="O333" s="48"/>
      <c r="P333" s="11"/>
      <c r="Q333" s="274"/>
      <c r="R333" s="274"/>
      <c r="S333" s="274"/>
      <c r="T333" s="11"/>
      <c r="U333" s="11"/>
      <c r="V333" s="11"/>
      <c r="W333" s="11"/>
      <c r="X333" s="11"/>
      <c r="Y333" s="11"/>
      <c r="Z333" s="48"/>
      <c r="AA333" s="52"/>
      <c r="AB333" s="52"/>
      <c r="AC333" s="118"/>
      <c r="AD333" s="5"/>
      <c r="AE333" s="52"/>
      <c r="AF333" s="113"/>
      <c r="AG333" s="113"/>
      <c r="AH333" s="113"/>
      <c r="AI333" s="52"/>
      <c r="AJ333" s="11"/>
      <c r="AK333" s="269"/>
      <c r="AL333" s="269"/>
      <c r="AM333" s="116"/>
      <c r="AN333" s="301"/>
      <c r="AO333" s="302"/>
      <c r="AP333" s="11"/>
      <c r="AQ333" s="11"/>
      <c r="AR333" s="11"/>
      <c r="AS333" s="11"/>
      <c r="AT333" s="11"/>
      <c r="AU333" s="118">
        <v>1447359</v>
      </c>
      <c r="AV333" s="118">
        <v>274998</v>
      </c>
      <c r="AW333" s="118">
        <v>1722358</v>
      </c>
      <c r="AX333" s="52" t="s">
        <v>607</v>
      </c>
      <c r="AY333" s="52" t="s">
        <v>1801</v>
      </c>
      <c r="AZ333" s="11"/>
      <c r="BA333" s="11"/>
      <c r="BB333" s="11"/>
      <c r="BC333" s="11"/>
      <c r="BD333" s="11"/>
      <c r="BE333" s="274">
        <v>4780000</v>
      </c>
      <c r="BF333" s="274">
        <v>908200</v>
      </c>
      <c r="BG333" s="274">
        <v>5688200</v>
      </c>
      <c r="BH333" s="11" t="s">
        <v>310</v>
      </c>
      <c r="BI333" s="11" t="s">
        <v>1802</v>
      </c>
      <c r="BJ333" s="311"/>
      <c r="BK333" s="311"/>
      <c r="BL333" s="311"/>
      <c r="BM333" s="52"/>
      <c r="BN333" s="52"/>
      <c r="BO333" s="387"/>
      <c r="BP333" s="320"/>
      <c r="BQ333" s="320"/>
      <c r="BR333" s="4"/>
      <c r="BS333" s="4"/>
      <c r="BT333" s="11"/>
      <c r="BU333" s="11"/>
      <c r="BV333" s="11"/>
      <c r="BW333" s="11"/>
      <c r="BX333" s="11"/>
      <c r="BY333" s="348"/>
      <c r="BZ333" s="348"/>
      <c r="CA333" s="348"/>
      <c r="CB333" s="348"/>
      <c r="CC333" s="348"/>
      <c r="CD333" s="11"/>
      <c r="CE333" s="11"/>
      <c r="CF333" s="11"/>
      <c r="CG333" s="11"/>
      <c r="CH333" s="11"/>
      <c r="CI333" s="11"/>
      <c r="CJ333" s="11"/>
      <c r="CK333" s="11"/>
      <c r="CL333" s="11"/>
      <c r="CM333" s="11"/>
      <c r="CN333" s="274"/>
      <c r="CO333" s="274"/>
      <c r="CP333" s="274"/>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8"/>
      <c r="DN333" s="118"/>
      <c r="DO333" s="118"/>
      <c r="DP333" s="52"/>
      <c r="DQ333" s="52"/>
      <c r="DR333" s="77"/>
      <c r="DS333" s="77"/>
      <c r="DT333" s="77"/>
      <c r="DU333" s="11"/>
      <c r="DV333" s="11"/>
      <c r="DW333" s="11"/>
      <c r="DX333" s="11"/>
      <c r="DY333" s="11"/>
      <c r="DZ333" s="11"/>
      <c r="EA333" s="11"/>
      <c r="EB333" s="11"/>
      <c r="EC333" s="11"/>
      <c r="ED333" s="11"/>
      <c r="EE333" s="11"/>
      <c r="EF333" s="11"/>
    </row>
    <row r="334" spans="1:136" ht="13.5" x14ac:dyDescent="0.25">
      <c r="A334" s="425">
        <v>332</v>
      </c>
      <c r="B334" s="413" t="s">
        <v>1803</v>
      </c>
      <c r="C334" s="413" t="s">
        <v>1804</v>
      </c>
      <c r="D334" s="413" t="s">
        <v>1805</v>
      </c>
      <c r="E334" s="79">
        <v>1</v>
      </c>
      <c r="F334" s="405"/>
      <c r="G334" s="274">
        <v>326250</v>
      </c>
      <c r="H334" s="274">
        <v>61987.5</v>
      </c>
      <c r="I334" s="274">
        <v>388237.5</v>
      </c>
      <c r="J334" s="274" t="s">
        <v>45</v>
      </c>
      <c r="K334" s="11" t="s">
        <v>1806</v>
      </c>
      <c r="L334" s="274"/>
      <c r="M334" s="274"/>
      <c r="N334" s="274"/>
      <c r="O334" s="48"/>
      <c r="P334" s="11"/>
      <c r="Q334" s="274"/>
      <c r="R334" s="274"/>
      <c r="S334" s="274"/>
      <c r="T334" s="11"/>
      <c r="U334" s="11"/>
      <c r="V334" s="11"/>
      <c r="W334" s="11"/>
      <c r="X334" s="11"/>
      <c r="Y334" s="11"/>
      <c r="Z334" s="48"/>
      <c r="AA334" s="52"/>
      <c r="AB334" s="52"/>
      <c r="AC334" s="118"/>
      <c r="AD334" s="5"/>
      <c r="AE334" s="52"/>
      <c r="AF334" s="113">
        <v>594000</v>
      </c>
      <c r="AG334" s="113">
        <f>AF334*0.19</f>
        <v>112860</v>
      </c>
      <c r="AH334" s="113">
        <f>AF334+AG334</f>
        <v>706860</v>
      </c>
      <c r="AI334" s="277" t="s">
        <v>628</v>
      </c>
      <c r="AJ334" s="33" t="s">
        <v>1807</v>
      </c>
      <c r="AK334" s="269">
        <v>424650</v>
      </c>
      <c r="AL334" s="269">
        <v>80683.5</v>
      </c>
      <c r="AM334" s="116">
        <v>505333.5</v>
      </c>
      <c r="AN334" s="301" t="s">
        <v>88</v>
      </c>
      <c r="AO334" s="302">
        <v>1040035000</v>
      </c>
      <c r="AP334" s="11"/>
      <c r="AQ334" s="11"/>
      <c r="AR334" s="11"/>
      <c r="AS334" s="11"/>
      <c r="AT334" s="11"/>
      <c r="AU334" s="118">
        <v>187737</v>
      </c>
      <c r="AV334" s="118">
        <v>35670</v>
      </c>
      <c r="AW334" s="118">
        <v>223407</v>
      </c>
      <c r="AX334" s="52" t="s">
        <v>607</v>
      </c>
      <c r="AY334" s="52">
        <v>8187085000</v>
      </c>
      <c r="AZ334" s="11"/>
      <c r="BA334" s="11"/>
      <c r="BB334" s="11"/>
      <c r="BC334" s="11"/>
      <c r="BD334" s="11"/>
      <c r="BE334" s="274">
        <v>368000</v>
      </c>
      <c r="BF334" s="274">
        <v>69920</v>
      </c>
      <c r="BG334" s="274">
        <v>437920</v>
      </c>
      <c r="BH334" s="11" t="s">
        <v>63</v>
      </c>
      <c r="BI334" s="11" t="s">
        <v>1808</v>
      </c>
      <c r="BJ334" s="311"/>
      <c r="BK334" s="311"/>
      <c r="BL334" s="311"/>
      <c r="BM334" s="52"/>
      <c r="BN334" s="52"/>
      <c r="BO334" s="387"/>
      <c r="BP334" s="320"/>
      <c r="BQ334" s="320"/>
      <c r="BR334" s="4"/>
      <c r="BS334" s="4"/>
      <c r="BT334" s="11"/>
      <c r="BU334" s="11"/>
      <c r="BV334" s="11"/>
      <c r="BW334" s="11"/>
      <c r="BX334" s="11"/>
      <c r="BY334" s="348"/>
      <c r="BZ334" s="348"/>
      <c r="CA334" s="348"/>
      <c r="CB334" s="348"/>
      <c r="CC334" s="348"/>
      <c r="CD334" s="11"/>
      <c r="CE334" s="11"/>
      <c r="CF334" s="11"/>
      <c r="CG334" s="11"/>
      <c r="CH334" s="11"/>
      <c r="CI334" s="11"/>
      <c r="CJ334" s="11"/>
      <c r="CK334" s="11"/>
      <c r="CL334" s="11"/>
      <c r="CM334" s="11"/>
      <c r="CN334" s="274"/>
      <c r="CO334" s="274"/>
      <c r="CP334" s="274"/>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8"/>
      <c r="DN334" s="118"/>
      <c r="DO334" s="118"/>
      <c r="DP334" s="52"/>
      <c r="DQ334" s="52"/>
      <c r="DR334" s="77"/>
      <c r="DS334" s="77"/>
      <c r="DT334" s="77"/>
      <c r="DU334" s="11"/>
      <c r="DV334" s="11"/>
      <c r="DW334" s="11"/>
      <c r="DX334" s="11"/>
      <c r="DY334" s="11"/>
      <c r="DZ334" s="11"/>
      <c r="EA334" s="11"/>
      <c r="EB334" s="11"/>
      <c r="EC334" s="11"/>
      <c r="ED334" s="11"/>
      <c r="EE334" s="11"/>
      <c r="EF334" s="11"/>
    </row>
    <row r="335" spans="1:136" ht="27" x14ac:dyDescent="0.25">
      <c r="A335" s="425">
        <v>333</v>
      </c>
      <c r="B335" s="427" t="s">
        <v>1809</v>
      </c>
      <c r="C335" s="413" t="s">
        <v>1810</v>
      </c>
      <c r="D335" s="413" t="s">
        <v>1811</v>
      </c>
      <c r="E335" s="79">
        <v>1</v>
      </c>
      <c r="F335" s="405"/>
      <c r="G335" s="274"/>
      <c r="H335" s="274"/>
      <c r="I335" s="274"/>
      <c r="J335" s="274"/>
      <c r="K335" s="11"/>
      <c r="L335" s="274"/>
      <c r="M335" s="274"/>
      <c r="N335" s="274"/>
      <c r="O335" s="48"/>
      <c r="P335" s="11"/>
      <c r="Q335" s="274"/>
      <c r="R335" s="274"/>
      <c r="S335" s="274"/>
      <c r="T335" s="11"/>
      <c r="U335" s="11"/>
      <c r="V335" s="11"/>
      <c r="W335" s="11"/>
      <c r="X335" s="11"/>
      <c r="Y335" s="11"/>
      <c r="Z335" s="48"/>
      <c r="AA335" s="52"/>
      <c r="AB335" s="52"/>
      <c r="AC335" s="118"/>
      <c r="AD335" s="5"/>
      <c r="AE335" s="52"/>
      <c r="AF335" s="113"/>
      <c r="AG335" s="113"/>
      <c r="AH335" s="113"/>
      <c r="AI335" s="52"/>
      <c r="AJ335" s="11"/>
      <c r="AK335" s="269"/>
      <c r="AL335" s="269"/>
      <c r="AM335" s="116"/>
      <c r="AN335" s="301"/>
      <c r="AO335" s="302"/>
      <c r="AP335" s="11"/>
      <c r="AQ335" s="11"/>
      <c r="AR335" s="11"/>
      <c r="AS335" s="11"/>
      <c r="AT335" s="11"/>
      <c r="AU335" s="118">
        <v>1842381</v>
      </c>
      <c r="AV335" s="118">
        <v>350052</v>
      </c>
      <c r="AW335" s="118">
        <v>2192433</v>
      </c>
      <c r="AX335" s="52" t="s">
        <v>607</v>
      </c>
      <c r="AY335" s="52" t="s">
        <v>1812</v>
      </c>
      <c r="AZ335" s="11"/>
      <c r="BA335" s="11"/>
      <c r="BB335" s="11"/>
      <c r="BC335" s="11"/>
      <c r="BD335" s="11"/>
      <c r="BE335" s="274"/>
      <c r="BF335" s="274"/>
      <c r="BG335" s="274"/>
      <c r="BH335" s="11"/>
      <c r="BI335" s="11"/>
      <c r="BJ335" s="311"/>
      <c r="BK335" s="311"/>
      <c r="BL335" s="311"/>
      <c r="BM335" s="52"/>
      <c r="BN335" s="52"/>
      <c r="BO335" s="387"/>
      <c r="BP335" s="320"/>
      <c r="BQ335" s="320"/>
      <c r="BR335" s="4"/>
      <c r="BS335" s="4"/>
      <c r="BT335" s="11"/>
      <c r="BU335" s="11"/>
      <c r="BV335" s="11"/>
      <c r="BW335" s="11"/>
      <c r="BX335" s="11"/>
      <c r="BY335" s="348"/>
      <c r="BZ335" s="348"/>
      <c r="CA335" s="348"/>
      <c r="CB335" s="348"/>
      <c r="CC335" s="348"/>
      <c r="CD335" s="11"/>
      <c r="CE335" s="11"/>
      <c r="CF335" s="11"/>
      <c r="CG335" s="11"/>
      <c r="CH335" s="11"/>
      <c r="CI335" s="11"/>
      <c r="CJ335" s="11"/>
      <c r="CK335" s="11"/>
      <c r="CL335" s="11"/>
      <c r="CM335" s="11"/>
      <c r="CN335" s="274"/>
      <c r="CO335" s="274"/>
      <c r="CP335" s="274"/>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8"/>
      <c r="DN335" s="118"/>
      <c r="DO335" s="118"/>
      <c r="DP335" s="52"/>
      <c r="DQ335" s="52"/>
      <c r="DR335" s="77"/>
      <c r="DS335" s="77"/>
      <c r="DT335" s="77"/>
      <c r="DU335" s="11"/>
      <c r="DV335" s="11"/>
      <c r="DW335" s="11"/>
      <c r="DX335" s="11"/>
      <c r="DY335" s="11"/>
      <c r="DZ335" s="11"/>
      <c r="EA335" s="11"/>
      <c r="EB335" s="11"/>
      <c r="EC335" s="11"/>
      <c r="ED335" s="11"/>
      <c r="EE335" s="11"/>
      <c r="EF335" s="11"/>
    </row>
    <row r="336" spans="1:136" ht="27" x14ac:dyDescent="0.25">
      <c r="A336" s="425">
        <v>334</v>
      </c>
      <c r="B336" s="413" t="s">
        <v>1813</v>
      </c>
      <c r="C336" s="413" t="s">
        <v>1810</v>
      </c>
      <c r="D336" s="428" t="s">
        <v>54</v>
      </c>
      <c r="E336" s="79">
        <v>1</v>
      </c>
      <c r="F336" s="404">
        <v>1493171.064</v>
      </c>
      <c r="G336" s="274">
        <v>350000</v>
      </c>
      <c r="H336" s="274">
        <v>66500</v>
      </c>
      <c r="I336" s="274">
        <v>416500</v>
      </c>
      <c r="J336" s="274" t="s">
        <v>377</v>
      </c>
      <c r="K336" s="11" t="s">
        <v>1814</v>
      </c>
      <c r="L336" s="274"/>
      <c r="M336" s="274"/>
      <c r="N336" s="274"/>
      <c r="O336" s="48"/>
      <c r="P336" s="11"/>
      <c r="Q336" s="274"/>
      <c r="R336" s="274"/>
      <c r="S336" s="274"/>
      <c r="T336" s="11"/>
      <c r="U336" s="11"/>
      <c r="V336" s="11"/>
      <c r="W336" s="11"/>
      <c r="X336" s="11"/>
      <c r="Y336" s="11"/>
      <c r="Z336" s="48"/>
      <c r="AA336" s="52"/>
      <c r="AB336" s="52"/>
      <c r="AC336" s="118"/>
      <c r="AD336" s="5"/>
      <c r="AE336" s="52"/>
      <c r="AF336" s="113"/>
      <c r="AG336" s="113"/>
      <c r="AH336" s="113"/>
      <c r="AI336" s="52"/>
      <c r="AJ336" s="11"/>
      <c r="AK336" s="269"/>
      <c r="AL336" s="269"/>
      <c r="AM336" s="116"/>
      <c r="AN336" s="301"/>
      <c r="AO336" s="302"/>
      <c r="AP336" s="11"/>
      <c r="AQ336" s="11"/>
      <c r="AR336" s="11"/>
      <c r="AS336" s="11"/>
      <c r="AT336" s="11"/>
      <c r="AU336" s="118">
        <v>154848</v>
      </c>
      <c r="AV336" s="118">
        <v>29421</v>
      </c>
      <c r="AW336" s="118">
        <v>184270</v>
      </c>
      <c r="AX336" s="52" t="s">
        <v>607</v>
      </c>
      <c r="AY336" s="52" t="s">
        <v>1815</v>
      </c>
      <c r="AZ336" s="11"/>
      <c r="BA336" s="11"/>
      <c r="BB336" s="11"/>
      <c r="BC336" s="11"/>
      <c r="BD336" s="11"/>
      <c r="BE336" s="274"/>
      <c r="BF336" s="274"/>
      <c r="BG336" s="274"/>
      <c r="BH336" s="11"/>
      <c r="BI336" s="11"/>
      <c r="BJ336" s="311"/>
      <c r="BK336" s="311"/>
      <c r="BL336" s="311"/>
      <c r="BM336" s="52"/>
      <c r="BN336" s="52"/>
      <c r="BO336" s="387"/>
      <c r="BP336" s="320"/>
      <c r="BQ336" s="320"/>
      <c r="BR336" s="4"/>
      <c r="BS336" s="4"/>
      <c r="BT336" s="11"/>
      <c r="BU336" s="11"/>
      <c r="BV336" s="11"/>
      <c r="BW336" s="11"/>
      <c r="BX336" s="11"/>
      <c r="BY336" s="348"/>
      <c r="BZ336" s="348"/>
      <c r="CA336" s="348"/>
      <c r="CB336" s="348"/>
      <c r="CC336" s="348"/>
      <c r="CD336" s="11"/>
      <c r="CE336" s="11"/>
      <c r="CF336" s="11"/>
      <c r="CG336" s="11"/>
      <c r="CH336" s="11"/>
      <c r="CI336" s="11"/>
      <c r="CJ336" s="11"/>
      <c r="CK336" s="11"/>
      <c r="CL336" s="11"/>
      <c r="CM336" s="11"/>
      <c r="CN336" s="274"/>
      <c r="CO336" s="274"/>
      <c r="CP336" s="274"/>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8"/>
      <c r="DN336" s="118"/>
      <c r="DO336" s="118"/>
      <c r="DP336" s="52"/>
      <c r="DQ336" s="52"/>
      <c r="DR336" s="77"/>
      <c r="DS336" s="77"/>
      <c r="DT336" s="77"/>
      <c r="DU336" s="11"/>
      <c r="DV336" s="11"/>
      <c r="DW336" s="11"/>
      <c r="DX336" s="11"/>
      <c r="DY336" s="11"/>
      <c r="DZ336" s="11"/>
      <c r="EA336" s="11"/>
      <c r="EB336" s="11"/>
      <c r="EC336" s="11"/>
      <c r="ED336" s="11"/>
      <c r="EE336" s="11"/>
      <c r="EF336" s="11"/>
    </row>
    <row r="337" spans="1:136" ht="13.5" x14ac:dyDescent="0.25">
      <c r="A337" s="425">
        <v>335</v>
      </c>
      <c r="B337" s="427" t="s">
        <v>1816</v>
      </c>
      <c r="C337" s="413" t="s">
        <v>622</v>
      </c>
      <c r="D337" s="413" t="s">
        <v>132</v>
      </c>
      <c r="E337" s="79">
        <v>1</v>
      </c>
      <c r="F337" s="404">
        <v>164701.7156</v>
      </c>
      <c r="G337" s="274">
        <v>233750</v>
      </c>
      <c r="H337" s="274">
        <v>44412.5</v>
      </c>
      <c r="I337" s="274">
        <v>278162.5</v>
      </c>
      <c r="J337" s="274" t="s">
        <v>45</v>
      </c>
      <c r="K337" s="11" t="s">
        <v>1344</v>
      </c>
      <c r="L337" s="274"/>
      <c r="M337" s="274"/>
      <c r="N337" s="274"/>
      <c r="O337" s="48"/>
      <c r="P337" s="11"/>
      <c r="Q337" s="274"/>
      <c r="R337" s="274"/>
      <c r="S337" s="274"/>
      <c r="T337" s="11"/>
      <c r="U337" s="11"/>
      <c r="V337" s="11"/>
      <c r="W337" s="11"/>
      <c r="X337" s="11"/>
      <c r="Y337" s="11"/>
      <c r="Z337" s="48"/>
      <c r="AA337" s="52"/>
      <c r="AB337" s="52"/>
      <c r="AC337" s="118"/>
      <c r="AD337" s="5"/>
      <c r="AE337" s="52"/>
      <c r="AF337" s="113">
        <v>359000</v>
      </c>
      <c r="AG337" s="113">
        <f t="shared" ref="AG337:AG342" si="15">AF337*0.19</f>
        <v>68210</v>
      </c>
      <c r="AH337" s="113">
        <f t="shared" ref="AH337:AH342" si="16">AF337+AG337</f>
        <v>427210</v>
      </c>
      <c r="AI337" s="277" t="s">
        <v>628</v>
      </c>
      <c r="AJ337" s="33" t="s">
        <v>1817</v>
      </c>
      <c r="AK337" s="269">
        <v>228570</v>
      </c>
      <c r="AL337" s="269">
        <v>43428.3</v>
      </c>
      <c r="AM337" s="116">
        <v>271998.3</v>
      </c>
      <c r="AN337" s="301" t="s">
        <v>88</v>
      </c>
      <c r="AO337" s="302">
        <v>1065590500</v>
      </c>
      <c r="AP337" s="11"/>
      <c r="AQ337" s="11"/>
      <c r="AR337" s="11"/>
      <c r="AS337" s="11"/>
      <c r="AT337" s="11"/>
      <c r="AU337" s="118">
        <v>182663</v>
      </c>
      <c r="AV337" s="118">
        <v>34706</v>
      </c>
      <c r="AW337" s="118">
        <v>217369</v>
      </c>
      <c r="AX337" s="52" t="s">
        <v>607</v>
      </c>
      <c r="AY337" s="52">
        <v>1065860500</v>
      </c>
      <c r="AZ337" s="11"/>
      <c r="BA337" s="11"/>
      <c r="BB337" s="11"/>
      <c r="BC337" s="11"/>
      <c r="BD337" s="11"/>
      <c r="BE337" s="274"/>
      <c r="BF337" s="274"/>
      <c r="BG337" s="274"/>
      <c r="BH337" s="11"/>
      <c r="BI337" s="11"/>
      <c r="BJ337" s="311"/>
      <c r="BK337" s="311"/>
      <c r="BL337" s="311"/>
      <c r="BM337" s="52"/>
      <c r="BN337" s="52"/>
      <c r="BO337" s="387"/>
      <c r="BP337" s="320"/>
      <c r="BQ337" s="320"/>
      <c r="BR337" s="4"/>
      <c r="BS337" s="4"/>
      <c r="BT337" s="11"/>
      <c r="BU337" s="11"/>
      <c r="BV337" s="11"/>
      <c r="BW337" s="11"/>
      <c r="BX337" s="11"/>
      <c r="BY337" s="348"/>
      <c r="BZ337" s="348"/>
      <c r="CA337" s="348"/>
      <c r="CB337" s="348"/>
      <c r="CC337" s="348"/>
      <c r="CD337" s="11"/>
      <c r="CE337" s="11"/>
      <c r="CF337" s="11"/>
      <c r="CG337" s="11"/>
      <c r="CH337" s="11"/>
      <c r="CI337" s="11"/>
      <c r="CJ337" s="11"/>
      <c r="CK337" s="11"/>
      <c r="CL337" s="11"/>
      <c r="CM337" s="11"/>
      <c r="CN337" s="274"/>
      <c r="CO337" s="274"/>
      <c r="CP337" s="274"/>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8"/>
      <c r="DN337" s="118"/>
      <c r="DO337" s="118"/>
      <c r="DP337" s="52"/>
      <c r="DQ337" s="52"/>
      <c r="DR337" s="77"/>
      <c r="DS337" s="77"/>
      <c r="DT337" s="77"/>
      <c r="DU337" s="11"/>
      <c r="DV337" s="11"/>
      <c r="DW337" s="11"/>
      <c r="DX337" s="11"/>
      <c r="DY337" s="11"/>
      <c r="DZ337" s="11"/>
      <c r="EA337" s="11"/>
      <c r="EB337" s="11"/>
      <c r="EC337" s="11"/>
      <c r="ED337" s="11"/>
      <c r="EE337" s="11"/>
      <c r="EF337" s="11"/>
    </row>
    <row r="338" spans="1:136" ht="94.5" x14ac:dyDescent="0.25">
      <c r="A338" s="425">
        <v>336</v>
      </c>
      <c r="B338" s="413" t="s">
        <v>1818</v>
      </c>
      <c r="C338" s="413" t="s">
        <v>1818</v>
      </c>
      <c r="D338" s="413" t="s">
        <v>132</v>
      </c>
      <c r="E338" s="79">
        <v>1</v>
      </c>
      <c r="F338" s="404">
        <v>276513.16000000003</v>
      </c>
      <c r="G338" s="274">
        <v>507500</v>
      </c>
      <c r="H338" s="274">
        <v>0</v>
      </c>
      <c r="I338" s="274">
        <v>507500</v>
      </c>
      <c r="J338" s="274" t="s">
        <v>45</v>
      </c>
      <c r="K338" s="11" t="s">
        <v>1819</v>
      </c>
      <c r="L338" s="274"/>
      <c r="M338" s="274"/>
      <c r="N338" s="274"/>
      <c r="O338" s="48"/>
      <c r="P338" s="11"/>
      <c r="Q338" s="274"/>
      <c r="R338" s="274"/>
      <c r="S338" s="274"/>
      <c r="T338" s="11"/>
      <c r="U338" s="11"/>
      <c r="V338" s="11"/>
      <c r="W338" s="11"/>
      <c r="X338" s="11"/>
      <c r="Y338" s="11"/>
      <c r="Z338" s="48"/>
      <c r="AA338" s="52"/>
      <c r="AB338" s="52"/>
      <c r="AC338" s="118"/>
      <c r="AD338" s="5"/>
      <c r="AE338" s="52"/>
      <c r="AF338" s="113">
        <v>304000</v>
      </c>
      <c r="AG338" s="113">
        <f t="shared" si="15"/>
        <v>57760</v>
      </c>
      <c r="AH338" s="113">
        <f t="shared" si="16"/>
        <v>361760</v>
      </c>
      <c r="AI338" s="277" t="s">
        <v>628</v>
      </c>
      <c r="AJ338" s="33" t="s">
        <v>1820</v>
      </c>
      <c r="AK338" s="269">
        <v>144210</v>
      </c>
      <c r="AL338" s="269">
        <v>0</v>
      </c>
      <c r="AM338" s="116">
        <v>144210</v>
      </c>
      <c r="AN338" s="301" t="s">
        <v>88</v>
      </c>
      <c r="AO338" s="302">
        <v>1065590500</v>
      </c>
      <c r="AP338" s="11"/>
      <c r="AQ338" s="11"/>
      <c r="AR338" s="11"/>
      <c r="AS338" s="11"/>
      <c r="AT338" s="11"/>
      <c r="AU338" s="118">
        <v>183388</v>
      </c>
      <c r="AV338" s="118">
        <v>34844</v>
      </c>
      <c r="AW338" s="118">
        <v>218231</v>
      </c>
      <c r="AX338" s="52" t="s">
        <v>607</v>
      </c>
      <c r="AY338" s="52">
        <v>1011260500</v>
      </c>
      <c r="AZ338" s="11"/>
      <c r="BA338" s="11"/>
      <c r="BB338" s="11"/>
      <c r="BC338" s="11"/>
      <c r="BD338" s="11"/>
      <c r="BE338" s="274"/>
      <c r="BF338" s="274"/>
      <c r="BG338" s="274"/>
      <c r="BH338" s="11"/>
      <c r="BI338" s="11"/>
      <c r="BJ338" s="311"/>
      <c r="BK338" s="311"/>
      <c r="BL338" s="311"/>
      <c r="BM338" s="52"/>
      <c r="BN338" s="52"/>
      <c r="BO338" s="387"/>
      <c r="BP338" s="320"/>
      <c r="BQ338" s="320"/>
      <c r="BR338" s="4"/>
      <c r="BS338" s="4"/>
      <c r="BT338" s="11"/>
      <c r="BU338" s="11"/>
      <c r="BV338" s="11"/>
      <c r="BW338" s="11"/>
      <c r="BX338" s="11"/>
      <c r="BY338" s="348"/>
      <c r="BZ338" s="348"/>
      <c r="CA338" s="348"/>
      <c r="CB338" s="348"/>
      <c r="CC338" s="348"/>
      <c r="CD338" s="11"/>
      <c r="CE338" s="11"/>
      <c r="CF338" s="11"/>
      <c r="CG338" s="11"/>
      <c r="CH338" s="11"/>
      <c r="CI338" s="11"/>
      <c r="CJ338" s="11"/>
      <c r="CK338" s="11"/>
      <c r="CL338" s="11"/>
      <c r="CM338" s="11"/>
      <c r="CN338" s="274"/>
      <c r="CO338" s="274"/>
      <c r="CP338" s="274"/>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8"/>
      <c r="DN338" s="118"/>
      <c r="DO338" s="118"/>
      <c r="DP338" s="52"/>
      <c r="DQ338" s="52"/>
      <c r="DR338" s="77"/>
      <c r="DS338" s="77"/>
      <c r="DT338" s="77"/>
      <c r="DU338" s="11"/>
      <c r="DV338" s="11"/>
      <c r="DW338" s="11"/>
      <c r="DX338" s="11"/>
      <c r="DY338" s="11"/>
      <c r="DZ338" s="11"/>
      <c r="EA338" s="11"/>
      <c r="EB338" s="11"/>
      <c r="EC338" s="11"/>
      <c r="ED338" s="11"/>
      <c r="EE338" s="11"/>
      <c r="EF338" s="11"/>
    </row>
    <row r="339" spans="1:136" ht="28.5" x14ac:dyDescent="0.25">
      <c r="A339" s="425">
        <v>337</v>
      </c>
      <c r="B339" s="427" t="s">
        <v>2859</v>
      </c>
      <c r="C339" s="413" t="s">
        <v>1821</v>
      </c>
      <c r="D339" s="413" t="s">
        <v>132</v>
      </c>
      <c r="E339" s="79">
        <v>1</v>
      </c>
      <c r="F339" s="404">
        <v>323017.64600000001</v>
      </c>
      <c r="G339" s="274">
        <v>360000</v>
      </c>
      <c r="H339" s="274">
        <v>68400</v>
      </c>
      <c r="I339" s="274">
        <v>428400</v>
      </c>
      <c r="J339" s="274" t="s">
        <v>45</v>
      </c>
      <c r="K339" s="11" t="s">
        <v>1822</v>
      </c>
      <c r="L339" s="274"/>
      <c r="M339" s="274"/>
      <c r="N339" s="274"/>
      <c r="O339" s="48"/>
      <c r="P339" s="11"/>
      <c r="Q339" s="274"/>
      <c r="R339" s="274"/>
      <c r="S339" s="274"/>
      <c r="T339" s="11"/>
      <c r="U339" s="11"/>
      <c r="V339" s="11"/>
      <c r="W339" s="11"/>
      <c r="X339" s="11"/>
      <c r="Y339" s="11"/>
      <c r="Z339" s="48"/>
      <c r="AA339" s="52"/>
      <c r="AB339" s="52"/>
      <c r="AC339" s="118"/>
      <c r="AD339" s="5"/>
      <c r="AE339" s="52"/>
      <c r="AF339" s="113">
        <v>278000</v>
      </c>
      <c r="AG339" s="113">
        <f t="shared" si="15"/>
        <v>52820</v>
      </c>
      <c r="AH339" s="113">
        <f t="shared" si="16"/>
        <v>330820</v>
      </c>
      <c r="AI339" s="277" t="s">
        <v>628</v>
      </c>
      <c r="AJ339" s="33" t="s">
        <v>1823</v>
      </c>
      <c r="AK339" s="269">
        <v>211470</v>
      </c>
      <c r="AL339" s="269">
        <v>40179.300000000003</v>
      </c>
      <c r="AM339" s="116">
        <v>251649.3</v>
      </c>
      <c r="AN339" s="301" t="s">
        <v>88</v>
      </c>
      <c r="AO339" s="302">
        <v>1065800500</v>
      </c>
      <c r="AP339" s="11"/>
      <c r="AQ339" s="11"/>
      <c r="AR339" s="11"/>
      <c r="AS339" s="11"/>
      <c r="AT339" s="11"/>
      <c r="AU339" s="118">
        <v>268920</v>
      </c>
      <c r="AV339" s="118">
        <v>51095</v>
      </c>
      <c r="AW339" s="118">
        <v>320015</v>
      </c>
      <c r="AX339" s="52" t="s">
        <v>607</v>
      </c>
      <c r="AY339" s="52">
        <v>1065800500</v>
      </c>
      <c r="AZ339" s="11"/>
      <c r="BA339" s="11"/>
      <c r="BB339" s="11"/>
      <c r="BC339" s="11"/>
      <c r="BD339" s="11"/>
      <c r="BE339" s="274"/>
      <c r="BF339" s="274"/>
      <c r="BG339" s="274"/>
      <c r="BH339" s="11"/>
      <c r="BI339" s="11"/>
      <c r="BJ339" s="311"/>
      <c r="BK339" s="311"/>
      <c r="BL339" s="311"/>
      <c r="BM339" s="52"/>
      <c r="BN339" s="52"/>
      <c r="BO339" s="387"/>
      <c r="BP339" s="320"/>
      <c r="BQ339" s="320"/>
      <c r="BR339" s="4"/>
      <c r="BS339" s="4"/>
      <c r="BT339" s="11"/>
      <c r="BU339" s="11"/>
      <c r="BV339" s="11"/>
      <c r="BW339" s="11"/>
      <c r="BX339" s="11"/>
      <c r="BY339" s="348"/>
      <c r="BZ339" s="348"/>
      <c r="CA339" s="348"/>
      <c r="CB339" s="348"/>
      <c r="CC339" s="348"/>
      <c r="CD339" s="11"/>
      <c r="CE339" s="11"/>
      <c r="CF339" s="11"/>
      <c r="CG339" s="11"/>
      <c r="CH339" s="11"/>
      <c r="CI339" s="11"/>
      <c r="CJ339" s="11"/>
      <c r="CK339" s="11"/>
      <c r="CL339" s="11"/>
      <c r="CM339" s="11"/>
      <c r="CN339" s="274"/>
      <c r="CO339" s="274"/>
      <c r="CP339" s="274"/>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8"/>
      <c r="DN339" s="118"/>
      <c r="DO339" s="118"/>
      <c r="DP339" s="52"/>
      <c r="DQ339" s="52"/>
      <c r="DR339" s="77"/>
      <c r="DS339" s="77"/>
      <c r="DT339" s="77"/>
      <c r="DU339" s="11"/>
      <c r="DV339" s="11"/>
      <c r="DW339" s="274">
        <v>196900</v>
      </c>
      <c r="DX339" s="384">
        <v>37411</v>
      </c>
      <c r="DY339" s="384">
        <f>+DW339+DX339</f>
        <v>234311</v>
      </c>
      <c r="DZ339" s="385" t="s">
        <v>1824</v>
      </c>
      <c r="EA339" s="11"/>
      <c r="EB339" s="11"/>
      <c r="EC339" s="11"/>
      <c r="ED339" s="11"/>
      <c r="EE339" s="11"/>
      <c r="EF339" s="11"/>
    </row>
    <row r="340" spans="1:136" ht="27" x14ac:dyDescent="0.25">
      <c r="A340" s="425">
        <v>338</v>
      </c>
      <c r="B340" s="413" t="s">
        <v>1825</v>
      </c>
      <c r="C340" s="413" t="s">
        <v>676</v>
      </c>
      <c r="D340" s="586" t="s">
        <v>132</v>
      </c>
      <c r="E340" s="79">
        <v>1</v>
      </c>
      <c r="F340" s="405"/>
      <c r="G340" s="274">
        <v>243750</v>
      </c>
      <c r="H340" s="274">
        <v>46312.5</v>
      </c>
      <c r="I340" s="274">
        <v>290062.5</v>
      </c>
      <c r="J340" s="274" t="s">
        <v>45</v>
      </c>
      <c r="K340" s="11" t="s">
        <v>1826</v>
      </c>
      <c r="L340" s="274"/>
      <c r="M340" s="274"/>
      <c r="N340" s="274"/>
      <c r="O340" s="48"/>
      <c r="P340" s="11"/>
      <c r="Q340" s="274"/>
      <c r="R340" s="274"/>
      <c r="S340" s="274"/>
      <c r="T340" s="11"/>
      <c r="U340" s="11"/>
      <c r="V340" s="11"/>
      <c r="W340" s="11"/>
      <c r="X340" s="11"/>
      <c r="Y340" s="11"/>
      <c r="Z340" s="48"/>
      <c r="AA340" s="52"/>
      <c r="AB340" s="52"/>
      <c r="AC340" s="118"/>
      <c r="AD340" s="5"/>
      <c r="AE340" s="52"/>
      <c r="AF340" s="113">
        <v>225000</v>
      </c>
      <c r="AG340" s="113">
        <f t="shared" si="15"/>
        <v>42750</v>
      </c>
      <c r="AH340" s="113">
        <f t="shared" si="16"/>
        <v>267750</v>
      </c>
      <c r="AI340" s="277" t="s">
        <v>628</v>
      </c>
      <c r="AJ340" s="33" t="s">
        <v>1827</v>
      </c>
      <c r="AK340" s="269"/>
      <c r="AL340" s="269"/>
      <c r="AM340" s="116"/>
      <c r="AN340" s="301"/>
      <c r="AO340" s="302"/>
      <c r="AP340" s="11"/>
      <c r="AQ340" s="11"/>
      <c r="AR340" s="11"/>
      <c r="AS340" s="11"/>
      <c r="AT340" s="11"/>
      <c r="AU340" s="118">
        <v>356627</v>
      </c>
      <c r="AV340" s="118">
        <v>67759</v>
      </c>
      <c r="AW340" s="118">
        <v>424386</v>
      </c>
      <c r="AX340" s="52" t="s">
        <v>607</v>
      </c>
      <c r="AY340" s="52">
        <v>1063420250</v>
      </c>
      <c r="AZ340" s="11"/>
      <c r="BA340" s="11"/>
      <c r="BB340" s="11"/>
      <c r="BC340" s="11"/>
      <c r="BD340" s="11"/>
      <c r="BE340" s="274"/>
      <c r="BF340" s="274"/>
      <c r="BG340" s="274"/>
      <c r="BH340" s="11"/>
      <c r="BI340" s="11"/>
      <c r="BJ340" s="311"/>
      <c r="BK340" s="311"/>
      <c r="BL340" s="311"/>
      <c r="BM340" s="52"/>
      <c r="BN340" s="52"/>
      <c r="BO340" s="387"/>
      <c r="BP340" s="320"/>
      <c r="BQ340" s="320"/>
      <c r="BR340" s="4"/>
      <c r="BS340" s="4"/>
      <c r="BT340" s="11"/>
      <c r="BU340" s="11"/>
      <c r="BV340" s="11"/>
      <c r="BW340" s="11"/>
      <c r="BX340" s="11"/>
      <c r="BY340" s="348"/>
      <c r="BZ340" s="348"/>
      <c r="CA340" s="348"/>
      <c r="CB340" s="348"/>
      <c r="CC340" s="348"/>
      <c r="CD340" s="11"/>
      <c r="CE340" s="11"/>
      <c r="CF340" s="11"/>
      <c r="CG340" s="11"/>
      <c r="CH340" s="11"/>
      <c r="CI340" s="11"/>
      <c r="CJ340" s="11"/>
      <c r="CK340" s="11"/>
      <c r="CL340" s="11"/>
      <c r="CM340" s="11"/>
      <c r="CN340" s="274"/>
      <c r="CO340" s="274"/>
      <c r="CP340" s="274"/>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8"/>
      <c r="DN340" s="118"/>
      <c r="DO340" s="118"/>
      <c r="DP340" s="52"/>
      <c r="DQ340" s="52"/>
      <c r="DR340" s="77"/>
      <c r="DS340" s="77"/>
      <c r="DT340" s="77"/>
      <c r="DU340" s="11"/>
      <c r="DV340" s="11"/>
      <c r="DW340" s="11"/>
      <c r="DX340" s="11"/>
      <c r="DY340" s="11"/>
      <c r="DZ340" s="11"/>
      <c r="EA340" s="11"/>
      <c r="EB340" s="11"/>
      <c r="EC340" s="11"/>
      <c r="ED340" s="11"/>
      <c r="EE340" s="11"/>
      <c r="EF340" s="11"/>
    </row>
    <row r="341" spans="1:136" ht="27" x14ac:dyDescent="0.25">
      <c r="A341" s="425">
        <v>339</v>
      </c>
      <c r="B341" s="413" t="s">
        <v>1828</v>
      </c>
      <c r="C341" s="413" t="s">
        <v>1829</v>
      </c>
      <c r="D341" s="413" t="s">
        <v>300</v>
      </c>
      <c r="E341" s="79">
        <v>1</v>
      </c>
      <c r="F341" s="404">
        <v>169678.53</v>
      </c>
      <c r="G341" s="274">
        <v>243750</v>
      </c>
      <c r="H341" s="274">
        <v>46312.5</v>
      </c>
      <c r="I341" s="274">
        <v>290062.5</v>
      </c>
      <c r="J341" s="274" t="s">
        <v>45</v>
      </c>
      <c r="K341" s="11" t="s">
        <v>1830</v>
      </c>
      <c r="L341" s="274"/>
      <c r="M341" s="274"/>
      <c r="N341" s="274"/>
      <c r="O341" s="48"/>
      <c r="P341" s="11"/>
      <c r="Q341" s="274"/>
      <c r="R341" s="274"/>
      <c r="S341" s="274"/>
      <c r="T341" s="11"/>
      <c r="U341" s="11"/>
      <c r="V341" s="11"/>
      <c r="W341" s="11"/>
      <c r="X341" s="11"/>
      <c r="Y341" s="11"/>
      <c r="Z341" s="48"/>
      <c r="AA341" s="52"/>
      <c r="AB341" s="52"/>
      <c r="AC341" s="118"/>
      <c r="AD341" s="5"/>
      <c r="AE341" s="52"/>
      <c r="AF341" s="113">
        <v>285000</v>
      </c>
      <c r="AG341" s="113">
        <f t="shared" si="15"/>
        <v>54150</v>
      </c>
      <c r="AH341" s="113">
        <f t="shared" si="16"/>
        <v>339150</v>
      </c>
      <c r="AI341" s="277" t="s">
        <v>628</v>
      </c>
      <c r="AJ341" s="33" t="s">
        <v>1831</v>
      </c>
      <c r="AK341" s="269"/>
      <c r="AL341" s="269"/>
      <c r="AM341" s="116"/>
      <c r="AN341" s="301"/>
      <c r="AO341" s="302"/>
      <c r="AP341" s="274">
        <v>60700</v>
      </c>
      <c r="AQ341" s="274">
        <v>11533</v>
      </c>
      <c r="AR341" s="274">
        <v>72233</v>
      </c>
      <c r="AS341" s="274" t="s">
        <v>1285</v>
      </c>
      <c r="AT341" s="274" t="s">
        <v>1832</v>
      </c>
      <c r="AU341" s="118">
        <v>71760</v>
      </c>
      <c r="AV341" s="118">
        <v>13634</v>
      </c>
      <c r="AW341" s="118">
        <v>85395</v>
      </c>
      <c r="AX341" s="52" t="s">
        <v>607</v>
      </c>
      <c r="AY341" s="52">
        <v>1048730250</v>
      </c>
      <c r="AZ341" s="11"/>
      <c r="BA341" s="11"/>
      <c r="BB341" s="11"/>
      <c r="BC341" s="11"/>
      <c r="BD341" s="11"/>
      <c r="BE341" s="274">
        <v>207000</v>
      </c>
      <c r="BF341" s="274">
        <v>39330</v>
      </c>
      <c r="BG341" s="274">
        <v>246330</v>
      </c>
      <c r="BH341" s="11" t="s">
        <v>63</v>
      </c>
      <c r="BI341" s="11" t="s">
        <v>1833</v>
      </c>
      <c r="BJ341" s="311"/>
      <c r="BK341" s="311"/>
      <c r="BL341" s="311"/>
      <c r="BM341" s="52"/>
      <c r="BN341" s="52"/>
      <c r="BO341" s="387"/>
      <c r="BP341" s="320"/>
      <c r="BQ341" s="320"/>
      <c r="BR341" s="4"/>
      <c r="BS341" s="4"/>
      <c r="BT341" s="11"/>
      <c r="BU341" s="11"/>
      <c r="BV341" s="11"/>
      <c r="BW341" s="11"/>
      <c r="BX341" s="11"/>
      <c r="BY341" s="348"/>
      <c r="BZ341" s="348"/>
      <c r="CA341" s="348"/>
      <c r="CB341" s="348"/>
      <c r="CC341" s="348"/>
      <c r="CD341" s="11"/>
      <c r="CE341" s="11"/>
      <c r="CF341" s="11"/>
      <c r="CG341" s="11"/>
      <c r="CH341" s="11"/>
      <c r="CI341" s="11"/>
      <c r="CJ341" s="11"/>
      <c r="CK341" s="11"/>
      <c r="CL341" s="11"/>
      <c r="CM341" s="11"/>
      <c r="CN341" s="274"/>
      <c r="CO341" s="274"/>
      <c r="CP341" s="274"/>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8"/>
      <c r="DN341" s="118"/>
      <c r="DO341" s="118"/>
      <c r="DP341" s="52"/>
      <c r="DQ341" s="52"/>
      <c r="DR341" s="77"/>
      <c r="DS341" s="77"/>
      <c r="DT341" s="77"/>
      <c r="DU341" s="11"/>
      <c r="DV341" s="11"/>
      <c r="DW341" s="11"/>
      <c r="DX341" s="11"/>
      <c r="DY341" s="11"/>
      <c r="DZ341" s="11"/>
      <c r="EA341" s="11"/>
      <c r="EB341" s="11"/>
      <c r="EC341" s="11"/>
      <c r="ED341" s="11"/>
      <c r="EE341" s="11"/>
      <c r="EF341" s="11"/>
    </row>
    <row r="342" spans="1:136" ht="40.5" x14ac:dyDescent="0.25">
      <c r="A342" s="425">
        <v>340</v>
      </c>
      <c r="B342" s="427" t="s">
        <v>1834</v>
      </c>
      <c r="C342" s="413" t="s">
        <v>647</v>
      </c>
      <c r="D342" s="413" t="s">
        <v>132</v>
      </c>
      <c r="E342" s="79">
        <v>1</v>
      </c>
      <c r="F342" s="404">
        <v>235036.18600000002</v>
      </c>
      <c r="G342" s="274">
        <v>243750</v>
      </c>
      <c r="H342" s="274">
        <v>46312.5</v>
      </c>
      <c r="I342" s="274">
        <v>290062.5</v>
      </c>
      <c r="J342" s="274" t="s">
        <v>45</v>
      </c>
      <c r="K342" s="11" t="s">
        <v>1826</v>
      </c>
      <c r="L342" s="274"/>
      <c r="M342" s="274"/>
      <c r="N342" s="274"/>
      <c r="O342" s="48"/>
      <c r="P342" s="11"/>
      <c r="Q342" s="274"/>
      <c r="R342" s="274"/>
      <c r="S342" s="274"/>
      <c r="T342" s="11"/>
      <c r="U342" s="11"/>
      <c r="V342" s="11"/>
      <c r="W342" s="11"/>
      <c r="X342" s="11"/>
      <c r="Y342" s="11"/>
      <c r="Z342" s="48"/>
      <c r="AA342" s="52"/>
      <c r="AB342" s="52"/>
      <c r="AC342" s="118"/>
      <c r="AD342" s="5"/>
      <c r="AE342" s="52"/>
      <c r="AF342" s="113">
        <v>264000</v>
      </c>
      <c r="AG342" s="113">
        <f t="shared" si="15"/>
        <v>50160</v>
      </c>
      <c r="AH342" s="113">
        <f t="shared" si="16"/>
        <v>314160</v>
      </c>
      <c r="AI342" s="277" t="s">
        <v>628</v>
      </c>
      <c r="AJ342" s="33" t="s">
        <v>1835</v>
      </c>
      <c r="AK342" s="269"/>
      <c r="AL342" s="269"/>
      <c r="AM342" s="116"/>
      <c r="AN342" s="301"/>
      <c r="AO342" s="302"/>
      <c r="AP342" s="11"/>
      <c r="AQ342" s="11"/>
      <c r="AR342" s="11"/>
      <c r="AS342" s="11"/>
      <c r="AT342" s="11"/>
      <c r="AU342" s="118">
        <v>356627</v>
      </c>
      <c r="AV342" s="118">
        <v>67759</v>
      </c>
      <c r="AW342" s="118">
        <v>424386</v>
      </c>
      <c r="AX342" s="52" t="s">
        <v>607</v>
      </c>
      <c r="AY342" s="52">
        <v>1063420250</v>
      </c>
      <c r="AZ342" s="11"/>
      <c r="BA342" s="11"/>
      <c r="BB342" s="11"/>
      <c r="BC342" s="11"/>
      <c r="BD342" s="11"/>
      <c r="BE342" s="274">
        <v>334000</v>
      </c>
      <c r="BF342" s="274">
        <v>63460</v>
      </c>
      <c r="BG342" s="274">
        <v>397460</v>
      </c>
      <c r="BH342" s="11" t="s">
        <v>338</v>
      </c>
      <c r="BI342" s="11" t="s">
        <v>1836</v>
      </c>
      <c r="BJ342" s="311"/>
      <c r="BK342" s="311"/>
      <c r="BL342" s="311"/>
      <c r="BM342" s="52"/>
      <c r="BN342" s="52"/>
      <c r="BO342" s="387"/>
      <c r="BP342" s="320"/>
      <c r="BQ342" s="320"/>
      <c r="BR342" s="4"/>
      <c r="BS342" s="4"/>
      <c r="BT342" s="11"/>
      <c r="BU342" s="11"/>
      <c r="BV342" s="11"/>
      <c r="BW342" s="11"/>
      <c r="BX342" s="11"/>
      <c r="BY342" s="348"/>
      <c r="BZ342" s="348"/>
      <c r="CA342" s="348"/>
      <c r="CB342" s="348"/>
      <c r="CC342" s="348"/>
      <c r="CD342" s="11"/>
      <c r="CE342" s="11"/>
      <c r="CF342" s="11"/>
      <c r="CG342" s="11"/>
      <c r="CH342" s="11"/>
      <c r="CI342" s="11"/>
      <c r="CJ342" s="11"/>
      <c r="CK342" s="11"/>
      <c r="CL342" s="11"/>
      <c r="CM342" s="11"/>
      <c r="CN342" s="274"/>
      <c r="CO342" s="274"/>
      <c r="CP342" s="274"/>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8"/>
      <c r="DN342" s="118"/>
      <c r="DO342" s="118"/>
      <c r="DP342" s="52"/>
      <c r="DQ342" s="52"/>
      <c r="DR342" s="77">
        <v>210000</v>
      </c>
      <c r="DS342" s="77">
        <f>+DR342*0.19</f>
        <v>39900</v>
      </c>
      <c r="DT342" s="77">
        <f>+DR342+DS342</f>
        <v>249900</v>
      </c>
      <c r="DU342" s="11" t="s">
        <v>37</v>
      </c>
      <c r="DV342" s="11" t="s">
        <v>1837</v>
      </c>
      <c r="DW342" s="11"/>
      <c r="DX342" s="11"/>
      <c r="DY342" s="11"/>
      <c r="DZ342" s="11"/>
      <c r="EA342" s="11"/>
      <c r="EB342" s="11"/>
      <c r="EC342" s="11"/>
      <c r="ED342" s="11"/>
      <c r="EE342" s="11"/>
      <c r="EF342" s="11"/>
    </row>
    <row r="343" spans="1:136" ht="13.5" x14ac:dyDescent="0.25">
      <c r="A343" s="425">
        <v>341</v>
      </c>
      <c r="B343" s="427" t="s">
        <v>1838</v>
      </c>
      <c r="C343" s="413" t="s">
        <v>1292</v>
      </c>
      <c r="D343" s="413" t="s">
        <v>49</v>
      </c>
      <c r="E343" s="79">
        <v>1</v>
      </c>
      <c r="F343" s="404">
        <v>74990.2</v>
      </c>
      <c r="G343" s="274">
        <v>51250</v>
      </c>
      <c r="H343" s="274">
        <v>0</v>
      </c>
      <c r="I343" s="274">
        <v>51250</v>
      </c>
      <c r="J343" s="274" t="s">
        <v>164</v>
      </c>
      <c r="K343" s="11" t="s">
        <v>1839</v>
      </c>
      <c r="L343" s="274"/>
      <c r="M343" s="274"/>
      <c r="N343" s="274"/>
      <c r="O343" s="48"/>
      <c r="P343" s="11"/>
      <c r="Q343" s="274"/>
      <c r="R343" s="274"/>
      <c r="S343" s="274"/>
      <c r="T343" s="11"/>
      <c r="U343" s="11"/>
      <c r="V343" s="11"/>
      <c r="W343" s="11"/>
      <c r="X343" s="11"/>
      <c r="Y343" s="11"/>
      <c r="Z343" s="48"/>
      <c r="AA343" s="52"/>
      <c r="AB343" s="52"/>
      <c r="AC343" s="118"/>
      <c r="AD343" s="5"/>
      <c r="AE343" s="52"/>
      <c r="AF343" s="113"/>
      <c r="AG343" s="113"/>
      <c r="AH343" s="113"/>
      <c r="AI343" s="52"/>
      <c r="AJ343" s="11"/>
      <c r="AK343" s="269">
        <v>41600</v>
      </c>
      <c r="AL343" s="269">
        <v>0</v>
      </c>
      <c r="AM343" s="116">
        <v>41600</v>
      </c>
      <c r="AN343" s="301" t="s">
        <v>48</v>
      </c>
      <c r="AO343" s="302" t="s">
        <v>1840</v>
      </c>
      <c r="AP343" s="11"/>
      <c r="AQ343" s="11"/>
      <c r="AR343" s="11"/>
      <c r="AS343" s="11"/>
      <c r="AT343" s="11"/>
      <c r="AU343" s="118"/>
      <c r="AV343" s="118"/>
      <c r="AW343" s="118"/>
      <c r="AX343" s="52"/>
      <c r="AY343" s="52"/>
      <c r="AZ343" s="11"/>
      <c r="BA343" s="11"/>
      <c r="BB343" s="11"/>
      <c r="BC343" s="11"/>
      <c r="BD343" s="11"/>
      <c r="BE343" s="274">
        <v>52000</v>
      </c>
      <c r="BF343" s="274">
        <v>9880</v>
      </c>
      <c r="BG343" s="274">
        <v>61880</v>
      </c>
      <c r="BH343" s="11" t="s">
        <v>48</v>
      </c>
      <c r="BI343" s="11" t="s">
        <v>1841</v>
      </c>
      <c r="BJ343" s="311"/>
      <c r="BK343" s="311"/>
      <c r="BL343" s="311"/>
      <c r="BM343" s="52"/>
      <c r="BN343" s="52"/>
      <c r="BO343" s="387"/>
      <c r="BP343" s="320"/>
      <c r="BQ343" s="320"/>
      <c r="BR343" s="4"/>
      <c r="BS343" s="4"/>
      <c r="BT343" s="11"/>
      <c r="BU343" s="11"/>
      <c r="BV343" s="11"/>
      <c r="BW343" s="11"/>
      <c r="BX343" s="11"/>
      <c r="BY343" s="348"/>
      <c r="BZ343" s="348"/>
      <c r="CA343" s="348"/>
      <c r="CB343" s="348"/>
      <c r="CC343" s="348"/>
      <c r="CD343" s="11"/>
      <c r="CE343" s="11"/>
      <c r="CF343" s="11"/>
      <c r="CG343" s="11"/>
      <c r="CH343" s="11"/>
      <c r="CI343" s="11"/>
      <c r="CJ343" s="11"/>
      <c r="CK343" s="11"/>
      <c r="CL343" s="11"/>
      <c r="CM343" s="11"/>
      <c r="CN343" s="274"/>
      <c r="CO343" s="274"/>
      <c r="CP343" s="274"/>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8"/>
      <c r="DN343" s="118"/>
      <c r="DO343" s="118"/>
      <c r="DP343" s="52"/>
      <c r="DQ343" s="52"/>
      <c r="DR343" s="77"/>
      <c r="DS343" s="77"/>
      <c r="DT343" s="77"/>
      <c r="DU343" s="11"/>
      <c r="DV343" s="11"/>
      <c r="DW343" s="11"/>
      <c r="DX343" s="11"/>
      <c r="DY343" s="11"/>
      <c r="DZ343" s="11"/>
      <c r="EA343" s="11"/>
      <c r="EB343" s="11"/>
      <c r="EC343" s="11"/>
      <c r="ED343" s="11"/>
      <c r="EE343" s="11"/>
      <c r="EF343" s="11"/>
    </row>
    <row r="344" spans="1:136" ht="13.5" x14ac:dyDescent="0.25">
      <c r="A344" s="425">
        <v>342</v>
      </c>
      <c r="B344" s="427" t="s">
        <v>1842</v>
      </c>
      <c r="C344" s="413" t="s">
        <v>1292</v>
      </c>
      <c r="D344" s="413" t="s">
        <v>49</v>
      </c>
      <c r="E344" s="79">
        <v>1</v>
      </c>
      <c r="F344" s="404">
        <v>111862.14200000001</v>
      </c>
      <c r="G344" s="274"/>
      <c r="H344" s="274"/>
      <c r="I344" s="274"/>
      <c r="J344" s="274"/>
      <c r="K344" s="11"/>
      <c r="L344" s="274"/>
      <c r="M344" s="274"/>
      <c r="N344" s="274"/>
      <c r="O344" s="48"/>
      <c r="P344" s="11"/>
      <c r="Q344" s="274"/>
      <c r="R344" s="274"/>
      <c r="S344" s="274"/>
      <c r="T344" s="11"/>
      <c r="U344" s="11"/>
      <c r="V344" s="11"/>
      <c r="W344" s="11"/>
      <c r="X344" s="11"/>
      <c r="Y344" s="11"/>
      <c r="Z344" s="48"/>
      <c r="AA344" s="52"/>
      <c r="AB344" s="52"/>
      <c r="AC344" s="118"/>
      <c r="AD344" s="5"/>
      <c r="AE344" s="52"/>
      <c r="AF344" s="113">
        <v>44000</v>
      </c>
      <c r="AG344" s="113">
        <f>AF344*0.19</f>
        <v>8360</v>
      </c>
      <c r="AH344" s="113">
        <f>AF344+AG344</f>
        <v>52360</v>
      </c>
      <c r="AI344" s="277" t="s">
        <v>628</v>
      </c>
      <c r="AJ344" s="33" t="s">
        <v>1843</v>
      </c>
      <c r="AK344" s="269"/>
      <c r="AL344" s="269"/>
      <c r="AM344" s="116"/>
      <c r="AN344" s="301"/>
      <c r="AO344" s="302"/>
      <c r="AP344" s="11"/>
      <c r="AQ344" s="11"/>
      <c r="AR344" s="11"/>
      <c r="AS344" s="11"/>
      <c r="AT344" s="11"/>
      <c r="AU344" s="118"/>
      <c r="AV344" s="118"/>
      <c r="AW344" s="118"/>
      <c r="AX344" s="52"/>
      <c r="AY344" s="52"/>
      <c r="AZ344" s="11"/>
      <c r="BA344" s="11"/>
      <c r="BB344" s="11"/>
      <c r="BC344" s="11"/>
      <c r="BD344" s="11"/>
      <c r="BE344" s="274">
        <v>90000</v>
      </c>
      <c r="BF344" s="274">
        <v>17100</v>
      </c>
      <c r="BG344" s="274">
        <v>107100</v>
      </c>
      <c r="BH344" s="11" t="s">
        <v>48</v>
      </c>
      <c r="BI344" s="11" t="s">
        <v>1295</v>
      </c>
      <c r="BJ344" s="311"/>
      <c r="BK344" s="311"/>
      <c r="BL344" s="311"/>
      <c r="BM344" s="52"/>
      <c r="BN344" s="52"/>
      <c r="BO344" s="387"/>
      <c r="BP344" s="320"/>
      <c r="BQ344" s="320"/>
      <c r="BR344" s="4"/>
      <c r="BS344" s="4"/>
      <c r="BT344" s="11"/>
      <c r="BU344" s="11"/>
      <c r="BV344" s="11"/>
      <c r="BW344" s="11"/>
      <c r="BX344" s="11"/>
      <c r="BY344" s="348"/>
      <c r="BZ344" s="348"/>
      <c r="CA344" s="348"/>
      <c r="CB344" s="348"/>
      <c r="CC344" s="348"/>
      <c r="CD344" s="11"/>
      <c r="CE344" s="11"/>
      <c r="CF344" s="11"/>
      <c r="CG344" s="11"/>
      <c r="CH344" s="11"/>
      <c r="CI344" s="11"/>
      <c r="CJ344" s="11"/>
      <c r="CK344" s="11"/>
      <c r="CL344" s="11"/>
      <c r="CM344" s="11"/>
      <c r="CN344" s="274"/>
      <c r="CO344" s="274"/>
      <c r="CP344" s="274"/>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8"/>
      <c r="DN344" s="118"/>
      <c r="DO344" s="118"/>
      <c r="DP344" s="52"/>
      <c r="DQ344" s="52"/>
      <c r="DR344" s="77"/>
      <c r="DS344" s="77"/>
      <c r="DT344" s="77"/>
      <c r="DU344" s="11"/>
      <c r="DV344" s="11"/>
      <c r="DW344" s="11"/>
      <c r="DX344" s="11"/>
      <c r="DY344" s="11"/>
      <c r="DZ344" s="11"/>
      <c r="EA344" s="11"/>
      <c r="EB344" s="11"/>
      <c r="EC344" s="11"/>
      <c r="ED344" s="11"/>
      <c r="EE344" s="11"/>
      <c r="EF344" s="11"/>
    </row>
    <row r="345" spans="1:136" ht="27" x14ac:dyDescent="0.25">
      <c r="A345" s="425">
        <v>343</v>
      </c>
      <c r="B345" s="427" t="s">
        <v>1844</v>
      </c>
      <c r="C345" s="413" t="s">
        <v>1845</v>
      </c>
      <c r="D345" s="413" t="s">
        <v>1297</v>
      </c>
      <c r="E345" s="79">
        <v>1</v>
      </c>
      <c r="F345" s="405"/>
      <c r="G345" s="274">
        <v>262500</v>
      </c>
      <c r="H345" s="274">
        <v>49875</v>
      </c>
      <c r="I345" s="274">
        <v>312375</v>
      </c>
      <c r="J345" s="274" t="s">
        <v>45</v>
      </c>
      <c r="K345" s="11" t="s">
        <v>1846</v>
      </c>
      <c r="L345" s="274"/>
      <c r="M345" s="274"/>
      <c r="N345" s="274"/>
      <c r="O345" s="48"/>
      <c r="P345" s="11"/>
      <c r="Q345" s="274"/>
      <c r="R345" s="274"/>
      <c r="S345" s="274"/>
      <c r="T345" s="11"/>
      <c r="U345" s="11"/>
      <c r="V345" s="11"/>
      <c r="W345" s="11"/>
      <c r="X345" s="11"/>
      <c r="Y345" s="11"/>
      <c r="Z345" s="48"/>
      <c r="AA345" s="52"/>
      <c r="AB345" s="52"/>
      <c r="AC345" s="118"/>
      <c r="AD345" s="5"/>
      <c r="AE345" s="52"/>
      <c r="AF345" s="113">
        <v>486000</v>
      </c>
      <c r="AG345" s="113">
        <f>AF345*0.19</f>
        <v>92340</v>
      </c>
      <c r="AH345" s="113">
        <f>AF345+AG345</f>
        <v>578340</v>
      </c>
      <c r="AI345" s="277" t="s">
        <v>628</v>
      </c>
      <c r="AJ345" s="33" t="s">
        <v>1847</v>
      </c>
      <c r="AK345" s="269"/>
      <c r="AL345" s="269"/>
      <c r="AM345" s="116"/>
      <c r="AN345" s="301"/>
      <c r="AO345" s="302"/>
      <c r="AP345" s="11"/>
      <c r="AQ345" s="11"/>
      <c r="AR345" s="11"/>
      <c r="AS345" s="11"/>
      <c r="AT345" s="11"/>
      <c r="AU345" s="118"/>
      <c r="AV345" s="118"/>
      <c r="AW345" s="118"/>
      <c r="AX345" s="52"/>
      <c r="AY345" s="52"/>
      <c r="AZ345" s="11"/>
      <c r="BA345" s="11"/>
      <c r="BB345" s="11"/>
      <c r="BC345" s="11"/>
      <c r="BD345" s="11"/>
      <c r="BE345" s="274"/>
      <c r="BF345" s="274"/>
      <c r="BG345" s="274"/>
      <c r="BH345" s="11"/>
      <c r="BI345" s="11"/>
      <c r="BJ345" s="311"/>
      <c r="BK345" s="311"/>
      <c r="BL345" s="311"/>
      <c r="BM345" s="52"/>
      <c r="BN345" s="52"/>
      <c r="BO345" s="387"/>
      <c r="BP345" s="320"/>
      <c r="BQ345" s="320"/>
      <c r="BR345" s="4"/>
      <c r="BS345" s="4"/>
      <c r="BT345" s="11"/>
      <c r="BU345" s="11"/>
      <c r="BV345" s="11"/>
      <c r="BW345" s="11"/>
      <c r="BX345" s="11"/>
      <c r="BY345" s="348"/>
      <c r="BZ345" s="348"/>
      <c r="CA345" s="348"/>
      <c r="CB345" s="348"/>
      <c r="CC345" s="348"/>
      <c r="CD345" s="11"/>
      <c r="CE345" s="11"/>
      <c r="CF345" s="11"/>
      <c r="CG345" s="11"/>
      <c r="CH345" s="11"/>
      <c r="CI345" s="11"/>
      <c r="CJ345" s="11"/>
      <c r="CK345" s="11"/>
      <c r="CL345" s="11"/>
      <c r="CM345" s="11"/>
      <c r="CN345" s="274"/>
      <c r="CO345" s="274"/>
      <c r="CP345" s="274"/>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8"/>
      <c r="DN345" s="118"/>
      <c r="DO345" s="118"/>
      <c r="DP345" s="52"/>
      <c r="DQ345" s="52"/>
      <c r="DR345" s="77"/>
      <c r="DS345" s="77"/>
      <c r="DT345" s="77"/>
      <c r="DU345" s="11"/>
      <c r="DV345" s="11"/>
      <c r="DW345" s="11"/>
      <c r="DX345" s="11"/>
      <c r="DY345" s="11"/>
      <c r="DZ345" s="11"/>
      <c r="EA345" s="11"/>
      <c r="EB345" s="11"/>
      <c r="EC345" s="11"/>
      <c r="ED345" s="11"/>
      <c r="EE345" s="11"/>
      <c r="EF345" s="11"/>
    </row>
    <row r="346" spans="1:136" ht="27" x14ac:dyDescent="0.25">
      <c r="A346" s="425">
        <v>344</v>
      </c>
      <c r="B346" s="427" t="s">
        <v>1848</v>
      </c>
      <c r="C346" s="413" t="s">
        <v>1849</v>
      </c>
      <c r="D346" s="413" t="s">
        <v>1297</v>
      </c>
      <c r="E346" s="79">
        <v>1</v>
      </c>
      <c r="F346" s="404">
        <v>228751.796</v>
      </c>
      <c r="G346" s="274">
        <v>506250</v>
      </c>
      <c r="H346" s="274">
        <v>96187.5</v>
      </c>
      <c r="I346" s="274">
        <v>602437.5</v>
      </c>
      <c r="J346" s="274" t="s">
        <v>45</v>
      </c>
      <c r="K346" s="11" t="s">
        <v>1850</v>
      </c>
      <c r="L346" s="274"/>
      <c r="M346" s="274"/>
      <c r="N346" s="274"/>
      <c r="O346" s="48"/>
      <c r="P346" s="11"/>
      <c r="Q346" s="274"/>
      <c r="R346" s="274"/>
      <c r="S346" s="274"/>
      <c r="T346" s="11"/>
      <c r="U346" s="11"/>
      <c r="V346" s="11"/>
      <c r="W346" s="11"/>
      <c r="X346" s="11"/>
      <c r="Y346" s="11"/>
      <c r="Z346" s="48"/>
      <c r="AA346" s="52"/>
      <c r="AB346" s="52"/>
      <c r="AC346" s="118"/>
      <c r="AD346" s="5"/>
      <c r="AE346" s="52"/>
      <c r="AF346" s="113">
        <v>311000</v>
      </c>
      <c r="AG346" s="113">
        <f>AF346*0.19</f>
        <v>59090</v>
      </c>
      <c r="AH346" s="113">
        <f>AF346+AG346</f>
        <v>370090</v>
      </c>
      <c r="AI346" s="277" t="s">
        <v>628</v>
      </c>
      <c r="AJ346" s="33" t="s">
        <v>1851</v>
      </c>
      <c r="AK346" s="269">
        <v>193800</v>
      </c>
      <c r="AL346" s="269">
        <v>36822</v>
      </c>
      <c r="AM346" s="116">
        <v>230622</v>
      </c>
      <c r="AN346" s="301" t="s">
        <v>88</v>
      </c>
      <c r="AO346" s="302">
        <v>1159370025</v>
      </c>
      <c r="AP346" s="11"/>
      <c r="AQ346" s="11"/>
      <c r="AR346" s="11"/>
      <c r="AS346" s="11"/>
      <c r="AT346" s="11"/>
      <c r="AU346" s="118"/>
      <c r="AV346" s="118"/>
      <c r="AW346" s="118"/>
      <c r="AX346" s="52"/>
      <c r="AY346" s="52"/>
      <c r="AZ346" s="11"/>
      <c r="BA346" s="11"/>
      <c r="BB346" s="11"/>
      <c r="BC346" s="11"/>
      <c r="BD346" s="11"/>
      <c r="BE346" s="274">
        <v>2429000</v>
      </c>
      <c r="BF346" s="274">
        <v>461510</v>
      </c>
      <c r="BG346" s="274">
        <v>2890510</v>
      </c>
      <c r="BH346" s="11" t="s">
        <v>338</v>
      </c>
      <c r="BI346" s="11" t="s">
        <v>1852</v>
      </c>
      <c r="BJ346" s="311"/>
      <c r="BK346" s="311"/>
      <c r="BL346" s="311"/>
      <c r="BM346" s="52"/>
      <c r="BN346" s="52"/>
      <c r="BO346" s="387"/>
      <c r="BP346" s="320"/>
      <c r="BQ346" s="320"/>
      <c r="BR346" s="4"/>
      <c r="BS346" s="4"/>
      <c r="BT346" s="11"/>
      <c r="BU346" s="11"/>
      <c r="BV346" s="11"/>
      <c r="BW346" s="11"/>
      <c r="BX346" s="11"/>
      <c r="BY346" s="348"/>
      <c r="BZ346" s="348"/>
      <c r="CA346" s="348"/>
      <c r="CB346" s="348"/>
      <c r="CC346" s="348"/>
      <c r="CD346" s="11"/>
      <c r="CE346" s="11"/>
      <c r="CF346" s="11"/>
      <c r="CG346" s="11"/>
      <c r="CH346" s="11"/>
      <c r="CI346" s="11"/>
      <c r="CJ346" s="11"/>
      <c r="CK346" s="11"/>
      <c r="CL346" s="11"/>
      <c r="CM346" s="11"/>
      <c r="CN346" s="274"/>
      <c r="CO346" s="274"/>
      <c r="CP346" s="274"/>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8"/>
      <c r="DN346" s="118"/>
      <c r="DO346" s="118"/>
      <c r="DP346" s="52"/>
      <c r="DQ346" s="52"/>
      <c r="DR346" s="77"/>
      <c r="DS346" s="77"/>
      <c r="DT346" s="77"/>
      <c r="DU346" s="11"/>
      <c r="DV346" s="11"/>
      <c r="DW346" s="11"/>
      <c r="DX346" s="11"/>
      <c r="DY346" s="11"/>
      <c r="DZ346" s="11"/>
      <c r="EA346" s="11"/>
      <c r="EB346" s="11"/>
      <c r="EC346" s="11"/>
      <c r="ED346" s="11"/>
      <c r="EE346" s="11"/>
      <c r="EF346" s="11"/>
    </row>
    <row r="347" spans="1:136" ht="27" x14ac:dyDescent="0.25">
      <c r="A347" s="425">
        <v>345</v>
      </c>
      <c r="B347" s="427" t="s">
        <v>1853</v>
      </c>
      <c r="C347" s="427" t="s">
        <v>871</v>
      </c>
      <c r="D347" s="427" t="s">
        <v>445</v>
      </c>
      <c r="E347" s="79">
        <v>1</v>
      </c>
      <c r="F347" s="405"/>
      <c r="G347" s="274"/>
      <c r="H347" s="274"/>
      <c r="I347" s="274"/>
      <c r="J347" s="274"/>
      <c r="K347" s="11"/>
      <c r="L347" s="274"/>
      <c r="M347" s="274"/>
      <c r="N347" s="274"/>
      <c r="O347" s="48"/>
      <c r="P347" s="11"/>
      <c r="Q347" s="274"/>
      <c r="R347" s="274"/>
      <c r="S347" s="274"/>
      <c r="T347" s="11"/>
      <c r="U347" s="11"/>
      <c r="V347" s="11"/>
      <c r="W347" s="11"/>
      <c r="X347" s="11"/>
      <c r="Y347" s="11"/>
      <c r="Z347" s="48"/>
      <c r="AA347" s="52"/>
      <c r="AB347" s="52"/>
      <c r="AC347" s="118"/>
      <c r="AD347" s="5"/>
      <c r="AE347" s="52"/>
      <c r="AF347" s="113"/>
      <c r="AG347" s="113"/>
      <c r="AH347" s="113"/>
      <c r="AI347" s="52"/>
      <c r="AJ347" s="11"/>
      <c r="AK347" s="269"/>
      <c r="AL347" s="269"/>
      <c r="AM347" s="116"/>
      <c r="AN347" s="301"/>
      <c r="AO347" s="302"/>
      <c r="AP347" s="11"/>
      <c r="AQ347" s="11"/>
      <c r="AR347" s="11"/>
      <c r="AS347" s="11"/>
      <c r="AT347" s="11"/>
      <c r="AU347" s="118"/>
      <c r="AV347" s="118"/>
      <c r="AW347" s="118"/>
      <c r="AX347" s="52"/>
      <c r="AY347" s="52"/>
      <c r="AZ347" s="11"/>
      <c r="BA347" s="11"/>
      <c r="BB347" s="11"/>
      <c r="BC347" s="11"/>
      <c r="BD347" s="11"/>
      <c r="BE347" s="274"/>
      <c r="BF347" s="274"/>
      <c r="BG347" s="274"/>
      <c r="BH347" s="11"/>
      <c r="BI347" s="11"/>
      <c r="BJ347" s="311">
        <v>770000</v>
      </c>
      <c r="BK347" s="311">
        <v>146300</v>
      </c>
      <c r="BL347" s="311">
        <v>916300</v>
      </c>
      <c r="BM347" s="52" t="s">
        <v>871</v>
      </c>
      <c r="BN347" s="52">
        <v>4393927</v>
      </c>
      <c r="BO347" s="387"/>
      <c r="BP347" s="320"/>
      <c r="BQ347" s="320"/>
      <c r="BR347" s="4"/>
      <c r="BS347" s="4"/>
      <c r="BT347" s="11"/>
      <c r="BU347" s="11"/>
      <c r="BV347" s="11"/>
      <c r="BW347" s="11"/>
      <c r="BX347" s="11"/>
      <c r="BY347" s="348"/>
      <c r="BZ347" s="348"/>
      <c r="CA347" s="348"/>
      <c r="CB347" s="348"/>
      <c r="CC347" s="348"/>
      <c r="CD347" s="11"/>
      <c r="CE347" s="11"/>
      <c r="CF347" s="11"/>
      <c r="CG347" s="11"/>
      <c r="CH347" s="11"/>
      <c r="CI347" s="11"/>
      <c r="CJ347" s="11"/>
      <c r="CK347" s="11"/>
      <c r="CL347" s="11"/>
      <c r="CM347" s="11"/>
      <c r="CN347" s="274"/>
      <c r="CO347" s="274"/>
      <c r="CP347" s="274"/>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8"/>
      <c r="DN347" s="118"/>
      <c r="DO347" s="118"/>
      <c r="DP347" s="52"/>
      <c r="DQ347" s="52"/>
      <c r="DR347" s="77"/>
      <c r="DS347" s="77"/>
      <c r="DT347" s="77"/>
      <c r="DU347" s="11"/>
      <c r="DV347" s="11"/>
      <c r="DW347" s="11"/>
      <c r="DX347" s="11"/>
      <c r="DY347" s="11"/>
      <c r="DZ347" s="11"/>
      <c r="EA347" s="11"/>
      <c r="EB347" s="11"/>
      <c r="EC347" s="11"/>
      <c r="ED347" s="11"/>
      <c r="EE347" s="11"/>
      <c r="EF347" s="11"/>
    </row>
    <row r="348" spans="1:136" ht="27" x14ac:dyDescent="0.25">
      <c r="A348" s="425">
        <v>346</v>
      </c>
      <c r="B348" s="427" t="s">
        <v>1854</v>
      </c>
      <c r="C348" s="427" t="s">
        <v>871</v>
      </c>
      <c r="D348" s="427" t="s">
        <v>1072</v>
      </c>
      <c r="E348" s="79">
        <v>1</v>
      </c>
      <c r="F348" s="405"/>
      <c r="G348" s="274"/>
      <c r="H348" s="274"/>
      <c r="I348" s="274"/>
      <c r="J348" s="274"/>
      <c r="K348" s="11"/>
      <c r="L348" s="274"/>
      <c r="M348" s="274"/>
      <c r="N348" s="274"/>
      <c r="O348" s="48"/>
      <c r="P348" s="11"/>
      <c r="Q348" s="274"/>
      <c r="R348" s="274"/>
      <c r="S348" s="274"/>
      <c r="T348" s="11"/>
      <c r="U348" s="11"/>
      <c r="V348" s="11"/>
      <c r="W348" s="11"/>
      <c r="X348" s="11"/>
      <c r="Y348" s="11"/>
      <c r="Z348" s="48"/>
      <c r="AA348" s="52"/>
      <c r="AB348" s="52"/>
      <c r="AC348" s="118"/>
      <c r="AD348" s="5"/>
      <c r="AE348" s="52"/>
      <c r="AF348" s="113"/>
      <c r="AG348" s="113"/>
      <c r="AH348" s="113"/>
      <c r="AI348" s="52"/>
      <c r="AJ348" s="11"/>
      <c r="AK348" s="269"/>
      <c r="AL348" s="269"/>
      <c r="AM348" s="116"/>
      <c r="AN348" s="301"/>
      <c r="AO348" s="302"/>
      <c r="AP348" s="11"/>
      <c r="AQ348" s="11"/>
      <c r="AR348" s="11"/>
      <c r="AS348" s="11"/>
      <c r="AT348" s="11"/>
      <c r="AU348" s="118"/>
      <c r="AV348" s="118"/>
      <c r="AW348" s="118"/>
      <c r="AX348" s="52"/>
      <c r="AY348" s="52"/>
      <c r="AZ348" s="11"/>
      <c r="BA348" s="11"/>
      <c r="BB348" s="11"/>
      <c r="BC348" s="11"/>
      <c r="BD348" s="11"/>
      <c r="BE348" s="274"/>
      <c r="BF348" s="274"/>
      <c r="BG348" s="274"/>
      <c r="BH348" s="11"/>
      <c r="BI348" s="11"/>
      <c r="BJ348" s="311">
        <v>1028461.54</v>
      </c>
      <c r="BK348" s="311">
        <v>195407.69260000001</v>
      </c>
      <c r="BL348" s="311">
        <v>1223869.2326</v>
      </c>
      <c r="BM348" s="52" t="s">
        <v>871</v>
      </c>
      <c r="BN348" s="52">
        <v>4408256</v>
      </c>
      <c r="BO348" s="387"/>
      <c r="BP348" s="320"/>
      <c r="BQ348" s="320"/>
      <c r="BR348" s="4"/>
      <c r="BS348" s="4"/>
      <c r="BT348" s="11"/>
      <c r="BU348" s="11"/>
      <c r="BV348" s="11"/>
      <c r="BW348" s="11"/>
      <c r="BX348" s="11"/>
      <c r="BY348" s="348"/>
      <c r="BZ348" s="348"/>
      <c r="CA348" s="348"/>
      <c r="CB348" s="348"/>
      <c r="CC348" s="348"/>
      <c r="CD348" s="11"/>
      <c r="CE348" s="11"/>
      <c r="CF348" s="11"/>
      <c r="CG348" s="11"/>
      <c r="CH348" s="11"/>
      <c r="CI348" s="11"/>
      <c r="CJ348" s="11"/>
      <c r="CK348" s="11"/>
      <c r="CL348" s="11"/>
      <c r="CM348" s="11"/>
      <c r="CN348" s="274"/>
      <c r="CO348" s="274"/>
      <c r="CP348" s="274"/>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8"/>
      <c r="DN348" s="118"/>
      <c r="DO348" s="118"/>
      <c r="DP348" s="52"/>
      <c r="DQ348" s="52"/>
      <c r="DR348" s="77"/>
      <c r="DS348" s="77"/>
      <c r="DT348" s="77"/>
      <c r="DU348" s="11"/>
      <c r="DV348" s="11"/>
      <c r="DW348" s="11"/>
      <c r="DX348" s="11"/>
      <c r="DY348" s="11"/>
      <c r="DZ348" s="11"/>
      <c r="EA348" s="11"/>
      <c r="EB348" s="11"/>
      <c r="EC348" s="11"/>
      <c r="ED348" s="11"/>
      <c r="EE348" s="11"/>
      <c r="EF348" s="11"/>
    </row>
    <row r="349" spans="1:136" ht="27" x14ac:dyDescent="0.25">
      <c r="A349" s="425">
        <v>347</v>
      </c>
      <c r="B349" s="427" t="s">
        <v>1855</v>
      </c>
      <c r="C349" s="427" t="s">
        <v>871</v>
      </c>
      <c r="D349" s="427" t="s">
        <v>1072</v>
      </c>
      <c r="E349" s="79">
        <v>1</v>
      </c>
      <c r="F349" s="405"/>
      <c r="G349" s="274"/>
      <c r="H349" s="274"/>
      <c r="I349" s="274"/>
      <c r="J349" s="274"/>
      <c r="K349" s="11"/>
      <c r="L349" s="274"/>
      <c r="M349" s="274"/>
      <c r="N349" s="274"/>
      <c r="O349" s="48"/>
      <c r="P349" s="11"/>
      <c r="Q349" s="274"/>
      <c r="R349" s="274"/>
      <c r="S349" s="274"/>
      <c r="T349" s="11"/>
      <c r="U349" s="11"/>
      <c r="V349" s="11"/>
      <c r="W349" s="11"/>
      <c r="X349" s="11"/>
      <c r="Y349" s="11"/>
      <c r="Z349" s="48"/>
      <c r="AA349" s="52"/>
      <c r="AB349" s="52"/>
      <c r="AC349" s="118"/>
      <c r="AD349" s="5"/>
      <c r="AE349" s="52"/>
      <c r="AF349" s="113"/>
      <c r="AG349" s="113"/>
      <c r="AH349" s="113"/>
      <c r="AI349" s="52"/>
      <c r="AJ349" s="11"/>
      <c r="AK349" s="269"/>
      <c r="AL349" s="269"/>
      <c r="AM349" s="116"/>
      <c r="AN349" s="301"/>
      <c r="AO349" s="302"/>
      <c r="AP349" s="11"/>
      <c r="AQ349" s="11"/>
      <c r="AR349" s="11"/>
      <c r="AS349" s="11"/>
      <c r="AT349" s="11"/>
      <c r="AU349" s="118"/>
      <c r="AV349" s="118"/>
      <c r="AW349" s="118"/>
      <c r="AX349" s="52"/>
      <c r="AY349" s="52"/>
      <c r="AZ349" s="11"/>
      <c r="BA349" s="11"/>
      <c r="BB349" s="11"/>
      <c r="BC349" s="11"/>
      <c r="BD349" s="11"/>
      <c r="BE349" s="274"/>
      <c r="BF349" s="274"/>
      <c r="BG349" s="274"/>
      <c r="BH349" s="11"/>
      <c r="BI349" s="11"/>
      <c r="BJ349" s="311">
        <v>196053.85</v>
      </c>
      <c r="BK349" s="311">
        <v>37250.231500000002</v>
      </c>
      <c r="BL349" s="311">
        <v>233304.0815</v>
      </c>
      <c r="BM349" s="52" t="s">
        <v>871</v>
      </c>
      <c r="BN349" s="52">
        <v>4393718</v>
      </c>
      <c r="BO349" s="387"/>
      <c r="BP349" s="320"/>
      <c r="BQ349" s="320"/>
      <c r="BR349" s="4"/>
      <c r="BS349" s="4"/>
      <c r="BT349" s="11"/>
      <c r="BU349" s="11"/>
      <c r="BV349" s="11"/>
      <c r="BW349" s="11"/>
      <c r="BX349" s="11"/>
      <c r="BY349" s="348"/>
      <c r="BZ349" s="348"/>
      <c r="CA349" s="348"/>
      <c r="CB349" s="348"/>
      <c r="CC349" s="348"/>
      <c r="CD349" s="11"/>
      <c r="CE349" s="11"/>
      <c r="CF349" s="11"/>
      <c r="CG349" s="11"/>
      <c r="CH349" s="11"/>
      <c r="CI349" s="11"/>
      <c r="CJ349" s="11"/>
      <c r="CK349" s="11"/>
      <c r="CL349" s="11"/>
      <c r="CM349" s="11"/>
      <c r="CN349" s="274"/>
      <c r="CO349" s="274"/>
      <c r="CP349" s="274"/>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8"/>
      <c r="DN349" s="118"/>
      <c r="DO349" s="118"/>
      <c r="DP349" s="52"/>
      <c r="DQ349" s="52"/>
      <c r="DR349" s="77"/>
      <c r="DS349" s="77"/>
      <c r="DT349" s="77"/>
      <c r="DU349" s="11"/>
      <c r="DV349" s="11"/>
      <c r="DW349" s="11"/>
      <c r="DX349" s="11"/>
      <c r="DY349" s="11"/>
      <c r="DZ349" s="11"/>
      <c r="EA349" s="11"/>
      <c r="EB349" s="11"/>
      <c r="EC349" s="11"/>
      <c r="ED349" s="11"/>
      <c r="EE349" s="11"/>
      <c r="EF349" s="11"/>
    </row>
    <row r="350" spans="1:136" ht="27" x14ac:dyDescent="0.25">
      <c r="A350" s="425">
        <v>348</v>
      </c>
      <c r="B350" s="427" t="s">
        <v>1856</v>
      </c>
      <c r="C350" s="427" t="s">
        <v>871</v>
      </c>
      <c r="D350" s="427" t="s">
        <v>1072</v>
      </c>
      <c r="E350" s="79">
        <v>1</v>
      </c>
      <c r="F350" s="405"/>
      <c r="G350" s="274"/>
      <c r="H350" s="274"/>
      <c r="I350" s="274"/>
      <c r="J350" s="274"/>
      <c r="K350" s="11"/>
      <c r="L350" s="274"/>
      <c r="M350" s="274"/>
      <c r="N350" s="274"/>
      <c r="O350" s="48"/>
      <c r="P350" s="11"/>
      <c r="Q350" s="274"/>
      <c r="R350" s="274"/>
      <c r="S350" s="274"/>
      <c r="T350" s="11"/>
      <c r="U350" s="11"/>
      <c r="V350" s="11"/>
      <c r="W350" s="11"/>
      <c r="X350" s="11"/>
      <c r="Y350" s="11"/>
      <c r="Z350" s="48"/>
      <c r="AA350" s="52"/>
      <c r="AB350" s="52"/>
      <c r="AC350" s="118"/>
      <c r="AD350" s="5"/>
      <c r="AE350" s="52"/>
      <c r="AF350" s="113"/>
      <c r="AG350" s="113"/>
      <c r="AH350" s="113"/>
      <c r="AI350" s="52"/>
      <c r="AJ350" s="11"/>
      <c r="AK350" s="269"/>
      <c r="AL350" s="269"/>
      <c r="AM350" s="116"/>
      <c r="AN350" s="301"/>
      <c r="AO350" s="302"/>
      <c r="AP350" s="11"/>
      <c r="AQ350" s="11"/>
      <c r="AR350" s="11"/>
      <c r="AS350" s="11"/>
      <c r="AT350" s="11"/>
      <c r="AU350" s="118"/>
      <c r="AV350" s="118"/>
      <c r="AW350" s="118"/>
      <c r="AX350" s="52"/>
      <c r="AY350" s="52"/>
      <c r="AZ350" s="11"/>
      <c r="BA350" s="11"/>
      <c r="BB350" s="11"/>
      <c r="BC350" s="11"/>
      <c r="BD350" s="11"/>
      <c r="BE350" s="274"/>
      <c r="BF350" s="274"/>
      <c r="BG350" s="274"/>
      <c r="BH350" s="11"/>
      <c r="BI350" s="11"/>
      <c r="BJ350" s="311">
        <v>1335384.6200000001</v>
      </c>
      <c r="BK350" s="311">
        <v>253723.07780000003</v>
      </c>
      <c r="BL350" s="311">
        <v>1589107.6978</v>
      </c>
      <c r="BM350" s="52" t="s">
        <v>871</v>
      </c>
      <c r="BN350" s="52">
        <v>4393708</v>
      </c>
      <c r="BO350" s="387"/>
      <c r="BP350" s="320"/>
      <c r="BQ350" s="320"/>
      <c r="BR350" s="4"/>
      <c r="BS350" s="4"/>
      <c r="BT350" s="11"/>
      <c r="BU350" s="11"/>
      <c r="BV350" s="11"/>
      <c r="BW350" s="11"/>
      <c r="BX350" s="11"/>
      <c r="BY350" s="348"/>
      <c r="BZ350" s="348"/>
      <c r="CA350" s="348"/>
      <c r="CB350" s="348"/>
      <c r="CC350" s="348"/>
      <c r="CD350" s="11"/>
      <c r="CE350" s="11"/>
      <c r="CF350" s="11"/>
      <c r="CG350" s="11"/>
      <c r="CH350" s="11"/>
      <c r="CI350" s="11"/>
      <c r="CJ350" s="11"/>
      <c r="CK350" s="11"/>
      <c r="CL350" s="11"/>
      <c r="CM350" s="11"/>
      <c r="CN350" s="274"/>
      <c r="CO350" s="274"/>
      <c r="CP350" s="274"/>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8"/>
      <c r="DN350" s="118"/>
      <c r="DO350" s="118"/>
      <c r="DP350" s="52"/>
      <c r="DQ350" s="52"/>
      <c r="DR350" s="77"/>
      <c r="DS350" s="77"/>
      <c r="DT350" s="77"/>
      <c r="DU350" s="11"/>
      <c r="DV350" s="11"/>
      <c r="DW350" s="11"/>
      <c r="DX350" s="11"/>
      <c r="DY350" s="11"/>
      <c r="DZ350" s="11"/>
      <c r="EA350" s="11"/>
      <c r="EB350" s="11"/>
      <c r="EC350" s="11"/>
      <c r="ED350" s="11"/>
      <c r="EE350" s="11"/>
      <c r="EF350" s="11"/>
    </row>
    <row r="351" spans="1:136" ht="13.5" x14ac:dyDescent="0.25">
      <c r="A351" s="425">
        <v>349</v>
      </c>
      <c r="B351" s="427" t="s">
        <v>1857</v>
      </c>
      <c r="C351" s="413" t="s">
        <v>622</v>
      </c>
      <c r="D351" s="413" t="s">
        <v>157</v>
      </c>
      <c r="E351" s="79">
        <v>1</v>
      </c>
      <c r="F351" s="404">
        <v>31421.95</v>
      </c>
      <c r="G351" s="274"/>
      <c r="H351" s="274"/>
      <c r="I351" s="274"/>
      <c r="J351" s="274"/>
      <c r="K351" s="11"/>
      <c r="L351" s="274"/>
      <c r="M351" s="274"/>
      <c r="N351" s="274"/>
      <c r="O351" s="48"/>
      <c r="P351" s="11"/>
      <c r="Q351" s="274"/>
      <c r="R351" s="274"/>
      <c r="S351" s="274"/>
      <c r="T351" s="11"/>
      <c r="U351" s="11"/>
      <c r="V351" s="11"/>
      <c r="W351" s="11"/>
      <c r="X351" s="11"/>
      <c r="Y351" s="11"/>
      <c r="Z351" s="48"/>
      <c r="AA351" s="52"/>
      <c r="AB351" s="52"/>
      <c r="AC351" s="118"/>
      <c r="AD351" s="5"/>
      <c r="AE351" s="52"/>
      <c r="AF351" s="113"/>
      <c r="AG351" s="113"/>
      <c r="AH351" s="113"/>
      <c r="AI351" s="52"/>
      <c r="AJ351" s="11"/>
      <c r="AK351" s="269"/>
      <c r="AL351" s="269"/>
      <c r="AM351" s="116"/>
      <c r="AN351" s="301"/>
      <c r="AO351" s="302"/>
      <c r="AP351" s="11"/>
      <c r="AQ351" s="11"/>
      <c r="AR351" s="11"/>
      <c r="AS351" s="11"/>
      <c r="AT351" s="11"/>
      <c r="AU351" s="118"/>
      <c r="AV351" s="118"/>
      <c r="AW351" s="118"/>
      <c r="AX351" s="52"/>
      <c r="AY351" s="52"/>
      <c r="AZ351" s="11"/>
      <c r="BA351" s="11"/>
      <c r="BB351" s="11"/>
      <c r="BC351" s="11"/>
      <c r="BD351" s="11"/>
      <c r="BE351" s="274">
        <v>35000</v>
      </c>
      <c r="BF351" s="274">
        <v>6650</v>
      </c>
      <c r="BG351" s="274">
        <v>41650</v>
      </c>
      <c r="BH351" s="11" t="s">
        <v>1858</v>
      </c>
      <c r="BI351" s="11" t="s">
        <v>1859</v>
      </c>
      <c r="BJ351" s="311"/>
      <c r="BK351" s="311"/>
      <c r="BL351" s="311"/>
      <c r="BM351" s="52"/>
      <c r="BN351" s="52"/>
      <c r="BO351" s="387"/>
      <c r="BP351" s="320"/>
      <c r="BQ351" s="320"/>
      <c r="BR351" s="4"/>
      <c r="BS351" s="4"/>
      <c r="BT351" s="11"/>
      <c r="BU351" s="11"/>
      <c r="BV351" s="11"/>
      <c r="BW351" s="11"/>
      <c r="BX351" s="11"/>
      <c r="BY351" s="348"/>
      <c r="BZ351" s="348"/>
      <c r="CA351" s="348"/>
      <c r="CB351" s="348"/>
      <c r="CC351" s="348"/>
      <c r="CD351" s="11"/>
      <c r="CE351" s="11"/>
      <c r="CF351" s="11"/>
      <c r="CG351" s="11"/>
      <c r="CH351" s="11"/>
      <c r="CI351" s="11"/>
      <c r="CJ351" s="11"/>
      <c r="CK351" s="11"/>
      <c r="CL351" s="11"/>
      <c r="CM351" s="11"/>
      <c r="CN351" s="274"/>
      <c r="CO351" s="274"/>
      <c r="CP351" s="274"/>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8"/>
      <c r="DN351" s="118"/>
      <c r="DO351" s="118"/>
      <c r="DP351" s="52"/>
      <c r="DQ351" s="52"/>
      <c r="DR351" s="77"/>
      <c r="DS351" s="77"/>
      <c r="DT351" s="77"/>
      <c r="DU351" s="11"/>
      <c r="DV351" s="11"/>
      <c r="DW351" s="11"/>
      <c r="DX351" s="11"/>
      <c r="DY351" s="11"/>
      <c r="DZ351" s="11"/>
      <c r="EA351" s="11"/>
      <c r="EB351" s="11"/>
      <c r="EC351" s="11"/>
      <c r="ED351" s="11"/>
      <c r="EE351" s="11"/>
      <c r="EF351" s="11"/>
    </row>
    <row r="352" spans="1:136" ht="27" x14ac:dyDescent="0.25">
      <c r="A352" s="425">
        <v>350</v>
      </c>
      <c r="B352" s="427" t="s">
        <v>1860</v>
      </c>
      <c r="C352" s="413" t="s">
        <v>1849</v>
      </c>
      <c r="D352" s="413" t="s">
        <v>132</v>
      </c>
      <c r="E352" s="79">
        <v>1</v>
      </c>
      <c r="F352" s="404">
        <v>622154.61</v>
      </c>
      <c r="G352" s="274"/>
      <c r="H352" s="274"/>
      <c r="I352" s="274"/>
      <c r="J352" s="274"/>
      <c r="K352" s="11"/>
      <c r="L352" s="274"/>
      <c r="M352" s="274"/>
      <c r="N352" s="274"/>
      <c r="O352" s="48"/>
      <c r="P352" s="11"/>
      <c r="Q352" s="274"/>
      <c r="R352" s="274"/>
      <c r="S352" s="274"/>
      <c r="T352" s="11"/>
      <c r="U352" s="11"/>
      <c r="V352" s="11"/>
      <c r="W352" s="11"/>
      <c r="X352" s="11"/>
      <c r="Y352" s="11"/>
      <c r="Z352" s="48"/>
      <c r="AA352" s="52"/>
      <c r="AB352" s="52"/>
      <c r="AC352" s="118"/>
      <c r="AD352" s="5"/>
      <c r="AE352" s="52"/>
      <c r="AF352" s="113">
        <v>1096000</v>
      </c>
      <c r="AG352" s="113">
        <f>AF352*0.19</f>
        <v>208240</v>
      </c>
      <c r="AH352" s="113">
        <f>AF352+AG352</f>
        <v>1304240</v>
      </c>
      <c r="AI352" s="277" t="s">
        <v>628</v>
      </c>
      <c r="AJ352" s="33" t="s">
        <v>1861</v>
      </c>
      <c r="AK352" s="269"/>
      <c r="AL352" s="269"/>
      <c r="AM352" s="116"/>
      <c r="AN352" s="301"/>
      <c r="AO352" s="302"/>
      <c r="AP352" s="11"/>
      <c r="AQ352" s="11"/>
      <c r="AR352" s="11"/>
      <c r="AS352" s="11"/>
      <c r="AT352" s="11"/>
      <c r="AU352" s="118">
        <v>243787</v>
      </c>
      <c r="AV352" s="118">
        <v>46320</v>
      </c>
      <c r="AW352" s="118">
        <v>290107</v>
      </c>
      <c r="AX352" s="52" t="s">
        <v>607</v>
      </c>
      <c r="AY352" s="52">
        <v>1086350100</v>
      </c>
      <c r="AZ352" s="11"/>
      <c r="BA352" s="11"/>
      <c r="BB352" s="11"/>
      <c r="BC352" s="11"/>
      <c r="BD352" s="11"/>
      <c r="BE352" s="274"/>
      <c r="BF352" s="274"/>
      <c r="BG352" s="274"/>
      <c r="BH352" s="11"/>
      <c r="BI352" s="11"/>
      <c r="BJ352" s="311"/>
      <c r="BK352" s="311"/>
      <c r="BL352" s="311"/>
      <c r="BM352" s="52"/>
      <c r="BN352" s="52"/>
      <c r="BO352" s="387"/>
      <c r="BP352" s="320"/>
      <c r="BQ352" s="320"/>
      <c r="BR352" s="4"/>
      <c r="BS352" s="4"/>
      <c r="BT352" s="11"/>
      <c r="BU352" s="11"/>
      <c r="BV352" s="11"/>
      <c r="BW352" s="11"/>
      <c r="BX352" s="11"/>
      <c r="BY352" s="232">
        <v>165000</v>
      </c>
      <c r="BZ352" s="232">
        <f>BY352*0.19</f>
        <v>31350</v>
      </c>
      <c r="CA352" s="232">
        <f>BY352+BZ352</f>
        <v>196350</v>
      </c>
      <c r="CB352" s="348" t="s">
        <v>767</v>
      </c>
      <c r="CC352" s="348" t="s">
        <v>1862</v>
      </c>
      <c r="CD352" s="11"/>
      <c r="CE352" s="11"/>
      <c r="CF352" s="11"/>
      <c r="CG352" s="11"/>
      <c r="CH352" s="11"/>
      <c r="CI352" s="11"/>
      <c r="CJ352" s="11"/>
      <c r="CK352" s="11"/>
      <c r="CL352" s="11"/>
      <c r="CM352" s="11"/>
      <c r="CN352" s="274"/>
      <c r="CO352" s="274"/>
      <c r="CP352" s="274"/>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8"/>
      <c r="DN352" s="118"/>
      <c r="DO352" s="118"/>
      <c r="DP352" s="52"/>
      <c r="DQ352" s="52"/>
      <c r="DR352" s="77"/>
      <c r="DS352" s="77"/>
      <c r="DT352" s="77"/>
      <c r="DU352" s="11"/>
      <c r="DV352" s="11"/>
      <c r="DW352" s="11"/>
      <c r="DX352" s="11"/>
      <c r="DY352" s="11"/>
      <c r="DZ352" s="11"/>
      <c r="EA352" s="11"/>
      <c r="EB352" s="11"/>
      <c r="EC352" s="11"/>
      <c r="ED352" s="11"/>
      <c r="EE352" s="11"/>
      <c r="EF352" s="11"/>
    </row>
    <row r="353" spans="1:136" ht="40.5" x14ac:dyDescent="0.25">
      <c r="A353" s="425">
        <v>351</v>
      </c>
      <c r="B353" s="427" t="s">
        <v>1863</v>
      </c>
      <c r="C353" s="413" t="s">
        <v>1864</v>
      </c>
      <c r="D353" s="413" t="s">
        <v>637</v>
      </c>
      <c r="E353" s="79">
        <v>1</v>
      </c>
      <c r="F353" s="405"/>
      <c r="G353" s="274"/>
      <c r="H353" s="274"/>
      <c r="I353" s="274"/>
      <c r="J353" s="274"/>
      <c r="K353" s="11"/>
      <c r="L353" s="274"/>
      <c r="M353" s="274"/>
      <c r="N353" s="274"/>
      <c r="O353" s="48"/>
      <c r="P353" s="11"/>
      <c r="Q353" s="274"/>
      <c r="R353" s="274"/>
      <c r="S353" s="274"/>
      <c r="T353" s="11"/>
      <c r="U353" s="11"/>
      <c r="V353" s="11"/>
      <c r="W353" s="11"/>
      <c r="X353" s="11"/>
      <c r="Y353" s="11"/>
      <c r="Z353" s="48"/>
      <c r="AA353" s="52"/>
      <c r="AB353" s="52"/>
      <c r="AC353" s="118"/>
      <c r="AD353" s="5"/>
      <c r="AE353" s="52"/>
      <c r="AF353" s="113">
        <v>494000</v>
      </c>
      <c r="AG353" s="113">
        <f>AF353*0.19</f>
        <v>93860</v>
      </c>
      <c r="AH353" s="113">
        <f>AF353+AG353</f>
        <v>587860</v>
      </c>
      <c r="AI353" s="277" t="s">
        <v>628</v>
      </c>
      <c r="AJ353" s="33" t="s">
        <v>1865</v>
      </c>
      <c r="AK353" s="269"/>
      <c r="AL353" s="269"/>
      <c r="AM353" s="116"/>
      <c r="AN353" s="301"/>
      <c r="AO353" s="302"/>
      <c r="AP353" s="11"/>
      <c r="AQ353" s="11"/>
      <c r="AR353" s="11"/>
      <c r="AS353" s="11"/>
      <c r="AT353" s="11"/>
      <c r="AU353" s="118">
        <v>243787</v>
      </c>
      <c r="AV353" s="118">
        <v>46320</v>
      </c>
      <c r="AW353" s="118">
        <v>290107</v>
      </c>
      <c r="AX353" s="52" t="s">
        <v>607</v>
      </c>
      <c r="AY353" s="52">
        <v>1086350100</v>
      </c>
      <c r="AZ353" s="11"/>
      <c r="BA353" s="11"/>
      <c r="BB353" s="11"/>
      <c r="BC353" s="11"/>
      <c r="BD353" s="11"/>
      <c r="BE353" s="274"/>
      <c r="BF353" s="274"/>
      <c r="BG353" s="274"/>
      <c r="BH353" s="11"/>
      <c r="BI353" s="11"/>
      <c r="BJ353" s="311"/>
      <c r="BK353" s="311"/>
      <c r="BL353" s="311"/>
      <c r="BM353" s="52"/>
      <c r="BN353" s="52"/>
      <c r="BO353" s="387"/>
      <c r="BP353" s="320"/>
      <c r="BQ353" s="320"/>
      <c r="BR353" s="4"/>
      <c r="BS353" s="4"/>
      <c r="BT353" s="11"/>
      <c r="BU353" s="11"/>
      <c r="BV353" s="11"/>
      <c r="BW353" s="11"/>
      <c r="BX353" s="11"/>
      <c r="BY353" s="232">
        <v>130000</v>
      </c>
      <c r="BZ353" s="232">
        <f>BY353*0.19</f>
        <v>24700</v>
      </c>
      <c r="CA353" s="232">
        <f>BY353+BZ353</f>
        <v>154700</v>
      </c>
      <c r="CB353" s="348" t="s">
        <v>767</v>
      </c>
      <c r="CC353" s="348" t="s">
        <v>1866</v>
      </c>
      <c r="CD353" s="11"/>
      <c r="CE353" s="11"/>
      <c r="CF353" s="11"/>
      <c r="CG353" s="11"/>
      <c r="CH353" s="11"/>
      <c r="CI353" s="11"/>
      <c r="CJ353" s="11"/>
      <c r="CK353" s="11"/>
      <c r="CL353" s="11"/>
      <c r="CM353" s="11"/>
      <c r="CN353" s="274"/>
      <c r="CO353" s="274"/>
      <c r="CP353" s="274"/>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8"/>
      <c r="DN353" s="118"/>
      <c r="DO353" s="118"/>
      <c r="DP353" s="52"/>
      <c r="DQ353" s="52"/>
      <c r="DR353" s="77"/>
      <c r="DS353" s="77"/>
      <c r="DT353" s="77"/>
      <c r="DU353" s="11"/>
      <c r="DV353" s="11"/>
      <c r="DW353" s="11"/>
      <c r="DX353" s="11"/>
      <c r="DY353" s="11"/>
      <c r="DZ353" s="11"/>
      <c r="EA353" s="11"/>
      <c r="EB353" s="11"/>
      <c r="EC353" s="11"/>
      <c r="ED353" s="11"/>
      <c r="EE353" s="11"/>
      <c r="EF353" s="11"/>
    </row>
    <row r="354" spans="1:136" ht="13.5" x14ac:dyDescent="0.25">
      <c r="A354" s="425">
        <v>352</v>
      </c>
      <c r="B354" s="428" t="s">
        <v>1867</v>
      </c>
      <c r="C354" s="428" t="s">
        <v>1868</v>
      </c>
      <c r="D354" s="428" t="s">
        <v>300</v>
      </c>
      <c r="E354" s="79">
        <v>1</v>
      </c>
      <c r="F354" s="405"/>
      <c r="G354" s="274"/>
      <c r="H354" s="274"/>
      <c r="I354" s="274"/>
      <c r="J354" s="274"/>
      <c r="K354" s="11"/>
      <c r="L354" s="274"/>
      <c r="M354" s="274"/>
      <c r="N354" s="274"/>
      <c r="O354" s="48"/>
      <c r="P354" s="11"/>
      <c r="Q354" s="274"/>
      <c r="R354" s="274"/>
      <c r="S354" s="274"/>
      <c r="T354" s="11"/>
      <c r="U354" s="11"/>
      <c r="V354" s="11"/>
      <c r="W354" s="11"/>
      <c r="X354" s="11"/>
      <c r="Y354" s="11"/>
      <c r="Z354" s="48"/>
      <c r="AA354" s="52"/>
      <c r="AB354" s="52"/>
      <c r="AC354" s="118"/>
      <c r="AD354" s="5"/>
      <c r="AE354" s="52"/>
      <c r="AF354" s="113"/>
      <c r="AG354" s="113"/>
      <c r="AH354" s="113"/>
      <c r="AI354" s="52"/>
      <c r="AJ354" s="11"/>
      <c r="AK354" s="269">
        <v>648000</v>
      </c>
      <c r="AL354" s="269">
        <v>123120</v>
      </c>
      <c r="AM354" s="116">
        <v>771120</v>
      </c>
      <c r="AN354" s="301" t="s">
        <v>37</v>
      </c>
      <c r="AO354" s="302" t="s">
        <v>1869</v>
      </c>
      <c r="AP354" s="11"/>
      <c r="AQ354" s="11"/>
      <c r="AR354" s="11"/>
      <c r="AS354" s="11"/>
      <c r="AT354" s="11"/>
      <c r="AU354" s="118"/>
      <c r="AV354" s="118"/>
      <c r="AW354" s="118"/>
      <c r="AX354" s="52"/>
      <c r="AY354" s="52"/>
      <c r="AZ354" s="11"/>
      <c r="BA354" s="11"/>
      <c r="BB354" s="11"/>
      <c r="BC354" s="11"/>
      <c r="BD354" s="11"/>
      <c r="BE354" s="274">
        <v>1183000</v>
      </c>
      <c r="BF354" s="274">
        <v>224770</v>
      </c>
      <c r="BG354" s="274">
        <v>1407770</v>
      </c>
      <c r="BH354" s="11" t="s">
        <v>37</v>
      </c>
      <c r="BI354" s="11" t="s">
        <v>1869</v>
      </c>
      <c r="BJ354" s="311"/>
      <c r="BK354" s="311"/>
      <c r="BL354" s="311"/>
      <c r="BM354" s="52"/>
      <c r="BN354" s="52"/>
      <c r="BO354" s="387"/>
      <c r="BP354" s="320"/>
      <c r="BQ354" s="320"/>
      <c r="BR354" s="4"/>
      <c r="BS354" s="4"/>
      <c r="BT354" s="11"/>
      <c r="BU354" s="11"/>
      <c r="BV354" s="11"/>
      <c r="BW354" s="11"/>
      <c r="BX354" s="11"/>
      <c r="BY354" s="348"/>
      <c r="BZ354" s="348"/>
      <c r="CA354" s="348"/>
      <c r="CB354" s="348"/>
      <c r="CC354" s="348"/>
      <c r="CD354" s="11"/>
      <c r="CE354" s="11"/>
      <c r="CF354" s="11"/>
      <c r="CG354" s="11"/>
      <c r="CH354" s="11"/>
      <c r="CI354" s="11"/>
      <c r="CJ354" s="11"/>
      <c r="CK354" s="11"/>
      <c r="CL354" s="11"/>
      <c r="CM354" s="11"/>
      <c r="CN354" s="274"/>
      <c r="CO354" s="274"/>
      <c r="CP354" s="274"/>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8"/>
      <c r="DN354" s="118"/>
      <c r="DO354" s="118"/>
      <c r="DP354" s="52"/>
      <c r="DQ354" s="52"/>
      <c r="DR354" s="77"/>
      <c r="DS354" s="77"/>
      <c r="DT354" s="77"/>
      <c r="DU354" s="11"/>
      <c r="DV354" s="11"/>
      <c r="DW354" s="11"/>
      <c r="DX354" s="11"/>
      <c r="DY354" s="11"/>
      <c r="DZ354" s="11"/>
      <c r="EA354" s="11"/>
      <c r="EB354" s="11"/>
      <c r="EC354" s="11"/>
      <c r="ED354" s="11"/>
      <c r="EE354" s="11"/>
      <c r="EF354" s="11"/>
    </row>
    <row r="355" spans="1:136" ht="25.5" x14ac:dyDescent="0.25">
      <c r="A355" s="425">
        <v>353</v>
      </c>
      <c r="B355" s="427" t="s">
        <v>1870</v>
      </c>
      <c r="C355" s="413" t="s">
        <v>113</v>
      </c>
      <c r="D355" s="413" t="s">
        <v>1871</v>
      </c>
      <c r="E355" s="79">
        <v>1</v>
      </c>
      <c r="F355" s="404">
        <v>472586.12800000003</v>
      </c>
      <c r="G355" s="274"/>
      <c r="H355" s="274"/>
      <c r="I355" s="274"/>
      <c r="J355" s="274"/>
      <c r="K355" s="11"/>
      <c r="L355" s="274">
        <v>402000</v>
      </c>
      <c r="M355" s="274">
        <v>0</v>
      </c>
      <c r="N355" s="274">
        <f>M355+L355</f>
        <v>402000</v>
      </c>
      <c r="O355" s="48" t="s">
        <v>906</v>
      </c>
      <c r="P355" s="11" t="s">
        <v>1872</v>
      </c>
      <c r="Q355" s="274"/>
      <c r="R355" s="274"/>
      <c r="S355" s="274"/>
      <c r="T355" s="11"/>
      <c r="U355" s="11"/>
      <c r="V355" s="11"/>
      <c r="W355" s="11"/>
      <c r="X355" s="11"/>
      <c r="Y355" s="11"/>
      <c r="Z355" s="48"/>
      <c r="AA355" s="52"/>
      <c r="AB355" s="52"/>
      <c r="AC355" s="118"/>
      <c r="AD355" s="5"/>
      <c r="AE355" s="52"/>
      <c r="AF355" s="113"/>
      <c r="AG355" s="113"/>
      <c r="AH355" s="113"/>
      <c r="AI355" s="52"/>
      <c r="AJ355" s="11"/>
      <c r="AK355" s="269">
        <v>247000</v>
      </c>
      <c r="AL355" s="269">
        <v>0</v>
      </c>
      <c r="AM355" s="116">
        <v>247000</v>
      </c>
      <c r="AN355" s="301" t="s">
        <v>37</v>
      </c>
      <c r="AO355" s="302" t="s">
        <v>1873</v>
      </c>
      <c r="AP355" s="11"/>
      <c r="AQ355" s="11"/>
      <c r="AR355" s="11"/>
      <c r="AS355" s="11"/>
      <c r="AT355" s="11"/>
      <c r="AU355" s="118"/>
      <c r="AV355" s="118"/>
      <c r="AW355" s="118"/>
      <c r="AX355" s="52"/>
      <c r="AY355" s="52"/>
      <c r="AZ355" s="11"/>
      <c r="BA355" s="11"/>
      <c r="BB355" s="11"/>
      <c r="BC355" s="11"/>
      <c r="BD355" s="11"/>
      <c r="BE355" s="274"/>
      <c r="BF355" s="274"/>
      <c r="BG355" s="274"/>
      <c r="BH355" s="11"/>
      <c r="BI355" s="11"/>
      <c r="BJ355" s="311"/>
      <c r="BK355" s="311"/>
      <c r="BL355" s="311"/>
      <c r="BM355" s="52"/>
      <c r="BN355" s="52"/>
      <c r="BO355" s="387"/>
      <c r="BP355" s="320"/>
      <c r="BQ355" s="320"/>
      <c r="BR355" s="4"/>
      <c r="BS355" s="4"/>
      <c r="BT355" s="11"/>
      <c r="BU355" s="11"/>
      <c r="BV355" s="11"/>
      <c r="BW355" s="11"/>
      <c r="BX355" s="11"/>
      <c r="BY355" s="348"/>
      <c r="BZ355" s="348"/>
      <c r="CA355" s="348"/>
      <c r="CB355" s="348"/>
      <c r="CC355" s="348"/>
      <c r="CD355" s="11"/>
      <c r="CE355" s="11"/>
      <c r="CF355" s="11"/>
      <c r="CG355" s="11"/>
      <c r="CH355" s="11"/>
      <c r="CI355" s="11"/>
      <c r="CJ355" s="11"/>
      <c r="CK355" s="11"/>
      <c r="CL355" s="11"/>
      <c r="CM355" s="11"/>
      <c r="CN355" s="274"/>
      <c r="CO355" s="274"/>
      <c r="CP355" s="274"/>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8"/>
      <c r="DN355" s="118"/>
      <c r="DO355" s="118"/>
      <c r="DP355" s="52"/>
      <c r="DQ355" s="52"/>
      <c r="DR355" s="77"/>
      <c r="DS355" s="77"/>
      <c r="DT355" s="77"/>
      <c r="DU355" s="11"/>
      <c r="DV355" s="11"/>
      <c r="DW355" s="11"/>
      <c r="DX355" s="11"/>
      <c r="DY355" s="11"/>
      <c r="DZ355" s="11"/>
      <c r="EA355" s="11"/>
      <c r="EB355" s="11"/>
      <c r="EC355" s="11"/>
      <c r="ED355" s="11"/>
      <c r="EE355" s="11"/>
      <c r="EF355" s="11"/>
    </row>
    <row r="356" spans="1:136" ht="27" x14ac:dyDescent="0.25">
      <c r="A356" s="425">
        <v>354</v>
      </c>
      <c r="B356" s="427" t="s">
        <v>1874</v>
      </c>
      <c r="C356" s="413" t="s">
        <v>1875</v>
      </c>
      <c r="D356" s="413" t="s">
        <v>1876</v>
      </c>
      <c r="E356" s="79">
        <v>1</v>
      </c>
      <c r="F356" s="405"/>
      <c r="G356" s="274"/>
      <c r="H356" s="274"/>
      <c r="I356" s="274"/>
      <c r="J356" s="274"/>
      <c r="K356" s="11"/>
      <c r="L356" s="274"/>
      <c r="M356" s="274"/>
      <c r="N356" s="274"/>
      <c r="O356" s="48"/>
      <c r="P356" s="11"/>
      <c r="Q356" s="274"/>
      <c r="R356" s="274"/>
      <c r="S356" s="274"/>
      <c r="T356" s="11"/>
      <c r="U356" s="11"/>
      <c r="V356" s="11"/>
      <c r="W356" s="11"/>
      <c r="X356" s="11"/>
      <c r="Y356" s="11"/>
      <c r="Z356" s="48"/>
      <c r="AA356" s="52"/>
      <c r="AB356" s="52"/>
      <c r="AC356" s="118"/>
      <c r="AD356" s="5"/>
      <c r="AE356" s="52"/>
      <c r="AF356" s="113"/>
      <c r="AG356" s="113"/>
      <c r="AH356" s="113"/>
      <c r="AI356" s="52"/>
      <c r="AJ356" s="11"/>
      <c r="AK356" s="269"/>
      <c r="AL356" s="269"/>
      <c r="AM356" s="116"/>
      <c r="AN356" s="301"/>
      <c r="AO356" s="302"/>
      <c r="AP356" s="11"/>
      <c r="AQ356" s="11"/>
      <c r="AR356" s="11"/>
      <c r="AS356" s="11"/>
      <c r="AT356" s="11"/>
      <c r="AU356" s="118"/>
      <c r="AV356" s="118"/>
      <c r="AW356" s="118"/>
      <c r="AX356" s="52"/>
      <c r="AY356" s="52"/>
      <c r="AZ356" s="11"/>
      <c r="BA356" s="11"/>
      <c r="BB356" s="11"/>
      <c r="BC356" s="11"/>
      <c r="BD356" s="11"/>
      <c r="BE356" s="274"/>
      <c r="BF356" s="274"/>
      <c r="BG356" s="274"/>
      <c r="BH356" s="11"/>
      <c r="BI356" s="11"/>
      <c r="BJ356" s="311"/>
      <c r="BK356" s="311"/>
      <c r="BL356" s="311"/>
      <c r="BM356" s="52"/>
      <c r="BN356" s="52"/>
      <c r="BO356" s="387"/>
      <c r="BP356" s="320"/>
      <c r="BQ356" s="320"/>
      <c r="BR356" s="4"/>
      <c r="BS356" s="4"/>
      <c r="BT356" s="11"/>
      <c r="BU356" s="11"/>
      <c r="BV356" s="11"/>
      <c r="BW356" s="11"/>
      <c r="BX356" s="11"/>
      <c r="BY356" s="348"/>
      <c r="BZ356" s="348"/>
      <c r="CA356" s="348"/>
      <c r="CB356" s="348"/>
      <c r="CC356" s="348"/>
      <c r="CD356" s="11"/>
      <c r="CE356" s="11"/>
      <c r="CF356" s="11"/>
      <c r="CG356" s="11"/>
      <c r="CH356" s="11"/>
      <c r="CI356" s="11"/>
      <c r="CJ356" s="11"/>
      <c r="CK356" s="11"/>
      <c r="CL356" s="11"/>
      <c r="CM356" s="11"/>
      <c r="CN356" s="274"/>
      <c r="CO356" s="274"/>
      <c r="CP356" s="274"/>
      <c r="CQ356" s="11"/>
      <c r="CR356" s="11"/>
      <c r="CS356" s="274">
        <v>6890.7563025210084</v>
      </c>
      <c r="CT356" s="274">
        <f>+CS356*0.19</f>
        <v>1309.2436974789916</v>
      </c>
      <c r="CU356" s="274">
        <v>8200</v>
      </c>
      <c r="CV356" s="11" t="s">
        <v>1877</v>
      </c>
      <c r="CW356" s="11" t="s">
        <v>1878</v>
      </c>
      <c r="CX356" s="274">
        <f>+CZ356/1.19</f>
        <v>6974.7899159663866</v>
      </c>
      <c r="CY356" s="274">
        <f>+CX356*0.19</f>
        <v>1325.2100840336134</v>
      </c>
      <c r="CZ356" s="274">
        <v>8300</v>
      </c>
      <c r="DA356" s="11" t="s">
        <v>1877</v>
      </c>
      <c r="DB356" s="11" t="s">
        <v>1878</v>
      </c>
      <c r="DC356" s="274">
        <f>+DE356/1.19</f>
        <v>6848.7394957983197</v>
      </c>
      <c r="DD356" s="274">
        <f>+DC356*0.19</f>
        <v>1301.2605042016808</v>
      </c>
      <c r="DE356" s="274">
        <v>8150</v>
      </c>
      <c r="DF356" s="11" t="s">
        <v>1877</v>
      </c>
      <c r="DG356" s="11" t="s">
        <v>1878</v>
      </c>
      <c r="DH356" s="11"/>
      <c r="DI356" s="11"/>
      <c r="DJ356" s="11"/>
      <c r="DK356" s="11"/>
      <c r="DL356" s="11"/>
      <c r="DM356" s="118"/>
      <c r="DN356" s="118"/>
      <c r="DO356" s="118"/>
      <c r="DP356" s="52"/>
      <c r="DQ356" s="52"/>
      <c r="DR356" s="77"/>
      <c r="DS356" s="77"/>
      <c r="DT356" s="77"/>
      <c r="DU356" s="11"/>
      <c r="DV356" s="11"/>
      <c r="DW356" s="11"/>
      <c r="DX356" s="11"/>
      <c r="DY356" s="11"/>
      <c r="DZ356" s="11"/>
      <c r="EA356" s="11"/>
      <c r="EB356" s="11"/>
      <c r="EC356" s="11"/>
      <c r="ED356" s="11"/>
      <c r="EE356" s="11"/>
      <c r="EF356" s="11"/>
    </row>
    <row r="357" spans="1:136" ht="27" x14ac:dyDescent="0.25">
      <c r="A357" s="425">
        <v>355</v>
      </c>
      <c r="B357" s="427" t="s">
        <v>1879</v>
      </c>
      <c r="C357" s="413" t="s">
        <v>1880</v>
      </c>
      <c r="D357" s="413" t="s">
        <v>49</v>
      </c>
      <c r="E357" s="79">
        <v>1</v>
      </c>
      <c r="F357" s="405"/>
      <c r="G357" s="274">
        <v>281250</v>
      </c>
      <c r="H357" s="274">
        <v>53437.5</v>
      </c>
      <c r="I357" s="274">
        <v>334687.5</v>
      </c>
      <c r="J357" s="274" t="s">
        <v>45</v>
      </c>
      <c r="K357" s="11" t="s">
        <v>1881</v>
      </c>
      <c r="L357" s="274"/>
      <c r="M357" s="274"/>
      <c r="N357" s="274"/>
      <c r="O357" s="48"/>
      <c r="P357" s="11"/>
      <c r="Q357" s="274"/>
      <c r="R357" s="274"/>
      <c r="S357" s="274"/>
      <c r="T357" s="11"/>
      <c r="U357" s="11"/>
      <c r="V357" s="11"/>
      <c r="W357" s="11"/>
      <c r="X357" s="11"/>
      <c r="Y357" s="11"/>
      <c r="Z357" s="48"/>
      <c r="AA357" s="52"/>
      <c r="AB357" s="52"/>
      <c r="AC357" s="118"/>
      <c r="AD357" s="5"/>
      <c r="AE357" s="52"/>
      <c r="AF357" s="113">
        <v>213000</v>
      </c>
      <c r="AG357" s="113">
        <f>AF357*0.19</f>
        <v>40470</v>
      </c>
      <c r="AH357" s="113">
        <f>AF357+AG357</f>
        <v>253470</v>
      </c>
      <c r="AI357" s="277" t="s">
        <v>628</v>
      </c>
      <c r="AJ357" s="33" t="s">
        <v>1882</v>
      </c>
      <c r="AK357" s="269"/>
      <c r="AL357" s="269"/>
      <c r="AM357" s="116"/>
      <c r="AN357" s="301"/>
      <c r="AO357" s="302"/>
      <c r="AP357" s="11"/>
      <c r="AQ357" s="11"/>
      <c r="AR357" s="11"/>
      <c r="AS357" s="11"/>
      <c r="AT357" s="11"/>
      <c r="AU357" s="118"/>
      <c r="AV357" s="118"/>
      <c r="AW357" s="118"/>
      <c r="AX357" s="52"/>
      <c r="AY357" s="52"/>
      <c r="AZ357" s="11"/>
      <c r="BA357" s="11"/>
      <c r="BB357" s="11"/>
      <c r="BC357" s="11"/>
      <c r="BD357" s="11"/>
      <c r="BE357" s="274"/>
      <c r="BF357" s="274"/>
      <c r="BG357" s="274"/>
      <c r="BH357" s="11"/>
      <c r="BI357" s="11"/>
      <c r="BJ357" s="311"/>
      <c r="BK357" s="311"/>
      <c r="BL357" s="311"/>
      <c r="BM357" s="52"/>
      <c r="BN357" s="52"/>
      <c r="BO357" s="387"/>
      <c r="BP357" s="320"/>
      <c r="BQ357" s="320"/>
      <c r="BR357" s="4"/>
      <c r="BS357" s="4"/>
      <c r="BT357" s="11"/>
      <c r="BU357" s="11"/>
      <c r="BV357" s="11"/>
      <c r="BW357" s="11"/>
      <c r="BX357" s="11"/>
      <c r="BY357" s="348"/>
      <c r="BZ357" s="348"/>
      <c r="CA357" s="348"/>
      <c r="CB357" s="348"/>
      <c r="CC357" s="348"/>
      <c r="CD357" s="11"/>
      <c r="CE357" s="11"/>
      <c r="CF357" s="11"/>
      <c r="CG357" s="11"/>
      <c r="CH357" s="11"/>
      <c r="CI357" s="11"/>
      <c r="CJ357" s="11"/>
      <c r="CK357" s="11"/>
      <c r="CL357" s="11"/>
      <c r="CM357" s="11"/>
      <c r="CN357" s="274"/>
      <c r="CO357" s="274"/>
      <c r="CP357" s="274"/>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8"/>
      <c r="DN357" s="118"/>
      <c r="DO357" s="118"/>
      <c r="DP357" s="52"/>
      <c r="DQ357" s="52"/>
      <c r="DR357" s="77"/>
      <c r="DS357" s="77"/>
      <c r="DT357" s="77"/>
      <c r="DU357" s="11"/>
      <c r="DV357" s="11"/>
      <c r="DW357" s="11"/>
      <c r="DX357" s="11"/>
      <c r="DY357" s="11"/>
      <c r="DZ357" s="11"/>
      <c r="EA357" s="11"/>
      <c r="EB357" s="11"/>
      <c r="EC357" s="11"/>
      <c r="ED357" s="11"/>
      <c r="EE357" s="11"/>
      <c r="EF357" s="11"/>
    </row>
    <row r="358" spans="1:136" ht="27" x14ac:dyDescent="0.25">
      <c r="A358" s="425">
        <v>356</v>
      </c>
      <c r="B358" s="427" t="s">
        <v>1883</v>
      </c>
      <c r="C358" s="413" t="s">
        <v>1884</v>
      </c>
      <c r="D358" s="413" t="s">
        <v>49</v>
      </c>
      <c r="E358" s="79">
        <v>1</v>
      </c>
      <c r="F358" s="404">
        <v>378320.27799999999</v>
      </c>
      <c r="G358" s="274">
        <v>393750</v>
      </c>
      <c r="H358" s="274">
        <v>74812.5</v>
      </c>
      <c r="I358" s="274">
        <v>468562.5</v>
      </c>
      <c r="J358" s="274" t="s">
        <v>45</v>
      </c>
      <c r="K358" s="11" t="s">
        <v>1885</v>
      </c>
      <c r="L358" s="274"/>
      <c r="M358" s="274"/>
      <c r="N358" s="274"/>
      <c r="O358" s="48"/>
      <c r="P358" s="11"/>
      <c r="Q358" s="274"/>
      <c r="R358" s="274"/>
      <c r="S358" s="274"/>
      <c r="T358" s="11"/>
      <c r="U358" s="11"/>
      <c r="V358" s="11"/>
      <c r="W358" s="11"/>
      <c r="X358" s="11"/>
      <c r="Y358" s="11"/>
      <c r="Z358" s="48"/>
      <c r="AA358" s="52"/>
      <c r="AB358" s="52"/>
      <c r="AC358" s="118"/>
      <c r="AD358" s="5"/>
      <c r="AE358" s="52"/>
      <c r="AF358" s="113">
        <v>213000</v>
      </c>
      <c r="AG358" s="113">
        <f>AF358*0.19</f>
        <v>40470</v>
      </c>
      <c r="AH358" s="113">
        <f>AF358+AG358</f>
        <v>253470</v>
      </c>
      <c r="AI358" s="277" t="s">
        <v>628</v>
      </c>
      <c r="AJ358" s="33" t="s">
        <v>1882</v>
      </c>
      <c r="AK358" s="269"/>
      <c r="AL358" s="269"/>
      <c r="AM358" s="116"/>
      <c r="AN358" s="301"/>
      <c r="AO358" s="302"/>
      <c r="AP358" s="11"/>
      <c r="AQ358" s="11"/>
      <c r="AR358" s="11"/>
      <c r="AS358" s="11"/>
      <c r="AT358" s="11"/>
      <c r="AU358" s="118"/>
      <c r="AV358" s="118"/>
      <c r="AW358" s="118"/>
      <c r="AX358" s="52"/>
      <c r="AY358" s="52"/>
      <c r="AZ358" s="11"/>
      <c r="BA358" s="11"/>
      <c r="BB358" s="11"/>
      <c r="BC358" s="11"/>
      <c r="BD358" s="11"/>
      <c r="BE358" s="274">
        <v>106000</v>
      </c>
      <c r="BF358" s="274">
        <v>20140</v>
      </c>
      <c r="BG358" s="274">
        <v>126140</v>
      </c>
      <c r="BH358" s="11" t="s">
        <v>63</v>
      </c>
      <c r="BI358" s="11" t="s">
        <v>1886</v>
      </c>
      <c r="BJ358" s="311"/>
      <c r="BK358" s="311"/>
      <c r="BL358" s="311"/>
      <c r="BM358" s="52"/>
      <c r="BN358" s="52"/>
      <c r="BO358" s="387">
        <v>334630</v>
      </c>
      <c r="BP358" s="320">
        <f>BO358*0.19</f>
        <v>63579.700000000004</v>
      </c>
      <c r="BQ358" s="320">
        <f>BO358+BP358</f>
        <v>398209.7</v>
      </c>
      <c r="BR358" s="4" t="s">
        <v>1887</v>
      </c>
      <c r="BS358" s="4" t="s">
        <v>866</v>
      </c>
      <c r="BT358" s="11"/>
      <c r="BU358" s="11"/>
      <c r="BV358" s="11"/>
      <c r="BW358" s="11"/>
      <c r="BX358" s="11"/>
      <c r="BY358" s="348"/>
      <c r="BZ358" s="348"/>
      <c r="CA358" s="348"/>
      <c r="CB358" s="348"/>
      <c r="CC358" s="348"/>
      <c r="CD358" s="11"/>
      <c r="CE358" s="11"/>
      <c r="CF358" s="11"/>
      <c r="CG358" s="11"/>
      <c r="CH358" s="11"/>
      <c r="CI358" s="11"/>
      <c r="CJ358" s="11"/>
      <c r="CK358" s="11"/>
      <c r="CL358" s="11"/>
      <c r="CM358" s="11"/>
      <c r="CN358" s="274"/>
      <c r="CO358" s="274"/>
      <c r="CP358" s="274"/>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8"/>
      <c r="DN358" s="118"/>
      <c r="DO358" s="118"/>
      <c r="DP358" s="52"/>
      <c r="DQ358" s="52"/>
      <c r="DR358" s="77"/>
      <c r="DS358" s="77"/>
      <c r="DT358" s="77"/>
      <c r="DU358" s="11"/>
      <c r="DV358" s="11"/>
      <c r="DW358" s="11"/>
      <c r="DX358" s="11"/>
      <c r="DY358" s="11"/>
      <c r="DZ358" s="11"/>
      <c r="EA358" s="11"/>
      <c r="EB358" s="11"/>
      <c r="EC358" s="11"/>
      <c r="ED358" s="11"/>
      <c r="EE358" s="11"/>
      <c r="EF358" s="11"/>
    </row>
    <row r="359" spans="1:136" ht="13.5" x14ac:dyDescent="0.25">
      <c r="A359" s="425">
        <v>357</v>
      </c>
      <c r="B359" s="427" t="s">
        <v>1888</v>
      </c>
      <c r="C359" s="427" t="s">
        <v>1889</v>
      </c>
      <c r="D359" s="427" t="s">
        <v>637</v>
      </c>
      <c r="E359" s="79">
        <v>1</v>
      </c>
      <c r="F359" s="405">
        <v>1132970.9532000001</v>
      </c>
      <c r="G359" s="274"/>
      <c r="H359" s="274"/>
      <c r="I359" s="274"/>
      <c r="J359" s="274"/>
      <c r="K359" s="11"/>
      <c r="L359" s="274"/>
      <c r="M359" s="274"/>
      <c r="N359" s="274"/>
      <c r="O359" s="48"/>
      <c r="P359" s="11"/>
      <c r="Q359" s="274"/>
      <c r="R359" s="274"/>
      <c r="S359" s="274"/>
      <c r="T359" s="11"/>
      <c r="U359" s="11"/>
      <c r="V359" s="11"/>
      <c r="W359" s="11"/>
      <c r="X359" s="11"/>
      <c r="Y359" s="11"/>
      <c r="Z359" s="48"/>
      <c r="AA359" s="52"/>
      <c r="AB359" s="52"/>
      <c r="AC359" s="118"/>
      <c r="AD359" s="5"/>
      <c r="AE359" s="52"/>
      <c r="AF359" s="113"/>
      <c r="AG359" s="113"/>
      <c r="AH359" s="113"/>
      <c r="AI359" s="52"/>
      <c r="AJ359" s="11"/>
      <c r="AK359" s="269"/>
      <c r="AL359" s="269"/>
      <c r="AM359" s="116"/>
      <c r="AN359" s="301"/>
      <c r="AO359" s="302"/>
      <c r="AP359" s="11"/>
      <c r="AQ359" s="11"/>
      <c r="AR359" s="11"/>
      <c r="AS359" s="11"/>
      <c r="AT359" s="11"/>
      <c r="AU359" s="118"/>
      <c r="AV359" s="118"/>
      <c r="AW359" s="118"/>
      <c r="AX359" s="52"/>
      <c r="AY359" s="52"/>
      <c r="AZ359" s="11"/>
      <c r="BA359" s="11"/>
      <c r="BB359" s="11"/>
      <c r="BC359" s="11"/>
      <c r="BD359" s="11"/>
      <c r="BE359" s="274"/>
      <c r="BF359" s="274"/>
      <c r="BG359" s="274"/>
      <c r="BH359" s="11"/>
      <c r="BI359" s="11"/>
      <c r="BJ359" s="311"/>
      <c r="BK359" s="311"/>
      <c r="BL359" s="311"/>
      <c r="BM359" s="52"/>
      <c r="BN359" s="52"/>
      <c r="BO359" s="387"/>
      <c r="BP359" s="320"/>
      <c r="BQ359" s="320"/>
      <c r="BR359" s="4"/>
      <c r="BS359" s="4"/>
      <c r="BT359" s="11"/>
      <c r="BU359" s="11"/>
      <c r="BV359" s="11"/>
      <c r="BW359" s="11"/>
      <c r="BX359" s="11"/>
      <c r="BY359" s="348"/>
      <c r="BZ359" s="348"/>
      <c r="CA359" s="348"/>
      <c r="CB359" s="348"/>
      <c r="CC359" s="348"/>
      <c r="CD359" s="11"/>
      <c r="CE359" s="11"/>
      <c r="CF359" s="11"/>
      <c r="CG359" s="11"/>
      <c r="CH359" s="11"/>
      <c r="CI359" s="11"/>
      <c r="CJ359" s="11"/>
      <c r="CK359" s="11"/>
      <c r="CL359" s="11"/>
      <c r="CM359" s="11"/>
      <c r="CN359" s="274"/>
      <c r="CO359" s="274"/>
      <c r="CP359" s="274"/>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8"/>
      <c r="DN359" s="118"/>
      <c r="DO359" s="118"/>
      <c r="DP359" s="52"/>
      <c r="DQ359" s="52"/>
      <c r="DR359" s="77"/>
      <c r="DS359" s="77"/>
      <c r="DT359" s="77"/>
      <c r="DU359" s="11"/>
      <c r="DV359" s="11"/>
      <c r="DW359" s="11"/>
      <c r="DX359" s="11"/>
      <c r="DY359" s="11"/>
      <c r="DZ359" s="11"/>
      <c r="EA359" s="11"/>
      <c r="EB359" s="11"/>
      <c r="EC359" s="11"/>
      <c r="ED359" s="11"/>
      <c r="EE359" s="11"/>
      <c r="EF359" s="11"/>
    </row>
    <row r="360" spans="1:136" ht="40.5" x14ac:dyDescent="0.25">
      <c r="A360" s="425">
        <v>358</v>
      </c>
      <c r="B360" s="427" t="s">
        <v>1890</v>
      </c>
      <c r="C360" s="427" t="s">
        <v>1514</v>
      </c>
      <c r="D360" s="586" t="s">
        <v>1891</v>
      </c>
      <c r="E360" s="79">
        <v>1</v>
      </c>
      <c r="F360" s="405"/>
      <c r="G360" s="274"/>
      <c r="H360" s="274"/>
      <c r="I360" s="274"/>
      <c r="J360" s="274"/>
      <c r="K360" s="11"/>
      <c r="L360" s="274"/>
      <c r="M360" s="274"/>
      <c r="N360" s="274"/>
      <c r="O360" s="48"/>
      <c r="P360" s="11"/>
      <c r="Q360" s="274"/>
      <c r="R360" s="274"/>
      <c r="S360" s="274"/>
      <c r="T360" s="11"/>
      <c r="U360" s="11"/>
      <c r="V360" s="11"/>
      <c r="W360" s="11"/>
      <c r="X360" s="11"/>
      <c r="Y360" s="11"/>
      <c r="Z360" s="48"/>
      <c r="AA360" s="52"/>
      <c r="AB360" s="52"/>
      <c r="AC360" s="118"/>
      <c r="AD360" s="5"/>
      <c r="AE360" s="52"/>
      <c r="AF360" s="113"/>
      <c r="AG360" s="113"/>
      <c r="AH360" s="113"/>
      <c r="AI360" s="52"/>
      <c r="AJ360" s="11"/>
      <c r="AK360" s="269"/>
      <c r="AL360" s="269"/>
      <c r="AM360" s="116"/>
      <c r="AN360" s="301"/>
      <c r="AO360" s="302"/>
      <c r="AP360" s="11"/>
      <c r="AQ360" s="11"/>
      <c r="AR360" s="11"/>
      <c r="AS360" s="11"/>
      <c r="AT360" s="11"/>
      <c r="AU360" s="118">
        <v>762655</v>
      </c>
      <c r="AV360" s="118">
        <v>144904</v>
      </c>
      <c r="AW360" s="118">
        <v>907560</v>
      </c>
      <c r="AX360" s="52" t="s">
        <v>607</v>
      </c>
      <c r="AY360" s="52" t="s">
        <v>1892</v>
      </c>
      <c r="AZ360" s="11"/>
      <c r="BA360" s="11"/>
      <c r="BB360" s="11"/>
      <c r="BC360" s="11"/>
      <c r="BD360" s="11"/>
      <c r="BE360" s="274"/>
      <c r="BF360" s="274"/>
      <c r="BG360" s="274"/>
      <c r="BH360" s="11"/>
      <c r="BI360" s="11"/>
      <c r="BJ360" s="311"/>
      <c r="BK360" s="311"/>
      <c r="BL360" s="311"/>
      <c r="BM360" s="52"/>
      <c r="BN360" s="52"/>
      <c r="BO360" s="387"/>
      <c r="BP360" s="320"/>
      <c r="BQ360" s="320"/>
      <c r="BR360" s="4"/>
      <c r="BS360" s="4"/>
      <c r="BT360" s="11"/>
      <c r="BU360" s="11"/>
      <c r="BV360" s="11"/>
      <c r="BW360" s="11"/>
      <c r="BX360" s="11"/>
      <c r="BY360" s="348"/>
      <c r="BZ360" s="348"/>
      <c r="CA360" s="348"/>
      <c r="CB360" s="348"/>
      <c r="CC360" s="348"/>
      <c r="CD360" s="11"/>
      <c r="CE360" s="11"/>
      <c r="CF360" s="11"/>
      <c r="CG360" s="11"/>
      <c r="CH360" s="11"/>
      <c r="CI360" s="11"/>
      <c r="CJ360" s="11"/>
      <c r="CK360" s="11"/>
      <c r="CL360" s="11"/>
      <c r="CM360" s="11"/>
      <c r="CN360" s="274"/>
      <c r="CO360" s="274"/>
      <c r="CP360" s="274"/>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8"/>
      <c r="DN360" s="118"/>
      <c r="DO360" s="118"/>
      <c r="DP360" s="52"/>
      <c r="DQ360" s="52"/>
      <c r="DR360" s="77"/>
      <c r="DS360" s="77"/>
      <c r="DT360" s="77"/>
      <c r="DU360" s="11"/>
      <c r="DV360" s="11"/>
      <c r="DW360" s="11"/>
      <c r="DX360" s="11"/>
      <c r="DY360" s="11"/>
      <c r="DZ360" s="11"/>
      <c r="EA360" s="11"/>
      <c r="EB360" s="11"/>
      <c r="EC360" s="11"/>
      <c r="ED360" s="11"/>
      <c r="EE360" s="11"/>
      <c r="EF360" s="11"/>
    </row>
    <row r="361" spans="1:136" ht="13.5" x14ac:dyDescent="0.25">
      <c r="A361" s="425">
        <v>359</v>
      </c>
      <c r="B361" s="427" t="s">
        <v>1893</v>
      </c>
      <c r="C361" s="427" t="s">
        <v>1894</v>
      </c>
      <c r="D361" s="427" t="s">
        <v>1895</v>
      </c>
      <c r="E361" s="79">
        <v>1</v>
      </c>
      <c r="F361" s="405"/>
      <c r="G361" s="274">
        <v>162500</v>
      </c>
      <c r="H361" s="274">
        <v>30875</v>
      </c>
      <c r="I361" s="274">
        <v>193375</v>
      </c>
      <c r="J361" s="274" t="s">
        <v>50</v>
      </c>
      <c r="K361" s="11" t="s">
        <v>1896</v>
      </c>
      <c r="L361" s="274"/>
      <c r="M361" s="274"/>
      <c r="N361" s="274"/>
      <c r="O361" s="48"/>
      <c r="P361" s="11"/>
      <c r="Q361" s="274"/>
      <c r="R361" s="274"/>
      <c r="S361" s="274"/>
      <c r="T361" s="11"/>
      <c r="U361" s="11"/>
      <c r="V361" s="11"/>
      <c r="W361" s="11"/>
      <c r="X361" s="11"/>
      <c r="Y361" s="11"/>
      <c r="Z361" s="48"/>
      <c r="AA361" s="52"/>
      <c r="AB361" s="52"/>
      <c r="AC361" s="118"/>
      <c r="AD361" s="5"/>
      <c r="AE361" s="52"/>
      <c r="AF361" s="113"/>
      <c r="AG361" s="113"/>
      <c r="AH361" s="113"/>
      <c r="AI361" s="52"/>
      <c r="AJ361" s="11"/>
      <c r="AK361" s="269"/>
      <c r="AL361" s="269"/>
      <c r="AM361" s="116"/>
      <c r="AN361" s="301"/>
      <c r="AO361" s="302"/>
      <c r="AP361" s="11"/>
      <c r="AQ361" s="11"/>
      <c r="AR361" s="11"/>
      <c r="AS361" s="11"/>
      <c r="AT361" s="11"/>
      <c r="AU361" s="118"/>
      <c r="AV361" s="118"/>
      <c r="AW361" s="118"/>
      <c r="AX361" s="52"/>
      <c r="AY361" s="52"/>
      <c r="AZ361" s="11"/>
      <c r="BA361" s="11"/>
      <c r="BB361" s="11"/>
      <c r="BC361" s="11"/>
      <c r="BD361" s="11"/>
      <c r="BE361" s="274"/>
      <c r="BF361" s="274"/>
      <c r="BG361" s="274"/>
      <c r="BH361" s="11"/>
      <c r="BI361" s="11"/>
      <c r="BJ361" s="311"/>
      <c r="BK361" s="311"/>
      <c r="BL361" s="311"/>
      <c r="BM361" s="52"/>
      <c r="BN361" s="52"/>
      <c r="BO361" s="387"/>
      <c r="BP361" s="320"/>
      <c r="BQ361" s="320"/>
      <c r="BR361" s="4"/>
      <c r="BS361" s="4"/>
      <c r="BT361" s="11"/>
      <c r="BU361" s="11"/>
      <c r="BV361" s="11"/>
      <c r="BW361" s="11"/>
      <c r="BX361" s="11"/>
      <c r="BY361" s="348"/>
      <c r="BZ361" s="348"/>
      <c r="CA361" s="348"/>
      <c r="CB361" s="348"/>
      <c r="CC361" s="348"/>
      <c r="CD361" s="11"/>
      <c r="CE361" s="11"/>
      <c r="CF361" s="11"/>
      <c r="CG361" s="11"/>
      <c r="CH361" s="11"/>
      <c r="CI361" s="11"/>
      <c r="CJ361" s="11"/>
      <c r="CK361" s="11"/>
      <c r="CL361" s="11"/>
      <c r="CM361" s="11"/>
      <c r="CN361" s="274"/>
      <c r="CO361" s="274"/>
      <c r="CP361" s="274"/>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8"/>
      <c r="DN361" s="118"/>
      <c r="DO361" s="118"/>
      <c r="DP361" s="52"/>
      <c r="DQ361" s="52"/>
      <c r="DR361" s="77"/>
      <c r="DS361" s="77"/>
      <c r="DT361" s="77"/>
      <c r="DU361" s="11"/>
      <c r="DV361" s="11"/>
      <c r="DW361" s="11"/>
      <c r="DX361" s="11"/>
      <c r="DY361" s="11"/>
      <c r="DZ361" s="11"/>
      <c r="EA361" s="11"/>
      <c r="EB361" s="11"/>
      <c r="EC361" s="11"/>
      <c r="ED361" s="11"/>
      <c r="EE361" s="11"/>
      <c r="EF361" s="11"/>
    </row>
    <row r="362" spans="1:136" ht="25.5" x14ac:dyDescent="0.25">
      <c r="A362" s="425">
        <v>360</v>
      </c>
      <c r="B362" s="428" t="s">
        <v>1897</v>
      </c>
      <c r="C362" s="428" t="s">
        <v>1898</v>
      </c>
      <c r="D362" s="428" t="s">
        <v>39</v>
      </c>
      <c r="E362" s="79">
        <v>1</v>
      </c>
      <c r="F362" s="405"/>
      <c r="G362" s="274"/>
      <c r="H362" s="274"/>
      <c r="I362" s="274"/>
      <c r="J362" s="274"/>
      <c r="K362" s="11"/>
      <c r="L362" s="274">
        <v>300000</v>
      </c>
      <c r="M362" s="274">
        <f>L362*19%</f>
        <v>57000</v>
      </c>
      <c r="N362" s="274">
        <f>M362+L362</f>
        <v>357000</v>
      </c>
      <c r="O362" s="48" t="s">
        <v>906</v>
      </c>
      <c r="P362" s="11" t="s">
        <v>1899</v>
      </c>
      <c r="Q362" s="274"/>
      <c r="R362" s="274"/>
      <c r="S362" s="274"/>
      <c r="T362" s="11"/>
      <c r="U362" s="11"/>
      <c r="V362" s="11"/>
      <c r="W362" s="11"/>
      <c r="X362" s="11"/>
      <c r="Y362" s="11"/>
      <c r="Z362" s="48"/>
      <c r="AA362" s="52"/>
      <c r="AB362" s="52"/>
      <c r="AC362" s="118"/>
      <c r="AD362" s="5"/>
      <c r="AE362" s="52"/>
      <c r="AF362" s="113"/>
      <c r="AG362" s="113"/>
      <c r="AH362" s="113"/>
      <c r="AI362" s="52"/>
      <c r="AJ362" s="11"/>
      <c r="AK362" s="269"/>
      <c r="AL362" s="269"/>
      <c r="AM362" s="116"/>
      <c r="AN362" s="301"/>
      <c r="AO362" s="302"/>
      <c r="AP362" s="11"/>
      <c r="AQ362" s="11"/>
      <c r="AR362" s="11"/>
      <c r="AS362" s="11"/>
      <c r="AT362" s="11"/>
      <c r="AU362" s="118"/>
      <c r="AV362" s="118"/>
      <c r="AW362" s="118"/>
      <c r="AX362" s="52"/>
      <c r="AY362" s="52"/>
      <c r="AZ362" s="11"/>
      <c r="BA362" s="11"/>
      <c r="BB362" s="11"/>
      <c r="BC362" s="11"/>
      <c r="BD362" s="11"/>
      <c r="BE362" s="274"/>
      <c r="BF362" s="274"/>
      <c r="BG362" s="274"/>
      <c r="BH362" s="11"/>
      <c r="BI362" s="11"/>
      <c r="BJ362" s="311">
        <v>224484.62</v>
      </c>
      <c r="BK362" s="311">
        <v>42652.077799999999</v>
      </c>
      <c r="BL362" s="311">
        <v>267136.69779999997</v>
      </c>
      <c r="BM362" s="52" t="s">
        <v>1900</v>
      </c>
      <c r="BN362" s="52">
        <v>35050061</v>
      </c>
      <c r="BO362" s="387"/>
      <c r="BP362" s="320"/>
      <c r="BQ362" s="320"/>
      <c r="BR362" s="4"/>
      <c r="BS362" s="4"/>
      <c r="BT362" s="11"/>
      <c r="BU362" s="11"/>
      <c r="BV362" s="11"/>
      <c r="BW362" s="11"/>
      <c r="BX362" s="11"/>
      <c r="BY362" s="348"/>
      <c r="BZ362" s="348"/>
      <c r="CA362" s="348"/>
      <c r="CB362" s="348"/>
      <c r="CC362" s="348"/>
      <c r="CD362" s="11"/>
      <c r="CE362" s="11"/>
      <c r="CF362" s="11"/>
      <c r="CG362" s="11"/>
      <c r="CH362" s="11"/>
      <c r="CI362" s="11"/>
      <c r="CJ362" s="11"/>
      <c r="CK362" s="11"/>
      <c r="CL362" s="11"/>
      <c r="CM362" s="11"/>
      <c r="CN362" s="274"/>
      <c r="CO362" s="274"/>
      <c r="CP362" s="274"/>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8"/>
      <c r="DN362" s="118"/>
      <c r="DO362" s="118"/>
      <c r="DP362" s="52"/>
      <c r="DQ362" s="52"/>
      <c r="DR362" s="77"/>
      <c r="DS362" s="77"/>
      <c r="DT362" s="77"/>
      <c r="DU362" s="11"/>
      <c r="DV362" s="11"/>
      <c r="DW362" s="11"/>
      <c r="DX362" s="11"/>
      <c r="DY362" s="11"/>
      <c r="DZ362" s="11"/>
      <c r="EA362" s="11"/>
      <c r="EB362" s="11"/>
      <c r="EC362" s="11"/>
      <c r="ED362" s="11"/>
      <c r="EE362" s="11"/>
      <c r="EF362" s="11"/>
    </row>
    <row r="363" spans="1:136" ht="27" x14ac:dyDescent="0.25">
      <c r="A363" s="425">
        <v>361</v>
      </c>
      <c r="B363" s="427" t="s">
        <v>1901</v>
      </c>
      <c r="C363" s="413" t="s">
        <v>1902</v>
      </c>
      <c r="D363" s="428" t="s">
        <v>1297</v>
      </c>
      <c r="E363" s="79">
        <v>1</v>
      </c>
      <c r="F363" s="405"/>
      <c r="G363" s="274"/>
      <c r="H363" s="274"/>
      <c r="I363" s="274"/>
      <c r="J363" s="274"/>
      <c r="K363" s="11"/>
      <c r="L363" s="274"/>
      <c r="M363" s="274"/>
      <c r="N363" s="274"/>
      <c r="O363" s="48"/>
      <c r="P363" s="11"/>
      <c r="Q363" s="274"/>
      <c r="R363" s="274"/>
      <c r="S363" s="274"/>
      <c r="T363" s="11"/>
      <c r="U363" s="11"/>
      <c r="V363" s="11"/>
      <c r="W363" s="11"/>
      <c r="X363" s="11"/>
      <c r="Y363" s="11"/>
      <c r="Z363" s="48"/>
      <c r="AA363" s="52"/>
      <c r="AB363" s="52"/>
      <c r="AC363" s="118"/>
      <c r="AD363" s="5"/>
      <c r="AE363" s="52"/>
      <c r="AF363" s="113"/>
      <c r="AG363" s="113"/>
      <c r="AH363" s="113"/>
      <c r="AI363" s="52"/>
      <c r="AJ363" s="11"/>
      <c r="AK363" s="269"/>
      <c r="AL363" s="269"/>
      <c r="AM363" s="116"/>
      <c r="AN363" s="301"/>
      <c r="AO363" s="302"/>
      <c r="AP363" s="11"/>
      <c r="AQ363" s="11"/>
      <c r="AR363" s="11"/>
      <c r="AS363" s="11"/>
      <c r="AT363" s="11"/>
      <c r="AU363" s="118"/>
      <c r="AV363" s="118"/>
      <c r="AW363" s="118"/>
      <c r="AX363" s="52"/>
      <c r="AY363" s="52"/>
      <c r="AZ363" s="11"/>
      <c r="BA363" s="11"/>
      <c r="BB363" s="11"/>
      <c r="BC363" s="11"/>
      <c r="BD363" s="11"/>
      <c r="BE363" s="274"/>
      <c r="BF363" s="274"/>
      <c r="BG363" s="274"/>
      <c r="BH363" s="11"/>
      <c r="BI363" s="11"/>
      <c r="BJ363" s="311"/>
      <c r="BK363" s="311"/>
      <c r="BL363" s="311"/>
      <c r="BM363" s="52"/>
      <c r="BN363" s="52"/>
      <c r="BO363" s="387"/>
      <c r="BP363" s="320"/>
      <c r="BQ363" s="320"/>
      <c r="BR363" s="4"/>
      <c r="BS363" s="4"/>
      <c r="BT363" s="11"/>
      <c r="BU363" s="11"/>
      <c r="BV363" s="11"/>
      <c r="BW363" s="11"/>
      <c r="BX363" s="11"/>
      <c r="BY363" s="348"/>
      <c r="BZ363" s="348"/>
      <c r="CA363" s="348"/>
      <c r="CB363" s="348"/>
      <c r="CC363" s="348"/>
      <c r="CD363" s="11"/>
      <c r="CE363" s="11"/>
      <c r="CF363" s="11"/>
      <c r="CG363" s="11"/>
      <c r="CH363" s="11"/>
      <c r="CI363" s="118">
        <v>1809211</v>
      </c>
      <c r="CJ363" s="118">
        <f>+CI363*0.19</f>
        <v>343750.09</v>
      </c>
      <c r="CK363" s="118">
        <f>+CI363+CJ363</f>
        <v>2152961.09</v>
      </c>
      <c r="CL363" s="11" t="s">
        <v>45</v>
      </c>
      <c r="CM363" s="11">
        <v>1703600100</v>
      </c>
      <c r="CN363" s="274"/>
      <c r="CO363" s="274"/>
      <c r="CP363" s="274"/>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8"/>
      <c r="DN363" s="118"/>
      <c r="DO363" s="118"/>
      <c r="DP363" s="52"/>
      <c r="DQ363" s="52"/>
      <c r="DR363" s="77"/>
      <c r="DS363" s="77"/>
      <c r="DT363" s="77"/>
      <c r="DU363" s="11"/>
      <c r="DV363" s="11"/>
      <c r="DW363" s="11"/>
      <c r="DX363" s="11"/>
      <c r="DY363" s="11"/>
      <c r="DZ363" s="11"/>
      <c r="EA363" s="11"/>
      <c r="EB363" s="11"/>
      <c r="EC363" s="11"/>
      <c r="ED363" s="11"/>
      <c r="EE363" s="11"/>
      <c r="EF363" s="11"/>
    </row>
    <row r="364" spans="1:136" ht="13.5" x14ac:dyDescent="0.25">
      <c r="A364" s="425">
        <v>362</v>
      </c>
      <c r="B364" s="427" t="s">
        <v>1903</v>
      </c>
      <c r="C364" s="428" t="s">
        <v>622</v>
      </c>
      <c r="D364" s="586" t="s">
        <v>1904</v>
      </c>
      <c r="E364" s="79">
        <v>1</v>
      </c>
      <c r="F364" s="405"/>
      <c r="G364" s="274"/>
      <c r="H364" s="274"/>
      <c r="I364" s="274"/>
      <c r="J364" s="274"/>
      <c r="K364" s="11"/>
      <c r="L364" s="274"/>
      <c r="M364" s="274"/>
      <c r="N364" s="274"/>
      <c r="O364" s="48"/>
      <c r="P364" s="11"/>
      <c r="Q364" s="274"/>
      <c r="R364" s="274"/>
      <c r="S364" s="274"/>
      <c r="T364" s="11"/>
      <c r="U364" s="11"/>
      <c r="V364" s="11"/>
      <c r="W364" s="11"/>
      <c r="X364" s="11"/>
      <c r="Y364" s="11"/>
      <c r="Z364" s="48"/>
      <c r="AA364" s="52"/>
      <c r="AB364" s="52"/>
      <c r="AC364" s="118"/>
      <c r="AD364" s="5"/>
      <c r="AE364" s="52"/>
      <c r="AF364" s="113"/>
      <c r="AG364" s="113"/>
      <c r="AH364" s="113"/>
      <c r="AI364" s="52"/>
      <c r="AJ364" s="11"/>
      <c r="AK364" s="269"/>
      <c r="AL364" s="269"/>
      <c r="AM364" s="116"/>
      <c r="AN364" s="301"/>
      <c r="AO364" s="302"/>
      <c r="AP364" s="11"/>
      <c r="AQ364" s="11"/>
      <c r="AR364" s="11"/>
      <c r="AS364" s="11"/>
      <c r="AT364" s="11"/>
      <c r="AU364" s="118"/>
      <c r="AV364" s="118"/>
      <c r="AW364" s="118"/>
      <c r="AX364" s="52"/>
      <c r="AY364" s="52"/>
      <c r="AZ364" s="11"/>
      <c r="BA364" s="11"/>
      <c r="BB364" s="11"/>
      <c r="BC364" s="11"/>
      <c r="BD364" s="11"/>
      <c r="BE364" s="274"/>
      <c r="BF364" s="274"/>
      <c r="BG364" s="274"/>
      <c r="BH364" s="11"/>
      <c r="BI364" s="11"/>
      <c r="BJ364" s="311"/>
      <c r="BK364" s="311"/>
      <c r="BL364" s="311"/>
      <c r="BM364" s="52"/>
      <c r="BN364" s="52"/>
      <c r="BO364" s="387">
        <v>234350</v>
      </c>
      <c r="BP364" s="320">
        <f>BO364*0.19</f>
        <v>44526.5</v>
      </c>
      <c r="BQ364" s="320">
        <f>BO364+BP364</f>
        <v>278876.5</v>
      </c>
      <c r="BR364" s="4" t="s">
        <v>1905</v>
      </c>
      <c r="BS364" s="4" t="s">
        <v>866</v>
      </c>
      <c r="BT364" s="11"/>
      <c r="BU364" s="11"/>
      <c r="BV364" s="11"/>
      <c r="BW364" s="11"/>
      <c r="BX364" s="11"/>
      <c r="BY364" s="348"/>
      <c r="BZ364" s="348"/>
      <c r="CA364" s="348"/>
      <c r="CB364" s="348"/>
      <c r="CC364" s="348"/>
      <c r="CD364" s="11"/>
      <c r="CE364" s="11"/>
      <c r="CF364" s="11"/>
      <c r="CG364" s="11"/>
      <c r="CH364" s="11"/>
      <c r="CI364" s="11"/>
      <c r="CJ364" s="11"/>
      <c r="CK364" s="11"/>
      <c r="CL364" s="11"/>
      <c r="CM364" s="11"/>
      <c r="CN364" s="274"/>
      <c r="CO364" s="274"/>
      <c r="CP364" s="274"/>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8"/>
      <c r="DN364" s="118"/>
      <c r="DO364" s="118"/>
      <c r="DP364" s="52"/>
      <c r="DQ364" s="52"/>
      <c r="DR364" s="77"/>
      <c r="DS364" s="77"/>
      <c r="DT364" s="77"/>
      <c r="DU364" s="11"/>
      <c r="DV364" s="11"/>
      <c r="DW364" s="11"/>
      <c r="DX364" s="11"/>
      <c r="DY364" s="11"/>
      <c r="DZ364" s="11"/>
      <c r="EA364" s="11"/>
      <c r="EB364" s="11"/>
      <c r="EC364" s="11"/>
      <c r="ED364" s="11"/>
      <c r="EE364" s="11"/>
      <c r="EF364" s="11"/>
    </row>
    <row r="365" spans="1:136" ht="13.5" x14ac:dyDescent="0.25">
      <c r="A365" s="425">
        <v>363</v>
      </c>
      <c r="B365" s="428" t="s">
        <v>1906</v>
      </c>
      <c r="C365" s="428" t="s">
        <v>1907</v>
      </c>
      <c r="D365" s="586" t="s">
        <v>1908</v>
      </c>
      <c r="E365" s="79">
        <v>1</v>
      </c>
      <c r="F365" s="405"/>
      <c r="G365" s="274"/>
      <c r="H365" s="274"/>
      <c r="I365" s="274"/>
      <c r="J365" s="274"/>
      <c r="K365" s="11"/>
      <c r="L365" s="274"/>
      <c r="M365" s="274"/>
      <c r="N365" s="274"/>
      <c r="O365" s="48"/>
      <c r="P365" s="11"/>
      <c r="Q365" s="274"/>
      <c r="R365" s="274"/>
      <c r="S365" s="274"/>
      <c r="T365" s="11"/>
      <c r="U365" s="11"/>
      <c r="V365" s="11"/>
      <c r="W365" s="11"/>
      <c r="X365" s="11"/>
      <c r="Y365" s="11"/>
      <c r="Z365" s="48"/>
      <c r="AA365" s="52"/>
      <c r="AB365" s="52"/>
      <c r="AC365" s="118"/>
      <c r="AD365" s="5"/>
      <c r="AE365" s="52"/>
      <c r="AF365" s="113"/>
      <c r="AG365" s="113"/>
      <c r="AH365" s="113"/>
      <c r="AI365" s="52"/>
      <c r="AJ365" s="11"/>
      <c r="AK365" s="269">
        <v>644100</v>
      </c>
      <c r="AL365" s="269">
        <v>0</v>
      </c>
      <c r="AM365" s="116">
        <v>644100</v>
      </c>
      <c r="AN365" s="301" t="s">
        <v>88</v>
      </c>
      <c r="AO365" s="302">
        <v>1116610001</v>
      </c>
      <c r="AP365" s="11"/>
      <c r="AQ365" s="11"/>
      <c r="AR365" s="11"/>
      <c r="AS365" s="11"/>
      <c r="AT365" s="11"/>
      <c r="AU365" s="118">
        <v>416065</v>
      </c>
      <c r="AV365" s="118">
        <v>79052</v>
      </c>
      <c r="AW365" s="118">
        <v>495117</v>
      </c>
      <c r="AX365" s="52" t="s">
        <v>607</v>
      </c>
      <c r="AY365" s="52">
        <v>1116740001</v>
      </c>
      <c r="AZ365" s="11"/>
      <c r="BA365" s="11"/>
      <c r="BB365" s="11"/>
      <c r="BC365" s="11"/>
      <c r="BD365" s="11"/>
      <c r="BE365" s="274"/>
      <c r="BF365" s="274"/>
      <c r="BG365" s="274"/>
      <c r="BH365" s="11"/>
      <c r="BI365" s="11"/>
      <c r="BJ365" s="311"/>
      <c r="BK365" s="311"/>
      <c r="BL365" s="311"/>
      <c r="BM365" s="52"/>
      <c r="BN365" s="52"/>
      <c r="BO365" s="387"/>
      <c r="BP365" s="320"/>
      <c r="BQ365" s="320"/>
      <c r="BR365" s="4"/>
      <c r="BS365" s="4"/>
      <c r="BT365" s="11"/>
      <c r="BU365" s="11"/>
      <c r="BV365" s="11"/>
      <c r="BW365" s="11"/>
      <c r="BX365" s="11"/>
      <c r="BY365" s="348"/>
      <c r="BZ365" s="348"/>
      <c r="CA365" s="348"/>
      <c r="CB365" s="348"/>
      <c r="CC365" s="348"/>
      <c r="CD365" s="11"/>
      <c r="CE365" s="11"/>
      <c r="CF365" s="11"/>
      <c r="CG365" s="11"/>
      <c r="CH365" s="11"/>
      <c r="CI365" s="11"/>
      <c r="CJ365" s="11"/>
      <c r="CK365" s="11"/>
      <c r="CL365" s="11"/>
      <c r="CM365" s="11"/>
      <c r="CN365" s="274"/>
      <c r="CO365" s="274"/>
      <c r="CP365" s="274"/>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8"/>
      <c r="DN365" s="118"/>
      <c r="DO365" s="118"/>
      <c r="DP365" s="52"/>
      <c r="DQ365" s="52"/>
      <c r="DR365" s="77"/>
      <c r="DS365" s="77"/>
      <c r="DT365" s="77"/>
      <c r="DU365" s="11"/>
      <c r="DV365" s="11"/>
      <c r="DW365" s="11"/>
      <c r="DX365" s="11"/>
      <c r="DY365" s="11"/>
      <c r="DZ365" s="11"/>
      <c r="EA365" s="11"/>
      <c r="EB365" s="11"/>
      <c r="EC365" s="11"/>
      <c r="ED365" s="11"/>
      <c r="EE365" s="11"/>
      <c r="EF365" s="11"/>
    </row>
    <row r="366" spans="1:136" ht="13.5" x14ac:dyDescent="0.25">
      <c r="A366" s="425">
        <v>364</v>
      </c>
      <c r="B366" s="428" t="s">
        <v>1909</v>
      </c>
      <c r="C366" s="428" t="s">
        <v>1910</v>
      </c>
      <c r="D366" s="428" t="s">
        <v>204</v>
      </c>
      <c r="E366" s="79">
        <v>1</v>
      </c>
      <c r="F366" s="405"/>
      <c r="G366" s="274"/>
      <c r="H366" s="274"/>
      <c r="I366" s="274"/>
      <c r="J366" s="274"/>
      <c r="K366" s="11"/>
      <c r="L366" s="274"/>
      <c r="M366" s="274"/>
      <c r="N366" s="274"/>
      <c r="O366" s="48"/>
      <c r="P366" s="11"/>
      <c r="Q366" s="274"/>
      <c r="R366" s="274"/>
      <c r="S366" s="274"/>
      <c r="T366" s="11"/>
      <c r="U366" s="11"/>
      <c r="V366" s="11"/>
      <c r="W366" s="11"/>
      <c r="X366" s="11"/>
      <c r="Y366" s="11"/>
      <c r="Z366" s="48"/>
      <c r="AA366" s="52"/>
      <c r="AB366" s="52"/>
      <c r="AC366" s="118"/>
      <c r="AD366" s="5"/>
      <c r="AE366" s="52"/>
      <c r="AF366" s="113"/>
      <c r="AG366" s="113"/>
      <c r="AH366" s="113"/>
      <c r="AI366" s="52"/>
      <c r="AJ366" s="11"/>
      <c r="AK366" s="269"/>
      <c r="AL366" s="269"/>
      <c r="AM366" s="116"/>
      <c r="AN366" s="301"/>
      <c r="AO366" s="302"/>
      <c r="AP366" s="11"/>
      <c r="AQ366" s="11"/>
      <c r="AR366" s="11"/>
      <c r="AS366" s="11"/>
      <c r="AT366" s="11"/>
      <c r="AU366" s="118">
        <v>1248268</v>
      </c>
      <c r="AV366" s="118">
        <v>237171</v>
      </c>
      <c r="AW366" s="118">
        <v>1485439</v>
      </c>
      <c r="AX366" s="52" t="s">
        <v>607</v>
      </c>
      <c r="AY366" s="52" t="s">
        <v>1911</v>
      </c>
      <c r="AZ366" s="11"/>
      <c r="BA366" s="11"/>
      <c r="BB366" s="11"/>
      <c r="BC366" s="11"/>
      <c r="BD366" s="11"/>
      <c r="BE366" s="274"/>
      <c r="BF366" s="274"/>
      <c r="BG366" s="274"/>
      <c r="BH366" s="11"/>
      <c r="BI366" s="11"/>
      <c r="BJ366" s="311"/>
      <c r="BK366" s="311"/>
      <c r="BL366" s="311"/>
      <c r="BM366" s="52"/>
      <c r="BN366" s="52"/>
      <c r="BO366" s="387"/>
      <c r="BP366" s="320"/>
      <c r="BQ366" s="320"/>
      <c r="BR366" s="4"/>
      <c r="BS366" s="4"/>
      <c r="BT366" s="11"/>
      <c r="BU366" s="11"/>
      <c r="BV366" s="11"/>
      <c r="BW366" s="11"/>
      <c r="BX366" s="11"/>
      <c r="BY366" s="348"/>
      <c r="BZ366" s="348"/>
      <c r="CA366" s="348"/>
      <c r="CB366" s="348"/>
      <c r="CC366" s="348"/>
      <c r="CD366" s="11"/>
      <c r="CE366" s="11"/>
      <c r="CF366" s="11"/>
      <c r="CG366" s="11"/>
      <c r="CH366" s="11"/>
      <c r="CI366" s="11"/>
      <c r="CJ366" s="11"/>
      <c r="CK366" s="11"/>
      <c r="CL366" s="11"/>
      <c r="CM366" s="11"/>
      <c r="CN366" s="274"/>
      <c r="CO366" s="274"/>
      <c r="CP366" s="274"/>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8"/>
      <c r="DN366" s="118"/>
      <c r="DO366" s="118"/>
      <c r="DP366" s="52"/>
      <c r="DQ366" s="52"/>
      <c r="DR366" s="77"/>
      <c r="DS366" s="77"/>
      <c r="DT366" s="77"/>
      <c r="DU366" s="11"/>
      <c r="DV366" s="11"/>
      <c r="DW366" s="11"/>
      <c r="DX366" s="11"/>
      <c r="DY366" s="11"/>
      <c r="DZ366" s="11"/>
      <c r="EA366" s="11"/>
      <c r="EB366" s="11"/>
      <c r="EC366" s="11"/>
      <c r="ED366" s="11"/>
      <c r="EE366" s="11"/>
      <c r="EF366" s="11"/>
    </row>
    <row r="367" spans="1:136" ht="13.5" x14ac:dyDescent="0.25">
      <c r="A367" s="425">
        <v>365</v>
      </c>
      <c r="B367" s="428" t="s">
        <v>1912</v>
      </c>
      <c r="C367" s="413" t="s">
        <v>753</v>
      </c>
      <c r="D367" s="428" t="s">
        <v>783</v>
      </c>
      <c r="E367" s="79">
        <v>1</v>
      </c>
      <c r="F367" s="405"/>
      <c r="G367" s="274"/>
      <c r="H367" s="274"/>
      <c r="I367" s="274"/>
      <c r="J367" s="274"/>
      <c r="K367" s="11"/>
      <c r="L367" s="274"/>
      <c r="M367" s="274"/>
      <c r="N367" s="274"/>
      <c r="O367" s="48"/>
      <c r="P367" s="11"/>
      <c r="Q367" s="274"/>
      <c r="R367" s="274"/>
      <c r="S367" s="274"/>
      <c r="T367" s="11"/>
      <c r="U367" s="11"/>
      <c r="V367" s="11"/>
      <c r="W367" s="11"/>
      <c r="X367" s="11"/>
      <c r="Y367" s="11"/>
      <c r="Z367" s="48"/>
      <c r="AA367" s="52"/>
      <c r="AB367" s="52"/>
      <c r="AC367" s="118"/>
      <c r="AD367" s="5"/>
      <c r="AE367" s="52"/>
      <c r="AF367" s="113"/>
      <c r="AG367" s="113"/>
      <c r="AH367" s="113"/>
      <c r="AI367" s="52"/>
      <c r="AJ367" s="11"/>
      <c r="AK367" s="269"/>
      <c r="AL367" s="269"/>
      <c r="AM367" s="116"/>
      <c r="AN367" s="301"/>
      <c r="AO367" s="302"/>
      <c r="AP367" s="11"/>
      <c r="AQ367" s="11"/>
      <c r="AR367" s="11"/>
      <c r="AS367" s="11"/>
      <c r="AT367" s="11"/>
      <c r="AU367" s="118">
        <v>2548153</v>
      </c>
      <c r="AV367" s="118">
        <v>484149</v>
      </c>
      <c r="AW367" s="118">
        <v>3032302</v>
      </c>
      <c r="AX367" s="52" t="s">
        <v>607</v>
      </c>
      <c r="AY367" s="52" t="s">
        <v>1913</v>
      </c>
      <c r="AZ367" s="11"/>
      <c r="BA367" s="11"/>
      <c r="BB367" s="11"/>
      <c r="BC367" s="11"/>
      <c r="BD367" s="11"/>
      <c r="BE367" s="274"/>
      <c r="BF367" s="274"/>
      <c r="BG367" s="274"/>
      <c r="BH367" s="11"/>
      <c r="BI367" s="11"/>
      <c r="BJ367" s="311"/>
      <c r="BK367" s="311"/>
      <c r="BL367" s="311"/>
      <c r="BM367" s="52"/>
      <c r="BN367" s="52"/>
      <c r="BO367" s="387"/>
      <c r="BP367" s="320"/>
      <c r="BQ367" s="320"/>
      <c r="BR367" s="4"/>
      <c r="BS367" s="4"/>
      <c r="BT367" s="11"/>
      <c r="BU367" s="11"/>
      <c r="BV367" s="11"/>
      <c r="BW367" s="11"/>
      <c r="BX367" s="11"/>
      <c r="BY367" s="348"/>
      <c r="BZ367" s="348"/>
      <c r="CA367" s="348"/>
      <c r="CB367" s="348"/>
      <c r="CC367" s="348"/>
      <c r="CD367" s="11"/>
      <c r="CE367" s="11"/>
      <c r="CF367" s="11"/>
      <c r="CG367" s="11"/>
      <c r="CH367" s="11"/>
      <c r="CI367" s="11"/>
      <c r="CJ367" s="11"/>
      <c r="CK367" s="11"/>
      <c r="CL367" s="11"/>
      <c r="CM367" s="11"/>
      <c r="CN367" s="274"/>
      <c r="CO367" s="274"/>
      <c r="CP367" s="274"/>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8"/>
      <c r="DN367" s="118"/>
      <c r="DO367" s="118"/>
      <c r="DP367" s="52"/>
      <c r="DQ367" s="52"/>
      <c r="DR367" s="77"/>
      <c r="DS367" s="77"/>
      <c r="DT367" s="77"/>
      <c r="DU367" s="11"/>
      <c r="DV367" s="11"/>
      <c r="DW367" s="11"/>
      <c r="DX367" s="11"/>
      <c r="DY367" s="11"/>
      <c r="DZ367" s="11"/>
      <c r="EA367" s="11"/>
      <c r="EB367" s="11"/>
      <c r="EC367" s="11"/>
      <c r="ED367" s="11"/>
      <c r="EE367" s="11"/>
      <c r="EF367" s="11"/>
    </row>
    <row r="368" spans="1:136" ht="27" x14ac:dyDescent="0.25">
      <c r="A368" s="425">
        <v>366</v>
      </c>
      <c r="B368" s="428" t="s">
        <v>1914</v>
      </c>
      <c r="C368" s="413" t="s">
        <v>676</v>
      </c>
      <c r="D368" s="586" t="s">
        <v>677</v>
      </c>
      <c r="E368" s="79">
        <v>1</v>
      </c>
      <c r="F368" s="405"/>
      <c r="G368" s="274"/>
      <c r="H368" s="274"/>
      <c r="I368" s="274"/>
      <c r="J368" s="274"/>
      <c r="K368" s="11"/>
      <c r="L368" s="274"/>
      <c r="M368" s="274"/>
      <c r="N368" s="274"/>
      <c r="O368" s="48"/>
      <c r="P368" s="11"/>
      <c r="Q368" s="274"/>
      <c r="R368" s="274"/>
      <c r="S368" s="274"/>
      <c r="T368" s="11"/>
      <c r="U368" s="11"/>
      <c r="V368" s="11"/>
      <c r="W368" s="11"/>
      <c r="X368" s="11"/>
      <c r="Y368" s="11"/>
      <c r="Z368" s="48"/>
      <c r="AA368" s="52"/>
      <c r="AB368" s="52"/>
      <c r="AC368" s="118"/>
      <c r="AD368" s="5"/>
      <c r="AE368" s="52"/>
      <c r="AF368" s="113">
        <v>351000</v>
      </c>
      <c r="AG368" s="113">
        <f>AF368*0.19</f>
        <v>66690</v>
      </c>
      <c r="AH368" s="113">
        <f>AF368+AG368</f>
        <v>417690</v>
      </c>
      <c r="AI368" s="277" t="s">
        <v>628</v>
      </c>
      <c r="AJ368" s="33" t="s">
        <v>1915</v>
      </c>
      <c r="AK368" s="269">
        <v>519520</v>
      </c>
      <c r="AL368" s="269">
        <v>98708.800000000003</v>
      </c>
      <c r="AM368" s="116">
        <v>618228.80000000005</v>
      </c>
      <c r="AN368" s="301" t="s">
        <v>88</v>
      </c>
      <c r="AO368" s="302">
        <v>1043744000</v>
      </c>
      <c r="AP368" s="11"/>
      <c r="AQ368" s="11"/>
      <c r="AR368" s="11"/>
      <c r="AS368" s="11"/>
      <c r="AT368" s="11"/>
      <c r="AU368" s="118">
        <v>466080</v>
      </c>
      <c r="AV368" s="118">
        <v>88555</v>
      </c>
      <c r="AW368" s="118">
        <v>554635</v>
      </c>
      <c r="AX368" s="52" t="s">
        <v>607</v>
      </c>
      <c r="AY368" s="52">
        <v>1043714000</v>
      </c>
      <c r="AZ368" s="11"/>
      <c r="BA368" s="11"/>
      <c r="BB368" s="11"/>
      <c r="BC368" s="11"/>
      <c r="BD368" s="11"/>
      <c r="BE368" s="274">
        <v>425000</v>
      </c>
      <c r="BF368" s="274">
        <v>80750</v>
      </c>
      <c r="BG368" s="274">
        <v>505750</v>
      </c>
      <c r="BH368" s="11" t="s">
        <v>63</v>
      </c>
      <c r="BI368" s="11" t="s">
        <v>1916</v>
      </c>
      <c r="BJ368" s="311"/>
      <c r="BK368" s="311"/>
      <c r="BL368" s="311"/>
      <c r="BM368" s="52"/>
      <c r="BN368" s="52"/>
      <c r="BO368" s="387"/>
      <c r="BP368" s="320"/>
      <c r="BQ368" s="320"/>
      <c r="BR368" s="4"/>
      <c r="BS368" s="4"/>
      <c r="BT368" s="11"/>
      <c r="BU368" s="11"/>
      <c r="BV368" s="11"/>
      <c r="BW368" s="11"/>
      <c r="BX368" s="11"/>
      <c r="BY368" s="348"/>
      <c r="BZ368" s="348"/>
      <c r="CA368" s="348"/>
      <c r="CB368" s="348"/>
      <c r="CC368" s="348"/>
      <c r="CD368" s="11"/>
      <c r="CE368" s="11"/>
      <c r="CF368" s="11"/>
      <c r="CG368" s="11"/>
      <c r="CH368" s="11"/>
      <c r="CI368" s="11"/>
      <c r="CJ368" s="11"/>
      <c r="CK368" s="11"/>
      <c r="CL368" s="11"/>
      <c r="CM368" s="11"/>
      <c r="CN368" s="274"/>
      <c r="CO368" s="274"/>
      <c r="CP368" s="274"/>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8"/>
      <c r="DN368" s="118"/>
      <c r="DO368" s="118"/>
      <c r="DP368" s="52"/>
      <c r="DQ368" s="52"/>
      <c r="DR368" s="77"/>
      <c r="DS368" s="77"/>
      <c r="DT368" s="77"/>
      <c r="DU368" s="11"/>
      <c r="DV368" s="11"/>
      <c r="DW368" s="11"/>
      <c r="DX368" s="11"/>
      <c r="DY368" s="11"/>
      <c r="DZ368" s="11"/>
      <c r="EA368" s="11"/>
      <c r="EB368" s="11"/>
      <c r="EC368" s="11"/>
      <c r="ED368" s="11"/>
      <c r="EE368" s="11"/>
      <c r="EF368" s="11"/>
    </row>
    <row r="369" spans="1:136" ht="13.5" x14ac:dyDescent="0.25">
      <c r="A369" s="425">
        <v>367</v>
      </c>
      <c r="B369" s="427" t="s">
        <v>1917</v>
      </c>
      <c r="C369" s="427" t="s">
        <v>622</v>
      </c>
      <c r="D369" s="427" t="s">
        <v>1918</v>
      </c>
      <c r="E369" s="79">
        <v>1</v>
      </c>
      <c r="F369" s="405">
        <v>1204675.3149999999</v>
      </c>
      <c r="G369" s="274"/>
      <c r="H369" s="274"/>
      <c r="I369" s="274"/>
      <c r="J369" s="274"/>
      <c r="K369" s="11"/>
      <c r="L369" s="274"/>
      <c r="M369" s="274"/>
      <c r="N369" s="274"/>
      <c r="O369" s="48"/>
      <c r="P369" s="11"/>
      <c r="Q369" s="274"/>
      <c r="R369" s="274"/>
      <c r="S369" s="274"/>
      <c r="T369" s="11"/>
      <c r="U369" s="11"/>
      <c r="V369" s="11"/>
      <c r="W369" s="11"/>
      <c r="X369" s="11"/>
      <c r="Y369" s="11"/>
      <c r="Z369" s="48"/>
      <c r="AA369" s="52"/>
      <c r="AB369" s="52"/>
      <c r="AC369" s="118"/>
      <c r="AD369" s="5"/>
      <c r="AE369" s="52"/>
      <c r="AF369" s="113"/>
      <c r="AG369" s="113"/>
      <c r="AH369" s="113"/>
      <c r="AI369" s="52"/>
      <c r="AJ369" s="11"/>
      <c r="AK369" s="269"/>
      <c r="AL369" s="269"/>
      <c r="AM369" s="116"/>
      <c r="AN369" s="301"/>
      <c r="AO369" s="302"/>
      <c r="AP369" s="11"/>
      <c r="AQ369" s="11"/>
      <c r="AR369" s="11"/>
      <c r="AS369" s="11"/>
      <c r="AT369" s="11"/>
      <c r="AU369" s="118"/>
      <c r="AV369" s="118"/>
      <c r="AW369" s="118"/>
      <c r="AX369" s="52"/>
      <c r="AY369" s="52"/>
      <c r="AZ369" s="11"/>
      <c r="BA369" s="11"/>
      <c r="BB369" s="11"/>
      <c r="BC369" s="11"/>
      <c r="BD369" s="11"/>
      <c r="BE369" s="274"/>
      <c r="BF369" s="274"/>
      <c r="BG369" s="274"/>
      <c r="BH369" s="11"/>
      <c r="BI369" s="11"/>
      <c r="BJ369" s="311"/>
      <c r="BK369" s="311"/>
      <c r="BL369" s="311"/>
      <c r="BM369" s="52"/>
      <c r="BN369" s="52"/>
      <c r="BO369" s="387"/>
      <c r="BP369" s="320"/>
      <c r="BQ369" s="320"/>
      <c r="BR369" s="4"/>
      <c r="BS369" s="4"/>
      <c r="BT369" s="11"/>
      <c r="BU369" s="11"/>
      <c r="BV369" s="11"/>
      <c r="BW369" s="11"/>
      <c r="BX369" s="11"/>
      <c r="BY369" s="348"/>
      <c r="BZ369" s="348"/>
      <c r="CA369" s="348"/>
      <c r="CB369" s="348"/>
      <c r="CC369" s="348"/>
      <c r="CD369" s="11"/>
      <c r="CE369" s="11"/>
      <c r="CF369" s="11"/>
      <c r="CG369" s="11"/>
      <c r="CH369" s="11"/>
      <c r="CI369" s="11"/>
      <c r="CJ369" s="11"/>
      <c r="CK369" s="11"/>
      <c r="CL369" s="11"/>
      <c r="CM369" s="11"/>
      <c r="CN369" s="274"/>
      <c r="CO369" s="274"/>
      <c r="CP369" s="274"/>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8"/>
      <c r="DN369" s="118"/>
      <c r="DO369" s="118"/>
      <c r="DP369" s="52"/>
      <c r="DQ369" s="52"/>
      <c r="DR369" s="77"/>
      <c r="DS369" s="77"/>
      <c r="DT369" s="77"/>
      <c r="DU369" s="11"/>
      <c r="DV369" s="11"/>
      <c r="DW369" s="11"/>
      <c r="DX369" s="11"/>
      <c r="DY369" s="11"/>
      <c r="DZ369" s="11"/>
      <c r="EA369" s="11"/>
      <c r="EB369" s="11"/>
      <c r="EC369" s="11"/>
      <c r="ED369" s="11"/>
      <c r="EE369" s="11"/>
      <c r="EF369" s="11"/>
    </row>
    <row r="370" spans="1:136" ht="13.5" x14ac:dyDescent="0.25">
      <c r="A370" s="425">
        <v>368</v>
      </c>
      <c r="B370" s="413" t="s">
        <v>1919</v>
      </c>
      <c r="C370" s="428" t="s">
        <v>1920</v>
      </c>
      <c r="D370" s="413" t="s">
        <v>1011</v>
      </c>
      <c r="E370" s="79">
        <v>1</v>
      </c>
      <c r="F370" s="405"/>
      <c r="G370" s="274"/>
      <c r="H370" s="274"/>
      <c r="I370" s="274"/>
      <c r="J370" s="274"/>
      <c r="K370" s="11"/>
      <c r="L370" s="274"/>
      <c r="M370" s="274"/>
      <c r="N370" s="274"/>
      <c r="O370" s="48"/>
      <c r="P370" s="11"/>
      <c r="Q370" s="274"/>
      <c r="R370" s="274"/>
      <c r="S370" s="274"/>
      <c r="T370" s="11"/>
      <c r="U370" s="11"/>
      <c r="V370" s="11"/>
      <c r="W370" s="11"/>
      <c r="X370" s="11"/>
      <c r="Y370" s="11"/>
      <c r="Z370" s="48"/>
      <c r="AA370" s="52"/>
      <c r="AB370" s="52"/>
      <c r="AC370" s="118"/>
      <c r="AD370" s="5"/>
      <c r="AE370" s="52"/>
      <c r="AF370" s="113"/>
      <c r="AG370" s="113"/>
      <c r="AH370" s="113"/>
      <c r="AI370" s="52"/>
      <c r="AJ370" s="11"/>
      <c r="AK370" s="269">
        <v>309000</v>
      </c>
      <c r="AL370" s="269">
        <v>58710</v>
      </c>
      <c r="AM370" s="116">
        <v>367710</v>
      </c>
      <c r="AN370" s="301" t="s">
        <v>37</v>
      </c>
      <c r="AO370" s="302" t="s">
        <v>1921</v>
      </c>
      <c r="AP370" s="11"/>
      <c r="AQ370" s="11"/>
      <c r="AR370" s="11"/>
      <c r="AS370" s="11"/>
      <c r="AT370" s="11"/>
      <c r="AU370" s="118">
        <v>325498</v>
      </c>
      <c r="AV370" s="118">
        <v>61845</v>
      </c>
      <c r="AW370" s="118">
        <v>387342</v>
      </c>
      <c r="AX370" s="52" t="s">
        <v>607</v>
      </c>
      <c r="AY370" s="52" t="s">
        <v>1921</v>
      </c>
      <c r="AZ370" s="11"/>
      <c r="BA370" s="11"/>
      <c r="BB370" s="11"/>
      <c r="BC370" s="11"/>
      <c r="BD370" s="11"/>
      <c r="BE370" s="274">
        <v>564000</v>
      </c>
      <c r="BF370" s="274">
        <v>107160</v>
      </c>
      <c r="BG370" s="274">
        <v>671160</v>
      </c>
      <c r="BH370" s="11" t="s">
        <v>37</v>
      </c>
      <c r="BI370" s="11" t="s">
        <v>1921</v>
      </c>
      <c r="BJ370" s="311"/>
      <c r="BK370" s="311"/>
      <c r="BL370" s="311"/>
      <c r="BM370" s="52"/>
      <c r="BN370" s="52"/>
      <c r="BO370" s="387"/>
      <c r="BP370" s="320"/>
      <c r="BQ370" s="320"/>
      <c r="BR370" s="4"/>
      <c r="BS370" s="4"/>
      <c r="BT370" s="11"/>
      <c r="BU370" s="11"/>
      <c r="BV370" s="11"/>
      <c r="BW370" s="11"/>
      <c r="BX370" s="11"/>
      <c r="BY370" s="348"/>
      <c r="BZ370" s="348"/>
      <c r="CA370" s="348"/>
      <c r="CB370" s="348"/>
      <c r="CC370" s="348"/>
      <c r="CD370" s="11"/>
      <c r="CE370" s="11"/>
      <c r="CF370" s="11"/>
      <c r="CG370" s="11"/>
      <c r="CH370" s="11"/>
      <c r="CI370" s="11"/>
      <c r="CJ370" s="11"/>
      <c r="CK370" s="11"/>
      <c r="CL370" s="11"/>
      <c r="CM370" s="11"/>
      <c r="CN370" s="274"/>
      <c r="CO370" s="274"/>
      <c r="CP370" s="274"/>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8"/>
      <c r="DN370" s="118"/>
      <c r="DO370" s="118"/>
      <c r="DP370" s="52"/>
      <c r="DQ370" s="52"/>
      <c r="DR370" s="77"/>
      <c r="DS370" s="77"/>
      <c r="DT370" s="77"/>
      <c r="DU370" s="11"/>
      <c r="DV370" s="11"/>
      <c r="DW370" s="11"/>
      <c r="DX370" s="11"/>
      <c r="DY370" s="11"/>
      <c r="DZ370" s="11"/>
      <c r="EA370" s="11"/>
      <c r="EB370" s="11"/>
      <c r="EC370" s="11"/>
      <c r="ED370" s="11"/>
      <c r="EE370" s="11"/>
      <c r="EF370" s="11"/>
    </row>
    <row r="371" spans="1:136" ht="40.5" x14ac:dyDescent="0.25">
      <c r="A371" s="425">
        <v>369</v>
      </c>
      <c r="B371" s="427" t="s">
        <v>1922</v>
      </c>
      <c r="C371" s="413" t="s">
        <v>1923</v>
      </c>
      <c r="D371" s="413" t="s">
        <v>1297</v>
      </c>
      <c r="E371" s="79">
        <v>1</v>
      </c>
      <c r="F371" s="405"/>
      <c r="G371" s="274">
        <v>765000</v>
      </c>
      <c r="H371" s="274">
        <v>145350</v>
      </c>
      <c r="I371" s="274">
        <v>910350</v>
      </c>
      <c r="J371" s="274" t="s">
        <v>1924</v>
      </c>
      <c r="K371" s="11" t="s">
        <v>1925</v>
      </c>
      <c r="L371" s="274"/>
      <c r="M371" s="274"/>
      <c r="N371" s="274"/>
      <c r="O371" s="48"/>
      <c r="P371" s="11"/>
      <c r="Q371" s="274"/>
      <c r="R371" s="274"/>
      <c r="S371" s="274"/>
      <c r="T371" s="11"/>
      <c r="U371" s="11"/>
      <c r="V371" s="11"/>
      <c r="W371" s="11"/>
      <c r="X371" s="11"/>
      <c r="Y371" s="11"/>
      <c r="Z371" s="48"/>
      <c r="AA371" s="52"/>
      <c r="AB371" s="52"/>
      <c r="AC371" s="118"/>
      <c r="AD371" s="5"/>
      <c r="AE371" s="52"/>
      <c r="AF371" s="113"/>
      <c r="AG371" s="113"/>
      <c r="AH371" s="113"/>
      <c r="AI371" s="52"/>
      <c r="AJ371" s="11"/>
      <c r="AK371" s="269"/>
      <c r="AL371" s="269"/>
      <c r="AM371" s="116"/>
      <c r="AN371" s="301"/>
      <c r="AO371" s="302"/>
      <c r="AP371" s="11"/>
      <c r="AQ371" s="11"/>
      <c r="AR371" s="11"/>
      <c r="AS371" s="11"/>
      <c r="AT371" s="11"/>
      <c r="AU371" s="118"/>
      <c r="AV371" s="118"/>
      <c r="AW371" s="118"/>
      <c r="AX371" s="52"/>
      <c r="AY371" s="52"/>
      <c r="AZ371" s="11"/>
      <c r="BA371" s="11"/>
      <c r="BB371" s="11"/>
      <c r="BC371" s="11"/>
      <c r="BD371" s="11"/>
      <c r="BE371" s="274"/>
      <c r="BF371" s="274"/>
      <c r="BG371" s="274"/>
      <c r="BH371" s="11"/>
      <c r="BI371" s="11"/>
      <c r="BJ371" s="311"/>
      <c r="BK371" s="311"/>
      <c r="BL371" s="311"/>
      <c r="BM371" s="52"/>
      <c r="BN371" s="52"/>
      <c r="BO371" s="387"/>
      <c r="BP371" s="320"/>
      <c r="BQ371" s="320"/>
      <c r="BR371" s="4"/>
      <c r="BS371" s="4"/>
      <c r="BT371" s="11"/>
      <c r="BU371" s="11"/>
      <c r="BV371" s="11"/>
      <c r="BW371" s="11"/>
      <c r="BX371" s="11"/>
      <c r="BY371" s="348"/>
      <c r="BZ371" s="348"/>
      <c r="CA371" s="348"/>
      <c r="CB371" s="348"/>
      <c r="CC371" s="348"/>
      <c r="CD371" s="11"/>
      <c r="CE371" s="11"/>
      <c r="CF371" s="11"/>
      <c r="CG371" s="11"/>
      <c r="CH371" s="11"/>
      <c r="CI371" s="11"/>
      <c r="CJ371" s="11"/>
      <c r="CK371" s="11"/>
      <c r="CL371" s="11"/>
      <c r="CM371" s="11"/>
      <c r="CN371" s="274"/>
      <c r="CO371" s="274"/>
      <c r="CP371" s="274"/>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8"/>
      <c r="DN371" s="118"/>
      <c r="DO371" s="118"/>
      <c r="DP371" s="52"/>
      <c r="DQ371" s="52"/>
      <c r="DR371" s="77"/>
      <c r="DS371" s="77"/>
      <c r="DT371" s="77"/>
      <c r="DU371" s="11"/>
      <c r="DV371" s="11"/>
      <c r="DW371" s="11"/>
      <c r="DX371" s="11"/>
      <c r="DY371" s="11"/>
      <c r="DZ371" s="11"/>
      <c r="EA371" s="11"/>
      <c r="EB371" s="11"/>
      <c r="EC371" s="11"/>
      <c r="ED371" s="11"/>
      <c r="EE371" s="11"/>
      <c r="EF371" s="11"/>
    </row>
    <row r="372" spans="1:136" ht="54" x14ac:dyDescent="0.25">
      <c r="A372" s="425">
        <v>370</v>
      </c>
      <c r="B372" s="413" t="s">
        <v>1926</v>
      </c>
      <c r="C372" s="413" t="s">
        <v>1927</v>
      </c>
      <c r="D372" s="413" t="s">
        <v>49</v>
      </c>
      <c r="E372" s="79">
        <v>1</v>
      </c>
      <c r="F372" s="404">
        <v>102058.4936</v>
      </c>
      <c r="G372" s="274">
        <v>158750</v>
      </c>
      <c r="H372" s="274">
        <v>30162.5</v>
      </c>
      <c r="I372" s="274">
        <v>188912.5</v>
      </c>
      <c r="J372" s="274" t="s">
        <v>45</v>
      </c>
      <c r="K372" s="11" t="s">
        <v>1928</v>
      </c>
      <c r="L372" s="274"/>
      <c r="M372" s="274"/>
      <c r="N372" s="274"/>
      <c r="O372" s="48"/>
      <c r="P372" s="11"/>
      <c r="Q372" s="274"/>
      <c r="R372" s="274"/>
      <c r="S372" s="274"/>
      <c r="T372" s="11"/>
      <c r="U372" s="11"/>
      <c r="V372" s="11"/>
      <c r="W372" s="11"/>
      <c r="X372" s="11"/>
      <c r="Y372" s="11"/>
      <c r="Z372" s="48"/>
      <c r="AA372" s="52"/>
      <c r="AB372" s="52"/>
      <c r="AC372" s="118"/>
      <c r="AD372" s="5"/>
      <c r="AE372" s="52"/>
      <c r="AF372" s="113">
        <v>135000</v>
      </c>
      <c r="AG372" s="113">
        <f>AF372*0.19</f>
        <v>25650</v>
      </c>
      <c r="AH372" s="113">
        <f>AF372+AG372</f>
        <v>160650</v>
      </c>
      <c r="AI372" s="277" t="s">
        <v>628</v>
      </c>
      <c r="AJ372" s="33" t="s">
        <v>916</v>
      </c>
      <c r="AK372" s="269"/>
      <c r="AL372" s="269"/>
      <c r="AM372" s="116"/>
      <c r="AN372" s="301"/>
      <c r="AO372" s="302"/>
      <c r="AP372" s="11"/>
      <c r="AQ372" s="11"/>
      <c r="AR372" s="11"/>
      <c r="AS372" s="11"/>
      <c r="AT372" s="11"/>
      <c r="AU372" s="118">
        <v>1525310</v>
      </c>
      <c r="AV372" s="118">
        <v>289809</v>
      </c>
      <c r="AW372" s="118">
        <v>1815119</v>
      </c>
      <c r="AX372" s="52" t="s">
        <v>607</v>
      </c>
      <c r="AY372" s="52" t="s">
        <v>1929</v>
      </c>
      <c r="AZ372" s="11"/>
      <c r="BA372" s="11"/>
      <c r="BB372" s="11"/>
      <c r="BC372" s="11"/>
      <c r="BD372" s="11"/>
      <c r="BE372" s="274">
        <v>783000</v>
      </c>
      <c r="BF372" s="274">
        <v>148770</v>
      </c>
      <c r="BG372" s="274">
        <v>931770</v>
      </c>
      <c r="BH372" s="11" t="s">
        <v>338</v>
      </c>
      <c r="BI372" s="11" t="s">
        <v>1930</v>
      </c>
      <c r="BJ372" s="311"/>
      <c r="BK372" s="311"/>
      <c r="BL372" s="311"/>
      <c r="BM372" s="52"/>
      <c r="BN372" s="52"/>
      <c r="BO372" s="387"/>
      <c r="BP372" s="320"/>
      <c r="BQ372" s="320"/>
      <c r="BR372" s="4"/>
      <c r="BS372" s="4"/>
      <c r="BT372" s="11"/>
      <c r="BU372" s="11"/>
      <c r="BV372" s="11"/>
      <c r="BW372" s="11"/>
      <c r="BX372" s="11"/>
      <c r="BY372" s="348"/>
      <c r="BZ372" s="348"/>
      <c r="CA372" s="348"/>
      <c r="CB372" s="348"/>
      <c r="CC372" s="348"/>
      <c r="CD372" s="11"/>
      <c r="CE372" s="11"/>
      <c r="CF372" s="11"/>
      <c r="CG372" s="11"/>
      <c r="CH372" s="11"/>
      <c r="CI372" s="11"/>
      <c r="CJ372" s="11"/>
      <c r="CK372" s="11"/>
      <c r="CL372" s="11"/>
      <c r="CM372" s="11"/>
      <c r="CN372" s="274"/>
      <c r="CO372" s="274"/>
      <c r="CP372" s="274"/>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8"/>
      <c r="DN372" s="118"/>
      <c r="DO372" s="118"/>
      <c r="DP372" s="52"/>
      <c r="DQ372" s="52"/>
      <c r="DR372" s="77"/>
      <c r="DS372" s="77"/>
      <c r="DT372" s="77"/>
      <c r="DU372" s="11"/>
      <c r="DV372" s="11"/>
      <c r="DW372" s="11"/>
      <c r="DX372" s="11"/>
      <c r="DY372" s="11"/>
      <c r="DZ372" s="11"/>
      <c r="EA372" s="11"/>
      <c r="EB372" s="11"/>
      <c r="EC372" s="11"/>
      <c r="ED372" s="11"/>
      <c r="EE372" s="11"/>
      <c r="EF372" s="11"/>
    </row>
    <row r="373" spans="1:136" ht="13.5" x14ac:dyDescent="0.25">
      <c r="A373" s="425">
        <v>371</v>
      </c>
      <c r="B373" s="428" t="s">
        <v>1931</v>
      </c>
      <c r="C373" s="413" t="s">
        <v>753</v>
      </c>
      <c r="D373" s="428" t="s">
        <v>1932</v>
      </c>
      <c r="E373" s="79">
        <v>1</v>
      </c>
      <c r="F373" s="405"/>
      <c r="G373" s="274">
        <v>198750</v>
      </c>
      <c r="H373" s="274">
        <v>37762.5</v>
      </c>
      <c r="I373" s="274">
        <v>236512.5</v>
      </c>
      <c r="J373" s="274" t="s">
        <v>45</v>
      </c>
      <c r="K373" s="11" t="s">
        <v>1933</v>
      </c>
      <c r="L373" s="274"/>
      <c r="M373" s="274"/>
      <c r="N373" s="274"/>
      <c r="O373" s="48"/>
      <c r="P373" s="11"/>
      <c r="Q373" s="274"/>
      <c r="R373" s="274"/>
      <c r="S373" s="274"/>
      <c r="T373" s="11"/>
      <c r="U373" s="11"/>
      <c r="V373" s="11"/>
      <c r="W373" s="11"/>
      <c r="X373" s="11"/>
      <c r="Y373" s="11"/>
      <c r="Z373" s="48"/>
      <c r="AA373" s="52"/>
      <c r="AB373" s="52"/>
      <c r="AC373" s="118"/>
      <c r="AD373" s="5"/>
      <c r="AE373" s="52"/>
      <c r="AF373" s="113">
        <v>121000</v>
      </c>
      <c r="AG373" s="113">
        <f>AF373*0.19</f>
        <v>22990</v>
      </c>
      <c r="AH373" s="113">
        <f>AF373+AG373</f>
        <v>143990</v>
      </c>
      <c r="AI373" s="277" t="s">
        <v>628</v>
      </c>
      <c r="AJ373" s="33" t="s">
        <v>1934</v>
      </c>
      <c r="AK373" s="269">
        <v>58140</v>
      </c>
      <c r="AL373" s="269">
        <v>11046.6</v>
      </c>
      <c r="AM373" s="116">
        <v>69186.600000000006</v>
      </c>
      <c r="AN373" s="301" t="s">
        <v>88</v>
      </c>
      <c r="AO373" s="302">
        <v>1050330500</v>
      </c>
      <c r="AP373" s="11"/>
      <c r="AQ373" s="11"/>
      <c r="AR373" s="11"/>
      <c r="AS373" s="11"/>
      <c r="AT373" s="11"/>
      <c r="AU373" s="118">
        <v>73935</v>
      </c>
      <c r="AV373" s="118">
        <v>14048</v>
      </c>
      <c r="AW373" s="118">
        <v>87983</v>
      </c>
      <c r="AX373" s="52" t="s">
        <v>607</v>
      </c>
      <c r="AY373" s="52">
        <v>1050330500</v>
      </c>
      <c r="AZ373" s="11"/>
      <c r="BA373" s="11"/>
      <c r="BB373" s="11"/>
      <c r="BC373" s="11"/>
      <c r="BD373" s="11"/>
      <c r="BE373" s="274">
        <v>155000</v>
      </c>
      <c r="BF373" s="274">
        <v>29450</v>
      </c>
      <c r="BG373" s="274">
        <v>184450</v>
      </c>
      <c r="BH373" s="11" t="s">
        <v>63</v>
      </c>
      <c r="BI373" s="11" t="s">
        <v>1935</v>
      </c>
      <c r="BJ373" s="311"/>
      <c r="BK373" s="311"/>
      <c r="BL373" s="311"/>
      <c r="BM373" s="52"/>
      <c r="BN373" s="52"/>
      <c r="BO373" s="387"/>
      <c r="BP373" s="320"/>
      <c r="BQ373" s="320"/>
      <c r="BR373" s="4"/>
      <c r="BS373" s="4"/>
      <c r="BT373" s="11"/>
      <c r="BU373" s="11"/>
      <c r="BV373" s="11"/>
      <c r="BW373" s="11"/>
      <c r="BX373" s="11"/>
      <c r="BY373" s="348"/>
      <c r="BZ373" s="348"/>
      <c r="CA373" s="348"/>
      <c r="CB373" s="348"/>
      <c r="CC373" s="348"/>
      <c r="CD373" s="11"/>
      <c r="CE373" s="11"/>
      <c r="CF373" s="11"/>
      <c r="CG373" s="11"/>
      <c r="CH373" s="11"/>
      <c r="CI373" s="11"/>
      <c r="CJ373" s="11"/>
      <c r="CK373" s="11"/>
      <c r="CL373" s="11"/>
      <c r="CM373" s="11"/>
      <c r="CN373" s="274"/>
      <c r="CO373" s="274"/>
      <c r="CP373" s="274"/>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8"/>
      <c r="DN373" s="118"/>
      <c r="DO373" s="118"/>
      <c r="DP373" s="52"/>
      <c r="DQ373" s="52"/>
      <c r="DR373" s="77"/>
      <c r="DS373" s="77"/>
      <c r="DT373" s="77"/>
      <c r="DU373" s="11"/>
      <c r="DV373" s="11"/>
      <c r="DW373" s="11"/>
      <c r="DX373" s="11"/>
      <c r="DY373" s="11"/>
      <c r="DZ373" s="11"/>
      <c r="EA373" s="11"/>
      <c r="EB373" s="11"/>
      <c r="EC373" s="11"/>
      <c r="ED373" s="11"/>
      <c r="EE373" s="11"/>
      <c r="EF373" s="11"/>
    </row>
    <row r="374" spans="1:136" ht="13.5" x14ac:dyDescent="0.25">
      <c r="A374" s="425">
        <v>372</v>
      </c>
      <c r="B374" s="427" t="s">
        <v>1936</v>
      </c>
      <c r="C374" s="428" t="s">
        <v>622</v>
      </c>
      <c r="D374" s="413" t="s">
        <v>413</v>
      </c>
      <c r="E374" s="79">
        <v>1</v>
      </c>
      <c r="F374" s="404">
        <v>208641.74799999999</v>
      </c>
      <c r="G374" s="274">
        <v>198750</v>
      </c>
      <c r="H374" s="274">
        <v>37762.5</v>
      </c>
      <c r="I374" s="274">
        <v>236512.5</v>
      </c>
      <c r="J374" s="274" t="s">
        <v>45</v>
      </c>
      <c r="K374" s="11" t="s">
        <v>1933</v>
      </c>
      <c r="L374" s="274"/>
      <c r="M374" s="274"/>
      <c r="N374" s="274"/>
      <c r="O374" s="48"/>
      <c r="P374" s="11"/>
      <c r="Q374" s="274"/>
      <c r="R374" s="274"/>
      <c r="S374" s="274"/>
      <c r="T374" s="11"/>
      <c r="U374" s="11"/>
      <c r="V374" s="11"/>
      <c r="W374" s="11"/>
      <c r="X374" s="11"/>
      <c r="Y374" s="11"/>
      <c r="Z374" s="48"/>
      <c r="AA374" s="52"/>
      <c r="AB374" s="52"/>
      <c r="AC374" s="118"/>
      <c r="AD374" s="5"/>
      <c r="AE374" s="52"/>
      <c r="AF374" s="113">
        <v>121000</v>
      </c>
      <c r="AG374" s="113">
        <f>AF374*0.19</f>
        <v>22990</v>
      </c>
      <c r="AH374" s="113">
        <f>AF374+AG374</f>
        <v>143990</v>
      </c>
      <c r="AI374" s="277" t="s">
        <v>628</v>
      </c>
      <c r="AJ374" s="33" t="s">
        <v>1934</v>
      </c>
      <c r="AK374" s="269"/>
      <c r="AL374" s="269"/>
      <c r="AM374" s="116"/>
      <c r="AN374" s="301"/>
      <c r="AO374" s="302"/>
      <c r="AP374" s="11"/>
      <c r="AQ374" s="11"/>
      <c r="AR374" s="11"/>
      <c r="AS374" s="11"/>
      <c r="AT374" s="11"/>
      <c r="AU374" s="118">
        <v>115251</v>
      </c>
      <c r="AV374" s="118">
        <v>21898</v>
      </c>
      <c r="AW374" s="118">
        <v>137149</v>
      </c>
      <c r="AX374" s="52" t="s">
        <v>607</v>
      </c>
      <c r="AY374" s="52">
        <v>1050331000</v>
      </c>
      <c r="AZ374" s="11"/>
      <c r="BA374" s="11"/>
      <c r="BB374" s="11"/>
      <c r="BC374" s="11"/>
      <c r="BD374" s="11"/>
      <c r="BE374" s="274">
        <v>213000</v>
      </c>
      <c r="BF374" s="274">
        <v>40470</v>
      </c>
      <c r="BG374" s="274">
        <v>253470</v>
      </c>
      <c r="BH374" s="11" t="s">
        <v>63</v>
      </c>
      <c r="BI374" s="11" t="s">
        <v>1937</v>
      </c>
      <c r="BJ374" s="311"/>
      <c r="BK374" s="311"/>
      <c r="BL374" s="311"/>
      <c r="BM374" s="52"/>
      <c r="BN374" s="52"/>
      <c r="BO374" s="387"/>
      <c r="BP374" s="320"/>
      <c r="BQ374" s="320"/>
      <c r="BR374" s="4"/>
      <c r="BS374" s="4"/>
      <c r="BT374" s="11"/>
      <c r="BU374" s="11"/>
      <c r="BV374" s="11"/>
      <c r="BW374" s="11"/>
      <c r="BX374" s="11"/>
      <c r="BY374" s="348"/>
      <c r="BZ374" s="348"/>
      <c r="CA374" s="348"/>
      <c r="CB374" s="348"/>
      <c r="CC374" s="348"/>
      <c r="CD374" s="11"/>
      <c r="CE374" s="11"/>
      <c r="CF374" s="11"/>
      <c r="CG374" s="11"/>
      <c r="CH374" s="11"/>
      <c r="CI374" s="11"/>
      <c r="CJ374" s="11"/>
      <c r="CK374" s="11"/>
      <c r="CL374" s="11"/>
      <c r="CM374" s="11"/>
      <c r="CN374" s="274"/>
      <c r="CO374" s="274"/>
      <c r="CP374" s="274"/>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8"/>
      <c r="DN374" s="118"/>
      <c r="DO374" s="118"/>
      <c r="DP374" s="52"/>
      <c r="DQ374" s="52"/>
      <c r="DR374" s="77"/>
      <c r="DS374" s="77"/>
      <c r="DT374" s="77"/>
      <c r="DU374" s="11"/>
      <c r="DV374" s="11"/>
      <c r="DW374" s="11"/>
      <c r="DX374" s="11"/>
      <c r="DY374" s="11"/>
      <c r="DZ374" s="11"/>
      <c r="EA374" s="11"/>
      <c r="EB374" s="11"/>
      <c r="EC374" s="11"/>
      <c r="ED374" s="11"/>
      <c r="EE374" s="11"/>
      <c r="EF374" s="11"/>
    </row>
    <row r="375" spans="1:136" ht="27" x14ac:dyDescent="0.25">
      <c r="A375" s="425">
        <v>373</v>
      </c>
      <c r="B375" s="427" t="s">
        <v>1938</v>
      </c>
      <c r="C375" s="413" t="s">
        <v>676</v>
      </c>
      <c r="D375" s="413" t="s">
        <v>1068</v>
      </c>
      <c r="E375" s="79">
        <v>1</v>
      </c>
      <c r="F375" s="404">
        <v>188531.7</v>
      </c>
      <c r="G375" s="274">
        <v>127500</v>
      </c>
      <c r="H375" s="274">
        <v>24225</v>
      </c>
      <c r="I375" s="274">
        <v>151725</v>
      </c>
      <c r="J375" s="274" t="s">
        <v>45</v>
      </c>
      <c r="K375" s="11" t="s">
        <v>1939</v>
      </c>
      <c r="L375" s="274"/>
      <c r="M375" s="274"/>
      <c r="N375" s="274"/>
      <c r="O375" s="48"/>
      <c r="P375" s="11"/>
      <c r="Q375" s="274"/>
      <c r="R375" s="274"/>
      <c r="S375" s="274"/>
      <c r="T375" s="11"/>
      <c r="U375" s="11"/>
      <c r="V375" s="11"/>
      <c r="W375" s="11"/>
      <c r="X375" s="11"/>
      <c r="Y375" s="11"/>
      <c r="Z375" s="48"/>
      <c r="AA375" s="52"/>
      <c r="AB375" s="52"/>
      <c r="AC375" s="118"/>
      <c r="AD375" s="5"/>
      <c r="AE375" s="52"/>
      <c r="AF375" s="113">
        <v>109000</v>
      </c>
      <c r="AG375" s="113">
        <f>AF375*0.19</f>
        <v>20710</v>
      </c>
      <c r="AH375" s="113">
        <f>AF375+AG375</f>
        <v>129710</v>
      </c>
      <c r="AI375" s="277" t="s">
        <v>628</v>
      </c>
      <c r="AJ375" s="33" t="s">
        <v>1940</v>
      </c>
      <c r="AK375" s="269">
        <v>58000</v>
      </c>
      <c r="AL375" s="269">
        <v>11020</v>
      </c>
      <c r="AM375" s="116">
        <v>69020</v>
      </c>
      <c r="AN375" s="301" t="s">
        <v>88</v>
      </c>
      <c r="AO375" s="302">
        <v>1064981000</v>
      </c>
      <c r="AP375" s="11"/>
      <c r="AQ375" s="11"/>
      <c r="AR375" s="11"/>
      <c r="AS375" s="11"/>
      <c r="AT375" s="11"/>
      <c r="AU375" s="118">
        <v>100030</v>
      </c>
      <c r="AV375" s="118">
        <v>19006</v>
      </c>
      <c r="AW375" s="118">
        <v>119035</v>
      </c>
      <c r="AX375" s="52" t="s">
        <v>607</v>
      </c>
      <c r="AY375" s="52">
        <v>1064981000</v>
      </c>
      <c r="AZ375" s="11"/>
      <c r="BA375" s="11"/>
      <c r="BB375" s="11"/>
      <c r="BC375" s="11"/>
      <c r="BD375" s="11"/>
      <c r="BE375" s="274">
        <v>104000</v>
      </c>
      <c r="BF375" s="274">
        <v>19760</v>
      </c>
      <c r="BG375" s="274">
        <v>123760</v>
      </c>
      <c r="BH375" s="11" t="s">
        <v>66</v>
      </c>
      <c r="BI375" s="11" t="s">
        <v>1941</v>
      </c>
      <c r="BJ375" s="311"/>
      <c r="BK375" s="311"/>
      <c r="BL375" s="311"/>
      <c r="BM375" s="52"/>
      <c r="BN375" s="52"/>
      <c r="BO375" s="387"/>
      <c r="BP375" s="320"/>
      <c r="BQ375" s="320"/>
      <c r="BR375" s="4"/>
      <c r="BS375" s="4"/>
      <c r="BT375" s="11"/>
      <c r="BU375" s="11"/>
      <c r="BV375" s="11"/>
      <c r="BW375" s="11"/>
      <c r="BX375" s="11"/>
      <c r="BY375" s="348"/>
      <c r="BZ375" s="348"/>
      <c r="CA375" s="348"/>
      <c r="CB375" s="348"/>
      <c r="CC375" s="348"/>
      <c r="CD375" s="11"/>
      <c r="CE375" s="11"/>
      <c r="CF375" s="11"/>
      <c r="CG375" s="11"/>
      <c r="CH375" s="11"/>
      <c r="CI375" s="11"/>
      <c r="CJ375" s="11"/>
      <c r="CK375" s="11"/>
      <c r="CL375" s="11"/>
      <c r="CM375" s="11"/>
      <c r="CN375" s="274"/>
      <c r="CO375" s="274"/>
      <c r="CP375" s="274"/>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8"/>
      <c r="DN375" s="118"/>
      <c r="DO375" s="118"/>
      <c r="DP375" s="52"/>
      <c r="DQ375" s="52"/>
      <c r="DR375" s="77"/>
      <c r="DS375" s="77"/>
      <c r="DT375" s="77"/>
      <c r="DU375" s="11"/>
      <c r="DV375" s="11"/>
      <c r="DW375" s="11"/>
      <c r="DX375" s="11"/>
      <c r="DY375" s="11"/>
      <c r="DZ375" s="11"/>
      <c r="EA375" s="11"/>
      <c r="EB375" s="11"/>
      <c r="EC375" s="11"/>
      <c r="ED375" s="11"/>
      <c r="EE375" s="11"/>
      <c r="EF375" s="11"/>
    </row>
    <row r="376" spans="1:136" ht="40.5" x14ac:dyDescent="0.25">
      <c r="A376" s="425">
        <v>374</v>
      </c>
      <c r="B376" s="427" t="s">
        <v>1942</v>
      </c>
      <c r="C376" s="428" t="s">
        <v>1340</v>
      </c>
      <c r="D376" s="413" t="s">
        <v>1943</v>
      </c>
      <c r="E376" s="79">
        <v>1</v>
      </c>
      <c r="F376" s="404">
        <v>69128.290000000008</v>
      </c>
      <c r="G376" s="274"/>
      <c r="H376" s="274"/>
      <c r="I376" s="274"/>
      <c r="J376" s="274"/>
      <c r="K376" s="11"/>
      <c r="L376" s="274"/>
      <c r="M376" s="274"/>
      <c r="N376" s="274"/>
      <c r="O376" s="48"/>
      <c r="P376" s="11"/>
      <c r="Q376" s="274"/>
      <c r="R376" s="274"/>
      <c r="S376" s="274"/>
      <c r="T376" s="11"/>
      <c r="U376" s="11"/>
      <c r="V376" s="11"/>
      <c r="W376" s="11"/>
      <c r="X376" s="11"/>
      <c r="Y376" s="11"/>
      <c r="Z376" s="48"/>
      <c r="AA376" s="52"/>
      <c r="AB376" s="52"/>
      <c r="AC376" s="118"/>
      <c r="AD376" s="5"/>
      <c r="AE376" s="52"/>
      <c r="AF376" s="113"/>
      <c r="AG376" s="113"/>
      <c r="AH376" s="113"/>
      <c r="AI376" s="52"/>
      <c r="AJ376" s="11"/>
      <c r="AK376" s="269"/>
      <c r="AL376" s="269"/>
      <c r="AM376" s="116"/>
      <c r="AN376" s="301"/>
      <c r="AO376" s="302"/>
      <c r="AP376" s="11"/>
      <c r="AQ376" s="11"/>
      <c r="AR376" s="11"/>
      <c r="AS376" s="11"/>
      <c r="AT376" s="11"/>
      <c r="AU376" s="118"/>
      <c r="AV376" s="118"/>
      <c r="AW376" s="118"/>
      <c r="AX376" s="52"/>
      <c r="AY376" s="52"/>
      <c r="AZ376" s="11"/>
      <c r="BA376" s="11"/>
      <c r="BB376" s="11"/>
      <c r="BC376" s="11"/>
      <c r="BD376" s="11"/>
      <c r="BE376" s="274">
        <v>50000</v>
      </c>
      <c r="BF376" s="274">
        <v>9500</v>
      </c>
      <c r="BG376" s="274">
        <v>59500</v>
      </c>
      <c r="BH376" s="11" t="s">
        <v>48</v>
      </c>
      <c r="BI376" s="11" t="s">
        <v>1944</v>
      </c>
      <c r="BJ376" s="311"/>
      <c r="BK376" s="311"/>
      <c r="BL376" s="311"/>
      <c r="BM376" s="52"/>
      <c r="BN376" s="52"/>
      <c r="BO376" s="387"/>
      <c r="BP376" s="320"/>
      <c r="BQ376" s="320"/>
      <c r="BR376" s="4"/>
      <c r="BS376" s="4"/>
      <c r="BT376" s="11"/>
      <c r="BU376" s="11"/>
      <c r="BV376" s="11"/>
      <c r="BW376" s="11"/>
      <c r="BX376" s="11"/>
      <c r="BY376" s="348"/>
      <c r="BZ376" s="348"/>
      <c r="CA376" s="348"/>
      <c r="CB376" s="348"/>
      <c r="CC376" s="348"/>
      <c r="CD376" s="11"/>
      <c r="CE376" s="11"/>
      <c r="CF376" s="11"/>
      <c r="CG376" s="11"/>
      <c r="CH376" s="11"/>
      <c r="CI376" s="11"/>
      <c r="CJ376" s="11"/>
      <c r="CK376" s="11"/>
      <c r="CL376" s="11"/>
      <c r="CM376" s="11"/>
      <c r="CN376" s="274"/>
      <c r="CO376" s="274"/>
      <c r="CP376" s="274"/>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8"/>
      <c r="DN376" s="118"/>
      <c r="DO376" s="118"/>
      <c r="DP376" s="52"/>
      <c r="DQ376" s="52"/>
      <c r="DR376" s="77"/>
      <c r="DS376" s="77"/>
      <c r="DT376" s="77"/>
      <c r="DU376" s="11"/>
      <c r="DV376" s="11"/>
      <c r="DW376" s="11"/>
      <c r="DX376" s="11"/>
      <c r="DY376" s="11"/>
      <c r="DZ376" s="11"/>
      <c r="EA376" s="11"/>
      <c r="EB376" s="11"/>
      <c r="EC376" s="11"/>
      <c r="ED376" s="11"/>
      <c r="EE376" s="11"/>
      <c r="EF376" s="11"/>
    </row>
    <row r="377" spans="1:136" ht="13.5" x14ac:dyDescent="0.25">
      <c r="A377" s="425">
        <v>375</v>
      </c>
      <c r="B377" s="428" t="s">
        <v>1945</v>
      </c>
      <c r="C377" s="413" t="s">
        <v>753</v>
      </c>
      <c r="D377" s="428" t="s">
        <v>783</v>
      </c>
      <c r="E377" s="79">
        <v>1</v>
      </c>
      <c r="F377" s="405"/>
      <c r="G377" s="274"/>
      <c r="H377" s="274"/>
      <c r="I377" s="274"/>
      <c r="J377" s="274"/>
      <c r="K377" s="11"/>
      <c r="L377" s="274"/>
      <c r="M377" s="274"/>
      <c r="N377" s="274"/>
      <c r="O377" s="48"/>
      <c r="P377" s="11"/>
      <c r="Q377" s="274"/>
      <c r="R377" s="274"/>
      <c r="S377" s="274"/>
      <c r="T377" s="11"/>
      <c r="U377" s="11"/>
      <c r="V377" s="11"/>
      <c r="W377" s="11"/>
      <c r="X377" s="11"/>
      <c r="Y377" s="11"/>
      <c r="Z377" s="48"/>
      <c r="AA377" s="52"/>
      <c r="AB377" s="52"/>
      <c r="AC377" s="118"/>
      <c r="AD377" s="5"/>
      <c r="AE377" s="52"/>
      <c r="AF377" s="113"/>
      <c r="AG377" s="113"/>
      <c r="AH377" s="113"/>
      <c r="AI377" s="52"/>
      <c r="AJ377" s="11"/>
      <c r="AK377" s="269">
        <v>274170</v>
      </c>
      <c r="AL377" s="269">
        <v>52092.3</v>
      </c>
      <c r="AM377" s="116">
        <v>326262.3</v>
      </c>
      <c r="AN377" s="301" t="s">
        <v>88</v>
      </c>
      <c r="AO377" s="302">
        <v>8400080100</v>
      </c>
      <c r="AP377" s="11"/>
      <c r="AQ377" s="11"/>
      <c r="AR377" s="11"/>
      <c r="AS377" s="11"/>
      <c r="AT377" s="11"/>
      <c r="AU377" s="118"/>
      <c r="AV377" s="118"/>
      <c r="AW377" s="118"/>
      <c r="AX377" s="52"/>
      <c r="AY377" s="52"/>
      <c r="AZ377" s="11"/>
      <c r="BA377" s="11"/>
      <c r="BB377" s="11"/>
      <c r="BC377" s="11"/>
      <c r="BD377" s="11"/>
      <c r="BE377" s="274"/>
      <c r="BF377" s="274"/>
      <c r="BG377" s="274"/>
      <c r="BH377" s="11"/>
      <c r="BI377" s="11"/>
      <c r="BJ377" s="311"/>
      <c r="BK377" s="311"/>
      <c r="BL377" s="311"/>
      <c r="BM377" s="52"/>
      <c r="BN377" s="52"/>
      <c r="BO377" s="387"/>
      <c r="BP377" s="320"/>
      <c r="BQ377" s="320"/>
      <c r="BR377" s="4"/>
      <c r="BS377" s="4"/>
      <c r="BT377" s="11"/>
      <c r="BU377" s="11"/>
      <c r="BV377" s="11"/>
      <c r="BW377" s="11"/>
      <c r="BX377" s="11"/>
      <c r="BY377" s="348"/>
      <c r="BZ377" s="348"/>
      <c r="CA377" s="348"/>
      <c r="CB377" s="348"/>
      <c r="CC377" s="348"/>
      <c r="CD377" s="11"/>
      <c r="CE377" s="11"/>
      <c r="CF377" s="11"/>
      <c r="CG377" s="11"/>
      <c r="CH377" s="11"/>
      <c r="CI377" s="11"/>
      <c r="CJ377" s="11"/>
      <c r="CK377" s="11"/>
      <c r="CL377" s="11"/>
      <c r="CM377" s="11"/>
      <c r="CN377" s="274"/>
      <c r="CO377" s="274"/>
      <c r="CP377" s="274"/>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8"/>
      <c r="DN377" s="118"/>
      <c r="DO377" s="118"/>
      <c r="DP377" s="52"/>
      <c r="DQ377" s="52"/>
      <c r="DR377" s="77"/>
      <c r="DS377" s="77"/>
      <c r="DT377" s="77"/>
      <c r="DU377" s="11"/>
      <c r="DV377" s="11"/>
      <c r="DW377" s="11"/>
      <c r="DX377" s="11"/>
      <c r="DY377" s="11"/>
      <c r="DZ377" s="11"/>
      <c r="EA377" s="11"/>
      <c r="EB377" s="11"/>
      <c r="EC377" s="11"/>
      <c r="ED377" s="11"/>
      <c r="EE377" s="11"/>
      <c r="EF377" s="11"/>
    </row>
    <row r="378" spans="1:136" ht="13.5" x14ac:dyDescent="0.25">
      <c r="A378" s="425">
        <v>376</v>
      </c>
      <c r="B378" s="427" t="s">
        <v>1946</v>
      </c>
      <c r="C378" s="427" t="s">
        <v>622</v>
      </c>
      <c r="D378" s="427" t="s">
        <v>109</v>
      </c>
      <c r="E378" s="79">
        <v>1</v>
      </c>
      <c r="F378" s="405"/>
      <c r="G378" s="274"/>
      <c r="H378" s="274"/>
      <c r="I378" s="274"/>
      <c r="J378" s="274"/>
      <c r="K378" s="11"/>
      <c r="L378" s="274"/>
      <c r="M378" s="274"/>
      <c r="N378" s="274"/>
      <c r="O378" s="48"/>
      <c r="P378" s="11"/>
      <c r="Q378" s="274"/>
      <c r="R378" s="274"/>
      <c r="S378" s="274"/>
      <c r="T378" s="11"/>
      <c r="U378" s="11"/>
      <c r="V378" s="11"/>
      <c r="W378" s="11"/>
      <c r="X378" s="11"/>
      <c r="Y378" s="11"/>
      <c r="Z378" s="48"/>
      <c r="AA378" s="52"/>
      <c r="AB378" s="52"/>
      <c r="AC378" s="118"/>
      <c r="AD378" s="5"/>
      <c r="AE378" s="52"/>
      <c r="AF378" s="113"/>
      <c r="AG378" s="113"/>
      <c r="AH378" s="113"/>
      <c r="AI378" s="52"/>
      <c r="AJ378" s="11"/>
      <c r="AK378" s="269">
        <v>459000</v>
      </c>
      <c r="AL378" s="269">
        <v>87210</v>
      </c>
      <c r="AM378" s="116">
        <v>546210</v>
      </c>
      <c r="AN378" s="301" t="s">
        <v>37</v>
      </c>
      <c r="AO378" s="302" t="s">
        <v>1947</v>
      </c>
      <c r="AP378" s="11"/>
      <c r="AQ378" s="11"/>
      <c r="AR378" s="11"/>
      <c r="AS378" s="11"/>
      <c r="AT378" s="11"/>
      <c r="AU378" s="118"/>
      <c r="AV378" s="118"/>
      <c r="AW378" s="118"/>
      <c r="AX378" s="52"/>
      <c r="AY378" s="52"/>
      <c r="AZ378" s="11"/>
      <c r="BA378" s="11"/>
      <c r="BB378" s="11"/>
      <c r="BC378" s="11"/>
      <c r="BD378" s="11"/>
      <c r="BE378" s="274"/>
      <c r="BF378" s="274"/>
      <c r="BG378" s="274"/>
      <c r="BH378" s="11"/>
      <c r="BI378" s="11"/>
      <c r="BJ378" s="311"/>
      <c r="BK378" s="311"/>
      <c r="BL378" s="311"/>
      <c r="BM378" s="52"/>
      <c r="BN378" s="52"/>
      <c r="BO378" s="387"/>
      <c r="BP378" s="320"/>
      <c r="BQ378" s="320"/>
      <c r="BR378" s="4"/>
      <c r="BS378" s="4"/>
      <c r="BT378" s="11"/>
      <c r="BU378" s="11"/>
      <c r="BV378" s="11"/>
      <c r="BW378" s="11"/>
      <c r="BX378" s="11"/>
      <c r="BY378" s="348"/>
      <c r="BZ378" s="348"/>
      <c r="CA378" s="348"/>
      <c r="CB378" s="348"/>
      <c r="CC378" s="348"/>
      <c r="CD378" s="11"/>
      <c r="CE378" s="11"/>
      <c r="CF378" s="11"/>
      <c r="CG378" s="11"/>
      <c r="CH378" s="11"/>
      <c r="CI378" s="11"/>
      <c r="CJ378" s="11"/>
      <c r="CK378" s="11"/>
      <c r="CL378" s="11"/>
      <c r="CM378" s="11"/>
      <c r="CN378" s="274"/>
      <c r="CO378" s="274"/>
      <c r="CP378" s="274"/>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8"/>
      <c r="DN378" s="118"/>
      <c r="DO378" s="118"/>
      <c r="DP378" s="52"/>
      <c r="DQ378" s="52"/>
      <c r="DR378" s="77"/>
      <c r="DS378" s="77"/>
      <c r="DT378" s="77"/>
      <c r="DU378" s="11"/>
      <c r="DV378" s="11"/>
      <c r="DW378" s="11"/>
      <c r="DX378" s="11"/>
      <c r="DY378" s="11"/>
      <c r="DZ378" s="11"/>
      <c r="EA378" s="11"/>
      <c r="EB378" s="11"/>
      <c r="EC378" s="11"/>
      <c r="ED378" s="11"/>
      <c r="EE378" s="11"/>
      <c r="EF378" s="11"/>
    </row>
    <row r="379" spans="1:136" ht="38.25" x14ac:dyDescent="0.25">
      <c r="A379" s="425">
        <v>377</v>
      </c>
      <c r="B379" s="427" t="s">
        <v>1948</v>
      </c>
      <c r="C379" s="413" t="s">
        <v>1949</v>
      </c>
      <c r="D379" s="413" t="s">
        <v>1950</v>
      </c>
      <c r="E379" s="79">
        <v>1</v>
      </c>
      <c r="F379" s="406">
        <v>13081037</v>
      </c>
      <c r="G379" s="274"/>
      <c r="H379" s="274"/>
      <c r="I379" s="274"/>
      <c r="J379" s="274"/>
      <c r="K379" s="11"/>
      <c r="L379" s="274"/>
      <c r="M379" s="274"/>
      <c r="N379" s="274"/>
      <c r="O379" s="48"/>
      <c r="P379" s="11"/>
      <c r="Q379" s="274">
        <v>12385000</v>
      </c>
      <c r="R379" s="274">
        <v>0</v>
      </c>
      <c r="S379" s="274">
        <f>+Q379+R379</f>
        <v>12385000</v>
      </c>
      <c r="T379" s="11" t="s">
        <v>198</v>
      </c>
      <c r="U379" s="48" t="s">
        <v>1951</v>
      </c>
      <c r="V379" s="48"/>
      <c r="W379" s="48"/>
      <c r="X379" s="48"/>
      <c r="Y379" s="48"/>
      <c r="Z379" s="48"/>
      <c r="AA379" s="52"/>
      <c r="AB379" s="52"/>
      <c r="AC379" s="118"/>
      <c r="AD379" s="5"/>
      <c r="AE379" s="52"/>
      <c r="AF379" s="113"/>
      <c r="AG379" s="113"/>
      <c r="AH379" s="113"/>
      <c r="AI379" s="52"/>
      <c r="AJ379" s="11"/>
      <c r="AK379" s="269"/>
      <c r="AL379" s="269"/>
      <c r="AM379" s="116"/>
      <c r="AN379" s="301"/>
      <c r="AO379" s="302"/>
      <c r="AP379" s="11"/>
      <c r="AQ379" s="11"/>
      <c r="AR379" s="11"/>
      <c r="AS379" s="11"/>
      <c r="AT379" s="11"/>
      <c r="AU379" s="118"/>
      <c r="AV379" s="118"/>
      <c r="AW379" s="118"/>
      <c r="AX379" s="52"/>
      <c r="AY379" s="52"/>
      <c r="AZ379" s="11"/>
      <c r="BA379" s="11"/>
      <c r="BB379" s="11"/>
      <c r="BC379" s="11"/>
      <c r="BD379" s="11"/>
      <c r="BE379" s="274">
        <v>17518000</v>
      </c>
      <c r="BF379" s="274">
        <v>3328420</v>
      </c>
      <c r="BG379" s="274">
        <v>20846420</v>
      </c>
      <c r="BH379" s="11" t="s">
        <v>198</v>
      </c>
      <c r="BI379" s="11" t="s">
        <v>1952</v>
      </c>
      <c r="BJ379" s="311"/>
      <c r="BK379" s="311"/>
      <c r="BL379" s="311"/>
      <c r="BM379" s="52"/>
      <c r="BN379" s="52"/>
      <c r="BO379" s="387"/>
      <c r="BP379" s="320"/>
      <c r="BQ379" s="320"/>
      <c r="BR379" s="4"/>
      <c r="BS379" s="4"/>
      <c r="BT379" s="11"/>
      <c r="BU379" s="11"/>
      <c r="BV379" s="11"/>
      <c r="BW379" s="11"/>
      <c r="BX379" s="11"/>
      <c r="BY379" s="348"/>
      <c r="BZ379" s="348"/>
      <c r="CA379" s="348"/>
      <c r="CB379" s="348"/>
      <c r="CC379" s="348"/>
      <c r="CD379" s="11"/>
      <c r="CE379" s="11"/>
      <c r="CF379" s="11"/>
      <c r="CG379" s="11"/>
      <c r="CH379" s="11"/>
      <c r="CI379" s="11"/>
      <c r="CJ379" s="11"/>
      <c r="CK379" s="11"/>
      <c r="CL379" s="11"/>
      <c r="CM379" s="11"/>
      <c r="CN379" s="274"/>
      <c r="CO379" s="274"/>
      <c r="CP379" s="274"/>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8"/>
      <c r="DN379" s="118"/>
      <c r="DO379" s="118"/>
      <c r="DP379" s="52"/>
      <c r="DQ379" s="52"/>
      <c r="DR379" s="77"/>
      <c r="DS379" s="77"/>
      <c r="DT379" s="77"/>
      <c r="DU379" s="11"/>
      <c r="DV379" s="11"/>
      <c r="DW379" s="11"/>
      <c r="DX379" s="11"/>
      <c r="DY379" s="11"/>
      <c r="DZ379" s="11"/>
      <c r="EA379" s="11"/>
      <c r="EB379" s="11"/>
      <c r="EC379" s="11"/>
      <c r="ED379" s="11"/>
      <c r="EE379" s="11"/>
      <c r="EF379" s="11"/>
    </row>
    <row r="380" spans="1:136" ht="38.25" x14ac:dyDescent="0.25">
      <c r="A380" s="425">
        <v>378</v>
      </c>
      <c r="B380" s="427" t="s">
        <v>1953</v>
      </c>
      <c r="C380" s="427" t="s">
        <v>1954</v>
      </c>
      <c r="D380" s="427" t="s">
        <v>1950</v>
      </c>
      <c r="E380" s="79">
        <v>1</v>
      </c>
      <c r="F380" s="405"/>
      <c r="G380" s="274"/>
      <c r="H380" s="274"/>
      <c r="I380" s="274"/>
      <c r="J380" s="274"/>
      <c r="K380" s="11"/>
      <c r="L380" s="274"/>
      <c r="M380" s="274"/>
      <c r="N380" s="274"/>
      <c r="O380" s="48"/>
      <c r="P380" s="11"/>
      <c r="Q380" s="274">
        <v>12400000</v>
      </c>
      <c r="R380" s="274">
        <v>0</v>
      </c>
      <c r="S380" s="274">
        <f>+Q380+R380</f>
        <v>12400000</v>
      </c>
      <c r="T380" s="11" t="s">
        <v>198</v>
      </c>
      <c r="U380" s="48" t="s">
        <v>1951</v>
      </c>
      <c r="V380" s="48"/>
      <c r="W380" s="48"/>
      <c r="X380" s="48"/>
      <c r="Y380" s="48"/>
      <c r="Z380" s="48"/>
      <c r="AA380" s="52"/>
      <c r="AB380" s="52"/>
      <c r="AC380" s="118"/>
      <c r="AD380" s="5"/>
      <c r="AE380" s="52"/>
      <c r="AF380" s="113"/>
      <c r="AG380" s="113"/>
      <c r="AH380" s="113"/>
      <c r="AI380" s="52"/>
      <c r="AJ380" s="11"/>
      <c r="AK380" s="269"/>
      <c r="AL380" s="269"/>
      <c r="AM380" s="116"/>
      <c r="AN380" s="301"/>
      <c r="AO380" s="302"/>
      <c r="AP380" s="11"/>
      <c r="AQ380" s="11"/>
      <c r="AR380" s="11"/>
      <c r="AS380" s="11"/>
      <c r="AT380" s="11"/>
      <c r="AU380" s="118"/>
      <c r="AV380" s="118"/>
      <c r="AW380" s="118"/>
      <c r="AX380" s="52"/>
      <c r="AY380" s="52"/>
      <c r="AZ380" s="11"/>
      <c r="BA380" s="11"/>
      <c r="BB380" s="11"/>
      <c r="BC380" s="11"/>
      <c r="BD380" s="11"/>
      <c r="BE380" s="274">
        <v>17760000</v>
      </c>
      <c r="BF380" s="274">
        <v>3374400</v>
      </c>
      <c r="BG380" s="274">
        <v>21134400</v>
      </c>
      <c r="BH380" s="11" t="s">
        <v>198</v>
      </c>
      <c r="BI380" s="11" t="s">
        <v>1955</v>
      </c>
      <c r="BJ380" s="311"/>
      <c r="BK380" s="311"/>
      <c r="BL380" s="311"/>
      <c r="BM380" s="52"/>
      <c r="BN380" s="52"/>
      <c r="BO380" s="387"/>
      <c r="BP380" s="320"/>
      <c r="BQ380" s="320"/>
      <c r="BR380" s="4"/>
      <c r="BS380" s="4"/>
      <c r="BT380" s="11"/>
      <c r="BU380" s="11"/>
      <c r="BV380" s="11"/>
      <c r="BW380" s="11"/>
      <c r="BX380" s="11"/>
      <c r="BY380" s="348"/>
      <c r="BZ380" s="348"/>
      <c r="CA380" s="348"/>
      <c r="CB380" s="348"/>
      <c r="CC380" s="348"/>
      <c r="CD380" s="11"/>
      <c r="CE380" s="11"/>
      <c r="CF380" s="11"/>
      <c r="CG380" s="11"/>
      <c r="CH380" s="11"/>
      <c r="CI380" s="11"/>
      <c r="CJ380" s="11"/>
      <c r="CK380" s="11"/>
      <c r="CL380" s="11"/>
      <c r="CM380" s="11"/>
      <c r="CN380" s="274"/>
      <c r="CO380" s="274"/>
      <c r="CP380" s="274"/>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8"/>
      <c r="DN380" s="118"/>
      <c r="DO380" s="118"/>
      <c r="DP380" s="52"/>
      <c r="DQ380" s="52"/>
      <c r="DR380" s="77"/>
      <c r="DS380" s="77"/>
      <c r="DT380" s="77"/>
      <c r="DU380" s="11"/>
      <c r="DV380" s="11"/>
      <c r="DW380" s="11"/>
      <c r="DX380" s="11"/>
      <c r="DY380" s="11"/>
      <c r="DZ380" s="11"/>
      <c r="EA380" s="11"/>
      <c r="EB380" s="11"/>
      <c r="EC380" s="11"/>
      <c r="ED380" s="11"/>
      <c r="EE380" s="11"/>
      <c r="EF380" s="11"/>
    </row>
    <row r="381" spans="1:136" ht="38.25" x14ac:dyDescent="0.25">
      <c r="A381" s="425">
        <v>379</v>
      </c>
      <c r="B381" s="427" t="s">
        <v>1956</v>
      </c>
      <c r="C381" s="413" t="s">
        <v>1957</v>
      </c>
      <c r="D381" s="413" t="s">
        <v>1950</v>
      </c>
      <c r="E381" s="79">
        <v>1</v>
      </c>
      <c r="F381" s="404">
        <v>12221290.200000001</v>
      </c>
      <c r="G381" s="274"/>
      <c r="H381" s="274"/>
      <c r="I381" s="274"/>
      <c r="J381" s="274"/>
      <c r="K381" s="11"/>
      <c r="L381" s="274"/>
      <c r="M381" s="274"/>
      <c r="N381" s="274"/>
      <c r="O381" s="48"/>
      <c r="P381" s="11"/>
      <c r="Q381" s="274">
        <v>11571000</v>
      </c>
      <c r="R381" s="274">
        <v>0</v>
      </c>
      <c r="S381" s="274">
        <f>+Q381+R381</f>
        <v>11571000</v>
      </c>
      <c r="T381" s="11" t="s">
        <v>198</v>
      </c>
      <c r="U381" s="48" t="s">
        <v>1951</v>
      </c>
      <c r="V381" s="48"/>
      <c r="W381" s="48"/>
      <c r="X381" s="48"/>
      <c r="Y381" s="48"/>
      <c r="Z381" s="48"/>
      <c r="AA381" s="52"/>
      <c r="AB381" s="52"/>
      <c r="AC381" s="118"/>
      <c r="AD381" s="5"/>
      <c r="AE381" s="52"/>
      <c r="AF381" s="113"/>
      <c r="AG381" s="113"/>
      <c r="AH381" s="113"/>
      <c r="AI381" s="52"/>
      <c r="AJ381" s="11"/>
      <c r="AK381" s="269"/>
      <c r="AL381" s="269"/>
      <c r="AM381" s="116"/>
      <c r="AN381" s="301"/>
      <c r="AO381" s="302"/>
      <c r="AP381" s="11"/>
      <c r="AQ381" s="11"/>
      <c r="AR381" s="11"/>
      <c r="AS381" s="11"/>
      <c r="AT381" s="11"/>
      <c r="AU381" s="118"/>
      <c r="AV381" s="118"/>
      <c r="AW381" s="118"/>
      <c r="AX381" s="52"/>
      <c r="AY381" s="52"/>
      <c r="AZ381" s="11"/>
      <c r="BA381" s="11"/>
      <c r="BB381" s="11"/>
      <c r="BC381" s="11"/>
      <c r="BD381" s="11"/>
      <c r="BE381" s="274">
        <v>15657000</v>
      </c>
      <c r="BF381" s="274">
        <v>2974830</v>
      </c>
      <c r="BG381" s="274">
        <v>18631830</v>
      </c>
      <c r="BH381" s="11" t="s">
        <v>198</v>
      </c>
      <c r="BI381" s="11" t="s">
        <v>1958</v>
      </c>
      <c r="BJ381" s="311"/>
      <c r="BK381" s="311"/>
      <c r="BL381" s="311"/>
      <c r="BM381" s="52"/>
      <c r="BN381" s="52"/>
      <c r="BO381" s="387"/>
      <c r="BP381" s="320"/>
      <c r="BQ381" s="320"/>
      <c r="BR381" s="4"/>
      <c r="BS381" s="4"/>
      <c r="BT381" s="11"/>
      <c r="BU381" s="11"/>
      <c r="BV381" s="11"/>
      <c r="BW381" s="11"/>
      <c r="BX381" s="11"/>
      <c r="BY381" s="348"/>
      <c r="BZ381" s="348"/>
      <c r="CA381" s="348"/>
      <c r="CB381" s="348"/>
      <c r="CC381" s="348"/>
      <c r="CD381" s="11"/>
      <c r="CE381" s="11"/>
      <c r="CF381" s="11"/>
      <c r="CG381" s="11"/>
      <c r="CH381" s="11"/>
      <c r="CI381" s="11"/>
      <c r="CJ381" s="11"/>
      <c r="CK381" s="11"/>
      <c r="CL381" s="11"/>
      <c r="CM381" s="11"/>
      <c r="CN381" s="274"/>
      <c r="CO381" s="274"/>
      <c r="CP381" s="274"/>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8"/>
      <c r="DN381" s="118"/>
      <c r="DO381" s="118"/>
      <c r="DP381" s="52"/>
      <c r="DQ381" s="52"/>
      <c r="DR381" s="77"/>
      <c r="DS381" s="77"/>
      <c r="DT381" s="77"/>
      <c r="DU381" s="11"/>
      <c r="DV381" s="11"/>
      <c r="DW381" s="11"/>
      <c r="DX381" s="11"/>
      <c r="DY381" s="11"/>
      <c r="DZ381" s="11"/>
      <c r="EA381" s="11"/>
      <c r="EB381" s="11"/>
      <c r="EC381" s="11"/>
      <c r="ED381" s="11"/>
      <c r="EE381" s="11"/>
      <c r="EF381" s="11"/>
    </row>
    <row r="382" spans="1:136" ht="38.25" x14ac:dyDescent="0.25">
      <c r="A382" s="425">
        <v>380</v>
      </c>
      <c r="B382" s="427" t="s">
        <v>1959</v>
      </c>
      <c r="C382" s="427" t="s">
        <v>1960</v>
      </c>
      <c r="D382" s="427" t="s">
        <v>1950</v>
      </c>
      <c r="E382" s="79">
        <v>1</v>
      </c>
      <c r="F382" s="405"/>
      <c r="G382" s="274"/>
      <c r="H382" s="274"/>
      <c r="I382" s="274"/>
      <c r="J382" s="274"/>
      <c r="K382" s="11"/>
      <c r="L382" s="274"/>
      <c r="M382" s="274"/>
      <c r="N382" s="274"/>
      <c r="O382" s="48"/>
      <c r="P382" s="11"/>
      <c r="Q382" s="274">
        <v>11571000</v>
      </c>
      <c r="R382" s="274">
        <v>0</v>
      </c>
      <c r="S382" s="274">
        <f>+Q382+R382</f>
        <v>11571000</v>
      </c>
      <c r="T382" s="11" t="s">
        <v>198</v>
      </c>
      <c r="U382" s="48" t="s">
        <v>1951</v>
      </c>
      <c r="V382" s="48"/>
      <c r="W382" s="48"/>
      <c r="X382" s="48"/>
      <c r="Y382" s="48"/>
      <c r="Z382" s="48"/>
      <c r="AA382" s="52"/>
      <c r="AB382" s="52"/>
      <c r="AC382" s="118"/>
      <c r="AD382" s="5"/>
      <c r="AE382" s="52"/>
      <c r="AF382" s="113"/>
      <c r="AG382" s="113"/>
      <c r="AH382" s="113"/>
      <c r="AI382" s="52"/>
      <c r="AJ382" s="11"/>
      <c r="AK382" s="269"/>
      <c r="AL382" s="269"/>
      <c r="AM382" s="116"/>
      <c r="AN382" s="301"/>
      <c r="AO382" s="302"/>
      <c r="AP382" s="11"/>
      <c r="AQ382" s="11"/>
      <c r="AR382" s="11"/>
      <c r="AS382" s="11"/>
      <c r="AT382" s="11"/>
      <c r="AU382" s="118"/>
      <c r="AV382" s="118"/>
      <c r="AW382" s="118"/>
      <c r="AX382" s="52"/>
      <c r="AY382" s="52"/>
      <c r="AZ382" s="11"/>
      <c r="BA382" s="11"/>
      <c r="BB382" s="11"/>
      <c r="BC382" s="11"/>
      <c r="BD382" s="11"/>
      <c r="BE382" s="274">
        <v>15657000</v>
      </c>
      <c r="BF382" s="274">
        <v>2974830</v>
      </c>
      <c r="BG382" s="274">
        <v>18631830</v>
      </c>
      <c r="BH382" s="11" t="s">
        <v>198</v>
      </c>
      <c r="BI382" s="11" t="s">
        <v>1961</v>
      </c>
      <c r="BJ382" s="311"/>
      <c r="BK382" s="311"/>
      <c r="BL382" s="311"/>
      <c r="BM382" s="52"/>
      <c r="BN382" s="52"/>
      <c r="BO382" s="387"/>
      <c r="BP382" s="320"/>
      <c r="BQ382" s="320"/>
      <c r="BR382" s="4"/>
      <c r="BS382" s="4"/>
      <c r="BT382" s="11"/>
      <c r="BU382" s="11"/>
      <c r="BV382" s="11"/>
      <c r="BW382" s="11"/>
      <c r="BX382" s="11"/>
      <c r="BY382" s="348"/>
      <c r="BZ382" s="348"/>
      <c r="CA382" s="348"/>
      <c r="CB382" s="348"/>
      <c r="CC382" s="348"/>
      <c r="CD382" s="11"/>
      <c r="CE382" s="11"/>
      <c r="CF382" s="11"/>
      <c r="CG382" s="11"/>
      <c r="CH382" s="11"/>
      <c r="CI382" s="11"/>
      <c r="CJ382" s="11"/>
      <c r="CK382" s="11"/>
      <c r="CL382" s="11"/>
      <c r="CM382" s="11"/>
      <c r="CN382" s="274"/>
      <c r="CO382" s="274"/>
      <c r="CP382" s="274"/>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8"/>
      <c r="DN382" s="118"/>
      <c r="DO382" s="118"/>
      <c r="DP382" s="52"/>
      <c r="DQ382" s="52"/>
      <c r="DR382" s="77"/>
      <c r="DS382" s="77"/>
      <c r="DT382" s="77"/>
      <c r="DU382" s="11"/>
      <c r="DV382" s="11"/>
      <c r="DW382" s="11"/>
      <c r="DX382" s="11"/>
      <c r="DY382" s="11"/>
      <c r="DZ382" s="11"/>
      <c r="EA382" s="11"/>
      <c r="EB382" s="11"/>
      <c r="EC382" s="11"/>
      <c r="ED382" s="11"/>
      <c r="EE382" s="11"/>
      <c r="EF382" s="11"/>
    </row>
    <row r="383" spans="1:136" ht="27" x14ac:dyDescent="0.25">
      <c r="A383" s="425">
        <v>381</v>
      </c>
      <c r="B383" s="427" t="s">
        <v>1962</v>
      </c>
      <c r="C383" s="413" t="s">
        <v>363</v>
      </c>
      <c r="D383" s="413" t="s">
        <v>1963</v>
      </c>
      <c r="E383" s="79">
        <v>1</v>
      </c>
      <c r="F383" s="405"/>
      <c r="G383" s="274"/>
      <c r="H383" s="274"/>
      <c r="I383" s="274"/>
      <c r="J383" s="274"/>
      <c r="K383" s="11"/>
      <c r="L383" s="274"/>
      <c r="M383" s="274"/>
      <c r="N383" s="274"/>
      <c r="O383" s="48"/>
      <c r="P383" s="11"/>
      <c r="Q383" s="274"/>
      <c r="R383" s="274"/>
      <c r="S383" s="274"/>
      <c r="T383" s="11"/>
      <c r="U383" s="11"/>
      <c r="V383" s="11"/>
      <c r="W383" s="11"/>
      <c r="X383" s="11"/>
      <c r="Y383" s="11"/>
      <c r="Z383" s="48"/>
      <c r="AA383" s="52"/>
      <c r="AB383" s="52"/>
      <c r="AC383" s="118"/>
      <c r="AD383" s="5"/>
      <c r="AE383" s="52"/>
      <c r="AF383" s="113"/>
      <c r="AG383" s="113"/>
      <c r="AH383" s="113"/>
      <c r="AI383" s="52"/>
      <c r="AJ383" s="11"/>
      <c r="AK383" s="269">
        <v>793061</v>
      </c>
      <c r="AL383" s="269">
        <v>0</v>
      </c>
      <c r="AM383" s="116">
        <v>793061</v>
      </c>
      <c r="AN383" s="301" t="s">
        <v>88</v>
      </c>
      <c r="AO383" s="302">
        <v>1102740002</v>
      </c>
      <c r="AP383" s="11"/>
      <c r="AQ383" s="11"/>
      <c r="AR383" s="11"/>
      <c r="AS383" s="11"/>
      <c r="AT383" s="11"/>
      <c r="AU383" s="118">
        <v>861578</v>
      </c>
      <c r="AV383" s="118">
        <v>163700</v>
      </c>
      <c r="AW383" s="118">
        <v>1025278</v>
      </c>
      <c r="AX383" s="52" t="s">
        <v>607</v>
      </c>
      <c r="AY383" s="52">
        <v>1102740002</v>
      </c>
      <c r="AZ383" s="11"/>
      <c r="BA383" s="11"/>
      <c r="BB383" s="11"/>
      <c r="BC383" s="11"/>
      <c r="BD383" s="11"/>
      <c r="BE383" s="274"/>
      <c r="BF383" s="274"/>
      <c r="BG383" s="274"/>
      <c r="BH383" s="11"/>
      <c r="BI383" s="11"/>
      <c r="BJ383" s="311"/>
      <c r="BK383" s="311"/>
      <c r="BL383" s="311"/>
      <c r="BM383" s="52"/>
      <c r="BN383" s="52"/>
      <c r="BO383" s="387"/>
      <c r="BP383" s="320"/>
      <c r="BQ383" s="320"/>
      <c r="BR383" s="4"/>
      <c r="BS383" s="4"/>
      <c r="BT383" s="11"/>
      <c r="BU383" s="11"/>
      <c r="BV383" s="11"/>
      <c r="BW383" s="11"/>
      <c r="BX383" s="11"/>
      <c r="BY383" s="232">
        <v>1300000</v>
      </c>
      <c r="BZ383" s="350">
        <f>BY383*0.19</f>
        <v>247000</v>
      </c>
      <c r="CA383" s="350">
        <f>BY383+BZ383</f>
        <v>1547000</v>
      </c>
      <c r="CB383" s="348" t="s">
        <v>772</v>
      </c>
      <c r="CC383" s="348">
        <v>91100</v>
      </c>
      <c r="CD383" s="11"/>
      <c r="CE383" s="11"/>
      <c r="CF383" s="11"/>
      <c r="CG383" s="11"/>
      <c r="CH383" s="11"/>
      <c r="CI383" s="11"/>
      <c r="CJ383" s="11"/>
      <c r="CK383" s="11"/>
      <c r="CL383" s="11"/>
      <c r="CM383" s="11"/>
      <c r="CN383" s="274"/>
      <c r="CO383" s="274"/>
      <c r="CP383" s="274"/>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8"/>
      <c r="DN383" s="118"/>
      <c r="DO383" s="118"/>
      <c r="DP383" s="52"/>
      <c r="DQ383" s="52"/>
      <c r="DR383" s="77"/>
      <c r="DS383" s="77"/>
      <c r="DT383" s="77"/>
      <c r="DU383" s="11"/>
      <c r="DV383" s="11"/>
      <c r="DW383" s="11"/>
      <c r="DX383" s="11"/>
      <c r="DY383" s="11"/>
      <c r="DZ383" s="11"/>
      <c r="EA383" s="11"/>
      <c r="EB383" s="11"/>
      <c r="EC383" s="11"/>
      <c r="ED383" s="11"/>
      <c r="EE383" s="11"/>
      <c r="EF383" s="11"/>
    </row>
    <row r="384" spans="1:136" ht="13.5" x14ac:dyDescent="0.25">
      <c r="A384" s="425">
        <v>382</v>
      </c>
      <c r="B384" s="428" t="s">
        <v>1964</v>
      </c>
      <c r="C384" s="413" t="s">
        <v>753</v>
      </c>
      <c r="D384" s="428" t="s">
        <v>783</v>
      </c>
      <c r="E384" s="79">
        <v>1</v>
      </c>
      <c r="F384" s="405"/>
      <c r="G384" s="274">
        <v>937500</v>
      </c>
      <c r="H384" s="274">
        <v>178125</v>
      </c>
      <c r="I384" s="274">
        <v>1115625</v>
      </c>
      <c r="J384" s="274" t="s">
        <v>377</v>
      </c>
      <c r="K384" s="11" t="s">
        <v>1965</v>
      </c>
      <c r="L384" s="274"/>
      <c r="M384" s="274"/>
      <c r="N384" s="274"/>
      <c r="O384" s="48"/>
      <c r="P384" s="11"/>
      <c r="Q384" s="274"/>
      <c r="R384" s="274"/>
      <c r="S384" s="274"/>
      <c r="T384" s="11"/>
      <c r="U384" s="11"/>
      <c r="V384" s="11"/>
      <c r="W384" s="11"/>
      <c r="X384" s="11"/>
      <c r="Y384" s="11"/>
      <c r="Z384" s="48"/>
      <c r="AA384" s="52"/>
      <c r="AB384" s="52"/>
      <c r="AC384" s="118"/>
      <c r="AD384" s="5"/>
      <c r="AE384" s="52"/>
      <c r="AF384" s="113"/>
      <c r="AG384" s="113"/>
      <c r="AH384" s="113"/>
      <c r="AI384" s="52"/>
      <c r="AJ384" s="11"/>
      <c r="AK384" s="269"/>
      <c r="AL384" s="269"/>
      <c r="AM384" s="116"/>
      <c r="AN384" s="301"/>
      <c r="AO384" s="302"/>
      <c r="AP384" s="11"/>
      <c r="AQ384" s="11"/>
      <c r="AR384" s="11"/>
      <c r="AS384" s="11"/>
      <c r="AT384" s="11"/>
      <c r="AU384" s="118"/>
      <c r="AV384" s="118"/>
      <c r="AW384" s="118"/>
      <c r="AX384" s="52"/>
      <c r="AY384" s="52"/>
      <c r="AZ384" s="11"/>
      <c r="BA384" s="11"/>
      <c r="BB384" s="11"/>
      <c r="BC384" s="11"/>
      <c r="BD384" s="11"/>
      <c r="BE384" s="274"/>
      <c r="BF384" s="274"/>
      <c r="BG384" s="274"/>
      <c r="BH384" s="11"/>
      <c r="BI384" s="11"/>
      <c r="BJ384" s="311"/>
      <c r="BK384" s="311"/>
      <c r="BL384" s="311"/>
      <c r="BM384" s="52"/>
      <c r="BN384" s="52"/>
      <c r="BO384" s="387"/>
      <c r="BP384" s="320"/>
      <c r="BQ384" s="320"/>
      <c r="BR384" s="4"/>
      <c r="BS384" s="4"/>
      <c r="BT384" s="11"/>
      <c r="BU384" s="11"/>
      <c r="BV384" s="11"/>
      <c r="BW384" s="11"/>
      <c r="BX384" s="11"/>
      <c r="BY384" s="348"/>
      <c r="BZ384" s="348"/>
      <c r="CA384" s="348"/>
      <c r="CB384" s="348"/>
      <c r="CC384" s="348"/>
      <c r="CD384" s="11"/>
      <c r="CE384" s="11"/>
      <c r="CF384" s="11"/>
      <c r="CG384" s="11"/>
      <c r="CH384" s="11"/>
      <c r="CI384" s="11"/>
      <c r="CJ384" s="11"/>
      <c r="CK384" s="11"/>
      <c r="CL384" s="11"/>
      <c r="CM384" s="11"/>
      <c r="CN384" s="274"/>
      <c r="CO384" s="274"/>
      <c r="CP384" s="274"/>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8"/>
      <c r="DN384" s="118"/>
      <c r="DO384" s="118"/>
      <c r="DP384" s="52"/>
      <c r="DQ384" s="52"/>
      <c r="DR384" s="77"/>
      <c r="DS384" s="77"/>
      <c r="DT384" s="77"/>
      <c r="DU384" s="11"/>
      <c r="DV384" s="11"/>
      <c r="DW384" s="11"/>
      <c r="DX384" s="11"/>
      <c r="DY384" s="11"/>
      <c r="DZ384" s="11"/>
      <c r="EA384" s="11"/>
      <c r="EB384" s="11"/>
      <c r="EC384" s="11"/>
      <c r="ED384" s="11"/>
      <c r="EE384" s="11"/>
      <c r="EF384" s="11"/>
    </row>
    <row r="385" spans="1:136" ht="13.5" x14ac:dyDescent="0.25">
      <c r="A385" s="425">
        <v>383</v>
      </c>
      <c r="B385" s="428" t="s">
        <v>1966</v>
      </c>
      <c r="C385" s="413" t="s">
        <v>753</v>
      </c>
      <c r="D385" s="428" t="s">
        <v>783</v>
      </c>
      <c r="E385" s="79">
        <v>1</v>
      </c>
      <c r="F385" s="405"/>
      <c r="G385" s="274"/>
      <c r="H385" s="274"/>
      <c r="I385" s="274"/>
      <c r="J385" s="274"/>
      <c r="K385" s="11"/>
      <c r="L385" s="274"/>
      <c r="M385" s="274"/>
      <c r="N385" s="274"/>
      <c r="O385" s="48"/>
      <c r="P385" s="11"/>
      <c r="Q385" s="274"/>
      <c r="R385" s="274"/>
      <c r="S385" s="274"/>
      <c r="T385" s="11"/>
      <c r="U385" s="11"/>
      <c r="V385" s="11"/>
      <c r="W385" s="11"/>
      <c r="X385" s="11"/>
      <c r="Y385" s="11"/>
      <c r="Z385" s="48"/>
      <c r="AA385" s="52"/>
      <c r="AB385" s="52"/>
      <c r="AC385" s="118"/>
      <c r="AD385" s="5"/>
      <c r="AE385" s="52"/>
      <c r="AF385" s="113"/>
      <c r="AG385" s="113"/>
      <c r="AH385" s="113"/>
      <c r="AI385" s="52"/>
      <c r="AJ385" s="11"/>
      <c r="AK385" s="269"/>
      <c r="AL385" s="269"/>
      <c r="AM385" s="116"/>
      <c r="AN385" s="301"/>
      <c r="AO385" s="302"/>
      <c r="AP385" s="11"/>
      <c r="AQ385" s="11"/>
      <c r="AR385" s="11"/>
      <c r="AS385" s="11"/>
      <c r="AT385" s="11"/>
      <c r="AU385" s="118">
        <v>1512670</v>
      </c>
      <c r="AV385" s="118">
        <v>287407</v>
      </c>
      <c r="AW385" s="118">
        <v>1800077</v>
      </c>
      <c r="AX385" s="52" t="s">
        <v>607</v>
      </c>
      <c r="AY385" s="52" t="s">
        <v>1967</v>
      </c>
      <c r="AZ385" s="11"/>
      <c r="BA385" s="11"/>
      <c r="BB385" s="11"/>
      <c r="BC385" s="11"/>
      <c r="BD385" s="11"/>
      <c r="BE385" s="274"/>
      <c r="BF385" s="274"/>
      <c r="BG385" s="274"/>
      <c r="BH385" s="11"/>
      <c r="BI385" s="11"/>
      <c r="BJ385" s="311"/>
      <c r="BK385" s="311"/>
      <c r="BL385" s="311"/>
      <c r="BM385" s="52"/>
      <c r="BN385" s="52"/>
      <c r="BO385" s="387"/>
      <c r="BP385" s="320"/>
      <c r="BQ385" s="320"/>
      <c r="BR385" s="4"/>
      <c r="BS385" s="4"/>
      <c r="BT385" s="11"/>
      <c r="BU385" s="11"/>
      <c r="BV385" s="11"/>
      <c r="BW385" s="11"/>
      <c r="BX385" s="11"/>
      <c r="BY385" s="348"/>
      <c r="BZ385" s="348"/>
      <c r="CA385" s="348"/>
      <c r="CB385" s="348"/>
      <c r="CC385" s="348"/>
      <c r="CD385" s="11"/>
      <c r="CE385" s="11"/>
      <c r="CF385" s="11"/>
      <c r="CG385" s="11"/>
      <c r="CH385" s="11"/>
      <c r="CI385" s="11"/>
      <c r="CJ385" s="11"/>
      <c r="CK385" s="11"/>
      <c r="CL385" s="11"/>
      <c r="CM385" s="11"/>
      <c r="CN385" s="274"/>
      <c r="CO385" s="274"/>
      <c r="CP385" s="274"/>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8"/>
      <c r="DN385" s="118"/>
      <c r="DO385" s="118"/>
      <c r="DP385" s="52"/>
      <c r="DQ385" s="52"/>
      <c r="DR385" s="77"/>
      <c r="DS385" s="77"/>
      <c r="DT385" s="77"/>
      <c r="DU385" s="11"/>
      <c r="DV385" s="11"/>
      <c r="DW385" s="11"/>
      <c r="DX385" s="11"/>
      <c r="DY385" s="11"/>
      <c r="DZ385" s="11"/>
      <c r="EA385" s="11"/>
      <c r="EB385" s="11"/>
      <c r="EC385" s="11"/>
      <c r="ED385" s="11"/>
      <c r="EE385" s="11"/>
      <c r="EF385" s="11"/>
    </row>
    <row r="386" spans="1:136" ht="40.5" x14ac:dyDescent="0.25">
      <c r="A386" s="425">
        <v>384</v>
      </c>
      <c r="B386" s="426" t="s">
        <v>1968</v>
      </c>
      <c r="C386" s="427" t="s">
        <v>138</v>
      </c>
      <c r="D386" s="427" t="s">
        <v>609</v>
      </c>
      <c r="E386" s="79">
        <v>1</v>
      </c>
      <c r="F386" s="405"/>
      <c r="G386" s="274"/>
      <c r="H386" s="274"/>
      <c r="I386" s="274"/>
      <c r="J386" s="274"/>
      <c r="K386" s="11"/>
      <c r="L386" s="274"/>
      <c r="M386" s="274"/>
      <c r="N386" s="274"/>
      <c r="O386" s="48"/>
      <c r="P386" s="11"/>
      <c r="Q386" s="274"/>
      <c r="R386" s="274"/>
      <c r="S386" s="274"/>
      <c r="T386" s="11"/>
      <c r="U386" s="11"/>
      <c r="V386" s="11"/>
      <c r="W386" s="11"/>
      <c r="X386" s="11"/>
      <c r="Y386" s="11"/>
      <c r="Z386" s="48"/>
      <c r="AA386" s="52"/>
      <c r="AB386" s="52"/>
      <c r="AC386" s="118"/>
      <c r="AD386" s="5"/>
      <c r="AE386" s="52"/>
      <c r="AF386" s="113"/>
      <c r="AG386" s="113"/>
      <c r="AH386" s="113"/>
      <c r="AI386" s="52"/>
      <c r="AJ386" s="11"/>
      <c r="AK386" s="269"/>
      <c r="AL386" s="269"/>
      <c r="AM386" s="116"/>
      <c r="AN386" s="301"/>
      <c r="AO386" s="302"/>
      <c r="AP386" s="11"/>
      <c r="AQ386" s="11"/>
      <c r="AR386" s="11"/>
      <c r="AS386" s="11"/>
      <c r="AT386" s="11"/>
      <c r="AU386" s="118"/>
      <c r="AV386" s="118"/>
      <c r="AW386" s="118"/>
      <c r="AX386" s="52"/>
      <c r="AY386" s="52"/>
      <c r="AZ386" s="11"/>
      <c r="BA386" s="11"/>
      <c r="BB386" s="11"/>
      <c r="BC386" s="11"/>
      <c r="BD386" s="11"/>
      <c r="BE386" s="274"/>
      <c r="BF386" s="274"/>
      <c r="BG386" s="274"/>
      <c r="BH386" s="11"/>
      <c r="BI386" s="11"/>
      <c r="BJ386" s="311">
        <v>4533846.1500000004</v>
      </c>
      <c r="BK386" s="311">
        <v>861430.76850000012</v>
      </c>
      <c r="BL386" s="311">
        <v>5395276.9185000006</v>
      </c>
      <c r="BM386" s="52" t="s">
        <v>138</v>
      </c>
      <c r="BN386" s="52">
        <v>11731015</v>
      </c>
      <c r="BO386" s="387">
        <v>3864050</v>
      </c>
      <c r="BP386" s="320">
        <f>BO386*0.19</f>
        <v>734169.5</v>
      </c>
      <c r="BQ386" s="320">
        <f>BO386+BP386</f>
        <v>4598219.5</v>
      </c>
      <c r="BR386" s="4" t="s">
        <v>1969</v>
      </c>
      <c r="BS386" s="4" t="s">
        <v>866</v>
      </c>
      <c r="BT386" s="11"/>
      <c r="BU386" s="11"/>
      <c r="BV386" s="11"/>
      <c r="BW386" s="11"/>
      <c r="BX386" s="11"/>
      <c r="BY386" s="348"/>
      <c r="BZ386" s="348"/>
      <c r="CA386" s="348"/>
      <c r="CB386" s="348"/>
      <c r="CC386" s="348"/>
      <c r="CD386" s="11"/>
      <c r="CE386" s="11"/>
      <c r="CF386" s="11"/>
      <c r="CG386" s="11"/>
      <c r="CH386" s="11"/>
      <c r="CI386" s="11"/>
      <c r="CJ386" s="11"/>
      <c r="CK386" s="11"/>
      <c r="CL386" s="11"/>
      <c r="CM386" s="11"/>
      <c r="CN386" s="274"/>
      <c r="CO386" s="274"/>
      <c r="CP386" s="274"/>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8"/>
      <c r="DN386" s="118"/>
      <c r="DO386" s="118"/>
      <c r="DP386" s="52"/>
      <c r="DQ386" s="52"/>
      <c r="DR386" s="77"/>
      <c r="DS386" s="77"/>
      <c r="DT386" s="77"/>
      <c r="DU386" s="11"/>
      <c r="DV386" s="11"/>
      <c r="DW386" s="11"/>
      <c r="DX386" s="11"/>
      <c r="DY386" s="11"/>
      <c r="DZ386" s="11"/>
      <c r="EA386" s="11"/>
      <c r="EB386" s="11"/>
      <c r="EC386" s="11"/>
      <c r="ED386" s="11"/>
      <c r="EE386" s="11"/>
      <c r="EF386" s="11"/>
    </row>
    <row r="387" spans="1:136" ht="54" x14ac:dyDescent="0.25">
      <c r="A387" s="425">
        <v>385</v>
      </c>
      <c r="B387" s="427" t="s">
        <v>1970</v>
      </c>
      <c r="C387" s="428" t="s">
        <v>1971</v>
      </c>
      <c r="D387" s="413" t="s">
        <v>1972</v>
      </c>
      <c r="E387" s="79">
        <v>1</v>
      </c>
      <c r="F387" s="404">
        <v>881071.478</v>
      </c>
      <c r="G387" s="274"/>
      <c r="H387" s="274"/>
      <c r="I387" s="274"/>
      <c r="J387" s="274"/>
      <c r="K387" s="11"/>
      <c r="L387" s="274"/>
      <c r="M387" s="274"/>
      <c r="N387" s="274"/>
      <c r="O387" s="48"/>
      <c r="P387" s="11"/>
      <c r="Q387" s="274"/>
      <c r="R387" s="274"/>
      <c r="S387" s="274"/>
      <c r="T387" s="11"/>
      <c r="U387" s="11"/>
      <c r="V387" s="11"/>
      <c r="W387" s="11"/>
      <c r="X387" s="11"/>
      <c r="Y387" s="11"/>
      <c r="Z387" s="48"/>
      <c r="AA387" s="52"/>
      <c r="AB387" s="52"/>
      <c r="AC387" s="118"/>
      <c r="AD387" s="5"/>
      <c r="AE387" s="52"/>
      <c r="AF387" s="113">
        <v>680000</v>
      </c>
      <c r="AG387" s="113">
        <f>AF387*0.19</f>
        <v>129200</v>
      </c>
      <c r="AH387" s="113">
        <f>AF387+AG387</f>
        <v>809200</v>
      </c>
      <c r="AI387" s="277" t="s">
        <v>628</v>
      </c>
      <c r="AJ387" s="33" t="s">
        <v>1973</v>
      </c>
      <c r="AK387" s="269">
        <v>334590</v>
      </c>
      <c r="AL387" s="269">
        <v>63572.1</v>
      </c>
      <c r="AM387" s="116">
        <v>398162.1</v>
      </c>
      <c r="AN387" s="301" t="s">
        <v>88</v>
      </c>
      <c r="AO387" s="302">
        <v>1047272500</v>
      </c>
      <c r="AP387" s="11"/>
      <c r="AQ387" s="11"/>
      <c r="AR387" s="11"/>
      <c r="AS387" s="11"/>
      <c r="AT387" s="11"/>
      <c r="AU387" s="118">
        <v>620473</v>
      </c>
      <c r="AV387" s="118">
        <v>117890</v>
      </c>
      <c r="AW387" s="118">
        <v>738363</v>
      </c>
      <c r="AX387" s="52" t="s">
        <v>607</v>
      </c>
      <c r="AY387" s="52">
        <v>1047172500</v>
      </c>
      <c r="AZ387" s="11"/>
      <c r="BA387" s="11"/>
      <c r="BB387" s="11"/>
      <c r="BC387" s="11"/>
      <c r="BD387" s="11"/>
      <c r="BE387" s="274">
        <v>1029000</v>
      </c>
      <c r="BF387" s="274">
        <v>195510</v>
      </c>
      <c r="BG387" s="274">
        <v>1224510</v>
      </c>
      <c r="BH387" s="11" t="s">
        <v>63</v>
      </c>
      <c r="BI387" s="11" t="s">
        <v>1974</v>
      </c>
      <c r="BJ387" s="311"/>
      <c r="BK387" s="311"/>
      <c r="BL387" s="311"/>
      <c r="BM387" s="52"/>
      <c r="BN387" s="52"/>
      <c r="BO387" s="387"/>
      <c r="BP387" s="320"/>
      <c r="BQ387" s="320"/>
      <c r="BR387" s="4"/>
      <c r="BS387" s="4"/>
      <c r="BT387" s="11"/>
      <c r="BU387" s="11"/>
      <c r="BV387" s="11"/>
      <c r="BW387" s="11"/>
      <c r="BX387" s="11"/>
      <c r="BY387" s="348"/>
      <c r="BZ387" s="348"/>
      <c r="CA387" s="348"/>
      <c r="CB387" s="348"/>
      <c r="CC387" s="348"/>
      <c r="CD387" s="11"/>
      <c r="CE387" s="11"/>
      <c r="CF387" s="11"/>
      <c r="CG387" s="11"/>
      <c r="CH387" s="11"/>
      <c r="CI387" s="11"/>
      <c r="CJ387" s="11"/>
      <c r="CK387" s="11"/>
      <c r="CL387" s="11"/>
      <c r="CM387" s="11"/>
      <c r="CN387" s="274"/>
      <c r="CO387" s="274"/>
      <c r="CP387" s="274"/>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8"/>
      <c r="DN387" s="118"/>
      <c r="DO387" s="118"/>
      <c r="DP387" s="52"/>
      <c r="DQ387" s="52"/>
      <c r="DR387" s="77"/>
      <c r="DS387" s="77"/>
      <c r="DT387" s="77"/>
      <c r="DU387" s="11"/>
      <c r="DV387" s="11"/>
      <c r="DW387" s="11"/>
      <c r="DX387" s="11"/>
      <c r="DY387" s="11"/>
      <c r="DZ387" s="11"/>
      <c r="EA387" s="11"/>
      <c r="EB387" s="11"/>
      <c r="EC387" s="11"/>
      <c r="ED387" s="11"/>
      <c r="EE387" s="11"/>
      <c r="EF387" s="11"/>
    </row>
    <row r="388" spans="1:136" ht="27" x14ac:dyDescent="0.25">
      <c r="A388" s="425">
        <v>386</v>
      </c>
      <c r="B388" s="427" t="s">
        <v>1975</v>
      </c>
      <c r="C388" s="413" t="s">
        <v>622</v>
      </c>
      <c r="D388" s="413" t="s">
        <v>1976</v>
      </c>
      <c r="E388" s="79">
        <v>1</v>
      </c>
      <c r="F388" s="404">
        <v>481384.27400000003</v>
      </c>
      <c r="G388" s="274">
        <v>400000</v>
      </c>
      <c r="H388" s="274">
        <v>76000</v>
      </c>
      <c r="I388" s="274">
        <v>476000</v>
      </c>
      <c r="J388" s="274" t="s">
        <v>45</v>
      </c>
      <c r="K388" s="11" t="s">
        <v>1977</v>
      </c>
      <c r="L388" s="274"/>
      <c r="M388" s="274"/>
      <c r="N388" s="274"/>
      <c r="O388" s="48"/>
      <c r="P388" s="11"/>
      <c r="Q388" s="274"/>
      <c r="R388" s="274"/>
      <c r="S388" s="274"/>
      <c r="T388" s="11"/>
      <c r="U388" s="11"/>
      <c r="V388" s="11"/>
      <c r="W388" s="11"/>
      <c r="X388" s="11"/>
      <c r="Y388" s="11"/>
      <c r="Z388" s="48"/>
      <c r="AA388" s="52"/>
      <c r="AB388" s="52"/>
      <c r="AC388" s="118"/>
      <c r="AD388" s="5"/>
      <c r="AE388" s="52"/>
      <c r="AF388" s="113"/>
      <c r="AG388" s="113"/>
      <c r="AH388" s="113"/>
      <c r="AI388" s="52"/>
      <c r="AJ388" s="11"/>
      <c r="AK388" s="269">
        <v>559000</v>
      </c>
      <c r="AL388" s="269">
        <v>0</v>
      </c>
      <c r="AM388" s="116">
        <v>559000</v>
      </c>
      <c r="AN388" s="301" t="s">
        <v>37</v>
      </c>
      <c r="AO388" s="302" t="s">
        <v>1978</v>
      </c>
      <c r="AP388" s="11"/>
      <c r="AQ388" s="11"/>
      <c r="AR388" s="11"/>
      <c r="AS388" s="11"/>
      <c r="AT388" s="11"/>
      <c r="AU388" s="118">
        <v>246494</v>
      </c>
      <c r="AV388" s="118">
        <v>46834</v>
      </c>
      <c r="AW388" s="118">
        <v>293327</v>
      </c>
      <c r="AX388" s="52" t="s">
        <v>607</v>
      </c>
      <c r="AY388" s="52" t="s">
        <v>1979</v>
      </c>
      <c r="AZ388" s="11"/>
      <c r="BA388" s="11"/>
      <c r="BB388" s="11"/>
      <c r="BC388" s="11"/>
      <c r="BD388" s="11"/>
      <c r="BE388" s="274"/>
      <c r="BF388" s="274"/>
      <c r="BG388" s="274"/>
      <c r="BH388" s="11"/>
      <c r="BI388" s="11"/>
      <c r="BJ388" s="311"/>
      <c r="BK388" s="311"/>
      <c r="BL388" s="311"/>
      <c r="BM388" s="52"/>
      <c r="BN388" s="52"/>
      <c r="BO388" s="387"/>
      <c r="BP388" s="320"/>
      <c r="BQ388" s="320"/>
      <c r="BR388" s="4"/>
      <c r="BS388" s="4"/>
      <c r="BT388" s="11"/>
      <c r="BU388" s="11"/>
      <c r="BV388" s="11"/>
      <c r="BW388" s="11"/>
      <c r="BX388" s="11"/>
      <c r="BY388" s="348"/>
      <c r="BZ388" s="348"/>
      <c r="CA388" s="348"/>
      <c r="CB388" s="348"/>
      <c r="CC388" s="348"/>
      <c r="CD388" s="11"/>
      <c r="CE388" s="11"/>
      <c r="CF388" s="11"/>
      <c r="CG388" s="11"/>
      <c r="CH388" s="11"/>
      <c r="CI388" s="11"/>
      <c r="CJ388" s="11"/>
      <c r="CK388" s="11"/>
      <c r="CL388" s="11"/>
      <c r="CM388" s="11"/>
      <c r="CN388" s="274"/>
      <c r="CO388" s="274"/>
      <c r="CP388" s="274"/>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8"/>
      <c r="DN388" s="118"/>
      <c r="DO388" s="118"/>
      <c r="DP388" s="52"/>
      <c r="DQ388" s="52"/>
      <c r="DR388" s="77"/>
      <c r="DS388" s="77"/>
      <c r="DT388" s="77"/>
      <c r="DU388" s="11"/>
      <c r="DV388" s="11"/>
      <c r="DW388" s="11"/>
      <c r="DX388" s="11"/>
      <c r="DY388" s="11"/>
      <c r="DZ388" s="11"/>
      <c r="EA388" s="11"/>
      <c r="EB388" s="11"/>
      <c r="EC388" s="11"/>
      <c r="ED388" s="11"/>
      <c r="EE388" s="11"/>
      <c r="EF388" s="11"/>
    </row>
    <row r="389" spans="1:136" ht="40.5" x14ac:dyDescent="0.25">
      <c r="A389" s="425">
        <v>387</v>
      </c>
      <c r="B389" s="427" t="s">
        <v>1980</v>
      </c>
      <c r="C389" s="428" t="s">
        <v>1971</v>
      </c>
      <c r="D389" s="427" t="s">
        <v>1981</v>
      </c>
      <c r="E389" s="79">
        <v>1</v>
      </c>
      <c r="F389" s="405"/>
      <c r="G389" s="274"/>
      <c r="H389" s="274"/>
      <c r="I389" s="274"/>
      <c r="J389" s="274"/>
      <c r="K389" s="11"/>
      <c r="L389" s="274"/>
      <c r="M389" s="274"/>
      <c r="N389" s="274"/>
      <c r="O389" s="48"/>
      <c r="P389" s="11"/>
      <c r="Q389" s="274"/>
      <c r="R389" s="274"/>
      <c r="S389" s="274"/>
      <c r="T389" s="11"/>
      <c r="U389" s="11"/>
      <c r="V389" s="11"/>
      <c r="W389" s="11"/>
      <c r="X389" s="11"/>
      <c r="Y389" s="11"/>
      <c r="Z389" s="48"/>
      <c r="AA389" s="52"/>
      <c r="AB389" s="52"/>
      <c r="AC389" s="118"/>
      <c r="AD389" s="5"/>
      <c r="AE389" s="52"/>
      <c r="AF389" s="113">
        <v>232000</v>
      </c>
      <c r="AG389" s="113">
        <f>AF389*0.19</f>
        <v>44080</v>
      </c>
      <c r="AH389" s="113">
        <f>AF389+AG389</f>
        <v>276080</v>
      </c>
      <c r="AI389" s="277" t="s">
        <v>628</v>
      </c>
      <c r="AJ389" s="33" t="s">
        <v>1982</v>
      </c>
      <c r="AK389" s="269">
        <v>533520</v>
      </c>
      <c r="AL389" s="269">
        <v>101368.8</v>
      </c>
      <c r="AM389" s="116">
        <v>634888.80000000005</v>
      </c>
      <c r="AN389" s="301" t="s">
        <v>88</v>
      </c>
      <c r="AO389" s="302">
        <v>1027811000</v>
      </c>
      <c r="AP389" s="11"/>
      <c r="AQ389" s="11"/>
      <c r="AR389" s="11"/>
      <c r="AS389" s="11"/>
      <c r="AT389" s="11"/>
      <c r="AU389" s="118">
        <v>518024</v>
      </c>
      <c r="AV389" s="118">
        <v>98425</v>
      </c>
      <c r="AW389" s="118">
        <v>616449</v>
      </c>
      <c r="AX389" s="52" t="s">
        <v>607</v>
      </c>
      <c r="AY389" s="52">
        <v>1027814000</v>
      </c>
      <c r="AZ389" s="11"/>
      <c r="BA389" s="11"/>
      <c r="BB389" s="11"/>
      <c r="BC389" s="11"/>
      <c r="BD389" s="11"/>
      <c r="BE389" s="274"/>
      <c r="BF389" s="274"/>
      <c r="BG389" s="274"/>
      <c r="BH389" s="11"/>
      <c r="BI389" s="11"/>
      <c r="BJ389" s="311"/>
      <c r="BK389" s="311"/>
      <c r="BL389" s="311"/>
      <c r="BM389" s="52"/>
      <c r="BN389" s="52"/>
      <c r="BO389" s="387"/>
      <c r="BP389" s="320"/>
      <c r="BQ389" s="320"/>
      <c r="BR389" s="4"/>
      <c r="BS389" s="4"/>
      <c r="BT389" s="11"/>
      <c r="BU389" s="11"/>
      <c r="BV389" s="11"/>
      <c r="BW389" s="11"/>
      <c r="BX389" s="11"/>
      <c r="BY389" s="348"/>
      <c r="BZ389" s="348"/>
      <c r="CA389" s="348"/>
      <c r="CB389" s="348"/>
      <c r="CC389" s="348"/>
      <c r="CD389" s="11"/>
      <c r="CE389" s="11"/>
      <c r="CF389" s="11"/>
      <c r="CG389" s="11"/>
      <c r="CH389" s="11"/>
      <c r="CI389" s="11"/>
      <c r="CJ389" s="11"/>
      <c r="CK389" s="11"/>
      <c r="CL389" s="11"/>
      <c r="CM389" s="11"/>
      <c r="CN389" s="274"/>
      <c r="CO389" s="274"/>
      <c r="CP389" s="274"/>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8"/>
      <c r="DN389" s="118"/>
      <c r="DO389" s="118"/>
      <c r="DP389" s="52"/>
      <c r="DQ389" s="52"/>
      <c r="DR389" s="77"/>
      <c r="DS389" s="77"/>
      <c r="DT389" s="77"/>
      <c r="DU389" s="11"/>
      <c r="DV389" s="11"/>
      <c r="DW389" s="11"/>
      <c r="DX389" s="11"/>
      <c r="DY389" s="11"/>
      <c r="DZ389" s="11"/>
      <c r="EA389" s="11"/>
      <c r="EB389" s="11"/>
      <c r="EC389" s="11"/>
      <c r="ED389" s="11"/>
      <c r="EE389" s="11"/>
      <c r="EF389" s="11"/>
    </row>
    <row r="390" spans="1:136" ht="13.5" x14ac:dyDescent="0.25">
      <c r="A390" s="425">
        <v>388</v>
      </c>
      <c r="B390" s="427" t="s">
        <v>1983</v>
      </c>
      <c r="C390" s="428" t="s">
        <v>1971</v>
      </c>
      <c r="D390" s="413" t="s">
        <v>1984</v>
      </c>
      <c r="E390" s="79">
        <v>1</v>
      </c>
      <c r="F390" s="404">
        <v>565595.1</v>
      </c>
      <c r="G390" s="274">
        <v>620000</v>
      </c>
      <c r="H390" s="274">
        <v>117800</v>
      </c>
      <c r="I390" s="274">
        <v>737800</v>
      </c>
      <c r="J390" s="274" t="s">
        <v>45</v>
      </c>
      <c r="K390" s="11" t="s">
        <v>1985</v>
      </c>
      <c r="L390" s="274"/>
      <c r="M390" s="274"/>
      <c r="N390" s="274"/>
      <c r="O390" s="48"/>
      <c r="P390" s="11"/>
      <c r="Q390" s="274"/>
      <c r="R390" s="274"/>
      <c r="S390" s="274"/>
      <c r="T390" s="11"/>
      <c r="U390" s="11"/>
      <c r="V390" s="11"/>
      <c r="W390" s="11"/>
      <c r="X390" s="11"/>
      <c r="Y390" s="11"/>
      <c r="Z390" s="48"/>
      <c r="AA390" s="52"/>
      <c r="AB390" s="52"/>
      <c r="AC390" s="118"/>
      <c r="AD390" s="5"/>
      <c r="AE390" s="52"/>
      <c r="AF390" s="113">
        <v>1077000</v>
      </c>
      <c r="AG390" s="113">
        <f>AF390*0.19</f>
        <v>204630</v>
      </c>
      <c r="AH390" s="113">
        <f>AF390+AG390</f>
        <v>1281630</v>
      </c>
      <c r="AI390" s="277" t="s">
        <v>628</v>
      </c>
      <c r="AJ390" s="33" t="s">
        <v>1986</v>
      </c>
      <c r="AK390" s="269">
        <v>398430</v>
      </c>
      <c r="AL390" s="269">
        <v>75701.7</v>
      </c>
      <c r="AM390" s="116">
        <v>474131.7</v>
      </c>
      <c r="AN390" s="301" t="s">
        <v>88</v>
      </c>
      <c r="AO390" s="302">
        <v>1010404000</v>
      </c>
      <c r="AP390" s="11"/>
      <c r="AQ390" s="11"/>
      <c r="AR390" s="11"/>
      <c r="AS390" s="11"/>
      <c r="AT390" s="11"/>
      <c r="AU390" s="118">
        <v>444531</v>
      </c>
      <c r="AV390" s="118">
        <v>84461</v>
      </c>
      <c r="AW390" s="118">
        <v>528992</v>
      </c>
      <c r="AX390" s="52" t="s">
        <v>607</v>
      </c>
      <c r="AY390" s="52" t="s">
        <v>1987</v>
      </c>
      <c r="AZ390" s="11"/>
      <c r="BA390" s="11"/>
      <c r="BB390" s="11"/>
      <c r="BC390" s="11"/>
      <c r="BD390" s="11"/>
      <c r="BE390" s="274">
        <v>351000</v>
      </c>
      <c r="BF390" s="274">
        <v>66690</v>
      </c>
      <c r="BG390" s="274">
        <v>417690</v>
      </c>
      <c r="BH390" s="11" t="s">
        <v>63</v>
      </c>
      <c r="BI390" s="11" t="s">
        <v>1988</v>
      </c>
      <c r="BJ390" s="311"/>
      <c r="BK390" s="311"/>
      <c r="BL390" s="311"/>
      <c r="BM390" s="52"/>
      <c r="BN390" s="52"/>
      <c r="BO390" s="387"/>
      <c r="BP390" s="320"/>
      <c r="BQ390" s="320"/>
      <c r="BR390" s="4"/>
      <c r="BS390" s="4"/>
      <c r="BT390" s="11"/>
      <c r="BU390" s="11"/>
      <c r="BV390" s="11"/>
      <c r="BW390" s="11"/>
      <c r="BX390" s="11"/>
      <c r="BY390" s="348"/>
      <c r="BZ390" s="348"/>
      <c r="CA390" s="348"/>
      <c r="CB390" s="348"/>
      <c r="CC390" s="348"/>
      <c r="CD390" s="11"/>
      <c r="CE390" s="11"/>
      <c r="CF390" s="11"/>
      <c r="CG390" s="11"/>
      <c r="CH390" s="11"/>
      <c r="CI390" s="11"/>
      <c r="CJ390" s="11"/>
      <c r="CK390" s="11"/>
      <c r="CL390" s="11"/>
      <c r="CM390" s="11"/>
      <c r="CN390" s="274"/>
      <c r="CO390" s="274"/>
      <c r="CP390" s="274"/>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8"/>
      <c r="DN390" s="118"/>
      <c r="DO390" s="118"/>
      <c r="DP390" s="52"/>
      <c r="DQ390" s="52"/>
      <c r="DR390" s="77"/>
      <c r="DS390" s="77"/>
      <c r="DT390" s="77"/>
      <c r="DU390" s="11"/>
      <c r="DV390" s="11"/>
      <c r="DW390" s="11"/>
      <c r="DX390" s="11"/>
      <c r="DY390" s="11"/>
      <c r="DZ390" s="11"/>
      <c r="EA390" s="11"/>
      <c r="EB390" s="11"/>
      <c r="EC390" s="11"/>
      <c r="ED390" s="11"/>
      <c r="EE390" s="11"/>
      <c r="EF390" s="11"/>
    </row>
    <row r="391" spans="1:136" ht="27" x14ac:dyDescent="0.25">
      <c r="A391" s="425">
        <v>389</v>
      </c>
      <c r="B391" s="427" t="s">
        <v>1989</v>
      </c>
      <c r="C391" s="413" t="s">
        <v>622</v>
      </c>
      <c r="D391" s="413" t="s">
        <v>1990</v>
      </c>
      <c r="E391" s="79">
        <v>1</v>
      </c>
      <c r="F391" s="404">
        <v>95522.728000000003</v>
      </c>
      <c r="G391" s="274"/>
      <c r="H391" s="274"/>
      <c r="I391" s="274"/>
      <c r="J391" s="274"/>
      <c r="K391" s="11"/>
      <c r="L391" s="274"/>
      <c r="M391" s="274"/>
      <c r="N391" s="274"/>
      <c r="O391" s="48"/>
      <c r="P391" s="11"/>
      <c r="Q391" s="274"/>
      <c r="R391" s="274"/>
      <c r="S391" s="274"/>
      <c r="T391" s="11"/>
      <c r="U391" s="11"/>
      <c r="V391" s="11"/>
      <c r="W391" s="11"/>
      <c r="X391" s="11"/>
      <c r="Y391" s="11"/>
      <c r="Z391" s="48"/>
      <c r="AA391" s="52"/>
      <c r="AB391" s="52"/>
      <c r="AC391" s="118"/>
      <c r="AD391" s="5"/>
      <c r="AE391" s="52"/>
      <c r="AF391" s="113"/>
      <c r="AG391" s="113"/>
      <c r="AH391" s="113"/>
      <c r="AI391" s="52"/>
      <c r="AJ391" s="11"/>
      <c r="AK391" s="269">
        <v>114640</v>
      </c>
      <c r="AL391" s="269">
        <v>21781.599999999999</v>
      </c>
      <c r="AM391" s="116">
        <v>136421.6</v>
      </c>
      <c r="AN391" s="301" t="s">
        <v>88</v>
      </c>
      <c r="AO391" s="302" t="s">
        <v>1991</v>
      </c>
      <c r="AP391" s="11"/>
      <c r="AQ391" s="11"/>
      <c r="AR391" s="11"/>
      <c r="AS391" s="11"/>
      <c r="AT391" s="11"/>
      <c r="AU391" s="118"/>
      <c r="AV391" s="118"/>
      <c r="AW391" s="118"/>
      <c r="AX391" s="52"/>
      <c r="AY391" s="52"/>
      <c r="AZ391" s="11"/>
      <c r="BA391" s="11"/>
      <c r="BB391" s="11"/>
      <c r="BC391" s="11"/>
      <c r="BD391" s="11"/>
      <c r="BE391" s="274">
        <v>518000</v>
      </c>
      <c r="BF391" s="274">
        <v>98420</v>
      </c>
      <c r="BG391" s="274">
        <v>616420</v>
      </c>
      <c r="BH391" s="11" t="s">
        <v>1858</v>
      </c>
      <c r="BI391" s="11" t="s">
        <v>1992</v>
      </c>
      <c r="BJ391" s="311"/>
      <c r="BK391" s="311"/>
      <c r="BL391" s="311"/>
      <c r="BM391" s="52"/>
      <c r="BN391" s="52"/>
      <c r="BO391" s="387"/>
      <c r="BP391" s="320"/>
      <c r="BQ391" s="320"/>
      <c r="BR391" s="4"/>
      <c r="BS391" s="4"/>
      <c r="BT391" s="11"/>
      <c r="BU391" s="11"/>
      <c r="BV391" s="11"/>
      <c r="BW391" s="11"/>
      <c r="BX391" s="11"/>
      <c r="BY391" s="348"/>
      <c r="BZ391" s="348"/>
      <c r="CA391" s="348"/>
      <c r="CB391" s="348"/>
      <c r="CC391" s="348"/>
      <c r="CD391" s="11"/>
      <c r="CE391" s="11"/>
      <c r="CF391" s="11"/>
      <c r="CG391" s="11"/>
      <c r="CH391" s="11"/>
      <c r="CI391" s="11"/>
      <c r="CJ391" s="11"/>
      <c r="CK391" s="11"/>
      <c r="CL391" s="11"/>
      <c r="CM391" s="11"/>
      <c r="CN391" s="274"/>
      <c r="CO391" s="274"/>
      <c r="CP391" s="274"/>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8">
        <v>107150</v>
      </c>
      <c r="DN391" s="118">
        <f>+DM391*0.19</f>
        <v>20358.5</v>
      </c>
      <c r="DO391" s="118">
        <f>+DM391+DN391</f>
        <v>127508.5</v>
      </c>
      <c r="DP391" s="52"/>
      <c r="DQ391" s="52" t="s">
        <v>1993</v>
      </c>
      <c r="DR391" s="77"/>
      <c r="DS391" s="77"/>
      <c r="DT391" s="77"/>
      <c r="DU391" s="11"/>
      <c r="DV391" s="11"/>
      <c r="DW391" s="11"/>
      <c r="DX391" s="11"/>
      <c r="DY391" s="11"/>
      <c r="DZ391" s="11"/>
      <c r="EA391" s="11"/>
      <c r="EB391" s="11"/>
      <c r="EC391" s="11"/>
      <c r="ED391" s="11"/>
      <c r="EE391" s="11"/>
      <c r="EF391" s="11"/>
    </row>
    <row r="392" spans="1:136" ht="13.5" x14ac:dyDescent="0.25">
      <c r="A392" s="425">
        <v>390</v>
      </c>
      <c r="B392" s="427" t="s">
        <v>1994</v>
      </c>
      <c r="C392" s="413" t="s">
        <v>622</v>
      </c>
      <c r="D392" s="413" t="s">
        <v>356</v>
      </c>
      <c r="E392" s="79">
        <v>1</v>
      </c>
      <c r="F392" s="404">
        <v>101807.118</v>
      </c>
      <c r="G392" s="274">
        <v>95000</v>
      </c>
      <c r="H392" s="274">
        <v>18050</v>
      </c>
      <c r="I392" s="274">
        <v>113050</v>
      </c>
      <c r="J392" s="274" t="s">
        <v>50</v>
      </c>
      <c r="K392" s="11" t="s">
        <v>1995</v>
      </c>
      <c r="L392" s="274"/>
      <c r="M392" s="274"/>
      <c r="N392" s="274"/>
      <c r="O392" s="48"/>
      <c r="P392" s="11"/>
      <c r="Q392" s="274"/>
      <c r="R392" s="274"/>
      <c r="S392" s="274"/>
      <c r="T392" s="11"/>
      <c r="U392" s="11"/>
      <c r="V392" s="11"/>
      <c r="W392" s="11"/>
      <c r="X392" s="11"/>
      <c r="Y392" s="11"/>
      <c r="Z392" s="48"/>
      <c r="AA392" s="52"/>
      <c r="AB392" s="52"/>
      <c r="AC392" s="118"/>
      <c r="AD392" s="5"/>
      <c r="AE392" s="52"/>
      <c r="AF392" s="113"/>
      <c r="AG392" s="113"/>
      <c r="AH392" s="113"/>
      <c r="AI392" s="52"/>
      <c r="AJ392" s="11"/>
      <c r="AK392" s="269"/>
      <c r="AL392" s="269"/>
      <c r="AM392" s="116"/>
      <c r="AN392" s="301"/>
      <c r="AO392" s="302"/>
      <c r="AP392" s="11"/>
      <c r="AQ392" s="11"/>
      <c r="AR392" s="11"/>
      <c r="AS392" s="11"/>
      <c r="AT392" s="11"/>
      <c r="AU392" s="118"/>
      <c r="AV392" s="118"/>
      <c r="AW392" s="118"/>
      <c r="AX392" s="52"/>
      <c r="AY392" s="52"/>
      <c r="AZ392" s="11"/>
      <c r="BA392" s="11"/>
      <c r="BB392" s="11"/>
      <c r="BC392" s="11"/>
      <c r="BD392" s="11"/>
      <c r="BE392" s="274">
        <v>64000</v>
      </c>
      <c r="BF392" s="274">
        <v>12160</v>
      </c>
      <c r="BG392" s="274">
        <v>76160</v>
      </c>
      <c r="BH392" s="11" t="s">
        <v>1996</v>
      </c>
      <c r="BI392" s="11">
        <v>224513</v>
      </c>
      <c r="BJ392" s="311"/>
      <c r="BK392" s="311"/>
      <c r="BL392" s="311"/>
      <c r="BM392" s="52"/>
      <c r="BN392" s="52"/>
      <c r="BO392" s="387"/>
      <c r="BP392" s="320"/>
      <c r="BQ392" s="320"/>
      <c r="BR392" s="4"/>
      <c r="BS392" s="4"/>
      <c r="BT392" s="11"/>
      <c r="BU392" s="11"/>
      <c r="BV392" s="11"/>
      <c r="BW392" s="11"/>
      <c r="BX392" s="11"/>
      <c r="BY392" s="348"/>
      <c r="BZ392" s="348"/>
      <c r="CA392" s="348"/>
      <c r="CB392" s="348"/>
      <c r="CC392" s="348"/>
      <c r="CD392" s="11"/>
      <c r="CE392" s="11"/>
      <c r="CF392" s="11"/>
      <c r="CG392" s="11"/>
      <c r="CH392" s="11"/>
      <c r="CI392" s="11"/>
      <c r="CJ392" s="11"/>
      <c r="CK392" s="11"/>
      <c r="CL392" s="11"/>
      <c r="CM392" s="11"/>
      <c r="CN392" s="274"/>
      <c r="CO392" s="274"/>
      <c r="CP392" s="274"/>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8"/>
      <c r="DN392" s="118"/>
      <c r="DO392" s="118"/>
      <c r="DP392" s="52"/>
      <c r="DQ392" s="52"/>
      <c r="DR392" s="77"/>
      <c r="DS392" s="77"/>
      <c r="DT392" s="77"/>
      <c r="DU392" s="11"/>
      <c r="DV392" s="11"/>
      <c r="DW392" s="11"/>
      <c r="DX392" s="11"/>
      <c r="DY392" s="11"/>
      <c r="DZ392" s="11"/>
      <c r="EA392" s="11"/>
      <c r="EB392" s="11"/>
      <c r="EC392" s="11"/>
      <c r="ED392" s="11"/>
      <c r="EE392" s="11"/>
      <c r="EF392" s="11"/>
    </row>
    <row r="393" spans="1:136" ht="13.5" x14ac:dyDescent="0.25">
      <c r="A393" s="425">
        <v>391</v>
      </c>
      <c r="B393" s="427" t="s">
        <v>1997</v>
      </c>
      <c r="C393" s="427" t="s">
        <v>1998</v>
      </c>
      <c r="D393" s="427" t="s">
        <v>1999</v>
      </c>
      <c r="E393" s="79">
        <v>1</v>
      </c>
      <c r="F393" s="405"/>
      <c r="G393" s="274"/>
      <c r="H393" s="274"/>
      <c r="I393" s="274"/>
      <c r="J393" s="274"/>
      <c r="K393" s="11"/>
      <c r="L393" s="274"/>
      <c r="M393" s="274"/>
      <c r="N393" s="274"/>
      <c r="O393" s="48"/>
      <c r="P393" s="11"/>
      <c r="Q393" s="274"/>
      <c r="R393" s="274"/>
      <c r="S393" s="274"/>
      <c r="T393" s="11"/>
      <c r="U393" s="11"/>
      <c r="V393" s="11"/>
      <c r="W393" s="11"/>
      <c r="X393" s="11"/>
      <c r="Y393" s="11"/>
      <c r="Z393" s="48"/>
      <c r="AA393" s="52"/>
      <c r="AB393" s="52"/>
      <c r="AC393" s="118"/>
      <c r="AD393" s="5"/>
      <c r="AE393" s="52"/>
      <c r="AF393" s="113"/>
      <c r="AG393" s="113"/>
      <c r="AH393" s="113"/>
      <c r="AI393" s="52"/>
      <c r="AJ393" s="11"/>
      <c r="AK393" s="269"/>
      <c r="AL393" s="269"/>
      <c r="AM393" s="116"/>
      <c r="AN393" s="301"/>
      <c r="AO393" s="302"/>
      <c r="AP393" s="11"/>
      <c r="AQ393" s="11"/>
      <c r="AR393" s="11"/>
      <c r="AS393" s="11"/>
      <c r="AT393" s="11"/>
      <c r="AU393" s="118"/>
      <c r="AV393" s="118"/>
      <c r="AW393" s="118"/>
      <c r="AX393" s="52"/>
      <c r="AY393" s="52"/>
      <c r="AZ393" s="11"/>
      <c r="BA393" s="11"/>
      <c r="BB393" s="11"/>
      <c r="BC393" s="11"/>
      <c r="BD393" s="11"/>
      <c r="BE393" s="274">
        <v>220000</v>
      </c>
      <c r="BF393" s="274">
        <v>41800</v>
      </c>
      <c r="BG393" s="274">
        <v>261800</v>
      </c>
      <c r="BH393" s="11" t="s">
        <v>366</v>
      </c>
      <c r="BI393" s="11">
        <v>70542</v>
      </c>
      <c r="BJ393" s="311"/>
      <c r="BK393" s="311"/>
      <c r="BL393" s="311"/>
      <c r="BM393" s="52"/>
      <c r="BN393" s="52"/>
      <c r="BO393" s="387"/>
      <c r="BP393" s="320"/>
      <c r="BQ393" s="320"/>
      <c r="BR393" s="4"/>
      <c r="BS393" s="4"/>
      <c r="BT393" s="11"/>
      <c r="BU393" s="11"/>
      <c r="BV393" s="11"/>
      <c r="BW393" s="11"/>
      <c r="BX393" s="11"/>
      <c r="BY393" s="348"/>
      <c r="BZ393" s="348"/>
      <c r="CA393" s="348"/>
      <c r="CB393" s="348"/>
      <c r="CC393" s="348"/>
      <c r="CD393" s="11"/>
      <c r="CE393" s="11"/>
      <c r="CF393" s="11"/>
      <c r="CG393" s="11"/>
      <c r="CH393" s="11"/>
      <c r="CI393" s="11"/>
      <c r="CJ393" s="11"/>
      <c r="CK393" s="11"/>
      <c r="CL393" s="11"/>
      <c r="CM393" s="11"/>
      <c r="CN393" s="274"/>
      <c r="CO393" s="274"/>
      <c r="CP393" s="274"/>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8"/>
      <c r="DN393" s="118"/>
      <c r="DO393" s="118"/>
      <c r="DP393" s="52"/>
      <c r="DQ393" s="52"/>
      <c r="DR393" s="77"/>
      <c r="DS393" s="77"/>
      <c r="DT393" s="77"/>
      <c r="DU393" s="11"/>
      <c r="DV393" s="11"/>
      <c r="DW393" s="11"/>
      <c r="DX393" s="11"/>
      <c r="DY393" s="11"/>
      <c r="DZ393" s="11"/>
      <c r="EA393" s="11"/>
      <c r="EB393" s="11"/>
      <c r="EC393" s="11"/>
      <c r="ED393" s="11"/>
      <c r="EE393" s="11"/>
      <c r="EF393" s="11"/>
    </row>
    <row r="394" spans="1:136" ht="27" x14ac:dyDescent="0.25">
      <c r="A394" s="425">
        <v>392</v>
      </c>
      <c r="B394" s="427" t="s">
        <v>2000</v>
      </c>
      <c r="C394" s="427" t="s">
        <v>2001</v>
      </c>
      <c r="D394" s="427" t="s">
        <v>2002</v>
      </c>
      <c r="E394" s="79">
        <v>1</v>
      </c>
      <c r="F394" s="405"/>
      <c r="G394" s="274"/>
      <c r="H394" s="274"/>
      <c r="I394" s="274"/>
      <c r="J394" s="274"/>
      <c r="K394" s="11"/>
      <c r="L394" s="274"/>
      <c r="M394" s="274"/>
      <c r="N394" s="274"/>
      <c r="O394" s="48"/>
      <c r="P394" s="11"/>
      <c r="Q394" s="274"/>
      <c r="R394" s="274"/>
      <c r="S394" s="274"/>
      <c r="T394" s="11"/>
      <c r="U394" s="11"/>
      <c r="V394" s="11"/>
      <c r="W394" s="11"/>
      <c r="X394" s="11"/>
      <c r="Y394" s="11"/>
      <c r="Z394" s="48"/>
      <c r="AA394" s="52"/>
      <c r="AB394" s="52"/>
      <c r="AC394" s="118"/>
      <c r="AD394" s="5"/>
      <c r="AE394" s="52"/>
      <c r="AF394" s="113"/>
      <c r="AG394" s="113"/>
      <c r="AH394" s="113"/>
      <c r="AI394" s="52"/>
      <c r="AJ394" s="11"/>
      <c r="AK394" s="269"/>
      <c r="AL394" s="269"/>
      <c r="AM394" s="116"/>
      <c r="AN394" s="301"/>
      <c r="AO394" s="302"/>
      <c r="AP394" s="11"/>
      <c r="AQ394" s="11"/>
      <c r="AR394" s="11"/>
      <c r="AS394" s="11"/>
      <c r="AT394" s="11"/>
      <c r="AU394" s="118"/>
      <c r="AV394" s="118"/>
      <c r="AW394" s="118"/>
      <c r="AX394" s="52"/>
      <c r="AY394" s="52"/>
      <c r="AZ394" s="11"/>
      <c r="BA394" s="11"/>
      <c r="BB394" s="11"/>
      <c r="BC394" s="11"/>
      <c r="BD394" s="11"/>
      <c r="BE394" s="274">
        <v>4000</v>
      </c>
      <c r="BF394" s="274">
        <v>760</v>
      </c>
      <c r="BG394" s="274">
        <v>4760</v>
      </c>
      <c r="BH394" s="11" t="s">
        <v>2003</v>
      </c>
      <c r="BI394" s="11">
        <v>266137</v>
      </c>
      <c r="BJ394" s="311"/>
      <c r="BK394" s="311"/>
      <c r="BL394" s="311"/>
      <c r="BM394" s="52"/>
      <c r="BN394" s="52"/>
      <c r="BO394" s="387"/>
      <c r="BP394" s="320"/>
      <c r="BQ394" s="320"/>
      <c r="BR394" s="4"/>
      <c r="BS394" s="4"/>
      <c r="BT394" s="11"/>
      <c r="BU394" s="11"/>
      <c r="BV394" s="11"/>
      <c r="BW394" s="11"/>
      <c r="BX394" s="11"/>
      <c r="BY394" s="348"/>
      <c r="BZ394" s="348"/>
      <c r="CA394" s="348"/>
      <c r="CB394" s="348"/>
      <c r="CC394" s="348"/>
      <c r="CD394" s="11"/>
      <c r="CE394" s="11"/>
      <c r="CF394" s="11"/>
      <c r="CG394" s="11"/>
      <c r="CH394" s="11"/>
      <c r="CI394" s="11"/>
      <c r="CJ394" s="11"/>
      <c r="CK394" s="11"/>
      <c r="CL394" s="11"/>
      <c r="CM394" s="11"/>
      <c r="CN394" s="274"/>
      <c r="CO394" s="274"/>
      <c r="CP394" s="274"/>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8"/>
      <c r="DN394" s="118"/>
      <c r="DO394" s="118"/>
      <c r="DP394" s="52"/>
      <c r="DQ394" s="52"/>
      <c r="DR394" s="77"/>
      <c r="DS394" s="77"/>
      <c r="DT394" s="77"/>
      <c r="DU394" s="11"/>
      <c r="DV394" s="11"/>
      <c r="DW394" s="11"/>
      <c r="DX394" s="11"/>
      <c r="DY394" s="11"/>
      <c r="DZ394" s="11"/>
      <c r="EA394" s="11"/>
      <c r="EB394" s="11"/>
      <c r="EC394" s="11"/>
      <c r="ED394" s="11"/>
      <c r="EE394" s="11"/>
      <c r="EF394" s="11"/>
    </row>
    <row r="395" spans="1:136" ht="13.5" x14ac:dyDescent="0.25">
      <c r="A395" s="425">
        <v>393</v>
      </c>
      <c r="B395" s="427" t="s">
        <v>2004</v>
      </c>
      <c r="C395" s="413" t="s">
        <v>131</v>
      </c>
      <c r="D395" s="413" t="s">
        <v>2005</v>
      </c>
      <c r="E395" s="79">
        <v>1</v>
      </c>
      <c r="F395" s="404">
        <v>2556489.852</v>
      </c>
      <c r="G395" s="274"/>
      <c r="H395" s="274"/>
      <c r="I395" s="274"/>
      <c r="J395" s="274"/>
      <c r="K395" s="11"/>
      <c r="L395" s="274"/>
      <c r="M395" s="274"/>
      <c r="N395" s="274"/>
      <c r="O395" s="48"/>
      <c r="P395" s="11"/>
      <c r="Q395" s="274"/>
      <c r="R395" s="274"/>
      <c r="S395" s="274"/>
      <c r="T395" s="11"/>
      <c r="U395" s="11"/>
      <c r="V395" s="11"/>
      <c r="W395" s="11"/>
      <c r="X395" s="11"/>
      <c r="Y395" s="11"/>
      <c r="Z395" s="48"/>
      <c r="AA395" s="52"/>
      <c r="AB395" s="52"/>
      <c r="AC395" s="118"/>
      <c r="AD395" s="5"/>
      <c r="AE395" s="52"/>
      <c r="AF395" s="113"/>
      <c r="AG395" s="113"/>
      <c r="AH395" s="113"/>
      <c r="AI395" s="52"/>
      <c r="AJ395" s="11"/>
      <c r="AK395" s="269"/>
      <c r="AL395" s="269"/>
      <c r="AM395" s="116"/>
      <c r="AN395" s="301"/>
      <c r="AO395" s="302"/>
      <c r="AP395" s="11"/>
      <c r="AQ395" s="11"/>
      <c r="AR395" s="11"/>
      <c r="AS395" s="11"/>
      <c r="AT395" s="11"/>
      <c r="AU395" s="118"/>
      <c r="AV395" s="118"/>
      <c r="AW395" s="118"/>
      <c r="AX395" s="52"/>
      <c r="AY395" s="52"/>
      <c r="AZ395" s="11"/>
      <c r="BA395" s="11"/>
      <c r="BB395" s="11"/>
      <c r="BC395" s="11"/>
      <c r="BD395" s="11"/>
      <c r="BE395" s="274"/>
      <c r="BF395" s="274"/>
      <c r="BG395" s="274"/>
      <c r="BH395" s="11"/>
      <c r="BI395" s="11"/>
      <c r="BJ395" s="311"/>
      <c r="BK395" s="311"/>
      <c r="BL395" s="311"/>
      <c r="BM395" s="52"/>
      <c r="BN395" s="52"/>
      <c r="BO395" s="387"/>
      <c r="BP395" s="320"/>
      <c r="BQ395" s="320"/>
      <c r="BR395" s="4"/>
      <c r="BS395" s="4"/>
      <c r="BT395" s="11"/>
      <c r="BU395" s="11"/>
      <c r="BV395" s="11"/>
      <c r="BW395" s="11"/>
      <c r="BX395" s="11"/>
      <c r="BY395" s="348"/>
      <c r="BZ395" s="348"/>
      <c r="CA395" s="348"/>
      <c r="CB395" s="348"/>
      <c r="CC395" s="348"/>
      <c r="CD395" s="11"/>
      <c r="CE395" s="11"/>
      <c r="CF395" s="11"/>
      <c r="CG395" s="11"/>
      <c r="CH395" s="11"/>
      <c r="CI395" s="11"/>
      <c r="CJ395" s="11"/>
      <c r="CK395" s="11"/>
      <c r="CL395" s="11"/>
      <c r="CM395" s="11"/>
      <c r="CN395" s="274"/>
      <c r="CO395" s="274"/>
      <c r="CP395" s="274"/>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8"/>
      <c r="DN395" s="118"/>
      <c r="DO395" s="118"/>
      <c r="DP395" s="52"/>
      <c r="DQ395" s="52"/>
      <c r="DR395" s="77"/>
      <c r="DS395" s="77"/>
      <c r="DT395" s="77"/>
      <c r="DU395" s="11"/>
      <c r="DV395" s="11"/>
      <c r="DW395" s="11"/>
      <c r="DX395" s="11"/>
      <c r="DY395" s="11"/>
      <c r="DZ395" s="11"/>
      <c r="EA395" s="11"/>
      <c r="EB395" s="11"/>
      <c r="EC395" s="11"/>
      <c r="ED395" s="11"/>
      <c r="EE395" s="11"/>
      <c r="EF395" s="11"/>
    </row>
    <row r="396" spans="1:136" ht="27" x14ac:dyDescent="0.25">
      <c r="A396" s="425">
        <v>394</v>
      </c>
      <c r="B396" s="427" t="s">
        <v>2006</v>
      </c>
      <c r="C396" s="413" t="s">
        <v>2007</v>
      </c>
      <c r="D396" s="413" t="s">
        <v>497</v>
      </c>
      <c r="E396" s="79">
        <v>1</v>
      </c>
      <c r="F396" s="404">
        <v>1011786.79</v>
      </c>
      <c r="G396" s="274"/>
      <c r="H396" s="274"/>
      <c r="I396" s="274"/>
      <c r="J396" s="274"/>
      <c r="K396" s="11"/>
      <c r="L396" s="274"/>
      <c r="M396" s="274"/>
      <c r="N396" s="274"/>
      <c r="O396" s="48"/>
      <c r="P396" s="11"/>
      <c r="Q396" s="274"/>
      <c r="R396" s="274"/>
      <c r="S396" s="274"/>
      <c r="T396" s="11"/>
      <c r="U396" s="11"/>
      <c r="V396" s="11"/>
      <c r="W396" s="11"/>
      <c r="X396" s="11"/>
      <c r="Y396" s="11"/>
      <c r="Z396" s="48"/>
      <c r="AA396" s="52"/>
      <c r="AB396" s="52"/>
      <c r="AC396" s="118"/>
      <c r="AD396" s="5"/>
      <c r="AE396" s="52"/>
      <c r="AF396" s="113"/>
      <c r="AG396" s="113"/>
      <c r="AH396" s="113"/>
      <c r="AI396" s="52"/>
      <c r="AJ396" s="11"/>
      <c r="AK396" s="269"/>
      <c r="AL396" s="269"/>
      <c r="AM396" s="116"/>
      <c r="AN396" s="301"/>
      <c r="AO396" s="302"/>
      <c r="AP396" s="11"/>
      <c r="AQ396" s="11"/>
      <c r="AR396" s="11"/>
      <c r="AS396" s="11"/>
      <c r="AT396" s="11"/>
      <c r="AU396" s="118"/>
      <c r="AV396" s="118"/>
      <c r="AW396" s="118"/>
      <c r="AX396" s="52"/>
      <c r="AY396" s="52"/>
      <c r="AZ396" s="11"/>
      <c r="BA396" s="11"/>
      <c r="BB396" s="11"/>
      <c r="BC396" s="11"/>
      <c r="BD396" s="11"/>
      <c r="BE396" s="274">
        <v>186000</v>
      </c>
      <c r="BF396" s="274">
        <v>35340</v>
      </c>
      <c r="BG396" s="274">
        <v>221340</v>
      </c>
      <c r="BH396" s="11" t="s">
        <v>48</v>
      </c>
      <c r="BI396" s="11" t="s">
        <v>2008</v>
      </c>
      <c r="BJ396" s="311"/>
      <c r="BK396" s="311"/>
      <c r="BL396" s="311"/>
      <c r="BM396" s="52"/>
      <c r="BN396" s="52"/>
      <c r="BO396" s="387"/>
      <c r="BP396" s="320"/>
      <c r="BQ396" s="320"/>
      <c r="BR396" s="4"/>
      <c r="BS396" s="4"/>
      <c r="BT396" s="11"/>
      <c r="BU396" s="11"/>
      <c r="BV396" s="11"/>
      <c r="BW396" s="11"/>
      <c r="BX396" s="11"/>
      <c r="BY396" s="348"/>
      <c r="BZ396" s="348"/>
      <c r="CA396" s="348"/>
      <c r="CB396" s="348"/>
      <c r="CC396" s="348"/>
      <c r="CD396" s="11"/>
      <c r="CE396" s="11"/>
      <c r="CF396" s="11"/>
      <c r="CG396" s="11"/>
      <c r="CH396" s="11"/>
      <c r="CI396" s="11"/>
      <c r="CJ396" s="11"/>
      <c r="CK396" s="11"/>
      <c r="CL396" s="11"/>
      <c r="CM396" s="11"/>
      <c r="CN396" s="274"/>
      <c r="CO396" s="274"/>
      <c r="CP396" s="274"/>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8"/>
      <c r="DN396" s="118"/>
      <c r="DO396" s="118"/>
      <c r="DP396" s="52"/>
      <c r="DQ396" s="52"/>
      <c r="DR396" s="77"/>
      <c r="DS396" s="77"/>
      <c r="DT396" s="77"/>
      <c r="DU396" s="11"/>
      <c r="DV396" s="11"/>
      <c r="DW396" s="11"/>
      <c r="DX396" s="11"/>
      <c r="DY396" s="11"/>
      <c r="DZ396" s="11"/>
      <c r="EA396" s="11"/>
      <c r="EB396" s="11"/>
      <c r="EC396" s="11"/>
      <c r="ED396" s="11"/>
      <c r="EE396" s="11"/>
      <c r="EF396" s="11"/>
    </row>
    <row r="397" spans="1:136" ht="81" x14ac:dyDescent="0.25">
      <c r="A397" s="425">
        <v>395</v>
      </c>
      <c r="B397" s="427" t="s">
        <v>2009</v>
      </c>
      <c r="C397" s="413" t="s">
        <v>622</v>
      </c>
      <c r="D397" s="413" t="s">
        <v>2010</v>
      </c>
      <c r="E397" s="79">
        <v>1</v>
      </c>
      <c r="F397" s="404">
        <v>197329.84600000002</v>
      </c>
      <c r="G397" s="274"/>
      <c r="H397" s="274"/>
      <c r="I397" s="274"/>
      <c r="J397" s="274"/>
      <c r="K397" s="11"/>
      <c r="L397" s="274"/>
      <c r="M397" s="274"/>
      <c r="N397" s="274"/>
      <c r="O397" s="48"/>
      <c r="P397" s="11"/>
      <c r="Q397" s="274"/>
      <c r="R397" s="274"/>
      <c r="S397" s="274"/>
      <c r="T397" s="11"/>
      <c r="U397" s="11"/>
      <c r="V397" s="11"/>
      <c r="W397" s="11"/>
      <c r="X397" s="11"/>
      <c r="Y397" s="11"/>
      <c r="Z397" s="48"/>
      <c r="AA397" s="52"/>
      <c r="AB397" s="52"/>
      <c r="AC397" s="118"/>
      <c r="AD397" s="5"/>
      <c r="AE397" s="52"/>
      <c r="AF397" s="113"/>
      <c r="AG397" s="113"/>
      <c r="AH397" s="113"/>
      <c r="AI397" s="52"/>
      <c r="AJ397" s="11"/>
      <c r="AK397" s="269">
        <v>145600</v>
      </c>
      <c r="AL397" s="269">
        <v>27664</v>
      </c>
      <c r="AM397" s="116">
        <v>173264</v>
      </c>
      <c r="AN397" s="301" t="s">
        <v>48</v>
      </c>
      <c r="AO397" s="302" t="s">
        <v>2011</v>
      </c>
      <c r="AP397" s="11"/>
      <c r="AQ397" s="11"/>
      <c r="AR397" s="11"/>
      <c r="AS397" s="11"/>
      <c r="AT397" s="11"/>
      <c r="AU397" s="118"/>
      <c r="AV397" s="118"/>
      <c r="AW397" s="118"/>
      <c r="AX397" s="52"/>
      <c r="AY397" s="52"/>
      <c r="AZ397" s="11"/>
      <c r="BA397" s="11"/>
      <c r="BB397" s="11"/>
      <c r="BC397" s="11"/>
      <c r="BD397" s="11"/>
      <c r="BE397" s="274">
        <v>182000</v>
      </c>
      <c r="BF397" s="274">
        <v>34580</v>
      </c>
      <c r="BG397" s="274">
        <v>216580</v>
      </c>
      <c r="BH397" s="11" t="s">
        <v>48</v>
      </c>
      <c r="BI397" s="11" t="s">
        <v>2012</v>
      </c>
      <c r="BJ397" s="311">
        <v>3747692.31</v>
      </c>
      <c r="BK397" s="311">
        <v>712061.53890000004</v>
      </c>
      <c r="BL397" s="311">
        <v>4459753.8488999996</v>
      </c>
      <c r="BM397" s="52" t="s">
        <v>138</v>
      </c>
      <c r="BN397" s="52" t="s">
        <v>2013</v>
      </c>
      <c r="BO397" s="387"/>
      <c r="BP397" s="320"/>
      <c r="BQ397" s="320"/>
      <c r="BR397" s="4"/>
      <c r="BS397" s="4"/>
      <c r="BT397" s="11"/>
      <c r="BU397" s="11"/>
      <c r="BV397" s="11"/>
      <c r="BW397" s="11"/>
      <c r="BX397" s="11"/>
      <c r="BY397" s="348"/>
      <c r="BZ397" s="348"/>
      <c r="CA397" s="348"/>
      <c r="CB397" s="348"/>
      <c r="CC397" s="348"/>
      <c r="CD397" s="11"/>
      <c r="CE397" s="11"/>
      <c r="CF397" s="11"/>
      <c r="CG397" s="11"/>
      <c r="CH397" s="11"/>
      <c r="CI397" s="11"/>
      <c r="CJ397" s="11"/>
      <c r="CK397" s="11"/>
      <c r="CL397" s="11"/>
      <c r="CM397" s="11"/>
      <c r="CN397" s="274"/>
      <c r="CO397" s="274"/>
      <c r="CP397" s="274"/>
      <c r="CQ397" s="11"/>
      <c r="CR397" s="11"/>
      <c r="CS397" s="11"/>
      <c r="CT397" s="11"/>
      <c r="CU397" s="11"/>
      <c r="CV397" s="11"/>
      <c r="CW397" s="11"/>
      <c r="CX397" s="11"/>
      <c r="CY397" s="11"/>
      <c r="CZ397" s="11"/>
      <c r="DA397" s="11"/>
      <c r="DB397" s="11"/>
      <c r="DC397" s="11"/>
      <c r="DD397" s="11"/>
      <c r="DE397" s="11"/>
      <c r="DF397" s="11"/>
      <c r="DG397" s="11"/>
      <c r="DH397" s="11"/>
      <c r="DI397" s="11"/>
      <c r="DJ397" s="11"/>
      <c r="DK397" s="11"/>
      <c r="DL397" s="11"/>
      <c r="DM397" s="118"/>
      <c r="DN397" s="118"/>
      <c r="DO397" s="118"/>
      <c r="DP397" s="52"/>
      <c r="DQ397" s="52"/>
      <c r="DR397" s="77"/>
      <c r="DS397" s="77"/>
      <c r="DT397" s="77"/>
      <c r="DU397" s="11"/>
      <c r="DV397" s="11"/>
      <c r="DW397" s="11"/>
      <c r="DX397" s="11"/>
      <c r="DY397" s="11"/>
      <c r="DZ397" s="11"/>
      <c r="EA397" s="11"/>
      <c r="EB397" s="11"/>
      <c r="EC397" s="11"/>
      <c r="ED397" s="11"/>
      <c r="EE397" s="11"/>
      <c r="EF397" s="11"/>
    </row>
    <row r="398" spans="1:136" ht="27" x14ac:dyDescent="0.25">
      <c r="A398" s="425">
        <v>396</v>
      </c>
      <c r="B398" s="426" t="s">
        <v>2014</v>
      </c>
      <c r="C398" s="427" t="s">
        <v>138</v>
      </c>
      <c r="D398" s="427" t="s">
        <v>609</v>
      </c>
      <c r="E398" s="79">
        <v>1</v>
      </c>
      <c r="F398" s="405">
        <v>4493278.6466000006</v>
      </c>
      <c r="G398" s="274"/>
      <c r="H398" s="274"/>
      <c r="I398" s="274"/>
      <c r="J398" s="274"/>
      <c r="K398" s="11"/>
      <c r="L398" s="274"/>
      <c r="M398" s="274"/>
      <c r="N398" s="274"/>
      <c r="O398" s="48"/>
      <c r="P398" s="11"/>
      <c r="Q398" s="274"/>
      <c r="R398" s="274"/>
      <c r="S398" s="274"/>
      <c r="T398" s="11"/>
      <c r="U398" s="11"/>
      <c r="V398" s="11"/>
      <c r="W398" s="11"/>
      <c r="X398" s="11"/>
      <c r="Y398" s="11"/>
      <c r="Z398" s="48"/>
      <c r="AA398" s="52"/>
      <c r="AB398" s="52"/>
      <c r="AC398" s="118"/>
      <c r="AD398" s="5"/>
      <c r="AE398" s="52"/>
      <c r="AF398" s="113"/>
      <c r="AG398" s="113"/>
      <c r="AH398" s="113"/>
      <c r="AI398" s="52"/>
      <c r="AJ398" s="11"/>
      <c r="AK398" s="269"/>
      <c r="AL398" s="269"/>
      <c r="AM398" s="116"/>
      <c r="AN398" s="301"/>
      <c r="AO398" s="302"/>
      <c r="AP398" s="11"/>
      <c r="AQ398" s="11"/>
      <c r="AR398" s="11"/>
      <c r="AS398" s="11"/>
      <c r="AT398" s="11"/>
      <c r="AU398" s="118"/>
      <c r="AV398" s="118"/>
      <c r="AW398" s="118"/>
      <c r="AX398" s="52"/>
      <c r="AY398" s="52"/>
      <c r="AZ398" s="11"/>
      <c r="BA398" s="11"/>
      <c r="BB398" s="11"/>
      <c r="BC398" s="11"/>
      <c r="BD398" s="11"/>
      <c r="BE398" s="274"/>
      <c r="BF398" s="274"/>
      <c r="BG398" s="274"/>
      <c r="BH398" s="11"/>
      <c r="BI398" s="11"/>
      <c r="BJ398" s="311"/>
      <c r="BK398" s="311"/>
      <c r="BL398" s="311"/>
      <c r="BM398" s="52"/>
      <c r="BN398" s="52"/>
      <c r="BO398" s="387"/>
      <c r="BP398" s="320"/>
      <c r="BQ398" s="320"/>
      <c r="BR398" s="4"/>
      <c r="BS398" s="4"/>
      <c r="BT398" s="11"/>
      <c r="BU398" s="11"/>
      <c r="BV398" s="11"/>
      <c r="BW398" s="11"/>
      <c r="BX398" s="11"/>
      <c r="BY398" s="348"/>
      <c r="BZ398" s="348"/>
      <c r="CA398" s="348"/>
      <c r="CB398" s="348"/>
      <c r="CC398" s="348"/>
      <c r="CD398" s="11"/>
      <c r="CE398" s="11"/>
      <c r="CF398" s="11"/>
      <c r="CG398" s="11"/>
      <c r="CH398" s="11"/>
      <c r="CI398" s="11"/>
      <c r="CJ398" s="11"/>
      <c r="CK398" s="11"/>
      <c r="CL398" s="11"/>
      <c r="CM398" s="11"/>
      <c r="CN398" s="274"/>
      <c r="CO398" s="274"/>
      <c r="CP398" s="274"/>
      <c r="CQ398" s="11"/>
      <c r="CR398" s="11"/>
      <c r="CS398" s="11"/>
      <c r="CT398" s="11"/>
      <c r="CU398" s="11"/>
      <c r="CV398" s="11"/>
      <c r="CW398" s="11"/>
      <c r="CX398" s="11"/>
      <c r="CY398" s="11"/>
      <c r="CZ398" s="11"/>
      <c r="DA398" s="11"/>
      <c r="DB398" s="11"/>
      <c r="DC398" s="11"/>
      <c r="DD398" s="11"/>
      <c r="DE398" s="11"/>
      <c r="DF398" s="11"/>
      <c r="DG398" s="11"/>
      <c r="DH398" s="11"/>
      <c r="DI398" s="11"/>
      <c r="DJ398" s="11"/>
      <c r="DK398" s="11"/>
      <c r="DL398" s="11"/>
      <c r="DM398" s="118"/>
      <c r="DN398" s="118"/>
      <c r="DO398" s="118"/>
      <c r="DP398" s="52"/>
      <c r="DQ398" s="52"/>
      <c r="DR398" s="77"/>
      <c r="DS398" s="77"/>
      <c r="DT398" s="77"/>
      <c r="DU398" s="11"/>
      <c r="DV398" s="11"/>
      <c r="DW398" s="11"/>
      <c r="DX398" s="11"/>
      <c r="DY398" s="11"/>
      <c r="DZ398" s="11"/>
      <c r="EA398" s="11"/>
      <c r="EB398" s="11"/>
      <c r="EC398" s="11"/>
      <c r="ED398" s="11"/>
      <c r="EE398" s="11"/>
      <c r="EF398" s="11"/>
    </row>
    <row r="399" spans="1:136" ht="13.5" x14ac:dyDescent="0.25">
      <c r="A399" s="425">
        <v>397</v>
      </c>
      <c r="B399" s="428" t="s">
        <v>2015</v>
      </c>
      <c r="C399" s="428" t="s">
        <v>2016</v>
      </c>
      <c r="D399" s="586" t="s">
        <v>2017</v>
      </c>
      <c r="E399" s="79">
        <v>1</v>
      </c>
      <c r="F399" s="405">
        <f>581400*1.0562</f>
        <v>614074.68000000005</v>
      </c>
      <c r="G399" s="274"/>
      <c r="H399" s="274"/>
      <c r="I399" s="274"/>
      <c r="J399" s="274"/>
      <c r="K399" s="11"/>
      <c r="L399" s="274"/>
      <c r="M399" s="274"/>
      <c r="N399" s="274"/>
      <c r="O399" s="48"/>
      <c r="P399" s="11"/>
      <c r="Q399" s="274"/>
      <c r="R399" s="274"/>
      <c r="S399" s="274"/>
      <c r="T399" s="11"/>
      <c r="U399" s="11"/>
      <c r="V399" s="11"/>
      <c r="W399" s="11"/>
      <c r="X399" s="11"/>
      <c r="Y399" s="11"/>
      <c r="Z399" s="48"/>
      <c r="AA399" s="52"/>
      <c r="AB399" s="52"/>
      <c r="AC399" s="118"/>
      <c r="AD399" s="5"/>
      <c r="AE399" s="52"/>
      <c r="AF399" s="113"/>
      <c r="AG399" s="113"/>
      <c r="AH399" s="113"/>
      <c r="AI399" s="52"/>
      <c r="AJ399" s="11"/>
      <c r="AK399" s="269"/>
      <c r="AL399" s="269"/>
      <c r="AM399" s="116"/>
      <c r="AN399" s="301"/>
      <c r="AO399" s="302"/>
      <c r="AP399" s="11"/>
      <c r="AQ399" s="11"/>
      <c r="AR399" s="11"/>
      <c r="AS399" s="11"/>
      <c r="AT399" s="11"/>
      <c r="AU399" s="118"/>
      <c r="AV399" s="118"/>
      <c r="AW399" s="118"/>
      <c r="AX399" s="52"/>
      <c r="AY399" s="52"/>
      <c r="AZ399" s="11"/>
      <c r="BA399" s="11"/>
      <c r="BB399" s="11"/>
      <c r="BC399" s="11"/>
      <c r="BD399" s="11"/>
      <c r="BE399" s="274"/>
      <c r="BF399" s="274"/>
      <c r="BG399" s="274"/>
      <c r="BH399" s="11"/>
      <c r="BI399" s="11"/>
      <c r="BJ399" s="311"/>
      <c r="BK399" s="311"/>
      <c r="BL399" s="311"/>
      <c r="BM399" s="52"/>
      <c r="BN399" s="52"/>
      <c r="BO399" s="387"/>
      <c r="BP399" s="320"/>
      <c r="BQ399" s="320"/>
      <c r="BR399" s="4"/>
      <c r="BS399" s="4"/>
      <c r="BT399" s="11"/>
      <c r="BU399" s="11"/>
      <c r="BV399" s="11"/>
      <c r="BW399" s="11"/>
      <c r="BX399" s="11"/>
      <c r="BY399" s="348"/>
      <c r="BZ399" s="348"/>
      <c r="CA399" s="348"/>
      <c r="CB399" s="348"/>
      <c r="CC399" s="348"/>
      <c r="CD399" s="11"/>
      <c r="CE399" s="11"/>
      <c r="CF399" s="11"/>
      <c r="CG399" s="11"/>
      <c r="CH399" s="11"/>
      <c r="CI399" s="11"/>
      <c r="CJ399" s="11"/>
      <c r="CK399" s="11"/>
      <c r="CL399" s="11"/>
      <c r="CM399" s="11"/>
      <c r="CN399" s="274"/>
      <c r="CO399" s="274"/>
      <c r="CP399" s="274"/>
      <c r="CQ399" s="11"/>
      <c r="CR399" s="11"/>
      <c r="CS399" s="11"/>
      <c r="CT399" s="11"/>
      <c r="CU399" s="11"/>
      <c r="CV399" s="11"/>
      <c r="CW399" s="11"/>
      <c r="CX399" s="11"/>
      <c r="CY399" s="11"/>
      <c r="CZ399" s="11"/>
      <c r="DA399" s="11"/>
      <c r="DB399" s="11"/>
      <c r="DC399" s="11"/>
      <c r="DD399" s="11"/>
      <c r="DE399" s="11"/>
      <c r="DF399" s="11"/>
      <c r="DG399" s="11"/>
      <c r="DH399" s="11"/>
      <c r="DI399" s="11"/>
      <c r="DJ399" s="11"/>
      <c r="DK399" s="11"/>
      <c r="DL399" s="11"/>
      <c r="DM399" s="118"/>
      <c r="DN399" s="118"/>
      <c r="DO399" s="118"/>
      <c r="DP399" s="52"/>
      <c r="DQ399" s="52"/>
      <c r="DR399" s="77"/>
      <c r="DS399" s="77"/>
      <c r="DT399" s="77"/>
      <c r="DU399" s="11"/>
      <c r="DV399" s="11"/>
      <c r="DW399" s="11"/>
      <c r="DX399" s="11"/>
      <c r="DY399" s="11"/>
      <c r="DZ399" s="11"/>
      <c r="EA399" s="11"/>
      <c r="EB399" s="11"/>
      <c r="EC399" s="11"/>
      <c r="ED399" s="11"/>
      <c r="EE399" s="11"/>
      <c r="EF399" s="11"/>
    </row>
    <row r="400" spans="1:136" ht="27" x14ac:dyDescent="0.25">
      <c r="A400" s="425">
        <v>398</v>
      </c>
      <c r="B400" s="427" t="s">
        <v>2018</v>
      </c>
      <c r="C400" s="413" t="s">
        <v>2019</v>
      </c>
      <c r="D400" s="413" t="s">
        <v>2020</v>
      </c>
      <c r="E400" s="79">
        <v>1</v>
      </c>
      <c r="F400" s="406">
        <v>3210319.9</v>
      </c>
      <c r="G400" s="274"/>
      <c r="H400" s="274"/>
      <c r="I400" s="274"/>
      <c r="J400" s="274"/>
      <c r="K400" s="11"/>
      <c r="L400" s="274"/>
      <c r="M400" s="274"/>
      <c r="N400" s="274"/>
      <c r="O400" s="48"/>
      <c r="P400" s="11"/>
      <c r="Q400" s="274"/>
      <c r="R400" s="274"/>
      <c r="S400" s="274"/>
      <c r="T400" s="11"/>
      <c r="U400" s="11"/>
      <c r="V400" s="11"/>
      <c r="W400" s="11"/>
      <c r="X400" s="11"/>
      <c r="Y400" s="11"/>
      <c r="Z400" s="48"/>
      <c r="AA400" s="52"/>
      <c r="AB400" s="52"/>
      <c r="AC400" s="118"/>
      <c r="AD400" s="5"/>
      <c r="AE400" s="52"/>
      <c r="AF400" s="113"/>
      <c r="AG400" s="113"/>
      <c r="AH400" s="113"/>
      <c r="AI400" s="52"/>
      <c r="AJ400" s="11"/>
      <c r="AK400" s="269"/>
      <c r="AL400" s="269"/>
      <c r="AM400" s="116"/>
      <c r="AN400" s="301"/>
      <c r="AO400" s="302"/>
      <c r="AP400" s="11"/>
      <c r="AQ400" s="11"/>
      <c r="AR400" s="11"/>
      <c r="AS400" s="11"/>
      <c r="AT400" s="11"/>
      <c r="AU400" s="118"/>
      <c r="AV400" s="118"/>
      <c r="AW400" s="118"/>
      <c r="AX400" s="52"/>
      <c r="AY400" s="52"/>
      <c r="AZ400" s="11"/>
      <c r="BA400" s="11"/>
      <c r="BB400" s="11"/>
      <c r="BC400" s="11"/>
      <c r="BD400" s="11"/>
      <c r="BE400" s="274"/>
      <c r="BF400" s="274"/>
      <c r="BG400" s="274"/>
      <c r="BH400" s="11"/>
      <c r="BI400" s="11"/>
      <c r="BJ400" s="311"/>
      <c r="BK400" s="311"/>
      <c r="BL400" s="311"/>
      <c r="BM400" s="52"/>
      <c r="BN400" s="52"/>
      <c r="BO400" s="387"/>
      <c r="BP400" s="320"/>
      <c r="BQ400" s="320"/>
      <c r="BR400" s="4"/>
      <c r="BS400" s="4"/>
      <c r="BT400" s="11"/>
      <c r="BU400" s="11"/>
      <c r="BV400" s="11"/>
      <c r="BW400" s="11"/>
      <c r="BX400" s="11"/>
      <c r="BY400" s="348"/>
      <c r="BZ400" s="348"/>
      <c r="CA400" s="348"/>
      <c r="CB400" s="348"/>
      <c r="CC400" s="348"/>
      <c r="CD400" s="11"/>
      <c r="CE400" s="11"/>
      <c r="CF400" s="11"/>
      <c r="CG400" s="11"/>
      <c r="CH400" s="11"/>
      <c r="CI400" s="11"/>
      <c r="CJ400" s="11"/>
      <c r="CK400" s="11"/>
      <c r="CL400" s="11"/>
      <c r="CM400" s="11"/>
      <c r="CN400" s="274"/>
      <c r="CO400" s="274"/>
      <c r="CP400" s="274"/>
      <c r="CQ400" s="11"/>
      <c r="CR400" s="11"/>
      <c r="CS400" s="11"/>
      <c r="CT400" s="11"/>
      <c r="CU400" s="11"/>
      <c r="CV400" s="11"/>
      <c r="CW400" s="11"/>
      <c r="CX400" s="11"/>
      <c r="CY400" s="11"/>
      <c r="CZ400" s="11"/>
      <c r="DA400" s="11"/>
      <c r="DB400" s="11"/>
      <c r="DC400" s="11"/>
      <c r="DD400" s="11"/>
      <c r="DE400" s="11"/>
      <c r="DF400" s="11"/>
      <c r="DG400" s="11"/>
      <c r="DH400" s="11"/>
      <c r="DI400" s="11"/>
      <c r="DJ400" s="11"/>
      <c r="DK400" s="11"/>
      <c r="DL400" s="11"/>
      <c r="DM400" s="118"/>
      <c r="DN400" s="118"/>
      <c r="DO400" s="118"/>
      <c r="DP400" s="52"/>
      <c r="DQ400" s="52"/>
      <c r="DR400" s="77"/>
      <c r="DS400" s="77"/>
      <c r="DT400" s="77"/>
      <c r="DU400" s="11"/>
      <c r="DV400" s="11"/>
      <c r="DW400" s="11"/>
      <c r="DX400" s="11"/>
      <c r="DY400" s="11"/>
      <c r="DZ400" s="11"/>
      <c r="EA400" s="11"/>
      <c r="EB400" s="11"/>
      <c r="EC400" s="11"/>
      <c r="ED400" s="11"/>
      <c r="EE400" s="11"/>
      <c r="EF400" s="11"/>
    </row>
    <row r="401" spans="1:136" ht="13.5" x14ac:dyDescent="0.25">
      <c r="A401" s="425">
        <v>399</v>
      </c>
      <c r="B401" s="427" t="s">
        <v>2021</v>
      </c>
      <c r="C401" s="427" t="s">
        <v>2022</v>
      </c>
      <c r="D401" s="427" t="s">
        <v>2023</v>
      </c>
      <c r="E401" s="79">
        <v>1</v>
      </c>
      <c r="F401" s="405">
        <v>628439</v>
      </c>
      <c r="G401" s="274"/>
      <c r="H401" s="274"/>
      <c r="I401" s="274"/>
      <c r="J401" s="274"/>
      <c r="K401" s="11"/>
      <c r="L401" s="274"/>
      <c r="M401" s="274"/>
      <c r="N401" s="274"/>
      <c r="O401" s="48"/>
      <c r="P401" s="11"/>
      <c r="Q401" s="274"/>
      <c r="R401" s="274"/>
      <c r="S401" s="274"/>
      <c r="T401" s="11"/>
      <c r="U401" s="11"/>
      <c r="V401" s="11"/>
      <c r="W401" s="11"/>
      <c r="X401" s="11"/>
      <c r="Y401" s="11"/>
      <c r="Z401" s="48"/>
      <c r="AA401" s="52"/>
      <c r="AB401" s="52"/>
      <c r="AC401" s="118"/>
      <c r="AD401" s="5"/>
      <c r="AE401" s="52"/>
      <c r="AF401" s="113"/>
      <c r="AG401" s="113"/>
      <c r="AH401" s="113"/>
      <c r="AI401" s="52"/>
      <c r="AJ401" s="11"/>
      <c r="AK401" s="269"/>
      <c r="AL401" s="269"/>
      <c r="AM401" s="116"/>
      <c r="AN401" s="301"/>
      <c r="AO401" s="302"/>
      <c r="AP401" s="11"/>
      <c r="AQ401" s="11"/>
      <c r="AR401" s="11"/>
      <c r="AS401" s="11"/>
      <c r="AT401" s="11"/>
      <c r="AU401" s="118"/>
      <c r="AV401" s="118"/>
      <c r="AW401" s="118"/>
      <c r="AX401" s="52"/>
      <c r="AY401" s="52"/>
      <c r="AZ401" s="11"/>
      <c r="BA401" s="11"/>
      <c r="BB401" s="11"/>
      <c r="BC401" s="11"/>
      <c r="BD401" s="11"/>
      <c r="BE401" s="274"/>
      <c r="BF401" s="274"/>
      <c r="BG401" s="274"/>
      <c r="BH401" s="11"/>
      <c r="BI401" s="11"/>
      <c r="BJ401" s="311"/>
      <c r="BK401" s="311"/>
      <c r="BL401" s="311"/>
      <c r="BM401" s="52"/>
      <c r="BN401" s="52"/>
      <c r="BO401" s="387"/>
      <c r="BP401" s="320"/>
      <c r="BQ401" s="320"/>
      <c r="BR401" s="4"/>
      <c r="BS401" s="4"/>
      <c r="BT401" s="11"/>
      <c r="BU401" s="11"/>
      <c r="BV401" s="11"/>
      <c r="BW401" s="11"/>
      <c r="BX401" s="11"/>
      <c r="BY401" s="348"/>
      <c r="BZ401" s="348"/>
      <c r="CA401" s="348"/>
      <c r="CB401" s="348"/>
      <c r="CC401" s="348"/>
      <c r="CD401" s="11"/>
      <c r="CE401" s="11"/>
      <c r="CF401" s="11"/>
      <c r="CG401" s="11"/>
      <c r="CH401" s="11"/>
      <c r="CI401" s="11"/>
      <c r="CJ401" s="11"/>
      <c r="CK401" s="11"/>
      <c r="CL401" s="11"/>
      <c r="CM401" s="11"/>
      <c r="CN401" s="274"/>
      <c r="CO401" s="274"/>
      <c r="CP401" s="274"/>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11"/>
      <c r="DM401" s="118"/>
      <c r="DN401" s="118"/>
      <c r="DO401" s="118"/>
      <c r="DP401" s="52"/>
      <c r="DQ401" s="52"/>
      <c r="DR401" s="77"/>
      <c r="DS401" s="77"/>
      <c r="DT401" s="77"/>
      <c r="DU401" s="11"/>
      <c r="DV401" s="11"/>
      <c r="DW401" s="11"/>
      <c r="DX401" s="11"/>
      <c r="DY401" s="11"/>
      <c r="DZ401" s="11"/>
      <c r="EA401" s="11"/>
      <c r="EB401" s="11"/>
      <c r="EC401" s="11"/>
      <c r="ED401" s="11"/>
      <c r="EE401" s="11"/>
      <c r="EF401" s="11"/>
    </row>
    <row r="402" spans="1:136" ht="54" x14ac:dyDescent="0.25">
      <c r="A402" s="425">
        <v>400</v>
      </c>
      <c r="B402" s="427" t="s">
        <v>2024</v>
      </c>
      <c r="C402" s="427" t="s">
        <v>2025</v>
      </c>
      <c r="D402" s="427" t="s">
        <v>2026</v>
      </c>
      <c r="E402" s="79">
        <v>1</v>
      </c>
      <c r="F402" s="405">
        <v>2460296.4369999999</v>
      </c>
      <c r="G402" s="274"/>
      <c r="H402" s="274"/>
      <c r="I402" s="274"/>
      <c r="J402" s="274"/>
      <c r="K402" s="11"/>
      <c r="L402" s="274"/>
      <c r="M402" s="274"/>
      <c r="N402" s="274"/>
      <c r="O402" s="48"/>
      <c r="P402" s="11"/>
      <c r="Q402" s="274"/>
      <c r="R402" s="274"/>
      <c r="S402" s="274"/>
      <c r="T402" s="11"/>
      <c r="U402" s="11"/>
      <c r="V402" s="11"/>
      <c r="W402" s="11"/>
      <c r="X402" s="11"/>
      <c r="Y402" s="11"/>
      <c r="Z402" s="48"/>
      <c r="AA402" s="52"/>
      <c r="AB402" s="52"/>
      <c r="AC402" s="118"/>
      <c r="AD402" s="5"/>
      <c r="AE402" s="52"/>
      <c r="AF402" s="113"/>
      <c r="AG402" s="113"/>
      <c r="AH402" s="113"/>
      <c r="AI402" s="52"/>
      <c r="AJ402" s="11"/>
      <c r="AK402" s="269"/>
      <c r="AL402" s="269"/>
      <c r="AM402" s="116"/>
      <c r="AN402" s="301"/>
      <c r="AO402" s="302"/>
      <c r="AP402" s="11"/>
      <c r="AQ402" s="11"/>
      <c r="AR402" s="11"/>
      <c r="AS402" s="11"/>
      <c r="AT402" s="11"/>
      <c r="AU402" s="118"/>
      <c r="AV402" s="118"/>
      <c r="AW402" s="118"/>
      <c r="AX402" s="52"/>
      <c r="AY402" s="52"/>
      <c r="AZ402" s="11"/>
      <c r="BA402" s="11"/>
      <c r="BB402" s="11"/>
      <c r="BC402" s="11"/>
      <c r="BD402" s="11"/>
      <c r="BE402" s="274"/>
      <c r="BF402" s="274"/>
      <c r="BG402" s="274"/>
      <c r="BH402" s="11"/>
      <c r="BI402" s="11"/>
      <c r="BJ402" s="311"/>
      <c r="BK402" s="311"/>
      <c r="BL402" s="311"/>
      <c r="BM402" s="52"/>
      <c r="BN402" s="52"/>
      <c r="BO402" s="387"/>
      <c r="BP402" s="320"/>
      <c r="BQ402" s="320"/>
      <c r="BR402" s="4"/>
      <c r="BS402" s="4"/>
      <c r="BT402" s="11"/>
      <c r="BU402" s="11"/>
      <c r="BV402" s="11"/>
      <c r="BW402" s="11"/>
      <c r="BX402" s="11"/>
      <c r="BY402" s="348"/>
      <c r="BZ402" s="348"/>
      <c r="CA402" s="348"/>
      <c r="CB402" s="348"/>
      <c r="CC402" s="348"/>
      <c r="CD402" s="11"/>
      <c r="CE402" s="11"/>
      <c r="CF402" s="11"/>
      <c r="CG402" s="11"/>
      <c r="CH402" s="11"/>
      <c r="CI402" s="11"/>
      <c r="CJ402" s="11"/>
      <c r="CK402" s="11"/>
      <c r="CL402" s="11"/>
      <c r="CM402" s="11"/>
      <c r="CN402" s="274"/>
      <c r="CO402" s="274"/>
      <c r="CP402" s="274"/>
      <c r="CQ402" s="11"/>
      <c r="CR402" s="11"/>
      <c r="CS402" s="11"/>
      <c r="CT402" s="11"/>
      <c r="CU402" s="11"/>
      <c r="CV402" s="11"/>
      <c r="CW402" s="11"/>
      <c r="CX402" s="11"/>
      <c r="CY402" s="11"/>
      <c r="CZ402" s="11"/>
      <c r="DA402" s="11"/>
      <c r="DB402" s="11"/>
      <c r="DC402" s="11"/>
      <c r="DD402" s="11"/>
      <c r="DE402" s="11"/>
      <c r="DF402" s="11"/>
      <c r="DG402" s="11"/>
      <c r="DH402" s="11"/>
      <c r="DI402" s="11"/>
      <c r="DJ402" s="11"/>
      <c r="DK402" s="11"/>
      <c r="DL402" s="11"/>
      <c r="DM402" s="118"/>
      <c r="DN402" s="118"/>
      <c r="DO402" s="118"/>
      <c r="DP402" s="52"/>
      <c r="DQ402" s="52"/>
      <c r="DR402" s="77"/>
      <c r="DS402" s="77"/>
      <c r="DT402" s="77"/>
      <c r="DU402" s="11"/>
      <c r="DV402" s="11"/>
      <c r="DW402" s="11"/>
      <c r="DX402" s="11"/>
      <c r="DY402" s="11"/>
      <c r="DZ402" s="11"/>
      <c r="EA402" s="11"/>
      <c r="EB402" s="11"/>
      <c r="EC402" s="11"/>
      <c r="ED402" s="11"/>
      <c r="EE402" s="11"/>
      <c r="EF402" s="11"/>
    </row>
    <row r="403" spans="1:136" ht="94.5" x14ac:dyDescent="0.25">
      <c r="A403" s="425">
        <v>401</v>
      </c>
      <c r="B403" s="426" t="s">
        <v>2027</v>
      </c>
      <c r="C403" s="413" t="s">
        <v>2028</v>
      </c>
      <c r="D403" s="413" t="s">
        <v>497</v>
      </c>
      <c r="E403" s="79">
        <v>1</v>
      </c>
      <c r="F403" s="405"/>
      <c r="G403" s="274"/>
      <c r="H403" s="274"/>
      <c r="I403" s="274"/>
      <c r="J403" s="274"/>
      <c r="K403" s="11"/>
      <c r="L403" s="274"/>
      <c r="M403" s="274"/>
      <c r="N403" s="274"/>
      <c r="O403" s="48"/>
      <c r="P403" s="11"/>
      <c r="Q403" s="274"/>
      <c r="R403" s="274"/>
      <c r="S403" s="274"/>
      <c r="T403" s="11"/>
      <c r="U403" s="11"/>
      <c r="V403" s="11"/>
      <c r="W403" s="11"/>
      <c r="X403" s="11"/>
      <c r="Y403" s="11"/>
      <c r="Z403" s="48"/>
      <c r="AA403" s="52"/>
      <c r="AB403" s="52"/>
      <c r="AC403" s="118"/>
      <c r="AD403" s="5"/>
      <c r="AE403" s="52"/>
      <c r="AF403" s="113"/>
      <c r="AG403" s="113"/>
      <c r="AH403" s="113"/>
      <c r="AI403" s="52"/>
      <c r="AJ403" s="11"/>
      <c r="AK403" s="269"/>
      <c r="AL403" s="269"/>
      <c r="AM403" s="116"/>
      <c r="AN403" s="301"/>
      <c r="AO403" s="302"/>
      <c r="AP403" s="11"/>
      <c r="AQ403" s="11"/>
      <c r="AR403" s="11"/>
      <c r="AS403" s="11"/>
      <c r="AT403" s="11"/>
      <c r="AU403" s="118">
        <v>3796600</v>
      </c>
      <c r="AV403" s="118" t="s">
        <v>2029</v>
      </c>
      <c r="AW403" s="118">
        <v>3796600</v>
      </c>
      <c r="AX403" s="52" t="s">
        <v>607</v>
      </c>
      <c r="AY403" s="52">
        <v>5100</v>
      </c>
      <c r="AZ403" s="11"/>
      <c r="BA403" s="11"/>
      <c r="BB403" s="11"/>
      <c r="BC403" s="11"/>
      <c r="BD403" s="11"/>
      <c r="BE403" s="274">
        <v>8799000</v>
      </c>
      <c r="BF403" s="274">
        <v>1671810</v>
      </c>
      <c r="BG403" s="274">
        <v>10470810</v>
      </c>
      <c r="BH403" s="11" t="s">
        <v>2030</v>
      </c>
      <c r="BI403" s="11">
        <v>5100</v>
      </c>
      <c r="BJ403" s="311"/>
      <c r="BK403" s="311"/>
      <c r="BL403" s="311"/>
      <c r="BM403" s="52"/>
      <c r="BN403" s="52"/>
      <c r="BO403" s="387"/>
      <c r="BP403" s="320"/>
      <c r="BQ403" s="320"/>
      <c r="BR403" s="4"/>
      <c r="BS403" s="4"/>
      <c r="BT403" s="11"/>
      <c r="BU403" s="11"/>
      <c r="BV403" s="11"/>
      <c r="BW403" s="11"/>
      <c r="BX403" s="11"/>
      <c r="BY403" s="348"/>
      <c r="BZ403" s="348"/>
      <c r="CA403" s="348"/>
      <c r="CB403" s="348"/>
      <c r="CC403" s="348"/>
      <c r="CD403" s="11"/>
      <c r="CE403" s="11"/>
      <c r="CF403" s="11"/>
      <c r="CG403" s="11"/>
      <c r="CH403" s="11"/>
      <c r="CI403" s="11"/>
      <c r="CJ403" s="11"/>
      <c r="CK403" s="11"/>
      <c r="CL403" s="11"/>
      <c r="CM403" s="11"/>
      <c r="CN403" s="274"/>
      <c r="CO403" s="274"/>
      <c r="CP403" s="274"/>
      <c r="CQ403" s="11"/>
      <c r="CR403" s="11"/>
      <c r="CS403" s="11"/>
      <c r="CT403" s="11"/>
      <c r="CU403" s="11"/>
      <c r="CV403" s="11"/>
      <c r="CW403" s="11"/>
      <c r="CX403" s="11"/>
      <c r="CY403" s="11"/>
      <c r="CZ403" s="11"/>
      <c r="DA403" s="11"/>
      <c r="DB403" s="11"/>
      <c r="DC403" s="11"/>
      <c r="DD403" s="11"/>
      <c r="DE403" s="11"/>
      <c r="DF403" s="11"/>
      <c r="DG403" s="11"/>
      <c r="DH403" s="11"/>
      <c r="DI403" s="11"/>
      <c r="DJ403" s="11"/>
      <c r="DK403" s="11"/>
      <c r="DL403" s="11"/>
      <c r="DM403" s="118"/>
      <c r="DN403" s="118"/>
      <c r="DO403" s="118"/>
      <c r="DP403" s="52"/>
      <c r="DQ403" s="52"/>
      <c r="DR403" s="77"/>
      <c r="DS403" s="77"/>
      <c r="DT403" s="77"/>
      <c r="DU403" s="11"/>
      <c r="DV403" s="11"/>
      <c r="DW403" s="11"/>
      <c r="DX403" s="11"/>
      <c r="DY403" s="11"/>
      <c r="DZ403" s="11"/>
      <c r="EA403" s="11"/>
      <c r="EB403" s="11"/>
      <c r="EC403" s="11"/>
      <c r="ED403" s="11"/>
      <c r="EE403" s="11"/>
      <c r="EF403" s="11"/>
    </row>
    <row r="404" spans="1:136" ht="67.5" x14ac:dyDescent="0.25">
      <c r="A404" s="425">
        <v>402</v>
      </c>
      <c r="B404" s="413" t="s">
        <v>2031</v>
      </c>
      <c r="C404" s="428" t="s">
        <v>2032</v>
      </c>
      <c r="D404" s="586" t="s">
        <v>2033</v>
      </c>
      <c r="E404" s="79">
        <v>1</v>
      </c>
      <c r="F404" s="405"/>
      <c r="G404" s="274"/>
      <c r="H404" s="274"/>
      <c r="I404" s="274"/>
      <c r="J404" s="274"/>
      <c r="K404" s="11"/>
      <c r="L404" s="274"/>
      <c r="M404" s="274"/>
      <c r="N404" s="274"/>
      <c r="O404" s="48"/>
      <c r="P404" s="11"/>
      <c r="Q404" s="274"/>
      <c r="R404" s="274"/>
      <c r="S404" s="274"/>
      <c r="T404" s="11"/>
      <c r="U404" s="11"/>
      <c r="V404" s="11"/>
      <c r="W404" s="11"/>
      <c r="X404" s="11"/>
      <c r="Y404" s="11"/>
      <c r="Z404" s="48"/>
      <c r="AA404" s="52"/>
      <c r="AB404" s="52"/>
      <c r="AC404" s="118"/>
      <c r="AD404" s="5"/>
      <c r="AE404" s="52"/>
      <c r="AF404" s="113"/>
      <c r="AG404" s="113"/>
      <c r="AH404" s="113"/>
      <c r="AI404" s="52"/>
      <c r="AJ404" s="11"/>
      <c r="AK404" s="269"/>
      <c r="AL404" s="269"/>
      <c r="AM404" s="116"/>
      <c r="AN404" s="301"/>
      <c r="AO404" s="302"/>
      <c r="AP404" s="11"/>
      <c r="AQ404" s="11"/>
      <c r="AR404" s="11"/>
      <c r="AS404" s="11"/>
      <c r="AT404" s="11"/>
      <c r="AU404" s="118"/>
      <c r="AV404" s="118"/>
      <c r="AW404" s="118"/>
      <c r="AX404" s="52"/>
      <c r="AY404" s="52"/>
      <c r="AZ404" s="11"/>
      <c r="BA404" s="11"/>
      <c r="BB404" s="11"/>
      <c r="BC404" s="11"/>
      <c r="BD404" s="11"/>
      <c r="BE404" s="274"/>
      <c r="BF404" s="274"/>
      <c r="BG404" s="274"/>
      <c r="BH404" s="11"/>
      <c r="BI404" s="11"/>
      <c r="BJ404" s="311"/>
      <c r="BK404" s="311"/>
      <c r="BL404" s="311"/>
      <c r="BM404" s="52"/>
      <c r="BN404" s="52"/>
      <c r="BO404" s="387"/>
      <c r="BP404" s="320"/>
      <c r="BQ404" s="320"/>
      <c r="BR404" s="4"/>
      <c r="BS404" s="4"/>
      <c r="BT404" s="11"/>
      <c r="BU404" s="11"/>
      <c r="BV404" s="11"/>
      <c r="BW404" s="11"/>
      <c r="BX404" s="11"/>
      <c r="BY404" s="348"/>
      <c r="BZ404" s="348"/>
      <c r="CA404" s="348"/>
      <c r="CB404" s="348"/>
      <c r="CC404" s="348"/>
      <c r="CD404" s="11"/>
      <c r="CE404" s="11"/>
      <c r="CF404" s="11"/>
      <c r="CG404" s="11"/>
      <c r="CH404" s="11"/>
      <c r="CI404" s="11"/>
      <c r="CJ404" s="11"/>
      <c r="CK404" s="11"/>
      <c r="CL404" s="11"/>
      <c r="CM404" s="11"/>
      <c r="CN404" s="274"/>
      <c r="CO404" s="274"/>
      <c r="CP404" s="274"/>
      <c r="CQ404" s="11"/>
      <c r="CR404" s="11"/>
      <c r="CS404" s="11"/>
      <c r="CT404" s="11"/>
      <c r="CU404" s="11"/>
      <c r="CV404" s="11"/>
      <c r="CW404" s="11"/>
      <c r="CX404" s="11"/>
      <c r="CY404" s="11"/>
      <c r="CZ404" s="11"/>
      <c r="DA404" s="11"/>
      <c r="DB404" s="11"/>
      <c r="DC404" s="11"/>
      <c r="DD404" s="11"/>
      <c r="DE404" s="11"/>
      <c r="DF404" s="11"/>
      <c r="DG404" s="11"/>
      <c r="DH404" s="11"/>
      <c r="DI404" s="11"/>
      <c r="DJ404" s="11"/>
      <c r="DK404" s="11"/>
      <c r="DL404" s="11"/>
      <c r="DM404" s="118"/>
      <c r="DN404" s="118"/>
      <c r="DO404" s="118"/>
      <c r="DP404" s="52"/>
      <c r="DQ404" s="52"/>
      <c r="DR404" s="77"/>
      <c r="DS404" s="77"/>
      <c r="DT404" s="77"/>
      <c r="DU404" s="11"/>
      <c r="DV404" s="11"/>
      <c r="DW404" s="11"/>
      <c r="DX404" s="11"/>
      <c r="DY404" s="11"/>
      <c r="DZ404" s="11"/>
      <c r="EA404" s="11"/>
      <c r="EB404" s="274">
        <v>584100</v>
      </c>
      <c r="EC404" s="274">
        <v>0</v>
      </c>
      <c r="ED404" s="274">
        <f>+EB404+EC404</f>
        <v>584100</v>
      </c>
      <c r="EE404" s="11" t="s">
        <v>2032</v>
      </c>
      <c r="EF404" s="11" t="s">
        <v>2034</v>
      </c>
    </row>
    <row r="405" spans="1:136" ht="38.25" x14ac:dyDescent="0.25">
      <c r="A405" s="425">
        <v>403</v>
      </c>
      <c r="B405" s="426" t="s">
        <v>2035</v>
      </c>
      <c r="C405" s="413" t="s">
        <v>138</v>
      </c>
      <c r="D405" s="413" t="s">
        <v>609</v>
      </c>
      <c r="E405" s="79">
        <v>1</v>
      </c>
      <c r="F405" s="406">
        <v>2256096.0100000002</v>
      </c>
      <c r="G405" s="274"/>
      <c r="H405" s="274"/>
      <c r="I405" s="274"/>
      <c r="J405" s="274"/>
      <c r="K405" s="11"/>
      <c r="L405" s="274">
        <v>740000</v>
      </c>
      <c r="M405" s="274">
        <f>L405*19%</f>
        <v>140600</v>
      </c>
      <c r="N405" s="274">
        <f>M405+L405</f>
        <v>880600</v>
      </c>
      <c r="O405" s="48" t="s">
        <v>862</v>
      </c>
      <c r="P405" s="11" t="s">
        <v>2036</v>
      </c>
      <c r="Q405" s="274"/>
      <c r="R405" s="274"/>
      <c r="S405" s="274"/>
      <c r="T405" s="11"/>
      <c r="U405" s="11"/>
      <c r="V405" s="11"/>
      <c r="W405" s="11"/>
      <c r="X405" s="11"/>
      <c r="Y405" s="11"/>
      <c r="Z405" s="48"/>
      <c r="AA405" s="52"/>
      <c r="AB405" s="52"/>
      <c r="AC405" s="118"/>
      <c r="AD405" s="5"/>
      <c r="AE405" s="52"/>
      <c r="AF405" s="113"/>
      <c r="AG405" s="113"/>
      <c r="AH405" s="113"/>
      <c r="AI405" s="52"/>
      <c r="AJ405" s="11"/>
      <c r="AK405" s="269"/>
      <c r="AL405" s="269"/>
      <c r="AM405" s="116"/>
      <c r="AN405" s="301"/>
      <c r="AO405" s="302"/>
      <c r="AP405" s="11"/>
      <c r="AQ405" s="11"/>
      <c r="AR405" s="11"/>
      <c r="AS405" s="11"/>
      <c r="AT405" s="11"/>
      <c r="AU405" s="118"/>
      <c r="AV405" s="118"/>
      <c r="AW405" s="118"/>
      <c r="AX405" s="52"/>
      <c r="AY405" s="52"/>
      <c r="AZ405" s="11"/>
      <c r="BA405" s="11"/>
      <c r="BB405" s="11"/>
      <c r="BC405" s="11"/>
      <c r="BD405" s="11"/>
      <c r="BE405" s="274"/>
      <c r="BF405" s="274"/>
      <c r="BG405" s="274"/>
      <c r="BH405" s="11"/>
      <c r="BI405" s="11"/>
      <c r="BJ405" s="311">
        <v>1696153.85</v>
      </c>
      <c r="BK405" s="311">
        <v>322269.23149999999</v>
      </c>
      <c r="BL405" s="311">
        <v>2018423.0815000001</v>
      </c>
      <c r="BM405" s="52" t="s">
        <v>138</v>
      </c>
      <c r="BN405" s="52">
        <v>28025013</v>
      </c>
      <c r="BO405" s="387"/>
      <c r="BP405" s="320"/>
      <c r="BQ405" s="320"/>
      <c r="BR405" s="4"/>
      <c r="BS405" s="4"/>
      <c r="BT405" s="11"/>
      <c r="BU405" s="11"/>
      <c r="BV405" s="11"/>
      <c r="BW405" s="11"/>
      <c r="BX405" s="11"/>
      <c r="BY405" s="348"/>
      <c r="BZ405" s="348"/>
      <c r="CA405" s="348"/>
      <c r="CB405" s="348"/>
      <c r="CC405" s="348"/>
      <c r="CD405" s="11"/>
      <c r="CE405" s="11"/>
      <c r="CF405" s="11"/>
      <c r="CG405" s="11"/>
      <c r="CH405" s="11"/>
      <c r="CI405" s="11"/>
      <c r="CJ405" s="11"/>
      <c r="CK405" s="11"/>
      <c r="CL405" s="11"/>
      <c r="CM405" s="11"/>
      <c r="CN405" s="274"/>
      <c r="CO405" s="274"/>
      <c r="CP405" s="274"/>
      <c r="CQ405" s="11"/>
      <c r="CR405" s="11"/>
      <c r="CS405" s="11"/>
      <c r="CT405" s="11"/>
      <c r="CU405" s="11"/>
      <c r="CV405" s="11"/>
      <c r="CW405" s="11"/>
      <c r="CX405" s="11"/>
      <c r="CY405" s="11"/>
      <c r="CZ405" s="11"/>
      <c r="DA405" s="11"/>
      <c r="DB405" s="11"/>
      <c r="DC405" s="11"/>
      <c r="DD405" s="11"/>
      <c r="DE405" s="11"/>
      <c r="DF405" s="11"/>
      <c r="DG405" s="11"/>
      <c r="DH405" s="11"/>
      <c r="DI405" s="11"/>
      <c r="DJ405" s="11"/>
      <c r="DK405" s="11"/>
      <c r="DL405" s="11"/>
      <c r="DM405" s="118"/>
      <c r="DN405" s="118"/>
      <c r="DO405" s="118"/>
      <c r="DP405" s="52"/>
      <c r="DQ405" s="52"/>
      <c r="DR405" s="77"/>
      <c r="DS405" s="77"/>
      <c r="DT405" s="77"/>
      <c r="DU405" s="11"/>
      <c r="DV405" s="11"/>
      <c r="DW405" s="11"/>
      <c r="DX405" s="11"/>
      <c r="DY405" s="11"/>
      <c r="DZ405" s="11"/>
      <c r="EA405" s="11"/>
      <c r="EB405" s="11"/>
      <c r="EC405" s="11"/>
      <c r="ED405" s="11"/>
      <c r="EE405" s="11"/>
      <c r="EF405" s="11"/>
    </row>
    <row r="406" spans="1:136" ht="25.5" x14ac:dyDescent="0.25">
      <c r="A406" s="425">
        <v>404</v>
      </c>
      <c r="B406" s="427" t="s">
        <v>2037</v>
      </c>
      <c r="C406" s="413" t="s">
        <v>2038</v>
      </c>
      <c r="D406" s="413" t="s">
        <v>2039</v>
      </c>
      <c r="E406" s="79">
        <v>1</v>
      </c>
      <c r="F406" s="405"/>
      <c r="G406" s="274">
        <v>247500</v>
      </c>
      <c r="H406" s="274">
        <v>47025</v>
      </c>
      <c r="I406" s="274">
        <v>294525</v>
      </c>
      <c r="J406" s="274" t="s">
        <v>45</v>
      </c>
      <c r="K406" s="11" t="s">
        <v>2040</v>
      </c>
      <c r="L406" s="274"/>
      <c r="M406" s="274"/>
      <c r="N406" s="274"/>
      <c r="O406" s="48"/>
      <c r="P406" s="11"/>
      <c r="Q406" s="274"/>
      <c r="R406" s="274"/>
      <c r="S406" s="274"/>
      <c r="T406" s="11"/>
      <c r="U406" s="11"/>
      <c r="V406" s="11"/>
      <c r="W406" s="11"/>
      <c r="X406" s="11"/>
      <c r="Y406" s="11"/>
      <c r="Z406" s="48"/>
      <c r="AA406" s="293">
        <v>515200</v>
      </c>
      <c r="AB406" s="118">
        <f>+AA406*0.19</f>
        <v>97888</v>
      </c>
      <c r="AC406" s="118">
        <f>+AA406+AB406</f>
        <v>613088</v>
      </c>
      <c r="AD406" s="5" t="s">
        <v>542</v>
      </c>
      <c r="AE406" s="5" t="s">
        <v>2041</v>
      </c>
      <c r="AF406" s="113"/>
      <c r="AG406" s="113"/>
      <c r="AH406" s="113"/>
      <c r="AI406" s="52"/>
      <c r="AJ406" s="11"/>
      <c r="AK406" s="269">
        <v>619000</v>
      </c>
      <c r="AL406" s="269">
        <v>117610</v>
      </c>
      <c r="AM406" s="116">
        <v>736610</v>
      </c>
      <c r="AN406" s="301" t="s">
        <v>37</v>
      </c>
      <c r="AO406" s="302" t="s">
        <v>2042</v>
      </c>
      <c r="AP406" s="11"/>
      <c r="AQ406" s="11"/>
      <c r="AR406" s="11"/>
      <c r="AS406" s="11"/>
      <c r="AT406" s="11"/>
      <c r="AU406" s="118">
        <v>652049</v>
      </c>
      <c r="AV406" s="118">
        <v>123889</v>
      </c>
      <c r="AW406" s="118">
        <v>775938</v>
      </c>
      <c r="AX406" s="52" t="s">
        <v>607</v>
      </c>
      <c r="AY406" s="52" t="s">
        <v>2042</v>
      </c>
      <c r="AZ406" s="11"/>
      <c r="BA406" s="11"/>
      <c r="BB406" s="11"/>
      <c r="BC406" s="11"/>
      <c r="BD406" s="11"/>
      <c r="BE406" s="274">
        <v>1130000</v>
      </c>
      <c r="BF406" s="274">
        <v>214700</v>
      </c>
      <c r="BG406" s="274">
        <v>1344700</v>
      </c>
      <c r="BH406" s="11" t="s">
        <v>37</v>
      </c>
      <c r="BI406" s="11" t="s">
        <v>2042</v>
      </c>
      <c r="BJ406" s="311"/>
      <c r="BK406" s="311"/>
      <c r="BL406" s="311"/>
      <c r="BM406" s="52"/>
      <c r="BN406" s="52"/>
      <c r="BO406" s="387"/>
      <c r="BP406" s="320"/>
      <c r="BQ406" s="320"/>
      <c r="BR406" s="4"/>
      <c r="BS406" s="4"/>
      <c r="BT406" s="11"/>
      <c r="BU406" s="11"/>
      <c r="BV406" s="11"/>
      <c r="BW406" s="11"/>
      <c r="BX406" s="11"/>
      <c r="BY406" s="348"/>
      <c r="BZ406" s="348"/>
      <c r="CA406" s="348"/>
      <c r="CB406" s="348"/>
      <c r="CC406" s="348"/>
      <c r="CD406" s="11"/>
      <c r="CE406" s="11"/>
      <c r="CF406" s="11"/>
      <c r="CG406" s="11"/>
      <c r="CH406" s="11"/>
      <c r="CI406" s="11"/>
      <c r="CJ406" s="11"/>
      <c r="CK406" s="11"/>
      <c r="CL406" s="11"/>
      <c r="CM406" s="11"/>
      <c r="CN406" s="274"/>
      <c r="CO406" s="274"/>
      <c r="CP406" s="274"/>
      <c r="CQ406" s="11"/>
      <c r="CR406" s="11"/>
      <c r="CS406" s="11"/>
      <c r="CT406" s="11"/>
      <c r="CU406" s="11"/>
      <c r="CV406" s="11"/>
      <c r="CW406" s="11"/>
      <c r="CX406" s="11"/>
      <c r="CY406" s="11"/>
      <c r="CZ406" s="11"/>
      <c r="DA406" s="11"/>
      <c r="DB406" s="11"/>
      <c r="DC406" s="11"/>
      <c r="DD406" s="11"/>
      <c r="DE406" s="11"/>
      <c r="DF406" s="11"/>
      <c r="DG406" s="11"/>
      <c r="DH406" s="11"/>
      <c r="DI406" s="11"/>
      <c r="DJ406" s="11"/>
      <c r="DK406" s="11"/>
      <c r="DL406" s="11"/>
      <c r="DM406" s="118"/>
      <c r="DN406" s="118"/>
      <c r="DO406" s="118"/>
      <c r="DP406" s="52"/>
      <c r="DQ406" s="52"/>
      <c r="DR406" s="77"/>
      <c r="DS406" s="77"/>
      <c r="DT406" s="77"/>
      <c r="DU406" s="11"/>
      <c r="DV406" s="11"/>
      <c r="DW406" s="11"/>
      <c r="DX406" s="11"/>
      <c r="DY406" s="11"/>
      <c r="DZ406" s="11"/>
      <c r="EA406" s="11"/>
      <c r="EB406" s="11"/>
      <c r="EC406" s="11"/>
      <c r="ED406" s="11"/>
      <c r="EE406" s="11"/>
      <c r="EF406" s="11"/>
    </row>
    <row r="407" spans="1:136" ht="25.5" x14ac:dyDescent="0.25">
      <c r="A407" s="425">
        <v>405</v>
      </c>
      <c r="B407" s="427" t="s">
        <v>2043</v>
      </c>
      <c r="C407" s="413" t="s">
        <v>58</v>
      </c>
      <c r="D407" s="413" t="s">
        <v>637</v>
      </c>
      <c r="E407" s="79">
        <v>1</v>
      </c>
      <c r="F407" s="406">
        <v>1571097.5</v>
      </c>
      <c r="G407" s="274">
        <v>725000</v>
      </c>
      <c r="H407" s="274">
        <v>137750</v>
      </c>
      <c r="I407" s="274">
        <v>862750</v>
      </c>
      <c r="J407" s="274" t="s">
        <v>2044</v>
      </c>
      <c r="K407" s="11" t="s">
        <v>2045</v>
      </c>
      <c r="L407" s="274"/>
      <c r="M407" s="274"/>
      <c r="N407" s="274"/>
      <c r="O407" s="48"/>
      <c r="P407" s="11"/>
      <c r="Q407" s="274"/>
      <c r="R407" s="274"/>
      <c r="S407" s="274"/>
      <c r="T407" s="11"/>
      <c r="U407" s="11"/>
      <c r="V407" s="11"/>
      <c r="W407" s="11"/>
      <c r="X407" s="11"/>
      <c r="Y407" s="11"/>
      <c r="Z407" s="48"/>
      <c r="AA407" s="293">
        <v>1190350</v>
      </c>
      <c r="AB407" s="118">
        <f>+AA407*0.19</f>
        <v>226166.5</v>
      </c>
      <c r="AC407" s="118">
        <f>+AA407+AB407</f>
        <v>1416516.5</v>
      </c>
      <c r="AD407" s="5" t="s">
        <v>542</v>
      </c>
      <c r="AE407" s="5" t="s">
        <v>2046</v>
      </c>
      <c r="AF407" s="113"/>
      <c r="AG407" s="113"/>
      <c r="AH407" s="113"/>
      <c r="AI407" s="52"/>
      <c r="AJ407" s="11"/>
      <c r="AK407" s="269">
        <v>668000</v>
      </c>
      <c r="AL407" s="269">
        <v>126920</v>
      </c>
      <c r="AM407" s="116">
        <v>794920</v>
      </c>
      <c r="AN407" s="301" t="s">
        <v>37</v>
      </c>
      <c r="AO407" s="302" t="s">
        <v>2047</v>
      </c>
      <c r="AP407" s="11"/>
      <c r="AQ407" s="11"/>
      <c r="AR407" s="11"/>
      <c r="AS407" s="11"/>
      <c r="AT407" s="11"/>
      <c r="AU407" s="118">
        <v>834286</v>
      </c>
      <c r="AV407" s="118">
        <v>158514</v>
      </c>
      <c r="AW407" s="118">
        <v>992800</v>
      </c>
      <c r="AX407" s="52" t="s">
        <v>607</v>
      </c>
      <c r="AY407" s="52" t="s">
        <v>2048</v>
      </c>
      <c r="AZ407" s="11"/>
      <c r="BA407" s="11"/>
      <c r="BB407" s="11"/>
      <c r="BC407" s="11"/>
      <c r="BD407" s="11"/>
      <c r="BE407" s="274"/>
      <c r="BF407" s="274"/>
      <c r="BG407" s="274"/>
      <c r="BH407" s="11"/>
      <c r="BI407" s="11"/>
      <c r="BJ407" s="311"/>
      <c r="BK407" s="311"/>
      <c r="BL407" s="311"/>
      <c r="BM407" s="52"/>
      <c r="BN407" s="52"/>
      <c r="BO407" s="387"/>
      <c r="BP407" s="320"/>
      <c r="BQ407" s="320"/>
      <c r="BR407" s="4"/>
      <c r="BS407" s="4"/>
      <c r="BT407" s="11"/>
      <c r="BU407" s="11"/>
      <c r="BV407" s="11"/>
      <c r="BW407" s="11"/>
      <c r="BX407" s="11"/>
      <c r="BY407" s="232"/>
      <c r="BZ407" s="232"/>
      <c r="CA407" s="232"/>
      <c r="CB407" s="348"/>
      <c r="CC407" s="348"/>
      <c r="CD407" s="11"/>
      <c r="CE407" s="11"/>
      <c r="CF407" s="11"/>
      <c r="CG407" s="11"/>
      <c r="CH407" s="11"/>
      <c r="CI407" s="11"/>
      <c r="CJ407" s="11"/>
      <c r="CK407" s="11"/>
      <c r="CL407" s="11"/>
      <c r="CM407" s="11"/>
      <c r="CN407" s="274"/>
      <c r="CO407" s="274"/>
      <c r="CP407" s="274"/>
      <c r="CQ407" s="11"/>
      <c r="CR407" s="11"/>
      <c r="CS407" s="11"/>
      <c r="CT407" s="11"/>
      <c r="CU407" s="11"/>
      <c r="CV407" s="11"/>
      <c r="CW407" s="11"/>
      <c r="CX407" s="11"/>
      <c r="CY407" s="11"/>
      <c r="CZ407" s="11"/>
      <c r="DA407" s="11"/>
      <c r="DB407" s="11"/>
      <c r="DC407" s="11"/>
      <c r="DD407" s="11"/>
      <c r="DE407" s="11"/>
      <c r="DF407" s="11"/>
      <c r="DG407" s="11"/>
      <c r="DH407" s="11"/>
      <c r="DI407" s="11"/>
      <c r="DJ407" s="11"/>
      <c r="DK407" s="11"/>
      <c r="DL407" s="11"/>
      <c r="DM407" s="118"/>
      <c r="DN407" s="118"/>
      <c r="DO407" s="118"/>
      <c r="DP407" s="52"/>
      <c r="DQ407" s="52"/>
      <c r="DR407" s="77"/>
      <c r="DS407" s="77"/>
      <c r="DT407" s="77"/>
      <c r="DU407" s="11"/>
      <c r="DV407" s="11"/>
      <c r="DW407" s="11"/>
      <c r="DX407" s="11"/>
      <c r="DY407" s="11"/>
      <c r="DZ407" s="11"/>
      <c r="EA407" s="11"/>
      <c r="EB407" s="11"/>
      <c r="EC407" s="11"/>
      <c r="ED407" s="11"/>
      <c r="EE407" s="11"/>
      <c r="EF407" s="11"/>
    </row>
    <row r="408" spans="1:136" ht="13.5" x14ac:dyDescent="0.25">
      <c r="A408" s="425">
        <v>406</v>
      </c>
      <c r="B408" s="427" t="s">
        <v>2049</v>
      </c>
      <c r="C408" s="427" t="s">
        <v>58</v>
      </c>
      <c r="D408" s="427" t="s">
        <v>637</v>
      </c>
      <c r="E408" s="79">
        <v>1</v>
      </c>
      <c r="F408" s="405"/>
      <c r="G408" s="274"/>
      <c r="H408" s="274"/>
      <c r="I408" s="274"/>
      <c r="J408" s="274"/>
      <c r="K408" s="11"/>
      <c r="L408" s="274"/>
      <c r="M408" s="274"/>
      <c r="N408" s="274"/>
      <c r="O408" s="48"/>
      <c r="P408" s="11"/>
      <c r="Q408" s="274"/>
      <c r="R408" s="274"/>
      <c r="S408" s="274"/>
      <c r="T408" s="11"/>
      <c r="U408" s="11"/>
      <c r="V408" s="11"/>
      <c r="W408" s="11"/>
      <c r="X408" s="11"/>
      <c r="Y408" s="11"/>
      <c r="Z408" s="48"/>
      <c r="AA408" s="52"/>
      <c r="AB408" s="52"/>
      <c r="AC408" s="118"/>
      <c r="AD408" s="5"/>
      <c r="AE408" s="52"/>
      <c r="AF408" s="113"/>
      <c r="AG408" s="113"/>
      <c r="AH408" s="113"/>
      <c r="AI408" s="52"/>
      <c r="AJ408" s="11"/>
      <c r="AK408" s="269">
        <v>2214000</v>
      </c>
      <c r="AL408" s="269">
        <v>420660</v>
      </c>
      <c r="AM408" s="116">
        <v>2634660</v>
      </c>
      <c r="AN408" s="301" t="s">
        <v>37</v>
      </c>
      <c r="AO408" s="302" t="s">
        <v>2050</v>
      </c>
      <c r="AP408" s="11"/>
      <c r="AQ408" s="11"/>
      <c r="AR408" s="11"/>
      <c r="AS408" s="11"/>
      <c r="AT408" s="11"/>
      <c r="AU408" s="118">
        <v>2332208</v>
      </c>
      <c r="AV408" s="118">
        <v>443119</v>
      </c>
      <c r="AW408" s="118">
        <v>2775327</v>
      </c>
      <c r="AX408" s="52" t="s">
        <v>607</v>
      </c>
      <c r="AY408" s="52" t="s">
        <v>2050</v>
      </c>
      <c r="AZ408" s="11"/>
      <c r="BA408" s="11"/>
      <c r="BB408" s="11"/>
      <c r="BC408" s="11"/>
      <c r="BD408" s="11"/>
      <c r="BE408" s="274"/>
      <c r="BF408" s="274"/>
      <c r="BG408" s="274"/>
      <c r="BH408" s="11"/>
      <c r="BI408" s="11"/>
      <c r="BJ408" s="311"/>
      <c r="BK408" s="311"/>
      <c r="BL408" s="311"/>
      <c r="BM408" s="52"/>
      <c r="BN408" s="52"/>
      <c r="BO408" s="387"/>
      <c r="BP408" s="320"/>
      <c r="BQ408" s="320"/>
      <c r="BR408" s="4"/>
      <c r="BS408" s="4"/>
      <c r="BT408" s="11"/>
      <c r="BU408" s="11"/>
      <c r="BV408" s="11"/>
      <c r="BW408" s="11"/>
      <c r="BX408" s="11"/>
      <c r="BY408" s="232"/>
      <c r="BZ408" s="232"/>
      <c r="CA408" s="232"/>
      <c r="CB408" s="348"/>
      <c r="CC408" s="348"/>
      <c r="CD408" s="11"/>
      <c r="CE408" s="11"/>
      <c r="CF408" s="11"/>
      <c r="CG408" s="11"/>
      <c r="CH408" s="11"/>
      <c r="CI408" s="11"/>
      <c r="CJ408" s="11"/>
      <c r="CK408" s="11"/>
      <c r="CL408" s="11"/>
      <c r="CM408" s="11"/>
      <c r="CN408" s="274"/>
      <c r="CO408" s="274"/>
      <c r="CP408" s="274"/>
      <c r="CQ408" s="11"/>
      <c r="CR408" s="11"/>
      <c r="CS408" s="11"/>
      <c r="CT408" s="11"/>
      <c r="CU408" s="11"/>
      <c r="CV408" s="11"/>
      <c r="CW408" s="11"/>
      <c r="CX408" s="11"/>
      <c r="CY408" s="11"/>
      <c r="CZ408" s="11"/>
      <c r="DA408" s="11"/>
      <c r="DB408" s="11"/>
      <c r="DC408" s="11"/>
      <c r="DD408" s="11"/>
      <c r="DE408" s="11"/>
      <c r="DF408" s="11"/>
      <c r="DG408" s="11"/>
      <c r="DH408" s="11"/>
      <c r="DI408" s="11"/>
      <c r="DJ408" s="11"/>
      <c r="DK408" s="11"/>
      <c r="DL408" s="11"/>
      <c r="DM408" s="118"/>
      <c r="DN408" s="118"/>
      <c r="DO408" s="118"/>
      <c r="DP408" s="52"/>
      <c r="DQ408" s="52"/>
      <c r="DR408" s="77"/>
      <c r="DS408" s="77"/>
      <c r="DT408" s="77"/>
      <c r="DU408" s="11"/>
      <c r="DV408" s="11"/>
      <c r="DW408" s="11"/>
      <c r="DX408" s="11"/>
      <c r="DY408" s="11"/>
      <c r="DZ408" s="11"/>
      <c r="EA408" s="11"/>
      <c r="EB408" s="11"/>
      <c r="EC408" s="11"/>
      <c r="ED408" s="11"/>
      <c r="EE408" s="11"/>
      <c r="EF408" s="11"/>
    </row>
    <row r="409" spans="1:136" ht="13.5" x14ac:dyDescent="0.25">
      <c r="A409" s="425">
        <v>407</v>
      </c>
      <c r="B409" s="427" t="s">
        <v>2051</v>
      </c>
      <c r="C409" s="413" t="s">
        <v>58</v>
      </c>
      <c r="D409" s="413" t="s">
        <v>637</v>
      </c>
      <c r="E409" s="79">
        <v>1</v>
      </c>
      <c r="F409" s="405"/>
      <c r="G409" s="274">
        <v>185000</v>
      </c>
      <c r="H409" s="274">
        <v>35150</v>
      </c>
      <c r="I409" s="274">
        <v>220150</v>
      </c>
      <c r="J409" s="274" t="s">
        <v>45</v>
      </c>
      <c r="K409" s="11" t="s">
        <v>2052</v>
      </c>
      <c r="L409" s="274"/>
      <c r="M409" s="274"/>
      <c r="N409" s="274"/>
      <c r="O409" s="48"/>
      <c r="P409" s="11"/>
      <c r="Q409" s="274"/>
      <c r="R409" s="274"/>
      <c r="S409" s="274"/>
      <c r="T409" s="11"/>
      <c r="U409" s="11"/>
      <c r="V409" s="11"/>
      <c r="W409" s="11"/>
      <c r="X409" s="11"/>
      <c r="Y409" s="11"/>
      <c r="Z409" s="48"/>
      <c r="AA409" s="52"/>
      <c r="AB409" s="52"/>
      <c r="AC409" s="118"/>
      <c r="AD409" s="5"/>
      <c r="AE409" s="52"/>
      <c r="AF409" s="113"/>
      <c r="AG409" s="113"/>
      <c r="AH409" s="113"/>
      <c r="AI409" s="52"/>
      <c r="AJ409" s="11"/>
      <c r="AK409" s="269">
        <v>243000</v>
      </c>
      <c r="AL409" s="269">
        <v>46170</v>
      </c>
      <c r="AM409" s="116">
        <v>289170</v>
      </c>
      <c r="AN409" s="301" t="s">
        <v>88</v>
      </c>
      <c r="AO409" s="302">
        <v>1015420100</v>
      </c>
      <c r="AP409" s="11"/>
      <c r="AQ409" s="11"/>
      <c r="AR409" s="11"/>
      <c r="AS409" s="11"/>
      <c r="AT409" s="11"/>
      <c r="AU409" s="118">
        <v>213838</v>
      </c>
      <c r="AV409" s="118">
        <v>40629</v>
      </c>
      <c r="AW409" s="118">
        <v>254468</v>
      </c>
      <c r="AX409" s="52" t="s">
        <v>607</v>
      </c>
      <c r="AY409" s="52" t="s">
        <v>2053</v>
      </c>
      <c r="AZ409" s="11"/>
      <c r="BA409" s="11"/>
      <c r="BB409" s="11"/>
      <c r="BC409" s="11"/>
      <c r="BD409" s="11"/>
      <c r="BE409" s="274"/>
      <c r="BF409" s="274"/>
      <c r="BG409" s="274"/>
      <c r="BH409" s="11"/>
      <c r="BI409" s="11"/>
      <c r="BJ409" s="311"/>
      <c r="BK409" s="311"/>
      <c r="BL409" s="311"/>
      <c r="BM409" s="52"/>
      <c r="BN409" s="52"/>
      <c r="BO409" s="387"/>
      <c r="BP409" s="320"/>
      <c r="BQ409" s="320"/>
      <c r="BR409" s="4"/>
      <c r="BS409" s="4"/>
      <c r="BT409" s="11"/>
      <c r="BU409" s="11"/>
      <c r="BV409" s="11"/>
      <c r="BW409" s="11"/>
      <c r="BX409" s="11"/>
      <c r="BY409" s="348"/>
      <c r="BZ409" s="348"/>
      <c r="CA409" s="348"/>
      <c r="CB409" s="348"/>
      <c r="CC409" s="348"/>
      <c r="CD409" s="11"/>
      <c r="CE409" s="11"/>
      <c r="CF409" s="11"/>
      <c r="CG409" s="11"/>
      <c r="CH409" s="11"/>
      <c r="CI409" s="11"/>
      <c r="CJ409" s="11"/>
      <c r="CK409" s="11"/>
      <c r="CL409" s="11"/>
      <c r="CM409" s="11"/>
      <c r="CN409" s="274"/>
      <c r="CO409" s="274"/>
      <c r="CP409" s="274"/>
      <c r="CQ409" s="11"/>
      <c r="CR409" s="11"/>
      <c r="CS409" s="11"/>
      <c r="CT409" s="11"/>
      <c r="CU409" s="11"/>
      <c r="CV409" s="11"/>
      <c r="CW409" s="11"/>
      <c r="CX409" s="11"/>
      <c r="CY409" s="11"/>
      <c r="CZ409" s="11"/>
      <c r="DA409" s="11"/>
      <c r="DB409" s="11"/>
      <c r="DC409" s="11"/>
      <c r="DD409" s="11"/>
      <c r="DE409" s="11"/>
      <c r="DF409" s="11"/>
      <c r="DG409" s="11"/>
      <c r="DH409" s="11"/>
      <c r="DI409" s="11"/>
      <c r="DJ409" s="11"/>
      <c r="DK409" s="11"/>
      <c r="DL409" s="11"/>
      <c r="DM409" s="118"/>
      <c r="DN409" s="118"/>
      <c r="DO409" s="118"/>
      <c r="DP409" s="52"/>
      <c r="DQ409" s="52"/>
      <c r="DR409" s="77"/>
      <c r="DS409" s="77"/>
      <c r="DT409" s="77"/>
      <c r="DU409" s="11"/>
      <c r="DV409" s="11"/>
      <c r="DW409" s="11"/>
      <c r="DX409" s="11"/>
      <c r="DY409" s="11"/>
      <c r="DZ409" s="11"/>
      <c r="EA409" s="11"/>
      <c r="EB409" s="11"/>
      <c r="EC409" s="11"/>
      <c r="ED409" s="11"/>
      <c r="EE409" s="11"/>
      <c r="EF409" s="11"/>
    </row>
    <row r="410" spans="1:136" ht="13.5" x14ac:dyDescent="0.25">
      <c r="A410" s="425">
        <v>408</v>
      </c>
      <c r="B410" s="427" t="s">
        <v>2054</v>
      </c>
      <c r="C410" s="413" t="s">
        <v>1371</v>
      </c>
      <c r="D410" s="413" t="s">
        <v>637</v>
      </c>
      <c r="E410" s="79">
        <v>1</v>
      </c>
      <c r="F410" s="404">
        <v>527888.76</v>
      </c>
      <c r="G410" s="274"/>
      <c r="H410" s="274"/>
      <c r="I410" s="274"/>
      <c r="J410" s="274"/>
      <c r="K410" s="11"/>
      <c r="L410" s="274"/>
      <c r="M410" s="274"/>
      <c r="N410" s="274"/>
      <c r="O410" s="48"/>
      <c r="P410" s="11"/>
      <c r="Q410" s="274"/>
      <c r="R410" s="274"/>
      <c r="S410" s="274"/>
      <c r="T410" s="11"/>
      <c r="U410" s="11"/>
      <c r="V410" s="11"/>
      <c r="W410" s="11"/>
      <c r="X410" s="11"/>
      <c r="Y410" s="11"/>
      <c r="Z410" s="48"/>
      <c r="AA410" s="52"/>
      <c r="AB410" s="52"/>
      <c r="AC410" s="118"/>
      <c r="AD410" s="5"/>
      <c r="AE410" s="52"/>
      <c r="AF410" s="113"/>
      <c r="AG410" s="113"/>
      <c r="AH410" s="113"/>
      <c r="AI410" s="52"/>
      <c r="AJ410" s="11"/>
      <c r="AK410" s="269">
        <v>343000</v>
      </c>
      <c r="AL410" s="269">
        <v>65170</v>
      </c>
      <c r="AM410" s="116">
        <v>408170</v>
      </c>
      <c r="AN410" s="301" t="s">
        <v>37</v>
      </c>
      <c r="AO410" s="302" t="s">
        <v>2055</v>
      </c>
      <c r="AP410" s="11"/>
      <c r="AQ410" s="11"/>
      <c r="AR410" s="11"/>
      <c r="AS410" s="11"/>
      <c r="AT410" s="11"/>
      <c r="AU410" s="118">
        <v>472727</v>
      </c>
      <c r="AV410" s="118">
        <v>89818</v>
      </c>
      <c r="AW410" s="118">
        <v>562545</v>
      </c>
      <c r="AX410" s="52" t="s">
        <v>607</v>
      </c>
      <c r="AY410" s="52" t="s">
        <v>2056</v>
      </c>
      <c r="AZ410" s="11"/>
      <c r="BA410" s="11"/>
      <c r="BB410" s="11"/>
      <c r="BC410" s="11"/>
      <c r="BD410" s="11"/>
      <c r="BE410" s="274"/>
      <c r="BF410" s="274"/>
      <c r="BG410" s="274"/>
      <c r="BH410" s="11"/>
      <c r="BI410" s="11"/>
      <c r="BJ410" s="311"/>
      <c r="BK410" s="311"/>
      <c r="BL410" s="311"/>
      <c r="BM410" s="52"/>
      <c r="BN410" s="52"/>
      <c r="BO410" s="387"/>
      <c r="BP410" s="320"/>
      <c r="BQ410" s="320"/>
      <c r="BR410" s="4"/>
      <c r="BS410" s="4"/>
      <c r="BT410" s="11"/>
      <c r="BU410" s="11"/>
      <c r="BV410" s="11"/>
      <c r="BW410" s="11"/>
      <c r="BX410" s="11"/>
      <c r="BY410" s="348"/>
      <c r="BZ410" s="348"/>
      <c r="CA410" s="348"/>
      <c r="CB410" s="348"/>
      <c r="CC410" s="348"/>
      <c r="CD410" s="11"/>
      <c r="CE410" s="11"/>
      <c r="CF410" s="11"/>
      <c r="CG410" s="11"/>
      <c r="CH410" s="11"/>
      <c r="CI410" s="11"/>
      <c r="CJ410" s="11"/>
      <c r="CK410" s="11"/>
      <c r="CL410" s="11"/>
      <c r="CM410" s="11"/>
      <c r="CN410" s="274"/>
      <c r="CO410" s="274"/>
      <c r="CP410" s="274"/>
      <c r="CQ410" s="11"/>
      <c r="CR410" s="11"/>
      <c r="CS410" s="11"/>
      <c r="CT410" s="11"/>
      <c r="CU410" s="11"/>
      <c r="CV410" s="11"/>
      <c r="CW410" s="11"/>
      <c r="CX410" s="11"/>
      <c r="CY410" s="11"/>
      <c r="CZ410" s="11"/>
      <c r="DA410" s="11"/>
      <c r="DB410" s="11"/>
      <c r="DC410" s="11"/>
      <c r="DD410" s="11"/>
      <c r="DE410" s="11"/>
      <c r="DF410" s="11"/>
      <c r="DG410" s="11"/>
      <c r="DH410" s="11"/>
      <c r="DI410" s="11"/>
      <c r="DJ410" s="11"/>
      <c r="DK410" s="11"/>
      <c r="DL410" s="11"/>
      <c r="DM410" s="118"/>
      <c r="DN410" s="118"/>
      <c r="DO410" s="118"/>
      <c r="DP410" s="52"/>
      <c r="DQ410" s="52"/>
      <c r="DR410" s="77"/>
      <c r="DS410" s="77"/>
      <c r="DT410" s="77"/>
      <c r="DU410" s="11"/>
      <c r="DV410" s="11"/>
      <c r="DW410" s="11"/>
      <c r="DX410" s="11"/>
      <c r="DY410" s="11"/>
      <c r="DZ410" s="11"/>
      <c r="EA410" s="11"/>
      <c r="EB410" s="11"/>
      <c r="EC410" s="11"/>
      <c r="ED410" s="11"/>
      <c r="EE410" s="11"/>
      <c r="EF410" s="11"/>
    </row>
    <row r="411" spans="1:136" ht="13.5" x14ac:dyDescent="0.25">
      <c r="A411" s="425">
        <v>409</v>
      </c>
      <c r="B411" s="427" t="s">
        <v>2057</v>
      </c>
      <c r="C411" s="427" t="s">
        <v>647</v>
      </c>
      <c r="D411" s="427" t="s">
        <v>132</v>
      </c>
      <c r="E411" s="79">
        <v>1</v>
      </c>
      <c r="F411" s="405"/>
      <c r="G411" s="274">
        <v>373750</v>
      </c>
      <c r="H411" s="274">
        <v>71012.5</v>
      </c>
      <c r="I411" s="274">
        <v>444762.5</v>
      </c>
      <c r="J411" s="274" t="s">
        <v>45</v>
      </c>
      <c r="K411" s="11" t="s">
        <v>2058</v>
      </c>
      <c r="L411" s="274"/>
      <c r="M411" s="274"/>
      <c r="N411" s="274"/>
      <c r="O411" s="48"/>
      <c r="P411" s="11"/>
      <c r="Q411" s="274"/>
      <c r="R411" s="274"/>
      <c r="S411" s="274"/>
      <c r="T411" s="11"/>
      <c r="U411" s="11"/>
      <c r="V411" s="11"/>
      <c r="W411" s="11"/>
      <c r="X411" s="11"/>
      <c r="Y411" s="11"/>
      <c r="Z411" s="48"/>
      <c r="AA411" s="52"/>
      <c r="AB411" s="52"/>
      <c r="AC411" s="118"/>
      <c r="AD411" s="5"/>
      <c r="AE411" s="52"/>
      <c r="AF411" s="113"/>
      <c r="AG411" s="113"/>
      <c r="AH411" s="113"/>
      <c r="AI411" s="52"/>
      <c r="AJ411" s="11"/>
      <c r="AK411" s="269">
        <v>483000</v>
      </c>
      <c r="AL411" s="269">
        <v>91770</v>
      </c>
      <c r="AM411" s="116">
        <v>574770</v>
      </c>
      <c r="AN411" s="301" t="s">
        <v>37</v>
      </c>
      <c r="AO411" s="302">
        <v>1028380100</v>
      </c>
      <c r="AP411" s="11"/>
      <c r="AQ411" s="11"/>
      <c r="AR411" s="11"/>
      <c r="AS411" s="11"/>
      <c r="AT411" s="11"/>
      <c r="AU411" s="118">
        <v>1058658</v>
      </c>
      <c r="AV411" s="118">
        <v>201145</v>
      </c>
      <c r="AW411" s="118">
        <v>1259803</v>
      </c>
      <c r="AX411" s="52" t="s">
        <v>607</v>
      </c>
      <c r="AY411" s="52" t="s">
        <v>2059</v>
      </c>
      <c r="AZ411" s="11"/>
      <c r="BA411" s="11"/>
      <c r="BB411" s="11"/>
      <c r="BC411" s="11"/>
      <c r="BD411" s="11"/>
      <c r="BE411" s="274"/>
      <c r="BF411" s="274"/>
      <c r="BG411" s="274"/>
      <c r="BH411" s="11"/>
      <c r="BI411" s="11"/>
      <c r="BJ411" s="311"/>
      <c r="BK411" s="311"/>
      <c r="BL411" s="311"/>
      <c r="BM411" s="52"/>
      <c r="BN411" s="52"/>
      <c r="BO411" s="387"/>
      <c r="BP411" s="320"/>
      <c r="BQ411" s="320"/>
      <c r="BR411" s="4"/>
      <c r="BS411" s="4"/>
      <c r="BT411" s="11"/>
      <c r="BU411" s="11"/>
      <c r="BV411" s="11"/>
      <c r="BW411" s="11"/>
      <c r="BX411" s="11"/>
      <c r="BY411" s="348"/>
      <c r="BZ411" s="348"/>
      <c r="CA411" s="348"/>
      <c r="CB411" s="348"/>
      <c r="CC411" s="348"/>
      <c r="CD411" s="11"/>
      <c r="CE411" s="11"/>
      <c r="CF411" s="11"/>
      <c r="CG411" s="11"/>
      <c r="CH411" s="11"/>
      <c r="CI411" s="11"/>
      <c r="CJ411" s="11"/>
      <c r="CK411" s="11"/>
      <c r="CL411" s="11"/>
      <c r="CM411" s="11"/>
      <c r="CN411" s="274"/>
      <c r="CO411" s="274"/>
      <c r="CP411" s="274"/>
      <c r="CQ411" s="11"/>
      <c r="CR411" s="11"/>
      <c r="CS411" s="11"/>
      <c r="CT411" s="11"/>
      <c r="CU411" s="11"/>
      <c r="CV411" s="11"/>
      <c r="CW411" s="11"/>
      <c r="CX411" s="11"/>
      <c r="CY411" s="11"/>
      <c r="CZ411" s="11"/>
      <c r="DA411" s="11"/>
      <c r="DB411" s="11"/>
      <c r="DC411" s="11"/>
      <c r="DD411" s="11"/>
      <c r="DE411" s="11"/>
      <c r="DF411" s="11"/>
      <c r="DG411" s="11"/>
      <c r="DH411" s="11"/>
      <c r="DI411" s="11"/>
      <c r="DJ411" s="11"/>
      <c r="DK411" s="11"/>
      <c r="DL411" s="11"/>
      <c r="DM411" s="118"/>
      <c r="DN411" s="118"/>
      <c r="DO411" s="118"/>
      <c r="DP411" s="52"/>
      <c r="DQ411" s="52"/>
      <c r="DR411" s="77"/>
      <c r="DS411" s="77"/>
      <c r="DT411" s="77"/>
      <c r="DU411" s="11"/>
      <c r="DV411" s="11"/>
      <c r="DW411" s="11"/>
      <c r="DX411" s="11"/>
      <c r="DY411" s="11"/>
      <c r="DZ411" s="11"/>
      <c r="EA411" s="11"/>
      <c r="EB411" s="11"/>
      <c r="EC411" s="11"/>
      <c r="ED411" s="11"/>
      <c r="EE411" s="11"/>
      <c r="EF411" s="11"/>
    </row>
    <row r="412" spans="1:136" ht="13.5" x14ac:dyDescent="0.25">
      <c r="A412" s="425">
        <v>410</v>
      </c>
      <c r="B412" s="428" t="s">
        <v>2060</v>
      </c>
      <c r="C412" s="428" t="s">
        <v>2061</v>
      </c>
      <c r="D412" s="413" t="s">
        <v>1297</v>
      </c>
      <c r="E412" s="79">
        <v>1</v>
      </c>
      <c r="F412" s="405"/>
      <c r="G412" s="274"/>
      <c r="H412" s="274"/>
      <c r="I412" s="274"/>
      <c r="J412" s="274"/>
      <c r="K412" s="11"/>
      <c r="L412" s="274"/>
      <c r="M412" s="274"/>
      <c r="N412" s="274"/>
      <c r="O412" s="48"/>
      <c r="P412" s="11"/>
      <c r="Q412" s="274"/>
      <c r="R412" s="274"/>
      <c r="S412" s="274"/>
      <c r="T412" s="11"/>
      <c r="U412" s="11"/>
      <c r="V412" s="11"/>
      <c r="W412" s="11"/>
      <c r="X412" s="11"/>
      <c r="Y412" s="11"/>
      <c r="Z412" s="48"/>
      <c r="AA412" s="52"/>
      <c r="AB412" s="52"/>
      <c r="AC412" s="118"/>
      <c r="AD412" s="5"/>
      <c r="AE412" s="52"/>
      <c r="AF412" s="113"/>
      <c r="AG412" s="113"/>
      <c r="AH412" s="113"/>
      <c r="AI412" s="52"/>
      <c r="AJ412" s="11"/>
      <c r="AK412" s="269">
        <v>103000</v>
      </c>
      <c r="AL412" s="269">
        <v>19570</v>
      </c>
      <c r="AM412" s="116">
        <v>122570</v>
      </c>
      <c r="AN412" s="301" t="s">
        <v>37</v>
      </c>
      <c r="AO412" s="302" t="s">
        <v>1227</v>
      </c>
      <c r="AP412" s="11"/>
      <c r="AQ412" s="11"/>
      <c r="AR412" s="11"/>
      <c r="AS412" s="11"/>
      <c r="AT412" s="11"/>
      <c r="AU412" s="118">
        <v>286522</v>
      </c>
      <c r="AV412" s="118">
        <v>54439</v>
      </c>
      <c r="AW412" s="118">
        <v>340962</v>
      </c>
      <c r="AX412" s="52" t="s">
        <v>607</v>
      </c>
      <c r="AY412" s="52" t="s">
        <v>2062</v>
      </c>
      <c r="AZ412" s="11"/>
      <c r="BA412" s="11"/>
      <c r="BB412" s="11"/>
      <c r="BC412" s="11"/>
      <c r="BD412" s="11"/>
      <c r="BE412" s="274">
        <v>188000</v>
      </c>
      <c r="BF412" s="274">
        <v>35720</v>
      </c>
      <c r="BG412" s="274">
        <v>223720</v>
      </c>
      <c r="BH412" s="11" t="s">
        <v>37</v>
      </c>
      <c r="BI412" s="11" t="s">
        <v>1227</v>
      </c>
      <c r="BJ412" s="311">
        <v>59823.08</v>
      </c>
      <c r="BK412" s="311">
        <v>11366.385200000001</v>
      </c>
      <c r="BL412" s="311">
        <v>71189.465200000006</v>
      </c>
      <c r="BM412" s="52" t="s">
        <v>1900</v>
      </c>
      <c r="BN412" s="52">
        <v>25030149</v>
      </c>
      <c r="BO412" s="387"/>
      <c r="BP412" s="320"/>
      <c r="BQ412" s="320"/>
      <c r="BR412" s="4"/>
      <c r="BS412" s="4"/>
      <c r="BT412" s="11"/>
      <c r="BU412" s="11"/>
      <c r="BV412" s="11"/>
      <c r="BW412" s="11"/>
      <c r="BX412" s="11"/>
      <c r="BY412" s="348"/>
      <c r="BZ412" s="348"/>
      <c r="CA412" s="348"/>
      <c r="CB412" s="348"/>
      <c r="CC412" s="348"/>
      <c r="CD412" s="11"/>
      <c r="CE412" s="11"/>
      <c r="CF412" s="11"/>
      <c r="CG412" s="11"/>
      <c r="CH412" s="11"/>
      <c r="CI412" s="11"/>
      <c r="CJ412" s="11"/>
      <c r="CK412" s="11"/>
      <c r="CL412" s="11"/>
      <c r="CM412" s="11"/>
      <c r="CN412" s="274"/>
      <c r="CO412" s="274"/>
      <c r="CP412" s="274"/>
      <c r="CQ412" s="11"/>
      <c r="CR412" s="11"/>
      <c r="CS412" s="11"/>
      <c r="CT412" s="11"/>
      <c r="CU412" s="11"/>
      <c r="CV412" s="11"/>
      <c r="CW412" s="11"/>
      <c r="CX412" s="11"/>
      <c r="CY412" s="11"/>
      <c r="CZ412" s="11"/>
      <c r="DA412" s="11"/>
      <c r="DB412" s="11"/>
      <c r="DC412" s="11"/>
      <c r="DD412" s="11"/>
      <c r="DE412" s="11"/>
      <c r="DF412" s="11"/>
      <c r="DG412" s="11"/>
      <c r="DH412" s="11"/>
      <c r="DI412" s="11"/>
      <c r="DJ412" s="11"/>
      <c r="DK412" s="11"/>
      <c r="DL412" s="11"/>
      <c r="DM412" s="118"/>
      <c r="DN412" s="118"/>
      <c r="DO412" s="118"/>
      <c r="DP412" s="52"/>
      <c r="DQ412" s="52"/>
      <c r="DR412" s="77"/>
      <c r="DS412" s="77"/>
      <c r="DT412" s="77"/>
      <c r="DU412" s="11"/>
      <c r="DV412" s="11"/>
      <c r="DW412" s="11"/>
      <c r="DX412" s="11"/>
      <c r="DY412" s="11"/>
      <c r="DZ412" s="11"/>
      <c r="EA412" s="11"/>
      <c r="EB412" s="11"/>
      <c r="EC412" s="11"/>
      <c r="ED412" s="11"/>
      <c r="EE412" s="11"/>
      <c r="EF412" s="11"/>
    </row>
    <row r="413" spans="1:136" ht="40.5" x14ac:dyDescent="0.25">
      <c r="A413" s="425">
        <v>411</v>
      </c>
      <c r="B413" s="427" t="s">
        <v>2063</v>
      </c>
      <c r="C413" s="413" t="s">
        <v>1923</v>
      </c>
      <c r="D413" s="413" t="s">
        <v>1029</v>
      </c>
      <c r="E413" s="79">
        <v>1</v>
      </c>
      <c r="F413" s="404">
        <v>956484.15800000005</v>
      </c>
      <c r="G413" s="274"/>
      <c r="H413" s="274"/>
      <c r="I413" s="274"/>
      <c r="J413" s="274"/>
      <c r="K413" s="11"/>
      <c r="L413" s="274"/>
      <c r="M413" s="274"/>
      <c r="N413" s="274"/>
      <c r="O413" s="48"/>
      <c r="P413" s="11"/>
      <c r="Q413" s="274"/>
      <c r="R413" s="274"/>
      <c r="S413" s="274"/>
      <c r="T413" s="11"/>
      <c r="U413" s="11"/>
      <c r="V413" s="11"/>
      <c r="W413" s="11"/>
      <c r="X413" s="11"/>
      <c r="Y413" s="11"/>
      <c r="Z413" s="48"/>
      <c r="AA413" s="52"/>
      <c r="AB413" s="52"/>
      <c r="AC413" s="118"/>
      <c r="AD413" s="5"/>
      <c r="AE413" s="52"/>
      <c r="AF413" s="113">
        <v>973000</v>
      </c>
      <c r="AG413" s="113">
        <f>AF413*0.19</f>
        <v>184870</v>
      </c>
      <c r="AH413" s="113">
        <f>AF413+AG413</f>
        <v>1157870</v>
      </c>
      <c r="AI413" s="277" t="s">
        <v>628</v>
      </c>
      <c r="AJ413" s="33" t="s">
        <v>2064</v>
      </c>
      <c r="AK413" s="269">
        <v>420000</v>
      </c>
      <c r="AL413" s="269">
        <v>79800</v>
      </c>
      <c r="AM413" s="116">
        <v>499800</v>
      </c>
      <c r="AN413" s="301" t="s">
        <v>37</v>
      </c>
      <c r="AO413" s="302" t="s">
        <v>2065</v>
      </c>
      <c r="AP413" s="11"/>
      <c r="AQ413" s="11"/>
      <c r="AR413" s="11"/>
      <c r="AS413" s="11"/>
      <c r="AT413" s="11"/>
      <c r="AU413" s="118">
        <v>442424</v>
      </c>
      <c r="AV413" s="118">
        <v>84061</v>
      </c>
      <c r="AW413" s="118">
        <v>526485</v>
      </c>
      <c r="AX413" s="52" t="s">
        <v>607</v>
      </c>
      <c r="AY413" s="52" t="s">
        <v>2065</v>
      </c>
      <c r="AZ413" s="11"/>
      <c r="BA413" s="11"/>
      <c r="BB413" s="11"/>
      <c r="BC413" s="11"/>
      <c r="BD413" s="11"/>
      <c r="BE413" s="274"/>
      <c r="BF413" s="274"/>
      <c r="BG413" s="274"/>
      <c r="BH413" s="11"/>
      <c r="BI413" s="11"/>
      <c r="BJ413" s="311"/>
      <c r="BK413" s="311"/>
      <c r="BL413" s="311"/>
      <c r="BM413" s="52"/>
      <c r="BN413" s="52"/>
      <c r="BO413" s="387"/>
      <c r="BP413" s="320"/>
      <c r="BQ413" s="320"/>
      <c r="BR413" s="4"/>
      <c r="BS413" s="4"/>
      <c r="BT413" s="11"/>
      <c r="BU413" s="11"/>
      <c r="BV413" s="11"/>
      <c r="BW413" s="11"/>
      <c r="BX413" s="11"/>
      <c r="BY413" s="348"/>
      <c r="BZ413" s="348"/>
      <c r="CA413" s="348"/>
      <c r="CB413" s="348"/>
      <c r="CC413" s="348"/>
      <c r="CD413" s="11"/>
      <c r="CE413" s="11"/>
      <c r="CF413" s="11"/>
      <c r="CG413" s="11"/>
      <c r="CH413" s="11"/>
      <c r="CI413" s="11"/>
      <c r="CJ413" s="11"/>
      <c r="CK413" s="11"/>
      <c r="CL413" s="11"/>
      <c r="CM413" s="11"/>
      <c r="CN413" s="274"/>
      <c r="CO413" s="274"/>
      <c r="CP413" s="274"/>
      <c r="CQ413" s="11"/>
      <c r="CR413" s="11"/>
      <c r="CS413" s="11"/>
      <c r="CT413" s="11"/>
      <c r="CU413" s="11"/>
      <c r="CV413" s="11"/>
      <c r="CW413" s="11"/>
      <c r="CX413" s="11"/>
      <c r="CY413" s="11"/>
      <c r="CZ413" s="11"/>
      <c r="DA413" s="11"/>
      <c r="DB413" s="11"/>
      <c r="DC413" s="11"/>
      <c r="DD413" s="11"/>
      <c r="DE413" s="11"/>
      <c r="DF413" s="11"/>
      <c r="DG413" s="11"/>
      <c r="DH413" s="11"/>
      <c r="DI413" s="11"/>
      <c r="DJ413" s="11"/>
      <c r="DK413" s="11"/>
      <c r="DL413" s="11"/>
      <c r="DM413" s="118"/>
      <c r="DN413" s="118"/>
      <c r="DO413" s="118"/>
      <c r="DP413" s="52"/>
      <c r="DQ413" s="52"/>
      <c r="DR413" s="77"/>
      <c r="DS413" s="77"/>
      <c r="DT413" s="77"/>
      <c r="DU413" s="11"/>
      <c r="DV413" s="11"/>
      <c r="DW413" s="11"/>
      <c r="DX413" s="11"/>
      <c r="DY413" s="11"/>
      <c r="DZ413" s="11"/>
      <c r="EA413" s="11"/>
      <c r="EB413" s="11"/>
      <c r="EC413" s="11"/>
      <c r="ED413" s="11"/>
      <c r="EE413" s="11"/>
      <c r="EF413" s="11"/>
    </row>
    <row r="414" spans="1:136" ht="40.5" x14ac:dyDescent="0.25">
      <c r="A414" s="425">
        <v>412</v>
      </c>
      <c r="B414" s="413" t="s">
        <v>2066</v>
      </c>
      <c r="C414" s="428" t="s">
        <v>2067</v>
      </c>
      <c r="D414" s="413" t="s">
        <v>1186</v>
      </c>
      <c r="E414" s="79">
        <v>1</v>
      </c>
      <c r="F414" s="405"/>
      <c r="G414" s="274"/>
      <c r="H414" s="274"/>
      <c r="I414" s="274"/>
      <c r="J414" s="274"/>
      <c r="K414" s="11"/>
      <c r="L414" s="274"/>
      <c r="M414" s="274"/>
      <c r="N414" s="274"/>
      <c r="O414" s="48"/>
      <c r="P414" s="11"/>
      <c r="Q414" s="274"/>
      <c r="R414" s="274"/>
      <c r="S414" s="274"/>
      <c r="T414" s="11"/>
      <c r="U414" s="11"/>
      <c r="V414" s="11"/>
      <c r="W414" s="11"/>
      <c r="X414" s="11"/>
      <c r="Y414" s="11"/>
      <c r="Z414" s="48"/>
      <c r="AA414" s="52"/>
      <c r="AB414" s="52"/>
      <c r="AC414" s="118"/>
      <c r="AD414" s="5"/>
      <c r="AE414" s="52"/>
      <c r="AF414" s="113"/>
      <c r="AG414" s="113"/>
      <c r="AH414" s="113"/>
      <c r="AI414" s="52"/>
      <c r="AJ414" s="11"/>
      <c r="AK414" s="269"/>
      <c r="AL414" s="269"/>
      <c r="AM414" s="116"/>
      <c r="AN414" s="301"/>
      <c r="AO414" s="302"/>
      <c r="AP414" s="11"/>
      <c r="AQ414" s="11"/>
      <c r="AR414" s="11"/>
      <c r="AS414" s="11"/>
      <c r="AT414" s="11"/>
      <c r="AU414" s="118"/>
      <c r="AV414" s="118"/>
      <c r="AW414" s="118"/>
      <c r="AX414" s="52"/>
      <c r="AY414" s="52"/>
      <c r="AZ414" s="11"/>
      <c r="BA414" s="11"/>
      <c r="BB414" s="11"/>
      <c r="BC414" s="11"/>
      <c r="BD414" s="11"/>
      <c r="BE414" s="274"/>
      <c r="BF414" s="274"/>
      <c r="BG414" s="274"/>
      <c r="BH414" s="11"/>
      <c r="BI414" s="11"/>
      <c r="BJ414" s="311"/>
      <c r="BK414" s="311"/>
      <c r="BL414" s="311"/>
      <c r="BM414" s="52"/>
      <c r="BN414" s="52"/>
      <c r="BO414" s="387"/>
      <c r="BP414" s="320"/>
      <c r="BQ414" s="320"/>
      <c r="BR414" s="4"/>
      <c r="BS414" s="4"/>
      <c r="BT414" s="11"/>
      <c r="BU414" s="11"/>
      <c r="BV414" s="11"/>
      <c r="BW414" s="11"/>
      <c r="BX414" s="11"/>
      <c r="BY414" s="232">
        <v>660000</v>
      </c>
      <c r="BZ414" s="232">
        <f>BY414*0.19</f>
        <v>125400</v>
      </c>
      <c r="CA414" s="232">
        <f>BY414+BZ414</f>
        <v>785400</v>
      </c>
      <c r="CB414" s="348" t="s">
        <v>772</v>
      </c>
      <c r="CC414" s="348">
        <v>89029</v>
      </c>
      <c r="CD414" s="11"/>
      <c r="CE414" s="11"/>
      <c r="CF414" s="11"/>
      <c r="CG414" s="11"/>
      <c r="CH414" s="11"/>
      <c r="CI414" s="11"/>
      <c r="CJ414" s="11"/>
      <c r="CK414" s="11"/>
      <c r="CL414" s="11"/>
      <c r="CM414" s="11"/>
      <c r="CN414" s="274"/>
      <c r="CO414" s="274"/>
      <c r="CP414" s="274"/>
      <c r="CQ414" s="11"/>
      <c r="CR414" s="11"/>
      <c r="CS414" s="11"/>
      <c r="CT414" s="11"/>
      <c r="CU414" s="11"/>
      <c r="CV414" s="11"/>
      <c r="CW414" s="11"/>
      <c r="CX414" s="11"/>
      <c r="CY414" s="11"/>
      <c r="CZ414" s="11"/>
      <c r="DA414" s="11"/>
      <c r="DB414" s="11"/>
      <c r="DC414" s="11"/>
      <c r="DD414" s="11"/>
      <c r="DE414" s="11"/>
      <c r="DF414" s="11"/>
      <c r="DG414" s="11"/>
      <c r="DH414" s="11"/>
      <c r="DI414" s="11"/>
      <c r="DJ414" s="11"/>
      <c r="DK414" s="11"/>
      <c r="DL414" s="11"/>
      <c r="DM414" s="118"/>
      <c r="DN414" s="118"/>
      <c r="DO414" s="118"/>
      <c r="DP414" s="52"/>
      <c r="DQ414" s="52"/>
      <c r="DR414" s="77"/>
      <c r="DS414" s="77"/>
      <c r="DT414" s="77"/>
      <c r="DU414" s="11"/>
      <c r="DV414" s="11"/>
      <c r="DW414" s="11"/>
      <c r="DX414" s="11"/>
      <c r="DY414" s="11"/>
      <c r="DZ414" s="11"/>
      <c r="EA414" s="11"/>
      <c r="EB414" s="11"/>
      <c r="EC414" s="11"/>
      <c r="ED414" s="11"/>
      <c r="EE414" s="11"/>
      <c r="EF414" s="11"/>
    </row>
    <row r="415" spans="1:136" ht="40.5" x14ac:dyDescent="0.25">
      <c r="A415" s="425">
        <v>413</v>
      </c>
      <c r="B415" s="413" t="s">
        <v>2068</v>
      </c>
      <c r="C415" s="428" t="s">
        <v>2067</v>
      </c>
      <c r="D415" s="413" t="s">
        <v>1186</v>
      </c>
      <c r="E415" s="79">
        <v>1</v>
      </c>
      <c r="F415" s="405"/>
      <c r="G415" s="274"/>
      <c r="H415" s="274"/>
      <c r="I415" s="274"/>
      <c r="J415" s="274"/>
      <c r="K415" s="11"/>
      <c r="L415" s="274"/>
      <c r="M415" s="274"/>
      <c r="N415" s="274"/>
      <c r="O415" s="48"/>
      <c r="P415" s="11"/>
      <c r="Q415" s="274"/>
      <c r="R415" s="274"/>
      <c r="S415" s="274"/>
      <c r="T415" s="11"/>
      <c r="U415" s="11"/>
      <c r="V415" s="11"/>
      <c r="W415" s="11"/>
      <c r="X415" s="11"/>
      <c r="Y415" s="11"/>
      <c r="Z415" s="48"/>
      <c r="AA415" s="52"/>
      <c r="AB415" s="52"/>
      <c r="AC415" s="118"/>
      <c r="AD415" s="5"/>
      <c r="AE415" s="52"/>
      <c r="AF415" s="113"/>
      <c r="AG415" s="113"/>
      <c r="AH415" s="113"/>
      <c r="AI415" s="52"/>
      <c r="AJ415" s="11"/>
      <c r="AK415" s="269"/>
      <c r="AL415" s="269"/>
      <c r="AM415" s="116"/>
      <c r="AN415" s="301"/>
      <c r="AO415" s="302"/>
      <c r="AP415" s="11"/>
      <c r="AQ415" s="11"/>
      <c r="AR415" s="11"/>
      <c r="AS415" s="11"/>
      <c r="AT415" s="11"/>
      <c r="AU415" s="118"/>
      <c r="AV415" s="118"/>
      <c r="AW415" s="118"/>
      <c r="AX415" s="52"/>
      <c r="AY415" s="52"/>
      <c r="AZ415" s="11"/>
      <c r="BA415" s="11"/>
      <c r="BB415" s="11"/>
      <c r="BC415" s="11"/>
      <c r="BD415" s="11"/>
      <c r="BE415" s="274"/>
      <c r="BF415" s="274"/>
      <c r="BG415" s="274"/>
      <c r="BH415" s="11"/>
      <c r="BI415" s="11"/>
      <c r="BJ415" s="311"/>
      <c r="BK415" s="311"/>
      <c r="BL415" s="311"/>
      <c r="BM415" s="52"/>
      <c r="BN415" s="52"/>
      <c r="BO415" s="387"/>
      <c r="BP415" s="320"/>
      <c r="BQ415" s="320"/>
      <c r="BR415" s="4"/>
      <c r="BS415" s="4"/>
      <c r="BT415" s="11"/>
      <c r="BU415" s="11"/>
      <c r="BV415" s="11"/>
      <c r="BW415" s="11"/>
      <c r="BX415" s="11"/>
      <c r="BY415" s="232">
        <v>660000</v>
      </c>
      <c r="BZ415" s="232">
        <f>BY415*0.19</f>
        <v>125400</v>
      </c>
      <c r="CA415" s="232">
        <f>BY415+BZ415</f>
        <v>785400</v>
      </c>
      <c r="CB415" s="348" t="s">
        <v>772</v>
      </c>
      <c r="CC415" s="348">
        <v>89030</v>
      </c>
      <c r="CD415" s="11"/>
      <c r="CE415" s="11"/>
      <c r="CF415" s="11"/>
      <c r="CG415" s="11"/>
      <c r="CH415" s="11"/>
      <c r="CI415" s="11"/>
      <c r="CJ415" s="11"/>
      <c r="CK415" s="11"/>
      <c r="CL415" s="11"/>
      <c r="CM415" s="11"/>
      <c r="CN415" s="274"/>
      <c r="CO415" s="274"/>
      <c r="CP415" s="274"/>
      <c r="CQ415" s="11"/>
      <c r="CR415" s="11"/>
      <c r="CS415" s="11"/>
      <c r="CT415" s="11"/>
      <c r="CU415" s="11"/>
      <c r="CV415" s="11"/>
      <c r="CW415" s="11"/>
      <c r="CX415" s="11"/>
      <c r="CY415" s="11"/>
      <c r="CZ415" s="11"/>
      <c r="DA415" s="11"/>
      <c r="DB415" s="11"/>
      <c r="DC415" s="11"/>
      <c r="DD415" s="11"/>
      <c r="DE415" s="11"/>
      <c r="DF415" s="11"/>
      <c r="DG415" s="11"/>
      <c r="DH415" s="11"/>
      <c r="DI415" s="11"/>
      <c r="DJ415" s="11"/>
      <c r="DK415" s="11"/>
      <c r="DL415" s="11"/>
      <c r="DM415" s="118"/>
      <c r="DN415" s="118"/>
      <c r="DO415" s="118"/>
      <c r="DP415" s="52"/>
      <c r="DQ415" s="52"/>
      <c r="DR415" s="77"/>
      <c r="DS415" s="77"/>
      <c r="DT415" s="77"/>
      <c r="DU415" s="11"/>
      <c r="DV415" s="11"/>
      <c r="DW415" s="11"/>
      <c r="DX415" s="11"/>
      <c r="DY415" s="11"/>
      <c r="DZ415" s="11"/>
      <c r="EA415" s="11"/>
      <c r="EB415" s="11"/>
      <c r="EC415" s="11"/>
      <c r="ED415" s="11"/>
      <c r="EE415" s="11"/>
      <c r="EF415" s="11"/>
    </row>
    <row r="416" spans="1:136" ht="40.5" x14ac:dyDescent="0.25">
      <c r="A416" s="425">
        <v>414</v>
      </c>
      <c r="B416" s="413" t="s">
        <v>2069</v>
      </c>
      <c r="C416" s="428" t="s">
        <v>2067</v>
      </c>
      <c r="D416" s="413" t="s">
        <v>1186</v>
      </c>
      <c r="E416" s="79">
        <v>1</v>
      </c>
      <c r="F416" s="405"/>
      <c r="G416" s="274"/>
      <c r="H416" s="274"/>
      <c r="I416" s="274"/>
      <c r="J416" s="274"/>
      <c r="K416" s="11"/>
      <c r="L416" s="274"/>
      <c r="M416" s="274"/>
      <c r="N416" s="274"/>
      <c r="O416" s="48"/>
      <c r="P416" s="11"/>
      <c r="Q416" s="274"/>
      <c r="R416" s="274"/>
      <c r="S416" s="274"/>
      <c r="T416" s="11"/>
      <c r="U416" s="11"/>
      <c r="V416" s="11"/>
      <c r="W416" s="11"/>
      <c r="X416" s="11"/>
      <c r="Y416" s="11"/>
      <c r="Z416" s="48"/>
      <c r="AA416" s="52"/>
      <c r="AB416" s="52"/>
      <c r="AC416" s="118"/>
      <c r="AD416" s="5"/>
      <c r="AE416" s="52"/>
      <c r="AF416" s="113"/>
      <c r="AG416" s="113"/>
      <c r="AH416" s="113"/>
      <c r="AI416" s="52"/>
      <c r="AJ416" s="11"/>
      <c r="AK416" s="269"/>
      <c r="AL416" s="269"/>
      <c r="AM416" s="116"/>
      <c r="AN416" s="301"/>
      <c r="AO416" s="302"/>
      <c r="AP416" s="11"/>
      <c r="AQ416" s="11"/>
      <c r="AR416" s="11"/>
      <c r="AS416" s="11"/>
      <c r="AT416" s="11"/>
      <c r="AU416" s="118"/>
      <c r="AV416" s="118"/>
      <c r="AW416" s="118"/>
      <c r="AX416" s="52"/>
      <c r="AY416" s="52"/>
      <c r="AZ416" s="11"/>
      <c r="BA416" s="11"/>
      <c r="BB416" s="11"/>
      <c r="BC416" s="11"/>
      <c r="BD416" s="11"/>
      <c r="BE416" s="274"/>
      <c r="BF416" s="274"/>
      <c r="BG416" s="274"/>
      <c r="BH416" s="11"/>
      <c r="BI416" s="11"/>
      <c r="BJ416" s="311"/>
      <c r="BK416" s="311"/>
      <c r="BL416" s="311"/>
      <c r="BM416" s="52"/>
      <c r="BN416" s="52"/>
      <c r="BO416" s="387"/>
      <c r="BP416" s="320"/>
      <c r="BQ416" s="320"/>
      <c r="BR416" s="4"/>
      <c r="BS416" s="4"/>
      <c r="BT416" s="11"/>
      <c r="BU416" s="11"/>
      <c r="BV416" s="11"/>
      <c r="BW416" s="11"/>
      <c r="BX416" s="11"/>
      <c r="BY416" s="232">
        <v>660000</v>
      </c>
      <c r="BZ416" s="232">
        <f>BY416*0.19</f>
        <v>125400</v>
      </c>
      <c r="CA416" s="232">
        <f>BY416+BZ416</f>
        <v>785400</v>
      </c>
      <c r="CB416" s="348" t="s">
        <v>772</v>
      </c>
      <c r="CC416" s="348">
        <v>89051</v>
      </c>
      <c r="CD416" s="11"/>
      <c r="CE416" s="11"/>
      <c r="CF416" s="11"/>
      <c r="CG416" s="11"/>
      <c r="CH416" s="11"/>
      <c r="CI416" s="11"/>
      <c r="CJ416" s="11"/>
      <c r="CK416" s="11"/>
      <c r="CL416" s="11"/>
      <c r="CM416" s="11"/>
      <c r="CN416" s="274"/>
      <c r="CO416" s="274"/>
      <c r="CP416" s="274"/>
      <c r="CQ416" s="11"/>
      <c r="CR416" s="11"/>
      <c r="CS416" s="11"/>
      <c r="CT416" s="11"/>
      <c r="CU416" s="11"/>
      <c r="CV416" s="11"/>
      <c r="CW416" s="11"/>
      <c r="CX416" s="11"/>
      <c r="CY416" s="11"/>
      <c r="CZ416" s="11"/>
      <c r="DA416" s="11"/>
      <c r="DB416" s="11"/>
      <c r="DC416" s="11"/>
      <c r="DD416" s="11"/>
      <c r="DE416" s="11"/>
      <c r="DF416" s="11"/>
      <c r="DG416" s="11"/>
      <c r="DH416" s="11"/>
      <c r="DI416" s="11"/>
      <c r="DJ416" s="11"/>
      <c r="DK416" s="11"/>
      <c r="DL416" s="11"/>
      <c r="DM416" s="118"/>
      <c r="DN416" s="118"/>
      <c r="DO416" s="118"/>
      <c r="DP416" s="52"/>
      <c r="DQ416" s="52"/>
      <c r="DR416" s="77"/>
      <c r="DS416" s="77"/>
      <c r="DT416" s="77"/>
      <c r="DU416" s="11"/>
      <c r="DV416" s="11"/>
      <c r="DW416" s="11"/>
      <c r="DX416" s="11"/>
      <c r="DY416" s="11"/>
      <c r="DZ416" s="11"/>
      <c r="EA416" s="11"/>
      <c r="EB416" s="11"/>
      <c r="EC416" s="11"/>
      <c r="ED416" s="11"/>
      <c r="EE416" s="11"/>
      <c r="EF416" s="11"/>
    </row>
    <row r="417" spans="1:136" ht="13.5" x14ac:dyDescent="0.25">
      <c r="A417" s="425">
        <v>415</v>
      </c>
      <c r="B417" s="427" t="s">
        <v>2070</v>
      </c>
      <c r="C417" s="413" t="s">
        <v>1292</v>
      </c>
      <c r="D417" s="413" t="s">
        <v>526</v>
      </c>
      <c r="E417" s="79">
        <v>1</v>
      </c>
      <c r="F417" s="404">
        <v>91889.400000000009</v>
      </c>
      <c r="G417" s="274">
        <v>48750</v>
      </c>
      <c r="H417" s="274">
        <v>0</v>
      </c>
      <c r="I417" s="274">
        <v>48750</v>
      </c>
      <c r="J417" s="274" t="s">
        <v>164</v>
      </c>
      <c r="K417" s="11" t="s">
        <v>2071</v>
      </c>
      <c r="L417" s="274"/>
      <c r="M417" s="274"/>
      <c r="N417" s="274"/>
      <c r="O417" s="48"/>
      <c r="P417" s="11"/>
      <c r="Q417" s="274"/>
      <c r="R417" s="274"/>
      <c r="S417" s="274"/>
      <c r="T417" s="11"/>
      <c r="U417" s="11"/>
      <c r="V417" s="11"/>
      <c r="W417" s="11"/>
      <c r="X417" s="11"/>
      <c r="Y417" s="11"/>
      <c r="Z417" s="48"/>
      <c r="AA417" s="52"/>
      <c r="AB417" s="52"/>
      <c r="AC417" s="118"/>
      <c r="AD417" s="5"/>
      <c r="AE417" s="52"/>
      <c r="AF417" s="113">
        <v>483000</v>
      </c>
      <c r="AG417" s="113">
        <f>AF417*0.19</f>
        <v>91770</v>
      </c>
      <c r="AH417" s="113">
        <f>AF417+AG417</f>
        <v>574770</v>
      </c>
      <c r="AI417" s="277" t="s">
        <v>628</v>
      </c>
      <c r="AJ417" s="33" t="s">
        <v>2072</v>
      </c>
      <c r="AK417" s="269">
        <v>207480</v>
      </c>
      <c r="AL417" s="269"/>
      <c r="AM417" s="116">
        <v>207480</v>
      </c>
      <c r="AN417" s="301" t="s">
        <v>88</v>
      </c>
      <c r="AO417" s="302">
        <v>1005671000</v>
      </c>
      <c r="AP417" s="11"/>
      <c r="AQ417" s="11"/>
      <c r="AR417" s="11"/>
      <c r="AS417" s="11"/>
      <c r="AT417" s="11"/>
      <c r="AU417" s="118"/>
      <c r="AV417" s="118"/>
      <c r="AW417" s="118"/>
      <c r="AX417" s="52"/>
      <c r="AY417" s="52"/>
      <c r="AZ417" s="11"/>
      <c r="BA417" s="11"/>
      <c r="BB417" s="11"/>
      <c r="BC417" s="11"/>
      <c r="BD417" s="11"/>
      <c r="BE417" s="274">
        <v>52000</v>
      </c>
      <c r="BF417" s="274">
        <v>9880</v>
      </c>
      <c r="BG417" s="274">
        <v>61880</v>
      </c>
      <c r="BH417" s="11" t="s">
        <v>48</v>
      </c>
      <c r="BI417" s="11" t="s">
        <v>2073</v>
      </c>
      <c r="BJ417" s="311"/>
      <c r="BK417" s="311"/>
      <c r="BL417" s="311"/>
      <c r="BM417" s="52"/>
      <c r="BN417" s="52"/>
      <c r="BO417" s="387"/>
      <c r="BP417" s="320"/>
      <c r="BQ417" s="320"/>
      <c r="BR417" s="4"/>
      <c r="BS417" s="4"/>
      <c r="BT417" s="11"/>
      <c r="BU417" s="11"/>
      <c r="BV417" s="11"/>
      <c r="BW417" s="11"/>
      <c r="BX417" s="11"/>
      <c r="BY417" s="232"/>
      <c r="BZ417" s="232"/>
      <c r="CA417" s="232"/>
      <c r="CB417" s="348"/>
      <c r="CC417" s="348"/>
      <c r="CD417" s="11"/>
      <c r="CE417" s="11"/>
      <c r="CF417" s="11"/>
      <c r="CG417" s="11"/>
      <c r="CH417" s="11"/>
      <c r="CI417" s="11"/>
      <c r="CJ417" s="11"/>
      <c r="CK417" s="11"/>
      <c r="CL417" s="11"/>
      <c r="CM417" s="11"/>
      <c r="CN417" s="274"/>
      <c r="CO417" s="274"/>
      <c r="CP417" s="274"/>
      <c r="CQ417" s="11"/>
      <c r="CR417" s="11"/>
      <c r="CS417" s="11"/>
      <c r="CT417" s="11"/>
      <c r="CU417" s="11"/>
      <c r="CV417" s="11"/>
      <c r="CW417" s="11"/>
      <c r="CX417" s="11"/>
      <c r="CY417" s="11"/>
      <c r="CZ417" s="11"/>
      <c r="DA417" s="11"/>
      <c r="DB417" s="11"/>
      <c r="DC417" s="11"/>
      <c r="DD417" s="11"/>
      <c r="DE417" s="11"/>
      <c r="DF417" s="11"/>
      <c r="DG417" s="11"/>
      <c r="DH417" s="11"/>
      <c r="DI417" s="11"/>
      <c r="DJ417" s="11"/>
      <c r="DK417" s="11"/>
      <c r="DL417" s="11"/>
      <c r="DM417" s="118"/>
      <c r="DN417" s="118"/>
      <c r="DO417" s="118"/>
      <c r="DP417" s="52"/>
      <c r="DQ417" s="52"/>
      <c r="DR417" s="77"/>
      <c r="DS417" s="77"/>
      <c r="DT417" s="77"/>
      <c r="DU417" s="11"/>
      <c r="DV417" s="11"/>
      <c r="DW417" s="11"/>
      <c r="DX417" s="11"/>
      <c r="DY417" s="11"/>
      <c r="DZ417" s="11"/>
      <c r="EA417" s="11"/>
      <c r="EB417" s="11"/>
      <c r="EC417" s="11"/>
      <c r="ED417" s="11"/>
      <c r="EE417" s="11"/>
      <c r="EF417" s="11"/>
    </row>
    <row r="418" spans="1:136" ht="27" x14ac:dyDescent="0.25">
      <c r="A418" s="425">
        <v>416</v>
      </c>
      <c r="B418" s="413" t="s">
        <v>2074</v>
      </c>
      <c r="C418" s="413" t="s">
        <v>2075</v>
      </c>
      <c r="D418" s="413" t="s">
        <v>2076</v>
      </c>
      <c r="E418" s="79">
        <v>1</v>
      </c>
      <c r="F418" s="405"/>
      <c r="G418" s="274"/>
      <c r="H418" s="274"/>
      <c r="I418" s="274"/>
      <c r="J418" s="274"/>
      <c r="K418" s="11"/>
      <c r="L418" s="274"/>
      <c r="M418" s="274"/>
      <c r="N418" s="274"/>
      <c r="O418" s="48"/>
      <c r="P418" s="11"/>
      <c r="Q418" s="274"/>
      <c r="R418" s="274"/>
      <c r="S418" s="274"/>
      <c r="T418" s="11"/>
      <c r="U418" s="11"/>
      <c r="V418" s="11"/>
      <c r="W418" s="11"/>
      <c r="X418" s="11"/>
      <c r="Y418" s="11"/>
      <c r="Z418" s="48"/>
      <c r="AA418" s="52"/>
      <c r="AB418" s="52"/>
      <c r="AC418" s="118"/>
      <c r="AD418" s="5"/>
      <c r="AE418" s="52"/>
      <c r="AF418" s="113">
        <v>303000</v>
      </c>
      <c r="AG418" s="113">
        <f>AF418*0.19</f>
        <v>57570</v>
      </c>
      <c r="AH418" s="113">
        <f>AF418+AG418</f>
        <v>360570</v>
      </c>
      <c r="AI418" s="277" t="s">
        <v>628</v>
      </c>
      <c r="AJ418" s="33" t="s">
        <v>2077</v>
      </c>
      <c r="AK418" s="269"/>
      <c r="AL418" s="269"/>
      <c r="AM418" s="116"/>
      <c r="AN418" s="301"/>
      <c r="AO418" s="302"/>
      <c r="AP418" s="11"/>
      <c r="AQ418" s="11"/>
      <c r="AR418" s="11"/>
      <c r="AS418" s="11"/>
      <c r="AT418" s="11"/>
      <c r="AU418" s="118"/>
      <c r="AV418" s="118"/>
      <c r="AW418" s="118"/>
      <c r="AX418" s="52"/>
      <c r="AY418" s="52"/>
      <c r="AZ418" s="11"/>
      <c r="BA418" s="11"/>
      <c r="BB418" s="11"/>
      <c r="BC418" s="11"/>
      <c r="BD418" s="11"/>
      <c r="BE418" s="274"/>
      <c r="BF418" s="274"/>
      <c r="BG418" s="274"/>
      <c r="BH418" s="11"/>
      <c r="BI418" s="11"/>
      <c r="BJ418" s="311"/>
      <c r="BK418" s="311"/>
      <c r="BL418" s="311"/>
      <c r="BM418" s="52"/>
      <c r="BN418" s="52"/>
      <c r="BO418" s="387"/>
      <c r="BP418" s="320"/>
      <c r="BQ418" s="320"/>
      <c r="BR418" s="4"/>
      <c r="BS418" s="4"/>
      <c r="BT418" s="11"/>
      <c r="BU418" s="11"/>
      <c r="BV418" s="11"/>
      <c r="BW418" s="11"/>
      <c r="BX418" s="11"/>
      <c r="BY418" s="348"/>
      <c r="BZ418" s="348"/>
      <c r="CA418" s="348"/>
      <c r="CB418" s="348"/>
      <c r="CC418" s="348"/>
      <c r="CD418" s="11"/>
      <c r="CE418" s="11"/>
      <c r="CF418" s="11"/>
      <c r="CG418" s="11"/>
      <c r="CH418" s="11"/>
      <c r="CI418" s="11"/>
      <c r="CJ418" s="11"/>
      <c r="CK418" s="11"/>
      <c r="CL418" s="11"/>
      <c r="CM418" s="11"/>
      <c r="CN418" s="274"/>
      <c r="CO418" s="274"/>
      <c r="CP418" s="274"/>
      <c r="CQ418" s="11"/>
      <c r="CR418" s="11"/>
      <c r="CS418" s="11"/>
      <c r="CT418" s="11"/>
      <c r="CU418" s="11"/>
      <c r="CV418" s="11"/>
      <c r="CW418" s="11"/>
      <c r="CX418" s="11"/>
      <c r="CY418" s="11"/>
      <c r="CZ418" s="11"/>
      <c r="DA418" s="11"/>
      <c r="DB418" s="11"/>
      <c r="DC418" s="11"/>
      <c r="DD418" s="11"/>
      <c r="DE418" s="11"/>
      <c r="DF418" s="11"/>
      <c r="DG418" s="11"/>
      <c r="DH418" s="11"/>
      <c r="DI418" s="11"/>
      <c r="DJ418" s="11"/>
      <c r="DK418" s="11"/>
      <c r="DL418" s="11"/>
      <c r="DM418" s="118"/>
      <c r="DN418" s="118"/>
      <c r="DO418" s="118"/>
      <c r="DP418" s="52"/>
      <c r="DQ418" s="52"/>
      <c r="DR418" s="77"/>
      <c r="DS418" s="77"/>
      <c r="DT418" s="77"/>
      <c r="DU418" s="11"/>
      <c r="DV418" s="11"/>
      <c r="DW418" s="11"/>
      <c r="DX418" s="11"/>
      <c r="DY418" s="11"/>
      <c r="DZ418" s="11"/>
      <c r="EA418" s="11"/>
      <c r="EB418" s="11"/>
      <c r="EC418" s="11"/>
      <c r="ED418" s="11"/>
      <c r="EE418" s="11"/>
      <c r="EF418" s="11"/>
    </row>
    <row r="419" spans="1:136" ht="40.5" x14ac:dyDescent="0.25">
      <c r="A419" s="425">
        <v>417</v>
      </c>
      <c r="B419" s="427" t="s">
        <v>2078</v>
      </c>
      <c r="C419" s="413" t="s">
        <v>2079</v>
      </c>
      <c r="D419" s="413" t="s">
        <v>2080</v>
      </c>
      <c r="E419" s="79">
        <v>1</v>
      </c>
      <c r="F419" s="405">
        <v>8380648.0954</v>
      </c>
      <c r="G419" s="274"/>
      <c r="H419" s="274"/>
      <c r="I419" s="274"/>
      <c r="J419" s="274"/>
      <c r="K419" s="11"/>
      <c r="L419" s="274"/>
      <c r="M419" s="274"/>
      <c r="N419" s="274"/>
      <c r="O419" s="48"/>
      <c r="P419" s="11"/>
      <c r="Q419" s="274"/>
      <c r="R419" s="274"/>
      <c r="S419" s="274"/>
      <c r="T419" s="11"/>
      <c r="U419" s="11"/>
      <c r="V419" s="11"/>
      <c r="W419" s="11"/>
      <c r="X419" s="11"/>
      <c r="Y419" s="11"/>
      <c r="Z419" s="48"/>
      <c r="AA419" s="52"/>
      <c r="AB419" s="52"/>
      <c r="AC419" s="118"/>
      <c r="AD419" s="5"/>
      <c r="AE419" s="52"/>
      <c r="AF419" s="113"/>
      <c r="AG419" s="113"/>
      <c r="AH419" s="113"/>
      <c r="AI419" s="52"/>
      <c r="AJ419" s="11"/>
      <c r="AK419" s="269"/>
      <c r="AL419" s="269"/>
      <c r="AM419" s="116"/>
      <c r="AN419" s="301"/>
      <c r="AO419" s="302"/>
      <c r="AP419" s="11"/>
      <c r="AQ419" s="11"/>
      <c r="AR419" s="11"/>
      <c r="AS419" s="11"/>
      <c r="AT419" s="11"/>
      <c r="AU419" s="118"/>
      <c r="AV419" s="118"/>
      <c r="AW419" s="118"/>
      <c r="AX419" s="52"/>
      <c r="AY419" s="52"/>
      <c r="AZ419" s="11"/>
      <c r="BA419" s="11"/>
      <c r="BB419" s="11"/>
      <c r="BC419" s="11"/>
      <c r="BD419" s="11"/>
      <c r="BE419" s="274"/>
      <c r="BF419" s="274"/>
      <c r="BG419" s="274"/>
      <c r="BH419" s="11"/>
      <c r="BI419" s="11"/>
      <c r="BJ419" s="311"/>
      <c r="BK419" s="311"/>
      <c r="BL419" s="311"/>
      <c r="BM419" s="52"/>
      <c r="BN419" s="52"/>
      <c r="BO419" s="387">
        <v>5561180</v>
      </c>
      <c r="BP419" s="320">
        <f>BO419*0.19</f>
        <v>1056624.2</v>
      </c>
      <c r="BQ419" s="320">
        <f>BO419+BP419</f>
        <v>6617804.2000000002</v>
      </c>
      <c r="BR419" s="4" t="s">
        <v>2081</v>
      </c>
      <c r="BS419" s="4" t="s">
        <v>866</v>
      </c>
      <c r="BT419" s="11"/>
      <c r="BU419" s="11"/>
      <c r="BV419" s="11"/>
      <c r="BW419" s="11"/>
      <c r="BX419" s="11"/>
      <c r="BY419" s="348"/>
      <c r="BZ419" s="348"/>
      <c r="CA419" s="348"/>
      <c r="CB419" s="348"/>
      <c r="CC419" s="348"/>
      <c r="CD419" s="11"/>
      <c r="CE419" s="11"/>
      <c r="CF419" s="11"/>
      <c r="CG419" s="11"/>
      <c r="CH419" s="11"/>
      <c r="CI419" s="11"/>
      <c r="CJ419" s="11"/>
      <c r="CK419" s="11"/>
      <c r="CL419" s="11"/>
      <c r="CM419" s="11"/>
      <c r="CN419" s="274"/>
      <c r="CO419" s="274"/>
      <c r="CP419" s="274"/>
      <c r="CQ419" s="11"/>
      <c r="CR419" s="11"/>
      <c r="CS419" s="11"/>
      <c r="CT419" s="11"/>
      <c r="CU419" s="11"/>
      <c r="CV419" s="11"/>
      <c r="CW419" s="11"/>
      <c r="CX419" s="11"/>
      <c r="CY419" s="11"/>
      <c r="CZ419" s="11"/>
      <c r="DA419" s="11"/>
      <c r="DB419" s="11"/>
      <c r="DC419" s="11"/>
      <c r="DD419" s="11"/>
      <c r="DE419" s="11"/>
      <c r="DF419" s="11"/>
      <c r="DG419" s="11"/>
      <c r="DH419" s="11"/>
      <c r="DI419" s="11"/>
      <c r="DJ419" s="11"/>
      <c r="DK419" s="11"/>
      <c r="DL419" s="11"/>
      <c r="DM419" s="118"/>
      <c r="DN419" s="118"/>
      <c r="DO419" s="118"/>
      <c r="DP419" s="52"/>
      <c r="DQ419" s="52"/>
      <c r="DR419" s="77"/>
      <c r="DS419" s="77"/>
      <c r="DT419" s="77"/>
      <c r="DU419" s="11"/>
      <c r="DV419" s="11"/>
      <c r="DW419" s="11"/>
      <c r="DX419" s="11"/>
      <c r="DY419" s="11"/>
      <c r="DZ419" s="11"/>
      <c r="EA419" s="11"/>
      <c r="EB419" s="11"/>
      <c r="EC419" s="11"/>
      <c r="ED419" s="11"/>
      <c r="EE419" s="11"/>
      <c r="EF419" s="11"/>
    </row>
    <row r="420" spans="1:136" ht="38.25" x14ac:dyDescent="0.25">
      <c r="A420" s="425">
        <v>418</v>
      </c>
      <c r="B420" s="427" t="s">
        <v>2082</v>
      </c>
      <c r="C420" s="427" t="s">
        <v>871</v>
      </c>
      <c r="D420" s="427" t="s">
        <v>1072</v>
      </c>
      <c r="E420" s="79">
        <v>1</v>
      </c>
      <c r="F420" s="405"/>
      <c r="G420" s="274"/>
      <c r="H420" s="274"/>
      <c r="I420" s="274"/>
      <c r="J420" s="274"/>
      <c r="K420" s="11"/>
      <c r="L420" s="274"/>
      <c r="M420" s="274"/>
      <c r="N420" s="274"/>
      <c r="O420" s="48"/>
      <c r="P420" s="11"/>
      <c r="Q420" s="274"/>
      <c r="R420" s="274"/>
      <c r="S420" s="274"/>
      <c r="T420" s="11"/>
      <c r="U420" s="11"/>
      <c r="V420" s="11"/>
      <c r="W420" s="11"/>
      <c r="X420" s="11"/>
      <c r="Y420" s="11"/>
      <c r="Z420" s="48"/>
      <c r="AA420" s="293">
        <v>10820250</v>
      </c>
      <c r="AB420" s="118">
        <f>+AA420*0.19</f>
        <v>2055847.5</v>
      </c>
      <c r="AC420" s="118">
        <f>+AA420+AB420</f>
        <v>12876097.5</v>
      </c>
      <c r="AD420" s="5" t="s">
        <v>2083</v>
      </c>
      <c r="AE420" s="5" t="s">
        <v>2084</v>
      </c>
      <c r="AF420" s="113"/>
      <c r="AG420" s="113"/>
      <c r="AH420" s="113"/>
      <c r="AI420" s="52"/>
      <c r="AJ420" s="11"/>
      <c r="AK420" s="269"/>
      <c r="AL420" s="269"/>
      <c r="AM420" s="116"/>
      <c r="AN420" s="301"/>
      <c r="AO420" s="302"/>
      <c r="AP420" s="11"/>
      <c r="AQ420" s="11"/>
      <c r="AR420" s="11"/>
      <c r="AS420" s="11"/>
      <c r="AT420" s="11"/>
      <c r="AU420" s="118"/>
      <c r="AV420" s="118"/>
      <c r="AW420" s="118"/>
      <c r="AX420" s="52"/>
      <c r="AY420" s="52"/>
      <c r="AZ420" s="11"/>
      <c r="BA420" s="11"/>
      <c r="BB420" s="11"/>
      <c r="BC420" s="11"/>
      <c r="BD420" s="11"/>
      <c r="BE420" s="274"/>
      <c r="BF420" s="274"/>
      <c r="BG420" s="274"/>
      <c r="BH420" s="11"/>
      <c r="BI420" s="11"/>
      <c r="BJ420" s="311"/>
      <c r="BK420" s="311"/>
      <c r="BL420" s="311"/>
      <c r="BM420" s="52"/>
      <c r="BN420" s="52"/>
      <c r="BO420" s="387"/>
      <c r="BP420" s="320"/>
      <c r="BQ420" s="320"/>
      <c r="BR420" s="4"/>
      <c r="BS420" s="4"/>
      <c r="BT420" s="11"/>
      <c r="BU420" s="11"/>
      <c r="BV420" s="11"/>
      <c r="BW420" s="11"/>
      <c r="BX420" s="11"/>
      <c r="BY420" s="348"/>
      <c r="BZ420" s="348"/>
      <c r="CA420" s="348"/>
      <c r="CB420" s="348"/>
      <c r="CC420" s="348"/>
      <c r="CD420" s="11"/>
      <c r="CE420" s="11"/>
      <c r="CF420" s="11"/>
      <c r="CG420" s="11"/>
      <c r="CH420" s="11"/>
      <c r="CI420" s="11"/>
      <c r="CJ420" s="11"/>
      <c r="CK420" s="11"/>
      <c r="CL420" s="11"/>
      <c r="CM420" s="11"/>
      <c r="CN420" s="274"/>
      <c r="CO420" s="274"/>
      <c r="CP420" s="274"/>
      <c r="CQ420" s="11"/>
      <c r="CR420" s="11"/>
      <c r="CS420" s="11"/>
      <c r="CT420" s="11"/>
      <c r="CU420" s="11"/>
      <c r="CV420" s="11"/>
      <c r="CW420" s="11"/>
      <c r="CX420" s="11"/>
      <c r="CY420" s="11"/>
      <c r="CZ420" s="11"/>
      <c r="DA420" s="11"/>
      <c r="DB420" s="11"/>
      <c r="DC420" s="11"/>
      <c r="DD420" s="11"/>
      <c r="DE420" s="11"/>
      <c r="DF420" s="11"/>
      <c r="DG420" s="11"/>
      <c r="DH420" s="11"/>
      <c r="DI420" s="11"/>
      <c r="DJ420" s="11"/>
      <c r="DK420" s="11"/>
      <c r="DL420" s="11"/>
      <c r="DM420" s="118"/>
      <c r="DN420" s="118"/>
      <c r="DO420" s="118"/>
      <c r="DP420" s="52"/>
      <c r="DQ420" s="52"/>
      <c r="DR420" s="77"/>
      <c r="DS420" s="77"/>
      <c r="DT420" s="77"/>
      <c r="DU420" s="11"/>
      <c r="DV420" s="11"/>
      <c r="DW420" s="11"/>
      <c r="DX420" s="11"/>
      <c r="DY420" s="11"/>
      <c r="DZ420" s="11"/>
      <c r="EA420" s="11"/>
      <c r="EB420" s="11"/>
      <c r="EC420" s="11"/>
      <c r="ED420" s="11"/>
      <c r="EE420" s="11"/>
      <c r="EF420" s="11"/>
    </row>
    <row r="421" spans="1:136" ht="38.25" x14ac:dyDescent="0.25">
      <c r="A421" s="425">
        <v>419</v>
      </c>
      <c r="B421" s="427" t="s">
        <v>2085</v>
      </c>
      <c r="C421" s="427" t="s">
        <v>871</v>
      </c>
      <c r="D421" s="427" t="s">
        <v>445</v>
      </c>
      <c r="E421" s="79">
        <v>1</v>
      </c>
      <c r="F421" s="405"/>
      <c r="G421" s="274"/>
      <c r="H421" s="274"/>
      <c r="I421" s="274"/>
      <c r="J421" s="274"/>
      <c r="K421" s="11"/>
      <c r="L421" s="274"/>
      <c r="M421" s="274"/>
      <c r="N421" s="274"/>
      <c r="O421" s="48"/>
      <c r="P421" s="11"/>
      <c r="Q421" s="274"/>
      <c r="R421" s="274"/>
      <c r="S421" s="274"/>
      <c r="T421" s="11"/>
      <c r="U421" s="11"/>
      <c r="V421" s="11"/>
      <c r="W421" s="11"/>
      <c r="X421" s="11"/>
      <c r="Y421" s="11"/>
      <c r="Z421" s="48"/>
      <c r="AA421" s="293">
        <v>7890750</v>
      </c>
      <c r="AB421" s="118">
        <f>+AA421*0.19</f>
        <v>1499242.5</v>
      </c>
      <c r="AC421" s="118">
        <f>+AA421+AB421</f>
        <v>9389992.5</v>
      </c>
      <c r="AD421" s="5" t="s">
        <v>2083</v>
      </c>
      <c r="AE421" s="293">
        <v>740956250</v>
      </c>
      <c r="AF421" s="113"/>
      <c r="AG421" s="113"/>
      <c r="AH421" s="113"/>
      <c r="AI421" s="52"/>
      <c r="AJ421" s="11"/>
      <c r="AK421" s="269"/>
      <c r="AL421" s="269"/>
      <c r="AM421" s="116"/>
      <c r="AN421" s="301"/>
      <c r="AO421" s="302"/>
      <c r="AP421" s="11"/>
      <c r="AQ421" s="11"/>
      <c r="AR421" s="11"/>
      <c r="AS421" s="11"/>
      <c r="AT421" s="11"/>
      <c r="AU421" s="118"/>
      <c r="AV421" s="118"/>
      <c r="AW421" s="118"/>
      <c r="AX421" s="52"/>
      <c r="AY421" s="52"/>
      <c r="AZ421" s="11"/>
      <c r="BA421" s="11"/>
      <c r="BB421" s="11"/>
      <c r="BC421" s="11"/>
      <c r="BD421" s="11"/>
      <c r="BE421" s="274"/>
      <c r="BF421" s="274"/>
      <c r="BG421" s="274"/>
      <c r="BH421" s="11"/>
      <c r="BI421" s="11"/>
      <c r="BJ421" s="311"/>
      <c r="BK421" s="311"/>
      <c r="BL421" s="311"/>
      <c r="BM421" s="52"/>
      <c r="BN421" s="52"/>
      <c r="BO421" s="387"/>
      <c r="BP421" s="320"/>
      <c r="BQ421" s="320"/>
      <c r="BR421" s="4"/>
      <c r="BS421" s="4"/>
      <c r="BT421" s="11"/>
      <c r="BU421" s="11"/>
      <c r="BV421" s="11"/>
      <c r="BW421" s="11"/>
      <c r="BX421" s="11"/>
      <c r="BY421" s="348"/>
      <c r="BZ421" s="348"/>
      <c r="CA421" s="348"/>
      <c r="CB421" s="348"/>
      <c r="CC421" s="348"/>
      <c r="CD421" s="11"/>
      <c r="CE421" s="11"/>
      <c r="CF421" s="11"/>
      <c r="CG421" s="11"/>
      <c r="CH421" s="11"/>
      <c r="CI421" s="11"/>
      <c r="CJ421" s="11"/>
      <c r="CK421" s="11"/>
      <c r="CL421" s="11"/>
      <c r="CM421" s="11"/>
      <c r="CN421" s="274"/>
      <c r="CO421" s="274"/>
      <c r="CP421" s="274"/>
      <c r="CQ421" s="11"/>
      <c r="CR421" s="11"/>
      <c r="CS421" s="11"/>
      <c r="CT421" s="11"/>
      <c r="CU421" s="11"/>
      <c r="CV421" s="11"/>
      <c r="CW421" s="11"/>
      <c r="CX421" s="11"/>
      <c r="CY421" s="11"/>
      <c r="CZ421" s="11"/>
      <c r="DA421" s="11"/>
      <c r="DB421" s="11"/>
      <c r="DC421" s="11"/>
      <c r="DD421" s="11"/>
      <c r="DE421" s="11"/>
      <c r="DF421" s="11"/>
      <c r="DG421" s="11"/>
      <c r="DH421" s="11"/>
      <c r="DI421" s="11"/>
      <c r="DJ421" s="11"/>
      <c r="DK421" s="11"/>
      <c r="DL421" s="11"/>
      <c r="DM421" s="118"/>
      <c r="DN421" s="118"/>
      <c r="DO421" s="118"/>
      <c r="DP421" s="52"/>
      <c r="DQ421" s="52"/>
      <c r="DR421" s="77"/>
      <c r="DS421" s="77"/>
      <c r="DT421" s="77"/>
      <c r="DU421" s="11"/>
      <c r="DV421" s="11"/>
      <c r="DW421" s="11"/>
      <c r="DX421" s="11"/>
      <c r="DY421" s="11"/>
      <c r="DZ421" s="11"/>
      <c r="EA421" s="11"/>
      <c r="EB421" s="11"/>
      <c r="EC421" s="11"/>
      <c r="ED421" s="11"/>
      <c r="EE421" s="11"/>
      <c r="EF421" s="11"/>
    </row>
    <row r="422" spans="1:136" ht="13.5" x14ac:dyDescent="0.25">
      <c r="A422" s="425">
        <v>420</v>
      </c>
      <c r="B422" s="428" t="s">
        <v>2086</v>
      </c>
      <c r="C422" s="413" t="s">
        <v>753</v>
      </c>
      <c r="D422" s="428" t="s">
        <v>783</v>
      </c>
      <c r="E422" s="79">
        <v>1</v>
      </c>
      <c r="F422" s="405"/>
      <c r="G422" s="274"/>
      <c r="H422" s="274"/>
      <c r="I422" s="274"/>
      <c r="J422" s="274"/>
      <c r="K422" s="11"/>
      <c r="L422" s="274"/>
      <c r="M422" s="274"/>
      <c r="N422" s="274"/>
      <c r="O422" s="48"/>
      <c r="P422" s="11"/>
      <c r="Q422" s="274"/>
      <c r="R422" s="274"/>
      <c r="S422" s="274"/>
      <c r="T422" s="11"/>
      <c r="U422" s="11"/>
      <c r="V422" s="11"/>
      <c r="W422" s="11"/>
      <c r="X422" s="11"/>
      <c r="Y422" s="11"/>
      <c r="Z422" s="48"/>
      <c r="AA422" s="52"/>
      <c r="AB422" s="52"/>
      <c r="AC422" s="118"/>
      <c r="AD422" s="5"/>
      <c r="AE422" s="52"/>
      <c r="AF422" s="113"/>
      <c r="AG422" s="113"/>
      <c r="AH422" s="113"/>
      <c r="AI422" s="52"/>
      <c r="AJ422" s="11"/>
      <c r="AK422" s="269">
        <v>393000</v>
      </c>
      <c r="AL422" s="269">
        <v>74670</v>
      </c>
      <c r="AM422" s="116">
        <v>467670</v>
      </c>
      <c r="AN422" s="301" t="s">
        <v>37</v>
      </c>
      <c r="AO422" s="302" t="s">
        <v>2087</v>
      </c>
      <c r="AP422" s="11"/>
      <c r="AQ422" s="11"/>
      <c r="AR422" s="11"/>
      <c r="AS422" s="11"/>
      <c r="AT422" s="11"/>
      <c r="AU422" s="118">
        <v>283362</v>
      </c>
      <c r="AV422" s="118">
        <v>53839</v>
      </c>
      <c r="AW422" s="118">
        <v>337201</v>
      </c>
      <c r="AX422" s="52" t="s">
        <v>607</v>
      </c>
      <c r="AY422" s="52" t="s">
        <v>2088</v>
      </c>
      <c r="AZ422" s="11"/>
      <c r="BA422" s="11"/>
      <c r="BB422" s="11"/>
      <c r="BC422" s="11"/>
      <c r="BD422" s="11"/>
      <c r="BE422" s="274"/>
      <c r="BF422" s="274"/>
      <c r="BG422" s="274"/>
      <c r="BH422" s="11"/>
      <c r="BI422" s="11"/>
      <c r="BJ422" s="311"/>
      <c r="BK422" s="311"/>
      <c r="BL422" s="311"/>
      <c r="BM422" s="52"/>
      <c r="BN422" s="52"/>
      <c r="BO422" s="387"/>
      <c r="BP422" s="320"/>
      <c r="BQ422" s="320"/>
      <c r="BR422" s="4"/>
      <c r="BS422" s="4"/>
      <c r="BT422" s="11"/>
      <c r="BU422" s="11"/>
      <c r="BV422" s="11"/>
      <c r="BW422" s="11"/>
      <c r="BX422" s="11"/>
      <c r="BY422" s="348"/>
      <c r="BZ422" s="348"/>
      <c r="CA422" s="348"/>
      <c r="CB422" s="348"/>
      <c r="CC422" s="348"/>
      <c r="CD422" s="11"/>
      <c r="CE422" s="11"/>
      <c r="CF422" s="11"/>
      <c r="CG422" s="11"/>
      <c r="CH422" s="11"/>
      <c r="CI422" s="11"/>
      <c r="CJ422" s="11"/>
      <c r="CK422" s="11"/>
      <c r="CL422" s="11"/>
      <c r="CM422" s="11"/>
      <c r="CN422" s="274"/>
      <c r="CO422" s="274"/>
      <c r="CP422" s="274"/>
      <c r="CQ422" s="11"/>
      <c r="CR422" s="11"/>
      <c r="CS422" s="11"/>
      <c r="CT422" s="11"/>
      <c r="CU422" s="11"/>
      <c r="CV422" s="11"/>
      <c r="CW422" s="11"/>
      <c r="CX422" s="11"/>
      <c r="CY422" s="11"/>
      <c r="CZ422" s="11"/>
      <c r="DA422" s="11"/>
      <c r="DB422" s="11"/>
      <c r="DC422" s="11"/>
      <c r="DD422" s="11"/>
      <c r="DE422" s="11"/>
      <c r="DF422" s="11"/>
      <c r="DG422" s="11"/>
      <c r="DH422" s="11"/>
      <c r="DI422" s="11"/>
      <c r="DJ422" s="11"/>
      <c r="DK422" s="11"/>
      <c r="DL422" s="11"/>
      <c r="DM422" s="118"/>
      <c r="DN422" s="118"/>
      <c r="DO422" s="118"/>
      <c r="DP422" s="52"/>
      <c r="DQ422" s="52"/>
      <c r="DR422" s="77"/>
      <c r="DS422" s="77"/>
      <c r="DT422" s="77"/>
      <c r="DU422" s="11"/>
      <c r="DV422" s="11"/>
      <c r="DW422" s="11"/>
      <c r="DX422" s="11"/>
      <c r="DY422" s="11"/>
      <c r="DZ422" s="11"/>
      <c r="EA422" s="11"/>
      <c r="EB422" s="11"/>
      <c r="EC422" s="11"/>
      <c r="ED422" s="11"/>
      <c r="EE422" s="11"/>
      <c r="EF422" s="11"/>
    </row>
    <row r="423" spans="1:136" ht="27" x14ac:dyDescent="0.25">
      <c r="A423" s="425">
        <v>421</v>
      </c>
      <c r="B423" s="427" t="s">
        <v>2089</v>
      </c>
      <c r="C423" s="413" t="s">
        <v>2090</v>
      </c>
      <c r="D423" s="413" t="s">
        <v>2039</v>
      </c>
      <c r="E423" s="79">
        <v>1</v>
      </c>
      <c r="F423" s="404">
        <v>2968745.8360000001</v>
      </c>
      <c r="G423" s="274"/>
      <c r="H423" s="274"/>
      <c r="I423" s="274"/>
      <c r="J423" s="274"/>
      <c r="K423" s="11"/>
      <c r="L423" s="274"/>
      <c r="M423" s="274"/>
      <c r="N423" s="274"/>
      <c r="O423" s="48"/>
      <c r="P423" s="11"/>
      <c r="Q423" s="274"/>
      <c r="R423" s="274"/>
      <c r="S423" s="274"/>
      <c r="T423" s="11"/>
      <c r="U423" s="11"/>
      <c r="V423" s="11"/>
      <c r="W423" s="11"/>
      <c r="X423" s="11"/>
      <c r="Y423" s="11"/>
      <c r="Z423" s="48"/>
      <c r="AA423" s="52"/>
      <c r="AB423" s="52"/>
      <c r="AC423" s="118"/>
      <c r="AD423" s="5"/>
      <c r="AE423" s="52"/>
      <c r="AF423" s="113"/>
      <c r="AG423" s="113"/>
      <c r="AH423" s="113"/>
      <c r="AI423" s="52"/>
      <c r="AJ423" s="11"/>
      <c r="AK423" s="269"/>
      <c r="AL423" s="269"/>
      <c r="AM423" s="116"/>
      <c r="AN423" s="301"/>
      <c r="AO423" s="302"/>
      <c r="AP423" s="11"/>
      <c r="AQ423" s="11"/>
      <c r="AR423" s="11"/>
      <c r="AS423" s="11"/>
      <c r="AT423" s="11"/>
      <c r="AU423" s="118">
        <v>695527</v>
      </c>
      <c r="AV423" s="118">
        <v>132150</v>
      </c>
      <c r="AW423" s="118">
        <v>827677</v>
      </c>
      <c r="AX423" s="52" t="s">
        <v>607</v>
      </c>
      <c r="AY423" s="52" t="s">
        <v>2091</v>
      </c>
      <c r="AZ423" s="11"/>
      <c r="BA423" s="11"/>
      <c r="BB423" s="11"/>
      <c r="BC423" s="11"/>
      <c r="BD423" s="11"/>
      <c r="BE423" s="274"/>
      <c r="BF423" s="274"/>
      <c r="BG423" s="274"/>
      <c r="BH423" s="11"/>
      <c r="BI423" s="11"/>
      <c r="BJ423" s="311"/>
      <c r="BK423" s="311"/>
      <c r="BL423" s="311"/>
      <c r="BM423" s="52"/>
      <c r="BN423" s="52"/>
      <c r="BO423" s="387"/>
      <c r="BP423" s="320"/>
      <c r="BQ423" s="320"/>
      <c r="BR423" s="4"/>
      <c r="BS423" s="4"/>
      <c r="BT423" s="11"/>
      <c r="BU423" s="11"/>
      <c r="BV423" s="11"/>
      <c r="BW423" s="11"/>
      <c r="BX423" s="11"/>
      <c r="BY423" s="348"/>
      <c r="BZ423" s="348"/>
      <c r="CA423" s="348"/>
      <c r="CB423" s="348"/>
      <c r="CC423" s="348"/>
      <c r="CD423" s="11"/>
      <c r="CE423" s="11"/>
      <c r="CF423" s="11"/>
      <c r="CG423" s="11"/>
      <c r="CH423" s="11"/>
      <c r="CI423" s="11"/>
      <c r="CJ423" s="11"/>
      <c r="CK423" s="11"/>
      <c r="CL423" s="11"/>
      <c r="CM423" s="11"/>
      <c r="CN423" s="274"/>
      <c r="CO423" s="274"/>
      <c r="CP423" s="274"/>
      <c r="CQ423" s="11"/>
      <c r="CR423" s="11"/>
      <c r="CS423" s="11"/>
      <c r="CT423" s="11"/>
      <c r="CU423" s="11"/>
      <c r="CV423" s="11"/>
      <c r="CW423" s="11"/>
      <c r="CX423" s="11"/>
      <c r="CY423" s="11"/>
      <c r="CZ423" s="11"/>
      <c r="DA423" s="11"/>
      <c r="DB423" s="11"/>
      <c r="DC423" s="11"/>
      <c r="DD423" s="11"/>
      <c r="DE423" s="11"/>
      <c r="DF423" s="11"/>
      <c r="DG423" s="11"/>
      <c r="DH423" s="11"/>
      <c r="DI423" s="11"/>
      <c r="DJ423" s="11"/>
      <c r="DK423" s="11"/>
      <c r="DL423" s="11"/>
      <c r="DM423" s="118"/>
      <c r="DN423" s="118"/>
      <c r="DO423" s="118"/>
      <c r="DP423" s="52"/>
      <c r="DQ423" s="52"/>
      <c r="DR423" s="77"/>
      <c r="DS423" s="77"/>
      <c r="DT423" s="77"/>
      <c r="DU423" s="11"/>
      <c r="DV423" s="11"/>
      <c r="DW423" s="11"/>
      <c r="DX423" s="11"/>
      <c r="DY423" s="11"/>
      <c r="DZ423" s="11"/>
      <c r="EA423" s="11"/>
      <c r="EB423" s="11"/>
      <c r="EC423" s="11"/>
      <c r="ED423" s="11"/>
      <c r="EE423" s="11"/>
      <c r="EF423" s="11"/>
    </row>
    <row r="424" spans="1:136" ht="54" x14ac:dyDescent="0.25">
      <c r="A424" s="425">
        <v>422</v>
      </c>
      <c r="B424" s="427" t="s">
        <v>2092</v>
      </c>
      <c r="C424" s="427" t="s">
        <v>622</v>
      </c>
      <c r="D424" s="427" t="s">
        <v>445</v>
      </c>
      <c r="E424" s="79">
        <v>1</v>
      </c>
      <c r="F424" s="405">
        <v>1163139.1938</v>
      </c>
      <c r="G424" s="274"/>
      <c r="H424" s="274"/>
      <c r="I424" s="274"/>
      <c r="J424" s="274"/>
      <c r="K424" s="11"/>
      <c r="L424" s="274"/>
      <c r="M424" s="274"/>
      <c r="N424" s="274"/>
      <c r="O424" s="48"/>
      <c r="P424" s="11"/>
      <c r="Q424" s="274"/>
      <c r="R424" s="274"/>
      <c r="S424" s="274"/>
      <c r="T424" s="11"/>
      <c r="U424" s="11"/>
      <c r="V424" s="11"/>
      <c r="W424" s="11"/>
      <c r="X424" s="11"/>
      <c r="Y424" s="11"/>
      <c r="Z424" s="48"/>
      <c r="AA424" s="52"/>
      <c r="AB424" s="52"/>
      <c r="AC424" s="118"/>
      <c r="AD424" s="5"/>
      <c r="AE424" s="52"/>
      <c r="AF424" s="113"/>
      <c r="AG424" s="113"/>
      <c r="AH424" s="113"/>
      <c r="AI424" s="52"/>
      <c r="AJ424" s="11"/>
      <c r="AK424" s="269"/>
      <c r="AL424" s="269"/>
      <c r="AM424" s="116"/>
      <c r="AN424" s="301"/>
      <c r="AO424" s="302"/>
      <c r="AP424" s="11"/>
      <c r="AQ424" s="11"/>
      <c r="AR424" s="11"/>
      <c r="AS424" s="11"/>
      <c r="AT424" s="11"/>
      <c r="AU424" s="118"/>
      <c r="AV424" s="118"/>
      <c r="AW424" s="118"/>
      <c r="AX424" s="52"/>
      <c r="AY424" s="52"/>
      <c r="AZ424" s="11"/>
      <c r="BA424" s="11"/>
      <c r="BB424" s="11"/>
      <c r="BC424" s="11"/>
      <c r="BD424" s="11"/>
      <c r="BE424" s="274"/>
      <c r="BF424" s="274"/>
      <c r="BG424" s="274"/>
      <c r="BH424" s="11"/>
      <c r="BI424" s="11"/>
      <c r="BJ424" s="311"/>
      <c r="BK424" s="311"/>
      <c r="BL424" s="311"/>
      <c r="BM424" s="52"/>
      <c r="BN424" s="52"/>
      <c r="BO424" s="387"/>
      <c r="BP424" s="320"/>
      <c r="BQ424" s="320"/>
      <c r="BR424" s="4"/>
      <c r="BS424" s="4"/>
      <c r="BT424" s="11"/>
      <c r="BU424" s="11"/>
      <c r="BV424" s="11"/>
      <c r="BW424" s="11"/>
      <c r="BX424" s="11"/>
      <c r="BY424" s="348"/>
      <c r="BZ424" s="348"/>
      <c r="CA424" s="348"/>
      <c r="CB424" s="348"/>
      <c r="CC424" s="348"/>
      <c r="CD424" s="11"/>
      <c r="CE424" s="11"/>
      <c r="CF424" s="11"/>
      <c r="CG424" s="11"/>
      <c r="CH424" s="11"/>
      <c r="CI424" s="11"/>
      <c r="CJ424" s="11"/>
      <c r="CK424" s="11"/>
      <c r="CL424" s="11"/>
      <c r="CM424" s="11"/>
      <c r="CN424" s="274"/>
      <c r="CO424" s="274"/>
      <c r="CP424" s="274"/>
      <c r="CQ424" s="11"/>
      <c r="CR424" s="11"/>
      <c r="CS424" s="11"/>
      <c r="CT424" s="11"/>
      <c r="CU424" s="11"/>
      <c r="CV424" s="11"/>
      <c r="CW424" s="11"/>
      <c r="CX424" s="11"/>
      <c r="CY424" s="11"/>
      <c r="CZ424" s="11"/>
      <c r="DA424" s="11"/>
      <c r="DB424" s="11"/>
      <c r="DC424" s="11"/>
      <c r="DD424" s="11"/>
      <c r="DE424" s="11"/>
      <c r="DF424" s="11"/>
      <c r="DG424" s="11"/>
      <c r="DH424" s="11"/>
      <c r="DI424" s="11"/>
      <c r="DJ424" s="11"/>
      <c r="DK424" s="11"/>
      <c r="DL424" s="11"/>
      <c r="DM424" s="118"/>
      <c r="DN424" s="118"/>
      <c r="DO424" s="118"/>
      <c r="DP424" s="52"/>
      <c r="DQ424" s="52"/>
      <c r="DR424" s="77"/>
      <c r="DS424" s="77"/>
      <c r="DT424" s="77"/>
      <c r="DU424" s="11"/>
      <c r="DV424" s="11"/>
      <c r="DW424" s="11"/>
      <c r="DX424" s="11"/>
      <c r="DY424" s="11"/>
      <c r="DZ424" s="11"/>
      <c r="EA424" s="11"/>
      <c r="EB424" s="11"/>
      <c r="EC424" s="11"/>
      <c r="ED424" s="11"/>
      <c r="EE424" s="11"/>
      <c r="EF424" s="11"/>
    </row>
    <row r="425" spans="1:136" ht="54" x14ac:dyDescent="0.25">
      <c r="A425" s="425">
        <v>423</v>
      </c>
      <c r="B425" s="413" t="s">
        <v>2093</v>
      </c>
      <c r="C425" s="413" t="s">
        <v>2094</v>
      </c>
      <c r="D425" s="413" t="s">
        <v>2095</v>
      </c>
      <c r="E425" s="79">
        <v>1</v>
      </c>
      <c r="F425" s="405"/>
      <c r="G425" s="274"/>
      <c r="H425" s="274"/>
      <c r="I425" s="274"/>
      <c r="J425" s="274"/>
      <c r="K425" s="11"/>
      <c r="L425" s="274"/>
      <c r="M425" s="274"/>
      <c r="N425" s="274"/>
      <c r="O425" s="48"/>
      <c r="P425" s="11"/>
      <c r="Q425" s="274"/>
      <c r="R425" s="274"/>
      <c r="S425" s="274"/>
      <c r="T425" s="11"/>
      <c r="U425" s="11"/>
      <c r="V425" s="11"/>
      <c r="W425" s="11"/>
      <c r="X425" s="11"/>
      <c r="Y425" s="11"/>
      <c r="Z425" s="48"/>
      <c r="AA425" s="52"/>
      <c r="AB425" s="52"/>
      <c r="AC425" s="118"/>
      <c r="AD425" s="5"/>
      <c r="AE425" s="52"/>
      <c r="AF425" s="113"/>
      <c r="AG425" s="113"/>
      <c r="AH425" s="113"/>
      <c r="AI425" s="52"/>
      <c r="AJ425" s="11"/>
      <c r="AK425" s="269"/>
      <c r="AL425" s="269"/>
      <c r="AM425" s="116"/>
      <c r="AN425" s="301"/>
      <c r="AO425" s="302"/>
      <c r="AP425" s="11"/>
      <c r="AQ425" s="11"/>
      <c r="AR425" s="11"/>
      <c r="AS425" s="11"/>
      <c r="AT425" s="11"/>
      <c r="AU425" s="118"/>
      <c r="AV425" s="118"/>
      <c r="AW425" s="118"/>
      <c r="AX425" s="52"/>
      <c r="AY425" s="52"/>
      <c r="AZ425" s="11"/>
      <c r="BA425" s="11"/>
      <c r="BB425" s="11"/>
      <c r="BC425" s="11"/>
      <c r="BD425" s="11"/>
      <c r="BE425" s="274"/>
      <c r="BF425" s="274"/>
      <c r="BG425" s="274"/>
      <c r="BH425" s="11"/>
      <c r="BI425" s="11"/>
      <c r="BJ425" s="311"/>
      <c r="BK425" s="311"/>
      <c r="BL425" s="311"/>
      <c r="BM425" s="52"/>
      <c r="BN425" s="52"/>
      <c r="BO425" s="387"/>
      <c r="BP425" s="320"/>
      <c r="BQ425" s="320"/>
      <c r="BR425" s="4"/>
      <c r="BS425" s="4"/>
      <c r="BT425" s="11"/>
      <c r="BU425" s="11"/>
      <c r="BV425" s="11"/>
      <c r="BW425" s="11"/>
      <c r="BX425" s="11"/>
      <c r="BY425" s="348"/>
      <c r="BZ425" s="348"/>
      <c r="CA425" s="348"/>
      <c r="CB425" s="348"/>
      <c r="CC425" s="348"/>
      <c r="CD425" s="11"/>
      <c r="CE425" s="11"/>
      <c r="CF425" s="11"/>
      <c r="CG425" s="11"/>
      <c r="CH425" s="11"/>
      <c r="CI425" s="293">
        <v>1349334</v>
      </c>
      <c r="CJ425" s="118">
        <f>+CI425*0.19</f>
        <v>256373.46</v>
      </c>
      <c r="CK425" s="364">
        <f>+CI425+CJ425</f>
        <v>1605707.46</v>
      </c>
      <c r="CL425" s="52" t="s">
        <v>383</v>
      </c>
      <c r="CM425" s="52" t="s">
        <v>2096</v>
      </c>
      <c r="CN425" s="274"/>
      <c r="CO425" s="274"/>
      <c r="CP425" s="274"/>
      <c r="CQ425" s="11"/>
      <c r="CR425" s="11"/>
      <c r="CS425" s="11"/>
      <c r="CT425" s="11"/>
      <c r="CU425" s="11"/>
      <c r="CV425" s="11"/>
      <c r="CW425" s="11"/>
      <c r="CX425" s="11"/>
      <c r="CY425" s="11"/>
      <c r="CZ425" s="11"/>
      <c r="DA425" s="11"/>
      <c r="DB425" s="11"/>
      <c r="DC425" s="11"/>
      <c r="DD425" s="11"/>
      <c r="DE425" s="11"/>
      <c r="DF425" s="11"/>
      <c r="DG425" s="11"/>
      <c r="DH425" s="11"/>
      <c r="DI425" s="11"/>
      <c r="DJ425" s="11"/>
      <c r="DK425" s="11"/>
      <c r="DL425" s="11"/>
      <c r="DM425" s="118"/>
      <c r="DN425" s="118"/>
      <c r="DO425" s="118"/>
      <c r="DP425" s="52"/>
      <c r="DQ425" s="52"/>
      <c r="DR425" s="77"/>
      <c r="DS425" s="77"/>
      <c r="DT425" s="77"/>
      <c r="DU425" s="11"/>
      <c r="DV425" s="11"/>
      <c r="DW425" s="11"/>
      <c r="DX425" s="11"/>
      <c r="DY425" s="11"/>
      <c r="DZ425" s="11"/>
      <c r="EA425" s="11"/>
      <c r="EB425" s="11"/>
      <c r="EC425" s="11"/>
      <c r="ED425" s="11"/>
      <c r="EE425" s="11"/>
      <c r="EF425" s="11"/>
    </row>
    <row r="426" spans="1:136" ht="54" x14ac:dyDescent="0.25">
      <c r="A426" s="425">
        <v>424</v>
      </c>
      <c r="B426" s="413" t="s">
        <v>2097</v>
      </c>
      <c r="C426" s="413" t="s">
        <v>2094</v>
      </c>
      <c r="D426" s="413" t="s">
        <v>2095</v>
      </c>
      <c r="E426" s="79">
        <v>1</v>
      </c>
      <c r="F426" s="405"/>
      <c r="G426" s="274"/>
      <c r="H426" s="274"/>
      <c r="I426" s="274"/>
      <c r="J426" s="274"/>
      <c r="K426" s="11"/>
      <c r="L426" s="274"/>
      <c r="M426" s="274"/>
      <c r="N426" s="274"/>
      <c r="O426" s="48"/>
      <c r="P426" s="11"/>
      <c r="Q426" s="274"/>
      <c r="R426" s="274"/>
      <c r="S426" s="274"/>
      <c r="T426" s="11"/>
      <c r="U426" s="11"/>
      <c r="V426" s="11"/>
      <c r="W426" s="11"/>
      <c r="X426" s="11"/>
      <c r="Y426" s="11"/>
      <c r="Z426" s="48"/>
      <c r="AA426" s="52"/>
      <c r="AB426" s="52"/>
      <c r="AC426" s="118"/>
      <c r="AD426" s="5"/>
      <c r="AE426" s="52"/>
      <c r="AF426" s="113"/>
      <c r="AG426" s="113"/>
      <c r="AH426" s="113"/>
      <c r="AI426" s="52"/>
      <c r="AJ426" s="11"/>
      <c r="AK426" s="269"/>
      <c r="AL426" s="269"/>
      <c r="AM426" s="116"/>
      <c r="AN426" s="301"/>
      <c r="AO426" s="302"/>
      <c r="AP426" s="11"/>
      <c r="AQ426" s="11"/>
      <c r="AR426" s="11"/>
      <c r="AS426" s="11"/>
      <c r="AT426" s="11"/>
      <c r="AU426" s="118"/>
      <c r="AV426" s="118"/>
      <c r="AW426" s="118"/>
      <c r="AX426" s="52"/>
      <c r="AY426" s="52"/>
      <c r="AZ426" s="11"/>
      <c r="BA426" s="11"/>
      <c r="BB426" s="11"/>
      <c r="BC426" s="11"/>
      <c r="BD426" s="11"/>
      <c r="BE426" s="274"/>
      <c r="BF426" s="274"/>
      <c r="BG426" s="274"/>
      <c r="BH426" s="11"/>
      <c r="BI426" s="11"/>
      <c r="BJ426" s="311"/>
      <c r="BK426" s="311"/>
      <c r="BL426" s="311"/>
      <c r="BM426" s="52"/>
      <c r="BN426" s="52"/>
      <c r="BO426" s="387"/>
      <c r="BP426" s="320"/>
      <c r="BQ426" s="320"/>
      <c r="BR426" s="4"/>
      <c r="BS426" s="4"/>
      <c r="BT426" s="11"/>
      <c r="BU426" s="11"/>
      <c r="BV426" s="11"/>
      <c r="BW426" s="11"/>
      <c r="BX426" s="11"/>
      <c r="BY426" s="348"/>
      <c r="BZ426" s="348"/>
      <c r="CA426" s="348"/>
      <c r="CB426" s="348"/>
      <c r="CC426" s="348"/>
      <c r="CD426" s="11"/>
      <c r="CE426" s="11"/>
      <c r="CF426" s="11"/>
      <c r="CG426" s="11"/>
      <c r="CH426" s="11"/>
      <c r="CI426" s="293">
        <v>1349334</v>
      </c>
      <c r="CJ426" s="118">
        <f>+CI426*0.19</f>
        <v>256373.46</v>
      </c>
      <c r="CK426" s="364">
        <f>+CI426+CJ426</f>
        <v>1605707.46</v>
      </c>
      <c r="CL426" s="52" t="s">
        <v>383</v>
      </c>
      <c r="CM426" s="52" t="s">
        <v>2098</v>
      </c>
      <c r="CN426" s="274"/>
      <c r="CO426" s="274"/>
      <c r="CP426" s="274"/>
      <c r="CQ426" s="11"/>
      <c r="CR426" s="11"/>
      <c r="CS426" s="11"/>
      <c r="CT426" s="11"/>
      <c r="CU426" s="11"/>
      <c r="CV426" s="11"/>
      <c r="CW426" s="11"/>
      <c r="CX426" s="11"/>
      <c r="CY426" s="11"/>
      <c r="CZ426" s="11"/>
      <c r="DA426" s="11"/>
      <c r="DB426" s="11"/>
      <c r="DC426" s="11"/>
      <c r="DD426" s="11"/>
      <c r="DE426" s="11"/>
      <c r="DF426" s="11"/>
      <c r="DG426" s="11"/>
      <c r="DH426" s="11"/>
      <c r="DI426" s="11"/>
      <c r="DJ426" s="11"/>
      <c r="DK426" s="11"/>
      <c r="DL426" s="11"/>
      <c r="DM426" s="118"/>
      <c r="DN426" s="118"/>
      <c r="DO426" s="118"/>
      <c r="DP426" s="52"/>
      <c r="DQ426" s="52"/>
      <c r="DR426" s="77"/>
      <c r="DS426" s="77"/>
      <c r="DT426" s="77"/>
      <c r="DU426" s="11"/>
      <c r="DV426" s="11"/>
      <c r="DW426" s="11"/>
      <c r="DX426" s="11"/>
      <c r="DY426" s="11"/>
      <c r="DZ426" s="11"/>
      <c r="EA426" s="11"/>
      <c r="EB426" s="11"/>
      <c r="EC426" s="11"/>
      <c r="ED426" s="11"/>
      <c r="EE426" s="11"/>
      <c r="EF426" s="11"/>
    </row>
    <row r="427" spans="1:136" ht="81" x14ac:dyDescent="0.25">
      <c r="A427" s="425">
        <v>425</v>
      </c>
      <c r="B427" s="413" t="s">
        <v>2099</v>
      </c>
      <c r="C427" s="413" t="s">
        <v>2100</v>
      </c>
      <c r="D427" s="413" t="s">
        <v>2101</v>
      </c>
      <c r="E427" s="79">
        <v>1</v>
      </c>
      <c r="F427" s="405"/>
      <c r="G427" s="274"/>
      <c r="H427" s="274"/>
      <c r="I427" s="274"/>
      <c r="J427" s="274"/>
      <c r="K427" s="11"/>
      <c r="L427" s="274"/>
      <c r="M427" s="274"/>
      <c r="N427" s="274"/>
      <c r="O427" s="48"/>
      <c r="P427" s="11"/>
      <c r="Q427" s="274"/>
      <c r="R427" s="274"/>
      <c r="S427" s="274"/>
      <c r="T427" s="11"/>
      <c r="U427" s="11"/>
      <c r="V427" s="11"/>
      <c r="W427" s="11"/>
      <c r="X427" s="11"/>
      <c r="Y427" s="11"/>
      <c r="Z427" s="48"/>
      <c r="AA427" s="52"/>
      <c r="AB427" s="52"/>
      <c r="AC427" s="118"/>
      <c r="AD427" s="5"/>
      <c r="AE427" s="52"/>
      <c r="AF427" s="113"/>
      <c r="AG427" s="113"/>
      <c r="AH427" s="113"/>
      <c r="AI427" s="52"/>
      <c r="AJ427" s="11"/>
      <c r="AK427" s="269"/>
      <c r="AL427" s="269"/>
      <c r="AM427" s="116"/>
      <c r="AN427" s="301"/>
      <c r="AO427" s="302"/>
      <c r="AP427" s="11"/>
      <c r="AQ427" s="11"/>
      <c r="AR427" s="11"/>
      <c r="AS427" s="11"/>
      <c r="AT427" s="11"/>
      <c r="AU427" s="118">
        <v>5550361</v>
      </c>
      <c r="AV427" s="118">
        <v>1054569</v>
      </c>
      <c r="AW427" s="118">
        <v>6604929</v>
      </c>
      <c r="AX427" s="52" t="s">
        <v>607</v>
      </c>
      <c r="AY427" s="52" t="s">
        <v>2102</v>
      </c>
      <c r="AZ427" s="11"/>
      <c r="BA427" s="11"/>
      <c r="BB427" s="11"/>
      <c r="BC427" s="11"/>
      <c r="BD427" s="11"/>
      <c r="BE427" s="274"/>
      <c r="BF427" s="274"/>
      <c r="BG427" s="274"/>
      <c r="BH427" s="11"/>
      <c r="BI427" s="11"/>
      <c r="BJ427" s="311"/>
      <c r="BK427" s="311"/>
      <c r="BL427" s="311"/>
      <c r="BM427" s="52"/>
      <c r="BN427" s="52"/>
      <c r="BO427" s="387"/>
      <c r="BP427" s="320"/>
      <c r="BQ427" s="320"/>
      <c r="BR427" s="4"/>
      <c r="BS427" s="4"/>
      <c r="BT427" s="11"/>
      <c r="BU427" s="11"/>
      <c r="BV427" s="11"/>
      <c r="BW427" s="11"/>
      <c r="BX427" s="11"/>
      <c r="BY427" s="348"/>
      <c r="BZ427" s="348"/>
      <c r="CA427" s="348"/>
      <c r="CB427" s="348"/>
      <c r="CC427" s="348"/>
      <c r="CD427" s="11"/>
      <c r="CE427" s="11"/>
      <c r="CF427" s="11"/>
      <c r="CG427" s="11"/>
      <c r="CH427" s="11"/>
      <c r="CI427" s="11"/>
      <c r="CJ427" s="11"/>
      <c r="CK427" s="11"/>
      <c r="CL427" s="11"/>
      <c r="CM427" s="11"/>
      <c r="CN427" s="274"/>
      <c r="CO427" s="274"/>
      <c r="CP427" s="274"/>
      <c r="CQ427" s="11"/>
      <c r="CR427" s="11"/>
      <c r="CS427" s="11"/>
      <c r="CT427" s="11"/>
      <c r="CU427" s="11"/>
      <c r="CV427" s="11"/>
      <c r="CW427" s="11"/>
      <c r="CX427" s="11"/>
      <c r="CY427" s="11"/>
      <c r="CZ427" s="11"/>
      <c r="DA427" s="11"/>
      <c r="DB427" s="11"/>
      <c r="DC427" s="11"/>
      <c r="DD427" s="11"/>
      <c r="DE427" s="11"/>
      <c r="DF427" s="11"/>
      <c r="DG427" s="11"/>
      <c r="DH427" s="11"/>
      <c r="DI427" s="11"/>
      <c r="DJ427" s="11"/>
      <c r="DK427" s="11"/>
      <c r="DL427" s="11"/>
      <c r="DM427" s="118"/>
      <c r="DN427" s="118"/>
      <c r="DO427" s="118"/>
      <c r="DP427" s="52"/>
      <c r="DQ427" s="52"/>
      <c r="DR427" s="77"/>
      <c r="DS427" s="77"/>
      <c r="DT427" s="77"/>
      <c r="DU427" s="11"/>
      <c r="DV427" s="11"/>
      <c r="DW427" s="11"/>
      <c r="DX427" s="11"/>
      <c r="DY427" s="11"/>
      <c r="DZ427" s="11"/>
      <c r="EA427" s="11"/>
      <c r="EB427" s="11"/>
      <c r="EC427" s="11"/>
      <c r="ED427" s="11"/>
      <c r="EE427" s="11"/>
      <c r="EF427" s="11"/>
    </row>
    <row r="428" spans="1:136" ht="40.5" x14ac:dyDescent="0.25">
      <c r="A428" s="425">
        <v>426</v>
      </c>
      <c r="B428" s="427" t="s">
        <v>2103</v>
      </c>
      <c r="C428" s="413" t="s">
        <v>2104</v>
      </c>
      <c r="D428" s="413" t="s">
        <v>2105</v>
      </c>
      <c r="E428" s="79">
        <v>1</v>
      </c>
      <c r="F428" s="404">
        <v>5187135.5060000001</v>
      </c>
      <c r="G428" s="274"/>
      <c r="H428" s="274"/>
      <c r="I428" s="274"/>
      <c r="J428" s="274"/>
      <c r="K428" s="11"/>
      <c r="L428" s="274"/>
      <c r="M428" s="274"/>
      <c r="N428" s="274"/>
      <c r="O428" s="48"/>
      <c r="P428" s="11"/>
      <c r="Q428" s="274"/>
      <c r="R428" s="274"/>
      <c r="S428" s="274"/>
      <c r="T428" s="11"/>
      <c r="U428" s="11"/>
      <c r="V428" s="11"/>
      <c r="W428" s="11"/>
      <c r="X428" s="11"/>
      <c r="Y428" s="11"/>
      <c r="Z428" s="48"/>
      <c r="AA428" s="52"/>
      <c r="AB428" s="52"/>
      <c r="AC428" s="118"/>
      <c r="AD428" s="5"/>
      <c r="AE428" s="52"/>
      <c r="AF428" s="113"/>
      <c r="AG428" s="113"/>
      <c r="AH428" s="113"/>
      <c r="AI428" s="52"/>
      <c r="AJ428" s="11"/>
      <c r="AK428" s="269"/>
      <c r="AL428" s="269"/>
      <c r="AM428" s="116"/>
      <c r="AN428" s="301"/>
      <c r="AO428" s="302"/>
      <c r="AP428" s="11"/>
      <c r="AQ428" s="11"/>
      <c r="AR428" s="11"/>
      <c r="AS428" s="11"/>
      <c r="AT428" s="11"/>
      <c r="AU428" s="118"/>
      <c r="AV428" s="118"/>
      <c r="AW428" s="118"/>
      <c r="AX428" s="52"/>
      <c r="AY428" s="52"/>
      <c r="AZ428" s="11"/>
      <c r="BA428" s="11"/>
      <c r="BB428" s="11"/>
      <c r="BC428" s="11"/>
      <c r="BD428" s="11"/>
      <c r="BE428" s="274">
        <v>4458000</v>
      </c>
      <c r="BF428" s="274">
        <v>847020</v>
      </c>
      <c r="BG428" s="274">
        <v>5305020</v>
      </c>
      <c r="BH428" s="11" t="s">
        <v>324</v>
      </c>
      <c r="BI428" s="11" t="s">
        <v>2106</v>
      </c>
      <c r="BJ428" s="311"/>
      <c r="BK428" s="311"/>
      <c r="BL428" s="311"/>
      <c r="BM428" s="52"/>
      <c r="BN428" s="52"/>
      <c r="BO428" s="387"/>
      <c r="BP428" s="320"/>
      <c r="BQ428" s="320"/>
      <c r="BR428" s="4"/>
      <c r="BS428" s="4"/>
      <c r="BT428" s="11"/>
      <c r="BU428" s="11"/>
      <c r="BV428" s="11"/>
      <c r="BW428" s="11"/>
      <c r="BX428" s="11"/>
      <c r="BY428" s="348"/>
      <c r="BZ428" s="348"/>
      <c r="CA428" s="348"/>
      <c r="CB428" s="348"/>
      <c r="CC428" s="348"/>
      <c r="CD428" s="11"/>
      <c r="CE428" s="11"/>
      <c r="CF428" s="11"/>
      <c r="CG428" s="11"/>
      <c r="CH428" s="11"/>
      <c r="CI428" s="11"/>
      <c r="CJ428" s="11"/>
      <c r="CK428" s="11"/>
      <c r="CL428" s="11"/>
      <c r="CM428" s="11"/>
      <c r="CN428" s="274"/>
      <c r="CO428" s="274"/>
      <c r="CP428" s="274"/>
      <c r="CQ428" s="11"/>
      <c r="CR428" s="11"/>
      <c r="CS428" s="11"/>
      <c r="CT428" s="11"/>
      <c r="CU428" s="11"/>
      <c r="CV428" s="11"/>
      <c r="CW428" s="11"/>
      <c r="CX428" s="11"/>
      <c r="CY428" s="11"/>
      <c r="CZ428" s="11"/>
      <c r="DA428" s="11"/>
      <c r="DB428" s="11"/>
      <c r="DC428" s="11"/>
      <c r="DD428" s="11"/>
      <c r="DE428" s="11"/>
      <c r="DF428" s="11"/>
      <c r="DG428" s="11"/>
      <c r="DH428" s="11"/>
      <c r="DI428" s="11"/>
      <c r="DJ428" s="11"/>
      <c r="DK428" s="11"/>
      <c r="DL428" s="11"/>
      <c r="DM428" s="118"/>
      <c r="DN428" s="118"/>
      <c r="DO428" s="118"/>
      <c r="DP428" s="52"/>
      <c r="DQ428" s="52"/>
      <c r="DR428" s="77"/>
      <c r="DS428" s="77"/>
      <c r="DT428" s="77"/>
      <c r="DU428" s="11"/>
      <c r="DV428" s="11"/>
      <c r="DW428" s="11"/>
      <c r="DX428" s="11"/>
      <c r="DY428" s="11"/>
      <c r="DZ428" s="11"/>
      <c r="EA428" s="11"/>
      <c r="EB428" s="11"/>
      <c r="EC428" s="11"/>
      <c r="ED428" s="11"/>
      <c r="EE428" s="11"/>
      <c r="EF428" s="11"/>
    </row>
    <row r="429" spans="1:136" ht="27" x14ac:dyDescent="0.25">
      <c r="A429" s="425">
        <v>427</v>
      </c>
      <c r="B429" s="427" t="s">
        <v>2107</v>
      </c>
      <c r="C429" s="427" t="s">
        <v>723</v>
      </c>
      <c r="D429" s="427" t="s">
        <v>1029</v>
      </c>
      <c r="E429" s="79">
        <v>1</v>
      </c>
      <c r="F429" s="405"/>
      <c r="G429" s="274"/>
      <c r="H429" s="274"/>
      <c r="I429" s="274"/>
      <c r="J429" s="274"/>
      <c r="K429" s="11"/>
      <c r="L429" s="274"/>
      <c r="M429" s="274"/>
      <c r="N429" s="274"/>
      <c r="O429" s="48"/>
      <c r="P429" s="11"/>
      <c r="Q429" s="274"/>
      <c r="R429" s="274"/>
      <c r="S429" s="274"/>
      <c r="T429" s="11"/>
      <c r="U429" s="11"/>
      <c r="V429" s="11"/>
      <c r="W429" s="11"/>
      <c r="X429" s="11"/>
      <c r="Y429" s="11"/>
      <c r="Z429" s="48"/>
      <c r="AA429" s="52"/>
      <c r="AB429" s="52"/>
      <c r="AC429" s="118"/>
      <c r="AD429" s="5"/>
      <c r="AE429" s="52"/>
      <c r="AF429" s="113"/>
      <c r="AG429" s="113"/>
      <c r="AH429" s="113"/>
      <c r="AI429" s="52"/>
      <c r="AJ429" s="11"/>
      <c r="AK429" s="269">
        <v>359000</v>
      </c>
      <c r="AL429" s="269">
        <v>68210</v>
      </c>
      <c r="AM429" s="116">
        <v>427210</v>
      </c>
      <c r="AN429" s="301" t="s">
        <v>37</v>
      </c>
      <c r="AO429" s="302" t="s">
        <v>2108</v>
      </c>
      <c r="AP429" s="11"/>
      <c r="AQ429" s="11"/>
      <c r="AR429" s="11"/>
      <c r="AS429" s="11"/>
      <c r="AT429" s="11"/>
      <c r="AU429" s="118">
        <v>378167</v>
      </c>
      <c r="AV429" s="118">
        <v>71852</v>
      </c>
      <c r="AW429" s="118">
        <v>450019</v>
      </c>
      <c r="AX429" s="52" t="s">
        <v>607</v>
      </c>
      <c r="AY429" s="52" t="s">
        <v>2108</v>
      </c>
      <c r="AZ429" s="11"/>
      <c r="BA429" s="11"/>
      <c r="BB429" s="11"/>
      <c r="BC429" s="11"/>
      <c r="BD429" s="11"/>
      <c r="BE429" s="274"/>
      <c r="BF429" s="274"/>
      <c r="BG429" s="274"/>
      <c r="BH429" s="11"/>
      <c r="BI429" s="11"/>
      <c r="BJ429" s="311"/>
      <c r="BK429" s="311"/>
      <c r="BL429" s="311"/>
      <c r="BM429" s="52"/>
      <c r="BN429" s="52"/>
      <c r="BO429" s="387"/>
      <c r="BP429" s="320"/>
      <c r="BQ429" s="320"/>
      <c r="BR429" s="4"/>
      <c r="BS429" s="4"/>
      <c r="BT429" s="11"/>
      <c r="BU429" s="11"/>
      <c r="BV429" s="11"/>
      <c r="BW429" s="11"/>
      <c r="BX429" s="11"/>
      <c r="BY429" s="348"/>
      <c r="BZ429" s="348"/>
      <c r="CA429" s="348"/>
      <c r="CB429" s="348"/>
      <c r="CC429" s="348"/>
      <c r="CD429" s="11"/>
      <c r="CE429" s="11"/>
      <c r="CF429" s="11"/>
      <c r="CG429" s="11"/>
      <c r="CH429" s="11"/>
      <c r="CI429" s="11"/>
      <c r="CJ429" s="11"/>
      <c r="CK429" s="11"/>
      <c r="CL429" s="11"/>
      <c r="CM429" s="11"/>
      <c r="CN429" s="274"/>
      <c r="CO429" s="274"/>
      <c r="CP429" s="274"/>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11"/>
      <c r="DM429" s="118"/>
      <c r="DN429" s="118"/>
      <c r="DO429" s="118"/>
      <c r="DP429" s="52"/>
      <c r="DQ429" s="52"/>
      <c r="DR429" s="77"/>
      <c r="DS429" s="77"/>
      <c r="DT429" s="77"/>
      <c r="DU429" s="11"/>
      <c r="DV429" s="11"/>
      <c r="DW429" s="11"/>
      <c r="DX429" s="11"/>
      <c r="DY429" s="11"/>
      <c r="DZ429" s="11"/>
      <c r="EA429" s="11"/>
      <c r="EB429" s="11"/>
      <c r="EC429" s="11"/>
      <c r="ED429" s="11"/>
      <c r="EE429" s="11"/>
      <c r="EF429" s="11"/>
    </row>
    <row r="430" spans="1:136" ht="27" x14ac:dyDescent="0.25">
      <c r="A430" s="425">
        <v>428</v>
      </c>
      <c r="B430" s="427" t="s">
        <v>2109</v>
      </c>
      <c r="C430" s="427" t="s">
        <v>2110</v>
      </c>
      <c r="D430" s="427" t="s">
        <v>2111</v>
      </c>
      <c r="E430" s="79">
        <v>1</v>
      </c>
      <c r="F430" s="405"/>
      <c r="G430" s="274"/>
      <c r="H430" s="274"/>
      <c r="I430" s="274"/>
      <c r="J430" s="274"/>
      <c r="K430" s="11"/>
      <c r="L430" s="274"/>
      <c r="M430" s="274"/>
      <c r="N430" s="274"/>
      <c r="O430" s="48"/>
      <c r="P430" s="11"/>
      <c r="Q430" s="274"/>
      <c r="R430" s="274"/>
      <c r="S430" s="274"/>
      <c r="T430" s="11"/>
      <c r="U430" s="11"/>
      <c r="V430" s="11"/>
      <c r="W430" s="11"/>
      <c r="X430" s="11"/>
      <c r="Y430" s="11"/>
      <c r="Z430" s="48"/>
      <c r="AA430" s="52"/>
      <c r="AB430" s="52"/>
      <c r="AC430" s="118"/>
      <c r="AD430" s="5"/>
      <c r="AE430" s="52"/>
      <c r="AF430" s="113"/>
      <c r="AG430" s="113"/>
      <c r="AH430" s="113"/>
      <c r="AI430" s="52"/>
      <c r="AJ430" s="11"/>
      <c r="AK430" s="269"/>
      <c r="AL430" s="269"/>
      <c r="AM430" s="116"/>
      <c r="AN430" s="301"/>
      <c r="AO430" s="302"/>
      <c r="AP430" s="11"/>
      <c r="AQ430" s="11"/>
      <c r="AR430" s="11"/>
      <c r="AS430" s="11"/>
      <c r="AT430" s="11"/>
      <c r="AU430" s="118"/>
      <c r="AV430" s="118"/>
      <c r="AW430" s="118"/>
      <c r="AX430" s="52"/>
      <c r="AY430" s="52"/>
      <c r="AZ430" s="11"/>
      <c r="BA430" s="11"/>
      <c r="BB430" s="11"/>
      <c r="BC430" s="11"/>
      <c r="BD430" s="11"/>
      <c r="BE430" s="274"/>
      <c r="BF430" s="274"/>
      <c r="BG430" s="274"/>
      <c r="BH430" s="11"/>
      <c r="BI430" s="11"/>
      <c r="BJ430" s="311">
        <v>226746.15</v>
      </c>
      <c r="BK430" s="311">
        <v>43081.768499999998</v>
      </c>
      <c r="BL430" s="311">
        <v>269827.91849999997</v>
      </c>
      <c r="BM430" s="52" t="s">
        <v>1900</v>
      </c>
      <c r="BN430" s="52">
        <v>11043023</v>
      </c>
      <c r="BO430" s="387"/>
      <c r="BP430" s="320"/>
      <c r="BQ430" s="320"/>
      <c r="BR430" s="4"/>
      <c r="BS430" s="4"/>
      <c r="BT430" s="11"/>
      <c r="BU430" s="11"/>
      <c r="BV430" s="11"/>
      <c r="BW430" s="11"/>
      <c r="BX430" s="11"/>
      <c r="BY430" s="348"/>
      <c r="BZ430" s="348"/>
      <c r="CA430" s="348"/>
      <c r="CB430" s="348"/>
      <c r="CC430" s="348"/>
      <c r="CD430" s="11"/>
      <c r="CE430" s="11"/>
      <c r="CF430" s="11"/>
      <c r="CG430" s="11"/>
      <c r="CH430" s="11"/>
      <c r="CI430" s="11"/>
      <c r="CJ430" s="11"/>
      <c r="CK430" s="11"/>
      <c r="CL430" s="11"/>
      <c r="CM430" s="11"/>
      <c r="CN430" s="274"/>
      <c r="CO430" s="274"/>
      <c r="CP430" s="274"/>
      <c r="CQ430" s="11"/>
      <c r="CR430" s="11"/>
      <c r="CS430" s="11"/>
      <c r="CT430" s="11"/>
      <c r="CU430" s="11"/>
      <c r="CV430" s="11"/>
      <c r="CW430" s="11"/>
      <c r="CX430" s="11"/>
      <c r="CY430" s="11"/>
      <c r="CZ430" s="11"/>
      <c r="DA430" s="11"/>
      <c r="DB430" s="11"/>
      <c r="DC430" s="11"/>
      <c r="DD430" s="11"/>
      <c r="DE430" s="11"/>
      <c r="DF430" s="11"/>
      <c r="DG430" s="11"/>
      <c r="DH430" s="11"/>
      <c r="DI430" s="11"/>
      <c r="DJ430" s="11"/>
      <c r="DK430" s="11"/>
      <c r="DL430" s="11"/>
      <c r="DM430" s="118"/>
      <c r="DN430" s="118"/>
      <c r="DO430" s="118"/>
      <c r="DP430" s="52"/>
      <c r="DQ430" s="52"/>
      <c r="DR430" s="77"/>
      <c r="DS430" s="77"/>
      <c r="DT430" s="77"/>
      <c r="DU430" s="11"/>
      <c r="DV430" s="11"/>
      <c r="DW430" s="11"/>
      <c r="DX430" s="11"/>
      <c r="DY430" s="11"/>
      <c r="DZ430" s="11"/>
      <c r="EA430" s="11"/>
      <c r="EB430" s="11"/>
      <c r="EC430" s="11"/>
      <c r="ED430" s="11"/>
      <c r="EE430" s="11"/>
      <c r="EF430" s="11"/>
    </row>
    <row r="431" spans="1:136" ht="27" x14ac:dyDescent="0.25">
      <c r="A431" s="425">
        <v>429</v>
      </c>
      <c r="B431" s="426" t="s">
        <v>2112</v>
      </c>
      <c r="C431" s="428" t="s">
        <v>647</v>
      </c>
      <c r="D431" s="428" t="s">
        <v>132</v>
      </c>
      <c r="E431" s="79">
        <v>1</v>
      </c>
      <c r="F431" s="404">
        <v>715163.58200000005</v>
      </c>
      <c r="G431" s="274"/>
      <c r="H431" s="274"/>
      <c r="I431" s="274"/>
      <c r="J431" s="274"/>
      <c r="K431" s="11"/>
      <c r="L431" s="274"/>
      <c r="M431" s="274"/>
      <c r="N431" s="274"/>
      <c r="O431" s="48"/>
      <c r="P431" s="11"/>
      <c r="Q431" s="274"/>
      <c r="R431" s="274"/>
      <c r="S431" s="274"/>
      <c r="T431" s="11"/>
      <c r="U431" s="11"/>
      <c r="V431" s="11"/>
      <c r="W431" s="11"/>
      <c r="X431" s="11"/>
      <c r="Y431" s="11"/>
      <c r="Z431" s="48"/>
      <c r="AA431" s="52"/>
      <c r="AB431" s="52"/>
      <c r="AC431" s="118"/>
      <c r="AD431" s="5"/>
      <c r="AE431" s="52"/>
      <c r="AF431" s="113">
        <v>290000</v>
      </c>
      <c r="AG431" s="113">
        <f>AF431*0.19</f>
        <v>55100</v>
      </c>
      <c r="AH431" s="113">
        <f>AF431+AG431</f>
        <v>345100</v>
      </c>
      <c r="AI431" s="52" t="s">
        <v>770</v>
      </c>
      <c r="AJ431" s="11" t="s">
        <v>2113</v>
      </c>
      <c r="AK431" s="269">
        <v>313494</v>
      </c>
      <c r="AL431" s="269">
        <v>59563.86</v>
      </c>
      <c r="AM431" s="116">
        <v>373057.86</v>
      </c>
      <c r="AN431" s="301" t="s">
        <v>88</v>
      </c>
      <c r="AO431" s="302">
        <v>1101300500</v>
      </c>
      <c r="AP431" s="11"/>
      <c r="AQ431" s="11"/>
      <c r="AR431" s="11"/>
      <c r="AS431" s="11"/>
      <c r="AT431" s="11"/>
      <c r="AU431" s="118">
        <v>164329</v>
      </c>
      <c r="AV431" s="118">
        <v>31223</v>
      </c>
      <c r="AW431" s="118">
        <v>195552</v>
      </c>
      <c r="AX431" s="52" t="s">
        <v>607</v>
      </c>
      <c r="AY431" s="52" t="s">
        <v>2114</v>
      </c>
      <c r="AZ431" s="11"/>
      <c r="BA431" s="11"/>
      <c r="BB431" s="11"/>
      <c r="BC431" s="11"/>
      <c r="BD431" s="11"/>
      <c r="BE431" s="274"/>
      <c r="BF431" s="274"/>
      <c r="BG431" s="274"/>
      <c r="BH431" s="11"/>
      <c r="BI431" s="11"/>
      <c r="BJ431" s="311"/>
      <c r="BK431" s="311"/>
      <c r="BL431" s="311"/>
      <c r="BM431" s="52"/>
      <c r="BN431" s="52"/>
      <c r="BO431" s="387"/>
      <c r="BP431" s="320"/>
      <c r="BQ431" s="320"/>
      <c r="BR431" s="4"/>
      <c r="BS431" s="4"/>
      <c r="BT431" s="11"/>
      <c r="BU431" s="11"/>
      <c r="BV431" s="11"/>
      <c r="BW431" s="11"/>
      <c r="BX431" s="11"/>
      <c r="BY431" s="232">
        <v>235000</v>
      </c>
      <c r="BZ431" s="232">
        <f>BY431*0.19</f>
        <v>44650</v>
      </c>
      <c r="CA431" s="232">
        <f>BY431+BZ431</f>
        <v>279650</v>
      </c>
      <c r="CB431" s="348" t="s">
        <v>767</v>
      </c>
      <c r="CC431" s="348" t="s">
        <v>2115</v>
      </c>
      <c r="CD431" s="11"/>
      <c r="CE431" s="11"/>
      <c r="CF431" s="11"/>
      <c r="CG431" s="11"/>
      <c r="CH431" s="11"/>
      <c r="CI431" s="11"/>
      <c r="CJ431" s="11"/>
      <c r="CK431" s="11"/>
      <c r="CL431" s="11"/>
      <c r="CM431" s="11"/>
      <c r="CN431" s="274"/>
      <c r="CO431" s="274"/>
      <c r="CP431" s="274"/>
      <c r="CQ431" s="11"/>
      <c r="CR431" s="11"/>
      <c r="CS431" s="11"/>
      <c r="CT431" s="11"/>
      <c r="CU431" s="11"/>
      <c r="CV431" s="11"/>
      <c r="CW431" s="11"/>
      <c r="CX431" s="11"/>
      <c r="CY431" s="11"/>
      <c r="CZ431" s="11"/>
      <c r="DA431" s="11"/>
      <c r="DB431" s="11"/>
      <c r="DC431" s="11"/>
      <c r="DD431" s="11"/>
      <c r="DE431" s="11"/>
      <c r="DF431" s="11"/>
      <c r="DG431" s="11"/>
      <c r="DH431" s="11"/>
      <c r="DI431" s="11"/>
      <c r="DJ431" s="11"/>
      <c r="DK431" s="11"/>
      <c r="DL431" s="11"/>
      <c r="DM431" s="118"/>
      <c r="DN431" s="118"/>
      <c r="DO431" s="118"/>
      <c r="DP431" s="52"/>
      <c r="DQ431" s="52"/>
      <c r="DR431" s="77"/>
      <c r="DS431" s="77"/>
      <c r="DT431" s="77"/>
      <c r="DU431" s="11"/>
      <c r="DV431" s="11"/>
      <c r="DW431" s="11"/>
      <c r="DX431" s="11"/>
      <c r="DY431" s="11"/>
      <c r="DZ431" s="11"/>
      <c r="EA431" s="11"/>
      <c r="EB431" s="11"/>
      <c r="EC431" s="11"/>
      <c r="ED431" s="11"/>
      <c r="EE431" s="11"/>
      <c r="EF431" s="11"/>
    </row>
    <row r="432" spans="1:136" ht="27" x14ac:dyDescent="0.25">
      <c r="A432" s="425">
        <v>430</v>
      </c>
      <c r="B432" s="427" t="s">
        <v>2116</v>
      </c>
      <c r="C432" s="413" t="s">
        <v>2117</v>
      </c>
      <c r="D432" s="413" t="s">
        <v>2118</v>
      </c>
      <c r="E432" s="79">
        <v>1</v>
      </c>
      <c r="F432" s="404">
        <v>829539.48</v>
      </c>
      <c r="G432" s="274"/>
      <c r="H432" s="274"/>
      <c r="I432" s="274"/>
      <c r="J432" s="274"/>
      <c r="K432" s="11"/>
      <c r="L432" s="274"/>
      <c r="M432" s="274"/>
      <c r="N432" s="274"/>
      <c r="O432" s="48"/>
      <c r="P432" s="11"/>
      <c r="Q432" s="274"/>
      <c r="R432" s="274"/>
      <c r="S432" s="274"/>
      <c r="T432" s="11"/>
      <c r="U432" s="11"/>
      <c r="V432" s="11"/>
      <c r="W432" s="11"/>
      <c r="X432" s="11"/>
      <c r="Y432" s="11"/>
      <c r="Z432" s="48"/>
      <c r="AA432" s="52"/>
      <c r="AB432" s="52"/>
      <c r="AC432" s="118"/>
      <c r="AD432" s="5"/>
      <c r="AE432" s="52"/>
      <c r="AF432" s="113"/>
      <c r="AG432" s="113"/>
      <c r="AH432" s="113"/>
      <c r="AI432" s="52"/>
      <c r="AJ432" s="11"/>
      <c r="AK432" s="269"/>
      <c r="AL432" s="269"/>
      <c r="AM432" s="116"/>
      <c r="AN432" s="301"/>
      <c r="AO432" s="302"/>
      <c r="AP432" s="11"/>
      <c r="AQ432" s="11"/>
      <c r="AR432" s="11"/>
      <c r="AS432" s="11"/>
      <c r="AT432" s="11"/>
      <c r="AU432" s="118"/>
      <c r="AV432" s="118"/>
      <c r="AW432" s="118"/>
      <c r="AX432" s="52"/>
      <c r="AY432" s="52"/>
      <c r="AZ432" s="11"/>
      <c r="BA432" s="11"/>
      <c r="BB432" s="11"/>
      <c r="BC432" s="11"/>
      <c r="BD432" s="11"/>
      <c r="BE432" s="274">
        <v>774000</v>
      </c>
      <c r="BF432" s="274">
        <v>147060</v>
      </c>
      <c r="BG432" s="274">
        <v>921060</v>
      </c>
      <c r="BH432" s="11" t="s">
        <v>366</v>
      </c>
      <c r="BI432" s="11">
        <v>20150</v>
      </c>
      <c r="BJ432" s="311"/>
      <c r="BK432" s="311"/>
      <c r="BL432" s="311"/>
      <c r="BM432" s="52"/>
      <c r="BN432" s="52"/>
      <c r="BO432" s="387"/>
      <c r="BP432" s="320"/>
      <c r="BQ432" s="320"/>
      <c r="BR432" s="4"/>
      <c r="BS432" s="4"/>
      <c r="BT432" s="11"/>
      <c r="BU432" s="11"/>
      <c r="BV432" s="11"/>
      <c r="BW432" s="11"/>
      <c r="BX432" s="11"/>
      <c r="BY432" s="348"/>
      <c r="BZ432" s="348"/>
      <c r="CA432" s="348"/>
      <c r="CB432" s="348"/>
      <c r="CC432" s="348"/>
      <c r="CD432" s="11"/>
      <c r="CE432" s="11"/>
      <c r="CF432" s="11"/>
      <c r="CG432" s="11"/>
      <c r="CH432" s="11"/>
      <c r="CI432" s="11"/>
      <c r="CJ432" s="11"/>
      <c r="CK432" s="11"/>
      <c r="CL432" s="11"/>
      <c r="CM432" s="11"/>
      <c r="CN432" s="274"/>
      <c r="CO432" s="274"/>
      <c r="CP432" s="274"/>
      <c r="CQ432" s="11"/>
      <c r="CR432" s="11"/>
      <c r="CS432" s="11"/>
      <c r="CT432" s="11"/>
      <c r="CU432" s="11"/>
      <c r="CV432" s="11"/>
      <c r="CW432" s="11"/>
      <c r="CX432" s="11"/>
      <c r="CY432" s="11"/>
      <c r="CZ432" s="11"/>
      <c r="DA432" s="11"/>
      <c r="DB432" s="11"/>
      <c r="DC432" s="11"/>
      <c r="DD432" s="11"/>
      <c r="DE432" s="11"/>
      <c r="DF432" s="11"/>
      <c r="DG432" s="11"/>
      <c r="DH432" s="11"/>
      <c r="DI432" s="11"/>
      <c r="DJ432" s="11"/>
      <c r="DK432" s="11"/>
      <c r="DL432" s="11"/>
      <c r="DM432" s="118"/>
      <c r="DN432" s="118"/>
      <c r="DO432" s="118"/>
      <c r="DP432" s="52"/>
      <c r="DQ432" s="52"/>
      <c r="DR432" s="77"/>
      <c r="DS432" s="77"/>
      <c r="DT432" s="77"/>
      <c r="DU432" s="11"/>
      <c r="DV432" s="11"/>
      <c r="DW432" s="11"/>
      <c r="DX432" s="11"/>
      <c r="DY432" s="11"/>
      <c r="DZ432" s="11"/>
      <c r="EA432" s="11"/>
      <c r="EB432" s="11"/>
      <c r="EC432" s="11"/>
      <c r="ED432" s="11"/>
      <c r="EE432" s="11"/>
      <c r="EF432" s="11"/>
    </row>
    <row r="433" spans="1:136" ht="27" x14ac:dyDescent="0.25">
      <c r="A433" s="425">
        <v>431</v>
      </c>
      <c r="B433" s="427" t="s">
        <v>2119</v>
      </c>
      <c r="C433" s="413" t="s">
        <v>1147</v>
      </c>
      <c r="D433" s="413" t="s">
        <v>2120</v>
      </c>
      <c r="E433" s="79">
        <v>1</v>
      </c>
      <c r="F433" s="405"/>
      <c r="G433" s="274"/>
      <c r="H433" s="274"/>
      <c r="I433" s="274"/>
      <c r="J433" s="274"/>
      <c r="K433" s="11"/>
      <c r="L433" s="274"/>
      <c r="M433" s="274"/>
      <c r="N433" s="274"/>
      <c r="O433" s="48"/>
      <c r="P433" s="11"/>
      <c r="Q433" s="274"/>
      <c r="R433" s="274"/>
      <c r="S433" s="274"/>
      <c r="T433" s="11"/>
      <c r="U433" s="11"/>
      <c r="V433" s="11"/>
      <c r="W433" s="11"/>
      <c r="X433" s="11"/>
      <c r="Y433" s="11"/>
      <c r="Z433" s="48"/>
      <c r="AA433" s="52"/>
      <c r="AB433" s="52"/>
      <c r="AC433" s="118"/>
      <c r="AD433" s="5"/>
      <c r="AE433" s="52"/>
      <c r="AF433" s="113">
        <v>106000</v>
      </c>
      <c r="AG433" s="113">
        <f>AF433*0.19</f>
        <v>20140</v>
      </c>
      <c r="AH433" s="113">
        <f>AF433+AG433</f>
        <v>126140</v>
      </c>
      <c r="AI433" s="52" t="s">
        <v>2121</v>
      </c>
      <c r="AJ433" s="11" t="s">
        <v>2122</v>
      </c>
      <c r="AK433" s="269"/>
      <c r="AL433" s="269"/>
      <c r="AM433" s="116"/>
      <c r="AN433" s="301"/>
      <c r="AO433" s="302"/>
      <c r="AP433" s="11"/>
      <c r="AQ433" s="11"/>
      <c r="AR433" s="11"/>
      <c r="AS433" s="11"/>
      <c r="AT433" s="11"/>
      <c r="AU433" s="118"/>
      <c r="AV433" s="118"/>
      <c r="AW433" s="118"/>
      <c r="AX433" s="52"/>
      <c r="AY433" s="52"/>
      <c r="AZ433" s="11"/>
      <c r="BA433" s="11"/>
      <c r="BB433" s="11"/>
      <c r="BC433" s="11"/>
      <c r="BD433" s="11"/>
      <c r="BE433" s="274"/>
      <c r="BF433" s="274"/>
      <c r="BG433" s="274"/>
      <c r="BH433" s="11"/>
      <c r="BI433" s="11"/>
      <c r="BJ433" s="311"/>
      <c r="BK433" s="311"/>
      <c r="BL433" s="311"/>
      <c r="BM433" s="52"/>
      <c r="BN433" s="52"/>
      <c r="BO433" s="387"/>
      <c r="BP433" s="320"/>
      <c r="BQ433" s="320"/>
      <c r="BR433" s="4"/>
      <c r="BS433" s="4"/>
      <c r="BT433" s="11"/>
      <c r="BU433" s="11"/>
      <c r="BV433" s="11"/>
      <c r="BW433" s="11"/>
      <c r="BX433" s="11"/>
      <c r="BY433" s="232">
        <v>180000</v>
      </c>
      <c r="BZ433" s="232">
        <f>BY433*0.19</f>
        <v>34200</v>
      </c>
      <c r="CA433" s="232">
        <f>BY433+BZ433</f>
        <v>214200</v>
      </c>
      <c r="CB433" s="348" t="s">
        <v>772</v>
      </c>
      <c r="CC433" s="348">
        <v>85308</v>
      </c>
      <c r="CD433" s="11"/>
      <c r="CE433" s="11"/>
      <c r="CF433" s="11"/>
      <c r="CG433" s="11"/>
      <c r="CH433" s="11"/>
      <c r="CI433" s="11"/>
      <c r="CJ433" s="11"/>
      <c r="CK433" s="11"/>
      <c r="CL433" s="11"/>
      <c r="CM433" s="11"/>
      <c r="CN433" s="274"/>
      <c r="CO433" s="274"/>
      <c r="CP433" s="274"/>
      <c r="CQ433" s="11"/>
      <c r="CR433" s="11"/>
      <c r="CS433" s="11"/>
      <c r="CT433" s="11"/>
      <c r="CU433" s="11"/>
      <c r="CV433" s="11"/>
      <c r="CW433" s="11"/>
      <c r="CX433" s="11"/>
      <c r="CY433" s="11"/>
      <c r="CZ433" s="11"/>
      <c r="DA433" s="11"/>
      <c r="DB433" s="11"/>
      <c r="DC433" s="11"/>
      <c r="DD433" s="11"/>
      <c r="DE433" s="11"/>
      <c r="DF433" s="11"/>
      <c r="DG433" s="11"/>
      <c r="DH433" s="11"/>
      <c r="DI433" s="11"/>
      <c r="DJ433" s="11"/>
      <c r="DK433" s="11"/>
      <c r="DL433" s="11"/>
      <c r="DM433" s="118"/>
      <c r="DN433" s="118"/>
      <c r="DO433" s="118"/>
      <c r="DP433" s="52"/>
      <c r="DQ433" s="52"/>
      <c r="DR433" s="77"/>
      <c r="DS433" s="77"/>
      <c r="DT433" s="77"/>
      <c r="DU433" s="11"/>
      <c r="DV433" s="11"/>
      <c r="DW433" s="11"/>
      <c r="DX433" s="11"/>
      <c r="DY433" s="11"/>
      <c r="DZ433" s="11"/>
      <c r="EA433" s="11"/>
      <c r="EB433" s="11"/>
      <c r="EC433" s="11"/>
      <c r="ED433" s="11"/>
      <c r="EE433" s="11"/>
      <c r="EF433" s="11"/>
    </row>
    <row r="434" spans="1:136" ht="25.5" x14ac:dyDescent="0.25">
      <c r="A434" s="425">
        <v>432</v>
      </c>
      <c r="B434" s="427" t="s">
        <v>2123</v>
      </c>
      <c r="C434" s="413" t="s">
        <v>2124</v>
      </c>
      <c r="D434" s="413" t="s">
        <v>157</v>
      </c>
      <c r="E434" s="79">
        <v>1</v>
      </c>
      <c r="F434" s="405"/>
      <c r="G434" s="274"/>
      <c r="H434" s="274"/>
      <c r="I434" s="274"/>
      <c r="J434" s="274"/>
      <c r="K434" s="11"/>
      <c r="L434" s="274">
        <v>250000</v>
      </c>
      <c r="M434" s="274">
        <f>L434*19%</f>
        <v>47500</v>
      </c>
      <c r="N434" s="274">
        <f>M434+L434</f>
        <v>297500</v>
      </c>
      <c r="O434" s="48" t="s">
        <v>906</v>
      </c>
      <c r="P434" s="11" t="s">
        <v>2125</v>
      </c>
      <c r="Q434" s="274"/>
      <c r="R434" s="274"/>
      <c r="S434" s="274"/>
      <c r="T434" s="11"/>
      <c r="U434" s="11"/>
      <c r="V434" s="11"/>
      <c r="W434" s="11"/>
      <c r="X434" s="11"/>
      <c r="Y434" s="11"/>
      <c r="Z434" s="48"/>
      <c r="AA434" s="52"/>
      <c r="AB434" s="52"/>
      <c r="AC434" s="118"/>
      <c r="AD434" s="5"/>
      <c r="AE434" s="52"/>
      <c r="AF434" s="113"/>
      <c r="AG434" s="113"/>
      <c r="AH434" s="113"/>
      <c r="AI434" s="52"/>
      <c r="AJ434" s="11"/>
      <c r="AK434" s="269">
        <v>107000</v>
      </c>
      <c r="AL434" s="269">
        <v>20330</v>
      </c>
      <c r="AM434" s="116">
        <v>127330</v>
      </c>
      <c r="AN434" s="301" t="s">
        <v>37</v>
      </c>
      <c r="AO434" s="302" t="s">
        <v>2126</v>
      </c>
      <c r="AP434" s="11"/>
      <c r="AQ434" s="11"/>
      <c r="AR434" s="11"/>
      <c r="AS434" s="11"/>
      <c r="AT434" s="11"/>
      <c r="AU434" s="118">
        <v>112713</v>
      </c>
      <c r="AV434" s="118">
        <v>21415</v>
      </c>
      <c r="AW434" s="118">
        <v>134128</v>
      </c>
      <c r="AX434" s="52" t="s">
        <v>607</v>
      </c>
      <c r="AY434" s="52" t="s">
        <v>2126</v>
      </c>
      <c r="AZ434" s="11"/>
      <c r="BA434" s="11"/>
      <c r="BB434" s="11"/>
      <c r="BC434" s="11"/>
      <c r="BD434" s="11"/>
      <c r="BE434" s="274"/>
      <c r="BF434" s="274"/>
      <c r="BG434" s="274"/>
      <c r="BH434" s="11"/>
      <c r="BI434" s="11"/>
      <c r="BJ434" s="311">
        <v>155023.07999999999</v>
      </c>
      <c r="BK434" s="311">
        <v>29454.385199999997</v>
      </c>
      <c r="BL434" s="311">
        <v>184477.46519999998</v>
      </c>
      <c r="BM434" s="52" t="s">
        <v>1900</v>
      </c>
      <c r="BN434" s="52">
        <v>11095080</v>
      </c>
      <c r="BO434" s="387"/>
      <c r="BP434" s="320"/>
      <c r="BQ434" s="320"/>
      <c r="BR434" s="4"/>
      <c r="BS434" s="4"/>
      <c r="BT434" s="11"/>
      <c r="BU434" s="11"/>
      <c r="BV434" s="11"/>
      <c r="BW434" s="11"/>
      <c r="BX434" s="11"/>
      <c r="BY434" s="232"/>
      <c r="BZ434" s="232"/>
      <c r="CA434" s="232"/>
      <c r="CB434" s="348"/>
      <c r="CC434" s="348"/>
      <c r="CD434" s="11"/>
      <c r="CE434" s="11"/>
      <c r="CF434" s="11"/>
      <c r="CG434" s="11"/>
      <c r="CH434" s="11"/>
      <c r="CI434" s="11"/>
      <c r="CJ434" s="11"/>
      <c r="CK434" s="11"/>
      <c r="CL434" s="11"/>
      <c r="CM434" s="11"/>
      <c r="CN434" s="274"/>
      <c r="CO434" s="274"/>
      <c r="CP434" s="274"/>
      <c r="CQ434" s="11"/>
      <c r="CR434" s="11"/>
      <c r="CS434" s="11"/>
      <c r="CT434" s="11"/>
      <c r="CU434" s="11"/>
      <c r="CV434" s="11"/>
      <c r="CW434" s="11"/>
      <c r="CX434" s="11"/>
      <c r="CY434" s="11"/>
      <c r="CZ434" s="11"/>
      <c r="DA434" s="11"/>
      <c r="DB434" s="11"/>
      <c r="DC434" s="11"/>
      <c r="DD434" s="11"/>
      <c r="DE434" s="11"/>
      <c r="DF434" s="11"/>
      <c r="DG434" s="11"/>
      <c r="DH434" s="11"/>
      <c r="DI434" s="11"/>
      <c r="DJ434" s="11"/>
      <c r="DK434" s="11"/>
      <c r="DL434" s="11"/>
      <c r="DM434" s="118"/>
      <c r="DN434" s="118"/>
      <c r="DO434" s="118"/>
      <c r="DP434" s="52"/>
      <c r="DQ434" s="52"/>
      <c r="DR434" s="77"/>
      <c r="DS434" s="77"/>
      <c r="DT434" s="77"/>
      <c r="DU434" s="11"/>
      <c r="DV434" s="11"/>
      <c r="DW434" s="11"/>
      <c r="DX434" s="11"/>
      <c r="DY434" s="11"/>
      <c r="DZ434" s="11"/>
      <c r="EA434" s="11"/>
      <c r="EB434" s="11"/>
      <c r="EC434" s="11"/>
      <c r="ED434" s="11"/>
      <c r="EE434" s="11"/>
      <c r="EF434" s="11"/>
    </row>
    <row r="435" spans="1:136" ht="27" x14ac:dyDescent="0.25">
      <c r="A435" s="425">
        <v>433</v>
      </c>
      <c r="B435" s="426" t="s">
        <v>2127</v>
      </c>
      <c r="C435" s="428" t="s">
        <v>2128</v>
      </c>
      <c r="D435" s="428" t="s">
        <v>132</v>
      </c>
      <c r="E435" s="79">
        <v>1</v>
      </c>
      <c r="F435" s="406">
        <v>2825461.7439999999</v>
      </c>
      <c r="G435" s="274"/>
      <c r="H435" s="274"/>
      <c r="I435" s="274"/>
      <c r="J435" s="274"/>
      <c r="K435" s="11"/>
      <c r="L435" s="274"/>
      <c r="M435" s="274"/>
      <c r="N435" s="274"/>
      <c r="O435" s="48"/>
      <c r="P435" s="11"/>
      <c r="Q435" s="274"/>
      <c r="R435" s="274"/>
      <c r="S435" s="274"/>
      <c r="T435" s="11"/>
      <c r="U435" s="11"/>
      <c r="V435" s="11"/>
      <c r="W435" s="11"/>
      <c r="X435" s="11"/>
      <c r="Y435" s="11"/>
      <c r="Z435" s="48"/>
      <c r="AA435" s="52"/>
      <c r="AB435" s="52"/>
      <c r="AC435" s="118"/>
      <c r="AD435" s="5"/>
      <c r="AE435" s="52"/>
      <c r="AF435" s="113"/>
      <c r="AG435" s="113"/>
      <c r="AH435" s="113"/>
      <c r="AI435" s="52"/>
      <c r="AJ435" s="11"/>
      <c r="AK435" s="269">
        <v>1360549</v>
      </c>
      <c r="AL435" s="269">
        <v>258504.31</v>
      </c>
      <c r="AM435" s="116">
        <v>1619053.31</v>
      </c>
      <c r="AN435" s="301" t="s">
        <v>88</v>
      </c>
      <c r="AO435" s="302">
        <v>1039790500</v>
      </c>
      <c r="AP435" s="11"/>
      <c r="AQ435" s="11"/>
      <c r="AR435" s="11"/>
      <c r="AS435" s="11"/>
      <c r="AT435" s="11"/>
      <c r="AU435" s="118">
        <v>1736500</v>
      </c>
      <c r="AV435" s="118">
        <v>329935</v>
      </c>
      <c r="AW435" s="118">
        <v>2066435</v>
      </c>
      <c r="AX435" s="52" t="s">
        <v>607</v>
      </c>
      <c r="AY435" s="52">
        <v>1039790500</v>
      </c>
      <c r="AZ435" s="11"/>
      <c r="BA435" s="11"/>
      <c r="BB435" s="11"/>
      <c r="BC435" s="11"/>
      <c r="BD435" s="11"/>
      <c r="BE435" s="274"/>
      <c r="BF435" s="274"/>
      <c r="BG435" s="274"/>
      <c r="BH435" s="11"/>
      <c r="BI435" s="11"/>
      <c r="BJ435" s="311"/>
      <c r="BK435" s="311"/>
      <c r="BL435" s="311"/>
      <c r="BM435" s="52"/>
      <c r="BN435" s="52"/>
      <c r="BO435" s="387"/>
      <c r="BP435" s="320"/>
      <c r="BQ435" s="320"/>
      <c r="BR435" s="4"/>
      <c r="BS435" s="4"/>
      <c r="BT435" s="11"/>
      <c r="BU435" s="11"/>
      <c r="BV435" s="11"/>
      <c r="BW435" s="11"/>
      <c r="BX435" s="11"/>
      <c r="BY435" s="232">
        <v>240000</v>
      </c>
      <c r="BZ435" s="232">
        <f>BY435*0.19</f>
        <v>45600</v>
      </c>
      <c r="CA435" s="232">
        <f>BY435+BZ435</f>
        <v>285600</v>
      </c>
      <c r="CB435" s="348" t="s">
        <v>767</v>
      </c>
      <c r="CC435" s="351" t="s">
        <v>2129</v>
      </c>
      <c r="CD435" s="11"/>
      <c r="CE435" s="11"/>
      <c r="CF435" s="11"/>
      <c r="CG435" s="11"/>
      <c r="CH435" s="11"/>
      <c r="CI435" s="11"/>
      <c r="CJ435" s="11"/>
      <c r="CK435" s="11"/>
      <c r="CL435" s="11"/>
      <c r="CM435" s="11"/>
      <c r="CN435" s="274"/>
      <c r="CO435" s="274"/>
      <c r="CP435" s="274"/>
      <c r="CQ435" s="11"/>
      <c r="CR435" s="11"/>
      <c r="CS435" s="11"/>
      <c r="CT435" s="11"/>
      <c r="CU435" s="11"/>
      <c r="CV435" s="11"/>
      <c r="CW435" s="11"/>
      <c r="CX435" s="11"/>
      <c r="CY435" s="11"/>
      <c r="CZ435" s="11"/>
      <c r="DA435" s="11"/>
      <c r="DB435" s="11"/>
      <c r="DC435" s="11"/>
      <c r="DD435" s="11"/>
      <c r="DE435" s="11"/>
      <c r="DF435" s="11"/>
      <c r="DG435" s="11"/>
      <c r="DH435" s="11"/>
      <c r="DI435" s="11"/>
      <c r="DJ435" s="11"/>
      <c r="DK435" s="11"/>
      <c r="DL435" s="11"/>
      <c r="DM435" s="118"/>
      <c r="DN435" s="118"/>
      <c r="DO435" s="118"/>
      <c r="DP435" s="52"/>
      <c r="DQ435" s="52"/>
      <c r="DR435" s="77"/>
      <c r="DS435" s="77"/>
      <c r="DT435" s="77"/>
      <c r="DU435" s="11"/>
      <c r="DV435" s="11"/>
      <c r="DW435" s="11"/>
      <c r="DX435" s="11"/>
      <c r="DY435" s="11"/>
      <c r="DZ435" s="11"/>
      <c r="EA435" s="11"/>
      <c r="EB435" s="11"/>
      <c r="EC435" s="11"/>
      <c r="ED435" s="11"/>
      <c r="EE435" s="11"/>
      <c r="EF435" s="11"/>
    </row>
    <row r="436" spans="1:136" ht="27" x14ac:dyDescent="0.25">
      <c r="A436" s="425">
        <v>434</v>
      </c>
      <c r="B436" s="426" t="s">
        <v>2130</v>
      </c>
      <c r="C436" s="413" t="s">
        <v>2131</v>
      </c>
      <c r="D436" s="428" t="s">
        <v>132</v>
      </c>
      <c r="E436" s="79">
        <v>1</v>
      </c>
      <c r="F436" s="404">
        <v>3078094.2220000001</v>
      </c>
      <c r="G436" s="274"/>
      <c r="H436" s="274"/>
      <c r="I436" s="274"/>
      <c r="J436" s="274"/>
      <c r="K436" s="11"/>
      <c r="L436" s="274"/>
      <c r="M436" s="274"/>
      <c r="N436" s="274"/>
      <c r="O436" s="48"/>
      <c r="P436" s="11"/>
      <c r="Q436" s="274"/>
      <c r="R436" s="274"/>
      <c r="S436" s="274"/>
      <c r="T436" s="11"/>
      <c r="U436" s="11"/>
      <c r="V436" s="11"/>
      <c r="W436" s="11"/>
      <c r="X436" s="11"/>
      <c r="Y436" s="11"/>
      <c r="Z436" s="48"/>
      <c r="AA436" s="52"/>
      <c r="AB436" s="52"/>
      <c r="AC436" s="118"/>
      <c r="AD436" s="5"/>
      <c r="AE436" s="52"/>
      <c r="AF436" s="113">
        <v>581000</v>
      </c>
      <c r="AG436" s="113">
        <f>AF436*0.19</f>
        <v>110390</v>
      </c>
      <c r="AH436" s="113">
        <f>AF436+AG436</f>
        <v>691390</v>
      </c>
      <c r="AI436" s="52" t="s">
        <v>770</v>
      </c>
      <c r="AJ436" s="11" t="s">
        <v>2132</v>
      </c>
      <c r="AK436" s="269">
        <v>1853061</v>
      </c>
      <c r="AL436" s="269">
        <v>352081.59</v>
      </c>
      <c r="AM436" s="116">
        <v>2205142.59</v>
      </c>
      <c r="AN436" s="301" t="s">
        <v>88</v>
      </c>
      <c r="AO436" s="302">
        <v>1109910500</v>
      </c>
      <c r="AP436" s="11"/>
      <c r="AQ436" s="11"/>
      <c r="AR436" s="11"/>
      <c r="AS436" s="11"/>
      <c r="AT436" s="11"/>
      <c r="AU436" s="118">
        <v>2058571</v>
      </c>
      <c r="AV436" s="118">
        <v>391128</v>
      </c>
      <c r="AW436" s="118">
        <v>2449699</v>
      </c>
      <c r="AX436" s="52" t="s">
        <v>607</v>
      </c>
      <c r="AY436" s="52">
        <v>1109910500</v>
      </c>
      <c r="AZ436" s="11"/>
      <c r="BA436" s="11"/>
      <c r="BB436" s="11"/>
      <c r="BC436" s="11"/>
      <c r="BD436" s="11"/>
      <c r="BE436" s="274"/>
      <c r="BF436" s="274"/>
      <c r="BG436" s="274"/>
      <c r="BH436" s="11"/>
      <c r="BI436" s="11"/>
      <c r="BJ436" s="311"/>
      <c r="BK436" s="311"/>
      <c r="BL436" s="311"/>
      <c r="BM436" s="52"/>
      <c r="BN436" s="52"/>
      <c r="BO436" s="387"/>
      <c r="BP436" s="320"/>
      <c r="BQ436" s="320"/>
      <c r="BR436" s="4"/>
      <c r="BS436" s="4"/>
      <c r="BT436" s="11"/>
      <c r="BU436" s="11"/>
      <c r="BV436" s="11"/>
      <c r="BW436" s="11"/>
      <c r="BX436" s="11"/>
      <c r="BY436" s="232">
        <v>240000</v>
      </c>
      <c r="BZ436" s="232">
        <f>BY436*0.19</f>
        <v>45600</v>
      </c>
      <c r="CA436" s="232">
        <f>BY436+BZ436</f>
        <v>285600</v>
      </c>
      <c r="CB436" s="348" t="s">
        <v>767</v>
      </c>
      <c r="CC436" s="351" t="s">
        <v>2133</v>
      </c>
      <c r="CD436" s="11"/>
      <c r="CE436" s="11"/>
      <c r="CF436" s="11"/>
      <c r="CG436" s="11"/>
      <c r="CH436" s="11"/>
      <c r="CI436" s="11"/>
      <c r="CJ436" s="11"/>
      <c r="CK436" s="11"/>
      <c r="CL436" s="11"/>
      <c r="CM436" s="11"/>
      <c r="CN436" s="274"/>
      <c r="CO436" s="274"/>
      <c r="CP436" s="274"/>
      <c r="CQ436" s="11"/>
      <c r="CR436" s="11"/>
      <c r="CS436" s="11"/>
      <c r="CT436" s="11"/>
      <c r="CU436" s="11"/>
      <c r="CV436" s="11"/>
      <c r="CW436" s="11"/>
      <c r="CX436" s="11"/>
      <c r="CY436" s="11"/>
      <c r="CZ436" s="11"/>
      <c r="DA436" s="11"/>
      <c r="DB436" s="11"/>
      <c r="DC436" s="11"/>
      <c r="DD436" s="11"/>
      <c r="DE436" s="11"/>
      <c r="DF436" s="11"/>
      <c r="DG436" s="11"/>
      <c r="DH436" s="11"/>
      <c r="DI436" s="11"/>
      <c r="DJ436" s="11"/>
      <c r="DK436" s="11"/>
      <c r="DL436" s="11"/>
      <c r="DM436" s="118"/>
      <c r="DN436" s="118"/>
      <c r="DO436" s="118"/>
      <c r="DP436" s="52"/>
      <c r="DQ436" s="52"/>
      <c r="DR436" s="77"/>
      <c r="DS436" s="77"/>
      <c r="DT436" s="77"/>
      <c r="DU436" s="11"/>
      <c r="DV436" s="11"/>
      <c r="DW436" s="11"/>
      <c r="DX436" s="11"/>
      <c r="DY436" s="11"/>
      <c r="DZ436" s="11"/>
      <c r="EA436" s="11"/>
      <c r="EB436" s="11"/>
      <c r="EC436" s="11"/>
      <c r="ED436" s="11"/>
      <c r="EE436" s="11"/>
      <c r="EF436" s="11"/>
    </row>
    <row r="437" spans="1:136" ht="27" x14ac:dyDescent="0.25">
      <c r="A437" s="425">
        <v>435</v>
      </c>
      <c r="B437" s="427" t="s">
        <v>2134</v>
      </c>
      <c r="C437" s="427" t="s">
        <v>2135</v>
      </c>
      <c r="D437" s="427" t="s">
        <v>2136</v>
      </c>
      <c r="E437" s="79">
        <v>1</v>
      </c>
      <c r="F437" s="405"/>
      <c r="G437" s="274"/>
      <c r="H437" s="274"/>
      <c r="I437" s="274"/>
      <c r="J437" s="274"/>
      <c r="K437" s="11"/>
      <c r="L437" s="274"/>
      <c r="M437" s="274"/>
      <c r="N437" s="274"/>
      <c r="O437" s="48"/>
      <c r="P437" s="11"/>
      <c r="Q437" s="274"/>
      <c r="R437" s="274"/>
      <c r="S437" s="274"/>
      <c r="T437" s="11"/>
      <c r="U437" s="11"/>
      <c r="V437" s="11"/>
      <c r="W437" s="11"/>
      <c r="X437" s="11"/>
      <c r="Y437" s="11"/>
      <c r="Z437" s="48"/>
      <c r="AA437" s="52"/>
      <c r="AB437" s="52"/>
      <c r="AC437" s="118"/>
      <c r="AD437" s="5"/>
      <c r="AE437" s="52"/>
      <c r="AF437" s="113"/>
      <c r="AG437" s="113"/>
      <c r="AH437" s="113"/>
      <c r="AI437" s="52"/>
      <c r="AJ437" s="11"/>
      <c r="AK437" s="269"/>
      <c r="AL437" s="269"/>
      <c r="AM437" s="116"/>
      <c r="AN437" s="301"/>
      <c r="AO437" s="302"/>
      <c r="AP437" s="11"/>
      <c r="AQ437" s="11"/>
      <c r="AR437" s="11"/>
      <c r="AS437" s="11"/>
      <c r="AT437" s="11"/>
      <c r="AU437" s="118"/>
      <c r="AV437" s="118"/>
      <c r="AW437" s="118"/>
      <c r="AX437" s="52"/>
      <c r="AY437" s="52"/>
      <c r="AZ437" s="11"/>
      <c r="BA437" s="11"/>
      <c r="BB437" s="11"/>
      <c r="BC437" s="11"/>
      <c r="BD437" s="11"/>
      <c r="BE437" s="274"/>
      <c r="BF437" s="274"/>
      <c r="BG437" s="274"/>
      <c r="BH437" s="11"/>
      <c r="BI437" s="11"/>
      <c r="BJ437" s="311">
        <v>294807.69</v>
      </c>
      <c r="BK437" s="311">
        <v>56013.4611</v>
      </c>
      <c r="BL437" s="311">
        <v>350821.15109999996</v>
      </c>
      <c r="BM437" s="52" t="s">
        <v>1900</v>
      </c>
      <c r="BN437" s="52">
        <v>41500034</v>
      </c>
      <c r="BO437" s="387"/>
      <c r="BP437" s="320"/>
      <c r="BQ437" s="320"/>
      <c r="BR437" s="4"/>
      <c r="BS437" s="4"/>
      <c r="BT437" s="11"/>
      <c r="BU437" s="11"/>
      <c r="BV437" s="11"/>
      <c r="BW437" s="11"/>
      <c r="BX437" s="11"/>
      <c r="BY437" s="232"/>
      <c r="BZ437" s="232"/>
      <c r="CA437" s="232"/>
      <c r="CB437" s="348"/>
      <c r="CC437" s="348"/>
      <c r="CD437" s="11"/>
      <c r="CE437" s="11"/>
      <c r="CF437" s="11"/>
      <c r="CG437" s="11"/>
      <c r="CH437" s="11"/>
      <c r="CI437" s="11"/>
      <c r="CJ437" s="11"/>
      <c r="CK437" s="11"/>
      <c r="CL437" s="11"/>
      <c r="CM437" s="11"/>
      <c r="CN437" s="274"/>
      <c r="CO437" s="274"/>
      <c r="CP437" s="274"/>
      <c r="CQ437" s="11"/>
      <c r="CR437" s="11"/>
      <c r="CS437" s="11"/>
      <c r="CT437" s="11"/>
      <c r="CU437" s="11"/>
      <c r="CV437" s="11"/>
      <c r="CW437" s="11"/>
      <c r="CX437" s="11"/>
      <c r="CY437" s="11"/>
      <c r="CZ437" s="11"/>
      <c r="DA437" s="11"/>
      <c r="DB437" s="11"/>
      <c r="DC437" s="11"/>
      <c r="DD437" s="11"/>
      <c r="DE437" s="11"/>
      <c r="DF437" s="11"/>
      <c r="DG437" s="11"/>
      <c r="DH437" s="11"/>
      <c r="DI437" s="11"/>
      <c r="DJ437" s="11"/>
      <c r="DK437" s="11"/>
      <c r="DL437" s="11"/>
      <c r="DM437" s="118"/>
      <c r="DN437" s="118"/>
      <c r="DO437" s="118"/>
      <c r="DP437" s="52"/>
      <c r="DQ437" s="52"/>
      <c r="DR437" s="77"/>
      <c r="DS437" s="77"/>
      <c r="DT437" s="77"/>
      <c r="DU437" s="11"/>
      <c r="DV437" s="11"/>
      <c r="DW437" s="11"/>
      <c r="DX437" s="11"/>
      <c r="DY437" s="11"/>
      <c r="DZ437" s="11"/>
      <c r="EA437" s="11"/>
      <c r="EB437" s="11"/>
      <c r="EC437" s="11"/>
      <c r="ED437" s="11"/>
      <c r="EE437" s="11"/>
      <c r="EF437" s="11"/>
    </row>
    <row r="438" spans="1:136" ht="27" x14ac:dyDescent="0.25">
      <c r="A438" s="425">
        <v>436</v>
      </c>
      <c r="B438" s="427" t="s">
        <v>2137</v>
      </c>
      <c r="C438" s="413" t="s">
        <v>2138</v>
      </c>
      <c r="D438" s="586" t="s">
        <v>1183</v>
      </c>
      <c r="E438" s="79">
        <v>1</v>
      </c>
      <c r="F438" s="405"/>
      <c r="G438" s="274"/>
      <c r="H438" s="274"/>
      <c r="I438" s="274"/>
      <c r="J438" s="274"/>
      <c r="K438" s="11"/>
      <c r="L438" s="274"/>
      <c r="M438" s="274"/>
      <c r="N438" s="274"/>
      <c r="O438" s="48"/>
      <c r="P438" s="11"/>
      <c r="Q438" s="274"/>
      <c r="R438" s="274"/>
      <c r="S438" s="274"/>
      <c r="T438" s="11"/>
      <c r="U438" s="11"/>
      <c r="V438" s="11"/>
      <c r="W438" s="11"/>
      <c r="X438" s="11"/>
      <c r="Y438" s="11"/>
      <c r="Z438" s="48"/>
      <c r="AA438" s="52"/>
      <c r="AB438" s="52"/>
      <c r="AC438" s="118"/>
      <c r="AD438" s="5"/>
      <c r="AE438" s="52"/>
      <c r="AF438" s="113"/>
      <c r="AG438" s="113"/>
      <c r="AH438" s="113"/>
      <c r="AI438" s="52"/>
      <c r="AJ438" s="11"/>
      <c r="AK438" s="269"/>
      <c r="AL438" s="269"/>
      <c r="AM438" s="116"/>
      <c r="AN438" s="301"/>
      <c r="AO438" s="302"/>
      <c r="AP438" s="11"/>
      <c r="AQ438" s="11"/>
      <c r="AR438" s="11"/>
      <c r="AS438" s="11"/>
      <c r="AT438" s="11"/>
      <c r="AU438" s="118">
        <v>1269928</v>
      </c>
      <c r="AV438" s="118">
        <v>241286</v>
      </c>
      <c r="AW438" s="118">
        <v>1511214</v>
      </c>
      <c r="AX438" s="52" t="s">
        <v>607</v>
      </c>
      <c r="AY438" s="52">
        <v>1054700500</v>
      </c>
      <c r="AZ438" s="11"/>
      <c r="BA438" s="11"/>
      <c r="BB438" s="11"/>
      <c r="BC438" s="11"/>
      <c r="BD438" s="11"/>
      <c r="BE438" s="274"/>
      <c r="BF438" s="274"/>
      <c r="BG438" s="274"/>
      <c r="BH438" s="11"/>
      <c r="BI438" s="11"/>
      <c r="BJ438" s="311"/>
      <c r="BK438" s="311"/>
      <c r="BL438" s="311"/>
      <c r="BM438" s="52"/>
      <c r="BN438" s="52"/>
      <c r="BO438" s="387"/>
      <c r="BP438" s="320"/>
      <c r="BQ438" s="320"/>
      <c r="BR438" s="4"/>
      <c r="BS438" s="4"/>
      <c r="BT438" s="11"/>
      <c r="BU438" s="11"/>
      <c r="BV438" s="11"/>
      <c r="BW438" s="11"/>
      <c r="BX438" s="11"/>
      <c r="BY438" s="232">
        <v>261000</v>
      </c>
      <c r="BZ438" s="232">
        <f>BY438*0.19</f>
        <v>49590</v>
      </c>
      <c r="CA438" s="232">
        <f>BY438+BZ438</f>
        <v>310590</v>
      </c>
      <c r="CB438" s="348" t="s">
        <v>767</v>
      </c>
      <c r="CC438" s="351" t="s">
        <v>2139</v>
      </c>
      <c r="CD438" s="11"/>
      <c r="CE438" s="11"/>
      <c r="CF438" s="11"/>
      <c r="CG438" s="11"/>
      <c r="CH438" s="11"/>
      <c r="CI438" s="11"/>
      <c r="CJ438" s="11"/>
      <c r="CK438" s="11"/>
      <c r="CL438" s="11"/>
      <c r="CM438" s="11"/>
      <c r="CN438" s="274"/>
      <c r="CO438" s="274"/>
      <c r="CP438" s="274"/>
      <c r="CQ438" s="11"/>
      <c r="CR438" s="11"/>
      <c r="CS438" s="11"/>
      <c r="CT438" s="11"/>
      <c r="CU438" s="11"/>
      <c r="CV438" s="11"/>
      <c r="CW438" s="11"/>
      <c r="CX438" s="11"/>
      <c r="CY438" s="11"/>
      <c r="CZ438" s="11"/>
      <c r="DA438" s="11"/>
      <c r="DB438" s="11"/>
      <c r="DC438" s="11"/>
      <c r="DD438" s="11"/>
      <c r="DE438" s="11"/>
      <c r="DF438" s="11"/>
      <c r="DG438" s="11"/>
      <c r="DH438" s="11"/>
      <c r="DI438" s="11"/>
      <c r="DJ438" s="11"/>
      <c r="DK438" s="11"/>
      <c r="DL438" s="11"/>
      <c r="DM438" s="118"/>
      <c r="DN438" s="118"/>
      <c r="DO438" s="118"/>
      <c r="DP438" s="52"/>
      <c r="DQ438" s="52"/>
      <c r="DR438" s="77"/>
      <c r="DS438" s="77"/>
      <c r="DT438" s="77"/>
      <c r="DU438" s="11"/>
      <c r="DV438" s="11"/>
      <c r="DW438" s="11"/>
      <c r="DX438" s="11"/>
      <c r="DY438" s="11"/>
      <c r="DZ438" s="11"/>
      <c r="EA438" s="11"/>
      <c r="EB438" s="11"/>
      <c r="EC438" s="11"/>
      <c r="ED438" s="11"/>
      <c r="EE438" s="11"/>
      <c r="EF438" s="11"/>
    </row>
    <row r="439" spans="1:136" ht="38.25" x14ac:dyDescent="0.25">
      <c r="A439" s="425">
        <v>437</v>
      </c>
      <c r="B439" s="428" t="s">
        <v>2140</v>
      </c>
      <c r="C439" s="428" t="s">
        <v>2141</v>
      </c>
      <c r="D439" s="428" t="s">
        <v>157</v>
      </c>
      <c r="E439" s="79">
        <v>1</v>
      </c>
      <c r="F439" s="405"/>
      <c r="G439" s="274"/>
      <c r="H439" s="274"/>
      <c r="I439" s="274"/>
      <c r="J439" s="274"/>
      <c r="K439" s="11"/>
      <c r="L439" s="274">
        <v>240000</v>
      </c>
      <c r="M439" s="274">
        <f>L439*19%</f>
        <v>45600</v>
      </c>
      <c r="N439" s="274">
        <f>M439+L439</f>
        <v>285600</v>
      </c>
      <c r="O439" s="48" t="s">
        <v>906</v>
      </c>
      <c r="P439" s="11" t="s">
        <v>2142</v>
      </c>
      <c r="Q439" s="274"/>
      <c r="R439" s="274"/>
      <c r="S439" s="274"/>
      <c r="T439" s="11"/>
      <c r="U439" s="11"/>
      <c r="V439" s="11"/>
      <c r="W439" s="11"/>
      <c r="X439" s="11"/>
      <c r="Y439" s="11"/>
      <c r="Z439" s="48"/>
      <c r="AA439" s="52"/>
      <c r="AB439" s="52"/>
      <c r="AC439" s="118"/>
      <c r="AD439" s="5"/>
      <c r="AE439" s="52"/>
      <c r="AF439" s="113"/>
      <c r="AG439" s="113"/>
      <c r="AH439" s="113"/>
      <c r="AI439" s="52"/>
      <c r="AJ439" s="11"/>
      <c r="AK439" s="269"/>
      <c r="AL439" s="269"/>
      <c r="AM439" s="116"/>
      <c r="AN439" s="301"/>
      <c r="AO439" s="302"/>
      <c r="AP439" s="11"/>
      <c r="AQ439" s="11"/>
      <c r="AR439" s="11"/>
      <c r="AS439" s="11"/>
      <c r="AT439" s="11"/>
      <c r="AU439" s="118"/>
      <c r="AV439" s="118"/>
      <c r="AW439" s="118"/>
      <c r="AX439" s="52"/>
      <c r="AY439" s="52"/>
      <c r="AZ439" s="11"/>
      <c r="BA439" s="11"/>
      <c r="BB439" s="11"/>
      <c r="BC439" s="11"/>
      <c r="BD439" s="11"/>
      <c r="BE439" s="274"/>
      <c r="BF439" s="274"/>
      <c r="BG439" s="274"/>
      <c r="BH439" s="11"/>
      <c r="BI439" s="11"/>
      <c r="BJ439" s="311">
        <v>154753.85</v>
      </c>
      <c r="BK439" s="311">
        <v>29403.231500000002</v>
      </c>
      <c r="BL439" s="311">
        <v>184157.0815</v>
      </c>
      <c r="BM439" s="52" t="s">
        <v>1900</v>
      </c>
      <c r="BN439" s="52">
        <v>11875093</v>
      </c>
      <c r="BO439" s="387">
        <v>402007</v>
      </c>
      <c r="BP439" s="320">
        <f>BO439*0.19</f>
        <v>76381.33</v>
      </c>
      <c r="BQ439" s="320">
        <f>BO439+BP439</f>
        <v>478388.33</v>
      </c>
      <c r="BR439" s="4" t="s">
        <v>2143</v>
      </c>
      <c r="BS439" s="22" t="s">
        <v>2144</v>
      </c>
      <c r="BT439" s="11"/>
      <c r="BU439" s="11"/>
      <c r="BV439" s="11"/>
      <c r="BW439" s="11"/>
      <c r="BX439" s="11"/>
      <c r="BY439" s="232"/>
      <c r="BZ439" s="232"/>
      <c r="CA439" s="232"/>
      <c r="CB439" s="348"/>
      <c r="CC439" s="348"/>
      <c r="CD439" s="11"/>
      <c r="CE439" s="11"/>
      <c r="CF439" s="11"/>
      <c r="CG439" s="11"/>
      <c r="CH439" s="11"/>
      <c r="CI439" s="11"/>
      <c r="CJ439" s="11"/>
      <c r="CK439" s="11"/>
      <c r="CL439" s="11"/>
      <c r="CM439" s="11"/>
      <c r="CN439" s="274"/>
      <c r="CO439" s="274"/>
      <c r="CP439" s="274"/>
      <c r="CQ439" s="11"/>
      <c r="CR439" s="11"/>
      <c r="CS439" s="11"/>
      <c r="CT439" s="11"/>
      <c r="CU439" s="11"/>
      <c r="CV439" s="11"/>
      <c r="CW439" s="11"/>
      <c r="CX439" s="11"/>
      <c r="CY439" s="11"/>
      <c r="CZ439" s="11"/>
      <c r="DA439" s="11"/>
      <c r="DB439" s="11"/>
      <c r="DC439" s="11"/>
      <c r="DD439" s="11"/>
      <c r="DE439" s="11"/>
      <c r="DF439" s="11"/>
      <c r="DG439" s="11"/>
      <c r="DH439" s="11"/>
      <c r="DI439" s="11"/>
      <c r="DJ439" s="11"/>
      <c r="DK439" s="11"/>
      <c r="DL439" s="11"/>
      <c r="DM439" s="118"/>
      <c r="DN439" s="118"/>
      <c r="DO439" s="118"/>
      <c r="DP439" s="52"/>
      <c r="DQ439" s="52"/>
      <c r="DR439" s="77"/>
      <c r="DS439" s="77"/>
      <c r="DT439" s="77"/>
      <c r="DU439" s="11"/>
      <c r="DV439" s="11"/>
      <c r="DW439" s="11"/>
      <c r="DX439" s="11"/>
      <c r="DY439" s="11"/>
      <c r="DZ439" s="11"/>
      <c r="EA439" s="11"/>
      <c r="EB439" s="11"/>
      <c r="EC439" s="11"/>
      <c r="ED439" s="11"/>
      <c r="EE439" s="11"/>
      <c r="EF439" s="11"/>
    </row>
    <row r="440" spans="1:136" ht="13.5" x14ac:dyDescent="0.25">
      <c r="A440" s="425">
        <v>438</v>
      </c>
      <c r="B440" s="426" t="s">
        <v>2145</v>
      </c>
      <c r="C440" s="428" t="s">
        <v>2131</v>
      </c>
      <c r="D440" s="428" t="s">
        <v>132</v>
      </c>
      <c r="E440" s="79">
        <v>1</v>
      </c>
      <c r="F440" s="404">
        <v>1118621.42</v>
      </c>
      <c r="G440" s="274"/>
      <c r="H440" s="274"/>
      <c r="I440" s="274"/>
      <c r="J440" s="274"/>
      <c r="K440" s="11"/>
      <c r="L440" s="274"/>
      <c r="M440" s="274"/>
      <c r="N440" s="274"/>
      <c r="O440" s="48"/>
      <c r="P440" s="11"/>
      <c r="Q440" s="274"/>
      <c r="R440" s="274"/>
      <c r="S440" s="274"/>
      <c r="T440" s="11"/>
      <c r="U440" s="11"/>
      <c r="V440" s="11"/>
      <c r="W440" s="11"/>
      <c r="X440" s="11"/>
      <c r="Y440" s="11"/>
      <c r="Z440" s="48"/>
      <c r="AA440" s="52"/>
      <c r="AB440" s="52"/>
      <c r="AC440" s="118"/>
      <c r="AD440" s="5"/>
      <c r="AE440" s="52"/>
      <c r="AF440" s="113">
        <v>380000</v>
      </c>
      <c r="AG440" s="113">
        <f>AF440*0.19</f>
        <v>72200</v>
      </c>
      <c r="AH440" s="113">
        <f>AF440+AG440</f>
        <v>452200</v>
      </c>
      <c r="AI440" s="52" t="s">
        <v>770</v>
      </c>
      <c r="AJ440" s="11" t="s">
        <v>2146</v>
      </c>
      <c r="AK440" s="269">
        <v>665732</v>
      </c>
      <c r="AL440" s="269">
        <v>126489.08</v>
      </c>
      <c r="AM440" s="116">
        <v>792221.08</v>
      </c>
      <c r="AN440" s="301" t="s">
        <v>88</v>
      </c>
      <c r="AO440" s="302">
        <v>1038550500</v>
      </c>
      <c r="AP440" s="11"/>
      <c r="AQ440" s="11"/>
      <c r="AR440" s="11"/>
      <c r="AS440" s="11"/>
      <c r="AT440" s="11"/>
      <c r="AU440" s="118">
        <v>1399462</v>
      </c>
      <c r="AV440" s="118">
        <v>265898</v>
      </c>
      <c r="AW440" s="118">
        <v>1665360</v>
      </c>
      <c r="AX440" s="52" t="s">
        <v>607</v>
      </c>
      <c r="AY440" s="52">
        <v>1038550500</v>
      </c>
      <c r="AZ440" s="11"/>
      <c r="BA440" s="11"/>
      <c r="BB440" s="11"/>
      <c r="BC440" s="11"/>
      <c r="BD440" s="11"/>
      <c r="BE440" s="274"/>
      <c r="BF440" s="274"/>
      <c r="BG440" s="274"/>
      <c r="BH440" s="11"/>
      <c r="BI440" s="11"/>
      <c r="BJ440" s="311"/>
      <c r="BK440" s="311"/>
      <c r="BL440" s="311"/>
      <c r="BM440" s="52"/>
      <c r="BN440" s="52"/>
      <c r="BO440" s="387"/>
      <c r="BP440" s="320"/>
      <c r="BQ440" s="320"/>
      <c r="BR440" s="4"/>
      <c r="BS440" s="4"/>
      <c r="BT440" s="11"/>
      <c r="BU440" s="11"/>
      <c r="BV440" s="11"/>
      <c r="BW440" s="11"/>
      <c r="BX440" s="11"/>
      <c r="BY440" s="232">
        <v>322000</v>
      </c>
      <c r="BZ440" s="232">
        <f>BY440*0.19</f>
        <v>61180</v>
      </c>
      <c r="CA440" s="232">
        <f>BY440+BZ440</f>
        <v>383180</v>
      </c>
      <c r="CB440" s="348" t="s">
        <v>767</v>
      </c>
      <c r="CC440" s="351" t="s">
        <v>2147</v>
      </c>
      <c r="CD440" s="11"/>
      <c r="CE440" s="11"/>
      <c r="CF440" s="11"/>
      <c r="CG440" s="11"/>
      <c r="CH440" s="11"/>
      <c r="CI440" s="11"/>
      <c r="CJ440" s="11"/>
      <c r="CK440" s="11"/>
      <c r="CL440" s="11"/>
      <c r="CM440" s="11"/>
      <c r="CN440" s="274"/>
      <c r="CO440" s="274"/>
      <c r="CP440" s="274"/>
      <c r="CQ440" s="11"/>
      <c r="CR440" s="11"/>
      <c r="CS440" s="11"/>
      <c r="CT440" s="11"/>
      <c r="CU440" s="11"/>
      <c r="CV440" s="11"/>
      <c r="CW440" s="11"/>
      <c r="CX440" s="11"/>
      <c r="CY440" s="11"/>
      <c r="CZ440" s="11"/>
      <c r="DA440" s="11"/>
      <c r="DB440" s="11"/>
      <c r="DC440" s="11"/>
      <c r="DD440" s="11"/>
      <c r="DE440" s="11"/>
      <c r="DF440" s="11"/>
      <c r="DG440" s="11"/>
      <c r="DH440" s="11"/>
      <c r="DI440" s="11"/>
      <c r="DJ440" s="11"/>
      <c r="DK440" s="11"/>
      <c r="DL440" s="11"/>
      <c r="DM440" s="118"/>
      <c r="DN440" s="118"/>
      <c r="DO440" s="118"/>
      <c r="DP440" s="52"/>
      <c r="DQ440" s="52"/>
      <c r="DR440" s="77"/>
      <c r="DS440" s="77"/>
      <c r="DT440" s="77"/>
      <c r="DU440" s="11"/>
      <c r="DV440" s="11"/>
      <c r="DW440" s="11"/>
      <c r="DX440" s="11"/>
      <c r="DY440" s="11"/>
      <c r="DZ440" s="11"/>
      <c r="EA440" s="11"/>
      <c r="EB440" s="11"/>
      <c r="EC440" s="11"/>
      <c r="ED440" s="11"/>
      <c r="EE440" s="11"/>
      <c r="EF440" s="11"/>
    </row>
    <row r="441" spans="1:136" ht="27" x14ac:dyDescent="0.25">
      <c r="A441" s="425">
        <v>439</v>
      </c>
      <c r="B441" s="426" t="s">
        <v>2148</v>
      </c>
      <c r="C441" s="428" t="s">
        <v>2131</v>
      </c>
      <c r="D441" s="586" t="s">
        <v>132</v>
      </c>
      <c r="E441" s="79">
        <v>1</v>
      </c>
      <c r="F441" s="405"/>
      <c r="G441" s="274"/>
      <c r="H441" s="274"/>
      <c r="I441" s="274"/>
      <c r="J441" s="274"/>
      <c r="K441" s="11"/>
      <c r="L441" s="274"/>
      <c r="M441" s="274"/>
      <c r="N441" s="274"/>
      <c r="O441" s="48"/>
      <c r="P441" s="11"/>
      <c r="Q441" s="274"/>
      <c r="R441" s="274"/>
      <c r="S441" s="274"/>
      <c r="T441" s="11"/>
      <c r="U441" s="11"/>
      <c r="V441" s="11"/>
      <c r="W441" s="11"/>
      <c r="X441" s="11"/>
      <c r="Y441" s="11"/>
      <c r="Z441" s="48"/>
      <c r="AA441" s="52"/>
      <c r="AB441" s="52"/>
      <c r="AC441" s="118"/>
      <c r="AD441" s="5"/>
      <c r="AE441" s="52"/>
      <c r="AF441" s="113"/>
      <c r="AG441" s="113"/>
      <c r="AH441" s="113"/>
      <c r="AI441" s="52"/>
      <c r="AJ441" s="11"/>
      <c r="AK441" s="269">
        <v>366190</v>
      </c>
      <c r="AL441" s="269">
        <v>69576.100000000006</v>
      </c>
      <c r="AM441" s="116">
        <v>435766.1</v>
      </c>
      <c r="AN441" s="301" t="s">
        <v>88</v>
      </c>
      <c r="AO441" s="302">
        <v>1160000500</v>
      </c>
      <c r="AP441" s="11"/>
      <c r="AQ441" s="11"/>
      <c r="AR441" s="11"/>
      <c r="AS441" s="11"/>
      <c r="AT441" s="11"/>
      <c r="AU441" s="118">
        <v>481357</v>
      </c>
      <c r="AV441" s="118">
        <v>91458</v>
      </c>
      <c r="AW441" s="118">
        <v>572815</v>
      </c>
      <c r="AX441" s="52" t="s">
        <v>607</v>
      </c>
      <c r="AY441" s="52">
        <v>1160000500</v>
      </c>
      <c r="AZ441" s="11"/>
      <c r="BA441" s="11"/>
      <c r="BB441" s="11"/>
      <c r="BC441" s="11"/>
      <c r="BD441" s="11"/>
      <c r="BE441" s="274"/>
      <c r="BF441" s="274"/>
      <c r="BG441" s="274"/>
      <c r="BH441" s="11"/>
      <c r="BI441" s="11"/>
      <c r="BJ441" s="311"/>
      <c r="BK441" s="311"/>
      <c r="BL441" s="311"/>
      <c r="BM441" s="52"/>
      <c r="BN441" s="52"/>
      <c r="BO441" s="387"/>
      <c r="BP441" s="320"/>
      <c r="BQ441" s="320"/>
      <c r="BR441" s="4"/>
      <c r="BS441" s="4"/>
      <c r="BT441" s="11"/>
      <c r="BU441" s="11"/>
      <c r="BV441" s="11"/>
      <c r="BW441" s="11"/>
      <c r="BX441" s="11"/>
      <c r="BY441" s="232">
        <v>180000</v>
      </c>
      <c r="BZ441" s="232">
        <f>BY441*0.19</f>
        <v>34200</v>
      </c>
      <c r="CA441" s="232">
        <f>BY441+BZ441</f>
        <v>214200</v>
      </c>
      <c r="CB441" s="348" t="s">
        <v>772</v>
      </c>
      <c r="CC441" s="348">
        <v>610070</v>
      </c>
      <c r="CD441" s="11"/>
      <c r="CE441" s="11"/>
      <c r="CF441" s="11"/>
      <c r="CG441" s="11"/>
      <c r="CH441" s="11"/>
      <c r="CI441" s="11"/>
      <c r="CJ441" s="11"/>
      <c r="CK441" s="11"/>
      <c r="CL441" s="11"/>
      <c r="CM441" s="11"/>
      <c r="CN441" s="274"/>
      <c r="CO441" s="274"/>
      <c r="CP441" s="274"/>
      <c r="CQ441" s="11"/>
      <c r="CR441" s="11"/>
      <c r="CS441" s="11"/>
      <c r="CT441" s="11"/>
      <c r="CU441" s="11"/>
      <c r="CV441" s="11"/>
      <c r="CW441" s="11"/>
      <c r="CX441" s="11"/>
      <c r="CY441" s="11"/>
      <c r="CZ441" s="11"/>
      <c r="DA441" s="11"/>
      <c r="DB441" s="11"/>
      <c r="DC441" s="11"/>
      <c r="DD441" s="11"/>
      <c r="DE441" s="11"/>
      <c r="DF441" s="11"/>
      <c r="DG441" s="11"/>
      <c r="DH441" s="11"/>
      <c r="DI441" s="11"/>
      <c r="DJ441" s="11"/>
      <c r="DK441" s="11"/>
      <c r="DL441" s="11"/>
      <c r="DM441" s="118"/>
      <c r="DN441" s="118"/>
      <c r="DO441" s="118"/>
      <c r="DP441" s="52"/>
      <c r="DQ441" s="52"/>
      <c r="DR441" s="77"/>
      <c r="DS441" s="77"/>
      <c r="DT441" s="77"/>
      <c r="DU441" s="11"/>
      <c r="DV441" s="11"/>
      <c r="DW441" s="11"/>
      <c r="DX441" s="11"/>
      <c r="DY441" s="11"/>
      <c r="DZ441" s="11"/>
      <c r="EA441" s="11"/>
      <c r="EB441" s="11"/>
      <c r="EC441" s="11"/>
      <c r="ED441" s="11"/>
      <c r="EE441" s="11"/>
      <c r="EF441" s="11"/>
    </row>
    <row r="442" spans="1:136" ht="27" x14ac:dyDescent="0.25">
      <c r="A442" s="425">
        <v>440</v>
      </c>
      <c r="B442" s="427" t="s">
        <v>2149</v>
      </c>
      <c r="C442" s="413" t="s">
        <v>2150</v>
      </c>
      <c r="D442" s="413" t="s">
        <v>39</v>
      </c>
      <c r="E442" s="79">
        <v>1</v>
      </c>
      <c r="F442" s="405"/>
      <c r="G442" s="274"/>
      <c r="H442" s="274"/>
      <c r="I442" s="274"/>
      <c r="J442" s="274"/>
      <c r="K442" s="11"/>
      <c r="L442" s="274">
        <v>280000</v>
      </c>
      <c r="M442" s="274">
        <f>L442*19%</f>
        <v>53200</v>
      </c>
      <c r="N442" s="274">
        <f>M442+L442</f>
        <v>333200</v>
      </c>
      <c r="O442" s="48" t="s">
        <v>906</v>
      </c>
      <c r="P442" s="11" t="s">
        <v>907</v>
      </c>
      <c r="Q442" s="274"/>
      <c r="R442" s="274"/>
      <c r="S442" s="274"/>
      <c r="T442" s="11"/>
      <c r="U442" s="11"/>
      <c r="V442" s="11"/>
      <c r="W442" s="11"/>
      <c r="X442" s="11"/>
      <c r="Y442" s="11"/>
      <c r="Z442" s="48"/>
      <c r="AA442" s="52"/>
      <c r="AB442" s="52"/>
      <c r="AC442" s="118"/>
      <c r="AD442" s="5"/>
      <c r="AE442" s="52"/>
      <c r="AF442" s="113"/>
      <c r="AG442" s="113"/>
      <c r="AH442" s="113"/>
      <c r="AI442" s="52"/>
      <c r="AJ442" s="11"/>
      <c r="AK442" s="269"/>
      <c r="AL442" s="269"/>
      <c r="AM442" s="116"/>
      <c r="AN442" s="301"/>
      <c r="AO442" s="302"/>
      <c r="AP442" s="11"/>
      <c r="AQ442" s="11"/>
      <c r="AR442" s="11"/>
      <c r="AS442" s="11"/>
      <c r="AT442" s="11"/>
      <c r="AU442" s="118"/>
      <c r="AV442" s="118"/>
      <c r="AW442" s="118"/>
      <c r="AX442" s="52"/>
      <c r="AY442" s="52"/>
      <c r="AZ442" s="11"/>
      <c r="BA442" s="11"/>
      <c r="BB442" s="11"/>
      <c r="BC442" s="11"/>
      <c r="BD442" s="11"/>
      <c r="BE442" s="274"/>
      <c r="BF442" s="274"/>
      <c r="BG442" s="274"/>
      <c r="BH442" s="11"/>
      <c r="BI442" s="11"/>
      <c r="BJ442" s="311">
        <v>2126923.08</v>
      </c>
      <c r="BK442" s="311">
        <v>404115.38520000002</v>
      </c>
      <c r="BL442" s="311">
        <v>2531038.4652</v>
      </c>
      <c r="BM442" s="52" t="s">
        <v>1900</v>
      </c>
      <c r="BN442" s="52">
        <v>11140076</v>
      </c>
      <c r="BO442" s="387"/>
      <c r="BP442" s="320"/>
      <c r="BQ442" s="320"/>
      <c r="BR442" s="4"/>
      <c r="BS442" s="4"/>
      <c r="BT442" s="11"/>
      <c r="BU442" s="11"/>
      <c r="BV442" s="11"/>
      <c r="BW442" s="11"/>
      <c r="BX442" s="11"/>
      <c r="BY442" s="348"/>
      <c r="BZ442" s="348"/>
      <c r="CA442" s="348"/>
      <c r="CB442" s="348"/>
      <c r="CC442" s="348"/>
      <c r="CD442" s="11"/>
      <c r="CE442" s="11"/>
      <c r="CF442" s="11"/>
      <c r="CG442" s="11"/>
      <c r="CH442" s="11"/>
      <c r="CI442" s="11"/>
      <c r="CJ442" s="11"/>
      <c r="CK442" s="11"/>
      <c r="CL442" s="11"/>
      <c r="CM442" s="11"/>
      <c r="CN442" s="274"/>
      <c r="CO442" s="274"/>
      <c r="CP442" s="274"/>
      <c r="CQ442" s="11"/>
      <c r="CR442" s="11"/>
      <c r="CS442" s="11"/>
      <c r="CT442" s="11"/>
      <c r="CU442" s="11"/>
      <c r="CV442" s="11"/>
      <c r="CW442" s="11"/>
      <c r="CX442" s="11"/>
      <c r="CY442" s="11"/>
      <c r="CZ442" s="11"/>
      <c r="DA442" s="11"/>
      <c r="DB442" s="11"/>
      <c r="DC442" s="11"/>
      <c r="DD442" s="11"/>
      <c r="DE442" s="11"/>
      <c r="DF442" s="11"/>
      <c r="DG442" s="11"/>
      <c r="DH442" s="11"/>
      <c r="DI442" s="11"/>
      <c r="DJ442" s="11"/>
      <c r="DK442" s="11"/>
      <c r="DL442" s="11"/>
      <c r="DM442" s="118"/>
      <c r="DN442" s="118"/>
      <c r="DO442" s="118"/>
      <c r="DP442" s="52"/>
      <c r="DQ442" s="52"/>
      <c r="DR442" s="77"/>
      <c r="DS442" s="77"/>
      <c r="DT442" s="77"/>
      <c r="DU442" s="11"/>
      <c r="DV442" s="11"/>
      <c r="DW442" s="11"/>
      <c r="DX442" s="11"/>
      <c r="DY442" s="11"/>
      <c r="DZ442" s="11"/>
      <c r="EA442" s="11"/>
      <c r="EB442" s="11"/>
      <c r="EC442" s="11"/>
      <c r="ED442" s="11"/>
      <c r="EE442" s="11"/>
      <c r="EF442" s="11"/>
    </row>
    <row r="443" spans="1:136" ht="40.5" x14ac:dyDescent="0.25">
      <c r="A443" s="425">
        <v>441</v>
      </c>
      <c r="B443" s="428" t="s">
        <v>2151</v>
      </c>
      <c r="C443" s="413" t="s">
        <v>676</v>
      </c>
      <c r="D443" s="426" t="s">
        <v>2152</v>
      </c>
      <c r="E443" s="79">
        <v>1</v>
      </c>
      <c r="F443" s="405"/>
      <c r="G443" s="274"/>
      <c r="H443" s="274"/>
      <c r="I443" s="274"/>
      <c r="J443" s="274"/>
      <c r="K443" s="11"/>
      <c r="L443" s="274"/>
      <c r="M443" s="274"/>
      <c r="N443" s="274"/>
      <c r="O443" s="48"/>
      <c r="P443" s="11"/>
      <c r="Q443" s="274"/>
      <c r="R443" s="274"/>
      <c r="S443" s="274"/>
      <c r="T443" s="11"/>
      <c r="U443" s="11"/>
      <c r="V443" s="11"/>
      <c r="W443" s="11"/>
      <c r="X443" s="11"/>
      <c r="Y443" s="11"/>
      <c r="Z443" s="48"/>
      <c r="AA443" s="52"/>
      <c r="AB443" s="52"/>
      <c r="AC443" s="118"/>
      <c r="AD443" s="5"/>
      <c r="AE443" s="52"/>
      <c r="AF443" s="113">
        <v>439000</v>
      </c>
      <c r="AG443" s="113">
        <f>AF443*0.19</f>
        <v>83410</v>
      </c>
      <c r="AH443" s="113">
        <f>AF443+AG443</f>
        <v>522410</v>
      </c>
      <c r="AI443" s="277" t="s">
        <v>628</v>
      </c>
      <c r="AJ443" s="33" t="s">
        <v>2153</v>
      </c>
      <c r="AK443" s="269">
        <v>266760</v>
      </c>
      <c r="AL443" s="269">
        <v>50684.4</v>
      </c>
      <c r="AM443" s="116">
        <v>317444.40000000002</v>
      </c>
      <c r="AN443" s="301" t="s">
        <v>88</v>
      </c>
      <c r="AO443" s="302">
        <v>1012260100</v>
      </c>
      <c r="AP443" s="274">
        <v>153000</v>
      </c>
      <c r="AQ443" s="274">
        <v>29070</v>
      </c>
      <c r="AR443" s="274">
        <v>182070</v>
      </c>
      <c r="AS443" s="274" t="s">
        <v>1285</v>
      </c>
      <c r="AT443" s="274" t="s">
        <v>2154</v>
      </c>
      <c r="AU443" s="118">
        <v>244387</v>
      </c>
      <c r="AV443" s="118">
        <v>46433</v>
      </c>
      <c r="AW443" s="118">
        <v>290820</v>
      </c>
      <c r="AX443" s="52" t="s">
        <v>607</v>
      </c>
      <c r="AY443" s="52" t="s">
        <v>2155</v>
      </c>
      <c r="AZ443" s="11"/>
      <c r="BA443" s="11"/>
      <c r="BB443" s="11"/>
      <c r="BC443" s="11"/>
      <c r="BD443" s="11"/>
      <c r="BE443" s="274"/>
      <c r="BF443" s="274"/>
      <c r="BG443" s="274"/>
      <c r="BH443" s="11"/>
      <c r="BI443" s="11"/>
      <c r="BJ443" s="311"/>
      <c r="BK443" s="311"/>
      <c r="BL443" s="311"/>
      <c r="BM443" s="52"/>
      <c r="BN443" s="52"/>
      <c r="BO443" s="387"/>
      <c r="BP443" s="320"/>
      <c r="BQ443" s="320"/>
      <c r="BR443" s="4"/>
      <c r="BS443" s="4"/>
      <c r="BT443" s="11"/>
      <c r="BU443" s="11"/>
      <c r="BV443" s="11"/>
      <c r="BW443" s="11"/>
      <c r="BX443" s="11"/>
      <c r="BY443" s="348"/>
      <c r="BZ443" s="348"/>
      <c r="CA443" s="348"/>
      <c r="CB443" s="348"/>
      <c r="CC443" s="348"/>
      <c r="CD443" s="11"/>
      <c r="CE443" s="11"/>
      <c r="CF443" s="11"/>
      <c r="CG443" s="11"/>
      <c r="CH443" s="11"/>
      <c r="CI443" s="11"/>
      <c r="CJ443" s="11"/>
      <c r="CK443" s="11"/>
      <c r="CL443" s="11"/>
      <c r="CM443" s="11"/>
      <c r="CN443" s="274"/>
      <c r="CO443" s="274"/>
      <c r="CP443" s="274"/>
      <c r="CQ443" s="11"/>
      <c r="CR443" s="11"/>
      <c r="CS443" s="11"/>
      <c r="CT443" s="11"/>
      <c r="CU443" s="11"/>
      <c r="CV443" s="11"/>
      <c r="CW443" s="11"/>
      <c r="CX443" s="11"/>
      <c r="CY443" s="11"/>
      <c r="CZ443" s="11"/>
      <c r="DA443" s="11"/>
      <c r="DB443" s="11"/>
      <c r="DC443" s="11"/>
      <c r="DD443" s="11"/>
      <c r="DE443" s="11"/>
      <c r="DF443" s="11"/>
      <c r="DG443" s="11"/>
      <c r="DH443" s="11"/>
      <c r="DI443" s="11"/>
      <c r="DJ443" s="11"/>
      <c r="DK443" s="11"/>
      <c r="DL443" s="11"/>
      <c r="DM443" s="118"/>
      <c r="DN443" s="118"/>
      <c r="DO443" s="118"/>
      <c r="DP443" s="52"/>
      <c r="DQ443" s="52"/>
      <c r="DR443" s="77"/>
      <c r="DS443" s="77"/>
      <c r="DT443" s="77"/>
      <c r="DU443" s="11"/>
      <c r="DV443" s="11"/>
      <c r="DW443" s="11"/>
      <c r="DX443" s="11"/>
      <c r="DY443" s="11"/>
      <c r="DZ443" s="11"/>
      <c r="EA443" s="11"/>
      <c r="EB443" s="11"/>
      <c r="EC443" s="11"/>
      <c r="ED443" s="11"/>
      <c r="EE443" s="11"/>
      <c r="EF443" s="11"/>
    </row>
    <row r="444" spans="1:136" ht="27" x14ac:dyDescent="0.25">
      <c r="A444" s="425">
        <v>442</v>
      </c>
      <c r="B444" s="427" t="s">
        <v>2156</v>
      </c>
      <c r="C444" s="427" t="s">
        <v>2157</v>
      </c>
      <c r="D444" s="427" t="s">
        <v>526</v>
      </c>
      <c r="E444" s="79">
        <v>1</v>
      </c>
      <c r="F444" s="405"/>
      <c r="G444" s="274">
        <v>73750</v>
      </c>
      <c r="H444" s="274">
        <v>14012.5</v>
      </c>
      <c r="I444" s="274">
        <v>87762.5</v>
      </c>
      <c r="J444" s="274" t="s">
        <v>45</v>
      </c>
      <c r="K444" s="11" t="s">
        <v>2158</v>
      </c>
      <c r="L444" s="274"/>
      <c r="M444" s="274"/>
      <c r="N444" s="274"/>
      <c r="O444" s="48"/>
      <c r="P444" s="11"/>
      <c r="Q444" s="274"/>
      <c r="R444" s="274"/>
      <c r="S444" s="274"/>
      <c r="T444" s="11"/>
      <c r="U444" s="11"/>
      <c r="V444" s="11"/>
      <c r="W444" s="11"/>
      <c r="X444" s="11"/>
      <c r="Y444" s="11"/>
      <c r="Z444" s="48"/>
      <c r="AA444" s="52"/>
      <c r="AB444" s="52"/>
      <c r="AC444" s="118"/>
      <c r="AD444" s="5"/>
      <c r="AE444" s="52"/>
      <c r="AF444" s="113">
        <v>395000</v>
      </c>
      <c r="AG444" s="113">
        <f>AF444*0.19</f>
        <v>75050</v>
      </c>
      <c r="AH444" s="113">
        <f>AF444+AG444</f>
        <v>470050</v>
      </c>
      <c r="AI444" s="277" t="s">
        <v>628</v>
      </c>
      <c r="AJ444" s="33" t="s">
        <v>2159</v>
      </c>
      <c r="AK444" s="269"/>
      <c r="AL444" s="269"/>
      <c r="AM444" s="116"/>
      <c r="AN444" s="301"/>
      <c r="AO444" s="302"/>
      <c r="AP444" s="11"/>
      <c r="AQ444" s="11"/>
      <c r="AR444" s="11"/>
      <c r="AS444" s="11"/>
      <c r="AT444" s="11"/>
      <c r="AU444" s="118">
        <v>67456</v>
      </c>
      <c r="AV444" s="118">
        <v>12817</v>
      </c>
      <c r="AW444" s="118">
        <v>80272</v>
      </c>
      <c r="AX444" s="52" t="s">
        <v>607</v>
      </c>
      <c r="AY444" s="52">
        <v>8222831000</v>
      </c>
      <c r="AZ444" s="11"/>
      <c r="BA444" s="11"/>
      <c r="BB444" s="11"/>
      <c r="BC444" s="11"/>
      <c r="BD444" s="11"/>
      <c r="BE444" s="274">
        <v>135000</v>
      </c>
      <c r="BF444" s="274">
        <v>25650</v>
      </c>
      <c r="BG444" s="274">
        <v>160650</v>
      </c>
      <c r="BH444" s="11" t="s">
        <v>63</v>
      </c>
      <c r="BI444" s="11" t="s">
        <v>2160</v>
      </c>
      <c r="BJ444" s="311"/>
      <c r="BK444" s="311"/>
      <c r="BL444" s="311"/>
      <c r="BM444" s="52"/>
      <c r="BN444" s="52"/>
      <c r="BO444" s="387"/>
      <c r="BP444" s="320"/>
      <c r="BQ444" s="320"/>
      <c r="BR444" s="4"/>
      <c r="BS444" s="4"/>
      <c r="BT444" s="11"/>
      <c r="BU444" s="11"/>
      <c r="BV444" s="11"/>
      <c r="BW444" s="11"/>
      <c r="BX444" s="11"/>
      <c r="BY444" s="348"/>
      <c r="BZ444" s="348"/>
      <c r="CA444" s="348"/>
      <c r="CB444" s="348"/>
      <c r="CC444" s="348"/>
      <c r="CD444" s="11"/>
      <c r="CE444" s="11"/>
      <c r="CF444" s="11"/>
      <c r="CG444" s="11"/>
      <c r="CH444" s="11"/>
      <c r="CI444" s="11"/>
      <c r="CJ444" s="11"/>
      <c r="CK444" s="11"/>
      <c r="CL444" s="11"/>
      <c r="CM444" s="11"/>
      <c r="CN444" s="274"/>
      <c r="CO444" s="274"/>
      <c r="CP444" s="274"/>
      <c r="CQ444" s="11"/>
      <c r="CR444" s="11"/>
      <c r="CS444" s="11"/>
      <c r="CT444" s="11"/>
      <c r="CU444" s="11"/>
      <c r="CV444" s="11"/>
      <c r="CW444" s="11"/>
      <c r="CX444" s="11"/>
      <c r="CY444" s="11"/>
      <c r="CZ444" s="11"/>
      <c r="DA444" s="11"/>
      <c r="DB444" s="11"/>
      <c r="DC444" s="11"/>
      <c r="DD444" s="11"/>
      <c r="DE444" s="11"/>
      <c r="DF444" s="11"/>
      <c r="DG444" s="11"/>
      <c r="DH444" s="11"/>
      <c r="DI444" s="11"/>
      <c r="DJ444" s="11"/>
      <c r="DK444" s="11"/>
      <c r="DL444" s="11"/>
      <c r="DM444" s="118"/>
      <c r="DN444" s="118"/>
      <c r="DO444" s="118"/>
      <c r="DP444" s="52"/>
      <c r="DQ444" s="52"/>
      <c r="DR444" s="77">
        <v>248000</v>
      </c>
      <c r="DS444" s="77">
        <f>+DR444*0.19</f>
        <v>47120</v>
      </c>
      <c r="DT444" s="77">
        <f>+DR444+DS444</f>
        <v>295120</v>
      </c>
      <c r="DU444" s="11" t="s">
        <v>88</v>
      </c>
      <c r="DV444" s="11">
        <v>1060094000</v>
      </c>
      <c r="DW444" s="11"/>
      <c r="DX444" s="11"/>
      <c r="DY444" s="11"/>
      <c r="DZ444" s="11"/>
      <c r="EA444" s="11"/>
      <c r="EB444" s="11"/>
      <c r="EC444" s="11"/>
      <c r="ED444" s="11"/>
      <c r="EE444" s="11"/>
      <c r="EF444" s="11"/>
    </row>
    <row r="445" spans="1:136" ht="54" x14ac:dyDescent="0.25">
      <c r="A445" s="425">
        <v>443</v>
      </c>
      <c r="B445" s="427" t="s">
        <v>2161</v>
      </c>
      <c r="C445" s="413" t="s">
        <v>2162</v>
      </c>
      <c r="D445" s="413" t="s">
        <v>2163</v>
      </c>
      <c r="E445" s="79">
        <v>1</v>
      </c>
      <c r="F445" s="404">
        <v>452476.08</v>
      </c>
      <c r="G445" s="274">
        <v>391250</v>
      </c>
      <c r="H445" s="274">
        <v>74337.5</v>
      </c>
      <c r="I445" s="274">
        <v>465587.5</v>
      </c>
      <c r="J445" s="274" t="s">
        <v>45</v>
      </c>
      <c r="K445" s="11" t="s">
        <v>2164</v>
      </c>
      <c r="L445" s="274"/>
      <c r="M445" s="274"/>
      <c r="N445" s="274"/>
      <c r="O445" s="48"/>
      <c r="P445" s="11"/>
      <c r="Q445" s="274"/>
      <c r="R445" s="274"/>
      <c r="S445" s="274"/>
      <c r="T445" s="11"/>
      <c r="U445" s="11"/>
      <c r="V445" s="11"/>
      <c r="W445" s="11"/>
      <c r="X445" s="11"/>
      <c r="Y445" s="11"/>
      <c r="Z445" s="48"/>
      <c r="AA445" s="52"/>
      <c r="AB445" s="52"/>
      <c r="AC445" s="118"/>
      <c r="AD445" s="5"/>
      <c r="AE445" s="52"/>
      <c r="AF445" s="113">
        <v>446000</v>
      </c>
      <c r="AG445" s="113">
        <f>AF445*0.19</f>
        <v>84740</v>
      </c>
      <c r="AH445" s="113">
        <f>AF445+AG445</f>
        <v>530740</v>
      </c>
      <c r="AI445" s="277" t="s">
        <v>628</v>
      </c>
      <c r="AJ445" s="33" t="s">
        <v>2165</v>
      </c>
      <c r="AK445" s="269">
        <v>242820</v>
      </c>
      <c r="AL445" s="269">
        <v>46135.8</v>
      </c>
      <c r="AM445" s="116">
        <v>288955.8</v>
      </c>
      <c r="AN445" s="301" t="s">
        <v>88</v>
      </c>
      <c r="AO445" s="302">
        <v>1060352500</v>
      </c>
      <c r="AP445" s="11"/>
      <c r="AQ445" s="11"/>
      <c r="AR445" s="11"/>
      <c r="AS445" s="11"/>
      <c r="AT445" s="11"/>
      <c r="AU445" s="118">
        <v>347034</v>
      </c>
      <c r="AV445" s="118">
        <f>+AU445*0.19</f>
        <v>65936.460000000006</v>
      </c>
      <c r="AW445" s="118">
        <f>+AU445+AV445</f>
        <v>412970.46</v>
      </c>
      <c r="AX445" s="52" t="s">
        <v>607</v>
      </c>
      <c r="AY445" s="52">
        <v>1060352500</v>
      </c>
      <c r="AZ445" s="11"/>
      <c r="BA445" s="11"/>
      <c r="BB445" s="11"/>
      <c r="BC445" s="11"/>
      <c r="BD445" s="11"/>
      <c r="BE445" s="274"/>
      <c r="BF445" s="274"/>
      <c r="BG445" s="274"/>
      <c r="BH445" s="11"/>
      <c r="BI445" s="11"/>
      <c r="BJ445" s="311"/>
      <c r="BK445" s="311"/>
      <c r="BL445" s="311"/>
      <c r="BM445" s="52"/>
      <c r="BN445" s="52"/>
      <c r="BO445" s="387"/>
      <c r="BP445" s="320"/>
      <c r="BQ445" s="320"/>
      <c r="BR445" s="4"/>
      <c r="BS445" s="4"/>
      <c r="BT445" s="11"/>
      <c r="BU445" s="11"/>
      <c r="BV445" s="11"/>
      <c r="BW445" s="11"/>
      <c r="BX445" s="11"/>
      <c r="BY445" s="348"/>
      <c r="BZ445" s="348"/>
      <c r="CA445" s="348"/>
      <c r="CB445" s="348"/>
      <c r="CC445" s="348"/>
      <c r="CD445" s="11"/>
      <c r="CE445" s="11"/>
      <c r="CF445" s="11"/>
      <c r="CG445" s="11"/>
      <c r="CH445" s="11"/>
      <c r="CI445" s="11"/>
      <c r="CJ445" s="11"/>
      <c r="CK445" s="11"/>
      <c r="CL445" s="11"/>
      <c r="CM445" s="11"/>
      <c r="CN445" s="274"/>
      <c r="CO445" s="274"/>
      <c r="CP445" s="274"/>
      <c r="CQ445" s="11"/>
      <c r="CR445" s="11"/>
      <c r="CS445" s="11"/>
      <c r="CT445" s="11"/>
      <c r="CU445" s="11"/>
      <c r="CV445" s="11"/>
      <c r="CW445" s="11"/>
      <c r="CX445" s="11"/>
      <c r="CY445" s="11"/>
      <c r="CZ445" s="11"/>
      <c r="DA445" s="11"/>
      <c r="DB445" s="11"/>
      <c r="DC445" s="11"/>
      <c r="DD445" s="11"/>
      <c r="DE445" s="11"/>
      <c r="DF445" s="11"/>
      <c r="DG445" s="11"/>
      <c r="DH445" s="11"/>
      <c r="DI445" s="11"/>
      <c r="DJ445" s="11"/>
      <c r="DK445" s="11"/>
      <c r="DL445" s="11"/>
      <c r="DM445" s="118"/>
      <c r="DN445" s="118"/>
      <c r="DO445" s="118"/>
      <c r="DP445" s="52"/>
      <c r="DQ445" s="52"/>
      <c r="DR445" s="77"/>
      <c r="DS445" s="77"/>
      <c r="DT445" s="77"/>
      <c r="DU445" s="11"/>
      <c r="DV445" s="11"/>
      <c r="DW445" s="11"/>
      <c r="DX445" s="11"/>
      <c r="DY445" s="11"/>
      <c r="DZ445" s="11"/>
      <c r="EA445" s="11"/>
      <c r="EB445" s="11"/>
      <c r="EC445" s="11"/>
      <c r="ED445" s="11"/>
      <c r="EE445" s="11"/>
      <c r="EF445" s="11"/>
    </row>
    <row r="446" spans="1:136" ht="27" x14ac:dyDescent="0.25">
      <c r="A446" s="425">
        <v>444</v>
      </c>
      <c r="B446" s="427" t="s">
        <v>2166</v>
      </c>
      <c r="C446" s="413" t="s">
        <v>685</v>
      </c>
      <c r="D446" s="413" t="s">
        <v>69</v>
      </c>
      <c r="E446" s="79">
        <v>1</v>
      </c>
      <c r="F446" s="404">
        <v>214926.13800000001</v>
      </c>
      <c r="G446" s="274">
        <v>262500</v>
      </c>
      <c r="H446" s="274">
        <v>49875</v>
      </c>
      <c r="I446" s="274">
        <v>312375</v>
      </c>
      <c r="J446" s="274" t="s">
        <v>45</v>
      </c>
      <c r="K446" s="11" t="s">
        <v>2167</v>
      </c>
      <c r="L446" s="274"/>
      <c r="M446" s="274"/>
      <c r="N446" s="274"/>
      <c r="O446" s="48"/>
      <c r="P446" s="11"/>
      <c r="Q446" s="274"/>
      <c r="R446" s="274"/>
      <c r="S446" s="274"/>
      <c r="T446" s="11"/>
      <c r="U446" s="11"/>
      <c r="V446" s="11"/>
      <c r="W446" s="11"/>
      <c r="X446" s="11"/>
      <c r="Y446" s="11"/>
      <c r="Z446" s="48"/>
      <c r="AA446" s="52"/>
      <c r="AB446" s="52"/>
      <c r="AC446" s="118"/>
      <c r="AD446" s="5"/>
      <c r="AE446" s="52"/>
      <c r="AF446" s="113">
        <v>103000</v>
      </c>
      <c r="AG446" s="113">
        <f>AF446*0.19</f>
        <v>19570</v>
      </c>
      <c r="AH446" s="113">
        <f>AF446+AG446</f>
        <v>122570</v>
      </c>
      <c r="AI446" s="277" t="s">
        <v>628</v>
      </c>
      <c r="AJ446" s="33" t="s">
        <v>2168</v>
      </c>
      <c r="AK446" s="269">
        <v>209760</v>
      </c>
      <c r="AL446" s="269">
        <v>39854.400000000001</v>
      </c>
      <c r="AM446" s="116">
        <v>249614.4</v>
      </c>
      <c r="AN446" s="301" t="s">
        <v>88</v>
      </c>
      <c r="AO446" s="302">
        <v>1060184000</v>
      </c>
      <c r="AP446" s="11"/>
      <c r="AQ446" s="11"/>
      <c r="AR446" s="11"/>
      <c r="AS446" s="11"/>
      <c r="AT446" s="11"/>
      <c r="AU446" s="118">
        <v>105882</v>
      </c>
      <c r="AV446" s="118">
        <f>+AU446*0.19</f>
        <v>20117.580000000002</v>
      </c>
      <c r="AW446" s="118">
        <f>+AU446+AV446</f>
        <v>125999.58</v>
      </c>
      <c r="AX446" s="52" t="s">
        <v>343</v>
      </c>
      <c r="AY446" s="52">
        <v>1060354000</v>
      </c>
      <c r="AZ446" s="11"/>
      <c r="BA446" s="11"/>
      <c r="BB446" s="11"/>
      <c r="BC446" s="11"/>
      <c r="BD446" s="11"/>
      <c r="BE446" s="274">
        <v>130000</v>
      </c>
      <c r="BF446" s="274">
        <v>24700</v>
      </c>
      <c r="BG446" s="274">
        <v>154700</v>
      </c>
      <c r="BH446" s="11" t="s">
        <v>63</v>
      </c>
      <c r="BI446" s="11" t="s">
        <v>2169</v>
      </c>
      <c r="BJ446" s="311"/>
      <c r="BK446" s="311"/>
      <c r="BL446" s="311"/>
      <c r="BM446" s="52"/>
      <c r="BN446" s="52"/>
      <c r="BO446" s="387"/>
      <c r="BP446" s="320"/>
      <c r="BQ446" s="320"/>
      <c r="BR446" s="4"/>
      <c r="BS446" s="4"/>
      <c r="BT446" s="11"/>
      <c r="BU446" s="11"/>
      <c r="BV446" s="11"/>
      <c r="BW446" s="11"/>
      <c r="BX446" s="11"/>
      <c r="BY446" s="348"/>
      <c r="BZ446" s="348"/>
      <c r="CA446" s="348"/>
      <c r="CB446" s="348"/>
      <c r="CC446" s="348"/>
      <c r="CD446" s="11"/>
      <c r="CE446" s="11"/>
      <c r="CF446" s="11"/>
      <c r="CG446" s="11"/>
      <c r="CH446" s="11"/>
      <c r="CI446" s="11"/>
      <c r="CJ446" s="11"/>
      <c r="CK446" s="11"/>
      <c r="CL446" s="11"/>
      <c r="CM446" s="11"/>
      <c r="CN446" s="274"/>
      <c r="CO446" s="274"/>
      <c r="CP446" s="274"/>
      <c r="CQ446" s="11"/>
      <c r="CR446" s="11"/>
      <c r="CS446" s="11"/>
      <c r="CT446" s="11"/>
      <c r="CU446" s="11"/>
      <c r="CV446" s="11"/>
      <c r="CW446" s="11"/>
      <c r="CX446" s="11"/>
      <c r="CY446" s="11"/>
      <c r="CZ446" s="11"/>
      <c r="DA446" s="11"/>
      <c r="DB446" s="11"/>
      <c r="DC446" s="11"/>
      <c r="DD446" s="11"/>
      <c r="DE446" s="11"/>
      <c r="DF446" s="11"/>
      <c r="DG446" s="11"/>
      <c r="DH446" s="11"/>
      <c r="DI446" s="11"/>
      <c r="DJ446" s="11"/>
      <c r="DK446" s="11"/>
      <c r="DL446" s="11"/>
      <c r="DM446" s="118">
        <v>276000</v>
      </c>
      <c r="DN446" s="118">
        <f>+DM446*0.19</f>
        <v>52440</v>
      </c>
      <c r="DO446" s="118">
        <f>+DM446+DN446</f>
        <v>328440</v>
      </c>
      <c r="DP446" s="52"/>
      <c r="DQ446" s="52">
        <v>1060184000</v>
      </c>
      <c r="DR446" s="77"/>
      <c r="DS446" s="77"/>
      <c r="DT446" s="77"/>
      <c r="DU446" s="11"/>
      <c r="DV446" s="11"/>
      <c r="DW446" s="11"/>
      <c r="DX446" s="11"/>
      <c r="DY446" s="11"/>
      <c r="DZ446" s="11"/>
      <c r="EA446" s="11"/>
      <c r="EB446" s="11"/>
      <c r="EC446" s="11"/>
      <c r="ED446" s="11"/>
      <c r="EE446" s="11"/>
      <c r="EF446" s="11"/>
    </row>
    <row r="447" spans="1:136" ht="13.5" x14ac:dyDescent="0.25">
      <c r="A447" s="425">
        <v>445</v>
      </c>
      <c r="B447" s="427" t="s">
        <v>2170</v>
      </c>
      <c r="C447" s="427" t="s">
        <v>131</v>
      </c>
      <c r="D447" s="427" t="s">
        <v>2171</v>
      </c>
      <c r="E447" s="79">
        <v>1</v>
      </c>
      <c r="F447" s="405">
        <v>273629.734</v>
      </c>
      <c r="G447" s="274"/>
      <c r="H447" s="274"/>
      <c r="I447" s="274"/>
      <c r="J447" s="274"/>
      <c r="K447" s="11"/>
      <c r="L447" s="274"/>
      <c r="M447" s="274"/>
      <c r="N447" s="274"/>
      <c r="O447" s="48"/>
      <c r="P447" s="11"/>
      <c r="Q447" s="274"/>
      <c r="R447" s="274"/>
      <c r="S447" s="274"/>
      <c r="T447" s="11"/>
      <c r="U447" s="11"/>
      <c r="V447" s="11"/>
      <c r="W447" s="11"/>
      <c r="X447" s="11"/>
      <c r="Y447" s="11"/>
      <c r="Z447" s="48"/>
      <c r="AA447" s="52"/>
      <c r="AB447" s="52"/>
      <c r="AC447" s="118"/>
      <c r="AD447" s="5"/>
      <c r="AE447" s="52"/>
      <c r="AF447" s="113"/>
      <c r="AG447" s="113"/>
      <c r="AH447" s="113"/>
      <c r="AI447" s="52"/>
      <c r="AJ447" s="11"/>
      <c r="AK447" s="269"/>
      <c r="AL447" s="269"/>
      <c r="AM447" s="116"/>
      <c r="AN447" s="301"/>
      <c r="AO447" s="302"/>
      <c r="AP447" s="11"/>
      <c r="AQ447" s="11"/>
      <c r="AR447" s="11"/>
      <c r="AS447" s="11"/>
      <c r="AT447" s="11"/>
      <c r="AU447" s="118"/>
      <c r="AV447" s="118"/>
      <c r="AW447" s="118"/>
      <c r="AX447" s="52"/>
      <c r="AY447" s="52"/>
      <c r="AZ447" s="11"/>
      <c r="BA447" s="11"/>
      <c r="BB447" s="11"/>
      <c r="BC447" s="11"/>
      <c r="BD447" s="11"/>
      <c r="BE447" s="274"/>
      <c r="BF447" s="274"/>
      <c r="BG447" s="274"/>
      <c r="BH447" s="11"/>
      <c r="BI447" s="11"/>
      <c r="BJ447" s="311"/>
      <c r="BK447" s="311"/>
      <c r="BL447" s="311"/>
      <c r="BM447" s="52"/>
      <c r="BN447" s="52"/>
      <c r="BO447" s="387"/>
      <c r="BP447" s="320"/>
      <c r="BQ447" s="320"/>
      <c r="BR447" s="4"/>
      <c r="BS447" s="4"/>
      <c r="BT447" s="11"/>
      <c r="BU447" s="11"/>
      <c r="BV447" s="11"/>
      <c r="BW447" s="11"/>
      <c r="BX447" s="11"/>
      <c r="BY447" s="348"/>
      <c r="BZ447" s="348"/>
      <c r="CA447" s="348"/>
      <c r="CB447" s="348"/>
      <c r="CC447" s="348"/>
      <c r="CD447" s="11"/>
      <c r="CE447" s="11"/>
      <c r="CF447" s="11"/>
      <c r="CG447" s="11"/>
      <c r="CH447" s="11"/>
      <c r="CI447" s="11"/>
      <c r="CJ447" s="11"/>
      <c r="CK447" s="11"/>
      <c r="CL447" s="11"/>
      <c r="CM447" s="11"/>
      <c r="CN447" s="274"/>
      <c r="CO447" s="274"/>
      <c r="CP447" s="274"/>
      <c r="CQ447" s="11"/>
      <c r="CR447" s="11"/>
      <c r="CS447" s="11"/>
      <c r="CT447" s="11"/>
      <c r="CU447" s="11"/>
      <c r="CV447" s="11"/>
      <c r="CW447" s="11"/>
      <c r="CX447" s="11"/>
      <c r="CY447" s="11"/>
      <c r="CZ447" s="11"/>
      <c r="DA447" s="11"/>
      <c r="DB447" s="11"/>
      <c r="DC447" s="11"/>
      <c r="DD447" s="11"/>
      <c r="DE447" s="11"/>
      <c r="DF447" s="11"/>
      <c r="DG447" s="11"/>
      <c r="DH447" s="11"/>
      <c r="DI447" s="11"/>
      <c r="DJ447" s="11"/>
      <c r="DK447" s="11"/>
      <c r="DL447" s="11"/>
      <c r="DM447" s="118"/>
      <c r="DN447" s="118"/>
      <c r="DO447" s="118"/>
      <c r="DP447" s="52"/>
      <c r="DQ447" s="52"/>
      <c r="DR447" s="77"/>
      <c r="DS447" s="77"/>
      <c r="DT447" s="77"/>
      <c r="DU447" s="11"/>
      <c r="DV447" s="11"/>
      <c r="DW447" s="11"/>
      <c r="DX447" s="11"/>
      <c r="DY447" s="11"/>
      <c r="DZ447" s="11"/>
      <c r="EA447" s="11"/>
      <c r="EB447" s="11"/>
      <c r="EC447" s="11"/>
      <c r="ED447" s="11"/>
      <c r="EE447" s="11"/>
      <c r="EF447" s="11"/>
    </row>
    <row r="448" spans="1:136" ht="27" x14ac:dyDescent="0.25">
      <c r="A448" s="425">
        <v>446</v>
      </c>
      <c r="B448" s="427" t="s">
        <v>2172</v>
      </c>
      <c r="C448" s="427" t="s">
        <v>2173</v>
      </c>
      <c r="D448" s="427" t="s">
        <v>1148</v>
      </c>
      <c r="E448" s="79">
        <v>1</v>
      </c>
      <c r="F448" s="405"/>
      <c r="G448" s="274">
        <v>1500000</v>
      </c>
      <c r="H448" s="274">
        <v>285000</v>
      </c>
      <c r="I448" s="274">
        <v>1785000</v>
      </c>
      <c r="J448" s="274" t="s">
        <v>45</v>
      </c>
      <c r="K448" s="11" t="s">
        <v>2174</v>
      </c>
      <c r="L448" s="274"/>
      <c r="M448" s="274"/>
      <c r="N448" s="274"/>
      <c r="O448" s="48"/>
      <c r="P448" s="11"/>
      <c r="Q448" s="274"/>
      <c r="R448" s="274"/>
      <c r="S448" s="274"/>
      <c r="T448" s="11"/>
      <c r="U448" s="11"/>
      <c r="V448" s="11"/>
      <c r="W448" s="11"/>
      <c r="X448" s="11"/>
      <c r="Y448" s="11"/>
      <c r="Z448" s="48"/>
      <c r="AA448" s="52"/>
      <c r="AB448" s="52"/>
      <c r="AC448" s="118"/>
      <c r="AD448" s="5"/>
      <c r="AE448" s="52"/>
      <c r="AF448" s="113">
        <v>500000</v>
      </c>
      <c r="AG448" s="113">
        <f>AF448*0.19</f>
        <v>95000</v>
      </c>
      <c r="AH448" s="113">
        <f>AF448+AG448</f>
        <v>595000</v>
      </c>
      <c r="AI448" s="277" t="s">
        <v>628</v>
      </c>
      <c r="AJ448" s="33" t="s">
        <v>2175</v>
      </c>
      <c r="AK448" s="269"/>
      <c r="AL448" s="269"/>
      <c r="AM448" s="116"/>
      <c r="AN448" s="301"/>
      <c r="AO448" s="302"/>
      <c r="AP448" s="11"/>
      <c r="AQ448" s="11"/>
      <c r="AR448" s="11"/>
      <c r="AS448" s="11"/>
      <c r="AT448" s="11"/>
      <c r="AU448" s="118">
        <v>1305459</v>
      </c>
      <c r="AV448" s="118">
        <v>248037</v>
      </c>
      <c r="AW448" s="118">
        <v>1553496</v>
      </c>
      <c r="AX448" s="52" t="s">
        <v>607</v>
      </c>
      <c r="AY448" s="52">
        <v>1011820250</v>
      </c>
      <c r="AZ448" s="11"/>
      <c r="BA448" s="11"/>
      <c r="BB448" s="11"/>
      <c r="BC448" s="11"/>
      <c r="BD448" s="11"/>
      <c r="BE448" s="274">
        <v>798000</v>
      </c>
      <c r="BF448" s="274">
        <v>151620</v>
      </c>
      <c r="BG448" s="274">
        <v>949620</v>
      </c>
      <c r="BH448" s="11" t="s">
        <v>63</v>
      </c>
      <c r="BI448" s="11" t="s">
        <v>2176</v>
      </c>
      <c r="BJ448" s="311"/>
      <c r="BK448" s="311"/>
      <c r="BL448" s="311"/>
      <c r="BM448" s="52"/>
      <c r="BN448" s="52"/>
      <c r="BO448" s="387"/>
      <c r="BP448" s="320"/>
      <c r="BQ448" s="320"/>
      <c r="BR448" s="4"/>
      <c r="BS448" s="4"/>
      <c r="BT448" s="11"/>
      <c r="BU448" s="11"/>
      <c r="BV448" s="11"/>
      <c r="BW448" s="11"/>
      <c r="BX448" s="11"/>
      <c r="BY448" s="348"/>
      <c r="BZ448" s="348"/>
      <c r="CA448" s="348"/>
      <c r="CB448" s="348"/>
      <c r="CC448" s="348"/>
      <c r="CD448" s="11"/>
      <c r="CE448" s="11"/>
      <c r="CF448" s="11"/>
      <c r="CG448" s="11"/>
      <c r="CH448" s="11"/>
      <c r="CI448" s="11"/>
      <c r="CJ448" s="11"/>
      <c r="CK448" s="11"/>
      <c r="CL448" s="11"/>
      <c r="CM448" s="11"/>
      <c r="CN448" s="274"/>
      <c r="CO448" s="274"/>
      <c r="CP448" s="274"/>
      <c r="CQ448" s="11"/>
      <c r="CR448" s="11"/>
      <c r="CS448" s="11"/>
      <c r="CT448" s="11"/>
      <c r="CU448" s="11"/>
      <c r="CV448" s="11"/>
      <c r="CW448" s="11"/>
      <c r="CX448" s="11"/>
      <c r="CY448" s="11"/>
      <c r="CZ448" s="11"/>
      <c r="DA448" s="11"/>
      <c r="DB448" s="11"/>
      <c r="DC448" s="11"/>
      <c r="DD448" s="11"/>
      <c r="DE448" s="11"/>
      <c r="DF448" s="11"/>
      <c r="DG448" s="11"/>
      <c r="DH448" s="11"/>
      <c r="DI448" s="11"/>
      <c r="DJ448" s="11"/>
      <c r="DK448" s="11"/>
      <c r="DL448" s="11"/>
      <c r="DM448" s="118"/>
      <c r="DN448" s="118"/>
      <c r="DO448" s="118"/>
      <c r="DP448" s="52"/>
      <c r="DQ448" s="52"/>
      <c r="DR448" s="77"/>
      <c r="DS448" s="77"/>
      <c r="DT448" s="77"/>
      <c r="DU448" s="11"/>
      <c r="DV448" s="11"/>
      <c r="DW448" s="11"/>
      <c r="DX448" s="11"/>
      <c r="DY448" s="11"/>
      <c r="DZ448" s="11"/>
      <c r="EA448" s="11"/>
      <c r="EB448" s="11"/>
      <c r="EC448" s="11"/>
      <c r="ED448" s="11"/>
      <c r="EE448" s="11"/>
      <c r="EF448" s="11"/>
    </row>
    <row r="449" spans="1:136" ht="40.5" x14ac:dyDescent="0.25">
      <c r="A449" s="425">
        <v>447</v>
      </c>
      <c r="B449" s="427" t="s">
        <v>2177</v>
      </c>
      <c r="C449" s="413" t="s">
        <v>2178</v>
      </c>
      <c r="D449" s="413" t="s">
        <v>2179</v>
      </c>
      <c r="E449" s="79">
        <v>1</v>
      </c>
      <c r="F449" s="404">
        <v>28908.194</v>
      </c>
      <c r="G449" s="274"/>
      <c r="H449" s="274"/>
      <c r="I449" s="274"/>
      <c r="J449" s="274"/>
      <c r="K449" s="11"/>
      <c r="L449" s="274"/>
      <c r="M449" s="274"/>
      <c r="N449" s="274"/>
      <c r="O449" s="48"/>
      <c r="P449" s="11"/>
      <c r="Q449" s="274"/>
      <c r="R449" s="274"/>
      <c r="S449" s="274"/>
      <c r="T449" s="11"/>
      <c r="U449" s="11"/>
      <c r="V449" s="11"/>
      <c r="W449" s="11"/>
      <c r="X449" s="11"/>
      <c r="Y449" s="11"/>
      <c r="Z449" s="48"/>
      <c r="AA449" s="52"/>
      <c r="AB449" s="52"/>
      <c r="AC449" s="118"/>
      <c r="AD449" s="5"/>
      <c r="AE449" s="52"/>
      <c r="AF449" s="113"/>
      <c r="AG449" s="113"/>
      <c r="AH449" s="113"/>
      <c r="AI449" s="52"/>
      <c r="AJ449" s="11"/>
      <c r="AK449" s="269"/>
      <c r="AL449" s="269"/>
      <c r="AM449" s="116"/>
      <c r="AN449" s="301"/>
      <c r="AO449" s="302"/>
      <c r="AP449" s="11"/>
      <c r="AQ449" s="11"/>
      <c r="AR449" s="11"/>
      <c r="AS449" s="11"/>
      <c r="AT449" s="11"/>
      <c r="AU449" s="118"/>
      <c r="AV449" s="118"/>
      <c r="AW449" s="118"/>
      <c r="AX449" s="52"/>
      <c r="AY449" s="52"/>
      <c r="AZ449" s="11"/>
      <c r="BA449" s="11"/>
      <c r="BB449" s="11"/>
      <c r="BC449" s="11"/>
      <c r="BD449" s="11"/>
      <c r="BE449" s="274">
        <v>19000</v>
      </c>
      <c r="BF449" s="274">
        <v>3610</v>
      </c>
      <c r="BG449" s="274">
        <v>22610</v>
      </c>
      <c r="BH449" s="11" t="s">
        <v>409</v>
      </c>
      <c r="BI449" s="11" t="s">
        <v>2180</v>
      </c>
      <c r="BJ449" s="311"/>
      <c r="BK449" s="311"/>
      <c r="BL449" s="311"/>
      <c r="BM449" s="52"/>
      <c r="BN449" s="52"/>
      <c r="BO449" s="387"/>
      <c r="BP449" s="320"/>
      <c r="BQ449" s="320"/>
      <c r="BR449" s="4"/>
      <c r="BS449" s="4"/>
      <c r="BT449" s="11"/>
      <c r="BU449" s="11"/>
      <c r="BV449" s="11"/>
      <c r="BW449" s="11"/>
      <c r="BX449" s="11"/>
      <c r="BY449" s="348"/>
      <c r="BZ449" s="348"/>
      <c r="CA449" s="348"/>
      <c r="CB449" s="348"/>
      <c r="CC449" s="348"/>
      <c r="CD449" s="11"/>
      <c r="CE449" s="11"/>
      <c r="CF449" s="11"/>
      <c r="CG449" s="11"/>
      <c r="CH449" s="11"/>
      <c r="CI449" s="11"/>
      <c r="CJ449" s="11"/>
      <c r="CK449" s="11"/>
      <c r="CL449" s="11"/>
      <c r="CM449" s="11"/>
      <c r="CN449" s="274"/>
      <c r="CO449" s="274"/>
      <c r="CP449" s="274"/>
      <c r="CQ449" s="11"/>
      <c r="CR449" s="11"/>
      <c r="CS449" s="11"/>
      <c r="CT449" s="11"/>
      <c r="CU449" s="11"/>
      <c r="CV449" s="11"/>
      <c r="CW449" s="11"/>
      <c r="CX449" s="11"/>
      <c r="CY449" s="11"/>
      <c r="CZ449" s="11"/>
      <c r="DA449" s="11"/>
      <c r="DB449" s="11"/>
      <c r="DC449" s="11"/>
      <c r="DD449" s="11"/>
      <c r="DE449" s="11"/>
      <c r="DF449" s="11"/>
      <c r="DG449" s="11"/>
      <c r="DH449" s="11"/>
      <c r="DI449" s="11"/>
      <c r="DJ449" s="11"/>
      <c r="DK449" s="11"/>
      <c r="DL449" s="11"/>
      <c r="DM449" s="118"/>
      <c r="DN449" s="118"/>
      <c r="DO449" s="118"/>
      <c r="DP449" s="52"/>
      <c r="DQ449" s="52"/>
      <c r="DR449" s="77"/>
      <c r="DS449" s="77"/>
      <c r="DT449" s="77"/>
      <c r="DU449" s="11"/>
      <c r="DV449" s="11"/>
      <c r="DW449" s="11"/>
      <c r="DX449" s="11"/>
      <c r="DY449" s="11"/>
      <c r="DZ449" s="11"/>
      <c r="EA449" s="11"/>
      <c r="EB449" s="11"/>
      <c r="EC449" s="11"/>
      <c r="ED449" s="11"/>
      <c r="EE449" s="11"/>
      <c r="EF449" s="11"/>
    </row>
    <row r="450" spans="1:136" ht="54" x14ac:dyDescent="0.25">
      <c r="A450" s="425">
        <v>448</v>
      </c>
      <c r="B450" s="427" t="s">
        <v>2181</v>
      </c>
      <c r="C450" s="427" t="s">
        <v>2182</v>
      </c>
      <c r="D450" s="427" t="s">
        <v>2183</v>
      </c>
      <c r="E450" s="79">
        <v>1</v>
      </c>
      <c r="F450" s="405">
        <v>352954.57880000002</v>
      </c>
      <c r="G450" s="274"/>
      <c r="H450" s="274"/>
      <c r="I450" s="274"/>
      <c r="J450" s="274"/>
      <c r="K450" s="11"/>
      <c r="L450" s="274"/>
      <c r="M450" s="274"/>
      <c r="N450" s="274"/>
      <c r="O450" s="48"/>
      <c r="P450" s="11"/>
      <c r="Q450" s="274"/>
      <c r="R450" s="274"/>
      <c r="S450" s="274"/>
      <c r="T450" s="11"/>
      <c r="U450" s="11"/>
      <c r="V450" s="11"/>
      <c r="W450" s="11"/>
      <c r="X450" s="11"/>
      <c r="Y450" s="11"/>
      <c r="Z450" s="48"/>
      <c r="AA450" s="52"/>
      <c r="AB450" s="52"/>
      <c r="AC450" s="118"/>
      <c r="AD450" s="5"/>
      <c r="AE450" s="52"/>
      <c r="AF450" s="113"/>
      <c r="AG450" s="113"/>
      <c r="AH450" s="113"/>
      <c r="AI450" s="52"/>
      <c r="AJ450" s="11"/>
      <c r="AK450" s="269"/>
      <c r="AL450" s="269"/>
      <c r="AM450" s="116"/>
      <c r="AN450" s="301"/>
      <c r="AO450" s="302"/>
      <c r="AP450" s="11"/>
      <c r="AQ450" s="11"/>
      <c r="AR450" s="11"/>
      <c r="AS450" s="11"/>
      <c r="AT450" s="11"/>
      <c r="AU450" s="118"/>
      <c r="AV450" s="118"/>
      <c r="AW450" s="118"/>
      <c r="AX450" s="52"/>
      <c r="AY450" s="52"/>
      <c r="AZ450" s="11"/>
      <c r="BA450" s="11"/>
      <c r="BB450" s="11"/>
      <c r="BC450" s="11"/>
      <c r="BD450" s="11"/>
      <c r="BE450" s="274"/>
      <c r="BF450" s="274"/>
      <c r="BG450" s="274"/>
      <c r="BH450" s="11"/>
      <c r="BI450" s="11"/>
      <c r="BJ450" s="311"/>
      <c r="BK450" s="311"/>
      <c r="BL450" s="311"/>
      <c r="BM450" s="52"/>
      <c r="BN450" s="52"/>
      <c r="BO450" s="387"/>
      <c r="BP450" s="320"/>
      <c r="BQ450" s="320"/>
      <c r="BR450" s="4"/>
      <c r="BS450" s="4"/>
      <c r="BT450" s="11"/>
      <c r="BU450" s="11"/>
      <c r="BV450" s="11"/>
      <c r="BW450" s="11"/>
      <c r="BX450" s="11"/>
      <c r="BY450" s="348"/>
      <c r="BZ450" s="348"/>
      <c r="CA450" s="348"/>
      <c r="CB450" s="348"/>
      <c r="CC450" s="348"/>
      <c r="CD450" s="11"/>
      <c r="CE450" s="11"/>
      <c r="CF450" s="11"/>
      <c r="CG450" s="11"/>
      <c r="CH450" s="11"/>
      <c r="CI450" s="11"/>
      <c r="CJ450" s="11"/>
      <c r="CK450" s="11"/>
      <c r="CL450" s="11"/>
      <c r="CM450" s="11"/>
      <c r="CN450" s="274"/>
      <c r="CO450" s="274"/>
      <c r="CP450" s="274"/>
      <c r="CQ450" s="11"/>
      <c r="CR450" s="11"/>
      <c r="CS450" s="11"/>
      <c r="CT450" s="11"/>
      <c r="CU450" s="11"/>
      <c r="CV450" s="11"/>
      <c r="CW450" s="11"/>
      <c r="CX450" s="11"/>
      <c r="CY450" s="11"/>
      <c r="CZ450" s="11"/>
      <c r="DA450" s="11"/>
      <c r="DB450" s="11"/>
      <c r="DC450" s="11"/>
      <c r="DD450" s="11"/>
      <c r="DE450" s="11"/>
      <c r="DF450" s="11"/>
      <c r="DG450" s="11"/>
      <c r="DH450" s="11"/>
      <c r="DI450" s="11"/>
      <c r="DJ450" s="11"/>
      <c r="DK450" s="11"/>
      <c r="DL450" s="11"/>
      <c r="DM450" s="118"/>
      <c r="DN450" s="118"/>
      <c r="DO450" s="118"/>
      <c r="DP450" s="52"/>
      <c r="DQ450" s="52"/>
      <c r="DR450" s="77"/>
      <c r="DS450" s="77"/>
      <c r="DT450" s="77"/>
      <c r="DU450" s="11"/>
      <c r="DV450" s="11"/>
      <c r="DW450" s="11"/>
      <c r="DX450" s="11"/>
      <c r="DY450" s="11"/>
      <c r="DZ450" s="11"/>
      <c r="EA450" s="11"/>
      <c r="EB450" s="11"/>
      <c r="EC450" s="11"/>
      <c r="ED450" s="11"/>
      <c r="EE450" s="11"/>
      <c r="EF450" s="11"/>
    </row>
    <row r="451" spans="1:136" ht="40.5" x14ac:dyDescent="0.25">
      <c r="A451" s="425">
        <v>449</v>
      </c>
      <c r="B451" s="427" t="s">
        <v>2184</v>
      </c>
      <c r="C451" s="413" t="s">
        <v>2185</v>
      </c>
      <c r="D451" s="413" t="s">
        <v>2186</v>
      </c>
      <c r="E451" s="79">
        <v>1</v>
      </c>
      <c r="F451" s="404">
        <v>825768.84600000002</v>
      </c>
      <c r="G451" s="274"/>
      <c r="H451" s="274"/>
      <c r="I451" s="274"/>
      <c r="J451" s="274"/>
      <c r="K451" s="11"/>
      <c r="L451" s="274"/>
      <c r="M451" s="274"/>
      <c r="N451" s="274"/>
      <c r="O451" s="48"/>
      <c r="P451" s="11"/>
      <c r="Q451" s="274"/>
      <c r="R451" s="274"/>
      <c r="S451" s="274"/>
      <c r="T451" s="11"/>
      <c r="U451" s="11"/>
      <c r="V451" s="11"/>
      <c r="W451" s="11"/>
      <c r="X451" s="11"/>
      <c r="Y451" s="11"/>
      <c r="Z451" s="48"/>
      <c r="AA451" s="52"/>
      <c r="AB451" s="52"/>
      <c r="AC451" s="118"/>
      <c r="AD451" s="5"/>
      <c r="AE451" s="52"/>
      <c r="AF451" s="113"/>
      <c r="AG451" s="113"/>
      <c r="AH451" s="113"/>
      <c r="AI451" s="52"/>
      <c r="AJ451" s="11"/>
      <c r="AK451" s="269"/>
      <c r="AL451" s="269"/>
      <c r="AM451" s="116"/>
      <c r="AN451" s="301"/>
      <c r="AO451" s="302"/>
      <c r="AP451" s="11"/>
      <c r="AQ451" s="11"/>
      <c r="AR451" s="11"/>
      <c r="AS451" s="11"/>
      <c r="AT451" s="11"/>
      <c r="AU451" s="118"/>
      <c r="AV451" s="118"/>
      <c r="AW451" s="118"/>
      <c r="AX451" s="52"/>
      <c r="AY451" s="52"/>
      <c r="AZ451" s="11"/>
      <c r="BA451" s="11"/>
      <c r="BB451" s="11"/>
      <c r="BC451" s="11"/>
      <c r="BD451" s="11"/>
      <c r="BE451" s="274">
        <v>531000</v>
      </c>
      <c r="BF451" s="274">
        <v>100890</v>
      </c>
      <c r="BG451" s="274">
        <v>631890</v>
      </c>
      <c r="BH451" s="11" t="s">
        <v>409</v>
      </c>
      <c r="BI451" s="11" t="s">
        <v>2187</v>
      </c>
      <c r="BJ451" s="311"/>
      <c r="BK451" s="311"/>
      <c r="BL451" s="311"/>
      <c r="BM451" s="52"/>
      <c r="BN451" s="52"/>
      <c r="BO451" s="387"/>
      <c r="BP451" s="320"/>
      <c r="BQ451" s="320"/>
      <c r="BR451" s="4"/>
      <c r="BS451" s="4"/>
      <c r="BT451" s="11"/>
      <c r="BU451" s="11"/>
      <c r="BV451" s="11"/>
      <c r="BW451" s="11"/>
      <c r="BX451" s="11"/>
      <c r="BY451" s="348"/>
      <c r="BZ451" s="348"/>
      <c r="CA451" s="348"/>
      <c r="CB451" s="348"/>
      <c r="CC451" s="348"/>
      <c r="CD451" s="11"/>
      <c r="CE451" s="11"/>
      <c r="CF451" s="11"/>
      <c r="CG451" s="11"/>
      <c r="CH451" s="11"/>
      <c r="CI451" s="11"/>
      <c r="CJ451" s="11"/>
      <c r="CK451" s="11"/>
      <c r="CL451" s="11"/>
      <c r="CM451" s="11"/>
      <c r="CN451" s="274"/>
      <c r="CO451" s="274"/>
      <c r="CP451" s="274"/>
      <c r="CQ451" s="11"/>
      <c r="CR451" s="11"/>
      <c r="CS451" s="11"/>
      <c r="CT451" s="11"/>
      <c r="CU451" s="11"/>
      <c r="CV451" s="11"/>
      <c r="CW451" s="11"/>
      <c r="CX451" s="11"/>
      <c r="CY451" s="11"/>
      <c r="CZ451" s="11"/>
      <c r="DA451" s="11"/>
      <c r="DB451" s="11"/>
      <c r="DC451" s="11"/>
      <c r="DD451" s="11"/>
      <c r="DE451" s="11"/>
      <c r="DF451" s="11"/>
      <c r="DG451" s="11"/>
      <c r="DH451" s="11"/>
      <c r="DI451" s="11"/>
      <c r="DJ451" s="11"/>
      <c r="DK451" s="11"/>
      <c r="DL451" s="11"/>
      <c r="DM451" s="118"/>
      <c r="DN451" s="118"/>
      <c r="DO451" s="118"/>
      <c r="DP451" s="52"/>
      <c r="DQ451" s="52"/>
      <c r="DR451" s="77"/>
      <c r="DS451" s="77"/>
      <c r="DT451" s="77"/>
      <c r="DU451" s="11"/>
      <c r="DV451" s="11"/>
      <c r="DW451" s="11"/>
      <c r="DX451" s="11"/>
      <c r="DY451" s="11"/>
      <c r="DZ451" s="11"/>
      <c r="EA451" s="11"/>
      <c r="EB451" s="11"/>
      <c r="EC451" s="11"/>
      <c r="ED451" s="11"/>
      <c r="EE451" s="11"/>
      <c r="EF451" s="11"/>
    </row>
    <row r="452" spans="1:136" ht="40.5" x14ac:dyDescent="0.25">
      <c r="A452" s="425">
        <v>450</v>
      </c>
      <c r="B452" s="427" t="s">
        <v>2188</v>
      </c>
      <c r="C452" s="413" t="s">
        <v>2189</v>
      </c>
      <c r="D452" s="413" t="s">
        <v>2186</v>
      </c>
      <c r="E452" s="79">
        <v>1</v>
      </c>
      <c r="F452" s="406">
        <v>830796.35800000001</v>
      </c>
      <c r="G452" s="274"/>
      <c r="H452" s="274"/>
      <c r="I452" s="274"/>
      <c r="J452" s="274"/>
      <c r="K452" s="11"/>
      <c r="L452" s="274"/>
      <c r="M452" s="274"/>
      <c r="N452" s="274"/>
      <c r="O452" s="48"/>
      <c r="P452" s="11"/>
      <c r="Q452" s="274"/>
      <c r="R452" s="274"/>
      <c r="S452" s="274"/>
      <c r="T452" s="11"/>
      <c r="U452" s="11"/>
      <c r="V452" s="11"/>
      <c r="W452" s="11"/>
      <c r="X452" s="11"/>
      <c r="Y452" s="11"/>
      <c r="Z452" s="48"/>
      <c r="AA452" s="52"/>
      <c r="AB452" s="52"/>
      <c r="AC452" s="118"/>
      <c r="AD452" s="5"/>
      <c r="AE452" s="52"/>
      <c r="AF452" s="113"/>
      <c r="AG452" s="113"/>
      <c r="AH452" s="113"/>
      <c r="AI452" s="52"/>
      <c r="AJ452" s="11"/>
      <c r="AK452" s="269"/>
      <c r="AL452" s="269"/>
      <c r="AM452" s="116"/>
      <c r="AN452" s="301"/>
      <c r="AO452" s="302"/>
      <c r="AP452" s="11"/>
      <c r="AQ452" s="11"/>
      <c r="AR452" s="11"/>
      <c r="AS452" s="11"/>
      <c r="AT452" s="11"/>
      <c r="AU452" s="118"/>
      <c r="AV452" s="118"/>
      <c r="AW452" s="118"/>
      <c r="AX452" s="52"/>
      <c r="AY452" s="52"/>
      <c r="AZ452" s="11"/>
      <c r="BA452" s="11"/>
      <c r="BB452" s="11"/>
      <c r="BC452" s="11"/>
      <c r="BD452" s="11"/>
      <c r="BE452" s="274">
        <v>531000</v>
      </c>
      <c r="BF452" s="274">
        <v>100890</v>
      </c>
      <c r="BG452" s="274">
        <v>631890</v>
      </c>
      <c r="BH452" s="11" t="s">
        <v>409</v>
      </c>
      <c r="BI452" s="11" t="s">
        <v>2190</v>
      </c>
      <c r="BJ452" s="311"/>
      <c r="BK452" s="311"/>
      <c r="BL452" s="311"/>
      <c r="BM452" s="52"/>
      <c r="BN452" s="52"/>
      <c r="BO452" s="387"/>
      <c r="BP452" s="320"/>
      <c r="BQ452" s="320"/>
      <c r="BR452" s="4"/>
      <c r="BS452" s="4"/>
      <c r="BT452" s="11"/>
      <c r="BU452" s="11"/>
      <c r="BV452" s="11"/>
      <c r="BW452" s="11"/>
      <c r="BX452" s="11"/>
      <c r="BY452" s="348"/>
      <c r="BZ452" s="348"/>
      <c r="CA452" s="348"/>
      <c r="CB452" s="348"/>
      <c r="CC452" s="348"/>
      <c r="CD452" s="11"/>
      <c r="CE452" s="11"/>
      <c r="CF452" s="11"/>
      <c r="CG452" s="11"/>
      <c r="CH452" s="11"/>
      <c r="CI452" s="11"/>
      <c r="CJ452" s="11"/>
      <c r="CK452" s="11"/>
      <c r="CL452" s="11"/>
      <c r="CM452" s="11"/>
      <c r="CN452" s="274"/>
      <c r="CO452" s="274"/>
      <c r="CP452" s="274"/>
      <c r="CQ452" s="11"/>
      <c r="CR452" s="11"/>
      <c r="CS452" s="11"/>
      <c r="CT452" s="11"/>
      <c r="CU452" s="11"/>
      <c r="CV452" s="11"/>
      <c r="CW452" s="11"/>
      <c r="CX452" s="11"/>
      <c r="CY452" s="11"/>
      <c r="CZ452" s="11"/>
      <c r="DA452" s="11"/>
      <c r="DB452" s="11"/>
      <c r="DC452" s="11"/>
      <c r="DD452" s="11"/>
      <c r="DE452" s="11"/>
      <c r="DF452" s="11"/>
      <c r="DG452" s="11"/>
      <c r="DH452" s="11"/>
      <c r="DI452" s="11"/>
      <c r="DJ452" s="11"/>
      <c r="DK452" s="11"/>
      <c r="DL452" s="11"/>
      <c r="DM452" s="118"/>
      <c r="DN452" s="118"/>
      <c r="DO452" s="118"/>
      <c r="DP452" s="52"/>
      <c r="DQ452" s="52"/>
      <c r="DR452" s="77"/>
      <c r="DS452" s="77"/>
      <c r="DT452" s="77"/>
      <c r="DU452" s="11"/>
      <c r="DV452" s="11"/>
      <c r="DW452" s="11"/>
      <c r="DX452" s="11"/>
      <c r="DY452" s="11"/>
      <c r="DZ452" s="11"/>
      <c r="EA452" s="11"/>
      <c r="EB452" s="11"/>
      <c r="EC452" s="11"/>
      <c r="ED452" s="11"/>
      <c r="EE452" s="11"/>
      <c r="EF452" s="11"/>
    </row>
    <row r="453" spans="1:136" ht="13.5" x14ac:dyDescent="0.25">
      <c r="A453" s="425">
        <v>451</v>
      </c>
      <c r="B453" s="427" t="s">
        <v>2191</v>
      </c>
      <c r="C453" s="413" t="s">
        <v>2192</v>
      </c>
      <c r="D453" s="413" t="s">
        <v>2193</v>
      </c>
      <c r="E453" s="79">
        <v>1</v>
      </c>
      <c r="F453" s="406">
        <v>2068821.1880000001</v>
      </c>
      <c r="G453" s="274"/>
      <c r="H453" s="274"/>
      <c r="I453" s="274"/>
      <c r="J453" s="274"/>
      <c r="K453" s="11"/>
      <c r="L453" s="274"/>
      <c r="M453" s="274"/>
      <c r="N453" s="274"/>
      <c r="O453" s="48"/>
      <c r="P453" s="11"/>
      <c r="Q453" s="274"/>
      <c r="R453" s="274"/>
      <c r="S453" s="274"/>
      <c r="T453" s="11"/>
      <c r="U453" s="11"/>
      <c r="V453" s="11"/>
      <c r="W453" s="11"/>
      <c r="X453" s="11"/>
      <c r="Y453" s="11"/>
      <c r="Z453" s="48"/>
      <c r="AA453" s="52"/>
      <c r="AB453" s="52"/>
      <c r="AC453" s="118"/>
      <c r="AD453" s="5"/>
      <c r="AE453" s="52"/>
      <c r="AF453" s="113"/>
      <c r="AG453" s="113"/>
      <c r="AH453" s="113"/>
      <c r="AI453" s="52"/>
      <c r="AJ453" s="11"/>
      <c r="AK453" s="269"/>
      <c r="AL453" s="269"/>
      <c r="AM453" s="116"/>
      <c r="AN453" s="301"/>
      <c r="AO453" s="302"/>
      <c r="AP453" s="11"/>
      <c r="AQ453" s="11"/>
      <c r="AR453" s="11"/>
      <c r="AS453" s="11"/>
      <c r="AT453" s="11"/>
      <c r="AU453" s="118"/>
      <c r="AV453" s="118"/>
      <c r="AW453" s="118"/>
      <c r="AX453" s="52"/>
      <c r="AY453" s="52"/>
      <c r="AZ453" s="11"/>
      <c r="BA453" s="11"/>
      <c r="BB453" s="11"/>
      <c r="BC453" s="11"/>
      <c r="BD453" s="11"/>
      <c r="BE453" s="274">
        <v>1328000</v>
      </c>
      <c r="BF453" s="274">
        <v>252320</v>
      </c>
      <c r="BG453" s="274">
        <v>1580320</v>
      </c>
      <c r="BH453" s="11" t="s">
        <v>409</v>
      </c>
      <c r="BI453" s="11" t="s">
        <v>2194</v>
      </c>
      <c r="BJ453" s="311"/>
      <c r="BK453" s="311"/>
      <c r="BL453" s="311"/>
      <c r="BM453" s="52"/>
      <c r="BN453" s="52"/>
      <c r="BO453" s="387"/>
      <c r="BP453" s="320"/>
      <c r="BQ453" s="320"/>
      <c r="BR453" s="4"/>
      <c r="BS453" s="4"/>
      <c r="BT453" s="11"/>
      <c r="BU453" s="11"/>
      <c r="BV453" s="11"/>
      <c r="BW453" s="11"/>
      <c r="BX453" s="11"/>
      <c r="BY453" s="348"/>
      <c r="BZ453" s="348"/>
      <c r="CA453" s="348"/>
      <c r="CB453" s="348"/>
      <c r="CC453" s="348"/>
      <c r="CD453" s="11"/>
      <c r="CE453" s="11"/>
      <c r="CF453" s="11"/>
      <c r="CG453" s="11"/>
      <c r="CH453" s="11"/>
      <c r="CI453" s="11"/>
      <c r="CJ453" s="11"/>
      <c r="CK453" s="11"/>
      <c r="CL453" s="11"/>
      <c r="CM453" s="11"/>
      <c r="CN453" s="274"/>
      <c r="CO453" s="274"/>
      <c r="CP453" s="274"/>
      <c r="CQ453" s="11"/>
      <c r="CR453" s="11"/>
      <c r="CS453" s="11"/>
      <c r="CT453" s="11"/>
      <c r="CU453" s="11"/>
      <c r="CV453" s="11"/>
      <c r="CW453" s="11"/>
      <c r="CX453" s="11"/>
      <c r="CY453" s="11"/>
      <c r="CZ453" s="11"/>
      <c r="DA453" s="11"/>
      <c r="DB453" s="11"/>
      <c r="DC453" s="11"/>
      <c r="DD453" s="11"/>
      <c r="DE453" s="11"/>
      <c r="DF453" s="11"/>
      <c r="DG453" s="11"/>
      <c r="DH453" s="11"/>
      <c r="DI453" s="11"/>
      <c r="DJ453" s="11"/>
      <c r="DK453" s="11"/>
      <c r="DL453" s="11"/>
      <c r="DM453" s="118"/>
      <c r="DN453" s="118"/>
      <c r="DO453" s="118"/>
      <c r="DP453" s="52"/>
      <c r="DQ453" s="52"/>
      <c r="DR453" s="77"/>
      <c r="DS453" s="77"/>
      <c r="DT453" s="77"/>
      <c r="DU453" s="11"/>
      <c r="DV453" s="11"/>
      <c r="DW453" s="11"/>
      <c r="DX453" s="11"/>
      <c r="DY453" s="11"/>
      <c r="DZ453" s="11"/>
      <c r="EA453" s="11"/>
      <c r="EB453" s="11"/>
      <c r="EC453" s="11"/>
      <c r="ED453" s="11"/>
      <c r="EE453" s="11"/>
      <c r="EF453" s="11"/>
    </row>
    <row r="454" spans="1:136" ht="40.5" x14ac:dyDescent="0.25">
      <c r="A454" s="425">
        <v>452</v>
      </c>
      <c r="B454" s="427" t="s">
        <v>2195</v>
      </c>
      <c r="C454" s="427" t="s">
        <v>2196</v>
      </c>
      <c r="D454" s="427" t="s">
        <v>2197</v>
      </c>
      <c r="E454" s="79">
        <v>1</v>
      </c>
      <c r="F454" s="405">
        <v>219250.22080000001</v>
      </c>
      <c r="G454" s="274"/>
      <c r="H454" s="274"/>
      <c r="I454" s="274"/>
      <c r="J454" s="274"/>
      <c r="K454" s="11"/>
      <c r="L454" s="274"/>
      <c r="M454" s="274"/>
      <c r="N454" s="274"/>
      <c r="O454" s="48"/>
      <c r="P454" s="11"/>
      <c r="Q454" s="274"/>
      <c r="R454" s="274"/>
      <c r="S454" s="274"/>
      <c r="T454" s="11"/>
      <c r="U454" s="11"/>
      <c r="V454" s="11"/>
      <c r="W454" s="11"/>
      <c r="X454" s="11"/>
      <c r="Y454" s="11"/>
      <c r="Z454" s="48"/>
      <c r="AA454" s="52"/>
      <c r="AB454" s="52"/>
      <c r="AC454" s="118"/>
      <c r="AD454" s="5"/>
      <c r="AE454" s="52"/>
      <c r="AF454" s="113"/>
      <c r="AG454" s="113"/>
      <c r="AH454" s="113"/>
      <c r="AI454" s="52"/>
      <c r="AJ454" s="11"/>
      <c r="AK454" s="269"/>
      <c r="AL454" s="269"/>
      <c r="AM454" s="116"/>
      <c r="AN454" s="301"/>
      <c r="AO454" s="302"/>
      <c r="AP454" s="11"/>
      <c r="AQ454" s="11"/>
      <c r="AR454" s="11"/>
      <c r="AS454" s="11"/>
      <c r="AT454" s="11"/>
      <c r="AU454" s="118"/>
      <c r="AV454" s="118"/>
      <c r="AW454" s="118"/>
      <c r="AX454" s="52"/>
      <c r="AY454" s="52"/>
      <c r="AZ454" s="11"/>
      <c r="BA454" s="11"/>
      <c r="BB454" s="11"/>
      <c r="BC454" s="11"/>
      <c r="BD454" s="11"/>
      <c r="BE454" s="274"/>
      <c r="BF454" s="274"/>
      <c r="BG454" s="274"/>
      <c r="BH454" s="11"/>
      <c r="BI454" s="11"/>
      <c r="BJ454" s="311"/>
      <c r="BK454" s="311"/>
      <c r="BL454" s="311"/>
      <c r="BM454" s="52"/>
      <c r="BN454" s="52"/>
      <c r="BO454" s="387"/>
      <c r="BP454" s="320"/>
      <c r="BQ454" s="320"/>
      <c r="BR454" s="4"/>
      <c r="BS454" s="4"/>
      <c r="BT454" s="11"/>
      <c r="BU454" s="11"/>
      <c r="BV454" s="11"/>
      <c r="BW454" s="11"/>
      <c r="BX454" s="11"/>
      <c r="BY454" s="348"/>
      <c r="BZ454" s="348"/>
      <c r="CA454" s="348"/>
      <c r="CB454" s="348"/>
      <c r="CC454" s="348"/>
      <c r="CD454" s="11"/>
      <c r="CE454" s="11"/>
      <c r="CF454" s="11"/>
      <c r="CG454" s="11"/>
      <c r="CH454" s="11"/>
      <c r="CI454" s="11"/>
      <c r="CJ454" s="11"/>
      <c r="CK454" s="11"/>
      <c r="CL454" s="11"/>
      <c r="CM454" s="11"/>
      <c r="CN454" s="274"/>
      <c r="CO454" s="274"/>
      <c r="CP454" s="274"/>
      <c r="CQ454" s="11"/>
      <c r="CR454" s="11"/>
      <c r="CS454" s="11"/>
      <c r="CT454" s="11"/>
      <c r="CU454" s="11"/>
      <c r="CV454" s="11"/>
      <c r="CW454" s="11"/>
      <c r="CX454" s="11"/>
      <c r="CY454" s="11"/>
      <c r="CZ454" s="11"/>
      <c r="DA454" s="11"/>
      <c r="DB454" s="11"/>
      <c r="DC454" s="11"/>
      <c r="DD454" s="11"/>
      <c r="DE454" s="11"/>
      <c r="DF454" s="11"/>
      <c r="DG454" s="11"/>
      <c r="DH454" s="11"/>
      <c r="DI454" s="11"/>
      <c r="DJ454" s="11"/>
      <c r="DK454" s="11"/>
      <c r="DL454" s="11"/>
      <c r="DM454" s="118"/>
      <c r="DN454" s="118"/>
      <c r="DO454" s="118"/>
      <c r="DP454" s="52"/>
      <c r="DQ454" s="52"/>
      <c r="DR454" s="77"/>
      <c r="DS454" s="77"/>
      <c r="DT454" s="77"/>
      <c r="DU454" s="11"/>
      <c r="DV454" s="11"/>
      <c r="DW454" s="11"/>
      <c r="DX454" s="11"/>
      <c r="DY454" s="11"/>
      <c r="DZ454" s="11"/>
      <c r="EA454" s="11"/>
      <c r="EB454" s="11"/>
      <c r="EC454" s="11"/>
      <c r="ED454" s="11"/>
      <c r="EE454" s="11"/>
      <c r="EF454" s="11"/>
    </row>
    <row r="455" spans="1:136" ht="40.5" x14ac:dyDescent="0.25">
      <c r="A455" s="425">
        <v>453</v>
      </c>
      <c r="B455" s="427" t="s">
        <v>2198</v>
      </c>
      <c r="C455" s="427" t="s">
        <v>2196</v>
      </c>
      <c r="D455" s="427" t="s">
        <v>2197</v>
      </c>
      <c r="E455" s="79">
        <v>1</v>
      </c>
      <c r="F455" s="405">
        <v>259392.158</v>
      </c>
      <c r="G455" s="274"/>
      <c r="H455" s="274"/>
      <c r="I455" s="274"/>
      <c r="J455" s="274"/>
      <c r="K455" s="11"/>
      <c r="L455" s="274"/>
      <c r="M455" s="274"/>
      <c r="N455" s="274"/>
      <c r="O455" s="48"/>
      <c r="P455" s="11"/>
      <c r="Q455" s="274"/>
      <c r="R455" s="274"/>
      <c r="S455" s="274"/>
      <c r="T455" s="11"/>
      <c r="U455" s="11"/>
      <c r="V455" s="11"/>
      <c r="W455" s="11"/>
      <c r="X455" s="11"/>
      <c r="Y455" s="11"/>
      <c r="Z455" s="48"/>
      <c r="AA455" s="52"/>
      <c r="AB455" s="52"/>
      <c r="AC455" s="118"/>
      <c r="AD455" s="5"/>
      <c r="AE455" s="52"/>
      <c r="AF455" s="113"/>
      <c r="AG455" s="113"/>
      <c r="AH455" s="113"/>
      <c r="AI455" s="52"/>
      <c r="AJ455" s="11"/>
      <c r="AK455" s="269"/>
      <c r="AL455" s="269"/>
      <c r="AM455" s="116"/>
      <c r="AN455" s="301"/>
      <c r="AO455" s="302"/>
      <c r="AP455" s="11"/>
      <c r="AQ455" s="11"/>
      <c r="AR455" s="11"/>
      <c r="AS455" s="11"/>
      <c r="AT455" s="11"/>
      <c r="AU455" s="118"/>
      <c r="AV455" s="118"/>
      <c r="AW455" s="118"/>
      <c r="AX455" s="52"/>
      <c r="AY455" s="52"/>
      <c r="AZ455" s="11"/>
      <c r="BA455" s="11"/>
      <c r="BB455" s="11"/>
      <c r="BC455" s="11"/>
      <c r="BD455" s="11"/>
      <c r="BE455" s="274"/>
      <c r="BF455" s="274"/>
      <c r="BG455" s="274"/>
      <c r="BH455" s="11"/>
      <c r="BI455" s="11"/>
      <c r="BJ455" s="311"/>
      <c r="BK455" s="311"/>
      <c r="BL455" s="311"/>
      <c r="BM455" s="52"/>
      <c r="BN455" s="52"/>
      <c r="BO455" s="387"/>
      <c r="BP455" s="320"/>
      <c r="BQ455" s="320"/>
      <c r="BR455" s="4"/>
      <c r="BS455" s="4"/>
      <c r="BT455" s="11"/>
      <c r="BU455" s="11"/>
      <c r="BV455" s="11"/>
      <c r="BW455" s="11"/>
      <c r="BX455" s="11"/>
      <c r="BY455" s="348"/>
      <c r="BZ455" s="348"/>
      <c r="CA455" s="348"/>
      <c r="CB455" s="348"/>
      <c r="CC455" s="348"/>
      <c r="CD455" s="11"/>
      <c r="CE455" s="11"/>
      <c r="CF455" s="11"/>
      <c r="CG455" s="11"/>
      <c r="CH455" s="11"/>
      <c r="CI455" s="11"/>
      <c r="CJ455" s="11"/>
      <c r="CK455" s="11"/>
      <c r="CL455" s="11"/>
      <c r="CM455" s="11"/>
      <c r="CN455" s="274"/>
      <c r="CO455" s="274"/>
      <c r="CP455" s="274"/>
      <c r="CQ455" s="11"/>
      <c r="CR455" s="11"/>
      <c r="CS455" s="11"/>
      <c r="CT455" s="11"/>
      <c r="CU455" s="11"/>
      <c r="CV455" s="11"/>
      <c r="CW455" s="11"/>
      <c r="CX455" s="11"/>
      <c r="CY455" s="11"/>
      <c r="CZ455" s="11"/>
      <c r="DA455" s="11"/>
      <c r="DB455" s="11"/>
      <c r="DC455" s="11"/>
      <c r="DD455" s="11"/>
      <c r="DE455" s="11"/>
      <c r="DF455" s="11"/>
      <c r="DG455" s="11"/>
      <c r="DH455" s="11"/>
      <c r="DI455" s="11"/>
      <c r="DJ455" s="11"/>
      <c r="DK455" s="11"/>
      <c r="DL455" s="11"/>
      <c r="DM455" s="118"/>
      <c r="DN455" s="118"/>
      <c r="DO455" s="118"/>
      <c r="DP455" s="52"/>
      <c r="DQ455" s="52"/>
      <c r="DR455" s="77"/>
      <c r="DS455" s="77"/>
      <c r="DT455" s="77"/>
      <c r="DU455" s="11"/>
      <c r="DV455" s="11"/>
      <c r="DW455" s="11"/>
      <c r="DX455" s="11"/>
      <c r="DY455" s="11"/>
      <c r="DZ455" s="11"/>
      <c r="EA455" s="11"/>
      <c r="EB455" s="11"/>
      <c r="EC455" s="11"/>
      <c r="ED455" s="11"/>
      <c r="EE455" s="11"/>
      <c r="EF455" s="11"/>
    </row>
    <row r="456" spans="1:136" ht="40.5" x14ac:dyDescent="0.25">
      <c r="A456" s="425">
        <v>454</v>
      </c>
      <c r="B456" s="427" t="s">
        <v>2199</v>
      </c>
      <c r="C456" s="427" t="s">
        <v>2196</v>
      </c>
      <c r="D456" s="427" t="s">
        <v>2197</v>
      </c>
      <c r="E456" s="79">
        <v>1</v>
      </c>
      <c r="F456" s="405">
        <v>1385734.4000000001</v>
      </c>
      <c r="G456" s="274"/>
      <c r="H456" s="274"/>
      <c r="I456" s="274"/>
      <c r="J456" s="274"/>
      <c r="K456" s="11"/>
      <c r="L456" s="274"/>
      <c r="M456" s="274"/>
      <c r="N456" s="274"/>
      <c r="O456" s="48"/>
      <c r="P456" s="11"/>
      <c r="Q456" s="274"/>
      <c r="R456" s="274"/>
      <c r="S456" s="274"/>
      <c r="T456" s="11"/>
      <c r="U456" s="11"/>
      <c r="V456" s="11"/>
      <c r="W456" s="11"/>
      <c r="X456" s="11"/>
      <c r="Y456" s="11"/>
      <c r="Z456" s="48"/>
      <c r="AA456" s="52"/>
      <c r="AB456" s="52"/>
      <c r="AC456" s="118"/>
      <c r="AD456" s="5"/>
      <c r="AE456" s="52"/>
      <c r="AF456" s="113"/>
      <c r="AG456" s="113"/>
      <c r="AH456" s="113"/>
      <c r="AI456" s="52"/>
      <c r="AJ456" s="11"/>
      <c r="AK456" s="269"/>
      <c r="AL456" s="269"/>
      <c r="AM456" s="116"/>
      <c r="AN456" s="301"/>
      <c r="AO456" s="302"/>
      <c r="AP456" s="11"/>
      <c r="AQ456" s="11"/>
      <c r="AR456" s="11"/>
      <c r="AS456" s="11"/>
      <c r="AT456" s="11"/>
      <c r="AU456" s="118"/>
      <c r="AV456" s="118"/>
      <c r="AW456" s="118"/>
      <c r="AX456" s="52"/>
      <c r="AY456" s="52"/>
      <c r="AZ456" s="11"/>
      <c r="BA456" s="11"/>
      <c r="BB456" s="11"/>
      <c r="BC456" s="11"/>
      <c r="BD456" s="11"/>
      <c r="BE456" s="274"/>
      <c r="BF456" s="274"/>
      <c r="BG456" s="274"/>
      <c r="BH456" s="11"/>
      <c r="BI456" s="11"/>
      <c r="BJ456" s="311"/>
      <c r="BK456" s="311"/>
      <c r="BL456" s="311"/>
      <c r="BM456" s="52"/>
      <c r="BN456" s="52"/>
      <c r="BO456" s="387"/>
      <c r="BP456" s="320"/>
      <c r="BQ456" s="320"/>
      <c r="BR456" s="4"/>
      <c r="BS456" s="4"/>
      <c r="BT456" s="11"/>
      <c r="BU456" s="11"/>
      <c r="BV456" s="11"/>
      <c r="BW456" s="11"/>
      <c r="BX456" s="11"/>
      <c r="BY456" s="348"/>
      <c r="BZ456" s="348"/>
      <c r="CA456" s="348"/>
      <c r="CB456" s="348"/>
      <c r="CC456" s="348"/>
      <c r="CD456" s="11"/>
      <c r="CE456" s="11"/>
      <c r="CF456" s="11"/>
      <c r="CG456" s="11"/>
      <c r="CH456" s="11"/>
      <c r="CI456" s="11"/>
      <c r="CJ456" s="11"/>
      <c r="CK456" s="11"/>
      <c r="CL456" s="11"/>
      <c r="CM456" s="11"/>
      <c r="CN456" s="274"/>
      <c r="CO456" s="274"/>
      <c r="CP456" s="274"/>
      <c r="CQ456" s="11"/>
      <c r="CR456" s="11"/>
      <c r="CS456" s="11"/>
      <c r="CT456" s="11"/>
      <c r="CU456" s="11"/>
      <c r="CV456" s="11"/>
      <c r="CW456" s="11"/>
      <c r="CX456" s="11"/>
      <c r="CY456" s="11"/>
      <c r="CZ456" s="11"/>
      <c r="DA456" s="11"/>
      <c r="DB456" s="11"/>
      <c r="DC456" s="11"/>
      <c r="DD456" s="11"/>
      <c r="DE456" s="11"/>
      <c r="DF456" s="11"/>
      <c r="DG456" s="11"/>
      <c r="DH456" s="11"/>
      <c r="DI456" s="11"/>
      <c r="DJ456" s="11"/>
      <c r="DK456" s="11"/>
      <c r="DL456" s="11"/>
      <c r="DM456" s="118"/>
      <c r="DN456" s="118"/>
      <c r="DO456" s="118"/>
      <c r="DP456" s="52"/>
      <c r="DQ456" s="52"/>
      <c r="DR456" s="77"/>
      <c r="DS456" s="77"/>
      <c r="DT456" s="77"/>
      <c r="DU456" s="11"/>
      <c r="DV456" s="11"/>
      <c r="DW456" s="11"/>
      <c r="DX456" s="11"/>
      <c r="DY456" s="11"/>
      <c r="DZ456" s="11"/>
      <c r="EA456" s="11"/>
      <c r="EB456" s="11"/>
      <c r="EC456" s="11"/>
      <c r="ED456" s="11"/>
      <c r="EE456" s="11"/>
      <c r="EF456" s="11"/>
    </row>
    <row r="457" spans="1:136" ht="40.5" x14ac:dyDescent="0.25">
      <c r="A457" s="425">
        <v>455</v>
      </c>
      <c r="B457" s="427" t="s">
        <v>2200</v>
      </c>
      <c r="C457" s="427" t="s">
        <v>2196</v>
      </c>
      <c r="D457" s="427" t="s">
        <v>2197</v>
      </c>
      <c r="E457" s="79">
        <v>1</v>
      </c>
      <c r="F457" s="405">
        <v>2020510.6</v>
      </c>
      <c r="G457" s="274"/>
      <c r="H457" s="274"/>
      <c r="I457" s="274"/>
      <c r="J457" s="274"/>
      <c r="K457" s="11"/>
      <c r="L457" s="274"/>
      <c r="M457" s="274"/>
      <c r="N457" s="274"/>
      <c r="O457" s="48"/>
      <c r="P457" s="11"/>
      <c r="Q457" s="274"/>
      <c r="R457" s="274"/>
      <c r="S457" s="274"/>
      <c r="T457" s="11"/>
      <c r="U457" s="11"/>
      <c r="V457" s="11"/>
      <c r="W457" s="11"/>
      <c r="X457" s="11"/>
      <c r="Y457" s="11"/>
      <c r="Z457" s="48"/>
      <c r="AA457" s="52"/>
      <c r="AB457" s="52"/>
      <c r="AC457" s="118"/>
      <c r="AD457" s="5"/>
      <c r="AE457" s="52"/>
      <c r="AF457" s="113"/>
      <c r="AG457" s="113"/>
      <c r="AH457" s="113"/>
      <c r="AI457" s="52"/>
      <c r="AJ457" s="11"/>
      <c r="AK457" s="269"/>
      <c r="AL457" s="269"/>
      <c r="AM457" s="116"/>
      <c r="AN457" s="301"/>
      <c r="AO457" s="302"/>
      <c r="AP457" s="11"/>
      <c r="AQ457" s="11"/>
      <c r="AR457" s="11"/>
      <c r="AS457" s="11"/>
      <c r="AT457" s="11"/>
      <c r="AU457" s="118"/>
      <c r="AV457" s="118"/>
      <c r="AW457" s="118"/>
      <c r="AX457" s="52"/>
      <c r="AY457" s="52"/>
      <c r="AZ457" s="11"/>
      <c r="BA457" s="11"/>
      <c r="BB457" s="11"/>
      <c r="BC457" s="11"/>
      <c r="BD457" s="11"/>
      <c r="BE457" s="274"/>
      <c r="BF457" s="274"/>
      <c r="BG457" s="274"/>
      <c r="BH457" s="11"/>
      <c r="BI457" s="11"/>
      <c r="BJ457" s="311"/>
      <c r="BK457" s="311"/>
      <c r="BL457" s="311"/>
      <c r="BM457" s="52"/>
      <c r="BN457" s="52"/>
      <c r="BO457" s="387"/>
      <c r="BP457" s="320"/>
      <c r="BQ457" s="320"/>
      <c r="BR457" s="4"/>
      <c r="BS457" s="4"/>
      <c r="BT457" s="11"/>
      <c r="BU457" s="11"/>
      <c r="BV457" s="11"/>
      <c r="BW457" s="11"/>
      <c r="BX457" s="11"/>
      <c r="BY457" s="348"/>
      <c r="BZ457" s="348"/>
      <c r="CA457" s="348"/>
      <c r="CB457" s="348"/>
      <c r="CC457" s="348"/>
      <c r="CD457" s="11"/>
      <c r="CE457" s="11"/>
      <c r="CF457" s="11"/>
      <c r="CG457" s="11"/>
      <c r="CH457" s="11"/>
      <c r="CI457" s="11"/>
      <c r="CJ457" s="11"/>
      <c r="CK457" s="11"/>
      <c r="CL457" s="11"/>
      <c r="CM457" s="11"/>
      <c r="CN457" s="274"/>
      <c r="CO457" s="274"/>
      <c r="CP457" s="274"/>
      <c r="CQ457" s="11"/>
      <c r="CR457" s="11"/>
      <c r="CS457" s="11"/>
      <c r="CT457" s="11"/>
      <c r="CU457" s="11"/>
      <c r="CV457" s="11"/>
      <c r="CW457" s="11"/>
      <c r="CX457" s="11"/>
      <c r="CY457" s="11"/>
      <c r="CZ457" s="11"/>
      <c r="DA457" s="11"/>
      <c r="DB457" s="11"/>
      <c r="DC457" s="11"/>
      <c r="DD457" s="11"/>
      <c r="DE457" s="11"/>
      <c r="DF457" s="11"/>
      <c r="DG457" s="11"/>
      <c r="DH457" s="11"/>
      <c r="DI457" s="11"/>
      <c r="DJ457" s="11"/>
      <c r="DK457" s="11"/>
      <c r="DL457" s="11"/>
      <c r="DM457" s="118"/>
      <c r="DN457" s="118"/>
      <c r="DO457" s="118"/>
      <c r="DP457" s="52"/>
      <c r="DQ457" s="52"/>
      <c r="DR457" s="77"/>
      <c r="DS457" s="77"/>
      <c r="DT457" s="77"/>
      <c r="DU457" s="11"/>
      <c r="DV457" s="11"/>
      <c r="DW457" s="11"/>
      <c r="DX457" s="11"/>
      <c r="DY457" s="11"/>
      <c r="DZ457" s="11"/>
      <c r="EA457" s="11"/>
      <c r="EB457" s="11"/>
      <c r="EC457" s="11"/>
      <c r="ED457" s="11"/>
      <c r="EE457" s="11"/>
      <c r="EF457" s="11"/>
    </row>
    <row r="458" spans="1:136" ht="27" x14ac:dyDescent="0.25">
      <c r="A458" s="425">
        <v>456</v>
      </c>
      <c r="B458" s="428" t="s">
        <v>2201</v>
      </c>
      <c r="C458" s="428" t="s">
        <v>2202</v>
      </c>
      <c r="D458" s="413" t="s">
        <v>2203</v>
      </c>
      <c r="E458" s="79">
        <v>1</v>
      </c>
      <c r="F458" s="405"/>
      <c r="G458" s="274"/>
      <c r="H458" s="274"/>
      <c r="I458" s="274"/>
      <c r="J458" s="274"/>
      <c r="K458" s="11"/>
      <c r="L458" s="274"/>
      <c r="M458" s="274"/>
      <c r="N458" s="274"/>
      <c r="O458" s="48"/>
      <c r="P458" s="11"/>
      <c r="Q458" s="274"/>
      <c r="R458" s="274"/>
      <c r="S458" s="274"/>
      <c r="T458" s="11"/>
      <c r="U458" s="11"/>
      <c r="V458" s="11"/>
      <c r="W458" s="11"/>
      <c r="X458" s="11"/>
      <c r="Y458" s="11"/>
      <c r="Z458" s="48"/>
      <c r="AA458" s="52"/>
      <c r="AB458" s="52"/>
      <c r="AC458" s="118"/>
      <c r="AD458" s="5"/>
      <c r="AE458" s="52"/>
      <c r="AF458" s="113">
        <v>278000</v>
      </c>
      <c r="AG458" s="113">
        <f>AF458*0.19</f>
        <v>52820</v>
      </c>
      <c r="AH458" s="113">
        <f>AF458+AG458</f>
        <v>330820</v>
      </c>
      <c r="AI458" s="277" t="s">
        <v>628</v>
      </c>
      <c r="AJ458" s="33" t="s">
        <v>1823</v>
      </c>
      <c r="AK458" s="269"/>
      <c r="AL458" s="269"/>
      <c r="AM458" s="116"/>
      <c r="AN458" s="301"/>
      <c r="AO458" s="302"/>
      <c r="AP458" s="11"/>
      <c r="AQ458" s="11"/>
      <c r="AR458" s="11"/>
      <c r="AS458" s="11"/>
      <c r="AT458" s="11"/>
      <c r="AU458" s="118">
        <v>268920</v>
      </c>
      <c r="AV458" s="118">
        <v>51095</v>
      </c>
      <c r="AW458" s="118">
        <v>320015</v>
      </c>
      <c r="AX458" s="52" t="s">
        <v>607</v>
      </c>
      <c r="AY458" s="52">
        <v>1065800500</v>
      </c>
      <c r="AZ458" s="11"/>
      <c r="BA458" s="11"/>
      <c r="BB458" s="11"/>
      <c r="BC458" s="11"/>
      <c r="BD458" s="11"/>
      <c r="BE458" s="274"/>
      <c r="BF458" s="274"/>
      <c r="BG458" s="274"/>
      <c r="BH458" s="11"/>
      <c r="BI458" s="11"/>
      <c r="BJ458" s="311"/>
      <c r="BK458" s="311"/>
      <c r="BL458" s="311"/>
      <c r="BM458" s="52"/>
      <c r="BN458" s="52"/>
      <c r="BO458" s="387"/>
      <c r="BP458" s="320"/>
      <c r="BQ458" s="320"/>
      <c r="BR458" s="4"/>
      <c r="BS458" s="4"/>
      <c r="BT458" s="11"/>
      <c r="BU458" s="11"/>
      <c r="BV458" s="11"/>
      <c r="BW458" s="11"/>
      <c r="BX458" s="11"/>
      <c r="BY458" s="348"/>
      <c r="BZ458" s="348"/>
      <c r="CA458" s="348"/>
      <c r="CB458" s="348"/>
      <c r="CC458" s="348"/>
      <c r="CD458" s="11"/>
      <c r="CE458" s="11"/>
      <c r="CF458" s="11"/>
      <c r="CG458" s="11"/>
      <c r="CH458" s="11"/>
      <c r="CI458" s="11"/>
      <c r="CJ458" s="11"/>
      <c r="CK458" s="11"/>
      <c r="CL458" s="11"/>
      <c r="CM458" s="11"/>
      <c r="CN458" s="274"/>
      <c r="CO458" s="274"/>
      <c r="CP458" s="274"/>
      <c r="CQ458" s="11"/>
      <c r="CR458" s="11"/>
      <c r="CS458" s="11"/>
      <c r="CT458" s="11"/>
      <c r="CU458" s="11"/>
      <c r="CV458" s="11"/>
      <c r="CW458" s="11"/>
      <c r="CX458" s="11"/>
      <c r="CY458" s="11"/>
      <c r="CZ458" s="11"/>
      <c r="DA458" s="11"/>
      <c r="DB458" s="11"/>
      <c r="DC458" s="11"/>
      <c r="DD458" s="11"/>
      <c r="DE458" s="11"/>
      <c r="DF458" s="11"/>
      <c r="DG458" s="11"/>
      <c r="DH458" s="11"/>
      <c r="DI458" s="11"/>
      <c r="DJ458" s="11"/>
      <c r="DK458" s="11"/>
      <c r="DL458" s="11"/>
      <c r="DM458" s="118"/>
      <c r="DN458" s="118"/>
      <c r="DO458" s="118"/>
      <c r="DP458" s="52"/>
      <c r="DQ458" s="52"/>
      <c r="DR458" s="77"/>
      <c r="DS458" s="77"/>
      <c r="DT458" s="77"/>
      <c r="DU458" s="11"/>
      <c r="DV458" s="11"/>
      <c r="DW458" s="11"/>
      <c r="DX458" s="11"/>
      <c r="DY458" s="11"/>
      <c r="DZ458" s="11"/>
      <c r="EA458" s="11"/>
      <c r="EB458" s="11"/>
      <c r="EC458" s="11"/>
      <c r="ED458" s="11"/>
      <c r="EE458" s="11"/>
      <c r="EF458" s="11"/>
    </row>
    <row r="459" spans="1:136" ht="67.5" x14ac:dyDescent="0.25">
      <c r="A459" s="425">
        <v>457</v>
      </c>
      <c r="B459" s="413" t="s">
        <v>2204</v>
      </c>
      <c r="C459" s="413" t="s">
        <v>753</v>
      </c>
      <c r="D459" s="428" t="s">
        <v>2205</v>
      </c>
      <c r="E459" s="79">
        <v>1</v>
      </c>
      <c r="F459" s="405"/>
      <c r="G459" s="274"/>
      <c r="H459" s="274"/>
      <c r="I459" s="274"/>
      <c r="J459" s="274"/>
      <c r="K459" s="11"/>
      <c r="L459" s="274"/>
      <c r="M459" s="274"/>
      <c r="N459" s="274"/>
      <c r="O459" s="48"/>
      <c r="P459" s="11"/>
      <c r="Q459" s="274"/>
      <c r="R459" s="274"/>
      <c r="S459" s="274"/>
      <c r="T459" s="11"/>
      <c r="U459" s="11"/>
      <c r="V459" s="11"/>
      <c r="W459" s="11"/>
      <c r="X459" s="11"/>
      <c r="Y459" s="11"/>
      <c r="Z459" s="48"/>
      <c r="AA459" s="52"/>
      <c r="AB459" s="52"/>
      <c r="AC459" s="118"/>
      <c r="AD459" s="5"/>
      <c r="AE459" s="52"/>
      <c r="AF459" s="113"/>
      <c r="AG459" s="113"/>
      <c r="AH459" s="113"/>
      <c r="AI459" s="52"/>
      <c r="AJ459" s="11"/>
      <c r="AK459" s="269"/>
      <c r="AL459" s="269"/>
      <c r="AM459" s="116"/>
      <c r="AN459" s="301"/>
      <c r="AO459" s="302"/>
      <c r="AP459" s="11"/>
      <c r="AQ459" s="11"/>
      <c r="AR459" s="11"/>
      <c r="AS459" s="11"/>
      <c r="AT459" s="11"/>
      <c r="AU459" s="118">
        <v>8241732</v>
      </c>
      <c r="AV459" s="118">
        <v>1565929</v>
      </c>
      <c r="AW459" s="118">
        <v>9807661</v>
      </c>
      <c r="AX459" s="52" t="s">
        <v>607</v>
      </c>
      <c r="AY459" s="52" t="s">
        <v>2206</v>
      </c>
      <c r="AZ459" s="11"/>
      <c r="BA459" s="11"/>
      <c r="BB459" s="11"/>
      <c r="BC459" s="11"/>
      <c r="BD459" s="11"/>
      <c r="BE459" s="274"/>
      <c r="BF459" s="274"/>
      <c r="BG459" s="274"/>
      <c r="BH459" s="11"/>
      <c r="BI459" s="11"/>
      <c r="BJ459" s="311"/>
      <c r="BK459" s="311"/>
      <c r="BL459" s="311"/>
      <c r="BM459" s="52"/>
      <c r="BN459" s="52"/>
      <c r="BO459" s="387"/>
      <c r="BP459" s="320"/>
      <c r="BQ459" s="320"/>
      <c r="BR459" s="4"/>
      <c r="BS459" s="4"/>
      <c r="BT459" s="11"/>
      <c r="BU459" s="11"/>
      <c r="BV459" s="11"/>
      <c r="BW459" s="11"/>
      <c r="BX459" s="11"/>
      <c r="BY459" s="348"/>
      <c r="BZ459" s="348"/>
      <c r="CA459" s="348"/>
      <c r="CB459" s="348"/>
      <c r="CC459" s="348"/>
      <c r="CD459" s="11"/>
      <c r="CE459" s="11"/>
      <c r="CF459" s="11"/>
      <c r="CG459" s="11"/>
      <c r="CH459" s="11"/>
      <c r="CI459" s="11"/>
      <c r="CJ459" s="11"/>
      <c r="CK459" s="11"/>
      <c r="CL459" s="11"/>
      <c r="CM459" s="11"/>
      <c r="CN459" s="274"/>
      <c r="CO459" s="274"/>
      <c r="CP459" s="274"/>
      <c r="CQ459" s="11"/>
      <c r="CR459" s="11"/>
      <c r="CS459" s="11"/>
      <c r="CT459" s="11"/>
      <c r="CU459" s="11"/>
      <c r="CV459" s="11"/>
      <c r="CW459" s="11"/>
      <c r="CX459" s="11"/>
      <c r="CY459" s="11"/>
      <c r="CZ459" s="11"/>
      <c r="DA459" s="11"/>
      <c r="DB459" s="11"/>
      <c r="DC459" s="11"/>
      <c r="DD459" s="11"/>
      <c r="DE459" s="11"/>
      <c r="DF459" s="11"/>
      <c r="DG459" s="11"/>
      <c r="DH459" s="11"/>
      <c r="DI459" s="11"/>
      <c r="DJ459" s="11"/>
      <c r="DK459" s="11"/>
      <c r="DL459" s="11"/>
      <c r="DM459" s="118"/>
      <c r="DN459" s="118"/>
      <c r="DO459" s="118"/>
      <c r="DP459" s="52"/>
      <c r="DQ459" s="52"/>
      <c r="DR459" s="77"/>
      <c r="DS459" s="77"/>
      <c r="DT459" s="77"/>
      <c r="DU459" s="11"/>
      <c r="DV459" s="11"/>
      <c r="DW459" s="11"/>
      <c r="DX459" s="11"/>
      <c r="DY459" s="11"/>
      <c r="DZ459" s="11"/>
      <c r="EA459" s="11"/>
      <c r="EB459" s="11"/>
      <c r="EC459" s="11"/>
      <c r="ED459" s="11"/>
      <c r="EE459" s="11"/>
      <c r="EF459" s="11"/>
    </row>
    <row r="460" spans="1:136" ht="13.5" x14ac:dyDescent="0.25">
      <c r="A460" s="425">
        <v>458</v>
      </c>
      <c r="B460" s="427" t="s">
        <v>2207</v>
      </c>
      <c r="C460" s="413" t="s">
        <v>113</v>
      </c>
      <c r="D460" s="413" t="s">
        <v>1029</v>
      </c>
      <c r="E460" s="79">
        <v>1</v>
      </c>
      <c r="F460" s="405"/>
      <c r="G460" s="274"/>
      <c r="H460" s="274"/>
      <c r="I460" s="274"/>
      <c r="J460" s="274"/>
      <c r="K460" s="11"/>
      <c r="L460" s="274"/>
      <c r="M460" s="274"/>
      <c r="N460" s="274"/>
      <c r="O460" s="48"/>
      <c r="P460" s="11"/>
      <c r="Q460" s="274"/>
      <c r="R460" s="274"/>
      <c r="S460" s="274"/>
      <c r="T460" s="11"/>
      <c r="U460" s="11"/>
      <c r="V460" s="11"/>
      <c r="W460" s="11"/>
      <c r="X460" s="11"/>
      <c r="Y460" s="11"/>
      <c r="Z460" s="48"/>
      <c r="AA460" s="52"/>
      <c r="AB460" s="52"/>
      <c r="AC460" s="118"/>
      <c r="AD460" s="5"/>
      <c r="AE460" s="52"/>
      <c r="AF460" s="113"/>
      <c r="AG460" s="113"/>
      <c r="AH460" s="113"/>
      <c r="AI460" s="52"/>
      <c r="AJ460" s="11"/>
      <c r="AK460" s="269"/>
      <c r="AL460" s="269"/>
      <c r="AM460" s="116"/>
      <c r="AN460" s="301"/>
      <c r="AO460" s="302"/>
      <c r="AP460" s="11"/>
      <c r="AQ460" s="11"/>
      <c r="AR460" s="11"/>
      <c r="AS460" s="11"/>
      <c r="AT460" s="11"/>
      <c r="AU460" s="118">
        <v>476133</v>
      </c>
      <c r="AV460" s="118">
        <v>90465</v>
      </c>
      <c r="AW460" s="118">
        <v>566598</v>
      </c>
      <c r="AX460" s="52" t="s">
        <v>607</v>
      </c>
      <c r="AY460" s="52" t="s">
        <v>2208</v>
      </c>
      <c r="AZ460" s="11"/>
      <c r="BA460" s="11"/>
      <c r="BB460" s="11"/>
      <c r="BC460" s="11"/>
      <c r="BD460" s="11"/>
      <c r="BE460" s="274"/>
      <c r="BF460" s="274"/>
      <c r="BG460" s="274"/>
      <c r="BH460" s="11"/>
      <c r="BI460" s="11"/>
      <c r="BJ460" s="311"/>
      <c r="BK460" s="311"/>
      <c r="BL460" s="311"/>
      <c r="BM460" s="52"/>
      <c r="BN460" s="52"/>
      <c r="BO460" s="387"/>
      <c r="BP460" s="320"/>
      <c r="BQ460" s="320"/>
      <c r="BR460" s="4"/>
      <c r="BS460" s="4"/>
      <c r="BT460" s="11"/>
      <c r="BU460" s="11"/>
      <c r="BV460" s="11"/>
      <c r="BW460" s="11"/>
      <c r="BX460" s="11"/>
      <c r="BY460" s="348"/>
      <c r="BZ460" s="348"/>
      <c r="CA460" s="348"/>
      <c r="CB460" s="348"/>
      <c r="CC460" s="348"/>
      <c r="CD460" s="11"/>
      <c r="CE460" s="11"/>
      <c r="CF460" s="11"/>
      <c r="CG460" s="11"/>
      <c r="CH460" s="11"/>
      <c r="CI460" s="11"/>
      <c r="CJ460" s="11"/>
      <c r="CK460" s="11"/>
      <c r="CL460" s="11"/>
      <c r="CM460" s="11"/>
      <c r="CN460" s="274"/>
      <c r="CO460" s="274"/>
      <c r="CP460" s="274"/>
      <c r="CQ460" s="11"/>
      <c r="CR460" s="11"/>
      <c r="CS460" s="11"/>
      <c r="CT460" s="11"/>
      <c r="CU460" s="11"/>
      <c r="CV460" s="11"/>
      <c r="CW460" s="11"/>
      <c r="CX460" s="11"/>
      <c r="CY460" s="11"/>
      <c r="CZ460" s="11"/>
      <c r="DA460" s="11"/>
      <c r="DB460" s="11"/>
      <c r="DC460" s="11"/>
      <c r="DD460" s="11"/>
      <c r="DE460" s="11"/>
      <c r="DF460" s="11"/>
      <c r="DG460" s="11"/>
      <c r="DH460" s="11"/>
      <c r="DI460" s="11"/>
      <c r="DJ460" s="11"/>
      <c r="DK460" s="11"/>
      <c r="DL460" s="11"/>
      <c r="DM460" s="118"/>
      <c r="DN460" s="118"/>
      <c r="DO460" s="118"/>
      <c r="DP460" s="52"/>
      <c r="DQ460" s="52"/>
      <c r="DR460" s="77"/>
      <c r="DS460" s="77"/>
      <c r="DT460" s="77"/>
      <c r="DU460" s="11"/>
      <c r="DV460" s="11"/>
      <c r="DW460" s="11"/>
      <c r="DX460" s="11"/>
      <c r="DY460" s="11"/>
      <c r="DZ460" s="11"/>
      <c r="EA460" s="11"/>
      <c r="EB460" s="11"/>
      <c r="EC460" s="11"/>
      <c r="ED460" s="11"/>
      <c r="EE460" s="11"/>
      <c r="EF460" s="11"/>
    </row>
    <row r="461" spans="1:136" ht="13.5" x14ac:dyDescent="0.25">
      <c r="A461" s="425">
        <v>459</v>
      </c>
      <c r="B461" s="427" t="s">
        <v>2209</v>
      </c>
      <c r="C461" s="428" t="s">
        <v>622</v>
      </c>
      <c r="D461" s="428" t="s">
        <v>2210</v>
      </c>
      <c r="E461" s="79">
        <v>1</v>
      </c>
      <c r="F461" s="404">
        <v>156606.9988</v>
      </c>
      <c r="G461" s="274">
        <v>222500</v>
      </c>
      <c r="H461" s="274">
        <v>42275</v>
      </c>
      <c r="I461" s="274">
        <v>264775</v>
      </c>
      <c r="J461" s="274" t="s">
        <v>45</v>
      </c>
      <c r="K461" s="11" t="s">
        <v>2211</v>
      </c>
      <c r="L461" s="274"/>
      <c r="M461" s="274"/>
      <c r="N461" s="274"/>
      <c r="O461" s="48"/>
      <c r="P461" s="11"/>
      <c r="Q461" s="274"/>
      <c r="R461" s="274"/>
      <c r="S461" s="274"/>
      <c r="T461" s="11"/>
      <c r="U461" s="11"/>
      <c r="V461" s="11"/>
      <c r="W461" s="11"/>
      <c r="X461" s="11"/>
      <c r="Y461" s="11"/>
      <c r="Z461" s="48"/>
      <c r="AA461" s="52"/>
      <c r="AB461" s="52"/>
      <c r="AC461" s="118"/>
      <c r="AD461" s="5"/>
      <c r="AE461" s="52"/>
      <c r="AF461" s="113">
        <v>103000</v>
      </c>
      <c r="AG461" s="113">
        <f>AF461*0.19</f>
        <v>19570</v>
      </c>
      <c r="AH461" s="113">
        <f>AF461+AG461</f>
        <v>122570</v>
      </c>
      <c r="AI461" s="277" t="s">
        <v>628</v>
      </c>
      <c r="AJ461" s="33" t="s">
        <v>2212</v>
      </c>
      <c r="AK461" s="269">
        <v>136230</v>
      </c>
      <c r="AL461" s="269">
        <v>25883.7</v>
      </c>
      <c r="AM461" s="116">
        <v>162113.70000000001</v>
      </c>
      <c r="AN461" s="301" t="s">
        <v>88</v>
      </c>
      <c r="AO461" s="302">
        <v>1031700025</v>
      </c>
      <c r="AP461" s="11"/>
      <c r="AQ461" s="11"/>
      <c r="AR461" s="11"/>
      <c r="AS461" s="11"/>
      <c r="AT461" s="11"/>
      <c r="AU461" s="118">
        <v>173240</v>
      </c>
      <c r="AV461" s="118">
        <v>32916</v>
      </c>
      <c r="AW461" s="118">
        <v>206155</v>
      </c>
      <c r="AX461" s="52" t="s">
        <v>607</v>
      </c>
      <c r="AY461" s="52">
        <v>1031700025</v>
      </c>
      <c r="AZ461" s="11"/>
      <c r="BA461" s="11"/>
      <c r="BB461" s="11"/>
      <c r="BC461" s="11"/>
      <c r="BD461" s="11"/>
      <c r="BE461" s="274"/>
      <c r="BF461" s="274"/>
      <c r="BG461" s="274"/>
      <c r="BH461" s="11"/>
      <c r="BI461" s="11"/>
      <c r="BJ461" s="311"/>
      <c r="BK461" s="311"/>
      <c r="BL461" s="311"/>
      <c r="BM461" s="52"/>
      <c r="BN461" s="52"/>
      <c r="BO461" s="387"/>
      <c r="BP461" s="320"/>
      <c r="BQ461" s="320"/>
      <c r="BR461" s="4"/>
      <c r="BS461" s="4"/>
      <c r="BT461" s="11"/>
      <c r="BU461" s="11"/>
      <c r="BV461" s="11"/>
      <c r="BW461" s="11"/>
      <c r="BX461" s="11"/>
      <c r="BY461" s="348"/>
      <c r="BZ461" s="348"/>
      <c r="CA461" s="348"/>
      <c r="CB461" s="348"/>
      <c r="CC461" s="348"/>
      <c r="CD461" s="11"/>
      <c r="CE461" s="11"/>
      <c r="CF461" s="11"/>
      <c r="CG461" s="11"/>
      <c r="CH461" s="11"/>
      <c r="CI461" s="11"/>
      <c r="CJ461" s="11"/>
      <c r="CK461" s="11"/>
      <c r="CL461" s="11"/>
      <c r="CM461" s="11"/>
      <c r="CN461" s="274"/>
      <c r="CO461" s="274"/>
      <c r="CP461" s="274"/>
      <c r="CQ461" s="11"/>
      <c r="CR461" s="11"/>
      <c r="CS461" s="11"/>
      <c r="CT461" s="11"/>
      <c r="CU461" s="11"/>
      <c r="CV461" s="11"/>
      <c r="CW461" s="11"/>
      <c r="CX461" s="11"/>
      <c r="CY461" s="11"/>
      <c r="CZ461" s="11"/>
      <c r="DA461" s="11"/>
      <c r="DB461" s="11"/>
      <c r="DC461" s="11"/>
      <c r="DD461" s="11"/>
      <c r="DE461" s="11"/>
      <c r="DF461" s="11"/>
      <c r="DG461" s="11"/>
      <c r="DH461" s="11"/>
      <c r="DI461" s="11"/>
      <c r="DJ461" s="11"/>
      <c r="DK461" s="11"/>
      <c r="DL461" s="11"/>
      <c r="DM461" s="118"/>
      <c r="DN461" s="118"/>
      <c r="DO461" s="118"/>
      <c r="DP461" s="52"/>
      <c r="DQ461" s="52"/>
      <c r="DR461" s="77"/>
      <c r="DS461" s="77"/>
      <c r="DT461" s="77"/>
      <c r="DU461" s="11"/>
      <c r="DV461" s="11"/>
      <c r="DW461" s="11"/>
      <c r="DX461" s="11"/>
      <c r="DY461" s="11"/>
      <c r="DZ461" s="11"/>
      <c r="EA461" s="11"/>
      <c r="EB461" s="11"/>
      <c r="EC461" s="11"/>
      <c r="ED461" s="11"/>
      <c r="EE461" s="11"/>
      <c r="EF461" s="11"/>
    </row>
    <row r="462" spans="1:136" ht="13.5" x14ac:dyDescent="0.25">
      <c r="A462" s="425">
        <v>460</v>
      </c>
      <c r="B462" s="427" t="s">
        <v>2213</v>
      </c>
      <c r="C462" s="427" t="s">
        <v>2214</v>
      </c>
      <c r="D462" s="427" t="s">
        <v>1297</v>
      </c>
      <c r="E462" s="79">
        <v>1</v>
      </c>
      <c r="F462" s="405"/>
      <c r="G462" s="274">
        <v>545000</v>
      </c>
      <c r="H462" s="274">
        <v>103550</v>
      </c>
      <c r="I462" s="274">
        <v>648550</v>
      </c>
      <c r="J462" s="274" t="s">
        <v>483</v>
      </c>
      <c r="K462" s="11" t="s">
        <v>2215</v>
      </c>
      <c r="L462" s="274"/>
      <c r="M462" s="274"/>
      <c r="N462" s="274"/>
      <c r="O462" s="48"/>
      <c r="P462" s="11"/>
      <c r="Q462" s="274"/>
      <c r="R462" s="274"/>
      <c r="S462" s="274"/>
      <c r="T462" s="11"/>
      <c r="U462" s="11"/>
      <c r="V462" s="11"/>
      <c r="W462" s="11"/>
      <c r="X462" s="11"/>
      <c r="Y462" s="11"/>
      <c r="Z462" s="48"/>
      <c r="AA462" s="52"/>
      <c r="AB462" s="52"/>
      <c r="AC462" s="118"/>
      <c r="AD462" s="5"/>
      <c r="AE462" s="52"/>
      <c r="AF462" s="113">
        <v>233000</v>
      </c>
      <c r="AG462" s="113">
        <f>AF462*0.19</f>
        <v>44270</v>
      </c>
      <c r="AH462" s="113">
        <f>AF462+AG462</f>
        <v>277270</v>
      </c>
      <c r="AI462" s="277" t="s">
        <v>628</v>
      </c>
      <c r="AJ462" s="33" t="s">
        <v>2216</v>
      </c>
      <c r="AK462" s="269"/>
      <c r="AL462" s="269"/>
      <c r="AM462" s="116"/>
      <c r="AN462" s="301"/>
      <c r="AO462" s="302"/>
      <c r="AP462" s="11"/>
      <c r="AQ462" s="11"/>
      <c r="AR462" s="11"/>
      <c r="AS462" s="11"/>
      <c r="AT462" s="11"/>
      <c r="AU462" s="118">
        <v>312857</v>
      </c>
      <c r="AV462" s="118">
        <v>59443</v>
      </c>
      <c r="AW462" s="118">
        <v>372300</v>
      </c>
      <c r="AX462" s="52" t="s">
        <v>607</v>
      </c>
      <c r="AY462" s="52" t="s">
        <v>2217</v>
      </c>
      <c r="AZ462" s="11"/>
      <c r="BA462" s="11"/>
      <c r="BB462" s="11"/>
      <c r="BC462" s="11"/>
      <c r="BD462" s="11"/>
      <c r="BE462" s="274"/>
      <c r="BF462" s="274"/>
      <c r="BG462" s="274"/>
      <c r="BH462" s="11"/>
      <c r="BI462" s="11"/>
      <c r="BJ462" s="311"/>
      <c r="BK462" s="311"/>
      <c r="BL462" s="311"/>
      <c r="BM462" s="52"/>
      <c r="BN462" s="52"/>
      <c r="BO462" s="387"/>
      <c r="BP462" s="320"/>
      <c r="BQ462" s="320"/>
      <c r="BR462" s="4"/>
      <c r="BS462" s="4"/>
      <c r="BT462" s="11"/>
      <c r="BU462" s="11"/>
      <c r="BV462" s="11"/>
      <c r="BW462" s="11"/>
      <c r="BX462" s="11"/>
      <c r="BY462" s="348"/>
      <c r="BZ462" s="348"/>
      <c r="CA462" s="348"/>
      <c r="CB462" s="348"/>
      <c r="CC462" s="348"/>
      <c r="CD462" s="11"/>
      <c r="CE462" s="11"/>
      <c r="CF462" s="11"/>
      <c r="CG462" s="11"/>
      <c r="CH462" s="11"/>
      <c r="CI462" s="11"/>
      <c r="CJ462" s="11"/>
      <c r="CK462" s="11"/>
      <c r="CL462" s="11"/>
      <c r="CM462" s="11"/>
      <c r="CN462" s="274"/>
      <c r="CO462" s="274"/>
      <c r="CP462" s="274"/>
      <c r="CQ462" s="11"/>
      <c r="CR462" s="11"/>
      <c r="CS462" s="11"/>
      <c r="CT462" s="11"/>
      <c r="CU462" s="11"/>
      <c r="CV462" s="11"/>
      <c r="CW462" s="11"/>
      <c r="CX462" s="11"/>
      <c r="CY462" s="11"/>
      <c r="CZ462" s="11"/>
      <c r="DA462" s="11"/>
      <c r="DB462" s="11"/>
      <c r="DC462" s="11"/>
      <c r="DD462" s="11"/>
      <c r="DE462" s="11"/>
      <c r="DF462" s="11"/>
      <c r="DG462" s="11"/>
      <c r="DH462" s="11"/>
      <c r="DI462" s="11"/>
      <c r="DJ462" s="11"/>
      <c r="DK462" s="11"/>
      <c r="DL462" s="11"/>
      <c r="DM462" s="118"/>
      <c r="DN462" s="118"/>
      <c r="DO462" s="118"/>
      <c r="DP462" s="52"/>
      <c r="DQ462" s="52"/>
      <c r="DR462" s="77"/>
      <c r="DS462" s="77"/>
      <c r="DT462" s="77"/>
      <c r="DU462" s="11"/>
      <c r="DV462" s="11"/>
      <c r="DW462" s="11"/>
      <c r="DX462" s="11"/>
      <c r="DY462" s="11"/>
      <c r="DZ462" s="11"/>
      <c r="EA462" s="11"/>
      <c r="EB462" s="11"/>
      <c r="EC462" s="11"/>
      <c r="ED462" s="11"/>
      <c r="EE462" s="11"/>
      <c r="EF462" s="11"/>
    </row>
    <row r="463" spans="1:136" ht="27" x14ac:dyDescent="0.25">
      <c r="A463" s="425">
        <v>461</v>
      </c>
      <c r="B463" s="427" t="s">
        <v>2218</v>
      </c>
      <c r="C463" s="413" t="s">
        <v>2219</v>
      </c>
      <c r="D463" s="413" t="s">
        <v>69</v>
      </c>
      <c r="E463" s="79">
        <v>1</v>
      </c>
      <c r="F463" s="404">
        <v>390889.05800000002</v>
      </c>
      <c r="G463" s="274">
        <v>468750</v>
      </c>
      <c r="H463" s="274">
        <v>89062.5</v>
      </c>
      <c r="I463" s="274">
        <v>557812.5</v>
      </c>
      <c r="J463" s="274" t="s">
        <v>45</v>
      </c>
      <c r="K463" s="11" t="s">
        <v>2220</v>
      </c>
      <c r="L463" s="274"/>
      <c r="M463" s="274"/>
      <c r="N463" s="274"/>
      <c r="O463" s="48"/>
      <c r="P463" s="11"/>
      <c r="Q463" s="274"/>
      <c r="R463" s="274"/>
      <c r="S463" s="274"/>
      <c r="T463" s="11"/>
      <c r="U463" s="11"/>
      <c r="V463" s="11"/>
      <c r="W463" s="11"/>
      <c r="X463" s="11"/>
      <c r="Y463" s="11"/>
      <c r="Z463" s="48"/>
      <c r="AA463" s="52"/>
      <c r="AB463" s="52"/>
      <c r="AC463" s="118"/>
      <c r="AD463" s="5"/>
      <c r="AE463" s="52"/>
      <c r="AF463" s="113">
        <v>351000</v>
      </c>
      <c r="AG463" s="113">
        <f>AF463*0.19</f>
        <v>66690</v>
      </c>
      <c r="AH463" s="113">
        <f>AF463+AG463</f>
        <v>417690</v>
      </c>
      <c r="AI463" s="277" t="s">
        <v>628</v>
      </c>
      <c r="AJ463" s="33" t="s">
        <v>1915</v>
      </c>
      <c r="AK463" s="269"/>
      <c r="AL463" s="269"/>
      <c r="AM463" s="116"/>
      <c r="AN463" s="301"/>
      <c r="AO463" s="302"/>
      <c r="AP463" s="11"/>
      <c r="AQ463" s="11"/>
      <c r="AR463" s="11"/>
      <c r="AS463" s="11"/>
      <c r="AT463" s="11"/>
      <c r="AU463" s="118">
        <v>285592</v>
      </c>
      <c r="AV463" s="118">
        <v>54262</v>
      </c>
      <c r="AW463" s="118">
        <v>339854</v>
      </c>
      <c r="AX463" s="52" t="s">
        <v>607</v>
      </c>
      <c r="AY463" s="52">
        <v>1070234000</v>
      </c>
      <c r="AZ463" s="11"/>
      <c r="BA463" s="11"/>
      <c r="BB463" s="11"/>
      <c r="BC463" s="11"/>
      <c r="BD463" s="11"/>
      <c r="BE463" s="274">
        <v>229000</v>
      </c>
      <c r="BF463" s="274">
        <v>43510</v>
      </c>
      <c r="BG463" s="274">
        <v>272510</v>
      </c>
      <c r="BH463" s="11" t="s">
        <v>63</v>
      </c>
      <c r="BI463" s="11" t="s">
        <v>2221</v>
      </c>
      <c r="BJ463" s="311"/>
      <c r="BK463" s="311"/>
      <c r="BL463" s="311"/>
      <c r="BM463" s="52"/>
      <c r="BN463" s="52"/>
      <c r="BO463" s="387"/>
      <c r="BP463" s="320"/>
      <c r="BQ463" s="320"/>
      <c r="BR463" s="4"/>
      <c r="BS463" s="4"/>
      <c r="BT463" s="11"/>
      <c r="BU463" s="11"/>
      <c r="BV463" s="11"/>
      <c r="BW463" s="11"/>
      <c r="BX463" s="11"/>
      <c r="BY463" s="348"/>
      <c r="BZ463" s="348"/>
      <c r="CA463" s="348"/>
      <c r="CB463" s="348"/>
      <c r="CC463" s="348"/>
      <c r="CD463" s="11"/>
      <c r="CE463" s="11"/>
      <c r="CF463" s="11"/>
      <c r="CG463" s="11"/>
      <c r="CH463" s="11"/>
      <c r="CI463" s="11"/>
      <c r="CJ463" s="11"/>
      <c r="CK463" s="11"/>
      <c r="CL463" s="11"/>
      <c r="CM463" s="11"/>
      <c r="CN463" s="274"/>
      <c r="CO463" s="274"/>
      <c r="CP463" s="274"/>
      <c r="CQ463" s="11"/>
      <c r="CR463" s="11"/>
      <c r="CS463" s="11"/>
      <c r="CT463" s="11"/>
      <c r="CU463" s="11"/>
      <c r="CV463" s="11"/>
      <c r="CW463" s="11"/>
      <c r="CX463" s="11"/>
      <c r="CY463" s="11"/>
      <c r="CZ463" s="11"/>
      <c r="DA463" s="11"/>
      <c r="DB463" s="11"/>
      <c r="DC463" s="11"/>
      <c r="DD463" s="11"/>
      <c r="DE463" s="11"/>
      <c r="DF463" s="11"/>
      <c r="DG463" s="11"/>
      <c r="DH463" s="11"/>
      <c r="DI463" s="11"/>
      <c r="DJ463" s="11"/>
      <c r="DK463" s="11"/>
      <c r="DL463" s="11"/>
      <c r="DM463" s="118"/>
      <c r="DN463" s="118"/>
      <c r="DO463" s="118"/>
      <c r="DP463" s="52"/>
      <c r="DQ463" s="52"/>
      <c r="DR463" s="77"/>
      <c r="DS463" s="77"/>
      <c r="DT463" s="77"/>
      <c r="DU463" s="11"/>
      <c r="DV463" s="11"/>
      <c r="DW463" s="11"/>
      <c r="DX463" s="11"/>
      <c r="DY463" s="11"/>
      <c r="DZ463" s="11"/>
      <c r="EA463" s="11"/>
      <c r="EB463" s="11"/>
      <c r="EC463" s="11"/>
      <c r="ED463" s="11"/>
      <c r="EE463" s="11"/>
      <c r="EF463" s="11"/>
    </row>
    <row r="464" spans="1:136" ht="13.5" x14ac:dyDescent="0.25">
      <c r="A464" s="425">
        <v>462</v>
      </c>
      <c r="B464" s="427" t="s">
        <v>2222</v>
      </c>
      <c r="C464" s="427" t="s">
        <v>113</v>
      </c>
      <c r="D464" s="427" t="s">
        <v>925</v>
      </c>
      <c r="E464" s="79">
        <v>1</v>
      </c>
      <c r="F464" s="405"/>
      <c r="G464" s="274"/>
      <c r="H464" s="274"/>
      <c r="I464" s="274"/>
      <c r="J464" s="274"/>
      <c r="K464" s="11"/>
      <c r="L464" s="274"/>
      <c r="M464" s="274"/>
      <c r="N464" s="274"/>
      <c r="O464" s="48"/>
      <c r="P464" s="11"/>
      <c r="Q464" s="274"/>
      <c r="R464" s="274"/>
      <c r="S464" s="274"/>
      <c r="T464" s="11"/>
      <c r="U464" s="11"/>
      <c r="V464" s="11"/>
      <c r="W464" s="11"/>
      <c r="X464" s="11"/>
      <c r="Y464" s="11"/>
      <c r="Z464" s="48"/>
      <c r="AA464" s="52"/>
      <c r="AB464" s="52"/>
      <c r="AC464" s="118"/>
      <c r="AD464" s="5"/>
      <c r="AE464" s="52"/>
      <c r="AF464" s="113"/>
      <c r="AG464" s="113"/>
      <c r="AH464" s="113"/>
      <c r="AI464" s="52"/>
      <c r="AJ464" s="11"/>
      <c r="AK464" s="269">
        <v>242000</v>
      </c>
      <c r="AL464" s="269">
        <v>0</v>
      </c>
      <c r="AM464" s="116">
        <v>242000</v>
      </c>
      <c r="AN464" s="301" t="s">
        <v>37</v>
      </c>
      <c r="AO464" s="302" t="s">
        <v>2223</v>
      </c>
      <c r="AP464" s="11"/>
      <c r="AQ464" s="11"/>
      <c r="AR464" s="11"/>
      <c r="AS464" s="11"/>
      <c r="AT464" s="11"/>
      <c r="AU464" s="118">
        <v>865887</v>
      </c>
      <c r="AV464" s="118">
        <v>164519</v>
      </c>
      <c r="AW464" s="118">
        <v>1030406</v>
      </c>
      <c r="AX464" s="52" t="s">
        <v>607</v>
      </c>
      <c r="AY464" s="52" t="s">
        <v>2224</v>
      </c>
      <c r="AZ464" s="11"/>
      <c r="BA464" s="11"/>
      <c r="BB464" s="11"/>
      <c r="BC464" s="11"/>
      <c r="BD464" s="11"/>
      <c r="BE464" s="274"/>
      <c r="BF464" s="274"/>
      <c r="BG464" s="274"/>
      <c r="BH464" s="11"/>
      <c r="BI464" s="11"/>
      <c r="BJ464" s="311"/>
      <c r="BK464" s="311"/>
      <c r="BL464" s="311"/>
      <c r="BM464" s="52"/>
      <c r="BN464" s="52"/>
      <c r="BO464" s="387"/>
      <c r="BP464" s="320"/>
      <c r="BQ464" s="320"/>
      <c r="BR464" s="4"/>
      <c r="BS464" s="4"/>
      <c r="BT464" s="11"/>
      <c r="BU464" s="11"/>
      <c r="BV464" s="11"/>
      <c r="BW464" s="11"/>
      <c r="BX464" s="11"/>
      <c r="BY464" s="348"/>
      <c r="BZ464" s="348"/>
      <c r="CA464" s="348"/>
      <c r="CB464" s="348"/>
      <c r="CC464" s="348"/>
      <c r="CD464" s="11"/>
      <c r="CE464" s="11"/>
      <c r="CF464" s="11"/>
      <c r="CG464" s="11"/>
      <c r="CH464" s="11"/>
      <c r="CI464" s="11"/>
      <c r="CJ464" s="11"/>
      <c r="CK464" s="11"/>
      <c r="CL464" s="11"/>
      <c r="CM464" s="11"/>
      <c r="CN464" s="274"/>
      <c r="CO464" s="274"/>
      <c r="CP464" s="274"/>
      <c r="CQ464" s="11"/>
      <c r="CR464" s="11"/>
      <c r="CS464" s="11"/>
      <c r="CT464" s="11"/>
      <c r="CU464" s="11"/>
      <c r="CV464" s="11"/>
      <c r="CW464" s="11"/>
      <c r="CX464" s="11"/>
      <c r="CY464" s="11"/>
      <c r="CZ464" s="11"/>
      <c r="DA464" s="11"/>
      <c r="DB464" s="11"/>
      <c r="DC464" s="11"/>
      <c r="DD464" s="11"/>
      <c r="DE464" s="11"/>
      <c r="DF464" s="11"/>
      <c r="DG464" s="11"/>
      <c r="DH464" s="11"/>
      <c r="DI464" s="11"/>
      <c r="DJ464" s="11"/>
      <c r="DK464" s="11"/>
      <c r="DL464" s="11"/>
      <c r="DM464" s="118"/>
      <c r="DN464" s="118"/>
      <c r="DO464" s="118"/>
      <c r="DP464" s="52"/>
      <c r="DQ464" s="52"/>
      <c r="DR464" s="77"/>
      <c r="DS464" s="77"/>
      <c r="DT464" s="77"/>
      <c r="DU464" s="11"/>
      <c r="DV464" s="11"/>
      <c r="DW464" s="11"/>
      <c r="DX464" s="11"/>
      <c r="DY464" s="11"/>
      <c r="DZ464" s="11"/>
      <c r="EA464" s="11"/>
      <c r="EB464" s="11"/>
      <c r="EC464" s="11"/>
      <c r="ED464" s="11"/>
      <c r="EE464" s="11"/>
      <c r="EF464" s="11"/>
    </row>
    <row r="465" spans="1:136" ht="27" x14ac:dyDescent="0.25">
      <c r="A465" s="425">
        <v>463</v>
      </c>
      <c r="B465" s="427" t="s">
        <v>2225</v>
      </c>
      <c r="C465" s="413" t="s">
        <v>723</v>
      </c>
      <c r="D465" s="413" t="s">
        <v>1029</v>
      </c>
      <c r="E465" s="79">
        <v>1</v>
      </c>
      <c r="F465" s="406">
        <v>844622.01600000006</v>
      </c>
      <c r="G465" s="274">
        <v>710000</v>
      </c>
      <c r="H465" s="274">
        <v>134900</v>
      </c>
      <c r="I465" s="274">
        <v>844900</v>
      </c>
      <c r="J465" s="274" t="s">
        <v>45</v>
      </c>
      <c r="K465" s="11" t="s">
        <v>2226</v>
      </c>
      <c r="L465" s="274"/>
      <c r="M465" s="274"/>
      <c r="N465" s="274"/>
      <c r="O465" s="48"/>
      <c r="P465" s="11"/>
      <c r="Q465" s="274"/>
      <c r="R465" s="274"/>
      <c r="S465" s="274"/>
      <c r="T465" s="11"/>
      <c r="U465" s="11"/>
      <c r="V465" s="11"/>
      <c r="W465" s="11"/>
      <c r="X465" s="11"/>
      <c r="Y465" s="11"/>
      <c r="Z465" s="48"/>
      <c r="AA465" s="52"/>
      <c r="AB465" s="52"/>
      <c r="AC465" s="118"/>
      <c r="AD465" s="5"/>
      <c r="AE465" s="52"/>
      <c r="AF465" s="113">
        <v>690000</v>
      </c>
      <c r="AG465" s="113">
        <f>AF465*0.19</f>
        <v>131100</v>
      </c>
      <c r="AH465" s="113">
        <f>AF465+AG465</f>
        <v>821100</v>
      </c>
      <c r="AI465" s="277" t="s">
        <v>628</v>
      </c>
      <c r="AJ465" s="33" t="s">
        <v>2227</v>
      </c>
      <c r="AK465" s="269">
        <v>488490</v>
      </c>
      <c r="AL465" s="269">
        <v>92813.1</v>
      </c>
      <c r="AM465" s="116">
        <v>581303.1</v>
      </c>
      <c r="AN465" s="301" t="s">
        <v>88</v>
      </c>
      <c r="AO465" s="302">
        <v>1015120025</v>
      </c>
      <c r="AP465" s="11"/>
      <c r="AQ465" s="11"/>
      <c r="AR465" s="11"/>
      <c r="AS465" s="11"/>
      <c r="AT465" s="11"/>
      <c r="AU465" s="118">
        <v>621198</v>
      </c>
      <c r="AV465" s="118">
        <v>118028</v>
      </c>
      <c r="AW465" s="118">
        <v>739226</v>
      </c>
      <c r="AX465" s="52" t="s">
        <v>607</v>
      </c>
      <c r="AY465" s="52">
        <v>1015120025</v>
      </c>
      <c r="AZ465" s="11"/>
      <c r="BA465" s="11"/>
      <c r="BB465" s="11"/>
      <c r="BC465" s="11"/>
      <c r="BD465" s="11"/>
      <c r="BE465" s="274">
        <v>559000</v>
      </c>
      <c r="BF465" s="274">
        <v>106210</v>
      </c>
      <c r="BG465" s="274">
        <v>665210</v>
      </c>
      <c r="BH465" s="11" t="s">
        <v>63</v>
      </c>
      <c r="BI465" s="11" t="s">
        <v>2228</v>
      </c>
      <c r="BJ465" s="311"/>
      <c r="BK465" s="311"/>
      <c r="BL465" s="311"/>
      <c r="BM465" s="52"/>
      <c r="BN465" s="52"/>
      <c r="BO465" s="387"/>
      <c r="BP465" s="320"/>
      <c r="BQ465" s="320"/>
      <c r="BR465" s="4"/>
      <c r="BS465" s="4"/>
      <c r="BT465" s="11"/>
      <c r="BU465" s="11"/>
      <c r="BV465" s="11"/>
      <c r="BW465" s="11"/>
      <c r="BX465" s="11"/>
      <c r="BY465" s="348"/>
      <c r="BZ465" s="348"/>
      <c r="CA465" s="348"/>
      <c r="CB465" s="348"/>
      <c r="CC465" s="348"/>
      <c r="CD465" s="11"/>
      <c r="CE465" s="11"/>
      <c r="CF465" s="11"/>
      <c r="CG465" s="11"/>
      <c r="CH465" s="11"/>
      <c r="CI465" s="11"/>
      <c r="CJ465" s="11"/>
      <c r="CK465" s="11"/>
      <c r="CL465" s="11"/>
      <c r="CM465" s="11"/>
      <c r="CN465" s="274"/>
      <c r="CO465" s="274"/>
      <c r="CP465" s="274"/>
      <c r="CQ465" s="11"/>
      <c r="CR465" s="11"/>
      <c r="CS465" s="11"/>
      <c r="CT465" s="11"/>
      <c r="CU465" s="11"/>
      <c r="CV465" s="11"/>
      <c r="CW465" s="11"/>
      <c r="CX465" s="11"/>
      <c r="CY465" s="11"/>
      <c r="CZ465" s="11"/>
      <c r="DA465" s="11"/>
      <c r="DB465" s="11"/>
      <c r="DC465" s="11"/>
      <c r="DD465" s="11"/>
      <c r="DE465" s="11"/>
      <c r="DF465" s="11"/>
      <c r="DG465" s="11"/>
      <c r="DH465" s="11"/>
      <c r="DI465" s="11"/>
      <c r="DJ465" s="11"/>
      <c r="DK465" s="11"/>
      <c r="DL465" s="11"/>
      <c r="DM465" s="118"/>
      <c r="DN465" s="118"/>
      <c r="DO465" s="118"/>
      <c r="DP465" s="52"/>
      <c r="DQ465" s="52"/>
      <c r="DR465" s="77"/>
      <c r="DS465" s="77"/>
      <c r="DT465" s="77"/>
      <c r="DU465" s="11"/>
      <c r="DV465" s="11"/>
      <c r="DW465" s="11"/>
      <c r="DX465" s="11"/>
      <c r="DY465" s="11"/>
      <c r="DZ465" s="11"/>
      <c r="EA465" s="11"/>
      <c r="EB465" s="11"/>
      <c r="EC465" s="11"/>
      <c r="ED465" s="11"/>
      <c r="EE465" s="11"/>
      <c r="EF465" s="11"/>
    </row>
    <row r="466" spans="1:136" ht="13.5" x14ac:dyDescent="0.25">
      <c r="A466" s="425">
        <v>464</v>
      </c>
      <c r="B466" s="427" t="s">
        <v>2229</v>
      </c>
      <c r="C466" s="413" t="s">
        <v>2230</v>
      </c>
      <c r="D466" s="413" t="s">
        <v>2231</v>
      </c>
      <c r="E466" s="79">
        <v>1</v>
      </c>
      <c r="F466" s="405"/>
      <c r="G466" s="274">
        <v>461250</v>
      </c>
      <c r="H466" s="274">
        <v>87637.5</v>
      </c>
      <c r="I466" s="274">
        <v>548887.5</v>
      </c>
      <c r="J466" s="274" t="s">
        <v>45</v>
      </c>
      <c r="K466" s="11" t="s">
        <v>2232</v>
      </c>
      <c r="L466" s="274"/>
      <c r="M466" s="274"/>
      <c r="N466" s="274"/>
      <c r="O466" s="48"/>
      <c r="P466" s="11"/>
      <c r="Q466" s="274"/>
      <c r="R466" s="274"/>
      <c r="S466" s="274"/>
      <c r="T466" s="11"/>
      <c r="U466" s="11"/>
      <c r="V466" s="11"/>
      <c r="W466" s="11"/>
      <c r="X466" s="11"/>
      <c r="Y466" s="11"/>
      <c r="Z466" s="48"/>
      <c r="AA466" s="52"/>
      <c r="AB466" s="52"/>
      <c r="AC466" s="118"/>
      <c r="AD466" s="5"/>
      <c r="AE466" s="52"/>
      <c r="AF466" s="113"/>
      <c r="AG466" s="113"/>
      <c r="AH466" s="113"/>
      <c r="AI466" s="52"/>
      <c r="AJ466" s="11"/>
      <c r="AK466" s="269">
        <v>283290</v>
      </c>
      <c r="AL466" s="269">
        <v>53825.1</v>
      </c>
      <c r="AM466" s="116">
        <v>337115.1</v>
      </c>
      <c r="AN466" s="301" t="s">
        <v>88</v>
      </c>
      <c r="AO466" s="302">
        <v>1050631000</v>
      </c>
      <c r="AP466" s="11"/>
      <c r="AQ466" s="11"/>
      <c r="AR466" s="11"/>
      <c r="AS466" s="11"/>
      <c r="AT466" s="11"/>
      <c r="AU466" s="118">
        <v>360251</v>
      </c>
      <c r="AV466" s="118">
        <v>68448</v>
      </c>
      <c r="AW466" s="118">
        <v>428699</v>
      </c>
      <c r="AX466" s="52" t="s">
        <v>607</v>
      </c>
      <c r="AY466" s="52">
        <v>1050631000</v>
      </c>
      <c r="AZ466" s="11"/>
      <c r="BA466" s="11"/>
      <c r="BB466" s="11"/>
      <c r="BC466" s="11"/>
      <c r="BD466" s="11"/>
      <c r="BE466" s="274">
        <v>621000</v>
      </c>
      <c r="BF466" s="274">
        <v>117990</v>
      </c>
      <c r="BG466" s="274">
        <v>738990</v>
      </c>
      <c r="BH466" s="11" t="s">
        <v>88</v>
      </c>
      <c r="BI466" s="11">
        <v>1050631000</v>
      </c>
      <c r="BJ466" s="311"/>
      <c r="BK466" s="311"/>
      <c r="BL466" s="311"/>
      <c r="BM466" s="52"/>
      <c r="BN466" s="52"/>
      <c r="BO466" s="387"/>
      <c r="BP466" s="320"/>
      <c r="BQ466" s="320"/>
      <c r="BR466" s="4"/>
      <c r="BS466" s="4"/>
      <c r="BT466" s="11"/>
      <c r="BU466" s="11"/>
      <c r="BV466" s="11"/>
      <c r="BW466" s="11"/>
      <c r="BX466" s="11"/>
      <c r="BY466" s="348"/>
      <c r="BZ466" s="348"/>
      <c r="CA466" s="348"/>
      <c r="CB466" s="348"/>
      <c r="CC466" s="348"/>
      <c r="CD466" s="11"/>
      <c r="CE466" s="11"/>
      <c r="CF466" s="11"/>
      <c r="CG466" s="11"/>
      <c r="CH466" s="11"/>
      <c r="CI466" s="11"/>
      <c r="CJ466" s="11"/>
      <c r="CK466" s="11"/>
      <c r="CL466" s="11"/>
      <c r="CM466" s="11"/>
      <c r="CN466" s="274"/>
      <c r="CO466" s="274"/>
      <c r="CP466" s="274"/>
      <c r="CQ466" s="11"/>
      <c r="CR466" s="11"/>
      <c r="CS466" s="11"/>
      <c r="CT466" s="11"/>
      <c r="CU466" s="11"/>
      <c r="CV466" s="11"/>
      <c r="CW466" s="11"/>
      <c r="CX466" s="11"/>
      <c r="CY466" s="11"/>
      <c r="CZ466" s="11"/>
      <c r="DA466" s="11"/>
      <c r="DB466" s="11"/>
      <c r="DC466" s="11"/>
      <c r="DD466" s="11"/>
      <c r="DE466" s="11"/>
      <c r="DF466" s="11"/>
      <c r="DG466" s="11"/>
      <c r="DH466" s="11"/>
      <c r="DI466" s="11"/>
      <c r="DJ466" s="11"/>
      <c r="DK466" s="11"/>
      <c r="DL466" s="11"/>
      <c r="DM466" s="118"/>
      <c r="DN466" s="118"/>
      <c r="DO466" s="118"/>
      <c r="DP466" s="52"/>
      <c r="DQ466" s="52"/>
      <c r="DR466" s="77"/>
      <c r="DS466" s="77"/>
      <c r="DT466" s="77"/>
      <c r="DU466" s="11"/>
      <c r="DV466" s="11"/>
      <c r="DW466" s="11"/>
      <c r="DX466" s="11"/>
      <c r="DY466" s="11"/>
      <c r="DZ466" s="11"/>
      <c r="EA466" s="11"/>
      <c r="EB466" s="11"/>
      <c r="EC466" s="11"/>
      <c r="ED466" s="11"/>
      <c r="EE466" s="11"/>
      <c r="EF466" s="11"/>
    </row>
    <row r="467" spans="1:136" ht="40.5" x14ac:dyDescent="0.25">
      <c r="A467" s="425">
        <v>465</v>
      </c>
      <c r="B467" s="427" t="s">
        <v>2860</v>
      </c>
      <c r="C467" s="413" t="s">
        <v>2233</v>
      </c>
      <c r="D467" s="413" t="s">
        <v>132</v>
      </c>
      <c r="E467" s="79">
        <v>1</v>
      </c>
      <c r="F467" s="404">
        <v>254332.96000000002</v>
      </c>
      <c r="G467" s="274"/>
      <c r="H467" s="274"/>
      <c r="I467" s="274"/>
      <c r="J467" s="274"/>
      <c r="K467" s="11"/>
      <c r="L467" s="274"/>
      <c r="M467" s="274"/>
      <c r="N467" s="274"/>
      <c r="O467" s="48"/>
      <c r="P467" s="11"/>
      <c r="Q467" s="274"/>
      <c r="R467" s="274"/>
      <c r="S467" s="274"/>
      <c r="T467" s="11"/>
      <c r="U467" s="11"/>
      <c r="V467" s="11"/>
      <c r="W467" s="11"/>
      <c r="X467" s="11"/>
      <c r="Y467" s="11"/>
      <c r="Z467" s="48"/>
      <c r="AA467" s="52"/>
      <c r="AB467" s="52"/>
      <c r="AC467" s="118"/>
      <c r="AD467" s="5"/>
      <c r="AE467" s="52"/>
      <c r="AF467" s="113"/>
      <c r="AG467" s="113"/>
      <c r="AH467" s="113"/>
      <c r="AI467" s="52"/>
      <c r="AJ467" s="11"/>
      <c r="AK467" s="269">
        <v>254790</v>
      </c>
      <c r="AL467" s="269">
        <v>0</v>
      </c>
      <c r="AM467" s="116">
        <v>254790</v>
      </c>
      <c r="AN467" s="301" t="s">
        <v>88</v>
      </c>
      <c r="AO467" s="302">
        <v>1065370500</v>
      </c>
      <c r="AP467" s="11"/>
      <c r="AQ467" s="11"/>
      <c r="AR467" s="11"/>
      <c r="AS467" s="11"/>
      <c r="AT467" s="11"/>
      <c r="AU467" s="118">
        <v>324009</v>
      </c>
      <c r="AV467" s="118">
        <v>61562</v>
      </c>
      <c r="AW467" s="118">
        <v>385571</v>
      </c>
      <c r="AX467" s="52" t="s">
        <v>607</v>
      </c>
      <c r="AY467" s="52">
        <v>1065370500</v>
      </c>
      <c r="AZ467" s="11"/>
      <c r="BA467" s="11"/>
      <c r="BB467" s="11"/>
      <c r="BC467" s="11"/>
      <c r="BD467" s="11"/>
      <c r="BE467" s="274">
        <v>559000</v>
      </c>
      <c r="BF467" s="274">
        <v>106210</v>
      </c>
      <c r="BG467" s="274">
        <v>665210</v>
      </c>
      <c r="BH467" s="11" t="s">
        <v>88</v>
      </c>
      <c r="BI467" s="11">
        <v>1065370500</v>
      </c>
      <c r="BJ467" s="311"/>
      <c r="BK467" s="311"/>
      <c r="BL467" s="311"/>
      <c r="BM467" s="52"/>
      <c r="BN467" s="52"/>
      <c r="BO467" s="387"/>
      <c r="BP467" s="320"/>
      <c r="BQ467" s="320"/>
      <c r="BR467" s="4"/>
      <c r="BS467" s="4"/>
      <c r="BT467" s="11"/>
      <c r="BU467" s="11"/>
      <c r="BV467" s="11"/>
      <c r="BW467" s="11"/>
      <c r="BX467" s="11"/>
      <c r="BY467" s="348"/>
      <c r="BZ467" s="348"/>
      <c r="CA467" s="348"/>
      <c r="CB467" s="348"/>
      <c r="CC467" s="348"/>
      <c r="CD467" s="11"/>
      <c r="CE467" s="11"/>
      <c r="CF467" s="11"/>
      <c r="CG467" s="11"/>
      <c r="CH467" s="11"/>
      <c r="CI467" s="11"/>
      <c r="CJ467" s="11"/>
      <c r="CK467" s="11"/>
      <c r="CL467" s="11"/>
      <c r="CM467" s="11"/>
      <c r="CN467" s="274"/>
      <c r="CO467" s="274"/>
      <c r="CP467" s="274"/>
      <c r="CQ467" s="11"/>
      <c r="CR467" s="11"/>
      <c r="CS467" s="11"/>
      <c r="CT467" s="11"/>
      <c r="CU467" s="11"/>
      <c r="CV467" s="11"/>
      <c r="CW467" s="11"/>
      <c r="CX467" s="11"/>
      <c r="CY467" s="11"/>
      <c r="CZ467" s="11"/>
      <c r="DA467" s="11"/>
      <c r="DB467" s="11"/>
      <c r="DC467" s="11"/>
      <c r="DD467" s="11"/>
      <c r="DE467" s="11"/>
      <c r="DF467" s="11"/>
      <c r="DG467" s="11"/>
      <c r="DH467" s="11"/>
      <c r="DI467" s="11"/>
      <c r="DJ467" s="11"/>
      <c r="DK467" s="11"/>
      <c r="DL467" s="11"/>
      <c r="DM467" s="118"/>
      <c r="DN467" s="118"/>
      <c r="DO467" s="118"/>
      <c r="DP467" s="52"/>
      <c r="DQ467" s="52"/>
      <c r="DR467" s="77"/>
      <c r="DS467" s="77"/>
      <c r="DT467" s="77"/>
      <c r="DU467" s="11"/>
      <c r="DV467" s="11"/>
      <c r="DW467" s="11"/>
      <c r="DX467" s="11"/>
      <c r="DY467" s="11"/>
      <c r="DZ467" s="11"/>
      <c r="EA467" s="11"/>
      <c r="EB467" s="11"/>
      <c r="EC467" s="11"/>
      <c r="ED467" s="11"/>
      <c r="EE467" s="11"/>
      <c r="EF467" s="11"/>
    </row>
    <row r="468" spans="1:136" ht="13.5" x14ac:dyDescent="0.25">
      <c r="A468" s="425">
        <v>466</v>
      </c>
      <c r="B468" s="428" t="s">
        <v>2234</v>
      </c>
      <c r="C468" s="413" t="s">
        <v>753</v>
      </c>
      <c r="D468" s="428" t="s">
        <v>783</v>
      </c>
      <c r="E468" s="79">
        <v>1</v>
      </c>
      <c r="F468" s="405"/>
      <c r="G468" s="274"/>
      <c r="H468" s="274"/>
      <c r="I468" s="274"/>
      <c r="J468" s="274"/>
      <c r="K468" s="11"/>
      <c r="L468" s="274"/>
      <c r="M468" s="274"/>
      <c r="N468" s="274"/>
      <c r="O468" s="48"/>
      <c r="P468" s="11"/>
      <c r="Q468" s="274"/>
      <c r="R468" s="274"/>
      <c r="S468" s="274"/>
      <c r="T468" s="11"/>
      <c r="U468" s="11"/>
      <c r="V468" s="11"/>
      <c r="W468" s="11"/>
      <c r="X468" s="11"/>
      <c r="Y468" s="11"/>
      <c r="Z468" s="48"/>
      <c r="AA468" s="52"/>
      <c r="AB468" s="52"/>
      <c r="AC468" s="118"/>
      <c r="AD468" s="5"/>
      <c r="AE468" s="52"/>
      <c r="AF468" s="113"/>
      <c r="AG468" s="113"/>
      <c r="AH468" s="113"/>
      <c r="AI468" s="52"/>
      <c r="AJ468" s="11"/>
      <c r="AK468" s="269"/>
      <c r="AL468" s="269"/>
      <c r="AM468" s="116"/>
      <c r="AN468" s="301"/>
      <c r="AO468" s="302"/>
      <c r="AP468" s="11"/>
      <c r="AQ468" s="11"/>
      <c r="AR468" s="11"/>
      <c r="AS468" s="11"/>
      <c r="AT468" s="11"/>
      <c r="AU468" s="118">
        <v>1388369</v>
      </c>
      <c r="AV468" s="118">
        <v>263790</v>
      </c>
      <c r="AW468" s="118">
        <v>1652160</v>
      </c>
      <c r="AX468" s="52" t="s">
        <v>607</v>
      </c>
      <c r="AY468" s="52" t="s">
        <v>2235</v>
      </c>
      <c r="AZ468" s="11"/>
      <c r="BA468" s="11"/>
      <c r="BB468" s="11"/>
      <c r="BC468" s="11"/>
      <c r="BD468" s="11"/>
      <c r="BE468" s="274"/>
      <c r="BF468" s="274"/>
      <c r="BG468" s="274"/>
      <c r="BH468" s="11"/>
      <c r="BI468" s="11"/>
      <c r="BJ468" s="311"/>
      <c r="BK468" s="311"/>
      <c r="BL468" s="311"/>
      <c r="BM468" s="52"/>
      <c r="BN468" s="52"/>
      <c r="BO468" s="387"/>
      <c r="BP468" s="320"/>
      <c r="BQ468" s="320"/>
      <c r="BR468" s="4"/>
      <c r="BS468" s="4"/>
      <c r="BT468" s="11"/>
      <c r="BU468" s="11"/>
      <c r="BV468" s="11"/>
      <c r="BW468" s="11"/>
      <c r="BX468" s="11"/>
      <c r="BY468" s="348"/>
      <c r="BZ468" s="348"/>
      <c r="CA468" s="348"/>
      <c r="CB468" s="348"/>
      <c r="CC468" s="348"/>
      <c r="CD468" s="11"/>
      <c r="CE468" s="11"/>
      <c r="CF468" s="11"/>
      <c r="CG468" s="11"/>
      <c r="CH468" s="11"/>
      <c r="CI468" s="11"/>
      <c r="CJ468" s="11"/>
      <c r="CK468" s="11"/>
      <c r="CL468" s="11"/>
      <c r="CM468" s="11"/>
      <c r="CN468" s="274"/>
      <c r="CO468" s="274"/>
      <c r="CP468" s="274"/>
      <c r="CQ468" s="11"/>
      <c r="CR468" s="11"/>
      <c r="CS468" s="11"/>
      <c r="CT468" s="11"/>
      <c r="CU468" s="11"/>
      <c r="CV468" s="11"/>
      <c r="CW468" s="11"/>
      <c r="CX468" s="11"/>
      <c r="CY468" s="11"/>
      <c r="CZ468" s="11"/>
      <c r="DA468" s="11"/>
      <c r="DB468" s="11"/>
      <c r="DC468" s="11"/>
      <c r="DD468" s="11"/>
      <c r="DE468" s="11"/>
      <c r="DF468" s="11"/>
      <c r="DG468" s="11"/>
      <c r="DH468" s="11"/>
      <c r="DI468" s="11"/>
      <c r="DJ468" s="11"/>
      <c r="DK468" s="11"/>
      <c r="DL468" s="11"/>
      <c r="DM468" s="118"/>
      <c r="DN468" s="118"/>
      <c r="DO468" s="118"/>
      <c r="DP468" s="52"/>
      <c r="DQ468" s="52"/>
      <c r="DR468" s="77"/>
      <c r="DS468" s="77"/>
      <c r="DT468" s="77"/>
      <c r="DU468" s="11"/>
      <c r="DV468" s="11"/>
      <c r="DW468" s="11"/>
      <c r="DX468" s="11"/>
      <c r="DY468" s="11"/>
      <c r="DZ468" s="11"/>
      <c r="EA468" s="11"/>
      <c r="EB468" s="11"/>
      <c r="EC468" s="11"/>
      <c r="ED468" s="11"/>
      <c r="EE468" s="11"/>
      <c r="EF468" s="11"/>
    </row>
    <row r="469" spans="1:136" ht="27" x14ac:dyDescent="0.25">
      <c r="A469" s="425">
        <v>467</v>
      </c>
      <c r="B469" s="427" t="s">
        <v>2236</v>
      </c>
      <c r="C469" s="427" t="s">
        <v>2237</v>
      </c>
      <c r="D469" s="427" t="s">
        <v>281</v>
      </c>
      <c r="E469" s="79">
        <v>1</v>
      </c>
      <c r="F469" s="405"/>
      <c r="G469" s="274"/>
      <c r="H469" s="274"/>
      <c r="I469" s="274"/>
      <c r="J469" s="274"/>
      <c r="K469" s="11"/>
      <c r="L469" s="274"/>
      <c r="M469" s="274"/>
      <c r="N469" s="274"/>
      <c r="O469" s="48"/>
      <c r="P469" s="11"/>
      <c r="Q469" s="274"/>
      <c r="R469" s="274"/>
      <c r="S469" s="274"/>
      <c r="T469" s="11"/>
      <c r="U469" s="11"/>
      <c r="V469" s="11"/>
      <c r="W469" s="11"/>
      <c r="X469" s="11"/>
      <c r="Y469" s="11"/>
      <c r="Z469" s="48"/>
      <c r="AA469" s="52"/>
      <c r="AB469" s="52"/>
      <c r="AC469" s="118"/>
      <c r="AD469" s="5"/>
      <c r="AE469" s="52"/>
      <c r="AF469" s="113"/>
      <c r="AG469" s="113"/>
      <c r="AH469" s="113"/>
      <c r="AI469" s="52"/>
      <c r="AJ469" s="11"/>
      <c r="AK469" s="269"/>
      <c r="AL469" s="269"/>
      <c r="AM469" s="116"/>
      <c r="AN469" s="301"/>
      <c r="AO469" s="302"/>
      <c r="AP469" s="11"/>
      <c r="AQ469" s="11"/>
      <c r="AR469" s="11"/>
      <c r="AS469" s="11"/>
      <c r="AT469" s="11"/>
      <c r="AU469" s="118"/>
      <c r="AV469" s="118"/>
      <c r="AW469" s="118"/>
      <c r="AX469" s="52"/>
      <c r="AY469" s="52"/>
      <c r="AZ469" s="11"/>
      <c r="BA469" s="11"/>
      <c r="BB469" s="11"/>
      <c r="BC469" s="11"/>
      <c r="BD469" s="11"/>
      <c r="BE469" s="274">
        <v>948000</v>
      </c>
      <c r="BF469" s="274">
        <v>180120</v>
      </c>
      <c r="BG469" s="274">
        <v>1128120</v>
      </c>
      <c r="BH469" s="11" t="s">
        <v>409</v>
      </c>
      <c r="BI469" s="11" t="s">
        <v>2238</v>
      </c>
      <c r="BJ469" s="311"/>
      <c r="BK469" s="311"/>
      <c r="BL469" s="311"/>
      <c r="BM469" s="52"/>
      <c r="BN469" s="52"/>
      <c r="BO469" s="387"/>
      <c r="BP469" s="320"/>
      <c r="BQ469" s="320"/>
      <c r="BR469" s="4"/>
      <c r="BS469" s="4"/>
      <c r="BT469" s="11"/>
      <c r="BU469" s="11"/>
      <c r="BV469" s="11"/>
      <c r="BW469" s="11"/>
      <c r="BX469" s="11"/>
      <c r="BY469" s="348"/>
      <c r="BZ469" s="348"/>
      <c r="CA469" s="348"/>
      <c r="CB469" s="348"/>
      <c r="CC469" s="348"/>
      <c r="CD469" s="11"/>
      <c r="CE469" s="11"/>
      <c r="CF469" s="11"/>
      <c r="CG469" s="11"/>
      <c r="CH469" s="11"/>
      <c r="CI469" s="11"/>
      <c r="CJ469" s="11"/>
      <c r="CK469" s="11"/>
      <c r="CL469" s="11"/>
      <c r="CM469" s="11"/>
      <c r="CN469" s="274"/>
      <c r="CO469" s="274"/>
      <c r="CP469" s="274"/>
      <c r="CQ469" s="11"/>
      <c r="CR469" s="11"/>
      <c r="CS469" s="11"/>
      <c r="CT469" s="11"/>
      <c r="CU469" s="11"/>
      <c r="CV469" s="11"/>
      <c r="CW469" s="11"/>
      <c r="CX469" s="11"/>
      <c r="CY469" s="11"/>
      <c r="CZ469" s="11"/>
      <c r="DA469" s="11"/>
      <c r="DB469" s="11"/>
      <c r="DC469" s="11"/>
      <c r="DD469" s="11"/>
      <c r="DE469" s="11"/>
      <c r="DF469" s="11"/>
      <c r="DG469" s="11"/>
      <c r="DH469" s="11"/>
      <c r="DI469" s="11"/>
      <c r="DJ469" s="11"/>
      <c r="DK469" s="11"/>
      <c r="DL469" s="11"/>
      <c r="DM469" s="118"/>
      <c r="DN469" s="118"/>
      <c r="DO469" s="118"/>
      <c r="DP469" s="52"/>
      <c r="DQ469" s="52"/>
      <c r="DR469" s="77"/>
      <c r="DS469" s="77"/>
      <c r="DT469" s="77"/>
      <c r="DU469" s="11"/>
      <c r="DV469" s="11"/>
      <c r="DW469" s="11"/>
      <c r="DX469" s="11"/>
      <c r="DY469" s="11"/>
      <c r="DZ469" s="11"/>
      <c r="EA469" s="11"/>
      <c r="EB469" s="11"/>
      <c r="EC469" s="11"/>
      <c r="ED469" s="11"/>
      <c r="EE469" s="11"/>
      <c r="EF469" s="11"/>
    </row>
    <row r="470" spans="1:136" ht="54" x14ac:dyDescent="0.25">
      <c r="A470" s="425">
        <v>468</v>
      </c>
      <c r="B470" s="427" t="s">
        <v>2239</v>
      </c>
      <c r="C470" s="413" t="s">
        <v>2240</v>
      </c>
      <c r="D470" s="413" t="s">
        <v>39</v>
      </c>
      <c r="E470" s="79">
        <v>1</v>
      </c>
      <c r="F470" s="405"/>
      <c r="G470" s="274"/>
      <c r="H470" s="274"/>
      <c r="I470" s="274"/>
      <c r="J470" s="274"/>
      <c r="K470" s="11"/>
      <c r="L470" s="274"/>
      <c r="M470" s="274"/>
      <c r="N470" s="274"/>
      <c r="O470" s="48"/>
      <c r="P470" s="11"/>
      <c r="Q470" s="274"/>
      <c r="R470" s="274"/>
      <c r="S470" s="274"/>
      <c r="T470" s="11"/>
      <c r="U470" s="11"/>
      <c r="V470" s="11"/>
      <c r="W470" s="11"/>
      <c r="X470" s="11"/>
      <c r="Y470" s="11"/>
      <c r="Z470" s="48"/>
      <c r="AA470" s="52"/>
      <c r="AB470" s="52"/>
      <c r="AC470" s="118"/>
      <c r="AD470" s="5"/>
      <c r="AE470" s="52"/>
      <c r="AF470" s="113"/>
      <c r="AG470" s="113"/>
      <c r="AH470" s="113"/>
      <c r="AI470" s="52"/>
      <c r="AJ470" s="11"/>
      <c r="AK470" s="269">
        <v>190000</v>
      </c>
      <c r="AL470" s="269">
        <v>0</v>
      </c>
      <c r="AM470" s="116">
        <v>190000</v>
      </c>
      <c r="AN470" s="301" t="s">
        <v>37</v>
      </c>
      <c r="AO470" s="302" t="s">
        <v>2241</v>
      </c>
      <c r="AP470" s="11"/>
      <c r="AQ470" s="11"/>
      <c r="AR470" s="11"/>
      <c r="AS470" s="11"/>
      <c r="AT470" s="11"/>
      <c r="AU470" s="118">
        <v>200144</v>
      </c>
      <c r="AV470" s="118">
        <v>38027</v>
      </c>
      <c r="AW470" s="118">
        <v>238172</v>
      </c>
      <c r="AX470" s="52" t="s">
        <v>607</v>
      </c>
      <c r="AY470" s="52" t="s">
        <v>2241</v>
      </c>
      <c r="AZ470" s="11"/>
      <c r="BA470" s="11"/>
      <c r="BB470" s="11"/>
      <c r="BC470" s="11"/>
      <c r="BD470" s="11"/>
      <c r="BE470" s="274"/>
      <c r="BF470" s="274"/>
      <c r="BG470" s="274"/>
      <c r="BH470" s="11"/>
      <c r="BI470" s="11"/>
      <c r="BJ470" s="311"/>
      <c r="BK470" s="311"/>
      <c r="BL470" s="311"/>
      <c r="BM470" s="52"/>
      <c r="BN470" s="52"/>
      <c r="BO470" s="387"/>
      <c r="BP470" s="320"/>
      <c r="BQ470" s="320"/>
      <c r="BR470" s="4"/>
      <c r="BS470" s="4"/>
      <c r="BT470" s="11"/>
      <c r="BU470" s="11"/>
      <c r="BV470" s="11"/>
      <c r="BW470" s="11"/>
      <c r="BX470" s="11"/>
      <c r="BY470" s="348"/>
      <c r="BZ470" s="348"/>
      <c r="CA470" s="348"/>
      <c r="CB470" s="348"/>
      <c r="CC470" s="348"/>
      <c r="CD470" s="11"/>
      <c r="CE470" s="11"/>
      <c r="CF470" s="11"/>
      <c r="CG470" s="11"/>
      <c r="CH470" s="11"/>
      <c r="CI470" s="11"/>
      <c r="CJ470" s="11"/>
      <c r="CK470" s="11"/>
      <c r="CL470" s="11"/>
      <c r="CM470" s="11"/>
      <c r="CN470" s="274"/>
      <c r="CO470" s="274"/>
      <c r="CP470" s="274"/>
      <c r="CQ470" s="11"/>
      <c r="CR470" s="11"/>
      <c r="CS470" s="11"/>
      <c r="CT470" s="11"/>
      <c r="CU470" s="11"/>
      <c r="CV470" s="11"/>
      <c r="CW470" s="11"/>
      <c r="CX470" s="11"/>
      <c r="CY470" s="11"/>
      <c r="CZ470" s="11"/>
      <c r="DA470" s="11"/>
      <c r="DB470" s="11"/>
      <c r="DC470" s="11"/>
      <c r="DD470" s="11"/>
      <c r="DE470" s="11"/>
      <c r="DF470" s="11"/>
      <c r="DG470" s="11"/>
      <c r="DH470" s="11"/>
      <c r="DI470" s="11"/>
      <c r="DJ470" s="11"/>
      <c r="DK470" s="11"/>
      <c r="DL470" s="11"/>
      <c r="DM470" s="118"/>
      <c r="DN470" s="118"/>
      <c r="DO470" s="118"/>
      <c r="DP470" s="52"/>
      <c r="DQ470" s="52"/>
      <c r="DR470" s="77"/>
      <c r="DS470" s="77"/>
      <c r="DT470" s="77"/>
      <c r="DU470" s="11"/>
      <c r="DV470" s="11"/>
      <c r="DW470" s="11"/>
      <c r="DX470" s="11"/>
      <c r="DY470" s="11"/>
      <c r="DZ470" s="11"/>
      <c r="EA470" s="11"/>
      <c r="EB470" s="11"/>
      <c r="EC470" s="11"/>
      <c r="ED470" s="11"/>
      <c r="EE470" s="11"/>
      <c r="EF470" s="11"/>
    </row>
    <row r="471" spans="1:136" ht="27" x14ac:dyDescent="0.25">
      <c r="A471" s="425">
        <v>469</v>
      </c>
      <c r="B471" s="427" t="s">
        <v>2242</v>
      </c>
      <c r="C471" s="413" t="s">
        <v>2243</v>
      </c>
      <c r="D471" s="413" t="s">
        <v>977</v>
      </c>
      <c r="E471" s="79">
        <v>1</v>
      </c>
      <c r="F471" s="405">
        <v>2434394.1882000002</v>
      </c>
      <c r="G471" s="274"/>
      <c r="H471" s="274"/>
      <c r="I471" s="274"/>
      <c r="J471" s="274"/>
      <c r="K471" s="11"/>
      <c r="L471" s="274"/>
      <c r="M471" s="274"/>
      <c r="N471" s="274"/>
      <c r="O471" s="48"/>
      <c r="P471" s="11"/>
      <c r="Q471" s="274"/>
      <c r="R471" s="274"/>
      <c r="S471" s="274"/>
      <c r="T471" s="11"/>
      <c r="U471" s="11"/>
      <c r="V471" s="11"/>
      <c r="W471" s="11"/>
      <c r="X471" s="11"/>
      <c r="Y471" s="11"/>
      <c r="Z471" s="48"/>
      <c r="AA471" s="52"/>
      <c r="AB471" s="52"/>
      <c r="AC471" s="118"/>
      <c r="AD471" s="5"/>
      <c r="AE471" s="52"/>
      <c r="AF471" s="113"/>
      <c r="AG471" s="113"/>
      <c r="AH471" s="113"/>
      <c r="AI471" s="52"/>
      <c r="AJ471" s="11"/>
      <c r="AK471" s="269"/>
      <c r="AL471" s="269"/>
      <c r="AM471" s="116"/>
      <c r="AN471" s="301"/>
      <c r="AO471" s="302"/>
      <c r="AP471" s="11"/>
      <c r="AQ471" s="11"/>
      <c r="AR471" s="11"/>
      <c r="AS471" s="11"/>
      <c r="AT471" s="11"/>
      <c r="AU471" s="118"/>
      <c r="AV471" s="118"/>
      <c r="AW471" s="118"/>
      <c r="AX471" s="52"/>
      <c r="AY471" s="52"/>
      <c r="AZ471" s="11"/>
      <c r="BA471" s="11"/>
      <c r="BB471" s="11"/>
      <c r="BC471" s="11"/>
      <c r="BD471" s="11"/>
      <c r="BE471" s="274"/>
      <c r="BF471" s="274"/>
      <c r="BG471" s="274"/>
      <c r="BH471" s="11"/>
      <c r="BI471" s="11"/>
      <c r="BJ471" s="311"/>
      <c r="BK471" s="311"/>
      <c r="BL471" s="311"/>
      <c r="BM471" s="52"/>
      <c r="BN471" s="52"/>
      <c r="BO471" s="387"/>
      <c r="BP471" s="320"/>
      <c r="BQ471" s="320"/>
      <c r="BR471" s="4"/>
      <c r="BS471" s="4"/>
      <c r="BT471" s="11"/>
      <c r="BU471" s="11"/>
      <c r="BV471" s="11"/>
      <c r="BW471" s="11"/>
      <c r="BX471" s="11"/>
      <c r="BY471" s="232"/>
      <c r="BZ471" s="232"/>
      <c r="CA471" s="232"/>
      <c r="CB471" s="348"/>
      <c r="CC471" s="348"/>
      <c r="CD471" s="11"/>
      <c r="CE471" s="11"/>
      <c r="CF471" s="11"/>
      <c r="CG471" s="11"/>
      <c r="CH471" s="11"/>
      <c r="CI471" s="11"/>
      <c r="CJ471" s="11"/>
      <c r="CK471" s="11"/>
      <c r="CL471" s="11"/>
      <c r="CM471" s="11"/>
      <c r="CN471" s="274"/>
      <c r="CO471" s="274"/>
      <c r="CP471" s="274"/>
      <c r="CQ471" s="11"/>
      <c r="CR471" s="11"/>
      <c r="CS471" s="11"/>
      <c r="CT471" s="11"/>
      <c r="CU471" s="11"/>
      <c r="CV471" s="11"/>
      <c r="CW471" s="11"/>
      <c r="CX471" s="11"/>
      <c r="CY471" s="11"/>
      <c r="CZ471" s="11"/>
      <c r="DA471" s="11"/>
      <c r="DB471" s="11"/>
      <c r="DC471" s="11"/>
      <c r="DD471" s="11"/>
      <c r="DE471" s="11"/>
      <c r="DF471" s="11"/>
      <c r="DG471" s="11"/>
      <c r="DH471" s="11"/>
      <c r="DI471" s="11"/>
      <c r="DJ471" s="11"/>
      <c r="DK471" s="11"/>
      <c r="DL471" s="11"/>
      <c r="DM471" s="118"/>
      <c r="DN471" s="118"/>
      <c r="DO471" s="118"/>
      <c r="DP471" s="52"/>
      <c r="DQ471" s="52"/>
      <c r="DR471" s="77"/>
      <c r="DS471" s="77"/>
      <c r="DT471" s="77"/>
      <c r="DU471" s="11"/>
      <c r="DV471" s="11"/>
      <c r="DW471" s="11"/>
      <c r="DX471" s="11"/>
      <c r="DY471" s="11"/>
      <c r="DZ471" s="11"/>
      <c r="EA471" s="11"/>
      <c r="EB471" s="11"/>
      <c r="EC471" s="11"/>
      <c r="ED471" s="11"/>
      <c r="EE471" s="11"/>
      <c r="EF471" s="11"/>
    </row>
    <row r="472" spans="1:136" ht="27" x14ac:dyDescent="0.25">
      <c r="A472" s="425">
        <v>470</v>
      </c>
      <c r="B472" s="427" t="s">
        <v>2244</v>
      </c>
      <c r="C472" s="413" t="s">
        <v>2193</v>
      </c>
      <c r="D472" s="413" t="s">
        <v>977</v>
      </c>
      <c r="E472" s="79">
        <v>1</v>
      </c>
      <c r="F472" s="405">
        <v>2236679.8854</v>
      </c>
      <c r="G472" s="274"/>
      <c r="H472" s="274"/>
      <c r="I472" s="274"/>
      <c r="J472" s="274"/>
      <c r="K472" s="11"/>
      <c r="L472" s="274"/>
      <c r="M472" s="274"/>
      <c r="N472" s="274"/>
      <c r="O472" s="48"/>
      <c r="P472" s="11"/>
      <c r="Q472" s="274"/>
      <c r="R472" s="274"/>
      <c r="S472" s="274"/>
      <c r="T472" s="11"/>
      <c r="U472" s="11"/>
      <c r="V472" s="11"/>
      <c r="W472" s="11"/>
      <c r="X472" s="11"/>
      <c r="Y472" s="11"/>
      <c r="Z472" s="48"/>
      <c r="AA472" s="52"/>
      <c r="AB472" s="52"/>
      <c r="AC472" s="118"/>
      <c r="AD472" s="5"/>
      <c r="AE472" s="52"/>
      <c r="AF472" s="113"/>
      <c r="AG472" s="113"/>
      <c r="AH472" s="113"/>
      <c r="AI472" s="52"/>
      <c r="AJ472" s="11"/>
      <c r="AK472" s="269"/>
      <c r="AL472" s="269"/>
      <c r="AM472" s="116"/>
      <c r="AN472" s="301"/>
      <c r="AO472" s="302"/>
      <c r="AP472" s="11"/>
      <c r="AQ472" s="11"/>
      <c r="AR472" s="11"/>
      <c r="AS472" s="11"/>
      <c r="AT472" s="11"/>
      <c r="AU472" s="118"/>
      <c r="AV472" s="118"/>
      <c r="AW472" s="118"/>
      <c r="AX472" s="52"/>
      <c r="AY472" s="52"/>
      <c r="AZ472" s="11"/>
      <c r="BA472" s="11"/>
      <c r="BB472" s="11"/>
      <c r="BC472" s="11"/>
      <c r="BD472" s="11"/>
      <c r="BE472" s="274"/>
      <c r="BF472" s="274"/>
      <c r="BG472" s="274"/>
      <c r="BH472" s="11"/>
      <c r="BI472" s="11"/>
      <c r="BJ472" s="311"/>
      <c r="BK472" s="311"/>
      <c r="BL472" s="311"/>
      <c r="BM472" s="52"/>
      <c r="BN472" s="52"/>
      <c r="BO472" s="387"/>
      <c r="BP472" s="320"/>
      <c r="BQ472" s="320"/>
      <c r="BR472" s="4"/>
      <c r="BS472" s="4"/>
      <c r="BT472" s="11"/>
      <c r="BU472" s="11"/>
      <c r="BV472" s="11"/>
      <c r="BW472" s="11"/>
      <c r="BX472" s="11"/>
      <c r="BY472" s="232"/>
      <c r="BZ472" s="232"/>
      <c r="CA472" s="232"/>
      <c r="CB472" s="348"/>
      <c r="CC472" s="348"/>
      <c r="CD472" s="11"/>
      <c r="CE472" s="11"/>
      <c r="CF472" s="11"/>
      <c r="CG472" s="11"/>
      <c r="CH472" s="11"/>
      <c r="CI472" s="11"/>
      <c r="CJ472" s="11"/>
      <c r="CK472" s="11"/>
      <c r="CL472" s="11"/>
      <c r="CM472" s="11"/>
      <c r="CN472" s="274"/>
      <c r="CO472" s="274"/>
      <c r="CP472" s="274"/>
      <c r="CQ472" s="11"/>
      <c r="CR472" s="11"/>
      <c r="CS472" s="11"/>
      <c r="CT472" s="11"/>
      <c r="CU472" s="11"/>
      <c r="CV472" s="11"/>
      <c r="CW472" s="11"/>
      <c r="CX472" s="11"/>
      <c r="CY472" s="11"/>
      <c r="CZ472" s="11"/>
      <c r="DA472" s="11"/>
      <c r="DB472" s="11"/>
      <c r="DC472" s="11"/>
      <c r="DD472" s="11"/>
      <c r="DE472" s="11"/>
      <c r="DF472" s="11"/>
      <c r="DG472" s="11"/>
      <c r="DH472" s="11"/>
      <c r="DI472" s="11"/>
      <c r="DJ472" s="11"/>
      <c r="DK472" s="11"/>
      <c r="DL472" s="11"/>
      <c r="DM472" s="118"/>
      <c r="DN472" s="118"/>
      <c r="DO472" s="118"/>
      <c r="DP472" s="52"/>
      <c r="DQ472" s="52"/>
      <c r="DR472" s="77"/>
      <c r="DS472" s="77"/>
      <c r="DT472" s="77"/>
      <c r="DU472" s="11"/>
      <c r="DV472" s="11"/>
      <c r="DW472" s="11"/>
      <c r="DX472" s="11"/>
      <c r="DY472" s="11"/>
      <c r="DZ472" s="11"/>
      <c r="EA472" s="11"/>
      <c r="EB472" s="11"/>
      <c r="EC472" s="11"/>
      <c r="ED472" s="11"/>
      <c r="EE472" s="11"/>
      <c r="EF472" s="11"/>
    </row>
    <row r="473" spans="1:136" ht="67.5" x14ac:dyDescent="0.25">
      <c r="A473" s="425">
        <v>471</v>
      </c>
      <c r="B473" s="426" t="s">
        <v>2245</v>
      </c>
      <c r="C473" s="413" t="s">
        <v>138</v>
      </c>
      <c r="D473" s="413" t="s">
        <v>609</v>
      </c>
      <c r="E473" s="79">
        <v>1</v>
      </c>
      <c r="F473" s="406">
        <v>894897.13600000006</v>
      </c>
      <c r="G473" s="274"/>
      <c r="H473" s="274"/>
      <c r="I473" s="274"/>
      <c r="J473" s="274"/>
      <c r="K473" s="11"/>
      <c r="L473" s="274">
        <v>490000</v>
      </c>
      <c r="M473" s="274">
        <f>L473*19%</f>
        <v>93100</v>
      </c>
      <c r="N473" s="274">
        <f>M473+L473</f>
        <v>583100</v>
      </c>
      <c r="O473" s="48" t="s">
        <v>862</v>
      </c>
      <c r="P473" s="11" t="s">
        <v>2246</v>
      </c>
      <c r="Q473" s="274"/>
      <c r="R473" s="274"/>
      <c r="S473" s="274"/>
      <c r="T473" s="11"/>
      <c r="U473" s="11"/>
      <c r="V473" s="11"/>
      <c r="W473" s="11"/>
      <c r="X473" s="11"/>
      <c r="Y473" s="11"/>
      <c r="Z473" s="48"/>
      <c r="AA473" s="52"/>
      <c r="AB473" s="52"/>
      <c r="AC473" s="118"/>
      <c r="AD473" s="5"/>
      <c r="AE473" s="52"/>
      <c r="AF473" s="113"/>
      <c r="AG473" s="113"/>
      <c r="AH473" s="113"/>
      <c r="AI473" s="52"/>
      <c r="AJ473" s="11"/>
      <c r="AK473" s="269"/>
      <c r="AL473" s="269"/>
      <c r="AM473" s="116"/>
      <c r="AN473" s="301"/>
      <c r="AO473" s="302"/>
      <c r="AP473" s="11"/>
      <c r="AQ473" s="11"/>
      <c r="AR473" s="11"/>
      <c r="AS473" s="11"/>
      <c r="AT473" s="11"/>
      <c r="AU473" s="118"/>
      <c r="AV473" s="118"/>
      <c r="AW473" s="118"/>
      <c r="AX473" s="52"/>
      <c r="AY473" s="52"/>
      <c r="AZ473" s="11"/>
      <c r="BA473" s="11"/>
      <c r="BB473" s="11"/>
      <c r="BC473" s="11"/>
      <c r="BD473" s="11"/>
      <c r="BE473" s="274"/>
      <c r="BF473" s="274"/>
      <c r="BG473" s="274"/>
      <c r="BH473" s="11"/>
      <c r="BI473" s="11"/>
      <c r="BJ473" s="311">
        <v>503461.54</v>
      </c>
      <c r="BK473" s="311">
        <v>95657.692599999995</v>
      </c>
      <c r="BL473" s="311">
        <v>599119.23259999999</v>
      </c>
      <c r="BM473" s="52" t="s">
        <v>138</v>
      </c>
      <c r="BN473" s="52">
        <v>18418012</v>
      </c>
      <c r="BO473" s="387"/>
      <c r="BP473" s="320"/>
      <c r="BQ473" s="320"/>
      <c r="BR473" s="4"/>
      <c r="BS473" s="4"/>
      <c r="BT473" s="11"/>
      <c r="BU473" s="11"/>
      <c r="BV473" s="11"/>
      <c r="BW473" s="11"/>
      <c r="BX473" s="11"/>
      <c r="BY473" s="348"/>
      <c r="BZ473" s="348"/>
      <c r="CA473" s="348"/>
      <c r="CB473" s="348"/>
      <c r="CC473" s="348"/>
      <c r="CD473" s="11"/>
      <c r="CE473" s="11"/>
      <c r="CF473" s="11"/>
      <c r="CG473" s="11"/>
      <c r="CH473" s="11"/>
      <c r="CI473" s="11"/>
      <c r="CJ473" s="11"/>
      <c r="CK473" s="11"/>
      <c r="CL473" s="11"/>
      <c r="CM473" s="11"/>
      <c r="CN473" s="274"/>
      <c r="CO473" s="274"/>
      <c r="CP473" s="274"/>
      <c r="CQ473" s="11"/>
      <c r="CR473" s="11"/>
      <c r="CS473" s="11"/>
      <c r="CT473" s="11"/>
      <c r="CU473" s="11"/>
      <c r="CV473" s="11"/>
      <c r="CW473" s="11"/>
      <c r="CX473" s="11"/>
      <c r="CY473" s="11"/>
      <c r="CZ473" s="11"/>
      <c r="DA473" s="11"/>
      <c r="DB473" s="11"/>
      <c r="DC473" s="11"/>
      <c r="DD473" s="11"/>
      <c r="DE473" s="11"/>
      <c r="DF473" s="11"/>
      <c r="DG473" s="11"/>
      <c r="DH473" s="11"/>
      <c r="DI473" s="11"/>
      <c r="DJ473" s="11"/>
      <c r="DK473" s="11"/>
      <c r="DL473" s="11"/>
      <c r="DM473" s="118"/>
      <c r="DN473" s="118"/>
      <c r="DO473" s="118"/>
      <c r="DP473" s="52"/>
      <c r="DQ473" s="52"/>
      <c r="DR473" s="77"/>
      <c r="DS473" s="77"/>
      <c r="DT473" s="77"/>
      <c r="DU473" s="11"/>
      <c r="DV473" s="11"/>
      <c r="DW473" s="11"/>
      <c r="DX473" s="11"/>
      <c r="DY473" s="11"/>
      <c r="DZ473" s="11"/>
      <c r="EA473" s="11"/>
      <c r="EB473" s="11"/>
      <c r="EC473" s="11"/>
      <c r="ED473" s="11"/>
      <c r="EE473" s="11"/>
      <c r="EF473" s="11"/>
    </row>
    <row r="474" spans="1:136" ht="27" x14ac:dyDescent="0.25">
      <c r="A474" s="425">
        <v>472</v>
      </c>
      <c r="B474" s="427" t="s">
        <v>2247</v>
      </c>
      <c r="C474" s="413" t="s">
        <v>2248</v>
      </c>
      <c r="D474" s="413" t="s">
        <v>2249</v>
      </c>
      <c r="E474" s="79">
        <v>1</v>
      </c>
      <c r="F474" s="404">
        <v>2274949.1800000002</v>
      </c>
      <c r="G474" s="274"/>
      <c r="H474" s="274"/>
      <c r="I474" s="274"/>
      <c r="J474" s="274"/>
      <c r="K474" s="11"/>
      <c r="L474" s="274"/>
      <c r="M474" s="274"/>
      <c r="N474" s="274"/>
      <c r="O474" s="48"/>
      <c r="P474" s="11"/>
      <c r="Q474" s="274"/>
      <c r="R474" s="274"/>
      <c r="S474" s="274"/>
      <c r="T474" s="11"/>
      <c r="U474" s="11"/>
      <c r="V474" s="11"/>
      <c r="W474" s="11"/>
      <c r="X474" s="11"/>
      <c r="Y474" s="11"/>
      <c r="Z474" s="48"/>
      <c r="AA474" s="52"/>
      <c r="AB474" s="52"/>
      <c r="AC474" s="118"/>
      <c r="AD474" s="5"/>
      <c r="AE474" s="52"/>
      <c r="AF474" s="113"/>
      <c r="AG474" s="113"/>
      <c r="AH474" s="113"/>
      <c r="AI474" s="52"/>
      <c r="AJ474" s="11"/>
      <c r="AK474" s="269">
        <v>1129000</v>
      </c>
      <c r="AL474" s="269">
        <v>214510</v>
      </c>
      <c r="AM474" s="116">
        <v>1343510</v>
      </c>
      <c r="AN474" s="301" t="s">
        <v>37</v>
      </c>
      <c r="AO474" s="302" t="s">
        <v>2250</v>
      </c>
      <c r="AP474" s="11"/>
      <c r="AQ474" s="11"/>
      <c r="AR474" s="11"/>
      <c r="AS474" s="11"/>
      <c r="AT474" s="11"/>
      <c r="AU474" s="118">
        <v>1189278</v>
      </c>
      <c r="AV474" s="118">
        <v>225963</v>
      </c>
      <c r="AW474" s="118">
        <v>1415241</v>
      </c>
      <c r="AX474" s="52" t="s">
        <v>607</v>
      </c>
      <c r="AY474" s="52" t="s">
        <v>2251</v>
      </c>
      <c r="AZ474" s="11"/>
      <c r="BA474" s="11"/>
      <c r="BB474" s="11"/>
      <c r="BC474" s="11"/>
      <c r="BD474" s="11"/>
      <c r="BE474" s="274">
        <v>2060000</v>
      </c>
      <c r="BF474" s="274">
        <v>391400</v>
      </c>
      <c r="BG474" s="274">
        <v>2451400</v>
      </c>
      <c r="BH474" s="11" t="s">
        <v>37</v>
      </c>
      <c r="BI474" s="11" t="s">
        <v>2251</v>
      </c>
      <c r="BJ474" s="311"/>
      <c r="BK474" s="311"/>
      <c r="BL474" s="311"/>
      <c r="BM474" s="52"/>
      <c r="BN474" s="52"/>
      <c r="BO474" s="387"/>
      <c r="BP474" s="320"/>
      <c r="BQ474" s="320"/>
      <c r="BR474" s="4"/>
      <c r="BS474" s="4"/>
      <c r="BT474" s="11"/>
      <c r="BU474" s="11"/>
      <c r="BV474" s="11"/>
      <c r="BW474" s="11"/>
      <c r="BX474" s="11"/>
      <c r="BY474" s="348"/>
      <c r="BZ474" s="348"/>
      <c r="CA474" s="348"/>
      <c r="CB474" s="348"/>
      <c r="CC474" s="348"/>
      <c r="CD474" s="11"/>
      <c r="CE474" s="11"/>
      <c r="CF474" s="11"/>
      <c r="CG474" s="11"/>
      <c r="CH474" s="11"/>
      <c r="CI474" s="11"/>
      <c r="CJ474" s="11"/>
      <c r="CK474" s="11"/>
      <c r="CL474" s="11"/>
      <c r="CM474" s="11"/>
      <c r="CN474" s="274"/>
      <c r="CO474" s="274"/>
      <c r="CP474" s="274"/>
      <c r="CQ474" s="11"/>
      <c r="CR474" s="11"/>
      <c r="CS474" s="11"/>
      <c r="CT474" s="11"/>
      <c r="CU474" s="11"/>
      <c r="CV474" s="11"/>
      <c r="CW474" s="11"/>
      <c r="CX474" s="11"/>
      <c r="CY474" s="11"/>
      <c r="CZ474" s="11"/>
      <c r="DA474" s="11"/>
      <c r="DB474" s="11"/>
      <c r="DC474" s="11"/>
      <c r="DD474" s="11"/>
      <c r="DE474" s="11"/>
      <c r="DF474" s="11"/>
      <c r="DG474" s="11"/>
      <c r="DH474" s="11"/>
      <c r="DI474" s="11"/>
      <c r="DJ474" s="11"/>
      <c r="DK474" s="11"/>
      <c r="DL474" s="11"/>
      <c r="DM474" s="118"/>
      <c r="DN474" s="118"/>
      <c r="DO474" s="118"/>
      <c r="DP474" s="52"/>
      <c r="DQ474" s="52"/>
      <c r="DR474" s="77"/>
      <c r="DS474" s="77"/>
      <c r="DT474" s="77"/>
      <c r="DU474" s="11"/>
      <c r="DV474" s="11"/>
      <c r="DW474" s="11"/>
      <c r="DX474" s="11"/>
      <c r="DY474" s="11"/>
      <c r="DZ474" s="11"/>
      <c r="EA474" s="11"/>
      <c r="EB474" s="11"/>
      <c r="EC474" s="11"/>
      <c r="ED474" s="11"/>
      <c r="EE474" s="11"/>
      <c r="EF474" s="11"/>
    </row>
    <row r="475" spans="1:136" ht="27" x14ac:dyDescent="0.25">
      <c r="A475" s="425">
        <v>473</v>
      </c>
      <c r="B475" s="427" t="s">
        <v>2252</v>
      </c>
      <c r="C475" s="413" t="s">
        <v>2253</v>
      </c>
      <c r="D475" s="413" t="s">
        <v>2249</v>
      </c>
      <c r="E475" s="79">
        <v>1</v>
      </c>
      <c r="F475" s="404">
        <v>2388068.2000000002</v>
      </c>
      <c r="G475" s="274"/>
      <c r="H475" s="274"/>
      <c r="I475" s="274"/>
      <c r="J475" s="274"/>
      <c r="K475" s="11"/>
      <c r="L475" s="274"/>
      <c r="M475" s="274"/>
      <c r="N475" s="274"/>
      <c r="O475" s="48"/>
      <c r="P475" s="11"/>
      <c r="Q475" s="274"/>
      <c r="R475" s="274"/>
      <c r="S475" s="274"/>
      <c r="T475" s="11"/>
      <c r="U475" s="11"/>
      <c r="V475" s="11"/>
      <c r="W475" s="11"/>
      <c r="X475" s="11"/>
      <c r="Y475" s="11"/>
      <c r="Z475" s="48"/>
      <c r="AA475" s="52"/>
      <c r="AB475" s="52"/>
      <c r="AC475" s="118"/>
      <c r="AD475" s="5"/>
      <c r="AE475" s="52"/>
      <c r="AF475" s="113"/>
      <c r="AG475" s="113"/>
      <c r="AH475" s="113"/>
      <c r="AI475" s="52"/>
      <c r="AJ475" s="11"/>
      <c r="AK475" s="269">
        <v>1299000</v>
      </c>
      <c r="AL475" s="269">
        <v>246810</v>
      </c>
      <c r="AM475" s="116">
        <v>1545810</v>
      </c>
      <c r="AN475" s="301" t="s">
        <v>37</v>
      </c>
      <c r="AO475" s="302" t="s">
        <v>2254</v>
      </c>
      <c r="AP475" s="11"/>
      <c r="AQ475" s="11"/>
      <c r="AR475" s="11"/>
      <c r="AS475" s="11"/>
      <c r="AT475" s="11"/>
      <c r="AU475" s="118">
        <v>1368355</v>
      </c>
      <c r="AV475" s="118">
        <v>259987</v>
      </c>
      <c r="AW475" s="118">
        <v>1628342</v>
      </c>
      <c r="AX475" s="52" t="s">
        <v>607</v>
      </c>
      <c r="AY475" s="52" t="s">
        <v>2255</v>
      </c>
      <c r="AZ475" s="11"/>
      <c r="BA475" s="11"/>
      <c r="BB475" s="11"/>
      <c r="BC475" s="11"/>
      <c r="BD475" s="11"/>
      <c r="BE475" s="274">
        <v>2371000</v>
      </c>
      <c r="BF475" s="274">
        <v>450490</v>
      </c>
      <c r="BG475" s="274">
        <v>2821490</v>
      </c>
      <c r="BH475" s="11" t="s">
        <v>37</v>
      </c>
      <c r="BI475" s="11" t="s">
        <v>2255</v>
      </c>
      <c r="BJ475" s="311"/>
      <c r="BK475" s="311"/>
      <c r="BL475" s="311"/>
      <c r="BM475" s="52"/>
      <c r="BN475" s="52"/>
      <c r="BO475" s="387"/>
      <c r="BP475" s="320"/>
      <c r="BQ475" s="320"/>
      <c r="BR475" s="4"/>
      <c r="BS475" s="4"/>
      <c r="BT475" s="11"/>
      <c r="BU475" s="11"/>
      <c r="BV475" s="11"/>
      <c r="BW475" s="11"/>
      <c r="BX475" s="11"/>
      <c r="BY475" s="348"/>
      <c r="BZ475" s="348"/>
      <c r="CA475" s="348"/>
      <c r="CB475" s="348"/>
      <c r="CC475" s="348"/>
      <c r="CD475" s="11"/>
      <c r="CE475" s="11"/>
      <c r="CF475" s="11"/>
      <c r="CG475" s="11"/>
      <c r="CH475" s="11"/>
      <c r="CI475" s="11"/>
      <c r="CJ475" s="11"/>
      <c r="CK475" s="11"/>
      <c r="CL475" s="11"/>
      <c r="CM475" s="11"/>
      <c r="CN475" s="274"/>
      <c r="CO475" s="274"/>
      <c r="CP475" s="274"/>
      <c r="CQ475" s="11"/>
      <c r="CR475" s="11"/>
      <c r="CS475" s="11"/>
      <c r="CT475" s="11"/>
      <c r="CU475" s="11"/>
      <c r="CV475" s="11"/>
      <c r="CW475" s="11"/>
      <c r="CX475" s="11"/>
      <c r="CY475" s="11"/>
      <c r="CZ475" s="11"/>
      <c r="DA475" s="11"/>
      <c r="DB475" s="11"/>
      <c r="DC475" s="11"/>
      <c r="DD475" s="11"/>
      <c r="DE475" s="11"/>
      <c r="DF475" s="11"/>
      <c r="DG475" s="11"/>
      <c r="DH475" s="11"/>
      <c r="DI475" s="11"/>
      <c r="DJ475" s="11"/>
      <c r="DK475" s="11"/>
      <c r="DL475" s="11"/>
      <c r="DM475" s="118"/>
      <c r="DN475" s="118"/>
      <c r="DO475" s="118"/>
      <c r="DP475" s="52"/>
      <c r="DQ475" s="52"/>
      <c r="DR475" s="77"/>
      <c r="DS475" s="77"/>
      <c r="DT475" s="77"/>
      <c r="DU475" s="11"/>
      <c r="DV475" s="11"/>
      <c r="DW475" s="11"/>
      <c r="DX475" s="11"/>
      <c r="DY475" s="11"/>
      <c r="DZ475" s="11"/>
      <c r="EA475" s="11"/>
      <c r="EB475" s="11"/>
      <c r="EC475" s="11"/>
      <c r="ED475" s="11"/>
      <c r="EE475" s="11"/>
      <c r="EF475" s="11"/>
    </row>
    <row r="476" spans="1:136" ht="13.5" x14ac:dyDescent="0.25">
      <c r="A476" s="425">
        <v>474</v>
      </c>
      <c r="B476" s="428" t="s">
        <v>2256</v>
      </c>
      <c r="C476" s="413" t="s">
        <v>753</v>
      </c>
      <c r="D476" s="428" t="s">
        <v>783</v>
      </c>
      <c r="E476" s="79">
        <v>1</v>
      </c>
      <c r="F476" s="405"/>
      <c r="G476" s="274"/>
      <c r="H476" s="274"/>
      <c r="I476" s="274"/>
      <c r="J476" s="274"/>
      <c r="K476" s="11"/>
      <c r="L476" s="274"/>
      <c r="M476" s="274"/>
      <c r="N476" s="274"/>
      <c r="O476" s="48"/>
      <c r="P476" s="11"/>
      <c r="Q476" s="274"/>
      <c r="R476" s="274"/>
      <c r="S476" s="274"/>
      <c r="T476" s="11"/>
      <c r="U476" s="11"/>
      <c r="V476" s="11"/>
      <c r="W476" s="11"/>
      <c r="X476" s="11"/>
      <c r="Y476" s="11"/>
      <c r="Z476" s="48"/>
      <c r="AA476" s="52"/>
      <c r="AB476" s="52"/>
      <c r="AC476" s="118"/>
      <c r="AD476" s="5"/>
      <c r="AE476" s="52"/>
      <c r="AF476" s="113"/>
      <c r="AG476" s="113"/>
      <c r="AH476" s="113"/>
      <c r="AI476" s="52"/>
      <c r="AJ476" s="11"/>
      <c r="AK476" s="269"/>
      <c r="AL476" s="269"/>
      <c r="AM476" s="116"/>
      <c r="AN476" s="301"/>
      <c r="AO476" s="302"/>
      <c r="AP476" s="11"/>
      <c r="AQ476" s="11"/>
      <c r="AR476" s="11"/>
      <c r="AS476" s="11"/>
      <c r="AT476" s="11"/>
      <c r="AU476" s="118">
        <v>417143</v>
      </c>
      <c r="AV476" s="118">
        <v>79257</v>
      </c>
      <c r="AW476" s="118">
        <v>496400</v>
      </c>
      <c r="AX476" s="52" t="s">
        <v>607</v>
      </c>
      <c r="AY476" s="52" t="s">
        <v>2257</v>
      </c>
      <c r="AZ476" s="11"/>
      <c r="BA476" s="11"/>
      <c r="BB476" s="11"/>
      <c r="BC476" s="11"/>
      <c r="BD476" s="11"/>
      <c r="BE476" s="274"/>
      <c r="BF476" s="274"/>
      <c r="BG476" s="274"/>
      <c r="BH476" s="11"/>
      <c r="BI476" s="11"/>
      <c r="BJ476" s="311"/>
      <c r="BK476" s="311"/>
      <c r="BL476" s="311"/>
      <c r="BM476" s="52"/>
      <c r="BN476" s="52"/>
      <c r="BO476" s="387"/>
      <c r="BP476" s="320"/>
      <c r="BQ476" s="320"/>
      <c r="BR476" s="4"/>
      <c r="BS476" s="4"/>
      <c r="BT476" s="11"/>
      <c r="BU476" s="11"/>
      <c r="BV476" s="11"/>
      <c r="BW476" s="11"/>
      <c r="BX476" s="11"/>
      <c r="BY476" s="348"/>
      <c r="BZ476" s="348"/>
      <c r="CA476" s="348"/>
      <c r="CB476" s="348"/>
      <c r="CC476" s="348"/>
      <c r="CD476" s="11"/>
      <c r="CE476" s="11"/>
      <c r="CF476" s="11"/>
      <c r="CG476" s="11"/>
      <c r="CH476" s="11"/>
      <c r="CI476" s="11"/>
      <c r="CJ476" s="11"/>
      <c r="CK476" s="11"/>
      <c r="CL476" s="11"/>
      <c r="CM476" s="11"/>
      <c r="CN476" s="274"/>
      <c r="CO476" s="274"/>
      <c r="CP476" s="274"/>
      <c r="CQ476" s="11"/>
      <c r="CR476" s="11"/>
      <c r="CS476" s="11"/>
      <c r="CT476" s="11"/>
      <c r="CU476" s="11"/>
      <c r="CV476" s="11"/>
      <c r="CW476" s="11"/>
      <c r="CX476" s="11"/>
      <c r="CY476" s="11"/>
      <c r="CZ476" s="11"/>
      <c r="DA476" s="11"/>
      <c r="DB476" s="11"/>
      <c r="DC476" s="11"/>
      <c r="DD476" s="11"/>
      <c r="DE476" s="11"/>
      <c r="DF476" s="11"/>
      <c r="DG476" s="11"/>
      <c r="DH476" s="11"/>
      <c r="DI476" s="11"/>
      <c r="DJ476" s="11"/>
      <c r="DK476" s="11"/>
      <c r="DL476" s="11"/>
      <c r="DM476" s="118"/>
      <c r="DN476" s="118"/>
      <c r="DO476" s="118"/>
      <c r="DP476" s="52"/>
      <c r="DQ476" s="52"/>
      <c r="DR476" s="77"/>
      <c r="DS476" s="77"/>
      <c r="DT476" s="77"/>
      <c r="DU476" s="11"/>
      <c r="DV476" s="11"/>
      <c r="DW476" s="11"/>
      <c r="DX476" s="11"/>
      <c r="DY476" s="11"/>
      <c r="DZ476" s="11"/>
      <c r="EA476" s="11"/>
      <c r="EB476" s="11"/>
      <c r="EC476" s="11"/>
      <c r="ED476" s="11"/>
      <c r="EE476" s="11"/>
      <c r="EF476" s="11"/>
    </row>
    <row r="477" spans="1:136" ht="13.5" x14ac:dyDescent="0.25">
      <c r="A477" s="425">
        <v>475</v>
      </c>
      <c r="B477" s="427" t="s">
        <v>2258</v>
      </c>
      <c r="C477" s="413" t="s">
        <v>2259</v>
      </c>
      <c r="D477" s="413" t="s">
        <v>132</v>
      </c>
      <c r="E477" s="79">
        <v>1</v>
      </c>
      <c r="F477" s="406">
        <v>928832.84200000006</v>
      </c>
      <c r="G477" s="274"/>
      <c r="H477" s="274"/>
      <c r="I477" s="274"/>
      <c r="J477" s="274"/>
      <c r="K477" s="11"/>
      <c r="L477" s="274"/>
      <c r="M477" s="274"/>
      <c r="N477" s="274"/>
      <c r="O477" s="48"/>
      <c r="P477" s="11"/>
      <c r="Q477" s="274"/>
      <c r="R477" s="274"/>
      <c r="S477" s="274"/>
      <c r="T477" s="11"/>
      <c r="U477" s="11"/>
      <c r="V477" s="11"/>
      <c r="W477" s="11"/>
      <c r="X477" s="11"/>
      <c r="Y477" s="11"/>
      <c r="Z477" s="48"/>
      <c r="AA477" s="52"/>
      <c r="AB477" s="52"/>
      <c r="AC477" s="118"/>
      <c r="AD477" s="5"/>
      <c r="AE477" s="52"/>
      <c r="AF477" s="113"/>
      <c r="AG477" s="113"/>
      <c r="AH477" s="113"/>
      <c r="AI477" s="52"/>
      <c r="AJ477" s="11"/>
      <c r="AK477" s="269">
        <v>188000</v>
      </c>
      <c r="AL477" s="269">
        <v>35720</v>
      </c>
      <c r="AM477" s="116">
        <v>223720</v>
      </c>
      <c r="AN477" s="301" t="s">
        <v>37</v>
      </c>
      <c r="AO477" s="302" t="s">
        <v>2260</v>
      </c>
      <c r="AP477" s="11"/>
      <c r="AQ477" s="11"/>
      <c r="AR477" s="11"/>
      <c r="AS477" s="11"/>
      <c r="AT477" s="11"/>
      <c r="AU477" s="118">
        <v>198038</v>
      </c>
      <c r="AV477" s="118">
        <v>37627</v>
      </c>
      <c r="AW477" s="118">
        <v>235665</v>
      </c>
      <c r="AX477" s="52" t="s">
        <v>607</v>
      </c>
      <c r="AY477" s="52" t="s">
        <v>2260</v>
      </c>
      <c r="AZ477" s="11"/>
      <c r="BA477" s="11"/>
      <c r="BB477" s="11"/>
      <c r="BC477" s="11"/>
      <c r="BD477" s="11"/>
      <c r="BE477" s="274">
        <v>688000</v>
      </c>
      <c r="BF477" s="274">
        <v>130720</v>
      </c>
      <c r="BG477" s="274">
        <v>818720</v>
      </c>
      <c r="BH477" s="11" t="s">
        <v>37</v>
      </c>
      <c r="BI477" s="11" t="s">
        <v>2260</v>
      </c>
      <c r="BJ477" s="311"/>
      <c r="BK477" s="311"/>
      <c r="BL477" s="311"/>
      <c r="BM477" s="52"/>
      <c r="BN477" s="52"/>
      <c r="BO477" s="387"/>
      <c r="BP477" s="320"/>
      <c r="BQ477" s="320"/>
      <c r="BR477" s="4"/>
      <c r="BS477" s="4"/>
      <c r="BT477" s="11"/>
      <c r="BU477" s="11"/>
      <c r="BV477" s="11"/>
      <c r="BW477" s="11"/>
      <c r="BX477" s="11"/>
      <c r="BY477" s="348"/>
      <c r="BZ477" s="348"/>
      <c r="CA477" s="348"/>
      <c r="CB477" s="348"/>
      <c r="CC477" s="348"/>
      <c r="CD477" s="11"/>
      <c r="CE477" s="11"/>
      <c r="CF477" s="11"/>
      <c r="CG477" s="11"/>
      <c r="CH477" s="11"/>
      <c r="CI477" s="11"/>
      <c r="CJ477" s="11"/>
      <c r="CK477" s="11"/>
      <c r="CL477" s="11"/>
      <c r="CM477" s="11"/>
      <c r="CN477" s="274"/>
      <c r="CO477" s="274"/>
      <c r="CP477" s="274"/>
      <c r="CQ477" s="11"/>
      <c r="CR477" s="11"/>
      <c r="CS477" s="11"/>
      <c r="CT477" s="11"/>
      <c r="CU477" s="11"/>
      <c r="CV477" s="11"/>
      <c r="CW477" s="11"/>
      <c r="CX477" s="11"/>
      <c r="CY477" s="11"/>
      <c r="CZ477" s="11"/>
      <c r="DA477" s="11"/>
      <c r="DB477" s="11"/>
      <c r="DC477" s="11"/>
      <c r="DD477" s="11"/>
      <c r="DE477" s="11"/>
      <c r="DF477" s="11"/>
      <c r="DG477" s="11"/>
      <c r="DH477" s="11"/>
      <c r="DI477" s="11"/>
      <c r="DJ477" s="11"/>
      <c r="DK477" s="11"/>
      <c r="DL477" s="11"/>
      <c r="DM477" s="118"/>
      <c r="DN477" s="118"/>
      <c r="DO477" s="118"/>
      <c r="DP477" s="52"/>
      <c r="DQ477" s="52"/>
      <c r="DR477" s="77"/>
      <c r="DS477" s="77"/>
      <c r="DT477" s="77"/>
      <c r="DU477" s="11"/>
      <c r="DV477" s="11"/>
      <c r="DW477" s="11"/>
      <c r="DX477" s="11"/>
      <c r="DY477" s="11"/>
      <c r="DZ477" s="11"/>
      <c r="EA477" s="11"/>
      <c r="EB477" s="11"/>
      <c r="EC477" s="11"/>
      <c r="ED477" s="11"/>
      <c r="EE477" s="11"/>
      <c r="EF477" s="11"/>
    </row>
    <row r="478" spans="1:136" ht="13.5" x14ac:dyDescent="0.25">
      <c r="A478" s="425">
        <v>476</v>
      </c>
      <c r="B478" s="427" t="s">
        <v>2261</v>
      </c>
      <c r="C478" s="413" t="s">
        <v>2262</v>
      </c>
      <c r="D478" s="413" t="s">
        <v>233</v>
      </c>
      <c r="E478" s="79">
        <v>1</v>
      </c>
      <c r="F478" s="406">
        <v>8375834.9920000006</v>
      </c>
      <c r="G478" s="274"/>
      <c r="H478" s="274"/>
      <c r="I478" s="274"/>
      <c r="J478" s="274"/>
      <c r="K478" s="11"/>
      <c r="L478" s="274"/>
      <c r="M478" s="274"/>
      <c r="N478" s="274"/>
      <c r="O478" s="48"/>
      <c r="P478" s="11"/>
      <c r="Q478" s="274"/>
      <c r="R478" s="274"/>
      <c r="S478" s="274"/>
      <c r="T478" s="11"/>
      <c r="U478" s="11"/>
      <c r="V478" s="11"/>
      <c r="W478" s="11"/>
      <c r="X478" s="11"/>
      <c r="Y478" s="11"/>
      <c r="Z478" s="48"/>
      <c r="AA478" s="52"/>
      <c r="AB478" s="52"/>
      <c r="AC478" s="118"/>
      <c r="AD478" s="5"/>
      <c r="AE478" s="52"/>
      <c r="AF478" s="113"/>
      <c r="AG478" s="113"/>
      <c r="AH478" s="113"/>
      <c r="AI478" s="52"/>
      <c r="AJ478" s="11"/>
      <c r="AK478" s="269">
        <v>4679000</v>
      </c>
      <c r="AL478" s="269">
        <v>889010</v>
      </c>
      <c r="AM478" s="116">
        <v>5568010</v>
      </c>
      <c r="AN478" s="301" t="s">
        <v>37</v>
      </c>
      <c r="AO478" s="302" t="s">
        <v>2263</v>
      </c>
      <c r="AP478" s="11"/>
      <c r="AQ478" s="11"/>
      <c r="AR478" s="11"/>
      <c r="AS478" s="11"/>
      <c r="AT478" s="11"/>
      <c r="AU478" s="118">
        <v>5242727</v>
      </c>
      <c r="AV478" s="118">
        <v>996118</v>
      </c>
      <c r="AW478" s="118">
        <v>6238845</v>
      </c>
      <c r="AX478" s="52" t="s">
        <v>607</v>
      </c>
      <c r="AY478" s="52" t="s">
        <v>2263</v>
      </c>
      <c r="AZ478" s="11"/>
      <c r="BA478" s="11"/>
      <c r="BB478" s="11"/>
      <c r="BC478" s="11"/>
      <c r="BD478" s="11"/>
      <c r="BE478" s="274">
        <v>9083000</v>
      </c>
      <c r="BF478" s="274">
        <v>1725770</v>
      </c>
      <c r="BG478" s="274">
        <v>10808770</v>
      </c>
      <c r="BH478" s="11" t="s">
        <v>37</v>
      </c>
      <c r="BI478" s="11" t="s">
        <v>2263</v>
      </c>
      <c r="BJ478" s="311"/>
      <c r="BK478" s="311"/>
      <c r="BL478" s="311"/>
      <c r="BM478" s="52"/>
      <c r="BN478" s="52"/>
      <c r="BO478" s="387">
        <v>603860</v>
      </c>
      <c r="BP478" s="320">
        <f>BO478*0.19</f>
        <v>114733.4</v>
      </c>
      <c r="BQ478" s="320">
        <f>BO478+BP478</f>
        <v>718593.4</v>
      </c>
      <c r="BR478" s="4" t="s">
        <v>2264</v>
      </c>
      <c r="BS478" s="4" t="s">
        <v>2265</v>
      </c>
      <c r="BT478" s="11"/>
      <c r="BU478" s="11"/>
      <c r="BV478" s="11"/>
      <c r="BW478" s="11"/>
      <c r="BX478" s="11"/>
      <c r="BY478" s="348"/>
      <c r="BZ478" s="348"/>
      <c r="CA478" s="348"/>
      <c r="CB478" s="348"/>
      <c r="CC478" s="348"/>
      <c r="CD478" s="11"/>
      <c r="CE478" s="11"/>
      <c r="CF478" s="11"/>
      <c r="CG478" s="11"/>
      <c r="CH478" s="11"/>
      <c r="CI478" s="11"/>
      <c r="CJ478" s="11"/>
      <c r="CK478" s="11"/>
      <c r="CL478" s="11"/>
      <c r="CM478" s="11"/>
      <c r="CN478" s="274"/>
      <c r="CO478" s="274"/>
      <c r="CP478" s="274"/>
      <c r="CQ478" s="11"/>
      <c r="CR478" s="11"/>
      <c r="CS478" s="11"/>
      <c r="CT478" s="11"/>
      <c r="CU478" s="11"/>
      <c r="CV478" s="11"/>
      <c r="CW478" s="11"/>
      <c r="CX478" s="11"/>
      <c r="CY478" s="11"/>
      <c r="CZ478" s="11"/>
      <c r="DA478" s="11"/>
      <c r="DB478" s="11"/>
      <c r="DC478" s="11"/>
      <c r="DD478" s="11"/>
      <c r="DE478" s="11"/>
      <c r="DF478" s="11"/>
      <c r="DG478" s="11"/>
      <c r="DH478" s="11"/>
      <c r="DI478" s="11"/>
      <c r="DJ478" s="11"/>
      <c r="DK478" s="11"/>
      <c r="DL478" s="11"/>
      <c r="DM478" s="118"/>
      <c r="DN478" s="118"/>
      <c r="DO478" s="118"/>
      <c r="DP478" s="52"/>
      <c r="DQ478" s="52"/>
      <c r="DR478" s="77"/>
      <c r="DS478" s="77"/>
      <c r="DT478" s="77"/>
      <c r="DU478" s="11"/>
      <c r="DV478" s="11"/>
      <c r="DW478" s="11"/>
      <c r="DX478" s="11"/>
      <c r="DY478" s="11"/>
      <c r="DZ478" s="11"/>
      <c r="EA478" s="11"/>
      <c r="EB478" s="11"/>
      <c r="EC478" s="11"/>
      <c r="ED478" s="11"/>
      <c r="EE478" s="11"/>
      <c r="EF478" s="11"/>
    </row>
    <row r="479" spans="1:136" ht="27" x14ac:dyDescent="0.25">
      <c r="A479" s="425">
        <v>477</v>
      </c>
      <c r="B479" s="428" t="s">
        <v>2266</v>
      </c>
      <c r="C479" s="413" t="s">
        <v>676</v>
      </c>
      <c r="D479" s="586" t="s">
        <v>132</v>
      </c>
      <c r="E479" s="79">
        <v>1</v>
      </c>
      <c r="F479" s="405"/>
      <c r="G479" s="274">
        <v>902500</v>
      </c>
      <c r="H479" s="274">
        <v>171475</v>
      </c>
      <c r="I479" s="274">
        <v>1073975</v>
      </c>
      <c r="J479" s="274" t="s">
        <v>45</v>
      </c>
      <c r="K479" s="11" t="s">
        <v>2267</v>
      </c>
      <c r="L479" s="274"/>
      <c r="M479" s="274"/>
      <c r="N479" s="274"/>
      <c r="O479" s="48"/>
      <c r="P479" s="11"/>
      <c r="Q479" s="274"/>
      <c r="R479" s="274"/>
      <c r="S479" s="274"/>
      <c r="T479" s="11"/>
      <c r="U479" s="11"/>
      <c r="V479" s="11"/>
      <c r="W479" s="11"/>
      <c r="X479" s="11"/>
      <c r="Y479" s="11"/>
      <c r="Z479" s="48"/>
      <c r="AA479" s="52"/>
      <c r="AB479" s="52"/>
      <c r="AC479" s="118"/>
      <c r="AD479" s="5"/>
      <c r="AE479" s="52"/>
      <c r="AF479" s="113">
        <v>452000</v>
      </c>
      <c r="AG479" s="113">
        <f>AF479*0.19</f>
        <v>85880</v>
      </c>
      <c r="AH479" s="113">
        <f>AF479+AG479</f>
        <v>537880</v>
      </c>
      <c r="AI479" s="277" t="s">
        <v>628</v>
      </c>
      <c r="AJ479" s="33" t="s">
        <v>2268</v>
      </c>
      <c r="AK479" s="269">
        <v>214890</v>
      </c>
      <c r="AL479" s="269">
        <v>40829.1</v>
      </c>
      <c r="AM479" s="116">
        <v>255719.1</v>
      </c>
      <c r="AN479" s="301" t="s">
        <v>88</v>
      </c>
      <c r="AO479" s="302">
        <v>1011920250</v>
      </c>
      <c r="AP479" s="11"/>
      <c r="AQ479" s="11"/>
      <c r="AR479" s="11"/>
      <c r="AS479" s="11"/>
      <c r="AT479" s="11"/>
      <c r="AU479" s="118">
        <v>519322</v>
      </c>
      <c r="AV479" s="118">
        <v>98671</v>
      </c>
      <c r="AW479" s="118">
        <v>617993</v>
      </c>
      <c r="AX479" s="52" t="s">
        <v>607</v>
      </c>
      <c r="AY479" s="52" t="s">
        <v>2269</v>
      </c>
      <c r="AZ479" s="11"/>
      <c r="BA479" s="11"/>
      <c r="BB479" s="11"/>
      <c r="BC479" s="11"/>
      <c r="BD479" s="11"/>
      <c r="BE479" s="274"/>
      <c r="BF479" s="274"/>
      <c r="BG479" s="274"/>
      <c r="BH479" s="11"/>
      <c r="BI479" s="11"/>
      <c r="BJ479" s="311"/>
      <c r="BK479" s="311"/>
      <c r="BL479" s="311"/>
      <c r="BM479" s="52"/>
      <c r="BN479" s="52"/>
      <c r="BO479" s="387"/>
      <c r="BP479" s="320"/>
      <c r="BQ479" s="320"/>
      <c r="BR479" s="4"/>
      <c r="BS479" s="4"/>
      <c r="BT479" s="11"/>
      <c r="BU479" s="11"/>
      <c r="BV479" s="11"/>
      <c r="BW479" s="11"/>
      <c r="BX479" s="11"/>
      <c r="BY479" s="348"/>
      <c r="BZ479" s="348"/>
      <c r="CA479" s="348"/>
      <c r="CB479" s="348"/>
      <c r="CC479" s="348"/>
      <c r="CD479" s="11"/>
      <c r="CE479" s="11"/>
      <c r="CF479" s="11"/>
      <c r="CG479" s="11"/>
      <c r="CH479" s="11"/>
      <c r="CI479" s="11"/>
      <c r="CJ479" s="11"/>
      <c r="CK479" s="11"/>
      <c r="CL479" s="11"/>
      <c r="CM479" s="11"/>
      <c r="CN479" s="274"/>
      <c r="CO479" s="274"/>
      <c r="CP479" s="274"/>
      <c r="CQ479" s="11"/>
      <c r="CR479" s="11"/>
      <c r="CS479" s="11"/>
      <c r="CT479" s="11"/>
      <c r="CU479" s="11"/>
      <c r="CV479" s="11"/>
      <c r="CW479" s="11"/>
      <c r="CX479" s="11"/>
      <c r="CY479" s="11"/>
      <c r="CZ479" s="11"/>
      <c r="DA479" s="11"/>
      <c r="DB479" s="11"/>
      <c r="DC479" s="11"/>
      <c r="DD479" s="11"/>
      <c r="DE479" s="11"/>
      <c r="DF479" s="11"/>
      <c r="DG479" s="11"/>
      <c r="DH479" s="11"/>
      <c r="DI479" s="11"/>
      <c r="DJ479" s="11"/>
      <c r="DK479" s="11"/>
      <c r="DL479" s="11"/>
      <c r="DM479" s="118"/>
      <c r="DN479" s="118"/>
      <c r="DO479" s="118"/>
      <c r="DP479" s="52"/>
      <c r="DQ479" s="52"/>
      <c r="DR479" s="77"/>
      <c r="DS479" s="77"/>
      <c r="DT479" s="77"/>
      <c r="DU479" s="11"/>
      <c r="DV479" s="11"/>
      <c r="DW479" s="11"/>
      <c r="DX479" s="11"/>
      <c r="DY479" s="11"/>
      <c r="DZ479" s="11"/>
      <c r="EA479" s="11"/>
      <c r="EB479" s="11"/>
      <c r="EC479" s="11"/>
      <c r="ED479" s="11"/>
      <c r="EE479" s="11"/>
      <c r="EF479" s="11"/>
    </row>
    <row r="480" spans="1:136" ht="40.5" x14ac:dyDescent="0.25">
      <c r="A480" s="425">
        <v>478</v>
      </c>
      <c r="B480" s="413" t="s">
        <v>2270</v>
      </c>
      <c r="C480" s="413" t="s">
        <v>2271</v>
      </c>
      <c r="D480" s="413" t="s">
        <v>2272</v>
      </c>
      <c r="E480" s="79">
        <v>1</v>
      </c>
      <c r="F480" s="405"/>
      <c r="G480" s="274">
        <v>1725000</v>
      </c>
      <c r="H480" s="274">
        <v>327750</v>
      </c>
      <c r="I480" s="274">
        <v>2052750</v>
      </c>
      <c r="J480" s="274" t="s">
        <v>45</v>
      </c>
      <c r="K480" s="11" t="s">
        <v>2273</v>
      </c>
      <c r="L480" s="274"/>
      <c r="M480" s="274"/>
      <c r="N480" s="274"/>
      <c r="O480" s="48"/>
      <c r="P480" s="11"/>
      <c r="Q480" s="274"/>
      <c r="R480" s="274"/>
      <c r="S480" s="274"/>
      <c r="T480" s="11"/>
      <c r="U480" s="11"/>
      <c r="V480" s="11"/>
      <c r="W480" s="11"/>
      <c r="X480" s="11"/>
      <c r="Y480" s="11"/>
      <c r="Z480" s="48"/>
      <c r="AA480" s="52"/>
      <c r="AB480" s="52"/>
      <c r="AC480" s="118"/>
      <c r="AD480" s="5"/>
      <c r="AE480" s="52"/>
      <c r="AF480" s="113"/>
      <c r="AG480" s="113"/>
      <c r="AH480" s="113"/>
      <c r="AI480" s="52"/>
      <c r="AJ480" s="11"/>
      <c r="AK480" s="269">
        <v>1482570</v>
      </c>
      <c r="AL480" s="269">
        <v>281688.3</v>
      </c>
      <c r="AM480" s="116">
        <v>1764258.3</v>
      </c>
      <c r="AN480" s="301" t="s">
        <v>88</v>
      </c>
      <c r="AO480" s="302">
        <v>1122200500</v>
      </c>
      <c r="AP480" s="11"/>
      <c r="AQ480" s="11"/>
      <c r="AR480" s="11"/>
      <c r="AS480" s="11"/>
      <c r="AT480" s="11"/>
      <c r="AU480" s="118">
        <v>1885340</v>
      </c>
      <c r="AV480" s="118">
        <v>358215</v>
      </c>
      <c r="AW480" s="118">
        <v>2243555</v>
      </c>
      <c r="AX480" s="52" t="s">
        <v>607</v>
      </c>
      <c r="AY480" s="52">
        <v>1122200500</v>
      </c>
      <c r="AZ480" s="11"/>
      <c r="BA480" s="11"/>
      <c r="BB480" s="11"/>
      <c r="BC480" s="11"/>
      <c r="BD480" s="11"/>
      <c r="BE480" s="274"/>
      <c r="BF480" s="274"/>
      <c r="BG480" s="274"/>
      <c r="BH480" s="11"/>
      <c r="BI480" s="11"/>
      <c r="BJ480" s="311"/>
      <c r="BK480" s="311"/>
      <c r="BL480" s="311"/>
      <c r="BM480" s="52"/>
      <c r="BN480" s="52"/>
      <c r="BO480" s="387"/>
      <c r="BP480" s="320"/>
      <c r="BQ480" s="320"/>
      <c r="BR480" s="4"/>
      <c r="BS480" s="4"/>
      <c r="BT480" s="11"/>
      <c r="BU480" s="11"/>
      <c r="BV480" s="11"/>
      <c r="BW480" s="11"/>
      <c r="BX480" s="11"/>
      <c r="BY480" s="348"/>
      <c r="BZ480" s="348"/>
      <c r="CA480" s="348"/>
      <c r="CB480" s="348"/>
      <c r="CC480" s="348"/>
      <c r="CD480" s="11"/>
      <c r="CE480" s="11"/>
      <c r="CF480" s="11"/>
      <c r="CG480" s="11"/>
      <c r="CH480" s="11"/>
      <c r="CI480" s="11"/>
      <c r="CJ480" s="11"/>
      <c r="CK480" s="11"/>
      <c r="CL480" s="11"/>
      <c r="CM480" s="11"/>
      <c r="CN480" s="274"/>
      <c r="CO480" s="274"/>
      <c r="CP480" s="274"/>
      <c r="CQ480" s="11"/>
      <c r="CR480" s="11"/>
      <c r="CS480" s="11"/>
      <c r="CT480" s="11"/>
      <c r="CU480" s="11"/>
      <c r="CV480" s="11"/>
      <c r="CW480" s="11"/>
      <c r="CX480" s="11"/>
      <c r="CY480" s="11"/>
      <c r="CZ480" s="11"/>
      <c r="DA480" s="11"/>
      <c r="DB480" s="11"/>
      <c r="DC480" s="11"/>
      <c r="DD480" s="11"/>
      <c r="DE480" s="11"/>
      <c r="DF480" s="11"/>
      <c r="DG480" s="11"/>
      <c r="DH480" s="11"/>
      <c r="DI480" s="11"/>
      <c r="DJ480" s="11"/>
      <c r="DK480" s="11"/>
      <c r="DL480" s="11"/>
      <c r="DM480" s="118"/>
      <c r="DN480" s="118"/>
      <c r="DO480" s="118"/>
      <c r="DP480" s="52"/>
      <c r="DQ480" s="52"/>
      <c r="DR480" s="77"/>
      <c r="DS480" s="77"/>
      <c r="DT480" s="77"/>
      <c r="DU480" s="11"/>
      <c r="DV480" s="11"/>
      <c r="DW480" s="11"/>
      <c r="DX480" s="11"/>
      <c r="DY480" s="11"/>
      <c r="DZ480" s="11"/>
      <c r="EA480" s="11"/>
      <c r="EB480" s="11"/>
      <c r="EC480" s="11"/>
      <c r="ED480" s="11"/>
      <c r="EE480" s="11"/>
      <c r="EF480" s="11"/>
    </row>
    <row r="481" spans="1:136" ht="27" x14ac:dyDescent="0.25">
      <c r="A481" s="425">
        <v>479</v>
      </c>
      <c r="B481" s="427" t="s">
        <v>2274</v>
      </c>
      <c r="C481" s="427" t="s">
        <v>2275</v>
      </c>
      <c r="D481" s="427" t="s">
        <v>132</v>
      </c>
      <c r="E481" s="79">
        <v>1</v>
      </c>
      <c r="F481" s="405"/>
      <c r="G481" s="274"/>
      <c r="H481" s="274"/>
      <c r="I481" s="274"/>
      <c r="J481" s="274"/>
      <c r="K481" s="11"/>
      <c r="L481" s="274"/>
      <c r="M481" s="274"/>
      <c r="N481" s="274"/>
      <c r="O481" s="48"/>
      <c r="P481" s="11"/>
      <c r="Q481" s="274"/>
      <c r="R481" s="274"/>
      <c r="S481" s="274"/>
      <c r="T481" s="11"/>
      <c r="U481" s="11"/>
      <c r="V481" s="11"/>
      <c r="W481" s="11"/>
      <c r="X481" s="11"/>
      <c r="Y481" s="11"/>
      <c r="Z481" s="48"/>
      <c r="AA481" s="52"/>
      <c r="AB481" s="52"/>
      <c r="AC481" s="118"/>
      <c r="AD481" s="5"/>
      <c r="AE481" s="52"/>
      <c r="AF481" s="113">
        <v>262000</v>
      </c>
      <c r="AG481" s="113">
        <f>AF481*0.19</f>
        <v>49780</v>
      </c>
      <c r="AH481" s="113">
        <f>AF481+AG481</f>
        <v>311780</v>
      </c>
      <c r="AI481" s="277" t="s">
        <v>628</v>
      </c>
      <c r="AJ481" s="33" t="s">
        <v>2276</v>
      </c>
      <c r="AK481" s="269">
        <v>231990</v>
      </c>
      <c r="AL481" s="269">
        <v>44078.1</v>
      </c>
      <c r="AM481" s="116">
        <v>276068.09999999998</v>
      </c>
      <c r="AN481" s="301" t="s">
        <v>88</v>
      </c>
      <c r="AO481" s="302">
        <v>1008081000</v>
      </c>
      <c r="AP481" s="11"/>
      <c r="AQ481" s="11"/>
      <c r="AR481" s="11"/>
      <c r="AS481" s="11"/>
      <c r="AT481" s="11"/>
      <c r="AU481" s="118">
        <v>295015</v>
      </c>
      <c r="AV481" s="118">
        <v>56053</v>
      </c>
      <c r="AW481" s="118">
        <v>351068</v>
      </c>
      <c r="AX481" s="52" t="s">
        <v>607</v>
      </c>
      <c r="AY481" s="52">
        <v>1008081000</v>
      </c>
      <c r="AZ481" s="11"/>
      <c r="BA481" s="11"/>
      <c r="BB481" s="11"/>
      <c r="BC481" s="11"/>
      <c r="BD481" s="11"/>
      <c r="BE481" s="274"/>
      <c r="BF481" s="274"/>
      <c r="BG481" s="274"/>
      <c r="BH481" s="11"/>
      <c r="BI481" s="11"/>
      <c r="BJ481" s="311"/>
      <c r="BK481" s="311"/>
      <c r="BL481" s="311"/>
      <c r="BM481" s="52"/>
      <c r="BN481" s="52"/>
      <c r="BO481" s="387"/>
      <c r="BP481" s="320"/>
      <c r="BQ481" s="320"/>
      <c r="BR481" s="4"/>
      <c r="BS481" s="4"/>
      <c r="BT481" s="11"/>
      <c r="BU481" s="11"/>
      <c r="BV481" s="11"/>
      <c r="BW481" s="11"/>
      <c r="BX481" s="11"/>
      <c r="BY481" s="348"/>
      <c r="BZ481" s="348"/>
      <c r="CA481" s="348"/>
      <c r="CB481" s="348"/>
      <c r="CC481" s="348"/>
      <c r="CD481" s="11"/>
      <c r="CE481" s="11"/>
      <c r="CF481" s="11"/>
      <c r="CG481" s="11"/>
      <c r="CH481" s="11"/>
      <c r="CI481" s="11"/>
      <c r="CJ481" s="11"/>
      <c r="CK481" s="11"/>
      <c r="CL481" s="11"/>
      <c r="CM481" s="11"/>
      <c r="CN481" s="274"/>
      <c r="CO481" s="274"/>
      <c r="CP481" s="274"/>
      <c r="CQ481" s="11"/>
      <c r="CR481" s="11"/>
      <c r="CS481" s="11"/>
      <c r="CT481" s="11"/>
      <c r="CU481" s="11"/>
      <c r="CV481" s="11"/>
      <c r="CW481" s="11"/>
      <c r="CX481" s="11"/>
      <c r="CY481" s="11"/>
      <c r="CZ481" s="11"/>
      <c r="DA481" s="11"/>
      <c r="DB481" s="11"/>
      <c r="DC481" s="11"/>
      <c r="DD481" s="11"/>
      <c r="DE481" s="11"/>
      <c r="DF481" s="11"/>
      <c r="DG481" s="11"/>
      <c r="DH481" s="11"/>
      <c r="DI481" s="11"/>
      <c r="DJ481" s="11"/>
      <c r="DK481" s="11"/>
      <c r="DL481" s="11"/>
      <c r="DM481" s="118"/>
      <c r="DN481" s="118"/>
      <c r="DO481" s="118"/>
      <c r="DP481" s="52"/>
      <c r="DQ481" s="52"/>
      <c r="DR481" s="77"/>
      <c r="DS481" s="77"/>
      <c r="DT481" s="77"/>
      <c r="DU481" s="11"/>
      <c r="DV481" s="11"/>
      <c r="DW481" s="11"/>
      <c r="DX481" s="11"/>
      <c r="DY481" s="11"/>
      <c r="DZ481" s="11"/>
      <c r="EA481" s="11"/>
      <c r="EB481" s="11"/>
      <c r="EC481" s="11"/>
      <c r="ED481" s="11"/>
      <c r="EE481" s="11"/>
      <c r="EF481" s="11"/>
    </row>
    <row r="482" spans="1:136" ht="13.5" x14ac:dyDescent="0.25">
      <c r="A482" s="425">
        <v>480</v>
      </c>
      <c r="B482" s="427" t="s">
        <v>2277</v>
      </c>
      <c r="C482" s="413" t="s">
        <v>622</v>
      </c>
      <c r="D482" s="413" t="s">
        <v>515</v>
      </c>
      <c r="E482" s="79">
        <v>1</v>
      </c>
      <c r="F482" s="404">
        <v>209647.25040000002</v>
      </c>
      <c r="G482" s="274">
        <v>400000</v>
      </c>
      <c r="H482" s="274">
        <v>76000</v>
      </c>
      <c r="I482" s="274">
        <v>476000</v>
      </c>
      <c r="J482" s="274" t="s">
        <v>45</v>
      </c>
      <c r="K482" s="11" t="s">
        <v>2278</v>
      </c>
      <c r="L482" s="274"/>
      <c r="M482" s="274"/>
      <c r="N482" s="274"/>
      <c r="O482" s="48"/>
      <c r="P482" s="11"/>
      <c r="Q482" s="274"/>
      <c r="R482" s="274"/>
      <c r="S482" s="274"/>
      <c r="T482" s="11"/>
      <c r="U482" s="11"/>
      <c r="V482" s="11"/>
      <c r="W482" s="11"/>
      <c r="X482" s="11"/>
      <c r="Y482" s="11"/>
      <c r="Z482" s="48"/>
      <c r="AA482" s="52"/>
      <c r="AB482" s="52"/>
      <c r="AC482" s="118"/>
      <c r="AD482" s="5"/>
      <c r="AE482" s="52"/>
      <c r="AF482" s="113"/>
      <c r="AG482" s="113"/>
      <c r="AH482" s="113"/>
      <c r="AI482" s="52"/>
      <c r="AJ482" s="11"/>
      <c r="AK482" s="269"/>
      <c r="AL482" s="269"/>
      <c r="AM482" s="116"/>
      <c r="AN482" s="301"/>
      <c r="AO482" s="302"/>
      <c r="AP482" s="11"/>
      <c r="AQ482" s="11"/>
      <c r="AR482" s="11"/>
      <c r="AS482" s="11"/>
      <c r="AT482" s="11"/>
      <c r="AU482" s="118">
        <v>565385</v>
      </c>
      <c r="AV482" s="118">
        <v>107423</v>
      </c>
      <c r="AW482" s="118">
        <v>672808</v>
      </c>
      <c r="AX482" s="52" t="s">
        <v>607</v>
      </c>
      <c r="AY482" s="52">
        <v>1071501000</v>
      </c>
      <c r="AZ482" s="11"/>
      <c r="BA482" s="11"/>
      <c r="BB482" s="11"/>
      <c r="BC482" s="11"/>
      <c r="BD482" s="11"/>
      <c r="BE482" s="274"/>
      <c r="BF482" s="274"/>
      <c r="BG482" s="274"/>
      <c r="BH482" s="11"/>
      <c r="BI482" s="11"/>
      <c r="BJ482" s="311"/>
      <c r="BK482" s="311"/>
      <c r="BL482" s="311"/>
      <c r="BM482" s="52"/>
      <c r="BN482" s="52"/>
      <c r="BO482" s="387">
        <v>38500</v>
      </c>
      <c r="BP482" s="320">
        <f>BO482*0.19</f>
        <v>7315</v>
      </c>
      <c r="BQ482" s="320">
        <f>BO482+BP482</f>
        <v>45815</v>
      </c>
      <c r="BR482" s="4">
        <v>39601006</v>
      </c>
      <c r="BS482" s="4" t="s">
        <v>2279</v>
      </c>
      <c r="BT482" s="11"/>
      <c r="BU482" s="11"/>
      <c r="BV482" s="11"/>
      <c r="BW482" s="11"/>
      <c r="BX482" s="11"/>
      <c r="BY482" s="348"/>
      <c r="BZ482" s="348"/>
      <c r="CA482" s="348"/>
      <c r="CB482" s="348"/>
      <c r="CC482" s="348"/>
      <c r="CD482" s="11"/>
      <c r="CE482" s="11"/>
      <c r="CF482" s="11"/>
      <c r="CG482" s="11"/>
      <c r="CH482" s="11"/>
      <c r="CI482" s="11"/>
      <c r="CJ482" s="11"/>
      <c r="CK482" s="11"/>
      <c r="CL482" s="11"/>
      <c r="CM482" s="11"/>
      <c r="CN482" s="274"/>
      <c r="CO482" s="274"/>
      <c r="CP482" s="274"/>
      <c r="CQ482" s="11"/>
      <c r="CR482" s="11"/>
      <c r="CS482" s="11"/>
      <c r="CT482" s="11"/>
      <c r="CU482" s="11"/>
      <c r="CV482" s="11"/>
      <c r="CW482" s="11"/>
      <c r="CX482" s="11"/>
      <c r="CY482" s="11"/>
      <c r="CZ482" s="11"/>
      <c r="DA482" s="11"/>
      <c r="DB482" s="11"/>
      <c r="DC482" s="11"/>
      <c r="DD482" s="11"/>
      <c r="DE482" s="11"/>
      <c r="DF482" s="11"/>
      <c r="DG482" s="11"/>
      <c r="DH482" s="11"/>
      <c r="DI482" s="11"/>
      <c r="DJ482" s="11"/>
      <c r="DK482" s="11"/>
      <c r="DL482" s="11"/>
      <c r="DM482" s="118"/>
      <c r="DN482" s="118"/>
      <c r="DO482" s="118"/>
      <c r="DP482" s="52"/>
      <c r="DQ482" s="52"/>
      <c r="DR482" s="77"/>
      <c r="DS482" s="77"/>
      <c r="DT482" s="77"/>
      <c r="DU482" s="11"/>
      <c r="DV482" s="11"/>
      <c r="DW482" s="11"/>
      <c r="DX482" s="11"/>
      <c r="DY482" s="11"/>
      <c r="DZ482" s="11"/>
      <c r="EA482" s="11"/>
      <c r="EB482" s="11"/>
      <c r="EC482" s="11"/>
      <c r="ED482" s="11"/>
      <c r="EE482" s="11"/>
      <c r="EF482" s="11"/>
    </row>
    <row r="483" spans="1:136" ht="27" x14ac:dyDescent="0.25">
      <c r="A483" s="425">
        <v>481</v>
      </c>
      <c r="B483" s="427" t="s">
        <v>2280</v>
      </c>
      <c r="C483" s="427" t="s">
        <v>935</v>
      </c>
      <c r="D483" s="427" t="s">
        <v>1346</v>
      </c>
      <c r="E483" s="79">
        <v>1</v>
      </c>
      <c r="F483" s="405"/>
      <c r="G483" s="274">
        <v>118750</v>
      </c>
      <c r="H483" s="274">
        <v>22562.5</v>
      </c>
      <c r="I483" s="274">
        <v>141312.5</v>
      </c>
      <c r="J483" s="274" t="s">
        <v>45</v>
      </c>
      <c r="K483" s="11" t="s">
        <v>2281</v>
      </c>
      <c r="L483" s="274"/>
      <c r="M483" s="274"/>
      <c r="N483" s="274"/>
      <c r="O483" s="48"/>
      <c r="P483" s="11"/>
      <c r="Q483" s="274"/>
      <c r="R483" s="274"/>
      <c r="S483" s="274"/>
      <c r="T483" s="11"/>
      <c r="U483" s="11"/>
      <c r="V483" s="11"/>
      <c r="W483" s="11"/>
      <c r="X483" s="11"/>
      <c r="Y483" s="11"/>
      <c r="Z483" s="48"/>
      <c r="AA483" s="52"/>
      <c r="AB483" s="52"/>
      <c r="AC483" s="118"/>
      <c r="AD483" s="5"/>
      <c r="AE483" s="52"/>
      <c r="AF483" s="113">
        <v>107000</v>
      </c>
      <c r="AG483" s="113">
        <f>AF483*0.19</f>
        <v>20330</v>
      </c>
      <c r="AH483" s="113">
        <f>AF483+AG483</f>
        <v>127330</v>
      </c>
      <c r="AI483" s="277" t="s">
        <v>628</v>
      </c>
      <c r="AJ483" s="33" t="s">
        <v>2282</v>
      </c>
      <c r="AK483" s="269">
        <v>95000</v>
      </c>
      <c r="AL483" s="269">
        <v>18050</v>
      </c>
      <c r="AM483" s="116">
        <v>113050</v>
      </c>
      <c r="AN483" s="301" t="s">
        <v>45</v>
      </c>
      <c r="AO483" s="307">
        <v>394659.12089999998</v>
      </c>
      <c r="AP483" s="11"/>
      <c r="AQ483" s="11"/>
      <c r="AR483" s="11"/>
      <c r="AS483" s="11"/>
      <c r="AT483" s="11"/>
      <c r="AU483" s="118"/>
      <c r="AV483" s="118"/>
      <c r="AW483" s="118"/>
      <c r="AX483" s="52"/>
      <c r="AY483" s="52"/>
      <c r="AZ483" s="11"/>
      <c r="BA483" s="11"/>
      <c r="BB483" s="11"/>
      <c r="BC483" s="11"/>
      <c r="BD483" s="11"/>
      <c r="BE483" s="274"/>
      <c r="BF483" s="274"/>
      <c r="BG483" s="274"/>
      <c r="BH483" s="11"/>
      <c r="BI483" s="11"/>
      <c r="BJ483" s="311"/>
      <c r="BK483" s="311"/>
      <c r="BL483" s="311"/>
      <c r="BM483" s="52"/>
      <c r="BN483" s="52"/>
      <c r="BO483" s="387"/>
      <c r="BP483" s="320"/>
      <c r="BQ483" s="320"/>
      <c r="BR483" s="4"/>
      <c r="BS483" s="4"/>
      <c r="BT483" s="11"/>
      <c r="BU483" s="11"/>
      <c r="BV483" s="11"/>
      <c r="BW483" s="11"/>
      <c r="BX483" s="11"/>
      <c r="BY483" s="348"/>
      <c r="BZ483" s="348"/>
      <c r="CA483" s="348"/>
      <c r="CB483" s="348"/>
      <c r="CC483" s="348"/>
      <c r="CD483" s="11"/>
      <c r="CE483" s="11"/>
      <c r="CF483" s="11"/>
      <c r="CG483" s="11"/>
      <c r="CH483" s="11"/>
      <c r="CI483" s="11"/>
      <c r="CJ483" s="11"/>
      <c r="CK483" s="11"/>
      <c r="CL483" s="11"/>
      <c r="CM483" s="11"/>
      <c r="CN483" s="274"/>
      <c r="CO483" s="274"/>
      <c r="CP483" s="274"/>
      <c r="CQ483" s="11"/>
      <c r="CR483" s="11"/>
      <c r="CS483" s="11"/>
      <c r="CT483" s="11"/>
      <c r="CU483" s="11"/>
      <c r="CV483" s="11"/>
      <c r="CW483" s="11"/>
      <c r="CX483" s="11"/>
      <c r="CY483" s="11"/>
      <c r="CZ483" s="11"/>
      <c r="DA483" s="11"/>
      <c r="DB483" s="11"/>
      <c r="DC483" s="11"/>
      <c r="DD483" s="11"/>
      <c r="DE483" s="11"/>
      <c r="DF483" s="11"/>
      <c r="DG483" s="11"/>
      <c r="DH483" s="11"/>
      <c r="DI483" s="11"/>
      <c r="DJ483" s="11"/>
      <c r="DK483" s="11"/>
      <c r="DL483" s="11"/>
      <c r="DM483" s="118"/>
      <c r="DN483" s="118"/>
      <c r="DO483" s="118"/>
      <c r="DP483" s="52"/>
      <c r="DQ483" s="52"/>
      <c r="DR483" s="77"/>
      <c r="DS483" s="77"/>
      <c r="DT483" s="77"/>
      <c r="DU483" s="11"/>
      <c r="DV483" s="11"/>
      <c r="DW483" s="11"/>
      <c r="DX483" s="11"/>
      <c r="DY483" s="11"/>
      <c r="DZ483" s="11"/>
      <c r="EA483" s="11"/>
      <c r="EB483" s="11"/>
      <c r="EC483" s="11"/>
      <c r="ED483" s="11"/>
      <c r="EE483" s="11"/>
      <c r="EF483" s="11"/>
    </row>
    <row r="484" spans="1:136" ht="27" x14ac:dyDescent="0.25">
      <c r="A484" s="425">
        <v>482</v>
      </c>
      <c r="B484" s="428" t="s">
        <v>2283</v>
      </c>
      <c r="C484" s="413" t="s">
        <v>2284</v>
      </c>
      <c r="D484" s="428" t="s">
        <v>2285</v>
      </c>
      <c r="E484" s="79">
        <v>1</v>
      </c>
      <c r="F484" s="405"/>
      <c r="G484" s="274"/>
      <c r="H484" s="274"/>
      <c r="I484" s="274"/>
      <c r="J484" s="274"/>
      <c r="K484" s="11"/>
      <c r="L484" s="274"/>
      <c r="M484" s="274"/>
      <c r="N484" s="274"/>
      <c r="O484" s="48"/>
      <c r="P484" s="11"/>
      <c r="Q484" s="274"/>
      <c r="R484" s="274"/>
      <c r="S484" s="274"/>
      <c r="T484" s="11"/>
      <c r="U484" s="11"/>
      <c r="V484" s="11"/>
      <c r="W484" s="11"/>
      <c r="X484" s="11"/>
      <c r="Y484" s="11"/>
      <c r="Z484" s="48"/>
      <c r="AA484" s="52"/>
      <c r="AB484" s="52"/>
      <c r="AC484" s="118"/>
      <c r="AD484" s="5"/>
      <c r="AE484" s="52"/>
      <c r="AF484" s="113"/>
      <c r="AG484" s="113"/>
      <c r="AH484" s="113"/>
      <c r="AI484" s="52"/>
      <c r="AJ484" s="11"/>
      <c r="AK484" s="269"/>
      <c r="AL484" s="269"/>
      <c r="AM484" s="116"/>
      <c r="AN484" s="301"/>
      <c r="AO484" s="302"/>
      <c r="AP484" s="11"/>
      <c r="AQ484" s="11"/>
      <c r="AR484" s="11"/>
      <c r="AS484" s="11"/>
      <c r="AT484" s="11"/>
      <c r="AU484" s="118"/>
      <c r="AV484" s="118"/>
      <c r="AW484" s="118"/>
      <c r="AX484" s="52"/>
      <c r="AY484" s="52"/>
      <c r="AZ484" s="11"/>
      <c r="BA484" s="11"/>
      <c r="BB484" s="11"/>
      <c r="BC484" s="11"/>
      <c r="BD484" s="11"/>
      <c r="BE484" s="274"/>
      <c r="BF484" s="274"/>
      <c r="BG484" s="274"/>
      <c r="BH484" s="11"/>
      <c r="BI484" s="11"/>
      <c r="BJ484" s="311"/>
      <c r="BK484" s="311"/>
      <c r="BL484" s="311"/>
      <c r="BM484" s="52"/>
      <c r="BN484" s="52"/>
      <c r="BO484" s="387"/>
      <c r="BP484" s="320"/>
      <c r="BQ484" s="320"/>
      <c r="BR484" s="4"/>
      <c r="BS484" s="4"/>
      <c r="BT484" s="11"/>
      <c r="BU484" s="11"/>
      <c r="BV484" s="11"/>
      <c r="BW484" s="11"/>
      <c r="BX484" s="11"/>
      <c r="BY484" s="232">
        <v>750000</v>
      </c>
      <c r="BZ484" s="232">
        <f>BY484*0.19</f>
        <v>142500</v>
      </c>
      <c r="CA484" s="232">
        <f>BY484+BZ484</f>
        <v>892500</v>
      </c>
      <c r="CB484" s="348" t="s">
        <v>772</v>
      </c>
      <c r="CC484" s="348">
        <v>80405</v>
      </c>
      <c r="CD484" s="11"/>
      <c r="CE484" s="11"/>
      <c r="CF484" s="11"/>
      <c r="CG484" s="11"/>
      <c r="CH484" s="11"/>
      <c r="CI484" s="11"/>
      <c r="CJ484" s="11"/>
      <c r="CK484" s="11"/>
      <c r="CL484" s="11"/>
      <c r="CM484" s="11"/>
      <c r="CN484" s="274"/>
      <c r="CO484" s="274"/>
      <c r="CP484" s="274"/>
      <c r="CQ484" s="11"/>
      <c r="CR484" s="11"/>
      <c r="CS484" s="11"/>
      <c r="CT484" s="11"/>
      <c r="CU484" s="11"/>
      <c r="CV484" s="11"/>
      <c r="CW484" s="11"/>
      <c r="CX484" s="11"/>
      <c r="CY484" s="11"/>
      <c r="CZ484" s="11"/>
      <c r="DA484" s="11"/>
      <c r="DB484" s="11"/>
      <c r="DC484" s="11"/>
      <c r="DD484" s="11"/>
      <c r="DE484" s="11"/>
      <c r="DF484" s="11"/>
      <c r="DG484" s="11"/>
      <c r="DH484" s="11"/>
      <c r="DI484" s="11"/>
      <c r="DJ484" s="11"/>
      <c r="DK484" s="11"/>
      <c r="DL484" s="11"/>
      <c r="DM484" s="118"/>
      <c r="DN484" s="118"/>
      <c r="DO484" s="118"/>
      <c r="DP484" s="52"/>
      <c r="DQ484" s="52"/>
      <c r="DR484" s="77"/>
      <c r="DS484" s="77"/>
      <c r="DT484" s="77"/>
      <c r="DU484" s="11"/>
      <c r="DV484" s="11"/>
      <c r="DW484" s="11"/>
      <c r="DX484" s="11"/>
      <c r="DY484" s="11"/>
      <c r="DZ484" s="11"/>
      <c r="EA484" s="11"/>
      <c r="EB484" s="11"/>
      <c r="EC484" s="11"/>
      <c r="ED484" s="11"/>
      <c r="EE484" s="11"/>
      <c r="EF484" s="11"/>
    </row>
    <row r="485" spans="1:136" ht="38.25" x14ac:dyDescent="0.25">
      <c r="A485" s="425">
        <v>483</v>
      </c>
      <c r="B485" s="427" t="s">
        <v>2286</v>
      </c>
      <c r="C485" s="413" t="s">
        <v>2110</v>
      </c>
      <c r="D485" s="413" t="s">
        <v>2287</v>
      </c>
      <c r="E485" s="79">
        <v>1</v>
      </c>
      <c r="F485" s="405"/>
      <c r="G485" s="274"/>
      <c r="H485" s="274"/>
      <c r="I485" s="274"/>
      <c r="J485" s="274"/>
      <c r="K485" s="11"/>
      <c r="L485" s="274">
        <v>250000</v>
      </c>
      <c r="M485" s="274">
        <f>L485*19%</f>
        <v>47500</v>
      </c>
      <c r="N485" s="274">
        <f>M485+L485</f>
        <v>297500</v>
      </c>
      <c r="O485" s="48" t="s">
        <v>906</v>
      </c>
      <c r="P485" s="11" t="s">
        <v>2288</v>
      </c>
      <c r="Q485" s="274"/>
      <c r="R485" s="274"/>
      <c r="S485" s="274"/>
      <c r="T485" s="11"/>
      <c r="U485" s="11"/>
      <c r="V485" s="11"/>
      <c r="W485" s="11"/>
      <c r="X485" s="11"/>
      <c r="Y485" s="11"/>
      <c r="Z485" s="48"/>
      <c r="AA485" s="293">
        <v>811300</v>
      </c>
      <c r="AB485" s="118">
        <f>+AA485*0.19</f>
        <v>154147</v>
      </c>
      <c r="AC485" s="118">
        <f>+AA485+AB485</f>
        <v>965447</v>
      </c>
      <c r="AD485" s="5" t="s">
        <v>542</v>
      </c>
      <c r="AE485" s="5" t="s">
        <v>2289</v>
      </c>
      <c r="AF485" s="113"/>
      <c r="AG485" s="113"/>
      <c r="AH485" s="113"/>
      <c r="AI485" s="52"/>
      <c r="AJ485" s="11"/>
      <c r="AK485" s="269"/>
      <c r="AL485" s="269"/>
      <c r="AM485" s="116"/>
      <c r="AN485" s="301"/>
      <c r="AO485" s="302"/>
      <c r="AP485" s="11"/>
      <c r="AQ485" s="11"/>
      <c r="AR485" s="11"/>
      <c r="AS485" s="11"/>
      <c r="AT485" s="11"/>
      <c r="AU485" s="118"/>
      <c r="AV485" s="118"/>
      <c r="AW485" s="118"/>
      <c r="AX485" s="52"/>
      <c r="AY485" s="52"/>
      <c r="AZ485" s="11"/>
      <c r="BA485" s="11"/>
      <c r="BB485" s="11"/>
      <c r="BC485" s="11"/>
      <c r="BD485" s="11"/>
      <c r="BE485" s="274"/>
      <c r="BF485" s="274"/>
      <c r="BG485" s="274"/>
      <c r="BH485" s="11"/>
      <c r="BI485" s="11"/>
      <c r="BJ485" s="311"/>
      <c r="BK485" s="311"/>
      <c r="BL485" s="311"/>
      <c r="BM485" s="52"/>
      <c r="BN485" s="52"/>
      <c r="BO485" s="387">
        <v>402007</v>
      </c>
      <c r="BP485" s="320">
        <f>BO485*0.19</f>
        <v>76381.33</v>
      </c>
      <c r="BQ485" s="320">
        <f>BO485+BP485</f>
        <v>478388.33</v>
      </c>
      <c r="BR485" s="4" t="s">
        <v>2290</v>
      </c>
      <c r="BS485" s="22" t="s">
        <v>2144</v>
      </c>
      <c r="BT485" s="11"/>
      <c r="BU485" s="11"/>
      <c r="BV485" s="11"/>
      <c r="BW485" s="11"/>
      <c r="BX485" s="11"/>
      <c r="BY485" s="348"/>
      <c r="BZ485" s="348"/>
      <c r="CA485" s="348"/>
      <c r="CB485" s="348"/>
      <c r="CC485" s="348"/>
      <c r="CD485" s="11"/>
      <c r="CE485" s="11"/>
      <c r="CF485" s="11"/>
      <c r="CG485" s="11"/>
      <c r="CH485" s="11"/>
      <c r="CI485" s="11"/>
      <c r="CJ485" s="11"/>
      <c r="CK485" s="11"/>
      <c r="CL485" s="11"/>
      <c r="CM485" s="11"/>
      <c r="CN485" s="274"/>
      <c r="CO485" s="274"/>
      <c r="CP485" s="274"/>
      <c r="CQ485" s="11"/>
      <c r="CR485" s="11"/>
      <c r="CS485" s="11"/>
      <c r="CT485" s="11"/>
      <c r="CU485" s="11"/>
      <c r="CV485" s="11"/>
      <c r="CW485" s="11"/>
      <c r="CX485" s="11"/>
      <c r="CY485" s="11"/>
      <c r="CZ485" s="11"/>
      <c r="DA485" s="11"/>
      <c r="DB485" s="11"/>
      <c r="DC485" s="11"/>
      <c r="DD485" s="11"/>
      <c r="DE485" s="11"/>
      <c r="DF485" s="11"/>
      <c r="DG485" s="11"/>
      <c r="DH485" s="11"/>
      <c r="DI485" s="11"/>
      <c r="DJ485" s="11"/>
      <c r="DK485" s="11"/>
      <c r="DL485" s="11"/>
      <c r="DM485" s="118"/>
      <c r="DN485" s="118"/>
      <c r="DO485" s="118"/>
      <c r="DP485" s="52"/>
      <c r="DQ485" s="52"/>
      <c r="DR485" s="77"/>
      <c r="DS485" s="77"/>
      <c r="DT485" s="77"/>
      <c r="DU485" s="11"/>
      <c r="DV485" s="11"/>
      <c r="DW485" s="11"/>
      <c r="DX485" s="11"/>
      <c r="DY485" s="11"/>
      <c r="DZ485" s="11"/>
      <c r="EA485" s="11"/>
      <c r="EB485" s="11"/>
      <c r="EC485" s="11"/>
      <c r="ED485" s="11"/>
      <c r="EE485" s="11"/>
      <c r="EF485" s="11"/>
    </row>
    <row r="486" spans="1:136" ht="27" x14ac:dyDescent="0.25">
      <c r="A486" s="425">
        <v>484</v>
      </c>
      <c r="B486" s="427" t="s">
        <v>2291</v>
      </c>
      <c r="C486" s="413" t="s">
        <v>2292</v>
      </c>
      <c r="D486" s="428" t="s">
        <v>1485</v>
      </c>
      <c r="E486" s="79">
        <v>1</v>
      </c>
      <c r="F486" s="404">
        <v>1989637.8740000001</v>
      </c>
      <c r="G486" s="274"/>
      <c r="H486" s="274"/>
      <c r="I486" s="274"/>
      <c r="J486" s="274"/>
      <c r="K486" s="11"/>
      <c r="L486" s="274"/>
      <c r="M486" s="274"/>
      <c r="N486" s="274"/>
      <c r="O486" s="48"/>
      <c r="P486" s="11"/>
      <c r="Q486" s="274"/>
      <c r="R486" s="274"/>
      <c r="S486" s="274"/>
      <c r="T486" s="11"/>
      <c r="U486" s="11"/>
      <c r="V486" s="11"/>
      <c r="W486" s="11"/>
      <c r="X486" s="11"/>
      <c r="Y486" s="11"/>
      <c r="Z486" s="48"/>
      <c r="AA486" s="52"/>
      <c r="AB486" s="52"/>
      <c r="AC486" s="118"/>
      <c r="AD486" s="5"/>
      <c r="AE486" s="52"/>
      <c r="AF486" s="113"/>
      <c r="AG486" s="113"/>
      <c r="AH486" s="113"/>
      <c r="AI486" s="52"/>
      <c r="AJ486" s="11"/>
      <c r="AK486" s="269"/>
      <c r="AL486" s="269"/>
      <c r="AM486" s="116"/>
      <c r="AN486" s="301"/>
      <c r="AO486" s="302"/>
      <c r="AP486" s="11"/>
      <c r="AQ486" s="11"/>
      <c r="AR486" s="11"/>
      <c r="AS486" s="11"/>
      <c r="AT486" s="11"/>
      <c r="AU486" s="118"/>
      <c r="AV486" s="118"/>
      <c r="AW486" s="118"/>
      <c r="AX486" s="52"/>
      <c r="AY486" s="52"/>
      <c r="AZ486" s="11"/>
      <c r="BA486" s="11"/>
      <c r="BB486" s="11"/>
      <c r="BC486" s="11"/>
      <c r="BD486" s="11"/>
      <c r="BE486" s="274">
        <v>1537000</v>
      </c>
      <c r="BF486" s="274">
        <v>292030</v>
      </c>
      <c r="BG486" s="274">
        <v>1829030</v>
      </c>
      <c r="BH486" s="11" t="s">
        <v>310</v>
      </c>
      <c r="BI486" s="11" t="s">
        <v>2293</v>
      </c>
      <c r="BJ486" s="311"/>
      <c r="BK486" s="311"/>
      <c r="BL486" s="311"/>
      <c r="BM486" s="52"/>
      <c r="BN486" s="52"/>
      <c r="BO486" s="387"/>
      <c r="BP486" s="320"/>
      <c r="BQ486" s="320"/>
      <c r="BR486" s="4"/>
      <c r="BS486" s="4"/>
      <c r="BT486" s="11"/>
      <c r="BU486" s="11"/>
      <c r="BV486" s="11"/>
      <c r="BW486" s="11"/>
      <c r="BX486" s="11"/>
      <c r="BY486" s="348"/>
      <c r="BZ486" s="348"/>
      <c r="CA486" s="348"/>
      <c r="CB486" s="348"/>
      <c r="CC486" s="348"/>
      <c r="CD486" s="11"/>
      <c r="CE486" s="11"/>
      <c r="CF486" s="11"/>
      <c r="CG486" s="11"/>
      <c r="CH486" s="11"/>
      <c r="CI486" s="11"/>
      <c r="CJ486" s="11"/>
      <c r="CK486" s="11"/>
      <c r="CL486" s="11"/>
      <c r="CM486" s="11"/>
      <c r="CN486" s="274"/>
      <c r="CO486" s="274"/>
      <c r="CP486" s="274"/>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11"/>
      <c r="DM486" s="118"/>
      <c r="DN486" s="118"/>
      <c r="DO486" s="118"/>
      <c r="DP486" s="52"/>
      <c r="DQ486" s="52"/>
      <c r="DR486" s="77"/>
      <c r="DS486" s="77"/>
      <c r="DT486" s="77"/>
      <c r="DU486" s="11"/>
      <c r="DV486" s="11"/>
      <c r="DW486" s="11"/>
      <c r="DX486" s="11"/>
      <c r="DY486" s="11"/>
      <c r="DZ486" s="11"/>
      <c r="EA486" s="11"/>
      <c r="EB486" s="11"/>
      <c r="EC486" s="11"/>
      <c r="ED486" s="11"/>
      <c r="EE486" s="11"/>
      <c r="EF486" s="11"/>
    </row>
    <row r="487" spans="1:136" ht="27" x14ac:dyDescent="0.25">
      <c r="A487" s="425">
        <v>485</v>
      </c>
      <c r="B487" s="427" t="s">
        <v>2294</v>
      </c>
      <c r="C487" s="413" t="s">
        <v>2292</v>
      </c>
      <c r="D487" s="428" t="s">
        <v>1485</v>
      </c>
      <c r="E487" s="79">
        <v>1</v>
      </c>
      <c r="F487" s="404">
        <v>1596235.06</v>
      </c>
      <c r="G487" s="274"/>
      <c r="H487" s="274"/>
      <c r="I487" s="274"/>
      <c r="J487" s="274"/>
      <c r="K487" s="11"/>
      <c r="L487" s="274"/>
      <c r="M487" s="274"/>
      <c r="N487" s="274"/>
      <c r="O487" s="48"/>
      <c r="P487" s="11"/>
      <c r="Q487" s="274"/>
      <c r="R487" s="274"/>
      <c r="S487" s="274"/>
      <c r="T487" s="11"/>
      <c r="U487" s="11"/>
      <c r="V487" s="11"/>
      <c r="W487" s="11"/>
      <c r="X487" s="11"/>
      <c r="Y487" s="11"/>
      <c r="Z487" s="48"/>
      <c r="AA487" s="52"/>
      <c r="AB487" s="52"/>
      <c r="AC487" s="118"/>
      <c r="AD487" s="5"/>
      <c r="AE487" s="52"/>
      <c r="AF487" s="113"/>
      <c r="AG487" s="113"/>
      <c r="AH487" s="113"/>
      <c r="AI487" s="52"/>
      <c r="AJ487" s="11"/>
      <c r="AK487" s="269"/>
      <c r="AL487" s="269"/>
      <c r="AM487" s="116"/>
      <c r="AN487" s="301"/>
      <c r="AO487" s="302"/>
      <c r="AP487" s="11"/>
      <c r="AQ487" s="11"/>
      <c r="AR487" s="11"/>
      <c r="AS487" s="11"/>
      <c r="AT487" s="11"/>
      <c r="AU487" s="118"/>
      <c r="AV487" s="118"/>
      <c r="AW487" s="118"/>
      <c r="AX487" s="52"/>
      <c r="AY487" s="52"/>
      <c r="AZ487" s="11"/>
      <c r="BA487" s="11"/>
      <c r="BB487" s="11"/>
      <c r="BC487" s="11"/>
      <c r="BD487" s="11"/>
      <c r="BE487" s="274">
        <v>1024000</v>
      </c>
      <c r="BF487" s="274">
        <v>194560</v>
      </c>
      <c r="BG487" s="274">
        <v>1218560</v>
      </c>
      <c r="BH487" s="11" t="s">
        <v>310</v>
      </c>
      <c r="BI487" s="11" t="s">
        <v>2295</v>
      </c>
      <c r="BJ487" s="311"/>
      <c r="BK487" s="311"/>
      <c r="BL487" s="311"/>
      <c r="BM487" s="52"/>
      <c r="BN487" s="52"/>
      <c r="BO487" s="387"/>
      <c r="BP487" s="320"/>
      <c r="BQ487" s="320"/>
      <c r="BR487" s="4"/>
      <c r="BS487" s="4"/>
      <c r="BT487" s="11"/>
      <c r="BU487" s="11"/>
      <c r="BV487" s="11"/>
      <c r="BW487" s="11"/>
      <c r="BX487" s="11"/>
      <c r="BY487" s="348"/>
      <c r="BZ487" s="348"/>
      <c r="CA487" s="348"/>
      <c r="CB487" s="348"/>
      <c r="CC487" s="348"/>
      <c r="CD487" s="11"/>
      <c r="CE487" s="11"/>
      <c r="CF487" s="11"/>
      <c r="CG487" s="11"/>
      <c r="CH487" s="11"/>
      <c r="CI487" s="11"/>
      <c r="CJ487" s="11"/>
      <c r="CK487" s="11"/>
      <c r="CL487" s="11"/>
      <c r="CM487" s="11"/>
      <c r="CN487" s="274"/>
      <c r="CO487" s="274"/>
      <c r="CP487" s="274"/>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11"/>
      <c r="DM487" s="118"/>
      <c r="DN487" s="118"/>
      <c r="DO487" s="118"/>
      <c r="DP487" s="52"/>
      <c r="DQ487" s="52"/>
      <c r="DR487" s="77"/>
      <c r="DS487" s="77"/>
      <c r="DT487" s="77"/>
      <c r="DU487" s="11"/>
      <c r="DV487" s="11"/>
      <c r="DW487" s="11"/>
      <c r="DX487" s="11"/>
      <c r="DY487" s="11"/>
      <c r="DZ487" s="11"/>
      <c r="EA487" s="11"/>
      <c r="EB487" s="11"/>
      <c r="EC487" s="11"/>
      <c r="ED487" s="11"/>
      <c r="EE487" s="11"/>
      <c r="EF487" s="11"/>
    </row>
    <row r="488" spans="1:136" ht="13.5" x14ac:dyDescent="0.25">
      <c r="A488" s="425">
        <v>486</v>
      </c>
      <c r="B488" s="427" t="s">
        <v>2296</v>
      </c>
      <c r="C488" s="413" t="s">
        <v>952</v>
      </c>
      <c r="D488" s="413" t="s">
        <v>2297</v>
      </c>
      <c r="E488" s="79">
        <v>1</v>
      </c>
      <c r="F488" s="405">
        <v>22415.732599999999</v>
      </c>
      <c r="G488" s="274"/>
      <c r="H488" s="274"/>
      <c r="I488" s="274"/>
      <c r="J488" s="274"/>
      <c r="K488" s="11"/>
      <c r="L488" s="274"/>
      <c r="M488" s="274"/>
      <c r="N488" s="274"/>
      <c r="O488" s="48"/>
      <c r="P488" s="11"/>
      <c r="Q488" s="274"/>
      <c r="R488" s="274"/>
      <c r="S488" s="274"/>
      <c r="T488" s="11"/>
      <c r="U488" s="11"/>
      <c r="V488" s="11"/>
      <c r="W488" s="11"/>
      <c r="X488" s="11"/>
      <c r="Y488" s="11"/>
      <c r="Z488" s="48"/>
      <c r="AA488" s="52"/>
      <c r="AB488" s="52"/>
      <c r="AC488" s="118"/>
      <c r="AD488" s="5"/>
      <c r="AE488" s="52"/>
      <c r="AF488" s="113"/>
      <c r="AG488" s="113"/>
      <c r="AH488" s="113"/>
      <c r="AI488" s="52"/>
      <c r="AJ488" s="11"/>
      <c r="AK488" s="269"/>
      <c r="AL488" s="269"/>
      <c r="AM488" s="116"/>
      <c r="AN488" s="301"/>
      <c r="AO488" s="302"/>
      <c r="AP488" s="11"/>
      <c r="AQ488" s="11"/>
      <c r="AR488" s="11"/>
      <c r="AS488" s="11"/>
      <c r="AT488" s="11"/>
      <c r="AU488" s="118"/>
      <c r="AV488" s="118"/>
      <c r="AW488" s="118"/>
      <c r="AX488" s="52"/>
      <c r="AY488" s="52"/>
      <c r="AZ488" s="11"/>
      <c r="BA488" s="11"/>
      <c r="BB488" s="11"/>
      <c r="BC488" s="11"/>
      <c r="BD488" s="11"/>
      <c r="BE488" s="274"/>
      <c r="BF488" s="274"/>
      <c r="BG488" s="274"/>
      <c r="BH488" s="11"/>
      <c r="BI488" s="11"/>
      <c r="BJ488" s="311"/>
      <c r="BK488" s="311"/>
      <c r="BL488" s="311"/>
      <c r="BM488" s="52"/>
      <c r="BN488" s="52"/>
      <c r="BO488" s="387"/>
      <c r="BP488" s="320"/>
      <c r="BQ488" s="320"/>
      <c r="BR488" s="4"/>
      <c r="BS488" s="4"/>
      <c r="BT488" s="11"/>
      <c r="BU488" s="11"/>
      <c r="BV488" s="11"/>
      <c r="BW488" s="11"/>
      <c r="BX488" s="11"/>
      <c r="BY488" s="348"/>
      <c r="BZ488" s="348"/>
      <c r="CA488" s="348"/>
      <c r="CB488" s="348"/>
      <c r="CC488" s="348"/>
      <c r="CD488" s="11"/>
      <c r="CE488" s="11"/>
      <c r="CF488" s="11"/>
      <c r="CG488" s="11"/>
      <c r="CH488" s="11"/>
      <c r="CI488" s="11"/>
      <c r="CJ488" s="11"/>
      <c r="CK488" s="11"/>
      <c r="CL488" s="11"/>
      <c r="CM488" s="11"/>
      <c r="CN488" s="274"/>
      <c r="CO488" s="274"/>
      <c r="CP488" s="274"/>
      <c r="CQ488" s="11"/>
      <c r="CR488" s="11"/>
      <c r="CS488" s="11"/>
      <c r="CT488" s="11"/>
      <c r="CU488" s="11"/>
      <c r="CV488" s="11"/>
      <c r="CW488" s="11"/>
      <c r="CX488" s="11"/>
      <c r="CY488" s="11"/>
      <c r="CZ488" s="11"/>
      <c r="DA488" s="11"/>
      <c r="DB488" s="11"/>
      <c r="DC488" s="11"/>
      <c r="DD488" s="11"/>
      <c r="DE488" s="11"/>
      <c r="DF488" s="11"/>
      <c r="DG488" s="11"/>
      <c r="DH488" s="11"/>
      <c r="DI488" s="11"/>
      <c r="DJ488" s="11"/>
      <c r="DK488" s="11"/>
      <c r="DL488" s="11"/>
      <c r="DM488" s="118"/>
      <c r="DN488" s="118"/>
      <c r="DO488" s="118"/>
      <c r="DP488" s="52"/>
      <c r="DQ488" s="52"/>
      <c r="DR488" s="77"/>
      <c r="DS488" s="77"/>
      <c r="DT488" s="77"/>
      <c r="DU488" s="11"/>
      <c r="DV488" s="11"/>
      <c r="DW488" s="11"/>
      <c r="DX488" s="11"/>
      <c r="DY488" s="11"/>
      <c r="DZ488" s="11"/>
      <c r="EA488" s="11"/>
      <c r="EB488" s="11"/>
      <c r="EC488" s="11"/>
      <c r="ED488" s="11"/>
      <c r="EE488" s="11"/>
      <c r="EF488" s="11"/>
    </row>
    <row r="489" spans="1:136" ht="25.5" x14ac:dyDescent="0.25">
      <c r="A489" s="425">
        <v>487</v>
      </c>
      <c r="B489" s="428" t="s">
        <v>2298</v>
      </c>
      <c r="C489" s="428" t="s">
        <v>2299</v>
      </c>
      <c r="D489" s="428" t="s">
        <v>39</v>
      </c>
      <c r="E489" s="79">
        <v>1</v>
      </c>
      <c r="F489" s="405"/>
      <c r="G489" s="274"/>
      <c r="H489" s="274"/>
      <c r="I489" s="274"/>
      <c r="J489" s="274"/>
      <c r="K489" s="11"/>
      <c r="L489" s="274">
        <v>250000</v>
      </c>
      <c r="M489" s="274">
        <v>0</v>
      </c>
      <c r="N489" s="274">
        <f>M489+L489</f>
        <v>250000</v>
      </c>
      <c r="O489" s="48" t="s">
        <v>906</v>
      </c>
      <c r="P489" s="11" t="s">
        <v>2300</v>
      </c>
      <c r="Q489" s="274"/>
      <c r="R489" s="274"/>
      <c r="S489" s="274"/>
      <c r="T489" s="11"/>
      <c r="U489" s="11"/>
      <c r="V489" s="11"/>
      <c r="W489" s="11"/>
      <c r="X489" s="11"/>
      <c r="Y489" s="11"/>
      <c r="Z489" s="48"/>
      <c r="AA489" s="293">
        <v>270000</v>
      </c>
      <c r="AB489" s="118">
        <f>+AA489*0.19</f>
        <v>51300</v>
      </c>
      <c r="AC489" s="118">
        <f>+AA489+AB489</f>
        <v>321300</v>
      </c>
      <c r="AD489" s="5" t="s">
        <v>610</v>
      </c>
      <c r="AE489" s="52" t="s">
        <v>2301</v>
      </c>
      <c r="AF489" s="113"/>
      <c r="AG489" s="113"/>
      <c r="AH489" s="113"/>
      <c r="AI489" s="52"/>
      <c r="AJ489" s="11"/>
      <c r="AK489" s="269"/>
      <c r="AL489" s="269"/>
      <c r="AM489" s="116"/>
      <c r="AN489" s="301"/>
      <c r="AO489" s="302"/>
      <c r="AP489" s="11"/>
      <c r="AQ489" s="11"/>
      <c r="AR489" s="11"/>
      <c r="AS489" s="11"/>
      <c r="AT489" s="11"/>
      <c r="AU489" s="118"/>
      <c r="AV489" s="118"/>
      <c r="AW489" s="118"/>
      <c r="AX489" s="52"/>
      <c r="AY489" s="52"/>
      <c r="AZ489" s="11"/>
      <c r="BA489" s="11"/>
      <c r="BB489" s="11"/>
      <c r="BC489" s="11"/>
      <c r="BD489" s="11"/>
      <c r="BE489" s="274"/>
      <c r="BF489" s="274"/>
      <c r="BG489" s="274"/>
      <c r="BH489" s="11"/>
      <c r="BI489" s="11"/>
      <c r="BJ489" s="311"/>
      <c r="BK489" s="311"/>
      <c r="BL489" s="311"/>
      <c r="BM489" s="52"/>
      <c r="BN489" s="52"/>
      <c r="BO489" s="387">
        <v>54500</v>
      </c>
      <c r="BP489" s="320">
        <f>BO489*0.19</f>
        <v>10355</v>
      </c>
      <c r="BQ489" s="320">
        <f>BO489+BP489</f>
        <v>64855</v>
      </c>
      <c r="BR489" s="4" t="s">
        <v>2302</v>
      </c>
      <c r="BS489" s="4" t="s">
        <v>2303</v>
      </c>
      <c r="BT489" s="11"/>
      <c r="BU489" s="11"/>
      <c r="BV489" s="11"/>
      <c r="BW489" s="11"/>
      <c r="BX489" s="11"/>
      <c r="BY489" s="348"/>
      <c r="BZ489" s="348"/>
      <c r="CA489" s="348"/>
      <c r="CB489" s="348"/>
      <c r="CC489" s="348"/>
      <c r="CD489" s="11"/>
      <c r="CE489" s="11"/>
      <c r="CF489" s="11"/>
      <c r="CG489" s="11"/>
      <c r="CH489" s="11"/>
      <c r="CI489" s="11"/>
      <c r="CJ489" s="11"/>
      <c r="CK489" s="11"/>
      <c r="CL489" s="11"/>
      <c r="CM489" s="11"/>
      <c r="CN489" s="274"/>
      <c r="CO489" s="274"/>
      <c r="CP489" s="274"/>
      <c r="CQ489" s="11"/>
      <c r="CR489" s="11"/>
      <c r="CS489" s="11"/>
      <c r="CT489" s="11"/>
      <c r="CU489" s="11"/>
      <c r="CV489" s="11"/>
      <c r="CW489" s="11"/>
      <c r="CX489" s="11"/>
      <c r="CY489" s="11"/>
      <c r="CZ489" s="11"/>
      <c r="DA489" s="11"/>
      <c r="DB489" s="11"/>
      <c r="DC489" s="11"/>
      <c r="DD489" s="11"/>
      <c r="DE489" s="11"/>
      <c r="DF489" s="11"/>
      <c r="DG489" s="11"/>
      <c r="DH489" s="11"/>
      <c r="DI489" s="11"/>
      <c r="DJ489" s="11"/>
      <c r="DK489" s="11"/>
      <c r="DL489" s="11"/>
      <c r="DM489" s="118"/>
      <c r="DN489" s="118"/>
      <c r="DO489" s="118"/>
      <c r="DP489" s="52"/>
      <c r="DQ489" s="52"/>
      <c r="DR489" s="77"/>
      <c r="DS489" s="77"/>
      <c r="DT489" s="77"/>
      <c r="DU489" s="11"/>
      <c r="DV489" s="11"/>
      <c r="DW489" s="11"/>
      <c r="DX489" s="11"/>
      <c r="DY489" s="11"/>
      <c r="DZ489" s="11"/>
      <c r="EA489" s="11"/>
      <c r="EB489" s="11"/>
      <c r="EC489" s="11"/>
      <c r="ED489" s="11"/>
      <c r="EE489" s="11"/>
      <c r="EF489" s="11"/>
    </row>
    <row r="490" spans="1:136" ht="27" x14ac:dyDescent="0.25">
      <c r="A490" s="425">
        <v>488</v>
      </c>
      <c r="B490" s="427" t="s">
        <v>2304</v>
      </c>
      <c r="C490" s="427" t="s">
        <v>2305</v>
      </c>
      <c r="D490" s="427" t="s">
        <v>132</v>
      </c>
      <c r="E490" s="79">
        <v>1</v>
      </c>
      <c r="F490" s="405"/>
      <c r="G490" s="274">
        <v>862500</v>
      </c>
      <c r="H490" s="274">
        <v>163875</v>
      </c>
      <c r="I490" s="274">
        <v>1026375</v>
      </c>
      <c r="J490" s="274" t="s">
        <v>45</v>
      </c>
      <c r="K490" s="11" t="s">
        <v>2306</v>
      </c>
      <c r="L490" s="274"/>
      <c r="M490" s="274"/>
      <c r="N490" s="274"/>
      <c r="O490" s="48"/>
      <c r="P490" s="11"/>
      <c r="Q490" s="274"/>
      <c r="R490" s="274"/>
      <c r="S490" s="274"/>
      <c r="T490" s="11"/>
      <c r="U490" s="11"/>
      <c r="V490" s="11"/>
      <c r="W490" s="11"/>
      <c r="X490" s="11"/>
      <c r="Y490" s="11"/>
      <c r="Z490" s="48"/>
      <c r="AA490" s="52"/>
      <c r="AB490" s="52"/>
      <c r="AC490" s="118"/>
      <c r="AD490" s="5"/>
      <c r="AE490" s="52"/>
      <c r="AF490" s="113">
        <v>645000</v>
      </c>
      <c r="AG490" s="113">
        <f>AF490*0.19</f>
        <v>122550</v>
      </c>
      <c r="AH490" s="113">
        <f>AF490+AG490</f>
        <v>767550</v>
      </c>
      <c r="AI490" s="52" t="s">
        <v>770</v>
      </c>
      <c r="AJ490" s="11" t="s">
        <v>2307</v>
      </c>
      <c r="AK490" s="269">
        <v>1498220</v>
      </c>
      <c r="AL490" s="269">
        <v>284661.8</v>
      </c>
      <c r="AM490" s="116">
        <v>1782881.8</v>
      </c>
      <c r="AN490" s="301" t="s">
        <v>88</v>
      </c>
      <c r="AO490" s="302">
        <v>1072120500</v>
      </c>
      <c r="AP490" s="11"/>
      <c r="AQ490" s="11"/>
      <c r="AR490" s="11"/>
      <c r="AS490" s="11"/>
      <c r="AT490" s="11"/>
      <c r="AU490" s="118"/>
      <c r="AV490" s="118"/>
      <c r="AW490" s="118"/>
      <c r="AX490" s="52"/>
      <c r="AY490" s="52"/>
      <c r="AZ490" s="11"/>
      <c r="BA490" s="11"/>
      <c r="BB490" s="11"/>
      <c r="BC490" s="11"/>
      <c r="BD490" s="11"/>
      <c r="BE490" s="274"/>
      <c r="BF490" s="274"/>
      <c r="BG490" s="274"/>
      <c r="BH490" s="11"/>
      <c r="BI490" s="11"/>
      <c r="BJ490" s="311"/>
      <c r="BK490" s="311"/>
      <c r="BL490" s="311"/>
      <c r="BM490" s="52"/>
      <c r="BN490" s="52"/>
      <c r="BO490" s="387"/>
      <c r="BP490" s="320"/>
      <c r="BQ490" s="320"/>
      <c r="BR490" s="4"/>
      <c r="BS490" s="4"/>
      <c r="BT490" s="11"/>
      <c r="BU490" s="11"/>
      <c r="BV490" s="11"/>
      <c r="BW490" s="11"/>
      <c r="BX490" s="11"/>
      <c r="BY490" s="232">
        <v>188000</v>
      </c>
      <c r="BZ490" s="350">
        <f>BY490*0.19</f>
        <v>35720</v>
      </c>
      <c r="CA490" s="350">
        <f>BY490+BZ490</f>
        <v>223720</v>
      </c>
      <c r="CB490" s="348" t="s">
        <v>767</v>
      </c>
      <c r="CC490" s="348" t="s">
        <v>2308</v>
      </c>
      <c r="CD490" s="11"/>
      <c r="CE490" s="11"/>
      <c r="CF490" s="11"/>
      <c r="CG490" s="11"/>
      <c r="CH490" s="11"/>
      <c r="CI490" s="11"/>
      <c r="CJ490" s="11"/>
      <c r="CK490" s="11"/>
      <c r="CL490" s="11"/>
      <c r="CM490" s="11"/>
      <c r="CN490" s="274"/>
      <c r="CO490" s="274"/>
      <c r="CP490" s="274"/>
      <c r="CQ490" s="11"/>
      <c r="CR490" s="11"/>
      <c r="CS490" s="11"/>
      <c r="CT490" s="11"/>
      <c r="CU490" s="11"/>
      <c r="CV490" s="11"/>
      <c r="CW490" s="11"/>
      <c r="CX490" s="11"/>
      <c r="CY490" s="11"/>
      <c r="CZ490" s="11"/>
      <c r="DA490" s="11"/>
      <c r="DB490" s="11"/>
      <c r="DC490" s="11"/>
      <c r="DD490" s="11"/>
      <c r="DE490" s="11"/>
      <c r="DF490" s="11"/>
      <c r="DG490" s="11"/>
      <c r="DH490" s="11"/>
      <c r="DI490" s="11"/>
      <c r="DJ490" s="11"/>
      <c r="DK490" s="11"/>
      <c r="DL490" s="11"/>
      <c r="DM490" s="118"/>
      <c r="DN490" s="118"/>
      <c r="DO490" s="118"/>
      <c r="DP490" s="52"/>
      <c r="DQ490" s="52"/>
      <c r="DR490" s="77"/>
      <c r="DS490" s="77"/>
      <c r="DT490" s="77"/>
      <c r="DU490" s="11"/>
      <c r="DV490" s="11"/>
      <c r="DW490" s="11"/>
      <c r="DX490" s="11"/>
      <c r="DY490" s="11"/>
      <c r="DZ490" s="11"/>
      <c r="EA490" s="11"/>
      <c r="EB490" s="11"/>
      <c r="EC490" s="11"/>
      <c r="ED490" s="11"/>
      <c r="EE490" s="11"/>
      <c r="EF490" s="11"/>
    </row>
    <row r="491" spans="1:136" ht="27" x14ac:dyDescent="0.25">
      <c r="A491" s="425">
        <v>489</v>
      </c>
      <c r="B491" s="428" t="s">
        <v>2309</v>
      </c>
      <c r="C491" s="426" t="s">
        <v>2310</v>
      </c>
      <c r="D491" s="428" t="s">
        <v>132</v>
      </c>
      <c r="E491" s="79">
        <v>1</v>
      </c>
      <c r="F491" s="405"/>
      <c r="G491" s="274"/>
      <c r="H491" s="274"/>
      <c r="I491" s="274"/>
      <c r="J491" s="274"/>
      <c r="K491" s="11"/>
      <c r="L491" s="274"/>
      <c r="M491" s="274"/>
      <c r="N491" s="274"/>
      <c r="O491" s="48"/>
      <c r="P491" s="11"/>
      <c r="Q491" s="274"/>
      <c r="R491" s="274"/>
      <c r="S491" s="274"/>
      <c r="T491" s="11"/>
      <c r="U491" s="11"/>
      <c r="V491" s="11"/>
      <c r="W491" s="11"/>
      <c r="X491" s="11"/>
      <c r="Y491" s="11"/>
      <c r="Z491" s="48"/>
      <c r="AA491" s="52"/>
      <c r="AB491" s="52"/>
      <c r="AC491" s="118"/>
      <c r="AD491" s="5"/>
      <c r="AE491" s="52"/>
      <c r="AF491" s="113"/>
      <c r="AG491" s="113"/>
      <c r="AH491" s="113"/>
      <c r="AI491" s="52"/>
      <c r="AJ491" s="11"/>
      <c r="AK491" s="269">
        <v>749110</v>
      </c>
      <c r="AL491" s="269">
        <v>142330.9</v>
      </c>
      <c r="AM491" s="116">
        <v>891440.9</v>
      </c>
      <c r="AN491" s="301" t="s">
        <v>88</v>
      </c>
      <c r="AO491" s="302">
        <v>1072120500</v>
      </c>
      <c r="AP491" s="11"/>
      <c r="AQ491" s="11"/>
      <c r="AR491" s="11"/>
      <c r="AS491" s="11"/>
      <c r="AT491" s="11"/>
      <c r="AU491" s="118">
        <v>831428</v>
      </c>
      <c r="AV491" s="118">
        <v>157971</v>
      </c>
      <c r="AW491" s="118">
        <v>989399</v>
      </c>
      <c r="AX491" s="52" t="s">
        <v>607</v>
      </c>
      <c r="AY491" s="52">
        <v>1072120500</v>
      </c>
      <c r="AZ491" s="11"/>
      <c r="BA491" s="11"/>
      <c r="BB491" s="11"/>
      <c r="BC491" s="11"/>
      <c r="BD491" s="11"/>
      <c r="BE491" s="274"/>
      <c r="BF491" s="274"/>
      <c r="BG491" s="274"/>
      <c r="BH491" s="11"/>
      <c r="BI491" s="11"/>
      <c r="BJ491" s="311"/>
      <c r="BK491" s="311"/>
      <c r="BL491" s="311"/>
      <c r="BM491" s="52"/>
      <c r="BN491" s="52"/>
      <c r="BO491" s="387"/>
      <c r="BP491" s="320"/>
      <c r="BQ491" s="320"/>
      <c r="BR491" s="4"/>
      <c r="BS491" s="4"/>
      <c r="BT491" s="11"/>
      <c r="BU491" s="11"/>
      <c r="BV491" s="11"/>
      <c r="BW491" s="11"/>
      <c r="BX491" s="11"/>
      <c r="BY491" s="232">
        <v>214000</v>
      </c>
      <c r="BZ491" s="350">
        <f>BY491*0.19</f>
        <v>40660</v>
      </c>
      <c r="CA491" s="350">
        <f>BY491+BZ491</f>
        <v>254660</v>
      </c>
      <c r="CB491" s="348" t="s">
        <v>767</v>
      </c>
      <c r="CC491" s="348" t="s">
        <v>2311</v>
      </c>
      <c r="CD491" s="11"/>
      <c r="CE491" s="11"/>
      <c r="CF491" s="11"/>
      <c r="CG491" s="11"/>
      <c r="CH491" s="11"/>
      <c r="CI491" s="11"/>
      <c r="CJ491" s="11"/>
      <c r="CK491" s="11"/>
      <c r="CL491" s="11"/>
      <c r="CM491" s="11"/>
      <c r="CN491" s="274"/>
      <c r="CO491" s="274"/>
      <c r="CP491" s="274"/>
      <c r="CQ491" s="11"/>
      <c r="CR491" s="11"/>
      <c r="CS491" s="11"/>
      <c r="CT491" s="11"/>
      <c r="CU491" s="11"/>
      <c r="CV491" s="11"/>
      <c r="CW491" s="11"/>
      <c r="CX491" s="11"/>
      <c r="CY491" s="11"/>
      <c r="CZ491" s="11"/>
      <c r="DA491" s="11"/>
      <c r="DB491" s="11"/>
      <c r="DC491" s="11"/>
      <c r="DD491" s="11"/>
      <c r="DE491" s="11"/>
      <c r="DF491" s="11"/>
      <c r="DG491" s="11"/>
      <c r="DH491" s="11"/>
      <c r="DI491" s="11"/>
      <c r="DJ491" s="11"/>
      <c r="DK491" s="11"/>
      <c r="DL491" s="11"/>
      <c r="DM491" s="118"/>
      <c r="DN491" s="118"/>
      <c r="DO491" s="118"/>
      <c r="DP491" s="52"/>
      <c r="DQ491" s="52"/>
      <c r="DR491" s="77"/>
      <c r="DS491" s="77"/>
      <c r="DT491" s="77"/>
      <c r="DU491" s="11"/>
      <c r="DV491" s="11"/>
      <c r="DW491" s="11"/>
      <c r="DX491" s="11"/>
      <c r="DY491" s="11"/>
      <c r="DZ491" s="11"/>
      <c r="EA491" s="11"/>
      <c r="EB491" s="11"/>
      <c r="EC491" s="11"/>
      <c r="ED491" s="11"/>
      <c r="EE491" s="11"/>
      <c r="EF491" s="11"/>
    </row>
    <row r="492" spans="1:136" ht="27" x14ac:dyDescent="0.25">
      <c r="A492" s="425">
        <v>490</v>
      </c>
      <c r="B492" s="413" t="s">
        <v>2312</v>
      </c>
      <c r="C492" s="413" t="s">
        <v>2313</v>
      </c>
      <c r="D492" s="413" t="s">
        <v>49</v>
      </c>
      <c r="E492" s="79">
        <v>1</v>
      </c>
      <c r="F492" s="406">
        <v>237549.94200000001</v>
      </c>
      <c r="G492" s="274">
        <v>287500</v>
      </c>
      <c r="H492" s="274">
        <v>54625</v>
      </c>
      <c r="I492" s="274">
        <v>342125</v>
      </c>
      <c r="J492" s="274" t="s">
        <v>45</v>
      </c>
      <c r="K492" s="11" t="s">
        <v>2314</v>
      </c>
      <c r="L492" s="274"/>
      <c r="M492" s="274"/>
      <c r="N492" s="274"/>
      <c r="O492" s="48"/>
      <c r="P492" s="11"/>
      <c r="Q492" s="274"/>
      <c r="R492" s="274"/>
      <c r="S492" s="274"/>
      <c r="T492" s="11"/>
      <c r="U492" s="11"/>
      <c r="V492" s="11"/>
      <c r="W492" s="11"/>
      <c r="X492" s="11"/>
      <c r="Y492" s="11"/>
      <c r="Z492" s="48"/>
      <c r="AA492" s="52"/>
      <c r="AB492" s="52"/>
      <c r="AC492" s="118"/>
      <c r="AD492" s="5"/>
      <c r="AE492" s="52"/>
      <c r="AF492" s="113">
        <v>434000</v>
      </c>
      <c r="AG492" s="113">
        <f>AF492*0.19</f>
        <v>82460</v>
      </c>
      <c r="AH492" s="113">
        <f>AF492+AG492</f>
        <v>516460</v>
      </c>
      <c r="AI492" s="277" t="s">
        <v>628</v>
      </c>
      <c r="AJ492" s="33" t="s">
        <v>2315</v>
      </c>
      <c r="AK492" s="269">
        <v>353400</v>
      </c>
      <c r="AL492" s="269">
        <v>67146</v>
      </c>
      <c r="AM492" s="116">
        <v>420546</v>
      </c>
      <c r="AN492" s="301" t="s">
        <v>88</v>
      </c>
      <c r="AO492" s="302">
        <v>1072091000</v>
      </c>
      <c r="AP492" s="11"/>
      <c r="AQ492" s="11"/>
      <c r="AR492" s="11"/>
      <c r="AS492" s="11"/>
      <c r="AT492" s="11"/>
      <c r="AU492" s="118">
        <v>449408</v>
      </c>
      <c r="AV492" s="118">
        <v>85388</v>
      </c>
      <c r="AW492" s="118">
        <v>534796</v>
      </c>
      <c r="AX492" s="52" t="s">
        <v>607</v>
      </c>
      <c r="AY492" s="52">
        <v>1072101000</v>
      </c>
      <c r="AZ492" s="11"/>
      <c r="BA492" s="11"/>
      <c r="BB492" s="11"/>
      <c r="BC492" s="11"/>
      <c r="BD492" s="11"/>
      <c r="BE492" s="274">
        <v>156000</v>
      </c>
      <c r="BF492" s="274">
        <v>29640</v>
      </c>
      <c r="BG492" s="274">
        <v>185640</v>
      </c>
      <c r="BH492" s="11" t="s">
        <v>63</v>
      </c>
      <c r="BI492" s="11" t="s">
        <v>2316</v>
      </c>
      <c r="BJ492" s="311"/>
      <c r="BK492" s="311"/>
      <c r="BL492" s="311"/>
      <c r="BM492" s="52"/>
      <c r="BN492" s="52"/>
      <c r="BO492" s="387"/>
      <c r="BP492" s="320"/>
      <c r="BQ492" s="320"/>
      <c r="BR492" s="4"/>
      <c r="BS492" s="4"/>
      <c r="BT492" s="11"/>
      <c r="BU492" s="11"/>
      <c r="BV492" s="11"/>
      <c r="BW492" s="11"/>
      <c r="BX492" s="11"/>
      <c r="BY492" s="348"/>
      <c r="BZ492" s="348"/>
      <c r="CA492" s="348"/>
      <c r="CB492" s="348"/>
      <c r="CC492" s="348"/>
      <c r="CD492" s="11"/>
      <c r="CE492" s="11"/>
      <c r="CF492" s="11"/>
      <c r="CG492" s="11"/>
      <c r="CH492" s="11"/>
      <c r="CI492" s="11"/>
      <c r="CJ492" s="11"/>
      <c r="CK492" s="11"/>
      <c r="CL492" s="11"/>
      <c r="CM492" s="11"/>
      <c r="CN492" s="274"/>
      <c r="CO492" s="274"/>
      <c r="CP492" s="274"/>
      <c r="CQ492" s="11"/>
      <c r="CR492" s="11"/>
      <c r="CS492" s="11"/>
      <c r="CT492" s="11"/>
      <c r="CU492" s="11"/>
      <c r="CV492" s="11"/>
      <c r="CW492" s="11"/>
      <c r="CX492" s="11"/>
      <c r="CY492" s="11"/>
      <c r="CZ492" s="11"/>
      <c r="DA492" s="11"/>
      <c r="DB492" s="11"/>
      <c r="DC492" s="11"/>
      <c r="DD492" s="11"/>
      <c r="DE492" s="11"/>
      <c r="DF492" s="11"/>
      <c r="DG492" s="11"/>
      <c r="DH492" s="11"/>
      <c r="DI492" s="11"/>
      <c r="DJ492" s="11"/>
      <c r="DK492" s="11"/>
      <c r="DL492" s="11"/>
      <c r="DM492" s="118"/>
      <c r="DN492" s="118"/>
      <c r="DO492" s="118"/>
      <c r="DP492" s="52"/>
      <c r="DQ492" s="52"/>
      <c r="DR492" s="77"/>
      <c r="DS492" s="77"/>
      <c r="DT492" s="77"/>
      <c r="DU492" s="11"/>
      <c r="DV492" s="11"/>
      <c r="DW492" s="11"/>
      <c r="DX492" s="11"/>
      <c r="DY492" s="11"/>
      <c r="DZ492" s="11"/>
      <c r="EA492" s="11"/>
      <c r="EB492" s="11"/>
      <c r="EC492" s="11"/>
      <c r="ED492" s="11"/>
      <c r="EE492" s="11"/>
      <c r="EF492" s="11"/>
    </row>
    <row r="493" spans="1:136" ht="27" x14ac:dyDescent="0.25">
      <c r="A493" s="425">
        <v>491</v>
      </c>
      <c r="B493" s="427" t="s">
        <v>2317</v>
      </c>
      <c r="C493" s="427" t="s">
        <v>723</v>
      </c>
      <c r="D493" s="427" t="s">
        <v>1297</v>
      </c>
      <c r="E493" s="79">
        <v>1</v>
      </c>
      <c r="F493" s="405"/>
      <c r="G493" s="274"/>
      <c r="H493" s="274"/>
      <c r="I493" s="274"/>
      <c r="J493" s="274"/>
      <c r="K493" s="11"/>
      <c r="L493" s="274"/>
      <c r="M493" s="274"/>
      <c r="N493" s="274"/>
      <c r="O493" s="48"/>
      <c r="P493" s="11"/>
      <c r="Q493" s="274"/>
      <c r="R493" s="274"/>
      <c r="S493" s="274"/>
      <c r="T493" s="11"/>
      <c r="U493" s="11"/>
      <c r="V493" s="11"/>
      <c r="W493" s="11"/>
      <c r="X493" s="11"/>
      <c r="Y493" s="11"/>
      <c r="Z493" s="48"/>
      <c r="AA493" s="52"/>
      <c r="AB493" s="52"/>
      <c r="AC493" s="118"/>
      <c r="AD493" s="5"/>
      <c r="AE493" s="52"/>
      <c r="AF493" s="113"/>
      <c r="AG493" s="113"/>
      <c r="AH493" s="113"/>
      <c r="AI493" s="52"/>
      <c r="AJ493" s="11"/>
      <c r="AK493" s="269">
        <v>644000</v>
      </c>
      <c r="AL493" s="269">
        <v>122360</v>
      </c>
      <c r="AM493" s="116">
        <v>766360</v>
      </c>
      <c r="AN493" s="301" t="s">
        <v>37</v>
      </c>
      <c r="AO493" s="302" t="s">
        <v>2318</v>
      </c>
      <c r="AP493" s="11"/>
      <c r="AQ493" s="11"/>
      <c r="AR493" s="11"/>
      <c r="AS493" s="11"/>
      <c r="AT493" s="11"/>
      <c r="AU493" s="118">
        <v>568831</v>
      </c>
      <c r="AV493" s="118">
        <v>108078</v>
      </c>
      <c r="AW493" s="118">
        <v>676909</v>
      </c>
      <c r="AX493" s="52" t="s">
        <v>607</v>
      </c>
      <c r="AY493" s="52" t="s">
        <v>2319</v>
      </c>
      <c r="AZ493" s="11"/>
      <c r="BA493" s="11"/>
      <c r="BB493" s="11"/>
      <c r="BC493" s="11"/>
      <c r="BD493" s="11"/>
      <c r="BE493" s="274"/>
      <c r="BF493" s="274"/>
      <c r="BG493" s="274"/>
      <c r="BH493" s="11"/>
      <c r="BI493" s="11"/>
      <c r="BJ493" s="311"/>
      <c r="BK493" s="311"/>
      <c r="BL493" s="311"/>
      <c r="BM493" s="52"/>
      <c r="BN493" s="52"/>
      <c r="BO493" s="387"/>
      <c r="BP493" s="320"/>
      <c r="BQ493" s="320"/>
      <c r="BR493" s="4"/>
      <c r="BS493" s="4"/>
      <c r="BT493" s="11"/>
      <c r="BU493" s="11"/>
      <c r="BV493" s="11"/>
      <c r="BW493" s="11"/>
      <c r="BX493" s="11"/>
      <c r="BY493" s="348"/>
      <c r="BZ493" s="348"/>
      <c r="CA493" s="348"/>
      <c r="CB493" s="348"/>
      <c r="CC493" s="348"/>
      <c r="CD493" s="11"/>
      <c r="CE493" s="11"/>
      <c r="CF493" s="11"/>
      <c r="CG493" s="11"/>
      <c r="CH493" s="11"/>
      <c r="CI493" s="11"/>
      <c r="CJ493" s="11"/>
      <c r="CK493" s="11"/>
      <c r="CL493" s="11"/>
      <c r="CM493" s="11"/>
      <c r="CN493" s="274"/>
      <c r="CO493" s="274"/>
      <c r="CP493" s="274"/>
      <c r="CQ493" s="11"/>
      <c r="CR493" s="11"/>
      <c r="CS493" s="11"/>
      <c r="CT493" s="11"/>
      <c r="CU493" s="11"/>
      <c r="CV493" s="11"/>
      <c r="CW493" s="11"/>
      <c r="CX493" s="11"/>
      <c r="CY493" s="11"/>
      <c r="CZ493" s="11"/>
      <c r="DA493" s="11"/>
      <c r="DB493" s="11"/>
      <c r="DC493" s="11"/>
      <c r="DD493" s="11"/>
      <c r="DE493" s="11"/>
      <c r="DF493" s="11"/>
      <c r="DG493" s="11"/>
      <c r="DH493" s="11"/>
      <c r="DI493" s="11"/>
      <c r="DJ493" s="11"/>
      <c r="DK493" s="11"/>
      <c r="DL493" s="11"/>
      <c r="DM493" s="118"/>
      <c r="DN493" s="118"/>
      <c r="DO493" s="118"/>
      <c r="DP493" s="52"/>
      <c r="DQ493" s="52"/>
      <c r="DR493" s="77"/>
      <c r="DS493" s="77"/>
      <c r="DT493" s="77"/>
      <c r="DU493" s="11"/>
      <c r="DV493" s="11"/>
      <c r="DW493" s="11"/>
      <c r="DX493" s="11"/>
      <c r="DY493" s="11"/>
      <c r="DZ493" s="11"/>
      <c r="EA493" s="11"/>
      <c r="EB493" s="11"/>
      <c r="EC493" s="11"/>
      <c r="ED493" s="11"/>
      <c r="EE493" s="11"/>
      <c r="EF493" s="11"/>
    </row>
    <row r="494" spans="1:136" ht="25.5" x14ac:dyDescent="0.25">
      <c r="A494" s="425">
        <v>492</v>
      </c>
      <c r="B494" s="427" t="s">
        <v>2320</v>
      </c>
      <c r="C494" s="427" t="s">
        <v>622</v>
      </c>
      <c r="D494" s="427" t="s">
        <v>1505</v>
      </c>
      <c r="E494" s="79">
        <v>1</v>
      </c>
      <c r="F494" s="405"/>
      <c r="G494" s="274"/>
      <c r="H494" s="274"/>
      <c r="I494" s="274"/>
      <c r="J494" s="274"/>
      <c r="K494" s="11"/>
      <c r="L494" s="274"/>
      <c r="M494" s="274"/>
      <c r="N494" s="274"/>
      <c r="O494" s="48"/>
      <c r="P494" s="11"/>
      <c r="Q494" s="274"/>
      <c r="R494" s="274"/>
      <c r="S494" s="274"/>
      <c r="T494" s="11"/>
      <c r="U494" s="11"/>
      <c r="V494" s="11"/>
      <c r="W494" s="11"/>
      <c r="X494" s="11"/>
      <c r="Y494" s="11"/>
      <c r="Z494" s="48"/>
      <c r="AA494" s="293">
        <v>435908</v>
      </c>
      <c r="AB494" s="118">
        <f>+AA494*0.19</f>
        <v>82822.52</v>
      </c>
      <c r="AC494" s="118">
        <f>+AA494+AB494</f>
        <v>518730.52</v>
      </c>
      <c r="AD494" s="5" t="s">
        <v>542</v>
      </c>
      <c r="AE494" s="52" t="s">
        <v>2321</v>
      </c>
      <c r="AF494" s="113"/>
      <c r="AG494" s="113"/>
      <c r="AH494" s="113"/>
      <c r="AI494" s="52"/>
      <c r="AJ494" s="11"/>
      <c r="AK494" s="269"/>
      <c r="AL494" s="269"/>
      <c r="AM494" s="269"/>
      <c r="AN494" s="301"/>
      <c r="AO494" s="302"/>
      <c r="AP494" s="11"/>
      <c r="AQ494" s="11"/>
      <c r="AR494" s="11"/>
      <c r="AS494" s="11"/>
      <c r="AT494" s="11"/>
      <c r="AU494" s="118">
        <v>3237071</v>
      </c>
      <c r="AV494" s="118">
        <v>615043</v>
      </c>
      <c r="AW494" s="118">
        <v>3852114</v>
      </c>
      <c r="AX494" s="52" t="s">
        <v>607</v>
      </c>
      <c r="AY494" s="52" t="s">
        <v>2322</v>
      </c>
      <c r="AZ494" s="11"/>
      <c r="BA494" s="11"/>
      <c r="BB494" s="11"/>
      <c r="BC494" s="11"/>
      <c r="BD494" s="11"/>
      <c r="BE494" s="274"/>
      <c r="BF494" s="274"/>
      <c r="BG494" s="274"/>
      <c r="BH494" s="11"/>
      <c r="BI494" s="11"/>
      <c r="BJ494" s="311"/>
      <c r="BK494" s="311"/>
      <c r="BL494" s="311"/>
      <c r="BM494" s="52"/>
      <c r="BN494" s="52"/>
      <c r="BO494" s="387"/>
      <c r="BP494" s="320"/>
      <c r="BQ494" s="320"/>
      <c r="BR494" s="4"/>
      <c r="BS494" s="4"/>
      <c r="BT494" s="11"/>
      <c r="BU494" s="11"/>
      <c r="BV494" s="11"/>
      <c r="BW494" s="11"/>
      <c r="BX494" s="11"/>
      <c r="BY494" s="348"/>
      <c r="BZ494" s="348"/>
      <c r="CA494" s="348"/>
      <c r="CB494" s="348"/>
      <c r="CC494" s="348"/>
      <c r="CD494" s="11"/>
      <c r="CE494" s="11"/>
      <c r="CF494" s="11"/>
      <c r="CG494" s="11"/>
      <c r="CH494" s="11"/>
      <c r="CI494" s="11"/>
      <c r="CJ494" s="11"/>
      <c r="CK494" s="11"/>
      <c r="CL494" s="11"/>
      <c r="CM494" s="11"/>
      <c r="CN494" s="274"/>
      <c r="CO494" s="274"/>
      <c r="CP494" s="274"/>
      <c r="CQ494" s="11"/>
      <c r="CR494" s="11"/>
      <c r="CS494" s="11"/>
      <c r="CT494" s="11"/>
      <c r="CU494" s="11"/>
      <c r="CV494" s="11"/>
      <c r="CW494" s="11"/>
      <c r="CX494" s="11"/>
      <c r="CY494" s="11"/>
      <c r="CZ494" s="11"/>
      <c r="DA494" s="11"/>
      <c r="DB494" s="11"/>
      <c r="DC494" s="11"/>
      <c r="DD494" s="11"/>
      <c r="DE494" s="11"/>
      <c r="DF494" s="11"/>
      <c r="DG494" s="11"/>
      <c r="DH494" s="11"/>
      <c r="DI494" s="11"/>
      <c r="DJ494" s="11"/>
      <c r="DK494" s="11"/>
      <c r="DL494" s="11"/>
      <c r="DM494" s="118"/>
      <c r="DN494" s="118"/>
      <c r="DO494" s="118"/>
      <c r="DP494" s="52"/>
      <c r="DQ494" s="52"/>
      <c r="DR494" s="77"/>
      <c r="DS494" s="77"/>
      <c r="DT494" s="77"/>
      <c r="DU494" s="11"/>
      <c r="DV494" s="11"/>
      <c r="DW494" s="11"/>
      <c r="DX494" s="11"/>
      <c r="DY494" s="11"/>
      <c r="DZ494" s="11"/>
      <c r="EA494" s="11"/>
      <c r="EB494" s="11"/>
      <c r="EC494" s="11"/>
      <c r="ED494" s="11"/>
      <c r="EE494" s="11"/>
      <c r="EF494" s="11"/>
    </row>
    <row r="495" spans="1:136" ht="28.5" x14ac:dyDescent="0.25">
      <c r="A495" s="425">
        <v>493</v>
      </c>
      <c r="B495" s="427" t="s">
        <v>2861</v>
      </c>
      <c r="C495" s="413" t="s">
        <v>2323</v>
      </c>
      <c r="D495" s="413" t="s">
        <v>2324</v>
      </c>
      <c r="E495" s="79">
        <v>1</v>
      </c>
      <c r="F495" s="404">
        <v>641007.78</v>
      </c>
      <c r="G495" s="274">
        <v>668750</v>
      </c>
      <c r="H495" s="274">
        <v>127062.5</v>
      </c>
      <c r="I495" s="274">
        <v>795812.5</v>
      </c>
      <c r="J495" s="274" t="s">
        <v>45</v>
      </c>
      <c r="K495" s="11" t="s">
        <v>2325</v>
      </c>
      <c r="L495" s="274">
        <v>280000</v>
      </c>
      <c r="M495" s="274">
        <f>L495*19%</f>
        <v>53200</v>
      </c>
      <c r="N495" s="274">
        <f>M495+L495</f>
        <v>333200</v>
      </c>
      <c r="O495" s="48" t="s">
        <v>906</v>
      </c>
      <c r="P495" s="11" t="s">
        <v>2326</v>
      </c>
      <c r="Q495" s="274"/>
      <c r="R495" s="274"/>
      <c r="S495" s="274"/>
      <c r="T495" s="11"/>
      <c r="U495" s="11"/>
      <c r="V495" s="11"/>
      <c r="W495" s="11"/>
      <c r="X495" s="11"/>
      <c r="Y495" s="11"/>
      <c r="Z495" s="48"/>
      <c r="AA495" s="52"/>
      <c r="AB495" s="52"/>
      <c r="AC495" s="118"/>
      <c r="AD495" s="5"/>
      <c r="AE495" s="52"/>
      <c r="AF495" s="113">
        <v>447000</v>
      </c>
      <c r="AG495" s="113">
        <f>AF495*0.19</f>
        <v>84930</v>
      </c>
      <c r="AH495" s="113">
        <f>AF495+AG495</f>
        <v>531930</v>
      </c>
      <c r="AI495" s="277" t="s">
        <v>628</v>
      </c>
      <c r="AJ495" s="33" t="s">
        <v>2327</v>
      </c>
      <c r="AK495" s="269"/>
      <c r="AL495" s="269"/>
      <c r="AM495" s="269"/>
      <c r="AN495" s="301"/>
      <c r="AO495" s="302"/>
      <c r="AP495" s="11"/>
      <c r="AQ495" s="11"/>
      <c r="AR495" s="11"/>
      <c r="AS495" s="11"/>
      <c r="AT495" s="11"/>
      <c r="AU495" s="118">
        <v>817431</v>
      </c>
      <c r="AV495" s="118">
        <v>155312</v>
      </c>
      <c r="AW495" s="118">
        <v>972743</v>
      </c>
      <c r="AX495" s="52" t="s">
        <v>607</v>
      </c>
      <c r="AY495" s="52" t="s">
        <v>2328</v>
      </c>
      <c r="AZ495" s="11"/>
      <c r="BA495" s="11"/>
      <c r="BB495" s="11"/>
      <c r="BC495" s="11"/>
      <c r="BD495" s="11"/>
      <c r="BE495" s="274"/>
      <c r="BF495" s="274"/>
      <c r="BG495" s="274"/>
      <c r="BH495" s="11"/>
      <c r="BI495" s="11"/>
      <c r="BJ495" s="311"/>
      <c r="BK495" s="311"/>
      <c r="BL495" s="311"/>
      <c r="BM495" s="52"/>
      <c r="BN495" s="52"/>
      <c r="BO495" s="387"/>
      <c r="BP495" s="320"/>
      <c r="BQ495" s="320"/>
      <c r="BR495" s="4"/>
      <c r="BS495" s="4"/>
      <c r="BT495" s="11"/>
      <c r="BU495" s="11"/>
      <c r="BV495" s="11"/>
      <c r="BW495" s="11"/>
      <c r="BX495" s="11"/>
      <c r="BY495" s="348"/>
      <c r="BZ495" s="348"/>
      <c r="CA495" s="348"/>
      <c r="CB495" s="348"/>
      <c r="CC495" s="348"/>
      <c r="CD495" s="11"/>
      <c r="CE495" s="11"/>
      <c r="CF495" s="11"/>
      <c r="CG495" s="11"/>
      <c r="CH495" s="11"/>
      <c r="CI495" s="11"/>
      <c r="CJ495" s="11"/>
      <c r="CK495" s="11"/>
      <c r="CL495" s="11"/>
      <c r="CM495" s="11"/>
      <c r="CN495" s="274"/>
      <c r="CO495" s="274"/>
      <c r="CP495" s="274"/>
      <c r="CQ495" s="11"/>
      <c r="CR495" s="11"/>
      <c r="CS495" s="11"/>
      <c r="CT495" s="11"/>
      <c r="CU495" s="11"/>
      <c r="CV495" s="11"/>
      <c r="CW495" s="11"/>
      <c r="CX495" s="11"/>
      <c r="CY495" s="11"/>
      <c r="CZ495" s="11"/>
      <c r="DA495" s="11"/>
      <c r="DB495" s="11"/>
      <c r="DC495" s="11"/>
      <c r="DD495" s="11"/>
      <c r="DE495" s="11"/>
      <c r="DF495" s="11"/>
      <c r="DG495" s="11"/>
      <c r="DH495" s="11"/>
      <c r="DI495" s="11"/>
      <c r="DJ495" s="11"/>
      <c r="DK495" s="11"/>
      <c r="DL495" s="11"/>
      <c r="DM495" s="118"/>
      <c r="DN495" s="118"/>
      <c r="DO495" s="118"/>
      <c r="DP495" s="52"/>
      <c r="DQ495" s="52"/>
      <c r="DR495" s="77"/>
      <c r="DS495" s="77"/>
      <c r="DT495" s="77"/>
      <c r="DU495" s="11"/>
      <c r="DV495" s="11"/>
      <c r="DW495" s="11"/>
      <c r="DX495" s="11"/>
      <c r="DY495" s="11"/>
      <c r="DZ495" s="11"/>
      <c r="EA495" s="11"/>
      <c r="EB495" s="11"/>
      <c r="EC495" s="11"/>
      <c r="ED495" s="11"/>
      <c r="EE495" s="11"/>
      <c r="EF495" s="11"/>
    </row>
    <row r="496" spans="1:136" ht="27" x14ac:dyDescent="0.25">
      <c r="A496" s="425">
        <v>494</v>
      </c>
      <c r="B496" s="413" t="s">
        <v>2329</v>
      </c>
      <c r="C496" s="413" t="s">
        <v>2330</v>
      </c>
      <c r="D496" s="413" t="s">
        <v>2331</v>
      </c>
      <c r="E496" s="79">
        <v>1</v>
      </c>
      <c r="F496" s="405"/>
      <c r="G496" s="274"/>
      <c r="H496" s="274"/>
      <c r="I496" s="274"/>
      <c r="J496" s="274"/>
      <c r="K496" s="11"/>
      <c r="L496" s="274"/>
      <c r="M496" s="274"/>
      <c r="N496" s="274"/>
      <c r="O496" s="48"/>
      <c r="P496" s="11"/>
      <c r="Q496" s="274"/>
      <c r="R496" s="274"/>
      <c r="S496" s="274"/>
      <c r="T496" s="11"/>
      <c r="U496" s="11"/>
      <c r="V496" s="11"/>
      <c r="W496" s="11"/>
      <c r="X496" s="11"/>
      <c r="Y496" s="11"/>
      <c r="Z496" s="48"/>
      <c r="AA496" s="52"/>
      <c r="AB496" s="52"/>
      <c r="AC496" s="118"/>
      <c r="AD496" s="5"/>
      <c r="AE496" s="52"/>
      <c r="AF496" s="113"/>
      <c r="AG496" s="113"/>
      <c r="AH496" s="113"/>
      <c r="AI496" s="52"/>
      <c r="AJ496" s="11"/>
      <c r="AK496" s="269"/>
      <c r="AL496" s="269"/>
      <c r="AM496" s="269"/>
      <c r="AN496" s="301"/>
      <c r="AO496" s="302"/>
      <c r="AP496" s="11"/>
      <c r="AQ496" s="11"/>
      <c r="AR496" s="11"/>
      <c r="AS496" s="11"/>
      <c r="AT496" s="11"/>
      <c r="AU496" s="118"/>
      <c r="AV496" s="118"/>
      <c r="AW496" s="118"/>
      <c r="AX496" s="52"/>
      <c r="AY496" s="52"/>
      <c r="AZ496" s="11"/>
      <c r="BA496" s="11"/>
      <c r="BB496" s="11"/>
      <c r="BC496" s="11"/>
      <c r="BD496" s="11"/>
      <c r="BE496" s="274"/>
      <c r="BF496" s="274"/>
      <c r="BG496" s="274"/>
      <c r="BH496" s="11"/>
      <c r="BI496" s="11"/>
      <c r="BJ496" s="311"/>
      <c r="BK496" s="311"/>
      <c r="BL496" s="311"/>
      <c r="BM496" s="52"/>
      <c r="BN496" s="52"/>
      <c r="BO496" s="387"/>
      <c r="BP496" s="320"/>
      <c r="BQ496" s="320"/>
      <c r="BR496" s="4"/>
      <c r="BS496" s="4"/>
      <c r="BT496" s="11"/>
      <c r="BU496" s="11"/>
      <c r="BV496" s="11"/>
      <c r="BW496" s="11"/>
      <c r="BX496" s="11"/>
      <c r="BY496" s="348"/>
      <c r="BZ496" s="348"/>
      <c r="CA496" s="348"/>
      <c r="CB496" s="348"/>
      <c r="CC496" s="348"/>
      <c r="CD496" s="11"/>
      <c r="CE496" s="11"/>
      <c r="CF496" s="11"/>
      <c r="CG496" s="11"/>
      <c r="CH496" s="11"/>
      <c r="CI496" s="11"/>
      <c r="CJ496" s="11"/>
      <c r="CK496" s="11"/>
      <c r="CL496" s="11"/>
      <c r="CM496" s="11"/>
      <c r="CN496" s="274"/>
      <c r="CO496" s="274"/>
      <c r="CP496" s="274"/>
      <c r="CQ496" s="11"/>
      <c r="CR496" s="11"/>
      <c r="CS496" s="11"/>
      <c r="CT496" s="11"/>
      <c r="CU496" s="11"/>
      <c r="CV496" s="11"/>
      <c r="CW496" s="11"/>
      <c r="CX496" s="11"/>
      <c r="CY496" s="11"/>
      <c r="CZ496" s="11"/>
      <c r="DA496" s="11"/>
      <c r="DB496" s="11"/>
      <c r="DC496" s="11"/>
      <c r="DD496" s="11"/>
      <c r="DE496" s="11"/>
      <c r="DF496" s="11"/>
      <c r="DG496" s="11"/>
      <c r="DH496" s="274">
        <v>328790</v>
      </c>
      <c r="DI496" s="274">
        <v>0</v>
      </c>
      <c r="DJ496" s="274">
        <f>+DH496+DI496</f>
        <v>328790</v>
      </c>
      <c r="DK496" s="11" t="s">
        <v>2332</v>
      </c>
      <c r="DL496" s="11"/>
      <c r="DM496" s="118"/>
      <c r="DN496" s="118"/>
      <c r="DO496" s="118"/>
      <c r="DP496" s="52"/>
      <c r="DQ496" s="52"/>
      <c r="DR496" s="77"/>
      <c r="DS496" s="77"/>
      <c r="DT496" s="77"/>
      <c r="DU496" s="11"/>
      <c r="DV496" s="11"/>
      <c r="DW496" s="11"/>
      <c r="DX496" s="11"/>
      <c r="DY496" s="11"/>
      <c r="DZ496" s="11"/>
      <c r="EA496" s="11"/>
      <c r="EB496" s="11"/>
      <c r="EC496" s="11"/>
      <c r="ED496" s="11"/>
      <c r="EE496" s="11"/>
      <c r="EF496" s="11"/>
    </row>
    <row r="497" spans="1:136" ht="13.5" x14ac:dyDescent="0.25">
      <c r="A497" s="425">
        <v>495</v>
      </c>
      <c r="B497" s="428" t="s">
        <v>2333</v>
      </c>
      <c r="C497" s="428" t="s">
        <v>2334</v>
      </c>
      <c r="D497" s="428" t="s">
        <v>2335</v>
      </c>
      <c r="E497" s="79">
        <v>1</v>
      </c>
      <c r="F497" s="405"/>
      <c r="G497" s="274"/>
      <c r="H497" s="274"/>
      <c r="I497" s="274"/>
      <c r="J497" s="274"/>
      <c r="K497" s="11"/>
      <c r="L497" s="274">
        <v>2650000</v>
      </c>
      <c r="M497" s="274">
        <f>L497*19%</f>
        <v>503500</v>
      </c>
      <c r="N497" s="274">
        <f>M497+L497</f>
        <v>3153500</v>
      </c>
      <c r="O497" s="48" t="s">
        <v>2336</v>
      </c>
      <c r="P497" s="11" t="s">
        <v>2337</v>
      </c>
      <c r="Q497" s="274"/>
      <c r="R497" s="274"/>
      <c r="S497" s="274"/>
      <c r="T497" s="11"/>
      <c r="U497" s="11"/>
      <c r="V497" s="11"/>
      <c r="W497" s="11"/>
      <c r="X497" s="11"/>
      <c r="Y497" s="11"/>
      <c r="Z497" s="48"/>
      <c r="AA497" s="52"/>
      <c r="AB497" s="52"/>
      <c r="AC497" s="118"/>
      <c r="AD497" s="5"/>
      <c r="AE497" s="52"/>
      <c r="AF497" s="113"/>
      <c r="AG497" s="113"/>
      <c r="AH497" s="113"/>
      <c r="AI497" s="52"/>
      <c r="AJ497" s="11"/>
      <c r="AK497" s="269"/>
      <c r="AL497" s="269"/>
      <c r="AM497" s="269"/>
      <c r="AN497" s="301"/>
      <c r="AO497" s="302"/>
      <c r="AP497" s="11"/>
      <c r="AQ497" s="11"/>
      <c r="AR497" s="11"/>
      <c r="AS497" s="11"/>
      <c r="AT497" s="11"/>
      <c r="AU497" s="118"/>
      <c r="AV497" s="118"/>
      <c r="AW497" s="118"/>
      <c r="AX497" s="52"/>
      <c r="AY497" s="52"/>
      <c r="AZ497" s="11"/>
      <c r="BA497" s="11"/>
      <c r="BB497" s="11"/>
      <c r="BC497" s="11"/>
      <c r="BD497" s="11"/>
      <c r="BE497" s="274"/>
      <c r="BF497" s="274"/>
      <c r="BG497" s="274"/>
      <c r="BH497" s="11"/>
      <c r="BI497" s="11"/>
      <c r="BJ497" s="311"/>
      <c r="BK497" s="311"/>
      <c r="BL497" s="311"/>
      <c r="BM497" s="52"/>
      <c r="BN497" s="52"/>
      <c r="BO497" s="387"/>
      <c r="BP497" s="320"/>
      <c r="BQ497" s="320"/>
      <c r="BR497" s="4"/>
      <c r="BS497" s="4"/>
      <c r="BT497" s="11"/>
      <c r="BU497" s="11"/>
      <c r="BV497" s="11"/>
      <c r="BW497" s="11"/>
      <c r="BX497" s="11"/>
      <c r="BY497" s="348"/>
      <c r="BZ497" s="348"/>
      <c r="CA497" s="348"/>
      <c r="CB497" s="348"/>
      <c r="CC497" s="348"/>
      <c r="CD497" s="11"/>
      <c r="CE497" s="11"/>
      <c r="CF497" s="11"/>
      <c r="CG497" s="11"/>
      <c r="CH497" s="11"/>
      <c r="CI497" s="11"/>
      <c r="CJ497" s="11"/>
      <c r="CK497" s="11"/>
      <c r="CL497" s="11"/>
      <c r="CM497" s="11"/>
      <c r="CN497" s="274"/>
      <c r="CO497" s="274"/>
      <c r="CP497" s="274"/>
      <c r="CQ497" s="11"/>
      <c r="CR497" s="11"/>
      <c r="CS497" s="11"/>
      <c r="CT497" s="11"/>
      <c r="CU497" s="11"/>
      <c r="CV497" s="11"/>
      <c r="CW497" s="11"/>
      <c r="CX497" s="11"/>
      <c r="CY497" s="11"/>
      <c r="CZ497" s="11"/>
      <c r="DA497" s="11"/>
      <c r="DB497" s="11"/>
      <c r="DC497" s="11"/>
      <c r="DD497" s="11"/>
      <c r="DE497" s="11"/>
      <c r="DF497" s="11"/>
      <c r="DG497" s="11"/>
      <c r="DH497" s="11"/>
      <c r="DI497" s="11"/>
      <c r="DJ497" s="11"/>
      <c r="DK497" s="11"/>
      <c r="DL497" s="11"/>
      <c r="DM497" s="118"/>
      <c r="DN497" s="118"/>
      <c r="DO497" s="118"/>
      <c r="DP497" s="52"/>
      <c r="DQ497" s="52"/>
      <c r="DR497" s="77"/>
      <c r="DS497" s="77"/>
      <c r="DT497" s="77"/>
      <c r="DU497" s="11"/>
      <c r="DV497" s="11"/>
      <c r="DW497" s="11"/>
      <c r="DX497" s="11"/>
      <c r="DY497" s="11"/>
      <c r="DZ497" s="11"/>
      <c r="EA497" s="11"/>
      <c r="EB497" s="11"/>
      <c r="EC497" s="11"/>
      <c r="ED497" s="11"/>
      <c r="EE497" s="11"/>
      <c r="EF497" s="11"/>
    </row>
    <row r="498" spans="1:136" ht="25.5" x14ac:dyDescent="0.25">
      <c r="A498" s="425">
        <v>496</v>
      </c>
      <c r="B498" s="427" t="s">
        <v>2338</v>
      </c>
      <c r="C498" s="413" t="s">
        <v>622</v>
      </c>
      <c r="D498" s="413" t="s">
        <v>637</v>
      </c>
      <c r="E498" s="79">
        <v>1</v>
      </c>
      <c r="F498" s="404">
        <v>346646.95240000001</v>
      </c>
      <c r="G498" s="274"/>
      <c r="H498" s="274"/>
      <c r="I498" s="274"/>
      <c r="J498" s="274"/>
      <c r="K498" s="11"/>
      <c r="L498" s="274"/>
      <c r="M498" s="274"/>
      <c r="N498" s="274"/>
      <c r="O498" s="48"/>
      <c r="P498" s="11"/>
      <c r="Q498" s="274"/>
      <c r="R498" s="274"/>
      <c r="S498" s="274"/>
      <c r="T498" s="11"/>
      <c r="U498" s="11"/>
      <c r="V498" s="11"/>
      <c r="W498" s="11"/>
      <c r="X498" s="11"/>
      <c r="Y498" s="11"/>
      <c r="Z498" s="48"/>
      <c r="AA498" s="52"/>
      <c r="AB498" s="52"/>
      <c r="AC498" s="118"/>
      <c r="AD498" s="5"/>
      <c r="AE498" s="52"/>
      <c r="AF498" s="113"/>
      <c r="AG498" s="113"/>
      <c r="AH498" s="113"/>
      <c r="AI498" s="52"/>
      <c r="AJ498" s="11"/>
      <c r="AK498" s="269">
        <v>197000</v>
      </c>
      <c r="AL498" s="269">
        <v>37430</v>
      </c>
      <c r="AM498" s="269">
        <v>234430</v>
      </c>
      <c r="AN498" s="301" t="s">
        <v>37</v>
      </c>
      <c r="AO498" s="302" t="s">
        <v>2339</v>
      </c>
      <c r="AP498" s="11"/>
      <c r="AQ498" s="11"/>
      <c r="AR498" s="11"/>
      <c r="AS498" s="11"/>
      <c r="AT498" s="11"/>
      <c r="AU498" s="118">
        <v>525518</v>
      </c>
      <c r="AV498" s="118">
        <v>99848</v>
      </c>
      <c r="AW498" s="118">
        <v>625366</v>
      </c>
      <c r="AX498" s="52" t="s">
        <v>607</v>
      </c>
      <c r="AY498" s="52">
        <v>1073020100</v>
      </c>
      <c r="AZ498" s="11"/>
      <c r="BA498" s="11"/>
      <c r="BB498" s="11"/>
      <c r="BC498" s="11"/>
      <c r="BD498" s="11"/>
      <c r="BE498" s="274"/>
      <c r="BF498" s="274"/>
      <c r="BG498" s="274"/>
      <c r="BH498" s="11"/>
      <c r="BI498" s="11"/>
      <c r="BJ498" s="311"/>
      <c r="BK498" s="311"/>
      <c r="BL498" s="311"/>
      <c r="BM498" s="52"/>
      <c r="BN498" s="52"/>
      <c r="BO498" s="387"/>
      <c r="BP498" s="320"/>
      <c r="BQ498" s="320"/>
      <c r="BR498" s="4"/>
      <c r="BS498" s="4"/>
      <c r="BT498" s="11"/>
      <c r="BU498" s="11"/>
      <c r="BV498" s="11"/>
      <c r="BW498" s="11"/>
      <c r="BX498" s="11"/>
      <c r="BY498" s="348"/>
      <c r="BZ498" s="348"/>
      <c r="CA498" s="348"/>
      <c r="CB498" s="348"/>
      <c r="CC498" s="348"/>
      <c r="CD498" s="11"/>
      <c r="CE498" s="11"/>
      <c r="CF498" s="11"/>
      <c r="CG498" s="11"/>
      <c r="CH498" s="11"/>
      <c r="CI498" s="11"/>
      <c r="CJ498" s="11"/>
      <c r="CK498" s="11"/>
      <c r="CL498" s="11"/>
      <c r="CM498" s="11"/>
      <c r="CN498" s="274"/>
      <c r="CO498" s="274"/>
      <c r="CP498" s="274"/>
      <c r="CQ498" s="11"/>
      <c r="CR498" s="11"/>
      <c r="CS498" s="11"/>
      <c r="CT498" s="11"/>
      <c r="CU498" s="11"/>
      <c r="CV498" s="11"/>
      <c r="CW498" s="11"/>
      <c r="CX498" s="11"/>
      <c r="CY498" s="11"/>
      <c r="CZ498" s="11"/>
      <c r="DA498" s="11"/>
      <c r="DB498" s="11"/>
      <c r="DC498" s="11"/>
      <c r="DD498" s="11"/>
      <c r="DE498" s="11"/>
      <c r="DF498" s="11"/>
      <c r="DG498" s="11"/>
      <c r="DH498" s="11"/>
      <c r="DI498" s="11"/>
      <c r="DJ498" s="11"/>
      <c r="DK498" s="11"/>
      <c r="DL498" s="11"/>
      <c r="DM498" s="118"/>
      <c r="DN498" s="118"/>
      <c r="DO498" s="118"/>
      <c r="DP498" s="52"/>
      <c r="DQ498" s="52"/>
      <c r="DR498" s="77"/>
      <c r="DS498" s="77"/>
      <c r="DT498" s="77"/>
      <c r="DU498" s="11"/>
      <c r="DV498" s="11"/>
      <c r="DW498" s="274">
        <v>213400</v>
      </c>
      <c r="DX498" s="384">
        <f>+DW498*0.19</f>
        <v>40546</v>
      </c>
      <c r="DY498" s="384">
        <f>+DW498+DX498</f>
        <v>253946</v>
      </c>
      <c r="DZ498" s="385" t="s">
        <v>2340</v>
      </c>
      <c r="EA498" s="11"/>
      <c r="EB498" s="11"/>
      <c r="EC498" s="11"/>
      <c r="ED498" s="11"/>
      <c r="EE498" s="11"/>
      <c r="EF498" s="11"/>
    </row>
    <row r="499" spans="1:136" ht="27" x14ac:dyDescent="0.25">
      <c r="A499" s="425">
        <v>497</v>
      </c>
      <c r="B499" s="413" t="s">
        <v>2341</v>
      </c>
      <c r="C499" s="427" t="s">
        <v>1041</v>
      </c>
      <c r="D499" s="413" t="s">
        <v>2342</v>
      </c>
      <c r="E499" s="79">
        <v>1</v>
      </c>
      <c r="F499" s="405"/>
      <c r="G499" s="274"/>
      <c r="H499" s="274"/>
      <c r="I499" s="274"/>
      <c r="J499" s="274"/>
      <c r="K499" s="11"/>
      <c r="L499" s="274"/>
      <c r="M499" s="274"/>
      <c r="N499" s="274"/>
      <c r="O499" s="48"/>
      <c r="P499" s="11"/>
      <c r="Q499" s="274"/>
      <c r="R499" s="274"/>
      <c r="S499" s="274"/>
      <c r="T499" s="11"/>
      <c r="U499" s="11"/>
      <c r="V499" s="11"/>
      <c r="W499" s="11"/>
      <c r="X499" s="11"/>
      <c r="Y499" s="11"/>
      <c r="Z499" s="48"/>
      <c r="AA499" s="293">
        <v>3616</v>
      </c>
      <c r="AB499" s="118">
        <f>+AA499*0.19</f>
        <v>687.04</v>
      </c>
      <c r="AC499" s="118">
        <f>+AA499+AB499</f>
        <v>4303.04</v>
      </c>
      <c r="AD499" s="5" t="s">
        <v>610</v>
      </c>
      <c r="AE499" s="52" t="s">
        <v>2343</v>
      </c>
      <c r="AF499" s="113"/>
      <c r="AG499" s="113"/>
      <c r="AH499" s="113"/>
      <c r="AI499" s="52"/>
      <c r="AJ499" s="11"/>
      <c r="AK499" s="269"/>
      <c r="AL499" s="269"/>
      <c r="AM499" s="269"/>
      <c r="AN499" s="301"/>
      <c r="AO499" s="302"/>
      <c r="AP499" s="11"/>
      <c r="AQ499" s="11"/>
      <c r="AR499" s="11"/>
      <c r="AS499" s="11"/>
      <c r="AT499" s="11"/>
      <c r="AU499" s="118">
        <v>1917</v>
      </c>
      <c r="AV499" s="118">
        <v>364</v>
      </c>
      <c r="AW499" s="118">
        <v>2281</v>
      </c>
      <c r="AX499" s="52" t="s">
        <v>607</v>
      </c>
      <c r="AY499" s="52" t="s">
        <v>2344</v>
      </c>
      <c r="AZ499" s="11"/>
      <c r="BA499" s="11"/>
      <c r="BB499" s="11"/>
      <c r="BC499" s="11"/>
      <c r="BD499" s="11"/>
      <c r="BE499" s="274"/>
      <c r="BF499" s="274"/>
      <c r="BG499" s="274"/>
      <c r="BH499" s="11"/>
      <c r="BI499" s="11"/>
      <c r="BJ499" s="311"/>
      <c r="BK499" s="311"/>
      <c r="BL499" s="311"/>
      <c r="BM499" s="52"/>
      <c r="BN499" s="52"/>
      <c r="BO499" s="387"/>
      <c r="BP499" s="320"/>
      <c r="BQ499" s="320"/>
      <c r="BR499" s="4"/>
      <c r="BS499" s="4"/>
      <c r="BT499" s="11"/>
      <c r="BU499" s="11"/>
      <c r="BV499" s="11"/>
      <c r="BW499" s="11"/>
      <c r="BX499" s="11"/>
      <c r="BY499" s="348"/>
      <c r="BZ499" s="348"/>
      <c r="CA499" s="348"/>
      <c r="CB499" s="348"/>
      <c r="CC499" s="348"/>
      <c r="CD499" s="11"/>
      <c r="CE499" s="11"/>
      <c r="CF499" s="11"/>
      <c r="CG499" s="11"/>
      <c r="CH499" s="11"/>
      <c r="CI499" s="11"/>
      <c r="CJ499" s="11"/>
      <c r="CK499" s="11"/>
      <c r="CL499" s="11"/>
      <c r="CM499" s="11"/>
      <c r="CN499" s="274"/>
      <c r="CO499" s="274"/>
      <c r="CP499" s="274"/>
      <c r="CQ499" s="11"/>
      <c r="CR499" s="11"/>
      <c r="CS499" s="11"/>
      <c r="CT499" s="11"/>
      <c r="CU499" s="11"/>
      <c r="CV499" s="11"/>
      <c r="CW499" s="11"/>
      <c r="CX499" s="11"/>
      <c r="CY499" s="11"/>
      <c r="CZ499" s="11"/>
      <c r="DA499" s="11"/>
      <c r="DB499" s="11"/>
      <c r="DC499" s="11"/>
      <c r="DD499" s="11"/>
      <c r="DE499" s="11"/>
      <c r="DF499" s="11"/>
      <c r="DG499" s="11"/>
      <c r="DH499" s="11"/>
      <c r="DI499" s="11"/>
      <c r="DJ499" s="11"/>
      <c r="DK499" s="11"/>
      <c r="DL499" s="11"/>
      <c r="DM499" s="118"/>
      <c r="DN499" s="118"/>
      <c r="DO499" s="118"/>
      <c r="DP499" s="52"/>
      <c r="DQ499" s="52"/>
      <c r="DR499" s="77"/>
      <c r="DS499" s="77"/>
      <c r="DT499" s="77"/>
      <c r="DU499" s="11"/>
      <c r="DV499" s="11"/>
      <c r="DW499" s="11"/>
      <c r="DX499" s="11"/>
      <c r="DY499" s="11"/>
      <c r="DZ499" s="11"/>
      <c r="EA499" s="11"/>
      <c r="EB499" s="11"/>
      <c r="EC499" s="11"/>
      <c r="ED499" s="11"/>
      <c r="EE499" s="11"/>
      <c r="EF499" s="11"/>
    </row>
    <row r="500" spans="1:136" ht="13.5" x14ac:dyDescent="0.25">
      <c r="A500" s="425">
        <v>498</v>
      </c>
      <c r="B500" s="427" t="s">
        <v>2345</v>
      </c>
      <c r="C500" s="413" t="s">
        <v>2346</v>
      </c>
      <c r="D500" s="413" t="s">
        <v>196</v>
      </c>
      <c r="E500" s="79">
        <v>1</v>
      </c>
      <c r="F500" s="406">
        <v>1324749.412</v>
      </c>
      <c r="G500" s="274">
        <v>512500</v>
      </c>
      <c r="H500" s="274">
        <v>97375</v>
      </c>
      <c r="I500" s="274">
        <v>609875</v>
      </c>
      <c r="J500" s="274" t="s">
        <v>45</v>
      </c>
      <c r="K500" s="11" t="s">
        <v>2347</v>
      </c>
      <c r="L500" s="274"/>
      <c r="M500" s="274"/>
      <c r="N500" s="274"/>
      <c r="O500" s="48"/>
      <c r="P500" s="11"/>
      <c r="Q500" s="274"/>
      <c r="R500" s="274"/>
      <c r="S500" s="274"/>
      <c r="T500" s="11"/>
      <c r="U500" s="11"/>
      <c r="V500" s="11"/>
      <c r="W500" s="11"/>
      <c r="X500" s="11"/>
      <c r="Y500" s="11"/>
      <c r="Z500" s="48"/>
      <c r="AA500" s="293">
        <v>918000</v>
      </c>
      <c r="AB500" s="118">
        <f>+AA500*0.19</f>
        <v>174420</v>
      </c>
      <c r="AC500" s="118">
        <f>+AA500+AB500</f>
        <v>1092420</v>
      </c>
      <c r="AD500" s="5" t="s">
        <v>610</v>
      </c>
      <c r="AE500" s="52" t="s">
        <v>2348</v>
      </c>
      <c r="AF500" s="113"/>
      <c r="AG500" s="113"/>
      <c r="AH500" s="113"/>
      <c r="AI500" s="52"/>
      <c r="AJ500" s="11"/>
      <c r="AK500" s="269">
        <v>741000</v>
      </c>
      <c r="AL500" s="269">
        <v>140790</v>
      </c>
      <c r="AM500" s="269">
        <v>881790</v>
      </c>
      <c r="AN500" s="301" t="s">
        <v>88</v>
      </c>
      <c r="AO500" s="302">
        <v>1245680100</v>
      </c>
      <c r="AP500" s="11"/>
      <c r="AQ500" s="11"/>
      <c r="AR500" s="11"/>
      <c r="AS500" s="11"/>
      <c r="AT500" s="11"/>
      <c r="AU500" s="118">
        <v>962338</v>
      </c>
      <c r="AV500" s="118">
        <v>182844</v>
      </c>
      <c r="AW500" s="118">
        <v>1145182</v>
      </c>
      <c r="AX500" s="52" t="s">
        <v>607</v>
      </c>
      <c r="AY500" s="52">
        <v>1245680100</v>
      </c>
      <c r="AZ500" s="11"/>
      <c r="BA500" s="11"/>
      <c r="BB500" s="11"/>
      <c r="BC500" s="11"/>
      <c r="BD500" s="11"/>
      <c r="BE500" s="274"/>
      <c r="BF500" s="274"/>
      <c r="BG500" s="274"/>
      <c r="BH500" s="11"/>
      <c r="BI500" s="11"/>
      <c r="BJ500" s="311"/>
      <c r="BK500" s="311"/>
      <c r="BL500" s="311"/>
      <c r="BM500" s="52"/>
      <c r="BN500" s="52"/>
      <c r="BO500" s="387">
        <v>673620</v>
      </c>
      <c r="BP500" s="320">
        <f>BO500*0.19</f>
        <v>127987.8</v>
      </c>
      <c r="BQ500" s="320">
        <f>BO500+BP500</f>
        <v>801607.8</v>
      </c>
      <c r="BR500" s="4" t="s">
        <v>2349</v>
      </c>
      <c r="BS500" s="4" t="s">
        <v>866</v>
      </c>
      <c r="BT500" s="11"/>
      <c r="BU500" s="11"/>
      <c r="BV500" s="11"/>
      <c r="BW500" s="11"/>
      <c r="BX500" s="11"/>
      <c r="BY500" s="348"/>
      <c r="BZ500" s="348"/>
      <c r="CA500" s="348"/>
      <c r="CB500" s="348"/>
      <c r="CC500" s="348"/>
      <c r="CD500" s="11"/>
      <c r="CE500" s="11"/>
      <c r="CF500" s="11"/>
      <c r="CG500" s="11"/>
      <c r="CH500" s="11"/>
      <c r="CI500" s="11"/>
      <c r="CJ500" s="11"/>
      <c r="CK500" s="11"/>
      <c r="CL500" s="11"/>
      <c r="CM500" s="11"/>
      <c r="CN500" s="274"/>
      <c r="CO500" s="274"/>
      <c r="CP500" s="274"/>
      <c r="CQ500" s="11"/>
      <c r="CR500" s="11"/>
      <c r="CS500" s="11"/>
      <c r="CT500" s="11"/>
      <c r="CU500" s="11"/>
      <c r="CV500" s="11"/>
      <c r="CW500" s="11"/>
      <c r="CX500" s="11"/>
      <c r="CY500" s="11"/>
      <c r="CZ500" s="11"/>
      <c r="DA500" s="11"/>
      <c r="DB500" s="11"/>
      <c r="DC500" s="11"/>
      <c r="DD500" s="11"/>
      <c r="DE500" s="11"/>
      <c r="DF500" s="11"/>
      <c r="DG500" s="11"/>
      <c r="DH500" s="11"/>
      <c r="DI500" s="11"/>
      <c r="DJ500" s="11"/>
      <c r="DK500" s="11"/>
      <c r="DL500" s="11"/>
      <c r="DM500" s="118"/>
      <c r="DN500" s="118"/>
      <c r="DO500" s="118"/>
      <c r="DP500" s="52"/>
      <c r="DQ500" s="52"/>
      <c r="DR500" s="77"/>
      <c r="DS500" s="77"/>
      <c r="DT500" s="77"/>
      <c r="DU500" s="11"/>
      <c r="DV500" s="11"/>
      <c r="DW500" s="11"/>
      <c r="DX500" s="11"/>
      <c r="DY500" s="11"/>
      <c r="DZ500" s="11"/>
      <c r="EA500" s="11"/>
      <c r="EB500" s="11"/>
      <c r="EC500" s="11"/>
      <c r="ED500" s="11"/>
      <c r="EE500" s="11"/>
      <c r="EF500" s="11"/>
    </row>
    <row r="501" spans="1:136" ht="40.5" x14ac:dyDescent="0.25">
      <c r="A501" s="425">
        <v>499</v>
      </c>
      <c r="B501" s="413" t="s">
        <v>2350</v>
      </c>
      <c r="C501" s="428" t="s">
        <v>2351</v>
      </c>
      <c r="D501" s="413" t="s">
        <v>2352</v>
      </c>
      <c r="E501" s="79">
        <v>1</v>
      </c>
      <c r="F501" s="405"/>
      <c r="G501" s="274"/>
      <c r="H501" s="274"/>
      <c r="I501" s="274"/>
      <c r="J501" s="274"/>
      <c r="K501" s="11"/>
      <c r="L501" s="274"/>
      <c r="M501" s="274"/>
      <c r="N501" s="274"/>
      <c r="O501" s="48"/>
      <c r="P501" s="11"/>
      <c r="Q501" s="274"/>
      <c r="R501" s="274"/>
      <c r="S501" s="274"/>
      <c r="T501" s="11"/>
      <c r="U501" s="11"/>
      <c r="V501" s="11"/>
      <c r="W501" s="11"/>
      <c r="X501" s="11"/>
      <c r="Y501" s="11"/>
      <c r="Z501" s="48"/>
      <c r="AA501" s="52"/>
      <c r="AB501" s="52"/>
      <c r="AC501" s="118"/>
      <c r="AD501" s="5"/>
      <c r="AE501" s="52"/>
      <c r="AF501" s="113">
        <v>353000</v>
      </c>
      <c r="AG501" s="113">
        <v>0</v>
      </c>
      <c r="AH501" s="113">
        <f>AF501+AG501</f>
        <v>353000</v>
      </c>
      <c r="AI501" s="52" t="s">
        <v>1193</v>
      </c>
      <c r="AJ501" s="11" t="s">
        <v>2353</v>
      </c>
      <c r="AK501" s="269"/>
      <c r="AL501" s="269"/>
      <c r="AM501" s="269"/>
      <c r="AN501" s="301"/>
      <c r="AO501" s="302"/>
      <c r="AP501" s="11"/>
      <c r="AQ501" s="11"/>
      <c r="AR501" s="11"/>
      <c r="AS501" s="11"/>
      <c r="AT501" s="11"/>
      <c r="AU501" s="118"/>
      <c r="AV501" s="118"/>
      <c r="AW501" s="118"/>
      <c r="AX501" s="52"/>
      <c r="AY501" s="52"/>
      <c r="AZ501" s="11"/>
      <c r="BA501" s="11"/>
      <c r="BB501" s="11"/>
      <c r="BC501" s="11"/>
      <c r="BD501" s="11"/>
      <c r="BE501" s="274"/>
      <c r="BF501" s="274"/>
      <c r="BG501" s="274"/>
      <c r="BH501" s="11"/>
      <c r="BI501" s="11"/>
      <c r="BJ501" s="311"/>
      <c r="BK501" s="311"/>
      <c r="BL501" s="311"/>
      <c r="BM501" s="52"/>
      <c r="BN501" s="52"/>
      <c r="BO501" s="387"/>
      <c r="BP501" s="320"/>
      <c r="BQ501" s="320"/>
      <c r="BR501" s="4"/>
      <c r="BS501" s="4"/>
      <c r="BT501" s="11"/>
      <c r="BU501" s="11"/>
      <c r="BV501" s="11"/>
      <c r="BW501" s="11"/>
      <c r="BX501" s="11"/>
      <c r="BY501" s="348"/>
      <c r="BZ501" s="348"/>
      <c r="CA501" s="348"/>
      <c r="CB501" s="348"/>
      <c r="CC501" s="348"/>
      <c r="CD501" s="11"/>
      <c r="CE501" s="11"/>
      <c r="CF501" s="11"/>
      <c r="CG501" s="11"/>
      <c r="CH501" s="11"/>
      <c r="CI501" s="11"/>
      <c r="CJ501" s="11"/>
      <c r="CK501" s="11"/>
      <c r="CL501" s="11"/>
      <c r="CM501" s="11"/>
      <c r="CN501" s="274"/>
      <c r="CO501" s="274"/>
      <c r="CP501" s="274"/>
      <c r="CQ501" s="11"/>
      <c r="CR501" s="11"/>
      <c r="CS501" s="11"/>
      <c r="CT501" s="11"/>
      <c r="CU501" s="11"/>
      <c r="CV501" s="11"/>
      <c r="CW501" s="11"/>
      <c r="CX501" s="11"/>
      <c r="CY501" s="11"/>
      <c r="CZ501" s="11"/>
      <c r="DA501" s="11"/>
      <c r="DB501" s="11"/>
      <c r="DC501" s="11"/>
      <c r="DD501" s="11"/>
      <c r="DE501" s="11"/>
      <c r="DF501" s="11"/>
      <c r="DG501" s="11"/>
      <c r="DH501" s="11"/>
      <c r="DI501" s="11"/>
      <c r="DJ501" s="11"/>
      <c r="DK501" s="11"/>
      <c r="DL501" s="11"/>
      <c r="DM501" s="118"/>
      <c r="DN501" s="118"/>
      <c r="DO501" s="118"/>
      <c r="DP501" s="52"/>
      <c r="DQ501" s="52"/>
      <c r="DR501" s="77"/>
      <c r="DS501" s="77"/>
      <c r="DT501" s="77"/>
      <c r="DU501" s="11"/>
      <c r="DV501" s="11"/>
      <c r="DW501" s="11"/>
      <c r="DX501" s="11"/>
      <c r="DY501" s="11"/>
      <c r="DZ501" s="11"/>
      <c r="EA501" s="11"/>
      <c r="EB501" s="11"/>
      <c r="EC501" s="11"/>
      <c r="ED501" s="11"/>
      <c r="EE501" s="11"/>
      <c r="EF501" s="11"/>
    </row>
    <row r="502" spans="1:136" ht="108" x14ac:dyDescent="0.25">
      <c r="A502" s="425">
        <v>500</v>
      </c>
      <c r="B502" s="427" t="s">
        <v>2354</v>
      </c>
      <c r="C502" s="427" t="s">
        <v>2355</v>
      </c>
      <c r="D502" s="427" t="s">
        <v>2356</v>
      </c>
      <c r="E502" s="79">
        <v>1</v>
      </c>
      <c r="F502" s="405">
        <v>1516963.0252</v>
      </c>
      <c r="G502" s="274"/>
      <c r="H502" s="274"/>
      <c r="I502" s="274"/>
      <c r="J502" s="274"/>
      <c r="K502" s="11"/>
      <c r="L502" s="274"/>
      <c r="M502" s="274"/>
      <c r="N502" s="274"/>
      <c r="O502" s="48"/>
      <c r="P502" s="11"/>
      <c r="Q502" s="274"/>
      <c r="R502" s="274"/>
      <c r="S502" s="274"/>
      <c r="T502" s="11"/>
      <c r="U502" s="11"/>
      <c r="V502" s="11"/>
      <c r="W502" s="11"/>
      <c r="X502" s="11"/>
      <c r="Y502" s="11"/>
      <c r="Z502" s="48"/>
      <c r="AA502" s="52"/>
      <c r="AB502" s="52"/>
      <c r="AC502" s="118"/>
      <c r="AD502" s="5"/>
      <c r="AE502" s="52"/>
      <c r="AF502" s="113"/>
      <c r="AG502" s="113"/>
      <c r="AH502" s="113"/>
      <c r="AI502" s="52"/>
      <c r="AJ502" s="11"/>
      <c r="AK502" s="269"/>
      <c r="AL502" s="269"/>
      <c r="AM502" s="269"/>
      <c r="AN502" s="301"/>
      <c r="AO502" s="302"/>
      <c r="AP502" s="11"/>
      <c r="AQ502" s="11"/>
      <c r="AR502" s="11"/>
      <c r="AS502" s="11"/>
      <c r="AT502" s="11"/>
      <c r="AU502" s="118"/>
      <c r="AV502" s="118"/>
      <c r="AW502" s="118"/>
      <c r="AX502" s="52"/>
      <c r="AY502" s="52"/>
      <c r="AZ502" s="11"/>
      <c r="BA502" s="11"/>
      <c r="BB502" s="11"/>
      <c r="BC502" s="11"/>
      <c r="BD502" s="11"/>
      <c r="BE502" s="274"/>
      <c r="BF502" s="274"/>
      <c r="BG502" s="274"/>
      <c r="BH502" s="11"/>
      <c r="BI502" s="11"/>
      <c r="BJ502" s="311"/>
      <c r="BK502" s="311"/>
      <c r="BL502" s="311"/>
      <c r="BM502" s="52"/>
      <c r="BN502" s="52"/>
      <c r="BO502" s="387"/>
      <c r="BP502" s="320"/>
      <c r="BQ502" s="320"/>
      <c r="BR502" s="4"/>
      <c r="BS502" s="4"/>
      <c r="BT502" s="11"/>
      <c r="BU502" s="11"/>
      <c r="BV502" s="11"/>
      <c r="BW502" s="11"/>
      <c r="BX502" s="11"/>
      <c r="BY502" s="348"/>
      <c r="BZ502" s="348"/>
      <c r="CA502" s="348"/>
      <c r="CB502" s="348"/>
      <c r="CC502" s="348"/>
      <c r="CD502" s="11"/>
      <c r="CE502" s="11"/>
      <c r="CF502" s="11"/>
      <c r="CG502" s="11"/>
      <c r="CH502" s="11"/>
      <c r="CI502" s="11"/>
      <c r="CJ502" s="11"/>
      <c r="CK502" s="11"/>
      <c r="CL502" s="11"/>
      <c r="CM502" s="11"/>
      <c r="CN502" s="274"/>
      <c r="CO502" s="274"/>
      <c r="CP502" s="274"/>
      <c r="CQ502" s="11"/>
      <c r="CR502" s="11"/>
      <c r="CS502" s="11"/>
      <c r="CT502" s="11"/>
      <c r="CU502" s="11"/>
      <c r="CV502" s="11"/>
      <c r="CW502" s="11"/>
      <c r="CX502" s="11"/>
      <c r="CY502" s="11"/>
      <c r="CZ502" s="11"/>
      <c r="DA502" s="11"/>
      <c r="DB502" s="11"/>
      <c r="DC502" s="11"/>
      <c r="DD502" s="11"/>
      <c r="DE502" s="11"/>
      <c r="DF502" s="11"/>
      <c r="DG502" s="11"/>
      <c r="DH502" s="11"/>
      <c r="DI502" s="11"/>
      <c r="DJ502" s="11"/>
      <c r="DK502" s="11"/>
      <c r="DL502" s="11"/>
      <c r="DM502" s="118"/>
      <c r="DN502" s="118"/>
      <c r="DO502" s="118"/>
      <c r="DP502" s="52"/>
      <c r="DQ502" s="52"/>
      <c r="DR502" s="77"/>
      <c r="DS502" s="77"/>
      <c r="DT502" s="77"/>
      <c r="DU502" s="11"/>
      <c r="DV502" s="11"/>
      <c r="DW502" s="11"/>
      <c r="DX502" s="11"/>
      <c r="DY502" s="11"/>
      <c r="DZ502" s="11"/>
      <c r="EA502" s="11"/>
      <c r="EB502" s="11"/>
      <c r="EC502" s="11"/>
      <c r="ED502" s="11"/>
      <c r="EE502" s="11"/>
      <c r="EF502" s="11"/>
    </row>
    <row r="503" spans="1:136" ht="40.5" x14ac:dyDescent="0.25">
      <c r="A503" s="425">
        <v>501</v>
      </c>
      <c r="B503" s="427" t="s">
        <v>2357</v>
      </c>
      <c r="C503" s="413" t="s">
        <v>2358</v>
      </c>
      <c r="D503" s="413" t="s">
        <v>370</v>
      </c>
      <c r="E503" s="79">
        <v>1</v>
      </c>
      <c r="F503" s="404">
        <v>1676675.2520000001</v>
      </c>
      <c r="G503" s="274"/>
      <c r="H503" s="274"/>
      <c r="I503" s="274"/>
      <c r="J503" s="274"/>
      <c r="K503" s="11"/>
      <c r="L503" s="274"/>
      <c r="M503" s="274"/>
      <c r="N503" s="274"/>
      <c r="O503" s="48"/>
      <c r="P503" s="11"/>
      <c r="Q503" s="274"/>
      <c r="R503" s="274"/>
      <c r="S503" s="274"/>
      <c r="T503" s="11"/>
      <c r="U503" s="11"/>
      <c r="V503" s="11"/>
      <c r="W503" s="11"/>
      <c r="X503" s="11"/>
      <c r="Y503" s="11"/>
      <c r="Z503" s="48"/>
      <c r="AA503" s="52"/>
      <c r="AB503" s="52"/>
      <c r="AC503" s="118"/>
      <c r="AD503" s="5"/>
      <c r="AE503" s="52"/>
      <c r="AF503" s="113"/>
      <c r="AG503" s="113"/>
      <c r="AH503" s="113"/>
      <c r="AI503" s="52"/>
      <c r="AJ503" s="11"/>
      <c r="AK503" s="269"/>
      <c r="AL503" s="269"/>
      <c r="AM503" s="269"/>
      <c r="AN503" s="301"/>
      <c r="AO503" s="302"/>
      <c r="AP503" s="11"/>
      <c r="AQ503" s="11"/>
      <c r="AR503" s="11"/>
      <c r="AS503" s="11"/>
      <c r="AT503" s="11"/>
      <c r="AU503" s="118"/>
      <c r="AV503" s="118"/>
      <c r="AW503" s="118"/>
      <c r="AX503" s="52"/>
      <c r="AY503" s="52"/>
      <c r="AZ503" s="11"/>
      <c r="BA503" s="11"/>
      <c r="BB503" s="11"/>
      <c r="BC503" s="11"/>
      <c r="BD503" s="11"/>
      <c r="BE503" s="274">
        <v>1764000</v>
      </c>
      <c r="BF503" s="274">
        <v>335160</v>
      </c>
      <c r="BG503" s="274">
        <v>2099160</v>
      </c>
      <c r="BH503" s="11" t="s">
        <v>2359</v>
      </c>
      <c r="BI503" s="11" t="s">
        <v>2360</v>
      </c>
      <c r="BJ503" s="311"/>
      <c r="BK503" s="311"/>
      <c r="BL503" s="311"/>
      <c r="BM503" s="52"/>
      <c r="BN503" s="52"/>
      <c r="BO503" s="387"/>
      <c r="BP503" s="320"/>
      <c r="BQ503" s="320"/>
      <c r="BR503" s="4"/>
      <c r="BS503" s="4"/>
      <c r="BT503" s="11"/>
      <c r="BU503" s="11"/>
      <c r="BV503" s="11"/>
      <c r="BW503" s="11"/>
      <c r="BX503" s="11"/>
      <c r="BY503" s="348"/>
      <c r="BZ503" s="348"/>
      <c r="CA503" s="348"/>
      <c r="CB503" s="348"/>
      <c r="CC503" s="348"/>
      <c r="CD503" s="11"/>
      <c r="CE503" s="11"/>
      <c r="CF503" s="11"/>
      <c r="CG503" s="11"/>
      <c r="CH503" s="11"/>
      <c r="CI503" s="11"/>
      <c r="CJ503" s="11"/>
      <c r="CK503" s="11"/>
      <c r="CL503" s="11"/>
      <c r="CM503" s="11"/>
      <c r="CN503" s="274"/>
      <c r="CO503" s="274"/>
      <c r="CP503" s="274"/>
      <c r="CQ503" s="11"/>
      <c r="CR503" s="11"/>
      <c r="CS503" s="11"/>
      <c r="CT503" s="11"/>
      <c r="CU503" s="11"/>
      <c r="CV503" s="11"/>
      <c r="CW503" s="11"/>
      <c r="CX503" s="11"/>
      <c r="CY503" s="11"/>
      <c r="CZ503" s="11"/>
      <c r="DA503" s="11"/>
      <c r="DB503" s="11"/>
      <c r="DC503" s="11"/>
      <c r="DD503" s="11"/>
      <c r="DE503" s="11"/>
      <c r="DF503" s="11"/>
      <c r="DG503" s="11"/>
      <c r="DH503" s="11"/>
      <c r="DI503" s="11"/>
      <c r="DJ503" s="11"/>
      <c r="DK503" s="11"/>
      <c r="DL503" s="11"/>
      <c r="DM503" s="118"/>
      <c r="DN503" s="118"/>
      <c r="DO503" s="118"/>
      <c r="DP503" s="52"/>
      <c r="DQ503" s="52"/>
      <c r="DR503" s="77"/>
      <c r="DS503" s="77"/>
      <c r="DT503" s="77"/>
      <c r="DU503" s="11"/>
      <c r="DV503" s="11"/>
      <c r="DW503" s="11"/>
      <c r="DX503" s="11"/>
      <c r="DY503" s="11"/>
      <c r="DZ503" s="11"/>
      <c r="EA503" s="11"/>
      <c r="EB503" s="11"/>
      <c r="EC503" s="11"/>
      <c r="ED503" s="11"/>
      <c r="EE503" s="11"/>
      <c r="EF503" s="11"/>
    </row>
    <row r="504" spans="1:136" ht="27" x14ac:dyDescent="0.25">
      <c r="A504" s="425">
        <v>502</v>
      </c>
      <c r="B504" s="426" t="s">
        <v>2361</v>
      </c>
      <c r="C504" s="427" t="s">
        <v>138</v>
      </c>
      <c r="D504" s="427" t="s">
        <v>609</v>
      </c>
      <c r="E504" s="79">
        <v>1</v>
      </c>
      <c r="F504" s="405"/>
      <c r="G504" s="274"/>
      <c r="H504" s="274"/>
      <c r="I504" s="274"/>
      <c r="J504" s="274"/>
      <c r="K504" s="11"/>
      <c r="L504" s="274"/>
      <c r="M504" s="274"/>
      <c r="N504" s="274"/>
      <c r="O504" s="48"/>
      <c r="P504" s="11"/>
      <c r="Q504" s="274"/>
      <c r="R504" s="274"/>
      <c r="S504" s="274"/>
      <c r="T504" s="11"/>
      <c r="U504" s="11"/>
      <c r="V504" s="11"/>
      <c r="W504" s="11"/>
      <c r="X504" s="11"/>
      <c r="Y504" s="11"/>
      <c r="Z504" s="48"/>
      <c r="AA504" s="52"/>
      <c r="AB504" s="52"/>
      <c r="AC504" s="118"/>
      <c r="AD504" s="5"/>
      <c r="AE504" s="52"/>
      <c r="AF504" s="113"/>
      <c r="AG504" s="113"/>
      <c r="AH504" s="113"/>
      <c r="AI504" s="52"/>
      <c r="AJ504" s="11"/>
      <c r="AK504" s="269"/>
      <c r="AL504" s="269"/>
      <c r="AM504" s="269"/>
      <c r="AN504" s="301"/>
      <c r="AO504" s="302"/>
      <c r="AP504" s="11"/>
      <c r="AQ504" s="11"/>
      <c r="AR504" s="11"/>
      <c r="AS504" s="11"/>
      <c r="AT504" s="11"/>
      <c r="AU504" s="118"/>
      <c r="AV504" s="118"/>
      <c r="AW504" s="118"/>
      <c r="AX504" s="52"/>
      <c r="AY504" s="52"/>
      <c r="AZ504" s="11"/>
      <c r="BA504" s="11"/>
      <c r="BB504" s="11"/>
      <c r="BC504" s="11"/>
      <c r="BD504" s="11"/>
      <c r="BE504" s="274"/>
      <c r="BF504" s="274"/>
      <c r="BG504" s="274"/>
      <c r="BH504" s="11"/>
      <c r="BI504" s="11"/>
      <c r="BJ504" s="311">
        <v>1900769.23</v>
      </c>
      <c r="BK504" s="311">
        <v>361146.15370000002</v>
      </c>
      <c r="BL504" s="311">
        <v>2261915.3836999997</v>
      </c>
      <c r="BM504" s="52" t="s">
        <v>138</v>
      </c>
      <c r="BN504" s="52" t="s">
        <v>2362</v>
      </c>
      <c r="BO504" s="387">
        <v>1926030</v>
      </c>
      <c r="BP504" s="320">
        <f>BO504*0.19</f>
        <v>365945.7</v>
      </c>
      <c r="BQ504" s="320">
        <f>BO504+BP504</f>
        <v>2291975.7000000002</v>
      </c>
      <c r="BR504" s="4" t="s">
        <v>2363</v>
      </c>
      <c r="BS504" s="4" t="s">
        <v>866</v>
      </c>
      <c r="BT504" s="11"/>
      <c r="BU504" s="11"/>
      <c r="BV504" s="11"/>
      <c r="BW504" s="11"/>
      <c r="BX504" s="11"/>
      <c r="BY504" s="348"/>
      <c r="BZ504" s="348"/>
      <c r="CA504" s="348"/>
      <c r="CB504" s="348"/>
      <c r="CC504" s="348"/>
      <c r="CD504" s="11"/>
      <c r="CE504" s="11"/>
      <c r="CF504" s="11"/>
      <c r="CG504" s="11"/>
      <c r="CH504" s="11"/>
      <c r="CI504" s="11"/>
      <c r="CJ504" s="11"/>
      <c r="CK504" s="11"/>
      <c r="CL504" s="11"/>
      <c r="CM504" s="11"/>
      <c r="CN504" s="274"/>
      <c r="CO504" s="274"/>
      <c r="CP504" s="274"/>
      <c r="CQ504" s="11"/>
      <c r="CR504" s="11"/>
      <c r="CS504" s="11"/>
      <c r="CT504" s="11"/>
      <c r="CU504" s="11"/>
      <c r="CV504" s="11"/>
      <c r="CW504" s="11"/>
      <c r="CX504" s="11"/>
      <c r="CY504" s="11"/>
      <c r="CZ504" s="11"/>
      <c r="DA504" s="11"/>
      <c r="DB504" s="11"/>
      <c r="DC504" s="11"/>
      <c r="DD504" s="11"/>
      <c r="DE504" s="11"/>
      <c r="DF504" s="11"/>
      <c r="DG504" s="11"/>
      <c r="DH504" s="11"/>
      <c r="DI504" s="11"/>
      <c r="DJ504" s="11"/>
      <c r="DK504" s="11"/>
      <c r="DL504" s="11"/>
      <c r="DM504" s="118"/>
      <c r="DN504" s="118"/>
      <c r="DO504" s="118"/>
      <c r="DP504" s="52"/>
      <c r="DQ504" s="52"/>
      <c r="DR504" s="77"/>
      <c r="DS504" s="77"/>
      <c r="DT504" s="77"/>
      <c r="DU504" s="11"/>
      <c r="DV504" s="11"/>
      <c r="DW504" s="11"/>
      <c r="DX504" s="11"/>
      <c r="DY504" s="11"/>
      <c r="DZ504" s="11"/>
      <c r="EA504" s="11"/>
      <c r="EB504" s="11"/>
      <c r="EC504" s="11"/>
      <c r="ED504" s="11"/>
      <c r="EE504" s="11"/>
      <c r="EF504" s="11"/>
    </row>
    <row r="505" spans="1:136" ht="54" x14ac:dyDescent="0.25">
      <c r="A505" s="425">
        <v>503</v>
      </c>
      <c r="B505" s="426" t="s">
        <v>2364</v>
      </c>
      <c r="C505" s="427" t="s">
        <v>138</v>
      </c>
      <c r="D505" s="427" t="s">
        <v>609</v>
      </c>
      <c r="E505" s="79">
        <v>1</v>
      </c>
      <c r="F505" s="405"/>
      <c r="G505" s="274"/>
      <c r="H505" s="274"/>
      <c r="I505" s="274"/>
      <c r="J505" s="274"/>
      <c r="K505" s="11"/>
      <c r="L505" s="274"/>
      <c r="M505" s="274"/>
      <c r="N505" s="274"/>
      <c r="O505" s="48"/>
      <c r="P505" s="11"/>
      <c r="Q505" s="274"/>
      <c r="R505" s="274"/>
      <c r="S505" s="274"/>
      <c r="T505" s="11"/>
      <c r="U505" s="11"/>
      <c r="V505" s="11"/>
      <c r="W505" s="11"/>
      <c r="X505" s="11"/>
      <c r="Y505" s="11"/>
      <c r="Z505" s="48"/>
      <c r="AA505" s="52"/>
      <c r="AB505" s="52"/>
      <c r="AC505" s="118"/>
      <c r="AD505" s="5"/>
      <c r="AE505" s="52"/>
      <c r="AF505" s="113"/>
      <c r="AG505" s="113"/>
      <c r="AH505" s="113"/>
      <c r="AI505" s="52"/>
      <c r="AJ505" s="11"/>
      <c r="AK505" s="269"/>
      <c r="AL505" s="269"/>
      <c r="AM505" s="269"/>
      <c r="AN505" s="301"/>
      <c r="AO505" s="302"/>
      <c r="AP505" s="11"/>
      <c r="AQ505" s="11"/>
      <c r="AR505" s="11"/>
      <c r="AS505" s="11"/>
      <c r="AT505" s="11"/>
      <c r="AU505" s="118"/>
      <c r="AV505" s="118"/>
      <c r="AW505" s="118"/>
      <c r="AX505" s="52"/>
      <c r="AY505" s="52"/>
      <c r="AZ505" s="11"/>
      <c r="BA505" s="11"/>
      <c r="BB505" s="11"/>
      <c r="BC505" s="11"/>
      <c r="BD505" s="11"/>
      <c r="BE505" s="274"/>
      <c r="BF505" s="274"/>
      <c r="BG505" s="274"/>
      <c r="BH505" s="11"/>
      <c r="BI505" s="11"/>
      <c r="BJ505" s="311">
        <v>534423.07999999996</v>
      </c>
      <c r="BK505" s="311">
        <v>101540.38519999999</v>
      </c>
      <c r="BL505" s="311">
        <v>635963.46519999998</v>
      </c>
      <c r="BM505" s="52" t="s">
        <v>138</v>
      </c>
      <c r="BN505" s="52" t="s">
        <v>2365</v>
      </c>
      <c r="BO505" s="387"/>
      <c r="BP505" s="320"/>
      <c r="BQ505" s="320"/>
      <c r="BR505" s="4"/>
      <c r="BS505" s="4"/>
      <c r="BT505" s="11"/>
      <c r="BU505" s="11"/>
      <c r="BV505" s="11"/>
      <c r="BW505" s="11"/>
      <c r="BX505" s="11"/>
      <c r="BY505" s="348"/>
      <c r="BZ505" s="348"/>
      <c r="CA505" s="348"/>
      <c r="CB505" s="348"/>
      <c r="CC505" s="348"/>
      <c r="CD505" s="11"/>
      <c r="CE505" s="11"/>
      <c r="CF505" s="11"/>
      <c r="CG505" s="11"/>
      <c r="CH505" s="11"/>
      <c r="CI505" s="11"/>
      <c r="CJ505" s="11"/>
      <c r="CK505" s="11"/>
      <c r="CL505" s="11"/>
      <c r="CM505" s="11"/>
      <c r="CN505" s="274"/>
      <c r="CO505" s="274"/>
      <c r="CP505" s="274"/>
      <c r="CQ505" s="11"/>
      <c r="CR505" s="11"/>
      <c r="CS505" s="11"/>
      <c r="CT505" s="11"/>
      <c r="CU505" s="11"/>
      <c r="CV505" s="11"/>
      <c r="CW505" s="11"/>
      <c r="CX505" s="11"/>
      <c r="CY505" s="11"/>
      <c r="CZ505" s="11"/>
      <c r="DA505" s="11"/>
      <c r="DB505" s="11"/>
      <c r="DC505" s="11"/>
      <c r="DD505" s="11"/>
      <c r="DE505" s="11"/>
      <c r="DF505" s="11"/>
      <c r="DG505" s="11"/>
      <c r="DH505" s="11"/>
      <c r="DI505" s="11"/>
      <c r="DJ505" s="11"/>
      <c r="DK505" s="11"/>
      <c r="DL505" s="11"/>
      <c r="DM505" s="118"/>
      <c r="DN505" s="118"/>
      <c r="DO505" s="118"/>
      <c r="DP505" s="52"/>
      <c r="DQ505" s="52"/>
      <c r="DR505" s="77"/>
      <c r="DS505" s="77"/>
      <c r="DT505" s="77"/>
      <c r="DU505" s="11"/>
      <c r="DV505" s="11"/>
      <c r="DW505" s="11"/>
      <c r="DX505" s="11"/>
      <c r="DY505" s="11"/>
      <c r="DZ505" s="11"/>
      <c r="EA505" s="11"/>
      <c r="EB505" s="11"/>
      <c r="EC505" s="11"/>
      <c r="ED505" s="11"/>
      <c r="EE505" s="11"/>
      <c r="EF505" s="11"/>
    </row>
    <row r="506" spans="1:136" ht="13.5" x14ac:dyDescent="0.25">
      <c r="A506" s="425">
        <v>504</v>
      </c>
      <c r="B506" s="428" t="s">
        <v>2366</v>
      </c>
      <c r="C506" s="413" t="s">
        <v>753</v>
      </c>
      <c r="D506" s="428" t="s">
        <v>783</v>
      </c>
      <c r="E506" s="79">
        <v>1</v>
      </c>
      <c r="F506" s="405"/>
      <c r="G506" s="274"/>
      <c r="H506" s="274"/>
      <c r="I506" s="274"/>
      <c r="J506" s="274"/>
      <c r="K506" s="11"/>
      <c r="L506" s="274"/>
      <c r="M506" s="274"/>
      <c r="N506" s="274"/>
      <c r="O506" s="48"/>
      <c r="P506" s="11"/>
      <c r="Q506" s="274"/>
      <c r="R506" s="274"/>
      <c r="S506" s="274"/>
      <c r="T506" s="11"/>
      <c r="U506" s="11"/>
      <c r="V506" s="11"/>
      <c r="W506" s="11"/>
      <c r="X506" s="11"/>
      <c r="Y506" s="11"/>
      <c r="Z506" s="48"/>
      <c r="AA506" s="52"/>
      <c r="AB506" s="52"/>
      <c r="AC506" s="118"/>
      <c r="AD506" s="5"/>
      <c r="AE506" s="52"/>
      <c r="AF506" s="113"/>
      <c r="AG506" s="113"/>
      <c r="AH506" s="113"/>
      <c r="AI506" s="52"/>
      <c r="AJ506" s="11"/>
      <c r="AK506" s="269"/>
      <c r="AL506" s="269"/>
      <c r="AM506" s="269"/>
      <c r="AN506" s="301"/>
      <c r="AO506" s="302"/>
      <c r="AP506" s="11"/>
      <c r="AQ506" s="11"/>
      <c r="AR506" s="11"/>
      <c r="AS506" s="11"/>
      <c r="AT506" s="11"/>
      <c r="AU506" s="118">
        <v>294949</v>
      </c>
      <c r="AV506" s="118">
        <v>56040</v>
      </c>
      <c r="AW506" s="118">
        <v>350990</v>
      </c>
      <c r="AX506" s="52" t="s">
        <v>607</v>
      </c>
      <c r="AY506" s="52" t="s">
        <v>2367</v>
      </c>
      <c r="AZ506" s="11"/>
      <c r="BA506" s="11"/>
      <c r="BB506" s="11"/>
      <c r="BC506" s="11"/>
      <c r="BD506" s="11"/>
      <c r="BE506" s="274"/>
      <c r="BF506" s="274"/>
      <c r="BG506" s="274"/>
      <c r="BH506" s="11"/>
      <c r="BI506" s="11"/>
      <c r="BJ506" s="311"/>
      <c r="BK506" s="311"/>
      <c r="BL506" s="311"/>
      <c r="BM506" s="52"/>
      <c r="BN506" s="52"/>
      <c r="BO506" s="387"/>
      <c r="BP506" s="320"/>
      <c r="BQ506" s="320"/>
      <c r="BR506" s="4"/>
      <c r="BS506" s="4"/>
      <c r="BT506" s="11"/>
      <c r="BU506" s="11"/>
      <c r="BV506" s="11"/>
      <c r="BW506" s="11"/>
      <c r="BX506" s="11"/>
      <c r="BY506" s="348"/>
      <c r="BZ506" s="348"/>
      <c r="CA506" s="348"/>
      <c r="CB506" s="348"/>
      <c r="CC506" s="348"/>
      <c r="CD506" s="11"/>
      <c r="CE506" s="11"/>
      <c r="CF506" s="11"/>
      <c r="CG506" s="11"/>
      <c r="CH506" s="11"/>
      <c r="CI506" s="11"/>
      <c r="CJ506" s="11"/>
      <c r="CK506" s="11"/>
      <c r="CL506" s="11"/>
      <c r="CM506" s="11"/>
      <c r="CN506" s="274"/>
      <c r="CO506" s="274"/>
      <c r="CP506" s="274"/>
      <c r="CQ506" s="11"/>
      <c r="CR506" s="11"/>
      <c r="CS506" s="11"/>
      <c r="CT506" s="11"/>
      <c r="CU506" s="11"/>
      <c r="CV506" s="11"/>
      <c r="CW506" s="11"/>
      <c r="CX506" s="11"/>
      <c r="CY506" s="11"/>
      <c r="CZ506" s="11"/>
      <c r="DA506" s="11"/>
      <c r="DB506" s="11"/>
      <c r="DC506" s="11"/>
      <c r="DD506" s="11"/>
      <c r="DE506" s="11"/>
      <c r="DF506" s="11"/>
      <c r="DG506" s="11"/>
      <c r="DH506" s="11"/>
      <c r="DI506" s="11"/>
      <c r="DJ506" s="11"/>
      <c r="DK506" s="11"/>
      <c r="DL506" s="11"/>
      <c r="DM506" s="118"/>
      <c r="DN506" s="118"/>
      <c r="DO506" s="118"/>
      <c r="DP506" s="52"/>
      <c r="DQ506" s="52"/>
      <c r="DR506" s="77"/>
      <c r="DS506" s="77"/>
      <c r="DT506" s="77"/>
      <c r="DU506" s="11"/>
      <c r="DV506" s="11"/>
      <c r="DW506" s="11"/>
      <c r="DX506" s="11"/>
      <c r="DY506" s="11"/>
      <c r="DZ506" s="11"/>
      <c r="EA506" s="11"/>
      <c r="EB506" s="11"/>
      <c r="EC506" s="11"/>
      <c r="ED506" s="11"/>
      <c r="EE506" s="11"/>
      <c r="EF506" s="11"/>
    </row>
    <row r="507" spans="1:136" ht="40.5" x14ac:dyDescent="0.25">
      <c r="A507" s="425">
        <v>505</v>
      </c>
      <c r="B507" s="426" t="s">
        <v>2368</v>
      </c>
      <c r="C507" s="413" t="s">
        <v>138</v>
      </c>
      <c r="D507" s="413" t="s">
        <v>609</v>
      </c>
      <c r="E507" s="79">
        <v>1</v>
      </c>
      <c r="F507" s="406">
        <v>976594.20600000001</v>
      </c>
      <c r="G507" s="274"/>
      <c r="H507" s="274"/>
      <c r="I507" s="274"/>
      <c r="J507" s="274"/>
      <c r="K507" s="11"/>
      <c r="L507" s="274">
        <v>432000</v>
      </c>
      <c r="M507" s="274">
        <f>L507*19%</f>
        <v>82080</v>
      </c>
      <c r="N507" s="274">
        <f>M507+L507</f>
        <v>514080</v>
      </c>
      <c r="O507" s="48" t="s">
        <v>862</v>
      </c>
      <c r="P507" s="11" t="s">
        <v>2369</v>
      </c>
      <c r="Q507" s="274"/>
      <c r="R507" s="274"/>
      <c r="S507" s="274"/>
      <c r="T507" s="11"/>
      <c r="U507" s="11"/>
      <c r="V507" s="11"/>
      <c r="W507" s="11"/>
      <c r="X507" s="11"/>
      <c r="Y507" s="11"/>
      <c r="Z507" s="48"/>
      <c r="AA507" s="293">
        <v>459000</v>
      </c>
      <c r="AB507" s="118">
        <f>+AA507*0.19</f>
        <v>87210</v>
      </c>
      <c r="AC507" s="118">
        <f>+AA507+AB507</f>
        <v>546210</v>
      </c>
      <c r="AD507" s="5" t="s">
        <v>610</v>
      </c>
      <c r="AE507" s="5" t="s">
        <v>2369</v>
      </c>
      <c r="AF507" s="113"/>
      <c r="AG507" s="113"/>
      <c r="AH507" s="113"/>
      <c r="AI507" s="52"/>
      <c r="AJ507" s="11"/>
      <c r="AK507" s="269"/>
      <c r="AL507" s="269"/>
      <c r="AM507" s="269"/>
      <c r="AN507" s="301"/>
      <c r="AO507" s="302"/>
      <c r="AP507" s="11"/>
      <c r="AQ507" s="11"/>
      <c r="AR507" s="11"/>
      <c r="AS507" s="11"/>
      <c r="AT507" s="11"/>
      <c r="AU507" s="118"/>
      <c r="AV507" s="118"/>
      <c r="AW507" s="118"/>
      <c r="AX507" s="52"/>
      <c r="AY507" s="52"/>
      <c r="AZ507" s="11"/>
      <c r="BA507" s="11"/>
      <c r="BB507" s="11"/>
      <c r="BC507" s="11"/>
      <c r="BD507" s="11"/>
      <c r="BE507" s="274"/>
      <c r="BF507" s="274"/>
      <c r="BG507" s="274"/>
      <c r="BH507" s="11"/>
      <c r="BI507" s="11"/>
      <c r="BJ507" s="311">
        <v>503461.54</v>
      </c>
      <c r="BK507" s="311">
        <v>95657.692599999995</v>
      </c>
      <c r="BL507" s="311">
        <v>599119.23259999999</v>
      </c>
      <c r="BM507" s="52" t="s">
        <v>138</v>
      </c>
      <c r="BN507" s="52">
        <v>48190011</v>
      </c>
      <c r="BO507" s="387">
        <v>203830</v>
      </c>
      <c r="BP507" s="320">
        <f>BO507*0.19</f>
        <v>38727.699999999997</v>
      </c>
      <c r="BQ507" s="320">
        <f>BO507+BP507</f>
        <v>242557.7</v>
      </c>
      <c r="BR507" s="4" t="s">
        <v>2370</v>
      </c>
      <c r="BS507" s="4" t="s">
        <v>866</v>
      </c>
      <c r="BT507" s="11"/>
      <c r="BU507" s="11"/>
      <c r="BV507" s="11"/>
      <c r="BW507" s="11"/>
      <c r="BX507" s="11"/>
      <c r="BY507" s="348"/>
      <c r="BZ507" s="348"/>
      <c r="CA507" s="348"/>
      <c r="CB507" s="348"/>
      <c r="CC507" s="348"/>
      <c r="CD507" s="11"/>
      <c r="CE507" s="11"/>
      <c r="CF507" s="11"/>
      <c r="CG507" s="11"/>
      <c r="CH507" s="11"/>
      <c r="CI507" s="11"/>
      <c r="CJ507" s="11"/>
      <c r="CK507" s="11"/>
      <c r="CL507" s="11"/>
      <c r="CM507" s="11"/>
      <c r="CN507" s="274"/>
      <c r="CO507" s="274"/>
      <c r="CP507" s="274"/>
      <c r="CQ507" s="11"/>
      <c r="CR507" s="11"/>
      <c r="CS507" s="11"/>
      <c r="CT507" s="11"/>
      <c r="CU507" s="11"/>
      <c r="CV507" s="11"/>
      <c r="CW507" s="11"/>
      <c r="CX507" s="11"/>
      <c r="CY507" s="11"/>
      <c r="CZ507" s="11"/>
      <c r="DA507" s="11"/>
      <c r="DB507" s="11"/>
      <c r="DC507" s="11"/>
      <c r="DD507" s="11"/>
      <c r="DE507" s="11"/>
      <c r="DF507" s="11"/>
      <c r="DG507" s="11"/>
      <c r="DH507" s="11"/>
      <c r="DI507" s="11"/>
      <c r="DJ507" s="11"/>
      <c r="DK507" s="11"/>
      <c r="DL507" s="11"/>
      <c r="DM507" s="118"/>
      <c r="DN507" s="118"/>
      <c r="DO507" s="118"/>
      <c r="DP507" s="52"/>
      <c r="DQ507" s="52"/>
      <c r="DR507" s="77"/>
      <c r="DS507" s="77"/>
      <c r="DT507" s="77"/>
      <c r="DU507" s="11"/>
      <c r="DV507" s="11"/>
      <c r="DW507" s="11"/>
      <c r="DX507" s="11"/>
      <c r="DY507" s="11"/>
      <c r="DZ507" s="11"/>
      <c r="EA507" s="11"/>
      <c r="EB507" s="11"/>
      <c r="EC507" s="11"/>
      <c r="ED507" s="11"/>
      <c r="EE507" s="11"/>
      <c r="EF507" s="11"/>
    </row>
    <row r="508" spans="1:136" ht="27" x14ac:dyDescent="0.25">
      <c r="A508" s="425">
        <v>506</v>
      </c>
      <c r="B508" s="427" t="s">
        <v>2371</v>
      </c>
      <c r="C508" s="427" t="s">
        <v>2372</v>
      </c>
      <c r="D508" s="427" t="s">
        <v>502</v>
      </c>
      <c r="E508" s="79">
        <v>1</v>
      </c>
      <c r="F508" s="405"/>
      <c r="G508" s="274"/>
      <c r="H508" s="274"/>
      <c r="I508" s="274"/>
      <c r="J508" s="274"/>
      <c r="K508" s="11"/>
      <c r="L508" s="274"/>
      <c r="M508" s="274"/>
      <c r="N508" s="274"/>
      <c r="O508" s="48"/>
      <c r="P508" s="11"/>
      <c r="Q508" s="274"/>
      <c r="R508" s="274"/>
      <c r="S508" s="274"/>
      <c r="T508" s="11"/>
      <c r="U508" s="11"/>
      <c r="V508" s="11"/>
      <c r="W508" s="11"/>
      <c r="X508" s="11"/>
      <c r="Y508" s="11"/>
      <c r="Z508" s="48"/>
      <c r="AA508" s="52"/>
      <c r="AB508" s="52"/>
      <c r="AC508" s="118"/>
      <c r="AD508" s="5"/>
      <c r="AE508" s="52"/>
      <c r="AF508" s="113"/>
      <c r="AG508" s="113"/>
      <c r="AH508" s="113"/>
      <c r="AI508" s="52"/>
      <c r="AJ508" s="11"/>
      <c r="AK508" s="269">
        <v>532000</v>
      </c>
      <c r="AL508" s="269"/>
      <c r="AM508" s="269">
        <v>532000</v>
      </c>
      <c r="AN508" s="301" t="s">
        <v>37</v>
      </c>
      <c r="AO508" s="302" t="s">
        <v>2373</v>
      </c>
      <c r="AP508" s="11"/>
      <c r="AQ508" s="11"/>
      <c r="AR508" s="11"/>
      <c r="AS508" s="11"/>
      <c r="AT508" s="11"/>
      <c r="AU508" s="118">
        <v>560404</v>
      </c>
      <c r="AV508" s="118">
        <v>106477</v>
      </c>
      <c r="AW508" s="118">
        <v>666881</v>
      </c>
      <c r="AX508" s="52" t="s">
        <v>607</v>
      </c>
      <c r="AY508" s="52" t="s">
        <v>2373</v>
      </c>
      <c r="AZ508" s="11"/>
      <c r="BA508" s="11"/>
      <c r="BB508" s="11"/>
      <c r="BC508" s="11"/>
      <c r="BD508" s="11"/>
      <c r="BE508" s="274">
        <v>971000</v>
      </c>
      <c r="BF508" s="274">
        <v>184490</v>
      </c>
      <c r="BG508" s="274">
        <v>1155490</v>
      </c>
      <c r="BH508" s="11" t="s">
        <v>37</v>
      </c>
      <c r="BI508" s="11" t="s">
        <v>2373</v>
      </c>
      <c r="BJ508" s="311"/>
      <c r="BK508" s="311"/>
      <c r="BL508" s="311"/>
      <c r="BM508" s="52"/>
      <c r="BN508" s="52"/>
      <c r="BO508" s="387"/>
      <c r="BP508" s="320"/>
      <c r="BQ508" s="320"/>
      <c r="BR508" s="4"/>
      <c r="BS508" s="4"/>
      <c r="BT508" s="11"/>
      <c r="BU508" s="11"/>
      <c r="BV508" s="11"/>
      <c r="BW508" s="11"/>
      <c r="BX508" s="11"/>
      <c r="BY508" s="348"/>
      <c r="BZ508" s="348"/>
      <c r="CA508" s="348"/>
      <c r="CB508" s="348"/>
      <c r="CC508" s="348"/>
      <c r="CD508" s="11"/>
      <c r="CE508" s="11"/>
      <c r="CF508" s="11"/>
      <c r="CG508" s="11"/>
      <c r="CH508" s="11"/>
      <c r="CI508" s="11"/>
      <c r="CJ508" s="11"/>
      <c r="CK508" s="11"/>
      <c r="CL508" s="11"/>
      <c r="CM508" s="11"/>
      <c r="CN508" s="274"/>
      <c r="CO508" s="274"/>
      <c r="CP508" s="274"/>
      <c r="CQ508" s="11"/>
      <c r="CR508" s="11"/>
      <c r="CS508" s="11"/>
      <c r="CT508" s="11"/>
      <c r="CU508" s="11"/>
      <c r="CV508" s="11"/>
      <c r="CW508" s="11"/>
      <c r="CX508" s="11"/>
      <c r="CY508" s="11"/>
      <c r="CZ508" s="11"/>
      <c r="DA508" s="11"/>
      <c r="DB508" s="11"/>
      <c r="DC508" s="11"/>
      <c r="DD508" s="11"/>
      <c r="DE508" s="11"/>
      <c r="DF508" s="11"/>
      <c r="DG508" s="11"/>
      <c r="DH508" s="11"/>
      <c r="DI508" s="11"/>
      <c r="DJ508" s="11"/>
      <c r="DK508" s="11"/>
      <c r="DL508" s="11"/>
      <c r="DM508" s="118"/>
      <c r="DN508" s="118"/>
      <c r="DO508" s="118"/>
      <c r="DP508" s="52"/>
      <c r="DQ508" s="52"/>
      <c r="DR508" s="77"/>
      <c r="DS508" s="77"/>
      <c r="DT508" s="77"/>
      <c r="DU508" s="11"/>
      <c r="DV508" s="11"/>
      <c r="DW508" s="11"/>
      <c r="DX508" s="11"/>
      <c r="DY508" s="11"/>
      <c r="DZ508" s="11"/>
      <c r="EA508" s="11"/>
      <c r="EB508" s="11"/>
      <c r="EC508" s="11"/>
      <c r="ED508" s="11"/>
      <c r="EE508" s="11"/>
      <c r="EF508" s="11"/>
    </row>
    <row r="509" spans="1:136" ht="40.5" x14ac:dyDescent="0.25">
      <c r="A509" s="425">
        <v>507</v>
      </c>
      <c r="B509" s="427" t="s">
        <v>2374</v>
      </c>
      <c r="C509" s="413" t="s">
        <v>2375</v>
      </c>
      <c r="D509" s="413" t="s">
        <v>39</v>
      </c>
      <c r="E509" s="79">
        <v>1</v>
      </c>
      <c r="F509" s="404">
        <v>213669.26</v>
      </c>
      <c r="G509" s="274">
        <v>247500</v>
      </c>
      <c r="H509" s="274">
        <v>47025</v>
      </c>
      <c r="I509" s="274">
        <v>294525</v>
      </c>
      <c r="J509" s="274" t="s">
        <v>45</v>
      </c>
      <c r="K509" s="11" t="s">
        <v>2376</v>
      </c>
      <c r="L509" s="274"/>
      <c r="M509" s="274"/>
      <c r="N509" s="274"/>
      <c r="O509" s="48"/>
      <c r="P509" s="11"/>
      <c r="Q509" s="274"/>
      <c r="R509" s="274"/>
      <c r="S509" s="274"/>
      <c r="T509" s="11"/>
      <c r="U509" s="11"/>
      <c r="V509" s="11"/>
      <c r="W509" s="11"/>
      <c r="X509" s="11"/>
      <c r="Y509" s="11"/>
      <c r="Z509" s="48"/>
      <c r="AA509" s="52"/>
      <c r="AB509" s="52"/>
      <c r="AC509" s="118"/>
      <c r="AD509" s="5"/>
      <c r="AE509" s="52"/>
      <c r="AF509" s="113">
        <v>160000</v>
      </c>
      <c r="AG509" s="113">
        <f>AF509*0.19</f>
        <v>30400</v>
      </c>
      <c r="AH509" s="113">
        <f>AF509+AG509</f>
        <v>190400</v>
      </c>
      <c r="AI509" s="277" t="s">
        <v>628</v>
      </c>
      <c r="AJ509" s="33" t="s">
        <v>2377</v>
      </c>
      <c r="AK509" s="269">
        <v>127976</v>
      </c>
      <c r="AL509" s="269">
        <v>24315.439999999999</v>
      </c>
      <c r="AM509" s="269">
        <v>152291.44</v>
      </c>
      <c r="AN509" s="301" t="s">
        <v>88</v>
      </c>
      <c r="AO509" s="302">
        <v>1092930100</v>
      </c>
      <c r="AP509" s="11"/>
      <c r="AQ509" s="11"/>
      <c r="AR509" s="11"/>
      <c r="AS509" s="11"/>
      <c r="AT509" s="11"/>
      <c r="AU509" s="118">
        <v>162643</v>
      </c>
      <c r="AV509" s="118">
        <v>30902</v>
      </c>
      <c r="AW509" s="118">
        <v>193545</v>
      </c>
      <c r="AX509" s="52" t="s">
        <v>607</v>
      </c>
      <c r="AY509" s="52">
        <v>1092930100</v>
      </c>
      <c r="AZ509" s="11"/>
      <c r="BA509" s="11"/>
      <c r="BB509" s="11"/>
      <c r="BC509" s="11"/>
      <c r="BD509" s="11"/>
      <c r="BE509" s="274">
        <v>264000</v>
      </c>
      <c r="BF509" s="274">
        <v>50160</v>
      </c>
      <c r="BG509" s="274">
        <v>314160</v>
      </c>
      <c r="BH509" s="11" t="s">
        <v>88</v>
      </c>
      <c r="BI509" s="11">
        <v>1092930100</v>
      </c>
      <c r="BJ509" s="311"/>
      <c r="BK509" s="311"/>
      <c r="BL509" s="311"/>
      <c r="BM509" s="52"/>
      <c r="BN509" s="52"/>
      <c r="BO509" s="387"/>
      <c r="BP509" s="320"/>
      <c r="BQ509" s="320"/>
      <c r="BR509" s="4"/>
      <c r="BS509" s="4"/>
      <c r="BT509" s="11"/>
      <c r="BU509" s="11"/>
      <c r="BV509" s="11"/>
      <c r="BW509" s="11"/>
      <c r="BX509" s="11"/>
      <c r="BY509" s="349">
        <v>106000</v>
      </c>
      <c r="BZ509" s="349">
        <f>BY509*0.19</f>
        <v>20140</v>
      </c>
      <c r="CA509" s="349">
        <f>BY509+BZ509</f>
        <v>126140</v>
      </c>
      <c r="CB509" s="348" t="s">
        <v>772</v>
      </c>
      <c r="CC509" s="348">
        <v>80271</v>
      </c>
      <c r="CD509" s="11"/>
      <c r="CE509" s="11"/>
      <c r="CF509" s="11"/>
      <c r="CG509" s="11"/>
      <c r="CH509" s="11"/>
      <c r="CI509" s="11"/>
      <c r="CJ509" s="11"/>
      <c r="CK509" s="11"/>
      <c r="CL509" s="11"/>
      <c r="CM509" s="11"/>
      <c r="CN509" s="274"/>
      <c r="CO509" s="274"/>
      <c r="CP509" s="274"/>
      <c r="CQ509" s="11"/>
      <c r="CR509" s="11"/>
      <c r="CS509" s="11"/>
      <c r="CT509" s="11"/>
      <c r="CU509" s="11"/>
      <c r="CV509" s="11"/>
      <c r="CW509" s="11"/>
      <c r="CX509" s="11"/>
      <c r="CY509" s="11"/>
      <c r="CZ509" s="11"/>
      <c r="DA509" s="11"/>
      <c r="DB509" s="11"/>
      <c r="DC509" s="11"/>
      <c r="DD509" s="11"/>
      <c r="DE509" s="11"/>
      <c r="DF509" s="11"/>
      <c r="DG509" s="11"/>
      <c r="DH509" s="11"/>
      <c r="DI509" s="11"/>
      <c r="DJ509" s="11"/>
      <c r="DK509" s="11"/>
      <c r="DL509" s="11"/>
      <c r="DM509" s="118"/>
      <c r="DN509" s="118"/>
      <c r="DO509" s="118"/>
      <c r="DP509" s="52"/>
      <c r="DQ509" s="52"/>
      <c r="DR509" s="77"/>
      <c r="DS509" s="77"/>
      <c r="DT509" s="77"/>
      <c r="DU509" s="11"/>
      <c r="DV509" s="11"/>
      <c r="DW509" s="11"/>
      <c r="DX509" s="11"/>
      <c r="DY509" s="11"/>
      <c r="DZ509" s="11"/>
      <c r="EA509" s="11"/>
      <c r="EB509" s="11"/>
      <c r="EC509" s="11"/>
      <c r="ED509" s="11"/>
      <c r="EE509" s="11"/>
      <c r="EF509" s="11"/>
    </row>
    <row r="510" spans="1:136" ht="40.5" x14ac:dyDescent="0.25">
      <c r="A510" s="425">
        <v>508</v>
      </c>
      <c r="B510" s="428" t="s">
        <v>2378</v>
      </c>
      <c r="C510" s="428" t="s">
        <v>813</v>
      </c>
      <c r="D510" s="413" t="s">
        <v>2379</v>
      </c>
      <c r="E510" s="79">
        <v>1</v>
      </c>
      <c r="F510" s="405"/>
      <c r="G510" s="274"/>
      <c r="H510" s="274"/>
      <c r="I510" s="274"/>
      <c r="J510" s="274"/>
      <c r="K510" s="11"/>
      <c r="L510" s="274"/>
      <c r="M510" s="274"/>
      <c r="N510" s="274"/>
      <c r="O510" s="48"/>
      <c r="P510" s="11"/>
      <c r="Q510" s="274"/>
      <c r="R510" s="274"/>
      <c r="S510" s="274"/>
      <c r="T510" s="11"/>
      <c r="U510" s="11"/>
      <c r="V510" s="11"/>
      <c r="W510" s="11"/>
      <c r="X510" s="11"/>
      <c r="Y510" s="11"/>
      <c r="Z510" s="48"/>
      <c r="AA510" s="52"/>
      <c r="AB510" s="52"/>
      <c r="AC510" s="118"/>
      <c r="AD510" s="5"/>
      <c r="AE510" s="52"/>
      <c r="AF510" s="113"/>
      <c r="AG510" s="113"/>
      <c r="AH510" s="113"/>
      <c r="AI510" s="52"/>
      <c r="AJ510" s="11"/>
      <c r="AK510" s="269"/>
      <c r="AL510" s="269"/>
      <c r="AM510" s="269"/>
      <c r="AN510" s="301"/>
      <c r="AO510" s="302"/>
      <c r="AP510" s="11"/>
      <c r="AQ510" s="11"/>
      <c r="AR510" s="11"/>
      <c r="AS510" s="11"/>
      <c r="AT510" s="11"/>
      <c r="AU510" s="118"/>
      <c r="AV510" s="118"/>
      <c r="AW510" s="118"/>
      <c r="AX510" s="52"/>
      <c r="AY510" s="52"/>
      <c r="AZ510" s="11"/>
      <c r="BA510" s="11"/>
      <c r="BB510" s="11"/>
      <c r="BC510" s="11"/>
      <c r="BD510" s="11"/>
      <c r="BE510" s="274">
        <v>195000</v>
      </c>
      <c r="BF510" s="274">
        <v>37050</v>
      </c>
      <c r="BG510" s="274">
        <v>232050</v>
      </c>
      <c r="BH510" s="11" t="s">
        <v>366</v>
      </c>
      <c r="BI510" s="11">
        <v>70402</v>
      </c>
      <c r="BJ510" s="311"/>
      <c r="BK510" s="311"/>
      <c r="BL510" s="311"/>
      <c r="BM510" s="52"/>
      <c r="BN510" s="52"/>
      <c r="BO510" s="387"/>
      <c r="BP510" s="320"/>
      <c r="BQ510" s="320"/>
      <c r="BR510" s="4"/>
      <c r="BS510" s="4"/>
      <c r="BT510" s="11"/>
      <c r="BU510" s="11"/>
      <c r="BV510" s="11"/>
      <c r="BW510" s="11"/>
      <c r="BX510" s="11"/>
      <c r="BY510" s="348"/>
      <c r="BZ510" s="348"/>
      <c r="CA510" s="348"/>
      <c r="CB510" s="348"/>
      <c r="CC510" s="348"/>
      <c r="CD510" s="11"/>
      <c r="CE510" s="11"/>
      <c r="CF510" s="11"/>
      <c r="CG510" s="11"/>
      <c r="CH510" s="11"/>
      <c r="CI510" s="11"/>
      <c r="CJ510" s="11"/>
      <c r="CK510" s="11"/>
      <c r="CL510" s="11"/>
      <c r="CM510" s="11"/>
      <c r="CN510" s="274"/>
      <c r="CO510" s="274"/>
      <c r="CP510" s="274"/>
      <c r="CQ510" s="11"/>
      <c r="CR510" s="11"/>
      <c r="CS510" s="11"/>
      <c r="CT510" s="11"/>
      <c r="CU510" s="11"/>
      <c r="CV510" s="11"/>
      <c r="CW510" s="11"/>
      <c r="CX510" s="11"/>
      <c r="CY510" s="11"/>
      <c r="CZ510" s="11"/>
      <c r="DA510" s="11"/>
      <c r="DB510" s="11"/>
      <c r="DC510" s="11"/>
      <c r="DD510" s="11"/>
      <c r="DE510" s="11"/>
      <c r="DF510" s="11"/>
      <c r="DG510" s="11"/>
      <c r="DH510" s="11"/>
      <c r="DI510" s="11"/>
      <c r="DJ510" s="11"/>
      <c r="DK510" s="11"/>
      <c r="DL510" s="11"/>
      <c r="DM510" s="118"/>
      <c r="DN510" s="118"/>
      <c r="DO510" s="118"/>
      <c r="DP510" s="52"/>
      <c r="DQ510" s="52"/>
      <c r="DR510" s="77"/>
      <c r="DS510" s="77"/>
      <c r="DT510" s="77"/>
      <c r="DU510" s="11"/>
      <c r="DV510" s="11"/>
      <c r="DW510" s="11"/>
      <c r="DX510" s="11"/>
      <c r="DY510" s="11"/>
      <c r="DZ510" s="11"/>
      <c r="EA510" s="11"/>
      <c r="EB510" s="11"/>
      <c r="EC510" s="11"/>
      <c r="ED510" s="11"/>
      <c r="EE510" s="11"/>
      <c r="EF510" s="11"/>
    </row>
    <row r="511" spans="1:136" ht="40.5" x14ac:dyDescent="0.25">
      <c r="A511" s="425">
        <v>509</v>
      </c>
      <c r="B511" s="413" t="s">
        <v>2380</v>
      </c>
      <c r="C511" s="428" t="s">
        <v>813</v>
      </c>
      <c r="D511" s="413" t="s">
        <v>2381</v>
      </c>
      <c r="E511" s="79">
        <v>1</v>
      </c>
      <c r="F511" s="405"/>
      <c r="G511" s="274"/>
      <c r="H511" s="274"/>
      <c r="I511" s="274"/>
      <c r="J511" s="274"/>
      <c r="K511" s="11"/>
      <c r="L511" s="274"/>
      <c r="M511" s="274"/>
      <c r="N511" s="274"/>
      <c r="O511" s="48"/>
      <c r="P511" s="11"/>
      <c r="Q511" s="274"/>
      <c r="R511" s="274"/>
      <c r="S511" s="274"/>
      <c r="T511" s="11"/>
      <c r="U511" s="11"/>
      <c r="V511" s="11"/>
      <c r="W511" s="11"/>
      <c r="X511" s="11"/>
      <c r="Y511" s="11"/>
      <c r="Z511" s="48"/>
      <c r="AA511" s="52"/>
      <c r="AB511" s="52"/>
      <c r="AC511" s="118"/>
      <c r="AD511" s="5"/>
      <c r="AE511" s="52"/>
      <c r="AF511" s="113"/>
      <c r="AG511" s="113"/>
      <c r="AH511" s="113"/>
      <c r="AI511" s="52"/>
      <c r="AJ511" s="11"/>
      <c r="AK511" s="269"/>
      <c r="AL511" s="269"/>
      <c r="AM511" s="269"/>
      <c r="AN511" s="301"/>
      <c r="AO511" s="302"/>
      <c r="AP511" s="11"/>
      <c r="AQ511" s="11"/>
      <c r="AR511" s="11"/>
      <c r="AS511" s="11"/>
      <c r="AT511" s="11"/>
      <c r="AU511" s="118"/>
      <c r="AV511" s="118"/>
      <c r="AW511" s="118"/>
      <c r="AX511" s="52"/>
      <c r="AY511" s="52"/>
      <c r="AZ511" s="11"/>
      <c r="BA511" s="11"/>
      <c r="BB511" s="11"/>
      <c r="BC511" s="11"/>
      <c r="BD511" s="11"/>
      <c r="BE511" s="274">
        <v>396000</v>
      </c>
      <c r="BF511" s="274">
        <v>75240</v>
      </c>
      <c r="BG511" s="274">
        <v>471240</v>
      </c>
      <c r="BH511" s="11" t="s">
        <v>366</v>
      </c>
      <c r="BI511" s="11">
        <v>70572</v>
      </c>
      <c r="BJ511" s="311"/>
      <c r="BK511" s="311"/>
      <c r="BL511" s="311"/>
      <c r="BM511" s="52"/>
      <c r="BN511" s="52"/>
      <c r="BO511" s="387"/>
      <c r="BP511" s="320"/>
      <c r="BQ511" s="320"/>
      <c r="BR511" s="4"/>
      <c r="BS511" s="4"/>
      <c r="BT511" s="11"/>
      <c r="BU511" s="11"/>
      <c r="BV511" s="11"/>
      <c r="BW511" s="11"/>
      <c r="BX511" s="11"/>
      <c r="BY511" s="348"/>
      <c r="BZ511" s="348"/>
      <c r="CA511" s="348"/>
      <c r="CB511" s="348"/>
      <c r="CC511" s="348"/>
      <c r="CD511" s="11"/>
      <c r="CE511" s="11"/>
      <c r="CF511" s="11"/>
      <c r="CG511" s="11"/>
      <c r="CH511" s="11"/>
      <c r="CI511" s="11"/>
      <c r="CJ511" s="11"/>
      <c r="CK511" s="11"/>
      <c r="CL511" s="11"/>
      <c r="CM511" s="11"/>
      <c r="CN511" s="274"/>
      <c r="CO511" s="274"/>
      <c r="CP511" s="274"/>
      <c r="CQ511" s="11"/>
      <c r="CR511" s="11"/>
      <c r="CS511" s="11"/>
      <c r="CT511" s="11"/>
      <c r="CU511" s="11"/>
      <c r="CV511" s="11"/>
      <c r="CW511" s="11"/>
      <c r="CX511" s="11"/>
      <c r="CY511" s="11"/>
      <c r="CZ511" s="11"/>
      <c r="DA511" s="11"/>
      <c r="DB511" s="11"/>
      <c r="DC511" s="11"/>
      <c r="DD511" s="11"/>
      <c r="DE511" s="11"/>
      <c r="DF511" s="11"/>
      <c r="DG511" s="11"/>
      <c r="DH511" s="11"/>
      <c r="DI511" s="11"/>
      <c r="DJ511" s="11"/>
      <c r="DK511" s="11"/>
      <c r="DL511" s="11"/>
      <c r="DM511" s="118"/>
      <c r="DN511" s="118"/>
      <c r="DO511" s="118"/>
      <c r="DP511" s="52"/>
      <c r="DQ511" s="52"/>
      <c r="DR511" s="77"/>
      <c r="DS511" s="77"/>
      <c r="DT511" s="77"/>
      <c r="DU511" s="11"/>
      <c r="DV511" s="11"/>
      <c r="DW511" s="11"/>
      <c r="DX511" s="11"/>
      <c r="DY511" s="11"/>
      <c r="DZ511" s="11"/>
      <c r="EA511" s="11"/>
      <c r="EB511" s="11"/>
      <c r="EC511" s="11"/>
      <c r="ED511" s="11"/>
      <c r="EE511" s="11"/>
      <c r="EF511" s="11"/>
    </row>
    <row r="512" spans="1:136" ht="38.25" x14ac:dyDescent="0.25">
      <c r="A512" s="425">
        <v>510</v>
      </c>
      <c r="B512" s="427" t="s">
        <v>2382</v>
      </c>
      <c r="C512" s="427" t="s">
        <v>2383</v>
      </c>
      <c r="D512" s="427" t="s">
        <v>502</v>
      </c>
      <c r="E512" s="79">
        <v>1</v>
      </c>
      <c r="F512" s="405"/>
      <c r="G512" s="274"/>
      <c r="H512" s="274"/>
      <c r="I512" s="274"/>
      <c r="J512" s="274"/>
      <c r="K512" s="11"/>
      <c r="L512" s="274">
        <v>315000</v>
      </c>
      <c r="M512" s="274">
        <f>L512*19%</f>
        <v>59850</v>
      </c>
      <c r="N512" s="274">
        <f>M512+L512</f>
        <v>374850</v>
      </c>
      <c r="O512" s="48" t="s">
        <v>862</v>
      </c>
      <c r="P512" s="11" t="s">
        <v>2384</v>
      </c>
      <c r="Q512" s="274"/>
      <c r="R512" s="274"/>
      <c r="S512" s="274"/>
      <c r="T512" s="11"/>
      <c r="U512" s="11"/>
      <c r="V512" s="11"/>
      <c r="W512" s="11"/>
      <c r="X512" s="11"/>
      <c r="Y512" s="11"/>
      <c r="Z512" s="48"/>
      <c r="AA512" s="293">
        <v>202500</v>
      </c>
      <c r="AB512" s="118">
        <f>+AA512*0.19</f>
        <v>38475</v>
      </c>
      <c r="AC512" s="118">
        <f>+AA512+AB512</f>
        <v>240975</v>
      </c>
      <c r="AD512" s="5" t="s">
        <v>610</v>
      </c>
      <c r="AE512" s="52" t="s">
        <v>2385</v>
      </c>
      <c r="AF512" s="113"/>
      <c r="AG512" s="113"/>
      <c r="AH512" s="113"/>
      <c r="AI512" s="52"/>
      <c r="AJ512" s="11"/>
      <c r="AK512" s="269"/>
      <c r="AL512" s="269"/>
      <c r="AM512" s="269"/>
      <c r="AN512" s="301"/>
      <c r="AO512" s="302"/>
      <c r="AP512" s="11"/>
      <c r="AQ512" s="11"/>
      <c r="AR512" s="11"/>
      <c r="AS512" s="11"/>
      <c r="AT512" s="11"/>
      <c r="AU512" s="118"/>
      <c r="AV512" s="118"/>
      <c r="AW512" s="118"/>
      <c r="AX512" s="52"/>
      <c r="AY512" s="52"/>
      <c r="AZ512" s="11"/>
      <c r="BA512" s="11"/>
      <c r="BB512" s="11"/>
      <c r="BC512" s="11"/>
      <c r="BD512" s="11"/>
      <c r="BE512" s="274">
        <v>2118000</v>
      </c>
      <c r="BF512" s="274">
        <v>402420</v>
      </c>
      <c r="BG512" s="274">
        <v>2520420</v>
      </c>
      <c r="BH512" s="11" t="s">
        <v>456</v>
      </c>
      <c r="BI512" s="11" t="s">
        <v>2386</v>
      </c>
      <c r="BJ512" s="311"/>
      <c r="BK512" s="311"/>
      <c r="BL512" s="311"/>
      <c r="BM512" s="52"/>
      <c r="BN512" s="52"/>
      <c r="BO512" s="387">
        <v>452350</v>
      </c>
      <c r="BP512" s="320">
        <f>BO512*0.19</f>
        <v>85946.5</v>
      </c>
      <c r="BQ512" s="320">
        <f>BO512+BP512</f>
        <v>538296.5</v>
      </c>
      <c r="BR512" s="4" t="s">
        <v>2387</v>
      </c>
      <c r="BS512" s="4" t="s">
        <v>866</v>
      </c>
      <c r="BT512" s="11"/>
      <c r="BU512" s="11"/>
      <c r="BV512" s="11"/>
      <c r="BW512" s="11"/>
      <c r="BX512" s="11"/>
      <c r="BY512" s="348"/>
      <c r="BZ512" s="348"/>
      <c r="CA512" s="348"/>
      <c r="CB512" s="348"/>
      <c r="CC512" s="348"/>
      <c r="CD512" s="11"/>
      <c r="CE512" s="11"/>
      <c r="CF512" s="11"/>
      <c r="CG512" s="11"/>
      <c r="CH512" s="11"/>
      <c r="CI512" s="11"/>
      <c r="CJ512" s="11"/>
      <c r="CK512" s="11"/>
      <c r="CL512" s="11"/>
      <c r="CM512" s="11"/>
      <c r="CN512" s="274"/>
      <c r="CO512" s="274"/>
      <c r="CP512" s="274"/>
      <c r="CQ512" s="11"/>
      <c r="CR512" s="11"/>
      <c r="CS512" s="11"/>
      <c r="CT512" s="11"/>
      <c r="CU512" s="11"/>
      <c r="CV512" s="11"/>
      <c r="CW512" s="11"/>
      <c r="CX512" s="11"/>
      <c r="CY512" s="11"/>
      <c r="CZ512" s="11"/>
      <c r="DA512" s="11"/>
      <c r="DB512" s="11"/>
      <c r="DC512" s="11"/>
      <c r="DD512" s="11"/>
      <c r="DE512" s="11"/>
      <c r="DF512" s="11"/>
      <c r="DG512" s="11"/>
      <c r="DH512" s="11"/>
      <c r="DI512" s="11"/>
      <c r="DJ512" s="11"/>
      <c r="DK512" s="11"/>
      <c r="DL512" s="11"/>
      <c r="DM512" s="118"/>
      <c r="DN512" s="118"/>
      <c r="DO512" s="118"/>
      <c r="DP512" s="52"/>
      <c r="DQ512" s="52"/>
      <c r="DR512" s="77"/>
      <c r="DS512" s="77"/>
      <c r="DT512" s="77"/>
      <c r="DU512" s="11"/>
      <c r="DV512" s="11"/>
      <c r="DW512" s="11"/>
      <c r="DX512" s="11"/>
      <c r="DY512" s="11"/>
      <c r="DZ512" s="11"/>
      <c r="EA512" s="11"/>
      <c r="EB512" s="11"/>
      <c r="EC512" s="11"/>
      <c r="ED512" s="11"/>
      <c r="EE512" s="11"/>
      <c r="EF512" s="11"/>
    </row>
    <row r="513" spans="1:136" ht="40.5" x14ac:dyDescent="0.25">
      <c r="A513" s="425">
        <v>511</v>
      </c>
      <c r="B513" s="413" t="s">
        <v>2388</v>
      </c>
      <c r="C513" s="413" t="s">
        <v>2067</v>
      </c>
      <c r="D513" s="413" t="s">
        <v>1186</v>
      </c>
      <c r="E513" s="79">
        <v>1</v>
      </c>
      <c r="F513" s="405"/>
      <c r="G513" s="274"/>
      <c r="H513" s="274"/>
      <c r="I513" s="274"/>
      <c r="J513" s="274"/>
      <c r="K513" s="11"/>
      <c r="L513" s="274"/>
      <c r="M513" s="274"/>
      <c r="N513" s="274"/>
      <c r="O513" s="48"/>
      <c r="P513" s="11"/>
      <c r="Q513" s="274"/>
      <c r="R513" s="274"/>
      <c r="S513" s="274"/>
      <c r="T513" s="11"/>
      <c r="U513" s="11"/>
      <c r="V513" s="11"/>
      <c r="W513" s="11"/>
      <c r="X513" s="11"/>
      <c r="Y513" s="11"/>
      <c r="Z513" s="48"/>
      <c r="AA513" s="52"/>
      <c r="AB513" s="52"/>
      <c r="AC513" s="118"/>
      <c r="AD513" s="5"/>
      <c r="AE513" s="52"/>
      <c r="AF513" s="113">
        <v>353000</v>
      </c>
      <c r="AG513" s="113">
        <v>0</v>
      </c>
      <c r="AH513" s="113">
        <f>AF513+AG513</f>
        <v>353000</v>
      </c>
      <c r="AI513" s="52" t="s">
        <v>1193</v>
      </c>
      <c r="AJ513" s="11" t="s">
        <v>2389</v>
      </c>
      <c r="AK513" s="269"/>
      <c r="AL513" s="269"/>
      <c r="AM513" s="269"/>
      <c r="AN513" s="301"/>
      <c r="AO513" s="302"/>
      <c r="AP513" s="11"/>
      <c r="AQ513" s="11"/>
      <c r="AR513" s="11"/>
      <c r="AS513" s="11"/>
      <c r="AT513" s="11"/>
      <c r="AU513" s="118"/>
      <c r="AV513" s="118"/>
      <c r="AW513" s="118"/>
      <c r="AX513" s="52"/>
      <c r="AY513" s="52"/>
      <c r="AZ513" s="11"/>
      <c r="BA513" s="11"/>
      <c r="BB513" s="11"/>
      <c r="BC513" s="11"/>
      <c r="BD513" s="11"/>
      <c r="BE513" s="274"/>
      <c r="BF513" s="274"/>
      <c r="BG513" s="274"/>
      <c r="BH513" s="11"/>
      <c r="BI513" s="11"/>
      <c r="BJ513" s="311"/>
      <c r="BK513" s="311"/>
      <c r="BL513" s="311"/>
      <c r="BM513" s="52"/>
      <c r="BN513" s="52"/>
      <c r="BO513" s="387"/>
      <c r="BP513" s="320"/>
      <c r="BQ513" s="320"/>
      <c r="BR513" s="4"/>
      <c r="BS513" s="4"/>
      <c r="BT513" s="11"/>
      <c r="BU513" s="11"/>
      <c r="BV513" s="11"/>
      <c r="BW513" s="11"/>
      <c r="BX513" s="11"/>
      <c r="BY513" s="348"/>
      <c r="BZ513" s="348"/>
      <c r="CA513" s="348"/>
      <c r="CB513" s="348"/>
      <c r="CC513" s="348"/>
      <c r="CD513" s="11"/>
      <c r="CE513" s="11"/>
      <c r="CF513" s="11"/>
      <c r="CG513" s="11"/>
      <c r="CH513" s="11"/>
      <c r="CI513" s="11"/>
      <c r="CJ513" s="11"/>
      <c r="CK513" s="11"/>
      <c r="CL513" s="11"/>
      <c r="CM513" s="11"/>
      <c r="CN513" s="274"/>
      <c r="CO513" s="274"/>
      <c r="CP513" s="274"/>
      <c r="CQ513" s="11"/>
      <c r="CR513" s="11"/>
      <c r="CS513" s="11"/>
      <c r="CT513" s="11"/>
      <c r="CU513" s="11"/>
      <c r="CV513" s="11"/>
      <c r="CW513" s="11"/>
      <c r="CX513" s="11"/>
      <c r="CY513" s="11"/>
      <c r="CZ513" s="11"/>
      <c r="DA513" s="11"/>
      <c r="DB513" s="11"/>
      <c r="DC513" s="11"/>
      <c r="DD513" s="11"/>
      <c r="DE513" s="11"/>
      <c r="DF513" s="11"/>
      <c r="DG513" s="11"/>
      <c r="DH513" s="11"/>
      <c r="DI513" s="11"/>
      <c r="DJ513" s="11"/>
      <c r="DK513" s="11"/>
      <c r="DL513" s="11"/>
      <c r="DM513" s="118"/>
      <c r="DN513" s="118"/>
      <c r="DO513" s="118"/>
      <c r="DP513" s="52"/>
      <c r="DQ513" s="52"/>
      <c r="DR513" s="77"/>
      <c r="DS513" s="77"/>
      <c r="DT513" s="77"/>
      <c r="DU513" s="11"/>
      <c r="DV513" s="11"/>
      <c r="DW513" s="11"/>
      <c r="DX513" s="11"/>
      <c r="DY513" s="11"/>
      <c r="DZ513" s="11"/>
      <c r="EA513" s="11"/>
      <c r="EB513" s="11"/>
      <c r="EC513" s="11"/>
      <c r="ED513" s="11"/>
      <c r="EE513" s="11"/>
      <c r="EF513" s="11"/>
    </row>
    <row r="514" spans="1:136" ht="40.5" x14ac:dyDescent="0.25">
      <c r="A514" s="425">
        <v>512</v>
      </c>
      <c r="B514" s="426" t="s">
        <v>2390</v>
      </c>
      <c r="C514" s="413" t="s">
        <v>138</v>
      </c>
      <c r="D514" s="413" t="s">
        <v>609</v>
      </c>
      <c r="E514" s="79">
        <v>1</v>
      </c>
      <c r="F514" s="405"/>
      <c r="G514" s="274"/>
      <c r="H514" s="274"/>
      <c r="I514" s="274"/>
      <c r="J514" s="274"/>
      <c r="K514" s="11"/>
      <c r="L514" s="274"/>
      <c r="M514" s="274"/>
      <c r="N514" s="274"/>
      <c r="O514" s="48"/>
      <c r="P514" s="11"/>
      <c r="Q514" s="274"/>
      <c r="R514" s="274"/>
      <c r="S514" s="274"/>
      <c r="T514" s="11"/>
      <c r="U514" s="11"/>
      <c r="V514" s="11"/>
      <c r="W514" s="11"/>
      <c r="X514" s="11"/>
      <c r="Y514" s="11"/>
      <c r="Z514" s="48"/>
      <c r="AA514" s="293">
        <v>2863000</v>
      </c>
      <c r="AB514" s="118">
        <f>+AA514*0.19</f>
        <v>543970</v>
      </c>
      <c r="AC514" s="118">
        <f>+AA514+AB514</f>
        <v>3406970</v>
      </c>
      <c r="AD514" s="5" t="s">
        <v>2391</v>
      </c>
      <c r="AE514" s="293" t="s">
        <v>2392</v>
      </c>
      <c r="AF514" s="113"/>
      <c r="AG514" s="113"/>
      <c r="AH514" s="113"/>
      <c r="AI514" s="52"/>
      <c r="AJ514" s="11"/>
      <c r="AK514" s="269"/>
      <c r="AL514" s="269"/>
      <c r="AM514" s="269"/>
      <c r="AN514" s="301"/>
      <c r="AO514" s="302"/>
      <c r="AP514" s="11"/>
      <c r="AQ514" s="11"/>
      <c r="AR514" s="11"/>
      <c r="AS514" s="11"/>
      <c r="AT514" s="11"/>
      <c r="AU514" s="118"/>
      <c r="AV514" s="118"/>
      <c r="AW514" s="118"/>
      <c r="AX514" s="52"/>
      <c r="AY514" s="52"/>
      <c r="AZ514" s="11"/>
      <c r="BA514" s="11"/>
      <c r="BB514" s="11"/>
      <c r="BC514" s="11"/>
      <c r="BD514" s="11"/>
      <c r="BE514" s="274"/>
      <c r="BF514" s="274"/>
      <c r="BG514" s="274"/>
      <c r="BH514" s="11"/>
      <c r="BI514" s="11"/>
      <c r="BJ514" s="311">
        <v>2703076.92</v>
      </c>
      <c r="BK514" s="311">
        <v>513584.61479999998</v>
      </c>
      <c r="BL514" s="311">
        <v>3216661.5347999996</v>
      </c>
      <c r="BM514" s="52" t="s">
        <v>138</v>
      </c>
      <c r="BN514" s="52" t="s">
        <v>2393</v>
      </c>
      <c r="BO514" s="387"/>
      <c r="BP514" s="320"/>
      <c r="BQ514" s="320"/>
      <c r="BR514" s="4"/>
      <c r="BS514" s="4"/>
      <c r="BT514" s="11"/>
      <c r="BU514" s="11"/>
      <c r="BV514" s="11"/>
      <c r="BW514" s="11"/>
      <c r="BX514" s="11"/>
      <c r="BY514" s="348"/>
      <c r="BZ514" s="348"/>
      <c r="CA514" s="348"/>
      <c r="CB514" s="348"/>
      <c r="CC514" s="348"/>
      <c r="CD514" s="11"/>
      <c r="CE514" s="11"/>
      <c r="CF514" s="11"/>
      <c r="CG514" s="11"/>
      <c r="CH514" s="11"/>
      <c r="CI514" s="11"/>
      <c r="CJ514" s="11"/>
      <c r="CK514" s="11"/>
      <c r="CL514" s="11"/>
      <c r="CM514" s="11"/>
      <c r="CN514" s="274"/>
      <c r="CO514" s="274"/>
      <c r="CP514" s="274"/>
      <c r="CQ514" s="11"/>
      <c r="CR514" s="11"/>
      <c r="CS514" s="11"/>
      <c r="CT514" s="11"/>
      <c r="CU514" s="11"/>
      <c r="CV514" s="11"/>
      <c r="CW514" s="11"/>
      <c r="CX514" s="11"/>
      <c r="CY514" s="11"/>
      <c r="CZ514" s="11"/>
      <c r="DA514" s="11"/>
      <c r="DB514" s="11"/>
      <c r="DC514" s="11"/>
      <c r="DD514" s="11"/>
      <c r="DE514" s="11"/>
      <c r="DF514" s="11"/>
      <c r="DG514" s="11"/>
      <c r="DH514" s="11"/>
      <c r="DI514" s="11"/>
      <c r="DJ514" s="11"/>
      <c r="DK514" s="11"/>
      <c r="DL514" s="11"/>
      <c r="DM514" s="118"/>
      <c r="DN514" s="118"/>
      <c r="DO514" s="118"/>
      <c r="DP514" s="52"/>
      <c r="DQ514" s="52"/>
      <c r="DR514" s="77"/>
      <c r="DS514" s="77"/>
      <c r="DT514" s="77"/>
      <c r="DU514" s="11"/>
      <c r="DV514" s="11"/>
      <c r="DW514" s="11"/>
      <c r="DX514" s="11"/>
      <c r="DY514" s="11"/>
      <c r="DZ514" s="11"/>
      <c r="EA514" s="11"/>
      <c r="EB514" s="11"/>
      <c r="EC514" s="11"/>
      <c r="ED514" s="11"/>
      <c r="EE514" s="11"/>
      <c r="EF514" s="11"/>
    </row>
    <row r="515" spans="1:136" ht="54" x14ac:dyDescent="0.25">
      <c r="A515" s="425">
        <v>513</v>
      </c>
      <c r="B515" s="427" t="s">
        <v>2394</v>
      </c>
      <c r="C515" s="413" t="s">
        <v>2395</v>
      </c>
      <c r="D515" s="413" t="s">
        <v>2396</v>
      </c>
      <c r="E515" s="79">
        <v>1</v>
      </c>
      <c r="F515" s="405"/>
      <c r="G515" s="274"/>
      <c r="H515" s="274"/>
      <c r="I515" s="274"/>
      <c r="J515" s="274"/>
      <c r="K515" s="11"/>
      <c r="L515" s="274"/>
      <c r="M515" s="274"/>
      <c r="N515" s="274"/>
      <c r="O515" s="48"/>
      <c r="P515" s="11"/>
      <c r="Q515" s="274"/>
      <c r="R515" s="274"/>
      <c r="S515" s="274"/>
      <c r="T515" s="11"/>
      <c r="U515" s="11"/>
      <c r="V515" s="11"/>
      <c r="W515" s="11"/>
      <c r="X515" s="11"/>
      <c r="Y515" s="11"/>
      <c r="Z515" s="48"/>
      <c r="AA515" s="293">
        <v>1682100</v>
      </c>
      <c r="AB515" s="118">
        <f>+AA515*0.19</f>
        <v>319599</v>
      </c>
      <c r="AC515" s="118">
        <f>+AA515+AB515</f>
        <v>2001699</v>
      </c>
      <c r="AD515" s="5" t="s">
        <v>2083</v>
      </c>
      <c r="AE515" s="293">
        <v>740400250</v>
      </c>
      <c r="AF515" s="113"/>
      <c r="AG515" s="113"/>
      <c r="AH515" s="113"/>
      <c r="AI515" s="52"/>
      <c r="AJ515" s="11"/>
      <c r="AK515" s="269"/>
      <c r="AL515" s="269"/>
      <c r="AM515" s="269"/>
      <c r="AN515" s="301"/>
      <c r="AO515" s="302"/>
      <c r="AP515" s="11"/>
      <c r="AQ515" s="11"/>
      <c r="AR515" s="11"/>
      <c r="AS515" s="11"/>
      <c r="AT515" s="11"/>
      <c r="AU515" s="118"/>
      <c r="AV515" s="118"/>
      <c r="AW515" s="118"/>
      <c r="AX515" s="52"/>
      <c r="AY515" s="52"/>
      <c r="AZ515" s="11"/>
      <c r="BA515" s="11"/>
      <c r="BB515" s="11"/>
      <c r="BC515" s="11"/>
      <c r="BD515" s="11"/>
      <c r="BE515" s="274">
        <v>478000</v>
      </c>
      <c r="BF515" s="274">
        <v>90820</v>
      </c>
      <c r="BG515" s="274">
        <v>568820</v>
      </c>
      <c r="BH515" s="11" t="s">
        <v>458</v>
      </c>
      <c r="BI515" s="11" t="s">
        <v>2397</v>
      </c>
      <c r="BJ515" s="311"/>
      <c r="BK515" s="311"/>
      <c r="BL515" s="311"/>
      <c r="BM515" s="52"/>
      <c r="BN515" s="52"/>
      <c r="BO515" s="387"/>
      <c r="BP515" s="320"/>
      <c r="BQ515" s="320"/>
      <c r="BR515" s="4"/>
      <c r="BS515" s="4"/>
      <c r="BT515" s="11"/>
      <c r="BU515" s="11"/>
      <c r="BV515" s="11"/>
      <c r="BW515" s="11"/>
      <c r="BX515" s="11"/>
      <c r="BY515" s="348"/>
      <c r="BZ515" s="348"/>
      <c r="CA515" s="348"/>
      <c r="CB515" s="348"/>
      <c r="CC515" s="348"/>
      <c r="CD515" s="11"/>
      <c r="CE515" s="11"/>
      <c r="CF515" s="11"/>
      <c r="CG515" s="11"/>
      <c r="CH515" s="11"/>
      <c r="CI515" s="11"/>
      <c r="CJ515" s="11"/>
      <c r="CK515" s="11"/>
      <c r="CL515" s="11"/>
      <c r="CM515" s="11"/>
      <c r="CN515" s="274"/>
      <c r="CO515" s="274"/>
      <c r="CP515" s="274"/>
      <c r="CQ515" s="11"/>
      <c r="CR515" s="11"/>
      <c r="CS515" s="11"/>
      <c r="CT515" s="11"/>
      <c r="CU515" s="11"/>
      <c r="CV515" s="11"/>
      <c r="CW515" s="11"/>
      <c r="CX515" s="11"/>
      <c r="CY515" s="11"/>
      <c r="CZ515" s="11"/>
      <c r="DA515" s="11"/>
      <c r="DB515" s="11"/>
      <c r="DC515" s="11"/>
      <c r="DD515" s="11"/>
      <c r="DE515" s="11"/>
      <c r="DF515" s="11"/>
      <c r="DG515" s="11"/>
      <c r="DH515" s="11"/>
      <c r="DI515" s="11"/>
      <c r="DJ515" s="11"/>
      <c r="DK515" s="11"/>
      <c r="DL515" s="11"/>
      <c r="DM515" s="118"/>
      <c r="DN515" s="118"/>
      <c r="DO515" s="118"/>
      <c r="DP515" s="52"/>
      <c r="DQ515" s="52"/>
      <c r="DR515" s="77"/>
      <c r="DS515" s="77"/>
      <c r="DT515" s="77"/>
      <c r="DU515" s="11"/>
      <c r="DV515" s="11"/>
      <c r="DW515" s="11"/>
      <c r="DX515" s="11"/>
      <c r="DY515" s="11"/>
      <c r="DZ515" s="11"/>
      <c r="EA515" s="11"/>
      <c r="EB515" s="11"/>
      <c r="EC515" s="11"/>
      <c r="ED515" s="11"/>
      <c r="EE515" s="11"/>
      <c r="EF515" s="11"/>
    </row>
    <row r="516" spans="1:136" ht="40.5" x14ac:dyDescent="0.25">
      <c r="A516" s="425">
        <v>514</v>
      </c>
      <c r="B516" s="427" t="s">
        <v>2398</v>
      </c>
      <c r="C516" s="413" t="s">
        <v>2399</v>
      </c>
      <c r="D516" s="413" t="s">
        <v>502</v>
      </c>
      <c r="E516" s="79">
        <v>1</v>
      </c>
      <c r="F516" s="405"/>
      <c r="G516" s="274"/>
      <c r="H516" s="274"/>
      <c r="I516" s="274"/>
      <c r="J516" s="274"/>
      <c r="K516" s="11"/>
      <c r="L516" s="274">
        <v>480000</v>
      </c>
      <c r="M516" s="274">
        <f>L516*19%</f>
        <v>91200</v>
      </c>
      <c r="N516" s="274">
        <f>M516+L516</f>
        <v>571200</v>
      </c>
      <c r="O516" s="48" t="s">
        <v>862</v>
      </c>
      <c r="P516" s="11" t="s">
        <v>2400</v>
      </c>
      <c r="Q516" s="274"/>
      <c r="R516" s="274"/>
      <c r="S516" s="274"/>
      <c r="T516" s="11"/>
      <c r="U516" s="11"/>
      <c r="V516" s="11"/>
      <c r="W516" s="11"/>
      <c r="X516" s="11"/>
      <c r="Y516" s="11"/>
      <c r="Z516" s="48"/>
      <c r="AA516" s="293">
        <v>540000</v>
      </c>
      <c r="AB516" s="118">
        <f>+AA516*0.19</f>
        <v>102600</v>
      </c>
      <c r="AC516" s="118">
        <f>+AA516+AB516</f>
        <v>642600</v>
      </c>
      <c r="AD516" s="5" t="s">
        <v>610</v>
      </c>
      <c r="AE516" s="293" t="s">
        <v>2400</v>
      </c>
      <c r="AF516" s="113"/>
      <c r="AG516" s="113"/>
      <c r="AH516" s="113"/>
      <c r="AI516" s="52"/>
      <c r="AJ516" s="11"/>
      <c r="AK516" s="269"/>
      <c r="AL516" s="269"/>
      <c r="AM516" s="269"/>
      <c r="AN516" s="301"/>
      <c r="AO516" s="302"/>
      <c r="AP516" s="11"/>
      <c r="AQ516" s="11"/>
      <c r="AR516" s="11"/>
      <c r="AS516" s="11"/>
      <c r="AT516" s="11"/>
      <c r="AU516" s="118"/>
      <c r="AV516" s="118"/>
      <c r="AW516" s="118"/>
      <c r="AX516" s="52"/>
      <c r="AY516" s="52"/>
      <c r="AZ516" s="11"/>
      <c r="BA516" s="11"/>
      <c r="BB516" s="11"/>
      <c r="BC516" s="11"/>
      <c r="BD516" s="11"/>
      <c r="BE516" s="274"/>
      <c r="BF516" s="274"/>
      <c r="BG516" s="274"/>
      <c r="BH516" s="11"/>
      <c r="BI516" s="11"/>
      <c r="BJ516" s="311">
        <v>2541538.46</v>
      </c>
      <c r="BK516" s="311">
        <v>482892.30739999999</v>
      </c>
      <c r="BL516" s="311">
        <v>3024430.7673999998</v>
      </c>
      <c r="BM516" s="52" t="s">
        <v>138</v>
      </c>
      <c r="BN516" s="52" t="s">
        <v>2401</v>
      </c>
      <c r="BO516" s="387">
        <v>698690</v>
      </c>
      <c r="BP516" s="320">
        <f>BO516*0.19</f>
        <v>132751.1</v>
      </c>
      <c r="BQ516" s="320">
        <f>BO516+BP516</f>
        <v>831441.1</v>
      </c>
      <c r="BR516" s="4" t="s">
        <v>2402</v>
      </c>
      <c r="BS516" s="4" t="s">
        <v>866</v>
      </c>
      <c r="BT516" s="11"/>
      <c r="BU516" s="11"/>
      <c r="BV516" s="11"/>
      <c r="BW516" s="11"/>
      <c r="BX516" s="11"/>
      <c r="BY516" s="348"/>
      <c r="BZ516" s="348"/>
      <c r="CA516" s="348"/>
      <c r="CB516" s="348"/>
      <c r="CC516" s="348"/>
      <c r="CD516" s="11"/>
      <c r="CE516" s="11"/>
      <c r="CF516" s="11"/>
      <c r="CG516" s="11"/>
      <c r="CH516" s="11"/>
      <c r="CI516" s="11"/>
      <c r="CJ516" s="11"/>
      <c r="CK516" s="11"/>
      <c r="CL516" s="11"/>
      <c r="CM516" s="11"/>
      <c r="CN516" s="274"/>
      <c r="CO516" s="274"/>
      <c r="CP516" s="274"/>
      <c r="CQ516" s="11"/>
      <c r="CR516" s="11"/>
      <c r="CS516" s="11"/>
      <c r="CT516" s="11"/>
      <c r="CU516" s="11"/>
      <c r="CV516" s="11"/>
      <c r="CW516" s="11"/>
      <c r="CX516" s="11"/>
      <c r="CY516" s="11"/>
      <c r="CZ516" s="11"/>
      <c r="DA516" s="11"/>
      <c r="DB516" s="11"/>
      <c r="DC516" s="11"/>
      <c r="DD516" s="11"/>
      <c r="DE516" s="11"/>
      <c r="DF516" s="11"/>
      <c r="DG516" s="11"/>
      <c r="DH516" s="11"/>
      <c r="DI516" s="11"/>
      <c r="DJ516" s="11"/>
      <c r="DK516" s="11"/>
      <c r="DL516" s="11"/>
      <c r="DM516" s="118"/>
      <c r="DN516" s="118"/>
      <c r="DO516" s="118"/>
      <c r="DP516" s="52"/>
      <c r="DQ516" s="52"/>
      <c r="DR516" s="77"/>
      <c r="DS516" s="77"/>
      <c r="DT516" s="77"/>
      <c r="DU516" s="11"/>
      <c r="DV516" s="11"/>
      <c r="DW516" s="11"/>
      <c r="DX516" s="11"/>
      <c r="DY516" s="11"/>
      <c r="DZ516" s="11"/>
      <c r="EA516" s="11"/>
      <c r="EB516" s="11"/>
      <c r="EC516" s="11"/>
      <c r="ED516" s="11"/>
      <c r="EE516" s="11"/>
      <c r="EF516" s="11"/>
    </row>
    <row r="517" spans="1:136" ht="81" x14ac:dyDescent="0.25">
      <c r="A517" s="425">
        <v>515</v>
      </c>
      <c r="B517" s="426" t="s">
        <v>2403</v>
      </c>
      <c r="C517" s="413" t="s">
        <v>138</v>
      </c>
      <c r="D517" s="413" t="s">
        <v>609</v>
      </c>
      <c r="E517" s="79">
        <v>1</v>
      </c>
      <c r="F517" s="405"/>
      <c r="G517" s="274"/>
      <c r="H517" s="274"/>
      <c r="I517" s="274"/>
      <c r="J517" s="274"/>
      <c r="K517" s="11"/>
      <c r="L517" s="274">
        <v>480000</v>
      </c>
      <c r="M517" s="274">
        <f>L517*19%</f>
        <v>91200</v>
      </c>
      <c r="N517" s="274">
        <f>M517+L517</f>
        <v>571200</v>
      </c>
      <c r="O517" s="48" t="s">
        <v>862</v>
      </c>
      <c r="P517" s="11" t="s">
        <v>2400</v>
      </c>
      <c r="Q517" s="274"/>
      <c r="R517" s="274"/>
      <c r="S517" s="274"/>
      <c r="T517" s="11"/>
      <c r="U517" s="11"/>
      <c r="V517" s="11"/>
      <c r="W517" s="11"/>
      <c r="X517" s="11"/>
      <c r="Y517" s="11"/>
      <c r="Z517" s="48"/>
      <c r="AA517" s="52"/>
      <c r="AB517" s="52"/>
      <c r="AC517" s="118"/>
      <c r="AD517" s="5"/>
      <c r="AE517" s="52"/>
      <c r="AF517" s="113"/>
      <c r="AG517" s="113"/>
      <c r="AH517" s="113"/>
      <c r="AI517" s="52"/>
      <c r="AJ517" s="11"/>
      <c r="AK517" s="269"/>
      <c r="AL517" s="269"/>
      <c r="AM517" s="269"/>
      <c r="AN517" s="301"/>
      <c r="AO517" s="302"/>
      <c r="AP517" s="11"/>
      <c r="AQ517" s="11"/>
      <c r="AR517" s="11"/>
      <c r="AS517" s="11"/>
      <c r="AT517" s="11"/>
      <c r="AU517" s="118"/>
      <c r="AV517" s="118"/>
      <c r="AW517" s="118"/>
      <c r="AX517" s="52"/>
      <c r="AY517" s="52"/>
      <c r="AZ517" s="11"/>
      <c r="BA517" s="11"/>
      <c r="BB517" s="11"/>
      <c r="BC517" s="11"/>
      <c r="BD517" s="11"/>
      <c r="BE517" s="274"/>
      <c r="BF517" s="274"/>
      <c r="BG517" s="274"/>
      <c r="BH517" s="11"/>
      <c r="BI517" s="11"/>
      <c r="BJ517" s="311">
        <v>1098461.54</v>
      </c>
      <c r="BK517" s="311">
        <v>208707.69260000001</v>
      </c>
      <c r="BL517" s="311">
        <v>1307169.2326</v>
      </c>
      <c r="BM517" s="52" t="s">
        <v>138</v>
      </c>
      <c r="BN517" s="52">
        <v>10777019</v>
      </c>
      <c r="BO517" s="387"/>
      <c r="BP517" s="320"/>
      <c r="BQ517" s="320"/>
      <c r="BR517" s="4"/>
      <c r="BS517" s="4"/>
      <c r="BT517" s="11"/>
      <c r="BU517" s="11"/>
      <c r="BV517" s="11"/>
      <c r="BW517" s="11"/>
      <c r="BX517" s="11"/>
      <c r="BY517" s="348"/>
      <c r="BZ517" s="348"/>
      <c r="CA517" s="348"/>
      <c r="CB517" s="348"/>
      <c r="CC517" s="348"/>
      <c r="CD517" s="11"/>
      <c r="CE517" s="11"/>
      <c r="CF517" s="11"/>
      <c r="CG517" s="11"/>
      <c r="CH517" s="11"/>
      <c r="CI517" s="11"/>
      <c r="CJ517" s="11"/>
      <c r="CK517" s="11"/>
      <c r="CL517" s="11"/>
      <c r="CM517" s="11"/>
      <c r="CN517" s="274"/>
      <c r="CO517" s="274"/>
      <c r="CP517" s="274"/>
      <c r="CQ517" s="11"/>
      <c r="CR517" s="11"/>
      <c r="CS517" s="11"/>
      <c r="CT517" s="11"/>
      <c r="CU517" s="11"/>
      <c r="CV517" s="11"/>
      <c r="CW517" s="11"/>
      <c r="CX517" s="11"/>
      <c r="CY517" s="11"/>
      <c r="CZ517" s="11"/>
      <c r="DA517" s="11"/>
      <c r="DB517" s="11"/>
      <c r="DC517" s="11"/>
      <c r="DD517" s="11"/>
      <c r="DE517" s="11"/>
      <c r="DF517" s="11"/>
      <c r="DG517" s="11"/>
      <c r="DH517" s="11"/>
      <c r="DI517" s="11"/>
      <c r="DJ517" s="11"/>
      <c r="DK517" s="11"/>
      <c r="DL517" s="11"/>
      <c r="DM517" s="118"/>
      <c r="DN517" s="118"/>
      <c r="DO517" s="118"/>
      <c r="DP517" s="52"/>
      <c r="DQ517" s="52"/>
      <c r="DR517" s="77"/>
      <c r="DS517" s="77"/>
      <c r="DT517" s="77"/>
      <c r="DU517" s="11"/>
      <c r="DV517" s="11"/>
      <c r="DW517" s="11"/>
      <c r="DX517" s="11"/>
      <c r="DY517" s="11"/>
      <c r="DZ517" s="11"/>
      <c r="EA517" s="11"/>
      <c r="EB517" s="11"/>
      <c r="EC517" s="11"/>
      <c r="ED517" s="11"/>
      <c r="EE517" s="11"/>
      <c r="EF517" s="11"/>
    </row>
    <row r="518" spans="1:136" ht="27" x14ac:dyDescent="0.25">
      <c r="A518" s="425">
        <v>516</v>
      </c>
      <c r="B518" s="427" t="s">
        <v>2404</v>
      </c>
      <c r="C518" s="413" t="s">
        <v>2405</v>
      </c>
      <c r="D518" s="413" t="s">
        <v>2406</v>
      </c>
      <c r="E518" s="79">
        <v>1</v>
      </c>
      <c r="F518" s="406">
        <v>1307153.1200000001</v>
      </c>
      <c r="G518" s="274"/>
      <c r="H518" s="274"/>
      <c r="I518" s="274"/>
      <c r="J518" s="274"/>
      <c r="K518" s="11"/>
      <c r="L518" s="274"/>
      <c r="M518" s="274"/>
      <c r="N518" s="274"/>
      <c r="O518" s="48"/>
      <c r="P518" s="11"/>
      <c r="Q518" s="274"/>
      <c r="R518" s="274"/>
      <c r="S518" s="274"/>
      <c r="T518" s="11"/>
      <c r="U518" s="11"/>
      <c r="V518" s="11"/>
      <c r="W518" s="11"/>
      <c r="X518" s="11"/>
      <c r="Y518" s="11"/>
      <c r="Z518" s="48"/>
      <c r="AA518" s="293">
        <v>337500</v>
      </c>
      <c r="AB518" s="118">
        <f>+AA518*0.19</f>
        <v>64125</v>
      </c>
      <c r="AC518" s="118">
        <f>+AA518+AB518</f>
        <v>401625</v>
      </c>
      <c r="AD518" s="5" t="s">
        <v>610</v>
      </c>
      <c r="AE518" s="52" t="s">
        <v>2407</v>
      </c>
      <c r="AF518" s="113"/>
      <c r="AG518" s="113"/>
      <c r="AH518" s="113"/>
      <c r="AI518" s="52"/>
      <c r="AJ518" s="11"/>
      <c r="AK518" s="269"/>
      <c r="AL518" s="269"/>
      <c r="AM518" s="269"/>
      <c r="AN518" s="301"/>
      <c r="AO518" s="302"/>
      <c r="AP518" s="11"/>
      <c r="AQ518" s="11"/>
      <c r="AR518" s="11"/>
      <c r="AS518" s="11"/>
      <c r="AT518" s="11"/>
      <c r="AU518" s="118">
        <v>116926</v>
      </c>
      <c r="AV518" s="118">
        <v>22216</v>
      </c>
      <c r="AW518" s="118">
        <v>139142</v>
      </c>
      <c r="AX518" s="52" t="s">
        <v>607</v>
      </c>
      <c r="AY518" s="52" t="s">
        <v>2408</v>
      </c>
      <c r="AZ518" s="11"/>
      <c r="BA518" s="11"/>
      <c r="BB518" s="11"/>
      <c r="BC518" s="11"/>
      <c r="BD518" s="11"/>
      <c r="BE518" s="274">
        <v>203000</v>
      </c>
      <c r="BF518" s="274">
        <v>38570</v>
      </c>
      <c r="BG518" s="274">
        <v>241570</v>
      </c>
      <c r="BH518" s="11" t="s">
        <v>37</v>
      </c>
      <c r="BI518" s="11" t="s">
        <v>2409</v>
      </c>
      <c r="BJ518" s="311">
        <v>2288461.54</v>
      </c>
      <c r="BK518" s="311">
        <v>434807.69260000001</v>
      </c>
      <c r="BL518" s="311">
        <v>2723269.2325999998</v>
      </c>
      <c r="BM518" s="52" t="s">
        <v>138</v>
      </c>
      <c r="BN518" s="52">
        <v>12091039</v>
      </c>
      <c r="BO518" s="387">
        <v>1628460</v>
      </c>
      <c r="BP518" s="320">
        <f>BO518*0.19</f>
        <v>309407.40000000002</v>
      </c>
      <c r="BQ518" s="320">
        <f>BO518+BP518</f>
        <v>1937867.4</v>
      </c>
      <c r="BR518" s="4" t="s">
        <v>2410</v>
      </c>
      <c r="BS518" s="4" t="s">
        <v>866</v>
      </c>
      <c r="BT518" s="11"/>
      <c r="BU518" s="11"/>
      <c r="BV518" s="11"/>
      <c r="BW518" s="11"/>
      <c r="BX518" s="11"/>
      <c r="BY518" s="348"/>
      <c r="BZ518" s="348"/>
      <c r="CA518" s="348"/>
      <c r="CB518" s="348"/>
      <c r="CC518" s="348"/>
      <c r="CD518" s="11"/>
      <c r="CE518" s="11"/>
      <c r="CF518" s="11"/>
      <c r="CG518" s="11"/>
      <c r="CH518" s="11"/>
      <c r="CI518" s="11"/>
      <c r="CJ518" s="11"/>
      <c r="CK518" s="11"/>
      <c r="CL518" s="11"/>
      <c r="CM518" s="11"/>
      <c r="CN518" s="274"/>
      <c r="CO518" s="274"/>
      <c r="CP518" s="274"/>
      <c r="CQ518" s="11"/>
      <c r="CR518" s="11"/>
      <c r="CS518" s="11"/>
      <c r="CT518" s="11"/>
      <c r="CU518" s="11"/>
      <c r="CV518" s="11"/>
      <c r="CW518" s="11"/>
      <c r="CX518" s="11"/>
      <c r="CY518" s="11"/>
      <c r="CZ518" s="11"/>
      <c r="DA518" s="11"/>
      <c r="DB518" s="11"/>
      <c r="DC518" s="11"/>
      <c r="DD518" s="11"/>
      <c r="DE518" s="11"/>
      <c r="DF518" s="11"/>
      <c r="DG518" s="11"/>
      <c r="DH518" s="11"/>
      <c r="DI518" s="11"/>
      <c r="DJ518" s="11"/>
      <c r="DK518" s="11"/>
      <c r="DL518" s="11"/>
      <c r="DM518" s="118"/>
      <c r="DN518" s="118"/>
      <c r="DO518" s="118"/>
      <c r="DP518" s="52"/>
      <c r="DQ518" s="52"/>
      <c r="DR518" s="77"/>
      <c r="DS518" s="77"/>
      <c r="DT518" s="77"/>
      <c r="DU518" s="11"/>
      <c r="DV518" s="11"/>
      <c r="DW518" s="11"/>
      <c r="DX518" s="11"/>
      <c r="DY518" s="11"/>
      <c r="DZ518" s="11"/>
      <c r="EA518" s="11"/>
      <c r="EB518" s="11"/>
      <c r="EC518" s="11"/>
      <c r="ED518" s="11"/>
      <c r="EE518" s="11"/>
      <c r="EF518" s="11"/>
    </row>
    <row r="519" spans="1:136" ht="27" x14ac:dyDescent="0.25">
      <c r="A519" s="425">
        <v>517</v>
      </c>
      <c r="B519" s="427" t="s">
        <v>2411</v>
      </c>
      <c r="C519" s="413" t="s">
        <v>676</v>
      </c>
      <c r="D519" s="413" t="s">
        <v>2412</v>
      </c>
      <c r="E519" s="79">
        <v>1</v>
      </c>
      <c r="F519" s="404">
        <v>233150.86900000001</v>
      </c>
      <c r="G519" s="274">
        <v>331250</v>
      </c>
      <c r="H519" s="274">
        <v>62937.5</v>
      </c>
      <c r="I519" s="274">
        <v>394187.5</v>
      </c>
      <c r="J519" s="274" t="s">
        <v>45</v>
      </c>
      <c r="K519" s="11" t="s">
        <v>2413</v>
      </c>
      <c r="L519" s="274"/>
      <c r="M519" s="274"/>
      <c r="N519" s="274"/>
      <c r="O519" s="48"/>
      <c r="P519" s="11"/>
      <c r="Q519" s="274"/>
      <c r="R519" s="274"/>
      <c r="S519" s="274"/>
      <c r="T519" s="11"/>
      <c r="U519" s="11"/>
      <c r="V519" s="11"/>
      <c r="W519" s="11"/>
      <c r="X519" s="11"/>
      <c r="Y519" s="11"/>
      <c r="Z519" s="48"/>
      <c r="AA519" s="52"/>
      <c r="AB519" s="52"/>
      <c r="AC519" s="118"/>
      <c r="AD519" s="5"/>
      <c r="AE519" s="52"/>
      <c r="AF519" s="113">
        <v>978000</v>
      </c>
      <c r="AG519" s="113">
        <f>AF519*0.19</f>
        <v>185820</v>
      </c>
      <c r="AH519" s="113">
        <f>AF519+AG519</f>
        <v>1163820</v>
      </c>
      <c r="AI519" s="277" t="s">
        <v>628</v>
      </c>
      <c r="AJ519" s="33" t="s">
        <v>2414</v>
      </c>
      <c r="AK519" s="269">
        <v>273600</v>
      </c>
      <c r="AL519" s="269">
        <v>51984</v>
      </c>
      <c r="AM519" s="269">
        <v>325584</v>
      </c>
      <c r="AN519" s="301" t="s">
        <v>88</v>
      </c>
      <c r="AO519" s="302">
        <v>1060760025</v>
      </c>
      <c r="AP519" s="11"/>
      <c r="AQ519" s="11"/>
      <c r="AR519" s="11"/>
      <c r="AS519" s="11"/>
      <c r="AT519" s="11"/>
      <c r="AU519" s="118">
        <v>347929</v>
      </c>
      <c r="AV519" s="118">
        <v>66107</v>
      </c>
      <c r="AW519" s="118">
        <v>414036</v>
      </c>
      <c r="AX519" s="52" t="s">
        <v>607</v>
      </c>
      <c r="AY519" s="52">
        <v>1060760025</v>
      </c>
      <c r="AZ519" s="11"/>
      <c r="BA519" s="11"/>
      <c r="BB519" s="11"/>
      <c r="BC519" s="11"/>
      <c r="BD519" s="11"/>
      <c r="BE519" s="274">
        <v>761000</v>
      </c>
      <c r="BF519" s="274">
        <v>144590</v>
      </c>
      <c r="BG519" s="274">
        <v>905590</v>
      </c>
      <c r="BH519" s="11" t="s">
        <v>63</v>
      </c>
      <c r="BI519" s="11" t="s">
        <v>2415</v>
      </c>
      <c r="BJ519" s="311"/>
      <c r="BK519" s="311"/>
      <c r="BL519" s="311"/>
      <c r="BM519" s="52"/>
      <c r="BN519" s="52"/>
      <c r="BO519" s="387"/>
      <c r="BP519" s="320"/>
      <c r="BQ519" s="320"/>
      <c r="BR519" s="4"/>
      <c r="BS519" s="4"/>
      <c r="BT519" s="11"/>
      <c r="BU519" s="11"/>
      <c r="BV519" s="11"/>
      <c r="BW519" s="11"/>
      <c r="BX519" s="11"/>
      <c r="BY519" s="348"/>
      <c r="BZ519" s="348"/>
      <c r="CA519" s="348"/>
      <c r="CB519" s="348"/>
      <c r="CC519" s="348"/>
      <c r="CD519" s="11"/>
      <c r="CE519" s="11"/>
      <c r="CF519" s="11"/>
      <c r="CG519" s="11"/>
      <c r="CH519" s="11"/>
      <c r="CI519" s="11"/>
      <c r="CJ519" s="11"/>
      <c r="CK519" s="11"/>
      <c r="CL519" s="11"/>
      <c r="CM519" s="11"/>
      <c r="CN519" s="274"/>
      <c r="CO519" s="274"/>
      <c r="CP519" s="274"/>
      <c r="CQ519" s="11"/>
      <c r="CR519" s="11"/>
      <c r="CS519" s="11"/>
      <c r="CT519" s="11"/>
      <c r="CU519" s="11"/>
      <c r="CV519" s="11"/>
      <c r="CW519" s="11"/>
      <c r="CX519" s="11"/>
      <c r="CY519" s="11"/>
      <c r="CZ519" s="11"/>
      <c r="DA519" s="11"/>
      <c r="DB519" s="11"/>
      <c r="DC519" s="11"/>
      <c r="DD519" s="11"/>
      <c r="DE519" s="11"/>
      <c r="DF519" s="11"/>
      <c r="DG519" s="11"/>
      <c r="DH519" s="11"/>
      <c r="DI519" s="11"/>
      <c r="DJ519" s="11"/>
      <c r="DK519" s="11"/>
      <c r="DL519" s="11"/>
      <c r="DM519" s="118"/>
      <c r="DN519" s="118"/>
      <c r="DO519" s="118"/>
      <c r="DP519" s="52"/>
      <c r="DQ519" s="52"/>
      <c r="DR519" s="77"/>
      <c r="DS519" s="77"/>
      <c r="DT519" s="77"/>
      <c r="DU519" s="11"/>
      <c r="DV519" s="11"/>
      <c r="DW519" s="11"/>
      <c r="DX519" s="11"/>
      <c r="DY519" s="11"/>
      <c r="DZ519" s="11"/>
      <c r="EA519" s="11"/>
      <c r="EB519" s="11"/>
      <c r="EC519" s="11"/>
      <c r="ED519" s="11"/>
      <c r="EE519" s="11"/>
      <c r="EF519" s="11"/>
    </row>
    <row r="520" spans="1:136" ht="27" x14ac:dyDescent="0.25">
      <c r="A520" s="425">
        <v>518</v>
      </c>
      <c r="B520" s="427" t="s">
        <v>2416</v>
      </c>
      <c r="C520" s="413" t="s">
        <v>2417</v>
      </c>
      <c r="D520" s="413" t="s">
        <v>925</v>
      </c>
      <c r="E520" s="79">
        <v>1</v>
      </c>
      <c r="F520" s="404">
        <v>367008.37599999999</v>
      </c>
      <c r="G520" s="274">
        <v>387500</v>
      </c>
      <c r="H520" s="274">
        <v>73625</v>
      </c>
      <c r="I520" s="274">
        <v>461125</v>
      </c>
      <c r="J520" s="274" t="s">
        <v>45</v>
      </c>
      <c r="K520" s="11" t="s">
        <v>2418</v>
      </c>
      <c r="L520" s="274"/>
      <c r="M520" s="274"/>
      <c r="N520" s="274"/>
      <c r="O520" s="48"/>
      <c r="P520" s="11"/>
      <c r="Q520" s="274"/>
      <c r="R520" s="274"/>
      <c r="S520" s="274"/>
      <c r="T520" s="11"/>
      <c r="U520" s="11"/>
      <c r="V520" s="11"/>
      <c r="W520" s="11"/>
      <c r="X520" s="11"/>
      <c r="Y520" s="11"/>
      <c r="Z520" s="48"/>
      <c r="AA520" s="52"/>
      <c r="AB520" s="52"/>
      <c r="AC520" s="118"/>
      <c r="AD520" s="5"/>
      <c r="AE520" s="52"/>
      <c r="AF520" s="113">
        <v>96000</v>
      </c>
      <c r="AG520" s="113">
        <f>AF520*0.19</f>
        <v>18240</v>
      </c>
      <c r="AH520" s="113">
        <f>AF520+AG520</f>
        <v>114240</v>
      </c>
      <c r="AI520" s="277" t="s">
        <v>628</v>
      </c>
      <c r="AJ520" s="33" t="s">
        <v>2419</v>
      </c>
      <c r="AK520" s="269">
        <v>235980</v>
      </c>
      <c r="AL520" s="269">
        <v>44836.2</v>
      </c>
      <c r="AM520" s="269">
        <v>280816.2</v>
      </c>
      <c r="AN520" s="301" t="s">
        <v>88</v>
      </c>
      <c r="AO520" s="302">
        <v>1072410005</v>
      </c>
      <c r="AP520" s="11"/>
      <c r="AQ520" s="11"/>
      <c r="AR520" s="11"/>
      <c r="AS520" s="11"/>
      <c r="AT520" s="11"/>
      <c r="AU520" s="118">
        <v>300089</v>
      </c>
      <c r="AV520" s="118">
        <v>57017</v>
      </c>
      <c r="AW520" s="118">
        <v>357106</v>
      </c>
      <c r="AX520" s="52" t="s">
        <v>607</v>
      </c>
      <c r="AY520" s="52">
        <v>1072410005</v>
      </c>
      <c r="AZ520" s="11"/>
      <c r="BA520" s="11"/>
      <c r="BB520" s="11"/>
      <c r="BC520" s="11"/>
      <c r="BD520" s="11"/>
      <c r="BE520" s="274">
        <v>534000</v>
      </c>
      <c r="BF520" s="274">
        <v>101460</v>
      </c>
      <c r="BG520" s="274">
        <v>635460</v>
      </c>
      <c r="BH520" s="11" t="s">
        <v>63</v>
      </c>
      <c r="BI520" s="11" t="s">
        <v>2420</v>
      </c>
      <c r="BJ520" s="311"/>
      <c r="BK520" s="311"/>
      <c r="BL520" s="311"/>
      <c r="BM520" s="52"/>
      <c r="BN520" s="52"/>
      <c r="BO520" s="387"/>
      <c r="BP520" s="320"/>
      <c r="BQ520" s="320"/>
      <c r="BR520" s="4"/>
      <c r="BS520" s="4"/>
      <c r="BT520" s="11"/>
      <c r="BU520" s="11"/>
      <c r="BV520" s="11"/>
      <c r="BW520" s="11"/>
      <c r="BX520" s="11"/>
      <c r="BY520" s="348"/>
      <c r="BZ520" s="348"/>
      <c r="CA520" s="348"/>
      <c r="CB520" s="348"/>
      <c r="CC520" s="348"/>
      <c r="CD520" s="11"/>
      <c r="CE520" s="11"/>
      <c r="CF520" s="11"/>
      <c r="CG520" s="11"/>
      <c r="CH520" s="11"/>
      <c r="CI520" s="11"/>
      <c r="CJ520" s="11"/>
      <c r="CK520" s="11"/>
      <c r="CL520" s="11"/>
      <c r="CM520" s="11"/>
      <c r="CN520" s="274"/>
      <c r="CO520" s="274"/>
      <c r="CP520" s="274"/>
      <c r="CQ520" s="11"/>
      <c r="CR520" s="11"/>
      <c r="CS520" s="11"/>
      <c r="CT520" s="11"/>
      <c r="CU520" s="11"/>
      <c r="CV520" s="11"/>
      <c r="CW520" s="11"/>
      <c r="CX520" s="11"/>
      <c r="CY520" s="11"/>
      <c r="CZ520" s="11"/>
      <c r="DA520" s="11"/>
      <c r="DB520" s="11"/>
      <c r="DC520" s="11"/>
      <c r="DD520" s="11"/>
      <c r="DE520" s="11"/>
      <c r="DF520" s="11"/>
      <c r="DG520" s="11"/>
      <c r="DH520" s="11"/>
      <c r="DI520" s="11"/>
      <c r="DJ520" s="11"/>
      <c r="DK520" s="11"/>
      <c r="DL520" s="11"/>
      <c r="DM520" s="118"/>
      <c r="DN520" s="118"/>
      <c r="DO520" s="118"/>
      <c r="DP520" s="52"/>
      <c r="DQ520" s="52"/>
      <c r="DR520" s="77"/>
      <c r="DS520" s="77"/>
      <c r="DT520" s="77"/>
      <c r="DU520" s="11"/>
      <c r="DV520" s="11"/>
      <c r="DW520" s="11"/>
      <c r="DX520" s="11"/>
      <c r="DY520" s="11"/>
      <c r="DZ520" s="11"/>
      <c r="EA520" s="11"/>
      <c r="EB520" s="11"/>
      <c r="EC520" s="11"/>
      <c r="ED520" s="11"/>
      <c r="EE520" s="11"/>
      <c r="EF520" s="11"/>
    </row>
    <row r="521" spans="1:136" ht="27" x14ac:dyDescent="0.25">
      <c r="A521" s="425">
        <v>519</v>
      </c>
      <c r="B521" s="427" t="s">
        <v>2421</v>
      </c>
      <c r="C521" s="413" t="s">
        <v>2417</v>
      </c>
      <c r="D521" s="413" t="s">
        <v>2422</v>
      </c>
      <c r="E521" s="79">
        <v>1</v>
      </c>
      <c r="F521" s="404">
        <v>622154.61</v>
      </c>
      <c r="G521" s="274">
        <v>706250</v>
      </c>
      <c r="H521" s="274">
        <v>134187.5</v>
      </c>
      <c r="I521" s="274">
        <v>840437.5</v>
      </c>
      <c r="J521" s="274" t="s">
        <v>45</v>
      </c>
      <c r="K521" s="11" t="s">
        <v>2423</v>
      </c>
      <c r="L521" s="274"/>
      <c r="M521" s="274"/>
      <c r="N521" s="274"/>
      <c r="O521" s="48"/>
      <c r="P521" s="11"/>
      <c r="Q521" s="274"/>
      <c r="R521" s="274"/>
      <c r="S521" s="274"/>
      <c r="T521" s="11"/>
      <c r="U521" s="11"/>
      <c r="V521" s="11"/>
      <c r="W521" s="11"/>
      <c r="X521" s="11"/>
      <c r="Y521" s="11"/>
      <c r="Z521" s="48"/>
      <c r="AA521" s="52"/>
      <c r="AB521" s="52"/>
      <c r="AC521" s="118"/>
      <c r="AD521" s="5"/>
      <c r="AE521" s="52"/>
      <c r="AF521" s="113">
        <v>810000</v>
      </c>
      <c r="AG521" s="113">
        <f>AF521*0.19</f>
        <v>153900</v>
      </c>
      <c r="AH521" s="113">
        <f>AF521+AG521</f>
        <v>963900</v>
      </c>
      <c r="AI521" s="277" t="s">
        <v>628</v>
      </c>
      <c r="AJ521" s="33" t="s">
        <v>2424</v>
      </c>
      <c r="AK521" s="269">
        <v>395580</v>
      </c>
      <c r="AL521" s="269">
        <v>75160.2</v>
      </c>
      <c r="AM521" s="269">
        <v>470740.2</v>
      </c>
      <c r="AN521" s="301" t="s">
        <v>88</v>
      </c>
      <c r="AO521" s="302">
        <v>1159480025</v>
      </c>
      <c r="AP521" s="11"/>
      <c r="AQ521" s="11"/>
      <c r="AR521" s="11"/>
      <c r="AS521" s="11"/>
      <c r="AT521" s="11"/>
      <c r="AU521" s="118">
        <v>503047</v>
      </c>
      <c r="AV521" s="118">
        <v>95579</v>
      </c>
      <c r="AW521" s="118">
        <v>598626</v>
      </c>
      <c r="AX521" s="52" t="s">
        <v>607</v>
      </c>
      <c r="AY521" s="52">
        <v>1159480025</v>
      </c>
      <c r="AZ521" s="11"/>
      <c r="BA521" s="11"/>
      <c r="BB521" s="11"/>
      <c r="BC521" s="11"/>
      <c r="BD521" s="11"/>
      <c r="BE521" s="274">
        <v>765000</v>
      </c>
      <c r="BF521" s="274">
        <v>145350</v>
      </c>
      <c r="BG521" s="274">
        <v>910350</v>
      </c>
      <c r="BH521" s="11" t="s">
        <v>63</v>
      </c>
      <c r="BI521" s="11" t="s">
        <v>2425</v>
      </c>
      <c r="BJ521" s="311"/>
      <c r="BK521" s="311"/>
      <c r="BL521" s="311"/>
      <c r="BM521" s="52"/>
      <c r="BN521" s="52"/>
      <c r="BO521" s="387"/>
      <c r="BP521" s="320"/>
      <c r="BQ521" s="320"/>
      <c r="BR521" s="4"/>
      <c r="BS521" s="4"/>
      <c r="BT521" s="11"/>
      <c r="BU521" s="11"/>
      <c r="BV521" s="11"/>
      <c r="BW521" s="11"/>
      <c r="BX521" s="11"/>
      <c r="BY521" s="348"/>
      <c r="BZ521" s="348"/>
      <c r="CA521" s="348"/>
      <c r="CB521" s="348"/>
      <c r="CC521" s="348"/>
      <c r="CD521" s="11"/>
      <c r="CE521" s="11"/>
      <c r="CF521" s="11"/>
      <c r="CG521" s="11"/>
      <c r="CH521" s="11"/>
      <c r="CI521" s="11"/>
      <c r="CJ521" s="11"/>
      <c r="CK521" s="11"/>
      <c r="CL521" s="11"/>
      <c r="CM521" s="11"/>
      <c r="CN521" s="274"/>
      <c r="CO521" s="274"/>
      <c r="CP521" s="274"/>
      <c r="CQ521" s="11"/>
      <c r="CR521" s="11"/>
      <c r="CS521" s="11"/>
      <c r="CT521" s="11"/>
      <c r="CU521" s="11"/>
      <c r="CV521" s="11"/>
      <c r="CW521" s="11"/>
      <c r="CX521" s="11"/>
      <c r="CY521" s="11"/>
      <c r="CZ521" s="11"/>
      <c r="DA521" s="11"/>
      <c r="DB521" s="11"/>
      <c r="DC521" s="11"/>
      <c r="DD521" s="11"/>
      <c r="DE521" s="11"/>
      <c r="DF521" s="11"/>
      <c r="DG521" s="11"/>
      <c r="DH521" s="11"/>
      <c r="DI521" s="11"/>
      <c r="DJ521" s="11"/>
      <c r="DK521" s="11"/>
      <c r="DL521" s="11"/>
      <c r="DM521" s="118"/>
      <c r="DN521" s="118"/>
      <c r="DO521" s="118"/>
      <c r="DP521" s="52"/>
      <c r="DQ521" s="52"/>
      <c r="DR521" s="77"/>
      <c r="DS521" s="77"/>
      <c r="DT521" s="77"/>
      <c r="DU521" s="11"/>
      <c r="DV521" s="11"/>
      <c r="DW521" s="11"/>
      <c r="DX521" s="11"/>
      <c r="DY521" s="11"/>
      <c r="DZ521" s="11"/>
      <c r="EA521" s="11"/>
      <c r="EB521" s="11"/>
      <c r="EC521" s="11"/>
      <c r="ED521" s="11"/>
      <c r="EE521" s="11"/>
      <c r="EF521" s="11"/>
    </row>
    <row r="522" spans="1:136" ht="54" x14ac:dyDescent="0.25">
      <c r="A522" s="425">
        <v>520</v>
      </c>
      <c r="B522" s="427" t="s">
        <v>2426</v>
      </c>
      <c r="C522" s="413" t="s">
        <v>2427</v>
      </c>
      <c r="D522" s="413" t="s">
        <v>1505</v>
      </c>
      <c r="E522" s="79">
        <v>1</v>
      </c>
      <c r="F522" s="404">
        <v>3541882.2039999999</v>
      </c>
      <c r="G522" s="274"/>
      <c r="H522" s="274"/>
      <c r="I522" s="274"/>
      <c r="J522" s="274"/>
      <c r="K522" s="11"/>
      <c r="L522" s="274"/>
      <c r="M522" s="274"/>
      <c r="N522" s="274"/>
      <c r="O522" s="48"/>
      <c r="P522" s="11"/>
      <c r="Q522" s="274"/>
      <c r="R522" s="274"/>
      <c r="S522" s="274"/>
      <c r="T522" s="11"/>
      <c r="U522" s="11"/>
      <c r="V522" s="11"/>
      <c r="W522" s="11"/>
      <c r="X522" s="11"/>
      <c r="Y522" s="11"/>
      <c r="Z522" s="48"/>
      <c r="AA522" s="52"/>
      <c r="AB522" s="52"/>
      <c r="AC522" s="118"/>
      <c r="AD522" s="5"/>
      <c r="AE522" s="52"/>
      <c r="AF522" s="113"/>
      <c r="AG522" s="113"/>
      <c r="AH522" s="113"/>
      <c r="AI522" s="52"/>
      <c r="AJ522" s="11"/>
      <c r="AK522" s="269"/>
      <c r="AL522" s="269"/>
      <c r="AM522" s="269"/>
      <c r="AN522" s="301"/>
      <c r="AO522" s="302"/>
      <c r="AP522" s="11"/>
      <c r="AQ522" s="11"/>
      <c r="AR522" s="11"/>
      <c r="AS522" s="11"/>
      <c r="AT522" s="11"/>
      <c r="AU522" s="118"/>
      <c r="AV522" s="118"/>
      <c r="AW522" s="118"/>
      <c r="AX522" s="52"/>
      <c r="AY522" s="52"/>
      <c r="AZ522" s="11"/>
      <c r="BA522" s="11"/>
      <c r="BB522" s="11"/>
      <c r="BC522" s="11"/>
      <c r="BD522" s="11"/>
      <c r="BE522" s="274">
        <v>4221000</v>
      </c>
      <c r="BF522" s="274">
        <v>801990</v>
      </c>
      <c r="BG522" s="274">
        <v>5022990</v>
      </c>
      <c r="BH522" s="11" t="s">
        <v>310</v>
      </c>
      <c r="BI522" s="11" t="s">
        <v>2428</v>
      </c>
      <c r="BJ522" s="311"/>
      <c r="BK522" s="311"/>
      <c r="BL522" s="311"/>
      <c r="BM522" s="52"/>
      <c r="BN522" s="52"/>
      <c r="BO522" s="387"/>
      <c r="BP522" s="320"/>
      <c r="BQ522" s="320"/>
      <c r="BR522" s="4"/>
      <c r="BS522" s="4"/>
      <c r="BT522" s="11"/>
      <c r="BU522" s="11"/>
      <c r="BV522" s="11"/>
      <c r="BW522" s="11"/>
      <c r="BX522" s="11"/>
      <c r="BY522" s="348"/>
      <c r="BZ522" s="348"/>
      <c r="CA522" s="348"/>
      <c r="CB522" s="348"/>
      <c r="CC522" s="348"/>
      <c r="CD522" s="11"/>
      <c r="CE522" s="11"/>
      <c r="CF522" s="11"/>
      <c r="CG522" s="11"/>
      <c r="CH522" s="11"/>
      <c r="CI522" s="11"/>
      <c r="CJ522" s="11"/>
      <c r="CK522" s="11"/>
      <c r="CL522" s="11"/>
      <c r="CM522" s="11"/>
      <c r="CN522" s="274"/>
      <c r="CO522" s="274"/>
      <c r="CP522" s="274"/>
      <c r="CQ522" s="11"/>
      <c r="CR522" s="11"/>
      <c r="CS522" s="11"/>
      <c r="CT522" s="11"/>
      <c r="CU522" s="11"/>
      <c r="CV522" s="11"/>
      <c r="CW522" s="11"/>
      <c r="CX522" s="11"/>
      <c r="CY522" s="11"/>
      <c r="CZ522" s="11"/>
      <c r="DA522" s="11"/>
      <c r="DB522" s="11"/>
      <c r="DC522" s="11"/>
      <c r="DD522" s="11"/>
      <c r="DE522" s="11"/>
      <c r="DF522" s="11"/>
      <c r="DG522" s="11"/>
      <c r="DH522" s="11"/>
      <c r="DI522" s="11"/>
      <c r="DJ522" s="11"/>
      <c r="DK522" s="11"/>
      <c r="DL522" s="11"/>
      <c r="DM522" s="118"/>
      <c r="DN522" s="118"/>
      <c r="DO522" s="118"/>
      <c r="DP522" s="52"/>
      <c r="DQ522" s="52"/>
      <c r="DR522" s="77"/>
      <c r="DS522" s="77"/>
      <c r="DT522" s="77"/>
      <c r="DU522" s="11"/>
      <c r="DV522" s="11"/>
      <c r="DW522" s="11"/>
      <c r="DX522" s="11"/>
      <c r="DY522" s="11"/>
      <c r="DZ522" s="11"/>
      <c r="EA522" s="11"/>
      <c r="EB522" s="11"/>
      <c r="EC522" s="11"/>
      <c r="ED522" s="11"/>
      <c r="EE522" s="11"/>
      <c r="EF522" s="11"/>
    </row>
    <row r="523" spans="1:136" ht="13.5" x14ac:dyDescent="0.25">
      <c r="A523" s="425">
        <v>521</v>
      </c>
      <c r="B523" s="428" t="s">
        <v>2429</v>
      </c>
      <c r="C523" s="413" t="s">
        <v>753</v>
      </c>
      <c r="D523" s="428" t="s">
        <v>783</v>
      </c>
      <c r="E523" s="79">
        <v>1</v>
      </c>
      <c r="F523" s="405"/>
      <c r="G523" s="274"/>
      <c r="H523" s="274"/>
      <c r="I523" s="274"/>
      <c r="J523" s="274"/>
      <c r="K523" s="11"/>
      <c r="L523" s="274"/>
      <c r="M523" s="274"/>
      <c r="N523" s="274"/>
      <c r="O523" s="48"/>
      <c r="P523" s="11"/>
      <c r="Q523" s="274"/>
      <c r="R523" s="274"/>
      <c r="S523" s="274"/>
      <c r="T523" s="11"/>
      <c r="U523" s="11"/>
      <c r="V523" s="11"/>
      <c r="W523" s="11"/>
      <c r="X523" s="11"/>
      <c r="Y523" s="11"/>
      <c r="Z523" s="48"/>
      <c r="AA523" s="52"/>
      <c r="AB523" s="52"/>
      <c r="AC523" s="118"/>
      <c r="AD523" s="5"/>
      <c r="AE523" s="52"/>
      <c r="AF523" s="113"/>
      <c r="AG523" s="113"/>
      <c r="AH523" s="113"/>
      <c r="AI523" s="52"/>
      <c r="AJ523" s="11"/>
      <c r="AK523" s="269">
        <v>1924000</v>
      </c>
      <c r="AL523" s="269">
        <v>365560</v>
      </c>
      <c r="AM523" s="269">
        <v>2289560</v>
      </c>
      <c r="AN523" s="301" t="s">
        <v>37</v>
      </c>
      <c r="AO523" s="302" t="s">
        <v>2430</v>
      </c>
      <c r="AP523" s="11"/>
      <c r="AQ523" s="11"/>
      <c r="AR523" s="11"/>
      <c r="AS523" s="11"/>
      <c r="AT523" s="11"/>
      <c r="AU523" s="118"/>
      <c r="AV523" s="118"/>
      <c r="AW523" s="118"/>
      <c r="AX523" s="52"/>
      <c r="AY523" s="52"/>
      <c r="AZ523" s="11"/>
      <c r="BA523" s="11"/>
      <c r="BB523" s="11"/>
      <c r="BC523" s="11"/>
      <c r="BD523" s="11"/>
      <c r="BE523" s="274"/>
      <c r="BF523" s="274"/>
      <c r="BG523" s="274"/>
      <c r="BH523" s="11"/>
      <c r="BI523" s="11"/>
      <c r="BJ523" s="311"/>
      <c r="BK523" s="311"/>
      <c r="BL523" s="311"/>
      <c r="BM523" s="52"/>
      <c r="BN523" s="52"/>
      <c r="BO523" s="387"/>
      <c r="BP523" s="320"/>
      <c r="BQ523" s="320"/>
      <c r="BR523" s="4"/>
      <c r="BS523" s="4"/>
      <c r="BT523" s="11"/>
      <c r="BU523" s="11"/>
      <c r="BV523" s="11"/>
      <c r="BW523" s="11"/>
      <c r="BX523" s="11"/>
      <c r="BY523" s="348"/>
      <c r="BZ523" s="348"/>
      <c r="CA523" s="348"/>
      <c r="CB523" s="348"/>
      <c r="CC523" s="348"/>
      <c r="CD523" s="11"/>
      <c r="CE523" s="11"/>
      <c r="CF523" s="11"/>
      <c r="CG523" s="11"/>
      <c r="CH523" s="11"/>
      <c r="CI523" s="11"/>
      <c r="CJ523" s="11"/>
      <c r="CK523" s="11"/>
      <c r="CL523" s="11"/>
      <c r="CM523" s="11"/>
      <c r="CN523" s="274"/>
      <c r="CO523" s="274"/>
      <c r="CP523" s="274"/>
      <c r="CQ523" s="11"/>
      <c r="CR523" s="11"/>
      <c r="CS523" s="11"/>
      <c r="CT523" s="11"/>
      <c r="CU523" s="11"/>
      <c r="CV523" s="11"/>
      <c r="CW523" s="11"/>
      <c r="CX523" s="11"/>
      <c r="CY523" s="11"/>
      <c r="CZ523" s="11"/>
      <c r="DA523" s="11"/>
      <c r="DB523" s="11"/>
      <c r="DC523" s="11"/>
      <c r="DD523" s="11"/>
      <c r="DE523" s="11"/>
      <c r="DF523" s="11"/>
      <c r="DG523" s="11"/>
      <c r="DH523" s="11"/>
      <c r="DI523" s="11"/>
      <c r="DJ523" s="11"/>
      <c r="DK523" s="11"/>
      <c r="DL523" s="11"/>
      <c r="DM523" s="118"/>
      <c r="DN523" s="118"/>
      <c r="DO523" s="118"/>
      <c r="DP523" s="52"/>
      <c r="DQ523" s="52"/>
      <c r="DR523" s="77"/>
      <c r="DS523" s="77"/>
      <c r="DT523" s="77"/>
      <c r="DU523" s="11"/>
      <c r="DV523" s="11"/>
      <c r="DW523" s="11"/>
      <c r="DX523" s="11"/>
      <c r="DY523" s="11"/>
      <c r="DZ523" s="11"/>
      <c r="EA523" s="11"/>
      <c r="EB523" s="11"/>
      <c r="EC523" s="11"/>
      <c r="ED523" s="11"/>
      <c r="EE523" s="11"/>
      <c r="EF523" s="11"/>
    </row>
    <row r="524" spans="1:136" ht="13.5" x14ac:dyDescent="0.25">
      <c r="A524" s="425">
        <v>522</v>
      </c>
      <c r="B524" s="427" t="s">
        <v>2431</v>
      </c>
      <c r="C524" s="587"/>
      <c r="D524" s="587" t="s">
        <v>988</v>
      </c>
      <c r="E524" s="79">
        <v>1</v>
      </c>
      <c r="F524" s="405">
        <v>3600793.8714000001</v>
      </c>
      <c r="G524" s="274"/>
      <c r="H524" s="274"/>
      <c r="I524" s="274"/>
      <c r="J524" s="274"/>
      <c r="K524" s="11"/>
      <c r="L524" s="274"/>
      <c r="M524" s="274"/>
      <c r="N524" s="274"/>
      <c r="O524" s="48"/>
      <c r="P524" s="11"/>
      <c r="Q524" s="274"/>
      <c r="R524" s="274"/>
      <c r="S524" s="274"/>
      <c r="T524" s="11"/>
      <c r="U524" s="11"/>
      <c r="V524" s="11"/>
      <c r="W524" s="11"/>
      <c r="X524" s="11"/>
      <c r="Y524" s="11"/>
      <c r="Z524" s="48"/>
      <c r="AA524" s="52"/>
      <c r="AB524" s="52"/>
      <c r="AC524" s="118"/>
      <c r="AD524" s="5"/>
      <c r="AE524" s="52"/>
      <c r="AF524" s="113"/>
      <c r="AG524" s="113"/>
      <c r="AH524" s="113"/>
      <c r="AI524" s="52"/>
      <c r="AJ524" s="11"/>
      <c r="AK524" s="269"/>
      <c r="AL524" s="269"/>
      <c r="AM524" s="269"/>
      <c r="AN524" s="301"/>
      <c r="AO524" s="302"/>
      <c r="AP524" s="11"/>
      <c r="AQ524" s="11"/>
      <c r="AR524" s="11"/>
      <c r="AS524" s="11"/>
      <c r="AT524" s="11"/>
      <c r="AU524" s="118"/>
      <c r="AV524" s="118"/>
      <c r="AW524" s="118"/>
      <c r="AX524" s="52"/>
      <c r="AY524" s="52"/>
      <c r="AZ524" s="11"/>
      <c r="BA524" s="11"/>
      <c r="BB524" s="11"/>
      <c r="BC524" s="11"/>
      <c r="BD524" s="11"/>
      <c r="BE524" s="274"/>
      <c r="BF524" s="274"/>
      <c r="BG524" s="274"/>
      <c r="BH524" s="11"/>
      <c r="BI524" s="11"/>
      <c r="BJ524" s="311"/>
      <c r="BK524" s="311"/>
      <c r="BL524" s="311"/>
      <c r="BM524" s="52"/>
      <c r="BN524" s="52"/>
      <c r="BO524" s="387"/>
      <c r="BP524" s="320"/>
      <c r="BQ524" s="320"/>
      <c r="BR524" s="4"/>
      <c r="BS524" s="4"/>
      <c r="BT524" s="11"/>
      <c r="BU524" s="11"/>
      <c r="BV524" s="11"/>
      <c r="BW524" s="11"/>
      <c r="BX524" s="11"/>
      <c r="BY524" s="348"/>
      <c r="BZ524" s="348"/>
      <c r="CA524" s="348"/>
      <c r="CB524" s="348"/>
      <c r="CC524" s="348"/>
      <c r="CD524" s="11"/>
      <c r="CE524" s="11"/>
      <c r="CF524" s="11"/>
      <c r="CG524" s="11"/>
      <c r="CH524" s="11"/>
      <c r="CI524" s="11"/>
      <c r="CJ524" s="11"/>
      <c r="CK524" s="11"/>
      <c r="CL524" s="11"/>
      <c r="CM524" s="11"/>
      <c r="CN524" s="274"/>
      <c r="CO524" s="274"/>
      <c r="CP524" s="274"/>
      <c r="CQ524" s="11"/>
      <c r="CR524" s="11"/>
      <c r="CS524" s="11"/>
      <c r="CT524" s="11"/>
      <c r="CU524" s="11"/>
      <c r="CV524" s="11"/>
      <c r="CW524" s="11"/>
      <c r="CX524" s="11"/>
      <c r="CY524" s="11"/>
      <c r="CZ524" s="11"/>
      <c r="DA524" s="11"/>
      <c r="DB524" s="11"/>
      <c r="DC524" s="11"/>
      <c r="DD524" s="11"/>
      <c r="DE524" s="11"/>
      <c r="DF524" s="11"/>
      <c r="DG524" s="11"/>
      <c r="DH524" s="11"/>
      <c r="DI524" s="11"/>
      <c r="DJ524" s="11"/>
      <c r="DK524" s="11"/>
      <c r="DL524" s="11"/>
      <c r="DM524" s="118"/>
      <c r="DN524" s="118"/>
      <c r="DO524" s="118"/>
      <c r="DP524" s="52"/>
      <c r="DQ524" s="52"/>
      <c r="DR524" s="77"/>
      <c r="DS524" s="77"/>
      <c r="DT524" s="77"/>
      <c r="DU524" s="11"/>
      <c r="DV524" s="11"/>
      <c r="DW524" s="11"/>
      <c r="DX524" s="11"/>
      <c r="DY524" s="11"/>
      <c r="DZ524" s="11"/>
      <c r="EA524" s="11"/>
      <c r="EB524" s="11"/>
      <c r="EC524" s="11"/>
      <c r="ED524" s="11"/>
      <c r="EE524" s="11"/>
      <c r="EF524" s="11"/>
    </row>
    <row r="525" spans="1:136" ht="54" x14ac:dyDescent="0.25">
      <c r="A525" s="425">
        <v>523</v>
      </c>
      <c r="B525" s="427" t="s">
        <v>2432</v>
      </c>
      <c r="C525" s="427" t="s">
        <v>2433</v>
      </c>
      <c r="D525" s="586" t="s">
        <v>2434</v>
      </c>
      <c r="E525" s="79">
        <v>1</v>
      </c>
      <c r="F525" s="405"/>
      <c r="G525" s="274"/>
      <c r="H525" s="274"/>
      <c r="I525" s="274"/>
      <c r="J525" s="274"/>
      <c r="K525" s="11"/>
      <c r="L525" s="274"/>
      <c r="M525" s="274"/>
      <c r="N525" s="274"/>
      <c r="O525" s="48"/>
      <c r="P525" s="11"/>
      <c r="Q525" s="274"/>
      <c r="R525" s="274"/>
      <c r="S525" s="274"/>
      <c r="T525" s="11"/>
      <c r="U525" s="11"/>
      <c r="V525" s="11"/>
      <c r="W525" s="11"/>
      <c r="X525" s="11"/>
      <c r="Y525" s="11"/>
      <c r="Z525" s="48"/>
      <c r="AA525" s="52"/>
      <c r="AB525" s="52"/>
      <c r="AC525" s="118"/>
      <c r="AD525" s="5"/>
      <c r="AE525" s="52"/>
      <c r="AF525" s="113">
        <v>353000</v>
      </c>
      <c r="AG525" s="113">
        <v>0</v>
      </c>
      <c r="AH525" s="113">
        <f>AF525+AG525</f>
        <v>353000</v>
      </c>
      <c r="AI525" s="52" t="s">
        <v>1193</v>
      </c>
      <c r="AJ525" s="11" t="s">
        <v>2435</v>
      </c>
      <c r="AK525" s="269"/>
      <c r="AL525" s="269"/>
      <c r="AM525" s="269"/>
      <c r="AN525" s="301"/>
      <c r="AO525" s="302"/>
      <c r="AP525" s="11"/>
      <c r="AQ525" s="11"/>
      <c r="AR525" s="11"/>
      <c r="AS525" s="11"/>
      <c r="AT525" s="11"/>
      <c r="AU525" s="118"/>
      <c r="AV525" s="118"/>
      <c r="AW525" s="118"/>
      <c r="AX525" s="52"/>
      <c r="AY525" s="52"/>
      <c r="AZ525" s="11"/>
      <c r="BA525" s="11"/>
      <c r="BB525" s="11"/>
      <c r="BC525" s="11"/>
      <c r="BD525" s="11"/>
      <c r="BE525" s="274"/>
      <c r="BF525" s="274"/>
      <c r="BG525" s="274"/>
      <c r="BH525" s="11"/>
      <c r="BI525" s="11"/>
      <c r="BJ525" s="311"/>
      <c r="BK525" s="311"/>
      <c r="BL525" s="311"/>
      <c r="BM525" s="52"/>
      <c r="BN525" s="52"/>
      <c r="BO525" s="387"/>
      <c r="BP525" s="320"/>
      <c r="BQ525" s="320"/>
      <c r="BR525" s="4"/>
      <c r="BS525" s="4"/>
      <c r="BT525" s="11"/>
      <c r="BU525" s="11"/>
      <c r="BV525" s="11"/>
      <c r="BW525" s="11"/>
      <c r="BX525" s="11"/>
      <c r="BY525" s="348"/>
      <c r="BZ525" s="348"/>
      <c r="CA525" s="348"/>
      <c r="CB525" s="348"/>
      <c r="CC525" s="348"/>
      <c r="CD525" s="11"/>
      <c r="CE525" s="11"/>
      <c r="CF525" s="11"/>
      <c r="CG525" s="11"/>
      <c r="CH525" s="11"/>
      <c r="CI525" s="11"/>
      <c r="CJ525" s="11"/>
      <c r="CK525" s="11"/>
      <c r="CL525" s="11"/>
      <c r="CM525" s="11"/>
      <c r="CN525" s="274"/>
      <c r="CO525" s="274"/>
      <c r="CP525" s="274"/>
      <c r="CQ525" s="11"/>
      <c r="CR525" s="11"/>
      <c r="CS525" s="11"/>
      <c r="CT525" s="11"/>
      <c r="CU525" s="11"/>
      <c r="CV525" s="11"/>
      <c r="CW525" s="11"/>
      <c r="CX525" s="11"/>
      <c r="CY525" s="11"/>
      <c r="CZ525" s="11"/>
      <c r="DA525" s="11"/>
      <c r="DB525" s="11"/>
      <c r="DC525" s="11"/>
      <c r="DD525" s="11"/>
      <c r="DE525" s="11"/>
      <c r="DF525" s="11"/>
      <c r="DG525" s="11"/>
      <c r="DH525" s="11"/>
      <c r="DI525" s="11"/>
      <c r="DJ525" s="11"/>
      <c r="DK525" s="11"/>
      <c r="DL525" s="11"/>
      <c r="DM525" s="118"/>
      <c r="DN525" s="118"/>
      <c r="DO525" s="118"/>
      <c r="DP525" s="52"/>
      <c r="DQ525" s="52"/>
      <c r="DR525" s="77"/>
      <c r="DS525" s="77"/>
      <c r="DT525" s="77"/>
      <c r="DU525" s="11"/>
      <c r="DV525" s="11"/>
      <c r="DW525" s="11"/>
      <c r="DX525" s="11"/>
      <c r="DY525" s="11"/>
      <c r="DZ525" s="11"/>
      <c r="EA525" s="11"/>
      <c r="EB525" s="11"/>
      <c r="EC525" s="11"/>
      <c r="ED525" s="11"/>
      <c r="EE525" s="11"/>
      <c r="EF525" s="11"/>
    </row>
    <row r="526" spans="1:136" ht="54" x14ac:dyDescent="0.25">
      <c r="A526" s="425">
        <v>524</v>
      </c>
      <c r="B526" s="427" t="s">
        <v>2436</v>
      </c>
      <c r="C526" s="427" t="s">
        <v>2433</v>
      </c>
      <c r="D526" s="427" t="s">
        <v>2183</v>
      </c>
      <c r="E526" s="79">
        <v>1</v>
      </c>
      <c r="F526" s="405">
        <v>366045.12160000001</v>
      </c>
      <c r="G526" s="274"/>
      <c r="H526" s="274"/>
      <c r="I526" s="274"/>
      <c r="J526" s="274"/>
      <c r="K526" s="11"/>
      <c r="L526" s="274"/>
      <c r="M526" s="274"/>
      <c r="N526" s="274"/>
      <c r="O526" s="48"/>
      <c r="P526" s="11"/>
      <c r="Q526" s="274"/>
      <c r="R526" s="274"/>
      <c r="S526" s="274"/>
      <c r="T526" s="11"/>
      <c r="U526" s="11"/>
      <c r="V526" s="11"/>
      <c r="W526" s="11"/>
      <c r="X526" s="11"/>
      <c r="Y526" s="11"/>
      <c r="Z526" s="48"/>
      <c r="AA526" s="52"/>
      <c r="AB526" s="52"/>
      <c r="AC526" s="118"/>
      <c r="AD526" s="5"/>
      <c r="AE526" s="52"/>
      <c r="AF526" s="113"/>
      <c r="AG526" s="113"/>
      <c r="AH526" s="113"/>
      <c r="AI526" s="52"/>
      <c r="AJ526" s="11"/>
      <c r="AK526" s="269"/>
      <c r="AL526" s="269"/>
      <c r="AM526" s="269"/>
      <c r="AN526" s="301"/>
      <c r="AO526" s="302"/>
      <c r="AP526" s="11"/>
      <c r="AQ526" s="11"/>
      <c r="AR526" s="11"/>
      <c r="AS526" s="11"/>
      <c r="AT526" s="11"/>
      <c r="AU526" s="118"/>
      <c r="AV526" s="118"/>
      <c r="AW526" s="118"/>
      <c r="AX526" s="52"/>
      <c r="AY526" s="52"/>
      <c r="AZ526" s="11"/>
      <c r="BA526" s="11"/>
      <c r="BB526" s="11"/>
      <c r="BC526" s="11"/>
      <c r="BD526" s="11"/>
      <c r="BE526" s="274"/>
      <c r="BF526" s="274"/>
      <c r="BG526" s="274"/>
      <c r="BH526" s="11"/>
      <c r="BI526" s="11"/>
      <c r="BJ526" s="311"/>
      <c r="BK526" s="311"/>
      <c r="BL526" s="311"/>
      <c r="BM526" s="52"/>
      <c r="BN526" s="52"/>
      <c r="BO526" s="387"/>
      <c r="BP526" s="320"/>
      <c r="BQ526" s="320"/>
      <c r="BR526" s="4"/>
      <c r="BS526" s="4"/>
      <c r="BT526" s="11"/>
      <c r="BU526" s="11"/>
      <c r="BV526" s="11"/>
      <c r="BW526" s="11"/>
      <c r="BX526" s="11"/>
      <c r="BY526" s="348"/>
      <c r="BZ526" s="348"/>
      <c r="CA526" s="348"/>
      <c r="CB526" s="348"/>
      <c r="CC526" s="348"/>
      <c r="CD526" s="11"/>
      <c r="CE526" s="11"/>
      <c r="CF526" s="11"/>
      <c r="CG526" s="11"/>
      <c r="CH526" s="11"/>
      <c r="CI526" s="11"/>
      <c r="CJ526" s="11"/>
      <c r="CK526" s="11"/>
      <c r="CL526" s="11"/>
      <c r="CM526" s="11"/>
      <c r="CN526" s="274"/>
      <c r="CO526" s="274"/>
      <c r="CP526" s="274"/>
      <c r="CQ526" s="11"/>
      <c r="CR526" s="11"/>
      <c r="CS526" s="11"/>
      <c r="CT526" s="11"/>
      <c r="CU526" s="11"/>
      <c r="CV526" s="11"/>
      <c r="CW526" s="11"/>
      <c r="CX526" s="11"/>
      <c r="CY526" s="11"/>
      <c r="CZ526" s="11"/>
      <c r="DA526" s="11"/>
      <c r="DB526" s="11"/>
      <c r="DC526" s="11"/>
      <c r="DD526" s="11"/>
      <c r="DE526" s="11"/>
      <c r="DF526" s="11"/>
      <c r="DG526" s="11"/>
      <c r="DH526" s="11"/>
      <c r="DI526" s="11"/>
      <c r="DJ526" s="11"/>
      <c r="DK526" s="11"/>
      <c r="DL526" s="11"/>
      <c r="DM526" s="118"/>
      <c r="DN526" s="118"/>
      <c r="DO526" s="118"/>
      <c r="DP526" s="52"/>
      <c r="DQ526" s="52"/>
      <c r="DR526" s="77"/>
      <c r="DS526" s="77"/>
      <c r="DT526" s="77"/>
      <c r="DU526" s="11"/>
      <c r="DV526" s="11"/>
      <c r="DW526" s="11"/>
      <c r="DX526" s="11"/>
      <c r="DY526" s="11"/>
      <c r="DZ526" s="11"/>
      <c r="EA526" s="11"/>
      <c r="EB526" s="11"/>
      <c r="EC526" s="11"/>
      <c r="ED526" s="11"/>
      <c r="EE526" s="11"/>
      <c r="EF526" s="11"/>
    </row>
    <row r="527" spans="1:136" ht="67.5" x14ac:dyDescent="0.25">
      <c r="A527" s="425">
        <v>525</v>
      </c>
      <c r="B527" s="427" t="s">
        <v>2437</v>
      </c>
      <c r="C527" s="427" t="s">
        <v>2433</v>
      </c>
      <c r="D527" s="427" t="s">
        <v>2183</v>
      </c>
      <c r="E527" s="79">
        <v>1</v>
      </c>
      <c r="F527" s="405">
        <v>819675.62820000004</v>
      </c>
      <c r="G527" s="274"/>
      <c r="H527" s="274"/>
      <c r="I527" s="274"/>
      <c r="J527" s="274"/>
      <c r="K527" s="11"/>
      <c r="L527" s="274"/>
      <c r="M527" s="274"/>
      <c r="N527" s="274"/>
      <c r="O527" s="48"/>
      <c r="P527" s="11"/>
      <c r="Q527" s="274"/>
      <c r="R527" s="274"/>
      <c r="S527" s="274"/>
      <c r="T527" s="11"/>
      <c r="U527" s="11"/>
      <c r="V527" s="11"/>
      <c r="W527" s="11"/>
      <c r="X527" s="11"/>
      <c r="Y527" s="11"/>
      <c r="Z527" s="48"/>
      <c r="AA527" s="52"/>
      <c r="AB527" s="52"/>
      <c r="AC527" s="118"/>
      <c r="AD527" s="5"/>
      <c r="AE527" s="52"/>
      <c r="AF527" s="113"/>
      <c r="AG527" s="113"/>
      <c r="AH527" s="113"/>
      <c r="AI527" s="52"/>
      <c r="AJ527" s="11"/>
      <c r="AK527" s="269"/>
      <c r="AL527" s="269"/>
      <c r="AM527" s="269"/>
      <c r="AN527" s="301"/>
      <c r="AO527" s="302"/>
      <c r="AP527" s="11"/>
      <c r="AQ527" s="11"/>
      <c r="AR527" s="11"/>
      <c r="AS527" s="11"/>
      <c r="AT527" s="11"/>
      <c r="AU527" s="118"/>
      <c r="AV527" s="118"/>
      <c r="AW527" s="118"/>
      <c r="AX527" s="52"/>
      <c r="AY527" s="52"/>
      <c r="AZ527" s="11"/>
      <c r="BA527" s="11"/>
      <c r="BB527" s="11"/>
      <c r="BC527" s="11"/>
      <c r="BD527" s="11"/>
      <c r="BE527" s="274"/>
      <c r="BF527" s="274"/>
      <c r="BG527" s="274"/>
      <c r="BH527" s="11"/>
      <c r="BI527" s="11"/>
      <c r="BJ527" s="311"/>
      <c r="BK527" s="311"/>
      <c r="BL527" s="311"/>
      <c r="BM527" s="52"/>
      <c r="BN527" s="52"/>
      <c r="BO527" s="387"/>
      <c r="BP527" s="320"/>
      <c r="BQ527" s="320"/>
      <c r="BR527" s="4"/>
      <c r="BS527" s="4"/>
      <c r="BT527" s="11"/>
      <c r="BU527" s="11"/>
      <c r="BV527" s="11"/>
      <c r="BW527" s="11"/>
      <c r="BX527" s="11"/>
      <c r="BY527" s="348"/>
      <c r="BZ527" s="348"/>
      <c r="CA527" s="348"/>
      <c r="CB527" s="348"/>
      <c r="CC527" s="348"/>
      <c r="CD527" s="11"/>
      <c r="CE527" s="11"/>
      <c r="CF527" s="11"/>
      <c r="CG527" s="11"/>
      <c r="CH527" s="11"/>
      <c r="CI527" s="11"/>
      <c r="CJ527" s="11"/>
      <c r="CK527" s="11"/>
      <c r="CL527" s="11"/>
      <c r="CM527" s="11"/>
      <c r="CN527" s="274"/>
      <c r="CO527" s="274"/>
      <c r="CP527" s="274"/>
      <c r="CQ527" s="11"/>
      <c r="CR527" s="11"/>
      <c r="CS527" s="11"/>
      <c r="CT527" s="11"/>
      <c r="CU527" s="11"/>
      <c r="CV527" s="11"/>
      <c r="CW527" s="11"/>
      <c r="CX527" s="11"/>
      <c r="CY527" s="11"/>
      <c r="CZ527" s="11"/>
      <c r="DA527" s="11"/>
      <c r="DB527" s="11"/>
      <c r="DC527" s="11"/>
      <c r="DD527" s="11"/>
      <c r="DE527" s="11"/>
      <c r="DF527" s="11"/>
      <c r="DG527" s="11"/>
      <c r="DH527" s="11"/>
      <c r="DI527" s="11"/>
      <c r="DJ527" s="11"/>
      <c r="DK527" s="11"/>
      <c r="DL527" s="11"/>
      <c r="DM527" s="118"/>
      <c r="DN527" s="118"/>
      <c r="DO527" s="118"/>
      <c r="DP527" s="52"/>
      <c r="DQ527" s="52"/>
      <c r="DR527" s="77"/>
      <c r="DS527" s="77"/>
      <c r="DT527" s="77"/>
      <c r="DU527" s="11"/>
      <c r="DV527" s="11"/>
      <c r="DW527" s="11"/>
      <c r="DX527" s="11"/>
      <c r="DY527" s="11"/>
      <c r="DZ527" s="11"/>
      <c r="EA527" s="11"/>
      <c r="EB527" s="11"/>
      <c r="EC527" s="11"/>
      <c r="ED527" s="11"/>
      <c r="EE527" s="11"/>
      <c r="EF527" s="11"/>
    </row>
    <row r="528" spans="1:136" ht="54" x14ac:dyDescent="0.25">
      <c r="A528" s="425">
        <v>526</v>
      </c>
      <c r="B528" s="427" t="s">
        <v>2438</v>
      </c>
      <c r="C528" s="427" t="s">
        <v>2433</v>
      </c>
      <c r="D528" s="427" t="s">
        <v>2183</v>
      </c>
      <c r="E528" s="79">
        <v>1</v>
      </c>
      <c r="F528" s="405"/>
      <c r="G528" s="274"/>
      <c r="H528" s="274"/>
      <c r="I528" s="274"/>
      <c r="J528" s="274"/>
      <c r="K528" s="11"/>
      <c r="L528" s="274"/>
      <c r="M528" s="274"/>
      <c r="N528" s="274"/>
      <c r="O528" s="48"/>
      <c r="P528" s="11"/>
      <c r="Q528" s="274"/>
      <c r="R528" s="274"/>
      <c r="S528" s="274"/>
      <c r="T528" s="11"/>
      <c r="U528" s="11"/>
      <c r="V528" s="11"/>
      <c r="W528" s="11"/>
      <c r="X528" s="11"/>
      <c r="Y528" s="11"/>
      <c r="Z528" s="48"/>
      <c r="AA528" s="52"/>
      <c r="AB528" s="52"/>
      <c r="AC528" s="118"/>
      <c r="AD528" s="5"/>
      <c r="AE528" s="52"/>
      <c r="AF528" s="113">
        <v>353000</v>
      </c>
      <c r="AG528" s="113">
        <v>0</v>
      </c>
      <c r="AH528" s="113">
        <f>AF528+AG528</f>
        <v>353000</v>
      </c>
      <c r="AI528" s="52" t="s">
        <v>1193</v>
      </c>
      <c r="AJ528" s="11" t="s">
        <v>2439</v>
      </c>
      <c r="AK528" s="269"/>
      <c r="AL528" s="269"/>
      <c r="AM528" s="269"/>
      <c r="AN528" s="301"/>
      <c r="AO528" s="302"/>
      <c r="AP528" s="11"/>
      <c r="AQ528" s="11"/>
      <c r="AR528" s="11"/>
      <c r="AS528" s="11"/>
      <c r="AT528" s="11"/>
      <c r="AU528" s="118"/>
      <c r="AV528" s="118"/>
      <c r="AW528" s="118"/>
      <c r="AX528" s="52"/>
      <c r="AY528" s="52"/>
      <c r="AZ528" s="11"/>
      <c r="BA528" s="11"/>
      <c r="BB528" s="11"/>
      <c r="BC528" s="11"/>
      <c r="BD528" s="11"/>
      <c r="BE528" s="274"/>
      <c r="BF528" s="274"/>
      <c r="BG528" s="274"/>
      <c r="BH528" s="11"/>
      <c r="BI528" s="11"/>
      <c r="BJ528" s="311"/>
      <c r="BK528" s="311"/>
      <c r="BL528" s="311"/>
      <c r="BM528" s="52"/>
      <c r="BN528" s="52"/>
      <c r="BO528" s="387"/>
      <c r="BP528" s="320"/>
      <c r="BQ528" s="320"/>
      <c r="BR528" s="4"/>
      <c r="BS528" s="4"/>
      <c r="BT528" s="11"/>
      <c r="BU528" s="11"/>
      <c r="BV528" s="11"/>
      <c r="BW528" s="11"/>
      <c r="BX528" s="11"/>
      <c r="BY528" s="348"/>
      <c r="BZ528" s="348"/>
      <c r="CA528" s="348"/>
      <c r="CB528" s="348"/>
      <c r="CC528" s="348"/>
      <c r="CD528" s="11"/>
      <c r="CE528" s="11"/>
      <c r="CF528" s="11"/>
      <c r="CG528" s="11"/>
      <c r="CH528" s="11"/>
      <c r="CI528" s="11"/>
      <c r="CJ528" s="11"/>
      <c r="CK528" s="11"/>
      <c r="CL528" s="11"/>
      <c r="CM528" s="11"/>
      <c r="CN528" s="274"/>
      <c r="CO528" s="274"/>
      <c r="CP528" s="274"/>
      <c r="CQ528" s="11"/>
      <c r="CR528" s="11"/>
      <c r="CS528" s="11"/>
      <c r="CT528" s="11"/>
      <c r="CU528" s="11"/>
      <c r="CV528" s="11"/>
      <c r="CW528" s="11"/>
      <c r="CX528" s="11"/>
      <c r="CY528" s="11"/>
      <c r="CZ528" s="11"/>
      <c r="DA528" s="11"/>
      <c r="DB528" s="11"/>
      <c r="DC528" s="11"/>
      <c r="DD528" s="11"/>
      <c r="DE528" s="11"/>
      <c r="DF528" s="11"/>
      <c r="DG528" s="11"/>
      <c r="DH528" s="11"/>
      <c r="DI528" s="11"/>
      <c r="DJ528" s="11"/>
      <c r="DK528" s="11"/>
      <c r="DL528" s="11"/>
      <c r="DM528" s="118"/>
      <c r="DN528" s="118"/>
      <c r="DO528" s="118"/>
      <c r="DP528" s="52"/>
      <c r="DQ528" s="52"/>
      <c r="DR528" s="77"/>
      <c r="DS528" s="77"/>
      <c r="DT528" s="77"/>
      <c r="DU528" s="11"/>
      <c r="DV528" s="11"/>
      <c r="DW528" s="11"/>
      <c r="DX528" s="11"/>
      <c r="DY528" s="11"/>
      <c r="DZ528" s="11"/>
      <c r="EA528" s="11"/>
      <c r="EB528" s="11"/>
      <c r="EC528" s="11"/>
      <c r="ED528" s="11"/>
      <c r="EE528" s="11"/>
      <c r="EF528" s="11"/>
    </row>
    <row r="529" spans="1:136" ht="67.5" x14ac:dyDescent="0.25">
      <c r="A529" s="425">
        <v>527</v>
      </c>
      <c r="B529" s="427" t="s">
        <v>2440</v>
      </c>
      <c r="C529" s="427" t="s">
        <v>2433</v>
      </c>
      <c r="D529" s="427" t="s">
        <v>2183</v>
      </c>
      <c r="E529" s="79">
        <v>1</v>
      </c>
      <c r="F529" s="405"/>
      <c r="G529" s="274"/>
      <c r="H529" s="274"/>
      <c r="I529" s="274"/>
      <c r="J529" s="274"/>
      <c r="K529" s="11"/>
      <c r="L529" s="274"/>
      <c r="M529" s="274"/>
      <c r="N529" s="274"/>
      <c r="O529" s="48"/>
      <c r="P529" s="11"/>
      <c r="Q529" s="274"/>
      <c r="R529" s="274"/>
      <c r="S529" s="274"/>
      <c r="T529" s="11"/>
      <c r="U529" s="11"/>
      <c r="V529" s="11"/>
      <c r="W529" s="11"/>
      <c r="X529" s="11"/>
      <c r="Y529" s="11"/>
      <c r="Z529" s="48"/>
      <c r="AA529" s="52"/>
      <c r="AB529" s="52"/>
      <c r="AC529" s="118"/>
      <c r="AD529" s="5"/>
      <c r="AE529" s="52"/>
      <c r="AF529" s="113">
        <v>353000</v>
      </c>
      <c r="AG529" s="113">
        <v>0</v>
      </c>
      <c r="AH529" s="113">
        <f>AF529+AG529</f>
        <v>353000</v>
      </c>
      <c r="AI529" s="52" t="s">
        <v>1193</v>
      </c>
      <c r="AJ529" s="11" t="s">
        <v>2441</v>
      </c>
      <c r="AK529" s="269"/>
      <c r="AL529" s="269"/>
      <c r="AM529" s="269"/>
      <c r="AN529" s="301"/>
      <c r="AO529" s="302"/>
      <c r="AP529" s="11"/>
      <c r="AQ529" s="11"/>
      <c r="AR529" s="11"/>
      <c r="AS529" s="11"/>
      <c r="AT529" s="11"/>
      <c r="AU529" s="118"/>
      <c r="AV529" s="118"/>
      <c r="AW529" s="118"/>
      <c r="AX529" s="52"/>
      <c r="AY529" s="52"/>
      <c r="AZ529" s="11"/>
      <c r="BA529" s="11"/>
      <c r="BB529" s="11"/>
      <c r="BC529" s="11"/>
      <c r="BD529" s="11"/>
      <c r="BE529" s="274"/>
      <c r="BF529" s="274"/>
      <c r="BG529" s="274"/>
      <c r="BH529" s="11"/>
      <c r="BI529" s="11"/>
      <c r="BJ529" s="311"/>
      <c r="BK529" s="311"/>
      <c r="BL529" s="311"/>
      <c r="BM529" s="52"/>
      <c r="BN529" s="52"/>
      <c r="BO529" s="387"/>
      <c r="BP529" s="320"/>
      <c r="BQ529" s="320"/>
      <c r="BR529" s="4"/>
      <c r="BS529" s="4"/>
      <c r="BT529" s="11"/>
      <c r="BU529" s="11"/>
      <c r="BV529" s="11"/>
      <c r="BW529" s="11"/>
      <c r="BX529" s="11"/>
      <c r="BY529" s="348"/>
      <c r="BZ529" s="348"/>
      <c r="CA529" s="348"/>
      <c r="CB529" s="348"/>
      <c r="CC529" s="348"/>
      <c r="CD529" s="11"/>
      <c r="CE529" s="11"/>
      <c r="CF529" s="11"/>
      <c r="CG529" s="11"/>
      <c r="CH529" s="11"/>
      <c r="CI529" s="11"/>
      <c r="CJ529" s="11"/>
      <c r="CK529" s="11"/>
      <c r="CL529" s="11"/>
      <c r="CM529" s="11"/>
      <c r="CN529" s="274"/>
      <c r="CO529" s="274"/>
      <c r="CP529" s="274"/>
      <c r="CQ529" s="11"/>
      <c r="CR529" s="11"/>
      <c r="CS529" s="11"/>
      <c r="CT529" s="11"/>
      <c r="CU529" s="11"/>
      <c r="CV529" s="11"/>
      <c r="CW529" s="11"/>
      <c r="CX529" s="11"/>
      <c r="CY529" s="11"/>
      <c r="CZ529" s="11"/>
      <c r="DA529" s="11"/>
      <c r="DB529" s="11"/>
      <c r="DC529" s="11"/>
      <c r="DD529" s="11"/>
      <c r="DE529" s="11"/>
      <c r="DF529" s="11"/>
      <c r="DG529" s="11"/>
      <c r="DH529" s="11"/>
      <c r="DI529" s="11"/>
      <c r="DJ529" s="11"/>
      <c r="DK529" s="11"/>
      <c r="DL529" s="11"/>
      <c r="DM529" s="118"/>
      <c r="DN529" s="118"/>
      <c r="DO529" s="118"/>
      <c r="DP529" s="52"/>
      <c r="DQ529" s="52"/>
      <c r="DR529" s="77"/>
      <c r="DS529" s="77"/>
      <c r="DT529" s="77"/>
      <c r="DU529" s="11"/>
      <c r="DV529" s="11"/>
      <c r="DW529" s="11"/>
      <c r="DX529" s="11"/>
      <c r="DY529" s="11"/>
      <c r="DZ529" s="11"/>
      <c r="EA529" s="11"/>
      <c r="EB529" s="11"/>
      <c r="EC529" s="11"/>
      <c r="ED529" s="11"/>
      <c r="EE529" s="11"/>
      <c r="EF529" s="11"/>
    </row>
    <row r="530" spans="1:136" ht="67.5" x14ac:dyDescent="0.25">
      <c r="A530" s="425">
        <v>528</v>
      </c>
      <c r="B530" s="427" t="s">
        <v>2442</v>
      </c>
      <c r="C530" s="427" t="s">
        <v>2433</v>
      </c>
      <c r="D530" s="427" t="s">
        <v>2183</v>
      </c>
      <c r="E530" s="79">
        <v>1</v>
      </c>
      <c r="F530" s="405"/>
      <c r="G530" s="274"/>
      <c r="H530" s="274"/>
      <c r="I530" s="274"/>
      <c r="J530" s="274"/>
      <c r="K530" s="11"/>
      <c r="L530" s="274"/>
      <c r="M530" s="274"/>
      <c r="N530" s="274"/>
      <c r="O530" s="48"/>
      <c r="P530" s="11"/>
      <c r="Q530" s="274"/>
      <c r="R530" s="274"/>
      <c r="S530" s="274"/>
      <c r="T530" s="11"/>
      <c r="U530" s="11"/>
      <c r="V530" s="11"/>
      <c r="W530" s="11"/>
      <c r="X530" s="11"/>
      <c r="Y530" s="11"/>
      <c r="Z530" s="48"/>
      <c r="AA530" s="52"/>
      <c r="AB530" s="52"/>
      <c r="AC530" s="118"/>
      <c r="AD530" s="5"/>
      <c r="AE530" s="52"/>
      <c r="AF530" s="113">
        <v>353000</v>
      </c>
      <c r="AG530" s="113">
        <v>0</v>
      </c>
      <c r="AH530" s="113">
        <f>AF530+AG530</f>
        <v>353000</v>
      </c>
      <c r="AI530" s="52" t="s">
        <v>1193</v>
      </c>
      <c r="AJ530" s="11" t="s">
        <v>1215</v>
      </c>
      <c r="AK530" s="269"/>
      <c r="AL530" s="269"/>
      <c r="AM530" s="269"/>
      <c r="AN530" s="301"/>
      <c r="AO530" s="302"/>
      <c r="AP530" s="11"/>
      <c r="AQ530" s="11"/>
      <c r="AR530" s="11"/>
      <c r="AS530" s="11"/>
      <c r="AT530" s="11"/>
      <c r="AU530" s="118"/>
      <c r="AV530" s="118"/>
      <c r="AW530" s="118"/>
      <c r="AX530" s="52"/>
      <c r="AY530" s="52"/>
      <c r="AZ530" s="11"/>
      <c r="BA530" s="11"/>
      <c r="BB530" s="11"/>
      <c r="BC530" s="11"/>
      <c r="BD530" s="11"/>
      <c r="BE530" s="274"/>
      <c r="BF530" s="274"/>
      <c r="BG530" s="274"/>
      <c r="BH530" s="11"/>
      <c r="BI530" s="11"/>
      <c r="BJ530" s="311"/>
      <c r="BK530" s="311"/>
      <c r="BL530" s="311"/>
      <c r="BM530" s="52"/>
      <c r="BN530" s="52"/>
      <c r="BO530" s="387"/>
      <c r="BP530" s="320"/>
      <c r="BQ530" s="320"/>
      <c r="BR530" s="4"/>
      <c r="BS530" s="4"/>
      <c r="BT530" s="11"/>
      <c r="BU530" s="11"/>
      <c r="BV530" s="11"/>
      <c r="BW530" s="11"/>
      <c r="BX530" s="11"/>
      <c r="BY530" s="348"/>
      <c r="BZ530" s="348"/>
      <c r="CA530" s="348"/>
      <c r="CB530" s="348"/>
      <c r="CC530" s="348"/>
      <c r="CD530" s="11"/>
      <c r="CE530" s="11"/>
      <c r="CF530" s="11"/>
      <c r="CG530" s="11"/>
      <c r="CH530" s="11"/>
      <c r="CI530" s="11"/>
      <c r="CJ530" s="11"/>
      <c r="CK530" s="11"/>
      <c r="CL530" s="11"/>
      <c r="CM530" s="11"/>
      <c r="CN530" s="274"/>
      <c r="CO530" s="274"/>
      <c r="CP530" s="274"/>
      <c r="CQ530" s="11"/>
      <c r="CR530" s="11"/>
      <c r="CS530" s="11"/>
      <c r="CT530" s="11"/>
      <c r="CU530" s="11"/>
      <c r="CV530" s="11"/>
      <c r="CW530" s="11"/>
      <c r="CX530" s="11"/>
      <c r="CY530" s="11"/>
      <c r="CZ530" s="11"/>
      <c r="DA530" s="11"/>
      <c r="DB530" s="11"/>
      <c r="DC530" s="11"/>
      <c r="DD530" s="11"/>
      <c r="DE530" s="11"/>
      <c r="DF530" s="11"/>
      <c r="DG530" s="11"/>
      <c r="DH530" s="11"/>
      <c r="DI530" s="11"/>
      <c r="DJ530" s="11"/>
      <c r="DK530" s="11"/>
      <c r="DL530" s="11"/>
      <c r="DM530" s="118"/>
      <c r="DN530" s="118"/>
      <c r="DO530" s="118"/>
      <c r="DP530" s="52"/>
      <c r="DQ530" s="52"/>
      <c r="DR530" s="77"/>
      <c r="DS530" s="77"/>
      <c r="DT530" s="77"/>
      <c r="DU530" s="11"/>
      <c r="DV530" s="11"/>
      <c r="DW530" s="11"/>
      <c r="DX530" s="11"/>
      <c r="DY530" s="11"/>
      <c r="DZ530" s="11"/>
      <c r="EA530" s="11"/>
      <c r="EB530" s="11"/>
      <c r="EC530" s="11"/>
      <c r="ED530" s="11"/>
      <c r="EE530" s="11"/>
      <c r="EF530" s="11"/>
    </row>
    <row r="531" spans="1:136" ht="27" x14ac:dyDescent="0.25">
      <c r="A531" s="425">
        <v>529</v>
      </c>
      <c r="B531" s="427" t="s">
        <v>5104</v>
      </c>
      <c r="C531" s="413" t="s">
        <v>2443</v>
      </c>
      <c r="D531" s="427" t="s">
        <v>2183</v>
      </c>
      <c r="E531" s="79">
        <v>1</v>
      </c>
      <c r="F531" s="405">
        <v>2396121.7250000001</v>
      </c>
      <c r="G531" s="274"/>
      <c r="H531" s="274"/>
      <c r="I531" s="274"/>
      <c r="J531" s="274"/>
      <c r="K531" s="11"/>
      <c r="L531" s="274"/>
      <c r="M531" s="274"/>
      <c r="N531" s="274"/>
      <c r="O531" s="48"/>
      <c r="P531" s="11"/>
      <c r="Q531" s="274"/>
      <c r="R531" s="274"/>
      <c r="S531" s="274"/>
      <c r="T531" s="11"/>
      <c r="U531" s="11"/>
      <c r="V531" s="11"/>
      <c r="W531" s="11"/>
      <c r="X531" s="11"/>
      <c r="Y531" s="11"/>
      <c r="Z531" s="48"/>
      <c r="AA531" s="52"/>
      <c r="AB531" s="52"/>
      <c r="AC531" s="118"/>
      <c r="AD531" s="5"/>
      <c r="AE531" s="52"/>
      <c r="AF531" s="113"/>
      <c r="AG531" s="113"/>
      <c r="AH531" s="113"/>
      <c r="AI531" s="52"/>
      <c r="AJ531" s="11"/>
      <c r="AK531" s="269"/>
      <c r="AL531" s="269"/>
      <c r="AM531" s="269"/>
      <c r="AN531" s="301"/>
      <c r="AO531" s="302"/>
      <c r="AP531" s="11"/>
      <c r="AQ531" s="11"/>
      <c r="AR531" s="11"/>
      <c r="AS531" s="11"/>
      <c r="AT531" s="11"/>
      <c r="AU531" s="118"/>
      <c r="AV531" s="118"/>
      <c r="AW531" s="118"/>
      <c r="AX531" s="52"/>
      <c r="AY531" s="52"/>
      <c r="AZ531" s="11"/>
      <c r="BA531" s="11"/>
      <c r="BB531" s="11"/>
      <c r="BC531" s="11"/>
      <c r="BD531" s="11"/>
      <c r="BE531" s="274"/>
      <c r="BF531" s="274"/>
      <c r="BG531" s="274"/>
      <c r="BH531" s="11"/>
      <c r="BI531" s="11"/>
      <c r="BJ531" s="311"/>
      <c r="BK531" s="311"/>
      <c r="BL531" s="311"/>
      <c r="BM531" s="52"/>
      <c r="BN531" s="52"/>
      <c r="BO531" s="387"/>
      <c r="BP531" s="320"/>
      <c r="BQ531" s="320"/>
      <c r="BR531" s="4"/>
      <c r="BS531" s="4"/>
      <c r="BT531" s="11"/>
      <c r="BU531" s="11"/>
      <c r="BV531" s="11"/>
      <c r="BW531" s="11"/>
      <c r="BX531" s="11"/>
      <c r="BY531" s="348"/>
      <c r="BZ531" s="348"/>
      <c r="CA531" s="348"/>
      <c r="CB531" s="348"/>
      <c r="CC531" s="348"/>
      <c r="CD531" s="11"/>
      <c r="CE531" s="11"/>
      <c r="CF531" s="11"/>
      <c r="CG531" s="11"/>
      <c r="CH531" s="11"/>
      <c r="CI531" s="11"/>
      <c r="CJ531" s="11"/>
      <c r="CK531" s="11"/>
      <c r="CL531" s="11"/>
      <c r="CM531" s="11"/>
      <c r="CN531" s="274"/>
      <c r="CO531" s="274"/>
      <c r="CP531" s="274"/>
      <c r="CQ531" s="11"/>
      <c r="CR531" s="11"/>
      <c r="CS531" s="11"/>
      <c r="CT531" s="11"/>
      <c r="CU531" s="11"/>
      <c r="CV531" s="11"/>
      <c r="CW531" s="11"/>
      <c r="CX531" s="11"/>
      <c r="CY531" s="11"/>
      <c r="CZ531" s="11"/>
      <c r="DA531" s="11"/>
      <c r="DB531" s="11"/>
      <c r="DC531" s="11"/>
      <c r="DD531" s="11"/>
      <c r="DE531" s="11"/>
      <c r="DF531" s="11"/>
      <c r="DG531" s="11"/>
      <c r="DH531" s="11"/>
      <c r="DI531" s="11"/>
      <c r="DJ531" s="11"/>
      <c r="DK531" s="11"/>
      <c r="DL531" s="11"/>
      <c r="DM531" s="118"/>
      <c r="DN531" s="118"/>
      <c r="DO531" s="118"/>
      <c r="DP531" s="52"/>
      <c r="DQ531" s="52"/>
      <c r="DR531" s="77"/>
      <c r="DS531" s="77"/>
      <c r="DT531" s="77"/>
      <c r="DU531" s="11"/>
      <c r="DV531" s="11"/>
      <c r="DW531" s="11"/>
      <c r="DX531" s="11"/>
      <c r="DY531" s="11"/>
      <c r="DZ531" s="11"/>
      <c r="EA531" s="11"/>
      <c r="EB531" s="11"/>
      <c r="EC531" s="11"/>
      <c r="ED531" s="11"/>
      <c r="EE531" s="11"/>
      <c r="EF531" s="11"/>
    </row>
    <row r="532" spans="1:136" ht="27" x14ac:dyDescent="0.25">
      <c r="A532" s="425">
        <v>530</v>
      </c>
      <c r="B532" s="427" t="s">
        <v>2444</v>
      </c>
      <c r="C532" s="427" t="s">
        <v>2445</v>
      </c>
      <c r="D532" s="427" t="s">
        <v>2446</v>
      </c>
      <c r="E532" s="79">
        <v>1</v>
      </c>
      <c r="F532" s="405">
        <v>552128.55000000005</v>
      </c>
      <c r="G532" s="274"/>
      <c r="H532" s="274"/>
      <c r="I532" s="274"/>
      <c r="J532" s="274"/>
      <c r="K532" s="11"/>
      <c r="L532" s="274"/>
      <c r="M532" s="274"/>
      <c r="N532" s="274"/>
      <c r="O532" s="48"/>
      <c r="P532" s="11"/>
      <c r="Q532" s="274"/>
      <c r="R532" s="274"/>
      <c r="S532" s="274"/>
      <c r="T532" s="11"/>
      <c r="U532" s="11"/>
      <c r="V532" s="11"/>
      <c r="W532" s="11"/>
      <c r="X532" s="11"/>
      <c r="Y532" s="11"/>
      <c r="Z532" s="48"/>
      <c r="AA532" s="52"/>
      <c r="AB532" s="52"/>
      <c r="AC532" s="118"/>
      <c r="AD532" s="5"/>
      <c r="AE532" s="52"/>
      <c r="AF532" s="113"/>
      <c r="AG532" s="113"/>
      <c r="AH532" s="113"/>
      <c r="AI532" s="52"/>
      <c r="AJ532" s="11"/>
      <c r="AK532" s="269"/>
      <c r="AL532" s="269"/>
      <c r="AM532" s="269"/>
      <c r="AN532" s="301"/>
      <c r="AO532" s="302"/>
      <c r="AP532" s="11"/>
      <c r="AQ532" s="11"/>
      <c r="AR532" s="11"/>
      <c r="AS532" s="11"/>
      <c r="AT532" s="11"/>
      <c r="AU532" s="118"/>
      <c r="AV532" s="118"/>
      <c r="AW532" s="118"/>
      <c r="AX532" s="52"/>
      <c r="AY532" s="52"/>
      <c r="AZ532" s="11"/>
      <c r="BA532" s="11"/>
      <c r="BB532" s="11"/>
      <c r="BC532" s="11"/>
      <c r="BD532" s="11"/>
      <c r="BE532" s="274"/>
      <c r="BF532" s="274"/>
      <c r="BG532" s="274"/>
      <c r="BH532" s="11"/>
      <c r="BI532" s="11"/>
      <c r="BJ532" s="311"/>
      <c r="BK532" s="311"/>
      <c r="BL532" s="311"/>
      <c r="BM532" s="52"/>
      <c r="BN532" s="52"/>
      <c r="BO532" s="387"/>
      <c r="BP532" s="320"/>
      <c r="BQ532" s="320"/>
      <c r="BR532" s="4"/>
      <c r="BS532" s="4"/>
      <c r="BT532" s="11"/>
      <c r="BU532" s="11"/>
      <c r="BV532" s="11"/>
      <c r="BW532" s="11"/>
      <c r="BX532" s="11"/>
      <c r="BY532" s="348"/>
      <c r="BZ532" s="348"/>
      <c r="CA532" s="348"/>
      <c r="CB532" s="348"/>
      <c r="CC532" s="348"/>
      <c r="CD532" s="11"/>
      <c r="CE532" s="11"/>
      <c r="CF532" s="11"/>
      <c r="CG532" s="11"/>
      <c r="CH532" s="11"/>
      <c r="CI532" s="11"/>
      <c r="CJ532" s="11"/>
      <c r="CK532" s="11"/>
      <c r="CL532" s="11"/>
      <c r="CM532" s="11"/>
      <c r="CN532" s="274"/>
      <c r="CO532" s="274"/>
      <c r="CP532" s="274"/>
      <c r="CQ532" s="11"/>
      <c r="CR532" s="11"/>
      <c r="CS532" s="11"/>
      <c r="CT532" s="11"/>
      <c r="CU532" s="11"/>
      <c r="CV532" s="11"/>
      <c r="CW532" s="11"/>
      <c r="CX532" s="11"/>
      <c r="CY532" s="11"/>
      <c r="CZ532" s="11"/>
      <c r="DA532" s="11"/>
      <c r="DB532" s="11"/>
      <c r="DC532" s="11"/>
      <c r="DD532" s="11"/>
      <c r="DE532" s="11"/>
      <c r="DF532" s="11"/>
      <c r="DG532" s="11"/>
      <c r="DH532" s="11"/>
      <c r="DI532" s="11"/>
      <c r="DJ532" s="11"/>
      <c r="DK532" s="11"/>
      <c r="DL532" s="11"/>
      <c r="DM532" s="118"/>
      <c r="DN532" s="118"/>
      <c r="DO532" s="118"/>
      <c r="DP532" s="52"/>
      <c r="DQ532" s="52"/>
      <c r="DR532" s="77"/>
      <c r="DS532" s="77"/>
      <c r="DT532" s="77"/>
      <c r="DU532" s="11"/>
      <c r="DV532" s="11"/>
      <c r="DW532" s="11"/>
      <c r="DX532" s="11"/>
      <c r="DY532" s="11"/>
      <c r="DZ532" s="11"/>
      <c r="EA532" s="11"/>
      <c r="EB532" s="11"/>
      <c r="EC532" s="11"/>
      <c r="ED532" s="11"/>
      <c r="EE532" s="11"/>
      <c r="EF532" s="11"/>
    </row>
    <row r="533" spans="1:136" ht="27" x14ac:dyDescent="0.25">
      <c r="A533" s="425">
        <v>531</v>
      </c>
      <c r="B533" s="427" t="s">
        <v>2447</v>
      </c>
      <c r="C533" s="566" t="s">
        <v>2448</v>
      </c>
      <c r="D533" s="413" t="s">
        <v>475</v>
      </c>
      <c r="E533" s="79">
        <v>1</v>
      </c>
      <c r="F533" s="405"/>
      <c r="G533" s="274"/>
      <c r="H533" s="274"/>
      <c r="I533" s="274"/>
      <c r="J533" s="274"/>
      <c r="K533" s="11"/>
      <c r="L533" s="274"/>
      <c r="M533" s="274"/>
      <c r="N533" s="274"/>
      <c r="O533" s="48"/>
      <c r="P533" s="11"/>
      <c r="Q533" s="274"/>
      <c r="R533" s="274"/>
      <c r="S533" s="274"/>
      <c r="T533" s="11"/>
      <c r="U533" s="11"/>
      <c r="V533" s="11"/>
      <c r="W533" s="11"/>
      <c r="X533" s="11"/>
      <c r="Y533" s="11"/>
      <c r="Z533" s="48"/>
      <c r="AA533" s="52"/>
      <c r="AB533" s="52"/>
      <c r="AC533" s="118"/>
      <c r="AD533" s="5"/>
      <c r="AE533" s="52"/>
      <c r="AF533" s="113"/>
      <c r="AG533" s="113"/>
      <c r="AH533" s="113"/>
      <c r="AI533" s="52"/>
      <c r="AJ533" s="11"/>
      <c r="AK533" s="269"/>
      <c r="AL533" s="269"/>
      <c r="AM533" s="269"/>
      <c r="AN533" s="301"/>
      <c r="AO533" s="302"/>
      <c r="AP533" s="11"/>
      <c r="AQ533" s="11"/>
      <c r="AR533" s="11"/>
      <c r="AS533" s="11"/>
      <c r="AT533" s="11"/>
      <c r="AU533" s="118"/>
      <c r="AV533" s="118"/>
      <c r="AW533" s="118"/>
      <c r="AX533" s="52"/>
      <c r="AY533" s="52"/>
      <c r="AZ533" s="11"/>
      <c r="BA533" s="11"/>
      <c r="BB533" s="11"/>
      <c r="BC533" s="11"/>
      <c r="BD533" s="11"/>
      <c r="BE533" s="274"/>
      <c r="BF533" s="274"/>
      <c r="BG533" s="274"/>
      <c r="BH533" s="11"/>
      <c r="BI533" s="11"/>
      <c r="BJ533" s="311"/>
      <c r="BK533" s="311"/>
      <c r="BL533" s="311"/>
      <c r="BM533" s="52"/>
      <c r="BN533" s="52"/>
      <c r="BO533" s="387"/>
      <c r="BP533" s="320"/>
      <c r="BQ533" s="320"/>
      <c r="BR533" s="4"/>
      <c r="BS533" s="4"/>
      <c r="BT533" s="11"/>
      <c r="BU533" s="11"/>
      <c r="BV533" s="11"/>
      <c r="BW533" s="11"/>
      <c r="BX533" s="11"/>
      <c r="BY533" s="232">
        <v>73000</v>
      </c>
      <c r="BZ533" s="232"/>
      <c r="CA533" s="232">
        <f t="shared" ref="CA533:CA539" si="17">BY533+BZ533</f>
        <v>73000</v>
      </c>
      <c r="CB533" s="348" t="s">
        <v>772</v>
      </c>
      <c r="CC533" s="348">
        <v>9001</v>
      </c>
      <c r="CD533" s="11"/>
      <c r="CE533" s="11"/>
      <c r="CF533" s="11"/>
      <c r="CG533" s="11"/>
      <c r="CH533" s="11"/>
      <c r="CI533" s="11"/>
      <c r="CJ533" s="11"/>
      <c r="CK533" s="11"/>
      <c r="CL533" s="11"/>
      <c r="CM533" s="11"/>
      <c r="CN533" s="274"/>
      <c r="CO533" s="274"/>
      <c r="CP533" s="274"/>
      <c r="CQ533" s="11"/>
      <c r="CR533" s="11"/>
      <c r="CS533" s="11"/>
      <c r="CT533" s="11"/>
      <c r="CU533" s="11"/>
      <c r="CV533" s="11"/>
      <c r="CW533" s="11"/>
      <c r="CX533" s="11"/>
      <c r="CY533" s="11"/>
      <c r="CZ533" s="11"/>
      <c r="DA533" s="11"/>
      <c r="DB533" s="11"/>
      <c r="DC533" s="11"/>
      <c r="DD533" s="11"/>
      <c r="DE533" s="11"/>
      <c r="DF533" s="11"/>
      <c r="DG533" s="11"/>
      <c r="DH533" s="11"/>
      <c r="DI533" s="11"/>
      <c r="DJ533" s="11"/>
      <c r="DK533" s="11"/>
      <c r="DL533" s="11"/>
      <c r="DM533" s="118"/>
      <c r="DN533" s="118"/>
      <c r="DO533" s="118"/>
      <c r="DP533" s="52"/>
      <c r="DQ533" s="52"/>
      <c r="DR533" s="77"/>
      <c r="DS533" s="77"/>
      <c r="DT533" s="77"/>
      <c r="DU533" s="11"/>
      <c r="DV533" s="11"/>
      <c r="DW533" s="11"/>
      <c r="DX533" s="11"/>
      <c r="DY533" s="11"/>
      <c r="DZ533" s="11"/>
      <c r="EA533" s="11"/>
      <c r="EB533" s="11"/>
      <c r="EC533" s="11"/>
      <c r="ED533" s="11"/>
      <c r="EE533" s="11"/>
      <c r="EF533" s="11"/>
    </row>
    <row r="534" spans="1:136" ht="27" x14ac:dyDescent="0.25">
      <c r="A534" s="425">
        <v>532</v>
      </c>
      <c r="B534" s="427" t="s">
        <v>2449</v>
      </c>
      <c r="C534" s="566" t="s">
        <v>2448</v>
      </c>
      <c r="D534" s="566" t="s">
        <v>475</v>
      </c>
      <c r="E534" s="79">
        <v>1</v>
      </c>
      <c r="F534" s="405"/>
      <c r="G534" s="274"/>
      <c r="H534" s="274"/>
      <c r="I534" s="274"/>
      <c r="J534" s="274"/>
      <c r="K534" s="11"/>
      <c r="L534" s="274"/>
      <c r="M534" s="274"/>
      <c r="N534" s="274"/>
      <c r="O534" s="48"/>
      <c r="P534" s="11"/>
      <c r="Q534" s="274"/>
      <c r="R534" s="274"/>
      <c r="S534" s="274"/>
      <c r="T534" s="11"/>
      <c r="U534" s="11"/>
      <c r="V534" s="11"/>
      <c r="W534" s="11"/>
      <c r="X534" s="11"/>
      <c r="Y534" s="11"/>
      <c r="Z534" s="48"/>
      <c r="AA534" s="52"/>
      <c r="AB534" s="52"/>
      <c r="AC534" s="118"/>
      <c r="AD534" s="5"/>
      <c r="AE534" s="52"/>
      <c r="AF534" s="113"/>
      <c r="AG534" s="113"/>
      <c r="AH534" s="113"/>
      <c r="AI534" s="52"/>
      <c r="AJ534" s="11"/>
      <c r="AK534" s="269"/>
      <c r="AL534" s="269"/>
      <c r="AM534" s="269"/>
      <c r="AN534" s="301"/>
      <c r="AO534" s="302"/>
      <c r="AP534" s="11"/>
      <c r="AQ534" s="11"/>
      <c r="AR534" s="11"/>
      <c r="AS534" s="11"/>
      <c r="AT534" s="11"/>
      <c r="AU534" s="118"/>
      <c r="AV534" s="118"/>
      <c r="AW534" s="118"/>
      <c r="AX534" s="52"/>
      <c r="AY534" s="52"/>
      <c r="AZ534" s="11"/>
      <c r="BA534" s="11"/>
      <c r="BB534" s="11"/>
      <c r="BC534" s="11"/>
      <c r="BD534" s="11"/>
      <c r="BE534" s="274"/>
      <c r="BF534" s="274"/>
      <c r="BG534" s="274"/>
      <c r="BH534" s="11"/>
      <c r="BI534" s="11"/>
      <c r="BJ534" s="311"/>
      <c r="BK534" s="311"/>
      <c r="BL534" s="311"/>
      <c r="BM534" s="52"/>
      <c r="BN534" s="52"/>
      <c r="BO534" s="387"/>
      <c r="BP534" s="320"/>
      <c r="BQ534" s="320"/>
      <c r="BR534" s="4"/>
      <c r="BS534" s="4"/>
      <c r="BT534" s="11"/>
      <c r="BU534" s="11"/>
      <c r="BV534" s="11"/>
      <c r="BW534" s="11"/>
      <c r="BX534" s="11"/>
      <c r="BY534" s="232">
        <v>73000</v>
      </c>
      <c r="BZ534" s="232"/>
      <c r="CA534" s="232">
        <f t="shared" si="17"/>
        <v>73000</v>
      </c>
      <c r="CB534" s="348" t="s">
        <v>772</v>
      </c>
      <c r="CC534" s="348">
        <v>9004</v>
      </c>
      <c r="CD534" s="11"/>
      <c r="CE534" s="11"/>
      <c r="CF534" s="11"/>
      <c r="CG534" s="11"/>
      <c r="CH534" s="11"/>
      <c r="CI534" s="11"/>
      <c r="CJ534" s="11"/>
      <c r="CK534" s="11"/>
      <c r="CL534" s="11"/>
      <c r="CM534" s="11"/>
      <c r="CN534" s="274"/>
      <c r="CO534" s="274"/>
      <c r="CP534" s="274"/>
      <c r="CQ534" s="11"/>
      <c r="CR534" s="11"/>
      <c r="CS534" s="11"/>
      <c r="CT534" s="11"/>
      <c r="CU534" s="11"/>
      <c r="CV534" s="11"/>
      <c r="CW534" s="11"/>
      <c r="CX534" s="11"/>
      <c r="CY534" s="11"/>
      <c r="CZ534" s="11"/>
      <c r="DA534" s="11"/>
      <c r="DB534" s="11"/>
      <c r="DC534" s="11"/>
      <c r="DD534" s="11"/>
      <c r="DE534" s="11"/>
      <c r="DF534" s="11"/>
      <c r="DG534" s="11"/>
      <c r="DH534" s="11"/>
      <c r="DI534" s="11"/>
      <c r="DJ534" s="11"/>
      <c r="DK534" s="11"/>
      <c r="DL534" s="11"/>
      <c r="DM534" s="118"/>
      <c r="DN534" s="118"/>
      <c r="DO534" s="118"/>
      <c r="DP534" s="52"/>
      <c r="DQ534" s="52"/>
      <c r="DR534" s="77"/>
      <c r="DS534" s="77"/>
      <c r="DT534" s="77"/>
      <c r="DU534" s="11"/>
      <c r="DV534" s="11"/>
      <c r="DW534" s="11"/>
      <c r="DX534" s="11"/>
      <c r="DY534" s="11"/>
      <c r="DZ534" s="11"/>
      <c r="EA534" s="11"/>
      <c r="EB534" s="11"/>
      <c r="EC534" s="11"/>
      <c r="ED534" s="11"/>
      <c r="EE534" s="11"/>
      <c r="EF534" s="11"/>
    </row>
    <row r="535" spans="1:136" ht="27" x14ac:dyDescent="0.25">
      <c r="A535" s="425">
        <v>533</v>
      </c>
      <c r="B535" s="427" t="s">
        <v>2450</v>
      </c>
      <c r="C535" s="566" t="s">
        <v>2448</v>
      </c>
      <c r="D535" s="566" t="s">
        <v>475</v>
      </c>
      <c r="E535" s="79">
        <v>1</v>
      </c>
      <c r="F535" s="405"/>
      <c r="G535" s="274"/>
      <c r="H535" s="274"/>
      <c r="I535" s="274"/>
      <c r="J535" s="274"/>
      <c r="K535" s="11"/>
      <c r="L535" s="274"/>
      <c r="M535" s="274"/>
      <c r="N535" s="274"/>
      <c r="O535" s="48"/>
      <c r="P535" s="11"/>
      <c r="Q535" s="274"/>
      <c r="R535" s="274"/>
      <c r="S535" s="274"/>
      <c r="T535" s="11"/>
      <c r="U535" s="11"/>
      <c r="V535" s="11"/>
      <c r="W535" s="11"/>
      <c r="X535" s="11"/>
      <c r="Y535" s="11"/>
      <c r="Z535" s="48"/>
      <c r="AA535" s="52"/>
      <c r="AB535" s="52"/>
      <c r="AC535" s="118"/>
      <c r="AD535" s="5"/>
      <c r="AE535" s="52"/>
      <c r="AF535" s="113"/>
      <c r="AG535" s="113"/>
      <c r="AH535" s="113"/>
      <c r="AI535" s="52"/>
      <c r="AJ535" s="11"/>
      <c r="AK535" s="269"/>
      <c r="AL535" s="269"/>
      <c r="AM535" s="269"/>
      <c r="AN535" s="301"/>
      <c r="AO535" s="302"/>
      <c r="AP535" s="11"/>
      <c r="AQ535" s="11"/>
      <c r="AR535" s="11"/>
      <c r="AS535" s="11"/>
      <c r="AT535" s="11"/>
      <c r="AU535" s="118"/>
      <c r="AV535" s="118"/>
      <c r="AW535" s="118"/>
      <c r="AX535" s="52"/>
      <c r="AY535" s="52"/>
      <c r="AZ535" s="11"/>
      <c r="BA535" s="11"/>
      <c r="BB535" s="11"/>
      <c r="BC535" s="11"/>
      <c r="BD535" s="11"/>
      <c r="BE535" s="274"/>
      <c r="BF535" s="274"/>
      <c r="BG535" s="274"/>
      <c r="BH535" s="11"/>
      <c r="BI535" s="11"/>
      <c r="BJ535" s="311"/>
      <c r="BK535" s="311"/>
      <c r="BL535" s="311"/>
      <c r="BM535" s="52"/>
      <c r="BN535" s="52"/>
      <c r="BO535" s="387"/>
      <c r="BP535" s="320"/>
      <c r="BQ535" s="320"/>
      <c r="BR535" s="4"/>
      <c r="BS535" s="4"/>
      <c r="BT535" s="11"/>
      <c r="BU535" s="11"/>
      <c r="BV535" s="11"/>
      <c r="BW535" s="11"/>
      <c r="BX535" s="11"/>
      <c r="BY535" s="232">
        <v>73000</v>
      </c>
      <c r="BZ535" s="232"/>
      <c r="CA535" s="232">
        <f t="shared" si="17"/>
        <v>73000</v>
      </c>
      <c r="CB535" s="348" t="s">
        <v>772</v>
      </c>
      <c r="CC535" s="348">
        <v>9255</v>
      </c>
      <c r="CD535" s="11"/>
      <c r="CE535" s="11"/>
      <c r="CF535" s="11"/>
      <c r="CG535" s="11"/>
      <c r="CH535" s="11"/>
      <c r="CI535" s="11"/>
      <c r="CJ535" s="11"/>
      <c r="CK535" s="11"/>
      <c r="CL535" s="11"/>
      <c r="CM535" s="11"/>
      <c r="CN535" s="274"/>
      <c r="CO535" s="274"/>
      <c r="CP535" s="274"/>
      <c r="CQ535" s="11"/>
      <c r="CR535" s="11"/>
      <c r="CS535" s="11"/>
      <c r="CT535" s="11"/>
      <c r="CU535" s="11"/>
      <c r="CV535" s="11"/>
      <c r="CW535" s="11"/>
      <c r="CX535" s="11"/>
      <c r="CY535" s="11"/>
      <c r="CZ535" s="11"/>
      <c r="DA535" s="11"/>
      <c r="DB535" s="11"/>
      <c r="DC535" s="11"/>
      <c r="DD535" s="11"/>
      <c r="DE535" s="11"/>
      <c r="DF535" s="11"/>
      <c r="DG535" s="11"/>
      <c r="DH535" s="11"/>
      <c r="DI535" s="11"/>
      <c r="DJ535" s="11"/>
      <c r="DK535" s="11"/>
      <c r="DL535" s="11"/>
      <c r="DM535" s="118"/>
      <c r="DN535" s="118"/>
      <c r="DO535" s="118"/>
      <c r="DP535" s="52"/>
      <c r="DQ535" s="52"/>
      <c r="DR535" s="77"/>
      <c r="DS535" s="77"/>
      <c r="DT535" s="77"/>
      <c r="DU535" s="11"/>
      <c r="DV535" s="11"/>
      <c r="DW535" s="11"/>
      <c r="DX535" s="11"/>
      <c r="DY535" s="11"/>
      <c r="DZ535" s="11"/>
      <c r="EA535" s="11"/>
      <c r="EB535" s="11"/>
      <c r="EC535" s="11"/>
      <c r="ED535" s="11"/>
      <c r="EE535" s="11"/>
      <c r="EF535" s="11"/>
    </row>
    <row r="536" spans="1:136" ht="27" x14ac:dyDescent="0.25">
      <c r="A536" s="425">
        <v>534</v>
      </c>
      <c r="B536" s="427" t="s">
        <v>2451</v>
      </c>
      <c r="C536" s="566" t="s">
        <v>2448</v>
      </c>
      <c r="D536" s="566" t="s">
        <v>475</v>
      </c>
      <c r="E536" s="79">
        <v>1</v>
      </c>
      <c r="F536" s="405"/>
      <c r="G536" s="274"/>
      <c r="H536" s="274"/>
      <c r="I536" s="274"/>
      <c r="J536" s="274"/>
      <c r="K536" s="11"/>
      <c r="L536" s="274"/>
      <c r="M536" s="274"/>
      <c r="N536" s="274"/>
      <c r="O536" s="48"/>
      <c r="P536" s="11"/>
      <c r="Q536" s="274"/>
      <c r="R536" s="274"/>
      <c r="S536" s="274"/>
      <c r="T536" s="11"/>
      <c r="U536" s="11"/>
      <c r="V536" s="11"/>
      <c r="W536" s="11"/>
      <c r="X536" s="11"/>
      <c r="Y536" s="11"/>
      <c r="Z536" s="48"/>
      <c r="AA536" s="52"/>
      <c r="AB536" s="52"/>
      <c r="AC536" s="118"/>
      <c r="AD536" s="5"/>
      <c r="AE536" s="52"/>
      <c r="AF536" s="113"/>
      <c r="AG536" s="113"/>
      <c r="AH536" s="113"/>
      <c r="AI536" s="52"/>
      <c r="AJ536" s="11"/>
      <c r="AK536" s="269"/>
      <c r="AL536" s="269"/>
      <c r="AM536" s="269"/>
      <c r="AN536" s="301"/>
      <c r="AO536" s="302"/>
      <c r="AP536" s="11"/>
      <c r="AQ536" s="11"/>
      <c r="AR536" s="11"/>
      <c r="AS536" s="11"/>
      <c r="AT536" s="11"/>
      <c r="AU536" s="118"/>
      <c r="AV536" s="118"/>
      <c r="AW536" s="118"/>
      <c r="AX536" s="52"/>
      <c r="AY536" s="52"/>
      <c r="AZ536" s="11"/>
      <c r="BA536" s="11"/>
      <c r="BB536" s="11"/>
      <c r="BC536" s="11"/>
      <c r="BD536" s="11"/>
      <c r="BE536" s="274"/>
      <c r="BF536" s="274"/>
      <c r="BG536" s="274"/>
      <c r="BH536" s="11"/>
      <c r="BI536" s="11"/>
      <c r="BJ536" s="311"/>
      <c r="BK536" s="311"/>
      <c r="BL536" s="311"/>
      <c r="BM536" s="52"/>
      <c r="BN536" s="52"/>
      <c r="BO536" s="387"/>
      <c r="BP536" s="320"/>
      <c r="BQ536" s="320"/>
      <c r="BR536" s="4"/>
      <c r="BS536" s="4"/>
      <c r="BT536" s="11"/>
      <c r="BU536" s="11"/>
      <c r="BV536" s="11"/>
      <c r="BW536" s="11"/>
      <c r="BX536" s="11"/>
      <c r="BY536" s="232">
        <v>73000</v>
      </c>
      <c r="BZ536" s="232"/>
      <c r="CA536" s="232">
        <f t="shared" si="17"/>
        <v>73000</v>
      </c>
      <c r="CB536" s="348" t="s">
        <v>772</v>
      </c>
      <c r="CC536" s="348">
        <v>9115</v>
      </c>
      <c r="CD536" s="11"/>
      <c r="CE536" s="11"/>
      <c r="CF536" s="11"/>
      <c r="CG536" s="11"/>
      <c r="CH536" s="11"/>
      <c r="CI536" s="11"/>
      <c r="CJ536" s="11"/>
      <c r="CK536" s="11"/>
      <c r="CL536" s="11"/>
      <c r="CM536" s="11"/>
      <c r="CN536" s="274"/>
      <c r="CO536" s="274"/>
      <c r="CP536" s="274"/>
      <c r="CQ536" s="11"/>
      <c r="CR536" s="11"/>
      <c r="CS536" s="11"/>
      <c r="CT536" s="11"/>
      <c r="CU536" s="11"/>
      <c r="CV536" s="11"/>
      <c r="CW536" s="11"/>
      <c r="CX536" s="11"/>
      <c r="CY536" s="11"/>
      <c r="CZ536" s="11"/>
      <c r="DA536" s="11"/>
      <c r="DB536" s="11"/>
      <c r="DC536" s="11"/>
      <c r="DD536" s="11"/>
      <c r="DE536" s="11"/>
      <c r="DF536" s="11"/>
      <c r="DG536" s="11"/>
      <c r="DH536" s="11"/>
      <c r="DI536" s="11"/>
      <c r="DJ536" s="11"/>
      <c r="DK536" s="11"/>
      <c r="DL536" s="11"/>
      <c r="DM536" s="118"/>
      <c r="DN536" s="118"/>
      <c r="DO536" s="118"/>
      <c r="DP536" s="52"/>
      <c r="DQ536" s="52"/>
      <c r="DR536" s="77"/>
      <c r="DS536" s="77"/>
      <c r="DT536" s="77"/>
      <c r="DU536" s="11"/>
      <c r="DV536" s="11"/>
      <c r="DW536" s="11"/>
      <c r="DX536" s="11"/>
      <c r="DY536" s="11"/>
      <c r="DZ536" s="11"/>
      <c r="EA536" s="11"/>
      <c r="EB536" s="11"/>
      <c r="EC536" s="11"/>
      <c r="ED536" s="11"/>
      <c r="EE536" s="11"/>
      <c r="EF536" s="11"/>
    </row>
    <row r="537" spans="1:136" ht="27" x14ac:dyDescent="0.25">
      <c r="A537" s="425">
        <v>535</v>
      </c>
      <c r="B537" s="427" t="s">
        <v>2452</v>
      </c>
      <c r="C537" s="566" t="s">
        <v>2448</v>
      </c>
      <c r="D537" s="566" t="s">
        <v>475</v>
      </c>
      <c r="E537" s="79">
        <v>1</v>
      </c>
      <c r="F537" s="405"/>
      <c r="G537" s="274"/>
      <c r="H537" s="274"/>
      <c r="I537" s="274"/>
      <c r="J537" s="274"/>
      <c r="K537" s="11"/>
      <c r="L537" s="274"/>
      <c r="M537" s="274"/>
      <c r="N537" s="274"/>
      <c r="O537" s="48"/>
      <c r="P537" s="11"/>
      <c r="Q537" s="274"/>
      <c r="R537" s="274"/>
      <c r="S537" s="274"/>
      <c r="T537" s="11"/>
      <c r="U537" s="11"/>
      <c r="V537" s="11"/>
      <c r="W537" s="11"/>
      <c r="X537" s="11"/>
      <c r="Y537" s="11"/>
      <c r="Z537" s="48"/>
      <c r="AA537" s="52"/>
      <c r="AB537" s="52"/>
      <c r="AC537" s="118"/>
      <c r="AD537" s="5"/>
      <c r="AE537" s="52"/>
      <c r="AF537" s="113"/>
      <c r="AG537" s="113"/>
      <c r="AH537" s="113"/>
      <c r="AI537" s="52"/>
      <c r="AJ537" s="11"/>
      <c r="AK537" s="269"/>
      <c r="AL537" s="269"/>
      <c r="AM537" s="269"/>
      <c r="AN537" s="301"/>
      <c r="AO537" s="302"/>
      <c r="AP537" s="11"/>
      <c r="AQ537" s="11"/>
      <c r="AR537" s="11"/>
      <c r="AS537" s="11"/>
      <c r="AT537" s="11"/>
      <c r="AU537" s="118"/>
      <c r="AV537" s="118"/>
      <c r="AW537" s="118"/>
      <c r="AX537" s="52"/>
      <c r="AY537" s="52"/>
      <c r="AZ537" s="11"/>
      <c r="BA537" s="11"/>
      <c r="BB537" s="11"/>
      <c r="BC537" s="11"/>
      <c r="BD537" s="11"/>
      <c r="BE537" s="274"/>
      <c r="BF537" s="274"/>
      <c r="BG537" s="274"/>
      <c r="BH537" s="11"/>
      <c r="BI537" s="11"/>
      <c r="BJ537" s="311"/>
      <c r="BK537" s="311"/>
      <c r="BL537" s="311"/>
      <c r="BM537" s="52"/>
      <c r="BN537" s="52"/>
      <c r="BO537" s="387"/>
      <c r="BP537" s="320"/>
      <c r="BQ537" s="320"/>
      <c r="BR537" s="4"/>
      <c r="BS537" s="4"/>
      <c r="BT537" s="11"/>
      <c r="BU537" s="11"/>
      <c r="BV537" s="11"/>
      <c r="BW537" s="11"/>
      <c r="BX537" s="11"/>
      <c r="BY537" s="232">
        <v>73000</v>
      </c>
      <c r="BZ537" s="232"/>
      <c r="CA537" s="232">
        <f t="shared" si="17"/>
        <v>73000</v>
      </c>
      <c r="CB537" s="348" t="s">
        <v>772</v>
      </c>
      <c r="CC537" s="348">
        <v>9031</v>
      </c>
      <c r="CD537" s="11"/>
      <c r="CE537" s="11"/>
      <c r="CF537" s="11"/>
      <c r="CG537" s="11"/>
      <c r="CH537" s="11"/>
      <c r="CI537" s="11"/>
      <c r="CJ537" s="11"/>
      <c r="CK537" s="11"/>
      <c r="CL537" s="11"/>
      <c r="CM537" s="11"/>
      <c r="CN537" s="274"/>
      <c r="CO537" s="274"/>
      <c r="CP537" s="274"/>
      <c r="CQ537" s="11"/>
      <c r="CR537" s="11"/>
      <c r="CS537" s="11"/>
      <c r="CT537" s="11"/>
      <c r="CU537" s="11"/>
      <c r="CV537" s="11"/>
      <c r="CW537" s="11"/>
      <c r="CX537" s="11"/>
      <c r="CY537" s="11"/>
      <c r="CZ537" s="11"/>
      <c r="DA537" s="11"/>
      <c r="DB537" s="11"/>
      <c r="DC537" s="11"/>
      <c r="DD537" s="11"/>
      <c r="DE537" s="11"/>
      <c r="DF537" s="11"/>
      <c r="DG537" s="11"/>
      <c r="DH537" s="11"/>
      <c r="DI537" s="11"/>
      <c r="DJ537" s="11"/>
      <c r="DK537" s="11"/>
      <c r="DL537" s="11"/>
      <c r="DM537" s="118"/>
      <c r="DN537" s="118"/>
      <c r="DO537" s="118"/>
      <c r="DP537" s="52"/>
      <c r="DQ537" s="52"/>
      <c r="DR537" s="77"/>
      <c r="DS537" s="77"/>
      <c r="DT537" s="77"/>
      <c r="DU537" s="11"/>
      <c r="DV537" s="11"/>
      <c r="DW537" s="11"/>
      <c r="DX537" s="11"/>
      <c r="DY537" s="11"/>
      <c r="DZ537" s="11"/>
      <c r="EA537" s="11"/>
      <c r="EB537" s="11"/>
      <c r="EC537" s="11"/>
      <c r="ED537" s="11"/>
      <c r="EE537" s="11"/>
      <c r="EF537" s="11"/>
    </row>
    <row r="538" spans="1:136" ht="27" x14ac:dyDescent="0.25">
      <c r="A538" s="425">
        <v>536</v>
      </c>
      <c r="B538" s="427" t="s">
        <v>2453</v>
      </c>
      <c r="C538" s="413" t="s">
        <v>2448</v>
      </c>
      <c r="D538" s="413" t="s">
        <v>2454</v>
      </c>
      <c r="E538" s="79">
        <v>1</v>
      </c>
      <c r="F538" s="405"/>
      <c r="G538" s="274"/>
      <c r="H538" s="274"/>
      <c r="I538" s="274"/>
      <c r="J538" s="274"/>
      <c r="K538" s="11"/>
      <c r="L538" s="274"/>
      <c r="M538" s="274"/>
      <c r="N538" s="274"/>
      <c r="O538" s="48"/>
      <c r="P538" s="11"/>
      <c r="Q538" s="274"/>
      <c r="R538" s="274"/>
      <c r="S538" s="274"/>
      <c r="T538" s="11"/>
      <c r="U538" s="11"/>
      <c r="V538" s="11"/>
      <c r="W538" s="11"/>
      <c r="X538" s="11"/>
      <c r="Y538" s="11"/>
      <c r="Z538" s="48"/>
      <c r="AA538" s="52"/>
      <c r="AB538" s="52"/>
      <c r="AC538" s="118"/>
      <c r="AD538" s="5"/>
      <c r="AE538" s="52"/>
      <c r="AF538" s="113"/>
      <c r="AG538" s="113"/>
      <c r="AH538" s="113"/>
      <c r="AI538" s="52"/>
      <c r="AJ538" s="11"/>
      <c r="AK538" s="269"/>
      <c r="AL538" s="269"/>
      <c r="AM538" s="269"/>
      <c r="AN538" s="301"/>
      <c r="AO538" s="302"/>
      <c r="AP538" s="11"/>
      <c r="AQ538" s="11"/>
      <c r="AR538" s="11"/>
      <c r="AS538" s="11"/>
      <c r="AT538" s="11"/>
      <c r="AU538" s="118"/>
      <c r="AV538" s="118"/>
      <c r="AW538" s="118"/>
      <c r="AX538" s="52"/>
      <c r="AY538" s="52"/>
      <c r="AZ538" s="11"/>
      <c r="BA538" s="11"/>
      <c r="BB538" s="11"/>
      <c r="BC538" s="11"/>
      <c r="BD538" s="11"/>
      <c r="BE538" s="274"/>
      <c r="BF538" s="274"/>
      <c r="BG538" s="274"/>
      <c r="BH538" s="11"/>
      <c r="BI538" s="11"/>
      <c r="BJ538" s="311"/>
      <c r="BK538" s="311"/>
      <c r="BL538" s="311"/>
      <c r="BM538" s="52"/>
      <c r="BN538" s="52"/>
      <c r="BO538" s="387"/>
      <c r="BP538" s="320"/>
      <c r="BQ538" s="320"/>
      <c r="BR538" s="4"/>
      <c r="BS538" s="4"/>
      <c r="BT538" s="11"/>
      <c r="BU538" s="11"/>
      <c r="BV538" s="11"/>
      <c r="BW538" s="11"/>
      <c r="BX538" s="11"/>
      <c r="BY538" s="232">
        <v>73000</v>
      </c>
      <c r="BZ538" s="232"/>
      <c r="CA538" s="232">
        <f t="shared" si="17"/>
        <v>73000</v>
      </c>
      <c r="CB538" s="348" t="s">
        <v>772</v>
      </c>
      <c r="CC538" s="348">
        <v>9051</v>
      </c>
      <c r="CD538" s="11"/>
      <c r="CE538" s="11"/>
      <c r="CF538" s="11"/>
      <c r="CG538" s="11"/>
      <c r="CH538" s="11"/>
      <c r="CI538" s="11"/>
      <c r="CJ538" s="11"/>
      <c r="CK538" s="11"/>
      <c r="CL538" s="11"/>
      <c r="CM538" s="11"/>
      <c r="CN538" s="274"/>
      <c r="CO538" s="274"/>
      <c r="CP538" s="274"/>
      <c r="CQ538" s="11"/>
      <c r="CR538" s="11"/>
      <c r="CS538" s="11"/>
      <c r="CT538" s="11"/>
      <c r="CU538" s="11"/>
      <c r="CV538" s="11"/>
      <c r="CW538" s="11"/>
      <c r="CX538" s="11"/>
      <c r="CY538" s="11"/>
      <c r="CZ538" s="11"/>
      <c r="DA538" s="11"/>
      <c r="DB538" s="11"/>
      <c r="DC538" s="11"/>
      <c r="DD538" s="11"/>
      <c r="DE538" s="11"/>
      <c r="DF538" s="11"/>
      <c r="DG538" s="11"/>
      <c r="DH538" s="11"/>
      <c r="DI538" s="11"/>
      <c r="DJ538" s="11"/>
      <c r="DK538" s="11"/>
      <c r="DL538" s="11"/>
      <c r="DM538" s="118"/>
      <c r="DN538" s="118"/>
      <c r="DO538" s="118"/>
      <c r="DP538" s="52"/>
      <c r="DQ538" s="52"/>
      <c r="DR538" s="77"/>
      <c r="DS538" s="77"/>
      <c r="DT538" s="77"/>
      <c r="DU538" s="11"/>
      <c r="DV538" s="11"/>
      <c r="DW538" s="11"/>
      <c r="DX538" s="11"/>
      <c r="DY538" s="11"/>
      <c r="DZ538" s="11"/>
      <c r="EA538" s="11"/>
      <c r="EB538" s="11"/>
      <c r="EC538" s="11"/>
      <c r="ED538" s="11"/>
      <c r="EE538" s="11"/>
      <c r="EF538" s="11"/>
    </row>
    <row r="539" spans="1:136" ht="27" x14ac:dyDescent="0.25">
      <c r="A539" s="425">
        <v>537</v>
      </c>
      <c r="B539" s="427" t="s">
        <v>2455</v>
      </c>
      <c r="C539" s="413" t="s">
        <v>2448</v>
      </c>
      <c r="D539" s="413" t="s">
        <v>2454</v>
      </c>
      <c r="E539" s="79">
        <v>1</v>
      </c>
      <c r="F539" s="405"/>
      <c r="G539" s="274"/>
      <c r="H539" s="274"/>
      <c r="I539" s="274"/>
      <c r="J539" s="274"/>
      <c r="K539" s="11"/>
      <c r="L539" s="274"/>
      <c r="M539" s="274"/>
      <c r="N539" s="274"/>
      <c r="O539" s="48"/>
      <c r="P539" s="11"/>
      <c r="Q539" s="274"/>
      <c r="R539" s="274"/>
      <c r="S539" s="274"/>
      <c r="T539" s="11"/>
      <c r="U539" s="11"/>
      <c r="V539" s="11"/>
      <c r="W539" s="11"/>
      <c r="X539" s="11"/>
      <c r="Y539" s="11"/>
      <c r="Z539" s="48"/>
      <c r="AA539" s="52"/>
      <c r="AB539" s="52"/>
      <c r="AC539" s="118"/>
      <c r="AD539" s="5"/>
      <c r="AE539" s="52"/>
      <c r="AF539" s="113"/>
      <c r="AG539" s="113"/>
      <c r="AH539" s="113"/>
      <c r="AI539" s="52"/>
      <c r="AJ539" s="11"/>
      <c r="AK539" s="269"/>
      <c r="AL539" s="269"/>
      <c r="AM539" s="269"/>
      <c r="AN539" s="301"/>
      <c r="AO539" s="302"/>
      <c r="AP539" s="11"/>
      <c r="AQ539" s="11"/>
      <c r="AR539" s="11"/>
      <c r="AS539" s="11"/>
      <c r="AT539" s="11"/>
      <c r="AU539" s="118"/>
      <c r="AV539" s="118"/>
      <c r="AW539" s="118"/>
      <c r="AX539" s="52"/>
      <c r="AY539" s="52"/>
      <c r="AZ539" s="11"/>
      <c r="BA539" s="11"/>
      <c r="BB539" s="11"/>
      <c r="BC539" s="11"/>
      <c r="BD539" s="11"/>
      <c r="BE539" s="274"/>
      <c r="BF539" s="274"/>
      <c r="BG539" s="274"/>
      <c r="BH539" s="11"/>
      <c r="BI539" s="11"/>
      <c r="BJ539" s="311"/>
      <c r="BK539" s="311"/>
      <c r="BL539" s="311"/>
      <c r="BM539" s="52"/>
      <c r="BN539" s="52"/>
      <c r="BO539" s="387"/>
      <c r="BP539" s="320"/>
      <c r="BQ539" s="320"/>
      <c r="BR539" s="4"/>
      <c r="BS539" s="4"/>
      <c r="BT539" s="11"/>
      <c r="BU539" s="11"/>
      <c r="BV539" s="11"/>
      <c r="BW539" s="11"/>
      <c r="BX539" s="11"/>
      <c r="BY539" s="232">
        <v>73000</v>
      </c>
      <c r="BZ539" s="232"/>
      <c r="CA539" s="232">
        <f t="shared" si="17"/>
        <v>73000</v>
      </c>
      <c r="CB539" s="348" t="s">
        <v>772</v>
      </c>
      <c r="CC539" s="348">
        <v>9141</v>
      </c>
      <c r="CD539" s="11"/>
      <c r="CE539" s="11"/>
      <c r="CF539" s="11"/>
      <c r="CG539" s="11"/>
      <c r="CH539" s="11"/>
      <c r="CI539" s="11"/>
      <c r="CJ539" s="11"/>
      <c r="CK539" s="11"/>
      <c r="CL539" s="11"/>
      <c r="CM539" s="11"/>
      <c r="CN539" s="274"/>
      <c r="CO539" s="274"/>
      <c r="CP539" s="274"/>
      <c r="CQ539" s="11"/>
      <c r="CR539" s="11"/>
      <c r="CS539" s="11"/>
      <c r="CT539" s="11"/>
      <c r="CU539" s="11"/>
      <c r="CV539" s="11"/>
      <c r="CW539" s="11"/>
      <c r="CX539" s="11"/>
      <c r="CY539" s="11"/>
      <c r="CZ539" s="11"/>
      <c r="DA539" s="11"/>
      <c r="DB539" s="11"/>
      <c r="DC539" s="11"/>
      <c r="DD539" s="11"/>
      <c r="DE539" s="11"/>
      <c r="DF539" s="11"/>
      <c r="DG539" s="11"/>
      <c r="DH539" s="11"/>
      <c r="DI539" s="11"/>
      <c r="DJ539" s="11"/>
      <c r="DK539" s="11"/>
      <c r="DL539" s="11"/>
      <c r="DM539" s="118"/>
      <c r="DN539" s="118"/>
      <c r="DO539" s="118"/>
      <c r="DP539" s="52"/>
      <c r="DQ539" s="52"/>
      <c r="DR539" s="77"/>
      <c r="DS539" s="77"/>
      <c r="DT539" s="77"/>
      <c r="DU539" s="11"/>
      <c r="DV539" s="11"/>
      <c r="DW539" s="11"/>
      <c r="DX539" s="11"/>
      <c r="DY539" s="11"/>
      <c r="DZ539" s="11"/>
      <c r="EA539" s="11"/>
      <c r="EB539" s="11"/>
      <c r="EC539" s="11"/>
      <c r="ED539" s="11"/>
      <c r="EE539" s="11"/>
      <c r="EF539" s="11"/>
    </row>
    <row r="540" spans="1:136" ht="27" x14ac:dyDescent="0.25">
      <c r="A540" s="425">
        <v>538</v>
      </c>
      <c r="B540" s="427" t="s">
        <v>2456</v>
      </c>
      <c r="C540" s="413" t="s">
        <v>2448</v>
      </c>
      <c r="D540" s="413" t="s">
        <v>475</v>
      </c>
      <c r="E540" s="79">
        <v>1</v>
      </c>
      <c r="F540" s="405">
        <v>131817.98480000001</v>
      </c>
      <c r="G540" s="274"/>
      <c r="H540" s="274"/>
      <c r="I540" s="274"/>
      <c r="J540" s="274"/>
      <c r="K540" s="11"/>
      <c r="L540" s="274"/>
      <c r="M540" s="274"/>
      <c r="N540" s="274"/>
      <c r="O540" s="48"/>
      <c r="P540" s="11"/>
      <c r="Q540" s="274"/>
      <c r="R540" s="274"/>
      <c r="S540" s="274"/>
      <c r="T540" s="11"/>
      <c r="U540" s="11"/>
      <c r="V540" s="11"/>
      <c r="W540" s="11"/>
      <c r="X540" s="11"/>
      <c r="Y540" s="11"/>
      <c r="Z540" s="48"/>
      <c r="AA540" s="52"/>
      <c r="AB540" s="52"/>
      <c r="AC540" s="118"/>
      <c r="AD540" s="5"/>
      <c r="AE540" s="52"/>
      <c r="AF540" s="113"/>
      <c r="AG540" s="113"/>
      <c r="AH540" s="113"/>
      <c r="AI540" s="52"/>
      <c r="AJ540" s="11"/>
      <c r="AK540" s="269"/>
      <c r="AL540" s="269"/>
      <c r="AM540" s="269"/>
      <c r="AN540" s="301"/>
      <c r="AO540" s="302"/>
      <c r="AP540" s="11"/>
      <c r="AQ540" s="11"/>
      <c r="AR540" s="11"/>
      <c r="AS540" s="11"/>
      <c r="AT540" s="11"/>
      <c r="AU540" s="118"/>
      <c r="AV540" s="118"/>
      <c r="AW540" s="118"/>
      <c r="AX540" s="52"/>
      <c r="AY540" s="52"/>
      <c r="AZ540" s="11"/>
      <c r="BA540" s="11"/>
      <c r="BB540" s="11"/>
      <c r="BC540" s="11"/>
      <c r="BD540" s="11"/>
      <c r="BE540" s="274"/>
      <c r="BF540" s="274"/>
      <c r="BG540" s="274"/>
      <c r="BH540" s="11"/>
      <c r="BI540" s="11"/>
      <c r="BJ540" s="311"/>
      <c r="BK540" s="311"/>
      <c r="BL540" s="311"/>
      <c r="BM540" s="52"/>
      <c r="BN540" s="52"/>
      <c r="BO540" s="387"/>
      <c r="BP540" s="320"/>
      <c r="BQ540" s="320"/>
      <c r="BR540" s="4"/>
      <c r="BS540" s="4"/>
      <c r="BT540" s="11"/>
      <c r="BU540" s="11"/>
      <c r="BV540" s="11"/>
      <c r="BW540" s="11"/>
      <c r="BX540" s="11"/>
      <c r="BY540" s="348"/>
      <c r="BZ540" s="348"/>
      <c r="CA540" s="348"/>
      <c r="CB540" s="348" t="s">
        <v>772</v>
      </c>
      <c r="CC540" s="348">
        <v>9067</v>
      </c>
      <c r="CD540" s="11"/>
      <c r="CE540" s="11"/>
      <c r="CF540" s="11"/>
      <c r="CG540" s="11"/>
      <c r="CH540" s="11"/>
      <c r="CI540" s="11"/>
      <c r="CJ540" s="11"/>
      <c r="CK540" s="11"/>
      <c r="CL540" s="11"/>
      <c r="CM540" s="11"/>
      <c r="CN540" s="274"/>
      <c r="CO540" s="274"/>
      <c r="CP540" s="274"/>
      <c r="CQ540" s="11"/>
      <c r="CR540" s="11"/>
      <c r="CS540" s="11"/>
      <c r="CT540" s="11"/>
      <c r="CU540" s="11"/>
      <c r="CV540" s="11"/>
      <c r="CW540" s="11"/>
      <c r="CX540" s="11"/>
      <c r="CY540" s="11"/>
      <c r="CZ540" s="11"/>
      <c r="DA540" s="11"/>
      <c r="DB540" s="11"/>
      <c r="DC540" s="11"/>
      <c r="DD540" s="11"/>
      <c r="DE540" s="11"/>
      <c r="DF540" s="11"/>
      <c r="DG540" s="11"/>
      <c r="DH540" s="11"/>
      <c r="DI540" s="11"/>
      <c r="DJ540" s="11"/>
      <c r="DK540" s="11"/>
      <c r="DL540" s="11"/>
      <c r="DM540" s="118"/>
      <c r="DN540" s="118"/>
      <c r="DO540" s="118"/>
      <c r="DP540" s="52"/>
      <c r="DQ540" s="52"/>
      <c r="DR540" s="77"/>
      <c r="DS540" s="77"/>
      <c r="DT540" s="77"/>
      <c r="DU540" s="11"/>
      <c r="DV540" s="11"/>
      <c r="DW540" s="11"/>
      <c r="DX540" s="11"/>
      <c r="DY540" s="11"/>
      <c r="DZ540" s="11"/>
      <c r="EA540" s="11"/>
      <c r="EB540" s="11"/>
      <c r="EC540" s="11"/>
      <c r="ED540" s="11"/>
      <c r="EE540" s="11"/>
      <c r="EF540" s="11"/>
    </row>
    <row r="541" spans="1:136" ht="27" x14ac:dyDescent="0.25">
      <c r="A541" s="425">
        <v>539</v>
      </c>
      <c r="B541" s="427" t="s">
        <v>2457</v>
      </c>
      <c r="C541" s="413" t="s">
        <v>2448</v>
      </c>
      <c r="D541" s="413" t="s">
        <v>2454</v>
      </c>
      <c r="E541" s="79">
        <v>1</v>
      </c>
      <c r="F541" s="405">
        <v>131817.98480000001</v>
      </c>
      <c r="G541" s="274"/>
      <c r="H541" s="274"/>
      <c r="I541" s="274"/>
      <c r="J541" s="274"/>
      <c r="K541" s="11"/>
      <c r="L541" s="274"/>
      <c r="M541" s="274"/>
      <c r="N541" s="274"/>
      <c r="O541" s="48"/>
      <c r="P541" s="11"/>
      <c r="Q541" s="274"/>
      <c r="R541" s="274"/>
      <c r="S541" s="274"/>
      <c r="T541" s="11"/>
      <c r="U541" s="11"/>
      <c r="V541" s="11"/>
      <c r="W541" s="11"/>
      <c r="X541" s="11"/>
      <c r="Y541" s="11"/>
      <c r="Z541" s="48"/>
      <c r="AA541" s="52"/>
      <c r="AB541" s="52"/>
      <c r="AC541" s="118"/>
      <c r="AD541" s="5"/>
      <c r="AE541" s="52"/>
      <c r="AF541" s="113"/>
      <c r="AG541" s="113"/>
      <c r="AH541" s="113"/>
      <c r="AI541" s="52"/>
      <c r="AJ541" s="11"/>
      <c r="AK541" s="269"/>
      <c r="AL541" s="269"/>
      <c r="AM541" s="269"/>
      <c r="AN541" s="301"/>
      <c r="AO541" s="302"/>
      <c r="AP541" s="11"/>
      <c r="AQ541" s="11"/>
      <c r="AR541" s="11"/>
      <c r="AS541" s="11"/>
      <c r="AT541" s="11"/>
      <c r="AU541" s="118"/>
      <c r="AV541" s="118"/>
      <c r="AW541" s="118"/>
      <c r="AX541" s="52"/>
      <c r="AY541" s="52"/>
      <c r="AZ541" s="11"/>
      <c r="BA541" s="11"/>
      <c r="BB541" s="11"/>
      <c r="BC541" s="11"/>
      <c r="BD541" s="11"/>
      <c r="BE541" s="274"/>
      <c r="BF541" s="274"/>
      <c r="BG541" s="274"/>
      <c r="BH541" s="11"/>
      <c r="BI541" s="11"/>
      <c r="BJ541" s="311"/>
      <c r="BK541" s="311"/>
      <c r="BL541" s="311"/>
      <c r="BM541" s="52"/>
      <c r="BN541" s="52"/>
      <c r="BO541" s="387"/>
      <c r="BP541" s="320"/>
      <c r="BQ541" s="320"/>
      <c r="BR541" s="4"/>
      <c r="BS541" s="4"/>
      <c r="BT541" s="11"/>
      <c r="BU541" s="11"/>
      <c r="BV541" s="11"/>
      <c r="BW541" s="11"/>
      <c r="BX541" s="11"/>
      <c r="BY541" s="348"/>
      <c r="BZ541" s="348"/>
      <c r="CA541" s="348"/>
      <c r="CB541" s="348" t="s">
        <v>772</v>
      </c>
      <c r="CC541" s="348">
        <v>9136</v>
      </c>
      <c r="CD541" s="11"/>
      <c r="CE541" s="11"/>
      <c r="CF541" s="11"/>
      <c r="CG541" s="11"/>
      <c r="CH541" s="11"/>
      <c r="CI541" s="11"/>
      <c r="CJ541" s="11"/>
      <c r="CK541" s="11"/>
      <c r="CL541" s="11"/>
      <c r="CM541" s="11"/>
      <c r="CN541" s="274"/>
      <c r="CO541" s="274"/>
      <c r="CP541" s="274"/>
      <c r="CQ541" s="11"/>
      <c r="CR541" s="11"/>
      <c r="CS541" s="11"/>
      <c r="CT541" s="11"/>
      <c r="CU541" s="11"/>
      <c r="CV541" s="11"/>
      <c r="CW541" s="11"/>
      <c r="CX541" s="11"/>
      <c r="CY541" s="11"/>
      <c r="CZ541" s="11"/>
      <c r="DA541" s="11"/>
      <c r="DB541" s="11"/>
      <c r="DC541" s="11"/>
      <c r="DD541" s="11"/>
      <c r="DE541" s="11"/>
      <c r="DF541" s="11"/>
      <c r="DG541" s="11"/>
      <c r="DH541" s="11"/>
      <c r="DI541" s="11"/>
      <c r="DJ541" s="11"/>
      <c r="DK541" s="11"/>
      <c r="DL541" s="11"/>
      <c r="DM541" s="118"/>
      <c r="DN541" s="118"/>
      <c r="DO541" s="118"/>
      <c r="DP541" s="52"/>
      <c r="DQ541" s="52"/>
      <c r="DR541" s="77"/>
      <c r="DS541" s="77"/>
      <c r="DT541" s="77"/>
      <c r="DU541" s="11"/>
      <c r="DV541" s="11"/>
      <c r="DW541" s="11"/>
      <c r="DX541" s="11"/>
      <c r="DY541" s="11"/>
      <c r="DZ541" s="11"/>
      <c r="EA541" s="11"/>
      <c r="EB541" s="11"/>
      <c r="EC541" s="11"/>
      <c r="ED541" s="11"/>
      <c r="EE541" s="11"/>
      <c r="EF541" s="11"/>
    </row>
    <row r="542" spans="1:136" ht="40.5" x14ac:dyDescent="0.25">
      <c r="A542" s="425">
        <v>540</v>
      </c>
      <c r="B542" s="427" t="s">
        <v>2458</v>
      </c>
      <c r="C542" s="413" t="s">
        <v>1147</v>
      </c>
      <c r="D542" s="413" t="s">
        <v>475</v>
      </c>
      <c r="E542" s="79">
        <v>1</v>
      </c>
      <c r="F542" s="405">
        <v>147868</v>
      </c>
      <c r="G542" s="274"/>
      <c r="H542" s="274"/>
      <c r="I542" s="274"/>
      <c r="J542" s="274"/>
      <c r="K542" s="11"/>
      <c r="L542" s="274"/>
      <c r="M542" s="274"/>
      <c r="N542" s="274"/>
      <c r="O542" s="48"/>
      <c r="P542" s="11"/>
      <c r="Q542" s="274"/>
      <c r="R542" s="274"/>
      <c r="S542" s="274"/>
      <c r="T542" s="11"/>
      <c r="U542" s="11"/>
      <c r="V542" s="11"/>
      <c r="W542" s="11"/>
      <c r="X542" s="11"/>
      <c r="Y542" s="11"/>
      <c r="Z542" s="48"/>
      <c r="AA542" s="52"/>
      <c r="AB542" s="52"/>
      <c r="AC542" s="118"/>
      <c r="AD542" s="5"/>
      <c r="AE542" s="52"/>
      <c r="AF542" s="113"/>
      <c r="AG542" s="113"/>
      <c r="AH542" s="113"/>
      <c r="AI542" s="52"/>
      <c r="AJ542" s="11"/>
      <c r="AK542" s="269"/>
      <c r="AL542" s="269"/>
      <c r="AM542" s="269"/>
      <c r="AN542" s="301"/>
      <c r="AO542" s="302"/>
      <c r="AP542" s="11"/>
      <c r="AQ542" s="11"/>
      <c r="AR542" s="11"/>
      <c r="AS542" s="11"/>
      <c r="AT542" s="11"/>
      <c r="AU542" s="118"/>
      <c r="AV542" s="118"/>
      <c r="AW542" s="118"/>
      <c r="AX542" s="52"/>
      <c r="AY542" s="52"/>
      <c r="AZ542" s="11"/>
      <c r="BA542" s="11"/>
      <c r="BB542" s="11"/>
      <c r="BC542" s="11"/>
      <c r="BD542" s="11"/>
      <c r="BE542" s="274"/>
      <c r="BF542" s="274"/>
      <c r="BG542" s="274"/>
      <c r="BH542" s="11"/>
      <c r="BI542" s="11"/>
      <c r="BJ542" s="311"/>
      <c r="BK542" s="311"/>
      <c r="BL542" s="311"/>
      <c r="BM542" s="52"/>
      <c r="BN542" s="52"/>
      <c r="BO542" s="387"/>
      <c r="BP542" s="320"/>
      <c r="BQ542" s="320"/>
      <c r="BR542" s="4"/>
      <c r="BS542" s="4"/>
      <c r="BT542" s="11"/>
      <c r="BU542" s="11"/>
      <c r="BV542" s="11"/>
      <c r="BW542" s="11"/>
      <c r="BX542" s="11"/>
      <c r="BY542" s="348"/>
      <c r="BZ542" s="348"/>
      <c r="CA542" s="348"/>
      <c r="CB542" s="348"/>
      <c r="CC542" s="348"/>
      <c r="CD542" s="11"/>
      <c r="CE542" s="11"/>
      <c r="CF542" s="11"/>
      <c r="CG542" s="11"/>
      <c r="CH542" s="11"/>
      <c r="CI542" s="11"/>
      <c r="CJ542" s="11"/>
      <c r="CK542" s="11"/>
      <c r="CL542" s="11"/>
      <c r="CM542" s="11"/>
      <c r="CN542" s="274"/>
      <c r="CO542" s="274"/>
      <c r="CP542" s="274"/>
      <c r="CQ542" s="11"/>
      <c r="CR542" s="11"/>
      <c r="CS542" s="11"/>
      <c r="CT542" s="11"/>
      <c r="CU542" s="11"/>
      <c r="CV542" s="11"/>
      <c r="CW542" s="11"/>
      <c r="CX542" s="11"/>
      <c r="CY542" s="11"/>
      <c r="CZ542" s="11"/>
      <c r="DA542" s="11"/>
      <c r="DB542" s="11"/>
      <c r="DC542" s="11"/>
      <c r="DD542" s="11"/>
      <c r="DE542" s="11"/>
      <c r="DF542" s="11"/>
      <c r="DG542" s="11"/>
      <c r="DH542" s="11"/>
      <c r="DI542" s="11"/>
      <c r="DJ542" s="11"/>
      <c r="DK542" s="11"/>
      <c r="DL542" s="11"/>
      <c r="DM542" s="118"/>
      <c r="DN542" s="118"/>
      <c r="DO542" s="118"/>
      <c r="DP542" s="52"/>
      <c r="DQ542" s="52"/>
      <c r="DR542" s="77"/>
      <c r="DS542" s="77"/>
      <c r="DT542" s="77"/>
      <c r="DU542" s="11"/>
      <c r="DV542" s="11"/>
      <c r="DW542" s="11"/>
      <c r="DX542" s="11"/>
      <c r="DY542" s="11"/>
      <c r="DZ542" s="11"/>
      <c r="EA542" s="11"/>
      <c r="EB542" s="11"/>
      <c r="EC542" s="11"/>
      <c r="ED542" s="11"/>
      <c r="EE542" s="11"/>
      <c r="EF542" s="11"/>
    </row>
    <row r="543" spans="1:136" ht="27" x14ac:dyDescent="0.25">
      <c r="A543" s="425">
        <v>541</v>
      </c>
      <c r="B543" s="427" t="s">
        <v>2459</v>
      </c>
      <c r="C543" s="413" t="s">
        <v>1147</v>
      </c>
      <c r="D543" s="413" t="s">
        <v>2460</v>
      </c>
      <c r="E543" s="79">
        <v>1</v>
      </c>
      <c r="F543" s="405">
        <v>132479.166</v>
      </c>
      <c r="G543" s="274"/>
      <c r="H543" s="274"/>
      <c r="I543" s="274"/>
      <c r="J543" s="274"/>
      <c r="K543" s="11"/>
      <c r="L543" s="274"/>
      <c r="M543" s="274"/>
      <c r="N543" s="274"/>
      <c r="O543" s="48"/>
      <c r="P543" s="11"/>
      <c r="Q543" s="274"/>
      <c r="R543" s="274"/>
      <c r="S543" s="274"/>
      <c r="T543" s="11"/>
      <c r="U543" s="11"/>
      <c r="V543" s="11"/>
      <c r="W543" s="11"/>
      <c r="X543" s="11"/>
      <c r="Y543" s="11"/>
      <c r="Z543" s="48"/>
      <c r="AA543" s="52"/>
      <c r="AB543" s="52"/>
      <c r="AC543" s="118"/>
      <c r="AD543" s="5"/>
      <c r="AE543" s="52"/>
      <c r="AF543" s="113"/>
      <c r="AG543" s="113"/>
      <c r="AH543" s="113"/>
      <c r="AI543" s="52"/>
      <c r="AJ543" s="11"/>
      <c r="AK543" s="269"/>
      <c r="AL543" s="269"/>
      <c r="AM543" s="269"/>
      <c r="AN543" s="301"/>
      <c r="AO543" s="302"/>
      <c r="AP543" s="11"/>
      <c r="AQ543" s="11"/>
      <c r="AR543" s="11"/>
      <c r="AS543" s="11"/>
      <c r="AT543" s="11"/>
      <c r="AU543" s="118"/>
      <c r="AV543" s="118"/>
      <c r="AW543" s="118"/>
      <c r="AX543" s="52"/>
      <c r="AY543" s="52"/>
      <c r="AZ543" s="11"/>
      <c r="BA543" s="11"/>
      <c r="BB543" s="11"/>
      <c r="BC543" s="11"/>
      <c r="BD543" s="11"/>
      <c r="BE543" s="274"/>
      <c r="BF543" s="274"/>
      <c r="BG543" s="274"/>
      <c r="BH543" s="11"/>
      <c r="BI543" s="11"/>
      <c r="BJ543" s="311"/>
      <c r="BK543" s="311"/>
      <c r="BL543" s="311"/>
      <c r="BM543" s="52"/>
      <c r="BN543" s="52"/>
      <c r="BO543" s="387"/>
      <c r="BP543" s="320"/>
      <c r="BQ543" s="320"/>
      <c r="BR543" s="4"/>
      <c r="BS543" s="4"/>
      <c r="BT543" s="11"/>
      <c r="BU543" s="11"/>
      <c r="BV543" s="11"/>
      <c r="BW543" s="11"/>
      <c r="BX543" s="11"/>
      <c r="BY543" s="348"/>
      <c r="BZ543" s="348"/>
      <c r="CA543" s="348"/>
      <c r="CB543" s="348" t="s">
        <v>772</v>
      </c>
      <c r="CC543" s="348">
        <v>9039</v>
      </c>
      <c r="CD543" s="11"/>
      <c r="CE543" s="11"/>
      <c r="CF543" s="11"/>
      <c r="CG543" s="11"/>
      <c r="CH543" s="11"/>
      <c r="CI543" s="11"/>
      <c r="CJ543" s="11"/>
      <c r="CK543" s="11"/>
      <c r="CL543" s="11"/>
      <c r="CM543" s="11"/>
      <c r="CN543" s="274"/>
      <c r="CO543" s="274"/>
      <c r="CP543" s="274"/>
      <c r="CQ543" s="11"/>
      <c r="CR543" s="11"/>
      <c r="CS543" s="11"/>
      <c r="CT543" s="11"/>
      <c r="CU543" s="11"/>
      <c r="CV543" s="11"/>
      <c r="CW543" s="11"/>
      <c r="CX543" s="11"/>
      <c r="CY543" s="11"/>
      <c r="CZ543" s="11"/>
      <c r="DA543" s="11"/>
      <c r="DB543" s="11"/>
      <c r="DC543" s="11"/>
      <c r="DD543" s="11"/>
      <c r="DE543" s="11"/>
      <c r="DF543" s="11"/>
      <c r="DG543" s="11"/>
      <c r="DH543" s="11"/>
      <c r="DI543" s="11"/>
      <c r="DJ543" s="11"/>
      <c r="DK543" s="11"/>
      <c r="DL543" s="11"/>
      <c r="DM543" s="118"/>
      <c r="DN543" s="118"/>
      <c r="DO543" s="118"/>
      <c r="DP543" s="52"/>
      <c r="DQ543" s="52"/>
      <c r="DR543" s="77"/>
      <c r="DS543" s="77"/>
      <c r="DT543" s="77"/>
      <c r="DU543" s="11"/>
      <c r="DV543" s="11"/>
      <c r="DW543" s="11"/>
      <c r="DX543" s="11"/>
      <c r="DY543" s="11"/>
      <c r="DZ543" s="11"/>
      <c r="EA543" s="11"/>
      <c r="EB543" s="11"/>
      <c r="EC543" s="11"/>
      <c r="ED543" s="11"/>
      <c r="EE543" s="11"/>
      <c r="EF543" s="11"/>
    </row>
    <row r="544" spans="1:136" ht="27" x14ac:dyDescent="0.25">
      <c r="A544" s="425">
        <v>542</v>
      </c>
      <c r="B544" s="427" t="s">
        <v>2461</v>
      </c>
      <c r="C544" s="413" t="s">
        <v>2448</v>
      </c>
      <c r="D544" s="413" t="s">
        <v>475</v>
      </c>
      <c r="E544" s="79">
        <v>1</v>
      </c>
      <c r="F544" s="405">
        <v>124777.35560000001</v>
      </c>
      <c r="G544" s="274"/>
      <c r="H544" s="274"/>
      <c r="I544" s="274"/>
      <c r="J544" s="274"/>
      <c r="K544" s="11"/>
      <c r="L544" s="274"/>
      <c r="M544" s="274"/>
      <c r="N544" s="274"/>
      <c r="O544" s="48"/>
      <c r="P544" s="11"/>
      <c r="Q544" s="274"/>
      <c r="R544" s="274"/>
      <c r="S544" s="274"/>
      <c r="T544" s="11"/>
      <c r="U544" s="11"/>
      <c r="V544" s="11"/>
      <c r="W544" s="11"/>
      <c r="X544" s="11"/>
      <c r="Y544" s="11"/>
      <c r="Z544" s="48"/>
      <c r="AA544" s="52"/>
      <c r="AB544" s="52"/>
      <c r="AC544" s="118"/>
      <c r="AD544" s="5"/>
      <c r="AE544" s="52"/>
      <c r="AF544" s="113"/>
      <c r="AG544" s="113"/>
      <c r="AH544" s="113"/>
      <c r="AI544" s="52"/>
      <c r="AJ544" s="11"/>
      <c r="AK544" s="269"/>
      <c r="AL544" s="269"/>
      <c r="AM544" s="269"/>
      <c r="AN544" s="301"/>
      <c r="AO544" s="302"/>
      <c r="AP544" s="11"/>
      <c r="AQ544" s="11"/>
      <c r="AR544" s="11"/>
      <c r="AS544" s="11"/>
      <c r="AT544" s="11"/>
      <c r="AU544" s="118"/>
      <c r="AV544" s="118"/>
      <c r="AW544" s="118"/>
      <c r="AX544" s="52"/>
      <c r="AY544" s="52"/>
      <c r="AZ544" s="11"/>
      <c r="BA544" s="11"/>
      <c r="BB544" s="11"/>
      <c r="BC544" s="11"/>
      <c r="BD544" s="11"/>
      <c r="BE544" s="274"/>
      <c r="BF544" s="274"/>
      <c r="BG544" s="274"/>
      <c r="BH544" s="11"/>
      <c r="BI544" s="11"/>
      <c r="BJ544" s="311"/>
      <c r="BK544" s="311"/>
      <c r="BL544" s="311"/>
      <c r="BM544" s="52"/>
      <c r="BN544" s="52"/>
      <c r="BO544" s="387"/>
      <c r="BP544" s="320"/>
      <c r="BQ544" s="320"/>
      <c r="BR544" s="4"/>
      <c r="BS544" s="4"/>
      <c r="BT544" s="11"/>
      <c r="BU544" s="11"/>
      <c r="BV544" s="11"/>
      <c r="BW544" s="11"/>
      <c r="BX544" s="11"/>
      <c r="BY544" s="348"/>
      <c r="BZ544" s="348"/>
      <c r="CA544" s="348"/>
      <c r="CB544" s="348" t="s">
        <v>772</v>
      </c>
      <c r="CC544" s="348">
        <v>9187</v>
      </c>
      <c r="CD544" s="11"/>
      <c r="CE544" s="11"/>
      <c r="CF544" s="11"/>
      <c r="CG544" s="11"/>
      <c r="CH544" s="11"/>
      <c r="CI544" s="11"/>
      <c r="CJ544" s="11"/>
      <c r="CK544" s="11"/>
      <c r="CL544" s="11"/>
      <c r="CM544" s="11"/>
      <c r="CN544" s="274"/>
      <c r="CO544" s="274"/>
      <c r="CP544" s="274"/>
      <c r="CQ544" s="11"/>
      <c r="CR544" s="11"/>
      <c r="CS544" s="11"/>
      <c r="CT544" s="11"/>
      <c r="CU544" s="11"/>
      <c r="CV544" s="11"/>
      <c r="CW544" s="11"/>
      <c r="CX544" s="11"/>
      <c r="CY544" s="11"/>
      <c r="CZ544" s="11"/>
      <c r="DA544" s="11"/>
      <c r="DB544" s="11"/>
      <c r="DC544" s="11"/>
      <c r="DD544" s="11"/>
      <c r="DE544" s="11"/>
      <c r="DF544" s="11"/>
      <c r="DG544" s="11"/>
      <c r="DH544" s="11"/>
      <c r="DI544" s="11"/>
      <c r="DJ544" s="11"/>
      <c r="DK544" s="11"/>
      <c r="DL544" s="11"/>
      <c r="DM544" s="118"/>
      <c r="DN544" s="118"/>
      <c r="DO544" s="118"/>
      <c r="DP544" s="52"/>
      <c r="DQ544" s="52"/>
      <c r="DR544" s="77"/>
      <c r="DS544" s="77"/>
      <c r="DT544" s="77"/>
      <c r="DU544" s="11"/>
      <c r="DV544" s="11"/>
      <c r="DW544" s="11"/>
      <c r="DX544" s="11"/>
      <c r="DY544" s="11"/>
      <c r="DZ544" s="11"/>
      <c r="EA544" s="11"/>
      <c r="EB544" s="11"/>
      <c r="EC544" s="11"/>
      <c r="ED544" s="11"/>
      <c r="EE544" s="11"/>
      <c r="EF544" s="11"/>
    </row>
    <row r="545" spans="1:136" ht="27" x14ac:dyDescent="0.25">
      <c r="A545" s="425">
        <v>543</v>
      </c>
      <c r="B545" s="427" t="s">
        <v>2462</v>
      </c>
      <c r="C545" s="413" t="s">
        <v>2448</v>
      </c>
      <c r="D545" s="413" t="s">
        <v>2454</v>
      </c>
      <c r="E545" s="79">
        <v>1</v>
      </c>
      <c r="F545" s="405">
        <v>108146.4304</v>
      </c>
      <c r="G545" s="274"/>
      <c r="H545" s="274"/>
      <c r="I545" s="274"/>
      <c r="J545" s="274"/>
      <c r="K545" s="11"/>
      <c r="L545" s="274"/>
      <c r="M545" s="274"/>
      <c r="N545" s="274"/>
      <c r="O545" s="48"/>
      <c r="P545" s="11"/>
      <c r="Q545" s="274"/>
      <c r="R545" s="274"/>
      <c r="S545" s="274"/>
      <c r="T545" s="11"/>
      <c r="U545" s="11"/>
      <c r="V545" s="11"/>
      <c r="W545" s="11"/>
      <c r="X545" s="11"/>
      <c r="Y545" s="11"/>
      <c r="Z545" s="48"/>
      <c r="AA545" s="52"/>
      <c r="AB545" s="52"/>
      <c r="AC545" s="118"/>
      <c r="AD545" s="5"/>
      <c r="AE545" s="52"/>
      <c r="AF545" s="113"/>
      <c r="AG545" s="113"/>
      <c r="AH545" s="113"/>
      <c r="AI545" s="52"/>
      <c r="AJ545" s="11"/>
      <c r="AK545" s="269"/>
      <c r="AL545" s="269"/>
      <c r="AM545" s="269"/>
      <c r="AN545" s="301"/>
      <c r="AO545" s="302"/>
      <c r="AP545" s="11"/>
      <c r="AQ545" s="11"/>
      <c r="AR545" s="11"/>
      <c r="AS545" s="11"/>
      <c r="AT545" s="11"/>
      <c r="AU545" s="118"/>
      <c r="AV545" s="118"/>
      <c r="AW545" s="118"/>
      <c r="AX545" s="52"/>
      <c r="AY545" s="52"/>
      <c r="AZ545" s="11"/>
      <c r="BA545" s="11"/>
      <c r="BB545" s="11"/>
      <c r="BC545" s="11"/>
      <c r="BD545" s="11"/>
      <c r="BE545" s="274"/>
      <c r="BF545" s="274"/>
      <c r="BG545" s="274"/>
      <c r="BH545" s="11"/>
      <c r="BI545" s="11"/>
      <c r="BJ545" s="311"/>
      <c r="BK545" s="311"/>
      <c r="BL545" s="311"/>
      <c r="BM545" s="52"/>
      <c r="BN545" s="52"/>
      <c r="BO545" s="387"/>
      <c r="BP545" s="320"/>
      <c r="BQ545" s="320"/>
      <c r="BR545" s="4"/>
      <c r="BS545" s="4"/>
      <c r="BT545" s="11"/>
      <c r="BU545" s="11"/>
      <c r="BV545" s="11"/>
      <c r="BW545" s="11"/>
      <c r="BX545" s="11"/>
      <c r="BY545" s="348"/>
      <c r="BZ545" s="348"/>
      <c r="CA545" s="348"/>
      <c r="CB545" s="348" t="s">
        <v>772</v>
      </c>
      <c r="CC545" s="348">
        <v>9043</v>
      </c>
      <c r="CD545" s="11"/>
      <c r="CE545" s="11"/>
      <c r="CF545" s="11"/>
      <c r="CG545" s="11"/>
      <c r="CH545" s="11"/>
      <c r="CI545" s="11"/>
      <c r="CJ545" s="11"/>
      <c r="CK545" s="11"/>
      <c r="CL545" s="11"/>
      <c r="CM545" s="11"/>
      <c r="CN545" s="274"/>
      <c r="CO545" s="274"/>
      <c r="CP545" s="274"/>
      <c r="CQ545" s="11"/>
      <c r="CR545" s="11"/>
      <c r="CS545" s="11"/>
      <c r="CT545" s="11"/>
      <c r="CU545" s="11"/>
      <c r="CV545" s="11"/>
      <c r="CW545" s="11"/>
      <c r="CX545" s="11"/>
      <c r="CY545" s="11"/>
      <c r="CZ545" s="11"/>
      <c r="DA545" s="11"/>
      <c r="DB545" s="11"/>
      <c r="DC545" s="11"/>
      <c r="DD545" s="11"/>
      <c r="DE545" s="11"/>
      <c r="DF545" s="11"/>
      <c r="DG545" s="11"/>
      <c r="DH545" s="11"/>
      <c r="DI545" s="11"/>
      <c r="DJ545" s="11"/>
      <c r="DK545" s="11"/>
      <c r="DL545" s="11"/>
      <c r="DM545" s="118"/>
      <c r="DN545" s="118"/>
      <c r="DO545" s="118"/>
      <c r="DP545" s="52"/>
      <c r="DQ545" s="52"/>
      <c r="DR545" s="77"/>
      <c r="DS545" s="77"/>
      <c r="DT545" s="77"/>
      <c r="DU545" s="11"/>
      <c r="DV545" s="11"/>
      <c r="DW545" s="11"/>
      <c r="DX545" s="11"/>
      <c r="DY545" s="11"/>
      <c r="DZ545" s="11"/>
      <c r="EA545" s="11"/>
      <c r="EB545" s="11"/>
      <c r="EC545" s="11"/>
      <c r="ED545" s="11"/>
      <c r="EE545" s="11"/>
      <c r="EF545" s="11"/>
    </row>
    <row r="546" spans="1:136" ht="13.5" x14ac:dyDescent="0.25">
      <c r="A546" s="425">
        <v>544</v>
      </c>
      <c r="B546" s="428" t="s">
        <v>2463</v>
      </c>
      <c r="C546" s="428" t="s">
        <v>813</v>
      </c>
      <c r="D546" s="413" t="s">
        <v>2464</v>
      </c>
      <c r="E546" s="79">
        <v>1</v>
      </c>
      <c r="F546" s="405"/>
      <c r="G546" s="274"/>
      <c r="H546" s="274"/>
      <c r="I546" s="274"/>
      <c r="J546" s="274"/>
      <c r="K546" s="11"/>
      <c r="L546" s="274"/>
      <c r="M546" s="274"/>
      <c r="N546" s="274"/>
      <c r="O546" s="48"/>
      <c r="P546" s="11"/>
      <c r="Q546" s="274"/>
      <c r="R546" s="274"/>
      <c r="S546" s="274"/>
      <c r="T546" s="11"/>
      <c r="U546" s="11"/>
      <c r="V546" s="11"/>
      <c r="W546" s="11"/>
      <c r="X546" s="11"/>
      <c r="Y546" s="11"/>
      <c r="Z546" s="48"/>
      <c r="AA546" s="52"/>
      <c r="AB546" s="52"/>
      <c r="AC546" s="118"/>
      <c r="AD546" s="5"/>
      <c r="AE546" s="52"/>
      <c r="AF546" s="113"/>
      <c r="AG546" s="113"/>
      <c r="AH546" s="113"/>
      <c r="AI546" s="52"/>
      <c r="AJ546" s="11"/>
      <c r="AK546" s="269"/>
      <c r="AL546" s="269"/>
      <c r="AM546" s="269"/>
      <c r="AN546" s="301"/>
      <c r="AO546" s="302"/>
      <c r="AP546" s="11"/>
      <c r="AQ546" s="11"/>
      <c r="AR546" s="11"/>
      <c r="AS546" s="11"/>
      <c r="AT546" s="11"/>
      <c r="AU546" s="118"/>
      <c r="AV546" s="118"/>
      <c r="AW546" s="118"/>
      <c r="AX546" s="52"/>
      <c r="AY546" s="52"/>
      <c r="AZ546" s="11"/>
      <c r="BA546" s="11"/>
      <c r="BB546" s="11"/>
      <c r="BC546" s="11"/>
      <c r="BD546" s="11"/>
      <c r="BE546" s="274">
        <v>3525000</v>
      </c>
      <c r="BF546" s="274">
        <v>669750</v>
      </c>
      <c r="BG546" s="274">
        <v>4194750</v>
      </c>
      <c r="BH546" s="11" t="s">
        <v>366</v>
      </c>
      <c r="BI546" s="11" t="s">
        <v>2465</v>
      </c>
      <c r="BJ546" s="311"/>
      <c r="BK546" s="311"/>
      <c r="BL546" s="311"/>
      <c r="BM546" s="52"/>
      <c r="BN546" s="52"/>
      <c r="BO546" s="387"/>
      <c r="BP546" s="320"/>
      <c r="BQ546" s="320"/>
      <c r="BR546" s="4"/>
      <c r="BS546" s="4"/>
      <c r="BT546" s="11"/>
      <c r="BU546" s="11"/>
      <c r="BV546" s="11"/>
      <c r="BW546" s="11"/>
      <c r="BX546" s="11"/>
      <c r="BY546" s="348"/>
      <c r="BZ546" s="348"/>
      <c r="CA546" s="348"/>
      <c r="CB546" s="348"/>
      <c r="CC546" s="348"/>
      <c r="CD546" s="11"/>
      <c r="CE546" s="11"/>
      <c r="CF546" s="11"/>
      <c r="CG546" s="11"/>
      <c r="CH546" s="11"/>
      <c r="CI546" s="11"/>
      <c r="CJ546" s="11"/>
      <c r="CK546" s="11"/>
      <c r="CL546" s="11"/>
      <c r="CM546" s="11"/>
      <c r="CN546" s="274"/>
      <c r="CO546" s="274"/>
      <c r="CP546" s="274"/>
      <c r="CQ546" s="11"/>
      <c r="CR546" s="11"/>
      <c r="CS546" s="11"/>
      <c r="CT546" s="11"/>
      <c r="CU546" s="11"/>
      <c r="CV546" s="11"/>
      <c r="CW546" s="11"/>
      <c r="CX546" s="11"/>
      <c r="CY546" s="11"/>
      <c r="CZ546" s="11"/>
      <c r="DA546" s="11"/>
      <c r="DB546" s="11"/>
      <c r="DC546" s="11"/>
      <c r="DD546" s="11"/>
      <c r="DE546" s="11"/>
      <c r="DF546" s="11"/>
      <c r="DG546" s="11"/>
      <c r="DH546" s="11"/>
      <c r="DI546" s="11"/>
      <c r="DJ546" s="11"/>
      <c r="DK546" s="11"/>
      <c r="DL546" s="11"/>
      <c r="DM546" s="118"/>
      <c r="DN546" s="118"/>
      <c r="DO546" s="118"/>
      <c r="DP546" s="52"/>
      <c r="DQ546" s="52"/>
      <c r="DR546" s="77"/>
      <c r="DS546" s="77"/>
      <c r="DT546" s="77"/>
      <c r="DU546" s="11"/>
      <c r="DV546" s="11"/>
      <c r="DW546" s="11"/>
      <c r="DX546" s="11"/>
      <c r="DY546" s="11"/>
      <c r="DZ546" s="11"/>
      <c r="EA546" s="11"/>
      <c r="EB546" s="11"/>
      <c r="EC546" s="11"/>
      <c r="ED546" s="11"/>
      <c r="EE546" s="11"/>
      <c r="EF546" s="11"/>
    </row>
    <row r="547" spans="1:136" ht="13.5" x14ac:dyDescent="0.25">
      <c r="A547" s="425">
        <v>545</v>
      </c>
      <c r="B547" s="428" t="s">
        <v>2466</v>
      </c>
      <c r="C547" s="428" t="s">
        <v>813</v>
      </c>
      <c r="D547" s="413" t="s">
        <v>2467</v>
      </c>
      <c r="E547" s="79">
        <v>1</v>
      </c>
      <c r="F547" s="405"/>
      <c r="G547" s="274"/>
      <c r="H547" s="274"/>
      <c r="I547" s="274"/>
      <c r="J547" s="274"/>
      <c r="K547" s="11"/>
      <c r="L547" s="274"/>
      <c r="M547" s="274"/>
      <c r="N547" s="274"/>
      <c r="O547" s="48"/>
      <c r="P547" s="11"/>
      <c r="Q547" s="274"/>
      <c r="R547" s="274"/>
      <c r="S547" s="274"/>
      <c r="T547" s="11"/>
      <c r="U547" s="11"/>
      <c r="V547" s="11"/>
      <c r="W547" s="11"/>
      <c r="X547" s="11"/>
      <c r="Y547" s="11"/>
      <c r="Z547" s="48"/>
      <c r="AA547" s="52"/>
      <c r="AB547" s="52"/>
      <c r="AC547" s="118"/>
      <c r="AD547" s="5"/>
      <c r="AE547" s="52"/>
      <c r="AF547" s="113"/>
      <c r="AG547" s="113"/>
      <c r="AH547" s="113"/>
      <c r="AI547" s="52"/>
      <c r="AJ547" s="11"/>
      <c r="AK547" s="269"/>
      <c r="AL547" s="269"/>
      <c r="AM547" s="269"/>
      <c r="AN547" s="301"/>
      <c r="AO547" s="302"/>
      <c r="AP547" s="11"/>
      <c r="AQ547" s="11"/>
      <c r="AR547" s="11"/>
      <c r="AS547" s="11"/>
      <c r="AT547" s="11"/>
      <c r="AU547" s="118"/>
      <c r="AV547" s="118"/>
      <c r="AW547" s="118"/>
      <c r="AX547" s="52"/>
      <c r="AY547" s="52"/>
      <c r="AZ547" s="11"/>
      <c r="BA547" s="11"/>
      <c r="BB547" s="11"/>
      <c r="BC547" s="11"/>
      <c r="BD547" s="11"/>
      <c r="BE547" s="274">
        <v>1508000</v>
      </c>
      <c r="BF547" s="274">
        <v>286520</v>
      </c>
      <c r="BG547" s="274">
        <v>1794520</v>
      </c>
      <c r="BH547" s="11" t="s">
        <v>366</v>
      </c>
      <c r="BI547" s="11" t="s">
        <v>2468</v>
      </c>
      <c r="BJ547" s="311"/>
      <c r="BK547" s="311"/>
      <c r="BL547" s="311"/>
      <c r="BM547" s="52"/>
      <c r="BN547" s="52"/>
      <c r="BO547" s="387"/>
      <c r="BP547" s="320"/>
      <c r="BQ547" s="320"/>
      <c r="BR547" s="4"/>
      <c r="BS547" s="4"/>
      <c r="BT547" s="11"/>
      <c r="BU547" s="11"/>
      <c r="BV547" s="11"/>
      <c r="BW547" s="11"/>
      <c r="BX547" s="11"/>
      <c r="BY547" s="349">
        <v>310000</v>
      </c>
      <c r="BZ547" s="349">
        <f>BY547*0.19</f>
        <v>58900</v>
      </c>
      <c r="CA547" s="349">
        <f>BY547+BZ547</f>
        <v>368900</v>
      </c>
      <c r="CB547" s="348" t="s">
        <v>772</v>
      </c>
      <c r="CC547" s="348">
        <v>71640</v>
      </c>
      <c r="CD547" s="11"/>
      <c r="CE547" s="11"/>
      <c r="CF547" s="11"/>
      <c r="CG547" s="11"/>
      <c r="CH547" s="11"/>
      <c r="CI547" s="11"/>
      <c r="CJ547" s="11"/>
      <c r="CK547" s="11"/>
      <c r="CL547" s="11"/>
      <c r="CM547" s="11"/>
      <c r="CN547" s="274"/>
      <c r="CO547" s="274"/>
      <c r="CP547" s="274"/>
      <c r="CQ547" s="11"/>
      <c r="CR547" s="11"/>
      <c r="CS547" s="11"/>
      <c r="CT547" s="11"/>
      <c r="CU547" s="11"/>
      <c r="CV547" s="11"/>
      <c r="CW547" s="11"/>
      <c r="CX547" s="11"/>
      <c r="CY547" s="11"/>
      <c r="CZ547" s="11"/>
      <c r="DA547" s="11"/>
      <c r="DB547" s="11"/>
      <c r="DC547" s="11"/>
      <c r="DD547" s="11"/>
      <c r="DE547" s="11"/>
      <c r="DF547" s="11"/>
      <c r="DG547" s="11"/>
      <c r="DH547" s="11"/>
      <c r="DI547" s="11"/>
      <c r="DJ547" s="11"/>
      <c r="DK547" s="11"/>
      <c r="DL547" s="11"/>
      <c r="DM547" s="118"/>
      <c r="DN547" s="118"/>
      <c r="DO547" s="118"/>
      <c r="DP547" s="52"/>
      <c r="DQ547" s="52"/>
      <c r="DR547" s="77"/>
      <c r="DS547" s="77"/>
      <c r="DT547" s="77"/>
      <c r="DU547" s="11"/>
      <c r="DV547" s="11"/>
      <c r="DW547" s="11"/>
      <c r="DX547" s="11"/>
      <c r="DY547" s="11"/>
      <c r="DZ547" s="11"/>
      <c r="EA547" s="11"/>
      <c r="EB547" s="11"/>
      <c r="EC547" s="11"/>
      <c r="ED547" s="11"/>
      <c r="EE547" s="11"/>
      <c r="EF547" s="11"/>
    </row>
    <row r="548" spans="1:136" ht="13.5" x14ac:dyDescent="0.25">
      <c r="A548" s="425">
        <v>546</v>
      </c>
      <c r="B548" s="426" t="s">
        <v>2469</v>
      </c>
      <c r="C548" s="413" t="s">
        <v>2470</v>
      </c>
      <c r="D548" s="426" t="s">
        <v>132</v>
      </c>
      <c r="E548" s="79">
        <v>1</v>
      </c>
      <c r="F548" s="405"/>
      <c r="G548" s="274"/>
      <c r="H548" s="274"/>
      <c r="I548" s="274"/>
      <c r="J548" s="274"/>
      <c r="K548" s="11"/>
      <c r="L548" s="274"/>
      <c r="M548" s="274"/>
      <c r="N548" s="274"/>
      <c r="O548" s="48"/>
      <c r="P548" s="11"/>
      <c r="Q548" s="274"/>
      <c r="R548" s="274"/>
      <c r="S548" s="274"/>
      <c r="T548" s="11"/>
      <c r="U548" s="11"/>
      <c r="V548" s="11"/>
      <c r="W548" s="11"/>
      <c r="X548" s="11"/>
      <c r="Y548" s="11"/>
      <c r="Z548" s="48"/>
      <c r="AA548" s="52"/>
      <c r="AB548" s="52"/>
      <c r="AC548" s="118"/>
      <c r="AD548" s="5"/>
      <c r="AE548" s="52"/>
      <c r="AF548" s="113"/>
      <c r="AG548" s="113"/>
      <c r="AH548" s="113"/>
      <c r="AI548" s="52"/>
      <c r="AJ548" s="11"/>
      <c r="AK548" s="269"/>
      <c r="AL548" s="269"/>
      <c r="AM548" s="269"/>
      <c r="AN548" s="301"/>
      <c r="AO548" s="302"/>
      <c r="AP548" s="11"/>
      <c r="AQ548" s="11"/>
      <c r="AR548" s="11"/>
      <c r="AS548" s="11"/>
      <c r="AT548" s="11"/>
      <c r="AU548" s="118"/>
      <c r="AV548" s="118"/>
      <c r="AW548" s="118"/>
      <c r="AX548" s="52"/>
      <c r="AY548" s="52"/>
      <c r="AZ548" s="11"/>
      <c r="BA548" s="11"/>
      <c r="BB548" s="11"/>
      <c r="BC548" s="11"/>
      <c r="BD548" s="11"/>
      <c r="BE548" s="274"/>
      <c r="BF548" s="274"/>
      <c r="BG548" s="274"/>
      <c r="BH548" s="11"/>
      <c r="BI548" s="11"/>
      <c r="BJ548" s="311"/>
      <c r="BK548" s="311"/>
      <c r="BL548" s="311"/>
      <c r="BM548" s="52"/>
      <c r="BN548" s="52"/>
      <c r="BO548" s="387"/>
      <c r="BP548" s="320"/>
      <c r="BQ548" s="320"/>
      <c r="BR548" s="4"/>
      <c r="BS548" s="4"/>
      <c r="BT548" s="11"/>
      <c r="BU548" s="11"/>
      <c r="BV548" s="11"/>
      <c r="BW548" s="11"/>
      <c r="BX548" s="11"/>
      <c r="BY548" s="349">
        <v>83000</v>
      </c>
      <c r="BZ548" s="349">
        <f>BY548*0.19</f>
        <v>15770</v>
      </c>
      <c r="CA548" s="349">
        <f>BY548+BZ548</f>
        <v>98770</v>
      </c>
      <c r="CB548" s="348" t="s">
        <v>767</v>
      </c>
      <c r="CC548" s="348" t="s">
        <v>2471</v>
      </c>
      <c r="CD548" s="11"/>
      <c r="CE548" s="11"/>
      <c r="CF548" s="11"/>
      <c r="CG548" s="11"/>
      <c r="CH548" s="11"/>
      <c r="CI548" s="11"/>
      <c r="CJ548" s="11"/>
      <c r="CK548" s="11"/>
      <c r="CL548" s="11"/>
      <c r="CM548" s="11"/>
      <c r="CN548" s="274"/>
      <c r="CO548" s="274"/>
      <c r="CP548" s="274"/>
      <c r="CQ548" s="11"/>
      <c r="CR548" s="11"/>
      <c r="CS548" s="11"/>
      <c r="CT548" s="11"/>
      <c r="CU548" s="11"/>
      <c r="CV548" s="11"/>
      <c r="CW548" s="11"/>
      <c r="CX548" s="11"/>
      <c r="CY548" s="11"/>
      <c r="CZ548" s="11"/>
      <c r="DA548" s="11"/>
      <c r="DB548" s="11"/>
      <c r="DC548" s="11"/>
      <c r="DD548" s="11"/>
      <c r="DE548" s="11"/>
      <c r="DF548" s="11"/>
      <c r="DG548" s="11"/>
      <c r="DH548" s="11"/>
      <c r="DI548" s="11"/>
      <c r="DJ548" s="11"/>
      <c r="DK548" s="11"/>
      <c r="DL548" s="11"/>
      <c r="DM548" s="118"/>
      <c r="DN548" s="118"/>
      <c r="DO548" s="118"/>
      <c r="DP548" s="52"/>
      <c r="DQ548" s="52"/>
      <c r="DR548" s="77"/>
      <c r="DS548" s="77"/>
      <c r="DT548" s="77"/>
      <c r="DU548" s="11"/>
      <c r="DV548" s="11"/>
      <c r="DW548" s="11"/>
      <c r="DX548" s="11"/>
      <c r="DY548" s="11"/>
      <c r="DZ548" s="11"/>
      <c r="EA548" s="11"/>
      <c r="EB548" s="11"/>
      <c r="EC548" s="11"/>
      <c r="ED548" s="11"/>
      <c r="EE548" s="11"/>
      <c r="EF548" s="11"/>
    </row>
    <row r="549" spans="1:136" ht="27" x14ac:dyDescent="0.25">
      <c r="A549" s="425">
        <v>547</v>
      </c>
      <c r="B549" s="427" t="s">
        <v>2472</v>
      </c>
      <c r="C549" s="413" t="s">
        <v>2473</v>
      </c>
      <c r="D549" s="428" t="s">
        <v>2474</v>
      </c>
      <c r="E549" s="79">
        <v>1</v>
      </c>
      <c r="F549" s="406">
        <v>180990.432</v>
      </c>
      <c r="G549" s="274"/>
      <c r="H549" s="274"/>
      <c r="I549" s="274"/>
      <c r="J549" s="274"/>
      <c r="K549" s="11"/>
      <c r="L549" s="274"/>
      <c r="M549" s="274"/>
      <c r="N549" s="274"/>
      <c r="O549" s="48"/>
      <c r="P549" s="11"/>
      <c r="Q549" s="274"/>
      <c r="R549" s="274"/>
      <c r="S549" s="274"/>
      <c r="T549" s="11"/>
      <c r="U549" s="11"/>
      <c r="V549" s="11"/>
      <c r="W549" s="11"/>
      <c r="X549" s="11"/>
      <c r="Y549" s="11"/>
      <c r="Z549" s="48"/>
      <c r="AA549" s="52"/>
      <c r="AB549" s="52"/>
      <c r="AC549" s="118"/>
      <c r="AD549" s="5"/>
      <c r="AE549" s="52"/>
      <c r="AF549" s="113">
        <v>431000</v>
      </c>
      <c r="AG549" s="113">
        <f>AF549*0.19</f>
        <v>81890</v>
      </c>
      <c r="AH549" s="113">
        <f>AF549+AG549</f>
        <v>512890</v>
      </c>
      <c r="AI549" s="277" t="s">
        <v>628</v>
      </c>
      <c r="AJ549" s="33" t="s">
        <v>2475</v>
      </c>
      <c r="AK549" s="269">
        <v>75240</v>
      </c>
      <c r="AL549" s="269">
        <v>14295.6</v>
      </c>
      <c r="AM549" s="269">
        <v>89535.6</v>
      </c>
      <c r="AN549" s="301" t="s">
        <v>88</v>
      </c>
      <c r="AO549" s="302">
        <v>1064480500</v>
      </c>
      <c r="AP549" s="11"/>
      <c r="AQ549" s="11"/>
      <c r="AR549" s="11"/>
      <c r="AS549" s="11"/>
      <c r="AT549" s="11"/>
      <c r="AU549" s="118">
        <v>95680</v>
      </c>
      <c r="AV549" s="118">
        <v>18179</v>
      </c>
      <c r="AW549" s="118">
        <v>113860</v>
      </c>
      <c r="AX549" s="52" t="s">
        <v>607</v>
      </c>
      <c r="AY549" s="52">
        <v>1064480500</v>
      </c>
      <c r="AZ549" s="11"/>
      <c r="BA549" s="11"/>
      <c r="BB549" s="11"/>
      <c r="BC549" s="11"/>
      <c r="BD549" s="11"/>
      <c r="BE549" s="274"/>
      <c r="BF549" s="274"/>
      <c r="BG549" s="274"/>
      <c r="BH549" s="11"/>
      <c r="BI549" s="11"/>
      <c r="BJ549" s="311"/>
      <c r="BK549" s="311"/>
      <c r="BL549" s="311"/>
      <c r="BM549" s="52"/>
      <c r="BN549" s="52"/>
      <c r="BO549" s="387"/>
      <c r="BP549" s="320"/>
      <c r="BQ549" s="320"/>
      <c r="BR549" s="4"/>
      <c r="BS549" s="4"/>
      <c r="BT549" s="11"/>
      <c r="BU549" s="11"/>
      <c r="BV549" s="11"/>
      <c r="BW549" s="11"/>
      <c r="BX549" s="11"/>
      <c r="BY549" s="348"/>
      <c r="BZ549" s="348"/>
      <c r="CA549" s="348"/>
      <c r="CB549" s="348"/>
      <c r="CC549" s="348"/>
      <c r="CD549" s="11"/>
      <c r="CE549" s="11"/>
      <c r="CF549" s="11"/>
      <c r="CG549" s="11"/>
      <c r="CH549" s="11"/>
      <c r="CI549" s="11"/>
      <c r="CJ549" s="11"/>
      <c r="CK549" s="11"/>
      <c r="CL549" s="11"/>
      <c r="CM549" s="11"/>
      <c r="CN549" s="274"/>
      <c r="CO549" s="274"/>
      <c r="CP549" s="274"/>
      <c r="CQ549" s="11"/>
      <c r="CR549" s="11"/>
      <c r="CS549" s="11"/>
      <c r="CT549" s="11"/>
      <c r="CU549" s="11"/>
      <c r="CV549" s="11"/>
      <c r="CW549" s="11"/>
      <c r="CX549" s="11"/>
      <c r="CY549" s="11"/>
      <c r="CZ549" s="11"/>
      <c r="DA549" s="11"/>
      <c r="DB549" s="11"/>
      <c r="DC549" s="11"/>
      <c r="DD549" s="11"/>
      <c r="DE549" s="11"/>
      <c r="DF549" s="11"/>
      <c r="DG549" s="11"/>
      <c r="DH549" s="11"/>
      <c r="DI549" s="11"/>
      <c r="DJ549" s="11"/>
      <c r="DK549" s="11"/>
      <c r="DL549" s="11"/>
      <c r="DM549" s="118"/>
      <c r="DN549" s="118"/>
      <c r="DO549" s="118"/>
      <c r="DP549" s="52"/>
      <c r="DQ549" s="52"/>
      <c r="DR549" s="77"/>
      <c r="DS549" s="77"/>
      <c r="DT549" s="77"/>
      <c r="DU549" s="11"/>
      <c r="DV549" s="11"/>
      <c r="DW549" s="11"/>
      <c r="DX549" s="11"/>
      <c r="DY549" s="11"/>
      <c r="DZ549" s="11"/>
      <c r="EA549" s="11"/>
      <c r="EB549" s="11"/>
      <c r="EC549" s="11"/>
      <c r="ED549" s="11"/>
      <c r="EE549" s="11"/>
      <c r="EF549" s="11"/>
    </row>
    <row r="550" spans="1:136" ht="27" x14ac:dyDescent="0.25">
      <c r="A550" s="425">
        <v>548</v>
      </c>
      <c r="B550" s="426" t="s">
        <v>2476</v>
      </c>
      <c r="C550" s="413" t="s">
        <v>676</v>
      </c>
      <c r="D550" s="428" t="s">
        <v>2474</v>
      </c>
      <c r="E550" s="79">
        <v>1</v>
      </c>
      <c r="F550" s="406">
        <v>482641.152</v>
      </c>
      <c r="G550" s="274"/>
      <c r="H550" s="274"/>
      <c r="I550" s="274"/>
      <c r="J550" s="274"/>
      <c r="K550" s="11"/>
      <c r="L550" s="274"/>
      <c r="M550" s="274"/>
      <c r="N550" s="274"/>
      <c r="O550" s="48"/>
      <c r="P550" s="11"/>
      <c r="Q550" s="274"/>
      <c r="R550" s="274"/>
      <c r="S550" s="274"/>
      <c r="T550" s="11"/>
      <c r="U550" s="11"/>
      <c r="V550" s="11"/>
      <c r="W550" s="11"/>
      <c r="X550" s="11"/>
      <c r="Y550" s="11"/>
      <c r="Z550" s="48"/>
      <c r="AA550" s="52"/>
      <c r="AB550" s="52"/>
      <c r="AC550" s="118"/>
      <c r="AD550" s="5"/>
      <c r="AE550" s="52"/>
      <c r="AF550" s="113">
        <v>222000</v>
      </c>
      <c r="AG550" s="113">
        <f>AF550*0.19</f>
        <v>42180</v>
      </c>
      <c r="AH550" s="113">
        <f>AF550+AG550</f>
        <v>264180</v>
      </c>
      <c r="AI550" s="277" t="s">
        <v>628</v>
      </c>
      <c r="AJ550" s="33" t="s">
        <v>2477</v>
      </c>
      <c r="AK550" s="269">
        <v>272460</v>
      </c>
      <c r="AL550" s="269">
        <v>51767.4</v>
      </c>
      <c r="AM550" s="269">
        <v>324227.40000000002</v>
      </c>
      <c r="AN550" s="301" t="s">
        <v>88</v>
      </c>
      <c r="AO550" s="302">
        <v>1065790500</v>
      </c>
      <c r="AP550" s="11"/>
      <c r="AQ550" s="11"/>
      <c r="AR550" s="11"/>
      <c r="AS550" s="11"/>
      <c r="AT550" s="11"/>
      <c r="AU550" s="118">
        <v>268920</v>
      </c>
      <c r="AV550" s="118">
        <v>51095</v>
      </c>
      <c r="AW550" s="118">
        <v>320015</v>
      </c>
      <c r="AX550" s="52" t="s">
        <v>607</v>
      </c>
      <c r="AY550" s="52">
        <v>1065800500</v>
      </c>
      <c r="AZ550" s="11"/>
      <c r="BA550" s="11"/>
      <c r="BB550" s="11"/>
      <c r="BC550" s="11"/>
      <c r="BD550" s="11"/>
      <c r="BE550" s="274"/>
      <c r="BF550" s="274"/>
      <c r="BG550" s="274"/>
      <c r="BH550" s="11"/>
      <c r="BI550" s="11"/>
      <c r="BJ550" s="311"/>
      <c r="BK550" s="311"/>
      <c r="BL550" s="311"/>
      <c r="BM550" s="52"/>
      <c r="BN550" s="52"/>
      <c r="BO550" s="387"/>
      <c r="BP550" s="320"/>
      <c r="BQ550" s="320"/>
      <c r="BR550" s="4"/>
      <c r="BS550" s="4"/>
      <c r="BT550" s="11"/>
      <c r="BU550" s="11"/>
      <c r="BV550" s="11"/>
      <c r="BW550" s="11"/>
      <c r="BX550" s="11"/>
      <c r="BY550" s="348"/>
      <c r="BZ550" s="348"/>
      <c r="CA550" s="348"/>
      <c r="CB550" s="348"/>
      <c r="CC550" s="348"/>
      <c r="CD550" s="11"/>
      <c r="CE550" s="11"/>
      <c r="CF550" s="11"/>
      <c r="CG550" s="11"/>
      <c r="CH550" s="11"/>
      <c r="CI550" s="11"/>
      <c r="CJ550" s="11"/>
      <c r="CK550" s="11"/>
      <c r="CL550" s="11"/>
      <c r="CM550" s="11"/>
      <c r="CN550" s="274"/>
      <c r="CO550" s="274"/>
      <c r="CP550" s="274"/>
      <c r="CQ550" s="11"/>
      <c r="CR550" s="11"/>
      <c r="CS550" s="11"/>
      <c r="CT550" s="11"/>
      <c r="CU550" s="11"/>
      <c r="CV550" s="11"/>
      <c r="CW550" s="11"/>
      <c r="CX550" s="11"/>
      <c r="CY550" s="11"/>
      <c r="CZ550" s="11"/>
      <c r="DA550" s="11"/>
      <c r="DB550" s="11"/>
      <c r="DC550" s="11"/>
      <c r="DD550" s="11"/>
      <c r="DE550" s="11"/>
      <c r="DF550" s="11"/>
      <c r="DG550" s="11"/>
      <c r="DH550" s="11"/>
      <c r="DI550" s="11"/>
      <c r="DJ550" s="11"/>
      <c r="DK550" s="11"/>
      <c r="DL550" s="11"/>
      <c r="DM550" s="118"/>
      <c r="DN550" s="118"/>
      <c r="DO550" s="118"/>
      <c r="DP550" s="52"/>
      <c r="DQ550" s="52"/>
      <c r="DR550" s="77"/>
      <c r="DS550" s="77"/>
      <c r="DT550" s="77"/>
      <c r="DU550" s="11"/>
      <c r="DV550" s="11"/>
      <c r="DW550" s="11"/>
      <c r="DX550" s="11"/>
      <c r="DY550" s="11"/>
      <c r="DZ550" s="11"/>
      <c r="EA550" s="11"/>
      <c r="EB550" s="11"/>
      <c r="EC550" s="11"/>
      <c r="ED550" s="11"/>
      <c r="EE550" s="11"/>
      <c r="EF550" s="11"/>
    </row>
    <row r="551" spans="1:136" ht="27" x14ac:dyDescent="0.25">
      <c r="A551" s="425">
        <v>549</v>
      </c>
      <c r="B551" s="413" t="s">
        <v>2478</v>
      </c>
      <c r="C551" s="413" t="s">
        <v>676</v>
      </c>
      <c r="D551" s="586" t="s">
        <v>132</v>
      </c>
      <c r="E551" s="79">
        <v>1</v>
      </c>
      <c r="F551" s="405"/>
      <c r="G551" s="274"/>
      <c r="H551" s="274"/>
      <c r="I551" s="274"/>
      <c r="J551" s="274"/>
      <c r="K551" s="11"/>
      <c r="L551" s="274"/>
      <c r="M551" s="274"/>
      <c r="N551" s="274"/>
      <c r="O551" s="48"/>
      <c r="P551" s="11"/>
      <c r="Q551" s="274"/>
      <c r="R551" s="274"/>
      <c r="S551" s="274"/>
      <c r="T551" s="11"/>
      <c r="U551" s="11"/>
      <c r="V551" s="11"/>
      <c r="W551" s="11"/>
      <c r="X551" s="11"/>
      <c r="Y551" s="11"/>
      <c r="Z551" s="48"/>
      <c r="AA551" s="52"/>
      <c r="AB551" s="52"/>
      <c r="AC551" s="118"/>
      <c r="AD551" s="5"/>
      <c r="AE551" s="52"/>
      <c r="AF551" s="113">
        <v>222000</v>
      </c>
      <c r="AG551" s="113">
        <f>AF551*0.19</f>
        <v>42180</v>
      </c>
      <c r="AH551" s="113">
        <f>AF551+AG551</f>
        <v>264180</v>
      </c>
      <c r="AI551" s="277" t="s">
        <v>628</v>
      </c>
      <c r="AJ551" s="33" t="s">
        <v>2477</v>
      </c>
      <c r="AK551" s="269"/>
      <c r="AL551" s="269"/>
      <c r="AM551" s="269"/>
      <c r="AN551" s="301"/>
      <c r="AO551" s="302"/>
      <c r="AP551" s="11"/>
      <c r="AQ551" s="11"/>
      <c r="AR551" s="11"/>
      <c r="AS551" s="11"/>
      <c r="AT551" s="11"/>
      <c r="AU551" s="118">
        <v>268920</v>
      </c>
      <c r="AV551" s="118">
        <v>51095</v>
      </c>
      <c r="AW551" s="118">
        <v>320015</v>
      </c>
      <c r="AX551" s="52" t="s">
        <v>607</v>
      </c>
      <c r="AY551" s="52">
        <v>1065800500</v>
      </c>
      <c r="AZ551" s="11"/>
      <c r="BA551" s="11"/>
      <c r="BB551" s="11"/>
      <c r="BC551" s="11"/>
      <c r="BD551" s="11"/>
      <c r="BE551" s="274"/>
      <c r="BF551" s="274"/>
      <c r="BG551" s="274"/>
      <c r="BH551" s="11"/>
      <c r="BI551" s="11"/>
      <c r="BJ551" s="311"/>
      <c r="BK551" s="311"/>
      <c r="BL551" s="311"/>
      <c r="BM551" s="52"/>
      <c r="BN551" s="52"/>
      <c r="BO551" s="387"/>
      <c r="BP551" s="320"/>
      <c r="BQ551" s="320"/>
      <c r="BR551" s="4"/>
      <c r="BS551" s="4"/>
      <c r="BT551" s="11"/>
      <c r="BU551" s="11"/>
      <c r="BV551" s="11"/>
      <c r="BW551" s="11"/>
      <c r="BX551" s="11"/>
      <c r="BY551" s="348"/>
      <c r="BZ551" s="348"/>
      <c r="CA551" s="348"/>
      <c r="CB551" s="348"/>
      <c r="CC551" s="348"/>
      <c r="CD551" s="11"/>
      <c r="CE551" s="11"/>
      <c r="CF551" s="11"/>
      <c r="CG551" s="11"/>
      <c r="CH551" s="11"/>
      <c r="CI551" s="11"/>
      <c r="CJ551" s="11"/>
      <c r="CK551" s="11"/>
      <c r="CL551" s="11"/>
      <c r="CM551" s="11"/>
      <c r="CN551" s="274"/>
      <c r="CO551" s="274"/>
      <c r="CP551" s="274"/>
      <c r="CQ551" s="11"/>
      <c r="CR551" s="11"/>
      <c r="CS551" s="11"/>
      <c r="CT551" s="11"/>
      <c r="CU551" s="11"/>
      <c r="CV551" s="11"/>
      <c r="CW551" s="11"/>
      <c r="CX551" s="11"/>
      <c r="CY551" s="11"/>
      <c r="CZ551" s="11"/>
      <c r="DA551" s="11"/>
      <c r="DB551" s="11"/>
      <c r="DC551" s="11"/>
      <c r="DD551" s="11"/>
      <c r="DE551" s="11"/>
      <c r="DF551" s="11"/>
      <c r="DG551" s="11"/>
      <c r="DH551" s="11"/>
      <c r="DI551" s="11"/>
      <c r="DJ551" s="11"/>
      <c r="DK551" s="11"/>
      <c r="DL551" s="11"/>
      <c r="DM551" s="118"/>
      <c r="DN551" s="118"/>
      <c r="DO551" s="118"/>
      <c r="DP551" s="52"/>
      <c r="DQ551" s="52"/>
      <c r="DR551" s="77"/>
      <c r="DS551" s="77"/>
      <c r="DT551" s="77"/>
      <c r="DU551" s="11"/>
      <c r="DV551" s="11"/>
      <c r="DW551" s="11"/>
      <c r="DX551" s="11"/>
      <c r="DY551" s="11"/>
      <c r="DZ551" s="11"/>
      <c r="EA551" s="11"/>
      <c r="EB551" s="11"/>
      <c r="EC551" s="11"/>
      <c r="ED551" s="11"/>
      <c r="EE551" s="11"/>
      <c r="EF551" s="11"/>
    </row>
    <row r="552" spans="1:136" ht="13.5" x14ac:dyDescent="0.25">
      <c r="A552" s="425">
        <v>550</v>
      </c>
      <c r="B552" s="428" t="s">
        <v>2479</v>
      </c>
      <c r="C552" s="428" t="s">
        <v>2480</v>
      </c>
      <c r="D552" s="428" t="s">
        <v>157</v>
      </c>
      <c r="E552" s="79">
        <v>1</v>
      </c>
      <c r="F552" s="405"/>
      <c r="G552" s="274"/>
      <c r="H552" s="274"/>
      <c r="I552" s="274"/>
      <c r="J552" s="274"/>
      <c r="K552" s="11"/>
      <c r="L552" s="274"/>
      <c r="M552" s="274"/>
      <c r="N552" s="274"/>
      <c r="O552" s="48"/>
      <c r="P552" s="11"/>
      <c r="Q552" s="274"/>
      <c r="R552" s="274"/>
      <c r="S552" s="274"/>
      <c r="T552" s="11"/>
      <c r="U552" s="11"/>
      <c r="V552" s="11"/>
      <c r="W552" s="11"/>
      <c r="X552" s="11"/>
      <c r="Y552" s="11"/>
      <c r="Z552" s="48"/>
      <c r="AA552" s="52"/>
      <c r="AB552" s="52"/>
      <c r="AC552" s="118"/>
      <c r="AD552" s="5"/>
      <c r="AE552" s="52"/>
      <c r="AF552" s="113"/>
      <c r="AG552" s="113"/>
      <c r="AH552" s="113"/>
      <c r="AI552" s="52"/>
      <c r="AJ552" s="11"/>
      <c r="AK552" s="269"/>
      <c r="AL552" s="269"/>
      <c r="AM552" s="269"/>
      <c r="AN552" s="301"/>
      <c r="AO552" s="302"/>
      <c r="AP552" s="11"/>
      <c r="AQ552" s="11"/>
      <c r="AR552" s="11"/>
      <c r="AS552" s="11"/>
      <c r="AT552" s="11"/>
      <c r="AU552" s="118"/>
      <c r="AV552" s="118"/>
      <c r="AW552" s="118"/>
      <c r="AX552" s="52"/>
      <c r="AY552" s="52"/>
      <c r="AZ552" s="11"/>
      <c r="BA552" s="11"/>
      <c r="BB552" s="11"/>
      <c r="BC552" s="11"/>
      <c r="BD552" s="11"/>
      <c r="BE552" s="274"/>
      <c r="BF552" s="274"/>
      <c r="BG552" s="274"/>
      <c r="BH552" s="11"/>
      <c r="BI552" s="11"/>
      <c r="BJ552" s="311">
        <v>167838.46</v>
      </c>
      <c r="BK552" s="311">
        <v>31889.307399999998</v>
      </c>
      <c r="BL552" s="311">
        <v>199727.76739999998</v>
      </c>
      <c r="BM552" s="52" t="s">
        <v>2480</v>
      </c>
      <c r="BN552" s="52">
        <v>88284</v>
      </c>
      <c r="BO552" s="387"/>
      <c r="BP552" s="320"/>
      <c r="BQ552" s="320"/>
      <c r="BR552" s="4"/>
      <c r="BS552" s="4"/>
      <c r="BT552" s="11"/>
      <c r="BU552" s="11"/>
      <c r="BV552" s="11"/>
      <c r="BW552" s="11"/>
      <c r="BX552" s="11"/>
      <c r="BY552" s="348"/>
      <c r="BZ552" s="348"/>
      <c r="CA552" s="348"/>
      <c r="CB552" s="348"/>
      <c r="CC552" s="348"/>
      <c r="CD552" s="11"/>
      <c r="CE552" s="11"/>
      <c r="CF552" s="11"/>
      <c r="CG552" s="11"/>
      <c r="CH552" s="11"/>
      <c r="CI552" s="11"/>
      <c r="CJ552" s="11"/>
      <c r="CK552" s="11"/>
      <c r="CL552" s="11"/>
      <c r="CM552" s="11"/>
      <c r="CN552" s="274"/>
      <c r="CO552" s="274"/>
      <c r="CP552" s="274"/>
      <c r="CQ552" s="11"/>
      <c r="CR552" s="11"/>
      <c r="CS552" s="11"/>
      <c r="CT552" s="11"/>
      <c r="CU552" s="11"/>
      <c r="CV552" s="11"/>
      <c r="CW552" s="11"/>
      <c r="CX552" s="11"/>
      <c r="CY552" s="11"/>
      <c r="CZ552" s="11"/>
      <c r="DA552" s="11"/>
      <c r="DB552" s="11"/>
      <c r="DC552" s="11"/>
      <c r="DD552" s="11"/>
      <c r="DE552" s="11"/>
      <c r="DF552" s="11"/>
      <c r="DG552" s="11"/>
      <c r="DH552" s="11"/>
      <c r="DI552" s="11"/>
      <c r="DJ552" s="11"/>
      <c r="DK552" s="11"/>
      <c r="DL552" s="11"/>
      <c r="DM552" s="118"/>
      <c r="DN552" s="118"/>
      <c r="DO552" s="118"/>
      <c r="DP552" s="52"/>
      <c r="DQ552" s="52"/>
      <c r="DR552" s="77"/>
      <c r="DS552" s="77"/>
      <c r="DT552" s="77"/>
      <c r="DU552" s="11"/>
      <c r="DV552" s="11"/>
      <c r="DW552" s="11"/>
      <c r="DX552" s="11"/>
      <c r="DY552" s="11"/>
      <c r="DZ552" s="11"/>
      <c r="EA552" s="11"/>
      <c r="EB552" s="11"/>
      <c r="EC552" s="11"/>
      <c r="ED552" s="11"/>
      <c r="EE552" s="11"/>
      <c r="EF552" s="11"/>
    </row>
    <row r="553" spans="1:136" ht="13.5" x14ac:dyDescent="0.25">
      <c r="A553" s="425">
        <v>551</v>
      </c>
      <c r="B553" s="427" t="s">
        <v>2481</v>
      </c>
      <c r="C553" s="427" t="s">
        <v>622</v>
      </c>
      <c r="D553" s="427" t="s">
        <v>938</v>
      </c>
      <c r="E553" s="79">
        <v>1</v>
      </c>
      <c r="F553" s="405">
        <v>107411.3152</v>
      </c>
      <c r="G553" s="274"/>
      <c r="H553" s="274"/>
      <c r="I553" s="274"/>
      <c r="J553" s="274"/>
      <c r="K553" s="11"/>
      <c r="L553" s="274"/>
      <c r="M553" s="274"/>
      <c r="N553" s="274"/>
      <c r="O553" s="48"/>
      <c r="P553" s="11"/>
      <c r="Q553" s="274"/>
      <c r="R553" s="274"/>
      <c r="S553" s="274"/>
      <c r="T553" s="11"/>
      <c r="U553" s="11"/>
      <c r="V553" s="11"/>
      <c r="W553" s="11"/>
      <c r="X553" s="11"/>
      <c r="Y553" s="11"/>
      <c r="Z553" s="48"/>
      <c r="AA553" s="52"/>
      <c r="AB553" s="52"/>
      <c r="AC553" s="118"/>
      <c r="AD553" s="5"/>
      <c r="AE553" s="52"/>
      <c r="AF553" s="113"/>
      <c r="AG553" s="113"/>
      <c r="AH553" s="113"/>
      <c r="AI553" s="52"/>
      <c r="AJ553" s="11"/>
      <c r="AK553" s="269"/>
      <c r="AL553" s="269"/>
      <c r="AM553" s="269"/>
      <c r="AN553" s="301"/>
      <c r="AO553" s="302"/>
      <c r="AP553" s="11"/>
      <c r="AQ553" s="11"/>
      <c r="AR553" s="11"/>
      <c r="AS553" s="11"/>
      <c r="AT553" s="11"/>
      <c r="AU553" s="118"/>
      <c r="AV553" s="118"/>
      <c r="AW553" s="118"/>
      <c r="AX553" s="52"/>
      <c r="AY553" s="52"/>
      <c r="AZ553" s="11"/>
      <c r="BA553" s="11"/>
      <c r="BB553" s="11"/>
      <c r="BC553" s="11"/>
      <c r="BD553" s="11"/>
      <c r="BE553" s="274"/>
      <c r="BF553" s="274"/>
      <c r="BG553" s="274"/>
      <c r="BH553" s="11"/>
      <c r="BI553" s="11"/>
      <c r="BJ553" s="311"/>
      <c r="BK553" s="311"/>
      <c r="BL553" s="311"/>
      <c r="BM553" s="52"/>
      <c r="BN553" s="52"/>
      <c r="BO553" s="387"/>
      <c r="BP553" s="320"/>
      <c r="BQ553" s="320"/>
      <c r="BR553" s="4"/>
      <c r="BS553" s="4"/>
      <c r="BT553" s="11"/>
      <c r="BU553" s="11"/>
      <c r="BV553" s="11"/>
      <c r="BW553" s="11"/>
      <c r="BX553" s="11"/>
      <c r="BY553" s="348"/>
      <c r="BZ553" s="348"/>
      <c r="CA553" s="348"/>
      <c r="CB553" s="348"/>
      <c r="CC553" s="348"/>
      <c r="CD553" s="11"/>
      <c r="CE553" s="11"/>
      <c r="CF553" s="11"/>
      <c r="CG553" s="11"/>
      <c r="CH553" s="11"/>
      <c r="CI553" s="11"/>
      <c r="CJ553" s="11"/>
      <c r="CK553" s="11"/>
      <c r="CL553" s="11"/>
      <c r="CM553" s="11"/>
      <c r="CN553" s="274"/>
      <c r="CO553" s="274"/>
      <c r="CP553" s="274"/>
      <c r="CQ553" s="11"/>
      <c r="CR553" s="11"/>
      <c r="CS553" s="11"/>
      <c r="CT553" s="11"/>
      <c r="CU553" s="11"/>
      <c r="CV553" s="11"/>
      <c r="CW553" s="11"/>
      <c r="CX553" s="11"/>
      <c r="CY553" s="11"/>
      <c r="CZ553" s="11"/>
      <c r="DA553" s="11"/>
      <c r="DB553" s="11"/>
      <c r="DC553" s="11"/>
      <c r="DD553" s="11"/>
      <c r="DE553" s="11"/>
      <c r="DF553" s="11"/>
      <c r="DG553" s="11"/>
      <c r="DH553" s="11"/>
      <c r="DI553" s="11"/>
      <c r="DJ553" s="11"/>
      <c r="DK553" s="11"/>
      <c r="DL553" s="11"/>
      <c r="DM553" s="118"/>
      <c r="DN553" s="118"/>
      <c r="DO553" s="118"/>
      <c r="DP553" s="52"/>
      <c r="DQ553" s="52"/>
      <c r="DR553" s="77"/>
      <c r="DS553" s="77"/>
      <c r="DT553" s="77"/>
      <c r="DU553" s="11"/>
      <c r="DV553" s="11"/>
      <c r="DW553" s="11"/>
      <c r="DX553" s="11"/>
      <c r="DY553" s="11"/>
      <c r="DZ553" s="11"/>
      <c r="EA553" s="11"/>
      <c r="EB553" s="11"/>
      <c r="EC553" s="11"/>
      <c r="ED553" s="11"/>
      <c r="EE553" s="11"/>
      <c r="EF553" s="11"/>
    </row>
    <row r="554" spans="1:136" ht="40.5" x14ac:dyDescent="0.25">
      <c r="A554" s="425">
        <v>552</v>
      </c>
      <c r="B554" s="413" t="s">
        <v>2482</v>
      </c>
      <c r="C554" s="413" t="s">
        <v>2483</v>
      </c>
      <c r="D554" s="413" t="s">
        <v>2484</v>
      </c>
      <c r="E554" s="79">
        <v>1</v>
      </c>
      <c r="F554" s="405"/>
      <c r="G554" s="274"/>
      <c r="H554" s="274"/>
      <c r="I554" s="274"/>
      <c r="J554" s="274"/>
      <c r="K554" s="11"/>
      <c r="L554" s="274"/>
      <c r="M554" s="274"/>
      <c r="N554" s="274"/>
      <c r="O554" s="48"/>
      <c r="P554" s="11"/>
      <c r="Q554" s="274"/>
      <c r="R554" s="274"/>
      <c r="S554" s="274"/>
      <c r="T554" s="11"/>
      <c r="U554" s="11"/>
      <c r="V554" s="11"/>
      <c r="W554" s="11"/>
      <c r="X554" s="11"/>
      <c r="Y554" s="11"/>
      <c r="Z554" s="48"/>
      <c r="AA554" s="52"/>
      <c r="AB554" s="52"/>
      <c r="AC554" s="118"/>
      <c r="AD554" s="5"/>
      <c r="AE554" s="52"/>
      <c r="AF554" s="113"/>
      <c r="AG554" s="113"/>
      <c r="AH554" s="113"/>
      <c r="AI554" s="52"/>
      <c r="AJ554" s="11"/>
      <c r="AK554" s="269"/>
      <c r="AL554" s="269"/>
      <c r="AM554" s="269"/>
      <c r="AN554" s="301"/>
      <c r="AO554" s="302"/>
      <c r="AP554" s="11"/>
      <c r="AQ554" s="11"/>
      <c r="AR554" s="11"/>
      <c r="AS554" s="11"/>
      <c r="AT554" s="11"/>
      <c r="AU554" s="118">
        <v>280202</v>
      </c>
      <c r="AV554" s="118">
        <v>53238</v>
      </c>
      <c r="AW554" s="118">
        <v>333440</v>
      </c>
      <c r="AX554" s="52" t="s">
        <v>607</v>
      </c>
      <c r="AY554" s="52" t="s">
        <v>2485</v>
      </c>
      <c r="AZ554" s="11"/>
      <c r="BA554" s="11"/>
      <c r="BB554" s="11"/>
      <c r="BC554" s="11"/>
      <c r="BD554" s="11"/>
      <c r="BE554" s="274">
        <v>74433000</v>
      </c>
      <c r="BF554" s="274">
        <v>14142270</v>
      </c>
      <c r="BG554" s="274">
        <v>88575270</v>
      </c>
      <c r="BH554" s="11" t="s">
        <v>310</v>
      </c>
      <c r="BI554" s="11" t="s">
        <v>2486</v>
      </c>
      <c r="BJ554" s="311"/>
      <c r="BK554" s="311"/>
      <c r="BL554" s="311"/>
      <c r="BM554" s="52"/>
      <c r="BN554" s="52"/>
      <c r="BO554" s="387"/>
      <c r="BP554" s="320"/>
      <c r="BQ554" s="320"/>
      <c r="BR554" s="4"/>
      <c r="BS554" s="4"/>
      <c r="BT554" s="11"/>
      <c r="BU554" s="11"/>
      <c r="BV554" s="11"/>
      <c r="BW554" s="11"/>
      <c r="BX554" s="11"/>
      <c r="BY554" s="348"/>
      <c r="BZ554" s="348"/>
      <c r="CA554" s="348"/>
      <c r="CB554" s="348"/>
      <c r="CC554" s="348"/>
      <c r="CD554" s="11"/>
      <c r="CE554" s="11"/>
      <c r="CF554" s="11"/>
      <c r="CG554" s="11"/>
      <c r="CH554" s="11"/>
      <c r="CI554" s="11"/>
      <c r="CJ554" s="11"/>
      <c r="CK554" s="11"/>
      <c r="CL554" s="11"/>
      <c r="CM554" s="11"/>
      <c r="CN554" s="274"/>
      <c r="CO554" s="274"/>
      <c r="CP554" s="274"/>
      <c r="CQ554" s="11"/>
      <c r="CR554" s="11"/>
      <c r="CS554" s="11"/>
      <c r="CT554" s="11"/>
      <c r="CU554" s="11"/>
      <c r="CV554" s="11"/>
      <c r="CW554" s="11"/>
      <c r="CX554" s="11"/>
      <c r="CY554" s="11"/>
      <c r="CZ554" s="11"/>
      <c r="DA554" s="11"/>
      <c r="DB554" s="11"/>
      <c r="DC554" s="11"/>
      <c r="DD554" s="11"/>
      <c r="DE554" s="11"/>
      <c r="DF554" s="11"/>
      <c r="DG554" s="11"/>
      <c r="DH554" s="11"/>
      <c r="DI554" s="11"/>
      <c r="DJ554" s="11"/>
      <c r="DK554" s="11"/>
      <c r="DL554" s="11"/>
      <c r="DM554" s="118"/>
      <c r="DN554" s="118"/>
      <c r="DO554" s="118"/>
      <c r="DP554" s="52"/>
      <c r="DQ554" s="52"/>
      <c r="DR554" s="77"/>
      <c r="DS554" s="77"/>
      <c r="DT554" s="77"/>
      <c r="DU554" s="11"/>
      <c r="DV554" s="11"/>
      <c r="DW554" s="11"/>
      <c r="DX554" s="11"/>
      <c r="DY554" s="11"/>
      <c r="DZ554" s="11"/>
      <c r="EA554" s="11"/>
      <c r="EB554" s="11"/>
      <c r="EC554" s="11"/>
      <c r="ED554" s="11"/>
      <c r="EE554" s="11"/>
      <c r="EF554" s="11"/>
    </row>
    <row r="555" spans="1:136" ht="67.5" x14ac:dyDescent="0.25">
      <c r="A555" s="425">
        <v>553</v>
      </c>
      <c r="B555" s="413" t="s">
        <v>2487</v>
      </c>
      <c r="C555" s="413" t="s">
        <v>647</v>
      </c>
      <c r="D555" s="413" t="s">
        <v>2488</v>
      </c>
      <c r="E555" s="79">
        <v>1</v>
      </c>
      <c r="F555" s="406">
        <v>258931.65480000002</v>
      </c>
      <c r="G555" s="274">
        <v>237500</v>
      </c>
      <c r="H555" s="274">
        <v>45125</v>
      </c>
      <c r="I555" s="274">
        <v>282625</v>
      </c>
      <c r="J555" s="274" t="s">
        <v>316</v>
      </c>
      <c r="K555" s="11" t="s">
        <v>2489</v>
      </c>
      <c r="L555" s="274"/>
      <c r="M555" s="274"/>
      <c r="N555" s="274"/>
      <c r="O555" s="48"/>
      <c r="P555" s="11"/>
      <c r="Q555" s="274"/>
      <c r="R555" s="274"/>
      <c r="S555" s="274"/>
      <c r="T555" s="11"/>
      <c r="U555" s="11"/>
      <c r="V555" s="11"/>
      <c r="W555" s="11"/>
      <c r="X555" s="11"/>
      <c r="Y555" s="11"/>
      <c r="Z555" s="48"/>
      <c r="AA555" s="52"/>
      <c r="AB555" s="52"/>
      <c r="AC555" s="118"/>
      <c r="AD555" s="5"/>
      <c r="AE555" s="52"/>
      <c r="AF555" s="113">
        <v>128000</v>
      </c>
      <c r="AG555" s="113">
        <f>AF555*0.19</f>
        <v>24320</v>
      </c>
      <c r="AH555" s="113">
        <f>AF555+AG555</f>
        <v>152320</v>
      </c>
      <c r="AI555" s="277" t="s">
        <v>628</v>
      </c>
      <c r="AJ555" s="33" t="s">
        <v>2490</v>
      </c>
      <c r="AK555" s="269">
        <v>160740</v>
      </c>
      <c r="AL555" s="269">
        <v>30540.6</v>
      </c>
      <c r="AM555" s="269">
        <v>191280.6</v>
      </c>
      <c r="AN555" s="301" t="s">
        <v>88</v>
      </c>
      <c r="AO555" s="302">
        <v>1197790100</v>
      </c>
      <c r="AP555" s="11"/>
      <c r="AQ555" s="11"/>
      <c r="AR555" s="11"/>
      <c r="AS555" s="11"/>
      <c r="AT555" s="11"/>
      <c r="AU555" s="118">
        <v>297189</v>
      </c>
      <c r="AV555" s="118">
        <v>56466</v>
      </c>
      <c r="AW555" s="118">
        <v>353655</v>
      </c>
      <c r="AX555" s="52" t="s">
        <v>607</v>
      </c>
      <c r="AY555" s="52">
        <v>1703120100</v>
      </c>
      <c r="AZ555" s="11"/>
      <c r="BA555" s="11"/>
      <c r="BB555" s="11"/>
      <c r="BC555" s="11"/>
      <c r="BD555" s="11"/>
      <c r="BE555" s="274">
        <v>354000</v>
      </c>
      <c r="BF555" s="274">
        <v>67260</v>
      </c>
      <c r="BG555" s="274">
        <v>421260</v>
      </c>
      <c r="BH555" s="11" t="s">
        <v>88</v>
      </c>
      <c r="BI555" s="11">
        <v>1197790100</v>
      </c>
      <c r="BJ555" s="311"/>
      <c r="BK555" s="311"/>
      <c r="BL555" s="311"/>
      <c r="BM555" s="52"/>
      <c r="BN555" s="52"/>
      <c r="BO555" s="387"/>
      <c r="BP555" s="320"/>
      <c r="BQ555" s="320"/>
      <c r="BR555" s="4"/>
      <c r="BS555" s="4"/>
      <c r="BT555" s="11"/>
      <c r="BU555" s="11"/>
      <c r="BV555" s="11"/>
      <c r="BW555" s="11"/>
      <c r="BX555" s="11"/>
      <c r="BY555" s="348"/>
      <c r="BZ555" s="348"/>
      <c r="CA555" s="348"/>
      <c r="CB555" s="348"/>
      <c r="CC555" s="348"/>
      <c r="CD555" s="11"/>
      <c r="CE555" s="11"/>
      <c r="CF555" s="11"/>
      <c r="CG555" s="11"/>
      <c r="CH555" s="11"/>
      <c r="CI555" s="11"/>
      <c r="CJ555" s="11"/>
      <c r="CK555" s="11"/>
      <c r="CL555" s="11"/>
      <c r="CM555" s="11"/>
      <c r="CN555" s="274"/>
      <c r="CO555" s="274"/>
      <c r="CP555" s="274"/>
      <c r="CQ555" s="11"/>
      <c r="CR555" s="11"/>
      <c r="CS555" s="11"/>
      <c r="CT555" s="11"/>
      <c r="CU555" s="11"/>
      <c r="CV555" s="11"/>
      <c r="CW555" s="11"/>
      <c r="CX555" s="11"/>
      <c r="CY555" s="11"/>
      <c r="CZ555" s="11"/>
      <c r="DA555" s="11"/>
      <c r="DB555" s="11"/>
      <c r="DC555" s="11"/>
      <c r="DD555" s="11"/>
      <c r="DE555" s="11"/>
      <c r="DF555" s="11"/>
      <c r="DG555" s="11"/>
      <c r="DH555" s="11"/>
      <c r="DI555" s="11"/>
      <c r="DJ555" s="11"/>
      <c r="DK555" s="11"/>
      <c r="DL555" s="11"/>
      <c r="DM555" s="118"/>
      <c r="DN555" s="118"/>
      <c r="DO555" s="118"/>
      <c r="DP555" s="52"/>
      <c r="DQ555" s="52"/>
      <c r="DR555" s="77"/>
      <c r="DS555" s="77"/>
      <c r="DT555" s="77"/>
      <c r="DU555" s="11"/>
      <c r="DV555" s="11"/>
      <c r="DW555" s="11"/>
      <c r="DX555" s="11"/>
      <c r="DY555" s="11"/>
      <c r="DZ555" s="11"/>
      <c r="EA555" s="11"/>
      <c r="EB555" s="11"/>
      <c r="EC555" s="11"/>
      <c r="ED555" s="11"/>
      <c r="EE555" s="11"/>
      <c r="EF555" s="11"/>
    </row>
    <row r="556" spans="1:136" ht="27" x14ac:dyDescent="0.25">
      <c r="A556" s="425">
        <v>554</v>
      </c>
      <c r="B556" s="427" t="s">
        <v>2491</v>
      </c>
      <c r="C556" s="413" t="s">
        <v>647</v>
      </c>
      <c r="D556" s="413" t="s">
        <v>2488</v>
      </c>
      <c r="E556" s="79">
        <v>1</v>
      </c>
      <c r="F556" s="406">
        <v>256153.84880000001</v>
      </c>
      <c r="G556" s="274">
        <v>175000</v>
      </c>
      <c r="H556" s="274">
        <v>33250</v>
      </c>
      <c r="I556" s="274">
        <v>208250</v>
      </c>
      <c r="J556" s="274" t="s">
        <v>45</v>
      </c>
      <c r="K556" s="11" t="s">
        <v>2492</v>
      </c>
      <c r="L556" s="274"/>
      <c r="M556" s="274"/>
      <c r="N556" s="274"/>
      <c r="O556" s="48"/>
      <c r="P556" s="11"/>
      <c r="Q556" s="274"/>
      <c r="R556" s="274"/>
      <c r="S556" s="274"/>
      <c r="T556" s="11"/>
      <c r="U556" s="11"/>
      <c r="V556" s="11"/>
      <c r="W556" s="11"/>
      <c r="X556" s="11"/>
      <c r="Y556" s="11"/>
      <c r="Z556" s="48"/>
      <c r="AA556" s="52"/>
      <c r="AB556" s="52"/>
      <c r="AC556" s="118"/>
      <c r="AD556" s="5"/>
      <c r="AE556" s="52"/>
      <c r="AF556" s="113">
        <v>168000</v>
      </c>
      <c r="AG556" s="113">
        <f>AF556*0.19</f>
        <v>31920</v>
      </c>
      <c r="AH556" s="113">
        <f>AF556+AG556</f>
        <v>199920</v>
      </c>
      <c r="AI556" s="277" t="s">
        <v>628</v>
      </c>
      <c r="AJ556" s="33" t="s">
        <v>2493</v>
      </c>
      <c r="AK556" s="269">
        <v>70680</v>
      </c>
      <c r="AL556" s="269">
        <v>13429.2</v>
      </c>
      <c r="AM556" s="269">
        <v>84109.2</v>
      </c>
      <c r="AN556" s="301" t="s">
        <v>88</v>
      </c>
      <c r="AO556" s="302">
        <v>1197810100</v>
      </c>
      <c r="AP556" s="11"/>
      <c r="AQ556" s="11"/>
      <c r="AR556" s="11"/>
      <c r="AS556" s="11"/>
      <c r="AT556" s="11"/>
      <c r="AU556" s="118">
        <v>115251</v>
      </c>
      <c r="AV556" s="118">
        <v>21898</v>
      </c>
      <c r="AW556" s="118">
        <v>137149</v>
      </c>
      <c r="AX556" s="52" t="s">
        <v>607</v>
      </c>
      <c r="AY556" s="52">
        <v>1099720001</v>
      </c>
      <c r="AZ556" s="11"/>
      <c r="BA556" s="11"/>
      <c r="BB556" s="11"/>
      <c r="BC556" s="11"/>
      <c r="BD556" s="11"/>
      <c r="BE556" s="274"/>
      <c r="BF556" s="274"/>
      <c r="BG556" s="274"/>
      <c r="BH556" s="11"/>
      <c r="BI556" s="11"/>
      <c r="BJ556" s="311"/>
      <c r="BK556" s="311"/>
      <c r="BL556" s="311"/>
      <c r="BM556" s="52"/>
      <c r="BN556" s="52"/>
      <c r="BO556" s="387"/>
      <c r="BP556" s="320"/>
      <c r="BQ556" s="320"/>
      <c r="BR556" s="4"/>
      <c r="BS556" s="4"/>
      <c r="BT556" s="11"/>
      <c r="BU556" s="11"/>
      <c r="BV556" s="11"/>
      <c r="BW556" s="11"/>
      <c r="BX556" s="11"/>
      <c r="BY556" s="348"/>
      <c r="BZ556" s="348"/>
      <c r="CA556" s="348"/>
      <c r="CB556" s="348"/>
      <c r="CC556" s="348"/>
      <c r="CD556" s="11"/>
      <c r="CE556" s="11"/>
      <c r="CF556" s="11"/>
      <c r="CG556" s="11"/>
      <c r="CH556" s="11"/>
      <c r="CI556" s="11"/>
      <c r="CJ556" s="11"/>
      <c r="CK556" s="11"/>
      <c r="CL556" s="11"/>
      <c r="CM556" s="11"/>
      <c r="CN556" s="274"/>
      <c r="CO556" s="274"/>
      <c r="CP556" s="274"/>
      <c r="CQ556" s="11"/>
      <c r="CR556" s="11"/>
      <c r="CS556" s="11"/>
      <c r="CT556" s="11"/>
      <c r="CU556" s="11"/>
      <c r="CV556" s="11"/>
      <c r="CW556" s="11"/>
      <c r="CX556" s="11"/>
      <c r="CY556" s="11"/>
      <c r="CZ556" s="11"/>
      <c r="DA556" s="11"/>
      <c r="DB556" s="11"/>
      <c r="DC556" s="11"/>
      <c r="DD556" s="11"/>
      <c r="DE556" s="11"/>
      <c r="DF556" s="11"/>
      <c r="DG556" s="11"/>
      <c r="DH556" s="11"/>
      <c r="DI556" s="11"/>
      <c r="DJ556" s="11"/>
      <c r="DK556" s="11"/>
      <c r="DL556" s="11"/>
      <c r="DM556" s="118"/>
      <c r="DN556" s="118"/>
      <c r="DO556" s="118"/>
      <c r="DP556" s="52"/>
      <c r="DQ556" s="52"/>
      <c r="DR556" s="77"/>
      <c r="DS556" s="77"/>
      <c r="DT556" s="77"/>
      <c r="DU556" s="11"/>
      <c r="DV556" s="11"/>
      <c r="DW556" s="11"/>
      <c r="DX556" s="11"/>
      <c r="DY556" s="11"/>
      <c r="DZ556" s="11"/>
      <c r="EA556" s="11"/>
      <c r="EB556" s="11"/>
      <c r="EC556" s="11"/>
      <c r="ED556" s="11"/>
      <c r="EE556" s="11"/>
      <c r="EF556" s="11"/>
    </row>
    <row r="557" spans="1:136" ht="67.5" x14ac:dyDescent="0.25">
      <c r="A557" s="425">
        <v>555</v>
      </c>
      <c r="B557" s="413" t="s">
        <v>2494</v>
      </c>
      <c r="C557" s="413" t="s">
        <v>647</v>
      </c>
      <c r="D557" s="413" t="s">
        <v>2488</v>
      </c>
      <c r="E557" s="79">
        <v>1</v>
      </c>
      <c r="F557" s="406">
        <v>255241.29200000002</v>
      </c>
      <c r="G557" s="274">
        <v>218750</v>
      </c>
      <c r="H557" s="274">
        <v>41562.5</v>
      </c>
      <c r="I557" s="274">
        <v>260312.5</v>
      </c>
      <c r="J557" s="274" t="s">
        <v>316</v>
      </c>
      <c r="K557" s="11" t="s">
        <v>2495</v>
      </c>
      <c r="L557" s="274"/>
      <c r="M557" s="274"/>
      <c r="N557" s="274"/>
      <c r="O557" s="48"/>
      <c r="P557" s="11"/>
      <c r="Q557" s="274"/>
      <c r="R557" s="274"/>
      <c r="S557" s="274"/>
      <c r="T557" s="11"/>
      <c r="U557" s="11"/>
      <c r="V557" s="11"/>
      <c r="W557" s="11"/>
      <c r="X557" s="11"/>
      <c r="Y557" s="11"/>
      <c r="Z557" s="48"/>
      <c r="AA557" s="52"/>
      <c r="AB557" s="52"/>
      <c r="AC557" s="118"/>
      <c r="AD557" s="5"/>
      <c r="AE557" s="52"/>
      <c r="AF557" s="113">
        <v>128000</v>
      </c>
      <c r="AG557" s="113">
        <f>AF557*0.19</f>
        <v>24320</v>
      </c>
      <c r="AH557" s="113">
        <f>AF557+AG557</f>
        <v>152320</v>
      </c>
      <c r="AI557" s="277" t="s">
        <v>628</v>
      </c>
      <c r="AJ557" s="33" t="s">
        <v>2496</v>
      </c>
      <c r="AK557" s="269">
        <v>135090</v>
      </c>
      <c r="AL557" s="269">
        <v>25667.1</v>
      </c>
      <c r="AM557" s="269">
        <v>160757.1</v>
      </c>
      <c r="AN557" s="301" t="s">
        <v>88</v>
      </c>
      <c r="AO557" s="302">
        <v>1197730100</v>
      </c>
      <c r="AP557" s="11"/>
      <c r="AQ557" s="11"/>
      <c r="AR557" s="11"/>
      <c r="AS557" s="11"/>
      <c r="AT557" s="11"/>
      <c r="AU557" s="118">
        <v>123225</v>
      </c>
      <c r="AV557" s="118">
        <v>23413</v>
      </c>
      <c r="AW557" s="118">
        <v>146638</v>
      </c>
      <c r="AX557" s="52" t="s">
        <v>607</v>
      </c>
      <c r="AY557" s="52">
        <v>1702260100</v>
      </c>
      <c r="AZ557" s="11"/>
      <c r="BA557" s="11"/>
      <c r="BB557" s="11"/>
      <c r="BC557" s="11"/>
      <c r="BD557" s="11"/>
      <c r="BE557" s="274"/>
      <c r="BF557" s="274"/>
      <c r="BG557" s="274"/>
      <c r="BH557" s="11"/>
      <c r="BI557" s="11"/>
      <c r="BJ557" s="311"/>
      <c r="BK557" s="311"/>
      <c r="BL557" s="311"/>
      <c r="BM557" s="52"/>
      <c r="BN557" s="52"/>
      <c r="BO557" s="387"/>
      <c r="BP557" s="320"/>
      <c r="BQ557" s="320"/>
      <c r="BR557" s="4"/>
      <c r="BS557" s="4"/>
      <c r="BT557" s="11"/>
      <c r="BU557" s="11"/>
      <c r="BV557" s="11"/>
      <c r="BW557" s="11"/>
      <c r="BX557" s="11"/>
      <c r="BY557" s="348"/>
      <c r="BZ557" s="348"/>
      <c r="CA557" s="348"/>
      <c r="CB557" s="348"/>
      <c r="CC557" s="348"/>
      <c r="CD557" s="11"/>
      <c r="CE557" s="11"/>
      <c r="CF557" s="11"/>
      <c r="CG557" s="11"/>
      <c r="CH557" s="11"/>
      <c r="CI557" s="11"/>
      <c r="CJ557" s="11"/>
      <c r="CK557" s="11"/>
      <c r="CL557" s="11"/>
      <c r="CM557" s="11"/>
      <c r="CN557" s="274"/>
      <c r="CO557" s="274"/>
      <c r="CP557" s="274"/>
      <c r="CQ557" s="11"/>
      <c r="CR557" s="11"/>
      <c r="CS557" s="11"/>
      <c r="CT557" s="11"/>
      <c r="CU557" s="11"/>
      <c r="CV557" s="11"/>
      <c r="CW557" s="11"/>
      <c r="CX557" s="11"/>
      <c r="CY557" s="11"/>
      <c r="CZ557" s="11"/>
      <c r="DA557" s="11"/>
      <c r="DB557" s="11"/>
      <c r="DC557" s="11"/>
      <c r="DD557" s="11"/>
      <c r="DE557" s="11"/>
      <c r="DF557" s="11"/>
      <c r="DG557" s="11"/>
      <c r="DH557" s="11"/>
      <c r="DI557" s="11"/>
      <c r="DJ557" s="11"/>
      <c r="DK557" s="11"/>
      <c r="DL557" s="11"/>
      <c r="DM557" s="118"/>
      <c r="DN557" s="118"/>
      <c r="DO557" s="118"/>
      <c r="DP557" s="52"/>
      <c r="DQ557" s="52"/>
      <c r="DR557" s="77"/>
      <c r="DS557" s="77"/>
      <c r="DT557" s="77"/>
      <c r="DU557" s="11"/>
      <c r="DV557" s="11"/>
      <c r="DW557" s="11"/>
      <c r="DX557" s="11"/>
      <c r="DY557" s="11"/>
      <c r="DZ557" s="11"/>
      <c r="EA557" s="11"/>
      <c r="EB557" s="11"/>
      <c r="EC557" s="11"/>
      <c r="ED557" s="11"/>
      <c r="EE557" s="11"/>
      <c r="EF557" s="11"/>
    </row>
    <row r="558" spans="1:136" ht="27" x14ac:dyDescent="0.25">
      <c r="A558" s="425">
        <v>556</v>
      </c>
      <c r="B558" s="427" t="s">
        <v>2497</v>
      </c>
      <c r="C558" s="413" t="s">
        <v>2498</v>
      </c>
      <c r="D558" s="413" t="s">
        <v>39</v>
      </c>
      <c r="E558" s="79">
        <v>1</v>
      </c>
      <c r="F558" s="406">
        <v>105577.75200000001</v>
      </c>
      <c r="G558" s="274">
        <v>310000</v>
      </c>
      <c r="H558" s="274">
        <v>58900</v>
      </c>
      <c r="I558" s="274">
        <v>368900</v>
      </c>
      <c r="J558" s="274" t="s">
        <v>316</v>
      </c>
      <c r="K558" s="11" t="s">
        <v>2499</v>
      </c>
      <c r="L558" s="274"/>
      <c r="M558" s="274"/>
      <c r="N558" s="274"/>
      <c r="O558" s="48"/>
      <c r="P558" s="11"/>
      <c r="Q558" s="274"/>
      <c r="R558" s="274"/>
      <c r="S558" s="274"/>
      <c r="T558" s="11"/>
      <c r="U558" s="11"/>
      <c r="V558" s="11"/>
      <c r="W558" s="11"/>
      <c r="X558" s="11"/>
      <c r="Y558" s="11"/>
      <c r="Z558" s="48"/>
      <c r="AA558" s="52"/>
      <c r="AB558" s="52"/>
      <c r="AC558" s="118"/>
      <c r="AD558" s="5"/>
      <c r="AE558" s="52"/>
      <c r="AF558" s="113">
        <v>128000</v>
      </c>
      <c r="AG558" s="113">
        <f>AF558*0.19</f>
        <v>24320</v>
      </c>
      <c r="AH558" s="113">
        <f>AF558+AG558</f>
        <v>152320</v>
      </c>
      <c r="AI558" s="277" t="s">
        <v>628</v>
      </c>
      <c r="AJ558" s="33" t="s">
        <v>2500</v>
      </c>
      <c r="AK558" s="269">
        <v>82080</v>
      </c>
      <c r="AL558" s="269">
        <v>15595.2</v>
      </c>
      <c r="AM558" s="269">
        <v>97675.199999999997</v>
      </c>
      <c r="AN558" s="301" t="s">
        <v>88</v>
      </c>
      <c r="AO558" s="302">
        <v>1197760100</v>
      </c>
      <c r="AP558" s="11"/>
      <c r="AQ558" s="11"/>
      <c r="AR558" s="11"/>
      <c r="AS558" s="11"/>
      <c r="AT558" s="11"/>
      <c r="AU558" s="118">
        <v>104379</v>
      </c>
      <c r="AV558" s="118">
        <v>19832</v>
      </c>
      <c r="AW558" s="118">
        <v>124211</v>
      </c>
      <c r="AX558" s="52" t="s">
        <v>607</v>
      </c>
      <c r="AY558" s="52">
        <v>1197760100</v>
      </c>
      <c r="AZ558" s="11"/>
      <c r="BA558" s="11"/>
      <c r="BB558" s="11"/>
      <c r="BC558" s="11"/>
      <c r="BD558" s="11"/>
      <c r="BE558" s="274">
        <v>180000</v>
      </c>
      <c r="BF558" s="274">
        <v>34200</v>
      </c>
      <c r="BG558" s="274">
        <v>214200</v>
      </c>
      <c r="BH558" s="11" t="s">
        <v>88</v>
      </c>
      <c r="BI558" s="11">
        <v>1197760100</v>
      </c>
      <c r="BJ558" s="311"/>
      <c r="BK558" s="311"/>
      <c r="BL558" s="311"/>
      <c r="BM558" s="52"/>
      <c r="BN558" s="52"/>
      <c r="BO558" s="387"/>
      <c r="BP558" s="320"/>
      <c r="BQ558" s="320"/>
      <c r="BR558" s="4"/>
      <c r="BS558" s="4"/>
      <c r="BT558" s="11"/>
      <c r="BU558" s="11"/>
      <c r="BV558" s="11"/>
      <c r="BW558" s="11"/>
      <c r="BX558" s="11"/>
      <c r="BY558" s="348"/>
      <c r="BZ558" s="348"/>
      <c r="CA558" s="348"/>
      <c r="CB558" s="348"/>
      <c r="CC558" s="348"/>
      <c r="CD558" s="11"/>
      <c r="CE558" s="11"/>
      <c r="CF558" s="11"/>
      <c r="CG558" s="11"/>
      <c r="CH558" s="11"/>
      <c r="CI558" s="11"/>
      <c r="CJ558" s="11"/>
      <c r="CK558" s="11"/>
      <c r="CL558" s="11"/>
      <c r="CM558" s="11"/>
      <c r="CN558" s="274"/>
      <c r="CO558" s="274"/>
      <c r="CP558" s="274"/>
      <c r="CQ558" s="11"/>
      <c r="CR558" s="11"/>
      <c r="CS558" s="11"/>
      <c r="CT558" s="11"/>
      <c r="CU558" s="11"/>
      <c r="CV558" s="11"/>
      <c r="CW558" s="11"/>
      <c r="CX558" s="11"/>
      <c r="CY558" s="11"/>
      <c r="CZ558" s="11"/>
      <c r="DA558" s="11"/>
      <c r="DB558" s="11"/>
      <c r="DC558" s="11"/>
      <c r="DD558" s="11"/>
      <c r="DE558" s="11"/>
      <c r="DF558" s="11"/>
      <c r="DG558" s="11"/>
      <c r="DH558" s="11"/>
      <c r="DI558" s="11"/>
      <c r="DJ558" s="11"/>
      <c r="DK558" s="11"/>
      <c r="DL558" s="11"/>
      <c r="DM558" s="118"/>
      <c r="DN558" s="118"/>
      <c r="DO558" s="118"/>
      <c r="DP558" s="52"/>
      <c r="DQ558" s="52"/>
      <c r="DR558" s="77"/>
      <c r="DS558" s="77"/>
      <c r="DT558" s="77"/>
      <c r="DU558" s="11"/>
      <c r="DV558" s="11"/>
      <c r="DW558" s="11"/>
      <c r="DX558" s="11"/>
      <c r="DY558" s="11"/>
      <c r="DZ558" s="11"/>
      <c r="EA558" s="11"/>
      <c r="EB558" s="11"/>
      <c r="EC558" s="11"/>
      <c r="ED558" s="11"/>
      <c r="EE558" s="11"/>
      <c r="EF558" s="11"/>
    </row>
    <row r="559" spans="1:136" ht="27" x14ac:dyDescent="0.25">
      <c r="A559" s="425">
        <v>557</v>
      </c>
      <c r="B559" s="427" t="s">
        <v>2501</v>
      </c>
      <c r="C559" s="413" t="s">
        <v>2502</v>
      </c>
      <c r="D559" s="413" t="s">
        <v>39</v>
      </c>
      <c r="E559" s="79">
        <v>1</v>
      </c>
      <c r="F559" s="406">
        <v>105577.75200000001</v>
      </c>
      <c r="G559" s="274">
        <v>300000</v>
      </c>
      <c r="H559" s="274">
        <v>57000</v>
      </c>
      <c r="I559" s="274">
        <v>357000</v>
      </c>
      <c r="J559" s="274" t="s">
        <v>45</v>
      </c>
      <c r="K559" s="11" t="s">
        <v>2503</v>
      </c>
      <c r="L559" s="274"/>
      <c r="M559" s="274"/>
      <c r="N559" s="274"/>
      <c r="O559" s="48"/>
      <c r="P559" s="11"/>
      <c r="Q559" s="274"/>
      <c r="R559" s="274"/>
      <c r="S559" s="274"/>
      <c r="T559" s="11"/>
      <c r="U559" s="11"/>
      <c r="V559" s="11"/>
      <c r="W559" s="11"/>
      <c r="X559" s="11"/>
      <c r="Y559" s="11"/>
      <c r="Z559" s="48"/>
      <c r="AA559" s="52"/>
      <c r="AB559" s="52"/>
      <c r="AC559" s="118"/>
      <c r="AD559" s="5"/>
      <c r="AE559" s="52"/>
      <c r="AF559" s="113">
        <v>128000</v>
      </c>
      <c r="AG559" s="113">
        <f>AF559*0.19</f>
        <v>24320</v>
      </c>
      <c r="AH559" s="113">
        <f>AF559+AG559</f>
        <v>152320</v>
      </c>
      <c r="AI559" s="277" t="s">
        <v>628</v>
      </c>
      <c r="AJ559" s="33" t="s">
        <v>2504</v>
      </c>
      <c r="AK559" s="269">
        <v>135090</v>
      </c>
      <c r="AL559" s="269">
        <v>25667.1</v>
      </c>
      <c r="AM559" s="269">
        <v>160757.1</v>
      </c>
      <c r="AN559" s="301" t="s">
        <v>88</v>
      </c>
      <c r="AO559" s="302">
        <v>1702300100</v>
      </c>
      <c r="AP559" s="11"/>
      <c r="AQ559" s="11"/>
      <c r="AR559" s="11"/>
      <c r="AS559" s="11"/>
      <c r="AT559" s="11"/>
      <c r="AU559" s="118">
        <v>171790</v>
      </c>
      <c r="AV559" s="118">
        <v>32640</v>
      </c>
      <c r="AW559" s="118">
        <v>204430</v>
      </c>
      <c r="AX559" s="52" t="s">
        <v>607</v>
      </c>
      <c r="AY559" s="52">
        <v>1702300100</v>
      </c>
      <c r="AZ559" s="11"/>
      <c r="BA559" s="11"/>
      <c r="BB559" s="11"/>
      <c r="BC559" s="11"/>
      <c r="BD559" s="11"/>
      <c r="BE559" s="274">
        <v>296000</v>
      </c>
      <c r="BF559" s="274">
        <v>56240</v>
      </c>
      <c r="BG559" s="274">
        <v>352240</v>
      </c>
      <c r="BH559" s="11" t="s">
        <v>88</v>
      </c>
      <c r="BI559" s="11">
        <v>1702300100</v>
      </c>
      <c r="BJ559" s="311"/>
      <c r="BK559" s="311"/>
      <c r="BL559" s="311"/>
      <c r="BM559" s="52"/>
      <c r="BN559" s="52"/>
      <c r="BO559" s="387"/>
      <c r="BP559" s="320"/>
      <c r="BQ559" s="320"/>
      <c r="BR559" s="4"/>
      <c r="BS559" s="4"/>
      <c r="BT559" s="11"/>
      <c r="BU559" s="11"/>
      <c r="BV559" s="11"/>
      <c r="BW559" s="11"/>
      <c r="BX559" s="11"/>
      <c r="BY559" s="348"/>
      <c r="BZ559" s="348"/>
      <c r="CA559" s="348"/>
      <c r="CB559" s="348"/>
      <c r="CC559" s="348"/>
      <c r="CD559" s="11"/>
      <c r="CE559" s="11"/>
      <c r="CF559" s="11"/>
      <c r="CG559" s="11"/>
      <c r="CH559" s="11"/>
      <c r="CI559" s="11"/>
      <c r="CJ559" s="11"/>
      <c r="CK559" s="11"/>
      <c r="CL559" s="11"/>
      <c r="CM559" s="11"/>
      <c r="CN559" s="274"/>
      <c r="CO559" s="274"/>
      <c r="CP559" s="274"/>
      <c r="CQ559" s="11"/>
      <c r="CR559" s="11"/>
      <c r="CS559" s="11"/>
      <c r="CT559" s="11"/>
      <c r="CU559" s="11"/>
      <c r="CV559" s="11"/>
      <c r="CW559" s="11"/>
      <c r="CX559" s="11"/>
      <c r="CY559" s="11"/>
      <c r="CZ559" s="11"/>
      <c r="DA559" s="11"/>
      <c r="DB559" s="11"/>
      <c r="DC559" s="11"/>
      <c r="DD559" s="11"/>
      <c r="DE559" s="11"/>
      <c r="DF559" s="11"/>
      <c r="DG559" s="11"/>
      <c r="DH559" s="11"/>
      <c r="DI559" s="11"/>
      <c r="DJ559" s="11"/>
      <c r="DK559" s="11"/>
      <c r="DL559" s="11"/>
      <c r="DM559" s="118"/>
      <c r="DN559" s="118"/>
      <c r="DO559" s="118"/>
      <c r="DP559" s="52"/>
      <c r="DQ559" s="52"/>
      <c r="DR559" s="77"/>
      <c r="DS559" s="77"/>
      <c r="DT559" s="77"/>
      <c r="DU559" s="11"/>
      <c r="DV559" s="11"/>
      <c r="DW559" s="11"/>
      <c r="DX559" s="11"/>
      <c r="DY559" s="11"/>
      <c r="DZ559" s="11"/>
      <c r="EA559" s="11"/>
      <c r="EB559" s="11"/>
      <c r="EC559" s="11"/>
      <c r="ED559" s="11"/>
      <c r="EE559" s="11"/>
      <c r="EF559" s="11"/>
    </row>
    <row r="560" spans="1:136" ht="108" x14ac:dyDescent="0.25">
      <c r="A560" s="425">
        <v>558</v>
      </c>
      <c r="B560" s="426" t="s">
        <v>2505</v>
      </c>
      <c r="C560" s="413" t="s">
        <v>1318</v>
      </c>
      <c r="D560" s="413" t="s">
        <v>609</v>
      </c>
      <c r="E560" s="79">
        <v>1</v>
      </c>
      <c r="F560" s="406">
        <v>3358378.0160000003</v>
      </c>
      <c r="G560" s="274"/>
      <c r="H560" s="274"/>
      <c r="I560" s="274"/>
      <c r="J560" s="274"/>
      <c r="K560" s="11"/>
      <c r="L560" s="274"/>
      <c r="M560" s="274"/>
      <c r="N560" s="274"/>
      <c r="O560" s="48"/>
      <c r="P560" s="11"/>
      <c r="Q560" s="274"/>
      <c r="R560" s="274"/>
      <c r="S560" s="274"/>
      <c r="T560" s="11"/>
      <c r="U560" s="11"/>
      <c r="V560" s="11"/>
      <c r="W560" s="11"/>
      <c r="X560" s="11"/>
      <c r="Y560" s="11"/>
      <c r="Z560" s="48"/>
      <c r="AA560" s="52"/>
      <c r="AB560" s="52"/>
      <c r="AC560" s="118"/>
      <c r="AD560" s="5"/>
      <c r="AE560" s="52"/>
      <c r="AF560" s="113"/>
      <c r="AG560" s="113"/>
      <c r="AH560" s="113"/>
      <c r="AI560" s="52"/>
      <c r="AJ560" s="11"/>
      <c r="AK560" s="269"/>
      <c r="AL560" s="269"/>
      <c r="AM560" s="269"/>
      <c r="AN560" s="301"/>
      <c r="AO560" s="302"/>
      <c r="AP560" s="11"/>
      <c r="AQ560" s="11"/>
      <c r="AR560" s="11"/>
      <c r="AS560" s="11"/>
      <c r="AT560" s="11"/>
      <c r="AU560" s="118"/>
      <c r="AV560" s="118"/>
      <c r="AW560" s="118"/>
      <c r="AX560" s="52"/>
      <c r="AY560" s="52"/>
      <c r="AZ560" s="11"/>
      <c r="BA560" s="11"/>
      <c r="BB560" s="11"/>
      <c r="BC560" s="11"/>
      <c r="BD560" s="11"/>
      <c r="BE560" s="274"/>
      <c r="BF560" s="274"/>
      <c r="BG560" s="274"/>
      <c r="BH560" s="11"/>
      <c r="BI560" s="11"/>
      <c r="BJ560" s="144">
        <v>3553846.15</v>
      </c>
      <c r="BK560" s="144">
        <v>675230.76850000001</v>
      </c>
      <c r="BL560" s="144">
        <v>4229076.9184999997</v>
      </c>
      <c r="BM560" s="33" t="s">
        <v>1318</v>
      </c>
      <c r="BN560" s="33">
        <v>4316033</v>
      </c>
      <c r="BO560" s="387"/>
      <c r="BP560" s="320"/>
      <c r="BQ560" s="320"/>
      <c r="BR560" s="4"/>
      <c r="BS560" s="4"/>
      <c r="BT560" s="11"/>
      <c r="BU560" s="11"/>
      <c r="BV560" s="11"/>
      <c r="BW560" s="11"/>
      <c r="BX560" s="11"/>
      <c r="BY560" s="348"/>
      <c r="BZ560" s="348"/>
      <c r="CA560" s="348"/>
      <c r="CB560" s="348"/>
      <c r="CC560" s="348"/>
      <c r="CD560" s="11"/>
      <c r="CE560" s="11"/>
      <c r="CF560" s="11"/>
      <c r="CG560" s="11"/>
      <c r="CH560" s="11"/>
      <c r="CI560" s="11"/>
      <c r="CJ560" s="11"/>
      <c r="CK560" s="11"/>
      <c r="CL560" s="11"/>
      <c r="CM560" s="11"/>
      <c r="CN560" s="274"/>
      <c r="CO560" s="274"/>
      <c r="CP560" s="274"/>
      <c r="CQ560" s="11"/>
      <c r="CR560" s="11"/>
      <c r="CS560" s="11"/>
      <c r="CT560" s="11"/>
      <c r="CU560" s="11"/>
      <c r="CV560" s="11"/>
      <c r="CW560" s="11"/>
      <c r="CX560" s="11"/>
      <c r="CY560" s="11"/>
      <c r="CZ560" s="11"/>
      <c r="DA560" s="11"/>
      <c r="DB560" s="11"/>
      <c r="DC560" s="11"/>
      <c r="DD560" s="11"/>
      <c r="DE560" s="11"/>
      <c r="DF560" s="11"/>
      <c r="DG560" s="11"/>
      <c r="DH560" s="11"/>
      <c r="DI560" s="11"/>
      <c r="DJ560" s="11"/>
      <c r="DK560" s="11"/>
      <c r="DL560" s="11"/>
      <c r="DM560" s="118"/>
      <c r="DN560" s="118"/>
      <c r="DO560" s="118"/>
      <c r="DP560" s="52"/>
      <c r="DQ560" s="52"/>
      <c r="DR560" s="77"/>
      <c r="DS560" s="77"/>
      <c r="DT560" s="77"/>
      <c r="DU560" s="11"/>
      <c r="DV560" s="11"/>
      <c r="DW560" s="11"/>
      <c r="DX560" s="11"/>
      <c r="DY560" s="11"/>
      <c r="DZ560" s="11"/>
      <c r="EA560" s="11"/>
      <c r="EB560" s="11"/>
      <c r="EC560" s="11"/>
      <c r="ED560" s="11"/>
      <c r="EE560" s="11"/>
      <c r="EF560" s="11"/>
    </row>
    <row r="561" spans="1:136" ht="40.5" x14ac:dyDescent="0.25">
      <c r="A561" s="425">
        <v>559</v>
      </c>
      <c r="B561" s="427" t="s">
        <v>2506</v>
      </c>
      <c r="C561" s="427" t="s">
        <v>1041</v>
      </c>
      <c r="D561" s="427" t="s">
        <v>445</v>
      </c>
      <c r="E561" s="79">
        <v>1</v>
      </c>
      <c r="F561" s="405"/>
      <c r="G561" s="274"/>
      <c r="H561" s="274"/>
      <c r="I561" s="274"/>
      <c r="J561" s="274"/>
      <c r="K561" s="11"/>
      <c r="L561" s="274">
        <v>2300000</v>
      </c>
      <c r="M561" s="274">
        <f>L561*19%</f>
        <v>437000</v>
      </c>
      <c r="N561" s="274">
        <f>M561+L561</f>
        <v>2737000</v>
      </c>
      <c r="O561" s="48" t="s">
        <v>2507</v>
      </c>
      <c r="P561" s="11" t="s">
        <v>2508</v>
      </c>
      <c r="Q561" s="274"/>
      <c r="R561" s="274"/>
      <c r="S561" s="274"/>
      <c r="T561" s="11"/>
      <c r="U561" s="11"/>
      <c r="V561" s="11"/>
      <c r="W561" s="11"/>
      <c r="X561" s="11"/>
      <c r="Y561" s="11"/>
      <c r="Z561" s="48"/>
      <c r="AA561" s="52"/>
      <c r="AB561" s="52"/>
      <c r="AC561" s="118"/>
      <c r="AD561" s="5"/>
      <c r="AE561" s="52"/>
      <c r="AF561" s="113"/>
      <c r="AG561" s="113"/>
      <c r="AH561" s="113"/>
      <c r="AI561" s="52"/>
      <c r="AJ561" s="11"/>
      <c r="AK561" s="269"/>
      <c r="AL561" s="269"/>
      <c r="AM561" s="269"/>
      <c r="AN561" s="301"/>
      <c r="AO561" s="302"/>
      <c r="AP561" s="11"/>
      <c r="AQ561" s="11"/>
      <c r="AR561" s="11"/>
      <c r="AS561" s="11"/>
      <c r="AT561" s="11"/>
      <c r="AU561" s="118"/>
      <c r="AV561" s="118"/>
      <c r="AW561" s="118"/>
      <c r="AX561" s="52"/>
      <c r="AY561" s="52"/>
      <c r="AZ561" s="11"/>
      <c r="BA561" s="11"/>
      <c r="BB561" s="11"/>
      <c r="BC561" s="11"/>
      <c r="BD561" s="11"/>
      <c r="BE561" s="274"/>
      <c r="BF561" s="274"/>
      <c r="BG561" s="274"/>
      <c r="BH561" s="11"/>
      <c r="BI561" s="11"/>
      <c r="BJ561" s="311"/>
      <c r="BK561" s="311"/>
      <c r="BL561" s="311"/>
      <c r="BM561" s="52"/>
      <c r="BN561" s="52"/>
      <c r="BO561" s="387"/>
      <c r="BP561" s="320"/>
      <c r="BQ561" s="320"/>
      <c r="BR561" s="4"/>
      <c r="BS561" s="4"/>
      <c r="BT561" s="11"/>
      <c r="BU561" s="11"/>
      <c r="BV561" s="11"/>
      <c r="BW561" s="11"/>
      <c r="BX561" s="11"/>
      <c r="BY561" s="348"/>
      <c r="BZ561" s="348"/>
      <c r="CA561" s="348"/>
      <c r="CB561" s="348"/>
      <c r="CC561" s="348"/>
      <c r="CD561" s="11"/>
      <c r="CE561" s="11"/>
      <c r="CF561" s="11"/>
      <c r="CG561" s="11"/>
      <c r="CH561" s="11"/>
      <c r="CI561" s="11"/>
      <c r="CJ561" s="11"/>
      <c r="CK561" s="11"/>
      <c r="CL561" s="11"/>
      <c r="CM561" s="11"/>
      <c r="CN561" s="274"/>
      <c r="CO561" s="274"/>
      <c r="CP561" s="274"/>
      <c r="CQ561" s="11"/>
      <c r="CR561" s="11"/>
      <c r="CS561" s="11"/>
      <c r="CT561" s="11"/>
      <c r="CU561" s="11"/>
      <c r="CV561" s="11"/>
      <c r="CW561" s="11"/>
      <c r="CX561" s="11"/>
      <c r="CY561" s="11"/>
      <c r="CZ561" s="11"/>
      <c r="DA561" s="11"/>
      <c r="DB561" s="11"/>
      <c r="DC561" s="11"/>
      <c r="DD561" s="11"/>
      <c r="DE561" s="11"/>
      <c r="DF561" s="11"/>
      <c r="DG561" s="11"/>
      <c r="DH561" s="11"/>
      <c r="DI561" s="11"/>
      <c r="DJ561" s="11"/>
      <c r="DK561" s="11"/>
      <c r="DL561" s="11"/>
      <c r="DM561" s="118"/>
      <c r="DN561" s="118"/>
      <c r="DO561" s="118"/>
      <c r="DP561" s="52"/>
      <c r="DQ561" s="52"/>
      <c r="DR561" s="77"/>
      <c r="DS561" s="77"/>
      <c r="DT561" s="77"/>
      <c r="DU561" s="11"/>
      <c r="DV561" s="11"/>
      <c r="DW561" s="11"/>
      <c r="DX561" s="11"/>
      <c r="DY561" s="11"/>
      <c r="DZ561" s="11"/>
      <c r="EA561" s="11"/>
      <c r="EB561" s="11"/>
      <c r="EC561" s="11"/>
      <c r="ED561" s="11"/>
      <c r="EE561" s="11"/>
      <c r="EF561" s="11"/>
    </row>
    <row r="562" spans="1:136" ht="40.5" x14ac:dyDescent="0.25">
      <c r="A562" s="425">
        <v>560</v>
      </c>
      <c r="B562" s="426" t="s">
        <v>2509</v>
      </c>
      <c r="C562" s="427" t="s">
        <v>138</v>
      </c>
      <c r="D562" s="427" t="s">
        <v>609</v>
      </c>
      <c r="E562" s="79">
        <v>1</v>
      </c>
      <c r="F562" s="405"/>
      <c r="G562" s="274"/>
      <c r="H562" s="274"/>
      <c r="I562" s="274"/>
      <c r="J562" s="274"/>
      <c r="K562" s="11"/>
      <c r="L562" s="274">
        <v>2300000</v>
      </c>
      <c r="M562" s="274">
        <f>L562*19%</f>
        <v>437000</v>
      </c>
      <c r="N562" s="274">
        <f>M562+L562</f>
        <v>2737000</v>
      </c>
      <c r="O562" s="48" t="s">
        <v>2507</v>
      </c>
      <c r="P562" s="11" t="s">
        <v>2508</v>
      </c>
      <c r="Q562" s="274"/>
      <c r="R562" s="274"/>
      <c r="S562" s="274"/>
      <c r="T562" s="11"/>
      <c r="U562" s="11"/>
      <c r="V562" s="11"/>
      <c r="W562" s="11"/>
      <c r="X562" s="11"/>
      <c r="Y562" s="11"/>
      <c r="Z562" s="48"/>
      <c r="AA562" s="52"/>
      <c r="AB562" s="52"/>
      <c r="AC562" s="118"/>
      <c r="AD562" s="5"/>
      <c r="AE562" s="52"/>
      <c r="AF562" s="113"/>
      <c r="AG562" s="113"/>
      <c r="AH562" s="113"/>
      <c r="AI562" s="52"/>
      <c r="AJ562" s="11"/>
      <c r="AK562" s="269"/>
      <c r="AL562" s="269"/>
      <c r="AM562" s="269"/>
      <c r="AN562" s="301"/>
      <c r="AO562" s="302"/>
      <c r="AP562" s="11"/>
      <c r="AQ562" s="11"/>
      <c r="AR562" s="11"/>
      <c r="AS562" s="11"/>
      <c r="AT562" s="11"/>
      <c r="AU562" s="118"/>
      <c r="AV562" s="118"/>
      <c r="AW562" s="118"/>
      <c r="AX562" s="52"/>
      <c r="AY562" s="52"/>
      <c r="AZ562" s="11"/>
      <c r="BA562" s="11"/>
      <c r="BB562" s="11"/>
      <c r="BC562" s="11"/>
      <c r="BD562" s="11"/>
      <c r="BE562" s="274"/>
      <c r="BF562" s="274"/>
      <c r="BG562" s="274"/>
      <c r="BH562" s="11"/>
      <c r="BI562" s="11"/>
      <c r="BJ562" s="311"/>
      <c r="BK562" s="311"/>
      <c r="BL562" s="311"/>
      <c r="BM562" s="52"/>
      <c r="BN562" s="52"/>
      <c r="BO562" s="387"/>
      <c r="BP562" s="320"/>
      <c r="BQ562" s="320"/>
      <c r="BR562" s="4"/>
      <c r="BS562" s="4"/>
      <c r="BT562" s="11"/>
      <c r="BU562" s="11"/>
      <c r="BV562" s="11"/>
      <c r="BW562" s="11"/>
      <c r="BX562" s="11"/>
      <c r="BY562" s="348"/>
      <c r="BZ562" s="348"/>
      <c r="CA562" s="348"/>
      <c r="CB562" s="348"/>
      <c r="CC562" s="348"/>
      <c r="CD562" s="11"/>
      <c r="CE562" s="11"/>
      <c r="CF562" s="11"/>
      <c r="CG562" s="11"/>
      <c r="CH562" s="11"/>
      <c r="CI562" s="11"/>
      <c r="CJ562" s="11"/>
      <c r="CK562" s="11"/>
      <c r="CL562" s="11"/>
      <c r="CM562" s="11"/>
      <c r="CN562" s="274"/>
      <c r="CO562" s="274"/>
      <c r="CP562" s="274"/>
      <c r="CQ562" s="11"/>
      <c r="CR562" s="11"/>
      <c r="CS562" s="11"/>
      <c r="CT562" s="11"/>
      <c r="CU562" s="11"/>
      <c r="CV562" s="11"/>
      <c r="CW562" s="11"/>
      <c r="CX562" s="11"/>
      <c r="CY562" s="11"/>
      <c r="CZ562" s="11"/>
      <c r="DA562" s="11"/>
      <c r="DB562" s="11"/>
      <c r="DC562" s="11"/>
      <c r="DD562" s="11"/>
      <c r="DE562" s="11"/>
      <c r="DF562" s="11"/>
      <c r="DG562" s="11"/>
      <c r="DH562" s="11"/>
      <c r="DI562" s="11"/>
      <c r="DJ562" s="11"/>
      <c r="DK562" s="11"/>
      <c r="DL562" s="11"/>
      <c r="DM562" s="118"/>
      <c r="DN562" s="118"/>
      <c r="DO562" s="118"/>
      <c r="DP562" s="52"/>
      <c r="DQ562" s="52"/>
      <c r="DR562" s="77"/>
      <c r="DS562" s="77"/>
      <c r="DT562" s="77"/>
      <c r="DU562" s="11"/>
      <c r="DV562" s="11"/>
      <c r="DW562" s="11"/>
      <c r="DX562" s="11"/>
      <c r="DY562" s="11"/>
      <c r="DZ562" s="11"/>
      <c r="EA562" s="11"/>
      <c r="EB562" s="11"/>
      <c r="EC562" s="11"/>
      <c r="ED562" s="11"/>
      <c r="EE562" s="11"/>
      <c r="EF562" s="11"/>
    </row>
    <row r="563" spans="1:136" ht="94.5" x14ac:dyDescent="0.25">
      <c r="A563" s="425">
        <v>561</v>
      </c>
      <c r="B563" s="427" t="s">
        <v>2510</v>
      </c>
      <c r="C563" s="427" t="s">
        <v>138</v>
      </c>
      <c r="D563" s="413" t="s">
        <v>445</v>
      </c>
      <c r="E563" s="79">
        <v>1</v>
      </c>
      <c r="F563" s="406">
        <v>2354269.8000000003</v>
      </c>
      <c r="G563" s="274"/>
      <c r="H563" s="274"/>
      <c r="I563" s="274"/>
      <c r="J563" s="274"/>
      <c r="K563" s="11"/>
      <c r="L563" s="274">
        <v>2500000</v>
      </c>
      <c r="M563" s="274">
        <f>L563*19%</f>
        <v>475000</v>
      </c>
      <c r="N563" s="274">
        <f>M563+L563</f>
        <v>2975000</v>
      </c>
      <c r="O563" s="48" t="s">
        <v>2507</v>
      </c>
      <c r="P563" s="11" t="s">
        <v>2508</v>
      </c>
      <c r="Q563" s="274"/>
      <c r="R563" s="274"/>
      <c r="S563" s="274"/>
      <c r="T563" s="11"/>
      <c r="U563" s="11"/>
      <c r="V563" s="11"/>
      <c r="W563" s="11"/>
      <c r="X563" s="11"/>
      <c r="Y563" s="11"/>
      <c r="Z563" s="48"/>
      <c r="AA563" s="52"/>
      <c r="AB563" s="52"/>
      <c r="AC563" s="118"/>
      <c r="AD563" s="5"/>
      <c r="AE563" s="52"/>
      <c r="AF563" s="113"/>
      <c r="AG563" s="113"/>
      <c r="AH563" s="113"/>
      <c r="AI563" s="52"/>
      <c r="AJ563" s="11"/>
      <c r="AK563" s="269"/>
      <c r="AL563" s="269"/>
      <c r="AM563" s="269"/>
      <c r="AN563" s="301"/>
      <c r="AO563" s="302"/>
      <c r="AP563" s="11"/>
      <c r="AQ563" s="11"/>
      <c r="AR563" s="11"/>
      <c r="AS563" s="11"/>
      <c r="AT563" s="11"/>
      <c r="AU563" s="118">
        <v>2414119</v>
      </c>
      <c r="AV563" s="118">
        <v>458683</v>
      </c>
      <c r="AW563" s="118">
        <v>2872802</v>
      </c>
      <c r="AX563" s="52" t="s">
        <v>607</v>
      </c>
      <c r="AY563" s="52" t="s">
        <v>2511</v>
      </c>
      <c r="AZ563" s="11"/>
      <c r="BA563" s="11"/>
      <c r="BB563" s="11"/>
      <c r="BC563" s="11"/>
      <c r="BD563" s="11"/>
      <c r="BE563" s="274"/>
      <c r="BF563" s="274"/>
      <c r="BG563" s="274"/>
      <c r="BH563" s="11"/>
      <c r="BI563" s="11"/>
      <c r="BJ563" s="311"/>
      <c r="BK563" s="311"/>
      <c r="BL563" s="311"/>
      <c r="BM563" s="52"/>
      <c r="BN563" s="52"/>
      <c r="BO563" s="387"/>
      <c r="BP563" s="320"/>
      <c r="BQ563" s="320"/>
      <c r="BR563" s="4"/>
      <c r="BS563" s="4"/>
      <c r="BT563" s="11"/>
      <c r="BU563" s="11"/>
      <c r="BV563" s="11"/>
      <c r="BW563" s="11"/>
      <c r="BX563" s="11"/>
      <c r="BY563" s="348"/>
      <c r="BZ563" s="348"/>
      <c r="CA563" s="348"/>
      <c r="CB563" s="348"/>
      <c r="CC563" s="348"/>
      <c r="CD563" s="11"/>
      <c r="CE563" s="11"/>
      <c r="CF563" s="11"/>
      <c r="CG563" s="11"/>
      <c r="CH563" s="11"/>
      <c r="CI563" s="11"/>
      <c r="CJ563" s="11"/>
      <c r="CK563" s="11"/>
      <c r="CL563" s="11"/>
      <c r="CM563" s="11"/>
      <c r="CN563" s="274"/>
      <c r="CO563" s="274"/>
      <c r="CP563" s="274"/>
      <c r="CQ563" s="11"/>
      <c r="CR563" s="11"/>
      <c r="CS563" s="11"/>
      <c r="CT563" s="11"/>
      <c r="CU563" s="11"/>
      <c r="CV563" s="11"/>
      <c r="CW563" s="11"/>
      <c r="CX563" s="11"/>
      <c r="CY563" s="11"/>
      <c r="CZ563" s="11"/>
      <c r="DA563" s="11"/>
      <c r="DB563" s="11"/>
      <c r="DC563" s="11"/>
      <c r="DD563" s="11"/>
      <c r="DE563" s="11"/>
      <c r="DF563" s="11"/>
      <c r="DG563" s="11"/>
      <c r="DH563" s="11"/>
      <c r="DI563" s="11"/>
      <c r="DJ563" s="11"/>
      <c r="DK563" s="11"/>
      <c r="DL563" s="11"/>
      <c r="DM563" s="118"/>
      <c r="DN563" s="118"/>
      <c r="DO563" s="118"/>
      <c r="DP563" s="52"/>
      <c r="DQ563" s="52"/>
      <c r="DR563" s="77"/>
      <c r="DS563" s="77"/>
      <c r="DT563" s="77"/>
      <c r="DU563" s="11"/>
      <c r="DV563" s="11"/>
      <c r="DW563" s="11"/>
      <c r="DX563" s="11"/>
      <c r="DY563" s="11"/>
      <c r="DZ563" s="11"/>
      <c r="EA563" s="11"/>
      <c r="EB563" s="11"/>
      <c r="EC563" s="11"/>
      <c r="ED563" s="11"/>
      <c r="EE563" s="11"/>
      <c r="EF563" s="11"/>
    </row>
    <row r="564" spans="1:136" ht="25.5" x14ac:dyDescent="0.25">
      <c r="A564" s="425">
        <v>562</v>
      </c>
      <c r="B564" s="427" t="s">
        <v>2512</v>
      </c>
      <c r="C564" s="427" t="s">
        <v>113</v>
      </c>
      <c r="D564" s="427" t="s">
        <v>637</v>
      </c>
      <c r="E564" s="79">
        <v>1</v>
      </c>
      <c r="F564" s="405"/>
      <c r="G564" s="274"/>
      <c r="H564" s="274"/>
      <c r="I564" s="274"/>
      <c r="J564" s="274"/>
      <c r="K564" s="11"/>
      <c r="L564" s="274"/>
      <c r="M564" s="274"/>
      <c r="N564" s="274"/>
      <c r="O564" s="48"/>
      <c r="P564" s="11"/>
      <c r="Q564" s="274"/>
      <c r="R564" s="274"/>
      <c r="S564" s="274"/>
      <c r="T564" s="11"/>
      <c r="U564" s="11"/>
      <c r="V564" s="11"/>
      <c r="W564" s="11"/>
      <c r="X564" s="11"/>
      <c r="Y564" s="11"/>
      <c r="Z564" s="48"/>
      <c r="AA564" s="52"/>
      <c r="AB564" s="52"/>
      <c r="AC564" s="118"/>
      <c r="AD564" s="5"/>
      <c r="AE564" s="52"/>
      <c r="AF564" s="113"/>
      <c r="AG564" s="113"/>
      <c r="AH564" s="113"/>
      <c r="AI564" s="52"/>
      <c r="AJ564" s="11"/>
      <c r="AK564" s="269"/>
      <c r="AL564" s="269"/>
      <c r="AM564" s="269"/>
      <c r="AN564" s="301"/>
      <c r="AO564" s="302"/>
      <c r="AP564" s="11"/>
      <c r="AQ564" s="11"/>
      <c r="AR564" s="11"/>
      <c r="AS564" s="11"/>
      <c r="AT564" s="11"/>
      <c r="AU564" s="118"/>
      <c r="AV564" s="118"/>
      <c r="AW564" s="118"/>
      <c r="AX564" s="52"/>
      <c r="AY564" s="52"/>
      <c r="AZ564" s="11"/>
      <c r="BA564" s="11"/>
      <c r="BB564" s="11"/>
      <c r="BC564" s="11"/>
      <c r="BD564" s="11"/>
      <c r="BE564" s="274"/>
      <c r="BF564" s="274"/>
      <c r="BG564" s="274"/>
      <c r="BH564" s="11"/>
      <c r="BI564" s="11"/>
      <c r="BJ564" s="311"/>
      <c r="BK564" s="311"/>
      <c r="BL564" s="311"/>
      <c r="BM564" s="52"/>
      <c r="BN564" s="52"/>
      <c r="BO564" s="387"/>
      <c r="BP564" s="320"/>
      <c r="BQ564" s="320"/>
      <c r="BR564" s="4"/>
      <c r="BS564" s="4"/>
      <c r="BT564" s="11"/>
      <c r="BU564" s="11"/>
      <c r="BV564" s="11"/>
      <c r="BW564" s="11"/>
      <c r="BX564" s="11"/>
      <c r="BY564" s="348"/>
      <c r="BZ564" s="348"/>
      <c r="CA564" s="348"/>
      <c r="CB564" s="348"/>
      <c r="CC564" s="348"/>
      <c r="CD564" s="11"/>
      <c r="CE564" s="11"/>
      <c r="CF564" s="11"/>
      <c r="CG564" s="11"/>
      <c r="CH564" s="11"/>
      <c r="CI564" s="11"/>
      <c r="CJ564" s="11"/>
      <c r="CK564" s="11"/>
      <c r="CL564" s="11"/>
      <c r="CM564" s="11"/>
      <c r="CN564" s="274"/>
      <c r="CO564" s="274"/>
      <c r="CP564" s="274"/>
      <c r="CQ564" s="11"/>
      <c r="CR564" s="11"/>
      <c r="CS564" s="11"/>
      <c r="CT564" s="11"/>
      <c r="CU564" s="11"/>
      <c r="CV564" s="11"/>
      <c r="CW564" s="11"/>
      <c r="CX564" s="11"/>
      <c r="CY564" s="11"/>
      <c r="CZ564" s="11"/>
      <c r="DA564" s="11"/>
      <c r="DB564" s="11"/>
      <c r="DC564" s="11"/>
      <c r="DD564" s="11"/>
      <c r="DE564" s="11"/>
      <c r="DF564" s="11"/>
      <c r="DG564" s="11"/>
      <c r="DH564" s="11"/>
      <c r="DI564" s="11"/>
      <c r="DJ564" s="11"/>
      <c r="DK564" s="11"/>
      <c r="DL564" s="11"/>
      <c r="DM564" s="118"/>
      <c r="DN564" s="118"/>
      <c r="DO564" s="118"/>
      <c r="DP564" s="52"/>
      <c r="DQ564" s="52"/>
      <c r="DR564" s="77"/>
      <c r="DS564" s="77"/>
      <c r="DT564" s="77"/>
      <c r="DU564" s="11"/>
      <c r="DV564" s="11"/>
      <c r="DW564" s="274">
        <v>110000</v>
      </c>
      <c r="DX564" s="274">
        <f>+DW564*0.19</f>
        <v>20900</v>
      </c>
      <c r="DY564" s="77">
        <f>+DW564+DX564</f>
        <v>130900</v>
      </c>
      <c r="DZ564" s="382" t="s">
        <v>2513</v>
      </c>
      <c r="EA564" s="11"/>
      <c r="EB564" s="11"/>
      <c r="EC564" s="11"/>
      <c r="ED564" s="11"/>
      <c r="EE564" s="11"/>
      <c r="EF564" s="11"/>
    </row>
    <row r="565" spans="1:136" ht="40.5" x14ac:dyDescent="0.25">
      <c r="A565" s="425">
        <v>563</v>
      </c>
      <c r="B565" s="413" t="s">
        <v>2514</v>
      </c>
      <c r="C565" s="413" t="s">
        <v>2067</v>
      </c>
      <c r="D565" s="413" t="s">
        <v>2352</v>
      </c>
      <c r="E565" s="79">
        <v>1</v>
      </c>
      <c r="F565" s="405"/>
      <c r="G565" s="274"/>
      <c r="H565" s="274"/>
      <c r="I565" s="274"/>
      <c r="J565" s="274"/>
      <c r="K565" s="11"/>
      <c r="L565" s="274"/>
      <c r="M565" s="274"/>
      <c r="N565" s="274"/>
      <c r="O565" s="48"/>
      <c r="P565" s="11"/>
      <c r="Q565" s="274"/>
      <c r="R565" s="274"/>
      <c r="S565" s="274"/>
      <c r="T565" s="11"/>
      <c r="U565" s="11"/>
      <c r="V565" s="11"/>
      <c r="W565" s="11"/>
      <c r="X565" s="11"/>
      <c r="Y565" s="11"/>
      <c r="Z565" s="48"/>
      <c r="AA565" s="52"/>
      <c r="AB565" s="52"/>
      <c r="AC565" s="118"/>
      <c r="AD565" s="5"/>
      <c r="AE565" s="52"/>
      <c r="AF565" s="113">
        <v>316000</v>
      </c>
      <c r="AG565" s="113">
        <v>0</v>
      </c>
      <c r="AH565" s="113">
        <f>AF565+AG565</f>
        <v>316000</v>
      </c>
      <c r="AI565" s="52" t="s">
        <v>1193</v>
      </c>
      <c r="AJ565" s="11" t="s">
        <v>2515</v>
      </c>
      <c r="AK565" s="269"/>
      <c r="AL565" s="269"/>
      <c r="AM565" s="269"/>
      <c r="AN565" s="301"/>
      <c r="AO565" s="302"/>
      <c r="AP565" s="11"/>
      <c r="AQ565" s="11"/>
      <c r="AR565" s="11"/>
      <c r="AS565" s="11"/>
      <c r="AT565" s="11"/>
      <c r="AU565" s="118"/>
      <c r="AV565" s="118"/>
      <c r="AW565" s="118"/>
      <c r="AX565" s="52"/>
      <c r="AY565" s="52"/>
      <c r="AZ565" s="11"/>
      <c r="BA565" s="11"/>
      <c r="BB565" s="11"/>
      <c r="BC565" s="11"/>
      <c r="BD565" s="11"/>
      <c r="BE565" s="274"/>
      <c r="BF565" s="274"/>
      <c r="BG565" s="274"/>
      <c r="BH565" s="11"/>
      <c r="BI565" s="11"/>
      <c r="BJ565" s="311"/>
      <c r="BK565" s="311"/>
      <c r="BL565" s="311"/>
      <c r="BM565" s="52"/>
      <c r="BN565" s="52"/>
      <c r="BO565" s="387"/>
      <c r="BP565" s="320"/>
      <c r="BQ565" s="320"/>
      <c r="BR565" s="4"/>
      <c r="BS565" s="4"/>
      <c r="BT565" s="11"/>
      <c r="BU565" s="11"/>
      <c r="BV565" s="11"/>
      <c r="BW565" s="11"/>
      <c r="BX565" s="11"/>
      <c r="BY565" s="348"/>
      <c r="BZ565" s="348"/>
      <c r="CA565" s="348"/>
      <c r="CB565" s="348"/>
      <c r="CC565" s="348"/>
      <c r="CD565" s="11"/>
      <c r="CE565" s="11"/>
      <c r="CF565" s="11"/>
      <c r="CG565" s="11"/>
      <c r="CH565" s="11"/>
      <c r="CI565" s="11"/>
      <c r="CJ565" s="11"/>
      <c r="CK565" s="11"/>
      <c r="CL565" s="11"/>
      <c r="CM565" s="11"/>
      <c r="CN565" s="274"/>
      <c r="CO565" s="274"/>
      <c r="CP565" s="274"/>
      <c r="CQ565" s="11"/>
      <c r="CR565" s="11"/>
      <c r="CS565" s="11"/>
      <c r="CT565" s="11"/>
      <c r="CU565" s="11"/>
      <c r="CV565" s="11"/>
      <c r="CW565" s="11"/>
      <c r="CX565" s="11"/>
      <c r="CY565" s="11"/>
      <c r="CZ565" s="11"/>
      <c r="DA565" s="11"/>
      <c r="DB565" s="11"/>
      <c r="DC565" s="11"/>
      <c r="DD565" s="11"/>
      <c r="DE565" s="11"/>
      <c r="DF565" s="11"/>
      <c r="DG565" s="11"/>
      <c r="DH565" s="11"/>
      <c r="DI565" s="11"/>
      <c r="DJ565" s="11"/>
      <c r="DK565" s="11"/>
      <c r="DL565" s="11"/>
      <c r="DM565" s="118"/>
      <c r="DN565" s="118"/>
      <c r="DO565" s="118"/>
      <c r="DP565" s="52"/>
      <c r="DQ565" s="52"/>
      <c r="DR565" s="77"/>
      <c r="DS565" s="77"/>
      <c r="DT565" s="77"/>
      <c r="DU565" s="11"/>
      <c r="DV565" s="11"/>
      <c r="DW565" s="11"/>
      <c r="DX565" s="11"/>
      <c r="DY565" s="11"/>
      <c r="DZ565" s="11"/>
      <c r="EA565" s="11"/>
      <c r="EB565" s="11"/>
      <c r="EC565" s="11"/>
      <c r="ED565" s="11"/>
      <c r="EE565" s="11"/>
      <c r="EF565" s="11"/>
    </row>
    <row r="566" spans="1:136" ht="27" x14ac:dyDescent="0.25">
      <c r="A566" s="425">
        <v>564</v>
      </c>
      <c r="B566" s="427" t="s">
        <v>2516</v>
      </c>
      <c r="C566" s="413" t="s">
        <v>647</v>
      </c>
      <c r="D566" s="413" t="s">
        <v>2517</v>
      </c>
      <c r="E566" s="79">
        <v>1</v>
      </c>
      <c r="F566" s="406">
        <v>348546</v>
      </c>
      <c r="G566" s="274"/>
      <c r="H566" s="274"/>
      <c r="I566" s="274"/>
      <c r="J566" s="274"/>
      <c r="K566" s="11"/>
      <c r="L566" s="274"/>
      <c r="M566" s="274"/>
      <c r="N566" s="274"/>
      <c r="O566" s="48"/>
      <c r="P566" s="11"/>
      <c r="Q566" s="274"/>
      <c r="R566" s="274"/>
      <c r="S566" s="274"/>
      <c r="T566" s="11"/>
      <c r="U566" s="11"/>
      <c r="V566" s="11"/>
      <c r="W566" s="11"/>
      <c r="X566" s="11"/>
      <c r="Y566" s="11"/>
      <c r="Z566" s="48"/>
      <c r="AA566" s="52"/>
      <c r="AB566" s="52"/>
      <c r="AC566" s="118"/>
      <c r="AD566" s="5"/>
      <c r="AE566" s="52"/>
      <c r="AF566" s="113"/>
      <c r="AG566" s="113"/>
      <c r="AH566" s="113"/>
      <c r="AI566" s="52"/>
      <c r="AJ566" s="11"/>
      <c r="AK566" s="269">
        <v>192610</v>
      </c>
      <c r="AL566" s="269"/>
      <c r="AM566" s="269">
        <v>192610</v>
      </c>
      <c r="AN566" s="301" t="s">
        <v>88</v>
      </c>
      <c r="AO566" s="302">
        <v>1102740001</v>
      </c>
      <c r="AP566" s="11"/>
      <c r="AQ566" s="11"/>
      <c r="AR566" s="11"/>
      <c r="AS566" s="11"/>
      <c r="AT566" s="11"/>
      <c r="AU566" s="118">
        <v>232935</v>
      </c>
      <c r="AV566" s="118">
        <v>44258</v>
      </c>
      <c r="AW566" s="118">
        <v>277193</v>
      </c>
      <c r="AX566" s="52" t="s">
        <v>607</v>
      </c>
      <c r="AY566" s="52">
        <v>1102740001</v>
      </c>
      <c r="AZ566" s="11"/>
      <c r="BA566" s="11"/>
      <c r="BB566" s="11"/>
      <c r="BC566" s="11"/>
      <c r="BD566" s="11"/>
      <c r="BE566" s="274"/>
      <c r="BF566" s="274"/>
      <c r="BG566" s="274"/>
      <c r="BH566" s="11"/>
      <c r="BI566" s="11"/>
      <c r="BJ566" s="311"/>
      <c r="BK566" s="311"/>
      <c r="BL566" s="311"/>
      <c r="BM566" s="52"/>
      <c r="BN566" s="52"/>
      <c r="BO566" s="387"/>
      <c r="BP566" s="320"/>
      <c r="BQ566" s="320"/>
      <c r="BR566" s="4"/>
      <c r="BS566" s="4"/>
      <c r="BT566" s="11"/>
      <c r="BU566" s="11"/>
      <c r="BV566" s="11"/>
      <c r="BW566" s="11"/>
      <c r="BX566" s="11"/>
      <c r="BY566" s="349">
        <v>307000</v>
      </c>
      <c r="BZ566" s="349">
        <f>BY566*0.19</f>
        <v>58330</v>
      </c>
      <c r="CA566" s="349">
        <f>BY566+BZ566</f>
        <v>365330</v>
      </c>
      <c r="CB566" s="348" t="s">
        <v>772</v>
      </c>
      <c r="CC566" s="348">
        <v>91210</v>
      </c>
      <c r="CD566" s="11"/>
      <c r="CE566" s="11"/>
      <c r="CF566" s="11"/>
      <c r="CG566" s="11"/>
      <c r="CH566" s="11"/>
      <c r="CI566" s="11"/>
      <c r="CJ566" s="11"/>
      <c r="CK566" s="11"/>
      <c r="CL566" s="11"/>
      <c r="CM566" s="11"/>
      <c r="CN566" s="274"/>
      <c r="CO566" s="274"/>
      <c r="CP566" s="274"/>
      <c r="CQ566" s="11"/>
      <c r="CR566" s="11"/>
      <c r="CS566" s="11"/>
      <c r="CT566" s="11"/>
      <c r="CU566" s="11"/>
      <c r="CV566" s="11"/>
      <c r="CW566" s="11"/>
      <c r="CX566" s="11"/>
      <c r="CY566" s="11"/>
      <c r="CZ566" s="11"/>
      <c r="DA566" s="11"/>
      <c r="DB566" s="11"/>
      <c r="DC566" s="11"/>
      <c r="DD566" s="11"/>
      <c r="DE566" s="11"/>
      <c r="DF566" s="11"/>
      <c r="DG566" s="11"/>
      <c r="DH566" s="11"/>
      <c r="DI566" s="11"/>
      <c r="DJ566" s="11"/>
      <c r="DK566" s="11"/>
      <c r="DL566" s="11"/>
      <c r="DM566" s="118"/>
      <c r="DN566" s="118"/>
      <c r="DO566" s="118"/>
      <c r="DP566" s="52"/>
      <c r="DQ566" s="52"/>
      <c r="DR566" s="77"/>
      <c r="DS566" s="77"/>
      <c r="DT566" s="77"/>
      <c r="DU566" s="11"/>
      <c r="DV566" s="11"/>
      <c r="DW566" s="11"/>
      <c r="DX566" s="11"/>
      <c r="DY566" s="11"/>
      <c r="DZ566" s="11"/>
      <c r="EA566" s="11"/>
      <c r="EB566" s="11"/>
      <c r="EC566" s="11"/>
      <c r="ED566" s="11"/>
      <c r="EE566" s="11"/>
      <c r="EF566" s="11"/>
    </row>
    <row r="567" spans="1:136" ht="40.5" x14ac:dyDescent="0.25">
      <c r="A567" s="425">
        <v>565</v>
      </c>
      <c r="B567" s="427" t="s">
        <v>2862</v>
      </c>
      <c r="C567" s="427" t="s">
        <v>1211</v>
      </c>
      <c r="D567" s="413" t="s">
        <v>2352</v>
      </c>
      <c r="E567" s="79">
        <v>1</v>
      </c>
      <c r="F567" s="405"/>
      <c r="G567" s="274"/>
      <c r="H567" s="274"/>
      <c r="I567" s="274"/>
      <c r="J567" s="274"/>
      <c r="K567" s="11"/>
      <c r="L567" s="274"/>
      <c r="M567" s="274"/>
      <c r="N567" s="274"/>
      <c r="O567" s="48"/>
      <c r="P567" s="11"/>
      <c r="Q567" s="274"/>
      <c r="R567" s="274"/>
      <c r="S567" s="274"/>
      <c r="T567" s="11"/>
      <c r="U567" s="11"/>
      <c r="V567" s="11"/>
      <c r="W567" s="11"/>
      <c r="X567" s="11"/>
      <c r="Y567" s="11"/>
      <c r="Z567" s="48"/>
      <c r="AA567" s="52"/>
      <c r="AB567" s="52"/>
      <c r="AC567" s="118"/>
      <c r="AD567" s="5"/>
      <c r="AE567" s="52"/>
      <c r="AF567" s="113">
        <v>349000</v>
      </c>
      <c r="AG567" s="113">
        <v>0</v>
      </c>
      <c r="AH567" s="113">
        <f>AF567+AG567</f>
        <v>349000</v>
      </c>
      <c r="AI567" s="52" t="s">
        <v>1193</v>
      </c>
      <c r="AJ567" s="11" t="s">
        <v>2518</v>
      </c>
      <c r="AK567" s="269"/>
      <c r="AL567" s="269"/>
      <c r="AM567" s="269"/>
      <c r="AN567" s="301"/>
      <c r="AO567" s="302"/>
      <c r="AP567" s="11"/>
      <c r="AQ567" s="11"/>
      <c r="AR567" s="11"/>
      <c r="AS567" s="11"/>
      <c r="AT567" s="11"/>
      <c r="AU567" s="118"/>
      <c r="AV567" s="118"/>
      <c r="AW567" s="118"/>
      <c r="AX567" s="52"/>
      <c r="AY567" s="52"/>
      <c r="AZ567" s="11"/>
      <c r="BA567" s="11"/>
      <c r="BB567" s="11"/>
      <c r="BC567" s="11"/>
      <c r="BD567" s="11"/>
      <c r="BE567" s="274"/>
      <c r="BF567" s="274"/>
      <c r="BG567" s="274"/>
      <c r="BH567" s="11"/>
      <c r="BI567" s="11"/>
      <c r="BJ567" s="311"/>
      <c r="BK567" s="311"/>
      <c r="BL567" s="311"/>
      <c r="BM567" s="52"/>
      <c r="BN567" s="52"/>
      <c r="BO567" s="387"/>
      <c r="BP567" s="320"/>
      <c r="BQ567" s="320"/>
      <c r="BR567" s="4"/>
      <c r="BS567" s="4"/>
      <c r="BT567" s="11"/>
      <c r="BU567" s="11"/>
      <c r="BV567" s="11"/>
      <c r="BW567" s="11"/>
      <c r="BX567" s="11"/>
      <c r="BY567" s="349">
        <v>646000</v>
      </c>
      <c r="BZ567" s="349">
        <f>BY567*0.19</f>
        <v>122740</v>
      </c>
      <c r="CA567" s="349">
        <f>BY567+BZ567</f>
        <v>768740</v>
      </c>
      <c r="CB567" s="348" t="s">
        <v>772</v>
      </c>
      <c r="CC567" s="348">
        <v>91071</v>
      </c>
      <c r="CD567" s="11"/>
      <c r="CE567" s="11"/>
      <c r="CF567" s="11"/>
      <c r="CG567" s="11"/>
      <c r="CH567" s="11"/>
      <c r="CI567" s="11"/>
      <c r="CJ567" s="11"/>
      <c r="CK567" s="11"/>
      <c r="CL567" s="11"/>
      <c r="CM567" s="11"/>
      <c r="CN567" s="274"/>
      <c r="CO567" s="274"/>
      <c r="CP567" s="274"/>
      <c r="CQ567" s="11"/>
      <c r="CR567" s="11"/>
      <c r="CS567" s="11"/>
      <c r="CT567" s="11"/>
      <c r="CU567" s="11"/>
      <c r="CV567" s="11"/>
      <c r="CW567" s="11"/>
      <c r="CX567" s="11"/>
      <c r="CY567" s="11"/>
      <c r="CZ567" s="11"/>
      <c r="DA567" s="11"/>
      <c r="DB567" s="11"/>
      <c r="DC567" s="11"/>
      <c r="DD567" s="11"/>
      <c r="DE567" s="11"/>
      <c r="DF567" s="11"/>
      <c r="DG567" s="11"/>
      <c r="DH567" s="11"/>
      <c r="DI567" s="11"/>
      <c r="DJ567" s="11"/>
      <c r="DK567" s="11"/>
      <c r="DL567" s="11"/>
      <c r="DM567" s="118"/>
      <c r="DN567" s="118"/>
      <c r="DO567" s="118"/>
      <c r="DP567" s="52"/>
      <c r="DQ567" s="52"/>
      <c r="DR567" s="77"/>
      <c r="DS567" s="77"/>
      <c r="DT567" s="77"/>
      <c r="DU567" s="11"/>
      <c r="DV567" s="11"/>
      <c r="DW567" s="11"/>
      <c r="DX567" s="11"/>
      <c r="DY567" s="11"/>
      <c r="DZ567" s="11"/>
      <c r="EA567" s="11"/>
      <c r="EB567" s="11"/>
      <c r="EC567" s="11"/>
      <c r="ED567" s="11"/>
      <c r="EE567" s="11"/>
      <c r="EF567" s="11"/>
    </row>
    <row r="568" spans="1:136" ht="40.5" x14ac:dyDescent="0.25">
      <c r="A568" s="425">
        <v>566</v>
      </c>
      <c r="B568" s="413" t="s">
        <v>2863</v>
      </c>
      <c r="C568" s="427" t="s">
        <v>1211</v>
      </c>
      <c r="D568" s="427" t="s">
        <v>2519</v>
      </c>
      <c r="E568" s="79">
        <v>1</v>
      </c>
      <c r="F568" s="405"/>
      <c r="G568" s="274"/>
      <c r="H568" s="274"/>
      <c r="I568" s="274"/>
      <c r="J568" s="274"/>
      <c r="K568" s="11"/>
      <c r="L568" s="274"/>
      <c r="M568" s="274"/>
      <c r="N568" s="274"/>
      <c r="O568" s="48"/>
      <c r="P568" s="11"/>
      <c r="Q568" s="274"/>
      <c r="R568" s="274"/>
      <c r="S568" s="274"/>
      <c r="T568" s="11"/>
      <c r="U568" s="11"/>
      <c r="V568" s="11"/>
      <c r="W568" s="11"/>
      <c r="X568" s="11"/>
      <c r="Y568" s="11"/>
      <c r="Z568" s="48"/>
      <c r="AA568" s="52"/>
      <c r="AB568" s="52"/>
      <c r="AC568" s="118"/>
      <c r="AD568" s="5"/>
      <c r="AE568" s="52"/>
      <c r="AF568" s="113">
        <v>349000</v>
      </c>
      <c r="AG568" s="113">
        <v>0</v>
      </c>
      <c r="AH568" s="113">
        <f>AF568+AG568</f>
        <v>349000</v>
      </c>
      <c r="AI568" s="52" t="s">
        <v>1193</v>
      </c>
      <c r="AJ568" s="11" t="s">
        <v>2520</v>
      </c>
      <c r="AK568" s="269"/>
      <c r="AL568" s="269"/>
      <c r="AM568" s="269"/>
      <c r="AN568" s="301"/>
      <c r="AO568" s="302"/>
      <c r="AP568" s="11"/>
      <c r="AQ568" s="11"/>
      <c r="AR568" s="11"/>
      <c r="AS568" s="11"/>
      <c r="AT568" s="11"/>
      <c r="AU568" s="118"/>
      <c r="AV568" s="118"/>
      <c r="AW568" s="118"/>
      <c r="AX568" s="52"/>
      <c r="AY568" s="52"/>
      <c r="AZ568" s="11"/>
      <c r="BA568" s="11"/>
      <c r="BB568" s="11"/>
      <c r="BC568" s="11"/>
      <c r="BD568" s="11"/>
      <c r="BE568" s="274"/>
      <c r="BF568" s="274"/>
      <c r="BG568" s="274"/>
      <c r="BH568" s="11"/>
      <c r="BI568" s="11"/>
      <c r="BJ568" s="311"/>
      <c r="BK568" s="311"/>
      <c r="BL568" s="311"/>
      <c r="BM568" s="52"/>
      <c r="BN568" s="52"/>
      <c r="BO568" s="387"/>
      <c r="BP568" s="320"/>
      <c r="BQ568" s="320"/>
      <c r="BR568" s="4"/>
      <c r="BS568" s="4"/>
      <c r="BT568" s="11"/>
      <c r="BU568" s="11"/>
      <c r="BV568" s="11"/>
      <c r="BW568" s="11"/>
      <c r="BX568" s="11"/>
      <c r="BY568" s="348"/>
      <c r="BZ568" s="348"/>
      <c r="CA568" s="348"/>
      <c r="CB568" s="348"/>
      <c r="CC568" s="348"/>
      <c r="CD568" s="11"/>
      <c r="CE568" s="11"/>
      <c r="CF568" s="11"/>
      <c r="CG568" s="11"/>
      <c r="CH568" s="11"/>
      <c r="CI568" s="11"/>
      <c r="CJ568" s="11"/>
      <c r="CK568" s="11"/>
      <c r="CL568" s="11"/>
      <c r="CM568" s="11"/>
      <c r="CN568" s="274"/>
      <c r="CO568" s="274"/>
      <c r="CP568" s="274"/>
      <c r="CQ568" s="11"/>
      <c r="CR568" s="11"/>
      <c r="CS568" s="11"/>
      <c r="CT568" s="11"/>
      <c r="CU568" s="11"/>
      <c r="CV568" s="11"/>
      <c r="CW568" s="11"/>
      <c r="CX568" s="11"/>
      <c r="CY568" s="11"/>
      <c r="CZ568" s="11"/>
      <c r="DA568" s="11"/>
      <c r="DB568" s="11"/>
      <c r="DC568" s="11"/>
      <c r="DD568" s="11"/>
      <c r="DE568" s="11"/>
      <c r="DF568" s="11"/>
      <c r="DG568" s="11"/>
      <c r="DH568" s="11"/>
      <c r="DI568" s="11"/>
      <c r="DJ568" s="11"/>
      <c r="DK568" s="11"/>
      <c r="DL568" s="11"/>
      <c r="DM568" s="118"/>
      <c r="DN568" s="118"/>
      <c r="DO568" s="118"/>
      <c r="DP568" s="52"/>
      <c r="DQ568" s="52"/>
      <c r="DR568" s="77"/>
      <c r="DS568" s="77"/>
      <c r="DT568" s="77"/>
      <c r="DU568" s="11"/>
      <c r="DV568" s="11"/>
      <c r="DW568" s="11"/>
      <c r="DX568" s="11"/>
      <c r="DY568" s="11"/>
      <c r="DZ568" s="11"/>
      <c r="EA568" s="11"/>
      <c r="EB568" s="11"/>
      <c r="EC568" s="11"/>
      <c r="ED568" s="11"/>
      <c r="EE568" s="11"/>
      <c r="EF568" s="11"/>
    </row>
    <row r="569" spans="1:136" ht="13.5" x14ac:dyDescent="0.25">
      <c r="A569" s="425">
        <v>567</v>
      </c>
      <c r="B569" s="427" t="s">
        <v>2521</v>
      </c>
      <c r="C569" s="413" t="s">
        <v>952</v>
      </c>
      <c r="D569" s="413" t="s">
        <v>2522</v>
      </c>
      <c r="E569" s="79">
        <v>1</v>
      </c>
      <c r="F569" s="405"/>
      <c r="G569" s="274"/>
      <c r="H569" s="274"/>
      <c r="I569" s="274"/>
      <c r="J569" s="274"/>
      <c r="K569" s="11"/>
      <c r="L569" s="274">
        <v>894000</v>
      </c>
      <c r="M569" s="274">
        <f>L569*19%</f>
        <v>169860</v>
      </c>
      <c r="N569" s="274">
        <f>M569+L569</f>
        <v>1063860</v>
      </c>
      <c r="O569" s="48" t="s">
        <v>2523</v>
      </c>
      <c r="P569" s="11">
        <v>405210</v>
      </c>
      <c r="Q569" s="274"/>
      <c r="R569" s="274"/>
      <c r="S569" s="274"/>
      <c r="T569" s="11"/>
      <c r="U569" s="11"/>
      <c r="V569" s="11"/>
      <c r="W569" s="11"/>
      <c r="X569" s="11"/>
      <c r="Y569" s="11"/>
      <c r="Z569" s="48"/>
      <c r="AA569" s="52"/>
      <c r="AB569" s="52"/>
      <c r="AC569" s="118"/>
      <c r="AD569" s="5"/>
      <c r="AE569" s="52"/>
      <c r="AF569" s="113"/>
      <c r="AG569" s="113"/>
      <c r="AH569" s="113"/>
      <c r="AI569" s="52"/>
      <c r="AJ569" s="11"/>
      <c r="AK569" s="269"/>
      <c r="AL569" s="269"/>
      <c r="AM569" s="269"/>
      <c r="AN569" s="301"/>
      <c r="AO569" s="302"/>
      <c r="AP569" s="11"/>
      <c r="AQ569" s="11"/>
      <c r="AR569" s="11"/>
      <c r="AS569" s="11"/>
      <c r="AT569" s="11"/>
      <c r="AU569" s="118"/>
      <c r="AV569" s="118"/>
      <c r="AW569" s="118"/>
      <c r="AX569" s="52"/>
      <c r="AY569" s="52"/>
      <c r="AZ569" s="11"/>
      <c r="BA569" s="11"/>
      <c r="BB569" s="11"/>
      <c r="BC569" s="11"/>
      <c r="BD569" s="11"/>
      <c r="BE569" s="274"/>
      <c r="BF569" s="274"/>
      <c r="BG569" s="274"/>
      <c r="BH569" s="11"/>
      <c r="BI569" s="11"/>
      <c r="BJ569" s="311">
        <v>512884.62</v>
      </c>
      <c r="BK569" s="311">
        <v>97448.077799999999</v>
      </c>
      <c r="BL569" s="311">
        <v>610332.69779999997</v>
      </c>
      <c r="BM569" s="52" t="s">
        <v>138</v>
      </c>
      <c r="BN569" s="52">
        <v>434301</v>
      </c>
      <c r="BO569" s="387"/>
      <c r="BP569" s="320"/>
      <c r="BQ569" s="320"/>
      <c r="BR569" s="4"/>
      <c r="BS569" s="4"/>
      <c r="BT569" s="11"/>
      <c r="BU569" s="11"/>
      <c r="BV569" s="11"/>
      <c r="BW569" s="11"/>
      <c r="BX569" s="11"/>
      <c r="BY569" s="348"/>
      <c r="BZ569" s="348"/>
      <c r="CA569" s="348"/>
      <c r="CB569" s="348"/>
      <c r="CC569" s="348"/>
      <c r="CD569" s="11"/>
      <c r="CE569" s="11"/>
      <c r="CF569" s="11"/>
      <c r="CG569" s="11"/>
      <c r="CH569" s="11"/>
      <c r="CI569" s="11"/>
      <c r="CJ569" s="11"/>
      <c r="CK569" s="11"/>
      <c r="CL569" s="11"/>
      <c r="CM569" s="11"/>
      <c r="CN569" s="274"/>
      <c r="CO569" s="274"/>
      <c r="CP569" s="274"/>
      <c r="CQ569" s="11"/>
      <c r="CR569" s="11"/>
      <c r="CS569" s="11"/>
      <c r="CT569" s="11"/>
      <c r="CU569" s="11"/>
      <c r="CV569" s="11"/>
      <c r="CW569" s="11"/>
      <c r="CX569" s="11"/>
      <c r="CY569" s="11"/>
      <c r="CZ569" s="11"/>
      <c r="DA569" s="11"/>
      <c r="DB569" s="11"/>
      <c r="DC569" s="11"/>
      <c r="DD569" s="11"/>
      <c r="DE569" s="11"/>
      <c r="DF569" s="11"/>
      <c r="DG569" s="11"/>
      <c r="DH569" s="11"/>
      <c r="DI569" s="11"/>
      <c r="DJ569" s="11"/>
      <c r="DK569" s="11"/>
      <c r="DL569" s="11"/>
      <c r="DM569" s="118"/>
      <c r="DN569" s="118"/>
      <c r="DO569" s="118"/>
      <c r="DP569" s="52"/>
      <c r="DQ569" s="52"/>
      <c r="DR569" s="77"/>
      <c r="DS569" s="77"/>
      <c r="DT569" s="77"/>
      <c r="DU569" s="11"/>
      <c r="DV569" s="11"/>
      <c r="DW569" s="11"/>
      <c r="DX569" s="11"/>
      <c r="DY569" s="11"/>
      <c r="DZ569" s="11"/>
      <c r="EA569" s="11"/>
      <c r="EB569" s="11"/>
      <c r="EC569" s="11"/>
      <c r="ED569" s="11"/>
      <c r="EE569" s="11"/>
      <c r="EF569" s="11"/>
    </row>
    <row r="570" spans="1:136" ht="27" x14ac:dyDescent="0.25">
      <c r="A570" s="425">
        <v>568</v>
      </c>
      <c r="B570" s="427" t="s">
        <v>2524</v>
      </c>
      <c r="C570" s="427" t="s">
        <v>2525</v>
      </c>
      <c r="D570" s="427" t="s">
        <v>2526</v>
      </c>
      <c r="E570" s="79">
        <v>1</v>
      </c>
      <c r="F570" s="405"/>
      <c r="G570" s="274"/>
      <c r="H570" s="274"/>
      <c r="I570" s="274"/>
      <c r="J570" s="274"/>
      <c r="K570" s="11"/>
      <c r="L570" s="274"/>
      <c r="M570" s="274"/>
      <c r="N570" s="274"/>
      <c r="O570" s="48"/>
      <c r="P570" s="11"/>
      <c r="Q570" s="274"/>
      <c r="R570" s="274"/>
      <c r="S570" s="274"/>
      <c r="T570" s="11"/>
      <c r="U570" s="11"/>
      <c r="V570" s="11"/>
      <c r="W570" s="11"/>
      <c r="X570" s="11"/>
      <c r="Y570" s="11"/>
      <c r="Z570" s="48"/>
      <c r="AA570" s="52"/>
      <c r="AB570" s="52"/>
      <c r="AC570" s="118"/>
      <c r="AD570" s="5"/>
      <c r="AE570" s="52"/>
      <c r="AF570" s="113"/>
      <c r="AG570" s="113"/>
      <c r="AH570" s="113"/>
      <c r="AI570" s="52"/>
      <c r="AJ570" s="11"/>
      <c r="AK570" s="269"/>
      <c r="AL570" s="269"/>
      <c r="AM570" s="269"/>
      <c r="AN570" s="301"/>
      <c r="AO570" s="302"/>
      <c r="AP570" s="11"/>
      <c r="AQ570" s="11"/>
      <c r="AR570" s="11"/>
      <c r="AS570" s="11"/>
      <c r="AT570" s="11"/>
      <c r="AU570" s="118"/>
      <c r="AV570" s="118"/>
      <c r="AW570" s="118"/>
      <c r="AX570" s="52"/>
      <c r="AY570" s="52"/>
      <c r="AZ570" s="11"/>
      <c r="BA570" s="11"/>
      <c r="BB570" s="11"/>
      <c r="BC570" s="11"/>
      <c r="BD570" s="11"/>
      <c r="BE570" s="274"/>
      <c r="BF570" s="274"/>
      <c r="BG570" s="274"/>
      <c r="BH570" s="11"/>
      <c r="BI570" s="11"/>
      <c r="BJ570" s="311"/>
      <c r="BK570" s="311"/>
      <c r="BL570" s="311"/>
      <c r="BM570" s="52"/>
      <c r="BN570" s="52"/>
      <c r="BO570" s="387"/>
      <c r="BP570" s="320"/>
      <c r="BQ570" s="320"/>
      <c r="BR570" s="4"/>
      <c r="BS570" s="4"/>
      <c r="BT570" s="11"/>
      <c r="BU570" s="11"/>
      <c r="BV570" s="11"/>
      <c r="BW570" s="11"/>
      <c r="BX570" s="11"/>
      <c r="BY570" s="349">
        <v>758000</v>
      </c>
      <c r="BZ570" s="349">
        <f>BY570*0.19</f>
        <v>144020</v>
      </c>
      <c r="CA570" s="349">
        <f>BY570+BZ570</f>
        <v>902020</v>
      </c>
      <c r="CB570" s="348" t="s">
        <v>767</v>
      </c>
      <c r="CC570" s="348">
        <v>308175</v>
      </c>
      <c r="CD570" s="11"/>
      <c r="CE570" s="11"/>
      <c r="CF570" s="11"/>
      <c r="CG570" s="11"/>
      <c r="CH570" s="11"/>
      <c r="CI570" s="11"/>
      <c r="CJ570" s="11"/>
      <c r="CK570" s="11"/>
      <c r="CL570" s="11"/>
      <c r="CM570" s="11"/>
      <c r="CN570" s="274"/>
      <c r="CO570" s="274"/>
      <c r="CP570" s="274"/>
      <c r="CQ570" s="11"/>
      <c r="CR570" s="11"/>
      <c r="CS570" s="11"/>
      <c r="CT570" s="11"/>
      <c r="CU570" s="11"/>
      <c r="CV570" s="11"/>
      <c r="CW570" s="11"/>
      <c r="CX570" s="11"/>
      <c r="CY570" s="11"/>
      <c r="CZ570" s="11"/>
      <c r="DA570" s="11"/>
      <c r="DB570" s="11"/>
      <c r="DC570" s="11"/>
      <c r="DD570" s="11"/>
      <c r="DE570" s="11"/>
      <c r="DF570" s="11"/>
      <c r="DG570" s="11"/>
      <c r="DH570" s="11"/>
      <c r="DI570" s="11"/>
      <c r="DJ570" s="11"/>
      <c r="DK570" s="11"/>
      <c r="DL570" s="11"/>
      <c r="DM570" s="118"/>
      <c r="DN570" s="118"/>
      <c r="DO570" s="118"/>
      <c r="DP570" s="52"/>
      <c r="DQ570" s="52"/>
      <c r="DR570" s="77"/>
      <c r="DS570" s="77"/>
      <c r="DT570" s="77"/>
      <c r="DU570" s="11"/>
      <c r="DV570" s="11"/>
      <c r="DW570" s="11"/>
      <c r="DX570" s="11"/>
      <c r="DY570" s="11"/>
      <c r="DZ570" s="11"/>
      <c r="EA570" s="11"/>
      <c r="EB570" s="11"/>
      <c r="EC570" s="11"/>
      <c r="ED570" s="11"/>
      <c r="EE570" s="11"/>
      <c r="EF570" s="11"/>
    </row>
    <row r="571" spans="1:136" ht="13.5" x14ac:dyDescent="0.25">
      <c r="A571" s="425">
        <v>569</v>
      </c>
      <c r="B571" s="428" t="s">
        <v>2527</v>
      </c>
      <c r="C571" s="428" t="s">
        <v>2528</v>
      </c>
      <c r="D571" s="428" t="s">
        <v>132</v>
      </c>
      <c r="E571" s="79">
        <v>1</v>
      </c>
      <c r="F571" s="405"/>
      <c r="G571" s="274"/>
      <c r="H571" s="274"/>
      <c r="I571" s="274"/>
      <c r="J571" s="274"/>
      <c r="K571" s="11"/>
      <c r="L571" s="274"/>
      <c r="M571" s="274"/>
      <c r="N571" s="274"/>
      <c r="O571" s="48"/>
      <c r="P571" s="11"/>
      <c r="Q571" s="274"/>
      <c r="R571" s="274"/>
      <c r="S571" s="274"/>
      <c r="T571" s="11"/>
      <c r="U571" s="11"/>
      <c r="V571" s="11"/>
      <c r="W571" s="11"/>
      <c r="X571" s="11"/>
      <c r="Y571" s="11"/>
      <c r="Z571" s="48"/>
      <c r="AA571" s="52"/>
      <c r="AB571" s="52"/>
      <c r="AC571" s="118"/>
      <c r="AD571" s="5"/>
      <c r="AE571" s="52"/>
      <c r="AF571" s="113"/>
      <c r="AG571" s="113"/>
      <c r="AH571" s="113"/>
      <c r="AI571" s="52"/>
      <c r="AJ571" s="11"/>
      <c r="AK571" s="269">
        <v>362000</v>
      </c>
      <c r="AL571" s="269">
        <v>68780</v>
      </c>
      <c r="AM571" s="269">
        <v>430780</v>
      </c>
      <c r="AN571" s="301" t="s">
        <v>37</v>
      </c>
      <c r="AO571" s="302" t="s">
        <v>2529</v>
      </c>
      <c r="AP571" s="11"/>
      <c r="AQ571" s="11"/>
      <c r="AR571" s="11"/>
      <c r="AS571" s="11"/>
      <c r="AT571" s="11"/>
      <c r="AU571" s="118">
        <v>381328</v>
      </c>
      <c r="AV571" s="118">
        <v>72452</v>
      </c>
      <c r="AW571" s="118">
        <v>453780</v>
      </c>
      <c r="AX571" s="52" t="s">
        <v>607</v>
      </c>
      <c r="AY571" s="52" t="s">
        <v>2529</v>
      </c>
      <c r="AZ571" s="11"/>
      <c r="BA571" s="11"/>
      <c r="BB571" s="11"/>
      <c r="BC571" s="11"/>
      <c r="BD571" s="11"/>
      <c r="BE571" s="274">
        <v>661000</v>
      </c>
      <c r="BF571" s="274">
        <v>125590</v>
      </c>
      <c r="BG571" s="274">
        <v>786590</v>
      </c>
      <c r="BH571" s="11" t="s">
        <v>37</v>
      </c>
      <c r="BI571" s="11" t="s">
        <v>2529</v>
      </c>
      <c r="BJ571" s="311"/>
      <c r="BK571" s="311"/>
      <c r="BL571" s="311"/>
      <c r="BM571" s="52"/>
      <c r="BN571" s="52"/>
      <c r="BO571" s="387"/>
      <c r="BP571" s="320"/>
      <c r="BQ571" s="320"/>
      <c r="BR571" s="4"/>
      <c r="BS571" s="4"/>
      <c r="BT571" s="11"/>
      <c r="BU571" s="11"/>
      <c r="BV571" s="11"/>
      <c r="BW571" s="11"/>
      <c r="BX571" s="11"/>
      <c r="BY571" s="348"/>
      <c r="BZ571" s="348"/>
      <c r="CA571" s="348"/>
      <c r="CB571" s="348"/>
      <c r="CC571" s="348"/>
      <c r="CD571" s="11"/>
      <c r="CE571" s="11"/>
      <c r="CF571" s="11"/>
      <c r="CG571" s="11"/>
      <c r="CH571" s="11"/>
      <c r="CI571" s="11"/>
      <c r="CJ571" s="11"/>
      <c r="CK571" s="11"/>
      <c r="CL571" s="11"/>
      <c r="CM571" s="11"/>
      <c r="CN571" s="274"/>
      <c r="CO571" s="274"/>
      <c r="CP571" s="274"/>
      <c r="CQ571" s="11"/>
      <c r="CR571" s="11"/>
      <c r="CS571" s="11"/>
      <c r="CT571" s="11"/>
      <c r="CU571" s="11"/>
      <c r="CV571" s="11"/>
      <c r="CW571" s="11"/>
      <c r="CX571" s="11"/>
      <c r="CY571" s="11"/>
      <c r="CZ571" s="11"/>
      <c r="DA571" s="11"/>
      <c r="DB571" s="11"/>
      <c r="DC571" s="11"/>
      <c r="DD571" s="11"/>
      <c r="DE571" s="11"/>
      <c r="DF571" s="11"/>
      <c r="DG571" s="11"/>
      <c r="DH571" s="11"/>
      <c r="DI571" s="11"/>
      <c r="DJ571" s="11"/>
      <c r="DK571" s="11"/>
      <c r="DL571" s="11"/>
      <c r="DM571" s="118"/>
      <c r="DN571" s="118"/>
      <c r="DO571" s="118"/>
      <c r="DP571" s="52"/>
      <c r="DQ571" s="52"/>
      <c r="DR571" s="77"/>
      <c r="DS571" s="77"/>
      <c r="DT571" s="77"/>
      <c r="DU571" s="11"/>
      <c r="DV571" s="11"/>
      <c r="DW571" s="11"/>
      <c r="DX571" s="11"/>
      <c r="DY571" s="11"/>
      <c r="DZ571" s="11"/>
      <c r="EA571" s="11"/>
      <c r="EB571" s="11"/>
      <c r="EC571" s="11"/>
      <c r="ED571" s="11"/>
      <c r="EE571" s="11"/>
      <c r="EF571" s="11"/>
    </row>
    <row r="572" spans="1:136" ht="25.5" x14ac:dyDescent="0.25">
      <c r="A572" s="425">
        <v>570</v>
      </c>
      <c r="B572" s="427" t="s">
        <v>2530</v>
      </c>
      <c r="C572" s="413" t="s">
        <v>2531</v>
      </c>
      <c r="D572" s="413" t="s">
        <v>157</v>
      </c>
      <c r="E572" s="79">
        <v>1</v>
      </c>
      <c r="F572" s="405"/>
      <c r="G572" s="274"/>
      <c r="H572" s="274"/>
      <c r="I572" s="274"/>
      <c r="J572" s="274"/>
      <c r="K572" s="11"/>
      <c r="L572" s="274">
        <v>450000</v>
      </c>
      <c r="M572" s="274">
        <v>0</v>
      </c>
      <c r="N572" s="274">
        <f>M572+L572</f>
        <v>450000</v>
      </c>
      <c r="O572" s="48" t="s">
        <v>906</v>
      </c>
      <c r="P572" s="11" t="s">
        <v>2532</v>
      </c>
      <c r="Q572" s="274"/>
      <c r="R572" s="274"/>
      <c r="S572" s="274"/>
      <c r="T572" s="11"/>
      <c r="U572" s="11"/>
      <c r="V572" s="11"/>
      <c r="W572" s="11"/>
      <c r="X572" s="11"/>
      <c r="Y572" s="11"/>
      <c r="Z572" s="48"/>
      <c r="AA572" s="52"/>
      <c r="AB572" s="52"/>
      <c r="AC572" s="118"/>
      <c r="AD572" s="5"/>
      <c r="AE572" s="52"/>
      <c r="AF572" s="113"/>
      <c r="AG572" s="113"/>
      <c r="AH572" s="113"/>
      <c r="AI572" s="52"/>
      <c r="AJ572" s="11"/>
      <c r="AK572" s="269">
        <v>265000</v>
      </c>
      <c r="AL572" s="269"/>
      <c r="AM572" s="269">
        <v>265000</v>
      </c>
      <c r="AN572" s="301" t="s">
        <v>37</v>
      </c>
      <c r="AO572" s="302" t="s">
        <v>2533</v>
      </c>
      <c r="AP572" s="11"/>
      <c r="AQ572" s="11"/>
      <c r="AR572" s="11"/>
      <c r="AS572" s="11"/>
      <c r="AT572" s="11"/>
      <c r="AU572" s="118">
        <v>279149</v>
      </c>
      <c r="AV572" s="118">
        <v>53038</v>
      </c>
      <c r="AW572" s="118">
        <v>332187</v>
      </c>
      <c r="AX572" s="52" t="s">
        <v>607</v>
      </c>
      <c r="AY572" s="52" t="s">
        <v>2533</v>
      </c>
      <c r="AZ572" s="11"/>
      <c r="BA572" s="11"/>
      <c r="BB572" s="11"/>
      <c r="BC572" s="11"/>
      <c r="BD572" s="11"/>
      <c r="BE572" s="274">
        <v>484000</v>
      </c>
      <c r="BF572" s="274">
        <v>91960</v>
      </c>
      <c r="BG572" s="274">
        <v>575960</v>
      </c>
      <c r="BH572" s="11" t="s">
        <v>37</v>
      </c>
      <c r="BI572" s="11" t="s">
        <v>2533</v>
      </c>
      <c r="BJ572" s="311">
        <v>522307.69</v>
      </c>
      <c r="BK572" s="311">
        <v>99238.4611</v>
      </c>
      <c r="BL572" s="311">
        <v>621546.15110000002</v>
      </c>
      <c r="BM572" s="52" t="s">
        <v>1900</v>
      </c>
      <c r="BN572" s="52">
        <v>16170078</v>
      </c>
      <c r="BO572" s="387"/>
      <c r="BP572" s="320"/>
      <c r="BQ572" s="320"/>
      <c r="BR572" s="4"/>
      <c r="BS572" s="4"/>
      <c r="BT572" s="11"/>
      <c r="BU572" s="11"/>
      <c r="BV572" s="11"/>
      <c r="BW572" s="11"/>
      <c r="BX572" s="11"/>
      <c r="BY572" s="348"/>
      <c r="BZ572" s="348"/>
      <c r="CA572" s="348"/>
      <c r="CB572" s="348"/>
      <c r="CC572" s="348"/>
      <c r="CD572" s="11"/>
      <c r="CE572" s="11"/>
      <c r="CF572" s="11"/>
      <c r="CG572" s="11"/>
      <c r="CH572" s="11"/>
      <c r="CI572" s="11"/>
      <c r="CJ572" s="11"/>
      <c r="CK572" s="11"/>
      <c r="CL572" s="11"/>
      <c r="CM572" s="11"/>
      <c r="CN572" s="274"/>
      <c r="CO572" s="274"/>
      <c r="CP572" s="274"/>
      <c r="CQ572" s="11"/>
      <c r="CR572" s="11"/>
      <c r="CS572" s="11"/>
      <c r="CT572" s="11"/>
      <c r="CU572" s="11"/>
      <c r="CV572" s="11"/>
      <c r="CW572" s="11"/>
      <c r="CX572" s="11"/>
      <c r="CY572" s="11"/>
      <c r="CZ572" s="11"/>
      <c r="DA572" s="11"/>
      <c r="DB572" s="11"/>
      <c r="DC572" s="11"/>
      <c r="DD572" s="11"/>
      <c r="DE572" s="11"/>
      <c r="DF572" s="11"/>
      <c r="DG572" s="11"/>
      <c r="DH572" s="11"/>
      <c r="DI572" s="11"/>
      <c r="DJ572" s="11"/>
      <c r="DK572" s="11"/>
      <c r="DL572" s="11"/>
      <c r="DM572" s="118"/>
      <c r="DN572" s="118"/>
      <c r="DO572" s="118"/>
      <c r="DP572" s="52"/>
      <c r="DQ572" s="52"/>
      <c r="DR572" s="77"/>
      <c r="DS572" s="77"/>
      <c r="DT572" s="77"/>
      <c r="DU572" s="11"/>
      <c r="DV572" s="11"/>
      <c r="DW572" s="11"/>
      <c r="DX572" s="11"/>
      <c r="DY572" s="11"/>
      <c r="DZ572" s="11"/>
      <c r="EA572" s="11"/>
      <c r="EB572" s="11"/>
      <c r="EC572" s="11"/>
      <c r="ED572" s="11"/>
      <c r="EE572" s="11"/>
      <c r="EF572" s="11"/>
    </row>
    <row r="573" spans="1:136" ht="40.5" x14ac:dyDescent="0.25">
      <c r="A573" s="425">
        <v>571</v>
      </c>
      <c r="B573" s="427" t="s">
        <v>2534</v>
      </c>
      <c r="C573" s="427" t="s">
        <v>2535</v>
      </c>
      <c r="D573" s="427" t="s">
        <v>1086</v>
      </c>
      <c r="E573" s="79">
        <v>1</v>
      </c>
      <c r="F573" s="405">
        <v>10265620.7742</v>
      </c>
      <c r="G573" s="274"/>
      <c r="H573" s="274"/>
      <c r="I573" s="274"/>
      <c r="J573" s="274"/>
      <c r="K573" s="11"/>
      <c r="L573" s="274"/>
      <c r="M573" s="274"/>
      <c r="N573" s="274"/>
      <c r="O573" s="48"/>
      <c r="P573" s="11"/>
      <c r="Q573" s="274"/>
      <c r="R573" s="274"/>
      <c r="S573" s="274"/>
      <c r="T573" s="11"/>
      <c r="U573" s="11"/>
      <c r="V573" s="11"/>
      <c r="W573" s="11"/>
      <c r="X573" s="11"/>
      <c r="Y573" s="11"/>
      <c r="Z573" s="48"/>
      <c r="AA573" s="52"/>
      <c r="AB573" s="52"/>
      <c r="AC573" s="118"/>
      <c r="AD573" s="5"/>
      <c r="AE573" s="52"/>
      <c r="AF573" s="113"/>
      <c r="AG573" s="113"/>
      <c r="AH573" s="113"/>
      <c r="AI573" s="52"/>
      <c r="AJ573" s="11"/>
      <c r="AK573" s="269"/>
      <c r="AL573" s="269"/>
      <c r="AM573" s="269"/>
      <c r="AN573" s="301"/>
      <c r="AO573" s="302"/>
      <c r="AP573" s="11"/>
      <c r="AQ573" s="11"/>
      <c r="AR573" s="11"/>
      <c r="AS573" s="11"/>
      <c r="AT573" s="11"/>
      <c r="AU573" s="118"/>
      <c r="AV573" s="118"/>
      <c r="AW573" s="118"/>
      <c r="AX573" s="52"/>
      <c r="AY573" s="52"/>
      <c r="AZ573" s="11"/>
      <c r="BA573" s="11"/>
      <c r="BB573" s="11"/>
      <c r="BC573" s="11"/>
      <c r="BD573" s="11"/>
      <c r="BE573" s="274"/>
      <c r="BF573" s="274"/>
      <c r="BG573" s="274"/>
      <c r="BH573" s="11"/>
      <c r="BI573" s="11"/>
      <c r="BJ573" s="311"/>
      <c r="BK573" s="311"/>
      <c r="BL573" s="311"/>
      <c r="BM573" s="52"/>
      <c r="BN573" s="52"/>
      <c r="BO573" s="387"/>
      <c r="BP573" s="320"/>
      <c r="BQ573" s="320"/>
      <c r="BR573" s="4"/>
      <c r="BS573" s="4"/>
      <c r="BT573" s="11"/>
      <c r="BU573" s="11"/>
      <c r="BV573" s="11"/>
      <c r="BW573" s="11"/>
      <c r="BX573" s="11"/>
      <c r="BY573" s="348"/>
      <c r="BZ573" s="348"/>
      <c r="CA573" s="348"/>
      <c r="CB573" s="348"/>
      <c r="CC573" s="348"/>
      <c r="CD573" s="11"/>
      <c r="CE573" s="11"/>
      <c r="CF573" s="11"/>
      <c r="CG573" s="11"/>
      <c r="CH573" s="11"/>
      <c r="CI573" s="11"/>
      <c r="CJ573" s="11"/>
      <c r="CK573" s="11"/>
      <c r="CL573" s="11"/>
      <c r="CM573" s="11"/>
      <c r="CN573" s="274"/>
      <c r="CO573" s="274"/>
      <c r="CP573" s="274"/>
      <c r="CQ573" s="11"/>
      <c r="CR573" s="11"/>
      <c r="CS573" s="11"/>
      <c r="CT573" s="11"/>
      <c r="CU573" s="11"/>
      <c r="CV573" s="11"/>
      <c r="CW573" s="11"/>
      <c r="CX573" s="11"/>
      <c r="CY573" s="11"/>
      <c r="CZ573" s="11"/>
      <c r="DA573" s="11"/>
      <c r="DB573" s="11"/>
      <c r="DC573" s="11"/>
      <c r="DD573" s="11"/>
      <c r="DE573" s="11"/>
      <c r="DF573" s="11"/>
      <c r="DG573" s="11"/>
      <c r="DH573" s="11"/>
      <c r="DI573" s="11"/>
      <c r="DJ573" s="11"/>
      <c r="DK573" s="11"/>
      <c r="DL573" s="11"/>
      <c r="DM573" s="118"/>
      <c r="DN573" s="118"/>
      <c r="DO573" s="118"/>
      <c r="DP573" s="52"/>
      <c r="DQ573" s="52"/>
      <c r="DR573" s="77"/>
      <c r="DS573" s="77"/>
      <c r="DT573" s="77"/>
      <c r="DU573" s="11"/>
      <c r="DV573" s="11"/>
      <c r="DW573" s="11"/>
      <c r="DX573" s="11"/>
      <c r="DY573" s="11"/>
      <c r="DZ573" s="11"/>
      <c r="EA573" s="11"/>
      <c r="EB573" s="11"/>
      <c r="EC573" s="11"/>
      <c r="ED573" s="11"/>
      <c r="EE573" s="11"/>
      <c r="EF573" s="11"/>
    </row>
    <row r="574" spans="1:136" ht="40.5" x14ac:dyDescent="0.25">
      <c r="A574" s="425">
        <v>572</v>
      </c>
      <c r="B574" s="427" t="s">
        <v>2536</v>
      </c>
      <c r="C574" s="427" t="s">
        <v>2537</v>
      </c>
      <c r="D574" s="427" t="s">
        <v>1086</v>
      </c>
      <c r="E574" s="79">
        <v>1</v>
      </c>
      <c r="F574" s="405">
        <v>13679133.486400001</v>
      </c>
      <c r="G574" s="274"/>
      <c r="H574" s="274"/>
      <c r="I574" s="274"/>
      <c r="J574" s="274"/>
      <c r="K574" s="11"/>
      <c r="L574" s="274"/>
      <c r="M574" s="274"/>
      <c r="N574" s="274"/>
      <c r="O574" s="48"/>
      <c r="P574" s="11"/>
      <c r="Q574" s="274"/>
      <c r="R574" s="274"/>
      <c r="S574" s="274"/>
      <c r="T574" s="11"/>
      <c r="U574" s="11"/>
      <c r="V574" s="11"/>
      <c r="W574" s="11"/>
      <c r="X574" s="11"/>
      <c r="Y574" s="11"/>
      <c r="Z574" s="48"/>
      <c r="AA574" s="52"/>
      <c r="AB574" s="52"/>
      <c r="AC574" s="118"/>
      <c r="AD574" s="5"/>
      <c r="AE574" s="52"/>
      <c r="AF574" s="113"/>
      <c r="AG574" s="113"/>
      <c r="AH574" s="113"/>
      <c r="AI574" s="52"/>
      <c r="AJ574" s="11"/>
      <c r="AK574" s="269"/>
      <c r="AL574" s="269"/>
      <c r="AM574" s="269"/>
      <c r="AN574" s="301"/>
      <c r="AO574" s="302"/>
      <c r="AP574" s="11"/>
      <c r="AQ574" s="11"/>
      <c r="AR574" s="11"/>
      <c r="AS574" s="11"/>
      <c r="AT574" s="11"/>
      <c r="AU574" s="118"/>
      <c r="AV574" s="118"/>
      <c r="AW574" s="118"/>
      <c r="AX574" s="52"/>
      <c r="AY574" s="52"/>
      <c r="AZ574" s="11"/>
      <c r="BA574" s="11"/>
      <c r="BB574" s="11"/>
      <c r="BC574" s="11"/>
      <c r="BD574" s="11"/>
      <c r="BE574" s="274"/>
      <c r="BF574" s="274"/>
      <c r="BG574" s="274"/>
      <c r="BH574" s="11"/>
      <c r="BI574" s="11"/>
      <c r="BJ574" s="311"/>
      <c r="BK574" s="311"/>
      <c r="BL574" s="311"/>
      <c r="BM574" s="52"/>
      <c r="BN574" s="52"/>
      <c r="BO574" s="387"/>
      <c r="BP574" s="320"/>
      <c r="BQ574" s="320"/>
      <c r="BR574" s="4"/>
      <c r="BS574" s="4"/>
      <c r="BT574" s="11"/>
      <c r="BU574" s="11"/>
      <c r="BV574" s="11"/>
      <c r="BW574" s="11"/>
      <c r="BX574" s="11"/>
      <c r="BY574" s="348"/>
      <c r="BZ574" s="348"/>
      <c r="CA574" s="348"/>
      <c r="CB574" s="348"/>
      <c r="CC574" s="348"/>
      <c r="CD574" s="11"/>
      <c r="CE574" s="11"/>
      <c r="CF574" s="11"/>
      <c r="CG574" s="11"/>
      <c r="CH574" s="11"/>
      <c r="CI574" s="11"/>
      <c r="CJ574" s="11"/>
      <c r="CK574" s="11"/>
      <c r="CL574" s="11"/>
      <c r="CM574" s="11"/>
      <c r="CN574" s="274"/>
      <c r="CO574" s="274"/>
      <c r="CP574" s="274"/>
      <c r="CQ574" s="11"/>
      <c r="CR574" s="11"/>
      <c r="CS574" s="11"/>
      <c r="CT574" s="11"/>
      <c r="CU574" s="11"/>
      <c r="CV574" s="11"/>
      <c r="CW574" s="11"/>
      <c r="CX574" s="11"/>
      <c r="CY574" s="11"/>
      <c r="CZ574" s="11"/>
      <c r="DA574" s="11"/>
      <c r="DB574" s="11"/>
      <c r="DC574" s="11"/>
      <c r="DD574" s="11"/>
      <c r="DE574" s="11"/>
      <c r="DF574" s="11"/>
      <c r="DG574" s="11"/>
      <c r="DH574" s="11"/>
      <c r="DI574" s="11"/>
      <c r="DJ574" s="11"/>
      <c r="DK574" s="11"/>
      <c r="DL574" s="11"/>
      <c r="DM574" s="118"/>
      <c r="DN574" s="118"/>
      <c r="DO574" s="118"/>
      <c r="DP574" s="52"/>
      <c r="DQ574" s="52"/>
      <c r="DR574" s="77"/>
      <c r="DS574" s="77"/>
      <c r="DT574" s="77"/>
      <c r="DU574" s="11"/>
      <c r="DV574" s="11"/>
      <c r="DW574" s="11"/>
      <c r="DX574" s="11"/>
      <c r="DY574" s="11"/>
      <c r="DZ574" s="11"/>
      <c r="EA574" s="11"/>
      <c r="EB574" s="11"/>
      <c r="EC574" s="11"/>
      <c r="ED574" s="11"/>
      <c r="EE574" s="11"/>
      <c r="EF574" s="11"/>
    </row>
    <row r="575" spans="1:136" ht="27" x14ac:dyDescent="0.25">
      <c r="A575" s="425">
        <v>573</v>
      </c>
      <c r="B575" s="427" t="s">
        <v>2538</v>
      </c>
      <c r="C575" s="427" t="s">
        <v>2539</v>
      </c>
      <c r="D575" s="427" t="s">
        <v>2540</v>
      </c>
      <c r="E575" s="79">
        <v>1</v>
      </c>
      <c r="F575" s="405">
        <v>2701231.5</v>
      </c>
      <c r="G575" s="274"/>
      <c r="H575" s="274"/>
      <c r="I575" s="274"/>
      <c r="J575" s="274"/>
      <c r="K575" s="11"/>
      <c r="L575" s="274"/>
      <c r="M575" s="274"/>
      <c r="N575" s="274"/>
      <c r="O575" s="48"/>
      <c r="P575" s="11"/>
      <c r="Q575" s="274"/>
      <c r="R575" s="274"/>
      <c r="S575" s="274"/>
      <c r="T575" s="11"/>
      <c r="U575" s="11"/>
      <c r="V575" s="11"/>
      <c r="W575" s="11"/>
      <c r="X575" s="11"/>
      <c r="Y575" s="11"/>
      <c r="Z575" s="48"/>
      <c r="AA575" s="52"/>
      <c r="AB575" s="52"/>
      <c r="AC575" s="118"/>
      <c r="AD575" s="5"/>
      <c r="AE575" s="52"/>
      <c r="AF575" s="113"/>
      <c r="AG575" s="113"/>
      <c r="AH575" s="113"/>
      <c r="AI575" s="52"/>
      <c r="AJ575" s="11"/>
      <c r="AK575" s="269"/>
      <c r="AL575" s="269"/>
      <c r="AM575" s="269"/>
      <c r="AN575" s="301"/>
      <c r="AO575" s="302"/>
      <c r="AP575" s="11"/>
      <c r="AQ575" s="11"/>
      <c r="AR575" s="11"/>
      <c r="AS575" s="11"/>
      <c r="AT575" s="11"/>
      <c r="AU575" s="118"/>
      <c r="AV575" s="118"/>
      <c r="AW575" s="118"/>
      <c r="AX575" s="52"/>
      <c r="AY575" s="52"/>
      <c r="AZ575" s="11"/>
      <c r="BA575" s="11"/>
      <c r="BB575" s="11"/>
      <c r="BC575" s="11"/>
      <c r="BD575" s="11"/>
      <c r="BE575" s="274">
        <v>114000</v>
      </c>
      <c r="BF575" s="274">
        <v>21660</v>
      </c>
      <c r="BG575" s="274">
        <v>135660</v>
      </c>
      <c r="BH575" s="11" t="s">
        <v>409</v>
      </c>
      <c r="BI575" s="11" t="s">
        <v>2541</v>
      </c>
      <c r="BJ575" s="311"/>
      <c r="BK575" s="311"/>
      <c r="BL575" s="311"/>
      <c r="BM575" s="52"/>
      <c r="BN575" s="52"/>
      <c r="BO575" s="387"/>
      <c r="BP575" s="320"/>
      <c r="BQ575" s="320"/>
      <c r="BR575" s="4"/>
      <c r="BS575" s="4"/>
      <c r="BT575" s="11"/>
      <c r="BU575" s="11"/>
      <c r="BV575" s="11"/>
      <c r="BW575" s="11"/>
      <c r="BX575" s="11"/>
      <c r="BY575" s="348"/>
      <c r="BZ575" s="348"/>
      <c r="CA575" s="348"/>
      <c r="CB575" s="348"/>
      <c r="CC575" s="348"/>
      <c r="CD575" s="11"/>
      <c r="CE575" s="11"/>
      <c r="CF575" s="11"/>
      <c r="CG575" s="11"/>
      <c r="CH575" s="11"/>
      <c r="CI575" s="11"/>
      <c r="CJ575" s="11"/>
      <c r="CK575" s="11"/>
      <c r="CL575" s="11"/>
      <c r="CM575" s="11"/>
      <c r="CN575" s="274"/>
      <c r="CO575" s="274"/>
      <c r="CP575" s="274"/>
      <c r="CQ575" s="11"/>
      <c r="CR575" s="11"/>
      <c r="CS575" s="11"/>
      <c r="CT575" s="11"/>
      <c r="CU575" s="11"/>
      <c r="CV575" s="11"/>
      <c r="CW575" s="11"/>
      <c r="CX575" s="11"/>
      <c r="CY575" s="11"/>
      <c r="CZ575" s="11"/>
      <c r="DA575" s="11"/>
      <c r="DB575" s="11"/>
      <c r="DC575" s="11"/>
      <c r="DD575" s="11"/>
      <c r="DE575" s="11"/>
      <c r="DF575" s="11"/>
      <c r="DG575" s="11"/>
      <c r="DH575" s="11"/>
      <c r="DI575" s="11"/>
      <c r="DJ575" s="11"/>
      <c r="DK575" s="11"/>
      <c r="DL575" s="11"/>
      <c r="DM575" s="118"/>
      <c r="DN575" s="118"/>
      <c r="DO575" s="118"/>
      <c r="DP575" s="52"/>
      <c r="DQ575" s="52"/>
      <c r="DR575" s="77"/>
      <c r="DS575" s="77"/>
      <c r="DT575" s="77"/>
      <c r="DU575" s="11"/>
      <c r="DV575" s="11"/>
      <c r="DW575" s="11"/>
      <c r="DX575" s="11"/>
      <c r="DY575" s="11"/>
      <c r="DZ575" s="11"/>
      <c r="EA575" s="11"/>
      <c r="EB575" s="11"/>
      <c r="EC575" s="11"/>
      <c r="ED575" s="11"/>
      <c r="EE575" s="11"/>
      <c r="EF575" s="11"/>
    </row>
    <row r="576" spans="1:136" ht="27" x14ac:dyDescent="0.25">
      <c r="A576" s="425">
        <v>574</v>
      </c>
      <c r="B576" s="427" t="s">
        <v>2542</v>
      </c>
      <c r="C576" s="413" t="s">
        <v>2543</v>
      </c>
      <c r="D576" s="413" t="s">
        <v>1302</v>
      </c>
      <c r="E576" s="79">
        <v>1</v>
      </c>
      <c r="F576" s="406">
        <v>429852.27600000001</v>
      </c>
      <c r="G576" s="274"/>
      <c r="H576" s="274"/>
      <c r="I576" s="274"/>
      <c r="J576" s="274"/>
      <c r="K576" s="11"/>
      <c r="L576" s="274"/>
      <c r="M576" s="274"/>
      <c r="N576" s="274"/>
      <c r="O576" s="48"/>
      <c r="P576" s="11"/>
      <c r="Q576" s="274"/>
      <c r="R576" s="274"/>
      <c r="S576" s="274"/>
      <c r="T576" s="11"/>
      <c r="U576" s="11"/>
      <c r="V576" s="11"/>
      <c r="W576" s="11"/>
      <c r="X576" s="11"/>
      <c r="Y576" s="11"/>
      <c r="Z576" s="48"/>
      <c r="AA576" s="52"/>
      <c r="AB576" s="52"/>
      <c r="AC576" s="118"/>
      <c r="AD576" s="5"/>
      <c r="AE576" s="52"/>
      <c r="AF576" s="113"/>
      <c r="AG576" s="113"/>
      <c r="AH576" s="113"/>
      <c r="AI576" s="52"/>
      <c r="AJ576" s="11"/>
      <c r="AK576" s="269"/>
      <c r="AL576" s="269"/>
      <c r="AM576" s="269"/>
      <c r="AN576" s="301"/>
      <c r="AO576" s="302"/>
      <c r="AP576" s="11"/>
      <c r="AQ576" s="11"/>
      <c r="AR576" s="11"/>
      <c r="AS576" s="11"/>
      <c r="AT576" s="11"/>
      <c r="AU576" s="118"/>
      <c r="AV576" s="118"/>
      <c r="AW576" s="118"/>
      <c r="AX576" s="52"/>
      <c r="AY576" s="52"/>
      <c r="AZ576" s="11"/>
      <c r="BA576" s="11"/>
      <c r="BB576" s="11"/>
      <c r="BC576" s="11"/>
      <c r="BD576" s="11"/>
      <c r="BE576" s="274">
        <v>256000</v>
      </c>
      <c r="BF576" s="274">
        <v>48640</v>
      </c>
      <c r="BG576" s="274">
        <v>304640</v>
      </c>
      <c r="BH576" s="11" t="s">
        <v>409</v>
      </c>
      <c r="BI576" s="11" t="s">
        <v>2544</v>
      </c>
      <c r="BJ576" s="311"/>
      <c r="BK576" s="311"/>
      <c r="BL576" s="311"/>
      <c r="BM576" s="52"/>
      <c r="BN576" s="52"/>
      <c r="BO576" s="387"/>
      <c r="BP576" s="320"/>
      <c r="BQ576" s="320"/>
      <c r="BR576" s="4"/>
      <c r="BS576" s="4"/>
      <c r="BT576" s="11"/>
      <c r="BU576" s="11"/>
      <c r="BV576" s="11"/>
      <c r="BW576" s="11"/>
      <c r="BX576" s="11"/>
      <c r="BY576" s="348"/>
      <c r="BZ576" s="348"/>
      <c r="CA576" s="348"/>
      <c r="CB576" s="348"/>
      <c r="CC576" s="348"/>
      <c r="CD576" s="11"/>
      <c r="CE576" s="11"/>
      <c r="CF576" s="11"/>
      <c r="CG576" s="11"/>
      <c r="CH576" s="11"/>
      <c r="CI576" s="11"/>
      <c r="CJ576" s="11"/>
      <c r="CK576" s="11"/>
      <c r="CL576" s="11"/>
      <c r="CM576" s="11"/>
      <c r="CN576" s="274"/>
      <c r="CO576" s="274"/>
      <c r="CP576" s="274"/>
      <c r="CQ576" s="11"/>
      <c r="CR576" s="11"/>
      <c r="CS576" s="11"/>
      <c r="CT576" s="11"/>
      <c r="CU576" s="11"/>
      <c r="CV576" s="11"/>
      <c r="CW576" s="11"/>
      <c r="CX576" s="11"/>
      <c r="CY576" s="11"/>
      <c r="CZ576" s="11"/>
      <c r="DA576" s="11"/>
      <c r="DB576" s="11"/>
      <c r="DC576" s="11"/>
      <c r="DD576" s="11"/>
      <c r="DE576" s="11"/>
      <c r="DF576" s="11"/>
      <c r="DG576" s="11"/>
      <c r="DH576" s="11"/>
      <c r="DI576" s="11"/>
      <c r="DJ576" s="11"/>
      <c r="DK576" s="11"/>
      <c r="DL576" s="11"/>
      <c r="DM576" s="118"/>
      <c r="DN576" s="118"/>
      <c r="DO576" s="118"/>
      <c r="DP576" s="52"/>
      <c r="DQ576" s="52"/>
      <c r="DR576" s="77"/>
      <c r="DS576" s="77"/>
      <c r="DT576" s="77"/>
      <c r="DU576" s="11"/>
      <c r="DV576" s="11"/>
      <c r="DW576" s="11"/>
      <c r="DX576" s="11"/>
      <c r="DY576" s="11"/>
      <c r="DZ576" s="11"/>
      <c r="EA576" s="11"/>
      <c r="EB576" s="11"/>
      <c r="EC576" s="11"/>
      <c r="ED576" s="11"/>
      <c r="EE576" s="11"/>
      <c r="EF576" s="11"/>
    </row>
    <row r="577" spans="1:136" ht="27" x14ac:dyDescent="0.25">
      <c r="A577" s="425">
        <v>575</v>
      </c>
      <c r="B577" s="427" t="s">
        <v>2545</v>
      </c>
      <c r="C577" s="427" t="s">
        <v>409</v>
      </c>
      <c r="D577" s="427" t="s">
        <v>1302</v>
      </c>
      <c r="E577" s="79">
        <v>1</v>
      </c>
      <c r="F577" s="405"/>
      <c r="G577" s="274"/>
      <c r="H577" s="274"/>
      <c r="I577" s="274"/>
      <c r="J577" s="274"/>
      <c r="K577" s="11"/>
      <c r="L577" s="274"/>
      <c r="M577" s="274"/>
      <c r="N577" s="274"/>
      <c r="O577" s="48"/>
      <c r="P577" s="11"/>
      <c r="Q577" s="274"/>
      <c r="R577" s="274"/>
      <c r="S577" s="274"/>
      <c r="T577" s="11"/>
      <c r="U577" s="11"/>
      <c r="V577" s="11"/>
      <c r="W577" s="11"/>
      <c r="X577" s="11"/>
      <c r="Y577" s="11"/>
      <c r="Z577" s="48"/>
      <c r="AA577" s="52"/>
      <c r="AB577" s="52"/>
      <c r="AC577" s="118"/>
      <c r="AD577" s="5"/>
      <c r="AE577" s="52"/>
      <c r="AF577" s="113"/>
      <c r="AG577" s="113"/>
      <c r="AH577" s="113"/>
      <c r="AI577" s="52"/>
      <c r="AJ577" s="11"/>
      <c r="AK577" s="269"/>
      <c r="AL577" s="269"/>
      <c r="AM577" s="269"/>
      <c r="AN577" s="301"/>
      <c r="AO577" s="302"/>
      <c r="AP577" s="11"/>
      <c r="AQ577" s="11"/>
      <c r="AR577" s="11"/>
      <c r="AS577" s="11"/>
      <c r="AT577" s="11"/>
      <c r="AU577" s="118"/>
      <c r="AV577" s="118"/>
      <c r="AW577" s="118"/>
      <c r="AX577" s="52"/>
      <c r="AY577" s="52"/>
      <c r="AZ577" s="11"/>
      <c r="BA577" s="11"/>
      <c r="BB577" s="11"/>
      <c r="BC577" s="11"/>
      <c r="BD577" s="11"/>
      <c r="BE577" s="274">
        <v>379000</v>
      </c>
      <c r="BF577" s="274">
        <v>72010</v>
      </c>
      <c r="BG577" s="274">
        <v>451010</v>
      </c>
      <c r="BH577" s="11" t="s">
        <v>409</v>
      </c>
      <c r="BI577" s="11" t="s">
        <v>2546</v>
      </c>
      <c r="BJ577" s="311"/>
      <c r="BK577" s="311"/>
      <c r="BL577" s="311"/>
      <c r="BM577" s="52"/>
      <c r="BN577" s="52"/>
      <c r="BO577" s="387"/>
      <c r="BP577" s="320"/>
      <c r="BQ577" s="320"/>
      <c r="BR577" s="4"/>
      <c r="BS577" s="4"/>
      <c r="BT577" s="11"/>
      <c r="BU577" s="11"/>
      <c r="BV577" s="11"/>
      <c r="BW577" s="11"/>
      <c r="BX577" s="11"/>
      <c r="BY577" s="348"/>
      <c r="BZ577" s="348"/>
      <c r="CA577" s="348"/>
      <c r="CB577" s="348"/>
      <c r="CC577" s="348"/>
      <c r="CD577" s="11"/>
      <c r="CE577" s="11"/>
      <c r="CF577" s="11"/>
      <c r="CG577" s="11"/>
      <c r="CH577" s="11"/>
      <c r="CI577" s="11"/>
      <c r="CJ577" s="11"/>
      <c r="CK577" s="11"/>
      <c r="CL577" s="11"/>
      <c r="CM577" s="11"/>
      <c r="CN577" s="274"/>
      <c r="CO577" s="274"/>
      <c r="CP577" s="274"/>
      <c r="CQ577" s="11"/>
      <c r="CR577" s="11"/>
      <c r="CS577" s="11"/>
      <c r="CT577" s="11"/>
      <c r="CU577" s="11"/>
      <c r="CV577" s="11"/>
      <c r="CW577" s="11"/>
      <c r="CX577" s="11"/>
      <c r="CY577" s="11"/>
      <c r="CZ577" s="11"/>
      <c r="DA577" s="11"/>
      <c r="DB577" s="11"/>
      <c r="DC577" s="11"/>
      <c r="DD577" s="11"/>
      <c r="DE577" s="11"/>
      <c r="DF577" s="11"/>
      <c r="DG577" s="11"/>
      <c r="DH577" s="11"/>
      <c r="DI577" s="11"/>
      <c r="DJ577" s="11"/>
      <c r="DK577" s="11"/>
      <c r="DL577" s="11"/>
      <c r="DM577" s="118"/>
      <c r="DN577" s="118"/>
      <c r="DO577" s="118"/>
      <c r="DP577" s="52"/>
      <c r="DQ577" s="52"/>
      <c r="DR577" s="77"/>
      <c r="DS577" s="77"/>
      <c r="DT577" s="77"/>
      <c r="DU577" s="11"/>
      <c r="DV577" s="11"/>
      <c r="DW577" s="11"/>
      <c r="DX577" s="11"/>
      <c r="DY577" s="11"/>
      <c r="DZ577" s="11"/>
      <c r="EA577" s="11"/>
      <c r="EB577" s="11"/>
      <c r="EC577" s="11"/>
      <c r="ED577" s="11"/>
      <c r="EE577" s="11"/>
      <c r="EF577" s="11"/>
    </row>
    <row r="578" spans="1:136" ht="40.5" x14ac:dyDescent="0.25">
      <c r="A578" s="425">
        <v>576</v>
      </c>
      <c r="B578" s="427" t="s">
        <v>2547</v>
      </c>
      <c r="C578" s="427" t="s">
        <v>2539</v>
      </c>
      <c r="D578" s="427" t="s">
        <v>2540</v>
      </c>
      <c r="E578" s="79">
        <v>1</v>
      </c>
      <c r="F578" s="405"/>
      <c r="G578" s="274"/>
      <c r="H578" s="274"/>
      <c r="I578" s="274"/>
      <c r="J578" s="274"/>
      <c r="K578" s="11"/>
      <c r="L578" s="274"/>
      <c r="M578" s="274"/>
      <c r="N578" s="274"/>
      <c r="O578" s="48"/>
      <c r="P578" s="11"/>
      <c r="Q578" s="274"/>
      <c r="R578" s="274"/>
      <c r="S578" s="274"/>
      <c r="T578" s="11"/>
      <c r="U578" s="11"/>
      <c r="V578" s="11"/>
      <c r="W578" s="11"/>
      <c r="X578" s="11"/>
      <c r="Y578" s="11"/>
      <c r="Z578" s="48"/>
      <c r="AA578" s="52"/>
      <c r="AB578" s="52"/>
      <c r="AC578" s="118"/>
      <c r="AD578" s="5"/>
      <c r="AE578" s="52"/>
      <c r="AF578" s="113"/>
      <c r="AG578" s="113"/>
      <c r="AH578" s="113"/>
      <c r="AI578" s="52"/>
      <c r="AJ578" s="11"/>
      <c r="AK578" s="269"/>
      <c r="AL578" s="269"/>
      <c r="AM578" s="269"/>
      <c r="AN578" s="301"/>
      <c r="AO578" s="302"/>
      <c r="AP578" s="11"/>
      <c r="AQ578" s="11"/>
      <c r="AR578" s="11"/>
      <c r="AS578" s="11"/>
      <c r="AT578" s="11"/>
      <c r="AU578" s="118"/>
      <c r="AV578" s="118"/>
      <c r="AW578" s="118"/>
      <c r="AX578" s="52"/>
      <c r="AY578" s="52"/>
      <c r="AZ578" s="11"/>
      <c r="BA578" s="11"/>
      <c r="BB578" s="11"/>
      <c r="BC578" s="11"/>
      <c r="BD578" s="11"/>
      <c r="BE578" s="274">
        <v>107000</v>
      </c>
      <c r="BF578" s="274">
        <v>20330</v>
      </c>
      <c r="BG578" s="274">
        <v>127330</v>
      </c>
      <c r="BH578" s="11" t="s">
        <v>409</v>
      </c>
      <c r="BI578" s="11" t="s">
        <v>2548</v>
      </c>
      <c r="BJ578" s="311"/>
      <c r="BK578" s="311"/>
      <c r="BL578" s="311"/>
      <c r="BM578" s="52"/>
      <c r="BN578" s="52"/>
      <c r="BO578" s="387"/>
      <c r="BP578" s="320"/>
      <c r="BQ578" s="320"/>
      <c r="BR578" s="4"/>
      <c r="BS578" s="4"/>
      <c r="BT578" s="11"/>
      <c r="BU578" s="11"/>
      <c r="BV578" s="11"/>
      <c r="BW578" s="11"/>
      <c r="BX578" s="11"/>
      <c r="BY578" s="348"/>
      <c r="BZ578" s="348"/>
      <c r="CA578" s="348"/>
      <c r="CB578" s="348"/>
      <c r="CC578" s="348"/>
      <c r="CD578" s="11"/>
      <c r="CE578" s="11"/>
      <c r="CF578" s="11"/>
      <c r="CG578" s="11"/>
      <c r="CH578" s="11"/>
      <c r="CI578" s="11"/>
      <c r="CJ578" s="11"/>
      <c r="CK578" s="11"/>
      <c r="CL578" s="11"/>
      <c r="CM578" s="11"/>
      <c r="CN578" s="274"/>
      <c r="CO578" s="274"/>
      <c r="CP578" s="274"/>
      <c r="CQ578" s="11"/>
      <c r="CR578" s="11"/>
      <c r="CS578" s="11"/>
      <c r="CT578" s="11"/>
      <c r="CU578" s="11"/>
      <c r="CV578" s="11"/>
      <c r="CW578" s="11"/>
      <c r="CX578" s="11"/>
      <c r="CY578" s="11"/>
      <c r="CZ578" s="11"/>
      <c r="DA578" s="11"/>
      <c r="DB578" s="11"/>
      <c r="DC578" s="11"/>
      <c r="DD578" s="11"/>
      <c r="DE578" s="11"/>
      <c r="DF578" s="11"/>
      <c r="DG578" s="11"/>
      <c r="DH578" s="11"/>
      <c r="DI578" s="11"/>
      <c r="DJ578" s="11"/>
      <c r="DK578" s="11"/>
      <c r="DL578" s="11"/>
      <c r="DM578" s="118"/>
      <c r="DN578" s="118"/>
      <c r="DO578" s="118"/>
      <c r="DP578" s="52"/>
      <c r="DQ578" s="52"/>
      <c r="DR578" s="77"/>
      <c r="DS578" s="77"/>
      <c r="DT578" s="77"/>
      <c r="DU578" s="11"/>
      <c r="DV578" s="11"/>
      <c r="DW578" s="11"/>
      <c r="DX578" s="11"/>
      <c r="DY578" s="11"/>
      <c r="DZ578" s="11"/>
      <c r="EA578" s="11"/>
      <c r="EB578" s="11"/>
      <c r="EC578" s="11"/>
      <c r="ED578" s="11"/>
      <c r="EE578" s="11"/>
      <c r="EF578" s="11"/>
    </row>
    <row r="579" spans="1:136" ht="40.5" x14ac:dyDescent="0.25">
      <c r="A579" s="425">
        <v>577</v>
      </c>
      <c r="B579" s="427" t="s">
        <v>2549</v>
      </c>
      <c r="C579" s="427" t="s">
        <v>2539</v>
      </c>
      <c r="D579" s="427" t="s">
        <v>2550</v>
      </c>
      <c r="E579" s="79">
        <v>1</v>
      </c>
      <c r="F579" s="405"/>
      <c r="G579" s="274"/>
      <c r="H579" s="274"/>
      <c r="I579" s="274"/>
      <c r="J579" s="274"/>
      <c r="K579" s="11"/>
      <c r="L579" s="274"/>
      <c r="M579" s="274"/>
      <c r="N579" s="274"/>
      <c r="O579" s="48"/>
      <c r="P579" s="11"/>
      <c r="Q579" s="274"/>
      <c r="R579" s="274"/>
      <c r="S579" s="274"/>
      <c r="T579" s="11"/>
      <c r="U579" s="11"/>
      <c r="V579" s="11"/>
      <c r="W579" s="11"/>
      <c r="X579" s="11"/>
      <c r="Y579" s="11"/>
      <c r="Z579" s="48"/>
      <c r="AA579" s="52"/>
      <c r="AB579" s="52"/>
      <c r="AC579" s="118"/>
      <c r="AD579" s="5"/>
      <c r="AE579" s="52"/>
      <c r="AF579" s="113"/>
      <c r="AG579" s="113"/>
      <c r="AH579" s="113"/>
      <c r="AI579" s="52"/>
      <c r="AJ579" s="11"/>
      <c r="AK579" s="269"/>
      <c r="AL579" s="269"/>
      <c r="AM579" s="269"/>
      <c r="AN579" s="301"/>
      <c r="AO579" s="302"/>
      <c r="AP579" s="11"/>
      <c r="AQ579" s="11"/>
      <c r="AR579" s="11"/>
      <c r="AS579" s="11"/>
      <c r="AT579" s="11"/>
      <c r="AU579" s="118"/>
      <c r="AV579" s="118"/>
      <c r="AW579" s="118"/>
      <c r="AX579" s="52"/>
      <c r="AY579" s="52"/>
      <c r="AZ579" s="11"/>
      <c r="BA579" s="11"/>
      <c r="BB579" s="11"/>
      <c r="BC579" s="11"/>
      <c r="BD579" s="11"/>
      <c r="BE579" s="274">
        <v>107000</v>
      </c>
      <c r="BF579" s="274">
        <v>20330</v>
      </c>
      <c r="BG579" s="274">
        <v>127330</v>
      </c>
      <c r="BH579" s="11" t="s">
        <v>409</v>
      </c>
      <c r="BI579" s="11" t="s">
        <v>2551</v>
      </c>
      <c r="BJ579" s="311"/>
      <c r="BK579" s="311"/>
      <c r="BL579" s="311"/>
      <c r="BM579" s="52"/>
      <c r="BN579" s="52"/>
      <c r="BO579" s="387"/>
      <c r="BP579" s="320"/>
      <c r="BQ579" s="320"/>
      <c r="BR579" s="4"/>
      <c r="BS579" s="4"/>
      <c r="BT579" s="11"/>
      <c r="BU579" s="11"/>
      <c r="BV579" s="11"/>
      <c r="BW579" s="11"/>
      <c r="BX579" s="11"/>
      <c r="BY579" s="348"/>
      <c r="BZ579" s="348"/>
      <c r="CA579" s="348"/>
      <c r="CB579" s="348"/>
      <c r="CC579" s="348"/>
      <c r="CD579" s="11"/>
      <c r="CE579" s="11"/>
      <c r="CF579" s="11"/>
      <c r="CG579" s="11"/>
      <c r="CH579" s="11"/>
      <c r="CI579" s="11"/>
      <c r="CJ579" s="11"/>
      <c r="CK579" s="11"/>
      <c r="CL579" s="11"/>
      <c r="CM579" s="11"/>
      <c r="CN579" s="274"/>
      <c r="CO579" s="274"/>
      <c r="CP579" s="274"/>
      <c r="CQ579" s="11"/>
      <c r="CR579" s="11"/>
      <c r="CS579" s="11"/>
      <c r="CT579" s="11"/>
      <c r="CU579" s="11"/>
      <c r="CV579" s="11"/>
      <c r="CW579" s="11"/>
      <c r="CX579" s="11"/>
      <c r="CY579" s="11"/>
      <c r="CZ579" s="11"/>
      <c r="DA579" s="11"/>
      <c r="DB579" s="11"/>
      <c r="DC579" s="11"/>
      <c r="DD579" s="11"/>
      <c r="DE579" s="11"/>
      <c r="DF579" s="11"/>
      <c r="DG579" s="11"/>
      <c r="DH579" s="11"/>
      <c r="DI579" s="11"/>
      <c r="DJ579" s="11"/>
      <c r="DK579" s="11"/>
      <c r="DL579" s="11"/>
      <c r="DM579" s="118"/>
      <c r="DN579" s="118"/>
      <c r="DO579" s="118"/>
      <c r="DP579" s="52"/>
      <c r="DQ579" s="52"/>
      <c r="DR579" s="77"/>
      <c r="DS579" s="77"/>
      <c r="DT579" s="77"/>
      <c r="DU579" s="11"/>
      <c r="DV579" s="11"/>
      <c r="DW579" s="11"/>
      <c r="DX579" s="11"/>
      <c r="DY579" s="11"/>
      <c r="DZ579" s="11"/>
      <c r="EA579" s="11"/>
      <c r="EB579" s="11"/>
      <c r="EC579" s="11"/>
      <c r="ED579" s="11"/>
      <c r="EE579" s="11"/>
      <c r="EF579" s="11"/>
    </row>
    <row r="580" spans="1:136" ht="40.5" x14ac:dyDescent="0.25">
      <c r="A580" s="425">
        <v>578</v>
      </c>
      <c r="B580" s="427" t="s">
        <v>2552</v>
      </c>
      <c r="C580" s="427" t="s">
        <v>409</v>
      </c>
      <c r="D580" s="427" t="s">
        <v>1302</v>
      </c>
      <c r="E580" s="79">
        <v>1</v>
      </c>
      <c r="F580" s="405"/>
      <c r="G580" s="274"/>
      <c r="H580" s="274"/>
      <c r="I580" s="274"/>
      <c r="J580" s="274"/>
      <c r="K580" s="11"/>
      <c r="L580" s="274"/>
      <c r="M580" s="274"/>
      <c r="N580" s="274"/>
      <c r="O580" s="48"/>
      <c r="P580" s="11"/>
      <c r="Q580" s="274"/>
      <c r="R580" s="274"/>
      <c r="S580" s="274"/>
      <c r="T580" s="11"/>
      <c r="U580" s="11"/>
      <c r="V580" s="11"/>
      <c r="W580" s="11"/>
      <c r="X580" s="11"/>
      <c r="Y580" s="11"/>
      <c r="Z580" s="48"/>
      <c r="AA580" s="52"/>
      <c r="AB580" s="52"/>
      <c r="AC580" s="118"/>
      <c r="AD580" s="5"/>
      <c r="AE580" s="52"/>
      <c r="AF580" s="113"/>
      <c r="AG580" s="113"/>
      <c r="AH580" s="113"/>
      <c r="AI580" s="52"/>
      <c r="AJ580" s="11"/>
      <c r="AK580" s="269"/>
      <c r="AL580" s="269"/>
      <c r="AM580" s="269"/>
      <c r="AN580" s="301"/>
      <c r="AO580" s="302"/>
      <c r="AP580" s="11"/>
      <c r="AQ580" s="11"/>
      <c r="AR580" s="11"/>
      <c r="AS580" s="11"/>
      <c r="AT580" s="11"/>
      <c r="AU580" s="118"/>
      <c r="AV580" s="118"/>
      <c r="AW580" s="118"/>
      <c r="AX580" s="52"/>
      <c r="AY580" s="52"/>
      <c r="AZ580" s="11"/>
      <c r="BA580" s="11"/>
      <c r="BB580" s="11"/>
      <c r="BC580" s="11"/>
      <c r="BD580" s="11"/>
      <c r="BE580" s="274">
        <v>256000</v>
      </c>
      <c r="BF580" s="274">
        <v>48640</v>
      </c>
      <c r="BG580" s="274">
        <v>304640</v>
      </c>
      <c r="BH580" s="11" t="s">
        <v>409</v>
      </c>
      <c r="BI580" s="11" t="s">
        <v>2553</v>
      </c>
      <c r="BJ580" s="311"/>
      <c r="BK580" s="311"/>
      <c r="BL580" s="311"/>
      <c r="BM580" s="52"/>
      <c r="BN580" s="52"/>
      <c r="BO580" s="387"/>
      <c r="BP580" s="320"/>
      <c r="BQ580" s="320"/>
      <c r="BR580" s="4"/>
      <c r="BS580" s="4"/>
      <c r="BT580" s="11"/>
      <c r="BU580" s="11"/>
      <c r="BV580" s="11"/>
      <c r="BW580" s="11"/>
      <c r="BX580" s="11"/>
      <c r="BY580" s="348"/>
      <c r="BZ580" s="348"/>
      <c r="CA580" s="348"/>
      <c r="CB580" s="348"/>
      <c r="CC580" s="348"/>
      <c r="CD580" s="11"/>
      <c r="CE580" s="11"/>
      <c r="CF580" s="11"/>
      <c r="CG580" s="11"/>
      <c r="CH580" s="11"/>
      <c r="CI580" s="11"/>
      <c r="CJ580" s="11"/>
      <c r="CK580" s="11"/>
      <c r="CL580" s="11"/>
      <c r="CM580" s="11"/>
      <c r="CN580" s="274"/>
      <c r="CO580" s="274"/>
      <c r="CP580" s="274"/>
      <c r="CQ580" s="11"/>
      <c r="CR580" s="11"/>
      <c r="CS580" s="11"/>
      <c r="CT580" s="11"/>
      <c r="CU580" s="11"/>
      <c r="CV580" s="11"/>
      <c r="CW580" s="11"/>
      <c r="CX580" s="11"/>
      <c r="CY580" s="11"/>
      <c r="CZ580" s="11"/>
      <c r="DA580" s="11"/>
      <c r="DB580" s="11"/>
      <c r="DC580" s="11"/>
      <c r="DD580" s="11"/>
      <c r="DE580" s="11"/>
      <c r="DF580" s="11"/>
      <c r="DG580" s="11"/>
      <c r="DH580" s="11"/>
      <c r="DI580" s="11"/>
      <c r="DJ580" s="11"/>
      <c r="DK580" s="11"/>
      <c r="DL580" s="11"/>
      <c r="DM580" s="118"/>
      <c r="DN580" s="118"/>
      <c r="DO580" s="118"/>
      <c r="DP580" s="52"/>
      <c r="DQ580" s="52"/>
      <c r="DR580" s="77"/>
      <c r="DS580" s="77"/>
      <c r="DT580" s="77"/>
      <c r="DU580" s="11"/>
      <c r="DV580" s="11"/>
      <c r="DW580" s="11"/>
      <c r="DX580" s="11"/>
      <c r="DY580" s="11"/>
      <c r="DZ580" s="11"/>
      <c r="EA580" s="11"/>
      <c r="EB580" s="11"/>
      <c r="EC580" s="11"/>
      <c r="ED580" s="11"/>
      <c r="EE580" s="11"/>
      <c r="EF580" s="11"/>
    </row>
    <row r="581" spans="1:136" ht="40.5" x14ac:dyDescent="0.25">
      <c r="A581" s="425">
        <v>579</v>
      </c>
      <c r="B581" s="427" t="s">
        <v>2554</v>
      </c>
      <c r="C581" s="413" t="s">
        <v>2543</v>
      </c>
      <c r="D581" s="413" t="s">
        <v>1302</v>
      </c>
      <c r="E581" s="79">
        <v>1</v>
      </c>
      <c r="F581" s="406">
        <v>429852.27600000001</v>
      </c>
      <c r="G581" s="274"/>
      <c r="H581" s="274"/>
      <c r="I581" s="274"/>
      <c r="J581" s="274"/>
      <c r="K581" s="11"/>
      <c r="L581" s="274"/>
      <c r="M581" s="274"/>
      <c r="N581" s="274"/>
      <c r="O581" s="48"/>
      <c r="P581" s="11"/>
      <c r="Q581" s="274"/>
      <c r="R581" s="274"/>
      <c r="S581" s="274"/>
      <c r="T581" s="11"/>
      <c r="U581" s="11"/>
      <c r="V581" s="11"/>
      <c r="W581" s="11"/>
      <c r="X581" s="11"/>
      <c r="Y581" s="11"/>
      <c r="Z581" s="48"/>
      <c r="AA581" s="52"/>
      <c r="AB581" s="52"/>
      <c r="AC581" s="118"/>
      <c r="AD581" s="5"/>
      <c r="AE581" s="52"/>
      <c r="AF581" s="113"/>
      <c r="AG581" s="113"/>
      <c r="AH581" s="113"/>
      <c r="AI581" s="52"/>
      <c r="AJ581" s="11"/>
      <c r="AK581" s="269"/>
      <c r="AL581" s="269"/>
      <c r="AM581" s="269"/>
      <c r="AN581" s="301"/>
      <c r="AO581" s="302"/>
      <c r="AP581" s="11"/>
      <c r="AQ581" s="11"/>
      <c r="AR581" s="11"/>
      <c r="AS581" s="11"/>
      <c r="AT581" s="11"/>
      <c r="AU581" s="118"/>
      <c r="AV581" s="118"/>
      <c r="AW581" s="118"/>
      <c r="AX581" s="52"/>
      <c r="AY581" s="52"/>
      <c r="AZ581" s="11"/>
      <c r="BA581" s="11"/>
      <c r="BB581" s="11"/>
      <c r="BC581" s="11"/>
      <c r="BD581" s="11"/>
      <c r="BE581" s="274">
        <v>256000</v>
      </c>
      <c r="BF581" s="274">
        <v>48640</v>
      </c>
      <c r="BG581" s="274">
        <v>304640</v>
      </c>
      <c r="BH581" s="11" t="s">
        <v>409</v>
      </c>
      <c r="BI581" s="11" t="s">
        <v>2544</v>
      </c>
      <c r="BJ581" s="311"/>
      <c r="BK581" s="311"/>
      <c r="BL581" s="311"/>
      <c r="BM581" s="52"/>
      <c r="BN581" s="52"/>
      <c r="BO581" s="387"/>
      <c r="BP581" s="320"/>
      <c r="BQ581" s="320"/>
      <c r="BR581" s="4"/>
      <c r="BS581" s="4"/>
      <c r="BT581" s="11"/>
      <c r="BU581" s="11"/>
      <c r="BV581" s="11"/>
      <c r="BW581" s="11"/>
      <c r="BX581" s="11"/>
      <c r="BY581" s="348"/>
      <c r="BZ581" s="348"/>
      <c r="CA581" s="348"/>
      <c r="CB581" s="348"/>
      <c r="CC581" s="348"/>
      <c r="CD581" s="11"/>
      <c r="CE581" s="11"/>
      <c r="CF581" s="11"/>
      <c r="CG581" s="11"/>
      <c r="CH581" s="11"/>
      <c r="CI581" s="11"/>
      <c r="CJ581" s="11"/>
      <c r="CK581" s="11"/>
      <c r="CL581" s="11"/>
      <c r="CM581" s="11"/>
      <c r="CN581" s="274"/>
      <c r="CO581" s="274"/>
      <c r="CP581" s="274"/>
      <c r="CQ581" s="11"/>
      <c r="CR581" s="11"/>
      <c r="CS581" s="11"/>
      <c r="CT581" s="11"/>
      <c r="CU581" s="11"/>
      <c r="CV581" s="11"/>
      <c r="CW581" s="11"/>
      <c r="CX581" s="11"/>
      <c r="CY581" s="11"/>
      <c r="CZ581" s="11"/>
      <c r="DA581" s="11"/>
      <c r="DB581" s="11"/>
      <c r="DC581" s="11"/>
      <c r="DD581" s="11"/>
      <c r="DE581" s="11"/>
      <c r="DF581" s="11"/>
      <c r="DG581" s="11"/>
      <c r="DH581" s="11"/>
      <c r="DI581" s="11"/>
      <c r="DJ581" s="11"/>
      <c r="DK581" s="11"/>
      <c r="DL581" s="11"/>
      <c r="DM581" s="118"/>
      <c r="DN581" s="118"/>
      <c r="DO581" s="118"/>
      <c r="DP581" s="52"/>
      <c r="DQ581" s="52"/>
      <c r="DR581" s="77"/>
      <c r="DS581" s="77"/>
      <c r="DT581" s="77"/>
      <c r="DU581" s="11"/>
      <c r="DV581" s="11"/>
      <c r="DW581" s="11"/>
      <c r="DX581" s="11"/>
      <c r="DY581" s="11"/>
      <c r="DZ581" s="11"/>
      <c r="EA581" s="11"/>
      <c r="EB581" s="11"/>
      <c r="EC581" s="11"/>
      <c r="ED581" s="11"/>
      <c r="EE581" s="11"/>
      <c r="EF581" s="11"/>
    </row>
    <row r="582" spans="1:136" ht="27" x14ac:dyDescent="0.25">
      <c r="A582" s="425">
        <v>580</v>
      </c>
      <c r="B582" s="427" t="s">
        <v>2555</v>
      </c>
      <c r="C582" s="427" t="s">
        <v>409</v>
      </c>
      <c r="D582" s="427" t="s">
        <v>1302</v>
      </c>
      <c r="E582" s="79">
        <v>1</v>
      </c>
      <c r="F582" s="405"/>
      <c r="G582" s="274"/>
      <c r="H582" s="274"/>
      <c r="I582" s="274"/>
      <c r="J582" s="274"/>
      <c r="K582" s="11"/>
      <c r="L582" s="274"/>
      <c r="M582" s="274"/>
      <c r="N582" s="274"/>
      <c r="O582" s="48"/>
      <c r="P582" s="11"/>
      <c r="Q582" s="274"/>
      <c r="R582" s="274"/>
      <c r="S582" s="274"/>
      <c r="T582" s="11"/>
      <c r="U582" s="11"/>
      <c r="V582" s="11"/>
      <c r="W582" s="11"/>
      <c r="X582" s="11"/>
      <c r="Y582" s="11"/>
      <c r="Z582" s="48"/>
      <c r="AA582" s="52"/>
      <c r="AB582" s="52"/>
      <c r="AC582" s="118"/>
      <c r="AD582" s="5"/>
      <c r="AE582" s="52"/>
      <c r="AF582" s="113"/>
      <c r="AG582" s="113"/>
      <c r="AH582" s="113"/>
      <c r="AI582" s="52"/>
      <c r="AJ582" s="11"/>
      <c r="AK582" s="269"/>
      <c r="AL582" s="269"/>
      <c r="AM582" s="269"/>
      <c r="AN582" s="301"/>
      <c r="AO582" s="302"/>
      <c r="AP582" s="11"/>
      <c r="AQ582" s="11"/>
      <c r="AR582" s="11"/>
      <c r="AS582" s="11"/>
      <c r="AT582" s="11"/>
      <c r="AU582" s="118"/>
      <c r="AV582" s="118"/>
      <c r="AW582" s="118"/>
      <c r="AX582" s="52"/>
      <c r="AY582" s="52"/>
      <c r="AZ582" s="11"/>
      <c r="BA582" s="11"/>
      <c r="BB582" s="11"/>
      <c r="BC582" s="11"/>
      <c r="BD582" s="11"/>
      <c r="BE582" s="274">
        <v>626000</v>
      </c>
      <c r="BF582" s="274">
        <v>118940</v>
      </c>
      <c r="BG582" s="274">
        <v>744940</v>
      </c>
      <c r="BH582" s="11" t="s">
        <v>409</v>
      </c>
      <c r="BI582" s="11" t="s">
        <v>2556</v>
      </c>
      <c r="BJ582" s="311"/>
      <c r="BK582" s="311"/>
      <c r="BL582" s="311"/>
      <c r="BM582" s="52"/>
      <c r="BN582" s="52"/>
      <c r="BO582" s="387"/>
      <c r="BP582" s="320"/>
      <c r="BQ582" s="320"/>
      <c r="BR582" s="4"/>
      <c r="BS582" s="4"/>
      <c r="BT582" s="11"/>
      <c r="BU582" s="11"/>
      <c r="BV582" s="11"/>
      <c r="BW582" s="11"/>
      <c r="BX582" s="11"/>
      <c r="BY582" s="348"/>
      <c r="BZ582" s="348"/>
      <c r="CA582" s="348"/>
      <c r="CB582" s="348"/>
      <c r="CC582" s="348"/>
      <c r="CD582" s="11"/>
      <c r="CE582" s="11"/>
      <c r="CF582" s="11"/>
      <c r="CG582" s="11"/>
      <c r="CH582" s="11"/>
      <c r="CI582" s="11"/>
      <c r="CJ582" s="11"/>
      <c r="CK582" s="11"/>
      <c r="CL582" s="11"/>
      <c r="CM582" s="11"/>
      <c r="CN582" s="274"/>
      <c r="CO582" s="274"/>
      <c r="CP582" s="274"/>
      <c r="CQ582" s="11"/>
      <c r="CR582" s="11"/>
      <c r="CS582" s="11"/>
      <c r="CT582" s="11"/>
      <c r="CU582" s="11"/>
      <c r="CV582" s="11"/>
      <c r="CW582" s="11"/>
      <c r="CX582" s="11"/>
      <c r="CY582" s="11"/>
      <c r="CZ582" s="11"/>
      <c r="DA582" s="11"/>
      <c r="DB582" s="11"/>
      <c r="DC582" s="11"/>
      <c r="DD582" s="11"/>
      <c r="DE582" s="11"/>
      <c r="DF582" s="11"/>
      <c r="DG582" s="11"/>
      <c r="DH582" s="11"/>
      <c r="DI582" s="11"/>
      <c r="DJ582" s="11"/>
      <c r="DK582" s="11"/>
      <c r="DL582" s="11"/>
      <c r="DM582" s="118"/>
      <c r="DN582" s="118"/>
      <c r="DO582" s="118"/>
      <c r="DP582" s="52"/>
      <c r="DQ582" s="52"/>
      <c r="DR582" s="77"/>
      <c r="DS582" s="77"/>
      <c r="DT582" s="77"/>
      <c r="DU582" s="11"/>
      <c r="DV582" s="11"/>
      <c r="DW582" s="11"/>
      <c r="DX582" s="11"/>
      <c r="DY582" s="11"/>
      <c r="DZ582" s="11"/>
      <c r="EA582" s="11"/>
      <c r="EB582" s="11"/>
      <c r="EC582" s="11"/>
      <c r="ED582" s="11"/>
      <c r="EE582" s="11"/>
      <c r="EF582" s="11"/>
    </row>
    <row r="583" spans="1:136" ht="27" x14ac:dyDescent="0.25">
      <c r="A583" s="425">
        <v>581</v>
      </c>
      <c r="B583" s="427" t="s">
        <v>2557</v>
      </c>
      <c r="C583" s="427" t="s">
        <v>409</v>
      </c>
      <c r="D583" s="427" t="s">
        <v>1302</v>
      </c>
      <c r="E583" s="79">
        <v>1</v>
      </c>
      <c r="F583" s="405"/>
      <c r="G583" s="274"/>
      <c r="H583" s="274"/>
      <c r="I583" s="274"/>
      <c r="J583" s="274"/>
      <c r="K583" s="11"/>
      <c r="L583" s="274"/>
      <c r="M583" s="274"/>
      <c r="N583" s="274"/>
      <c r="O583" s="48"/>
      <c r="P583" s="11"/>
      <c r="Q583" s="274"/>
      <c r="R583" s="274"/>
      <c r="S583" s="274"/>
      <c r="T583" s="11"/>
      <c r="U583" s="11"/>
      <c r="V583" s="11"/>
      <c r="W583" s="11"/>
      <c r="X583" s="11"/>
      <c r="Y583" s="11"/>
      <c r="Z583" s="48"/>
      <c r="AA583" s="52"/>
      <c r="AB583" s="52"/>
      <c r="AC583" s="118"/>
      <c r="AD583" s="5"/>
      <c r="AE583" s="52"/>
      <c r="AF583" s="113"/>
      <c r="AG583" s="113"/>
      <c r="AH583" s="113"/>
      <c r="AI583" s="52"/>
      <c r="AJ583" s="11"/>
      <c r="AK583" s="269"/>
      <c r="AL583" s="269"/>
      <c r="AM583" s="269"/>
      <c r="AN583" s="301"/>
      <c r="AO583" s="302"/>
      <c r="AP583" s="11"/>
      <c r="AQ583" s="11"/>
      <c r="AR583" s="11"/>
      <c r="AS583" s="11"/>
      <c r="AT583" s="11"/>
      <c r="AU583" s="118"/>
      <c r="AV583" s="118"/>
      <c r="AW583" s="118"/>
      <c r="AX583" s="52"/>
      <c r="AY583" s="52"/>
      <c r="AZ583" s="11"/>
      <c r="BA583" s="11"/>
      <c r="BB583" s="11"/>
      <c r="BC583" s="11"/>
      <c r="BD583" s="11"/>
      <c r="BE583" s="274">
        <v>256000</v>
      </c>
      <c r="BF583" s="274">
        <v>48640</v>
      </c>
      <c r="BG583" s="274">
        <v>304640</v>
      </c>
      <c r="BH583" s="11" t="s">
        <v>409</v>
      </c>
      <c r="BI583" s="11" t="s">
        <v>2558</v>
      </c>
      <c r="BJ583" s="311"/>
      <c r="BK583" s="311"/>
      <c r="BL583" s="311"/>
      <c r="BM583" s="52"/>
      <c r="BN583" s="52"/>
      <c r="BO583" s="387"/>
      <c r="BP583" s="320"/>
      <c r="BQ583" s="320"/>
      <c r="BR583" s="4"/>
      <c r="BS583" s="4"/>
      <c r="BT583" s="11"/>
      <c r="BU583" s="11"/>
      <c r="BV583" s="11"/>
      <c r="BW583" s="11"/>
      <c r="BX583" s="11"/>
      <c r="BY583" s="348"/>
      <c r="BZ583" s="348"/>
      <c r="CA583" s="348"/>
      <c r="CB583" s="348"/>
      <c r="CC583" s="348"/>
      <c r="CD583" s="11"/>
      <c r="CE583" s="11"/>
      <c r="CF583" s="11"/>
      <c r="CG583" s="11"/>
      <c r="CH583" s="11"/>
      <c r="CI583" s="11"/>
      <c r="CJ583" s="11"/>
      <c r="CK583" s="11"/>
      <c r="CL583" s="11"/>
      <c r="CM583" s="11"/>
      <c r="CN583" s="274"/>
      <c r="CO583" s="274"/>
      <c r="CP583" s="274"/>
      <c r="CQ583" s="11"/>
      <c r="CR583" s="11"/>
      <c r="CS583" s="11"/>
      <c r="CT583" s="11"/>
      <c r="CU583" s="11"/>
      <c r="CV583" s="11"/>
      <c r="CW583" s="11"/>
      <c r="CX583" s="11"/>
      <c r="CY583" s="11"/>
      <c r="CZ583" s="11"/>
      <c r="DA583" s="11"/>
      <c r="DB583" s="11"/>
      <c r="DC583" s="11"/>
      <c r="DD583" s="11"/>
      <c r="DE583" s="11"/>
      <c r="DF583" s="11"/>
      <c r="DG583" s="11"/>
      <c r="DH583" s="11"/>
      <c r="DI583" s="11"/>
      <c r="DJ583" s="11"/>
      <c r="DK583" s="11"/>
      <c r="DL583" s="11"/>
      <c r="DM583" s="118"/>
      <c r="DN583" s="118"/>
      <c r="DO583" s="118"/>
      <c r="DP583" s="52"/>
      <c r="DQ583" s="52"/>
      <c r="DR583" s="77"/>
      <c r="DS583" s="77"/>
      <c r="DT583" s="77"/>
      <c r="DU583" s="11"/>
      <c r="DV583" s="11"/>
      <c r="DW583" s="11"/>
      <c r="DX583" s="11"/>
      <c r="DY583" s="11"/>
      <c r="DZ583" s="11"/>
      <c r="EA583" s="11"/>
      <c r="EB583" s="11"/>
      <c r="EC583" s="11"/>
      <c r="ED583" s="11"/>
      <c r="EE583" s="11"/>
      <c r="EF583" s="11"/>
    </row>
    <row r="584" spans="1:136" ht="25.5" x14ac:dyDescent="0.25">
      <c r="A584" s="425">
        <v>582</v>
      </c>
      <c r="B584" s="427" t="s">
        <v>2559</v>
      </c>
      <c r="C584" s="427" t="s">
        <v>113</v>
      </c>
      <c r="D584" s="427" t="s">
        <v>157</v>
      </c>
      <c r="E584" s="79">
        <v>1</v>
      </c>
      <c r="F584" s="405"/>
      <c r="G584" s="274"/>
      <c r="H584" s="274"/>
      <c r="I584" s="274"/>
      <c r="J584" s="274"/>
      <c r="K584" s="11"/>
      <c r="L584" s="274">
        <v>520000</v>
      </c>
      <c r="M584" s="274">
        <v>0</v>
      </c>
      <c r="N584" s="274">
        <f>M584+L584</f>
        <v>520000</v>
      </c>
      <c r="O584" s="48" t="s">
        <v>906</v>
      </c>
      <c r="P584" s="11" t="s">
        <v>2560</v>
      </c>
      <c r="Q584" s="274"/>
      <c r="R584" s="274"/>
      <c r="S584" s="274"/>
      <c r="T584" s="11"/>
      <c r="U584" s="11"/>
      <c r="V584" s="11"/>
      <c r="W584" s="11"/>
      <c r="X584" s="11"/>
      <c r="Y584" s="11"/>
      <c r="Z584" s="48"/>
      <c r="AA584" s="52"/>
      <c r="AB584" s="52"/>
      <c r="AC584" s="118"/>
      <c r="AD584" s="5"/>
      <c r="AE584" s="52"/>
      <c r="AF584" s="113"/>
      <c r="AG584" s="113"/>
      <c r="AH584" s="113"/>
      <c r="AI584" s="52"/>
      <c r="AJ584" s="11"/>
      <c r="AK584" s="269"/>
      <c r="AL584" s="269"/>
      <c r="AM584" s="269"/>
      <c r="AN584" s="301"/>
      <c r="AO584" s="302"/>
      <c r="AP584" s="11"/>
      <c r="AQ584" s="11"/>
      <c r="AR584" s="11"/>
      <c r="AS584" s="11"/>
      <c r="AT584" s="11"/>
      <c r="AU584" s="118">
        <v>332872</v>
      </c>
      <c r="AV584" s="118">
        <v>63246</v>
      </c>
      <c r="AW584" s="118">
        <v>396117</v>
      </c>
      <c r="AX584" s="52" t="s">
        <v>607</v>
      </c>
      <c r="AY584" s="52" t="s">
        <v>2561</v>
      </c>
      <c r="AZ584" s="11"/>
      <c r="BA584" s="11"/>
      <c r="BB584" s="11"/>
      <c r="BC584" s="11"/>
      <c r="BD584" s="11"/>
      <c r="BE584" s="274"/>
      <c r="BF584" s="274"/>
      <c r="BG584" s="274"/>
      <c r="BH584" s="11"/>
      <c r="BI584" s="11"/>
      <c r="BJ584" s="311">
        <v>387692.31</v>
      </c>
      <c r="BK584" s="311">
        <v>73661.5389</v>
      </c>
      <c r="BL584" s="311">
        <v>461353.84889999998</v>
      </c>
      <c r="BM584" s="52" t="s">
        <v>113</v>
      </c>
      <c r="BN584" s="52">
        <v>16050122</v>
      </c>
      <c r="BO584" s="387"/>
      <c r="BP584" s="320"/>
      <c r="BQ584" s="320"/>
      <c r="BR584" s="4"/>
      <c r="BS584" s="4"/>
      <c r="BT584" s="11"/>
      <c r="BU584" s="11"/>
      <c r="BV584" s="11"/>
      <c r="BW584" s="11"/>
      <c r="BX584" s="11"/>
      <c r="BY584" s="348"/>
      <c r="BZ584" s="348"/>
      <c r="CA584" s="348"/>
      <c r="CB584" s="348"/>
      <c r="CC584" s="348"/>
      <c r="CD584" s="11"/>
      <c r="CE584" s="11"/>
      <c r="CF584" s="11"/>
      <c r="CG584" s="11"/>
      <c r="CH584" s="11"/>
      <c r="CI584" s="11"/>
      <c r="CJ584" s="11"/>
      <c r="CK584" s="11"/>
      <c r="CL584" s="11"/>
      <c r="CM584" s="11"/>
      <c r="CN584" s="274"/>
      <c r="CO584" s="274"/>
      <c r="CP584" s="274"/>
      <c r="CQ584" s="11"/>
      <c r="CR584" s="11"/>
      <c r="CS584" s="11"/>
      <c r="CT584" s="11"/>
      <c r="CU584" s="11"/>
      <c r="CV584" s="11"/>
      <c r="CW584" s="11"/>
      <c r="CX584" s="11"/>
      <c r="CY584" s="11"/>
      <c r="CZ584" s="11"/>
      <c r="DA584" s="11"/>
      <c r="DB584" s="11"/>
      <c r="DC584" s="11"/>
      <c r="DD584" s="11"/>
      <c r="DE584" s="11"/>
      <c r="DF584" s="11"/>
      <c r="DG584" s="11"/>
      <c r="DH584" s="11"/>
      <c r="DI584" s="11"/>
      <c r="DJ584" s="11"/>
      <c r="DK584" s="11"/>
      <c r="DL584" s="11"/>
      <c r="DM584" s="118"/>
      <c r="DN584" s="118"/>
      <c r="DO584" s="118"/>
      <c r="DP584" s="52"/>
      <c r="DQ584" s="52"/>
      <c r="DR584" s="77"/>
      <c r="DS584" s="77"/>
      <c r="DT584" s="77"/>
      <c r="DU584" s="11"/>
      <c r="DV584" s="11"/>
      <c r="DW584" s="11"/>
      <c r="DX584" s="11"/>
      <c r="DY584" s="11"/>
      <c r="DZ584" s="11"/>
      <c r="EA584" s="11"/>
      <c r="EB584" s="11"/>
      <c r="EC584" s="11"/>
      <c r="ED584" s="11"/>
      <c r="EE584" s="11"/>
      <c r="EF584" s="11"/>
    </row>
    <row r="585" spans="1:136" ht="25.5" x14ac:dyDescent="0.25">
      <c r="A585" s="425">
        <v>583</v>
      </c>
      <c r="B585" s="427" t="s">
        <v>2562</v>
      </c>
      <c r="C585" s="427" t="s">
        <v>113</v>
      </c>
      <c r="D585" s="427" t="s">
        <v>157</v>
      </c>
      <c r="E585" s="79">
        <v>1</v>
      </c>
      <c r="F585" s="405"/>
      <c r="G585" s="274"/>
      <c r="H585" s="274"/>
      <c r="I585" s="274"/>
      <c r="J585" s="274"/>
      <c r="K585" s="11"/>
      <c r="L585" s="274">
        <v>4200000</v>
      </c>
      <c r="M585" s="274">
        <v>0</v>
      </c>
      <c r="N585" s="274">
        <f>M585+L585</f>
        <v>4200000</v>
      </c>
      <c r="O585" s="48" t="s">
        <v>906</v>
      </c>
      <c r="P585" s="11" t="s">
        <v>2563</v>
      </c>
      <c r="Q585" s="274"/>
      <c r="R585" s="274"/>
      <c r="S585" s="274"/>
      <c r="T585" s="11"/>
      <c r="U585" s="11"/>
      <c r="V585" s="11"/>
      <c r="W585" s="11"/>
      <c r="X585" s="11"/>
      <c r="Y585" s="11"/>
      <c r="Z585" s="48"/>
      <c r="AA585" s="52"/>
      <c r="AB585" s="52"/>
      <c r="AC585" s="118"/>
      <c r="AD585" s="5"/>
      <c r="AE585" s="52"/>
      <c r="AF585" s="113"/>
      <c r="AG585" s="113"/>
      <c r="AH585" s="113"/>
      <c r="AI585" s="52"/>
      <c r="AJ585" s="11"/>
      <c r="AK585" s="269"/>
      <c r="AL585" s="269"/>
      <c r="AM585" s="269"/>
      <c r="AN585" s="301"/>
      <c r="AO585" s="302"/>
      <c r="AP585" s="11"/>
      <c r="AQ585" s="11"/>
      <c r="AR585" s="11"/>
      <c r="AS585" s="11"/>
      <c r="AT585" s="11"/>
      <c r="AU585" s="118">
        <v>4562237</v>
      </c>
      <c r="AV585" s="118">
        <v>866825</v>
      </c>
      <c r="AW585" s="118">
        <v>5429062</v>
      </c>
      <c r="AX585" s="52" t="s">
        <v>607</v>
      </c>
      <c r="AY585" s="52" t="s">
        <v>2564</v>
      </c>
      <c r="AZ585" s="11"/>
      <c r="BA585" s="11"/>
      <c r="BB585" s="11"/>
      <c r="BC585" s="11"/>
      <c r="BD585" s="11"/>
      <c r="BE585" s="274"/>
      <c r="BF585" s="274"/>
      <c r="BG585" s="274"/>
      <c r="BH585" s="11"/>
      <c r="BI585" s="11"/>
      <c r="BJ585" s="311"/>
      <c r="BK585" s="311"/>
      <c r="BL585" s="311"/>
      <c r="BM585" s="52"/>
      <c r="BN585" s="52"/>
      <c r="BO585" s="387"/>
      <c r="BP585" s="320"/>
      <c r="BQ585" s="320"/>
      <c r="BR585" s="4"/>
      <c r="BS585" s="4"/>
      <c r="BT585" s="11"/>
      <c r="BU585" s="11"/>
      <c r="BV585" s="11"/>
      <c r="BW585" s="11"/>
      <c r="BX585" s="11"/>
      <c r="BY585" s="348"/>
      <c r="BZ585" s="348"/>
      <c r="CA585" s="348"/>
      <c r="CB585" s="348"/>
      <c r="CC585" s="348"/>
      <c r="CD585" s="11"/>
      <c r="CE585" s="11"/>
      <c r="CF585" s="11"/>
      <c r="CG585" s="11"/>
      <c r="CH585" s="11"/>
      <c r="CI585" s="11"/>
      <c r="CJ585" s="11"/>
      <c r="CK585" s="11"/>
      <c r="CL585" s="11"/>
      <c r="CM585" s="11"/>
      <c r="CN585" s="274"/>
      <c r="CO585" s="274"/>
      <c r="CP585" s="274"/>
      <c r="CQ585" s="11"/>
      <c r="CR585" s="11"/>
      <c r="CS585" s="11"/>
      <c r="CT585" s="11"/>
      <c r="CU585" s="11"/>
      <c r="CV585" s="11"/>
      <c r="CW585" s="11"/>
      <c r="CX585" s="11"/>
      <c r="CY585" s="11"/>
      <c r="CZ585" s="11"/>
      <c r="DA585" s="11"/>
      <c r="DB585" s="11"/>
      <c r="DC585" s="11"/>
      <c r="DD585" s="11"/>
      <c r="DE585" s="11"/>
      <c r="DF585" s="11"/>
      <c r="DG585" s="11"/>
      <c r="DH585" s="11"/>
      <c r="DI585" s="11"/>
      <c r="DJ585" s="11"/>
      <c r="DK585" s="11"/>
      <c r="DL585" s="11"/>
      <c r="DM585" s="118"/>
      <c r="DN585" s="118"/>
      <c r="DO585" s="118"/>
      <c r="DP585" s="52"/>
      <c r="DQ585" s="52"/>
      <c r="DR585" s="77"/>
      <c r="DS585" s="77"/>
      <c r="DT585" s="77"/>
      <c r="DU585" s="11"/>
      <c r="DV585" s="11"/>
      <c r="DW585" s="11"/>
      <c r="DX585" s="11"/>
      <c r="DY585" s="11"/>
      <c r="DZ585" s="11"/>
      <c r="EA585" s="11"/>
      <c r="EB585" s="11"/>
      <c r="EC585" s="11"/>
      <c r="ED585" s="11"/>
      <c r="EE585" s="11"/>
      <c r="EF585" s="11"/>
    </row>
    <row r="586" spans="1:136" ht="40.5" x14ac:dyDescent="0.25">
      <c r="A586" s="425">
        <v>584</v>
      </c>
      <c r="B586" s="427" t="s">
        <v>2565</v>
      </c>
      <c r="C586" s="427" t="s">
        <v>957</v>
      </c>
      <c r="D586" s="427" t="s">
        <v>958</v>
      </c>
      <c r="E586" s="79">
        <v>1</v>
      </c>
      <c r="F586" s="405"/>
      <c r="G586" s="274"/>
      <c r="H586" s="274"/>
      <c r="I586" s="274"/>
      <c r="J586" s="274"/>
      <c r="K586" s="11"/>
      <c r="L586" s="274"/>
      <c r="M586" s="274"/>
      <c r="N586" s="274"/>
      <c r="O586" s="48"/>
      <c r="P586" s="11"/>
      <c r="Q586" s="274"/>
      <c r="R586" s="274"/>
      <c r="S586" s="274"/>
      <c r="T586" s="11"/>
      <c r="U586" s="11"/>
      <c r="V586" s="11"/>
      <c r="W586" s="11"/>
      <c r="X586" s="11"/>
      <c r="Y586" s="11"/>
      <c r="Z586" s="48"/>
      <c r="AA586" s="52"/>
      <c r="AB586" s="52"/>
      <c r="AC586" s="118"/>
      <c r="AD586" s="5"/>
      <c r="AE586" s="52"/>
      <c r="AF586" s="113"/>
      <c r="AG586" s="113"/>
      <c r="AH586" s="113"/>
      <c r="AI586" s="52"/>
      <c r="AJ586" s="11"/>
      <c r="AK586" s="269"/>
      <c r="AL586" s="269"/>
      <c r="AM586" s="269"/>
      <c r="AN586" s="301"/>
      <c r="AO586" s="302"/>
      <c r="AP586" s="11"/>
      <c r="AQ586" s="11"/>
      <c r="AR586" s="11"/>
      <c r="AS586" s="11"/>
      <c r="AT586" s="11"/>
      <c r="AU586" s="118"/>
      <c r="AV586" s="118"/>
      <c r="AW586" s="118"/>
      <c r="AX586" s="52"/>
      <c r="AY586" s="52"/>
      <c r="AZ586" s="11"/>
      <c r="BA586" s="11"/>
      <c r="BB586" s="11"/>
      <c r="BC586" s="11"/>
      <c r="BD586" s="11"/>
      <c r="BE586" s="274">
        <v>676000</v>
      </c>
      <c r="BF586" s="274">
        <v>128440</v>
      </c>
      <c r="BG586" s="274">
        <v>804440</v>
      </c>
      <c r="BH586" s="11" t="s">
        <v>959</v>
      </c>
      <c r="BI586" s="11" t="s">
        <v>960</v>
      </c>
      <c r="BJ586" s="311"/>
      <c r="BK586" s="311"/>
      <c r="BL586" s="311"/>
      <c r="BM586" s="52"/>
      <c r="BN586" s="52"/>
      <c r="BO586" s="387"/>
      <c r="BP586" s="320"/>
      <c r="BQ586" s="320"/>
      <c r="BR586" s="4"/>
      <c r="BS586" s="4"/>
      <c r="BT586" s="11"/>
      <c r="BU586" s="11"/>
      <c r="BV586" s="11"/>
      <c r="BW586" s="11"/>
      <c r="BX586" s="11"/>
      <c r="BY586" s="348"/>
      <c r="BZ586" s="348"/>
      <c r="CA586" s="348"/>
      <c r="CB586" s="348"/>
      <c r="CC586" s="348"/>
      <c r="CD586" s="11"/>
      <c r="CE586" s="11"/>
      <c r="CF586" s="11"/>
      <c r="CG586" s="11"/>
      <c r="CH586" s="11"/>
      <c r="CI586" s="11"/>
      <c r="CJ586" s="11"/>
      <c r="CK586" s="11"/>
      <c r="CL586" s="11"/>
      <c r="CM586" s="11"/>
      <c r="CN586" s="274">
        <v>649740</v>
      </c>
      <c r="CO586" s="274">
        <f>+CN586*0.19</f>
        <v>123450.6</v>
      </c>
      <c r="CP586" s="274">
        <f>+CN586+CO586</f>
        <v>773190.6</v>
      </c>
      <c r="CQ586" s="11" t="s">
        <v>2566</v>
      </c>
      <c r="CR586" s="11" t="s">
        <v>2567</v>
      </c>
      <c r="CS586" s="11"/>
      <c r="CT586" s="11"/>
      <c r="CU586" s="11"/>
      <c r="CV586" s="11"/>
      <c r="CW586" s="11"/>
      <c r="CX586" s="11"/>
      <c r="CY586" s="11"/>
      <c r="CZ586" s="11"/>
      <c r="DA586" s="11"/>
      <c r="DB586" s="11"/>
      <c r="DC586" s="11"/>
      <c r="DD586" s="11"/>
      <c r="DE586" s="11"/>
      <c r="DF586" s="11"/>
      <c r="DG586" s="11"/>
      <c r="DH586" s="11"/>
      <c r="DI586" s="11"/>
      <c r="DJ586" s="11"/>
      <c r="DK586" s="11"/>
      <c r="DL586" s="11"/>
      <c r="DM586" s="118"/>
      <c r="DN586" s="118"/>
      <c r="DO586" s="118"/>
      <c r="DP586" s="52"/>
      <c r="DQ586" s="52"/>
      <c r="DR586" s="77"/>
      <c r="DS586" s="77"/>
      <c r="DT586" s="77"/>
      <c r="DU586" s="11"/>
      <c r="DV586" s="11"/>
      <c r="DW586" s="11"/>
      <c r="DX586" s="11"/>
      <c r="DY586" s="11"/>
      <c r="DZ586" s="11"/>
      <c r="EA586" s="11"/>
      <c r="EB586" s="11"/>
      <c r="EC586" s="11"/>
      <c r="ED586" s="11"/>
      <c r="EE586" s="11"/>
      <c r="EF586" s="11"/>
    </row>
    <row r="587" spans="1:136" ht="40.5" x14ac:dyDescent="0.25">
      <c r="A587" s="425">
        <v>585</v>
      </c>
      <c r="B587" s="427" t="s">
        <v>2568</v>
      </c>
      <c r="C587" s="427" t="s">
        <v>957</v>
      </c>
      <c r="D587" s="427" t="s">
        <v>958</v>
      </c>
      <c r="E587" s="79">
        <v>1</v>
      </c>
      <c r="F587" s="405"/>
      <c r="G587" s="274"/>
      <c r="H587" s="274"/>
      <c r="I587" s="274"/>
      <c r="J587" s="274"/>
      <c r="K587" s="11"/>
      <c r="L587" s="274"/>
      <c r="M587" s="274"/>
      <c r="N587" s="274"/>
      <c r="O587" s="48"/>
      <c r="P587" s="11"/>
      <c r="Q587" s="274"/>
      <c r="R587" s="274"/>
      <c r="S587" s="274"/>
      <c r="T587" s="11"/>
      <c r="U587" s="11"/>
      <c r="V587" s="11"/>
      <c r="W587" s="11"/>
      <c r="X587" s="11"/>
      <c r="Y587" s="11"/>
      <c r="Z587" s="48"/>
      <c r="AA587" s="52"/>
      <c r="AB587" s="52"/>
      <c r="AC587" s="118"/>
      <c r="AD587" s="5"/>
      <c r="AE587" s="52"/>
      <c r="AF587" s="113"/>
      <c r="AG587" s="113"/>
      <c r="AH587" s="113"/>
      <c r="AI587" s="52"/>
      <c r="AJ587" s="11"/>
      <c r="AK587" s="269"/>
      <c r="AL587" s="269"/>
      <c r="AM587" s="269"/>
      <c r="AN587" s="301"/>
      <c r="AO587" s="302"/>
      <c r="AP587" s="11"/>
      <c r="AQ587" s="11"/>
      <c r="AR587" s="11"/>
      <c r="AS587" s="11"/>
      <c r="AT587" s="11"/>
      <c r="AU587" s="118"/>
      <c r="AV587" s="118"/>
      <c r="AW587" s="118"/>
      <c r="AX587" s="52"/>
      <c r="AY587" s="52"/>
      <c r="AZ587" s="11"/>
      <c r="BA587" s="11"/>
      <c r="BB587" s="11"/>
      <c r="BC587" s="11"/>
      <c r="BD587" s="11"/>
      <c r="BE587" s="274">
        <v>676000</v>
      </c>
      <c r="BF587" s="274">
        <v>128440</v>
      </c>
      <c r="BG587" s="274">
        <v>804440</v>
      </c>
      <c r="BH587" s="11" t="s">
        <v>959</v>
      </c>
      <c r="BI587" s="11" t="s">
        <v>962</v>
      </c>
      <c r="BJ587" s="311"/>
      <c r="BK587" s="311"/>
      <c r="BL587" s="311"/>
      <c r="BM587" s="52"/>
      <c r="BN587" s="52"/>
      <c r="BO587" s="387"/>
      <c r="BP587" s="320"/>
      <c r="BQ587" s="320"/>
      <c r="BR587" s="4"/>
      <c r="BS587" s="4"/>
      <c r="BT587" s="11"/>
      <c r="BU587" s="11"/>
      <c r="BV587" s="11"/>
      <c r="BW587" s="11"/>
      <c r="BX587" s="11"/>
      <c r="BY587" s="348"/>
      <c r="BZ587" s="348"/>
      <c r="CA587" s="348"/>
      <c r="CB587" s="348"/>
      <c r="CC587" s="348"/>
      <c r="CD587" s="11"/>
      <c r="CE587" s="11"/>
      <c r="CF587" s="11"/>
      <c r="CG587" s="11"/>
      <c r="CH587" s="11"/>
      <c r="CI587" s="11"/>
      <c r="CJ587" s="11"/>
      <c r="CK587" s="11"/>
      <c r="CL587" s="11"/>
      <c r="CM587" s="11"/>
      <c r="CN587" s="274">
        <v>649740</v>
      </c>
      <c r="CO587" s="274">
        <f>+CN587*0.19</f>
        <v>123450.6</v>
      </c>
      <c r="CP587" s="274">
        <f>+CN587+CO587</f>
        <v>773190.6</v>
      </c>
      <c r="CQ587" s="11" t="s">
        <v>2566</v>
      </c>
      <c r="CR587" s="11" t="s">
        <v>2569</v>
      </c>
      <c r="CS587" s="11"/>
      <c r="CT587" s="11"/>
      <c r="CU587" s="11"/>
      <c r="CV587" s="11"/>
      <c r="CW587" s="11"/>
      <c r="CX587" s="11"/>
      <c r="CY587" s="11"/>
      <c r="CZ587" s="11"/>
      <c r="DA587" s="11"/>
      <c r="DB587" s="11"/>
      <c r="DC587" s="11"/>
      <c r="DD587" s="11"/>
      <c r="DE587" s="11"/>
      <c r="DF587" s="11"/>
      <c r="DG587" s="11"/>
      <c r="DH587" s="11"/>
      <c r="DI587" s="11"/>
      <c r="DJ587" s="11"/>
      <c r="DK587" s="11"/>
      <c r="DL587" s="11"/>
      <c r="DM587" s="118"/>
      <c r="DN587" s="118"/>
      <c r="DO587" s="118"/>
      <c r="DP587" s="52"/>
      <c r="DQ587" s="52"/>
      <c r="DR587" s="77"/>
      <c r="DS587" s="77"/>
      <c r="DT587" s="77"/>
      <c r="DU587" s="11"/>
      <c r="DV587" s="11"/>
      <c r="DW587" s="11"/>
      <c r="DX587" s="11"/>
      <c r="DY587" s="11"/>
      <c r="DZ587" s="11"/>
      <c r="EA587" s="11"/>
      <c r="EB587" s="11"/>
      <c r="EC587" s="11"/>
      <c r="ED587" s="11"/>
      <c r="EE587" s="11"/>
      <c r="EF587" s="11"/>
    </row>
    <row r="588" spans="1:136" ht="40.5" x14ac:dyDescent="0.25">
      <c r="A588" s="425">
        <v>586</v>
      </c>
      <c r="B588" s="427" t="s">
        <v>2570</v>
      </c>
      <c r="C588" s="427" t="s">
        <v>957</v>
      </c>
      <c r="D588" s="427" t="s">
        <v>958</v>
      </c>
      <c r="E588" s="79">
        <v>1</v>
      </c>
      <c r="F588" s="405"/>
      <c r="G588" s="274"/>
      <c r="H588" s="274"/>
      <c r="I588" s="274"/>
      <c r="J588" s="274"/>
      <c r="K588" s="11"/>
      <c r="L588" s="274"/>
      <c r="M588" s="274"/>
      <c r="N588" s="274"/>
      <c r="O588" s="48"/>
      <c r="P588" s="11"/>
      <c r="Q588" s="274"/>
      <c r="R588" s="274"/>
      <c r="S588" s="274"/>
      <c r="T588" s="11"/>
      <c r="U588" s="11"/>
      <c r="V588" s="11"/>
      <c r="W588" s="11"/>
      <c r="X588" s="11"/>
      <c r="Y588" s="11"/>
      <c r="Z588" s="48"/>
      <c r="AA588" s="52"/>
      <c r="AB588" s="52"/>
      <c r="AC588" s="118"/>
      <c r="AD588" s="5"/>
      <c r="AE588" s="52"/>
      <c r="AF588" s="113"/>
      <c r="AG588" s="113"/>
      <c r="AH588" s="113"/>
      <c r="AI588" s="52"/>
      <c r="AJ588" s="11"/>
      <c r="AK588" s="269"/>
      <c r="AL588" s="269"/>
      <c r="AM588" s="269"/>
      <c r="AN588" s="301"/>
      <c r="AO588" s="302"/>
      <c r="AP588" s="11"/>
      <c r="AQ588" s="11"/>
      <c r="AR588" s="11"/>
      <c r="AS588" s="11"/>
      <c r="AT588" s="11"/>
      <c r="AU588" s="118"/>
      <c r="AV588" s="118"/>
      <c r="AW588" s="118"/>
      <c r="AX588" s="52"/>
      <c r="AY588" s="52"/>
      <c r="AZ588" s="11"/>
      <c r="BA588" s="11"/>
      <c r="BB588" s="11"/>
      <c r="BC588" s="11"/>
      <c r="BD588" s="11"/>
      <c r="BE588" s="274">
        <v>676000</v>
      </c>
      <c r="BF588" s="274">
        <v>128440</v>
      </c>
      <c r="BG588" s="274">
        <v>804440</v>
      </c>
      <c r="BH588" s="11" t="s">
        <v>959</v>
      </c>
      <c r="BI588" s="11" t="s">
        <v>964</v>
      </c>
      <c r="BJ588" s="311"/>
      <c r="BK588" s="311"/>
      <c r="BL588" s="311"/>
      <c r="BM588" s="52"/>
      <c r="BN588" s="52"/>
      <c r="BO588" s="387"/>
      <c r="BP588" s="320"/>
      <c r="BQ588" s="320"/>
      <c r="BR588" s="4"/>
      <c r="BS588" s="4"/>
      <c r="BT588" s="11"/>
      <c r="BU588" s="11"/>
      <c r="BV588" s="11"/>
      <c r="BW588" s="11"/>
      <c r="BX588" s="11"/>
      <c r="BY588" s="348"/>
      <c r="BZ588" s="348"/>
      <c r="CA588" s="348"/>
      <c r="CB588" s="348"/>
      <c r="CC588" s="348"/>
      <c r="CD588" s="11"/>
      <c r="CE588" s="11"/>
      <c r="CF588" s="11"/>
      <c r="CG588" s="11"/>
      <c r="CH588" s="11"/>
      <c r="CI588" s="11"/>
      <c r="CJ588" s="11"/>
      <c r="CK588" s="11"/>
      <c r="CL588" s="11"/>
      <c r="CM588" s="11"/>
      <c r="CN588" s="274"/>
      <c r="CO588" s="274"/>
      <c r="CP588" s="274"/>
      <c r="CQ588" s="11"/>
      <c r="CR588" s="11"/>
      <c r="CS588" s="11"/>
      <c r="CT588" s="11"/>
      <c r="CU588" s="11"/>
      <c r="CV588" s="11"/>
      <c r="CW588" s="11"/>
      <c r="CX588" s="11"/>
      <c r="CY588" s="11"/>
      <c r="CZ588" s="11"/>
      <c r="DA588" s="11"/>
      <c r="DB588" s="11"/>
      <c r="DC588" s="11"/>
      <c r="DD588" s="11"/>
      <c r="DE588" s="11"/>
      <c r="DF588" s="11"/>
      <c r="DG588" s="11"/>
      <c r="DH588" s="11"/>
      <c r="DI588" s="11"/>
      <c r="DJ588" s="11"/>
      <c r="DK588" s="11"/>
      <c r="DL588" s="11"/>
      <c r="DM588" s="118"/>
      <c r="DN588" s="118"/>
      <c r="DO588" s="118"/>
      <c r="DP588" s="52"/>
      <c r="DQ588" s="52"/>
      <c r="DR588" s="77"/>
      <c r="DS588" s="77"/>
      <c r="DT588" s="77"/>
      <c r="DU588" s="11"/>
      <c r="DV588" s="11"/>
      <c r="DW588" s="11"/>
      <c r="DX588" s="11"/>
      <c r="DY588" s="11"/>
      <c r="DZ588" s="11"/>
      <c r="EA588" s="11"/>
      <c r="EB588" s="11"/>
      <c r="EC588" s="11"/>
      <c r="ED588" s="11"/>
      <c r="EE588" s="11"/>
      <c r="EF588" s="11"/>
    </row>
    <row r="589" spans="1:136" ht="40.5" x14ac:dyDescent="0.25">
      <c r="A589" s="425">
        <v>587</v>
      </c>
      <c r="B589" s="427" t="s">
        <v>2571</v>
      </c>
      <c r="C589" s="427" t="s">
        <v>957</v>
      </c>
      <c r="D589" s="427" t="s">
        <v>958</v>
      </c>
      <c r="E589" s="79">
        <v>1</v>
      </c>
      <c r="F589" s="405"/>
      <c r="G589" s="274"/>
      <c r="H589" s="274"/>
      <c r="I589" s="274"/>
      <c r="J589" s="274"/>
      <c r="K589" s="11"/>
      <c r="L589" s="274"/>
      <c r="M589" s="274"/>
      <c r="N589" s="274"/>
      <c r="O589" s="48"/>
      <c r="P589" s="11"/>
      <c r="Q589" s="274"/>
      <c r="R589" s="274"/>
      <c r="S589" s="274"/>
      <c r="T589" s="11"/>
      <c r="U589" s="11"/>
      <c r="V589" s="11"/>
      <c r="W589" s="11"/>
      <c r="X589" s="11"/>
      <c r="Y589" s="11"/>
      <c r="Z589" s="48"/>
      <c r="AA589" s="52"/>
      <c r="AB589" s="52"/>
      <c r="AC589" s="118"/>
      <c r="AD589" s="5"/>
      <c r="AE589" s="52"/>
      <c r="AF589" s="113"/>
      <c r="AG589" s="113"/>
      <c r="AH589" s="113"/>
      <c r="AI589" s="52"/>
      <c r="AJ589" s="11"/>
      <c r="AK589" s="269"/>
      <c r="AL589" s="269"/>
      <c r="AM589" s="269"/>
      <c r="AN589" s="301"/>
      <c r="AO589" s="302"/>
      <c r="AP589" s="11"/>
      <c r="AQ589" s="11"/>
      <c r="AR589" s="11"/>
      <c r="AS589" s="11"/>
      <c r="AT589" s="11"/>
      <c r="AU589" s="118"/>
      <c r="AV589" s="118"/>
      <c r="AW589" s="118"/>
      <c r="AX589" s="52"/>
      <c r="AY589" s="52"/>
      <c r="AZ589" s="11"/>
      <c r="BA589" s="11"/>
      <c r="BB589" s="11"/>
      <c r="BC589" s="11"/>
      <c r="BD589" s="11"/>
      <c r="BE589" s="274">
        <v>676000</v>
      </c>
      <c r="BF589" s="274">
        <v>128440</v>
      </c>
      <c r="BG589" s="274">
        <v>804440</v>
      </c>
      <c r="BH589" s="11" t="s">
        <v>959</v>
      </c>
      <c r="BI589" s="11" t="s">
        <v>966</v>
      </c>
      <c r="BJ589" s="311"/>
      <c r="BK589" s="311"/>
      <c r="BL589" s="311"/>
      <c r="BM589" s="52"/>
      <c r="BN589" s="52"/>
      <c r="BO589" s="387"/>
      <c r="BP589" s="320"/>
      <c r="BQ589" s="320"/>
      <c r="BR589" s="4"/>
      <c r="BS589" s="4"/>
      <c r="BT589" s="11"/>
      <c r="BU589" s="11"/>
      <c r="BV589" s="11"/>
      <c r="BW589" s="11"/>
      <c r="BX589" s="11"/>
      <c r="BY589" s="348"/>
      <c r="BZ589" s="348"/>
      <c r="CA589" s="348"/>
      <c r="CB589" s="348"/>
      <c r="CC589" s="348"/>
      <c r="CD589" s="11"/>
      <c r="CE589" s="11"/>
      <c r="CF589" s="11"/>
      <c r="CG589" s="11"/>
      <c r="CH589" s="11"/>
      <c r="CI589" s="11"/>
      <c r="CJ589" s="11"/>
      <c r="CK589" s="11"/>
      <c r="CL589" s="11"/>
      <c r="CM589" s="11"/>
      <c r="CN589" s="274">
        <v>649740</v>
      </c>
      <c r="CO589" s="274">
        <f>+CN589*0.19</f>
        <v>123450.6</v>
      </c>
      <c r="CP589" s="274">
        <f>+CN589+CO589</f>
        <v>773190.6</v>
      </c>
      <c r="CQ589" s="11" t="s">
        <v>2566</v>
      </c>
      <c r="CR589" s="11" t="s">
        <v>2572</v>
      </c>
      <c r="CS589" s="11"/>
      <c r="CT589" s="11"/>
      <c r="CU589" s="11"/>
      <c r="CV589" s="11"/>
      <c r="CW589" s="11"/>
      <c r="CX589" s="11"/>
      <c r="CY589" s="11"/>
      <c r="CZ589" s="11"/>
      <c r="DA589" s="11"/>
      <c r="DB589" s="11"/>
      <c r="DC589" s="11"/>
      <c r="DD589" s="11"/>
      <c r="DE589" s="11"/>
      <c r="DF589" s="11"/>
      <c r="DG589" s="11"/>
      <c r="DH589" s="11"/>
      <c r="DI589" s="11"/>
      <c r="DJ589" s="11"/>
      <c r="DK589" s="11"/>
      <c r="DL589" s="11"/>
      <c r="DM589" s="118"/>
      <c r="DN589" s="118"/>
      <c r="DO589" s="118"/>
      <c r="DP589" s="52"/>
      <c r="DQ589" s="52"/>
      <c r="DR589" s="77"/>
      <c r="DS589" s="77"/>
      <c r="DT589" s="77"/>
      <c r="DU589" s="11"/>
      <c r="DV589" s="11"/>
      <c r="DW589" s="11"/>
      <c r="DX589" s="11"/>
      <c r="DY589" s="11"/>
      <c r="DZ589" s="11"/>
      <c r="EA589" s="11"/>
      <c r="EB589" s="11"/>
      <c r="EC589" s="11"/>
      <c r="ED589" s="11"/>
      <c r="EE589" s="11"/>
      <c r="EF589" s="11"/>
    </row>
    <row r="590" spans="1:136" ht="13.5" x14ac:dyDescent="0.25">
      <c r="A590" s="425">
        <v>588</v>
      </c>
      <c r="B590" s="427" t="s">
        <v>2573</v>
      </c>
      <c r="C590" s="427"/>
      <c r="D590" s="427" t="s">
        <v>938</v>
      </c>
      <c r="E590" s="79">
        <v>1</v>
      </c>
      <c r="F590" s="405">
        <v>2974141.9618000002</v>
      </c>
      <c r="G590" s="274"/>
      <c r="H590" s="274"/>
      <c r="I590" s="274"/>
      <c r="J590" s="274"/>
      <c r="K590" s="11"/>
      <c r="L590" s="274"/>
      <c r="M590" s="274"/>
      <c r="N590" s="274"/>
      <c r="O590" s="48"/>
      <c r="P590" s="11"/>
      <c r="Q590" s="274"/>
      <c r="R590" s="274"/>
      <c r="S590" s="274"/>
      <c r="T590" s="11"/>
      <c r="U590" s="11"/>
      <c r="V590" s="11"/>
      <c r="W590" s="11"/>
      <c r="X590" s="11"/>
      <c r="Y590" s="11"/>
      <c r="Z590" s="48"/>
      <c r="AA590" s="52"/>
      <c r="AB590" s="52"/>
      <c r="AC590" s="118"/>
      <c r="AD590" s="5"/>
      <c r="AE590" s="52"/>
      <c r="AF590" s="113"/>
      <c r="AG590" s="113"/>
      <c r="AH590" s="113"/>
      <c r="AI590" s="52"/>
      <c r="AJ590" s="11"/>
      <c r="AK590" s="269"/>
      <c r="AL590" s="269"/>
      <c r="AM590" s="269"/>
      <c r="AN590" s="301"/>
      <c r="AO590" s="302"/>
      <c r="AP590" s="11"/>
      <c r="AQ590" s="11"/>
      <c r="AR590" s="11"/>
      <c r="AS590" s="11"/>
      <c r="AT590" s="11"/>
      <c r="AU590" s="118"/>
      <c r="AV590" s="118"/>
      <c r="AW590" s="118"/>
      <c r="AX590" s="52"/>
      <c r="AY590" s="52"/>
      <c r="AZ590" s="11"/>
      <c r="BA590" s="11"/>
      <c r="BB590" s="11"/>
      <c r="BC590" s="11"/>
      <c r="BD590" s="11"/>
      <c r="BE590" s="274"/>
      <c r="BF590" s="274"/>
      <c r="BG590" s="274"/>
      <c r="BH590" s="11" t="s">
        <v>972</v>
      </c>
      <c r="BI590" s="11"/>
      <c r="BJ590" s="311"/>
      <c r="BK590" s="311"/>
      <c r="BL590" s="311"/>
      <c r="BM590" s="52"/>
      <c r="BN590" s="52"/>
      <c r="BO590" s="387"/>
      <c r="BP590" s="320"/>
      <c r="BQ590" s="320"/>
      <c r="BR590" s="4"/>
      <c r="BS590" s="4"/>
      <c r="BT590" s="11"/>
      <c r="BU590" s="11"/>
      <c r="BV590" s="11"/>
      <c r="BW590" s="11"/>
      <c r="BX590" s="11"/>
      <c r="BY590" s="348"/>
      <c r="BZ590" s="348"/>
      <c r="CA590" s="348"/>
      <c r="CB590" s="348"/>
      <c r="CC590" s="348"/>
      <c r="CD590" s="11"/>
      <c r="CE590" s="11"/>
      <c r="CF590" s="11"/>
      <c r="CG590" s="11"/>
      <c r="CH590" s="11"/>
      <c r="CI590" s="11"/>
      <c r="CJ590" s="11"/>
      <c r="CK590" s="11"/>
      <c r="CL590" s="11"/>
      <c r="CM590" s="11"/>
      <c r="CN590" s="274"/>
      <c r="CO590" s="274"/>
      <c r="CP590" s="274"/>
      <c r="CQ590" s="11"/>
      <c r="CR590" s="11"/>
      <c r="CS590" s="11"/>
      <c r="CT590" s="11"/>
      <c r="CU590" s="11"/>
      <c r="CV590" s="11"/>
      <c r="CW590" s="11"/>
      <c r="CX590" s="11"/>
      <c r="CY590" s="11"/>
      <c r="CZ590" s="11"/>
      <c r="DA590" s="11"/>
      <c r="DB590" s="11"/>
      <c r="DC590" s="11"/>
      <c r="DD590" s="11"/>
      <c r="DE590" s="11"/>
      <c r="DF590" s="11"/>
      <c r="DG590" s="11"/>
      <c r="DH590" s="11"/>
      <c r="DI590" s="11"/>
      <c r="DJ590" s="11"/>
      <c r="DK590" s="11"/>
      <c r="DL590" s="11"/>
      <c r="DM590" s="118"/>
      <c r="DN590" s="118"/>
      <c r="DO590" s="118"/>
      <c r="DP590" s="52"/>
      <c r="DQ590" s="52"/>
      <c r="DR590" s="77"/>
      <c r="DS590" s="77"/>
      <c r="DT590" s="77"/>
      <c r="DU590" s="11"/>
      <c r="DV590" s="11"/>
      <c r="DW590" s="11"/>
      <c r="DX590" s="11"/>
      <c r="DY590" s="11"/>
      <c r="DZ590" s="11"/>
      <c r="EA590" s="11"/>
      <c r="EB590" s="11"/>
      <c r="EC590" s="11"/>
      <c r="ED590" s="11"/>
      <c r="EE590" s="11"/>
      <c r="EF590" s="11"/>
    </row>
    <row r="591" spans="1:136" ht="25.5" x14ac:dyDescent="0.25">
      <c r="A591" s="425">
        <v>589</v>
      </c>
      <c r="B591" s="413" t="s">
        <v>2574</v>
      </c>
      <c r="C591" s="413" t="s">
        <v>2575</v>
      </c>
      <c r="D591" s="413" t="s">
        <v>157</v>
      </c>
      <c r="E591" s="79">
        <v>1</v>
      </c>
      <c r="F591" s="405"/>
      <c r="G591" s="274"/>
      <c r="H591" s="274"/>
      <c r="I591" s="274"/>
      <c r="J591" s="274"/>
      <c r="K591" s="11"/>
      <c r="L591" s="274">
        <v>500000</v>
      </c>
      <c r="M591" s="274">
        <v>0</v>
      </c>
      <c r="N591" s="274">
        <f>M591+L591</f>
        <v>500000</v>
      </c>
      <c r="O591" s="48" t="s">
        <v>906</v>
      </c>
      <c r="P591" s="11" t="s">
        <v>2576</v>
      </c>
      <c r="Q591" s="274"/>
      <c r="R591" s="274"/>
      <c r="S591" s="274"/>
      <c r="T591" s="11"/>
      <c r="U591" s="11"/>
      <c r="V591" s="11"/>
      <c r="W591" s="11"/>
      <c r="X591" s="11"/>
      <c r="Y591" s="11"/>
      <c r="Z591" s="48"/>
      <c r="AA591" s="52"/>
      <c r="AB591" s="52"/>
      <c r="AC591" s="118"/>
      <c r="AD591" s="5"/>
      <c r="AE591" s="52"/>
      <c r="AF591" s="113"/>
      <c r="AG591" s="113"/>
      <c r="AH591" s="113"/>
      <c r="AI591" s="52"/>
      <c r="AJ591" s="11"/>
      <c r="AK591" s="269"/>
      <c r="AL591" s="269"/>
      <c r="AM591" s="269"/>
      <c r="AN591" s="301"/>
      <c r="AO591" s="302"/>
      <c r="AP591" s="11"/>
      <c r="AQ591" s="11"/>
      <c r="AR591" s="11"/>
      <c r="AS591" s="11"/>
      <c r="AT591" s="11"/>
      <c r="AU591" s="118"/>
      <c r="AV591" s="118"/>
      <c r="AW591" s="118"/>
      <c r="AX591" s="52"/>
      <c r="AY591" s="52"/>
      <c r="AZ591" s="11"/>
      <c r="BA591" s="11"/>
      <c r="BB591" s="11"/>
      <c r="BC591" s="11"/>
      <c r="BD591" s="11"/>
      <c r="BE591" s="274"/>
      <c r="BF591" s="274"/>
      <c r="BG591" s="274"/>
      <c r="BH591" s="11" t="s">
        <v>972</v>
      </c>
      <c r="BI591" s="11"/>
      <c r="BJ591" s="311">
        <v>452307.69</v>
      </c>
      <c r="BK591" s="311">
        <v>85938.4611</v>
      </c>
      <c r="BL591" s="311">
        <v>538246.15110000002</v>
      </c>
      <c r="BM591" s="52" t="s">
        <v>1900</v>
      </c>
      <c r="BN591" s="52">
        <v>26250084</v>
      </c>
      <c r="BO591" s="387"/>
      <c r="BP591" s="320"/>
      <c r="BQ591" s="320"/>
      <c r="BR591" s="4"/>
      <c r="BS591" s="4"/>
      <c r="BT591" s="11"/>
      <c r="BU591" s="11"/>
      <c r="BV591" s="11"/>
      <c r="BW591" s="11"/>
      <c r="BX591" s="11"/>
      <c r="BY591" s="348"/>
      <c r="BZ591" s="348"/>
      <c r="CA591" s="348"/>
      <c r="CB591" s="348"/>
      <c r="CC591" s="348"/>
      <c r="CD591" s="11"/>
      <c r="CE591" s="11"/>
      <c r="CF591" s="11"/>
      <c r="CG591" s="11"/>
      <c r="CH591" s="11"/>
      <c r="CI591" s="11"/>
      <c r="CJ591" s="11"/>
      <c r="CK591" s="11"/>
      <c r="CL591" s="11"/>
      <c r="CM591" s="11"/>
      <c r="CN591" s="274"/>
      <c r="CO591" s="274"/>
      <c r="CP591" s="274"/>
      <c r="CQ591" s="11"/>
      <c r="CR591" s="11"/>
      <c r="CS591" s="11"/>
      <c r="CT591" s="11"/>
      <c r="CU591" s="11"/>
      <c r="CV591" s="11"/>
      <c r="CW591" s="11"/>
      <c r="CX591" s="11"/>
      <c r="CY591" s="11"/>
      <c r="CZ591" s="11"/>
      <c r="DA591" s="11"/>
      <c r="DB591" s="11"/>
      <c r="DC591" s="11"/>
      <c r="DD591" s="11"/>
      <c r="DE591" s="11"/>
      <c r="DF591" s="11"/>
      <c r="DG591" s="11"/>
      <c r="DH591" s="11"/>
      <c r="DI591" s="11"/>
      <c r="DJ591" s="11"/>
      <c r="DK591" s="11"/>
      <c r="DL591" s="11"/>
      <c r="DM591" s="118"/>
      <c r="DN591" s="118"/>
      <c r="DO591" s="118"/>
      <c r="DP591" s="52"/>
      <c r="DQ591" s="52"/>
      <c r="DR591" s="77"/>
      <c r="DS591" s="77"/>
      <c r="DT591" s="77"/>
      <c r="DU591" s="11"/>
      <c r="DV591" s="11"/>
      <c r="DW591" s="11"/>
      <c r="DX591" s="11"/>
      <c r="DY591" s="11"/>
      <c r="DZ591" s="11"/>
      <c r="EA591" s="11"/>
      <c r="EB591" s="11"/>
      <c r="EC591" s="11"/>
      <c r="ED591" s="11"/>
      <c r="EE591" s="11"/>
      <c r="EF591" s="11"/>
    </row>
    <row r="592" spans="1:136" ht="27" x14ac:dyDescent="0.25">
      <c r="A592" s="425">
        <v>590</v>
      </c>
      <c r="B592" s="427" t="s">
        <v>2577</v>
      </c>
      <c r="C592" s="413" t="s">
        <v>2578</v>
      </c>
      <c r="D592" s="427" t="s">
        <v>132</v>
      </c>
      <c r="E592" s="79">
        <v>1</v>
      </c>
      <c r="F592" s="405"/>
      <c r="G592" s="274"/>
      <c r="H592" s="274"/>
      <c r="I592" s="274"/>
      <c r="J592" s="274"/>
      <c r="K592" s="11"/>
      <c r="L592" s="274"/>
      <c r="M592" s="274"/>
      <c r="N592" s="274"/>
      <c r="O592" s="48"/>
      <c r="P592" s="11"/>
      <c r="Q592" s="274"/>
      <c r="R592" s="274"/>
      <c r="S592" s="274"/>
      <c r="T592" s="11"/>
      <c r="U592" s="11"/>
      <c r="V592" s="11"/>
      <c r="W592" s="11"/>
      <c r="X592" s="11"/>
      <c r="Y592" s="11"/>
      <c r="Z592" s="48"/>
      <c r="AA592" s="52"/>
      <c r="AB592" s="52"/>
      <c r="AC592" s="118"/>
      <c r="AD592" s="5"/>
      <c r="AE592" s="52"/>
      <c r="AF592" s="113">
        <v>84000</v>
      </c>
      <c r="AG592" s="113">
        <f t="shared" ref="AG592:AG597" si="18">AF592*0.19</f>
        <v>15960</v>
      </c>
      <c r="AH592" s="113">
        <f t="shared" ref="AH592:AH597" si="19">AF592+AG592</f>
        <v>99960</v>
      </c>
      <c r="AI592" s="277" t="s">
        <v>628</v>
      </c>
      <c r="AJ592" s="33" t="s">
        <v>2579</v>
      </c>
      <c r="AK592" s="269">
        <v>72960</v>
      </c>
      <c r="AL592" s="269">
        <v>13862.4</v>
      </c>
      <c r="AM592" s="269">
        <v>86822.399999999994</v>
      </c>
      <c r="AN592" s="301" t="s">
        <v>88</v>
      </c>
      <c r="AO592" s="302">
        <v>1027900250</v>
      </c>
      <c r="AP592" s="274">
        <v>125000</v>
      </c>
      <c r="AQ592" s="274">
        <v>23750</v>
      </c>
      <c r="AR592" s="274">
        <v>148750</v>
      </c>
      <c r="AS592" s="274" t="s">
        <v>92</v>
      </c>
      <c r="AT592" s="274" t="s">
        <v>2580</v>
      </c>
      <c r="AU592" s="118">
        <v>92781</v>
      </c>
      <c r="AV592" s="118">
        <v>17628</v>
      </c>
      <c r="AW592" s="118">
        <v>110409</v>
      </c>
      <c r="AX592" s="52" t="s">
        <v>607</v>
      </c>
      <c r="AY592" s="52">
        <v>1027900250</v>
      </c>
      <c r="AZ592" s="11"/>
      <c r="BA592" s="11"/>
      <c r="BB592" s="11"/>
      <c r="BC592" s="11"/>
      <c r="BD592" s="11"/>
      <c r="BE592" s="274">
        <v>1505000</v>
      </c>
      <c r="BF592" s="274">
        <v>285950</v>
      </c>
      <c r="BG592" s="274">
        <v>1790950</v>
      </c>
      <c r="BH592" s="11" t="s">
        <v>338</v>
      </c>
      <c r="BI592" s="11" t="s">
        <v>2581</v>
      </c>
      <c r="BJ592" s="311"/>
      <c r="BK592" s="311"/>
      <c r="BL592" s="311"/>
      <c r="BM592" s="52"/>
      <c r="BN592" s="52"/>
      <c r="BO592" s="387"/>
      <c r="BP592" s="320"/>
      <c r="BQ592" s="320"/>
      <c r="BR592" s="4"/>
      <c r="BS592" s="4"/>
      <c r="BT592" s="11"/>
      <c r="BU592" s="11"/>
      <c r="BV592" s="11"/>
      <c r="BW592" s="11"/>
      <c r="BX592" s="11"/>
      <c r="BY592" s="348"/>
      <c r="BZ592" s="348"/>
      <c r="CA592" s="348"/>
      <c r="CB592" s="348"/>
      <c r="CC592" s="348"/>
      <c r="CD592" s="11"/>
      <c r="CE592" s="11"/>
      <c r="CF592" s="11"/>
      <c r="CG592" s="11"/>
      <c r="CH592" s="11"/>
      <c r="CI592" s="11"/>
      <c r="CJ592" s="11"/>
      <c r="CK592" s="11"/>
      <c r="CL592" s="11"/>
      <c r="CM592" s="11"/>
      <c r="CN592" s="274"/>
      <c r="CO592" s="274"/>
      <c r="CP592" s="274"/>
      <c r="CQ592" s="11"/>
      <c r="CR592" s="11"/>
      <c r="CS592" s="11"/>
      <c r="CT592" s="11"/>
      <c r="CU592" s="11"/>
      <c r="CV592" s="11"/>
      <c r="CW592" s="11"/>
      <c r="CX592" s="11"/>
      <c r="CY592" s="11"/>
      <c r="CZ592" s="11"/>
      <c r="DA592" s="11"/>
      <c r="DB592" s="11"/>
      <c r="DC592" s="11"/>
      <c r="DD592" s="11"/>
      <c r="DE592" s="11"/>
      <c r="DF592" s="11"/>
      <c r="DG592" s="11"/>
      <c r="DH592" s="11"/>
      <c r="DI592" s="11"/>
      <c r="DJ592" s="11"/>
      <c r="DK592" s="11"/>
      <c r="DL592" s="11"/>
      <c r="DM592" s="118"/>
      <c r="DN592" s="118"/>
      <c r="DO592" s="118"/>
      <c r="DP592" s="52"/>
      <c r="DQ592" s="52"/>
      <c r="DR592" s="77"/>
      <c r="DS592" s="77"/>
      <c r="DT592" s="77"/>
      <c r="DU592" s="11"/>
      <c r="DV592" s="11"/>
      <c r="DW592" s="11"/>
      <c r="DX592" s="11"/>
      <c r="DY592" s="11"/>
      <c r="DZ592" s="11"/>
      <c r="EA592" s="11"/>
      <c r="EB592" s="11"/>
      <c r="EC592" s="11"/>
      <c r="ED592" s="11"/>
      <c r="EE592" s="11"/>
      <c r="EF592" s="11"/>
    </row>
    <row r="593" spans="1:136" ht="27" x14ac:dyDescent="0.25">
      <c r="A593" s="425">
        <v>591</v>
      </c>
      <c r="B593" s="427" t="s">
        <v>2582</v>
      </c>
      <c r="C593" s="413" t="s">
        <v>2583</v>
      </c>
      <c r="D593" s="413" t="s">
        <v>515</v>
      </c>
      <c r="E593" s="79">
        <v>1</v>
      </c>
      <c r="F593" s="406">
        <v>764181.82400000002</v>
      </c>
      <c r="G593" s="274"/>
      <c r="H593" s="274"/>
      <c r="I593" s="274"/>
      <c r="J593" s="274"/>
      <c r="K593" s="11"/>
      <c r="L593" s="274"/>
      <c r="M593" s="274"/>
      <c r="N593" s="274"/>
      <c r="O593" s="48"/>
      <c r="P593" s="11"/>
      <c r="Q593" s="274"/>
      <c r="R593" s="274"/>
      <c r="S593" s="274"/>
      <c r="T593" s="11"/>
      <c r="U593" s="11"/>
      <c r="V593" s="11"/>
      <c r="W593" s="11"/>
      <c r="X593" s="11"/>
      <c r="Y593" s="11"/>
      <c r="Z593" s="48"/>
      <c r="AA593" s="52"/>
      <c r="AB593" s="52"/>
      <c r="AC593" s="118"/>
      <c r="AD593" s="5"/>
      <c r="AE593" s="52"/>
      <c r="AF593" s="113">
        <v>283000</v>
      </c>
      <c r="AG593" s="113">
        <f t="shared" si="18"/>
        <v>53770</v>
      </c>
      <c r="AH593" s="113">
        <f t="shared" si="19"/>
        <v>336770</v>
      </c>
      <c r="AI593" s="277" t="s">
        <v>628</v>
      </c>
      <c r="AJ593" s="33" t="s">
        <v>2584</v>
      </c>
      <c r="AK593" s="269">
        <v>991230</v>
      </c>
      <c r="AL593" s="269">
        <v>188333.7</v>
      </c>
      <c r="AM593" s="269">
        <v>1179563.7</v>
      </c>
      <c r="AN593" s="301" t="s">
        <v>88</v>
      </c>
      <c r="AO593" s="302">
        <v>1060671000</v>
      </c>
      <c r="AP593" s="11"/>
      <c r="AQ593" s="11"/>
      <c r="AR593" s="11"/>
      <c r="AS593" s="11"/>
      <c r="AT593" s="11"/>
      <c r="AU593" s="118">
        <v>614127</v>
      </c>
      <c r="AV593" s="118">
        <v>116684</v>
      </c>
      <c r="AW593" s="118">
        <v>730811</v>
      </c>
      <c r="AX593" s="52" t="s">
        <v>607</v>
      </c>
      <c r="AY593" s="52" t="s">
        <v>2585</v>
      </c>
      <c r="AZ593" s="11"/>
      <c r="BA593" s="11"/>
      <c r="BB593" s="11"/>
      <c r="BC593" s="11"/>
      <c r="BD593" s="11"/>
      <c r="BE593" s="274">
        <v>411000</v>
      </c>
      <c r="BF593" s="274">
        <v>78090</v>
      </c>
      <c r="BG593" s="274">
        <v>489090</v>
      </c>
      <c r="BH593" s="11" t="s">
        <v>63</v>
      </c>
      <c r="BI593" s="11" t="s">
        <v>2586</v>
      </c>
      <c r="BJ593" s="311"/>
      <c r="BK593" s="311"/>
      <c r="BL593" s="311"/>
      <c r="BM593" s="52"/>
      <c r="BN593" s="52"/>
      <c r="BO593" s="387"/>
      <c r="BP593" s="320"/>
      <c r="BQ593" s="320"/>
      <c r="BR593" s="4"/>
      <c r="BS593" s="4"/>
      <c r="BT593" s="11"/>
      <c r="BU593" s="11"/>
      <c r="BV593" s="11"/>
      <c r="BW593" s="11"/>
      <c r="BX593" s="11"/>
      <c r="BY593" s="348"/>
      <c r="BZ593" s="348"/>
      <c r="CA593" s="348"/>
      <c r="CB593" s="348"/>
      <c r="CC593" s="348"/>
      <c r="CD593" s="11"/>
      <c r="CE593" s="11"/>
      <c r="CF593" s="11"/>
      <c r="CG593" s="11"/>
      <c r="CH593" s="11"/>
      <c r="CI593" s="11"/>
      <c r="CJ593" s="11"/>
      <c r="CK593" s="11"/>
      <c r="CL593" s="11"/>
      <c r="CM593" s="11"/>
      <c r="CN593" s="274"/>
      <c r="CO593" s="274"/>
      <c r="CP593" s="274"/>
      <c r="CQ593" s="11"/>
      <c r="CR593" s="11"/>
      <c r="CS593" s="11"/>
      <c r="CT593" s="11"/>
      <c r="CU593" s="11"/>
      <c r="CV593" s="11"/>
      <c r="CW593" s="11"/>
      <c r="CX593" s="11"/>
      <c r="CY593" s="11"/>
      <c r="CZ593" s="11"/>
      <c r="DA593" s="11"/>
      <c r="DB593" s="11"/>
      <c r="DC593" s="11"/>
      <c r="DD593" s="11"/>
      <c r="DE593" s="11"/>
      <c r="DF593" s="11"/>
      <c r="DG593" s="11"/>
      <c r="DH593" s="11"/>
      <c r="DI593" s="11"/>
      <c r="DJ593" s="11"/>
      <c r="DK593" s="11"/>
      <c r="DL593" s="11"/>
      <c r="DM593" s="118"/>
      <c r="DN593" s="118"/>
      <c r="DO593" s="118"/>
      <c r="DP593" s="52"/>
      <c r="DQ593" s="52"/>
      <c r="DR593" s="77"/>
      <c r="DS593" s="77"/>
      <c r="DT593" s="77"/>
      <c r="DU593" s="11"/>
      <c r="DV593" s="11"/>
      <c r="DW593" s="11"/>
      <c r="DX593" s="11"/>
      <c r="DY593" s="11"/>
      <c r="DZ593" s="11"/>
      <c r="EA593" s="11"/>
      <c r="EB593" s="11"/>
      <c r="EC593" s="11"/>
      <c r="ED593" s="11"/>
      <c r="EE593" s="11"/>
      <c r="EF593" s="11"/>
    </row>
    <row r="594" spans="1:136" ht="40.5" x14ac:dyDescent="0.25">
      <c r="A594" s="425">
        <v>592</v>
      </c>
      <c r="B594" s="427" t="s">
        <v>2587</v>
      </c>
      <c r="C594" s="413" t="s">
        <v>2588</v>
      </c>
      <c r="D594" s="413" t="s">
        <v>132</v>
      </c>
      <c r="E594" s="79">
        <v>1</v>
      </c>
      <c r="F594" s="406">
        <v>243834.33199999999</v>
      </c>
      <c r="G594" s="274">
        <v>425000</v>
      </c>
      <c r="H594" s="274">
        <v>80750</v>
      </c>
      <c r="I594" s="274">
        <v>505750</v>
      </c>
      <c r="J594" s="274" t="s">
        <v>45</v>
      </c>
      <c r="K594" s="11" t="s">
        <v>2589</v>
      </c>
      <c r="L594" s="274"/>
      <c r="M594" s="274"/>
      <c r="N594" s="274"/>
      <c r="O594" s="48"/>
      <c r="P594" s="11"/>
      <c r="Q594" s="274"/>
      <c r="R594" s="274"/>
      <c r="S594" s="274"/>
      <c r="T594" s="11"/>
      <c r="U594" s="11"/>
      <c r="V594" s="11"/>
      <c r="W594" s="11"/>
      <c r="X594" s="11"/>
      <c r="Y594" s="11"/>
      <c r="Z594" s="48"/>
      <c r="AA594" s="52"/>
      <c r="AB594" s="52"/>
      <c r="AC594" s="118"/>
      <c r="AD594" s="5"/>
      <c r="AE594" s="52"/>
      <c r="AF594" s="113">
        <v>79000</v>
      </c>
      <c r="AG594" s="113">
        <f t="shared" si="18"/>
        <v>15010</v>
      </c>
      <c r="AH594" s="113">
        <f t="shared" si="19"/>
        <v>94010</v>
      </c>
      <c r="AI594" s="277" t="s">
        <v>628</v>
      </c>
      <c r="AJ594" s="33" t="s">
        <v>2590</v>
      </c>
      <c r="AK594" s="269">
        <v>165870</v>
      </c>
      <c r="AL594" s="269">
        <v>31515.3</v>
      </c>
      <c r="AM594" s="269">
        <v>197385.3</v>
      </c>
      <c r="AN594" s="301" t="s">
        <v>88</v>
      </c>
      <c r="AO594" s="302">
        <v>1058860500</v>
      </c>
      <c r="AP594" s="11"/>
      <c r="AQ594" s="11"/>
      <c r="AR594" s="11"/>
      <c r="AS594" s="11"/>
      <c r="AT594" s="11"/>
      <c r="AU594" s="118">
        <v>210932</v>
      </c>
      <c r="AV594" s="118">
        <v>40077</v>
      </c>
      <c r="AW594" s="118">
        <v>251009</v>
      </c>
      <c r="AX594" s="52" t="s">
        <v>607</v>
      </c>
      <c r="AY594" s="52">
        <v>1058860500</v>
      </c>
      <c r="AZ594" s="11"/>
      <c r="BA594" s="11"/>
      <c r="BB594" s="11"/>
      <c r="BC594" s="11"/>
      <c r="BD594" s="11"/>
      <c r="BE594" s="274">
        <v>146000</v>
      </c>
      <c r="BF594" s="274">
        <v>27740</v>
      </c>
      <c r="BG594" s="274">
        <v>173740</v>
      </c>
      <c r="BH594" s="11" t="s">
        <v>63</v>
      </c>
      <c r="BI594" s="11" t="s">
        <v>2591</v>
      </c>
      <c r="BJ594" s="311"/>
      <c r="BK594" s="311"/>
      <c r="BL594" s="311"/>
      <c r="BM594" s="52"/>
      <c r="BN594" s="52"/>
      <c r="BO594" s="387"/>
      <c r="BP594" s="320"/>
      <c r="BQ594" s="320"/>
      <c r="BR594" s="4"/>
      <c r="BS594" s="4"/>
      <c r="BT594" s="11"/>
      <c r="BU594" s="11"/>
      <c r="BV594" s="11"/>
      <c r="BW594" s="11"/>
      <c r="BX594" s="11"/>
      <c r="BY594" s="348"/>
      <c r="BZ594" s="348"/>
      <c r="CA594" s="348"/>
      <c r="CB594" s="348"/>
      <c r="CC594" s="348"/>
      <c r="CD594" s="11"/>
      <c r="CE594" s="11"/>
      <c r="CF594" s="11"/>
      <c r="CG594" s="11"/>
      <c r="CH594" s="11"/>
      <c r="CI594" s="11"/>
      <c r="CJ594" s="11"/>
      <c r="CK594" s="11"/>
      <c r="CL594" s="11"/>
      <c r="CM594" s="11"/>
      <c r="CN594" s="274"/>
      <c r="CO594" s="274"/>
      <c r="CP594" s="274"/>
      <c r="CQ594" s="11"/>
      <c r="CR594" s="11"/>
      <c r="CS594" s="11"/>
      <c r="CT594" s="11"/>
      <c r="CU594" s="11"/>
      <c r="CV594" s="11"/>
      <c r="CW594" s="11"/>
      <c r="CX594" s="11"/>
      <c r="CY594" s="11"/>
      <c r="CZ594" s="11"/>
      <c r="DA594" s="11"/>
      <c r="DB594" s="11"/>
      <c r="DC594" s="11"/>
      <c r="DD594" s="11"/>
      <c r="DE594" s="11"/>
      <c r="DF594" s="11"/>
      <c r="DG594" s="11"/>
      <c r="DH594" s="11"/>
      <c r="DI594" s="11"/>
      <c r="DJ594" s="11"/>
      <c r="DK594" s="11"/>
      <c r="DL594" s="11"/>
      <c r="DM594" s="118"/>
      <c r="DN594" s="118"/>
      <c r="DO594" s="118"/>
      <c r="DP594" s="52"/>
      <c r="DQ594" s="52"/>
      <c r="DR594" s="77"/>
      <c r="DS594" s="77"/>
      <c r="DT594" s="77"/>
      <c r="DU594" s="11"/>
      <c r="DV594" s="11"/>
      <c r="DW594" s="11"/>
      <c r="DX594" s="11"/>
      <c r="DY594" s="11"/>
      <c r="DZ594" s="11"/>
      <c r="EA594" s="11"/>
      <c r="EB594" s="11"/>
      <c r="EC594" s="11"/>
      <c r="ED594" s="11"/>
      <c r="EE594" s="11"/>
      <c r="EF594" s="11"/>
    </row>
    <row r="595" spans="1:136" ht="27" x14ac:dyDescent="0.25">
      <c r="A595" s="425">
        <v>593</v>
      </c>
      <c r="B595" s="427" t="s">
        <v>2592</v>
      </c>
      <c r="C595" s="413" t="s">
        <v>676</v>
      </c>
      <c r="D595" s="413" t="s">
        <v>515</v>
      </c>
      <c r="E595" s="79">
        <v>1</v>
      </c>
      <c r="F595" s="406">
        <v>370779.01</v>
      </c>
      <c r="G595" s="274"/>
      <c r="H595" s="274"/>
      <c r="I595" s="274"/>
      <c r="J595" s="274"/>
      <c r="K595" s="11"/>
      <c r="L595" s="274"/>
      <c r="M595" s="274"/>
      <c r="N595" s="274"/>
      <c r="O595" s="48"/>
      <c r="P595" s="11"/>
      <c r="Q595" s="274"/>
      <c r="R595" s="274"/>
      <c r="S595" s="274"/>
      <c r="T595" s="11"/>
      <c r="U595" s="11"/>
      <c r="V595" s="11"/>
      <c r="W595" s="11"/>
      <c r="X595" s="11"/>
      <c r="Y595" s="11"/>
      <c r="Z595" s="48"/>
      <c r="AA595" s="52"/>
      <c r="AB595" s="52"/>
      <c r="AC595" s="118"/>
      <c r="AD595" s="5"/>
      <c r="AE595" s="52"/>
      <c r="AF595" s="113">
        <v>138000</v>
      </c>
      <c r="AG595" s="113">
        <f t="shared" si="18"/>
        <v>26220</v>
      </c>
      <c r="AH595" s="113">
        <f t="shared" si="19"/>
        <v>164220</v>
      </c>
      <c r="AI595" s="277" t="s">
        <v>628</v>
      </c>
      <c r="AJ595" s="33" t="s">
        <v>2593</v>
      </c>
      <c r="AK595" s="269">
        <v>246240</v>
      </c>
      <c r="AL595" s="269">
        <v>0</v>
      </c>
      <c r="AM595" s="269">
        <v>246240</v>
      </c>
      <c r="AN595" s="301" t="s">
        <v>88</v>
      </c>
      <c r="AO595" s="302">
        <v>1051531000</v>
      </c>
      <c r="AP595" s="11"/>
      <c r="AQ595" s="11"/>
      <c r="AR595" s="11"/>
      <c r="AS595" s="11"/>
      <c r="AT595" s="11"/>
      <c r="AU595" s="118">
        <v>313136</v>
      </c>
      <c r="AV595" s="118">
        <v>59496</v>
      </c>
      <c r="AW595" s="118">
        <v>372632</v>
      </c>
      <c r="AX595" s="52" t="s">
        <v>607</v>
      </c>
      <c r="AY595" s="52">
        <v>1051531000</v>
      </c>
      <c r="AZ595" s="11"/>
      <c r="BA595" s="11"/>
      <c r="BB595" s="11"/>
      <c r="BC595" s="11"/>
      <c r="BD595" s="11"/>
      <c r="BE595" s="274">
        <v>415000</v>
      </c>
      <c r="BF595" s="274">
        <v>78850</v>
      </c>
      <c r="BG595" s="274">
        <v>493850</v>
      </c>
      <c r="BH595" s="11" t="s">
        <v>63</v>
      </c>
      <c r="BI595" s="11" t="s">
        <v>2594</v>
      </c>
      <c r="BJ595" s="311"/>
      <c r="BK595" s="311"/>
      <c r="BL595" s="311"/>
      <c r="BM595" s="52"/>
      <c r="BN595" s="52"/>
      <c r="BO595" s="387"/>
      <c r="BP595" s="320"/>
      <c r="BQ595" s="320"/>
      <c r="BR595" s="4"/>
      <c r="BS595" s="4"/>
      <c r="BT595" s="11"/>
      <c r="BU595" s="11"/>
      <c r="BV595" s="11"/>
      <c r="BW595" s="11"/>
      <c r="BX595" s="11"/>
      <c r="BY595" s="348"/>
      <c r="BZ595" s="348"/>
      <c r="CA595" s="348"/>
      <c r="CB595" s="348"/>
      <c r="CC595" s="348"/>
      <c r="CD595" s="11"/>
      <c r="CE595" s="11"/>
      <c r="CF595" s="11"/>
      <c r="CG595" s="11"/>
      <c r="CH595" s="11"/>
      <c r="CI595" s="11"/>
      <c r="CJ595" s="11"/>
      <c r="CK595" s="11"/>
      <c r="CL595" s="11"/>
      <c r="CM595" s="11"/>
      <c r="CN595" s="274"/>
      <c r="CO595" s="274"/>
      <c r="CP595" s="274"/>
      <c r="CQ595" s="11"/>
      <c r="CR595" s="11"/>
      <c r="CS595" s="11"/>
      <c r="CT595" s="11"/>
      <c r="CU595" s="11"/>
      <c r="CV595" s="11"/>
      <c r="CW595" s="11"/>
      <c r="CX595" s="11"/>
      <c r="CY595" s="11"/>
      <c r="CZ595" s="11"/>
      <c r="DA595" s="11"/>
      <c r="DB595" s="11"/>
      <c r="DC595" s="11"/>
      <c r="DD595" s="11"/>
      <c r="DE595" s="11"/>
      <c r="DF595" s="11"/>
      <c r="DG595" s="11"/>
      <c r="DH595" s="11"/>
      <c r="DI595" s="11"/>
      <c r="DJ595" s="11"/>
      <c r="DK595" s="11"/>
      <c r="DL595" s="11"/>
      <c r="DM595" s="118"/>
      <c r="DN595" s="118"/>
      <c r="DO595" s="118"/>
      <c r="DP595" s="52"/>
      <c r="DQ595" s="52"/>
      <c r="DR595" s="77"/>
      <c r="DS595" s="77"/>
      <c r="DT595" s="77"/>
      <c r="DU595" s="11"/>
      <c r="DV595" s="11"/>
      <c r="DW595" s="11"/>
      <c r="DX595" s="11"/>
      <c r="DY595" s="11"/>
      <c r="DZ595" s="11"/>
      <c r="EA595" s="11"/>
      <c r="EB595" s="11"/>
      <c r="EC595" s="11"/>
      <c r="ED595" s="11"/>
      <c r="EE595" s="11"/>
      <c r="EF595" s="11"/>
    </row>
    <row r="596" spans="1:136" ht="54" x14ac:dyDescent="0.25">
      <c r="A596" s="425">
        <v>594</v>
      </c>
      <c r="B596" s="427" t="s">
        <v>2595</v>
      </c>
      <c r="C596" s="413" t="s">
        <v>622</v>
      </c>
      <c r="D596" s="413" t="s">
        <v>1148</v>
      </c>
      <c r="E596" s="79">
        <v>1</v>
      </c>
      <c r="F596" s="406">
        <v>164651.01800000001</v>
      </c>
      <c r="G596" s="274">
        <v>131250</v>
      </c>
      <c r="H596" s="274">
        <v>24937.5</v>
      </c>
      <c r="I596" s="274">
        <v>156187.5</v>
      </c>
      <c r="J596" s="274" t="s">
        <v>45</v>
      </c>
      <c r="K596" s="11" t="s">
        <v>2596</v>
      </c>
      <c r="L596" s="274"/>
      <c r="M596" s="274"/>
      <c r="N596" s="274"/>
      <c r="O596" s="48"/>
      <c r="P596" s="11"/>
      <c r="Q596" s="274"/>
      <c r="R596" s="274"/>
      <c r="S596" s="274"/>
      <c r="T596" s="11"/>
      <c r="U596" s="11"/>
      <c r="V596" s="11"/>
      <c r="W596" s="11"/>
      <c r="X596" s="11"/>
      <c r="Y596" s="11"/>
      <c r="Z596" s="48"/>
      <c r="AA596" s="52"/>
      <c r="AB596" s="52"/>
      <c r="AC596" s="118"/>
      <c r="AD596" s="5"/>
      <c r="AE596" s="52"/>
      <c r="AF596" s="113">
        <v>118000</v>
      </c>
      <c r="AG596" s="113">
        <f t="shared" si="18"/>
        <v>22420</v>
      </c>
      <c r="AH596" s="113">
        <f t="shared" si="19"/>
        <v>140420</v>
      </c>
      <c r="AI596" s="277" t="s">
        <v>628</v>
      </c>
      <c r="AJ596" s="33" t="s">
        <v>2597</v>
      </c>
      <c r="AK596" s="269">
        <v>66120</v>
      </c>
      <c r="AL596" s="269">
        <v>12562.8</v>
      </c>
      <c r="AM596" s="269">
        <v>78682.8</v>
      </c>
      <c r="AN596" s="301" t="s">
        <v>88</v>
      </c>
      <c r="AO596" s="302">
        <v>1066490500</v>
      </c>
      <c r="AP596" s="11"/>
      <c r="AQ596" s="11"/>
      <c r="AR596" s="11"/>
      <c r="AS596" s="11"/>
      <c r="AT596" s="11"/>
      <c r="AU596" s="118">
        <v>92781</v>
      </c>
      <c r="AV596" s="118">
        <v>17628</v>
      </c>
      <c r="AW596" s="118">
        <v>110409</v>
      </c>
      <c r="AX596" s="52" t="s">
        <v>607</v>
      </c>
      <c r="AY596" s="52">
        <v>1027900250</v>
      </c>
      <c r="AZ596" s="11"/>
      <c r="BA596" s="11"/>
      <c r="BB596" s="11"/>
      <c r="BC596" s="11"/>
      <c r="BD596" s="11"/>
      <c r="BE596" s="274">
        <v>174000</v>
      </c>
      <c r="BF596" s="274">
        <v>33060</v>
      </c>
      <c r="BG596" s="274">
        <v>207060</v>
      </c>
      <c r="BH596" s="11" t="s">
        <v>63</v>
      </c>
      <c r="BI596" s="11" t="s">
        <v>2598</v>
      </c>
      <c r="BJ596" s="311"/>
      <c r="BK596" s="311"/>
      <c r="BL596" s="311"/>
      <c r="BM596" s="52"/>
      <c r="BN596" s="52"/>
      <c r="BO596" s="387"/>
      <c r="BP596" s="320"/>
      <c r="BQ596" s="320"/>
      <c r="BR596" s="4"/>
      <c r="BS596" s="4"/>
      <c r="BT596" s="11"/>
      <c r="BU596" s="11"/>
      <c r="BV596" s="11"/>
      <c r="BW596" s="11"/>
      <c r="BX596" s="11"/>
      <c r="BY596" s="348"/>
      <c r="BZ596" s="348"/>
      <c r="CA596" s="348"/>
      <c r="CB596" s="348"/>
      <c r="CC596" s="348"/>
      <c r="CD596" s="11"/>
      <c r="CE596" s="11"/>
      <c r="CF596" s="11"/>
      <c r="CG596" s="11"/>
      <c r="CH596" s="11"/>
      <c r="CI596" s="11"/>
      <c r="CJ596" s="11"/>
      <c r="CK596" s="11"/>
      <c r="CL596" s="11"/>
      <c r="CM596" s="11"/>
      <c r="CN596" s="274"/>
      <c r="CO596" s="274"/>
      <c r="CP596" s="274"/>
      <c r="CQ596" s="11"/>
      <c r="CR596" s="11"/>
      <c r="CS596" s="11"/>
      <c r="CT596" s="11"/>
      <c r="CU596" s="11"/>
      <c r="CV596" s="11"/>
      <c r="CW596" s="11"/>
      <c r="CX596" s="11"/>
      <c r="CY596" s="11"/>
      <c r="CZ596" s="11"/>
      <c r="DA596" s="11"/>
      <c r="DB596" s="11"/>
      <c r="DC596" s="11"/>
      <c r="DD596" s="11"/>
      <c r="DE596" s="11"/>
      <c r="DF596" s="11"/>
      <c r="DG596" s="11"/>
      <c r="DH596" s="11"/>
      <c r="DI596" s="11"/>
      <c r="DJ596" s="11"/>
      <c r="DK596" s="11"/>
      <c r="DL596" s="11"/>
      <c r="DM596" s="118"/>
      <c r="DN596" s="118"/>
      <c r="DO596" s="118"/>
      <c r="DP596" s="52"/>
      <c r="DQ596" s="52"/>
      <c r="DR596" s="77"/>
      <c r="DS596" s="77"/>
      <c r="DT596" s="77"/>
      <c r="DU596" s="11"/>
      <c r="DV596" s="11"/>
      <c r="DW596" s="11"/>
      <c r="DX596" s="11"/>
      <c r="DY596" s="11"/>
      <c r="DZ596" s="11"/>
      <c r="EA596" s="11"/>
      <c r="EB596" s="11"/>
      <c r="EC596" s="11"/>
      <c r="ED596" s="11"/>
      <c r="EE596" s="11"/>
      <c r="EF596" s="11"/>
    </row>
    <row r="597" spans="1:136" ht="27" x14ac:dyDescent="0.25">
      <c r="A597" s="425">
        <v>595</v>
      </c>
      <c r="B597" s="427" t="s">
        <v>2599</v>
      </c>
      <c r="C597" s="413" t="s">
        <v>2600</v>
      </c>
      <c r="D597" s="413" t="s">
        <v>300</v>
      </c>
      <c r="E597" s="79">
        <v>1</v>
      </c>
      <c r="F597" s="405"/>
      <c r="G597" s="274">
        <v>190000</v>
      </c>
      <c r="H597" s="274">
        <v>36100</v>
      </c>
      <c r="I597" s="274">
        <v>226100</v>
      </c>
      <c r="J597" s="274" t="s">
        <v>45</v>
      </c>
      <c r="K597" s="11" t="s">
        <v>2601</v>
      </c>
      <c r="L597" s="274"/>
      <c r="M597" s="274"/>
      <c r="N597" s="274"/>
      <c r="O597" s="48"/>
      <c r="P597" s="11"/>
      <c r="Q597" s="274"/>
      <c r="R597" s="274"/>
      <c r="S597" s="274"/>
      <c r="T597" s="11"/>
      <c r="U597" s="11"/>
      <c r="V597" s="11"/>
      <c r="W597" s="11"/>
      <c r="X597" s="11"/>
      <c r="Y597" s="11"/>
      <c r="Z597" s="48"/>
      <c r="AA597" s="52"/>
      <c r="AB597" s="52"/>
      <c r="AC597" s="118"/>
      <c r="AD597" s="5"/>
      <c r="AE597" s="52"/>
      <c r="AF597" s="113">
        <v>195000</v>
      </c>
      <c r="AG597" s="113">
        <f t="shared" si="18"/>
        <v>37050</v>
      </c>
      <c r="AH597" s="113">
        <f t="shared" si="19"/>
        <v>232050</v>
      </c>
      <c r="AI597" s="277" t="s">
        <v>628</v>
      </c>
      <c r="AJ597" s="33" t="s">
        <v>2602</v>
      </c>
      <c r="AK597" s="269">
        <v>75240</v>
      </c>
      <c r="AL597" s="269">
        <v>14295.6</v>
      </c>
      <c r="AM597" s="269">
        <v>89535.6</v>
      </c>
      <c r="AN597" s="301" t="s">
        <v>88</v>
      </c>
      <c r="AO597" s="302">
        <v>1066570500</v>
      </c>
      <c r="AP597" s="11"/>
      <c r="AQ597" s="11"/>
      <c r="AR597" s="11"/>
      <c r="AS597" s="11"/>
      <c r="AT597" s="11"/>
      <c r="AU597" s="118">
        <v>95680</v>
      </c>
      <c r="AV597" s="118">
        <v>18179</v>
      </c>
      <c r="AW597" s="118">
        <v>113860</v>
      </c>
      <c r="AX597" s="52" t="s">
        <v>607</v>
      </c>
      <c r="AY597" s="52">
        <v>1066570500</v>
      </c>
      <c r="AZ597" s="11"/>
      <c r="BA597" s="11"/>
      <c r="BB597" s="11"/>
      <c r="BC597" s="11"/>
      <c r="BD597" s="11"/>
      <c r="BE597" s="274"/>
      <c r="BF597" s="274"/>
      <c r="BG597" s="274"/>
      <c r="BH597" s="11"/>
      <c r="BI597" s="11"/>
      <c r="BJ597" s="311"/>
      <c r="BK597" s="311"/>
      <c r="BL597" s="311"/>
      <c r="BM597" s="52"/>
      <c r="BN597" s="52"/>
      <c r="BO597" s="387"/>
      <c r="BP597" s="320"/>
      <c r="BQ597" s="320"/>
      <c r="BR597" s="4"/>
      <c r="BS597" s="4"/>
      <c r="BT597" s="11"/>
      <c r="BU597" s="11"/>
      <c r="BV597" s="11"/>
      <c r="BW597" s="11"/>
      <c r="BX597" s="11"/>
      <c r="BY597" s="348"/>
      <c r="BZ597" s="348"/>
      <c r="CA597" s="348"/>
      <c r="CB597" s="348"/>
      <c r="CC597" s="348"/>
      <c r="CD597" s="11"/>
      <c r="CE597" s="11"/>
      <c r="CF597" s="11"/>
      <c r="CG597" s="11"/>
      <c r="CH597" s="11"/>
      <c r="CI597" s="11"/>
      <c r="CJ597" s="11"/>
      <c r="CK597" s="11"/>
      <c r="CL597" s="11"/>
      <c r="CM597" s="11"/>
      <c r="CN597" s="274"/>
      <c r="CO597" s="274"/>
      <c r="CP597" s="274"/>
      <c r="CQ597" s="11"/>
      <c r="CR597" s="11"/>
      <c r="CS597" s="11"/>
      <c r="CT597" s="11"/>
      <c r="CU597" s="11"/>
      <c r="CV597" s="11"/>
      <c r="CW597" s="11"/>
      <c r="CX597" s="11"/>
      <c r="CY597" s="11"/>
      <c r="CZ597" s="11"/>
      <c r="DA597" s="11"/>
      <c r="DB597" s="11"/>
      <c r="DC597" s="11"/>
      <c r="DD597" s="11"/>
      <c r="DE597" s="11"/>
      <c r="DF597" s="11"/>
      <c r="DG597" s="11"/>
      <c r="DH597" s="11"/>
      <c r="DI597" s="11"/>
      <c r="DJ597" s="11"/>
      <c r="DK597" s="11"/>
      <c r="DL597" s="11"/>
      <c r="DM597" s="118"/>
      <c r="DN597" s="118"/>
      <c r="DO597" s="118"/>
      <c r="DP597" s="52"/>
      <c r="DQ597" s="52"/>
      <c r="DR597" s="77"/>
      <c r="DS597" s="77"/>
      <c r="DT597" s="77"/>
      <c r="DU597" s="11"/>
      <c r="DV597" s="11"/>
      <c r="DW597" s="11"/>
      <c r="DX597" s="11"/>
      <c r="DY597" s="11"/>
      <c r="DZ597" s="11"/>
      <c r="EA597" s="11"/>
      <c r="EB597" s="11"/>
      <c r="EC597" s="11"/>
      <c r="ED597" s="11"/>
      <c r="EE597" s="11"/>
      <c r="EF597" s="11"/>
    </row>
    <row r="598" spans="1:136" ht="135" x14ac:dyDescent="0.25">
      <c r="A598" s="425">
        <v>596</v>
      </c>
      <c r="B598" s="426" t="s">
        <v>2603</v>
      </c>
      <c r="C598" s="427" t="s">
        <v>138</v>
      </c>
      <c r="D598" s="427" t="s">
        <v>609</v>
      </c>
      <c r="E598" s="79">
        <v>1</v>
      </c>
      <c r="F598" s="405"/>
      <c r="G598" s="274"/>
      <c r="H598" s="274"/>
      <c r="I598" s="274"/>
      <c r="J598" s="274"/>
      <c r="K598" s="11"/>
      <c r="L598" s="274"/>
      <c r="M598" s="274"/>
      <c r="N598" s="274"/>
      <c r="O598" s="48"/>
      <c r="P598" s="11"/>
      <c r="Q598" s="274"/>
      <c r="R598" s="274"/>
      <c r="S598" s="274"/>
      <c r="T598" s="11"/>
      <c r="U598" s="11"/>
      <c r="V598" s="11"/>
      <c r="W598" s="11"/>
      <c r="X598" s="11"/>
      <c r="Y598" s="11"/>
      <c r="Z598" s="48"/>
      <c r="AA598" s="52"/>
      <c r="AB598" s="52"/>
      <c r="AC598" s="118"/>
      <c r="AD598" s="5"/>
      <c r="AE598" s="52"/>
      <c r="AF598" s="113"/>
      <c r="AG598" s="113"/>
      <c r="AH598" s="113"/>
      <c r="AI598" s="52"/>
      <c r="AJ598" s="11"/>
      <c r="AK598" s="269"/>
      <c r="AL598" s="269"/>
      <c r="AM598" s="269"/>
      <c r="AN598" s="301"/>
      <c r="AO598" s="302"/>
      <c r="AP598" s="11"/>
      <c r="AQ598" s="11"/>
      <c r="AR598" s="11"/>
      <c r="AS598" s="11"/>
      <c r="AT598" s="11"/>
      <c r="AU598" s="118">
        <v>1295671</v>
      </c>
      <c r="AV598" s="118">
        <v>246177</v>
      </c>
      <c r="AW598" s="118">
        <v>1541848</v>
      </c>
      <c r="AX598" s="52" t="s">
        <v>607</v>
      </c>
      <c r="AY598" s="52" t="s">
        <v>2604</v>
      </c>
      <c r="AZ598" s="11"/>
      <c r="BA598" s="11"/>
      <c r="BB598" s="11"/>
      <c r="BC598" s="11"/>
      <c r="BD598" s="11"/>
      <c r="BE598" s="274"/>
      <c r="BF598" s="274"/>
      <c r="BG598" s="274"/>
      <c r="BH598" s="11"/>
      <c r="BI598" s="11"/>
      <c r="BJ598" s="311">
        <v>7344615.3799999999</v>
      </c>
      <c r="BK598" s="311">
        <v>1395476.9221999999</v>
      </c>
      <c r="BL598" s="311">
        <v>8740092.3021999989</v>
      </c>
      <c r="BM598" s="52" t="s">
        <v>138</v>
      </c>
      <c r="BN598" s="52">
        <v>18064071</v>
      </c>
      <c r="BO598" s="387">
        <v>236530</v>
      </c>
      <c r="BP598" s="320">
        <f>BO598*0.19</f>
        <v>44940.7</v>
      </c>
      <c r="BQ598" s="320">
        <f>BO598+BP598</f>
        <v>281470.7</v>
      </c>
      <c r="BR598" s="4" t="s">
        <v>2605</v>
      </c>
      <c r="BS598" s="4" t="s">
        <v>866</v>
      </c>
      <c r="BT598" s="11"/>
      <c r="BU598" s="11"/>
      <c r="BV598" s="11"/>
      <c r="BW598" s="11"/>
      <c r="BX598" s="11"/>
      <c r="BY598" s="348"/>
      <c r="BZ598" s="348"/>
      <c r="CA598" s="348"/>
      <c r="CB598" s="348"/>
      <c r="CC598" s="348"/>
      <c r="CD598" s="11"/>
      <c r="CE598" s="11"/>
      <c r="CF598" s="11"/>
      <c r="CG598" s="11"/>
      <c r="CH598" s="11"/>
      <c r="CI598" s="11"/>
      <c r="CJ598" s="11"/>
      <c r="CK598" s="11"/>
      <c r="CL598" s="11"/>
      <c r="CM598" s="11"/>
      <c r="CN598" s="274"/>
      <c r="CO598" s="274"/>
      <c r="CP598" s="274"/>
      <c r="CQ598" s="11"/>
      <c r="CR598" s="11"/>
      <c r="CS598" s="11"/>
      <c r="CT598" s="11"/>
      <c r="CU598" s="11"/>
      <c r="CV598" s="11"/>
      <c r="CW598" s="11"/>
      <c r="CX598" s="11"/>
      <c r="CY598" s="11"/>
      <c r="CZ598" s="11"/>
      <c r="DA598" s="11"/>
      <c r="DB598" s="11"/>
      <c r="DC598" s="11"/>
      <c r="DD598" s="11"/>
      <c r="DE598" s="11"/>
      <c r="DF598" s="11"/>
      <c r="DG598" s="11"/>
      <c r="DH598" s="11"/>
      <c r="DI598" s="11"/>
      <c r="DJ598" s="11"/>
      <c r="DK598" s="11"/>
      <c r="DL598" s="11"/>
      <c r="DM598" s="118"/>
      <c r="DN598" s="118"/>
      <c r="DO598" s="118"/>
      <c r="DP598" s="52"/>
      <c r="DQ598" s="52"/>
      <c r="DR598" s="77"/>
      <c r="DS598" s="77"/>
      <c r="DT598" s="77"/>
      <c r="DU598" s="11"/>
      <c r="DV598" s="11"/>
      <c r="DW598" s="11"/>
      <c r="DX598" s="11"/>
      <c r="DY598" s="11"/>
      <c r="DZ598" s="11"/>
      <c r="EA598" s="11"/>
      <c r="EB598" s="11"/>
      <c r="EC598" s="11"/>
      <c r="ED598" s="11"/>
      <c r="EE598" s="11"/>
      <c r="EF598" s="11"/>
    </row>
    <row r="599" spans="1:136" ht="54" x14ac:dyDescent="0.25">
      <c r="A599" s="425">
        <v>597</v>
      </c>
      <c r="B599" s="426" t="s">
        <v>2606</v>
      </c>
      <c r="C599" s="427" t="s">
        <v>138</v>
      </c>
      <c r="D599" s="427" t="s">
        <v>609</v>
      </c>
      <c r="E599" s="79">
        <v>1</v>
      </c>
      <c r="F599" s="405"/>
      <c r="G599" s="274"/>
      <c r="H599" s="274"/>
      <c r="I599" s="274"/>
      <c r="J599" s="274"/>
      <c r="K599" s="11"/>
      <c r="L599" s="274"/>
      <c r="M599" s="274"/>
      <c r="N599" s="274"/>
      <c r="O599" s="48"/>
      <c r="P599" s="11"/>
      <c r="Q599" s="274"/>
      <c r="R599" s="274"/>
      <c r="S599" s="274"/>
      <c r="T599" s="11"/>
      <c r="U599" s="11"/>
      <c r="V599" s="11"/>
      <c r="W599" s="11"/>
      <c r="X599" s="11"/>
      <c r="Y599" s="11"/>
      <c r="Z599" s="48"/>
      <c r="AA599" s="293">
        <v>1711170</v>
      </c>
      <c r="AB599" s="118">
        <f>+AA599*0.19</f>
        <v>325122.3</v>
      </c>
      <c r="AC599" s="118">
        <f>+AA599+AB599</f>
        <v>2036292.3</v>
      </c>
      <c r="AD599" s="5" t="s">
        <v>610</v>
      </c>
      <c r="AE599" s="52" t="s">
        <v>2607</v>
      </c>
      <c r="AF599" s="113"/>
      <c r="AG599" s="113"/>
      <c r="AH599" s="113"/>
      <c r="AI599" s="52"/>
      <c r="AJ599" s="11"/>
      <c r="AK599" s="269"/>
      <c r="AL599" s="269"/>
      <c r="AM599" s="269"/>
      <c r="AN599" s="301"/>
      <c r="AO599" s="302"/>
      <c r="AP599" s="11"/>
      <c r="AQ599" s="11"/>
      <c r="AR599" s="11"/>
      <c r="AS599" s="11"/>
      <c r="AT599" s="11"/>
      <c r="AU599" s="118">
        <v>1711760</v>
      </c>
      <c r="AV599" s="118">
        <v>325234</v>
      </c>
      <c r="AW599" s="118">
        <v>2036995</v>
      </c>
      <c r="AX599" s="52" t="s">
        <v>607</v>
      </c>
      <c r="AY599" s="52" t="s">
        <v>870</v>
      </c>
      <c r="AZ599" s="11"/>
      <c r="BA599" s="11"/>
      <c r="BB599" s="11"/>
      <c r="BC599" s="11"/>
      <c r="BD599" s="11"/>
      <c r="BE599" s="274"/>
      <c r="BF599" s="274"/>
      <c r="BG599" s="274"/>
      <c r="BH599" s="11"/>
      <c r="BI599" s="11"/>
      <c r="BJ599" s="311">
        <v>4889230.7699999996</v>
      </c>
      <c r="BK599" s="311">
        <v>928953.84629999998</v>
      </c>
      <c r="BL599" s="311">
        <v>5818184.6162999989</v>
      </c>
      <c r="BM599" s="52" t="s">
        <v>138</v>
      </c>
      <c r="BN599" s="52">
        <v>12574035</v>
      </c>
      <c r="BO599" s="387"/>
      <c r="BP599" s="320"/>
      <c r="BQ599" s="320"/>
      <c r="BR599" s="4"/>
      <c r="BS599" s="4"/>
      <c r="BT599" s="11"/>
      <c r="BU599" s="11"/>
      <c r="BV599" s="11"/>
      <c r="BW599" s="11"/>
      <c r="BX599" s="11"/>
      <c r="BY599" s="348"/>
      <c r="BZ599" s="348"/>
      <c r="CA599" s="348"/>
      <c r="CB599" s="348"/>
      <c r="CC599" s="348"/>
      <c r="CD599" s="11"/>
      <c r="CE599" s="11"/>
      <c r="CF599" s="11"/>
      <c r="CG599" s="11"/>
      <c r="CH599" s="11"/>
      <c r="CI599" s="11"/>
      <c r="CJ599" s="11"/>
      <c r="CK599" s="11"/>
      <c r="CL599" s="11"/>
      <c r="CM599" s="11"/>
      <c r="CN599" s="274"/>
      <c r="CO599" s="274"/>
      <c r="CP599" s="274"/>
      <c r="CQ599" s="11"/>
      <c r="CR599" s="11"/>
      <c r="CS599" s="11"/>
      <c r="CT599" s="11"/>
      <c r="CU599" s="11"/>
      <c r="CV599" s="11"/>
      <c r="CW599" s="11"/>
      <c r="CX599" s="11"/>
      <c r="CY599" s="11"/>
      <c r="CZ599" s="11"/>
      <c r="DA599" s="11"/>
      <c r="DB599" s="11"/>
      <c r="DC599" s="11"/>
      <c r="DD599" s="11"/>
      <c r="DE599" s="11"/>
      <c r="DF599" s="11"/>
      <c r="DG599" s="11"/>
      <c r="DH599" s="11"/>
      <c r="DI599" s="11"/>
      <c r="DJ599" s="11"/>
      <c r="DK599" s="11"/>
      <c r="DL599" s="11"/>
      <c r="DM599" s="118"/>
      <c r="DN599" s="118"/>
      <c r="DO599" s="118"/>
      <c r="DP599" s="52"/>
      <c r="DQ599" s="52"/>
      <c r="DR599" s="77"/>
      <c r="DS599" s="77"/>
      <c r="DT599" s="77"/>
      <c r="DU599" s="11"/>
      <c r="DV599" s="11"/>
      <c r="DW599" s="11"/>
      <c r="DX599" s="11"/>
      <c r="DY599" s="11"/>
      <c r="DZ599" s="11"/>
      <c r="EA599" s="11"/>
      <c r="EB599" s="11"/>
      <c r="EC599" s="11"/>
      <c r="ED599" s="11"/>
      <c r="EE599" s="11"/>
      <c r="EF599" s="11"/>
    </row>
    <row r="600" spans="1:136" ht="27" x14ac:dyDescent="0.25">
      <c r="A600" s="425">
        <v>598</v>
      </c>
      <c r="B600" s="426" t="s">
        <v>2608</v>
      </c>
      <c r="C600" s="427" t="s">
        <v>138</v>
      </c>
      <c r="D600" s="427" t="s">
        <v>609</v>
      </c>
      <c r="E600" s="79">
        <v>1</v>
      </c>
      <c r="F600" s="405"/>
      <c r="G600" s="274"/>
      <c r="H600" s="274"/>
      <c r="I600" s="274"/>
      <c r="J600" s="274"/>
      <c r="K600" s="11"/>
      <c r="L600" s="274"/>
      <c r="M600" s="274"/>
      <c r="N600" s="274"/>
      <c r="O600" s="48"/>
      <c r="P600" s="11"/>
      <c r="Q600" s="274"/>
      <c r="R600" s="274"/>
      <c r="S600" s="274"/>
      <c r="T600" s="11"/>
      <c r="U600" s="11"/>
      <c r="V600" s="11"/>
      <c r="W600" s="11"/>
      <c r="X600" s="11"/>
      <c r="Y600" s="11"/>
      <c r="Z600" s="48"/>
      <c r="AA600" s="293">
        <v>1002420</v>
      </c>
      <c r="AB600" s="118">
        <f>+AA600*0.19</f>
        <v>190459.8</v>
      </c>
      <c r="AC600" s="118">
        <f>+AA600+AB600</f>
        <v>1192879.8</v>
      </c>
      <c r="AD600" s="5" t="s">
        <v>610</v>
      </c>
      <c r="AE600" s="52" t="s">
        <v>2609</v>
      </c>
      <c r="AF600" s="113"/>
      <c r="AG600" s="113"/>
      <c r="AH600" s="113"/>
      <c r="AI600" s="52"/>
      <c r="AJ600" s="11"/>
      <c r="AK600" s="269"/>
      <c r="AL600" s="269"/>
      <c r="AM600" s="269"/>
      <c r="AN600" s="301"/>
      <c r="AO600" s="302"/>
      <c r="AP600" s="11"/>
      <c r="AQ600" s="11"/>
      <c r="AR600" s="11"/>
      <c r="AS600" s="11"/>
      <c r="AT600" s="11"/>
      <c r="AU600" s="118">
        <v>1711760</v>
      </c>
      <c r="AV600" s="118">
        <v>325234</v>
      </c>
      <c r="AW600" s="118">
        <v>2036995</v>
      </c>
      <c r="AX600" s="52" t="s">
        <v>607</v>
      </c>
      <c r="AY600" s="52" t="s">
        <v>870</v>
      </c>
      <c r="AZ600" s="11"/>
      <c r="BA600" s="11"/>
      <c r="BB600" s="11"/>
      <c r="BC600" s="11"/>
      <c r="BD600" s="11"/>
      <c r="BE600" s="274"/>
      <c r="BF600" s="274"/>
      <c r="BG600" s="274"/>
      <c r="BH600" s="11"/>
      <c r="BI600" s="11"/>
      <c r="BJ600" s="311">
        <v>2627692.31</v>
      </c>
      <c r="BK600" s="311">
        <v>499261.53890000004</v>
      </c>
      <c r="BL600" s="311">
        <v>3126953.8489000001</v>
      </c>
      <c r="BM600" s="52" t="s">
        <v>138</v>
      </c>
      <c r="BN600" s="52">
        <v>11732020</v>
      </c>
      <c r="BO600" s="387">
        <v>3864050</v>
      </c>
      <c r="BP600" s="320">
        <f>BO600*0.19</f>
        <v>734169.5</v>
      </c>
      <c r="BQ600" s="320">
        <f>BO600+BP600</f>
        <v>4598219.5</v>
      </c>
      <c r="BR600" s="4" t="s">
        <v>1969</v>
      </c>
      <c r="BS600" s="4" t="s">
        <v>866</v>
      </c>
      <c r="BT600" s="11"/>
      <c r="BU600" s="11"/>
      <c r="BV600" s="11"/>
      <c r="BW600" s="11"/>
      <c r="BX600" s="11"/>
      <c r="BY600" s="348"/>
      <c r="BZ600" s="348"/>
      <c r="CA600" s="348"/>
      <c r="CB600" s="348"/>
      <c r="CC600" s="348"/>
      <c r="CD600" s="11"/>
      <c r="CE600" s="11"/>
      <c r="CF600" s="11"/>
      <c r="CG600" s="11"/>
      <c r="CH600" s="11"/>
      <c r="CI600" s="11"/>
      <c r="CJ600" s="11"/>
      <c r="CK600" s="11"/>
      <c r="CL600" s="11"/>
      <c r="CM600" s="11"/>
      <c r="CN600" s="274"/>
      <c r="CO600" s="274"/>
      <c r="CP600" s="274"/>
      <c r="CQ600" s="11"/>
      <c r="CR600" s="11"/>
      <c r="CS600" s="11"/>
      <c r="CT600" s="11"/>
      <c r="CU600" s="11"/>
      <c r="CV600" s="11"/>
      <c r="CW600" s="11"/>
      <c r="CX600" s="11"/>
      <c r="CY600" s="11"/>
      <c r="CZ600" s="11"/>
      <c r="DA600" s="11"/>
      <c r="DB600" s="11"/>
      <c r="DC600" s="11"/>
      <c r="DD600" s="11"/>
      <c r="DE600" s="11"/>
      <c r="DF600" s="11"/>
      <c r="DG600" s="11"/>
      <c r="DH600" s="11"/>
      <c r="DI600" s="11"/>
      <c r="DJ600" s="11"/>
      <c r="DK600" s="11"/>
      <c r="DL600" s="11"/>
      <c r="DM600" s="118"/>
      <c r="DN600" s="118"/>
      <c r="DO600" s="118"/>
      <c r="DP600" s="52"/>
      <c r="DQ600" s="52"/>
      <c r="DR600" s="77"/>
      <c r="DS600" s="77"/>
      <c r="DT600" s="77"/>
      <c r="DU600" s="11"/>
      <c r="DV600" s="11"/>
      <c r="DW600" s="11"/>
      <c r="DX600" s="11"/>
      <c r="DY600" s="11"/>
      <c r="DZ600" s="11"/>
      <c r="EA600" s="11"/>
      <c r="EB600" s="11"/>
      <c r="EC600" s="11"/>
      <c r="ED600" s="11"/>
      <c r="EE600" s="11"/>
      <c r="EF600" s="11"/>
    </row>
    <row r="601" spans="1:136" ht="40.5" x14ac:dyDescent="0.25">
      <c r="A601" s="425">
        <v>599</v>
      </c>
      <c r="B601" s="426" t="s">
        <v>2610</v>
      </c>
      <c r="C601" s="427" t="s">
        <v>138</v>
      </c>
      <c r="D601" s="427" t="s">
        <v>609</v>
      </c>
      <c r="E601" s="79">
        <v>1</v>
      </c>
      <c r="F601" s="405"/>
      <c r="G601" s="274"/>
      <c r="H601" s="274"/>
      <c r="I601" s="274"/>
      <c r="J601" s="274"/>
      <c r="K601" s="11"/>
      <c r="L601" s="274"/>
      <c r="M601" s="274"/>
      <c r="N601" s="274"/>
      <c r="O601" s="48"/>
      <c r="P601" s="11"/>
      <c r="Q601" s="274"/>
      <c r="R601" s="274"/>
      <c r="S601" s="274"/>
      <c r="T601" s="11"/>
      <c r="U601" s="11"/>
      <c r="V601" s="11"/>
      <c r="W601" s="11"/>
      <c r="X601" s="11"/>
      <c r="Y601" s="11"/>
      <c r="Z601" s="48"/>
      <c r="AA601" s="293">
        <v>1984500</v>
      </c>
      <c r="AB601" s="118">
        <f>+AA601*0.19</f>
        <v>377055</v>
      </c>
      <c r="AC601" s="118">
        <f>+AA601+AB601</f>
        <v>2361555</v>
      </c>
      <c r="AD601" s="5" t="s">
        <v>610</v>
      </c>
      <c r="AE601" s="52" t="s">
        <v>2611</v>
      </c>
      <c r="AF601" s="113"/>
      <c r="AG601" s="113"/>
      <c r="AH601" s="113"/>
      <c r="AI601" s="52"/>
      <c r="AJ601" s="11"/>
      <c r="AK601" s="269"/>
      <c r="AL601" s="269"/>
      <c r="AM601" s="269"/>
      <c r="AN601" s="301"/>
      <c r="AO601" s="302"/>
      <c r="AP601" s="11"/>
      <c r="AQ601" s="11"/>
      <c r="AR601" s="11"/>
      <c r="AS601" s="11"/>
      <c r="AT601" s="11"/>
      <c r="AU601" s="118">
        <v>2125743</v>
      </c>
      <c r="AV601" s="118">
        <v>403891</v>
      </c>
      <c r="AW601" s="118">
        <v>2529634</v>
      </c>
      <c r="AX601" s="52" t="s">
        <v>607</v>
      </c>
      <c r="AY601" s="52">
        <v>11483188001</v>
      </c>
      <c r="AZ601" s="11"/>
      <c r="BA601" s="11"/>
      <c r="BB601" s="11"/>
      <c r="BC601" s="11"/>
      <c r="BD601" s="11"/>
      <c r="BE601" s="274"/>
      <c r="BF601" s="274"/>
      <c r="BG601" s="274"/>
      <c r="BH601" s="11"/>
      <c r="BI601" s="11"/>
      <c r="BJ601" s="311">
        <v>2735384.62</v>
      </c>
      <c r="BK601" s="311">
        <v>519723.07780000003</v>
      </c>
      <c r="BL601" s="311">
        <v>3255107.6978000002</v>
      </c>
      <c r="BM601" s="52" t="s">
        <v>138</v>
      </c>
      <c r="BN601" s="52">
        <v>18080051</v>
      </c>
      <c r="BO601" s="387"/>
      <c r="BP601" s="320"/>
      <c r="BQ601" s="320"/>
      <c r="BR601" s="4"/>
      <c r="BS601" s="4"/>
      <c r="BT601" s="11"/>
      <c r="BU601" s="11"/>
      <c r="BV601" s="11"/>
      <c r="BW601" s="11"/>
      <c r="BX601" s="11"/>
      <c r="BY601" s="348"/>
      <c r="BZ601" s="348"/>
      <c r="CA601" s="348"/>
      <c r="CB601" s="348"/>
      <c r="CC601" s="348"/>
      <c r="CD601" s="11"/>
      <c r="CE601" s="11"/>
      <c r="CF601" s="11"/>
      <c r="CG601" s="11"/>
      <c r="CH601" s="11"/>
      <c r="CI601" s="11"/>
      <c r="CJ601" s="11"/>
      <c r="CK601" s="11"/>
      <c r="CL601" s="11"/>
      <c r="CM601" s="11"/>
      <c r="CN601" s="274"/>
      <c r="CO601" s="274"/>
      <c r="CP601" s="274"/>
      <c r="CQ601" s="11"/>
      <c r="CR601" s="11"/>
      <c r="CS601" s="11"/>
      <c r="CT601" s="11"/>
      <c r="CU601" s="11"/>
      <c r="CV601" s="11"/>
      <c r="CW601" s="11"/>
      <c r="CX601" s="11"/>
      <c r="CY601" s="11"/>
      <c r="CZ601" s="11"/>
      <c r="DA601" s="11"/>
      <c r="DB601" s="11"/>
      <c r="DC601" s="11"/>
      <c r="DD601" s="11"/>
      <c r="DE601" s="11"/>
      <c r="DF601" s="11"/>
      <c r="DG601" s="11"/>
      <c r="DH601" s="11"/>
      <c r="DI601" s="11"/>
      <c r="DJ601" s="11"/>
      <c r="DK601" s="11"/>
      <c r="DL601" s="11"/>
      <c r="DM601" s="118"/>
      <c r="DN601" s="118"/>
      <c r="DO601" s="118"/>
      <c r="DP601" s="52"/>
      <c r="DQ601" s="52"/>
      <c r="DR601" s="77"/>
      <c r="DS601" s="77"/>
      <c r="DT601" s="77"/>
      <c r="DU601" s="11"/>
      <c r="DV601" s="11"/>
      <c r="DW601" s="11"/>
      <c r="DX601" s="11"/>
      <c r="DY601" s="11"/>
      <c r="DZ601" s="11"/>
      <c r="EA601" s="11"/>
      <c r="EB601" s="11"/>
      <c r="EC601" s="11"/>
      <c r="ED601" s="11"/>
      <c r="EE601" s="11"/>
      <c r="EF601" s="11"/>
    </row>
    <row r="602" spans="1:136" ht="13.5" x14ac:dyDescent="0.25">
      <c r="A602" s="425">
        <v>600</v>
      </c>
      <c r="B602" s="427" t="s">
        <v>2612</v>
      </c>
      <c r="C602" s="427" t="s">
        <v>2613</v>
      </c>
      <c r="D602" s="427" t="s">
        <v>39</v>
      </c>
      <c r="E602" s="79">
        <v>1</v>
      </c>
      <c r="F602" s="405"/>
      <c r="G602" s="274"/>
      <c r="H602" s="274"/>
      <c r="I602" s="274"/>
      <c r="J602" s="274"/>
      <c r="K602" s="11"/>
      <c r="L602" s="274"/>
      <c r="M602" s="274"/>
      <c r="N602" s="274"/>
      <c r="O602" s="48"/>
      <c r="P602" s="11"/>
      <c r="Q602" s="274"/>
      <c r="R602" s="274"/>
      <c r="S602" s="274"/>
      <c r="T602" s="11"/>
      <c r="U602" s="11"/>
      <c r="V602" s="11"/>
      <c r="W602" s="11"/>
      <c r="X602" s="11"/>
      <c r="Y602" s="11"/>
      <c r="Z602" s="48"/>
      <c r="AA602" s="52"/>
      <c r="AB602" s="52"/>
      <c r="AC602" s="118"/>
      <c r="AD602" s="5"/>
      <c r="AE602" s="52"/>
      <c r="AF602" s="113"/>
      <c r="AG602" s="113"/>
      <c r="AH602" s="113"/>
      <c r="AI602" s="52"/>
      <c r="AJ602" s="11"/>
      <c r="AK602" s="269"/>
      <c r="AL602" s="269"/>
      <c r="AM602" s="269"/>
      <c r="AN602" s="301"/>
      <c r="AO602" s="302"/>
      <c r="AP602" s="11"/>
      <c r="AQ602" s="11"/>
      <c r="AR602" s="11"/>
      <c r="AS602" s="11"/>
      <c r="AT602" s="11"/>
      <c r="AU602" s="118"/>
      <c r="AV602" s="118"/>
      <c r="AW602" s="118"/>
      <c r="AX602" s="52"/>
      <c r="AY602" s="52"/>
      <c r="AZ602" s="11"/>
      <c r="BA602" s="11"/>
      <c r="BB602" s="11"/>
      <c r="BC602" s="11"/>
      <c r="BD602" s="11"/>
      <c r="BE602" s="274"/>
      <c r="BF602" s="274"/>
      <c r="BG602" s="274"/>
      <c r="BH602" s="11"/>
      <c r="BI602" s="11"/>
      <c r="BJ602" s="311">
        <v>308269.23</v>
      </c>
      <c r="BK602" s="311">
        <v>58571.153699999995</v>
      </c>
      <c r="BL602" s="311">
        <v>366840.38369999995</v>
      </c>
      <c r="BM602" s="52" t="s">
        <v>1900</v>
      </c>
      <c r="BN602" s="52" t="s">
        <v>2614</v>
      </c>
      <c r="BO602" s="387"/>
      <c r="BP602" s="320"/>
      <c r="BQ602" s="320"/>
      <c r="BR602" s="4"/>
      <c r="BS602" s="4"/>
      <c r="BT602" s="11"/>
      <c r="BU602" s="11"/>
      <c r="BV602" s="11"/>
      <c r="BW602" s="11"/>
      <c r="BX602" s="11"/>
      <c r="BY602" s="348"/>
      <c r="BZ602" s="348"/>
      <c r="CA602" s="348"/>
      <c r="CB602" s="348"/>
      <c r="CC602" s="348"/>
      <c r="CD602" s="11"/>
      <c r="CE602" s="11"/>
      <c r="CF602" s="11"/>
      <c r="CG602" s="11"/>
      <c r="CH602" s="11"/>
      <c r="CI602" s="11"/>
      <c r="CJ602" s="11"/>
      <c r="CK602" s="11"/>
      <c r="CL602" s="11"/>
      <c r="CM602" s="11"/>
      <c r="CN602" s="274"/>
      <c r="CO602" s="274"/>
      <c r="CP602" s="274"/>
      <c r="CQ602" s="11"/>
      <c r="CR602" s="11"/>
      <c r="CS602" s="11"/>
      <c r="CT602" s="11"/>
      <c r="CU602" s="11"/>
      <c r="CV602" s="11"/>
      <c r="CW602" s="11"/>
      <c r="CX602" s="11"/>
      <c r="CY602" s="11"/>
      <c r="CZ602" s="11"/>
      <c r="DA602" s="11"/>
      <c r="DB602" s="11"/>
      <c r="DC602" s="11"/>
      <c r="DD602" s="11"/>
      <c r="DE602" s="11"/>
      <c r="DF602" s="11"/>
      <c r="DG602" s="11"/>
      <c r="DH602" s="11"/>
      <c r="DI602" s="11"/>
      <c r="DJ602" s="11"/>
      <c r="DK602" s="11"/>
      <c r="DL602" s="11"/>
      <c r="DM602" s="118"/>
      <c r="DN602" s="118"/>
      <c r="DO602" s="118"/>
      <c r="DP602" s="52"/>
      <c r="DQ602" s="52"/>
      <c r="DR602" s="77"/>
      <c r="DS602" s="77"/>
      <c r="DT602" s="77"/>
      <c r="DU602" s="11"/>
      <c r="DV602" s="11"/>
      <c r="DW602" s="11"/>
      <c r="DX602" s="11"/>
      <c r="DY602" s="11"/>
      <c r="DZ602" s="11"/>
      <c r="EA602" s="11"/>
      <c r="EB602" s="11"/>
      <c r="EC602" s="11"/>
      <c r="ED602" s="11"/>
      <c r="EE602" s="11"/>
      <c r="EF602" s="11"/>
    </row>
    <row r="603" spans="1:136" ht="13.5" x14ac:dyDescent="0.25">
      <c r="A603" s="425">
        <v>601</v>
      </c>
      <c r="B603" s="427" t="s">
        <v>2615</v>
      </c>
      <c r="C603" s="427" t="s">
        <v>2616</v>
      </c>
      <c r="D603" s="427" t="s">
        <v>132</v>
      </c>
      <c r="E603" s="79">
        <v>1</v>
      </c>
      <c r="F603" s="405"/>
      <c r="G603" s="274"/>
      <c r="H603" s="274"/>
      <c r="I603" s="274"/>
      <c r="J603" s="274"/>
      <c r="K603" s="11"/>
      <c r="L603" s="274"/>
      <c r="M603" s="274"/>
      <c r="N603" s="274"/>
      <c r="O603" s="48"/>
      <c r="P603" s="11"/>
      <c r="Q603" s="274"/>
      <c r="R603" s="274"/>
      <c r="S603" s="274"/>
      <c r="T603" s="11"/>
      <c r="U603" s="11"/>
      <c r="V603" s="11"/>
      <c r="W603" s="11"/>
      <c r="X603" s="11"/>
      <c r="Y603" s="11"/>
      <c r="Z603" s="48"/>
      <c r="AA603" s="52"/>
      <c r="AB603" s="52"/>
      <c r="AC603" s="118"/>
      <c r="AD603" s="5"/>
      <c r="AE603" s="52"/>
      <c r="AF603" s="113"/>
      <c r="AG603" s="113"/>
      <c r="AH603" s="113"/>
      <c r="AI603" s="52"/>
      <c r="AJ603" s="11"/>
      <c r="AK603" s="269">
        <v>634061</v>
      </c>
      <c r="AL603" s="269">
        <v>120471.59</v>
      </c>
      <c r="AM603" s="269">
        <v>754532.59</v>
      </c>
      <c r="AN603" s="301" t="s">
        <v>88</v>
      </c>
      <c r="AO603" s="302">
        <v>1053910500</v>
      </c>
      <c r="AP603" s="11"/>
      <c r="AQ603" s="11"/>
      <c r="AR603" s="11"/>
      <c r="AS603" s="11"/>
      <c r="AT603" s="11"/>
      <c r="AU603" s="118">
        <v>1120428</v>
      </c>
      <c r="AV603" s="118">
        <v>212881</v>
      </c>
      <c r="AW603" s="118">
        <v>1333309</v>
      </c>
      <c r="AX603" s="52" t="s">
        <v>607</v>
      </c>
      <c r="AY603" s="52">
        <v>1053970500</v>
      </c>
      <c r="AZ603" s="11"/>
      <c r="BA603" s="11"/>
      <c r="BB603" s="11"/>
      <c r="BC603" s="11"/>
      <c r="BD603" s="11"/>
      <c r="BE603" s="274"/>
      <c r="BF603" s="274"/>
      <c r="BG603" s="274"/>
      <c r="BH603" s="11"/>
      <c r="BI603" s="11"/>
      <c r="BJ603" s="311"/>
      <c r="BK603" s="311"/>
      <c r="BL603" s="311"/>
      <c r="BM603" s="52"/>
      <c r="BN603" s="52"/>
      <c r="BO603" s="387"/>
      <c r="BP603" s="320"/>
      <c r="BQ603" s="320"/>
      <c r="BR603" s="4"/>
      <c r="BS603" s="4"/>
      <c r="BT603" s="11"/>
      <c r="BU603" s="11"/>
      <c r="BV603" s="11"/>
      <c r="BW603" s="11"/>
      <c r="BX603" s="11"/>
      <c r="BY603" s="349">
        <v>175000</v>
      </c>
      <c r="BZ603" s="349">
        <f>BY603*0.19</f>
        <v>33250</v>
      </c>
      <c r="CA603" s="349">
        <f>BY603+BZ603</f>
        <v>208250</v>
      </c>
      <c r="CB603" s="348" t="s">
        <v>767</v>
      </c>
      <c r="CC603" s="348" t="s">
        <v>2617</v>
      </c>
      <c r="CD603" s="11"/>
      <c r="CE603" s="11"/>
      <c r="CF603" s="11"/>
      <c r="CG603" s="11"/>
      <c r="CH603" s="11"/>
      <c r="CI603" s="11"/>
      <c r="CJ603" s="11"/>
      <c r="CK603" s="11"/>
      <c r="CL603" s="11"/>
      <c r="CM603" s="11"/>
      <c r="CN603" s="274"/>
      <c r="CO603" s="274"/>
      <c r="CP603" s="274"/>
      <c r="CQ603" s="11"/>
      <c r="CR603" s="11"/>
      <c r="CS603" s="11"/>
      <c r="CT603" s="11"/>
      <c r="CU603" s="11"/>
      <c r="CV603" s="11"/>
      <c r="CW603" s="11"/>
      <c r="CX603" s="11"/>
      <c r="CY603" s="11"/>
      <c r="CZ603" s="11"/>
      <c r="DA603" s="11"/>
      <c r="DB603" s="11"/>
      <c r="DC603" s="11"/>
      <c r="DD603" s="11"/>
      <c r="DE603" s="11"/>
      <c r="DF603" s="11"/>
      <c r="DG603" s="11"/>
      <c r="DH603" s="11"/>
      <c r="DI603" s="11"/>
      <c r="DJ603" s="11"/>
      <c r="DK603" s="11"/>
      <c r="DL603" s="11"/>
      <c r="DM603" s="118"/>
      <c r="DN603" s="118"/>
      <c r="DO603" s="118"/>
      <c r="DP603" s="52"/>
      <c r="DQ603" s="52"/>
      <c r="DR603" s="77"/>
      <c r="DS603" s="77"/>
      <c r="DT603" s="77"/>
      <c r="DU603" s="11"/>
      <c r="DV603" s="11"/>
      <c r="DW603" s="11"/>
      <c r="DX603" s="11"/>
      <c r="DY603" s="11"/>
      <c r="DZ603" s="11"/>
      <c r="EA603" s="11"/>
      <c r="EB603" s="11"/>
      <c r="EC603" s="11"/>
      <c r="ED603" s="11"/>
      <c r="EE603" s="11"/>
      <c r="EF603" s="11"/>
    </row>
    <row r="604" spans="1:136" ht="40.5" x14ac:dyDescent="0.25">
      <c r="A604" s="425">
        <v>602</v>
      </c>
      <c r="B604" s="427" t="s">
        <v>2618</v>
      </c>
      <c r="C604" s="413" t="s">
        <v>2619</v>
      </c>
      <c r="D604" s="563" t="s">
        <v>2620</v>
      </c>
      <c r="E604" s="79">
        <v>1</v>
      </c>
      <c r="F604" s="406">
        <v>1236767.952</v>
      </c>
      <c r="G604" s="274"/>
      <c r="H604" s="274"/>
      <c r="I604" s="274"/>
      <c r="J604" s="274"/>
      <c r="K604" s="11"/>
      <c r="L604" s="274"/>
      <c r="M604" s="274"/>
      <c r="N604" s="274"/>
      <c r="O604" s="48"/>
      <c r="P604" s="11"/>
      <c r="Q604" s="274"/>
      <c r="R604" s="274"/>
      <c r="S604" s="274"/>
      <c r="T604" s="11"/>
      <c r="U604" s="11"/>
      <c r="V604" s="11"/>
      <c r="W604" s="11"/>
      <c r="X604" s="11"/>
      <c r="Y604" s="11"/>
      <c r="Z604" s="48"/>
      <c r="AA604" s="52"/>
      <c r="AB604" s="52"/>
      <c r="AC604" s="118"/>
      <c r="AD604" s="5"/>
      <c r="AE604" s="52"/>
      <c r="AF604" s="113"/>
      <c r="AG604" s="113"/>
      <c r="AH604" s="113"/>
      <c r="AI604" s="52"/>
      <c r="AJ604" s="11"/>
      <c r="AK604" s="269"/>
      <c r="AL604" s="269"/>
      <c r="AM604" s="269"/>
      <c r="AN604" s="301"/>
      <c r="AO604" s="302"/>
      <c r="AP604" s="11"/>
      <c r="AQ604" s="11"/>
      <c r="AR604" s="11"/>
      <c r="AS604" s="11"/>
      <c r="AT604" s="11"/>
      <c r="AU604" s="118"/>
      <c r="AV604" s="118"/>
      <c r="AW604" s="118"/>
      <c r="AX604" s="52"/>
      <c r="AY604" s="52"/>
      <c r="AZ604" s="11"/>
      <c r="BA604" s="11"/>
      <c r="BB604" s="11"/>
      <c r="BC604" s="11"/>
      <c r="BD604" s="11"/>
      <c r="BE604" s="274">
        <v>797000</v>
      </c>
      <c r="BF604" s="274">
        <v>151430</v>
      </c>
      <c r="BG604" s="274">
        <v>948430</v>
      </c>
      <c r="BH604" s="11" t="s">
        <v>409</v>
      </c>
      <c r="BI604" s="11" t="s">
        <v>2621</v>
      </c>
      <c r="BJ604" s="311"/>
      <c r="BK604" s="311"/>
      <c r="BL604" s="311"/>
      <c r="BM604" s="52"/>
      <c r="BN604" s="52"/>
      <c r="BO604" s="387"/>
      <c r="BP604" s="320"/>
      <c r="BQ604" s="320"/>
      <c r="BR604" s="4"/>
      <c r="BS604" s="4"/>
      <c r="BT604" s="11"/>
      <c r="BU604" s="11"/>
      <c r="BV604" s="11"/>
      <c r="BW604" s="11"/>
      <c r="BX604" s="11"/>
      <c r="BY604" s="348"/>
      <c r="BZ604" s="348"/>
      <c r="CA604" s="348"/>
      <c r="CB604" s="348"/>
      <c r="CC604" s="348"/>
      <c r="CD604" s="11"/>
      <c r="CE604" s="11"/>
      <c r="CF604" s="11"/>
      <c r="CG604" s="11"/>
      <c r="CH604" s="11"/>
      <c r="CI604" s="11"/>
      <c r="CJ604" s="11"/>
      <c r="CK604" s="11"/>
      <c r="CL604" s="11"/>
      <c r="CM604" s="11"/>
      <c r="CN604" s="274"/>
      <c r="CO604" s="274"/>
      <c r="CP604" s="274"/>
      <c r="CQ604" s="11"/>
      <c r="CR604" s="11"/>
      <c r="CS604" s="11"/>
      <c r="CT604" s="11"/>
      <c r="CU604" s="11"/>
      <c r="CV604" s="11"/>
      <c r="CW604" s="11"/>
      <c r="CX604" s="11"/>
      <c r="CY604" s="11"/>
      <c r="CZ604" s="11"/>
      <c r="DA604" s="11"/>
      <c r="DB604" s="11"/>
      <c r="DC604" s="11"/>
      <c r="DD604" s="11"/>
      <c r="DE604" s="11"/>
      <c r="DF604" s="11"/>
      <c r="DG604" s="11"/>
      <c r="DH604" s="11"/>
      <c r="DI604" s="11"/>
      <c r="DJ604" s="11"/>
      <c r="DK604" s="11"/>
      <c r="DL604" s="11"/>
      <c r="DM604" s="118"/>
      <c r="DN604" s="118"/>
      <c r="DO604" s="118"/>
      <c r="DP604" s="52"/>
      <c r="DQ604" s="52"/>
      <c r="DR604" s="77"/>
      <c r="DS604" s="77"/>
      <c r="DT604" s="77"/>
      <c r="DU604" s="11"/>
      <c r="DV604" s="11"/>
      <c r="DW604" s="11"/>
      <c r="DX604" s="11"/>
      <c r="DY604" s="11"/>
      <c r="DZ604" s="11"/>
      <c r="EA604" s="11"/>
      <c r="EB604" s="11"/>
      <c r="EC604" s="11"/>
      <c r="ED604" s="11"/>
      <c r="EE604" s="11"/>
      <c r="EF604" s="11"/>
    </row>
    <row r="605" spans="1:136" ht="38.25" x14ac:dyDescent="0.25">
      <c r="A605" s="425">
        <v>603</v>
      </c>
      <c r="B605" s="426" t="s">
        <v>2622</v>
      </c>
      <c r="C605" s="413" t="s">
        <v>138</v>
      </c>
      <c r="D605" s="413" t="s">
        <v>609</v>
      </c>
      <c r="E605" s="79">
        <v>1</v>
      </c>
      <c r="F605" s="406">
        <v>4690668.6960000005</v>
      </c>
      <c r="G605" s="274"/>
      <c r="H605" s="274"/>
      <c r="I605" s="274"/>
      <c r="J605" s="274"/>
      <c r="K605" s="11"/>
      <c r="L605" s="274">
        <v>1500000</v>
      </c>
      <c r="M605" s="274">
        <f>L605*19%</f>
        <v>285000</v>
      </c>
      <c r="N605" s="274">
        <f>M605+L605</f>
        <v>1785000</v>
      </c>
      <c r="O605" s="48" t="s">
        <v>862</v>
      </c>
      <c r="P605" s="11" t="s">
        <v>2623</v>
      </c>
      <c r="Q605" s="274"/>
      <c r="R605" s="274"/>
      <c r="S605" s="274"/>
      <c r="T605" s="11"/>
      <c r="U605" s="11"/>
      <c r="V605" s="11"/>
      <c r="W605" s="11"/>
      <c r="X605" s="11"/>
      <c r="Y605" s="11"/>
      <c r="Z605" s="48"/>
      <c r="AA605" s="293">
        <v>202500</v>
      </c>
      <c r="AB605" s="118">
        <f>+AA605*0.19</f>
        <v>38475</v>
      </c>
      <c r="AC605" s="118">
        <f>+AA605+AB605</f>
        <v>240975</v>
      </c>
      <c r="AD605" s="5" t="s">
        <v>610</v>
      </c>
      <c r="AE605" s="52" t="s">
        <v>2624</v>
      </c>
      <c r="AF605" s="113"/>
      <c r="AG605" s="113"/>
      <c r="AH605" s="113"/>
      <c r="AI605" s="52"/>
      <c r="AJ605" s="11"/>
      <c r="AK605" s="269"/>
      <c r="AL605" s="269"/>
      <c r="AM605" s="269"/>
      <c r="AN605" s="301"/>
      <c r="AO605" s="302"/>
      <c r="AP605" s="11"/>
      <c r="AQ605" s="11"/>
      <c r="AR605" s="11"/>
      <c r="AS605" s="11"/>
      <c r="AT605" s="11"/>
      <c r="AU605" s="118">
        <v>3256032</v>
      </c>
      <c r="AV605" s="118">
        <v>618646</v>
      </c>
      <c r="AW605" s="118">
        <v>3874678</v>
      </c>
      <c r="AX605" s="52" t="s">
        <v>607</v>
      </c>
      <c r="AY605" s="52" t="s">
        <v>2625</v>
      </c>
      <c r="AZ605" s="11"/>
      <c r="BA605" s="11"/>
      <c r="BB605" s="11"/>
      <c r="BC605" s="11"/>
      <c r="BD605" s="11"/>
      <c r="BE605" s="274"/>
      <c r="BF605" s="274"/>
      <c r="BG605" s="274"/>
      <c r="BH605" s="11"/>
      <c r="BI605" s="11"/>
      <c r="BJ605" s="311">
        <v>4695384.62</v>
      </c>
      <c r="BK605" s="311">
        <v>892123.07780000009</v>
      </c>
      <c r="BL605" s="311">
        <v>5587507.6978000002</v>
      </c>
      <c r="BM605" s="52" t="s">
        <v>871</v>
      </c>
      <c r="BN605" s="52">
        <v>4364344</v>
      </c>
      <c r="BO605" s="387">
        <v>2062280</v>
      </c>
      <c r="BP605" s="320">
        <f>BO605*0.19</f>
        <v>391833.2</v>
      </c>
      <c r="BQ605" s="320">
        <f>BO605+BP605</f>
        <v>2454113.2000000002</v>
      </c>
      <c r="BR605" s="4" t="s">
        <v>2626</v>
      </c>
      <c r="BS605" s="4" t="s">
        <v>866</v>
      </c>
      <c r="BT605" s="11"/>
      <c r="BU605" s="11"/>
      <c r="BV605" s="11"/>
      <c r="BW605" s="11"/>
      <c r="BX605" s="11"/>
      <c r="BY605" s="348"/>
      <c r="BZ605" s="348"/>
      <c r="CA605" s="348"/>
      <c r="CB605" s="348"/>
      <c r="CC605" s="348"/>
      <c r="CD605" s="11"/>
      <c r="CE605" s="11"/>
      <c r="CF605" s="11"/>
      <c r="CG605" s="11"/>
      <c r="CH605" s="11"/>
      <c r="CI605" s="11"/>
      <c r="CJ605" s="11"/>
      <c r="CK605" s="11"/>
      <c r="CL605" s="11"/>
      <c r="CM605" s="11"/>
      <c r="CN605" s="274"/>
      <c r="CO605" s="274"/>
      <c r="CP605" s="274"/>
      <c r="CQ605" s="11"/>
      <c r="CR605" s="11"/>
      <c r="CS605" s="11"/>
      <c r="CT605" s="11"/>
      <c r="CU605" s="11"/>
      <c r="CV605" s="11"/>
      <c r="CW605" s="11"/>
      <c r="CX605" s="11"/>
      <c r="CY605" s="11"/>
      <c r="CZ605" s="11"/>
      <c r="DA605" s="11"/>
      <c r="DB605" s="11"/>
      <c r="DC605" s="11"/>
      <c r="DD605" s="11"/>
      <c r="DE605" s="11"/>
      <c r="DF605" s="11"/>
      <c r="DG605" s="11"/>
      <c r="DH605" s="11"/>
      <c r="DI605" s="11"/>
      <c r="DJ605" s="11"/>
      <c r="DK605" s="11"/>
      <c r="DL605" s="11"/>
      <c r="DM605" s="118"/>
      <c r="DN605" s="118"/>
      <c r="DO605" s="118"/>
      <c r="DP605" s="52"/>
      <c r="DQ605" s="52"/>
      <c r="DR605" s="77"/>
      <c r="DS605" s="77"/>
      <c r="DT605" s="77"/>
      <c r="DU605" s="11"/>
      <c r="DV605" s="11"/>
      <c r="DW605" s="11"/>
      <c r="DX605" s="11"/>
      <c r="DY605" s="11"/>
      <c r="DZ605" s="11"/>
      <c r="EA605" s="11"/>
      <c r="EB605" s="11"/>
      <c r="EC605" s="11"/>
      <c r="ED605" s="11"/>
      <c r="EE605" s="11"/>
      <c r="EF605" s="11"/>
    </row>
    <row r="606" spans="1:136" ht="40.5" x14ac:dyDescent="0.25">
      <c r="A606" s="425">
        <v>604</v>
      </c>
      <c r="B606" s="426" t="s">
        <v>2627</v>
      </c>
      <c r="C606" s="427" t="s">
        <v>138</v>
      </c>
      <c r="D606" s="427" t="s">
        <v>609</v>
      </c>
      <c r="E606" s="79">
        <v>1</v>
      </c>
      <c r="F606" s="405"/>
      <c r="G606" s="274"/>
      <c r="H606" s="274"/>
      <c r="I606" s="274"/>
      <c r="J606" s="274"/>
      <c r="K606" s="11"/>
      <c r="L606" s="274">
        <v>320000</v>
      </c>
      <c r="M606" s="274">
        <f>L606*19%</f>
        <v>60800</v>
      </c>
      <c r="N606" s="274">
        <f>M606+L606</f>
        <v>380800</v>
      </c>
      <c r="O606" s="48" t="s">
        <v>862</v>
      </c>
      <c r="P606" s="11" t="s">
        <v>2628</v>
      </c>
      <c r="Q606" s="274"/>
      <c r="R606" s="274"/>
      <c r="S606" s="274"/>
      <c r="T606" s="11"/>
      <c r="U606" s="11"/>
      <c r="V606" s="11"/>
      <c r="W606" s="11"/>
      <c r="X606" s="11"/>
      <c r="Y606" s="11"/>
      <c r="Z606" s="48"/>
      <c r="AA606" s="52"/>
      <c r="AB606" s="52"/>
      <c r="AC606" s="118"/>
      <c r="AD606" s="5"/>
      <c r="AE606" s="52"/>
      <c r="AF606" s="113"/>
      <c r="AG606" s="113"/>
      <c r="AH606" s="113"/>
      <c r="AI606" s="52"/>
      <c r="AJ606" s="11"/>
      <c r="AK606" s="269"/>
      <c r="AL606" s="269"/>
      <c r="AM606" s="269"/>
      <c r="AN606" s="301"/>
      <c r="AO606" s="302"/>
      <c r="AP606" s="11"/>
      <c r="AQ606" s="11"/>
      <c r="AR606" s="11"/>
      <c r="AS606" s="11"/>
      <c r="AT606" s="11"/>
      <c r="AU606" s="118">
        <v>1685426</v>
      </c>
      <c r="AV606" s="118">
        <v>320231</v>
      </c>
      <c r="AW606" s="118">
        <v>2005657</v>
      </c>
      <c r="AX606" s="52" t="s">
        <v>607</v>
      </c>
      <c r="AY606" s="52" t="s">
        <v>2629</v>
      </c>
      <c r="AZ606" s="11"/>
      <c r="BA606" s="11"/>
      <c r="BB606" s="11"/>
      <c r="BC606" s="11"/>
      <c r="BD606" s="11"/>
      <c r="BE606" s="274"/>
      <c r="BF606" s="274"/>
      <c r="BG606" s="274"/>
      <c r="BH606" s="11"/>
      <c r="BI606" s="11"/>
      <c r="BJ606" s="311">
        <v>446923.08</v>
      </c>
      <c r="BK606" s="311">
        <v>84915.385200000004</v>
      </c>
      <c r="BL606" s="311">
        <v>531838.46519999998</v>
      </c>
      <c r="BM606" s="52" t="s">
        <v>138</v>
      </c>
      <c r="BN606" s="52" t="s">
        <v>2630</v>
      </c>
      <c r="BO606" s="387"/>
      <c r="BP606" s="320"/>
      <c r="BQ606" s="320"/>
      <c r="BR606" s="4"/>
      <c r="BS606" s="4"/>
      <c r="BT606" s="11"/>
      <c r="BU606" s="11"/>
      <c r="BV606" s="11"/>
      <c r="BW606" s="11"/>
      <c r="BX606" s="11"/>
      <c r="BY606" s="348"/>
      <c r="BZ606" s="348"/>
      <c r="CA606" s="348"/>
      <c r="CB606" s="348"/>
      <c r="CC606" s="348"/>
      <c r="CD606" s="11"/>
      <c r="CE606" s="11"/>
      <c r="CF606" s="11"/>
      <c r="CG606" s="11"/>
      <c r="CH606" s="11"/>
      <c r="CI606" s="11"/>
      <c r="CJ606" s="11"/>
      <c r="CK606" s="11"/>
      <c r="CL606" s="11"/>
      <c r="CM606" s="11"/>
      <c r="CN606" s="274"/>
      <c r="CO606" s="274"/>
      <c r="CP606" s="274"/>
      <c r="CQ606" s="11"/>
      <c r="CR606" s="11"/>
      <c r="CS606" s="11"/>
      <c r="CT606" s="11"/>
      <c r="CU606" s="11"/>
      <c r="CV606" s="11"/>
      <c r="CW606" s="11"/>
      <c r="CX606" s="11"/>
      <c r="CY606" s="11"/>
      <c r="CZ606" s="11"/>
      <c r="DA606" s="11"/>
      <c r="DB606" s="11"/>
      <c r="DC606" s="11"/>
      <c r="DD606" s="11"/>
      <c r="DE606" s="11"/>
      <c r="DF606" s="11"/>
      <c r="DG606" s="11"/>
      <c r="DH606" s="11"/>
      <c r="DI606" s="11"/>
      <c r="DJ606" s="11"/>
      <c r="DK606" s="11"/>
      <c r="DL606" s="11"/>
      <c r="DM606" s="118"/>
      <c r="DN606" s="118"/>
      <c r="DO606" s="118"/>
      <c r="DP606" s="52"/>
      <c r="DQ606" s="52"/>
      <c r="DR606" s="77"/>
      <c r="DS606" s="77"/>
      <c r="DT606" s="77"/>
      <c r="DU606" s="11"/>
      <c r="DV606" s="11"/>
      <c r="DW606" s="11"/>
      <c r="DX606" s="11"/>
      <c r="DY606" s="11"/>
      <c r="DZ606" s="11"/>
      <c r="EA606" s="11"/>
      <c r="EB606" s="11"/>
      <c r="EC606" s="11"/>
      <c r="ED606" s="11"/>
      <c r="EE606" s="11"/>
      <c r="EF606" s="11"/>
    </row>
    <row r="607" spans="1:136" ht="67.5" x14ac:dyDescent="0.25">
      <c r="A607" s="425">
        <v>605</v>
      </c>
      <c r="B607" s="426" t="s">
        <v>2631</v>
      </c>
      <c r="C607" s="427" t="s">
        <v>138</v>
      </c>
      <c r="D607" s="427" t="s">
        <v>609</v>
      </c>
      <c r="E607" s="79">
        <v>1</v>
      </c>
      <c r="F607" s="405">
        <v>413512.86200000002</v>
      </c>
      <c r="G607" s="274"/>
      <c r="H607" s="274"/>
      <c r="I607" s="274"/>
      <c r="J607" s="274"/>
      <c r="K607" s="11"/>
      <c r="L607" s="274">
        <v>480000</v>
      </c>
      <c r="M607" s="274">
        <f>L607*19%</f>
        <v>91200</v>
      </c>
      <c r="N607" s="274">
        <f>M607+L607</f>
        <v>571200</v>
      </c>
      <c r="O607" s="48" t="s">
        <v>862</v>
      </c>
      <c r="P607" s="11" t="s">
        <v>2632</v>
      </c>
      <c r="Q607" s="274"/>
      <c r="R607" s="274"/>
      <c r="S607" s="274"/>
      <c r="T607" s="11"/>
      <c r="U607" s="11"/>
      <c r="V607" s="11"/>
      <c r="W607" s="11"/>
      <c r="X607" s="11"/>
      <c r="Y607" s="11"/>
      <c r="Z607" s="48"/>
      <c r="AA607" s="293">
        <v>1012500</v>
      </c>
      <c r="AB607" s="118">
        <f>+AA607*0.19</f>
        <v>192375</v>
      </c>
      <c r="AC607" s="118">
        <f>+AA607+AB607</f>
        <v>1204875</v>
      </c>
      <c r="AD607" s="5" t="s">
        <v>610</v>
      </c>
      <c r="AE607" s="52" t="s">
        <v>2633</v>
      </c>
      <c r="AF607" s="113"/>
      <c r="AG607" s="113"/>
      <c r="AH607" s="113"/>
      <c r="AI607" s="52"/>
      <c r="AJ607" s="11"/>
      <c r="AK607" s="269"/>
      <c r="AL607" s="269"/>
      <c r="AM607" s="269"/>
      <c r="AN607" s="301"/>
      <c r="AO607" s="302"/>
      <c r="AP607" s="11"/>
      <c r="AQ607" s="11"/>
      <c r="AR607" s="11"/>
      <c r="AS607" s="11"/>
      <c r="AT607" s="11"/>
      <c r="AU607" s="118">
        <v>2761991</v>
      </c>
      <c r="AV607" s="118">
        <v>524778</v>
      </c>
      <c r="AW607" s="118">
        <v>3286770</v>
      </c>
      <c r="AX607" s="52" t="s">
        <v>607</v>
      </c>
      <c r="AY607" s="52" t="s">
        <v>2634</v>
      </c>
      <c r="AZ607" s="11"/>
      <c r="BA607" s="11"/>
      <c r="BB607" s="11"/>
      <c r="BC607" s="11"/>
      <c r="BD607" s="11"/>
      <c r="BE607" s="274"/>
      <c r="BF607" s="274"/>
      <c r="BG607" s="274"/>
      <c r="BH607" s="11"/>
      <c r="BI607" s="11"/>
      <c r="BJ607" s="311"/>
      <c r="BK607" s="311"/>
      <c r="BL607" s="311"/>
      <c r="BM607" s="52"/>
      <c r="BN607" s="52"/>
      <c r="BO607" s="387">
        <v>297570</v>
      </c>
      <c r="BP607" s="320">
        <f>BO607*0.19</f>
        <v>56538.3</v>
      </c>
      <c r="BQ607" s="320">
        <f>BO607+BP607</f>
        <v>354108.3</v>
      </c>
      <c r="BR607" s="4" t="s">
        <v>2635</v>
      </c>
      <c r="BS607" s="4" t="s">
        <v>866</v>
      </c>
      <c r="BT607" s="11"/>
      <c r="BU607" s="11"/>
      <c r="BV607" s="11"/>
      <c r="BW607" s="11"/>
      <c r="BX607" s="11"/>
      <c r="BY607" s="348"/>
      <c r="BZ607" s="348"/>
      <c r="CA607" s="348"/>
      <c r="CB607" s="348"/>
      <c r="CC607" s="348"/>
      <c r="CD607" s="11"/>
      <c r="CE607" s="11"/>
      <c r="CF607" s="11"/>
      <c r="CG607" s="11"/>
      <c r="CH607" s="11"/>
      <c r="CI607" s="11"/>
      <c r="CJ607" s="11"/>
      <c r="CK607" s="11"/>
      <c r="CL607" s="11"/>
      <c r="CM607" s="11"/>
      <c r="CN607" s="274"/>
      <c r="CO607" s="274"/>
      <c r="CP607" s="274"/>
      <c r="CQ607" s="11"/>
      <c r="CR607" s="11"/>
      <c r="CS607" s="11"/>
      <c r="CT607" s="11"/>
      <c r="CU607" s="11"/>
      <c r="CV607" s="11"/>
      <c r="CW607" s="11"/>
      <c r="CX607" s="11"/>
      <c r="CY607" s="11"/>
      <c r="CZ607" s="11"/>
      <c r="DA607" s="11"/>
      <c r="DB607" s="11"/>
      <c r="DC607" s="11"/>
      <c r="DD607" s="11"/>
      <c r="DE607" s="11"/>
      <c r="DF607" s="11"/>
      <c r="DG607" s="11"/>
      <c r="DH607" s="11"/>
      <c r="DI607" s="11"/>
      <c r="DJ607" s="11"/>
      <c r="DK607" s="11"/>
      <c r="DL607" s="11"/>
      <c r="DM607" s="118"/>
      <c r="DN607" s="118"/>
      <c r="DO607" s="118"/>
      <c r="DP607" s="52"/>
      <c r="DQ607" s="52"/>
      <c r="DR607" s="77"/>
      <c r="DS607" s="77"/>
      <c r="DT607" s="77"/>
      <c r="DU607" s="11"/>
      <c r="DV607" s="11"/>
      <c r="DW607" s="11"/>
      <c r="DX607" s="11"/>
      <c r="DY607" s="11"/>
      <c r="DZ607" s="11"/>
      <c r="EA607" s="11"/>
      <c r="EB607" s="11"/>
      <c r="EC607" s="11"/>
      <c r="ED607" s="11"/>
      <c r="EE607" s="11"/>
      <c r="EF607" s="11"/>
    </row>
    <row r="608" spans="1:136" ht="40.5" x14ac:dyDescent="0.25">
      <c r="A608" s="425">
        <v>606</v>
      </c>
      <c r="B608" s="427" t="s">
        <v>2636</v>
      </c>
      <c r="C608" s="427" t="s">
        <v>871</v>
      </c>
      <c r="D608" s="427" t="s">
        <v>609</v>
      </c>
      <c r="E608" s="79">
        <v>1</v>
      </c>
      <c r="F608" s="405"/>
      <c r="G608" s="274"/>
      <c r="H608" s="274"/>
      <c r="I608" s="274"/>
      <c r="J608" s="274"/>
      <c r="K608" s="11"/>
      <c r="L608" s="274"/>
      <c r="M608" s="274"/>
      <c r="N608" s="274"/>
      <c r="O608" s="48"/>
      <c r="P608" s="11"/>
      <c r="Q608" s="274"/>
      <c r="R608" s="274"/>
      <c r="S608" s="274"/>
      <c r="T608" s="11"/>
      <c r="U608" s="11"/>
      <c r="V608" s="11"/>
      <c r="W608" s="11"/>
      <c r="X608" s="11"/>
      <c r="Y608" s="11"/>
      <c r="Z608" s="48"/>
      <c r="AA608" s="52"/>
      <c r="AB608" s="52"/>
      <c r="AC608" s="118"/>
      <c r="AD608" s="5"/>
      <c r="AE608" s="52"/>
      <c r="AF608" s="113"/>
      <c r="AG608" s="113"/>
      <c r="AH608" s="113"/>
      <c r="AI608" s="52"/>
      <c r="AJ608" s="11"/>
      <c r="AK608" s="269"/>
      <c r="AL608" s="269"/>
      <c r="AM608" s="269"/>
      <c r="AN608" s="301"/>
      <c r="AO608" s="302"/>
      <c r="AP608" s="11"/>
      <c r="AQ608" s="11"/>
      <c r="AR608" s="11"/>
      <c r="AS608" s="11"/>
      <c r="AT608" s="11"/>
      <c r="AU608" s="118"/>
      <c r="AV608" s="118"/>
      <c r="AW608" s="118"/>
      <c r="AX608" s="52"/>
      <c r="AY608" s="52"/>
      <c r="AZ608" s="11"/>
      <c r="BA608" s="11"/>
      <c r="BB608" s="11"/>
      <c r="BC608" s="11"/>
      <c r="BD608" s="11"/>
      <c r="BE608" s="274"/>
      <c r="BF608" s="274"/>
      <c r="BG608" s="274"/>
      <c r="BH608" s="11"/>
      <c r="BI608" s="11"/>
      <c r="BJ608" s="311"/>
      <c r="BK608" s="311"/>
      <c r="BL608" s="311"/>
      <c r="BM608" s="52"/>
      <c r="BN608" s="52"/>
      <c r="BO608" s="387">
        <v>1680780</v>
      </c>
      <c r="BP608" s="320">
        <f>BO608*0.19</f>
        <v>319348.2</v>
      </c>
      <c r="BQ608" s="320">
        <f>BO608+BP608</f>
        <v>2000128.2</v>
      </c>
      <c r="BR608" s="4" t="s">
        <v>2637</v>
      </c>
      <c r="BS608" s="4" t="s">
        <v>866</v>
      </c>
      <c r="BT608" s="11"/>
      <c r="BU608" s="11"/>
      <c r="BV608" s="11"/>
      <c r="BW608" s="11"/>
      <c r="BX608" s="11"/>
      <c r="BY608" s="348"/>
      <c r="BZ608" s="348"/>
      <c r="CA608" s="348"/>
      <c r="CB608" s="348"/>
      <c r="CC608" s="348"/>
      <c r="CD608" s="11"/>
      <c r="CE608" s="11"/>
      <c r="CF608" s="11"/>
      <c r="CG608" s="11"/>
      <c r="CH608" s="11"/>
      <c r="CI608" s="11"/>
      <c r="CJ608" s="11"/>
      <c r="CK608" s="11"/>
      <c r="CL608" s="11"/>
      <c r="CM608" s="11"/>
      <c r="CN608" s="274"/>
      <c r="CO608" s="274"/>
      <c r="CP608" s="274"/>
      <c r="CQ608" s="11"/>
      <c r="CR608" s="11"/>
      <c r="CS608" s="11"/>
      <c r="CT608" s="11"/>
      <c r="CU608" s="11"/>
      <c r="CV608" s="11"/>
      <c r="CW608" s="11"/>
      <c r="CX608" s="11"/>
      <c r="CY608" s="11"/>
      <c r="CZ608" s="11"/>
      <c r="DA608" s="11"/>
      <c r="DB608" s="11"/>
      <c r="DC608" s="11"/>
      <c r="DD608" s="11"/>
      <c r="DE608" s="11"/>
      <c r="DF608" s="11"/>
      <c r="DG608" s="11"/>
      <c r="DH608" s="11"/>
      <c r="DI608" s="11"/>
      <c r="DJ608" s="11"/>
      <c r="DK608" s="11"/>
      <c r="DL608" s="11"/>
      <c r="DM608" s="118"/>
      <c r="DN608" s="118"/>
      <c r="DO608" s="118"/>
      <c r="DP608" s="52"/>
      <c r="DQ608" s="52"/>
      <c r="DR608" s="77"/>
      <c r="DS608" s="77"/>
      <c r="DT608" s="77"/>
      <c r="DU608" s="11"/>
      <c r="DV608" s="11"/>
      <c r="DW608" s="11"/>
      <c r="DX608" s="11"/>
      <c r="DY608" s="11"/>
      <c r="DZ608" s="11"/>
      <c r="EA608" s="11"/>
      <c r="EB608" s="11"/>
      <c r="EC608" s="11"/>
      <c r="ED608" s="11"/>
      <c r="EE608" s="11"/>
      <c r="EF608" s="11"/>
    </row>
    <row r="609" spans="1:136" ht="13.5" x14ac:dyDescent="0.25">
      <c r="A609" s="425">
        <v>607</v>
      </c>
      <c r="B609" s="427" t="s">
        <v>2638</v>
      </c>
      <c r="C609" s="413" t="s">
        <v>58</v>
      </c>
      <c r="D609" s="413" t="s">
        <v>333</v>
      </c>
      <c r="E609" s="79">
        <v>1</v>
      </c>
      <c r="F609" s="406">
        <v>365751.49800000002</v>
      </c>
      <c r="G609" s="274"/>
      <c r="H609" s="274"/>
      <c r="I609" s="274"/>
      <c r="J609" s="274"/>
      <c r="K609" s="11"/>
      <c r="L609" s="274"/>
      <c r="M609" s="274"/>
      <c r="N609" s="274"/>
      <c r="O609" s="48"/>
      <c r="P609" s="11"/>
      <c r="Q609" s="274"/>
      <c r="R609" s="274"/>
      <c r="S609" s="274"/>
      <c r="T609" s="11"/>
      <c r="U609" s="11"/>
      <c r="V609" s="11"/>
      <c r="W609" s="11"/>
      <c r="X609" s="11"/>
      <c r="Y609" s="11"/>
      <c r="Z609" s="48"/>
      <c r="AA609" s="52"/>
      <c r="AB609" s="52"/>
      <c r="AC609" s="118"/>
      <c r="AD609" s="5"/>
      <c r="AE609" s="52"/>
      <c r="AF609" s="113"/>
      <c r="AG609" s="113"/>
      <c r="AH609" s="113"/>
      <c r="AI609" s="52"/>
      <c r="AJ609" s="11"/>
      <c r="AK609" s="269">
        <v>162500</v>
      </c>
      <c r="AL609" s="269"/>
      <c r="AM609" s="269">
        <v>162500</v>
      </c>
      <c r="AN609" s="301" t="s">
        <v>2639</v>
      </c>
      <c r="AO609" s="302">
        <v>101106615</v>
      </c>
      <c r="AP609" s="11"/>
      <c r="AQ609" s="11"/>
      <c r="AR609" s="11"/>
      <c r="AS609" s="11"/>
      <c r="AT609" s="11"/>
      <c r="AU609" s="118"/>
      <c r="AV609" s="118"/>
      <c r="AW609" s="118"/>
      <c r="AX609" s="52"/>
      <c r="AY609" s="52"/>
      <c r="AZ609" s="11"/>
      <c r="BA609" s="11"/>
      <c r="BB609" s="11"/>
      <c r="BC609" s="11"/>
      <c r="BD609" s="11"/>
      <c r="BE609" s="274"/>
      <c r="BF609" s="274"/>
      <c r="BG609" s="274"/>
      <c r="BH609" s="11"/>
      <c r="BI609" s="11"/>
      <c r="BJ609" s="311"/>
      <c r="BK609" s="311"/>
      <c r="BL609" s="311"/>
      <c r="BM609" s="52"/>
      <c r="BN609" s="52"/>
      <c r="BO609" s="387"/>
      <c r="BP609" s="320"/>
      <c r="BQ609" s="320"/>
      <c r="BR609" s="4"/>
      <c r="BS609" s="4"/>
      <c r="BT609" s="11"/>
      <c r="BU609" s="11"/>
      <c r="BV609" s="11"/>
      <c r="BW609" s="11"/>
      <c r="BX609" s="11"/>
      <c r="BY609" s="348"/>
      <c r="BZ609" s="348"/>
      <c r="CA609" s="348"/>
      <c r="CB609" s="348"/>
      <c r="CC609" s="348"/>
      <c r="CD609" s="11"/>
      <c r="CE609" s="11"/>
      <c r="CF609" s="11"/>
      <c r="CG609" s="11"/>
      <c r="CH609" s="11"/>
      <c r="CI609" s="11"/>
      <c r="CJ609" s="11"/>
      <c r="CK609" s="11"/>
      <c r="CL609" s="11"/>
      <c r="CM609" s="11"/>
      <c r="CN609" s="274"/>
      <c r="CO609" s="274"/>
      <c r="CP609" s="274"/>
      <c r="CQ609" s="11"/>
      <c r="CR609" s="11"/>
      <c r="CS609" s="11"/>
      <c r="CT609" s="11"/>
      <c r="CU609" s="11"/>
      <c r="CV609" s="11"/>
      <c r="CW609" s="11"/>
      <c r="CX609" s="11"/>
      <c r="CY609" s="11"/>
      <c r="CZ609" s="11"/>
      <c r="DA609" s="11"/>
      <c r="DB609" s="11"/>
      <c r="DC609" s="11"/>
      <c r="DD609" s="11"/>
      <c r="DE609" s="11"/>
      <c r="DF609" s="11"/>
      <c r="DG609" s="11"/>
      <c r="DH609" s="11"/>
      <c r="DI609" s="11"/>
      <c r="DJ609" s="11"/>
      <c r="DK609" s="11"/>
      <c r="DL609" s="11"/>
      <c r="DM609" s="118"/>
      <c r="DN609" s="118"/>
      <c r="DO609" s="118"/>
      <c r="DP609" s="52"/>
      <c r="DQ609" s="52"/>
      <c r="DR609" s="77"/>
      <c r="DS609" s="77"/>
      <c r="DT609" s="77"/>
      <c r="DU609" s="11"/>
      <c r="DV609" s="11"/>
      <c r="DW609" s="11"/>
      <c r="DX609" s="11"/>
      <c r="DY609" s="11"/>
      <c r="DZ609" s="11"/>
      <c r="EA609" s="11"/>
      <c r="EB609" s="11"/>
      <c r="EC609" s="11"/>
      <c r="ED609" s="11"/>
      <c r="EE609" s="11"/>
      <c r="EF609" s="11"/>
    </row>
    <row r="610" spans="1:136" ht="54" x14ac:dyDescent="0.25">
      <c r="A610" s="425">
        <v>608</v>
      </c>
      <c r="B610" s="427" t="s">
        <v>2640</v>
      </c>
      <c r="C610" s="413" t="s">
        <v>2641</v>
      </c>
      <c r="D610" s="413" t="s">
        <v>2642</v>
      </c>
      <c r="E610" s="79">
        <v>1</v>
      </c>
      <c r="F610" s="406">
        <v>730890.4</v>
      </c>
      <c r="G610" s="274"/>
      <c r="H610" s="274"/>
      <c r="I610" s="274"/>
      <c r="J610" s="274"/>
      <c r="K610" s="11"/>
      <c r="L610" s="274"/>
      <c r="M610" s="274"/>
      <c r="N610" s="274"/>
      <c r="O610" s="48"/>
      <c r="P610" s="11"/>
      <c r="Q610" s="274">
        <v>795000</v>
      </c>
      <c r="R610" s="274">
        <v>0</v>
      </c>
      <c r="S610" s="274">
        <f>+Q610+R610</f>
        <v>795000</v>
      </c>
      <c r="T610" s="11" t="s">
        <v>198</v>
      </c>
      <c r="U610" s="48" t="s">
        <v>2643</v>
      </c>
      <c r="V610" s="48"/>
      <c r="W610" s="48"/>
      <c r="X610" s="48"/>
      <c r="Y610" s="48"/>
      <c r="Z610" s="48"/>
      <c r="AA610" s="52"/>
      <c r="AB610" s="52"/>
      <c r="AC610" s="118"/>
      <c r="AD610" s="5"/>
      <c r="AE610" s="52"/>
      <c r="AF610" s="113"/>
      <c r="AG610" s="113"/>
      <c r="AH610" s="113"/>
      <c r="AI610" s="52"/>
      <c r="AJ610" s="11"/>
      <c r="AK610" s="269"/>
      <c r="AL610" s="269"/>
      <c r="AM610" s="269"/>
      <c r="AN610" s="301"/>
      <c r="AO610" s="302"/>
      <c r="AP610" s="11"/>
      <c r="AQ610" s="11"/>
      <c r="AR610" s="11"/>
      <c r="AS610" s="11"/>
      <c r="AT610" s="11"/>
      <c r="AU610" s="118"/>
      <c r="AV610" s="118"/>
      <c r="AW610" s="118"/>
      <c r="AX610" s="52"/>
      <c r="AY610" s="52"/>
      <c r="AZ610" s="11"/>
      <c r="BA610" s="11"/>
      <c r="BB610" s="11"/>
      <c r="BC610" s="11"/>
      <c r="BD610" s="11"/>
      <c r="BE610" s="274">
        <v>1211000</v>
      </c>
      <c r="BF610" s="274">
        <v>230090</v>
      </c>
      <c r="BG610" s="274">
        <v>1441090</v>
      </c>
      <c r="BH610" s="11" t="s">
        <v>198</v>
      </c>
      <c r="BI610" s="11" t="s">
        <v>2644</v>
      </c>
      <c r="BJ610" s="311"/>
      <c r="BK610" s="311"/>
      <c r="BL610" s="311"/>
      <c r="BM610" s="52"/>
      <c r="BN610" s="52"/>
      <c r="BO610" s="387"/>
      <c r="BP610" s="320"/>
      <c r="BQ610" s="320"/>
      <c r="BR610" s="4"/>
      <c r="BS610" s="4"/>
      <c r="BT610" s="11"/>
      <c r="BU610" s="11"/>
      <c r="BV610" s="11"/>
      <c r="BW610" s="11"/>
      <c r="BX610" s="11"/>
      <c r="BY610" s="348"/>
      <c r="BZ610" s="348"/>
      <c r="CA610" s="348"/>
      <c r="CB610" s="348"/>
      <c r="CC610" s="348"/>
      <c r="CD610" s="11"/>
      <c r="CE610" s="11"/>
      <c r="CF610" s="11"/>
      <c r="CG610" s="11"/>
      <c r="CH610" s="11"/>
      <c r="CI610" s="11"/>
      <c r="CJ610" s="11"/>
      <c r="CK610" s="11"/>
      <c r="CL610" s="11"/>
      <c r="CM610" s="11"/>
      <c r="CN610" s="274"/>
      <c r="CO610" s="274"/>
      <c r="CP610" s="274"/>
      <c r="CQ610" s="11"/>
      <c r="CR610" s="11"/>
      <c r="CS610" s="11"/>
      <c r="CT610" s="11"/>
      <c r="CU610" s="11"/>
      <c r="CV610" s="11"/>
      <c r="CW610" s="11"/>
      <c r="CX610" s="11"/>
      <c r="CY610" s="11"/>
      <c r="CZ610" s="11"/>
      <c r="DA610" s="11"/>
      <c r="DB610" s="11"/>
      <c r="DC610" s="11"/>
      <c r="DD610" s="11"/>
      <c r="DE610" s="11"/>
      <c r="DF610" s="11"/>
      <c r="DG610" s="11"/>
      <c r="DH610" s="11"/>
      <c r="DI610" s="11"/>
      <c r="DJ610" s="11"/>
      <c r="DK610" s="11"/>
      <c r="DL610" s="11"/>
      <c r="DM610" s="118"/>
      <c r="DN610" s="118"/>
      <c r="DO610" s="118"/>
      <c r="DP610" s="52"/>
      <c r="DQ610" s="52"/>
      <c r="DR610" s="77"/>
      <c r="DS610" s="77"/>
      <c r="DT610" s="77"/>
      <c r="DU610" s="11"/>
      <c r="DV610" s="11"/>
      <c r="DW610" s="11"/>
      <c r="DX610" s="11"/>
      <c r="DY610" s="11"/>
      <c r="DZ610" s="11"/>
      <c r="EA610" s="11"/>
      <c r="EB610" s="11"/>
      <c r="EC610" s="11"/>
      <c r="ED610" s="11"/>
      <c r="EE610" s="11"/>
      <c r="EF610" s="11"/>
    </row>
    <row r="611" spans="1:136" ht="13.5" x14ac:dyDescent="0.25">
      <c r="A611" s="425">
        <v>609</v>
      </c>
      <c r="B611" s="428" t="s">
        <v>2645</v>
      </c>
      <c r="C611" s="428" t="s">
        <v>2646</v>
      </c>
      <c r="D611" s="428" t="s">
        <v>132</v>
      </c>
      <c r="E611" s="79">
        <v>1</v>
      </c>
      <c r="F611" s="405"/>
      <c r="G611" s="274"/>
      <c r="H611" s="274"/>
      <c r="I611" s="274"/>
      <c r="J611" s="274"/>
      <c r="K611" s="11"/>
      <c r="L611" s="274"/>
      <c r="M611" s="274"/>
      <c r="N611" s="274"/>
      <c r="O611" s="48"/>
      <c r="P611" s="11"/>
      <c r="Q611" s="274"/>
      <c r="R611" s="274"/>
      <c r="S611" s="274"/>
      <c r="T611" s="11"/>
      <c r="U611" s="11"/>
      <c r="V611" s="11"/>
      <c r="W611" s="11"/>
      <c r="X611" s="11"/>
      <c r="Y611" s="11"/>
      <c r="Z611" s="48"/>
      <c r="AA611" s="52"/>
      <c r="AB611" s="52"/>
      <c r="AC611" s="118"/>
      <c r="AD611" s="5"/>
      <c r="AE611" s="52"/>
      <c r="AF611" s="113">
        <v>631000</v>
      </c>
      <c r="AG611" s="113">
        <f>AF611*0.19</f>
        <v>119890</v>
      </c>
      <c r="AH611" s="113">
        <f>AF611+AG611</f>
        <v>750890</v>
      </c>
      <c r="AI611" s="277" t="s">
        <v>628</v>
      </c>
      <c r="AJ611" s="33" t="s">
        <v>2647</v>
      </c>
      <c r="AK611" s="269">
        <v>499320</v>
      </c>
      <c r="AL611" s="269">
        <v>94870.8</v>
      </c>
      <c r="AM611" s="269">
        <v>594190.80000000005</v>
      </c>
      <c r="AN611" s="301" t="s">
        <v>88</v>
      </c>
      <c r="AO611" s="302">
        <v>8188580500</v>
      </c>
      <c r="AP611" s="11"/>
      <c r="AQ611" s="11"/>
      <c r="AR611" s="11"/>
      <c r="AS611" s="11"/>
      <c r="AT611" s="11"/>
      <c r="AU611" s="118">
        <v>1593225</v>
      </c>
      <c r="AV611" s="118">
        <v>302713</v>
      </c>
      <c r="AW611" s="118">
        <v>1895938</v>
      </c>
      <c r="AX611" s="52" t="s">
        <v>607</v>
      </c>
      <c r="AY611" s="52">
        <v>1183120025</v>
      </c>
      <c r="AZ611" s="11"/>
      <c r="BA611" s="11"/>
      <c r="BB611" s="11"/>
      <c r="BC611" s="11"/>
      <c r="BD611" s="11"/>
      <c r="BE611" s="274"/>
      <c r="BF611" s="274"/>
      <c r="BG611" s="274"/>
      <c r="BH611" s="11"/>
      <c r="BI611" s="11"/>
      <c r="BJ611" s="311"/>
      <c r="BK611" s="311"/>
      <c r="BL611" s="311"/>
      <c r="BM611" s="52"/>
      <c r="BN611" s="52"/>
      <c r="BO611" s="387"/>
      <c r="BP611" s="320"/>
      <c r="BQ611" s="320"/>
      <c r="BR611" s="4"/>
      <c r="BS611" s="4"/>
      <c r="BT611" s="11"/>
      <c r="BU611" s="11"/>
      <c r="BV611" s="11"/>
      <c r="BW611" s="11"/>
      <c r="BX611" s="11"/>
      <c r="BY611" s="348"/>
      <c r="BZ611" s="348"/>
      <c r="CA611" s="348"/>
      <c r="CB611" s="348"/>
      <c r="CC611" s="348"/>
      <c r="CD611" s="11"/>
      <c r="CE611" s="11"/>
      <c r="CF611" s="11"/>
      <c r="CG611" s="11"/>
      <c r="CH611" s="11"/>
      <c r="CI611" s="11"/>
      <c r="CJ611" s="11"/>
      <c r="CK611" s="11"/>
      <c r="CL611" s="11"/>
      <c r="CM611" s="11"/>
      <c r="CN611" s="274"/>
      <c r="CO611" s="274"/>
      <c r="CP611" s="274"/>
      <c r="CQ611" s="11"/>
      <c r="CR611" s="11"/>
      <c r="CS611" s="11"/>
      <c r="CT611" s="11"/>
      <c r="CU611" s="11"/>
      <c r="CV611" s="11"/>
      <c r="CW611" s="11"/>
      <c r="CX611" s="11"/>
      <c r="CY611" s="11"/>
      <c r="CZ611" s="11"/>
      <c r="DA611" s="11"/>
      <c r="DB611" s="11"/>
      <c r="DC611" s="11"/>
      <c r="DD611" s="11"/>
      <c r="DE611" s="11"/>
      <c r="DF611" s="11"/>
      <c r="DG611" s="11"/>
      <c r="DH611" s="11"/>
      <c r="DI611" s="11"/>
      <c r="DJ611" s="11"/>
      <c r="DK611" s="11"/>
      <c r="DL611" s="11"/>
      <c r="DM611" s="118"/>
      <c r="DN611" s="118"/>
      <c r="DO611" s="118"/>
      <c r="DP611" s="52"/>
      <c r="DQ611" s="52"/>
      <c r="DR611" s="77"/>
      <c r="DS611" s="77"/>
      <c r="DT611" s="77"/>
      <c r="DU611" s="11"/>
      <c r="DV611" s="11"/>
      <c r="DW611" s="11"/>
      <c r="DX611" s="11"/>
      <c r="DY611" s="11"/>
      <c r="DZ611" s="11"/>
      <c r="EA611" s="11"/>
      <c r="EB611" s="11"/>
      <c r="EC611" s="11"/>
      <c r="ED611" s="11"/>
      <c r="EE611" s="11"/>
      <c r="EF611" s="11"/>
    </row>
    <row r="612" spans="1:136" ht="13.5" x14ac:dyDescent="0.25">
      <c r="A612" s="425">
        <v>610</v>
      </c>
      <c r="B612" s="428" t="s">
        <v>2648</v>
      </c>
      <c r="C612" s="428" t="s">
        <v>2649</v>
      </c>
      <c r="D612" s="428" t="s">
        <v>300</v>
      </c>
      <c r="E612" s="79">
        <v>1</v>
      </c>
      <c r="F612" s="405"/>
      <c r="G612" s="274"/>
      <c r="H612" s="274"/>
      <c r="I612" s="274"/>
      <c r="J612" s="274"/>
      <c r="K612" s="11"/>
      <c r="L612" s="274"/>
      <c r="M612" s="274"/>
      <c r="N612" s="274"/>
      <c r="O612" s="48"/>
      <c r="P612" s="11"/>
      <c r="Q612" s="274"/>
      <c r="R612" s="274"/>
      <c r="S612" s="274"/>
      <c r="T612" s="11"/>
      <c r="U612" s="11"/>
      <c r="V612" s="11"/>
      <c r="W612" s="11"/>
      <c r="X612" s="11"/>
      <c r="Y612" s="11"/>
      <c r="Z612" s="48"/>
      <c r="AA612" s="52"/>
      <c r="AB612" s="52"/>
      <c r="AC612" s="118"/>
      <c r="AD612" s="5"/>
      <c r="AE612" s="52"/>
      <c r="AF612" s="113">
        <v>1878000</v>
      </c>
      <c r="AG612" s="113">
        <f>AF612*0.19</f>
        <v>356820</v>
      </c>
      <c r="AH612" s="113">
        <f>AF612+AG612</f>
        <v>2234820</v>
      </c>
      <c r="AI612" s="277" t="s">
        <v>628</v>
      </c>
      <c r="AJ612" s="33" t="s">
        <v>2650</v>
      </c>
      <c r="AK612" s="269">
        <v>872000</v>
      </c>
      <c r="AL612" s="269">
        <v>165680</v>
      </c>
      <c r="AM612" s="269">
        <v>1037680</v>
      </c>
      <c r="AN612" s="301" t="s">
        <v>88</v>
      </c>
      <c r="AO612" s="302">
        <v>1041670250</v>
      </c>
      <c r="AP612" s="11"/>
      <c r="AQ612" s="11"/>
      <c r="AR612" s="11"/>
      <c r="AS612" s="11"/>
      <c r="AT612" s="11"/>
      <c r="AU612" s="118">
        <v>760548</v>
      </c>
      <c r="AV612" s="118">
        <v>144504</v>
      </c>
      <c r="AW612" s="118">
        <v>905053</v>
      </c>
      <c r="AX612" s="52" t="s">
        <v>607</v>
      </c>
      <c r="AY612" s="52" t="s">
        <v>2651</v>
      </c>
      <c r="AZ612" s="11"/>
      <c r="BA612" s="11"/>
      <c r="BB612" s="11"/>
      <c r="BC612" s="11"/>
      <c r="BD612" s="11"/>
      <c r="BE612" s="274"/>
      <c r="BF612" s="274"/>
      <c r="BG612" s="274"/>
      <c r="BH612" s="11"/>
      <c r="BI612" s="11"/>
      <c r="BJ612" s="311"/>
      <c r="BK612" s="311"/>
      <c r="BL612" s="311"/>
      <c r="BM612" s="52"/>
      <c r="BN612" s="52"/>
      <c r="BO612" s="387"/>
      <c r="BP612" s="320"/>
      <c r="BQ612" s="320"/>
      <c r="BR612" s="4"/>
      <c r="BS612" s="4"/>
      <c r="BT612" s="11"/>
      <c r="BU612" s="11"/>
      <c r="BV612" s="11"/>
      <c r="BW612" s="11"/>
      <c r="BX612" s="11"/>
      <c r="BY612" s="348"/>
      <c r="BZ612" s="348"/>
      <c r="CA612" s="348"/>
      <c r="CB612" s="348"/>
      <c r="CC612" s="348"/>
      <c r="CD612" s="11"/>
      <c r="CE612" s="11"/>
      <c r="CF612" s="11"/>
      <c r="CG612" s="11"/>
      <c r="CH612" s="11"/>
      <c r="CI612" s="11"/>
      <c r="CJ612" s="11"/>
      <c r="CK612" s="11"/>
      <c r="CL612" s="11"/>
      <c r="CM612" s="11"/>
      <c r="CN612" s="274"/>
      <c r="CO612" s="274"/>
      <c r="CP612" s="274"/>
      <c r="CQ612" s="11"/>
      <c r="CR612" s="11"/>
      <c r="CS612" s="11"/>
      <c r="CT612" s="11"/>
      <c r="CU612" s="11"/>
      <c r="CV612" s="11"/>
      <c r="CW612" s="11"/>
      <c r="CX612" s="11"/>
      <c r="CY612" s="11"/>
      <c r="CZ612" s="11"/>
      <c r="DA612" s="11"/>
      <c r="DB612" s="11"/>
      <c r="DC612" s="11"/>
      <c r="DD612" s="11"/>
      <c r="DE612" s="11"/>
      <c r="DF612" s="11"/>
      <c r="DG612" s="11"/>
      <c r="DH612" s="11"/>
      <c r="DI612" s="11"/>
      <c r="DJ612" s="11"/>
      <c r="DK612" s="11"/>
      <c r="DL612" s="11"/>
      <c r="DM612" s="118"/>
      <c r="DN612" s="118"/>
      <c r="DO612" s="118"/>
      <c r="DP612" s="52"/>
      <c r="DQ612" s="52"/>
      <c r="DR612" s="77"/>
      <c r="DS612" s="77"/>
      <c r="DT612" s="77"/>
      <c r="DU612" s="11"/>
      <c r="DV612" s="11"/>
      <c r="DW612" s="11"/>
      <c r="DX612" s="11"/>
      <c r="DY612" s="11"/>
      <c r="DZ612" s="11"/>
      <c r="EA612" s="11"/>
      <c r="EB612" s="11"/>
      <c r="EC612" s="11"/>
      <c r="ED612" s="11"/>
      <c r="EE612" s="11"/>
      <c r="EF612" s="11"/>
    </row>
    <row r="613" spans="1:136" ht="40.5" x14ac:dyDescent="0.25">
      <c r="A613" s="425">
        <v>611</v>
      </c>
      <c r="B613" s="427" t="s">
        <v>2652</v>
      </c>
      <c r="C613" s="413" t="s">
        <v>622</v>
      </c>
      <c r="D613" s="413" t="s">
        <v>1148</v>
      </c>
      <c r="E613" s="79">
        <v>1</v>
      </c>
      <c r="F613" s="406">
        <v>168421.652</v>
      </c>
      <c r="G613" s="274"/>
      <c r="H613" s="274"/>
      <c r="I613" s="274"/>
      <c r="J613" s="274"/>
      <c r="K613" s="11"/>
      <c r="L613" s="274"/>
      <c r="M613" s="274"/>
      <c r="N613" s="274"/>
      <c r="O613" s="48"/>
      <c r="P613" s="11"/>
      <c r="Q613" s="274"/>
      <c r="R613" s="274"/>
      <c r="S613" s="274"/>
      <c r="T613" s="11"/>
      <c r="U613" s="11"/>
      <c r="V613" s="11"/>
      <c r="W613" s="11"/>
      <c r="X613" s="11"/>
      <c r="Y613" s="11"/>
      <c r="Z613" s="48"/>
      <c r="AA613" s="52"/>
      <c r="AB613" s="52"/>
      <c r="AC613" s="118"/>
      <c r="AD613" s="5"/>
      <c r="AE613" s="52"/>
      <c r="AF613" s="113">
        <v>212000</v>
      </c>
      <c r="AG613" s="113">
        <f>AF613*0.19</f>
        <v>40280</v>
      </c>
      <c r="AH613" s="113">
        <f>AF613+AG613</f>
        <v>252280</v>
      </c>
      <c r="AI613" s="277" t="s">
        <v>628</v>
      </c>
      <c r="AJ613" s="33" t="s">
        <v>2653</v>
      </c>
      <c r="AK613" s="269">
        <v>70110</v>
      </c>
      <c r="AL613" s="269">
        <v>13320.9</v>
      </c>
      <c r="AM613" s="269">
        <v>83430.899999999994</v>
      </c>
      <c r="AN613" s="301" t="s">
        <v>88</v>
      </c>
      <c r="AO613" s="302">
        <v>1065160500</v>
      </c>
      <c r="AP613" s="11"/>
      <c r="AQ613" s="11"/>
      <c r="AR613" s="11"/>
      <c r="AS613" s="11"/>
      <c r="AT613" s="11"/>
      <c r="AU613" s="118">
        <v>89157</v>
      </c>
      <c r="AV613" s="118">
        <v>16940</v>
      </c>
      <c r="AW613" s="118">
        <v>106097</v>
      </c>
      <c r="AX613" s="52" t="s">
        <v>607</v>
      </c>
      <c r="AY613" s="52">
        <v>1065160500</v>
      </c>
      <c r="AZ613" s="11"/>
      <c r="BA613" s="11"/>
      <c r="BB613" s="11"/>
      <c r="BC613" s="11"/>
      <c r="BD613" s="11"/>
      <c r="BE613" s="274">
        <v>117000</v>
      </c>
      <c r="BF613" s="274">
        <v>22230</v>
      </c>
      <c r="BG613" s="274">
        <v>139230</v>
      </c>
      <c r="BH613" s="11" t="s">
        <v>63</v>
      </c>
      <c r="BI613" s="11" t="s">
        <v>2654</v>
      </c>
      <c r="BJ613" s="311"/>
      <c r="BK613" s="311"/>
      <c r="BL613" s="311"/>
      <c r="BM613" s="52"/>
      <c r="BN613" s="52"/>
      <c r="BO613" s="387"/>
      <c r="BP613" s="320"/>
      <c r="BQ613" s="320"/>
      <c r="BR613" s="4"/>
      <c r="BS613" s="4"/>
      <c r="BT613" s="11"/>
      <c r="BU613" s="11"/>
      <c r="BV613" s="11"/>
      <c r="BW613" s="11"/>
      <c r="BX613" s="11"/>
      <c r="BY613" s="348"/>
      <c r="BZ613" s="348"/>
      <c r="CA613" s="348"/>
      <c r="CB613" s="348"/>
      <c r="CC613" s="348"/>
      <c r="CD613" s="11"/>
      <c r="CE613" s="11"/>
      <c r="CF613" s="11"/>
      <c r="CG613" s="11"/>
      <c r="CH613" s="11"/>
      <c r="CI613" s="11"/>
      <c r="CJ613" s="11"/>
      <c r="CK613" s="11"/>
      <c r="CL613" s="11"/>
      <c r="CM613" s="11"/>
      <c r="CN613" s="274"/>
      <c r="CO613" s="274"/>
      <c r="CP613" s="274"/>
      <c r="CQ613" s="11"/>
      <c r="CR613" s="11"/>
      <c r="CS613" s="11"/>
      <c r="CT613" s="11"/>
      <c r="CU613" s="11"/>
      <c r="CV613" s="11"/>
      <c r="CW613" s="11"/>
      <c r="CX613" s="11"/>
      <c r="CY613" s="11"/>
      <c r="CZ613" s="11"/>
      <c r="DA613" s="11"/>
      <c r="DB613" s="11"/>
      <c r="DC613" s="11"/>
      <c r="DD613" s="11"/>
      <c r="DE613" s="11"/>
      <c r="DF613" s="11"/>
      <c r="DG613" s="11"/>
      <c r="DH613" s="11"/>
      <c r="DI613" s="11"/>
      <c r="DJ613" s="11"/>
      <c r="DK613" s="11"/>
      <c r="DL613" s="11"/>
      <c r="DM613" s="118"/>
      <c r="DN613" s="118"/>
      <c r="DO613" s="118"/>
      <c r="DP613" s="52"/>
      <c r="DQ613" s="52"/>
      <c r="DR613" s="77"/>
      <c r="DS613" s="77"/>
      <c r="DT613" s="77"/>
      <c r="DU613" s="11"/>
      <c r="DV613" s="11"/>
      <c r="DW613" s="11"/>
      <c r="DX613" s="11"/>
      <c r="DY613" s="11"/>
      <c r="DZ613" s="11"/>
      <c r="EA613" s="11"/>
      <c r="EB613" s="11"/>
      <c r="EC613" s="11"/>
      <c r="ED613" s="11"/>
      <c r="EE613" s="11"/>
      <c r="EF613" s="11"/>
    </row>
    <row r="614" spans="1:136" ht="27" x14ac:dyDescent="0.25">
      <c r="A614" s="425">
        <v>612</v>
      </c>
      <c r="B614" s="427" t="s">
        <v>2655</v>
      </c>
      <c r="C614" s="413" t="s">
        <v>2656</v>
      </c>
      <c r="D614" s="413" t="s">
        <v>2657</v>
      </c>
      <c r="E614" s="79">
        <v>1</v>
      </c>
      <c r="F614" s="406">
        <v>194816.09</v>
      </c>
      <c r="G614" s="274"/>
      <c r="H614" s="274"/>
      <c r="I614" s="274"/>
      <c r="J614" s="274"/>
      <c r="K614" s="11"/>
      <c r="L614" s="274"/>
      <c r="M614" s="274"/>
      <c r="N614" s="274"/>
      <c r="O614" s="48"/>
      <c r="P614" s="11"/>
      <c r="Q614" s="274"/>
      <c r="R614" s="274"/>
      <c r="S614" s="274"/>
      <c r="T614" s="11"/>
      <c r="U614" s="11"/>
      <c r="V614" s="11"/>
      <c r="W614" s="11"/>
      <c r="X614" s="11"/>
      <c r="Y614" s="11"/>
      <c r="Z614" s="48"/>
      <c r="AA614" s="52"/>
      <c r="AB614" s="52"/>
      <c r="AC614" s="118"/>
      <c r="AD614" s="5"/>
      <c r="AE614" s="52"/>
      <c r="AF614" s="113"/>
      <c r="AG614" s="113"/>
      <c r="AH614" s="113"/>
      <c r="AI614" s="52"/>
      <c r="AJ614" s="11"/>
      <c r="AK614" s="269">
        <v>96305</v>
      </c>
      <c r="AL614" s="269">
        <v>18297.95</v>
      </c>
      <c r="AM614" s="269">
        <v>114602.95</v>
      </c>
      <c r="AN614" s="301" t="s">
        <v>88</v>
      </c>
      <c r="AO614" s="302">
        <v>1001810002</v>
      </c>
      <c r="AP614" s="11"/>
      <c r="AQ614" s="11"/>
      <c r="AR614" s="11"/>
      <c r="AS614" s="11"/>
      <c r="AT614" s="11"/>
      <c r="AU614" s="118">
        <v>109825</v>
      </c>
      <c r="AV614" s="118">
        <v>20867</v>
      </c>
      <c r="AW614" s="118">
        <v>130692</v>
      </c>
      <c r="AX614" s="52" t="s">
        <v>607</v>
      </c>
      <c r="AY614" s="52">
        <v>1001810002</v>
      </c>
      <c r="AZ614" s="11"/>
      <c r="BA614" s="11"/>
      <c r="BB614" s="11"/>
      <c r="BC614" s="11"/>
      <c r="BD614" s="11"/>
      <c r="BE614" s="274"/>
      <c r="BF614" s="274"/>
      <c r="BG614" s="274"/>
      <c r="BH614" s="11"/>
      <c r="BI614" s="11"/>
      <c r="BJ614" s="311"/>
      <c r="BK614" s="311"/>
      <c r="BL614" s="311"/>
      <c r="BM614" s="52"/>
      <c r="BN614" s="52"/>
      <c r="BO614" s="387"/>
      <c r="BP614" s="320"/>
      <c r="BQ614" s="320"/>
      <c r="BR614" s="4"/>
      <c r="BS614" s="4"/>
      <c r="BT614" s="11"/>
      <c r="BU614" s="11"/>
      <c r="BV614" s="11"/>
      <c r="BW614" s="11"/>
      <c r="BX614" s="11"/>
      <c r="BY614" s="232">
        <v>106000</v>
      </c>
      <c r="BZ614" s="232">
        <f>BY614*0.19</f>
        <v>20140</v>
      </c>
      <c r="CA614" s="232">
        <f>BY614+BZ614</f>
        <v>126140</v>
      </c>
      <c r="CB614" s="348" t="s">
        <v>772</v>
      </c>
      <c r="CC614" s="348" t="s">
        <v>2658</v>
      </c>
      <c r="CD614" s="11"/>
      <c r="CE614" s="11"/>
      <c r="CF614" s="11"/>
      <c r="CG614" s="11"/>
      <c r="CH614" s="11"/>
      <c r="CI614" s="11"/>
      <c r="CJ614" s="11"/>
      <c r="CK614" s="11"/>
      <c r="CL614" s="11"/>
      <c r="CM614" s="11"/>
      <c r="CN614" s="274"/>
      <c r="CO614" s="274"/>
      <c r="CP614" s="274"/>
      <c r="CQ614" s="11"/>
      <c r="CR614" s="11"/>
      <c r="CS614" s="11"/>
      <c r="CT614" s="11"/>
      <c r="CU614" s="11"/>
      <c r="CV614" s="11"/>
      <c r="CW614" s="11"/>
      <c r="CX614" s="11"/>
      <c r="CY614" s="11"/>
      <c r="CZ614" s="11"/>
      <c r="DA614" s="11"/>
      <c r="DB614" s="11"/>
      <c r="DC614" s="11"/>
      <c r="DD614" s="11"/>
      <c r="DE614" s="11"/>
      <c r="DF614" s="11"/>
      <c r="DG614" s="11"/>
      <c r="DH614" s="11"/>
      <c r="DI614" s="11"/>
      <c r="DJ614" s="11"/>
      <c r="DK614" s="11"/>
      <c r="DL614" s="11"/>
      <c r="DM614" s="118"/>
      <c r="DN614" s="118"/>
      <c r="DO614" s="118"/>
      <c r="DP614" s="52"/>
      <c r="DQ614" s="52"/>
      <c r="DR614" s="77"/>
      <c r="DS614" s="77"/>
      <c r="DT614" s="77"/>
      <c r="DU614" s="11"/>
      <c r="DV614" s="11"/>
      <c r="DW614" s="11"/>
      <c r="DX614" s="11"/>
      <c r="DY614" s="11"/>
      <c r="DZ614" s="11"/>
      <c r="EA614" s="11"/>
      <c r="EB614" s="11"/>
      <c r="EC614" s="11"/>
      <c r="ED614" s="11"/>
      <c r="EE614" s="11"/>
      <c r="EF614" s="11"/>
    </row>
    <row r="615" spans="1:136" ht="108" x14ac:dyDescent="0.25">
      <c r="A615" s="425">
        <v>613</v>
      </c>
      <c r="B615" s="426" t="s">
        <v>2659</v>
      </c>
      <c r="C615" s="427" t="s">
        <v>138</v>
      </c>
      <c r="D615" s="427" t="s">
        <v>609</v>
      </c>
      <c r="E615" s="79">
        <v>1</v>
      </c>
      <c r="F615" s="405"/>
      <c r="G615" s="274"/>
      <c r="H615" s="274"/>
      <c r="I615" s="274"/>
      <c r="J615" s="274"/>
      <c r="K615" s="11"/>
      <c r="L615" s="274">
        <v>490000</v>
      </c>
      <c r="M615" s="274">
        <f>L615*19%</f>
        <v>93100</v>
      </c>
      <c r="N615" s="274">
        <f>M615+L615</f>
        <v>583100</v>
      </c>
      <c r="O615" s="48" t="s">
        <v>862</v>
      </c>
      <c r="P615" s="11" t="s">
        <v>2660</v>
      </c>
      <c r="Q615" s="274"/>
      <c r="R615" s="274"/>
      <c r="S615" s="274"/>
      <c r="T615" s="11"/>
      <c r="U615" s="11"/>
      <c r="V615" s="11"/>
      <c r="W615" s="11"/>
      <c r="X615" s="11"/>
      <c r="Y615" s="11"/>
      <c r="Z615" s="48"/>
      <c r="AA615" s="52"/>
      <c r="AB615" s="52"/>
      <c r="AC615" s="118"/>
      <c r="AD615" s="5"/>
      <c r="AE615" s="52"/>
      <c r="AF615" s="113"/>
      <c r="AG615" s="113"/>
      <c r="AH615" s="113"/>
      <c r="AI615" s="52"/>
      <c r="AJ615" s="11"/>
      <c r="AK615" s="269"/>
      <c r="AL615" s="269"/>
      <c r="AM615" s="269"/>
      <c r="AN615" s="301"/>
      <c r="AO615" s="302"/>
      <c r="AP615" s="11"/>
      <c r="AQ615" s="11"/>
      <c r="AR615" s="11"/>
      <c r="AS615" s="11"/>
      <c r="AT615" s="11"/>
      <c r="AU615" s="118"/>
      <c r="AV615" s="118"/>
      <c r="AW615" s="118"/>
      <c r="AX615" s="52"/>
      <c r="AY615" s="52"/>
      <c r="AZ615" s="11"/>
      <c r="BA615" s="11"/>
      <c r="BB615" s="11"/>
      <c r="BC615" s="11"/>
      <c r="BD615" s="11"/>
      <c r="BE615" s="274"/>
      <c r="BF615" s="274"/>
      <c r="BG615" s="274"/>
      <c r="BH615" s="11"/>
      <c r="BI615" s="11"/>
      <c r="BJ615" s="311">
        <v>512884.62</v>
      </c>
      <c r="BK615" s="311">
        <v>97448.077799999999</v>
      </c>
      <c r="BL615" s="311">
        <v>610332.69779999997</v>
      </c>
      <c r="BM615" s="52" t="s">
        <v>138</v>
      </c>
      <c r="BN615" s="52">
        <v>10488058</v>
      </c>
      <c r="BO615" s="387">
        <v>611490</v>
      </c>
      <c r="BP615" s="320">
        <f>BO615*0.19</f>
        <v>116183.1</v>
      </c>
      <c r="BQ615" s="320">
        <f>BO615+BP615</f>
        <v>727673.1</v>
      </c>
      <c r="BR615" s="4" t="s">
        <v>2661</v>
      </c>
      <c r="BS615" s="4" t="s">
        <v>866</v>
      </c>
      <c r="BT615" s="11"/>
      <c r="BU615" s="11"/>
      <c r="BV615" s="11"/>
      <c r="BW615" s="11"/>
      <c r="BX615" s="11"/>
      <c r="BY615" s="348"/>
      <c r="BZ615" s="348"/>
      <c r="CA615" s="348"/>
      <c r="CB615" s="348"/>
      <c r="CC615" s="348"/>
      <c r="CD615" s="11"/>
      <c r="CE615" s="11"/>
      <c r="CF615" s="11"/>
      <c r="CG615" s="11"/>
      <c r="CH615" s="11"/>
      <c r="CI615" s="11"/>
      <c r="CJ615" s="11"/>
      <c r="CK615" s="11"/>
      <c r="CL615" s="11"/>
      <c r="CM615" s="11"/>
      <c r="CN615" s="274"/>
      <c r="CO615" s="274"/>
      <c r="CP615" s="274"/>
      <c r="CQ615" s="11"/>
      <c r="CR615" s="11"/>
      <c r="CS615" s="11"/>
      <c r="CT615" s="11"/>
      <c r="CU615" s="11"/>
      <c r="CV615" s="11"/>
      <c r="CW615" s="11"/>
      <c r="CX615" s="11"/>
      <c r="CY615" s="11"/>
      <c r="CZ615" s="11"/>
      <c r="DA615" s="11"/>
      <c r="DB615" s="11"/>
      <c r="DC615" s="11"/>
      <c r="DD615" s="11"/>
      <c r="DE615" s="11"/>
      <c r="DF615" s="11"/>
      <c r="DG615" s="11"/>
      <c r="DH615" s="11"/>
      <c r="DI615" s="11"/>
      <c r="DJ615" s="11"/>
      <c r="DK615" s="11"/>
      <c r="DL615" s="11"/>
      <c r="DM615" s="118"/>
      <c r="DN615" s="118"/>
      <c r="DO615" s="118"/>
      <c r="DP615" s="52"/>
      <c r="DQ615" s="52"/>
      <c r="DR615" s="77"/>
      <c r="DS615" s="77"/>
      <c r="DT615" s="77"/>
      <c r="DU615" s="11"/>
      <c r="DV615" s="11"/>
      <c r="DW615" s="11"/>
      <c r="DX615" s="11"/>
      <c r="DY615" s="11"/>
      <c r="DZ615" s="11"/>
      <c r="EA615" s="11"/>
      <c r="EB615" s="11"/>
      <c r="EC615" s="11"/>
      <c r="ED615" s="11"/>
      <c r="EE615" s="11"/>
      <c r="EF615" s="11"/>
    </row>
    <row r="616" spans="1:136" ht="13.5" x14ac:dyDescent="0.25">
      <c r="A616" s="425">
        <v>614</v>
      </c>
      <c r="B616" s="427" t="s">
        <v>2662</v>
      </c>
      <c r="C616" s="413" t="s">
        <v>58</v>
      </c>
      <c r="D616" s="413" t="s">
        <v>109</v>
      </c>
      <c r="E616" s="79">
        <v>1</v>
      </c>
      <c r="F616" s="406">
        <v>651062.804</v>
      </c>
      <c r="G616" s="274"/>
      <c r="H616" s="274"/>
      <c r="I616" s="274"/>
      <c r="J616" s="274"/>
      <c r="K616" s="11"/>
      <c r="L616" s="274"/>
      <c r="M616" s="274"/>
      <c r="N616" s="274"/>
      <c r="O616" s="48"/>
      <c r="P616" s="11"/>
      <c r="Q616" s="274"/>
      <c r="R616" s="274"/>
      <c r="S616" s="274"/>
      <c r="T616" s="11"/>
      <c r="U616" s="11"/>
      <c r="V616" s="11"/>
      <c r="W616" s="11"/>
      <c r="X616" s="11"/>
      <c r="Y616" s="11"/>
      <c r="Z616" s="48"/>
      <c r="AA616" s="52"/>
      <c r="AB616" s="52"/>
      <c r="AC616" s="118"/>
      <c r="AD616" s="5"/>
      <c r="AE616" s="52"/>
      <c r="AF616" s="113"/>
      <c r="AG616" s="113"/>
      <c r="AH616" s="113"/>
      <c r="AI616" s="52"/>
      <c r="AJ616" s="11"/>
      <c r="AK616" s="269"/>
      <c r="AL616" s="269"/>
      <c r="AM616" s="269"/>
      <c r="AN616" s="301"/>
      <c r="AO616" s="302"/>
      <c r="AP616" s="11"/>
      <c r="AQ616" s="11"/>
      <c r="AR616" s="11"/>
      <c r="AS616" s="11"/>
      <c r="AT616" s="11"/>
      <c r="AU616" s="118">
        <v>324387</v>
      </c>
      <c r="AV616" s="118">
        <v>61633</v>
      </c>
      <c r="AW616" s="118">
        <v>386020</v>
      </c>
      <c r="AX616" s="52" t="s">
        <v>607</v>
      </c>
      <c r="AY616" s="52" t="s">
        <v>2663</v>
      </c>
      <c r="AZ616" s="11"/>
      <c r="BA616" s="11"/>
      <c r="BB616" s="11"/>
      <c r="BC616" s="11"/>
      <c r="BD616" s="11"/>
      <c r="BE616" s="274"/>
      <c r="BF616" s="274"/>
      <c r="BG616" s="274"/>
      <c r="BH616" s="11"/>
      <c r="BI616" s="11"/>
      <c r="BJ616" s="311"/>
      <c r="BK616" s="311"/>
      <c r="BL616" s="311"/>
      <c r="BM616" s="52"/>
      <c r="BN616" s="52"/>
      <c r="BO616" s="387"/>
      <c r="BP616" s="320"/>
      <c r="BQ616" s="320"/>
      <c r="BR616" s="4"/>
      <c r="BS616" s="4"/>
      <c r="BT616" s="11"/>
      <c r="BU616" s="11"/>
      <c r="BV616" s="11"/>
      <c r="BW616" s="11"/>
      <c r="BX616" s="11"/>
      <c r="BY616" s="348"/>
      <c r="BZ616" s="348"/>
      <c r="CA616" s="348"/>
      <c r="CB616" s="348"/>
      <c r="CC616" s="348"/>
      <c r="CD616" s="11"/>
      <c r="CE616" s="11"/>
      <c r="CF616" s="11"/>
      <c r="CG616" s="11"/>
      <c r="CH616" s="11"/>
      <c r="CI616" s="11"/>
      <c r="CJ616" s="11"/>
      <c r="CK616" s="11"/>
      <c r="CL616" s="11"/>
      <c r="CM616" s="11"/>
      <c r="CN616" s="274"/>
      <c r="CO616" s="274"/>
      <c r="CP616" s="274"/>
      <c r="CQ616" s="11"/>
      <c r="CR616" s="11"/>
      <c r="CS616" s="11"/>
      <c r="CT616" s="11"/>
      <c r="CU616" s="11"/>
      <c r="CV616" s="11"/>
      <c r="CW616" s="11"/>
      <c r="CX616" s="11"/>
      <c r="CY616" s="11"/>
      <c r="CZ616" s="11"/>
      <c r="DA616" s="11"/>
      <c r="DB616" s="11"/>
      <c r="DC616" s="11"/>
      <c r="DD616" s="11"/>
      <c r="DE616" s="11"/>
      <c r="DF616" s="11"/>
      <c r="DG616" s="11"/>
      <c r="DH616" s="11"/>
      <c r="DI616" s="11"/>
      <c r="DJ616" s="11"/>
      <c r="DK616" s="11"/>
      <c r="DL616" s="11"/>
      <c r="DM616" s="118"/>
      <c r="DN616" s="118"/>
      <c r="DO616" s="118"/>
      <c r="DP616" s="52"/>
      <c r="DQ616" s="52"/>
      <c r="DR616" s="77"/>
      <c r="DS616" s="77"/>
      <c r="DT616" s="77"/>
      <c r="DU616" s="11"/>
      <c r="DV616" s="11"/>
      <c r="DW616" s="11"/>
      <c r="DX616" s="11"/>
      <c r="DY616" s="11"/>
      <c r="DZ616" s="11"/>
      <c r="EA616" s="11"/>
      <c r="EB616" s="11"/>
      <c r="EC616" s="11"/>
      <c r="ED616" s="11"/>
      <c r="EE616" s="11"/>
      <c r="EF616" s="11"/>
    </row>
    <row r="617" spans="1:136" ht="54" x14ac:dyDescent="0.25">
      <c r="A617" s="425">
        <v>615</v>
      </c>
      <c r="B617" s="427" t="s">
        <v>2664</v>
      </c>
      <c r="C617" s="413" t="s">
        <v>622</v>
      </c>
      <c r="D617" s="413" t="s">
        <v>2665</v>
      </c>
      <c r="E617" s="79">
        <v>1</v>
      </c>
      <c r="F617" s="405"/>
      <c r="G617" s="274"/>
      <c r="H617" s="274"/>
      <c r="I617" s="274"/>
      <c r="J617" s="274"/>
      <c r="K617" s="11"/>
      <c r="L617" s="274"/>
      <c r="M617" s="274"/>
      <c r="N617" s="274"/>
      <c r="O617" s="48"/>
      <c r="P617" s="11"/>
      <c r="Q617" s="274"/>
      <c r="R617" s="274"/>
      <c r="S617" s="274"/>
      <c r="T617" s="11"/>
      <c r="U617" s="11"/>
      <c r="V617" s="11"/>
      <c r="W617" s="11"/>
      <c r="X617" s="11"/>
      <c r="Y617" s="11"/>
      <c r="Z617" s="48"/>
      <c r="AA617" s="52"/>
      <c r="AB617" s="52"/>
      <c r="AC617" s="118"/>
      <c r="AD617" s="5"/>
      <c r="AE617" s="52"/>
      <c r="AF617" s="113"/>
      <c r="AG617" s="113"/>
      <c r="AH617" s="113"/>
      <c r="AI617" s="52"/>
      <c r="AJ617" s="11"/>
      <c r="AK617" s="269">
        <v>104310</v>
      </c>
      <c r="AL617" s="269">
        <v>19818.900000000001</v>
      </c>
      <c r="AM617" s="269">
        <v>124128.9</v>
      </c>
      <c r="AN617" s="301" t="s">
        <v>88</v>
      </c>
      <c r="AO617" s="302">
        <v>8211970100</v>
      </c>
      <c r="AP617" s="11"/>
      <c r="AQ617" s="11"/>
      <c r="AR617" s="11"/>
      <c r="AS617" s="11"/>
      <c r="AT617" s="11"/>
      <c r="AU617" s="118"/>
      <c r="AV617" s="118"/>
      <c r="AW617" s="118"/>
      <c r="AX617" s="52"/>
      <c r="AY617" s="52"/>
      <c r="AZ617" s="11"/>
      <c r="BA617" s="11"/>
      <c r="BB617" s="11"/>
      <c r="BC617" s="11"/>
      <c r="BD617" s="11"/>
      <c r="BE617" s="274"/>
      <c r="BF617" s="274"/>
      <c r="BG617" s="274"/>
      <c r="BH617" s="11"/>
      <c r="BI617" s="11"/>
      <c r="BJ617" s="311"/>
      <c r="BK617" s="311"/>
      <c r="BL617" s="311"/>
      <c r="BM617" s="52"/>
      <c r="BN617" s="52"/>
      <c r="BO617" s="387"/>
      <c r="BP617" s="320"/>
      <c r="BQ617" s="320"/>
      <c r="BR617" s="4"/>
      <c r="BS617" s="4"/>
      <c r="BT617" s="11"/>
      <c r="BU617" s="11"/>
      <c r="BV617" s="11"/>
      <c r="BW617" s="11"/>
      <c r="BX617" s="11"/>
      <c r="BY617" s="348"/>
      <c r="BZ617" s="348"/>
      <c r="CA617" s="348"/>
      <c r="CB617" s="348"/>
      <c r="CC617" s="348"/>
      <c r="CD617" s="11"/>
      <c r="CE617" s="11"/>
      <c r="CF617" s="11"/>
      <c r="CG617" s="11"/>
      <c r="CH617" s="11"/>
      <c r="CI617" s="11"/>
      <c r="CJ617" s="11"/>
      <c r="CK617" s="11"/>
      <c r="CL617" s="11"/>
      <c r="CM617" s="11"/>
      <c r="CN617" s="274"/>
      <c r="CO617" s="274"/>
      <c r="CP617" s="274"/>
      <c r="CQ617" s="11"/>
      <c r="CR617" s="11"/>
      <c r="CS617" s="11"/>
      <c r="CT617" s="11"/>
      <c r="CU617" s="11"/>
      <c r="CV617" s="11"/>
      <c r="CW617" s="11"/>
      <c r="CX617" s="11"/>
      <c r="CY617" s="11"/>
      <c r="CZ617" s="11"/>
      <c r="DA617" s="11"/>
      <c r="DB617" s="11"/>
      <c r="DC617" s="11"/>
      <c r="DD617" s="11"/>
      <c r="DE617" s="11"/>
      <c r="DF617" s="11"/>
      <c r="DG617" s="11"/>
      <c r="DH617" s="11"/>
      <c r="DI617" s="11"/>
      <c r="DJ617" s="11"/>
      <c r="DK617" s="11"/>
      <c r="DL617" s="11"/>
      <c r="DM617" s="118"/>
      <c r="DN617" s="118"/>
      <c r="DO617" s="118"/>
      <c r="DP617" s="52"/>
      <c r="DQ617" s="52"/>
      <c r="DR617" s="77"/>
      <c r="DS617" s="77"/>
      <c r="DT617" s="77"/>
      <c r="DU617" s="11"/>
      <c r="DV617" s="11"/>
      <c r="DW617" s="11"/>
      <c r="DX617" s="11"/>
      <c r="DY617" s="11"/>
      <c r="DZ617" s="11"/>
      <c r="EA617" s="11"/>
      <c r="EB617" s="11"/>
      <c r="EC617" s="11"/>
      <c r="ED617" s="11"/>
      <c r="EE617" s="11"/>
      <c r="EF617" s="11"/>
    </row>
    <row r="618" spans="1:136" ht="27" x14ac:dyDescent="0.25">
      <c r="A618" s="425">
        <v>616</v>
      </c>
      <c r="B618" s="427" t="s">
        <v>2666</v>
      </c>
      <c r="C618" s="413" t="s">
        <v>2667</v>
      </c>
      <c r="D618" s="413" t="s">
        <v>2668</v>
      </c>
      <c r="E618" s="79">
        <v>1</v>
      </c>
      <c r="F618" s="406">
        <v>2214619.0359999998</v>
      </c>
      <c r="G618" s="274">
        <v>850000</v>
      </c>
      <c r="H618" s="274">
        <v>161500</v>
      </c>
      <c r="I618" s="274">
        <v>1011500</v>
      </c>
      <c r="J618" s="274" t="s">
        <v>45</v>
      </c>
      <c r="K618" s="11" t="s">
        <v>2669</v>
      </c>
      <c r="L618" s="274"/>
      <c r="M618" s="274"/>
      <c r="N618" s="274"/>
      <c r="O618" s="48"/>
      <c r="P618" s="11"/>
      <c r="Q618" s="274"/>
      <c r="R618" s="274"/>
      <c r="S618" s="274"/>
      <c r="T618" s="11"/>
      <c r="U618" s="11"/>
      <c r="V618" s="11"/>
      <c r="W618" s="11"/>
      <c r="X618" s="11"/>
      <c r="Y618" s="11"/>
      <c r="Z618" s="48"/>
      <c r="AA618" s="52"/>
      <c r="AB618" s="52"/>
      <c r="AC618" s="118"/>
      <c r="AD618" s="5"/>
      <c r="AE618" s="52"/>
      <c r="AF618" s="113">
        <v>1444000</v>
      </c>
      <c r="AG618" s="113">
        <f>AF618*0.19</f>
        <v>274360</v>
      </c>
      <c r="AH618" s="113">
        <f>AF618+AG618</f>
        <v>1718360</v>
      </c>
      <c r="AI618" s="277" t="s">
        <v>628</v>
      </c>
      <c r="AJ618" s="33" t="s">
        <v>2670</v>
      </c>
      <c r="AK618" s="269"/>
      <c r="AL618" s="269"/>
      <c r="AM618" s="269"/>
      <c r="AN618" s="301"/>
      <c r="AO618" s="302"/>
      <c r="AP618" s="11"/>
      <c r="AQ618" s="11"/>
      <c r="AR618" s="11"/>
      <c r="AS618" s="11"/>
      <c r="AT618" s="11"/>
      <c r="AU618" s="118">
        <v>1053391</v>
      </c>
      <c r="AV618" s="118">
        <v>200144</v>
      </c>
      <c r="AW618" s="118">
        <v>1253535</v>
      </c>
      <c r="AX618" s="52" t="s">
        <v>607</v>
      </c>
      <c r="AY618" s="52" t="s">
        <v>2671</v>
      </c>
      <c r="AZ618" s="11"/>
      <c r="BA618" s="11"/>
      <c r="BB618" s="11"/>
      <c r="BC618" s="11"/>
      <c r="BD618" s="11"/>
      <c r="BE618" s="274">
        <v>3227000</v>
      </c>
      <c r="BF618" s="274">
        <v>613130</v>
      </c>
      <c r="BG618" s="274">
        <v>3840130</v>
      </c>
      <c r="BH618" s="11" t="s">
        <v>338</v>
      </c>
      <c r="BI618" s="11" t="s">
        <v>2672</v>
      </c>
      <c r="BJ618" s="311"/>
      <c r="BK618" s="311"/>
      <c r="BL618" s="311"/>
      <c r="BM618" s="52"/>
      <c r="BN618" s="52"/>
      <c r="BO618" s="387"/>
      <c r="BP618" s="320"/>
      <c r="BQ618" s="320"/>
      <c r="BR618" s="4"/>
      <c r="BS618" s="4"/>
      <c r="BT618" s="11"/>
      <c r="BU618" s="11"/>
      <c r="BV618" s="11"/>
      <c r="BW618" s="11"/>
      <c r="BX618" s="11"/>
      <c r="BY618" s="348"/>
      <c r="BZ618" s="348"/>
      <c r="CA618" s="348"/>
      <c r="CB618" s="348"/>
      <c r="CC618" s="348"/>
      <c r="CD618" s="11"/>
      <c r="CE618" s="11"/>
      <c r="CF618" s="11"/>
      <c r="CG618" s="11"/>
      <c r="CH618" s="11"/>
      <c r="CI618" s="11"/>
      <c r="CJ618" s="11"/>
      <c r="CK618" s="11"/>
      <c r="CL618" s="11"/>
      <c r="CM618" s="11"/>
      <c r="CN618" s="274"/>
      <c r="CO618" s="274"/>
      <c r="CP618" s="274"/>
      <c r="CQ618" s="11"/>
      <c r="CR618" s="11"/>
      <c r="CS618" s="11"/>
      <c r="CT618" s="11"/>
      <c r="CU618" s="11"/>
      <c r="CV618" s="11"/>
      <c r="CW618" s="11"/>
      <c r="CX618" s="11"/>
      <c r="CY618" s="11"/>
      <c r="CZ618" s="11"/>
      <c r="DA618" s="11"/>
      <c r="DB618" s="11"/>
      <c r="DC618" s="11"/>
      <c r="DD618" s="11"/>
      <c r="DE618" s="11"/>
      <c r="DF618" s="11"/>
      <c r="DG618" s="11"/>
      <c r="DH618" s="11"/>
      <c r="DI618" s="11"/>
      <c r="DJ618" s="11"/>
      <c r="DK618" s="11"/>
      <c r="DL618" s="11"/>
      <c r="DM618" s="118"/>
      <c r="DN618" s="118"/>
      <c r="DO618" s="118"/>
      <c r="DP618" s="52"/>
      <c r="DQ618" s="52"/>
      <c r="DR618" s="77"/>
      <c r="DS618" s="77"/>
      <c r="DT618" s="77"/>
      <c r="DU618" s="11"/>
      <c r="DV618" s="11"/>
      <c r="DW618" s="118">
        <v>1962400</v>
      </c>
      <c r="DX618" s="384">
        <f>+DW618*0.19</f>
        <v>372856</v>
      </c>
      <c r="DY618" s="384">
        <f>+DW618+DX618</f>
        <v>2335256</v>
      </c>
      <c r="DZ618" s="385" t="s">
        <v>2673</v>
      </c>
      <c r="EA618" s="11"/>
      <c r="EB618" s="11"/>
      <c r="EC618" s="11"/>
      <c r="ED618" s="11"/>
      <c r="EE618" s="11"/>
      <c r="EF618" s="11"/>
    </row>
    <row r="619" spans="1:136" ht="13.5" x14ac:dyDescent="0.25">
      <c r="A619" s="425">
        <v>617</v>
      </c>
      <c r="B619" s="427" t="s">
        <v>2674</v>
      </c>
      <c r="C619" s="413" t="s">
        <v>2675</v>
      </c>
      <c r="D619" s="413" t="s">
        <v>2676</v>
      </c>
      <c r="E619" s="79">
        <v>1</v>
      </c>
      <c r="F619" s="405"/>
      <c r="G619" s="274"/>
      <c r="H619" s="274"/>
      <c r="I619" s="274"/>
      <c r="J619" s="274"/>
      <c r="K619" s="11"/>
      <c r="L619" s="274"/>
      <c r="M619" s="274"/>
      <c r="N619" s="274"/>
      <c r="O619" s="48"/>
      <c r="P619" s="11"/>
      <c r="Q619" s="274"/>
      <c r="R619" s="274"/>
      <c r="S619" s="274"/>
      <c r="T619" s="11"/>
      <c r="U619" s="11"/>
      <c r="V619" s="11"/>
      <c r="W619" s="11"/>
      <c r="X619" s="11"/>
      <c r="Y619" s="11"/>
      <c r="Z619" s="48"/>
      <c r="AA619" s="52"/>
      <c r="AB619" s="52"/>
      <c r="AC619" s="118"/>
      <c r="AD619" s="5"/>
      <c r="AE619" s="52"/>
      <c r="AF619" s="113"/>
      <c r="AG619" s="113"/>
      <c r="AH619" s="113"/>
      <c r="AI619" s="52"/>
      <c r="AJ619" s="11"/>
      <c r="AK619" s="269"/>
      <c r="AL619" s="269"/>
      <c r="AM619" s="269"/>
      <c r="AN619" s="301"/>
      <c r="AO619" s="302"/>
      <c r="AP619" s="11"/>
      <c r="AQ619" s="11"/>
      <c r="AR619" s="11"/>
      <c r="AS619" s="11"/>
      <c r="AT619" s="11"/>
      <c r="AU619" s="118"/>
      <c r="AV619" s="118"/>
      <c r="AW619" s="118"/>
      <c r="AX619" s="52"/>
      <c r="AY619" s="52"/>
      <c r="AZ619" s="11"/>
      <c r="BA619" s="11"/>
      <c r="BB619" s="11"/>
      <c r="BC619" s="11"/>
      <c r="BD619" s="11"/>
      <c r="BE619" s="274"/>
      <c r="BF619" s="274"/>
      <c r="BG619" s="274"/>
      <c r="BH619" s="11"/>
      <c r="BI619" s="11"/>
      <c r="BJ619" s="311">
        <v>2509230.77</v>
      </c>
      <c r="BK619" s="311">
        <v>476753.84630000003</v>
      </c>
      <c r="BL619" s="311">
        <v>2985984.6162999999</v>
      </c>
      <c r="BM619" s="52" t="s">
        <v>138</v>
      </c>
      <c r="BN619" s="52">
        <v>10296028</v>
      </c>
      <c r="BO619" s="387"/>
      <c r="BP619" s="320"/>
      <c r="BQ619" s="320"/>
      <c r="BR619" s="4"/>
      <c r="BS619" s="4"/>
      <c r="BT619" s="11"/>
      <c r="BU619" s="11"/>
      <c r="BV619" s="11"/>
      <c r="BW619" s="11"/>
      <c r="BX619" s="11"/>
      <c r="BY619" s="348"/>
      <c r="BZ619" s="348"/>
      <c r="CA619" s="348"/>
      <c r="CB619" s="348"/>
      <c r="CC619" s="348"/>
      <c r="CD619" s="11"/>
      <c r="CE619" s="11"/>
      <c r="CF619" s="11"/>
      <c r="CG619" s="11"/>
      <c r="CH619" s="11"/>
      <c r="CI619" s="11"/>
      <c r="CJ619" s="11"/>
      <c r="CK619" s="11"/>
      <c r="CL619" s="11"/>
      <c r="CM619" s="11"/>
      <c r="CN619" s="274"/>
      <c r="CO619" s="274"/>
      <c r="CP619" s="274"/>
      <c r="CQ619" s="11"/>
      <c r="CR619" s="11"/>
      <c r="CS619" s="11"/>
      <c r="CT619" s="11"/>
      <c r="CU619" s="11"/>
      <c r="CV619" s="11"/>
      <c r="CW619" s="11"/>
      <c r="CX619" s="11"/>
      <c r="CY619" s="11"/>
      <c r="CZ619" s="11"/>
      <c r="DA619" s="11"/>
      <c r="DB619" s="11"/>
      <c r="DC619" s="11"/>
      <c r="DD619" s="11"/>
      <c r="DE619" s="11"/>
      <c r="DF619" s="11"/>
      <c r="DG619" s="11"/>
      <c r="DH619" s="11"/>
      <c r="DI619" s="11"/>
      <c r="DJ619" s="11"/>
      <c r="DK619" s="11"/>
      <c r="DL619" s="11"/>
      <c r="DM619" s="118"/>
      <c r="DN619" s="118"/>
      <c r="DO619" s="118"/>
      <c r="DP619" s="52"/>
      <c r="DQ619" s="52"/>
      <c r="DR619" s="77"/>
      <c r="DS619" s="77"/>
      <c r="DT619" s="77"/>
      <c r="DU619" s="11"/>
      <c r="DV619" s="11"/>
      <c r="DW619" s="11"/>
      <c r="DX619" s="11"/>
      <c r="DY619" s="11"/>
      <c r="DZ619" s="11"/>
      <c r="EA619" s="11"/>
      <c r="EB619" s="11"/>
      <c r="EC619" s="11"/>
      <c r="ED619" s="11"/>
      <c r="EE619" s="11"/>
      <c r="EF619" s="11"/>
    </row>
    <row r="620" spans="1:136" ht="38.25" x14ac:dyDescent="0.25">
      <c r="A620" s="425">
        <v>618</v>
      </c>
      <c r="B620" s="427" t="s">
        <v>2677</v>
      </c>
      <c r="C620" s="413" t="s">
        <v>2678</v>
      </c>
      <c r="D620" s="413" t="s">
        <v>2676</v>
      </c>
      <c r="E620" s="79">
        <v>1</v>
      </c>
      <c r="F620" s="405"/>
      <c r="G620" s="274"/>
      <c r="H620" s="274"/>
      <c r="I620" s="274"/>
      <c r="J620" s="274"/>
      <c r="K620" s="11"/>
      <c r="L620" s="274"/>
      <c r="M620" s="274"/>
      <c r="N620" s="274"/>
      <c r="O620" s="48"/>
      <c r="P620" s="11"/>
      <c r="Q620" s="274"/>
      <c r="R620" s="274"/>
      <c r="S620" s="274"/>
      <c r="T620" s="11"/>
      <c r="U620" s="11"/>
      <c r="V620" s="11"/>
      <c r="W620" s="11"/>
      <c r="X620" s="11"/>
      <c r="Y620" s="11"/>
      <c r="Z620" s="48"/>
      <c r="AA620" s="293">
        <v>2485350</v>
      </c>
      <c r="AB620" s="118">
        <f>+AA620*0.19</f>
        <v>472216.5</v>
      </c>
      <c r="AC620" s="118">
        <f>+AA620+AB620</f>
        <v>2957566.5</v>
      </c>
      <c r="AD620" s="5" t="s">
        <v>2083</v>
      </c>
      <c r="AE620" s="293">
        <v>740404200</v>
      </c>
      <c r="AF620" s="113"/>
      <c r="AG620" s="113"/>
      <c r="AH620" s="113"/>
      <c r="AI620" s="52"/>
      <c r="AJ620" s="11"/>
      <c r="AK620" s="269"/>
      <c r="AL620" s="269"/>
      <c r="AM620" s="269"/>
      <c r="AN620" s="301"/>
      <c r="AO620" s="302"/>
      <c r="AP620" s="11"/>
      <c r="AQ620" s="11"/>
      <c r="AR620" s="11"/>
      <c r="AS620" s="11"/>
      <c r="AT620" s="11"/>
      <c r="AU620" s="118"/>
      <c r="AV620" s="118"/>
      <c r="AW620" s="118"/>
      <c r="AX620" s="52"/>
      <c r="AY620" s="52"/>
      <c r="AZ620" s="11"/>
      <c r="BA620" s="11"/>
      <c r="BB620" s="11"/>
      <c r="BC620" s="11"/>
      <c r="BD620" s="11"/>
      <c r="BE620" s="274"/>
      <c r="BF620" s="274"/>
      <c r="BG620" s="274"/>
      <c r="BH620" s="11"/>
      <c r="BI620" s="11"/>
      <c r="BJ620" s="311">
        <v>2078461.54</v>
      </c>
      <c r="BK620" s="311">
        <v>394907.69260000001</v>
      </c>
      <c r="BL620" s="311">
        <v>2473369.2325999998</v>
      </c>
      <c r="BM620" s="52" t="s">
        <v>2679</v>
      </c>
      <c r="BN620" s="52">
        <v>15596018</v>
      </c>
      <c r="BO620" s="387"/>
      <c r="BP620" s="320"/>
      <c r="BQ620" s="320"/>
      <c r="BR620" s="4"/>
      <c r="BS620" s="4"/>
      <c r="BT620" s="11"/>
      <c r="BU620" s="11"/>
      <c r="BV620" s="11"/>
      <c r="BW620" s="11"/>
      <c r="BX620" s="11"/>
      <c r="BY620" s="348"/>
      <c r="BZ620" s="348"/>
      <c r="CA620" s="348"/>
      <c r="CB620" s="348"/>
      <c r="CC620" s="348"/>
      <c r="CD620" s="11"/>
      <c r="CE620" s="11"/>
      <c r="CF620" s="11"/>
      <c r="CG620" s="11"/>
      <c r="CH620" s="11"/>
      <c r="CI620" s="11"/>
      <c r="CJ620" s="11"/>
      <c r="CK620" s="11"/>
      <c r="CL620" s="11"/>
      <c r="CM620" s="11"/>
      <c r="CN620" s="274"/>
      <c r="CO620" s="274"/>
      <c r="CP620" s="274"/>
      <c r="CQ620" s="11"/>
      <c r="CR620" s="11"/>
      <c r="CS620" s="11"/>
      <c r="CT620" s="11"/>
      <c r="CU620" s="11"/>
      <c r="CV620" s="11"/>
      <c r="CW620" s="11"/>
      <c r="CX620" s="11"/>
      <c r="CY620" s="11"/>
      <c r="CZ620" s="11"/>
      <c r="DA620" s="11"/>
      <c r="DB620" s="11"/>
      <c r="DC620" s="11"/>
      <c r="DD620" s="11"/>
      <c r="DE620" s="11"/>
      <c r="DF620" s="11"/>
      <c r="DG620" s="11"/>
      <c r="DH620" s="11"/>
      <c r="DI620" s="11"/>
      <c r="DJ620" s="11"/>
      <c r="DK620" s="11"/>
      <c r="DL620" s="11"/>
      <c r="DM620" s="118"/>
      <c r="DN620" s="118"/>
      <c r="DO620" s="118"/>
      <c r="DP620" s="52"/>
      <c r="DQ620" s="52"/>
      <c r="DR620" s="77"/>
      <c r="DS620" s="77"/>
      <c r="DT620" s="77"/>
      <c r="DU620" s="11"/>
      <c r="DV620" s="11"/>
      <c r="DW620" s="11"/>
      <c r="DX620" s="11"/>
      <c r="DY620" s="11"/>
      <c r="DZ620" s="11"/>
      <c r="EA620" s="11"/>
      <c r="EB620" s="11"/>
      <c r="EC620" s="11"/>
      <c r="ED620" s="11"/>
      <c r="EE620" s="11"/>
      <c r="EF620" s="11"/>
    </row>
    <row r="621" spans="1:136" ht="13.5" x14ac:dyDescent="0.25">
      <c r="A621" s="425">
        <v>619</v>
      </c>
      <c r="B621" s="428" t="s">
        <v>2680</v>
      </c>
      <c r="C621" s="428" t="s">
        <v>2681</v>
      </c>
      <c r="D621" s="428" t="s">
        <v>39</v>
      </c>
      <c r="E621" s="79">
        <v>1</v>
      </c>
      <c r="F621" s="405"/>
      <c r="G621" s="274"/>
      <c r="H621" s="274"/>
      <c r="I621" s="274"/>
      <c r="J621" s="274"/>
      <c r="K621" s="11"/>
      <c r="L621" s="274"/>
      <c r="M621" s="274"/>
      <c r="N621" s="274"/>
      <c r="O621" s="48"/>
      <c r="P621" s="11"/>
      <c r="Q621" s="274"/>
      <c r="R621" s="274"/>
      <c r="S621" s="274"/>
      <c r="T621" s="11"/>
      <c r="U621" s="11"/>
      <c r="V621" s="11"/>
      <c r="W621" s="11"/>
      <c r="X621" s="11"/>
      <c r="Y621" s="11"/>
      <c r="Z621" s="48"/>
      <c r="AA621" s="52"/>
      <c r="AB621" s="52"/>
      <c r="AC621" s="118"/>
      <c r="AD621" s="5"/>
      <c r="AE621" s="52"/>
      <c r="AF621" s="113"/>
      <c r="AG621" s="113"/>
      <c r="AH621" s="113"/>
      <c r="AI621" s="52"/>
      <c r="AJ621" s="11"/>
      <c r="AK621" s="269"/>
      <c r="AL621" s="269"/>
      <c r="AM621" s="269"/>
      <c r="AN621" s="301"/>
      <c r="AO621" s="302"/>
      <c r="AP621" s="11"/>
      <c r="AQ621" s="11"/>
      <c r="AR621" s="11"/>
      <c r="AS621" s="11"/>
      <c r="AT621" s="11"/>
      <c r="AU621" s="118"/>
      <c r="AV621" s="118"/>
      <c r="AW621" s="118"/>
      <c r="AX621" s="52"/>
      <c r="AY621" s="52"/>
      <c r="AZ621" s="11"/>
      <c r="BA621" s="11"/>
      <c r="BB621" s="11"/>
      <c r="BC621" s="11"/>
      <c r="BD621" s="11"/>
      <c r="BE621" s="274"/>
      <c r="BF621" s="274"/>
      <c r="BG621" s="274"/>
      <c r="BH621" s="11"/>
      <c r="BI621" s="11"/>
      <c r="BJ621" s="311">
        <v>167461.54</v>
      </c>
      <c r="BK621" s="311">
        <v>31817.692600000002</v>
      </c>
      <c r="BL621" s="311">
        <v>199279.23259999999</v>
      </c>
      <c r="BM621" s="52" t="s">
        <v>2682</v>
      </c>
      <c r="BN621" s="52">
        <v>12604013</v>
      </c>
      <c r="BO621" s="387"/>
      <c r="BP621" s="320"/>
      <c r="BQ621" s="320"/>
      <c r="BR621" s="4"/>
      <c r="BS621" s="4"/>
      <c r="BT621" s="11"/>
      <c r="BU621" s="11"/>
      <c r="BV621" s="11"/>
      <c r="BW621" s="11"/>
      <c r="BX621" s="11"/>
      <c r="BY621" s="348"/>
      <c r="BZ621" s="348"/>
      <c r="CA621" s="348"/>
      <c r="CB621" s="348"/>
      <c r="CC621" s="348"/>
      <c r="CD621" s="11"/>
      <c r="CE621" s="11"/>
      <c r="CF621" s="11"/>
      <c r="CG621" s="11"/>
      <c r="CH621" s="11"/>
      <c r="CI621" s="11"/>
      <c r="CJ621" s="11"/>
      <c r="CK621" s="11"/>
      <c r="CL621" s="11"/>
      <c r="CM621" s="11"/>
      <c r="CN621" s="274"/>
      <c r="CO621" s="274"/>
      <c r="CP621" s="274"/>
      <c r="CQ621" s="11"/>
      <c r="CR621" s="11"/>
      <c r="CS621" s="11"/>
      <c r="CT621" s="11"/>
      <c r="CU621" s="11"/>
      <c r="CV621" s="11"/>
      <c r="CW621" s="11"/>
      <c r="CX621" s="11"/>
      <c r="CY621" s="11"/>
      <c r="CZ621" s="11"/>
      <c r="DA621" s="11"/>
      <c r="DB621" s="11"/>
      <c r="DC621" s="11"/>
      <c r="DD621" s="11"/>
      <c r="DE621" s="11"/>
      <c r="DF621" s="11"/>
      <c r="DG621" s="11"/>
      <c r="DH621" s="11"/>
      <c r="DI621" s="11"/>
      <c r="DJ621" s="11"/>
      <c r="DK621" s="11"/>
      <c r="DL621" s="11"/>
      <c r="DM621" s="118"/>
      <c r="DN621" s="118"/>
      <c r="DO621" s="118"/>
      <c r="DP621" s="52"/>
      <c r="DQ621" s="52"/>
      <c r="DR621" s="77"/>
      <c r="DS621" s="77"/>
      <c r="DT621" s="77"/>
      <c r="DU621" s="11"/>
      <c r="DV621" s="11"/>
      <c r="DW621" s="11"/>
      <c r="DX621" s="11"/>
      <c r="DY621" s="11"/>
      <c r="DZ621" s="11"/>
      <c r="EA621" s="11"/>
      <c r="EB621" s="11"/>
      <c r="EC621" s="11"/>
      <c r="ED621" s="11"/>
      <c r="EE621" s="11"/>
      <c r="EF621" s="11"/>
    </row>
    <row r="622" spans="1:136" ht="13.5" x14ac:dyDescent="0.25">
      <c r="A622" s="425">
        <v>620</v>
      </c>
      <c r="B622" s="427" t="s">
        <v>2683</v>
      </c>
      <c r="C622" s="427" t="s">
        <v>2684</v>
      </c>
      <c r="D622" s="427" t="s">
        <v>637</v>
      </c>
      <c r="E622" s="79">
        <v>1</v>
      </c>
      <c r="F622" s="405"/>
      <c r="G622" s="274"/>
      <c r="H622" s="274"/>
      <c r="I622" s="274"/>
      <c r="J622" s="274"/>
      <c r="K622" s="11"/>
      <c r="L622" s="274"/>
      <c r="M622" s="274"/>
      <c r="N622" s="274"/>
      <c r="O622" s="48"/>
      <c r="P622" s="11"/>
      <c r="Q622" s="274"/>
      <c r="R622" s="274"/>
      <c r="S622" s="274"/>
      <c r="T622" s="11"/>
      <c r="U622" s="11"/>
      <c r="V622" s="11"/>
      <c r="W622" s="11"/>
      <c r="X622" s="11"/>
      <c r="Y622" s="11"/>
      <c r="Z622" s="48"/>
      <c r="AA622" s="293"/>
      <c r="AB622" s="118"/>
      <c r="AC622" s="118"/>
      <c r="AD622" s="5"/>
      <c r="AE622" s="52"/>
      <c r="AF622" s="113"/>
      <c r="AG622" s="113"/>
      <c r="AH622" s="113"/>
      <c r="AI622" s="52"/>
      <c r="AJ622" s="11"/>
      <c r="AK622" s="269"/>
      <c r="AL622" s="269"/>
      <c r="AM622" s="269"/>
      <c r="AN622" s="301"/>
      <c r="AO622" s="302"/>
      <c r="AP622" s="11"/>
      <c r="AQ622" s="11"/>
      <c r="AR622" s="11"/>
      <c r="AS622" s="11"/>
      <c r="AT622" s="11"/>
      <c r="AU622" s="118"/>
      <c r="AV622" s="118"/>
      <c r="AW622" s="118"/>
      <c r="AX622" s="52"/>
      <c r="AY622" s="52"/>
      <c r="AZ622" s="11"/>
      <c r="BA622" s="11"/>
      <c r="BB622" s="11"/>
      <c r="BC622" s="11"/>
      <c r="BD622" s="11"/>
      <c r="BE622" s="274"/>
      <c r="BF622" s="274"/>
      <c r="BG622" s="274"/>
      <c r="BH622" s="11"/>
      <c r="BI622" s="11"/>
      <c r="BJ622" s="311">
        <v>2094615.38</v>
      </c>
      <c r="BK622" s="311">
        <v>397976.92219999997</v>
      </c>
      <c r="BL622" s="311">
        <v>2492592.3021999998</v>
      </c>
      <c r="BM622" s="52" t="s">
        <v>2685</v>
      </c>
      <c r="BN622" s="52">
        <v>27250018</v>
      </c>
      <c r="BO622" s="387">
        <v>268004.77</v>
      </c>
      <c r="BP622" s="320">
        <f>BO622*0.19</f>
        <v>50920.906300000002</v>
      </c>
      <c r="BQ622" s="320">
        <f>BO622+BP622</f>
        <v>318925.67630000005</v>
      </c>
      <c r="BR622" s="4" t="s">
        <v>2686</v>
      </c>
      <c r="BS622" s="4" t="s">
        <v>2303</v>
      </c>
      <c r="BT622" s="11"/>
      <c r="BU622" s="11"/>
      <c r="BV622" s="11"/>
      <c r="BW622" s="11"/>
      <c r="BX622" s="11"/>
      <c r="BY622" s="348"/>
      <c r="BZ622" s="348"/>
      <c r="CA622" s="348"/>
      <c r="CB622" s="348"/>
      <c r="CC622" s="348"/>
      <c r="CD622" s="11"/>
      <c r="CE622" s="11"/>
      <c r="CF622" s="11"/>
      <c r="CG622" s="11"/>
      <c r="CH622" s="11"/>
      <c r="CI622" s="11"/>
      <c r="CJ622" s="11"/>
      <c r="CK622" s="11"/>
      <c r="CL622" s="11"/>
      <c r="CM622" s="11"/>
      <c r="CN622" s="274"/>
      <c r="CO622" s="274"/>
      <c r="CP622" s="274"/>
      <c r="CQ622" s="11"/>
      <c r="CR622" s="11"/>
      <c r="CS622" s="11"/>
      <c r="CT622" s="11"/>
      <c r="CU622" s="11"/>
      <c r="CV622" s="11"/>
      <c r="CW622" s="11"/>
      <c r="CX622" s="11"/>
      <c r="CY622" s="11"/>
      <c r="CZ622" s="11"/>
      <c r="DA622" s="11"/>
      <c r="DB622" s="11"/>
      <c r="DC622" s="11"/>
      <c r="DD622" s="11"/>
      <c r="DE622" s="11"/>
      <c r="DF622" s="11"/>
      <c r="DG622" s="11"/>
      <c r="DH622" s="11"/>
      <c r="DI622" s="11"/>
      <c r="DJ622" s="11"/>
      <c r="DK622" s="11"/>
      <c r="DL622" s="11"/>
      <c r="DM622" s="118"/>
      <c r="DN622" s="118"/>
      <c r="DO622" s="118"/>
      <c r="DP622" s="52"/>
      <c r="DQ622" s="52"/>
      <c r="DR622" s="77"/>
      <c r="DS622" s="77"/>
      <c r="DT622" s="77"/>
      <c r="DU622" s="11"/>
      <c r="DV622" s="11"/>
      <c r="DW622" s="11"/>
      <c r="DX622" s="11"/>
      <c r="DY622" s="11"/>
      <c r="DZ622" s="11"/>
      <c r="EA622" s="11"/>
      <c r="EB622" s="11"/>
      <c r="EC622" s="11"/>
      <c r="ED622" s="11"/>
      <c r="EE622" s="11"/>
      <c r="EF622" s="11"/>
    </row>
    <row r="623" spans="1:136" ht="25.5" x14ac:dyDescent="0.25">
      <c r="A623" s="425">
        <v>621</v>
      </c>
      <c r="B623" s="428" t="s">
        <v>2687</v>
      </c>
      <c r="C623" s="428" t="s">
        <v>2688</v>
      </c>
      <c r="D623" s="428" t="s">
        <v>2689</v>
      </c>
      <c r="E623" s="79">
        <v>1</v>
      </c>
      <c r="F623" s="405"/>
      <c r="G623" s="274"/>
      <c r="H623" s="274"/>
      <c r="I623" s="274"/>
      <c r="J623" s="274"/>
      <c r="K623" s="11"/>
      <c r="L623" s="274">
        <v>280000</v>
      </c>
      <c r="M623" s="274">
        <f>L623*19%</f>
        <v>53200</v>
      </c>
      <c r="N623" s="274">
        <f>M623+L623</f>
        <v>333200</v>
      </c>
      <c r="O623" s="48" t="s">
        <v>906</v>
      </c>
      <c r="P623" s="11" t="s">
        <v>2690</v>
      </c>
      <c r="Q623" s="274"/>
      <c r="R623" s="274"/>
      <c r="S623" s="274"/>
      <c r="T623" s="11"/>
      <c r="U623" s="11"/>
      <c r="V623" s="11"/>
      <c r="W623" s="11"/>
      <c r="X623" s="11"/>
      <c r="Y623" s="11"/>
      <c r="Z623" s="48"/>
      <c r="AA623" s="293">
        <v>273700</v>
      </c>
      <c r="AB623" s="118">
        <f>+AA623*0.19</f>
        <v>52003</v>
      </c>
      <c r="AC623" s="118">
        <f>+AA623+AB623</f>
        <v>325703</v>
      </c>
      <c r="AD623" s="5" t="s">
        <v>542</v>
      </c>
      <c r="AE623" s="52">
        <v>91689149</v>
      </c>
      <c r="AF623" s="113"/>
      <c r="AG623" s="113"/>
      <c r="AH623" s="113"/>
      <c r="AI623" s="52"/>
      <c r="AJ623" s="11"/>
      <c r="AK623" s="269"/>
      <c r="AL623" s="269"/>
      <c r="AM623" s="269"/>
      <c r="AN623" s="301"/>
      <c r="AO623" s="302"/>
      <c r="AP623" s="11"/>
      <c r="AQ623" s="11"/>
      <c r="AR623" s="11"/>
      <c r="AS623" s="11"/>
      <c r="AT623" s="11"/>
      <c r="AU623" s="118">
        <v>56883</v>
      </c>
      <c r="AV623" s="118">
        <v>10808</v>
      </c>
      <c r="AW623" s="118">
        <v>67691</v>
      </c>
      <c r="AX623" s="52" t="s">
        <v>607</v>
      </c>
      <c r="AY623" s="52" t="s">
        <v>2691</v>
      </c>
      <c r="AZ623" s="11"/>
      <c r="BA623" s="11"/>
      <c r="BB623" s="11"/>
      <c r="BC623" s="11"/>
      <c r="BD623" s="11"/>
      <c r="BE623" s="274"/>
      <c r="BF623" s="274"/>
      <c r="BG623" s="274"/>
      <c r="BH623" s="11"/>
      <c r="BI623" s="11"/>
      <c r="BJ623" s="311">
        <v>82276.92</v>
      </c>
      <c r="BK623" s="311">
        <v>15632.614799999999</v>
      </c>
      <c r="BL623" s="311">
        <v>97909.534799999994</v>
      </c>
      <c r="BM623" s="52" t="s">
        <v>1900</v>
      </c>
      <c r="BN623" s="52">
        <v>25300054</v>
      </c>
      <c r="BO623" s="387">
        <v>268004.77</v>
      </c>
      <c r="BP623" s="320">
        <f>BO623*0.19</f>
        <v>50920.906300000002</v>
      </c>
      <c r="BQ623" s="320">
        <f>BO623+BP623</f>
        <v>318925.67630000005</v>
      </c>
      <c r="BR623" s="4" t="s">
        <v>2692</v>
      </c>
      <c r="BS623" s="4" t="s">
        <v>2359</v>
      </c>
      <c r="BT623" s="11"/>
      <c r="BU623" s="11"/>
      <c r="BV623" s="11"/>
      <c r="BW623" s="11"/>
      <c r="BX623" s="11"/>
      <c r="BY623" s="348"/>
      <c r="BZ623" s="348"/>
      <c r="CA623" s="348"/>
      <c r="CB623" s="348"/>
      <c r="CC623" s="348"/>
      <c r="CD623" s="11"/>
      <c r="CE623" s="11"/>
      <c r="CF623" s="11"/>
      <c r="CG623" s="11"/>
      <c r="CH623" s="11"/>
      <c r="CI623" s="11"/>
      <c r="CJ623" s="11"/>
      <c r="CK623" s="11"/>
      <c r="CL623" s="11"/>
      <c r="CM623" s="11"/>
      <c r="CN623" s="274"/>
      <c r="CO623" s="274"/>
      <c r="CP623" s="274"/>
      <c r="CQ623" s="11"/>
      <c r="CR623" s="11"/>
      <c r="CS623" s="11"/>
      <c r="CT623" s="11"/>
      <c r="CU623" s="11"/>
      <c r="CV623" s="11"/>
      <c r="CW623" s="11"/>
      <c r="CX623" s="11"/>
      <c r="CY623" s="11"/>
      <c r="CZ623" s="11"/>
      <c r="DA623" s="11"/>
      <c r="DB623" s="11"/>
      <c r="DC623" s="11"/>
      <c r="DD623" s="11"/>
      <c r="DE623" s="11"/>
      <c r="DF623" s="11"/>
      <c r="DG623" s="11"/>
      <c r="DH623" s="11"/>
      <c r="DI623" s="11"/>
      <c r="DJ623" s="11"/>
      <c r="DK623" s="11"/>
      <c r="DL623" s="11"/>
      <c r="DM623" s="118"/>
      <c r="DN623" s="118"/>
      <c r="DO623" s="118"/>
      <c r="DP623" s="52"/>
      <c r="DQ623" s="52"/>
      <c r="DR623" s="77"/>
      <c r="DS623" s="77"/>
      <c r="DT623" s="77"/>
      <c r="DU623" s="11"/>
      <c r="DV623" s="11"/>
      <c r="DW623" s="11"/>
      <c r="DX623" s="11"/>
      <c r="DY623" s="11"/>
      <c r="DZ623" s="11"/>
      <c r="EA623" s="11"/>
      <c r="EB623" s="11"/>
      <c r="EC623" s="11"/>
      <c r="ED623" s="11"/>
      <c r="EE623" s="11"/>
      <c r="EF623" s="11"/>
    </row>
    <row r="624" spans="1:136" ht="13.5" x14ac:dyDescent="0.25">
      <c r="A624" s="425">
        <v>622</v>
      </c>
      <c r="B624" s="428" t="s">
        <v>2693</v>
      </c>
      <c r="C624" s="428" t="s">
        <v>2694</v>
      </c>
      <c r="D624" s="428" t="s">
        <v>2695</v>
      </c>
      <c r="E624" s="79">
        <v>1</v>
      </c>
      <c r="F624" s="405"/>
      <c r="G624" s="274"/>
      <c r="H624" s="274"/>
      <c r="I624" s="274"/>
      <c r="J624" s="274"/>
      <c r="K624" s="11"/>
      <c r="L624" s="274"/>
      <c r="M624" s="274"/>
      <c r="N624" s="274"/>
      <c r="O624" s="48"/>
      <c r="P624" s="11"/>
      <c r="Q624" s="274"/>
      <c r="R624" s="274"/>
      <c r="S624" s="274"/>
      <c r="T624" s="11"/>
      <c r="U624" s="11"/>
      <c r="V624" s="11"/>
      <c r="W624" s="11"/>
      <c r="X624" s="11"/>
      <c r="Y624" s="11"/>
      <c r="Z624" s="48"/>
      <c r="AA624" s="52"/>
      <c r="AB624" s="52"/>
      <c r="AC624" s="118"/>
      <c r="AD624" s="5"/>
      <c r="AE624" s="52"/>
      <c r="AF624" s="113"/>
      <c r="AG624" s="113"/>
      <c r="AH624" s="113"/>
      <c r="AI624" s="52"/>
      <c r="AJ624" s="11"/>
      <c r="AK624" s="269"/>
      <c r="AL624" s="269"/>
      <c r="AM624" s="269"/>
      <c r="AN624" s="301"/>
      <c r="AO624" s="302"/>
      <c r="AP624" s="11"/>
      <c r="AQ624" s="11"/>
      <c r="AR624" s="11"/>
      <c r="AS624" s="11"/>
      <c r="AT624" s="11"/>
      <c r="AU624" s="118"/>
      <c r="AV624" s="118"/>
      <c r="AW624" s="118"/>
      <c r="AX624" s="52"/>
      <c r="AY624" s="52"/>
      <c r="AZ624" s="11"/>
      <c r="BA624" s="11"/>
      <c r="BB624" s="11"/>
      <c r="BC624" s="11"/>
      <c r="BD624" s="11"/>
      <c r="BE624" s="274"/>
      <c r="BF624" s="274"/>
      <c r="BG624" s="274"/>
      <c r="BH624" s="11"/>
      <c r="BI624" s="11"/>
      <c r="BJ624" s="311">
        <v>538461.54</v>
      </c>
      <c r="BK624" s="311">
        <v>102307.69260000001</v>
      </c>
      <c r="BL624" s="311">
        <v>640769.23259999999</v>
      </c>
      <c r="BM624" s="52" t="s">
        <v>2696</v>
      </c>
      <c r="BN624" s="52">
        <v>20233</v>
      </c>
      <c r="BO624" s="387"/>
      <c r="BP624" s="320"/>
      <c r="BQ624" s="320"/>
      <c r="BR624" s="4"/>
      <c r="BS624" s="4"/>
      <c r="BT624" s="11"/>
      <c r="BU624" s="11"/>
      <c r="BV624" s="11"/>
      <c r="BW624" s="11"/>
      <c r="BX624" s="11"/>
      <c r="BY624" s="348"/>
      <c r="BZ624" s="348"/>
      <c r="CA624" s="348"/>
      <c r="CB624" s="348"/>
      <c r="CC624" s="348"/>
      <c r="CD624" s="11"/>
      <c r="CE624" s="11"/>
      <c r="CF624" s="11"/>
      <c r="CG624" s="11"/>
      <c r="CH624" s="11"/>
      <c r="CI624" s="11"/>
      <c r="CJ624" s="11"/>
      <c r="CK624" s="11"/>
      <c r="CL624" s="11"/>
      <c r="CM624" s="11"/>
      <c r="CN624" s="274"/>
      <c r="CO624" s="274"/>
      <c r="CP624" s="274"/>
      <c r="CQ624" s="11"/>
      <c r="CR624" s="11"/>
      <c r="CS624" s="11"/>
      <c r="CT624" s="11"/>
      <c r="CU624" s="11"/>
      <c r="CV624" s="11"/>
      <c r="CW624" s="11"/>
      <c r="CX624" s="11"/>
      <c r="CY624" s="11"/>
      <c r="CZ624" s="11"/>
      <c r="DA624" s="11"/>
      <c r="DB624" s="11"/>
      <c r="DC624" s="11"/>
      <c r="DD624" s="11"/>
      <c r="DE624" s="11"/>
      <c r="DF624" s="11"/>
      <c r="DG624" s="11"/>
      <c r="DH624" s="11"/>
      <c r="DI624" s="11"/>
      <c r="DJ624" s="11"/>
      <c r="DK624" s="11"/>
      <c r="DL624" s="11"/>
      <c r="DM624" s="118"/>
      <c r="DN624" s="118"/>
      <c r="DO624" s="118"/>
      <c r="DP624" s="52"/>
      <c r="DQ624" s="52"/>
      <c r="DR624" s="77"/>
      <c r="DS624" s="77"/>
      <c r="DT624" s="77"/>
      <c r="DU624" s="11"/>
      <c r="DV624" s="11"/>
      <c r="DW624" s="11"/>
      <c r="DX624" s="11"/>
      <c r="DY624" s="11"/>
      <c r="DZ624" s="11"/>
      <c r="EA624" s="11"/>
      <c r="EB624" s="11"/>
      <c r="EC624" s="11"/>
      <c r="ED624" s="11"/>
      <c r="EE624" s="11"/>
      <c r="EF624" s="11"/>
    </row>
    <row r="625" spans="1:136" ht="27" x14ac:dyDescent="0.25">
      <c r="A625" s="425">
        <v>623</v>
      </c>
      <c r="B625" s="426" t="s">
        <v>2697</v>
      </c>
      <c r="C625" s="413" t="s">
        <v>2698</v>
      </c>
      <c r="D625" s="413" t="s">
        <v>2023</v>
      </c>
      <c r="E625" s="79">
        <v>1</v>
      </c>
      <c r="F625" s="406">
        <v>1267184.3996000001</v>
      </c>
      <c r="G625" s="274"/>
      <c r="H625" s="274"/>
      <c r="I625" s="274"/>
      <c r="J625" s="274"/>
      <c r="K625" s="11"/>
      <c r="L625" s="274"/>
      <c r="M625" s="274"/>
      <c r="N625" s="274"/>
      <c r="O625" s="48"/>
      <c r="P625" s="11"/>
      <c r="Q625" s="274"/>
      <c r="R625" s="274"/>
      <c r="S625" s="274"/>
      <c r="T625" s="11"/>
      <c r="U625" s="11"/>
      <c r="V625" s="11"/>
      <c r="W625" s="11"/>
      <c r="X625" s="11"/>
      <c r="Y625" s="11"/>
      <c r="Z625" s="48"/>
      <c r="AA625" s="52"/>
      <c r="AB625" s="52"/>
      <c r="AC625" s="118"/>
      <c r="AD625" s="5"/>
      <c r="AE625" s="52"/>
      <c r="AF625" s="113"/>
      <c r="AG625" s="113"/>
      <c r="AH625" s="113"/>
      <c r="AI625" s="52"/>
      <c r="AJ625" s="11"/>
      <c r="AK625" s="269"/>
      <c r="AL625" s="269"/>
      <c r="AM625" s="269"/>
      <c r="AN625" s="301"/>
      <c r="AO625" s="302"/>
      <c r="AP625" s="11"/>
      <c r="AQ625" s="11"/>
      <c r="AR625" s="11"/>
      <c r="AS625" s="11"/>
      <c r="AT625" s="11"/>
      <c r="AU625" s="118"/>
      <c r="AV625" s="118"/>
      <c r="AW625" s="118"/>
      <c r="AX625" s="52"/>
      <c r="AY625" s="52"/>
      <c r="AZ625" s="11"/>
      <c r="BA625" s="11"/>
      <c r="BB625" s="11"/>
      <c r="BC625" s="11"/>
      <c r="BD625" s="11"/>
      <c r="BE625" s="274"/>
      <c r="BF625" s="274"/>
      <c r="BG625" s="274"/>
      <c r="BH625" s="11"/>
      <c r="BI625" s="11"/>
      <c r="BJ625" s="311"/>
      <c r="BK625" s="311"/>
      <c r="BL625" s="311"/>
      <c r="BM625" s="52"/>
      <c r="BN625" s="52"/>
      <c r="BO625" s="387"/>
      <c r="BP625" s="320"/>
      <c r="BQ625" s="320"/>
      <c r="BR625" s="4"/>
      <c r="BS625" s="4"/>
      <c r="BT625" s="11"/>
      <c r="BU625" s="11"/>
      <c r="BV625" s="11"/>
      <c r="BW625" s="11"/>
      <c r="BX625" s="11"/>
      <c r="BY625" s="348"/>
      <c r="BZ625" s="348"/>
      <c r="CA625" s="348"/>
      <c r="CB625" s="348"/>
      <c r="CC625" s="348"/>
      <c r="CD625" s="11"/>
      <c r="CE625" s="11"/>
      <c r="CF625" s="11"/>
      <c r="CG625" s="11"/>
      <c r="CH625" s="11"/>
      <c r="CI625" s="11"/>
      <c r="CJ625" s="11"/>
      <c r="CK625" s="11"/>
      <c r="CL625" s="11"/>
      <c r="CM625" s="11"/>
      <c r="CN625" s="274"/>
      <c r="CO625" s="274"/>
      <c r="CP625" s="274"/>
      <c r="CQ625" s="11"/>
      <c r="CR625" s="11"/>
      <c r="CS625" s="11"/>
      <c r="CT625" s="11"/>
      <c r="CU625" s="11"/>
      <c r="CV625" s="11"/>
      <c r="CW625" s="11"/>
      <c r="CX625" s="11"/>
      <c r="CY625" s="11"/>
      <c r="CZ625" s="11"/>
      <c r="DA625" s="11"/>
      <c r="DB625" s="11"/>
      <c r="DC625" s="11"/>
      <c r="DD625" s="11"/>
      <c r="DE625" s="11"/>
      <c r="DF625" s="11"/>
      <c r="DG625" s="11"/>
      <c r="DH625" s="11"/>
      <c r="DI625" s="11"/>
      <c r="DJ625" s="11"/>
      <c r="DK625" s="11"/>
      <c r="DL625" s="11"/>
      <c r="DM625" s="118"/>
      <c r="DN625" s="118"/>
      <c r="DO625" s="118"/>
      <c r="DP625" s="52"/>
      <c r="DQ625" s="52"/>
      <c r="DR625" s="77"/>
      <c r="DS625" s="77"/>
      <c r="DT625" s="77"/>
      <c r="DU625" s="11"/>
      <c r="DV625" s="11"/>
      <c r="DW625" s="11"/>
      <c r="DX625" s="11"/>
      <c r="DY625" s="11"/>
      <c r="DZ625" s="11"/>
      <c r="EA625" s="11"/>
      <c r="EB625" s="11"/>
      <c r="EC625" s="11"/>
      <c r="ED625" s="11"/>
      <c r="EE625" s="11"/>
      <c r="EF625" s="11"/>
    </row>
    <row r="626" spans="1:136" ht="40.5" x14ac:dyDescent="0.25">
      <c r="A626" s="425">
        <v>624</v>
      </c>
      <c r="B626" s="427" t="s">
        <v>2699</v>
      </c>
      <c r="C626" s="413" t="s">
        <v>2700</v>
      </c>
      <c r="D626" s="413" t="s">
        <v>2701</v>
      </c>
      <c r="E626" s="79">
        <v>1</v>
      </c>
      <c r="F626" s="406">
        <v>370779.01</v>
      </c>
      <c r="G626" s="274">
        <v>372500</v>
      </c>
      <c r="H626" s="274">
        <v>70775</v>
      </c>
      <c r="I626" s="274">
        <v>443275</v>
      </c>
      <c r="J626" s="274" t="s">
        <v>45</v>
      </c>
      <c r="K626" s="11" t="s">
        <v>2702</v>
      </c>
      <c r="L626" s="274"/>
      <c r="M626" s="274"/>
      <c r="N626" s="274"/>
      <c r="O626" s="48"/>
      <c r="P626" s="11"/>
      <c r="Q626" s="274"/>
      <c r="R626" s="274"/>
      <c r="S626" s="274"/>
      <c r="T626" s="11"/>
      <c r="U626" s="11"/>
      <c r="V626" s="11"/>
      <c r="W626" s="11"/>
      <c r="X626" s="11"/>
      <c r="Y626" s="11"/>
      <c r="Z626" s="48"/>
      <c r="AA626" s="52"/>
      <c r="AB626" s="52"/>
      <c r="AC626" s="118"/>
      <c r="AD626" s="5"/>
      <c r="AE626" s="52"/>
      <c r="AF626" s="113">
        <v>267000</v>
      </c>
      <c r="AG626" s="113">
        <f>AF626*0.19</f>
        <v>50730</v>
      </c>
      <c r="AH626" s="113">
        <f>AF626+AG626</f>
        <v>317730</v>
      </c>
      <c r="AI626" s="277" t="s">
        <v>628</v>
      </c>
      <c r="AJ626" s="33" t="s">
        <v>2703</v>
      </c>
      <c r="AK626" s="269">
        <v>213000</v>
      </c>
      <c r="AL626" s="269">
        <v>40470</v>
      </c>
      <c r="AM626" s="269">
        <v>253470</v>
      </c>
      <c r="AN626" s="301" t="s">
        <v>37</v>
      </c>
      <c r="AO626" s="302" t="s">
        <v>2704</v>
      </c>
      <c r="AP626" s="274">
        <v>543000</v>
      </c>
      <c r="AQ626" s="274">
        <v>103170</v>
      </c>
      <c r="AR626" s="274">
        <v>646170</v>
      </c>
      <c r="AS626" s="274" t="s">
        <v>1285</v>
      </c>
      <c r="AT626" s="274" t="s">
        <v>2705</v>
      </c>
      <c r="AU626" s="118">
        <v>147870</v>
      </c>
      <c r="AV626" s="118">
        <v>28095</v>
      </c>
      <c r="AW626" s="118">
        <v>175965</v>
      </c>
      <c r="AX626" s="52" t="s">
        <v>607</v>
      </c>
      <c r="AY626" s="52">
        <v>8221840500</v>
      </c>
      <c r="AZ626" s="11"/>
      <c r="BA626" s="11"/>
      <c r="BB626" s="11"/>
      <c r="BC626" s="11"/>
      <c r="BD626" s="11"/>
      <c r="BE626" s="274">
        <v>389000</v>
      </c>
      <c r="BF626" s="274">
        <v>73910</v>
      </c>
      <c r="BG626" s="274">
        <v>462910</v>
      </c>
      <c r="BH626" s="11" t="s">
        <v>88</v>
      </c>
      <c r="BI626" s="11" t="s">
        <v>2704</v>
      </c>
      <c r="BJ626" s="311"/>
      <c r="BK626" s="311"/>
      <c r="BL626" s="311"/>
      <c r="BM626" s="52"/>
      <c r="BN626" s="52"/>
      <c r="BO626" s="387">
        <v>479600</v>
      </c>
      <c r="BP626" s="320">
        <f>BO626*0.19</f>
        <v>91124</v>
      </c>
      <c r="BQ626" s="320">
        <f>BO626+BP626</f>
        <v>570724</v>
      </c>
      <c r="BR626" s="4" t="s">
        <v>2706</v>
      </c>
      <c r="BS626" s="4" t="s">
        <v>866</v>
      </c>
      <c r="BT626" s="11"/>
      <c r="BU626" s="11"/>
      <c r="BV626" s="11"/>
      <c r="BW626" s="11"/>
      <c r="BX626" s="11"/>
      <c r="BY626" s="348"/>
      <c r="BZ626" s="348"/>
      <c r="CA626" s="348"/>
      <c r="CB626" s="348"/>
      <c r="CC626" s="348"/>
      <c r="CD626" s="11"/>
      <c r="CE626" s="11"/>
      <c r="CF626" s="11"/>
      <c r="CG626" s="11"/>
      <c r="CH626" s="11"/>
      <c r="CI626" s="11"/>
      <c r="CJ626" s="11"/>
      <c r="CK626" s="11"/>
      <c r="CL626" s="11"/>
      <c r="CM626" s="11"/>
      <c r="CN626" s="274"/>
      <c r="CO626" s="274"/>
      <c r="CP626" s="274"/>
      <c r="CQ626" s="11"/>
      <c r="CR626" s="11"/>
      <c r="CS626" s="11"/>
      <c r="CT626" s="11"/>
      <c r="CU626" s="11"/>
      <c r="CV626" s="11"/>
      <c r="CW626" s="11"/>
      <c r="CX626" s="11"/>
      <c r="CY626" s="11"/>
      <c r="CZ626" s="11"/>
      <c r="DA626" s="11"/>
      <c r="DB626" s="11"/>
      <c r="DC626" s="11"/>
      <c r="DD626" s="11"/>
      <c r="DE626" s="11"/>
      <c r="DF626" s="11"/>
      <c r="DG626" s="11"/>
      <c r="DH626" s="11"/>
      <c r="DI626" s="11"/>
      <c r="DJ626" s="11"/>
      <c r="DK626" s="11"/>
      <c r="DL626" s="11"/>
      <c r="DM626" s="118"/>
      <c r="DN626" s="118"/>
      <c r="DO626" s="118"/>
      <c r="DP626" s="52"/>
      <c r="DQ626" s="52"/>
      <c r="DR626" s="77"/>
      <c r="DS626" s="77"/>
      <c r="DT626" s="77"/>
      <c r="DU626" s="11"/>
      <c r="DV626" s="11"/>
      <c r="DW626" s="274">
        <v>234300</v>
      </c>
      <c r="DX626" s="384">
        <f>+DW626*0.19</f>
        <v>44517</v>
      </c>
      <c r="DY626" s="384">
        <f>+DW626+DX626</f>
        <v>278817</v>
      </c>
      <c r="DZ626" s="284" t="s">
        <v>2707</v>
      </c>
      <c r="EA626" s="11"/>
      <c r="EB626" s="11"/>
      <c r="EC626" s="11"/>
      <c r="ED626" s="11"/>
      <c r="EE626" s="11"/>
      <c r="EF626" s="11"/>
    </row>
    <row r="627" spans="1:136" ht="40.5" x14ac:dyDescent="0.25">
      <c r="A627" s="425">
        <v>625</v>
      </c>
      <c r="B627" s="427" t="s">
        <v>2708</v>
      </c>
      <c r="C627" s="413" t="s">
        <v>2709</v>
      </c>
      <c r="D627" s="413" t="s">
        <v>2710</v>
      </c>
      <c r="E627" s="79">
        <v>1</v>
      </c>
      <c r="F627" s="406">
        <v>515319.98000000004</v>
      </c>
      <c r="G627" s="274">
        <v>587500</v>
      </c>
      <c r="H627" s="274">
        <v>111625</v>
      </c>
      <c r="I627" s="274">
        <v>699125</v>
      </c>
      <c r="J627" s="274" t="s">
        <v>45</v>
      </c>
      <c r="K627" s="11" t="s">
        <v>2711</v>
      </c>
      <c r="L627" s="274"/>
      <c r="M627" s="274"/>
      <c r="N627" s="274"/>
      <c r="O627" s="48"/>
      <c r="P627" s="11"/>
      <c r="Q627" s="274"/>
      <c r="R627" s="274"/>
      <c r="S627" s="274"/>
      <c r="T627" s="11"/>
      <c r="U627" s="11"/>
      <c r="V627" s="11"/>
      <c r="W627" s="11"/>
      <c r="X627" s="11"/>
      <c r="Y627" s="11"/>
      <c r="Z627" s="48"/>
      <c r="AA627" s="52"/>
      <c r="AB627" s="52"/>
      <c r="AC627" s="118"/>
      <c r="AD627" s="5"/>
      <c r="AE627" s="52"/>
      <c r="AF627" s="113">
        <v>335000</v>
      </c>
      <c r="AG627" s="113">
        <f>AF627*0.19</f>
        <v>63650</v>
      </c>
      <c r="AH627" s="113">
        <f>AF627+AG627</f>
        <v>398650</v>
      </c>
      <c r="AI627" s="277" t="s">
        <v>628</v>
      </c>
      <c r="AJ627" s="33" t="s">
        <v>2712</v>
      </c>
      <c r="AK627" s="269">
        <v>273600</v>
      </c>
      <c r="AL627" s="269">
        <v>51984</v>
      </c>
      <c r="AM627" s="269">
        <v>325584</v>
      </c>
      <c r="AN627" s="301" t="s">
        <v>88</v>
      </c>
      <c r="AO627" s="302">
        <v>8221870500</v>
      </c>
      <c r="AP627" s="274">
        <v>409000</v>
      </c>
      <c r="AQ627" s="274">
        <v>77710</v>
      </c>
      <c r="AR627" s="274">
        <v>486710</v>
      </c>
      <c r="AS627" s="274" t="s">
        <v>1285</v>
      </c>
      <c r="AT627" s="274" t="s">
        <v>2713</v>
      </c>
      <c r="AU627" s="118">
        <v>347929</v>
      </c>
      <c r="AV627" s="118">
        <v>66107</v>
      </c>
      <c r="AW627" s="118">
        <v>414036</v>
      </c>
      <c r="AX627" s="52" t="s">
        <v>607</v>
      </c>
      <c r="AY627" s="52">
        <v>8221870500</v>
      </c>
      <c r="AZ627" s="11"/>
      <c r="BA627" s="11"/>
      <c r="BB627" s="11"/>
      <c r="BC627" s="11"/>
      <c r="BD627" s="11"/>
      <c r="BE627" s="274"/>
      <c r="BF627" s="274"/>
      <c r="BG627" s="274"/>
      <c r="BH627" s="11"/>
      <c r="BI627" s="11"/>
      <c r="BJ627" s="311"/>
      <c r="BK627" s="311"/>
      <c r="BL627" s="311"/>
      <c r="BM627" s="52"/>
      <c r="BN627" s="52"/>
      <c r="BO627" s="387"/>
      <c r="BP627" s="320"/>
      <c r="BQ627" s="320"/>
      <c r="BR627" s="4"/>
      <c r="BS627" s="4"/>
      <c r="BT627" s="11"/>
      <c r="BU627" s="11"/>
      <c r="BV627" s="11"/>
      <c r="BW627" s="11"/>
      <c r="BX627" s="11"/>
      <c r="BY627" s="348"/>
      <c r="BZ627" s="348"/>
      <c r="CA627" s="348"/>
      <c r="CB627" s="348"/>
      <c r="CC627" s="348"/>
      <c r="CD627" s="11"/>
      <c r="CE627" s="11"/>
      <c r="CF627" s="11"/>
      <c r="CG627" s="11"/>
      <c r="CH627" s="11"/>
      <c r="CI627" s="11"/>
      <c r="CJ627" s="11"/>
      <c r="CK627" s="11"/>
      <c r="CL627" s="11"/>
      <c r="CM627" s="11"/>
      <c r="CN627" s="274"/>
      <c r="CO627" s="274"/>
      <c r="CP627" s="274"/>
      <c r="CQ627" s="11"/>
      <c r="CR627" s="11"/>
      <c r="CS627" s="11"/>
      <c r="CT627" s="11"/>
      <c r="CU627" s="11"/>
      <c r="CV627" s="11"/>
      <c r="CW627" s="11"/>
      <c r="CX627" s="11"/>
      <c r="CY627" s="11"/>
      <c r="CZ627" s="11"/>
      <c r="DA627" s="11"/>
      <c r="DB627" s="11"/>
      <c r="DC627" s="11"/>
      <c r="DD627" s="11"/>
      <c r="DE627" s="11"/>
      <c r="DF627" s="11"/>
      <c r="DG627" s="11"/>
      <c r="DH627" s="11"/>
      <c r="DI627" s="11"/>
      <c r="DJ627" s="11"/>
      <c r="DK627" s="11"/>
      <c r="DL627" s="11"/>
      <c r="DM627" s="118"/>
      <c r="DN627" s="118"/>
      <c r="DO627" s="118"/>
      <c r="DP627" s="52"/>
      <c r="DQ627" s="52"/>
      <c r="DR627" s="77"/>
      <c r="DS627" s="77"/>
      <c r="DT627" s="77"/>
      <c r="DU627" s="11"/>
      <c r="DV627" s="11"/>
      <c r="DW627" s="274">
        <v>258500</v>
      </c>
      <c r="DX627" s="384">
        <f>+DW627*0.19</f>
        <v>49115</v>
      </c>
      <c r="DY627" s="384">
        <f>+DW627+DX627</f>
        <v>307615</v>
      </c>
      <c r="DZ627" s="383" t="s">
        <v>2714</v>
      </c>
      <c r="EA627" s="11"/>
      <c r="EB627" s="11"/>
      <c r="EC627" s="11"/>
      <c r="ED627" s="11"/>
      <c r="EE627" s="11"/>
      <c r="EF627" s="11"/>
    </row>
    <row r="628" spans="1:136" ht="38.25" x14ac:dyDescent="0.25">
      <c r="A628" s="425">
        <v>626</v>
      </c>
      <c r="B628" s="426" t="s">
        <v>2715</v>
      </c>
      <c r="C628" s="427" t="s">
        <v>2716</v>
      </c>
      <c r="D628" s="427" t="s">
        <v>609</v>
      </c>
      <c r="E628" s="79">
        <v>1</v>
      </c>
      <c r="F628" s="405"/>
      <c r="G628" s="274"/>
      <c r="H628" s="274"/>
      <c r="I628" s="274"/>
      <c r="J628" s="274"/>
      <c r="K628" s="11"/>
      <c r="L628" s="274">
        <v>1800000</v>
      </c>
      <c r="M628" s="274">
        <f>L628*19%</f>
        <v>342000</v>
      </c>
      <c r="N628" s="274">
        <f>M628+L628</f>
        <v>2142000</v>
      </c>
      <c r="O628" s="48" t="s">
        <v>862</v>
      </c>
      <c r="P628" s="11" t="s">
        <v>863</v>
      </c>
      <c r="Q628" s="274"/>
      <c r="R628" s="274"/>
      <c r="S628" s="274"/>
      <c r="T628" s="11"/>
      <c r="U628" s="11"/>
      <c r="V628" s="11"/>
      <c r="W628" s="11"/>
      <c r="X628" s="11"/>
      <c r="Y628" s="11"/>
      <c r="Z628" s="48"/>
      <c r="AA628" s="52"/>
      <c r="AB628" s="52"/>
      <c r="AC628" s="118"/>
      <c r="AD628" s="5"/>
      <c r="AE628" s="52"/>
      <c r="AF628" s="113"/>
      <c r="AG628" s="113"/>
      <c r="AH628" s="113"/>
      <c r="AI628" s="52"/>
      <c r="AJ628" s="11"/>
      <c r="AK628" s="269"/>
      <c r="AL628" s="269"/>
      <c r="AM628" s="269"/>
      <c r="AN628" s="301"/>
      <c r="AO628" s="302"/>
      <c r="AP628" s="11"/>
      <c r="AQ628" s="11"/>
      <c r="AR628" s="11"/>
      <c r="AS628" s="11"/>
      <c r="AT628" s="11"/>
      <c r="AU628" s="118"/>
      <c r="AV628" s="118"/>
      <c r="AW628" s="118"/>
      <c r="AX628" s="52"/>
      <c r="AY628" s="52"/>
      <c r="AZ628" s="11"/>
      <c r="BA628" s="11"/>
      <c r="BB628" s="11"/>
      <c r="BC628" s="11"/>
      <c r="BD628" s="11"/>
      <c r="BE628" s="274"/>
      <c r="BF628" s="274"/>
      <c r="BG628" s="274"/>
      <c r="BH628" s="11"/>
      <c r="BI628" s="11"/>
      <c r="BJ628" s="311">
        <v>1098461.54</v>
      </c>
      <c r="BK628" s="311">
        <v>208707.69260000001</v>
      </c>
      <c r="BL628" s="311">
        <v>1307169.2326</v>
      </c>
      <c r="BM628" s="52" t="s">
        <v>138</v>
      </c>
      <c r="BN628" s="52">
        <v>16500100</v>
      </c>
      <c r="BO628" s="387">
        <v>3411700</v>
      </c>
      <c r="BP628" s="320">
        <f>BO628*0.19</f>
        <v>648223</v>
      </c>
      <c r="BQ628" s="320">
        <f>BO628+BP628</f>
        <v>4059923</v>
      </c>
      <c r="BR628" s="4" t="s">
        <v>865</v>
      </c>
      <c r="BS628" s="4" t="s">
        <v>866</v>
      </c>
      <c r="BT628" s="11"/>
      <c r="BU628" s="11"/>
      <c r="BV628" s="11"/>
      <c r="BW628" s="11"/>
      <c r="BX628" s="11"/>
      <c r="BY628" s="348"/>
      <c r="BZ628" s="348"/>
      <c r="CA628" s="348"/>
      <c r="CB628" s="348"/>
      <c r="CC628" s="348"/>
      <c r="CD628" s="11"/>
      <c r="CE628" s="11"/>
      <c r="CF628" s="11"/>
      <c r="CG628" s="11"/>
      <c r="CH628" s="11"/>
      <c r="CI628" s="11"/>
      <c r="CJ628" s="11"/>
      <c r="CK628" s="11"/>
      <c r="CL628" s="11"/>
      <c r="CM628" s="11"/>
      <c r="CN628" s="274"/>
      <c r="CO628" s="274"/>
      <c r="CP628" s="274"/>
      <c r="CQ628" s="11"/>
      <c r="CR628" s="11"/>
      <c r="CS628" s="11"/>
      <c r="CT628" s="11"/>
      <c r="CU628" s="11"/>
      <c r="CV628" s="11"/>
      <c r="CW628" s="11"/>
      <c r="CX628" s="11"/>
      <c r="CY628" s="11"/>
      <c r="CZ628" s="11"/>
      <c r="DA628" s="11"/>
      <c r="DB628" s="11"/>
      <c r="DC628" s="11"/>
      <c r="DD628" s="11"/>
      <c r="DE628" s="11"/>
      <c r="DF628" s="11"/>
      <c r="DG628" s="11"/>
      <c r="DH628" s="11"/>
      <c r="DI628" s="11"/>
      <c r="DJ628" s="11"/>
      <c r="DK628" s="11"/>
      <c r="DL628" s="11"/>
      <c r="DM628" s="118"/>
      <c r="DN628" s="118"/>
      <c r="DO628" s="118"/>
      <c r="DP628" s="52"/>
      <c r="DQ628" s="52"/>
      <c r="DR628" s="77"/>
      <c r="DS628" s="77"/>
      <c r="DT628" s="77"/>
      <c r="DU628" s="11"/>
      <c r="DV628" s="11"/>
      <c r="DW628" s="11"/>
      <c r="DX628" s="11"/>
      <c r="DY628" s="11"/>
      <c r="DZ628" s="11"/>
      <c r="EA628" s="11"/>
      <c r="EB628" s="11"/>
      <c r="EC628" s="11"/>
      <c r="ED628" s="11"/>
      <c r="EE628" s="11"/>
      <c r="EF628" s="11"/>
    </row>
    <row r="629" spans="1:136" ht="38.25" x14ac:dyDescent="0.25">
      <c r="A629" s="425">
        <v>627</v>
      </c>
      <c r="B629" s="427" t="s">
        <v>2717</v>
      </c>
      <c r="C629" s="413" t="s">
        <v>2718</v>
      </c>
      <c r="D629" s="413" t="s">
        <v>132</v>
      </c>
      <c r="E629" s="79">
        <v>1</v>
      </c>
      <c r="F629" s="406">
        <v>275256.28200000001</v>
      </c>
      <c r="G629" s="274">
        <v>137500</v>
      </c>
      <c r="H629" s="274">
        <v>0</v>
      </c>
      <c r="I629" s="274">
        <v>137500</v>
      </c>
      <c r="J629" s="274" t="s">
        <v>45</v>
      </c>
      <c r="K629" s="11" t="s">
        <v>2719</v>
      </c>
      <c r="L629" s="274"/>
      <c r="M629" s="274"/>
      <c r="N629" s="274"/>
      <c r="O629" s="48"/>
      <c r="P629" s="11"/>
      <c r="Q629" s="274"/>
      <c r="R629" s="274"/>
      <c r="S629" s="274"/>
      <c r="T629" s="11"/>
      <c r="U629" s="11"/>
      <c r="V629" s="11"/>
      <c r="W629" s="11"/>
      <c r="X629" s="11"/>
      <c r="Y629" s="11"/>
      <c r="Z629" s="48"/>
      <c r="AA629" s="52"/>
      <c r="AB629" s="52"/>
      <c r="AC629" s="118"/>
      <c r="AD629" s="5"/>
      <c r="AE629" s="52"/>
      <c r="AF629" s="113">
        <v>122000</v>
      </c>
      <c r="AG629" s="113">
        <f>AF629*0.19</f>
        <v>23180</v>
      </c>
      <c r="AH629" s="113">
        <f>AF629+AG629</f>
        <v>145180</v>
      </c>
      <c r="AI629" s="277" t="s">
        <v>628</v>
      </c>
      <c r="AJ629" s="33" t="s">
        <v>2720</v>
      </c>
      <c r="AK629" s="269">
        <v>133950</v>
      </c>
      <c r="AL629" s="269">
        <v>0</v>
      </c>
      <c r="AM629" s="269">
        <v>133950</v>
      </c>
      <c r="AN629" s="301" t="s">
        <v>88</v>
      </c>
      <c r="AO629" s="302">
        <v>1084870500</v>
      </c>
      <c r="AP629" s="11"/>
      <c r="AQ629" s="11"/>
      <c r="AR629" s="11"/>
      <c r="AS629" s="11"/>
      <c r="AT629" s="11"/>
      <c r="AU629" s="118">
        <v>261241</v>
      </c>
      <c r="AV629" s="118">
        <v>49636</v>
      </c>
      <c r="AW629" s="118">
        <v>310877</v>
      </c>
      <c r="AX629" s="52" t="s">
        <v>607</v>
      </c>
      <c r="AY629" s="52" t="s">
        <v>2721</v>
      </c>
      <c r="AZ629" s="11"/>
      <c r="BA629" s="11"/>
      <c r="BB629" s="11"/>
      <c r="BC629" s="11"/>
      <c r="BD629" s="11"/>
      <c r="BE629" s="274">
        <v>408000</v>
      </c>
      <c r="BF629" s="274">
        <v>77520</v>
      </c>
      <c r="BG629" s="274">
        <v>485520</v>
      </c>
      <c r="BH629" s="11" t="s">
        <v>63</v>
      </c>
      <c r="BI629" s="11" t="s">
        <v>2722</v>
      </c>
      <c r="BJ629" s="311"/>
      <c r="BK629" s="311"/>
      <c r="BL629" s="311"/>
      <c r="BM629" s="52"/>
      <c r="BN629" s="52"/>
      <c r="BO629" s="387">
        <v>302254.87</v>
      </c>
      <c r="BP629" s="320">
        <f>BO629*0.19</f>
        <v>57428.425300000003</v>
      </c>
      <c r="BQ629" s="320">
        <f>BO629+BP629</f>
        <v>359683.2953</v>
      </c>
      <c r="BR629" s="4">
        <v>17131901</v>
      </c>
      <c r="BS629" s="22" t="s">
        <v>2723</v>
      </c>
      <c r="BT629" s="11"/>
      <c r="BU629" s="11"/>
      <c r="BV629" s="11"/>
      <c r="BW629" s="11"/>
      <c r="BX629" s="11"/>
      <c r="BY629" s="348"/>
      <c r="BZ629" s="348"/>
      <c r="CA629" s="348"/>
      <c r="CB629" s="348"/>
      <c r="CC629" s="348"/>
      <c r="CD629" s="11"/>
      <c r="CE629" s="11"/>
      <c r="CF629" s="11"/>
      <c r="CG629" s="11"/>
      <c r="CH629" s="11"/>
      <c r="CI629" s="11"/>
      <c r="CJ629" s="11"/>
      <c r="CK629" s="11"/>
      <c r="CL629" s="11"/>
      <c r="CM629" s="11"/>
      <c r="CN629" s="274"/>
      <c r="CO629" s="274"/>
      <c r="CP629" s="274"/>
      <c r="CQ629" s="11"/>
      <c r="CR629" s="11"/>
      <c r="CS629" s="11"/>
      <c r="CT629" s="11"/>
      <c r="CU629" s="11"/>
      <c r="CV629" s="11"/>
      <c r="CW629" s="11"/>
      <c r="CX629" s="11"/>
      <c r="CY629" s="11"/>
      <c r="CZ629" s="11"/>
      <c r="DA629" s="11"/>
      <c r="DB629" s="11"/>
      <c r="DC629" s="11"/>
      <c r="DD629" s="11"/>
      <c r="DE629" s="11"/>
      <c r="DF629" s="11"/>
      <c r="DG629" s="11"/>
      <c r="DH629" s="11"/>
      <c r="DI629" s="11"/>
      <c r="DJ629" s="11"/>
      <c r="DK629" s="11"/>
      <c r="DL629" s="11"/>
      <c r="DM629" s="118"/>
      <c r="DN629" s="118"/>
      <c r="DO629" s="118"/>
      <c r="DP629" s="52"/>
      <c r="DQ629" s="52"/>
      <c r="DR629" s="77"/>
      <c r="DS629" s="77"/>
      <c r="DT629" s="77"/>
      <c r="DU629" s="11"/>
      <c r="DV629" s="11"/>
      <c r="DW629" s="11"/>
      <c r="DX629" s="11"/>
      <c r="DY629" s="11"/>
      <c r="DZ629" s="11"/>
      <c r="EA629" s="11"/>
      <c r="EB629" s="11"/>
      <c r="EC629" s="11"/>
      <c r="ED629" s="11"/>
      <c r="EE629" s="11"/>
      <c r="EF629" s="11"/>
    </row>
    <row r="630" spans="1:136" ht="13.5" x14ac:dyDescent="0.25">
      <c r="A630" s="425">
        <v>628</v>
      </c>
      <c r="B630" s="427" t="s">
        <v>2724</v>
      </c>
      <c r="C630" s="413" t="s">
        <v>2725</v>
      </c>
      <c r="D630" s="413" t="s">
        <v>49</v>
      </c>
      <c r="E630" s="79">
        <v>1</v>
      </c>
      <c r="F630" s="405">
        <v>41751.586000000003</v>
      </c>
      <c r="G630" s="274"/>
      <c r="H630" s="274"/>
      <c r="I630" s="274"/>
      <c r="J630" s="274"/>
      <c r="K630" s="11"/>
      <c r="L630" s="274"/>
      <c r="M630" s="274"/>
      <c r="N630" s="274"/>
      <c r="O630" s="48"/>
      <c r="P630" s="11"/>
      <c r="Q630" s="274"/>
      <c r="R630" s="274"/>
      <c r="S630" s="274"/>
      <c r="T630" s="11"/>
      <c r="U630" s="11"/>
      <c r="V630" s="11"/>
      <c r="W630" s="11"/>
      <c r="X630" s="11"/>
      <c r="Y630" s="11"/>
      <c r="Z630" s="48"/>
      <c r="AA630" s="52"/>
      <c r="AB630" s="52"/>
      <c r="AC630" s="118"/>
      <c r="AD630" s="5"/>
      <c r="AE630" s="52"/>
      <c r="AF630" s="113"/>
      <c r="AG630" s="113"/>
      <c r="AH630" s="113"/>
      <c r="AI630" s="52"/>
      <c r="AJ630" s="11"/>
      <c r="AK630" s="269"/>
      <c r="AL630" s="269"/>
      <c r="AM630" s="269"/>
      <c r="AN630" s="301"/>
      <c r="AO630" s="302"/>
      <c r="AP630" s="11"/>
      <c r="AQ630" s="11"/>
      <c r="AR630" s="11"/>
      <c r="AS630" s="11"/>
      <c r="AT630" s="11"/>
      <c r="AU630" s="118"/>
      <c r="AV630" s="118"/>
      <c r="AW630" s="118"/>
      <c r="AX630" s="52"/>
      <c r="AY630" s="52"/>
      <c r="AZ630" s="11"/>
      <c r="BA630" s="11"/>
      <c r="BB630" s="11"/>
      <c r="BC630" s="11"/>
      <c r="BD630" s="11"/>
      <c r="BE630" s="274"/>
      <c r="BF630" s="274"/>
      <c r="BG630" s="274"/>
      <c r="BH630" s="11"/>
      <c r="BI630" s="11"/>
      <c r="BJ630" s="311"/>
      <c r="BK630" s="311"/>
      <c r="BL630" s="311"/>
      <c r="BM630" s="52"/>
      <c r="BN630" s="52"/>
      <c r="BO630" s="274"/>
      <c r="BP630" s="274"/>
      <c r="BQ630" s="274"/>
      <c r="BR630" s="11"/>
      <c r="BS630" s="11"/>
      <c r="BT630" s="11"/>
      <c r="BU630" s="11"/>
      <c r="BV630" s="11"/>
      <c r="BW630" s="11"/>
      <c r="BX630" s="11"/>
      <c r="BY630" s="348"/>
      <c r="BZ630" s="348"/>
      <c r="CA630" s="348"/>
      <c r="CB630" s="348"/>
      <c r="CC630" s="348"/>
      <c r="CD630" s="11"/>
      <c r="CE630" s="11"/>
      <c r="CF630" s="11"/>
      <c r="CG630" s="11"/>
      <c r="CH630" s="11"/>
      <c r="CI630" s="11"/>
      <c r="CJ630" s="11"/>
      <c r="CK630" s="11"/>
      <c r="CL630" s="11"/>
      <c r="CM630" s="11"/>
      <c r="CN630" s="274"/>
      <c r="CO630" s="274"/>
      <c r="CP630" s="274"/>
      <c r="CQ630" s="11"/>
      <c r="CR630" s="11"/>
      <c r="CS630" s="11"/>
      <c r="CT630" s="11"/>
      <c r="CU630" s="11"/>
      <c r="CV630" s="11"/>
      <c r="CW630" s="11"/>
      <c r="CX630" s="11"/>
      <c r="CY630" s="11"/>
      <c r="CZ630" s="11"/>
      <c r="DA630" s="11"/>
      <c r="DB630" s="11"/>
      <c r="DC630" s="11"/>
      <c r="DD630" s="11"/>
      <c r="DE630" s="11"/>
      <c r="DF630" s="11"/>
      <c r="DG630" s="11"/>
      <c r="DH630" s="11"/>
      <c r="DI630" s="11"/>
      <c r="DJ630" s="11"/>
      <c r="DK630" s="11"/>
      <c r="DL630" s="11"/>
      <c r="DM630" s="118"/>
      <c r="DN630" s="118"/>
      <c r="DO630" s="118"/>
      <c r="DP630" s="52"/>
      <c r="DQ630" s="52"/>
      <c r="DR630" s="77"/>
      <c r="DS630" s="77"/>
      <c r="DT630" s="77"/>
      <c r="DU630" s="11"/>
      <c r="DV630" s="11"/>
      <c r="DW630" s="11"/>
      <c r="DX630" s="11"/>
      <c r="DY630" s="11"/>
      <c r="DZ630" s="11"/>
      <c r="EA630" s="11"/>
      <c r="EB630" s="11"/>
      <c r="EC630" s="11"/>
      <c r="ED630" s="11"/>
      <c r="EE630" s="11"/>
      <c r="EF630" s="11"/>
    </row>
    <row r="631" spans="1:136" ht="27" x14ac:dyDescent="0.25">
      <c r="A631" s="425">
        <v>629</v>
      </c>
      <c r="B631" s="427" t="s">
        <v>2726</v>
      </c>
      <c r="C631" s="413" t="s">
        <v>622</v>
      </c>
      <c r="D631" s="413" t="s">
        <v>2727</v>
      </c>
      <c r="E631" s="79">
        <v>1</v>
      </c>
      <c r="F631" s="405"/>
      <c r="G631" s="274"/>
      <c r="H631" s="274"/>
      <c r="I631" s="274"/>
      <c r="J631" s="274"/>
      <c r="K631" s="11"/>
      <c r="L631" s="274"/>
      <c r="M631" s="274"/>
      <c r="N631" s="274"/>
      <c r="O631" s="48"/>
      <c r="P631" s="11"/>
      <c r="Q631" s="274"/>
      <c r="R631" s="274"/>
      <c r="S631" s="274"/>
      <c r="T631" s="11"/>
      <c r="U631" s="11"/>
      <c r="V631" s="11"/>
      <c r="W631" s="11"/>
      <c r="X631" s="11"/>
      <c r="Y631" s="11"/>
      <c r="Z631" s="48"/>
      <c r="AA631" s="52"/>
      <c r="AB631" s="52"/>
      <c r="AC631" s="118"/>
      <c r="AD631" s="5"/>
      <c r="AE631" s="52"/>
      <c r="AF631" s="113">
        <v>305000</v>
      </c>
      <c r="AG631" s="113">
        <f>AF631*0.19</f>
        <v>57950</v>
      </c>
      <c r="AH631" s="113">
        <f>AF631+AG631</f>
        <v>362950</v>
      </c>
      <c r="AI631" s="277" t="s">
        <v>628</v>
      </c>
      <c r="AJ631" s="33" t="s">
        <v>2728</v>
      </c>
      <c r="AK631" s="269"/>
      <c r="AL631" s="269"/>
      <c r="AM631" s="269"/>
      <c r="AN631" s="301"/>
      <c r="AO631" s="302"/>
      <c r="AP631" s="11"/>
      <c r="AQ631" s="11"/>
      <c r="AR631" s="11"/>
      <c r="AS631" s="11"/>
      <c r="AT631" s="11"/>
      <c r="AU631" s="118">
        <v>172826</v>
      </c>
      <c r="AV631" s="118">
        <f>+AU631*0.19</f>
        <v>32836.94</v>
      </c>
      <c r="AW631" s="118">
        <f>+AU631+AV631</f>
        <v>205662.94</v>
      </c>
      <c r="AX631" s="52" t="s">
        <v>607</v>
      </c>
      <c r="AY631" s="52" t="s">
        <v>2729</v>
      </c>
      <c r="AZ631" s="11"/>
      <c r="BA631" s="11"/>
      <c r="BB631" s="11"/>
      <c r="BC631" s="11"/>
      <c r="BD631" s="11"/>
      <c r="BE631" s="274">
        <v>61000</v>
      </c>
      <c r="BF631" s="274">
        <v>11590</v>
      </c>
      <c r="BG631" s="274">
        <v>72590</v>
      </c>
      <c r="BH631" s="11" t="s">
        <v>2730</v>
      </c>
      <c r="BI631" s="11" t="s">
        <v>2731</v>
      </c>
      <c r="BJ631" s="311"/>
      <c r="BK631" s="311"/>
      <c r="BL631" s="311"/>
      <c r="BM631" s="52"/>
      <c r="BN631" s="52"/>
      <c r="BO631" s="274"/>
      <c r="BP631" s="274"/>
      <c r="BQ631" s="274"/>
      <c r="BR631" s="11"/>
      <c r="BS631" s="11"/>
      <c r="BT631" s="11"/>
      <c r="BU631" s="11"/>
      <c r="BV631" s="11"/>
      <c r="BW631" s="11"/>
      <c r="BX631" s="11"/>
      <c r="BY631" s="348"/>
      <c r="BZ631" s="348"/>
      <c r="CA631" s="348"/>
      <c r="CB631" s="348"/>
      <c r="CC631" s="348"/>
      <c r="CD631" s="11"/>
      <c r="CE631" s="11"/>
      <c r="CF631" s="11"/>
      <c r="CG631" s="11"/>
      <c r="CH631" s="11"/>
      <c r="CI631" s="11"/>
      <c r="CJ631" s="11"/>
      <c r="CK631" s="11"/>
      <c r="CL631" s="11"/>
      <c r="CM631" s="11"/>
      <c r="CN631" s="274"/>
      <c r="CO631" s="274"/>
      <c r="CP631" s="274"/>
      <c r="CQ631" s="11"/>
      <c r="CR631" s="11"/>
      <c r="CS631" s="11"/>
      <c r="CT631" s="11"/>
      <c r="CU631" s="11"/>
      <c r="CV631" s="11"/>
      <c r="CW631" s="11"/>
      <c r="CX631" s="11"/>
      <c r="CY631" s="11"/>
      <c r="CZ631" s="11"/>
      <c r="DA631" s="11"/>
      <c r="DB631" s="11"/>
      <c r="DC631" s="11"/>
      <c r="DD631" s="11"/>
      <c r="DE631" s="11"/>
      <c r="DF631" s="11"/>
      <c r="DG631" s="11"/>
      <c r="DH631" s="11"/>
      <c r="DI631" s="11"/>
      <c r="DJ631" s="11"/>
      <c r="DK631" s="11"/>
      <c r="DL631" s="11"/>
      <c r="DM631" s="118">
        <v>34000</v>
      </c>
      <c r="DN631" s="118">
        <f>+DM631*0.19</f>
        <v>6460</v>
      </c>
      <c r="DO631" s="118">
        <f>+DM631+DN631</f>
        <v>40460</v>
      </c>
      <c r="DP631" s="52"/>
      <c r="DQ631" s="52"/>
      <c r="DR631" s="77"/>
      <c r="DS631" s="77"/>
      <c r="DT631" s="77"/>
      <c r="DU631" s="11"/>
      <c r="DV631" s="11"/>
      <c r="DW631" s="11"/>
      <c r="DX631" s="11"/>
      <c r="DY631" s="11"/>
      <c r="DZ631" s="11"/>
      <c r="EA631" s="11"/>
      <c r="EB631" s="11"/>
      <c r="EC631" s="11"/>
      <c r="ED631" s="11"/>
      <c r="EE631" s="11"/>
      <c r="EF631" s="11"/>
    </row>
    <row r="632" spans="1:136" ht="13.5" x14ac:dyDescent="0.25">
      <c r="A632" s="425">
        <v>630</v>
      </c>
      <c r="B632" s="426" t="s">
        <v>2732</v>
      </c>
      <c r="C632" s="428" t="s">
        <v>58</v>
      </c>
      <c r="D632" s="428" t="s">
        <v>2733</v>
      </c>
      <c r="E632" s="79">
        <v>1</v>
      </c>
      <c r="F632" s="406">
        <v>252632.478</v>
      </c>
      <c r="G632" s="274">
        <v>281250</v>
      </c>
      <c r="H632" s="274">
        <v>53437.5</v>
      </c>
      <c r="I632" s="274">
        <v>334687.5</v>
      </c>
      <c r="J632" s="274" t="s">
        <v>377</v>
      </c>
      <c r="K632" s="11" t="s">
        <v>2734</v>
      </c>
      <c r="L632" s="274"/>
      <c r="M632" s="274"/>
      <c r="N632" s="274"/>
      <c r="O632" s="48"/>
      <c r="P632" s="11"/>
      <c r="Q632" s="274"/>
      <c r="R632" s="274"/>
      <c r="S632" s="274"/>
      <c r="T632" s="11"/>
      <c r="U632" s="11"/>
      <c r="V632" s="11"/>
      <c r="W632" s="11"/>
      <c r="X632" s="11"/>
      <c r="Y632" s="11"/>
      <c r="Z632" s="48"/>
      <c r="AA632" s="52"/>
      <c r="AB632" s="52"/>
      <c r="AC632" s="118"/>
      <c r="AD632" s="5"/>
      <c r="AE632" s="52"/>
      <c r="AF632" s="113">
        <v>111000</v>
      </c>
      <c r="AG632" s="113">
        <f>AF632*0.19</f>
        <v>21090</v>
      </c>
      <c r="AH632" s="113">
        <f>AF632+AG632</f>
        <v>132090</v>
      </c>
      <c r="AI632" s="277" t="s">
        <v>628</v>
      </c>
      <c r="AJ632" s="33" t="s">
        <v>2735</v>
      </c>
      <c r="AK632" s="269">
        <v>127680</v>
      </c>
      <c r="AL632" s="269">
        <v>24259.200000000001</v>
      </c>
      <c r="AM632" s="269">
        <v>151939.20000000001</v>
      </c>
      <c r="AN632" s="301" t="s">
        <v>88</v>
      </c>
      <c r="AO632" s="302">
        <v>1013980025</v>
      </c>
      <c r="AP632" s="11"/>
      <c r="AQ632" s="11"/>
      <c r="AR632" s="11"/>
      <c r="AS632" s="11"/>
      <c r="AT632" s="11"/>
      <c r="AU632" s="118">
        <v>162367</v>
      </c>
      <c r="AV632" s="118">
        <v>30850</v>
      </c>
      <c r="AW632" s="118">
        <v>193217</v>
      </c>
      <c r="AX632" s="52" t="s">
        <v>343</v>
      </c>
      <c r="AY632" s="52">
        <v>1013980025</v>
      </c>
      <c r="AZ632" s="11"/>
      <c r="BA632" s="11"/>
      <c r="BB632" s="11"/>
      <c r="BC632" s="11"/>
      <c r="BD632" s="11"/>
      <c r="BE632" s="274"/>
      <c r="BF632" s="274"/>
      <c r="BG632" s="274"/>
      <c r="BH632" s="11"/>
      <c r="BI632" s="11"/>
      <c r="BJ632" s="311"/>
      <c r="BK632" s="311"/>
      <c r="BL632" s="311"/>
      <c r="BM632" s="52"/>
      <c r="BN632" s="52"/>
      <c r="BO632" s="274"/>
      <c r="BP632" s="274"/>
      <c r="BQ632" s="274"/>
      <c r="BR632" s="11"/>
      <c r="BS632" s="11"/>
      <c r="BT632" s="11"/>
      <c r="BU632" s="11"/>
      <c r="BV632" s="11"/>
      <c r="BW632" s="11"/>
      <c r="BX632" s="11"/>
      <c r="BY632" s="348"/>
      <c r="BZ632" s="348"/>
      <c r="CA632" s="348"/>
      <c r="CB632" s="348"/>
      <c r="CC632" s="348"/>
      <c r="CD632" s="11"/>
      <c r="CE632" s="11"/>
      <c r="CF632" s="11"/>
      <c r="CG632" s="11"/>
      <c r="CH632" s="11"/>
      <c r="CI632" s="11"/>
      <c r="CJ632" s="11"/>
      <c r="CK632" s="11"/>
      <c r="CL632" s="11"/>
      <c r="CM632" s="11"/>
      <c r="CN632" s="274"/>
      <c r="CO632" s="274"/>
      <c r="CP632" s="274"/>
      <c r="CQ632" s="11"/>
      <c r="CR632" s="11"/>
      <c r="CS632" s="11"/>
      <c r="CT632" s="11"/>
      <c r="CU632" s="11"/>
      <c r="CV632" s="11"/>
      <c r="CW632" s="11"/>
      <c r="CX632" s="11"/>
      <c r="CY632" s="11"/>
      <c r="CZ632" s="11"/>
      <c r="DA632" s="11"/>
      <c r="DB632" s="11"/>
      <c r="DC632" s="11"/>
      <c r="DD632" s="11"/>
      <c r="DE632" s="11"/>
      <c r="DF632" s="11"/>
      <c r="DG632" s="11"/>
      <c r="DH632" s="11"/>
      <c r="DI632" s="11"/>
      <c r="DJ632" s="11"/>
      <c r="DK632" s="11"/>
      <c r="DL632" s="11"/>
      <c r="DM632" s="118"/>
      <c r="DN632" s="118"/>
      <c r="DO632" s="118"/>
      <c r="DP632" s="52"/>
      <c r="DQ632" s="52"/>
      <c r="DR632" s="77"/>
      <c r="DS632" s="77"/>
      <c r="DT632" s="77"/>
      <c r="DU632" s="11"/>
      <c r="DV632" s="11"/>
      <c r="DW632" s="11"/>
      <c r="DX632" s="11"/>
      <c r="DY632" s="11"/>
      <c r="DZ632" s="11"/>
      <c r="EA632" s="11"/>
      <c r="EB632" s="11"/>
      <c r="EC632" s="11"/>
      <c r="ED632" s="11"/>
      <c r="EE632" s="11"/>
      <c r="EF632" s="11"/>
    </row>
    <row r="633" spans="1:136" ht="108" x14ac:dyDescent="0.25">
      <c r="A633" s="425">
        <v>631</v>
      </c>
      <c r="B633" s="427" t="s">
        <v>2736</v>
      </c>
      <c r="C633" s="427" t="s">
        <v>2737</v>
      </c>
      <c r="D633" s="427" t="s">
        <v>2738</v>
      </c>
      <c r="E633" s="79">
        <v>1</v>
      </c>
      <c r="F633" s="405"/>
      <c r="G633" s="274"/>
      <c r="H633" s="274"/>
      <c r="I633" s="274"/>
      <c r="J633" s="274"/>
      <c r="K633" s="11"/>
      <c r="L633" s="274"/>
      <c r="M633" s="274"/>
      <c r="N633" s="274"/>
      <c r="O633" s="48"/>
      <c r="P633" s="11"/>
      <c r="Q633" s="274"/>
      <c r="R633" s="274"/>
      <c r="S633" s="274"/>
      <c r="T633" s="11"/>
      <c r="U633" s="11"/>
      <c r="V633" s="11"/>
      <c r="W633" s="11"/>
      <c r="X633" s="11"/>
      <c r="Y633" s="11"/>
      <c r="Z633" s="48"/>
      <c r="AA633" s="52"/>
      <c r="AB633" s="52"/>
      <c r="AC633" s="118"/>
      <c r="AD633" s="5"/>
      <c r="AE633" s="52"/>
      <c r="AF633" s="113"/>
      <c r="AG633" s="113"/>
      <c r="AH633" s="113"/>
      <c r="AI633" s="52"/>
      <c r="AJ633" s="11"/>
      <c r="AK633" s="269"/>
      <c r="AL633" s="269"/>
      <c r="AM633" s="269"/>
      <c r="AN633" s="301"/>
      <c r="AO633" s="302"/>
      <c r="AP633" s="11"/>
      <c r="AQ633" s="11"/>
      <c r="AR633" s="11"/>
      <c r="AS633" s="11"/>
      <c r="AT633" s="11"/>
      <c r="AU633" s="118"/>
      <c r="AV633" s="118"/>
      <c r="AW633" s="118"/>
      <c r="AX633" s="52"/>
      <c r="AY633" s="52"/>
      <c r="AZ633" s="11"/>
      <c r="BA633" s="11"/>
      <c r="BB633" s="11"/>
      <c r="BC633" s="11"/>
      <c r="BD633" s="11"/>
      <c r="BE633" s="274">
        <v>797000</v>
      </c>
      <c r="BF633" s="274">
        <v>151430</v>
      </c>
      <c r="BG633" s="274">
        <v>948430</v>
      </c>
      <c r="BH633" s="11" t="s">
        <v>409</v>
      </c>
      <c r="BI633" s="11" t="s">
        <v>2739</v>
      </c>
      <c r="BJ633" s="311"/>
      <c r="BK633" s="311"/>
      <c r="BL633" s="311"/>
      <c r="BM633" s="52"/>
      <c r="BN633" s="52"/>
      <c r="BO633" s="274"/>
      <c r="BP633" s="274"/>
      <c r="BQ633" s="274"/>
      <c r="BR633" s="11"/>
      <c r="BS633" s="11"/>
      <c r="BT633" s="11"/>
      <c r="BU633" s="11"/>
      <c r="BV633" s="11"/>
      <c r="BW633" s="11"/>
      <c r="BX633" s="11"/>
      <c r="BY633" s="348"/>
      <c r="BZ633" s="348"/>
      <c r="CA633" s="348"/>
      <c r="CB633" s="348"/>
      <c r="CC633" s="348"/>
      <c r="CD633" s="11"/>
      <c r="CE633" s="11"/>
      <c r="CF633" s="11"/>
      <c r="CG633" s="11"/>
      <c r="CH633" s="11"/>
      <c r="CI633" s="11"/>
      <c r="CJ633" s="11"/>
      <c r="CK633" s="11"/>
      <c r="CL633" s="11"/>
      <c r="CM633" s="11"/>
      <c r="CN633" s="274"/>
      <c r="CO633" s="274"/>
      <c r="CP633" s="274"/>
      <c r="CQ633" s="11"/>
      <c r="CR633" s="11"/>
      <c r="CS633" s="11"/>
      <c r="CT633" s="11"/>
      <c r="CU633" s="11"/>
      <c r="CV633" s="11"/>
      <c r="CW633" s="11"/>
      <c r="CX633" s="11"/>
      <c r="CY633" s="11"/>
      <c r="CZ633" s="11"/>
      <c r="DA633" s="11"/>
      <c r="DB633" s="11"/>
      <c r="DC633" s="11"/>
      <c r="DD633" s="11"/>
      <c r="DE633" s="11"/>
      <c r="DF633" s="11"/>
      <c r="DG633" s="11"/>
      <c r="DH633" s="11"/>
      <c r="DI633" s="11"/>
      <c r="DJ633" s="11"/>
      <c r="DK633" s="11"/>
      <c r="DL633" s="11"/>
      <c r="DM633" s="118"/>
      <c r="DN633" s="118"/>
      <c r="DO633" s="118"/>
      <c r="DP633" s="52"/>
      <c r="DQ633" s="52"/>
      <c r="DR633" s="77"/>
      <c r="DS633" s="77"/>
      <c r="DT633" s="77"/>
      <c r="DU633" s="11"/>
      <c r="DV633" s="11"/>
      <c r="DW633" s="11"/>
      <c r="DX633" s="11"/>
      <c r="DY633" s="11"/>
      <c r="DZ633" s="11"/>
      <c r="EA633" s="11"/>
      <c r="EB633" s="11"/>
      <c r="EC633" s="11"/>
      <c r="ED633" s="11"/>
      <c r="EE633" s="11"/>
      <c r="EF633" s="11"/>
    </row>
    <row r="634" spans="1:136" ht="13.5" x14ac:dyDescent="0.25">
      <c r="A634" s="425">
        <v>632</v>
      </c>
      <c r="B634" s="427" t="s">
        <v>2740</v>
      </c>
      <c r="C634" s="413" t="s">
        <v>2741</v>
      </c>
      <c r="D634" s="413" t="s">
        <v>2742</v>
      </c>
      <c r="E634" s="79">
        <v>1</v>
      </c>
      <c r="F634" s="406">
        <v>935793.20000000007</v>
      </c>
      <c r="G634" s="274"/>
      <c r="H634" s="274"/>
      <c r="I634" s="274"/>
      <c r="J634" s="274"/>
      <c r="K634" s="11"/>
      <c r="L634" s="275"/>
      <c r="M634" s="275"/>
      <c r="N634" s="275"/>
      <c r="O634" s="48"/>
      <c r="P634" s="11"/>
      <c r="Q634" s="275"/>
      <c r="R634" s="275"/>
      <c r="S634" s="275"/>
      <c r="T634" s="11"/>
      <c r="U634" s="11"/>
      <c r="V634" s="11"/>
      <c r="W634" s="11"/>
      <c r="X634" s="11"/>
      <c r="Y634" s="11"/>
      <c r="Z634" s="48"/>
      <c r="AA634" s="52"/>
      <c r="AB634" s="52"/>
      <c r="AC634" s="113"/>
      <c r="AD634" s="5"/>
      <c r="AE634" s="52"/>
      <c r="AF634" s="113"/>
      <c r="AG634" s="113"/>
      <c r="AH634" s="113"/>
      <c r="AI634" s="52"/>
      <c r="AJ634" s="11"/>
      <c r="AK634" s="116"/>
      <c r="AL634" s="269"/>
      <c r="AM634" s="269"/>
      <c r="AN634" s="305"/>
      <c r="AO634" s="306"/>
      <c r="AP634" s="11"/>
      <c r="AQ634" s="11"/>
      <c r="AR634" s="11"/>
      <c r="AS634" s="11"/>
      <c r="AT634" s="11"/>
      <c r="AU634" s="113"/>
      <c r="AV634" s="113"/>
      <c r="AW634" s="113"/>
      <c r="AX634" s="52"/>
      <c r="AY634" s="52"/>
      <c r="AZ634" s="11"/>
      <c r="BA634" s="11"/>
      <c r="BB634" s="11"/>
      <c r="BC634" s="11"/>
      <c r="BD634" s="11"/>
      <c r="BE634" s="275">
        <v>847000</v>
      </c>
      <c r="BF634" s="275">
        <v>160930</v>
      </c>
      <c r="BG634" s="275">
        <v>1007930</v>
      </c>
      <c r="BH634" s="11" t="s">
        <v>2743</v>
      </c>
      <c r="BI634" s="11" t="s">
        <v>2744</v>
      </c>
      <c r="BJ634" s="318"/>
      <c r="BK634" s="318"/>
      <c r="BL634" s="318"/>
      <c r="BM634" s="52"/>
      <c r="BN634" s="52"/>
      <c r="BO634" s="275"/>
      <c r="BP634" s="275"/>
      <c r="BQ634" s="275"/>
      <c r="BR634" s="11"/>
      <c r="BS634" s="11"/>
      <c r="BT634" s="11"/>
      <c r="BU634" s="11"/>
      <c r="BV634" s="11"/>
      <c r="BW634" s="11"/>
      <c r="BX634" s="11"/>
      <c r="BY634" s="232">
        <v>526500</v>
      </c>
      <c r="BZ634" s="232">
        <f>BY634*0.19</f>
        <v>100035</v>
      </c>
      <c r="CA634" s="232">
        <f>BY634+BZ634</f>
        <v>626535</v>
      </c>
      <c r="CB634" s="348" t="s">
        <v>2745</v>
      </c>
      <c r="CC634" s="348" t="s">
        <v>2746</v>
      </c>
      <c r="CD634" s="11"/>
      <c r="CE634" s="11"/>
      <c r="CF634" s="11"/>
      <c r="CG634" s="11"/>
      <c r="CH634" s="11"/>
      <c r="CI634" s="11"/>
      <c r="CJ634" s="11"/>
      <c r="CK634" s="11"/>
      <c r="CL634" s="11"/>
      <c r="CM634" s="11"/>
      <c r="CN634" s="274"/>
      <c r="CO634" s="274"/>
      <c r="CP634" s="274"/>
      <c r="CQ634" s="11"/>
      <c r="CR634" s="11"/>
      <c r="CS634" s="11"/>
      <c r="CT634" s="11"/>
      <c r="CU634" s="11"/>
      <c r="CV634" s="11"/>
      <c r="CW634" s="11"/>
      <c r="CX634" s="11"/>
      <c r="CY634" s="11"/>
      <c r="CZ634" s="11"/>
      <c r="DA634" s="11"/>
      <c r="DB634" s="11"/>
      <c r="DC634" s="11"/>
      <c r="DD634" s="11"/>
      <c r="DE634" s="11"/>
      <c r="DF634" s="11"/>
      <c r="DG634" s="11"/>
      <c r="DH634" s="11"/>
      <c r="DI634" s="11"/>
      <c r="DJ634" s="11"/>
      <c r="DK634" s="11"/>
      <c r="DL634" s="11"/>
      <c r="DM634" s="118"/>
      <c r="DN634" s="118"/>
      <c r="DO634" s="118"/>
      <c r="DP634" s="52"/>
      <c r="DQ634" s="52"/>
      <c r="DR634" s="77"/>
      <c r="DS634" s="77"/>
      <c r="DT634" s="77"/>
      <c r="DU634" s="11"/>
      <c r="DV634" s="11"/>
      <c r="DW634" s="11"/>
      <c r="DX634" s="11"/>
      <c r="DY634" s="11"/>
      <c r="DZ634" s="11"/>
      <c r="EA634" s="11"/>
      <c r="EB634" s="11"/>
      <c r="EC634" s="11"/>
      <c r="ED634" s="11"/>
      <c r="EE634" s="11"/>
      <c r="EF634" s="11"/>
    </row>
    <row r="635" spans="1:136" ht="13.5" x14ac:dyDescent="0.25">
      <c r="A635" s="425">
        <v>633</v>
      </c>
      <c r="B635" s="428" t="s">
        <v>2747</v>
      </c>
      <c r="C635" s="413" t="s">
        <v>753</v>
      </c>
      <c r="D635" s="428" t="s">
        <v>783</v>
      </c>
      <c r="E635" s="79">
        <v>1</v>
      </c>
      <c r="F635" s="405"/>
      <c r="G635" s="274"/>
      <c r="H635" s="274"/>
      <c r="I635" s="274"/>
      <c r="J635" s="274"/>
      <c r="K635" s="11"/>
      <c r="L635" s="274"/>
      <c r="M635" s="274"/>
      <c r="N635" s="274"/>
      <c r="O635" s="48"/>
      <c r="P635" s="11"/>
      <c r="Q635" s="274"/>
      <c r="R635" s="274"/>
      <c r="S635" s="274"/>
      <c r="T635" s="11"/>
      <c r="U635" s="11"/>
      <c r="V635" s="11"/>
      <c r="W635" s="11"/>
      <c r="X635" s="11"/>
      <c r="Y635" s="11"/>
      <c r="Z635" s="48"/>
      <c r="AA635" s="52"/>
      <c r="AB635" s="52"/>
      <c r="AC635" s="118"/>
      <c r="AD635" s="5"/>
      <c r="AE635" s="52"/>
      <c r="AF635" s="113"/>
      <c r="AG635" s="113"/>
      <c r="AH635" s="113"/>
      <c r="AI635" s="52"/>
      <c r="AJ635" s="11"/>
      <c r="AK635" s="269"/>
      <c r="AL635" s="269"/>
      <c r="AM635" s="269"/>
      <c r="AN635" s="301"/>
      <c r="AO635" s="302"/>
      <c r="AP635" s="11"/>
      <c r="AQ635" s="11"/>
      <c r="AR635" s="11"/>
      <c r="AS635" s="11"/>
      <c r="AT635" s="11"/>
      <c r="AU635" s="118">
        <v>689971</v>
      </c>
      <c r="AV635" s="118">
        <v>131095</v>
      </c>
      <c r="AW635" s="118">
        <v>821066</v>
      </c>
      <c r="AX635" s="52" t="s">
        <v>607</v>
      </c>
      <c r="AY635" s="52" t="s">
        <v>2748</v>
      </c>
      <c r="AZ635" s="11"/>
      <c r="BA635" s="11"/>
      <c r="BB635" s="11"/>
      <c r="BC635" s="11"/>
      <c r="BD635" s="11"/>
      <c r="BE635" s="274"/>
      <c r="BF635" s="274"/>
      <c r="BG635" s="274"/>
      <c r="BH635" s="11"/>
      <c r="BI635" s="11"/>
      <c r="BJ635" s="311"/>
      <c r="BK635" s="311"/>
      <c r="BL635" s="311"/>
      <c r="BM635" s="52"/>
      <c r="BN635" s="52"/>
      <c r="BO635" s="274"/>
      <c r="BP635" s="274"/>
      <c r="BQ635" s="274"/>
      <c r="BR635" s="11"/>
      <c r="BS635" s="11"/>
      <c r="BT635" s="11"/>
      <c r="BU635" s="11"/>
      <c r="BV635" s="11"/>
      <c r="BW635" s="11"/>
      <c r="BX635" s="11"/>
      <c r="BY635" s="11"/>
      <c r="BZ635" s="11"/>
      <c r="CA635" s="11"/>
      <c r="CB635" s="11"/>
      <c r="CC635" s="11"/>
      <c r="CD635" s="11"/>
      <c r="CE635" s="11"/>
      <c r="CF635" s="11"/>
      <c r="CG635" s="11"/>
      <c r="CH635" s="11"/>
      <c r="CI635" s="11"/>
      <c r="CJ635" s="11"/>
      <c r="CK635" s="11"/>
      <c r="CL635" s="11"/>
      <c r="CM635" s="11"/>
      <c r="CN635" s="274"/>
      <c r="CO635" s="274"/>
      <c r="CP635" s="274"/>
      <c r="CQ635" s="11"/>
      <c r="CR635" s="11"/>
      <c r="CS635" s="11"/>
      <c r="CT635" s="11"/>
      <c r="CU635" s="11"/>
      <c r="CV635" s="11"/>
      <c r="CW635" s="11"/>
      <c r="CX635" s="11"/>
      <c r="CY635" s="11"/>
      <c r="CZ635" s="11"/>
      <c r="DA635" s="11"/>
      <c r="DB635" s="11"/>
      <c r="DC635" s="11"/>
      <c r="DD635" s="11"/>
      <c r="DE635" s="11"/>
      <c r="DF635" s="11"/>
      <c r="DG635" s="11"/>
      <c r="DH635" s="11"/>
      <c r="DI635" s="11"/>
      <c r="DJ635" s="11"/>
      <c r="DK635" s="11"/>
      <c r="DL635" s="11"/>
      <c r="DM635" s="118"/>
      <c r="DN635" s="118"/>
      <c r="DO635" s="118"/>
      <c r="DP635" s="52"/>
      <c r="DQ635" s="52"/>
      <c r="DR635" s="77"/>
      <c r="DS635" s="77"/>
      <c r="DT635" s="77"/>
      <c r="DU635" s="11"/>
      <c r="DV635" s="11"/>
      <c r="DW635" s="11"/>
      <c r="DX635" s="11"/>
      <c r="DY635" s="11"/>
      <c r="DZ635" s="11"/>
      <c r="EA635" s="11"/>
      <c r="EB635" s="11"/>
      <c r="EC635" s="11"/>
      <c r="ED635" s="11"/>
      <c r="EE635" s="11"/>
      <c r="EF635" s="11"/>
    </row>
    <row r="636" spans="1:136" ht="27" x14ac:dyDescent="0.25">
      <c r="A636" s="425">
        <v>634</v>
      </c>
      <c r="B636" s="427" t="s">
        <v>2749</v>
      </c>
      <c r="C636" s="413" t="s">
        <v>2750</v>
      </c>
      <c r="D636" s="413" t="s">
        <v>2751</v>
      </c>
      <c r="E636" s="79">
        <v>1</v>
      </c>
      <c r="F636" s="406">
        <v>314219.5</v>
      </c>
      <c r="G636" s="274"/>
      <c r="H636" s="274"/>
      <c r="I636" s="274"/>
      <c r="J636" s="274"/>
      <c r="K636" s="11"/>
      <c r="L636" s="274"/>
      <c r="M636" s="274"/>
      <c r="N636" s="274"/>
      <c r="O636" s="48"/>
      <c r="P636" s="11"/>
      <c r="Q636" s="274"/>
      <c r="R636" s="274"/>
      <c r="S636" s="274"/>
      <c r="T636" s="11"/>
      <c r="U636" s="11"/>
      <c r="V636" s="11"/>
      <c r="W636" s="11"/>
      <c r="X636" s="11"/>
      <c r="Y636" s="11"/>
      <c r="Z636" s="48"/>
      <c r="AA636" s="52"/>
      <c r="AB636" s="52"/>
      <c r="AC636" s="118"/>
      <c r="AD636" s="5"/>
      <c r="AE636" s="52"/>
      <c r="AF636" s="113">
        <v>335000</v>
      </c>
      <c r="AG636" s="113">
        <f>AF636*0.19</f>
        <v>63650</v>
      </c>
      <c r="AH636" s="113">
        <f>AF636+AG636</f>
        <v>398650</v>
      </c>
      <c r="AI636" s="277" t="s">
        <v>628</v>
      </c>
      <c r="AJ636" s="33" t="s">
        <v>2752</v>
      </c>
      <c r="AK636" s="269"/>
      <c r="AL636" s="269"/>
      <c r="AM636" s="269"/>
      <c r="AN636" s="301"/>
      <c r="AO636" s="302"/>
      <c r="AP636" s="11"/>
      <c r="AQ636" s="11"/>
      <c r="AR636" s="11"/>
      <c r="AS636" s="11"/>
      <c r="AT636" s="11"/>
      <c r="AU636" s="118">
        <v>244275</v>
      </c>
      <c r="AV636" s="118">
        <v>46412</v>
      </c>
      <c r="AW636" s="118">
        <v>290687</v>
      </c>
      <c r="AX636" s="52" t="s">
        <v>607</v>
      </c>
      <c r="AY636" s="52">
        <v>1086342500</v>
      </c>
      <c r="AZ636" s="11"/>
      <c r="BA636" s="11"/>
      <c r="BB636" s="11"/>
      <c r="BC636" s="11"/>
      <c r="BD636" s="11"/>
      <c r="BE636" s="274">
        <v>174000</v>
      </c>
      <c r="BF636" s="274">
        <v>33060</v>
      </c>
      <c r="BG636" s="274">
        <v>207060</v>
      </c>
      <c r="BH636" s="11" t="s">
        <v>63</v>
      </c>
      <c r="BI636" s="11" t="s">
        <v>2753</v>
      </c>
      <c r="BJ636" s="311"/>
      <c r="BK636" s="311"/>
      <c r="BL636" s="311"/>
      <c r="BM636" s="52"/>
      <c r="BN636" s="52"/>
      <c r="BO636" s="274"/>
      <c r="BP636" s="274"/>
      <c r="BQ636" s="274"/>
      <c r="BR636" s="11"/>
      <c r="BS636" s="11"/>
      <c r="BT636" s="11"/>
      <c r="BU636" s="11"/>
      <c r="BV636" s="11"/>
      <c r="BW636" s="11"/>
      <c r="BX636" s="11"/>
      <c r="BY636" s="11"/>
      <c r="BZ636" s="11"/>
      <c r="CA636" s="11"/>
      <c r="CB636" s="11"/>
      <c r="CC636" s="11"/>
      <c r="CD636" s="11"/>
      <c r="CE636" s="11"/>
      <c r="CF636" s="11"/>
      <c r="CG636" s="11"/>
      <c r="CH636" s="11"/>
      <c r="CI636" s="11"/>
      <c r="CJ636" s="11"/>
      <c r="CK636" s="11"/>
      <c r="CL636" s="11"/>
      <c r="CM636" s="11"/>
      <c r="CN636" s="274"/>
      <c r="CO636" s="274"/>
      <c r="CP636" s="274"/>
      <c r="CQ636" s="11"/>
      <c r="CR636" s="11"/>
      <c r="CS636" s="11"/>
      <c r="CT636" s="11"/>
      <c r="CU636" s="11"/>
      <c r="CV636" s="11"/>
      <c r="CW636" s="11"/>
      <c r="CX636" s="11"/>
      <c r="CY636" s="11"/>
      <c r="CZ636" s="11"/>
      <c r="DA636" s="11"/>
      <c r="DB636" s="11"/>
      <c r="DC636" s="11"/>
      <c r="DD636" s="11"/>
      <c r="DE636" s="11"/>
      <c r="DF636" s="11"/>
      <c r="DG636" s="11"/>
      <c r="DH636" s="11"/>
      <c r="DI636" s="11"/>
      <c r="DJ636" s="11"/>
      <c r="DK636" s="11"/>
      <c r="DL636" s="11"/>
      <c r="DM636" s="118"/>
      <c r="DN636" s="118"/>
      <c r="DO636" s="118"/>
      <c r="DP636" s="52"/>
      <c r="DQ636" s="52"/>
      <c r="DR636" s="77"/>
      <c r="DS636" s="77"/>
      <c r="DT636" s="77"/>
      <c r="DU636" s="11"/>
      <c r="DV636" s="11"/>
      <c r="DW636" s="11"/>
      <c r="DX636" s="11"/>
      <c r="DY636" s="11"/>
      <c r="DZ636" s="11"/>
      <c r="EA636" s="11"/>
      <c r="EB636" s="11"/>
      <c r="EC636" s="11"/>
      <c r="ED636" s="11"/>
      <c r="EE636" s="11"/>
      <c r="EF636" s="11"/>
    </row>
    <row r="637" spans="1:136" ht="27" x14ac:dyDescent="0.25">
      <c r="A637" s="425">
        <v>635</v>
      </c>
      <c r="B637" s="427" t="s">
        <v>2754</v>
      </c>
      <c r="C637" s="413" t="s">
        <v>2755</v>
      </c>
      <c r="D637" s="413" t="s">
        <v>2756</v>
      </c>
      <c r="E637" s="79">
        <v>1</v>
      </c>
      <c r="F637" s="406">
        <v>1822473.1</v>
      </c>
      <c r="G637" s="274"/>
      <c r="H637" s="274"/>
      <c r="I637" s="274"/>
      <c r="J637" s="274"/>
      <c r="K637" s="11"/>
      <c r="L637" s="274"/>
      <c r="M637" s="274"/>
      <c r="N637" s="274"/>
      <c r="O637" s="48"/>
      <c r="P637" s="11"/>
      <c r="Q637" s="274"/>
      <c r="R637" s="274"/>
      <c r="S637" s="274"/>
      <c r="T637" s="11"/>
      <c r="U637" s="11"/>
      <c r="V637" s="11"/>
      <c r="W637" s="11"/>
      <c r="X637" s="11"/>
      <c r="Y637" s="11"/>
      <c r="Z637" s="48"/>
      <c r="AA637" s="293">
        <v>1124550</v>
      </c>
      <c r="AB637" s="118">
        <f>+AA637*0.19</f>
        <v>213664.5</v>
      </c>
      <c r="AC637" s="118">
        <f>+AA637+AB637</f>
        <v>1338214.5</v>
      </c>
      <c r="AD637" s="5" t="s">
        <v>542</v>
      </c>
      <c r="AE637" s="52">
        <v>210330405</v>
      </c>
      <c r="AF637" s="113"/>
      <c r="AG637" s="113"/>
      <c r="AH637" s="113"/>
      <c r="AI637" s="52"/>
      <c r="AJ637" s="11"/>
      <c r="AK637" s="269"/>
      <c r="AL637" s="269"/>
      <c r="AM637" s="269"/>
      <c r="AN637" s="301"/>
      <c r="AO637" s="302"/>
      <c r="AP637" s="11"/>
      <c r="AQ637" s="11"/>
      <c r="AR637" s="11"/>
      <c r="AS637" s="11"/>
      <c r="AT637" s="11"/>
      <c r="AU637" s="118"/>
      <c r="AV637" s="118"/>
      <c r="AW637" s="118"/>
      <c r="AX637" s="52"/>
      <c r="AY637" s="52"/>
      <c r="AZ637" s="11"/>
      <c r="BA637" s="11"/>
      <c r="BB637" s="11"/>
      <c r="BC637" s="11"/>
      <c r="BD637" s="11"/>
      <c r="BE637" s="274"/>
      <c r="BF637" s="274"/>
      <c r="BG637" s="274"/>
      <c r="BH637" s="11"/>
      <c r="BI637" s="11"/>
      <c r="BJ637" s="311"/>
      <c r="BK637" s="311"/>
      <c r="BL637" s="311"/>
      <c r="BM637" s="52"/>
      <c r="BN637" s="52"/>
      <c r="BO637" s="274"/>
      <c r="BP637" s="274"/>
      <c r="BQ637" s="274"/>
      <c r="BR637" s="11"/>
      <c r="BS637" s="11"/>
      <c r="BT637" s="11"/>
      <c r="BU637" s="11"/>
      <c r="BV637" s="11"/>
      <c r="BW637" s="11"/>
      <c r="BX637" s="11"/>
      <c r="BY637" s="11"/>
      <c r="BZ637" s="11"/>
      <c r="CA637" s="11"/>
      <c r="CB637" s="11"/>
      <c r="CC637" s="11"/>
      <c r="CD637" s="11"/>
      <c r="CE637" s="11"/>
      <c r="CF637" s="11"/>
      <c r="CG637" s="11"/>
      <c r="CH637" s="11"/>
      <c r="CI637" s="11"/>
      <c r="CJ637" s="11"/>
      <c r="CK637" s="11"/>
      <c r="CL637" s="11"/>
      <c r="CM637" s="11"/>
      <c r="CN637" s="274"/>
      <c r="CO637" s="274"/>
      <c r="CP637" s="274"/>
      <c r="CQ637" s="11"/>
      <c r="CR637" s="11"/>
      <c r="CS637" s="11"/>
      <c r="CT637" s="11"/>
      <c r="CU637" s="11"/>
      <c r="CV637" s="11"/>
      <c r="CW637" s="11"/>
      <c r="CX637" s="11"/>
      <c r="CY637" s="11"/>
      <c r="CZ637" s="11"/>
      <c r="DA637" s="11"/>
      <c r="DB637" s="11"/>
      <c r="DC637" s="11"/>
      <c r="DD637" s="11"/>
      <c r="DE637" s="11"/>
      <c r="DF637" s="11"/>
      <c r="DG637" s="11"/>
      <c r="DH637" s="11"/>
      <c r="DI637" s="11"/>
      <c r="DJ637" s="11"/>
      <c r="DK637" s="11"/>
      <c r="DL637" s="11"/>
      <c r="DM637" s="118"/>
      <c r="DN637" s="118"/>
      <c r="DO637" s="118"/>
      <c r="DP637" s="52"/>
      <c r="DQ637" s="52"/>
      <c r="DR637" s="77"/>
      <c r="DS637" s="77"/>
      <c r="DT637" s="77"/>
      <c r="DU637" s="11"/>
      <c r="DV637" s="11"/>
      <c r="DW637" s="11"/>
      <c r="DX637" s="11"/>
      <c r="DY637" s="11"/>
      <c r="DZ637" s="11"/>
      <c r="EA637" s="11"/>
      <c r="EB637" s="11"/>
      <c r="EC637" s="11"/>
      <c r="ED637" s="11"/>
      <c r="EE637" s="11"/>
      <c r="EF637" s="11"/>
    </row>
    <row r="638" spans="1:136" ht="27" x14ac:dyDescent="0.25">
      <c r="A638" s="425">
        <v>636</v>
      </c>
      <c r="B638" s="427" t="s">
        <v>2757</v>
      </c>
      <c r="C638" s="413" t="s">
        <v>2755</v>
      </c>
      <c r="D638" s="413" t="s">
        <v>2756</v>
      </c>
      <c r="E638" s="79">
        <v>1</v>
      </c>
      <c r="F638" s="406">
        <v>3707790.1</v>
      </c>
      <c r="G638" s="274"/>
      <c r="H638" s="274"/>
      <c r="I638" s="274"/>
      <c r="J638" s="274"/>
      <c r="K638" s="11"/>
      <c r="L638" s="274"/>
      <c r="M638" s="274"/>
      <c r="N638" s="274"/>
      <c r="O638" s="48"/>
      <c r="P638" s="11"/>
      <c r="Q638" s="274"/>
      <c r="R638" s="274"/>
      <c r="S638" s="274"/>
      <c r="T638" s="11"/>
      <c r="U638" s="11"/>
      <c r="V638" s="11"/>
      <c r="W638" s="11"/>
      <c r="X638" s="11"/>
      <c r="Y638" s="11"/>
      <c r="Z638" s="48"/>
      <c r="AA638" s="293">
        <v>1513750</v>
      </c>
      <c r="AB638" s="118">
        <f>+AA638*0.19</f>
        <v>287612.5</v>
      </c>
      <c r="AC638" s="118">
        <f>+AA638+AB638</f>
        <v>1801362.5</v>
      </c>
      <c r="AD638" s="5" t="s">
        <v>542</v>
      </c>
      <c r="AE638" s="52">
        <v>210330405</v>
      </c>
      <c r="AF638" s="113"/>
      <c r="AG638" s="113"/>
      <c r="AH638" s="113"/>
      <c r="AI638" s="52"/>
      <c r="AJ638" s="11"/>
      <c r="AK638" s="269"/>
      <c r="AL638" s="269"/>
      <c r="AM638" s="269"/>
      <c r="AN638" s="301"/>
      <c r="AO638" s="302"/>
      <c r="AP638" s="11"/>
      <c r="AQ638" s="11"/>
      <c r="AR638" s="11"/>
      <c r="AS638" s="11"/>
      <c r="AT638" s="11"/>
      <c r="AU638" s="118"/>
      <c r="AV638" s="118"/>
      <c r="AW638" s="118"/>
      <c r="AX638" s="52"/>
      <c r="AY638" s="52"/>
      <c r="AZ638" s="11"/>
      <c r="BA638" s="11"/>
      <c r="BB638" s="11"/>
      <c r="BC638" s="11"/>
      <c r="BD638" s="11"/>
      <c r="BE638" s="274"/>
      <c r="BF638" s="274"/>
      <c r="BG638" s="274"/>
      <c r="BH638" s="11"/>
      <c r="BI638" s="11"/>
      <c r="BJ638" s="311"/>
      <c r="BK638" s="311"/>
      <c r="BL638" s="311"/>
      <c r="BM638" s="52"/>
      <c r="BN638" s="52"/>
      <c r="BO638" s="274"/>
      <c r="BP638" s="274"/>
      <c r="BQ638" s="274"/>
      <c r="BR638" s="11"/>
      <c r="BS638" s="11"/>
      <c r="BT638" s="11"/>
      <c r="BU638" s="11"/>
      <c r="BV638" s="11"/>
      <c r="BW638" s="11"/>
      <c r="BX638" s="11"/>
      <c r="BY638" s="11"/>
      <c r="BZ638" s="11"/>
      <c r="CA638" s="11"/>
      <c r="CB638" s="11"/>
      <c r="CC638" s="11"/>
      <c r="CD638" s="11"/>
      <c r="CE638" s="11"/>
      <c r="CF638" s="11"/>
      <c r="CG638" s="11"/>
      <c r="CH638" s="11"/>
      <c r="CI638" s="11"/>
      <c r="CJ638" s="11"/>
      <c r="CK638" s="11"/>
      <c r="CL638" s="11"/>
      <c r="CM638" s="11"/>
      <c r="CN638" s="274"/>
      <c r="CO638" s="274"/>
      <c r="CP638" s="274"/>
      <c r="CQ638" s="11"/>
      <c r="CR638" s="11"/>
      <c r="CS638" s="11"/>
      <c r="CT638" s="11"/>
      <c r="CU638" s="11"/>
      <c r="CV638" s="11"/>
      <c r="CW638" s="11"/>
      <c r="CX638" s="11"/>
      <c r="CY638" s="11"/>
      <c r="CZ638" s="11"/>
      <c r="DA638" s="11"/>
      <c r="DB638" s="11"/>
      <c r="DC638" s="11"/>
      <c r="DD638" s="11"/>
      <c r="DE638" s="11"/>
      <c r="DF638" s="11"/>
      <c r="DG638" s="11"/>
      <c r="DH638" s="11"/>
      <c r="DI638" s="11"/>
      <c r="DJ638" s="11"/>
      <c r="DK638" s="11"/>
      <c r="DL638" s="11"/>
      <c r="DM638" s="118"/>
      <c r="DN638" s="118"/>
      <c r="DO638" s="118"/>
      <c r="DP638" s="52"/>
      <c r="DQ638" s="52"/>
      <c r="DR638" s="77"/>
      <c r="DS638" s="77"/>
      <c r="DT638" s="77"/>
      <c r="DU638" s="11"/>
      <c r="DV638" s="11"/>
      <c r="DW638" s="11"/>
      <c r="DX638" s="11"/>
      <c r="DY638" s="11"/>
      <c r="DZ638" s="11"/>
      <c r="EA638" s="11"/>
      <c r="EB638" s="11"/>
      <c r="EC638" s="11"/>
      <c r="ED638" s="11"/>
      <c r="EE638" s="11"/>
      <c r="EF638" s="11"/>
    </row>
    <row r="639" spans="1:136" ht="40.5" x14ac:dyDescent="0.25">
      <c r="A639" s="425">
        <v>637</v>
      </c>
      <c r="B639" s="427" t="s">
        <v>2758</v>
      </c>
      <c r="C639" s="413" t="s">
        <v>622</v>
      </c>
      <c r="D639" s="413" t="s">
        <v>2759</v>
      </c>
      <c r="E639" s="79">
        <v>1</v>
      </c>
      <c r="F639" s="406">
        <v>351925.84</v>
      </c>
      <c r="G639" s="274">
        <v>400000</v>
      </c>
      <c r="H639" s="274">
        <v>76000</v>
      </c>
      <c r="I639" s="274">
        <v>476000</v>
      </c>
      <c r="J639" s="274" t="s">
        <v>45</v>
      </c>
      <c r="K639" s="16">
        <v>1317711608</v>
      </c>
      <c r="L639" s="274"/>
      <c r="M639" s="274"/>
      <c r="N639" s="274"/>
      <c r="O639" s="48"/>
      <c r="P639" s="11"/>
      <c r="Q639" s="274"/>
      <c r="R639" s="274"/>
      <c r="S639" s="274"/>
      <c r="T639" s="11"/>
      <c r="U639" s="11"/>
      <c r="V639" s="11"/>
      <c r="W639" s="11"/>
      <c r="X639" s="11"/>
      <c r="Y639" s="11"/>
      <c r="Z639" s="48"/>
      <c r="AA639" s="52"/>
      <c r="AB639" s="52"/>
      <c r="AC639" s="118"/>
      <c r="AD639" s="5"/>
      <c r="AE639" s="52"/>
      <c r="AF639" s="113">
        <v>322000</v>
      </c>
      <c r="AG639" s="113">
        <f>AF639*0.19</f>
        <v>61180</v>
      </c>
      <c r="AH639" s="113">
        <f>AF639+AG639</f>
        <v>383180</v>
      </c>
      <c r="AI639" s="277" t="s">
        <v>628</v>
      </c>
      <c r="AJ639" s="33" t="s">
        <v>2760</v>
      </c>
      <c r="AK639" s="269">
        <v>181830</v>
      </c>
      <c r="AL639" s="269">
        <v>34547.699999999997</v>
      </c>
      <c r="AM639" s="269">
        <v>216377.7</v>
      </c>
      <c r="AN639" s="301" t="s">
        <v>88</v>
      </c>
      <c r="AO639" s="302">
        <v>1047610100</v>
      </c>
      <c r="AP639" s="11"/>
      <c r="AQ639" s="11"/>
      <c r="AR639" s="11"/>
      <c r="AS639" s="11"/>
      <c r="AT639" s="11"/>
      <c r="AU639" s="118"/>
      <c r="AV639" s="118"/>
      <c r="AW639" s="118"/>
      <c r="AX639" s="52"/>
      <c r="AY639" s="52"/>
      <c r="AZ639" s="11"/>
      <c r="BA639" s="11"/>
      <c r="BB639" s="11"/>
      <c r="BC639" s="11"/>
      <c r="BD639" s="11"/>
      <c r="BE639" s="274"/>
      <c r="BF639" s="274"/>
      <c r="BG639" s="274"/>
      <c r="BH639" s="11"/>
      <c r="BI639" s="11"/>
      <c r="BJ639" s="311"/>
      <c r="BK639" s="311"/>
      <c r="BL639" s="311"/>
      <c r="BM639" s="52"/>
      <c r="BN639" s="52"/>
      <c r="BO639" s="274"/>
      <c r="BP639" s="274"/>
      <c r="BQ639" s="274"/>
      <c r="BR639" s="11"/>
      <c r="BS639" s="11"/>
      <c r="BT639" s="11"/>
      <c r="BU639" s="11"/>
      <c r="BV639" s="11"/>
      <c r="BW639" s="11"/>
      <c r="BX639" s="11"/>
      <c r="BY639" s="11"/>
      <c r="BZ639" s="11"/>
      <c r="CA639" s="11"/>
      <c r="CB639" s="11"/>
      <c r="CC639" s="11"/>
      <c r="CD639" s="11"/>
      <c r="CE639" s="11"/>
      <c r="CF639" s="11"/>
      <c r="CG639" s="11"/>
      <c r="CH639" s="11"/>
      <c r="CI639" s="11"/>
      <c r="CJ639" s="11"/>
      <c r="CK639" s="11"/>
      <c r="CL639" s="11"/>
      <c r="CM639" s="11"/>
      <c r="CN639" s="274"/>
      <c r="CO639" s="274"/>
      <c r="CP639" s="274"/>
      <c r="CQ639" s="11"/>
      <c r="CR639" s="11"/>
      <c r="CS639" s="11"/>
      <c r="CT639" s="11"/>
      <c r="CU639" s="11"/>
      <c r="CV639" s="11"/>
      <c r="CW639" s="11"/>
      <c r="CX639" s="11"/>
      <c r="CY639" s="11"/>
      <c r="CZ639" s="11"/>
      <c r="DA639" s="11"/>
      <c r="DB639" s="11"/>
      <c r="DC639" s="11"/>
      <c r="DD639" s="11"/>
      <c r="DE639" s="11"/>
      <c r="DF639" s="11"/>
      <c r="DG639" s="11"/>
      <c r="DH639" s="11"/>
      <c r="DI639" s="11"/>
      <c r="DJ639" s="11"/>
      <c r="DK639" s="11"/>
      <c r="DL639" s="11"/>
      <c r="DM639" s="118"/>
      <c r="DN639" s="118"/>
      <c r="DO639" s="118"/>
      <c r="DP639" s="52"/>
      <c r="DQ639" s="52"/>
      <c r="DR639" s="77"/>
      <c r="DS639" s="77"/>
      <c r="DT639" s="77"/>
      <c r="DU639" s="11"/>
      <c r="DV639" s="11"/>
      <c r="DW639" s="11"/>
      <c r="DX639" s="11"/>
      <c r="DY639" s="11"/>
      <c r="DZ639" s="11"/>
      <c r="EA639" s="11"/>
      <c r="EB639" s="11"/>
      <c r="EC639" s="11"/>
      <c r="ED639" s="11"/>
      <c r="EE639" s="11"/>
      <c r="EF639" s="11"/>
    </row>
    <row r="640" spans="1:136" ht="40.5" x14ac:dyDescent="0.25">
      <c r="A640" s="425">
        <v>638</v>
      </c>
      <c r="B640" s="426" t="s">
        <v>2761</v>
      </c>
      <c r="C640" s="413" t="s">
        <v>237</v>
      </c>
      <c r="D640" s="426" t="s">
        <v>2762</v>
      </c>
      <c r="E640" s="79">
        <v>1</v>
      </c>
      <c r="F640" s="405"/>
      <c r="G640" s="274"/>
      <c r="H640" s="274"/>
      <c r="I640" s="274"/>
      <c r="J640" s="274"/>
      <c r="K640" s="11"/>
      <c r="L640" s="274"/>
      <c r="M640" s="274"/>
      <c r="N640" s="274"/>
      <c r="O640" s="48"/>
      <c r="P640" s="11"/>
      <c r="Q640" s="274"/>
      <c r="R640" s="274"/>
      <c r="S640" s="274"/>
      <c r="T640" s="11"/>
      <c r="U640" s="11"/>
      <c r="V640" s="11"/>
      <c r="W640" s="11"/>
      <c r="X640" s="11"/>
      <c r="Y640" s="11"/>
      <c r="Z640" s="48"/>
      <c r="AA640" s="52"/>
      <c r="AB640" s="52"/>
      <c r="AC640" s="118"/>
      <c r="AD640" s="5"/>
      <c r="AE640" s="52"/>
      <c r="AF640" s="113"/>
      <c r="AG640" s="113"/>
      <c r="AH640" s="113"/>
      <c r="AI640" s="52"/>
      <c r="AJ640" s="11"/>
      <c r="AK640" s="269">
        <v>393000</v>
      </c>
      <c r="AL640" s="269">
        <v>74670</v>
      </c>
      <c r="AM640" s="269">
        <v>467670</v>
      </c>
      <c r="AN640" s="301" t="s">
        <v>37</v>
      </c>
      <c r="AO640" s="302" t="s">
        <v>2763</v>
      </c>
      <c r="AP640" s="11"/>
      <c r="AQ640" s="11"/>
      <c r="AR640" s="11"/>
      <c r="AS640" s="11"/>
      <c r="AT640" s="11"/>
      <c r="AU640" s="118"/>
      <c r="AV640" s="118"/>
      <c r="AW640" s="118"/>
      <c r="AX640" s="52"/>
      <c r="AY640" s="52"/>
      <c r="AZ640" s="11"/>
      <c r="BA640" s="11"/>
      <c r="BB640" s="11"/>
      <c r="BC640" s="11"/>
      <c r="BD640" s="11"/>
      <c r="BE640" s="274"/>
      <c r="BF640" s="274"/>
      <c r="BG640" s="274"/>
      <c r="BH640" s="11"/>
      <c r="BI640" s="11"/>
      <c r="BJ640" s="311"/>
      <c r="BK640" s="311"/>
      <c r="BL640" s="311"/>
      <c r="BM640" s="52"/>
      <c r="BN640" s="52"/>
      <c r="BO640" s="274"/>
      <c r="BP640" s="274"/>
      <c r="BQ640" s="274"/>
      <c r="BR640" s="11"/>
      <c r="BS640" s="11"/>
      <c r="BT640" s="11"/>
      <c r="BU640" s="11"/>
      <c r="BV640" s="11"/>
      <c r="BW640" s="11"/>
      <c r="BX640" s="11"/>
      <c r="BY640" s="11"/>
      <c r="BZ640" s="11"/>
      <c r="CA640" s="11"/>
      <c r="CB640" s="11"/>
      <c r="CC640" s="11"/>
      <c r="CD640" s="11"/>
      <c r="CE640" s="11"/>
      <c r="CF640" s="11"/>
      <c r="CG640" s="11"/>
      <c r="CH640" s="11"/>
      <c r="CI640" s="11"/>
      <c r="CJ640" s="11"/>
      <c r="CK640" s="11"/>
      <c r="CL640" s="11"/>
      <c r="CM640" s="11"/>
      <c r="CN640" s="274"/>
      <c r="CO640" s="274"/>
      <c r="CP640" s="274"/>
      <c r="CQ640" s="11"/>
      <c r="CR640" s="11"/>
      <c r="CS640" s="11"/>
      <c r="CT640" s="11"/>
      <c r="CU640" s="11"/>
      <c r="CV640" s="11"/>
      <c r="CW640" s="11"/>
      <c r="CX640" s="11"/>
      <c r="CY640" s="11"/>
      <c r="CZ640" s="11"/>
      <c r="DA640" s="11"/>
      <c r="DB640" s="11"/>
      <c r="DC640" s="11"/>
      <c r="DD640" s="11"/>
      <c r="DE640" s="11"/>
      <c r="DF640" s="11"/>
      <c r="DG640" s="11"/>
      <c r="DH640" s="11"/>
      <c r="DI640" s="11"/>
      <c r="DJ640" s="11"/>
      <c r="DK640" s="11"/>
      <c r="DL640" s="11"/>
      <c r="DM640" s="118"/>
      <c r="DN640" s="118"/>
      <c r="DO640" s="118"/>
      <c r="DP640" s="52"/>
      <c r="DQ640" s="52"/>
      <c r="DR640" s="77"/>
      <c r="DS640" s="77"/>
      <c r="DT640" s="77"/>
      <c r="DU640" s="11"/>
      <c r="DV640" s="11"/>
      <c r="DW640" s="11"/>
      <c r="DX640" s="11"/>
      <c r="DY640" s="11"/>
      <c r="DZ640" s="11"/>
      <c r="EA640" s="11"/>
      <c r="EB640" s="11"/>
      <c r="EC640" s="11"/>
      <c r="ED640" s="11"/>
      <c r="EE640" s="11"/>
      <c r="EF640" s="11"/>
    </row>
    <row r="641" spans="1:136" ht="13.5" x14ac:dyDescent="0.25">
      <c r="A641" s="425">
        <v>639</v>
      </c>
      <c r="B641" s="427" t="s">
        <v>2764</v>
      </c>
      <c r="C641" s="427" t="s">
        <v>1340</v>
      </c>
      <c r="D641" s="427" t="s">
        <v>300</v>
      </c>
      <c r="E641" s="79">
        <v>1</v>
      </c>
      <c r="F641" s="405"/>
      <c r="G641" s="274">
        <v>462500</v>
      </c>
      <c r="H641" s="274">
        <v>87875</v>
      </c>
      <c r="I641" s="274">
        <v>550375</v>
      </c>
      <c r="J641" s="274" t="s">
        <v>45</v>
      </c>
      <c r="K641" s="11" t="s">
        <v>2765</v>
      </c>
      <c r="L641" s="274"/>
      <c r="M641" s="274"/>
      <c r="N641" s="274"/>
      <c r="O641" s="48"/>
      <c r="P641" s="11"/>
      <c r="Q641" s="274"/>
      <c r="R641" s="274"/>
      <c r="S641" s="274"/>
      <c r="T641" s="11"/>
      <c r="U641" s="11"/>
      <c r="V641" s="11"/>
      <c r="W641" s="11"/>
      <c r="X641" s="11"/>
      <c r="Y641" s="11"/>
      <c r="Z641" s="48"/>
      <c r="AA641" s="52"/>
      <c r="AB641" s="52"/>
      <c r="AC641" s="118"/>
      <c r="AD641" s="5"/>
      <c r="AE641" s="52"/>
      <c r="AF641" s="113">
        <v>517000</v>
      </c>
      <c r="AG641" s="113">
        <f>AF641*0.19</f>
        <v>98230</v>
      </c>
      <c r="AH641" s="113">
        <f>AF641+AG641</f>
        <v>615230</v>
      </c>
      <c r="AI641" s="277" t="s">
        <v>628</v>
      </c>
      <c r="AJ641" s="33" t="s">
        <v>2766</v>
      </c>
      <c r="AK641" s="269">
        <v>261630</v>
      </c>
      <c r="AL641" s="269">
        <v>49709.7</v>
      </c>
      <c r="AM641" s="269">
        <v>311339.7</v>
      </c>
      <c r="AN641" s="301" t="s">
        <v>88</v>
      </c>
      <c r="AO641" s="302">
        <v>1050430250</v>
      </c>
      <c r="AP641" s="11"/>
      <c r="AQ641" s="11"/>
      <c r="AR641" s="11"/>
      <c r="AS641" s="11"/>
      <c r="AT641" s="11"/>
      <c r="AU641" s="118"/>
      <c r="AV641" s="118"/>
      <c r="AW641" s="118"/>
      <c r="AX641" s="52"/>
      <c r="AY641" s="52"/>
      <c r="AZ641" s="11"/>
      <c r="BA641" s="11"/>
      <c r="BB641" s="11"/>
      <c r="BC641" s="11"/>
      <c r="BD641" s="11"/>
      <c r="BE641" s="274">
        <v>654000</v>
      </c>
      <c r="BF641" s="274">
        <v>124260</v>
      </c>
      <c r="BG641" s="274">
        <v>778260</v>
      </c>
      <c r="BH641" s="11" t="s">
        <v>63</v>
      </c>
      <c r="BI641" s="11" t="s">
        <v>2767</v>
      </c>
      <c r="BJ641" s="311"/>
      <c r="BK641" s="311"/>
      <c r="BL641" s="311"/>
      <c r="BM641" s="52"/>
      <c r="BN641" s="52"/>
      <c r="BO641" s="274"/>
      <c r="BP641" s="274"/>
      <c r="BQ641" s="274"/>
      <c r="BR641" s="11"/>
      <c r="BS641" s="11"/>
      <c r="BT641" s="11"/>
      <c r="BU641" s="11"/>
      <c r="BV641" s="11"/>
      <c r="BW641" s="11"/>
      <c r="BX641" s="11"/>
      <c r="BY641" s="11"/>
      <c r="BZ641" s="11"/>
      <c r="CA641" s="11"/>
      <c r="CB641" s="11"/>
      <c r="CC641" s="11"/>
      <c r="CD641" s="11"/>
      <c r="CE641" s="11"/>
      <c r="CF641" s="11"/>
      <c r="CG641" s="11"/>
      <c r="CH641" s="11"/>
      <c r="CI641" s="11"/>
      <c r="CJ641" s="11"/>
      <c r="CK641" s="11"/>
      <c r="CL641" s="11"/>
      <c r="CM641" s="11"/>
      <c r="CN641" s="274"/>
      <c r="CO641" s="274"/>
      <c r="CP641" s="274"/>
      <c r="CQ641" s="11"/>
      <c r="CR641" s="11"/>
      <c r="CS641" s="11"/>
      <c r="CT641" s="11"/>
      <c r="CU641" s="11"/>
      <c r="CV641" s="11"/>
      <c r="CW641" s="11"/>
      <c r="CX641" s="11"/>
      <c r="CY641" s="11"/>
      <c r="CZ641" s="11"/>
      <c r="DA641" s="11"/>
      <c r="DB641" s="11"/>
      <c r="DC641" s="11"/>
      <c r="DD641" s="11"/>
      <c r="DE641" s="11"/>
      <c r="DF641" s="11"/>
      <c r="DG641" s="11"/>
      <c r="DH641" s="11"/>
      <c r="DI641" s="11"/>
      <c r="DJ641" s="11"/>
      <c r="DK641" s="11"/>
      <c r="DL641" s="11"/>
      <c r="DM641" s="118"/>
      <c r="DN641" s="118"/>
      <c r="DO641" s="118"/>
      <c r="DP641" s="52"/>
      <c r="DQ641" s="52"/>
      <c r="DR641" s="77"/>
      <c r="DS641" s="77"/>
      <c r="DT641" s="77"/>
      <c r="DU641" s="11"/>
      <c r="DV641" s="11"/>
      <c r="DW641" s="11"/>
      <c r="DX641" s="11"/>
      <c r="DY641" s="11"/>
      <c r="DZ641" s="11"/>
      <c r="EA641" s="11"/>
      <c r="EB641" s="11"/>
      <c r="EC641" s="11"/>
      <c r="ED641" s="11"/>
      <c r="EE641" s="11"/>
      <c r="EF641" s="11"/>
    </row>
    <row r="642" spans="1:136" ht="81" x14ac:dyDescent="0.25">
      <c r="A642" s="425">
        <v>640</v>
      </c>
      <c r="B642" s="426" t="s">
        <v>2768</v>
      </c>
      <c r="C642" s="426" t="s">
        <v>2769</v>
      </c>
      <c r="D642" s="426" t="s">
        <v>497</v>
      </c>
      <c r="E642" s="79">
        <v>1</v>
      </c>
      <c r="F642" s="405"/>
      <c r="G642" s="274"/>
      <c r="H642" s="274"/>
      <c r="I642" s="274"/>
      <c r="J642" s="274"/>
      <c r="K642" s="11"/>
      <c r="L642" s="274"/>
      <c r="M642" s="274"/>
      <c r="N642" s="274"/>
      <c r="O642" s="48"/>
      <c r="P642" s="11"/>
      <c r="Q642" s="274"/>
      <c r="R642" s="274"/>
      <c r="S642" s="274"/>
      <c r="T642" s="11"/>
      <c r="U642" s="11"/>
      <c r="V642" s="11"/>
      <c r="W642" s="11"/>
      <c r="X642" s="11"/>
      <c r="Y642" s="11"/>
      <c r="Z642" s="48"/>
      <c r="AA642" s="52"/>
      <c r="AB642" s="52"/>
      <c r="AC642" s="118"/>
      <c r="AD642" s="5"/>
      <c r="AE642" s="52"/>
      <c r="AF642" s="299"/>
      <c r="AG642" s="113"/>
      <c r="AH642" s="113"/>
      <c r="AI642" s="277"/>
      <c r="AJ642" s="33"/>
      <c r="AK642" s="274"/>
      <c r="AL642" s="274"/>
      <c r="AM642" s="274"/>
      <c r="AN642" s="11"/>
      <c r="AO642" s="11"/>
      <c r="AP642" s="11"/>
      <c r="AQ642" s="11"/>
      <c r="AR642" s="11"/>
      <c r="AS642" s="11"/>
      <c r="AT642" s="11"/>
      <c r="AU642" s="118"/>
      <c r="AV642" s="118"/>
      <c r="AW642" s="118"/>
      <c r="AX642" s="52"/>
      <c r="AY642" s="52"/>
      <c r="AZ642" s="11"/>
      <c r="BA642" s="11"/>
      <c r="BB642" s="11"/>
      <c r="BC642" s="11"/>
      <c r="BD642" s="11"/>
      <c r="BE642" s="274"/>
      <c r="BF642" s="274"/>
      <c r="BG642" s="274"/>
      <c r="BH642" s="11"/>
      <c r="BI642" s="11"/>
      <c r="BJ642" s="311"/>
      <c r="BK642" s="311"/>
      <c r="BL642" s="311"/>
      <c r="BM642" s="52"/>
      <c r="BN642" s="52"/>
      <c r="BO642" s="274"/>
      <c r="BP642" s="274"/>
      <c r="BQ642" s="274"/>
      <c r="BR642" s="11"/>
      <c r="BS642" s="11"/>
      <c r="BT642" s="321">
        <v>3050000</v>
      </c>
      <c r="BU642" s="321"/>
      <c r="BV642" s="321">
        <v>3050000</v>
      </c>
      <c r="BW642" s="30" t="s">
        <v>2770</v>
      </c>
      <c r="BX642" s="30" t="s">
        <v>2771</v>
      </c>
      <c r="BY642" s="11"/>
      <c r="BZ642" s="11"/>
      <c r="CA642" s="11"/>
      <c r="CB642" s="11"/>
      <c r="CC642" s="11"/>
      <c r="CD642" s="11"/>
      <c r="CE642" s="11"/>
      <c r="CF642" s="11"/>
      <c r="CG642" s="11"/>
      <c r="CH642" s="11"/>
      <c r="CI642" s="11"/>
      <c r="CJ642" s="11"/>
      <c r="CK642" s="11"/>
      <c r="CL642" s="11"/>
      <c r="CM642" s="11"/>
      <c r="CN642" s="274"/>
      <c r="CO642" s="274"/>
      <c r="CP642" s="274"/>
      <c r="CQ642" s="11"/>
      <c r="CR642" s="11"/>
      <c r="CS642" s="11"/>
      <c r="CT642" s="11"/>
      <c r="CU642" s="11"/>
      <c r="CV642" s="11"/>
      <c r="CW642" s="11"/>
      <c r="CX642" s="11"/>
      <c r="CY642" s="11"/>
      <c r="CZ642" s="11"/>
      <c r="DA642" s="11"/>
      <c r="DB642" s="11"/>
      <c r="DC642" s="11"/>
      <c r="DD642" s="11"/>
      <c r="DE642" s="11"/>
      <c r="DF642" s="11"/>
      <c r="DG642" s="11"/>
      <c r="DH642" s="11"/>
      <c r="DI642" s="11"/>
      <c r="DJ642" s="11"/>
      <c r="DK642" s="11"/>
      <c r="DL642" s="11"/>
      <c r="DM642" s="118"/>
      <c r="DN642" s="118"/>
      <c r="DO642" s="118"/>
      <c r="DP642" s="52"/>
      <c r="DQ642" s="52"/>
      <c r="DR642" s="77"/>
      <c r="DS642" s="77"/>
      <c r="DT642" s="77"/>
      <c r="DU642" s="11"/>
      <c r="DV642" s="11"/>
      <c r="DW642" s="11"/>
      <c r="DX642" s="11"/>
      <c r="DY642" s="11"/>
      <c r="DZ642" s="11"/>
      <c r="EA642" s="11"/>
      <c r="EB642" s="11"/>
      <c r="EC642" s="11"/>
      <c r="ED642" s="11"/>
      <c r="EE642" s="11"/>
      <c r="EF642" s="11"/>
    </row>
    <row r="643" spans="1:136" ht="54" x14ac:dyDescent="0.25">
      <c r="A643" s="425">
        <v>641</v>
      </c>
      <c r="B643" s="426" t="s">
        <v>2772</v>
      </c>
      <c r="C643" s="426" t="s">
        <v>2773</v>
      </c>
      <c r="D643" s="426" t="s">
        <v>497</v>
      </c>
      <c r="E643" s="79">
        <v>1</v>
      </c>
      <c r="F643" s="405"/>
      <c r="G643" s="274"/>
      <c r="H643" s="274"/>
      <c r="I643" s="274"/>
      <c r="J643" s="274"/>
      <c r="K643" s="11"/>
      <c r="L643" s="274"/>
      <c r="M643" s="274"/>
      <c r="N643" s="274"/>
      <c r="O643" s="48"/>
      <c r="P643" s="11"/>
      <c r="Q643" s="274"/>
      <c r="R643" s="274"/>
      <c r="S643" s="274"/>
      <c r="T643" s="11"/>
      <c r="U643" s="11"/>
      <c r="V643" s="11"/>
      <c r="W643" s="11"/>
      <c r="X643" s="11"/>
      <c r="Y643" s="11"/>
      <c r="Z643" s="48"/>
      <c r="AA643" s="52"/>
      <c r="AB643" s="52"/>
      <c r="AC643" s="118"/>
      <c r="AD643" s="5"/>
      <c r="AE643" s="52"/>
      <c r="AF643" s="113">
        <v>2104000</v>
      </c>
      <c r="AG643" s="113">
        <v>0</v>
      </c>
      <c r="AH643" s="113">
        <f>AF643+AG643</f>
        <v>2104000</v>
      </c>
      <c r="AI643" s="277" t="s">
        <v>2774</v>
      </c>
      <c r="AJ643" s="33" t="s">
        <v>2775</v>
      </c>
      <c r="AK643" s="274"/>
      <c r="AL643" s="274"/>
      <c r="AM643" s="274"/>
      <c r="AN643" s="11"/>
      <c r="AO643" s="11"/>
      <c r="AP643" s="11"/>
      <c r="AQ643" s="11"/>
      <c r="AR643" s="11"/>
      <c r="AS643" s="11"/>
      <c r="AT643" s="11"/>
      <c r="AU643" s="118"/>
      <c r="AV643" s="118"/>
      <c r="AW643" s="118"/>
      <c r="AX643" s="52"/>
      <c r="AY643" s="52"/>
      <c r="AZ643" s="11"/>
      <c r="BA643" s="11"/>
      <c r="BB643" s="11"/>
      <c r="BC643" s="11"/>
      <c r="BD643" s="11"/>
      <c r="BE643" s="274"/>
      <c r="BF643" s="274"/>
      <c r="BG643" s="274"/>
      <c r="BH643" s="11"/>
      <c r="BI643" s="11"/>
      <c r="BJ643" s="311"/>
      <c r="BK643" s="311"/>
      <c r="BL643" s="311"/>
      <c r="BM643" s="52"/>
      <c r="BN643" s="52"/>
      <c r="BO643" s="274"/>
      <c r="BP643" s="274"/>
      <c r="BQ643" s="274"/>
      <c r="BR643" s="11"/>
      <c r="BS643" s="11"/>
      <c r="BT643" s="321"/>
      <c r="BU643" s="321"/>
      <c r="BV643" s="321"/>
      <c r="BW643" s="30"/>
      <c r="BX643" s="30"/>
      <c r="BY643" s="11"/>
      <c r="BZ643" s="11"/>
      <c r="CA643" s="11"/>
      <c r="CB643" s="11"/>
      <c r="CC643" s="11"/>
      <c r="CD643" s="11"/>
      <c r="CE643" s="11"/>
      <c r="CF643" s="11"/>
      <c r="CG643" s="11"/>
      <c r="CH643" s="11"/>
      <c r="CI643" s="11"/>
      <c r="CJ643" s="11"/>
      <c r="CK643" s="11"/>
      <c r="CL643" s="11"/>
      <c r="CM643" s="11"/>
      <c r="CN643" s="274"/>
      <c r="CO643" s="274"/>
      <c r="CP643" s="274"/>
      <c r="CQ643" s="11"/>
      <c r="CR643" s="11"/>
      <c r="CS643" s="11"/>
      <c r="CT643" s="11"/>
      <c r="CU643" s="11"/>
      <c r="CV643" s="11"/>
      <c r="CW643" s="11"/>
      <c r="CX643" s="11"/>
      <c r="CY643" s="11"/>
      <c r="CZ643" s="11"/>
      <c r="DA643" s="11"/>
      <c r="DB643" s="11"/>
      <c r="DC643" s="11"/>
      <c r="DD643" s="11"/>
      <c r="DE643" s="11"/>
      <c r="DF643" s="11"/>
      <c r="DG643" s="11"/>
      <c r="DH643" s="11"/>
      <c r="DI643" s="11"/>
      <c r="DJ643" s="11"/>
      <c r="DK643" s="11"/>
      <c r="DL643" s="11"/>
      <c r="DM643" s="118"/>
      <c r="DN643" s="118"/>
      <c r="DO643" s="118"/>
      <c r="DP643" s="52"/>
      <c r="DQ643" s="52"/>
      <c r="DR643" s="77"/>
      <c r="DS643" s="77"/>
      <c r="DT643" s="77"/>
      <c r="DU643" s="11"/>
      <c r="DV643" s="11"/>
      <c r="DW643" s="11"/>
      <c r="DX643" s="11"/>
      <c r="DY643" s="11"/>
      <c r="DZ643" s="11"/>
      <c r="EA643" s="11"/>
      <c r="EB643" s="11"/>
      <c r="EC643" s="11"/>
      <c r="ED643" s="11"/>
      <c r="EE643" s="11"/>
      <c r="EF643" s="11"/>
    </row>
    <row r="644" spans="1:136" ht="27" x14ac:dyDescent="0.25">
      <c r="A644" s="425">
        <v>642</v>
      </c>
      <c r="B644" s="427" t="s">
        <v>2776</v>
      </c>
      <c r="C644" s="427" t="s">
        <v>2777</v>
      </c>
      <c r="D644" s="588" t="s">
        <v>273</v>
      </c>
      <c r="E644" s="79">
        <v>1</v>
      </c>
      <c r="F644" s="405">
        <v>527888.76</v>
      </c>
      <c r="G644" s="274"/>
      <c r="H644" s="274"/>
      <c r="I644" s="274"/>
      <c r="J644" s="274"/>
      <c r="K644" s="11"/>
      <c r="L644" s="274"/>
      <c r="M644" s="274"/>
      <c r="N644" s="274"/>
      <c r="O644" s="48"/>
      <c r="P644" s="11"/>
      <c r="Q644" s="274"/>
      <c r="R644" s="274"/>
      <c r="S644" s="274"/>
      <c r="T644" s="11"/>
      <c r="U644" s="11"/>
      <c r="V644" s="11"/>
      <c r="W644" s="11"/>
      <c r="X644" s="11"/>
      <c r="Y644" s="11"/>
      <c r="Z644" s="48"/>
      <c r="AA644" s="52"/>
      <c r="AB644" s="52"/>
      <c r="AC644" s="118"/>
      <c r="AD644" s="5"/>
      <c r="AE644" s="52"/>
      <c r="AF644" s="299"/>
      <c r="AG644" s="113"/>
      <c r="AH644" s="113"/>
      <c r="AI644" s="277"/>
      <c r="AJ644" s="33"/>
      <c r="AK644" s="274"/>
      <c r="AL644" s="274"/>
      <c r="AM644" s="274"/>
      <c r="AN644" s="11"/>
      <c r="AO644" s="11"/>
      <c r="AP644" s="11"/>
      <c r="AQ644" s="11"/>
      <c r="AR644" s="11"/>
      <c r="AS644" s="11"/>
      <c r="AT644" s="11"/>
      <c r="AU644" s="118"/>
      <c r="AV644" s="118"/>
      <c r="AW644" s="118"/>
      <c r="AX644" s="52"/>
      <c r="AY644" s="52"/>
      <c r="AZ644" s="11"/>
      <c r="BA644" s="11"/>
      <c r="BB644" s="11"/>
      <c r="BC644" s="11"/>
      <c r="BD644" s="11"/>
      <c r="BE644" s="274"/>
      <c r="BF644" s="274"/>
      <c r="BG644" s="274"/>
      <c r="BH644" s="11"/>
      <c r="BI644" s="11"/>
      <c r="BJ644" s="311"/>
      <c r="BK644" s="311"/>
      <c r="BL644" s="311"/>
      <c r="BM644" s="52"/>
      <c r="BN644" s="52"/>
      <c r="BO644" s="274"/>
      <c r="BP644" s="274"/>
      <c r="BQ644" s="274"/>
      <c r="BR644" s="11"/>
      <c r="BS644" s="11"/>
      <c r="BT644" s="321"/>
      <c r="BU644" s="321"/>
      <c r="BV644" s="321"/>
      <c r="BW644" s="30"/>
      <c r="BX644" s="30"/>
      <c r="BY644" s="11"/>
      <c r="BZ644" s="11"/>
      <c r="CA644" s="11"/>
      <c r="CB644" s="11"/>
      <c r="CC644" s="11"/>
      <c r="CD644" s="11"/>
      <c r="CE644" s="11"/>
      <c r="CF644" s="11"/>
      <c r="CG644" s="11"/>
      <c r="CH644" s="11"/>
      <c r="CI644" s="11"/>
      <c r="CJ644" s="11"/>
      <c r="CK644" s="11"/>
      <c r="CL644" s="11"/>
      <c r="CM644" s="11"/>
      <c r="CN644" s="274"/>
      <c r="CO644" s="274"/>
      <c r="CP644" s="274"/>
      <c r="CQ644" s="11"/>
      <c r="CR644" s="11"/>
      <c r="CS644" s="11"/>
      <c r="CT644" s="11"/>
      <c r="CU644" s="11"/>
      <c r="CV644" s="11"/>
      <c r="CW644" s="11"/>
      <c r="CX644" s="11"/>
      <c r="CY644" s="11"/>
      <c r="CZ644" s="11"/>
      <c r="DA644" s="11"/>
      <c r="DB644" s="11"/>
      <c r="DC644" s="11"/>
      <c r="DD644" s="11"/>
      <c r="DE644" s="11"/>
      <c r="DF644" s="11"/>
      <c r="DG644" s="11"/>
      <c r="DH644" s="11"/>
      <c r="DI644" s="11"/>
      <c r="DJ644" s="11"/>
      <c r="DK644" s="11"/>
      <c r="DL644" s="11"/>
      <c r="DM644" s="118"/>
      <c r="DN644" s="118"/>
      <c r="DO644" s="118"/>
      <c r="DP644" s="52"/>
      <c r="DQ644" s="52"/>
      <c r="DR644" s="77"/>
      <c r="DS644" s="77"/>
      <c r="DT644" s="77"/>
      <c r="DU644" s="11"/>
      <c r="DV644" s="11"/>
      <c r="DW644" s="11"/>
      <c r="DX644" s="11"/>
      <c r="DY644" s="11"/>
      <c r="DZ644" s="11"/>
      <c r="EA644" s="11"/>
      <c r="EB644" s="11"/>
      <c r="EC644" s="11"/>
      <c r="ED644" s="11"/>
      <c r="EE644" s="11"/>
      <c r="EF644" s="11"/>
    </row>
    <row r="645" spans="1:136" ht="54" x14ac:dyDescent="0.25">
      <c r="A645" s="425">
        <v>643</v>
      </c>
      <c r="B645" s="427" t="s">
        <v>2778</v>
      </c>
      <c r="C645" s="427" t="s">
        <v>2779</v>
      </c>
      <c r="D645" s="588" t="s">
        <v>157</v>
      </c>
      <c r="E645" s="79">
        <v>1</v>
      </c>
      <c r="F645" s="16">
        <v>278833.63140000001</v>
      </c>
      <c r="G645" s="11"/>
      <c r="H645" s="11"/>
      <c r="I645" s="30"/>
      <c r="J645" s="274"/>
      <c r="K645" s="11"/>
      <c r="L645" s="274"/>
      <c r="M645" s="274"/>
      <c r="N645" s="274"/>
      <c r="O645" s="48"/>
      <c r="P645" s="11"/>
      <c r="Q645" s="274"/>
      <c r="R645" s="274"/>
      <c r="S645" s="274"/>
      <c r="T645" s="11"/>
      <c r="U645" s="11"/>
      <c r="V645" s="11"/>
      <c r="W645" s="11"/>
      <c r="X645" s="11"/>
      <c r="Y645" s="11"/>
      <c r="Z645" s="48"/>
      <c r="AA645" s="52"/>
      <c r="AB645" s="52"/>
      <c r="AC645" s="118"/>
      <c r="AD645" s="5"/>
      <c r="AE645" s="52"/>
      <c r="AF645" s="299"/>
      <c r="AG645" s="113"/>
      <c r="AH645" s="113"/>
      <c r="AI645" s="277"/>
      <c r="AJ645" s="33"/>
      <c r="AK645" s="274"/>
      <c r="AL645" s="274"/>
      <c r="AM645" s="274"/>
      <c r="AN645" s="11"/>
      <c r="AO645" s="11"/>
      <c r="AP645" s="11"/>
      <c r="AQ645" s="11"/>
      <c r="AR645" s="11"/>
      <c r="AS645" s="11"/>
      <c r="AT645" s="11"/>
      <c r="AU645" s="118"/>
      <c r="AV645" s="118"/>
      <c r="AW645" s="118"/>
      <c r="AX645" s="52"/>
      <c r="AY645" s="52"/>
      <c r="AZ645" s="11"/>
      <c r="BA645" s="11"/>
      <c r="BB645" s="11"/>
      <c r="BC645" s="11"/>
      <c r="BD645" s="11"/>
      <c r="BE645" s="274"/>
      <c r="BF645" s="274"/>
      <c r="BG645" s="274"/>
      <c r="BH645" s="11"/>
      <c r="BI645" s="11"/>
      <c r="BJ645" s="311"/>
      <c r="BK645" s="311"/>
      <c r="BL645" s="311"/>
      <c r="BM645" s="52"/>
      <c r="BN645" s="52"/>
      <c r="BO645" s="274"/>
      <c r="BP645" s="274"/>
      <c r="BQ645" s="274"/>
      <c r="BR645" s="11"/>
      <c r="BS645" s="11"/>
      <c r="BT645" s="321"/>
      <c r="BU645" s="321"/>
      <c r="BV645" s="321"/>
      <c r="BW645" s="30"/>
      <c r="BX645" s="30"/>
      <c r="BY645" s="11"/>
      <c r="BZ645" s="11"/>
      <c r="CA645" s="11"/>
      <c r="CB645" s="11"/>
      <c r="CC645" s="11"/>
      <c r="CD645" s="11"/>
      <c r="CE645" s="11"/>
      <c r="CF645" s="11"/>
      <c r="CG645" s="11"/>
      <c r="CH645" s="11"/>
      <c r="CI645" s="11"/>
      <c r="CJ645" s="11"/>
      <c r="CK645" s="11"/>
      <c r="CL645" s="11"/>
      <c r="CM645" s="11"/>
      <c r="CN645" s="274"/>
      <c r="CO645" s="274"/>
      <c r="CP645" s="274"/>
      <c r="CQ645" s="11"/>
      <c r="CR645" s="11"/>
      <c r="CS645" s="11"/>
      <c r="CT645" s="11"/>
      <c r="CU645" s="11"/>
      <c r="CV645" s="11"/>
      <c r="CW645" s="11"/>
      <c r="CX645" s="11"/>
      <c r="CY645" s="11"/>
      <c r="CZ645" s="11"/>
      <c r="DA645" s="11"/>
      <c r="DB645" s="11"/>
      <c r="DC645" s="11"/>
      <c r="DD645" s="11"/>
      <c r="DE645" s="11"/>
      <c r="DF645" s="11"/>
      <c r="DG645" s="11"/>
      <c r="DH645" s="11"/>
      <c r="DI645" s="11"/>
      <c r="DJ645" s="11"/>
      <c r="DK645" s="11"/>
      <c r="DL645" s="11"/>
      <c r="DM645" s="118"/>
      <c r="DN645" s="118"/>
      <c r="DO645" s="118"/>
      <c r="DP645" s="52"/>
      <c r="DQ645" s="52"/>
      <c r="DR645" s="77"/>
      <c r="DS645" s="77"/>
      <c r="DT645" s="77"/>
      <c r="DU645" s="11"/>
      <c r="DV645" s="11"/>
      <c r="DW645" s="11"/>
      <c r="DX645" s="11"/>
      <c r="DY645" s="11"/>
      <c r="DZ645" s="11"/>
      <c r="EA645" s="11"/>
      <c r="EB645" s="11"/>
      <c r="EC645" s="11"/>
      <c r="ED645" s="11"/>
      <c r="EE645" s="11"/>
      <c r="EF645" s="11"/>
    </row>
    <row r="646" spans="1:136" ht="27" x14ac:dyDescent="0.25">
      <c r="A646" s="425">
        <v>644</v>
      </c>
      <c r="B646" s="427" t="s">
        <v>2780</v>
      </c>
      <c r="C646" s="427" t="s">
        <v>622</v>
      </c>
      <c r="D646" s="588" t="s">
        <v>2781</v>
      </c>
      <c r="E646" s="79">
        <v>1</v>
      </c>
      <c r="F646" s="406">
        <v>346898.32800000004</v>
      </c>
      <c r="G646" s="274"/>
      <c r="H646" s="274"/>
      <c r="I646" s="274"/>
      <c r="J646" s="274"/>
      <c r="K646" s="11"/>
      <c r="L646" s="274"/>
      <c r="M646" s="274"/>
      <c r="N646" s="274"/>
      <c r="O646" s="48"/>
      <c r="P646" s="11"/>
      <c r="Q646" s="274"/>
      <c r="R646" s="274"/>
      <c r="S646" s="274"/>
      <c r="T646" s="11"/>
      <c r="U646" s="11"/>
      <c r="V646" s="11"/>
      <c r="W646" s="11"/>
      <c r="X646" s="11"/>
      <c r="Y646" s="11"/>
      <c r="Z646" s="48"/>
      <c r="AA646" s="52"/>
      <c r="AB646" s="52"/>
      <c r="AC646" s="118"/>
      <c r="AD646" s="5"/>
      <c r="AE646" s="52"/>
      <c r="AF646" s="299"/>
      <c r="AG646" s="113"/>
      <c r="AH646" s="113"/>
      <c r="AI646" s="277"/>
      <c r="AJ646" s="33"/>
      <c r="AK646" s="274"/>
      <c r="AL646" s="274"/>
      <c r="AM646" s="274"/>
      <c r="AN646" s="11"/>
      <c r="AO646" s="11"/>
      <c r="AP646" s="11"/>
      <c r="AQ646" s="11"/>
      <c r="AR646" s="11"/>
      <c r="AS646" s="11"/>
      <c r="AT646" s="11"/>
      <c r="AU646" s="118"/>
      <c r="AV646" s="118"/>
      <c r="AW646" s="118"/>
      <c r="AX646" s="52"/>
      <c r="AY646" s="52"/>
      <c r="AZ646" s="11"/>
      <c r="BA646" s="11"/>
      <c r="BB646" s="11"/>
      <c r="BC646" s="11"/>
      <c r="BD646" s="11"/>
      <c r="BE646" s="274"/>
      <c r="BF646" s="274"/>
      <c r="BG646" s="274"/>
      <c r="BH646" s="11"/>
      <c r="BI646" s="11"/>
      <c r="BJ646" s="311"/>
      <c r="BK646" s="311"/>
      <c r="BL646" s="311"/>
      <c r="BM646" s="52"/>
      <c r="BN646" s="52"/>
      <c r="BO646" s="274"/>
      <c r="BP646" s="274"/>
      <c r="BQ646" s="274"/>
      <c r="BR646" s="11"/>
      <c r="BS646" s="11"/>
      <c r="BT646" s="321"/>
      <c r="BU646" s="321"/>
      <c r="BV646" s="321"/>
      <c r="BW646" s="30"/>
      <c r="BX646" s="30"/>
      <c r="BY646" s="11"/>
      <c r="BZ646" s="11"/>
      <c r="CA646" s="11"/>
      <c r="CB646" s="11"/>
      <c r="CC646" s="11"/>
      <c r="CD646" s="11"/>
      <c r="CE646" s="11"/>
      <c r="CF646" s="11"/>
      <c r="CG646" s="11"/>
      <c r="CH646" s="11"/>
      <c r="CI646" s="11"/>
      <c r="CJ646" s="11"/>
      <c r="CK646" s="11"/>
      <c r="CL646" s="11"/>
      <c r="CM646" s="11"/>
      <c r="CN646" s="274"/>
      <c r="CO646" s="274"/>
      <c r="CP646" s="274"/>
      <c r="CQ646" s="11"/>
      <c r="CR646" s="11"/>
      <c r="CS646" s="11"/>
      <c r="CT646" s="11"/>
      <c r="CU646" s="11"/>
      <c r="CV646" s="11"/>
      <c r="CW646" s="11"/>
      <c r="CX646" s="11"/>
      <c r="CY646" s="11"/>
      <c r="CZ646" s="11"/>
      <c r="DA646" s="11"/>
      <c r="DB646" s="11"/>
      <c r="DC646" s="11"/>
      <c r="DD646" s="11"/>
      <c r="DE646" s="11"/>
      <c r="DF646" s="11"/>
      <c r="DG646" s="11"/>
      <c r="DH646" s="11"/>
      <c r="DI646" s="11"/>
      <c r="DJ646" s="11"/>
      <c r="DK646" s="11"/>
      <c r="DL646" s="11"/>
      <c r="DM646" s="118"/>
      <c r="DN646" s="118"/>
      <c r="DO646" s="118"/>
      <c r="DP646" s="52"/>
      <c r="DQ646" s="52"/>
      <c r="DR646" s="77"/>
      <c r="DS646" s="77"/>
      <c r="DT646" s="77"/>
      <c r="DU646" s="11"/>
      <c r="DV646" s="11"/>
      <c r="DW646" s="11"/>
      <c r="DX646" s="11"/>
      <c r="DY646" s="11"/>
      <c r="DZ646" s="11"/>
      <c r="EA646" s="11"/>
      <c r="EB646" s="11"/>
      <c r="EC646" s="11"/>
      <c r="ED646" s="11"/>
      <c r="EE646" s="11"/>
      <c r="EF646" s="11"/>
    </row>
    <row r="647" spans="1:136" ht="15" x14ac:dyDescent="0.25">
      <c r="A647" s="425">
        <v>645</v>
      </c>
      <c r="B647" s="427" t="s">
        <v>2782</v>
      </c>
      <c r="C647" s="427" t="s">
        <v>935</v>
      </c>
      <c r="D647" s="588" t="s">
        <v>637</v>
      </c>
      <c r="E647" s="79">
        <v>1</v>
      </c>
      <c r="F647" s="405">
        <v>376273.36239999998</v>
      </c>
      <c r="G647" s="274"/>
      <c r="H647" s="274"/>
      <c r="I647" s="274"/>
      <c r="J647" s="274"/>
      <c r="K647" s="11"/>
      <c r="L647" s="274"/>
      <c r="M647" s="274"/>
      <c r="N647" s="274"/>
      <c r="O647" s="48"/>
      <c r="P647" s="11"/>
      <c r="Q647" s="274"/>
      <c r="R647" s="274"/>
      <c r="S647" s="274"/>
      <c r="T647" s="11"/>
      <c r="U647" s="11"/>
      <c r="V647" s="11"/>
      <c r="W647" s="11"/>
      <c r="X647" s="11"/>
      <c r="Y647" s="11"/>
      <c r="Z647" s="48"/>
      <c r="AA647" s="52"/>
      <c r="AB647" s="52"/>
      <c r="AC647" s="118"/>
      <c r="AD647" s="5"/>
      <c r="AE647" s="52"/>
      <c r="AF647" s="299"/>
      <c r="AG647" s="113"/>
      <c r="AH647" s="113"/>
      <c r="AI647" s="277"/>
      <c r="AJ647" s="33"/>
      <c r="AK647" s="274"/>
      <c r="AL647" s="274"/>
      <c r="AM647" s="274"/>
      <c r="AN647" s="11"/>
      <c r="AO647" s="11"/>
      <c r="AP647" s="11"/>
      <c r="AQ647" s="11"/>
      <c r="AR647" s="11"/>
      <c r="AS647" s="11"/>
      <c r="AT647" s="11"/>
      <c r="AU647" s="118"/>
      <c r="AV647" s="118"/>
      <c r="AW647" s="118"/>
      <c r="AX647" s="52"/>
      <c r="AY647" s="52"/>
      <c r="AZ647" s="11"/>
      <c r="BA647" s="11"/>
      <c r="BB647" s="11"/>
      <c r="BC647" s="11"/>
      <c r="BD647" s="11"/>
      <c r="BE647" s="274"/>
      <c r="BF647" s="274"/>
      <c r="BG647" s="274"/>
      <c r="BH647" s="11"/>
      <c r="BI647" s="11"/>
      <c r="BJ647" s="311"/>
      <c r="BK647" s="311"/>
      <c r="BL647" s="311"/>
      <c r="BM647" s="52"/>
      <c r="BN647" s="52"/>
      <c r="BO647" s="274"/>
      <c r="BP647" s="274"/>
      <c r="BQ647" s="274"/>
      <c r="BR647" s="11"/>
      <c r="BS647" s="11"/>
      <c r="BT647" s="321"/>
      <c r="BU647" s="321"/>
      <c r="BV647" s="321"/>
      <c r="BW647" s="30"/>
      <c r="BX647" s="30"/>
      <c r="BY647" s="11"/>
      <c r="BZ647" s="11"/>
      <c r="CA647" s="11"/>
      <c r="CB647" s="11"/>
      <c r="CC647" s="11"/>
      <c r="CD647" s="11"/>
      <c r="CE647" s="11"/>
      <c r="CF647" s="11"/>
      <c r="CG647" s="11"/>
      <c r="CH647" s="11"/>
      <c r="CI647" s="11"/>
      <c r="CJ647" s="11"/>
      <c r="CK647" s="11"/>
      <c r="CL647" s="11"/>
      <c r="CM647" s="11"/>
      <c r="CN647" s="274"/>
      <c r="CO647" s="274"/>
      <c r="CP647" s="274"/>
      <c r="CQ647" s="11"/>
      <c r="CR647" s="11"/>
      <c r="CS647" s="11"/>
      <c r="CT647" s="11"/>
      <c r="CU647" s="11"/>
      <c r="CV647" s="11"/>
      <c r="CW647" s="11"/>
      <c r="CX647" s="11"/>
      <c r="CY647" s="11"/>
      <c r="CZ647" s="11"/>
      <c r="DA647" s="11"/>
      <c r="DB647" s="11"/>
      <c r="DC647" s="11"/>
      <c r="DD647" s="11"/>
      <c r="DE647" s="11"/>
      <c r="DF647" s="11"/>
      <c r="DG647" s="11"/>
      <c r="DH647" s="11"/>
      <c r="DI647" s="11"/>
      <c r="DJ647" s="11"/>
      <c r="DK647" s="11"/>
      <c r="DL647" s="11"/>
      <c r="DM647" s="118"/>
      <c r="DN647" s="118"/>
      <c r="DO647" s="118"/>
      <c r="DP647" s="52"/>
      <c r="DQ647" s="52"/>
      <c r="DR647" s="77"/>
      <c r="DS647" s="77"/>
      <c r="DT647" s="77"/>
      <c r="DU647" s="11"/>
      <c r="DV647" s="11"/>
      <c r="DW647" s="11"/>
      <c r="DX647" s="11"/>
      <c r="DY647" s="11"/>
      <c r="DZ647" s="11"/>
      <c r="EA647" s="11"/>
      <c r="EB647" s="11"/>
      <c r="EC647" s="11"/>
      <c r="ED647" s="11"/>
      <c r="EE647" s="11"/>
      <c r="EF647" s="11"/>
    </row>
    <row r="648" spans="1:136" ht="15" x14ac:dyDescent="0.25">
      <c r="A648" s="425">
        <v>646</v>
      </c>
      <c r="B648" s="427" t="s">
        <v>2783</v>
      </c>
      <c r="C648" s="427" t="s">
        <v>622</v>
      </c>
      <c r="D648" s="588" t="s">
        <v>925</v>
      </c>
      <c r="E648" s="79">
        <v>1</v>
      </c>
      <c r="F648" s="406">
        <v>652319.68200000003</v>
      </c>
      <c r="G648" s="274"/>
      <c r="H648" s="274"/>
      <c r="I648" s="274"/>
      <c r="J648" s="274"/>
      <c r="K648" s="11"/>
      <c r="L648" s="274"/>
      <c r="M648" s="274"/>
      <c r="N648" s="274"/>
      <c r="O648" s="48"/>
      <c r="P648" s="11"/>
      <c r="Q648" s="274"/>
      <c r="R648" s="274"/>
      <c r="S648" s="274"/>
      <c r="T648" s="11"/>
      <c r="U648" s="11"/>
      <c r="V648" s="11"/>
      <c r="W648" s="11"/>
      <c r="X648" s="11"/>
      <c r="Y648" s="11"/>
      <c r="Z648" s="48"/>
      <c r="AA648" s="52"/>
      <c r="AB648" s="52"/>
      <c r="AC648" s="118"/>
      <c r="AD648" s="5"/>
      <c r="AE648" s="52"/>
      <c r="AF648" s="299"/>
      <c r="AG648" s="113"/>
      <c r="AH648" s="113"/>
      <c r="AI648" s="277"/>
      <c r="AJ648" s="33"/>
      <c r="AK648" s="274"/>
      <c r="AL648" s="274"/>
      <c r="AM648" s="274"/>
      <c r="AN648" s="11"/>
      <c r="AO648" s="11"/>
      <c r="AP648" s="11"/>
      <c r="AQ648" s="11"/>
      <c r="AR648" s="11"/>
      <c r="AS648" s="11"/>
      <c r="AT648" s="11"/>
      <c r="AU648" s="118"/>
      <c r="AV648" s="118"/>
      <c r="AW648" s="118"/>
      <c r="AX648" s="52"/>
      <c r="AY648" s="52"/>
      <c r="AZ648" s="11"/>
      <c r="BA648" s="11"/>
      <c r="BB648" s="11"/>
      <c r="BC648" s="11"/>
      <c r="BD648" s="11"/>
      <c r="BE648" s="274"/>
      <c r="BF648" s="274"/>
      <c r="BG648" s="274"/>
      <c r="BH648" s="11"/>
      <c r="BI648" s="11"/>
      <c r="BJ648" s="311"/>
      <c r="BK648" s="311"/>
      <c r="BL648" s="311"/>
      <c r="BM648" s="52"/>
      <c r="BN648" s="52"/>
      <c r="BO648" s="274"/>
      <c r="BP648" s="274"/>
      <c r="BQ648" s="274"/>
      <c r="BR648" s="11"/>
      <c r="BS648" s="11"/>
      <c r="BT648" s="321"/>
      <c r="BU648" s="321"/>
      <c r="BV648" s="321"/>
      <c r="BW648" s="30"/>
      <c r="BX648" s="30"/>
      <c r="BY648" s="11"/>
      <c r="BZ648" s="11"/>
      <c r="CA648" s="11"/>
      <c r="CB648" s="11"/>
      <c r="CC648" s="11"/>
      <c r="CD648" s="11"/>
      <c r="CE648" s="11"/>
      <c r="CF648" s="11"/>
      <c r="CG648" s="11"/>
      <c r="CH648" s="11"/>
      <c r="CI648" s="11"/>
      <c r="CJ648" s="11"/>
      <c r="CK648" s="11"/>
      <c r="CL648" s="11"/>
      <c r="CM648" s="11"/>
      <c r="CN648" s="274"/>
      <c r="CO648" s="274"/>
      <c r="CP648" s="274"/>
      <c r="CQ648" s="11"/>
      <c r="CR648" s="11"/>
      <c r="CS648" s="11"/>
      <c r="CT648" s="11"/>
      <c r="CU648" s="11"/>
      <c r="CV648" s="11"/>
      <c r="CW648" s="11"/>
      <c r="CX648" s="11"/>
      <c r="CY648" s="11"/>
      <c r="CZ648" s="11"/>
      <c r="DA648" s="11"/>
      <c r="DB648" s="11"/>
      <c r="DC648" s="11"/>
      <c r="DD648" s="11"/>
      <c r="DE648" s="11"/>
      <c r="DF648" s="11"/>
      <c r="DG648" s="11"/>
      <c r="DH648" s="11"/>
      <c r="DI648" s="11"/>
      <c r="DJ648" s="11"/>
      <c r="DK648" s="11"/>
      <c r="DL648" s="11"/>
      <c r="DM648" s="118"/>
      <c r="DN648" s="118"/>
      <c r="DO648" s="118"/>
      <c r="DP648" s="52"/>
      <c r="DQ648" s="52"/>
      <c r="DR648" s="77"/>
      <c r="DS648" s="77"/>
      <c r="DT648" s="77"/>
      <c r="DU648" s="11"/>
      <c r="DV648" s="11"/>
      <c r="DW648" s="11"/>
      <c r="DX648" s="11"/>
      <c r="DY648" s="11"/>
      <c r="DZ648" s="11"/>
      <c r="EA648" s="11"/>
      <c r="EB648" s="11"/>
      <c r="EC648" s="11"/>
      <c r="ED648" s="11"/>
      <c r="EE648" s="11"/>
      <c r="EF648" s="11"/>
    </row>
    <row r="649" spans="1:136" ht="114.75" customHeight="1" x14ac:dyDescent="0.25">
      <c r="A649" s="425">
        <v>647</v>
      </c>
      <c r="B649" s="427" t="s">
        <v>2784</v>
      </c>
      <c r="C649" s="427" t="s">
        <v>2785</v>
      </c>
      <c r="D649" s="588" t="s">
        <v>39</v>
      </c>
      <c r="E649" s="79">
        <v>1</v>
      </c>
      <c r="F649" s="406">
        <v>1263162.3900000001</v>
      </c>
      <c r="G649" s="274"/>
      <c r="H649" s="274"/>
      <c r="I649" s="274"/>
      <c r="J649" s="274"/>
      <c r="K649" s="11"/>
      <c r="L649" s="274"/>
      <c r="M649" s="274"/>
      <c r="N649" s="274"/>
      <c r="O649" s="48"/>
      <c r="P649" s="11"/>
      <c r="Q649" s="274"/>
      <c r="R649" s="274"/>
      <c r="S649" s="274"/>
      <c r="T649" s="11"/>
      <c r="U649" s="11"/>
      <c r="V649" s="11"/>
      <c r="W649" s="11"/>
      <c r="X649" s="11"/>
      <c r="Y649" s="11"/>
      <c r="Z649" s="48"/>
      <c r="AA649" s="52"/>
      <c r="AB649" s="52"/>
      <c r="AC649" s="118"/>
      <c r="AD649" s="5"/>
      <c r="AE649" s="52"/>
      <c r="AF649" s="299"/>
      <c r="AG649" s="113"/>
      <c r="AH649" s="113"/>
      <c r="AI649" s="277"/>
      <c r="AJ649" s="33"/>
      <c r="AK649" s="274"/>
      <c r="AL649" s="274"/>
      <c r="AM649" s="274"/>
      <c r="AN649" s="11"/>
      <c r="AO649" s="11"/>
      <c r="AP649" s="11"/>
      <c r="AQ649" s="11"/>
      <c r="AR649" s="11"/>
      <c r="AS649" s="11"/>
      <c r="AT649" s="11"/>
      <c r="AU649" s="118"/>
      <c r="AV649" s="118"/>
      <c r="AW649" s="118"/>
      <c r="AX649" s="52"/>
      <c r="AY649" s="52"/>
      <c r="AZ649" s="11"/>
      <c r="BA649" s="11"/>
      <c r="BB649" s="11"/>
      <c r="BC649" s="11"/>
      <c r="BD649" s="11"/>
      <c r="BE649" s="274"/>
      <c r="BF649" s="274"/>
      <c r="BG649" s="274"/>
      <c r="BH649" s="11"/>
      <c r="BI649" s="11"/>
      <c r="BJ649" s="311"/>
      <c r="BK649" s="311"/>
      <c r="BL649" s="311"/>
      <c r="BM649" s="52"/>
      <c r="BN649" s="52"/>
      <c r="BO649" s="274"/>
      <c r="BP649" s="274"/>
      <c r="BQ649" s="274"/>
      <c r="BR649" s="11"/>
      <c r="BS649" s="11"/>
      <c r="BT649" s="321"/>
      <c r="BU649" s="321"/>
      <c r="BV649" s="321"/>
      <c r="BW649" s="30"/>
      <c r="BX649" s="30"/>
      <c r="BY649" s="11"/>
      <c r="BZ649" s="11"/>
      <c r="CA649" s="11"/>
      <c r="CB649" s="11"/>
      <c r="CC649" s="11"/>
      <c r="CD649" s="11"/>
      <c r="CE649" s="11"/>
      <c r="CF649" s="11"/>
      <c r="CG649" s="11"/>
      <c r="CH649" s="11"/>
      <c r="CI649" s="11"/>
      <c r="CJ649" s="11"/>
      <c r="CK649" s="11"/>
      <c r="CL649" s="11"/>
      <c r="CM649" s="11"/>
      <c r="CN649" s="274"/>
      <c r="CO649" s="274"/>
      <c r="CP649" s="274"/>
      <c r="CQ649" s="11"/>
      <c r="CR649" s="11"/>
      <c r="CS649" s="11"/>
      <c r="CT649" s="11"/>
      <c r="CU649" s="11"/>
      <c r="CV649" s="11"/>
      <c r="CW649" s="11"/>
      <c r="CX649" s="11"/>
      <c r="CY649" s="11"/>
      <c r="CZ649" s="11"/>
      <c r="DA649" s="11"/>
      <c r="DB649" s="11"/>
      <c r="DC649" s="11"/>
      <c r="DD649" s="11"/>
      <c r="DE649" s="11"/>
      <c r="DF649" s="11"/>
      <c r="DG649" s="11"/>
      <c r="DH649" s="11"/>
      <c r="DI649" s="11"/>
      <c r="DJ649" s="11"/>
      <c r="DK649" s="11"/>
      <c r="DL649" s="11"/>
      <c r="DM649" s="118"/>
      <c r="DN649" s="118"/>
      <c r="DO649" s="118"/>
      <c r="DP649" s="52"/>
      <c r="DQ649" s="52"/>
      <c r="DR649" s="77"/>
      <c r="DS649" s="77"/>
      <c r="DT649" s="77"/>
      <c r="DU649" s="11"/>
      <c r="DV649" s="11"/>
      <c r="DW649" s="11"/>
      <c r="DX649" s="11"/>
      <c r="DY649" s="11"/>
      <c r="DZ649" s="11"/>
      <c r="EA649" s="11"/>
      <c r="EB649" s="11"/>
      <c r="EC649" s="11"/>
      <c r="ED649" s="11"/>
      <c r="EE649" s="11"/>
      <c r="EF649" s="11"/>
    </row>
    <row r="650" spans="1:136" ht="15" x14ac:dyDescent="0.25">
      <c r="A650" s="425">
        <v>648</v>
      </c>
      <c r="B650" s="427" t="s">
        <v>2786</v>
      </c>
      <c r="C650" s="427" t="s">
        <v>2787</v>
      </c>
      <c r="D650" s="588" t="s">
        <v>109</v>
      </c>
      <c r="E650" s="79">
        <v>1</v>
      </c>
      <c r="F650" s="405">
        <v>602873.679</v>
      </c>
      <c r="G650" s="274"/>
      <c r="H650" s="274"/>
      <c r="I650" s="274"/>
      <c r="J650" s="274"/>
      <c r="K650" s="11"/>
      <c r="L650" s="274"/>
      <c r="M650" s="274"/>
      <c r="N650" s="274"/>
      <c r="O650" s="48"/>
      <c r="P650" s="11"/>
      <c r="Q650" s="274"/>
      <c r="R650" s="274"/>
      <c r="S650" s="274"/>
      <c r="T650" s="11"/>
      <c r="U650" s="11"/>
      <c r="V650" s="11"/>
      <c r="W650" s="11"/>
      <c r="X650" s="11"/>
      <c r="Y650" s="11"/>
      <c r="Z650" s="48"/>
      <c r="AA650" s="52"/>
      <c r="AB650" s="52"/>
      <c r="AC650" s="118"/>
      <c r="AD650" s="5"/>
      <c r="AE650" s="52"/>
      <c r="AF650" s="299"/>
      <c r="AG650" s="113"/>
      <c r="AH650" s="113"/>
      <c r="AI650" s="277"/>
      <c r="AJ650" s="33"/>
      <c r="AK650" s="274"/>
      <c r="AL650" s="274"/>
      <c r="AM650" s="274"/>
      <c r="AN650" s="11"/>
      <c r="AO650" s="11"/>
      <c r="AP650" s="11"/>
      <c r="AQ650" s="11"/>
      <c r="AR650" s="11"/>
      <c r="AS650" s="11"/>
      <c r="AT650" s="11"/>
      <c r="AU650" s="118"/>
      <c r="AV650" s="118"/>
      <c r="AW650" s="118"/>
      <c r="AX650" s="52"/>
      <c r="AY650" s="52"/>
      <c r="AZ650" s="11"/>
      <c r="BA650" s="11"/>
      <c r="BB650" s="11"/>
      <c r="BC650" s="11"/>
      <c r="BD650" s="11"/>
      <c r="BE650" s="274"/>
      <c r="BF650" s="274"/>
      <c r="BG650" s="274"/>
      <c r="BH650" s="11"/>
      <c r="BI650" s="11"/>
      <c r="BJ650" s="311"/>
      <c r="BK650" s="311"/>
      <c r="BL650" s="311"/>
      <c r="BM650" s="52"/>
      <c r="BN650" s="52"/>
      <c r="BO650" s="274"/>
      <c r="BP650" s="274"/>
      <c r="BQ650" s="274"/>
      <c r="BR650" s="11"/>
      <c r="BS650" s="11"/>
      <c r="BT650" s="321"/>
      <c r="BU650" s="321"/>
      <c r="BV650" s="321"/>
      <c r="BW650" s="30"/>
      <c r="BX650" s="30"/>
      <c r="BY650" s="11"/>
      <c r="BZ650" s="11"/>
      <c r="CA650" s="11"/>
      <c r="CB650" s="11"/>
      <c r="CC650" s="11"/>
      <c r="CD650" s="11"/>
      <c r="CE650" s="11"/>
      <c r="CF650" s="11"/>
      <c r="CG650" s="11"/>
      <c r="CH650" s="11"/>
      <c r="CI650" s="11"/>
      <c r="CJ650" s="11"/>
      <c r="CK650" s="11"/>
      <c r="CL650" s="11"/>
      <c r="CM650" s="11"/>
      <c r="CN650" s="274"/>
      <c r="CO650" s="274"/>
      <c r="CP650" s="274"/>
      <c r="CQ650" s="11"/>
      <c r="CR650" s="11"/>
      <c r="CS650" s="11"/>
      <c r="CT650" s="11"/>
      <c r="CU650" s="11"/>
      <c r="CV650" s="11"/>
      <c r="CW650" s="11"/>
      <c r="CX650" s="11"/>
      <c r="CY650" s="11"/>
      <c r="CZ650" s="11"/>
      <c r="DA650" s="11"/>
      <c r="DB650" s="11"/>
      <c r="DC650" s="11"/>
      <c r="DD650" s="11"/>
      <c r="DE650" s="11"/>
      <c r="DF650" s="11"/>
      <c r="DG650" s="11"/>
      <c r="DH650" s="11"/>
      <c r="DI650" s="11"/>
      <c r="DJ650" s="11"/>
      <c r="DK650" s="11"/>
      <c r="DL650" s="11"/>
      <c r="DM650" s="118"/>
      <c r="DN650" s="118"/>
      <c r="DO650" s="118"/>
      <c r="DP650" s="52"/>
      <c r="DQ650" s="52"/>
      <c r="DR650" s="77"/>
      <c r="DS650" s="77"/>
      <c r="DT650" s="77"/>
      <c r="DU650" s="11"/>
      <c r="DV650" s="11"/>
      <c r="DW650" s="11"/>
      <c r="DX650" s="11"/>
      <c r="DY650" s="11"/>
      <c r="DZ650" s="11"/>
      <c r="EA650" s="11"/>
      <c r="EB650" s="11"/>
      <c r="EC650" s="11"/>
      <c r="ED650" s="11"/>
      <c r="EE650" s="11"/>
      <c r="EF650" s="11"/>
    </row>
    <row r="651" spans="1:136" ht="15" x14ac:dyDescent="0.25">
      <c r="A651" s="425">
        <v>649</v>
      </c>
      <c r="B651" s="427" t="s">
        <v>2788</v>
      </c>
      <c r="C651" s="427" t="s">
        <v>131</v>
      </c>
      <c r="D651" s="588" t="s">
        <v>132</v>
      </c>
      <c r="E651" s="79">
        <v>1</v>
      </c>
      <c r="F651" s="405">
        <v>1818025.4418000001</v>
      </c>
      <c r="G651" s="274"/>
      <c r="H651" s="274"/>
      <c r="I651" s="274"/>
      <c r="J651" s="274"/>
      <c r="K651" s="11"/>
      <c r="L651" s="274"/>
      <c r="M651" s="274"/>
      <c r="N651" s="274"/>
      <c r="O651" s="48"/>
      <c r="P651" s="11"/>
      <c r="Q651" s="274"/>
      <c r="R651" s="274"/>
      <c r="S651" s="274"/>
      <c r="T651" s="11"/>
      <c r="U651" s="11"/>
      <c r="V651" s="11"/>
      <c r="W651" s="11"/>
      <c r="X651" s="11"/>
      <c r="Y651" s="11"/>
      <c r="Z651" s="48"/>
      <c r="AA651" s="52"/>
      <c r="AB651" s="52"/>
      <c r="AC651" s="118"/>
      <c r="AD651" s="5"/>
      <c r="AE651" s="52"/>
      <c r="AF651" s="299"/>
      <c r="AG651" s="113"/>
      <c r="AH651" s="113"/>
      <c r="AI651" s="277"/>
      <c r="AJ651" s="33"/>
      <c r="AK651" s="274"/>
      <c r="AL651" s="274"/>
      <c r="AM651" s="274"/>
      <c r="AN651" s="11"/>
      <c r="AO651" s="11"/>
      <c r="AP651" s="11"/>
      <c r="AQ651" s="11"/>
      <c r="AR651" s="11"/>
      <c r="AS651" s="11"/>
      <c r="AT651" s="11"/>
      <c r="AU651" s="118"/>
      <c r="AV651" s="118"/>
      <c r="AW651" s="118"/>
      <c r="AX651" s="52"/>
      <c r="AY651" s="52"/>
      <c r="AZ651" s="11"/>
      <c r="BA651" s="11"/>
      <c r="BB651" s="11"/>
      <c r="BC651" s="11"/>
      <c r="BD651" s="11"/>
      <c r="BE651" s="274"/>
      <c r="BF651" s="274"/>
      <c r="BG651" s="274"/>
      <c r="BH651" s="11"/>
      <c r="BI651" s="11"/>
      <c r="BJ651" s="311"/>
      <c r="BK651" s="311"/>
      <c r="BL651" s="311"/>
      <c r="BM651" s="52"/>
      <c r="BN651" s="52"/>
      <c r="BO651" s="274"/>
      <c r="BP651" s="274"/>
      <c r="BQ651" s="274"/>
      <c r="BR651" s="11"/>
      <c r="BS651" s="11"/>
      <c r="BT651" s="321"/>
      <c r="BU651" s="321"/>
      <c r="BV651" s="321"/>
      <c r="BW651" s="30"/>
      <c r="BX651" s="30"/>
      <c r="BY651" s="11"/>
      <c r="BZ651" s="11"/>
      <c r="CA651" s="11"/>
      <c r="CB651" s="11"/>
      <c r="CC651" s="11"/>
      <c r="CD651" s="11"/>
      <c r="CE651" s="11"/>
      <c r="CF651" s="11"/>
      <c r="CG651" s="11"/>
      <c r="CH651" s="11"/>
      <c r="CI651" s="11"/>
      <c r="CJ651" s="11"/>
      <c r="CK651" s="11"/>
      <c r="CL651" s="11"/>
      <c r="CM651" s="11"/>
      <c r="CN651" s="274"/>
      <c r="CO651" s="274"/>
      <c r="CP651" s="274"/>
      <c r="CQ651" s="11"/>
      <c r="CR651" s="11"/>
      <c r="CS651" s="11"/>
      <c r="CT651" s="11"/>
      <c r="CU651" s="11"/>
      <c r="CV651" s="11"/>
      <c r="CW651" s="11"/>
      <c r="CX651" s="11"/>
      <c r="CY651" s="11"/>
      <c r="CZ651" s="11"/>
      <c r="DA651" s="11"/>
      <c r="DB651" s="11"/>
      <c r="DC651" s="11"/>
      <c r="DD651" s="11"/>
      <c r="DE651" s="11"/>
      <c r="DF651" s="11"/>
      <c r="DG651" s="11"/>
      <c r="DH651" s="11"/>
      <c r="DI651" s="11"/>
      <c r="DJ651" s="11"/>
      <c r="DK651" s="11"/>
      <c r="DL651" s="11"/>
      <c r="DM651" s="118"/>
      <c r="DN651" s="118"/>
      <c r="DO651" s="118"/>
      <c r="DP651" s="52"/>
      <c r="DQ651" s="52"/>
      <c r="DR651" s="77"/>
      <c r="DS651" s="77"/>
      <c r="DT651" s="77"/>
      <c r="DU651" s="11"/>
      <c r="DV651" s="11"/>
      <c r="DW651" s="11"/>
      <c r="DX651" s="11"/>
      <c r="DY651" s="11"/>
      <c r="DZ651" s="11"/>
      <c r="EA651" s="11"/>
      <c r="EB651" s="11"/>
      <c r="EC651" s="11"/>
      <c r="ED651" s="11"/>
      <c r="EE651" s="11"/>
      <c r="EF651" s="11"/>
    </row>
    <row r="652" spans="1:136" ht="25.5" x14ac:dyDescent="0.25">
      <c r="A652" s="425">
        <v>650</v>
      </c>
      <c r="B652" s="427" t="s">
        <v>2789</v>
      </c>
      <c r="C652" s="427" t="s">
        <v>113</v>
      </c>
      <c r="D652" s="588" t="s">
        <v>925</v>
      </c>
      <c r="E652" s="79">
        <v>1</v>
      </c>
      <c r="F652" s="405"/>
      <c r="G652" s="274"/>
      <c r="H652" s="274"/>
      <c r="I652" s="274"/>
      <c r="J652" s="274"/>
      <c r="K652" s="11"/>
      <c r="L652" s="274"/>
      <c r="M652" s="274"/>
      <c r="N652" s="274"/>
      <c r="O652" s="48"/>
      <c r="P652" s="11"/>
      <c r="Q652" s="274"/>
      <c r="R652" s="274"/>
      <c r="S652" s="274"/>
      <c r="T652" s="11"/>
      <c r="U652" s="11"/>
      <c r="V652" s="16">
        <v>1318222</v>
      </c>
      <c r="W652" s="274">
        <v>0</v>
      </c>
      <c r="X652" s="16">
        <f>+V652+W652</f>
        <v>1318222</v>
      </c>
      <c r="Y652" s="11" t="s">
        <v>343</v>
      </c>
      <c r="Z652" s="48" t="s">
        <v>1467</v>
      </c>
      <c r="AA652" s="52"/>
      <c r="AB652" s="52"/>
      <c r="AC652" s="118"/>
      <c r="AD652" s="5"/>
      <c r="AE652" s="52"/>
      <c r="AF652" s="299"/>
      <c r="AG652" s="113"/>
      <c r="AH652" s="113"/>
      <c r="AI652" s="277"/>
      <c r="AJ652" s="33"/>
      <c r="AK652" s="274"/>
      <c r="AL652" s="274"/>
      <c r="AM652" s="274"/>
      <c r="AN652" s="11"/>
      <c r="AO652" s="11"/>
      <c r="AP652" s="11"/>
      <c r="AQ652" s="11"/>
      <c r="AR652" s="11"/>
      <c r="AS652" s="11"/>
      <c r="AT652" s="11"/>
      <c r="AU652" s="118">
        <v>576471</v>
      </c>
      <c r="AV652" s="118">
        <f>+AU652*0.19</f>
        <v>109529.49</v>
      </c>
      <c r="AW652" s="118">
        <f>+AU652+AV652</f>
        <v>686000.49</v>
      </c>
      <c r="AX652" s="52" t="s">
        <v>343</v>
      </c>
      <c r="AY652" s="52" t="s">
        <v>2790</v>
      </c>
      <c r="AZ652" s="11"/>
      <c r="BA652" s="11"/>
      <c r="BB652" s="11"/>
      <c r="BC652" s="11"/>
      <c r="BD652" s="11"/>
      <c r="BE652" s="274"/>
      <c r="BF652" s="274"/>
      <c r="BG652" s="274"/>
      <c r="BH652" s="11"/>
      <c r="BI652" s="11"/>
      <c r="BJ652" s="311"/>
      <c r="BK652" s="311"/>
      <c r="BL652" s="311"/>
      <c r="BM652" s="52"/>
      <c r="BN652" s="52"/>
      <c r="BO652" s="274"/>
      <c r="BP652" s="274"/>
      <c r="BQ652" s="274"/>
      <c r="BR652" s="11"/>
      <c r="BS652" s="11"/>
      <c r="BT652" s="321"/>
      <c r="BU652" s="321"/>
      <c r="BV652" s="321"/>
      <c r="BW652" s="30"/>
      <c r="BX652" s="30"/>
      <c r="BY652" s="11"/>
      <c r="BZ652" s="11"/>
      <c r="CA652" s="11"/>
      <c r="CB652" s="11"/>
      <c r="CC652" s="11"/>
      <c r="CD652" s="11"/>
      <c r="CE652" s="11"/>
      <c r="CF652" s="11"/>
      <c r="CG652" s="11"/>
      <c r="CH652" s="11"/>
      <c r="CI652" s="11"/>
      <c r="CJ652" s="11"/>
      <c r="CK652" s="11"/>
      <c r="CL652" s="11"/>
      <c r="CM652" s="11"/>
      <c r="CN652" s="274"/>
      <c r="CO652" s="274"/>
      <c r="CP652" s="274"/>
      <c r="CQ652" s="11"/>
      <c r="CR652" s="11"/>
      <c r="CS652" s="11"/>
      <c r="CT652" s="11"/>
      <c r="CU652" s="11"/>
      <c r="CV652" s="11"/>
      <c r="CW652" s="11"/>
      <c r="CX652" s="11"/>
      <c r="CY652" s="11"/>
      <c r="CZ652" s="11"/>
      <c r="DA652" s="11"/>
      <c r="DB652" s="11"/>
      <c r="DC652" s="11"/>
      <c r="DD652" s="11"/>
      <c r="DE652" s="11"/>
      <c r="DF652" s="11"/>
      <c r="DG652" s="11"/>
      <c r="DH652" s="11"/>
      <c r="DI652" s="11"/>
      <c r="DJ652" s="11"/>
      <c r="DK652" s="11"/>
      <c r="DL652" s="11"/>
      <c r="DM652" s="118"/>
      <c r="DN652" s="118"/>
      <c r="DO652" s="118"/>
      <c r="DP652" s="52"/>
      <c r="DQ652" s="52"/>
      <c r="DR652" s="77">
        <v>365000</v>
      </c>
      <c r="DS652" s="77">
        <f>+DR652*0.19</f>
        <v>69350</v>
      </c>
      <c r="DT652" s="77">
        <f>+DR652+DS652</f>
        <v>434350</v>
      </c>
      <c r="DU652" s="11" t="s">
        <v>343</v>
      </c>
      <c r="DV652" s="11" t="s">
        <v>2791</v>
      </c>
      <c r="DW652" s="11"/>
      <c r="DX652" s="11"/>
      <c r="DY652" s="11"/>
      <c r="DZ652" s="11"/>
      <c r="EA652" s="11"/>
      <c r="EB652" s="11"/>
      <c r="EC652" s="11"/>
      <c r="ED652" s="11"/>
      <c r="EE652" s="11"/>
      <c r="EF652" s="11"/>
    </row>
    <row r="653" spans="1:136" ht="27" x14ac:dyDescent="0.25">
      <c r="A653" s="425">
        <v>651</v>
      </c>
      <c r="B653" s="427" t="s">
        <v>2792</v>
      </c>
      <c r="C653" s="427" t="s">
        <v>2793</v>
      </c>
      <c r="D653" s="588" t="s">
        <v>1297</v>
      </c>
      <c r="E653" s="79">
        <v>1</v>
      </c>
      <c r="F653" s="406">
        <v>339357.06</v>
      </c>
      <c r="G653" s="274"/>
      <c r="H653" s="274"/>
      <c r="I653" s="389"/>
      <c r="J653" s="274"/>
      <c r="K653" s="11"/>
      <c r="L653" s="274"/>
      <c r="M653" s="274"/>
      <c r="N653" s="389"/>
      <c r="O653" s="48"/>
      <c r="P653" s="11"/>
      <c r="Q653" s="274"/>
      <c r="R653" s="274"/>
      <c r="S653" s="389"/>
      <c r="T653" s="11"/>
      <c r="U653" s="11"/>
      <c r="V653" s="11"/>
      <c r="W653" s="11"/>
      <c r="X653" s="11"/>
      <c r="Y653" s="11"/>
      <c r="Z653" s="48"/>
      <c r="AA653" s="52"/>
      <c r="AB653" s="52"/>
      <c r="AC653" s="389"/>
      <c r="AD653" s="5"/>
      <c r="AE653" s="52"/>
      <c r="AF653" s="118"/>
      <c r="AG653" s="118"/>
      <c r="AH653" s="389"/>
      <c r="AI653" s="52"/>
      <c r="AJ653" s="11"/>
      <c r="AK653" s="274"/>
      <c r="AL653" s="274"/>
      <c r="AM653" s="389"/>
      <c r="AN653" s="11"/>
      <c r="AO653" s="11"/>
      <c r="AP653" s="11"/>
      <c r="AQ653" s="11"/>
      <c r="AR653" s="389"/>
      <c r="AS653" s="11"/>
      <c r="AT653" s="11"/>
      <c r="AU653" s="118"/>
      <c r="AV653" s="118"/>
      <c r="AW653" s="142"/>
      <c r="AX653" s="52"/>
      <c r="AY653" s="52"/>
      <c r="AZ653" s="11"/>
      <c r="BA653" s="11"/>
      <c r="BB653" s="389"/>
      <c r="BC653" s="11"/>
      <c r="BD653" s="11"/>
      <c r="BE653" s="274"/>
      <c r="BF653" s="274"/>
      <c r="BG653" s="389"/>
      <c r="BH653" s="11"/>
      <c r="BI653" s="11"/>
      <c r="BJ653" s="311"/>
      <c r="BK653" s="311"/>
      <c r="BL653" s="389"/>
      <c r="BM653" s="52"/>
      <c r="BN653" s="52"/>
      <c r="BO653" s="274"/>
      <c r="BP653" s="274"/>
      <c r="BQ653" s="389"/>
      <c r="BR653" s="11"/>
      <c r="BS653" s="11"/>
      <c r="BT653" s="11"/>
      <c r="BU653" s="11"/>
      <c r="BV653" s="389"/>
      <c r="BW653" s="11"/>
      <c r="BX653" s="11"/>
      <c r="BY653" s="11"/>
      <c r="BZ653" s="11"/>
      <c r="CA653" s="389"/>
      <c r="CB653" s="11"/>
      <c r="CC653" s="11"/>
      <c r="CD653" s="11"/>
      <c r="CE653" s="11"/>
      <c r="CF653" s="389"/>
      <c r="CG653" s="11"/>
      <c r="CH653" s="11"/>
      <c r="CI653" s="11"/>
      <c r="CJ653" s="11"/>
      <c r="CK653" s="389"/>
      <c r="CL653" s="11"/>
      <c r="CM653" s="11"/>
      <c r="CN653" s="274"/>
      <c r="CO653" s="274"/>
      <c r="CP653" s="389"/>
      <c r="CQ653" s="11"/>
      <c r="CR653" s="11"/>
      <c r="CS653" s="11"/>
      <c r="CT653" s="11"/>
      <c r="CU653" s="389"/>
      <c r="CV653" s="11"/>
      <c r="CW653" s="11"/>
      <c r="CX653" s="11"/>
      <c r="CY653" s="11"/>
      <c r="CZ653" s="389"/>
      <c r="DA653" s="11"/>
      <c r="DB653" s="11"/>
      <c r="DC653" s="11"/>
      <c r="DD653" s="11"/>
      <c r="DE653" s="389"/>
      <c r="DF653" s="11"/>
      <c r="DG653" s="11"/>
      <c r="DH653" s="11"/>
      <c r="DI653" s="11"/>
      <c r="DJ653" s="389"/>
      <c r="DK653" s="11"/>
      <c r="DL653" s="11"/>
      <c r="DM653" s="118"/>
      <c r="DN653" s="118"/>
      <c r="DO653" s="389"/>
      <c r="DP653" s="52"/>
      <c r="DQ653" s="52"/>
      <c r="DR653" s="77"/>
      <c r="DS653" s="77"/>
      <c r="DT653" s="389"/>
      <c r="DU653" s="11"/>
      <c r="DV653" s="11"/>
      <c r="DW653" s="274"/>
      <c r="DX653" s="274"/>
      <c r="DY653" s="274"/>
      <c r="DZ653" s="388"/>
      <c r="EA653" s="11"/>
      <c r="EB653" s="11"/>
      <c r="EC653" s="11"/>
      <c r="ED653" s="11"/>
      <c r="EE653" s="11"/>
      <c r="EF653" s="11"/>
    </row>
    <row r="654" spans="1:136" ht="27" x14ac:dyDescent="0.25">
      <c r="A654" s="425">
        <v>652</v>
      </c>
      <c r="B654" s="427" t="s">
        <v>2794</v>
      </c>
      <c r="C654" s="427" t="s">
        <v>622</v>
      </c>
      <c r="D654" s="588" t="s">
        <v>2795</v>
      </c>
      <c r="E654" s="79">
        <v>1</v>
      </c>
      <c r="F654" s="406">
        <v>641007.78</v>
      </c>
      <c r="G654" s="274"/>
      <c r="H654" s="274"/>
      <c r="I654" s="389"/>
      <c r="J654" s="274"/>
      <c r="K654" s="11"/>
      <c r="L654" s="274"/>
      <c r="M654" s="274"/>
      <c r="N654" s="389"/>
      <c r="O654" s="48"/>
      <c r="P654" s="11"/>
      <c r="Q654" s="274"/>
      <c r="R654" s="274"/>
      <c r="S654" s="389"/>
      <c r="T654" s="11"/>
      <c r="U654" s="11"/>
      <c r="V654" s="11"/>
      <c r="W654" s="11"/>
      <c r="X654" s="11"/>
      <c r="Y654" s="11"/>
      <c r="Z654" s="48"/>
      <c r="AA654" s="52"/>
      <c r="AB654" s="52"/>
      <c r="AC654" s="389"/>
      <c r="AD654" s="5"/>
      <c r="AE654" s="52"/>
      <c r="AF654" s="118"/>
      <c r="AG654" s="118"/>
      <c r="AH654" s="389"/>
      <c r="AI654" s="52"/>
      <c r="AJ654" s="11"/>
      <c r="AK654" s="274"/>
      <c r="AL654" s="274"/>
      <c r="AM654" s="389"/>
      <c r="AN654" s="11"/>
      <c r="AO654" s="11"/>
      <c r="AP654" s="11"/>
      <c r="AQ654" s="11"/>
      <c r="AR654" s="389"/>
      <c r="AS654" s="11"/>
      <c r="AT654" s="11"/>
      <c r="AU654" s="118"/>
      <c r="AV654" s="118"/>
      <c r="AW654" s="142"/>
      <c r="AX654" s="52"/>
      <c r="AY654" s="52"/>
      <c r="AZ654" s="11"/>
      <c r="BA654" s="11"/>
      <c r="BB654" s="389"/>
      <c r="BC654" s="11"/>
      <c r="BD654" s="11"/>
      <c r="BE654" s="274"/>
      <c r="BF654" s="274"/>
      <c r="BG654" s="389"/>
      <c r="BH654" s="11"/>
      <c r="BI654" s="11"/>
      <c r="BJ654" s="311"/>
      <c r="BK654" s="311"/>
      <c r="BL654" s="389"/>
      <c r="BM654" s="52"/>
      <c r="BN654" s="52"/>
      <c r="BO654" s="274"/>
      <c r="BP654" s="274"/>
      <c r="BQ654" s="389"/>
      <c r="BR654" s="11"/>
      <c r="BS654" s="11"/>
      <c r="BT654" s="11"/>
      <c r="BU654" s="11"/>
      <c r="BV654" s="389"/>
      <c r="BW654" s="11"/>
      <c r="BX654" s="11"/>
      <c r="BY654" s="11"/>
      <c r="BZ654" s="11"/>
      <c r="CA654" s="389"/>
      <c r="CB654" s="11"/>
      <c r="CC654" s="11"/>
      <c r="CD654" s="11"/>
      <c r="CE654" s="11"/>
      <c r="CF654" s="389"/>
      <c r="CG654" s="11"/>
      <c r="CH654" s="11"/>
      <c r="CI654" s="11"/>
      <c r="CJ654" s="11"/>
      <c r="CK654" s="389"/>
      <c r="CL654" s="11"/>
      <c r="CM654" s="11"/>
      <c r="CN654" s="274"/>
      <c r="CO654" s="274"/>
      <c r="CP654" s="389"/>
      <c r="CQ654" s="11"/>
      <c r="CR654" s="11"/>
      <c r="CS654" s="11"/>
      <c r="CT654" s="11"/>
      <c r="CU654" s="389"/>
      <c r="CV654" s="11"/>
      <c r="CW654" s="11"/>
      <c r="CX654" s="11"/>
      <c r="CY654" s="11"/>
      <c r="CZ654" s="389"/>
      <c r="DA654" s="11"/>
      <c r="DB654" s="11"/>
      <c r="DC654" s="11"/>
      <c r="DD654" s="11"/>
      <c r="DE654" s="389"/>
      <c r="DF654" s="11"/>
      <c r="DG654" s="11"/>
      <c r="DH654" s="11"/>
      <c r="DI654" s="11"/>
      <c r="DJ654" s="389"/>
      <c r="DK654" s="11"/>
      <c r="DL654" s="11"/>
      <c r="DM654" s="118"/>
      <c r="DN654" s="118"/>
      <c r="DO654" s="389"/>
      <c r="DP654" s="52"/>
      <c r="DQ654" s="52"/>
      <c r="DR654" s="77"/>
      <c r="DS654" s="77"/>
      <c r="DT654" s="389"/>
      <c r="DU654" s="11"/>
      <c r="DV654" s="11"/>
      <c r="DW654" s="274"/>
      <c r="DX654" s="274"/>
      <c r="DY654" s="274"/>
      <c r="DZ654" s="388"/>
      <c r="EA654" s="11"/>
      <c r="EB654" s="11"/>
      <c r="EC654" s="11"/>
      <c r="ED654" s="11"/>
      <c r="EE654" s="11"/>
      <c r="EF654" s="11"/>
    </row>
    <row r="655" spans="1:136" ht="27" x14ac:dyDescent="0.25">
      <c r="A655" s="425">
        <v>653</v>
      </c>
      <c r="B655" s="427" t="s">
        <v>2796</v>
      </c>
      <c r="C655" s="427" t="s">
        <v>2797</v>
      </c>
      <c r="D655" s="588" t="s">
        <v>2798</v>
      </c>
      <c r="E655" s="79">
        <v>1</v>
      </c>
      <c r="F655" s="71">
        <v>437850.8786</v>
      </c>
      <c r="G655" s="274"/>
      <c r="H655" s="274"/>
      <c r="I655" s="389"/>
      <c r="J655" s="274"/>
      <c r="K655" s="11"/>
      <c r="L655" s="274"/>
      <c r="M655" s="274"/>
      <c r="N655" s="389"/>
      <c r="O655" s="48"/>
      <c r="P655" s="11"/>
      <c r="Q655" s="274"/>
      <c r="R655" s="274"/>
      <c r="S655" s="389"/>
      <c r="T655" s="11"/>
      <c r="U655" s="11"/>
      <c r="V655" s="11"/>
      <c r="W655" s="11"/>
      <c r="X655" s="11"/>
      <c r="Y655" s="11"/>
      <c r="Z655" s="48"/>
      <c r="AA655" s="52"/>
      <c r="AB655" s="52"/>
      <c r="AC655" s="389"/>
      <c r="AD655" s="5"/>
      <c r="AE655" s="52"/>
      <c r="AF655" s="118"/>
      <c r="AG655" s="118"/>
      <c r="AH655" s="389"/>
      <c r="AI655" s="52"/>
      <c r="AJ655" s="11"/>
      <c r="AK655" s="274"/>
      <c r="AL655" s="274"/>
      <c r="AM655" s="389"/>
      <c r="AN655" s="11"/>
      <c r="AO655" s="11"/>
      <c r="AP655" s="11"/>
      <c r="AQ655" s="11"/>
      <c r="AR655" s="389"/>
      <c r="AS655" s="11"/>
      <c r="AT655" s="11"/>
      <c r="AU655" s="118"/>
      <c r="AV655" s="118"/>
      <c r="AW655" s="142"/>
      <c r="AX655" s="52"/>
      <c r="AY655" s="52"/>
      <c r="AZ655" s="11"/>
      <c r="BA655" s="11"/>
      <c r="BB655" s="389"/>
      <c r="BC655" s="11"/>
      <c r="BD655" s="11"/>
      <c r="BE655" s="274"/>
      <c r="BF655" s="274"/>
      <c r="BG655" s="389"/>
      <c r="BH655" s="11"/>
      <c r="BI655" s="11"/>
      <c r="BJ655" s="311"/>
      <c r="BK655" s="311"/>
      <c r="BL655" s="389"/>
      <c r="BM655" s="52"/>
      <c r="BN655" s="52"/>
      <c r="BO655" s="274"/>
      <c r="BP655" s="274"/>
      <c r="BQ655" s="389"/>
      <c r="BR655" s="11"/>
      <c r="BS655" s="11"/>
      <c r="BT655" s="11"/>
      <c r="BU655" s="11"/>
      <c r="BV655" s="389"/>
      <c r="BW655" s="11"/>
      <c r="BX655" s="11"/>
      <c r="BY655" s="11"/>
      <c r="BZ655" s="11"/>
      <c r="CA655" s="389"/>
      <c r="CB655" s="11"/>
      <c r="CC655" s="11"/>
      <c r="CD655" s="11"/>
      <c r="CE655" s="11"/>
      <c r="CF655" s="389"/>
      <c r="CG655" s="11"/>
      <c r="CH655" s="11"/>
      <c r="CI655" s="11"/>
      <c r="CJ655" s="11"/>
      <c r="CK655" s="389"/>
      <c r="CL655" s="11"/>
      <c r="CM655" s="11"/>
      <c r="CN655" s="274"/>
      <c r="CO655" s="274"/>
      <c r="CP655" s="389"/>
      <c r="CQ655" s="11"/>
      <c r="CR655" s="11"/>
      <c r="CS655" s="11"/>
      <c r="CT655" s="11"/>
      <c r="CU655" s="389"/>
      <c r="CV655" s="11"/>
      <c r="CW655" s="11"/>
      <c r="CX655" s="11"/>
      <c r="CY655" s="11"/>
      <c r="CZ655" s="389"/>
      <c r="DA655" s="11"/>
      <c r="DB655" s="11"/>
      <c r="DC655" s="11"/>
      <c r="DD655" s="11"/>
      <c r="DE655" s="389"/>
      <c r="DF655" s="11"/>
      <c r="DG655" s="11"/>
      <c r="DH655" s="11"/>
      <c r="DI655" s="11"/>
      <c r="DJ655" s="389"/>
      <c r="DK655" s="11"/>
      <c r="DL655" s="11"/>
      <c r="DM655" s="118"/>
      <c r="DN655" s="118"/>
      <c r="DO655" s="389"/>
      <c r="DP655" s="52"/>
      <c r="DQ655" s="52"/>
      <c r="DR655" s="77"/>
      <c r="DS655" s="77"/>
      <c r="DT655" s="389"/>
      <c r="DU655" s="11"/>
      <c r="DV655" s="11"/>
      <c r="DW655" s="274"/>
      <c r="DX655" s="274"/>
      <c r="DY655" s="274"/>
      <c r="DZ655" s="388"/>
      <c r="EA655" s="11"/>
      <c r="EB655" s="11"/>
      <c r="EC655" s="11"/>
      <c r="ED655" s="11"/>
      <c r="EE655" s="11"/>
      <c r="EF655" s="11"/>
    </row>
    <row r="656" spans="1:136" ht="13.5" x14ac:dyDescent="0.25">
      <c r="A656" s="425">
        <v>654</v>
      </c>
      <c r="B656" s="427" t="s">
        <v>2799</v>
      </c>
      <c r="C656" s="426" t="s">
        <v>1377</v>
      </c>
      <c r="D656" s="566" t="s">
        <v>637</v>
      </c>
      <c r="E656" s="79">
        <v>1</v>
      </c>
      <c r="F656" s="71">
        <v>369863.28460000001</v>
      </c>
      <c r="G656" s="274"/>
      <c r="H656" s="274"/>
      <c r="I656" s="389"/>
      <c r="J656" s="274"/>
      <c r="K656" s="11"/>
      <c r="L656" s="274"/>
      <c r="M656" s="274"/>
      <c r="N656" s="389"/>
      <c r="O656" s="48"/>
      <c r="P656" s="11"/>
      <c r="Q656" s="274"/>
      <c r="R656" s="274"/>
      <c r="S656" s="389"/>
      <c r="T656" s="11"/>
      <c r="U656" s="11"/>
      <c r="V656" s="11"/>
      <c r="W656" s="11"/>
      <c r="X656" s="11"/>
      <c r="Y656" s="11"/>
      <c r="Z656" s="48"/>
      <c r="AA656" s="52"/>
      <c r="AB656" s="52"/>
      <c r="AC656" s="389"/>
      <c r="AD656" s="5"/>
      <c r="AE656" s="52"/>
      <c r="AF656" s="118"/>
      <c r="AG656" s="118"/>
      <c r="AH656" s="389"/>
      <c r="AI656" s="52"/>
      <c r="AJ656" s="11"/>
      <c r="AK656" s="274"/>
      <c r="AL656" s="274"/>
      <c r="AM656" s="389"/>
      <c r="AN656" s="11"/>
      <c r="AO656" s="11"/>
      <c r="AP656" s="11"/>
      <c r="AQ656" s="11"/>
      <c r="AR656" s="389"/>
      <c r="AS656" s="11"/>
      <c r="AT656" s="11"/>
      <c r="AU656" s="118"/>
      <c r="AV656" s="118"/>
      <c r="AW656" s="142"/>
      <c r="AX656" s="52"/>
      <c r="AY656" s="52"/>
      <c r="AZ656" s="11"/>
      <c r="BA656" s="11"/>
      <c r="BB656" s="389"/>
      <c r="BC656" s="11"/>
      <c r="BD656" s="11"/>
      <c r="BE656" s="274"/>
      <c r="BF656" s="274"/>
      <c r="BG656" s="389"/>
      <c r="BH656" s="11"/>
      <c r="BI656" s="11"/>
      <c r="BJ656" s="311"/>
      <c r="BK656" s="311"/>
      <c r="BL656" s="389"/>
      <c r="BM656" s="52"/>
      <c r="BN656" s="52"/>
      <c r="BO656" s="274"/>
      <c r="BP656" s="274"/>
      <c r="BQ656" s="389"/>
      <c r="BR656" s="11"/>
      <c r="BS656" s="11"/>
      <c r="BT656" s="11"/>
      <c r="BU656" s="11"/>
      <c r="BV656" s="389"/>
      <c r="BW656" s="11"/>
      <c r="BX656" s="11"/>
      <c r="BY656" s="11"/>
      <c r="BZ656" s="11"/>
      <c r="CA656" s="389"/>
      <c r="CB656" s="11"/>
      <c r="CC656" s="11"/>
      <c r="CD656" s="11"/>
      <c r="CE656" s="11"/>
      <c r="CF656" s="389"/>
      <c r="CG656" s="11"/>
      <c r="CH656" s="11"/>
      <c r="CI656" s="11"/>
      <c r="CJ656" s="11"/>
      <c r="CK656" s="389"/>
      <c r="CL656" s="11"/>
      <c r="CM656" s="11"/>
      <c r="CN656" s="274"/>
      <c r="CO656" s="274"/>
      <c r="CP656" s="389"/>
      <c r="CQ656" s="11"/>
      <c r="CR656" s="11"/>
      <c r="CS656" s="11"/>
      <c r="CT656" s="11"/>
      <c r="CU656" s="389"/>
      <c r="CV656" s="11"/>
      <c r="CW656" s="11"/>
      <c r="CX656" s="11"/>
      <c r="CY656" s="11"/>
      <c r="CZ656" s="389"/>
      <c r="DA656" s="11"/>
      <c r="DB656" s="11"/>
      <c r="DC656" s="11"/>
      <c r="DD656" s="11"/>
      <c r="DE656" s="389"/>
      <c r="DF656" s="11"/>
      <c r="DG656" s="11"/>
      <c r="DH656" s="11"/>
      <c r="DI656" s="11"/>
      <c r="DJ656" s="389"/>
      <c r="DK656" s="11"/>
      <c r="DL656" s="11"/>
      <c r="DM656" s="118"/>
      <c r="DN656" s="118"/>
      <c r="DO656" s="389"/>
      <c r="DP656" s="52"/>
      <c r="DQ656" s="52"/>
      <c r="DR656" s="77"/>
      <c r="DS656" s="77"/>
      <c r="DT656" s="389"/>
      <c r="DU656" s="11"/>
      <c r="DV656" s="11"/>
      <c r="DW656" s="274"/>
      <c r="DX656" s="274"/>
      <c r="DY656" s="274"/>
      <c r="DZ656" s="388"/>
      <c r="EA656" s="11"/>
      <c r="EB656" s="11"/>
      <c r="EC656" s="11"/>
      <c r="ED656" s="11"/>
      <c r="EE656" s="11"/>
      <c r="EF656" s="11"/>
    </row>
    <row r="657" spans="1:136" ht="27" x14ac:dyDescent="0.25">
      <c r="A657" s="425">
        <v>655</v>
      </c>
      <c r="B657" s="427" t="s">
        <v>2800</v>
      </c>
      <c r="C657" s="426" t="s">
        <v>2801</v>
      </c>
      <c r="D657" s="566" t="s">
        <v>1257</v>
      </c>
      <c r="E657" s="79">
        <v>1</v>
      </c>
      <c r="F657" s="71">
        <v>225863.08900000001</v>
      </c>
      <c r="G657" s="274"/>
      <c r="H657" s="274"/>
      <c r="I657" s="389"/>
      <c r="J657" s="274"/>
      <c r="K657" s="11"/>
      <c r="L657" s="274"/>
      <c r="M657" s="274"/>
      <c r="N657" s="389"/>
      <c r="O657" s="48"/>
      <c r="P657" s="11"/>
      <c r="Q657" s="274"/>
      <c r="R657" s="274"/>
      <c r="S657" s="389"/>
      <c r="T657" s="11"/>
      <c r="U657" s="11"/>
      <c r="V657" s="11"/>
      <c r="W657" s="11"/>
      <c r="X657" s="11"/>
      <c r="Y657" s="11"/>
      <c r="Z657" s="48"/>
      <c r="AA657" s="52"/>
      <c r="AB657" s="52"/>
      <c r="AC657" s="389"/>
      <c r="AD657" s="5"/>
      <c r="AE657" s="52"/>
      <c r="AF657" s="118"/>
      <c r="AG657" s="118"/>
      <c r="AH657" s="389"/>
      <c r="AI657" s="52"/>
      <c r="AJ657" s="11"/>
      <c r="AK657" s="274"/>
      <c r="AL657" s="274"/>
      <c r="AM657" s="389"/>
      <c r="AN657" s="11"/>
      <c r="AO657" s="11"/>
      <c r="AP657" s="11"/>
      <c r="AQ657" s="11"/>
      <c r="AR657" s="389"/>
      <c r="AS657" s="11"/>
      <c r="AT657" s="11"/>
      <c r="AU657" s="118"/>
      <c r="AV657" s="118"/>
      <c r="AW657" s="142"/>
      <c r="AX657" s="52"/>
      <c r="AY657" s="52"/>
      <c r="AZ657" s="11"/>
      <c r="BA657" s="11"/>
      <c r="BB657" s="389"/>
      <c r="BC657" s="11"/>
      <c r="BD657" s="11"/>
      <c r="BE657" s="274"/>
      <c r="BF657" s="274"/>
      <c r="BG657" s="389"/>
      <c r="BH657" s="11"/>
      <c r="BI657" s="11"/>
      <c r="BJ657" s="311"/>
      <c r="BK657" s="311"/>
      <c r="BL657" s="389"/>
      <c r="BM657" s="52"/>
      <c r="BN657" s="52"/>
      <c r="BO657" s="274"/>
      <c r="BP657" s="274"/>
      <c r="BQ657" s="389"/>
      <c r="BR657" s="11"/>
      <c r="BS657" s="11"/>
      <c r="BT657" s="11"/>
      <c r="BU657" s="11"/>
      <c r="BV657" s="389"/>
      <c r="BW657" s="11"/>
      <c r="BX657" s="11"/>
      <c r="BY657" s="11"/>
      <c r="BZ657" s="11"/>
      <c r="CA657" s="389"/>
      <c r="CB657" s="11"/>
      <c r="CC657" s="11"/>
      <c r="CD657" s="11"/>
      <c r="CE657" s="11"/>
      <c r="CF657" s="389"/>
      <c r="CG657" s="11"/>
      <c r="CH657" s="11"/>
      <c r="CI657" s="11"/>
      <c r="CJ657" s="11"/>
      <c r="CK657" s="389"/>
      <c r="CL657" s="11"/>
      <c r="CM657" s="11"/>
      <c r="CN657" s="274"/>
      <c r="CO657" s="274"/>
      <c r="CP657" s="389"/>
      <c r="CQ657" s="11"/>
      <c r="CR657" s="11"/>
      <c r="CS657" s="11"/>
      <c r="CT657" s="11"/>
      <c r="CU657" s="389"/>
      <c r="CV657" s="11"/>
      <c r="CW657" s="11"/>
      <c r="CX657" s="11"/>
      <c r="CY657" s="11"/>
      <c r="CZ657" s="389"/>
      <c r="DA657" s="11"/>
      <c r="DB657" s="11"/>
      <c r="DC657" s="11"/>
      <c r="DD657" s="11"/>
      <c r="DE657" s="389"/>
      <c r="DF657" s="11"/>
      <c r="DG657" s="11"/>
      <c r="DH657" s="11"/>
      <c r="DI657" s="11"/>
      <c r="DJ657" s="389"/>
      <c r="DK657" s="11"/>
      <c r="DL657" s="11"/>
      <c r="DM657" s="118"/>
      <c r="DN657" s="118"/>
      <c r="DO657" s="389"/>
      <c r="DP657" s="52"/>
      <c r="DQ657" s="52"/>
      <c r="DR657" s="77"/>
      <c r="DS657" s="77"/>
      <c r="DT657" s="389"/>
      <c r="DU657" s="11"/>
      <c r="DV657" s="11"/>
      <c r="DW657" s="274"/>
      <c r="DX657" s="274"/>
      <c r="DY657" s="274"/>
      <c r="DZ657" s="388"/>
      <c r="EA657" s="11"/>
      <c r="EB657" s="11"/>
      <c r="EC657" s="11"/>
      <c r="ED657" s="11"/>
      <c r="EE657" s="11"/>
      <c r="EF657" s="11"/>
    </row>
    <row r="658" spans="1:136" ht="27" x14ac:dyDescent="0.25">
      <c r="A658" s="425">
        <v>656</v>
      </c>
      <c r="B658" s="427" t="s">
        <v>2802</v>
      </c>
      <c r="C658" s="426" t="s">
        <v>2803</v>
      </c>
      <c r="D658" s="566" t="s">
        <v>2804</v>
      </c>
      <c r="E658" s="79">
        <v>1</v>
      </c>
      <c r="F658" s="404">
        <v>319447.69</v>
      </c>
      <c r="G658" s="274"/>
      <c r="H658" s="274"/>
      <c r="I658" s="389"/>
      <c r="J658" s="274"/>
      <c r="K658" s="11"/>
      <c r="L658" s="274"/>
      <c r="M658" s="274"/>
      <c r="N658" s="389"/>
      <c r="O658" s="48"/>
      <c r="P658" s="11"/>
      <c r="Q658" s="274"/>
      <c r="R658" s="274"/>
      <c r="S658" s="389"/>
      <c r="T658" s="11"/>
      <c r="U658" s="11"/>
      <c r="V658" s="11"/>
      <c r="W658" s="11"/>
      <c r="X658" s="11"/>
      <c r="Y658" s="11"/>
      <c r="Z658" s="48"/>
      <c r="AA658" s="52"/>
      <c r="AB658" s="52"/>
      <c r="AC658" s="389"/>
      <c r="AD658" s="5"/>
      <c r="AE658" s="52"/>
      <c r="AF658" s="118"/>
      <c r="AG658" s="118"/>
      <c r="AH658" s="389"/>
      <c r="AI658" s="52"/>
      <c r="AJ658" s="11"/>
      <c r="AK658" s="274"/>
      <c r="AL658" s="274"/>
      <c r="AM658" s="389"/>
      <c r="AN658" s="11"/>
      <c r="AO658" s="11"/>
      <c r="AP658" s="11"/>
      <c r="AQ658" s="11"/>
      <c r="AR658" s="389"/>
      <c r="AS658" s="11"/>
      <c r="AT658" s="11"/>
      <c r="AU658" s="118"/>
      <c r="AV658" s="118"/>
      <c r="AW658" s="142"/>
      <c r="AX658" s="52"/>
      <c r="AY658" s="52"/>
      <c r="AZ658" s="11"/>
      <c r="BA658" s="11"/>
      <c r="BB658" s="389"/>
      <c r="BC658" s="11"/>
      <c r="BD658" s="11"/>
      <c r="BE658" s="274"/>
      <c r="BF658" s="274"/>
      <c r="BG658" s="389"/>
      <c r="BH658" s="11"/>
      <c r="BI658" s="11"/>
      <c r="BJ658" s="311"/>
      <c r="BK658" s="311"/>
      <c r="BL658" s="389"/>
      <c r="BM658" s="52"/>
      <c r="BN658" s="52"/>
      <c r="BO658" s="274"/>
      <c r="BP658" s="274"/>
      <c r="BQ658" s="389"/>
      <c r="BR658" s="11"/>
      <c r="BS658" s="11"/>
      <c r="BT658" s="11"/>
      <c r="BU658" s="11"/>
      <c r="BV658" s="389"/>
      <c r="BW658" s="11"/>
      <c r="BX658" s="11"/>
      <c r="BY658" s="11"/>
      <c r="BZ658" s="11"/>
      <c r="CA658" s="389"/>
      <c r="CB658" s="11"/>
      <c r="CC658" s="11"/>
      <c r="CD658" s="11"/>
      <c r="CE658" s="11"/>
      <c r="CF658" s="389"/>
      <c r="CG658" s="11"/>
      <c r="CH658" s="11"/>
      <c r="CI658" s="11"/>
      <c r="CJ658" s="11"/>
      <c r="CK658" s="389"/>
      <c r="CL658" s="11"/>
      <c r="CM658" s="11"/>
      <c r="CN658" s="274"/>
      <c r="CO658" s="274"/>
      <c r="CP658" s="389"/>
      <c r="CQ658" s="11"/>
      <c r="CR658" s="11"/>
      <c r="CS658" s="11"/>
      <c r="CT658" s="11"/>
      <c r="CU658" s="389"/>
      <c r="CV658" s="11"/>
      <c r="CW658" s="11"/>
      <c r="CX658" s="11"/>
      <c r="CY658" s="11"/>
      <c r="CZ658" s="389"/>
      <c r="DA658" s="11"/>
      <c r="DB658" s="11"/>
      <c r="DC658" s="11"/>
      <c r="DD658" s="11"/>
      <c r="DE658" s="389"/>
      <c r="DF658" s="11"/>
      <c r="DG658" s="11"/>
      <c r="DH658" s="11"/>
      <c r="DI658" s="11"/>
      <c r="DJ658" s="389"/>
      <c r="DK658" s="11"/>
      <c r="DL658" s="11"/>
      <c r="DM658" s="118"/>
      <c r="DN658" s="118"/>
      <c r="DO658" s="389"/>
      <c r="DP658" s="52"/>
      <c r="DQ658" s="52"/>
      <c r="DR658" s="77"/>
      <c r="DS658" s="77"/>
      <c r="DT658" s="389"/>
      <c r="DU658" s="11"/>
      <c r="DV658" s="11"/>
      <c r="DW658" s="274"/>
      <c r="DX658" s="274"/>
      <c r="DY658" s="274"/>
      <c r="DZ658" s="388"/>
      <c r="EA658" s="11"/>
      <c r="EB658" s="11"/>
      <c r="EC658" s="11"/>
      <c r="ED658" s="11"/>
      <c r="EE658" s="11"/>
      <c r="EF658" s="11"/>
    </row>
    <row r="659" spans="1:136" ht="27" x14ac:dyDescent="0.25">
      <c r="A659" s="425">
        <v>657</v>
      </c>
      <c r="B659" s="427" t="s">
        <v>2805</v>
      </c>
      <c r="C659" s="427" t="s">
        <v>1821</v>
      </c>
      <c r="D659" s="588" t="s">
        <v>132</v>
      </c>
      <c r="E659" s="79">
        <v>1</v>
      </c>
      <c r="F659" s="71">
        <v>3464573.645</v>
      </c>
      <c r="G659" s="274"/>
      <c r="H659" s="274"/>
      <c r="I659" s="389"/>
      <c r="J659" s="274"/>
      <c r="K659" s="11"/>
      <c r="L659" s="274"/>
      <c r="M659" s="274"/>
      <c r="N659" s="389"/>
      <c r="O659" s="48"/>
      <c r="P659" s="11"/>
      <c r="Q659" s="274"/>
      <c r="R659" s="274"/>
      <c r="S659" s="389"/>
      <c r="T659" s="11"/>
      <c r="U659" s="11"/>
      <c r="V659" s="11"/>
      <c r="W659" s="11"/>
      <c r="X659" s="11"/>
      <c r="Y659" s="11"/>
      <c r="Z659" s="48"/>
      <c r="AA659" s="52"/>
      <c r="AB659" s="52"/>
      <c r="AC659" s="389"/>
      <c r="AD659" s="5"/>
      <c r="AE659" s="52"/>
      <c r="AF659" s="118"/>
      <c r="AG659" s="118"/>
      <c r="AH659" s="389"/>
      <c r="AI659" s="52"/>
      <c r="AJ659" s="11"/>
      <c r="AK659" s="274"/>
      <c r="AL659" s="274"/>
      <c r="AM659" s="389"/>
      <c r="AN659" s="11"/>
      <c r="AO659" s="11"/>
      <c r="AP659" s="11"/>
      <c r="AQ659" s="11"/>
      <c r="AR659" s="389"/>
      <c r="AS659" s="11"/>
      <c r="AT659" s="11"/>
      <c r="AU659" s="118"/>
      <c r="AV659" s="118"/>
      <c r="AW659" s="142"/>
      <c r="AX659" s="52"/>
      <c r="AY659" s="52"/>
      <c r="AZ659" s="11"/>
      <c r="BA659" s="11"/>
      <c r="BB659" s="389"/>
      <c r="BC659" s="11"/>
      <c r="BD659" s="11"/>
      <c r="BE659" s="274"/>
      <c r="BF659" s="274"/>
      <c r="BG659" s="389"/>
      <c r="BH659" s="11"/>
      <c r="BI659" s="11"/>
      <c r="BJ659" s="311"/>
      <c r="BK659" s="311"/>
      <c r="BL659" s="389"/>
      <c r="BM659" s="52"/>
      <c r="BN659" s="52"/>
      <c r="BO659" s="274"/>
      <c r="BP659" s="274"/>
      <c r="BQ659" s="389"/>
      <c r="BR659" s="11"/>
      <c r="BS659" s="11"/>
      <c r="BT659" s="11"/>
      <c r="BU659" s="11"/>
      <c r="BV659" s="389"/>
      <c r="BW659" s="11"/>
      <c r="BX659" s="11"/>
      <c r="BY659" s="11"/>
      <c r="BZ659" s="11"/>
      <c r="CA659" s="389"/>
      <c r="CB659" s="11"/>
      <c r="CC659" s="11"/>
      <c r="CD659" s="11"/>
      <c r="CE659" s="11"/>
      <c r="CF659" s="389"/>
      <c r="CG659" s="11"/>
      <c r="CH659" s="11"/>
      <c r="CI659" s="11"/>
      <c r="CJ659" s="11"/>
      <c r="CK659" s="389"/>
      <c r="CL659" s="11"/>
      <c r="CM659" s="11"/>
      <c r="CN659" s="274"/>
      <c r="CO659" s="274"/>
      <c r="CP659" s="389"/>
      <c r="CQ659" s="11"/>
      <c r="CR659" s="11"/>
      <c r="CS659" s="11"/>
      <c r="CT659" s="11"/>
      <c r="CU659" s="389"/>
      <c r="CV659" s="11"/>
      <c r="CW659" s="11"/>
      <c r="CX659" s="11"/>
      <c r="CY659" s="11"/>
      <c r="CZ659" s="389"/>
      <c r="DA659" s="11"/>
      <c r="DB659" s="11"/>
      <c r="DC659" s="11"/>
      <c r="DD659" s="11"/>
      <c r="DE659" s="389"/>
      <c r="DF659" s="11"/>
      <c r="DG659" s="11"/>
      <c r="DH659" s="11"/>
      <c r="DI659" s="11"/>
      <c r="DJ659" s="389"/>
      <c r="DK659" s="11"/>
      <c r="DL659" s="11"/>
      <c r="DM659" s="118"/>
      <c r="DN659" s="118"/>
      <c r="DO659" s="389"/>
      <c r="DP659" s="52"/>
      <c r="DQ659" s="52"/>
      <c r="DR659" s="77"/>
      <c r="DS659" s="77"/>
      <c r="DT659" s="389"/>
      <c r="DU659" s="11"/>
      <c r="DV659" s="11"/>
      <c r="DW659" s="274"/>
      <c r="DX659" s="274"/>
      <c r="DY659" s="274"/>
      <c r="DZ659" s="388"/>
      <c r="EA659" s="11"/>
      <c r="EB659" s="11"/>
      <c r="EC659" s="11"/>
      <c r="ED659" s="11"/>
      <c r="EE659" s="11"/>
      <c r="EF659" s="11"/>
    </row>
    <row r="660" spans="1:136" ht="27" x14ac:dyDescent="0.25">
      <c r="A660" s="425">
        <v>658</v>
      </c>
      <c r="B660" s="427" t="s">
        <v>2806</v>
      </c>
      <c r="C660" s="426" t="s">
        <v>1821</v>
      </c>
      <c r="D660" s="566" t="s">
        <v>2807</v>
      </c>
      <c r="E660" s="79">
        <v>1</v>
      </c>
      <c r="F660" s="71">
        <v>2067564.31</v>
      </c>
      <c r="G660" s="274"/>
      <c r="H660" s="274"/>
      <c r="I660" s="389"/>
      <c r="J660" s="274"/>
      <c r="K660" s="11"/>
      <c r="L660" s="274"/>
      <c r="M660" s="274"/>
      <c r="N660" s="389"/>
      <c r="O660" s="48"/>
      <c r="P660" s="11"/>
      <c r="Q660" s="274"/>
      <c r="R660" s="274"/>
      <c r="S660" s="389"/>
      <c r="T660" s="11"/>
      <c r="U660" s="11"/>
      <c r="V660" s="11"/>
      <c r="W660" s="11"/>
      <c r="X660" s="11"/>
      <c r="Y660" s="11"/>
      <c r="Z660" s="48"/>
      <c r="AA660" s="52"/>
      <c r="AB660" s="52"/>
      <c r="AC660" s="389"/>
      <c r="AD660" s="5"/>
      <c r="AE660" s="52"/>
      <c r="AF660" s="118"/>
      <c r="AG660" s="118"/>
      <c r="AH660" s="389"/>
      <c r="AI660" s="52"/>
      <c r="AJ660" s="11"/>
      <c r="AK660" s="274"/>
      <c r="AL660" s="274"/>
      <c r="AM660" s="389"/>
      <c r="AN660" s="11"/>
      <c r="AO660" s="11"/>
      <c r="AP660" s="11"/>
      <c r="AQ660" s="11"/>
      <c r="AR660" s="389"/>
      <c r="AS660" s="11"/>
      <c r="AT660" s="11"/>
      <c r="AU660" s="118"/>
      <c r="AV660" s="118"/>
      <c r="AW660" s="142"/>
      <c r="AX660" s="52"/>
      <c r="AY660" s="52"/>
      <c r="AZ660" s="11"/>
      <c r="BA660" s="11"/>
      <c r="BB660" s="389"/>
      <c r="BC660" s="11"/>
      <c r="BD660" s="11"/>
      <c r="BE660" s="274"/>
      <c r="BF660" s="274"/>
      <c r="BG660" s="389"/>
      <c r="BH660" s="11"/>
      <c r="BI660" s="11"/>
      <c r="BJ660" s="311"/>
      <c r="BK660" s="311"/>
      <c r="BL660" s="389"/>
      <c r="BM660" s="52"/>
      <c r="BN660" s="52"/>
      <c r="BO660" s="274"/>
      <c r="BP660" s="274"/>
      <c r="BQ660" s="389"/>
      <c r="BR660" s="11"/>
      <c r="BS660" s="11"/>
      <c r="BT660" s="11"/>
      <c r="BU660" s="11"/>
      <c r="BV660" s="389"/>
      <c r="BW660" s="11"/>
      <c r="BX660" s="11"/>
      <c r="BY660" s="11"/>
      <c r="BZ660" s="11"/>
      <c r="CA660" s="389"/>
      <c r="CB660" s="11"/>
      <c r="CC660" s="11"/>
      <c r="CD660" s="11"/>
      <c r="CE660" s="11"/>
      <c r="CF660" s="389"/>
      <c r="CG660" s="11"/>
      <c r="CH660" s="11"/>
      <c r="CI660" s="11"/>
      <c r="CJ660" s="11"/>
      <c r="CK660" s="389"/>
      <c r="CL660" s="11"/>
      <c r="CM660" s="11"/>
      <c r="CN660" s="274"/>
      <c r="CO660" s="274"/>
      <c r="CP660" s="389"/>
      <c r="CQ660" s="11"/>
      <c r="CR660" s="11"/>
      <c r="CS660" s="11"/>
      <c r="CT660" s="11"/>
      <c r="CU660" s="389"/>
      <c r="CV660" s="11"/>
      <c r="CW660" s="11"/>
      <c r="CX660" s="11"/>
      <c r="CY660" s="11"/>
      <c r="CZ660" s="389"/>
      <c r="DA660" s="11"/>
      <c r="DB660" s="11"/>
      <c r="DC660" s="11"/>
      <c r="DD660" s="11"/>
      <c r="DE660" s="389"/>
      <c r="DF660" s="11"/>
      <c r="DG660" s="11"/>
      <c r="DH660" s="11"/>
      <c r="DI660" s="11"/>
      <c r="DJ660" s="389"/>
      <c r="DK660" s="11"/>
      <c r="DL660" s="11"/>
      <c r="DM660" s="118"/>
      <c r="DN660" s="118"/>
      <c r="DO660" s="389"/>
      <c r="DP660" s="52"/>
      <c r="DQ660" s="52"/>
      <c r="DR660" s="77"/>
      <c r="DS660" s="77"/>
      <c r="DT660" s="389"/>
      <c r="DU660" s="11"/>
      <c r="DV660" s="11"/>
      <c r="DW660" s="274"/>
      <c r="DX660" s="274"/>
      <c r="DY660" s="274"/>
      <c r="DZ660" s="388"/>
      <c r="EA660" s="11"/>
      <c r="EB660" s="11"/>
      <c r="EC660" s="11"/>
      <c r="ED660" s="11"/>
      <c r="EE660" s="11"/>
      <c r="EF660" s="11"/>
    </row>
    <row r="661" spans="1:136" ht="13.5" x14ac:dyDescent="0.25">
      <c r="A661" s="425">
        <v>659</v>
      </c>
      <c r="B661" s="427" t="s">
        <v>2808</v>
      </c>
      <c r="C661" s="427" t="s">
        <v>622</v>
      </c>
      <c r="D661" s="588" t="s">
        <v>109</v>
      </c>
      <c r="E661" s="79">
        <v>1</v>
      </c>
      <c r="F661" s="71">
        <v>442821.35580000002</v>
      </c>
      <c r="G661" s="274"/>
      <c r="H661" s="274"/>
      <c r="I661" s="389"/>
      <c r="J661" s="274"/>
      <c r="K661" s="11"/>
      <c r="L661" s="274"/>
      <c r="M661" s="274"/>
      <c r="N661" s="389"/>
      <c r="O661" s="48"/>
      <c r="P661" s="11"/>
      <c r="Q661" s="274"/>
      <c r="R661" s="274"/>
      <c r="S661" s="389"/>
      <c r="T661" s="11"/>
      <c r="U661" s="11"/>
      <c r="V661" s="11"/>
      <c r="W661" s="11"/>
      <c r="X661" s="11"/>
      <c r="Y661" s="11"/>
      <c r="Z661" s="48"/>
      <c r="AA661" s="52"/>
      <c r="AB661" s="52"/>
      <c r="AC661" s="389"/>
      <c r="AD661" s="5"/>
      <c r="AE661" s="52"/>
      <c r="AF661" s="118"/>
      <c r="AG661" s="118"/>
      <c r="AH661" s="389"/>
      <c r="AI661" s="52"/>
      <c r="AJ661" s="11"/>
      <c r="AK661" s="274"/>
      <c r="AL661" s="274"/>
      <c r="AM661" s="389"/>
      <c r="AN661" s="11"/>
      <c r="AO661" s="11"/>
      <c r="AP661" s="11"/>
      <c r="AQ661" s="11"/>
      <c r="AR661" s="389"/>
      <c r="AS661" s="11"/>
      <c r="AT661" s="11"/>
      <c r="AU661" s="118"/>
      <c r="AV661" s="118"/>
      <c r="AW661" s="142"/>
      <c r="AX661" s="52"/>
      <c r="AY661" s="52"/>
      <c r="AZ661" s="11"/>
      <c r="BA661" s="11"/>
      <c r="BB661" s="389"/>
      <c r="BC661" s="11"/>
      <c r="BD661" s="11"/>
      <c r="BE661" s="274"/>
      <c r="BF661" s="274"/>
      <c r="BG661" s="389"/>
      <c r="BH661" s="11"/>
      <c r="BI661" s="11"/>
      <c r="BJ661" s="311"/>
      <c r="BK661" s="311"/>
      <c r="BL661" s="389"/>
      <c r="BM661" s="52"/>
      <c r="BN661" s="52"/>
      <c r="BO661" s="274"/>
      <c r="BP661" s="274"/>
      <c r="BQ661" s="389"/>
      <c r="BR661" s="11"/>
      <c r="BS661" s="11"/>
      <c r="BT661" s="11"/>
      <c r="BU661" s="11"/>
      <c r="BV661" s="389"/>
      <c r="BW661" s="11"/>
      <c r="BX661" s="11"/>
      <c r="BY661" s="11"/>
      <c r="BZ661" s="11"/>
      <c r="CA661" s="389"/>
      <c r="CB661" s="11"/>
      <c r="CC661" s="11"/>
      <c r="CD661" s="11"/>
      <c r="CE661" s="11"/>
      <c r="CF661" s="389"/>
      <c r="CG661" s="11"/>
      <c r="CH661" s="11"/>
      <c r="CI661" s="11"/>
      <c r="CJ661" s="11"/>
      <c r="CK661" s="389"/>
      <c r="CL661" s="11"/>
      <c r="CM661" s="11"/>
      <c r="CN661" s="274"/>
      <c r="CO661" s="274"/>
      <c r="CP661" s="389"/>
      <c r="CQ661" s="11"/>
      <c r="CR661" s="11"/>
      <c r="CS661" s="11"/>
      <c r="CT661" s="11"/>
      <c r="CU661" s="389"/>
      <c r="CV661" s="11"/>
      <c r="CW661" s="11"/>
      <c r="CX661" s="11"/>
      <c r="CY661" s="11"/>
      <c r="CZ661" s="389"/>
      <c r="DA661" s="11"/>
      <c r="DB661" s="11"/>
      <c r="DC661" s="11"/>
      <c r="DD661" s="11"/>
      <c r="DE661" s="389"/>
      <c r="DF661" s="11"/>
      <c r="DG661" s="11"/>
      <c r="DH661" s="11"/>
      <c r="DI661" s="11"/>
      <c r="DJ661" s="389"/>
      <c r="DK661" s="11"/>
      <c r="DL661" s="11"/>
      <c r="DM661" s="118"/>
      <c r="DN661" s="118"/>
      <c r="DO661" s="389"/>
      <c r="DP661" s="52"/>
      <c r="DQ661" s="52"/>
      <c r="DR661" s="77"/>
      <c r="DS661" s="77"/>
      <c r="DT661" s="389"/>
      <c r="DU661" s="11"/>
      <c r="DV661" s="11"/>
      <c r="DW661" s="274"/>
      <c r="DX661" s="274"/>
      <c r="DY661" s="274"/>
      <c r="DZ661" s="388"/>
      <c r="EA661" s="11"/>
      <c r="EB661" s="11"/>
      <c r="EC661" s="11"/>
      <c r="ED661" s="11"/>
      <c r="EE661" s="11"/>
      <c r="EF661" s="11"/>
    </row>
    <row r="662" spans="1:136" ht="27" x14ac:dyDescent="0.25">
      <c r="A662" s="425">
        <v>660</v>
      </c>
      <c r="B662" s="427" t="s">
        <v>2809</v>
      </c>
      <c r="C662" s="426" t="s">
        <v>622</v>
      </c>
      <c r="D662" s="566" t="s">
        <v>637</v>
      </c>
      <c r="E662" s="79">
        <v>1</v>
      </c>
      <c r="F662" s="71">
        <v>4587604.7</v>
      </c>
      <c r="G662" s="274"/>
      <c r="H662" s="274"/>
      <c r="I662" s="389"/>
      <c r="J662" s="274"/>
      <c r="K662" s="11"/>
      <c r="L662" s="274"/>
      <c r="M662" s="274"/>
      <c r="N662" s="389"/>
      <c r="O662" s="48"/>
      <c r="P662" s="11"/>
      <c r="Q662" s="274"/>
      <c r="R662" s="274"/>
      <c r="S662" s="389"/>
      <c r="T662" s="11"/>
      <c r="U662" s="11"/>
      <c r="V662" s="11"/>
      <c r="W662" s="11"/>
      <c r="X662" s="11"/>
      <c r="Y662" s="11"/>
      <c r="Z662" s="48"/>
      <c r="AA662" s="52"/>
      <c r="AB662" s="52"/>
      <c r="AC662" s="389"/>
      <c r="AD662" s="5"/>
      <c r="AE662" s="52"/>
      <c r="AF662" s="118"/>
      <c r="AG662" s="118"/>
      <c r="AH662" s="389"/>
      <c r="AI662" s="52"/>
      <c r="AJ662" s="11"/>
      <c r="AK662" s="274"/>
      <c r="AL662" s="274"/>
      <c r="AM662" s="389"/>
      <c r="AN662" s="11"/>
      <c r="AO662" s="11"/>
      <c r="AP662" s="11"/>
      <c r="AQ662" s="11"/>
      <c r="AR662" s="389"/>
      <c r="AS662" s="11"/>
      <c r="AT662" s="11"/>
      <c r="AU662" s="118"/>
      <c r="AV662" s="118"/>
      <c r="AW662" s="142"/>
      <c r="AX662" s="52"/>
      <c r="AY662" s="52"/>
      <c r="AZ662" s="11"/>
      <c r="BA662" s="11"/>
      <c r="BB662" s="389"/>
      <c r="BC662" s="11"/>
      <c r="BD662" s="11"/>
      <c r="BE662" s="274"/>
      <c r="BF662" s="274"/>
      <c r="BG662" s="389"/>
      <c r="BH662" s="11"/>
      <c r="BI662" s="11"/>
      <c r="BJ662" s="311"/>
      <c r="BK662" s="311"/>
      <c r="BL662" s="389"/>
      <c r="BM662" s="52"/>
      <c r="BN662" s="52"/>
      <c r="BO662" s="274"/>
      <c r="BP662" s="274"/>
      <c r="BQ662" s="389"/>
      <c r="BR662" s="11"/>
      <c r="BS662" s="11"/>
      <c r="BT662" s="11"/>
      <c r="BU662" s="11"/>
      <c r="BV662" s="389"/>
      <c r="BW662" s="11"/>
      <c r="BX662" s="11"/>
      <c r="BY662" s="11"/>
      <c r="BZ662" s="11"/>
      <c r="CA662" s="389"/>
      <c r="CB662" s="11"/>
      <c r="CC662" s="11"/>
      <c r="CD662" s="11"/>
      <c r="CE662" s="11"/>
      <c r="CF662" s="389"/>
      <c r="CG662" s="11"/>
      <c r="CH662" s="11"/>
      <c r="CI662" s="11"/>
      <c r="CJ662" s="11"/>
      <c r="CK662" s="389"/>
      <c r="CL662" s="11"/>
      <c r="CM662" s="11"/>
      <c r="CN662" s="274"/>
      <c r="CO662" s="274"/>
      <c r="CP662" s="389"/>
      <c r="CQ662" s="11"/>
      <c r="CR662" s="11"/>
      <c r="CS662" s="11"/>
      <c r="CT662" s="11"/>
      <c r="CU662" s="389"/>
      <c r="CV662" s="11"/>
      <c r="CW662" s="11"/>
      <c r="CX662" s="11"/>
      <c r="CY662" s="11"/>
      <c r="CZ662" s="389"/>
      <c r="DA662" s="11"/>
      <c r="DB662" s="11"/>
      <c r="DC662" s="11"/>
      <c r="DD662" s="11"/>
      <c r="DE662" s="389"/>
      <c r="DF662" s="11"/>
      <c r="DG662" s="11"/>
      <c r="DH662" s="11"/>
      <c r="DI662" s="11"/>
      <c r="DJ662" s="389"/>
      <c r="DK662" s="11"/>
      <c r="DL662" s="11"/>
      <c r="DM662" s="118"/>
      <c r="DN662" s="118"/>
      <c r="DO662" s="389"/>
      <c r="DP662" s="52"/>
      <c r="DQ662" s="52"/>
      <c r="DR662" s="77"/>
      <c r="DS662" s="77"/>
      <c r="DT662" s="389"/>
      <c r="DU662" s="11"/>
      <c r="DV662" s="11"/>
      <c r="DW662" s="274"/>
      <c r="DX662" s="274"/>
      <c r="DY662" s="274"/>
      <c r="DZ662" s="388"/>
      <c r="EA662" s="11"/>
      <c r="EB662" s="11"/>
      <c r="EC662" s="11"/>
      <c r="ED662" s="11"/>
      <c r="EE662" s="11"/>
      <c r="EF662" s="11"/>
    </row>
    <row r="663" spans="1:136" ht="13.5" x14ac:dyDescent="0.25">
      <c r="A663" s="425">
        <v>661</v>
      </c>
      <c r="B663" s="427" t="s">
        <v>2810</v>
      </c>
      <c r="C663" s="427" t="s">
        <v>622</v>
      </c>
      <c r="D663" s="588" t="s">
        <v>132</v>
      </c>
      <c r="E663" s="79">
        <v>1</v>
      </c>
      <c r="F663" s="71">
        <v>1440666.3058</v>
      </c>
      <c r="G663" s="274"/>
      <c r="H663" s="274"/>
      <c r="I663" s="389"/>
      <c r="J663" s="274"/>
      <c r="K663" s="11"/>
      <c r="L663" s="274"/>
      <c r="M663" s="274"/>
      <c r="N663" s="389"/>
      <c r="O663" s="48"/>
      <c r="P663" s="11"/>
      <c r="Q663" s="274"/>
      <c r="R663" s="274"/>
      <c r="S663" s="389"/>
      <c r="T663" s="11"/>
      <c r="U663" s="11"/>
      <c r="V663" s="11"/>
      <c r="W663" s="11"/>
      <c r="X663" s="11"/>
      <c r="Y663" s="11"/>
      <c r="Z663" s="48"/>
      <c r="AA663" s="52"/>
      <c r="AB663" s="52"/>
      <c r="AC663" s="389"/>
      <c r="AD663" s="5"/>
      <c r="AE663" s="52"/>
      <c r="AF663" s="118"/>
      <c r="AG663" s="118"/>
      <c r="AH663" s="389"/>
      <c r="AI663" s="52"/>
      <c r="AJ663" s="11"/>
      <c r="AK663" s="274"/>
      <c r="AL663" s="274"/>
      <c r="AM663" s="389"/>
      <c r="AN663" s="11"/>
      <c r="AO663" s="11"/>
      <c r="AP663" s="11"/>
      <c r="AQ663" s="11"/>
      <c r="AR663" s="389"/>
      <c r="AS663" s="11"/>
      <c r="AT663" s="11"/>
      <c r="AU663" s="118"/>
      <c r="AV663" s="118"/>
      <c r="AW663" s="142"/>
      <c r="AX663" s="52"/>
      <c r="AY663" s="52"/>
      <c r="AZ663" s="11"/>
      <c r="BA663" s="11"/>
      <c r="BB663" s="389"/>
      <c r="BC663" s="11"/>
      <c r="BD663" s="11"/>
      <c r="BE663" s="274"/>
      <c r="BF663" s="274"/>
      <c r="BG663" s="389"/>
      <c r="BH663" s="11"/>
      <c r="BI663" s="11"/>
      <c r="BJ663" s="311"/>
      <c r="BK663" s="311"/>
      <c r="BL663" s="389"/>
      <c r="BM663" s="52"/>
      <c r="BN663" s="52"/>
      <c r="BO663" s="274"/>
      <c r="BP663" s="274"/>
      <c r="BQ663" s="389"/>
      <c r="BR663" s="11"/>
      <c r="BS663" s="11"/>
      <c r="BT663" s="11"/>
      <c r="BU663" s="11"/>
      <c r="BV663" s="389"/>
      <c r="BW663" s="11"/>
      <c r="BX663" s="11"/>
      <c r="BY663" s="11"/>
      <c r="BZ663" s="11"/>
      <c r="CA663" s="389"/>
      <c r="CB663" s="11"/>
      <c r="CC663" s="11"/>
      <c r="CD663" s="11"/>
      <c r="CE663" s="11"/>
      <c r="CF663" s="389"/>
      <c r="CG663" s="11"/>
      <c r="CH663" s="11"/>
      <c r="CI663" s="11"/>
      <c r="CJ663" s="11"/>
      <c r="CK663" s="389"/>
      <c r="CL663" s="11"/>
      <c r="CM663" s="11"/>
      <c r="CN663" s="274"/>
      <c r="CO663" s="274"/>
      <c r="CP663" s="389"/>
      <c r="CQ663" s="11"/>
      <c r="CR663" s="11"/>
      <c r="CS663" s="11"/>
      <c r="CT663" s="11"/>
      <c r="CU663" s="389"/>
      <c r="CV663" s="11"/>
      <c r="CW663" s="11"/>
      <c r="CX663" s="11"/>
      <c r="CY663" s="11"/>
      <c r="CZ663" s="389"/>
      <c r="DA663" s="11"/>
      <c r="DB663" s="11"/>
      <c r="DC663" s="11"/>
      <c r="DD663" s="11"/>
      <c r="DE663" s="389"/>
      <c r="DF663" s="11"/>
      <c r="DG663" s="11"/>
      <c r="DH663" s="11"/>
      <c r="DI663" s="11"/>
      <c r="DJ663" s="389"/>
      <c r="DK663" s="11"/>
      <c r="DL663" s="11"/>
      <c r="DM663" s="118"/>
      <c r="DN663" s="118"/>
      <c r="DO663" s="389"/>
      <c r="DP663" s="52"/>
      <c r="DQ663" s="52"/>
      <c r="DR663" s="77"/>
      <c r="DS663" s="77"/>
      <c r="DT663" s="389"/>
      <c r="DU663" s="11"/>
      <c r="DV663" s="11"/>
      <c r="DW663" s="274"/>
      <c r="DX663" s="274"/>
      <c r="DY663" s="274"/>
      <c r="DZ663" s="388"/>
      <c r="EA663" s="11"/>
      <c r="EB663" s="11"/>
      <c r="EC663" s="11"/>
      <c r="ED663" s="11"/>
      <c r="EE663" s="11"/>
      <c r="EF663" s="11"/>
    </row>
    <row r="664" spans="1:136" ht="25.5" x14ac:dyDescent="0.25">
      <c r="A664" s="425">
        <v>662</v>
      </c>
      <c r="B664" s="428" t="s">
        <v>2811</v>
      </c>
      <c r="C664" s="426" t="s">
        <v>2812</v>
      </c>
      <c r="D664" s="566" t="s">
        <v>132</v>
      </c>
      <c r="E664" s="79">
        <v>1</v>
      </c>
      <c r="F664" s="404">
        <v>470072.37200000003</v>
      </c>
      <c r="G664" s="274"/>
      <c r="H664" s="274"/>
      <c r="I664" s="389"/>
      <c r="J664" s="274"/>
      <c r="K664" s="11"/>
      <c r="L664" s="274"/>
      <c r="M664" s="274"/>
      <c r="N664" s="389"/>
      <c r="O664" s="48"/>
      <c r="P664" s="11"/>
      <c r="Q664" s="274"/>
      <c r="R664" s="274"/>
      <c r="S664" s="389"/>
      <c r="T664" s="11"/>
      <c r="U664" s="11"/>
      <c r="V664" s="11"/>
      <c r="W664" s="11"/>
      <c r="X664" s="11"/>
      <c r="Y664" s="11"/>
      <c r="Z664" s="48"/>
      <c r="AA664" s="52"/>
      <c r="AB664" s="52"/>
      <c r="AC664" s="389"/>
      <c r="AD664" s="5"/>
      <c r="AE664" s="52"/>
      <c r="AF664" s="118"/>
      <c r="AG664" s="118"/>
      <c r="AH664" s="389"/>
      <c r="AI664" s="52"/>
      <c r="AJ664" s="11"/>
      <c r="AK664" s="274"/>
      <c r="AL664" s="274"/>
      <c r="AM664" s="389"/>
      <c r="AN664" s="11"/>
      <c r="AO664" s="11"/>
      <c r="AP664" s="11"/>
      <c r="AQ664" s="11"/>
      <c r="AR664" s="389"/>
      <c r="AS664" s="11"/>
      <c r="AT664" s="11"/>
      <c r="AU664" s="118"/>
      <c r="AV664" s="118"/>
      <c r="AW664" s="142"/>
      <c r="AX664" s="52"/>
      <c r="AY664" s="52"/>
      <c r="AZ664" s="11"/>
      <c r="BA664" s="11"/>
      <c r="BB664" s="389"/>
      <c r="BC664" s="11"/>
      <c r="BD664" s="11"/>
      <c r="BE664" s="274"/>
      <c r="BF664" s="274"/>
      <c r="BG664" s="389"/>
      <c r="BH664" s="11"/>
      <c r="BI664" s="11"/>
      <c r="BJ664" s="311"/>
      <c r="BK664" s="311"/>
      <c r="BL664" s="389"/>
      <c r="BM664" s="52"/>
      <c r="BN664" s="52"/>
      <c r="BO664" s="274"/>
      <c r="BP664" s="274"/>
      <c r="BQ664" s="389"/>
      <c r="BR664" s="11"/>
      <c r="BS664" s="11"/>
      <c r="BT664" s="11"/>
      <c r="BU664" s="11"/>
      <c r="BV664" s="389"/>
      <c r="BW664" s="11"/>
      <c r="BX664" s="11"/>
      <c r="BY664" s="11"/>
      <c r="BZ664" s="11"/>
      <c r="CA664" s="389"/>
      <c r="CB664" s="11"/>
      <c r="CC664" s="11"/>
      <c r="CD664" s="11"/>
      <c r="CE664" s="11"/>
      <c r="CF664" s="389"/>
      <c r="CG664" s="11"/>
      <c r="CH664" s="11"/>
      <c r="CI664" s="11"/>
      <c r="CJ664" s="11"/>
      <c r="CK664" s="389"/>
      <c r="CL664" s="11"/>
      <c r="CM664" s="11"/>
      <c r="CN664" s="274"/>
      <c r="CO664" s="274"/>
      <c r="CP664" s="389"/>
      <c r="CQ664" s="11"/>
      <c r="CR664" s="11"/>
      <c r="CS664" s="11"/>
      <c r="CT664" s="11"/>
      <c r="CU664" s="389"/>
      <c r="CV664" s="11"/>
      <c r="CW664" s="11"/>
      <c r="CX664" s="11"/>
      <c r="CY664" s="11"/>
      <c r="CZ664" s="389"/>
      <c r="DA664" s="11"/>
      <c r="DB664" s="11"/>
      <c r="DC664" s="11"/>
      <c r="DD664" s="11"/>
      <c r="DE664" s="389"/>
      <c r="DF664" s="11"/>
      <c r="DG664" s="11"/>
      <c r="DH664" s="11"/>
      <c r="DI664" s="11"/>
      <c r="DJ664" s="389"/>
      <c r="DK664" s="11"/>
      <c r="DL664" s="11"/>
      <c r="DM664" s="118"/>
      <c r="DN664" s="118"/>
      <c r="DO664" s="389"/>
      <c r="DP664" s="52"/>
      <c r="DQ664" s="52"/>
      <c r="DR664" s="77"/>
      <c r="DS664" s="77"/>
      <c r="DT664" s="389"/>
      <c r="DU664" s="11"/>
      <c r="DV664" s="11"/>
      <c r="DW664" s="274">
        <v>261800</v>
      </c>
      <c r="DX664" s="274">
        <f>+DW664*0.19</f>
        <v>49742</v>
      </c>
      <c r="DY664" s="274">
        <f>+DW664+DX664</f>
        <v>311542</v>
      </c>
      <c r="DZ664" s="382" t="s">
        <v>2812</v>
      </c>
      <c r="EA664" s="11"/>
      <c r="EB664" s="11"/>
      <c r="EC664" s="11"/>
      <c r="ED664" s="11"/>
      <c r="EE664" s="11"/>
      <c r="EF664" s="11"/>
    </row>
    <row r="665" spans="1:136" ht="27" x14ac:dyDescent="0.25">
      <c r="A665" s="425">
        <v>663</v>
      </c>
      <c r="B665" s="427" t="s">
        <v>2813</v>
      </c>
      <c r="C665" s="426" t="s">
        <v>2814</v>
      </c>
      <c r="D665" s="566" t="s">
        <v>1297</v>
      </c>
      <c r="E665" s="79">
        <v>1</v>
      </c>
      <c r="F665" s="71">
        <v>297118.56579999998</v>
      </c>
      <c r="G665" s="274"/>
      <c r="H665" s="274"/>
      <c r="I665" s="389"/>
      <c r="J665" s="274"/>
      <c r="K665" s="11"/>
      <c r="L665" s="274"/>
      <c r="M665" s="274"/>
      <c r="N665" s="389"/>
      <c r="O665" s="48"/>
      <c r="P665" s="11"/>
      <c r="Q665" s="274"/>
      <c r="R665" s="274"/>
      <c r="S665" s="389"/>
      <c r="T665" s="11"/>
      <c r="U665" s="11"/>
      <c r="V665" s="11"/>
      <c r="W665" s="11"/>
      <c r="X665" s="11"/>
      <c r="Y665" s="11"/>
      <c r="Z665" s="48"/>
      <c r="AA665" s="52"/>
      <c r="AB665" s="52"/>
      <c r="AC665" s="389"/>
      <c r="AD665" s="5"/>
      <c r="AE665" s="52"/>
      <c r="AF665" s="118"/>
      <c r="AG665" s="118"/>
      <c r="AH665" s="389"/>
      <c r="AI665" s="52"/>
      <c r="AJ665" s="11"/>
      <c r="AK665" s="274"/>
      <c r="AL665" s="274"/>
      <c r="AM665" s="389"/>
      <c r="AN665" s="11"/>
      <c r="AO665" s="11"/>
      <c r="AP665" s="11"/>
      <c r="AQ665" s="11"/>
      <c r="AR665" s="389"/>
      <c r="AS665" s="11"/>
      <c r="AT665" s="11"/>
      <c r="AU665" s="118"/>
      <c r="AV665" s="118"/>
      <c r="AW665" s="142"/>
      <c r="AX665" s="52"/>
      <c r="AY665" s="52"/>
      <c r="AZ665" s="11"/>
      <c r="BA665" s="11"/>
      <c r="BB665" s="389"/>
      <c r="BC665" s="11"/>
      <c r="BD665" s="11"/>
      <c r="BE665" s="274"/>
      <c r="BF665" s="274"/>
      <c r="BG665" s="389"/>
      <c r="BH665" s="11"/>
      <c r="BI665" s="11"/>
      <c r="BJ665" s="311"/>
      <c r="BK665" s="311"/>
      <c r="BL665" s="389"/>
      <c r="BM665" s="52"/>
      <c r="BN665" s="52"/>
      <c r="BO665" s="274"/>
      <c r="BP665" s="274"/>
      <c r="BQ665" s="389"/>
      <c r="BR665" s="11"/>
      <c r="BS665" s="11"/>
      <c r="BT665" s="11"/>
      <c r="BU665" s="11"/>
      <c r="BV665" s="389"/>
      <c r="BW665" s="11"/>
      <c r="BX665" s="11"/>
      <c r="BY665" s="11"/>
      <c r="BZ665" s="11"/>
      <c r="CA665" s="389"/>
      <c r="CB665" s="11"/>
      <c r="CC665" s="11"/>
      <c r="CD665" s="11"/>
      <c r="CE665" s="11"/>
      <c r="CF665" s="389"/>
      <c r="CG665" s="11"/>
      <c r="CH665" s="11"/>
      <c r="CI665" s="11"/>
      <c r="CJ665" s="11"/>
      <c r="CK665" s="389"/>
      <c r="CL665" s="11"/>
      <c r="CM665" s="11"/>
      <c r="CN665" s="274"/>
      <c r="CO665" s="274"/>
      <c r="CP665" s="389"/>
      <c r="CQ665" s="11"/>
      <c r="CR665" s="11"/>
      <c r="CS665" s="11"/>
      <c r="CT665" s="11"/>
      <c r="CU665" s="389"/>
      <c r="CV665" s="11"/>
      <c r="CW665" s="11"/>
      <c r="CX665" s="11"/>
      <c r="CY665" s="11"/>
      <c r="CZ665" s="389"/>
      <c r="DA665" s="11"/>
      <c r="DB665" s="11"/>
      <c r="DC665" s="11"/>
      <c r="DD665" s="11"/>
      <c r="DE665" s="389"/>
      <c r="DF665" s="11"/>
      <c r="DG665" s="11"/>
      <c r="DH665" s="11"/>
      <c r="DI665" s="11"/>
      <c r="DJ665" s="389"/>
      <c r="DK665" s="11"/>
      <c r="DL665" s="11"/>
      <c r="DM665" s="118"/>
      <c r="DN665" s="118"/>
      <c r="DO665" s="389"/>
      <c r="DP665" s="52"/>
      <c r="DQ665" s="52"/>
      <c r="DR665" s="77"/>
      <c r="DS665" s="77"/>
      <c r="DT665" s="389"/>
      <c r="DU665" s="11"/>
      <c r="DV665" s="11"/>
      <c r="DW665" s="274"/>
      <c r="DX665" s="274"/>
      <c r="DY665" s="274"/>
      <c r="DZ665" s="382"/>
      <c r="EA665" s="11"/>
      <c r="EB665" s="11"/>
      <c r="EC665" s="11"/>
      <c r="ED665" s="11"/>
      <c r="EE665" s="11"/>
      <c r="EF665" s="11"/>
    </row>
    <row r="666" spans="1:136" ht="27" x14ac:dyDescent="0.25">
      <c r="A666" s="425">
        <v>664</v>
      </c>
      <c r="B666" s="427" t="s">
        <v>2815</v>
      </c>
      <c r="C666" s="427" t="s">
        <v>5105</v>
      </c>
      <c r="D666" s="588" t="s">
        <v>1297</v>
      </c>
      <c r="E666" s="79">
        <v>1</v>
      </c>
      <c r="F666" s="71"/>
      <c r="G666" s="274"/>
      <c r="H666" s="274"/>
      <c r="I666" s="389"/>
      <c r="J666" s="274"/>
      <c r="K666" s="11"/>
      <c r="L666" s="274"/>
      <c r="M666" s="274"/>
      <c r="N666" s="389"/>
      <c r="O666" s="48"/>
      <c r="P666" s="11"/>
      <c r="Q666" s="274"/>
      <c r="R666" s="274"/>
      <c r="S666" s="389"/>
      <c r="T666" s="11"/>
      <c r="U666" s="11"/>
      <c r="V666" s="11"/>
      <c r="W666" s="11"/>
      <c r="X666" s="11"/>
      <c r="Y666" s="11"/>
      <c r="Z666" s="48"/>
      <c r="AA666" s="52"/>
      <c r="AB666" s="52"/>
      <c r="AC666" s="389"/>
      <c r="AD666" s="5"/>
      <c r="AE666" s="52"/>
      <c r="AF666" s="118"/>
      <c r="AG666" s="118"/>
      <c r="AH666" s="389"/>
      <c r="AI666" s="52"/>
      <c r="AJ666" s="11"/>
      <c r="AK666" s="274"/>
      <c r="AL666" s="274"/>
      <c r="AM666" s="389"/>
      <c r="AN666" s="11"/>
      <c r="AO666" s="11"/>
      <c r="AP666" s="11"/>
      <c r="AQ666" s="11"/>
      <c r="AR666" s="389"/>
      <c r="AS666" s="11"/>
      <c r="AT666" s="11"/>
      <c r="AU666" s="118"/>
      <c r="AV666" s="118"/>
      <c r="AW666" s="142"/>
      <c r="AX666" s="52"/>
      <c r="AY666" s="52"/>
      <c r="AZ666" s="11"/>
      <c r="BA666" s="11"/>
      <c r="BB666" s="389"/>
      <c r="BC666" s="11"/>
      <c r="BD666" s="11"/>
      <c r="BE666" s="274"/>
      <c r="BF666" s="274"/>
      <c r="BG666" s="389"/>
      <c r="BH666" s="11"/>
      <c r="BI666" s="11"/>
      <c r="BJ666" s="311"/>
      <c r="BK666" s="311"/>
      <c r="BL666" s="389"/>
      <c r="BM666" s="52"/>
      <c r="BN666" s="52"/>
      <c r="BO666" s="274"/>
      <c r="BP666" s="274"/>
      <c r="BQ666" s="389"/>
      <c r="BR666" s="11"/>
      <c r="BS666" s="11"/>
      <c r="BT666" s="11"/>
      <c r="BU666" s="11"/>
      <c r="BV666" s="389"/>
      <c r="BW666" s="11"/>
      <c r="BX666" s="11"/>
      <c r="BY666" s="11"/>
      <c r="BZ666" s="11"/>
      <c r="CA666" s="389"/>
      <c r="CB666" s="11"/>
      <c r="CC666" s="11"/>
      <c r="CD666" s="11"/>
      <c r="CE666" s="11"/>
      <c r="CF666" s="389"/>
      <c r="CG666" s="11"/>
      <c r="CH666" s="11"/>
      <c r="CI666" s="11"/>
      <c r="CJ666" s="11"/>
      <c r="CK666" s="389"/>
      <c r="CL666" s="11"/>
      <c r="CM666" s="11"/>
      <c r="CN666" s="274"/>
      <c r="CO666" s="274"/>
      <c r="CP666" s="389"/>
      <c r="CQ666" s="11"/>
      <c r="CR666" s="11"/>
      <c r="CS666" s="11"/>
      <c r="CT666" s="11"/>
      <c r="CU666" s="389"/>
      <c r="CV666" s="11"/>
      <c r="CW666" s="11"/>
      <c r="CX666" s="11"/>
      <c r="CY666" s="11"/>
      <c r="CZ666" s="389"/>
      <c r="DA666" s="11"/>
      <c r="DB666" s="11"/>
      <c r="DC666" s="11"/>
      <c r="DD666" s="11"/>
      <c r="DE666" s="389"/>
      <c r="DF666" s="11"/>
      <c r="DG666" s="11"/>
      <c r="DH666" s="11"/>
      <c r="DI666" s="11"/>
      <c r="DJ666" s="389"/>
      <c r="DK666" s="11"/>
      <c r="DL666" s="11"/>
      <c r="DM666" s="118"/>
      <c r="DN666" s="118"/>
      <c r="DO666" s="389"/>
      <c r="DP666" s="52"/>
      <c r="DQ666" s="52"/>
      <c r="DR666" s="77"/>
      <c r="DS666" s="77"/>
      <c r="DT666" s="389"/>
      <c r="DU666" s="11"/>
      <c r="DV666" s="11"/>
      <c r="DW666" s="274">
        <v>153500</v>
      </c>
      <c r="DX666" s="274">
        <f>+DW666*0.19</f>
        <v>29165</v>
      </c>
      <c r="DY666" s="274">
        <f>+DW666+DX666</f>
        <v>182665</v>
      </c>
      <c r="DZ666" s="382" t="s">
        <v>2812</v>
      </c>
      <c r="EA666" s="11"/>
      <c r="EB666" s="11"/>
      <c r="EC666" s="11"/>
      <c r="ED666" s="11"/>
      <c r="EE666" s="11"/>
      <c r="EF666" s="11"/>
    </row>
    <row r="667" spans="1:136" ht="27" x14ac:dyDescent="0.25">
      <c r="A667" s="425">
        <v>665</v>
      </c>
      <c r="B667" s="427" t="s">
        <v>2816</v>
      </c>
      <c r="C667" s="426" t="s">
        <v>2817</v>
      </c>
      <c r="D667" s="566" t="s">
        <v>1148</v>
      </c>
      <c r="E667" s="79">
        <v>1</v>
      </c>
      <c r="F667" s="406">
        <v>365123.05900000001</v>
      </c>
      <c r="G667" s="274"/>
      <c r="H667" s="274"/>
      <c r="I667" s="389"/>
      <c r="J667" s="274"/>
      <c r="K667" s="11"/>
      <c r="L667" s="274"/>
      <c r="M667" s="274"/>
      <c r="N667" s="389"/>
      <c r="O667" s="48"/>
      <c r="P667" s="11"/>
      <c r="Q667" s="274"/>
      <c r="R667" s="274"/>
      <c r="S667" s="389"/>
      <c r="T667" s="11"/>
      <c r="U667" s="11"/>
      <c r="V667" s="11"/>
      <c r="W667" s="11"/>
      <c r="X667" s="11"/>
      <c r="Y667" s="11"/>
      <c r="Z667" s="48"/>
      <c r="AA667" s="52"/>
      <c r="AB667" s="52"/>
      <c r="AC667" s="389"/>
      <c r="AD667" s="5"/>
      <c r="AE667" s="52"/>
      <c r="AF667" s="118"/>
      <c r="AG667" s="118"/>
      <c r="AH667" s="389"/>
      <c r="AI667" s="52"/>
      <c r="AJ667" s="11"/>
      <c r="AK667" s="274"/>
      <c r="AL667" s="274"/>
      <c r="AM667" s="389"/>
      <c r="AN667" s="11"/>
      <c r="AO667" s="11"/>
      <c r="AP667" s="11"/>
      <c r="AQ667" s="11"/>
      <c r="AR667" s="389"/>
      <c r="AS667" s="11"/>
      <c r="AT667" s="11"/>
      <c r="AU667" s="118"/>
      <c r="AV667" s="118"/>
      <c r="AW667" s="142"/>
      <c r="AX667" s="52"/>
      <c r="AY667" s="52"/>
      <c r="AZ667" s="11"/>
      <c r="BA667" s="11"/>
      <c r="BB667" s="389"/>
      <c r="BC667" s="11"/>
      <c r="BD667" s="11"/>
      <c r="BE667" s="274"/>
      <c r="BF667" s="274"/>
      <c r="BG667" s="389"/>
      <c r="BH667" s="11"/>
      <c r="BI667" s="11"/>
      <c r="BJ667" s="311"/>
      <c r="BK667" s="311"/>
      <c r="BL667" s="389"/>
      <c r="BM667" s="52"/>
      <c r="BN667" s="52"/>
      <c r="BO667" s="274"/>
      <c r="BP667" s="274"/>
      <c r="BQ667" s="389"/>
      <c r="BR667" s="11"/>
      <c r="BS667" s="11"/>
      <c r="BT667" s="11"/>
      <c r="BU667" s="11"/>
      <c r="BV667" s="389"/>
      <c r="BW667" s="11"/>
      <c r="BX667" s="11"/>
      <c r="BY667" s="11"/>
      <c r="BZ667" s="11"/>
      <c r="CA667" s="389"/>
      <c r="CB667" s="11"/>
      <c r="CC667" s="11"/>
      <c r="CD667" s="11"/>
      <c r="CE667" s="11"/>
      <c r="CF667" s="389"/>
      <c r="CG667" s="11"/>
      <c r="CH667" s="11"/>
      <c r="CI667" s="11"/>
      <c r="CJ667" s="11"/>
      <c r="CK667" s="389"/>
      <c r="CL667" s="11"/>
      <c r="CM667" s="11"/>
      <c r="CN667" s="274"/>
      <c r="CO667" s="274"/>
      <c r="CP667" s="389"/>
      <c r="CQ667" s="11"/>
      <c r="CR667" s="11"/>
      <c r="CS667" s="11"/>
      <c r="CT667" s="11"/>
      <c r="CU667" s="389"/>
      <c r="CV667" s="11"/>
      <c r="CW667" s="11"/>
      <c r="CX667" s="11"/>
      <c r="CY667" s="11"/>
      <c r="CZ667" s="389"/>
      <c r="DA667" s="11"/>
      <c r="DB667" s="11"/>
      <c r="DC667" s="11"/>
      <c r="DD667" s="11"/>
      <c r="DE667" s="389"/>
      <c r="DF667" s="11"/>
      <c r="DG667" s="11"/>
      <c r="DH667" s="11"/>
      <c r="DI667" s="11"/>
      <c r="DJ667" s="389"/>
      <c r="DK667" s="11"/>
      <c r="DL667" s="11"/>
      <c r="DM667" s="118"/>
      <c r="DN667" s="118"/>
      <c r="DO667" s="389"/>
      <c r="DP667" s="52"/>
      <c r="DQ667" s="52"/>
      <c r="DR667" s="77"/>
      <c r="DS667" s="77"/>
      <c r="DT667" s="389"/>
      <c r="DU667" s="11"/>
      <c r="DV667" s="11"/>
      <c r="DW667" s="274">
        <v>264000</v>
      </c>
      <c r="DX667" s="274">
        <f>+DW667*0.19</f>
        <v>50160</v>
      </c>
      <c r="DY667" s="274">
        <f>+DW667+DX667</f>
        <v>314160</v>
      </c>
      <c r="DZ667" s="382" t="s">
        <v>2817</v>
      </c>
      <c r="EA667" s="11"/>
      <c r="EB667" s="11"/>
      <c r="EC667" s="11"/>
      <c r="ED667" s="11"/>
      <c r="EE667" s="11"/>
      <c r="EF667" s="11"/>
    </row>
    <row r="668" spans="1:136" ht="13.5" x14ac:dyDescent="0.25">
      <c r="A668" s="425">
        <v>666</v>
      </c>
      <c r="B668" s="427" t="s">
        <v>2818</v>
      </c>
      <c r="C668" s="426" t="s">
        <v>622</v>
      </c>
      <c r="D668" s="566" t="s">
        <v>515</v>
      </c>
      <c r="E668" s="79">
        <v>1</v>
      </c>
      <c r="F668" s="71">
        <v>478020.277</v>
      </c>
      <c r="G668" s="274"/>
      <c r="H668" s="274"/>
      <c r="I668" s="389"/>
      <c r="J668" s="274"/>
      <c r="K668" s="11"/>
      <c r="L668" s="274"/>
      <c r="M668" s="274"/>
      <c r="N668" s="389"/>
      <c r="O668" s="48"/>
      <c r="P668" s="11"/>
      <c r="Q668" s="274"/>
      <c r="R668" s="274"/>
      <c r="S668" s="389"/>
      <c r="T668" s="11"/>
      <c r="U668" s="11"/>
      <c r="V668" s="11"/>
      <c r="W668" s="11"/>
      <c r="X668" s="11"/>
      <c r="Y668" s="11"/>
      <c r="Z668" s="48"/>
      <c r="AA668" s="52"/>
      <c r="AB668" s="52"/>
      <c r="AC668" s="389"/>
      <c r="AD668" s="5"/>
      <c r="AE668" s="52"/>
      <c r="AF668" s="118"/>
      <c r="AG668" s="118"/>
      <c r="AH668" s="389"/>
      <c r="AI668" s="52"/>
      <c r="AJ668" s="11"/>
      <c r="AK668" s="274"/>
      <c r="AL668" s="274"/>
      <c r="AM668" s="389"/>
      <c r="AN668" s="11"/>
      <c r="AO668" s="11"/>
      <c r="AP668" s="11"/>
      <c r="AQ668" s="11"/>
      <c r="AR668" s="389"/>
      <c r="AS668" s="11"/>
      <c r="AT668" s="11"/>
      <c r="AU668" s="118"/>
      <c r="AV668" s="118"/>
      <c r="AW668" s="142"/>
      <c r="AX668" s="52"/>
      <c r="AY668" s="52"/>
      <c r="AZ668" s="11"/>
      <c r="BA668" s="11"/>
      <c r="BB668" s="389"/>
      <c r="BC668" s="11"/>
      <c r="BD668" s="11"/>
      <c r="BE668" s="274"/>
      <c r="BF668" s="274"/>
      <c r="BG668" s="389"/>
      <c r="BH668" s="11"/>
      <c r="BI668" s="11"/>
      <c r="BJ668" s="311"/>
      <c r="BK668" s="311"/>
      <c r="BL668" s="389"/>
      <c r="BM668" s="52"/>
      <c r="BN668" s="52"/>
      <c r="BO668" s="274"/>
      <c r="BP668" s="274"/>
      <c r="BQ668" s="389"/>
      <c r="BR668" s="11"/>
      <c r="BS668" s="11"/>
      <c r="BT668" s="11"/>
      <c r="BU668" s="11"/>
      <c r="BV668" s="389"/>
      <c r="BW668" s="11"/>
      <c r="BX668" s="11"/>
      <c r="BY668" s="11"/>
      <c r="BZ668" s="11"/>
      <c r="CA668" s="389"/>
      <c r="CB668" s="11"/>
      <c r="CC668" s="11"/>
      <c r="CD668" s="11"/>
      <c r="CE668" s="11"/>
      <c r="CF668" s="389"/>
      <c r="CG668" s="11"/>
      <c r="CH668" s="11"/>
      <c r="CI668" s="11"/>
      <c r="CJ668" s="11"/>
      <c r="CK668" s="389"/>
      <c r="CL668" s="11"/>
      <c r="CM668" s="11"/>
      <c r="CN668" s="274"/>
      <c r="CO668" s="274"/>
      <c r="CP668" s="389"/>
      <c r="CQ668" s="11"/>
      <c r="CR668" s="11"/>
      <c r="CS668" s="11"/>
      <c r="CT668" s="11"/>
      <c r="CU668" s="389"/>
      <c r="CV668" s="11"/>
      <c r="CW668" s="11"/>
      <c r="CX668" s="11"/>
      <c r="CY668" s="11"/>
      <c r="CZ668" s="389"/>
      <c r="DA668" s="11"/>
      <c r="DB668" s="11"/>
      <c r="DC668" s="11"/>
      <c r="DD668" s="11"/>
      <c r="DE668" s="389"/>
      <c r="DF668" s="11"/>
      <c r="DG668" s="11"/>
      <c r="DH668" s="11"/>
      <c r="DI668" s="11"/>
      <c r="DJ668" s="389"/>
      <c r="DK668" s="11"/>
      <c r="DL668" s="11"/>
      <c r="DM668" s="118"/>
      <c r="DN668" s="118"/>
      <c r="DO668" s="389"/>
      <c r="DP668" s="52"/>
      <c r="DQ668" s="52"/>
      <c r="DR668" s="77"/>
      <c r="DS668" s="77"/>
      <c r="DT668" s="389"/>
      <c r="DU668" s="11"/>
      <c r="DV668" s="11"/>
      <c r="DW668" s="274"/>
      <c r="DX668" s="274"/>
      <c r="DY668" s="274"/>
      <c r="DZ668" s="382"/>
      <c r="EA668" s="11"/>
      <c r="EB668" s="11"/>
      <c r="EC668" s="11"/>
      <c r="ED668" s="11"/>
      <c r="EE668" s="11"/>
      <c r="EF668" s="11"/>
    </row>
    <row r="669" spans="1:136" ht="27" x14ac:dyDescent="0.25">
      <c r="A669" s="425">
        <v>667</v>
      </c>
      <c r="B669" s="426" t="s">
        <v>2819</v>
      </c>
      <c r="C669" s="426" t="s">
        <v>2131</v>
      </c>
      <c r="D669" s="566" t="s">
        <v>132</v>
      </c>
      <c r="E669" s="79">
        <v>1</v>
      </c>
      <c r="F669" s="406">
        <v>1187749.71</v>
      </c>
      <c r="G669" s="274"/>
      <c r="H669" s="274"/>
      <c r="I669" s="389"/>
      <c r="J669" s="274"/>
      <c r="K669" s="11"/>
      <c r="L669" s="274"/>
      <c r="M669" s="274"/>
      <c r="N669" s="389"/>
      <c r="O669" s="48"/>
      <c r="P669" s="11"/>
      <c r="Q669" s="274"/>
      <c r="R669" s="274"/>
      <c r="S669" s="389"/>
      <c r="T669" s="11"/>
      <c r="U669" s="11"/>
      <c r="V669" s="11"/>
      <c r="W669" s="11"/>
      <c r="X669" s="11"/>
      <c r="Y669" s="11"/>
      <c r="Z669" s="48"/>
      <c r="AA669" s="52"/>
      <c r="AB669" s="52"/>
      <c r="AC669" s="389"/>
      <c r="AD669" s="5"/>
      <c r="AE669" s="52"/>
      <c r="AF669" s="118"/>
      <c r="AG669" s="118"/>
      <c r="AH669" s="389"/>
      <c r="AI669" s="52"/>
      <c r="AJ669" s="11"/>
      <c r="AK669" s="274"/>
      <c r="AL669" s="274"/>
      <c r="AM669" s="389"/>
      <c r="AN669" s="11"/>
      <c r="AO669" s="11"/>
      <c r="AP669" s="11"/>
      <c r="AQ669" s="11"/>
      <c r="AR669" s="389"/>
      <c r="AS669" s="11"/>
      <c r="AT669" s="11"/>
      <c r="AU669" s="118"/>
      <c r="AV669" s="118"/>
      <c r="AW669" s="142"/>
      <c r="AX669" s="52"/>
      <c r="AY669" s="52"/>
      <c r="AZ669" s="11"/>
      <c r="BA669" s="11"/>
      <c r="BB669" s="389"/>
      <c r="BC669" s="11"/>
      <c r="BD669" s="11"/>
      <c r="BE669" s="274"/>
      <c r="BF669" s="274"/>
      <c r="BG669" s="389"/>
      <c r="BH669" s="11"/>
      <c r="BI669" s="11"/>
      <c r="BJ669" s="311"/>
      <c r="BK669" s="311"/>
      <c r="BL669" s="389"/>
      <c r="BM669" s="52"/>
      <c r="BN669" s="52"/>
      <c r="BO669" s="274"/>
      <c r="BP669" s="274"/>
      <c r="BQ669" s="389"/>
      <c r="BR669" s="11"/>
      <c r="BS669" s="11"/>
      <c r="BT669" s="11"/>
      <c r="BU669" s="11"/>
      <c r="BV669" s="389"/>
      <c r="BW669" s="11"/>
      <c r="BX669" s="11"/>
      <c r="BY669" s="11"/>
      <c r="BZ669" s="11"/>
      <c r="CA669" s="389"/>
      <c r="CB669" s="11"/>
      <c r="CC669" s="11"/>
      <c r="CD669" s="11"/>
      <c r="CE669" s="11"/>
      <c r="CF669" s="389"/>
      <c r="CG669" s="11"/>
      <c r="CH669" s="11"/>
      <c r="CI669" s="11"/>
      <c r="CJ669" s="11"/>
      <c r="CK669" s="389"/>
      <c r="CL669" s="11"/>
      <c r="CM669" s="11"/>
      <c r="CN669" s="274"/>
      <c r="CO669" s="274"/>
      <c r="CP669" s="389"/>
      <c r="CQ669" s="11"/>
      <c r="CR669" s="11"/>
      <c r="CS669" s="11"/>
      <c r="CT669" s="11"/>
      <c r="CU669" s="389"/>
      <c r="CV669" s="11"/>
      <c r="CW669" s="11"/>
      <c r="CX669" s="11"/>
      <c r="CY669" s="11"/>
      <c r="CZ669" s="389"/>
      <c r="DA669" s="11"/>
      <c r="DB669" s="11"/>
      <c r="DC669" s="11"/>
      <c r="DD669" s="11"/>
      <c r="DE669" s="389"/>
      <c r="DF669" s="11"/>
      <c r="DG669" s="11"/>
      <c r="DH669" s="11"/>
      <c r="DI669" s="11"/>
      <c r="DJ669" s="389"/>
      <c r="DK669" s="11"/>
      <c r="DL669" s="11"/>
      <c r="DM669" s="118"/>
      <c r="DN669" s="118"/>
      <c r="DO669" s="389"/>
      <c r="DP669" s="52"/>
      <c r="DQ669" s="52"/>
      <c r="DR669" s="77"/>
      <c r="DS669" s="77"/>
      <c r="DT669" s="389"/>
      <c r="DU669" s="11"/>
      <c r="DV669" s="11"/>
      <c r="DW669" s="274"/>
      <c r="DX669" s="274"/>
      <c r="DY669" s="274"/>
      <c r="DZ669" s="382"/>
      <c r="EA669" s="11"/>
      <c r="EB669" s="11"/>
      <c r="EC669" s="11"/>
      <c r="ED669" s="11"/>
      <c r="EE669" s="11"/>
      <c r="EF669" s="11"/>
    </row>
    <row r="670" spans="1:136" ht="13.5" x14ac:dyDescent="0.25">
      <c r="A670" s="425">
        <v>668</v>
      </c>
      <c r="B670" s="427" t="s">
        <v>2820</v>
      </c>
      <c r="C670" s="426" t="s">
        <v>2821</v>
      </c>
      <c r="D670" s="566" t="s">
        <v>132</v>
      </c>
      <c r="E670" s="30">
        <v>1</v>
      </c>
      <c r="F670" s="406">
        <v>961511.67</v>
      </c>
      <c r="G670" s="274"/>
      <c r="H670" s="274"/>
      <c r="I670" s="389"/>
      <c r="J670" s="274"/>
      <c r="K670" s="11"/>
      <c r="L670" s="274"/>
      <c r="M670" s="274"/>
      <c r="N670" s="389"/>
      <c r="O670" s="48"/>
      <c r="P670" s="11"/>
      <c r="Q670" s="274"/>
      <c r="R670" s="274"/>
      <c r="S670" s="389"/>
      <c r="T670" s="11"/>
      <c r="U670" s="11"/>
      <c r="V670" s="11"/>
      <c r="W670" s="11"/>
      <c r="X670" s="11"/>
      <c r="Y670" s="11"/>
      <c r="Z670" s="48"/>
      <c r="AA670" s="52"/>
      <c r="AB670" s="52"/>
      <c r="AC670" s="389"/>
      <c r="AD670" s="5"/>
      <c r="AE670" s="52"/>
      <c r="AF670" s="118"/>
      <c r="AG670" s="118"/>
      <c r="AH670" s="389"/>
      <c r="AI670" s="52"/>
      <c r="AJ670" s="11"/>
      <c r="AK670" s="274"/>
      <c r="AL670" s="274"/>
      <c r="AM670" s="389"/>
      <c r="AN670" s="11"/>
      <c r="AO670" s="11"/>
      <c r="AP670" s="11"/>
      <c r="AQ670" s="11"/>
      <c r="AR670" s="389"/>
      <c r="AS670" s="11"/>
      <c r="AT670" s="11"/>
      <c r="AU670" s="118"/>
      <c r="AV670" s="118"/>
      <c r="AW670" s="118"/>
      <c r="AX670" s="52"/>
      <c r="AY670" s="52"/>
      <c r="AZ670" s="11"/>
      <c r="BA670" s="11"/>
      <c r="BB670" s="389"/>
      <c r="BC670" s="11"/>
      <c r="BD670" s="11"/>
      <c r="BE670" s="274"/>
      <c r="BF670" s="274"/>
      <c r="BG670" s="389"/>
      <c r="BH670" s="11"/>
      <c r="BI670" s="11"/>
      <c r="BJ670" s="311"/>
      <c r="BK670" s="311"/>
      <c r="BL670" s="389"/>
      <c r="BM670" s="52"/>
      <c r="BN670" s="52"/>
      <c r="BO670" s="274"/>
      <c r="BP670" s="274"/>
      <c r="BQ670" s="389"/>
      <c r="BR670" s="11"/>
      <c r="BS670" s="11"/>
      <c r="BT670" s="11"/>
      <c r="BU670" s="11"/>
      <c r="BV670" s="389"/>
      <c r="BW670" s="11"/>
      <c r="BX670" s="11"/>
      <c r="BY670" s="11"/>
      <c r="BZ670" s="11"/>
      <c r="CA670" s="389"/>
      <c r="CB670" s="11"/>
      <c r="CC670" s="11"/>
      <c r="CD670" s="11"/>
      <c r="CE670" s="11"/>
      <c r="CF670" s="389"/>
      <c r="CG670" s="11"/>
      <c r="CH670" s="11"/>
      <c r="CI670" s="11"/>
      <c r="CJ670" s="11"/>
      <c r="CK670" s="389"/>
      <c r="CL670" s="11"/>
      <c r="CM670" s="11"/>
      <c r="CN670" s="274"/>
      <c r="CO670" s="274"/>
      <c r="CP670" s="389"/>
      <c r="CQ670" s="11"/>
      <c r="CR670" s="11"/>
      <c r="CS670" s="11"/>
      <c r="CT670" s="11"/>
      <c r="CU670" s="389"/>
      <c r="CV670" s="11"/>
      <c r="CW670" s="11"/>
      <c r="CX670" s="11"/>
      <c r="CY670" s="11"/>
      <c r="CZ670" s="389"/>
      <c r="DA670" s="11"/>
      <c r="DB670" s="11"/>
      <c r="DC670" s="11"/>
      <c r="DD670" s="11"/>
      <c r="DE670" s="389"/>
      <c r="DF670" s="11"/>
      <c r="DG670" s="11"/>
      <c r="DH670" s="11"/>
      <c r="DI670" s="11"/>
      <c r="DJ670" s="389"/>
      <c r="DK670" s="11"/>
      <c r="DL670" s="11"/>
      <c r="DM670" s="118"/>
      <c r="DN670" s="118"/>
      <c r="DO670" s="389"/>
      <c r="DP670" s="52"/>
      <c r="DQ670" s="52"/>
      <c r="DR670" s="77"/>
      <c r="DS670" s="77"/>
      <c r="DT670" s="389"/>
      <c r="DU670" s="11"/>
      <c r="DV670" s="11"/>
      <c r="DW670" s="274">
        <v>864600</v>
      </c>
      <c r="DX670" s="274">
        <f>+DW670*0.19</f>
        <v>164274</v>
      </c>
      <c r="DY670" s="274">
        <f>+DW670+DX670</f>
        <v>1028874</v>
      </c>
      <c r="DZ670" s="382" t="s">
        <v>2821</v>
      </c>
      <c r="EA670" s="11"/>
      <c r="EB670" s="11"/>
      <c r="EC670" s="11"/>
      <c r="ED670" s="11"/>
      <c r="EE670" s="11"/>
      <c r="EF670" s="11"/>
    </row>
    <row r="671" spans="1:136" ht="81" x14ac:dyDescent="0.25">
      <c r="A671" s="425">
        <v>669</v>
      </c>
      <c r="B671" s="427" t="s">
        <v>2822</v>
      </c>
      <c r="C671" s="426" t="s">
        <v>2823</v>
      </c>
      <c r="D671" s="566" t="s">
        <v>1671</v>
      </c>
      <c r="E671" s="30">
        <v>1</v>
      </c>
      <c r="F671" s="71"/>
      <c r="G671" s="274"/>
      <c r="H671" s="274"/>
      <c r="I671" s="389"/>
      <c r="J671" s="274"/>
      <c r="K671" s="11"/>
      <c r="L671" s="274"/>
      <c r="M671" s="274"/>
      <c r="N671" s="389"/>
      <c r="O671" s="48"/>
      <c r="P671" s="11"/>
      <c r="Q671" s="274"/>
      <c r="R671" s="274"/>
      <c r="S671" s="389"/>
      <c r="T671" s="11"/>
      <c r="U671" s="11"/>
      <c r="V671" s="16">
        <v>1642900</v>
      </c>
      <c r="W671" s="274">
        <v>0</v>
      </c>
      <c r="X671" s="16">
        <f>+V671+W671</f>
        <v>1642900</v>
      </c>
      <c r="Y671" s="11" t="s">
        <v>343</v>
      </c>
      <c r="Z671" s="48" t="s">
        <v>2824</v>
      </c>
      <c r="AA671" s="52"/>
      <c r="AB671" s="52"/>
      <c r="AC671" s="389"/>
      <c r="AD671" s="5"/>
      <c r="AE671" s="52"/>
      <c r="AF671" s="118"/>
      <c r="AG671" s="118"/>
      <c r="AH671" s="389"/>
      <c r="AI671" s="52"/>
      <c r="AJ671" s="11"/>
      <c r="AK671" s="274"/>
      <c r="AL671" s="274"/>
      <c r="AM671" s="389"/>
      <c r="AN671" s="11"/>
      <c r="AO671" s="11"/>
      <c r="AP671" s="11"/>
      <c r="AQ671" s="11"/>
      <c r="AR671" s="389"/>
      <c r="AS671" s="11"/>
      <c r="AT671" s="11"/>
      <c r="AU671" s="118">
        <v>1632941</v>
      </c>
      <c r="AV671" s="118">
        <f>+AU671*0.19</f>
        <v>310258.78999999998</v>
      </c>
      <c r="AW671" s="118">
        <f>+AU671+AV671</f>
        <v>1943199.79</v>
      </c>
      <c r="AX671" s="52" t="s">
        <v>343</v>
      </c>
      <c r="AY671" s="118" t="s">
        <v>2825</v>
      </c>
      <c r="AZ671" s="11"/>
      <c r="BA671" s="11"/>
      <c r="BB671" s="389"/>
      <c r="BC671" s="11"/>
      <c r="BD671" s="11"/>
      <c r="BE671" s="274"/>
      <c r="BF671" s="274"/>
      <c r="BG671" s="389"/>
      <c r="BH671" s="11"/>
      <c r="BI671" s="11"/>
      <c r="BJ671" s="311"/>
      <c r="BK671" s="311"/>
      <c r="BL671" s="389"/>
      <c r="BM671" s="52"/>
      <c r="BN671" s="52"/>
      <c r="BO671" s="274"/>
      <c r="BP671" s="274"/>
      <c r="BQ671" s="389"/>
      <c r="BR671" s="11"/>
      <c r="BS671" s="11"/>
      <c r="BT671" s="11"/>
      <c r="BU671" s="11"/>
      <c r="BV671" s="389"/>
      <c r="BW671" s="11"/>
      <c r="BX671" s="11"/>
      <c r="BY671" s="11"/>
      <c r="BZ671" s="11"/>
      <c r="CA671" s="389"/>
      <c r="CB671" s="11"/>
      <c r="CC671" s="11"/>
      <c r="CD671" s="11"/>
      <c r="CE671" s="11"/>
      <c r="CF671" s="389"/>
      <c r="CG671" s="11"/>
      <c r="CH671" s="11"/>
      <c r="CI671" s="11"/>
      <c r="CJ671" s="11"/>
      <c r="CK671" s="389"/>
      <c r="CL671" s="11"/>
      <c r="CM671" s="11"/>
      <c r="CN671" s="274"/>
      <c r="CO671" s="274"/>
      <c r="CP671" s="389"/>
      <c r="CQ671" s="11"/>
      <c r="CR671" s="11"/>
      <c r="CS671" s="11"/>
      <c r="CT671" s="11"/>
      <c r="CU671" s="389"/>
      <c r="CV671" s="11"/>
      <c r="CW671" s="11"/>
      <c r="CX671" s="11"/>
      <c r="CY671" s="11"/>
      <c r="CZ671" s="389"/>
      <c r="DA671" s="11"/>
      <c r="DB671" s="11"/>
      <c r="DC671" s="11"/>
      <c r="DD671" s="11"/>
      <c r="DE671" s="389"/>
      <c r="DF671" s="11"/>
      <c r="DG671" s="11"/>
      <c r="DH671" s="11"/>
      <c r="DI671" s="11"/>
      <c r="DJ671" s="389"/>
      <c r="DK671" s="11"/>
      <c r="DL671" s="11"/>
      <c r="DM671" s="118"/>
      <c r="DN671" s="118"/>
      <c r="DO671" s="389"/>
      <c r="DP671" s="52"/>
      <c r="DQ671" s="52"/>
      <c r="DR671" s="77"/>
      <c r="DS671" s="77"/>
      <c r="DT671" s="389"/>
      <c r="DU671" s="11"/>
      <c r="DV671" s="11"/>
      <c r="DW671" s="274"/>
      <c r="DX671" s="274"/>
      <c r="DY671" s="274"/>
      <c r="DZ671" s="382"/>
      <c r="EA671" s="11"/>
      <c r="EB671" s="11"/>
      <c r="EC671" s="11"/>
      <c r="ED671" s="11"/>
      <c r="EE671" s="11"/>
      <c r="EF671" s="11"/>
    </row>
    <row r="672" spans="1:136" ht="40.5" x14ac:dyDescent="0.25">
      <c r="A672" s="425">
        <v>670</v>
      </c>
      <c r="B672" s="427" t="s">
        <v>2826</v>
      </c>
      <c r="C672" s="426" t="s">
        <v>2823</v>
      </c>
      <c r="D672" s="566" t="s">
        <v>264</v>
      </c>
      <c r="E672" s="30">
        <v>1</v>
      </c>
      <c r="F672" s="71"/>
      <c r="G672" s="274"/>
      <c r="H672" s="274"/>
      <c r="I672" s="389"/>
      <c r="J672" s="274"/>
      <c r="K672" s="11"/>
      <c r="L672" s="274"/>
      <c r="M672" s="274"/>
      <c r="N672" s="389"/>
      <c r="O672" s="48"/>
      <c r="P672" s="11"/>
      <c r="Q672" s="274"/>
      <c r="R672" s="274"/>
      <c r="S672" s="389"/>
      <c r="T672" s="11"/>
      <c r="U672" s="11"/>
      <c r="V672" s="16">
        <v>842362</v>
      </c>
      <c r="W672" s="274">
        <v>0</v>
      </c>
      <c r="X672" s="16">
        <f>+V672+W672</f>
        <v>842362</v>
      </c>
      <c r="Y672" s="11" t="s">
        <v>343</v>
      </c>
      <c r="Z672" s="48" t="s">
        <v>2827</v>
      </c>
      <c r="AA672" s="52"/>
      <c r="AB672" s="52"/>
      <c r="AC672" s="389"/>
      <c r="AD672" s="5"/>
      <c r="AE672" s="52"/>
      <c r="AF672" s="118"/>
      <c r="AG672" s="118"/>
      <c r="AH672" s="389"/>
      <c r="AI672" s="52"/>
      <c r="AJ672" s="11"/>
      <c r="AK672" s="274"/>
      <c r="AL672" s="274"/>
      <c r="AM672" s="389"/>
      <c r="AN672" s="11"/>
      <c r="AO672" s="11"/>
      <c r="AP672" s="11"/>
      <c r="AQ672" s="11"/>
      <c r="AR672" s="389"/>
      <c r="AS672" s="11"/>
      <c r="AT672" s="11"/>
      <c r="AU672" s="118">
        <v>444444</v>
      </c>
      <c r="AV672" s="118">
        <f>+AU672*0.19</f>
        <v>84444.36</v>
      </c>
      <c r="AW672" s="118">
        <f>+AU672+AV672</f>
        <v>528888.36</v>
      </c>
      <c r="AX672" s="52" t="s">
        <v>343</v>
      </c>
      <c r="AY672" s="118" t="s">
        <v>2828</v>
      </c>
      <c r="AZ672" s="11"/>
      <c r="BA672" s="11"/>
      <c r="BB672" s="389"/>
      <c r="BC672" s="11"/>
      <c r="BD672" s="11"/>
      <c r="BE672" s="274"/>
      <c r="BF672" s="274"/>
      <c r="BG672" s="389"/>
      <c r="BH672" s="11"/>
      <c r="BI672" s="11"/>
      <c r="BJ672" s="311"/>
      <c r="BK672" s="311"/>
      <c r="BL672" s="389"/>
      <c r="BM672" s="52"/>
      <c r="BN672" s="52"/>
      <c r="BO672" s="274"/>
      <c r="BP672" s="274"/>
      <c r="BQ672" s="389"/>
      <c r="BR672" s="11"/>
      <c r="BS672" s="11"/>
      <c r="BT672" s="11"/>
      <c r="BU672" s="11"/>
      <c r="BV672" s="389"/>
      <c r="BW672" s="11"/>
      <c r="BX672" s="11"/>
      <c r="BY672" s="11"/>
      <c r="BZ672" s="11"/>
      <c r="CA672" s="389"/>
      <c r="CB672" s="11"/>
      <c r="CC672" s="11"/>
      <c r="CD672" s="11"/>
      <c r="CE672" s="11"/>
      <c r="CF672" s="389"/>
      <c r="CG672" s="11"/>
      <c r="CH672" s="11"/>
      <c r="CI672" s="11"/>
      <c r="CJ672" s="11"/>
      <c r="CK672" s="389"/>
      <c r="CL672" s="11"/>
      <c r="CM672" s="11"/>
      <c r="CN672" s="274"/>
      <c r="CO672" s="274"/>
      <c r="CP672" s="389"/>
      <c r="CQ672" s="11"/>
      <c r="CR672" s="11"/>
      <c r="CS672" s="11"/>
      <c r="CT672" s="11"/>
      <c r="CU672" s="389"/>
      <c r="CV672" s="11"/>
      <c r="CW672" s="11"/>
      <c r="CX672" s="11"/>
      <c r="CY672" s="11"/>
      <c r="CZ672" s="389"/>
      <c r="DA672" s="11"/>
      <c r="DB672" s="11"/>
      <c r="DC672" s="11"/>
      <c r="DD672" s="11"/>
      <c r="DE672" s="389"/>
      <c r="DF672" s="11"/>
      <c r="DG672" s="11"/>
      <c r="DH672" s="11"/>
      <c r="DI672" s="11"/>
      <c r="DJ672" s="389"/>
      <c r="DK672" s="11"/>
      <c r="DL672" s="11"/>
      <c r="DM672" s="118"/>
      <c r="DN672" s="118"/>
      <c r="DO672" s="389"/>
      <c r="DP672" s="52"/>
      <c r="DQ672" s="52"/>
      <c r="DR672" s="77">
        <v>385000</v>
      </c>
      <c r="DS672" s="77">
        <f>+DR672*0.19</f>
        <v>73150</v>
      </c>
      <c r="DT672" s="274">
        <f t="shared" ref="DT672:DT677" si="20">+DR672+DS672</f>
        <v>458150</v>
      </c>
      <c r="DU672" s="11" t="s">
        <v>343</v>
      </c>
      <c r="DV672" s="11" t="s">
        <v>2827</v>
      </c>
      <c r="DW672" s="274"/>
      <c r="DX672" s="274"/>
      <c r="DY672" s="274"/>
      <c r="DZ672" s="382"/>
      <c r="EA672" s="11"/>
      <c r="EB672" s="11"/>
      <c r="EC672" s="11"/>
      <c r="ED672" s="11"/>
      <c r="EE672" s="11"/>
      <c r="EF672" s="11"/>
    </row>
    <row r="673" spans="1:136" ht="40.5" x14ac:dyDescent="0.25">
      <c r="A673" s="425">
        <v>671</v>
      </c>
      <c r="B673" s="426" t="s">
        <v>2829</v>
      </c>
      <c r="C673" s="426" t="s">
        <v>2823</v>
      </c>
      <c r="D673" s="566" t="s">
        <v>264</v>
      </c>
      <c r="E673" s="30">
        <v>1</v>
      </c>
      <c r="F673" s="71"/>
      <c r="G673" s="274"/>
      <c r="H673" s="274"/>
      <c r="I673" s="389"/>
      <c r="J673" s="274"/>
      <c r="K673" s="11"/>
      <c r="L673" s="274"/>
      <c r="M673" s="274"/>
      <c r="N673" s="389"/>
      <c r="O673" s="48"/>
      <c r="P673" s="11"/>
      <c r="Q673" s="274"/>
      <c r="R673" s="274"/>
      <c r="S673" s="389"/>
      <c r="T673" s="11"/>
      <c r="U673" s="11"/>
      <c r="V673" s="11"/>
      <c r="W673" s="11"/>
      <c r="X673" s="11"/>
      <c r="Y673" s="11"/>
      <c r="Z673" s="48"/>
      <c r="AA673" s="52"/>
      <c r="AB673" s="52"/>
      <c r="AC673" s="389"/>
      <c r="AD673" s="5"/>
      <c r="AE673" s="52"/>
      <c r="AF673" s="118"/>
      <c r="AG673" s="118"/>
      <c r="AH673" s="389"/>
      <c r="AI673" s="52"/>
      <c r="AJ673" s="11"/>
      <c r="AK673" s="274"/>
      <c r="AL673" s="274"/>
      <c r="AM673" s="389"/>
      <c r="AN673" s="11"/>
      <c r="AO673" s="11"/>
      <c r="AP673" s="11"/>
      <c r="AQ673" s="11"/>
      <c r="AR673" s="389"/>
      <c r="AS673" s="11"/>
      <c r="AT673" s="11"/>
      <c r="AU673" s="118"/>
      <c r="AV673" s="118"/>
      <c r="AW673" s="142"/>
      <c r="AX673" s="52"/>
      <c r="AY673" s="52"/>
      <c r="AZ673" s="11"/>
      <c r="BA673" s="11"/>
      <c r="BB673" s="389"/>
      <c r="BC673" s="11"/>
      <c r="BD673" s="11"/>
      <c r="BE673" s="274"/>
      <c r="BF673" s="274"/>
      <c r="BG673" s="389"/>
      <c r="BH673" s="11"/>
      <c r="BI673" s="11"/>
      <c r="BJ673" s="311"/>
      <c r="BK673" s="311"/>
      <c r="BL673" s="389"/>
      <c r="BM673" s="52"/>
      <c r="BN673" s="52"/>
      <c r="BO673" s="274"/>
      <c r="BP673" s="274"/>
      <c r="BQ673" s="389"/>
      <c r="BR673" s="11"/>
      <c r="BS673" s="11"/>
      <c r="BT673" s="11"/>
      <c r="BU673" s="11"/>
      <c r="BV673" s="389"/>
      <c r="BW673" s="11"/>
      <c r="BX673" s="11"/>
      <c r="BY673" s="11"/>
      <c r="BZ673" s="11"/>
      <c r="CA673" s="389"/>
      <c r="CB673" s="11"/>
      <c r="CC673" s="11"/>
      <c r="CD673" s="11"/>
      <c r="CE673" s="11"/>
      <c r="CF673" s="389"/>
      <c r="CG673" s="11"/>
      <c r="CH673" s="11"/>
      <c r="CI673" s="11"/>
      <c r="CJ673" s="11"/>
      <c r="CK673" s="389"/>
      <c r="CL673" s="11"/>
      <c r="CM673" s="11"/>
      <c r="CN673" s="274"/>
      <c r="CO673" s="274"/>
      <c r="CP673" s="389"/>
      <c r="CQ673" s="11"/>
      <c r="CR673" s="11"/>
      <c r="CS673" s="11"/>
      <c r="CT673" s="11"/>
      <c r="CU673" s="389"/>
      <c r="CV673" s="11"/>
      <c r="CW673" s="11"/>
      <c r="CX673" s="11"/>
      <c r="CY673" s="11"/>
      <c r="CZ673" s="389"/>
      <c r="DA673" s="11"/>
      <c r="DB673" s="11"/>
      <c r="DC673" s="11"/>
      <c r="DD673" s="11"/>
      <c r="DE673" s="389"/>
      <c r="DF673" s="11"/>
      <c r="DG673" s="11"/>
      <c r="DH673" s="11"/>
      <c r="DI673" s="11"/>
      <c r="DJ673" s="389"/>
      <c r="DK673" s="11"/>
      <c r="DL673" s="11"/>
      <c r="DM673" s="118"/>
      <c r="DN673" s="118"/>
      <c r="DO673" s="389"/>
      <c r="DP673" s="52"/>
      <c r="DQ673" s="52"/>
      <c r="DR673" s="77">
        <v>385000</v>
      </c>
      <c r="DS673" s="77">
        <v>0</v>
      </c>
      <c r="DT673" s="274">
        <f t="shared" si="20"/>
        <v>385000</v>
      </c>
      <c r="DU673" s="11" t="s">
        <v>343</v>
      </c>
      <c r="DV673" s="11" t="s">
        <v>2830</v>
      </c>
      <c r="DW673" s="274"/>
      <c r="DX673" s="274"/>
      <c r="DY673" s="274"/>
      <c r="DZ673" s="382"/>
      <c r="EA673" s="11"/>
      <c r="EB673" s="11"/>
      <c r="EC673" s="11"/>
      <c r="ED673" s="11"/>
      <c r="EE673" s="11"/>
      <c r="EF673" s="11"/>
    </row>
    <row r="674" spans="1:136" ht="39" customHeight="1" x14ac:dyDescent="0.25">
      <c r="A674" s="425">
        <v>672</v>
      </c>
      <c r="B674" s="426" t="s">
        <v>2831</v>
      </c>
      <c r="C674" s="426" t="s">
        <v>2823</v>
      </c>
      <c r="D674" s="566" t="s">
        <v>2832</v>
      </c>
      <c r="E674" s="30">
        <v>1</v>
      </c>
      <c r="F674" s="71"/>
      <c r="G674" s="274"/>
      <c r="H674" s="274"/>
      <c r="I674" s="389"/>
      <c r="J674" s="274"/>
      <c r="K674" s="11"/>
      <c r="L674" s="274"/>
      <c r="M674" s="274"/>
      <c r="N674" s="389"/>
      <c r="O674" s="48"/>
      <c r="P674" s="11"/>
      <c r="Q674" s="274"/>
      <c r="R674" s="274"/>
      <c r="S674" s="389"/>
      <c r="T674" s="11"/>
      <c r="U674" s="11"/>
      <c r="V674" s="16">
        <v>1956600</v>
      </c>
      <c r="W674" s="274">
        <v>0</v>
      </c>
      <c r="X674" s="16">
        <f>+V674+W674</f>
        <v>1956600</v>
      </c>
      <c r="Y674" s="11" t="s">
        <v>343</v>
      </c>
      <c r="Z674" s="48" t="s">
        <v>2833</v>
      </c>
      <c r="AA674" s="52"/>
      <c r="AB674" s="52"/>
      <c r="AC674" s="389"/>
      <c r="AD674" s="5"/>
      <c r="AE674" s="52"/>
      <c r="AF674" s="118"/>
      <c r="AG674" s="118"/>
      <c r="AH674" s="389"/>
      <c r="AI674" s="52"/>
      <c r="AJ674" s="11"/>
      <c r="AK674" s="274"/>
      <c r="AL674" s="274"/>
      <c r="AM674" s="389"/>
      <c r="AN674" s="11"/>
      <c r="AO674" s="11"/>
      <c r="AP674" s="11"/>
      <c r="AQ674" s="11"/>
      <c r="AR674" s="389"/>
      <c r="AS674" s="11"/>
      <c r="AT674" s="11"/>
      <c r="AU674" s="118">
        <v>522353</v>
      </c>
      <c r="AV674" s="118">
        <f>+AU674*0.19</f>
        <v>99247.07</v>
      </c>
      <c r="AW674" s="118">
        <f>+AU674+AV674</f>
        <v>621600.07000000007</v>
      </c>
      <c r="AX674" s="52" t="s">
        <v>343</v>
      </c>
      <c r="AY674" s="52" t="s">
        <v>2834</v>
      </c>
      <c r="AZ674" s="11"/>
      <c r="BA674" s="11"/>
      <c r="BB674" s="389"/>
      <c r="BC674" s="11"/>
      <c r="BD674" s="11"/>
      <c r="BE674" s="274"/>
      <c r="BF674" s="274"/>
      <c r="BG674" s="389"/>
      <c r="BH674" s="11"/>
      <c r="BI674" s="11"/>
      <c r="BJ674" s="311"/>
      <c r="BK674" s="311"/>
      <c r="BL674" s="389"/>
      <c r="BM674" s="52"/>
      <c r="BN674" s="52"/>
      <c r="BO674" s="274"/>
      <c r="BP674" s="274"/>
      <c r="BQ674" s="389"/>
      <c r="BR674" s="11"/>
      <c r="BS674" s="11"/>
      <c r="BT674" s="11"/>
      <c r="BU674" s="11"/>
      <c r="BV674" s="389"/>
      <c r="BW674" s="11"/>
      <c r="BX674" s="11"/>
      <c r="BY674" s="11"/>
      <c r="BZ674" s="11"/>
      <c r="CA674" s="389"/>
      <c r="CB674" s="11"/>
      <c r="CC674" s="11"/>
      <c r="CD674" s="11"/>
      <c r="CE674" s="11"/>
      <c r="CF674" s="389"/>
      <c r="CG674" s="11"/>
      <c r="CH674" s="11"/>
      <c r="CI674" s="11"/>
      <c r="CJ674" s="11"/>
      <c r="CK674" s="389"/>
      <c r="CL674" s="11"/>
      <c r="CM674" s="11"/>
      <c r="CN674" s="274"/>
      <c r="CO674" s="274"/>
      <c r="CP674" s="389"/>
      <c r="CQ674" s="11"/>
      <c r="CR674" s="11"/>
      <c r="CS674" s="11"/>
      <c r="CT674" s="11"/>
      <c r="CU674" s="389"/>
      <c r="CV674" s="11"/>
      <c r="CW674" s="11"/>
      <c r="CX674" s="11"/>
      <c r="CY674" s="11"/>
      <c r="CZ674" s="389"/>
      <c r="DA674" s="11"/>
      <c r="DB674" s="11"/>
      <c r="DC674" s="11"/>
      <c r="DD674" s="11"/>
      <c r="DE674" s="389"/>
      <c r="DF674" s="11"/>
      <c r="DG674" s="11"/>
      <c r="DH674" s="11"/>
      <c r="DI674" s="11"/>
      <c r="DJ674" s="389"/>
      <c r="DK674" s="11"/>
      <c r="DL674" s="11"/>
      <c r="DM674" s="118"/>
      <c r="DN674" s="118"/>
      <c r="DO674" s="389"/>
      <c r="DP674" s="52"/>
      <c r="DQ674" s="52"/>
      <c r="DR674" s="77">
        <v>444000</v>
      </c>
      <c r="DS674" s="77">
        <f>+DR674*0.19</f>
        <v>84360</v>
      </c>
      <c r="DT674" s="274">
        <f t="shared" si="20"/>
        <v>528360</v>
      </c>
      <c r="DU674" s="11" t="s">
        <v>343</v>
      </c>
      <c r="DV674" s="11" t="s">
        <v>2833</v>
      </c>
      <c r="DW674" s="11"/>
      <c r="DX674" s="11"/>
      <c r="DY674" s="274"/>
      <c r="DZ674" s="11"/>
      <c r="EA674" s="11"/>
      <c r="EB674" s="11"/>
      <c r="EC674" s="11"/>
      <c r="ED674" s="11"/>
      <c r="EE674" s="11"/>
      <c r="EF674" s="11"/>
    </row>
    <row r="675" spans="1:136" ht="39" customHeight="1" x14ac:dyDescent="0.25">
      <c r="A675" s="425">
        <v>673</v>
      </c>
      <c r="B675" s="426" t="s">
        <v>2835</v>
      </c>
      <c r="C675" s="426" t="s">
        <v>2823</v>
      </c>
      <c r="D675" s="566" t="s">
        <v>2836</v>
      </c>
      <c r="E675" s="30">
        <v>1</v>
      </c>
      <c r="F675" s="71"/>
      <c r="G675" s="274"/>
      <c r="H675" s="274"/>
      <c r="I675" s="389"/>
      <c r="J675" s="274"/>
      <c r="K675" s="11"/>
      <c r="L675" s="274"/>
      <c r="M675" s="274"/>
      <c r="N675" s="389"/>
      <c r="O675" s="48"/>
      <c r="P675" s="11"/>
      <c r="Q675" s="274"/>
      <c r="R675" s="274"/>
      <c r="S675" s="389"/>
      <c r="T675" s="11"/>
      <c r="U675" s="11"/>
      <c r="V675" s="16">
        <v>734624</v>
      </c>
      <c r="W675" s="274">
        <v>0</v>
      </c>
      <c r="X675" s="16">
        <f>+V675+W675</f>
        <v>734624</v>
      </c>
      <c r="Y675" s="11" t="s">
        <v>343</v>
      </c>
      <c r="Z675" s="48" t="s">
        <v>2837</v>
      </c>
      <c r="AA675" s="52"/>
      <c r="AB675" s="52"/>
      <c r="AC675" s="389"/>
      <c r="AD675" s="5"/>
      <c r="AE675" s="52"/>
      <c r="AF675" s="118"/>
      <c r="AG675" s="118"/>
      <c r="AH675" s="389"/>
      <c r="AI675" s="52"/>
      <c r="AJ675" s="11"/>
      <c r="AK675" s="274"/>
      <c r="AL675" s="274"/>
      <c r="AM675" s="389"/>
      <c r="AN675" s="11"/>
      <c r="AO675" s="11"/>
      <c r="AP675" s="11"/>
      <c r="AQ675" s="11"/>
      <c r="AR675" s="389"/>
      <c r="AS675" s="11"/>
      <c r="AT675" s="11"/>
      <c r="AU675" s="118">
        <v>279117.65000000002</v>
      </c>
      <c r="AV675" s="118">
        <f>+AU675*0.19</f>
        <v>53032.353500000005</v>
      </c>
      <c r="AW675" s="118">
        <f>+AU675+AV675</f>
        <v>332150.00350000005</v>
      </c>
      <c r="AX675" s="52" t="s">
        <v>343</v>
      </c>
      <c r="AY675" s="52" t="s">
        <v>2838</v>
      </c>
      <c r="AZ675" s="11"/>
      <c r="BA675" s="11"/>
      <c r="BB675" s="389"/>
      <c r="BC675" s="11"/>
      <c r="BD675" s="11"/>
      <c r="BE675" s="274"/>
      <c r="BF675" s="274"/>
      <c r="BG675" s="389"/>
      <c r="BH675" s="11"/>
      <c r="BI675" s="11"/>
      <c r="BJ675" s="311"/>
      <c r="BK675" s="311"/>
      <c r="BL675" s="389"/>
      <c r="BM675" s="52"/>
      <c r="BN675" s="52"/>
      <c r="BO675" s="274"/>
      <c r="BP675" s="274"/>
      <c r="BQ675" s="389"/>
      <c r="BR675" s="11"/>
      <c r="BS675" s="11"/>
      <c r="BT675" s="11"/>
      <c r="BU675" s="11"/>
      <c r="BV675" s="389"/>
      <c r="BW675" s="11"/>
      <c r="BX675" s="11"/>
      <c r="BY675" s="11"/>
      <c r="BZ675" s="11"/>
      <c r="CA675" s="389"/>
      <c r="CB675" s="11"/>
      <c r="CC675" s="11"/>
      <c r="CD675" s="11"/>
      <c r="CE675" s="11"/>
      <c r="CF675" s="389"/>
      <c r="CG675" s="11"/>
      <c r="CH675" s="11"/>
      <c r="CI675" s="11"/>
      <c r="CJ675" s="11"/>
      <c r="CK675" s="389"/>
      <c r="CL675" s="11"/>
      <c r="CM675" s="11"/>
      <c r="CN675" s="274"/>
      <c r="CO675" s="274"/>
      <c r="CP675" s="389"/>
      <c r="CQ675" s="11"/>
      <c r="CR675" s="11"/>
      <c r="CS675" s="11"/>
      <c r="CT675" s="11"/>
      <c r="CU675" s="389"/>
      <c r="CV675" s="11"/>
      <c r="CW675" s="11"/>
      <c r="CX675" s="11"/>
      <c r="CY675" s="11"/>
      <c r="CZ675" s="389"/>
      <c r="DA675" s="11"/>
      <c r="DB675" s="11"/>
      <c r="DC675" s="11"/>
      <c r="DD675" s="11"/>
      <c r="DE675" s="389"/>
      <c r="DF675" s="11"/>
      <c r="DG675" s="11"/>
      <c r="DH675" s="11"/>
      <c r="DI675" s="11"/>
      <c r="DJ675" s="389"/>
      <c r="DK675" s="11"/>
      <c r="DL675" s="11"/>
      <c r="DM675" s="118"/>
      <c r="DN675" s="118"/>
      <c r="DO675" s="389"/>
      <c r="DP675" s="52"/>
      <c r="DQ675" s="52"/>
      <c r="DR675" s="77">
        <v>281000</v>
      </c>
      <c r="DS675" s="77">
        <f>+DR675*0.19</f>
        <v>53390</v>
      </c>
      <c r="DT675" s="274">
        <f t="shared" si="20"/>
        <v>334390</v>
      </c>
      <c r="DU675" s="11" t="s">
        <v>343</v>
      </c>
      <c r="DV675" s="11" t="s">
        <v>2837</v>
      </c>
      <c r="DW675" s="11"/>
      <c r="DX675" s="11"/>
      <c r="DY675" s="274"/>
      <c r="DZ675" s="11"/>
      <c r="EA675" s="11"/>
      <c r="EB675" s="11"/>
      <c r="EC675" s="11"/>
      <c r="ED675" s="11"/>
      <c r="EE675" s="11"/>
      <c r="EF675" s="11"/>
    </row>
    <row r="676" spans="1:136" ht="39" customHeight="1" x14ac:dyDescent="0.25">
      <c r="A676" s="425">
        <v>674</v>
      </c>
      <c r="B676" s="426" t="s">
        <v>2839</v>
      </c>
      <c r="C676" s="426" t="s">
        <v>2823</v>
      </c>
      <c r="D676" s="566" t="s">
        <v>264</v>
      </c>
      <c r="E676" s="30">
        <v>1</v>
      </c>
      <c r="F676" s="71"/>
      <c r="G676" s="274"/>
      <c r="H676" s="274"/>
      <c r="I676" s="389"/>
      <c r="J676" s="274"/>
      <c r="K676" s="11"/>
      <c r="L676" s="274"/>
      <c r="M676" s="274"/>
      <c r="N676" s="389"/>
      <c r="O676" s="48"/>
      <c r="P676" s="11"/>
      <c r="Q676" s="274"/>
      <c r="R676" s="274"/>
      <c r="S676" s="389"/>
      <c r="T676" s="11"/>
      <c r="U676" s="11"/>
      <c r="V676" s="16">
        <v>939453</v>
      </c>
      <c r="W676" s="274">
        <v>0</v>
      </c>
      <c r="X676" s="16">
        <f>+V676+W676</f>
        <v>939453</v>
      </c>
      <c r="Y676" s="11" t="s">
        <v>343</v>
      </c>
      <c r="Z676" s="48" t="s">
        <v>2840</v>
      </c>
      <c r="AA676" s="52"/>
      <c r="AB676" s="52"/>
      <c r="AC676" s="389"/>
      <c r="AD676" s="5"/>
      <c r="AE676" s="52"/>
      <c r="AF676" s="118"/>
      <c r="AG676" s="118"/>
      <c r="AH676" s="389"/>
      <c r="AI676" s="52"/>
      <c r="AJ676" s="11"/>
      <c r="AK676" s="274"/>
      <c r="AL676" s="274"/>
      <c r="AM676" s="389"/>
      <c r="AN676" s="11"/>
      <c r="AO676" s="11"/>
      <c r="AP676" s="11"/>
      <c r="AQ676" s="11"/>
      <c r="AR676" s="389"/>
      <c r="AS676" s="11"/>
      <c r="AT676" s="11"/>
      <c r="AU676" s="118">
        <v>496471</v>
      </c>
      <c r="AV676" s="118">
        <f>+AU676*0.19</f>
        <v>94329.49</v>
      </c>
      <c r="AW676" s="118">
        <f>+AU676+AV676</f>
        <v>590800.49</v>
      </c>
      <c r="AX676" s="52" t="s">
        <v>343</v>
      </c>
      <c r="AY676" s="52" t="s">
        <v>2841</v>
      </c>
      <c r="AZ676" s="11"/>
      <c r="BA676" s="11"/>
      <c r="BB676" s="389"/>
      <c r="BC676" s="11"/>
      <c r="BD676" s="11"/>
      <c r="BE676" s="274"/>
      <c r="BF676" s="274"/>
      <c r="BG676" s="389"/>
      <c r="BH676" s="11"/>
      <c r="BI676" s="11"/>
      <c r="BJ676" s="311"/>
      <c r="BK676" s="311"/>
      <c r="BL676" s="389"/>
      <c r="BM676" s="52"/>
      <c r="BN676" s="52"/>
      <c r="BO676" s="274"/>
      <c r="BP676" s="274"/>
      <c r="BQ676" s="389"/>
      <c r="BR676" s="11"/>
      <c r="BS676" s="11"/>
      <c r="BT676" s="11"/>
      <c r="BU676" s="11"/>
      <c r="BV676" s="389"/>
      <c r="BW676" s="11"/>
      <c r="BX676" s="11"/>
      <c r="BY676" s="11"/>
      <c r="BZ676" s="11"/>
      <c r="CA676" s="389"/>
      <c r="CB676" s="11"/>
      <c r="CC676" s="11"/>
      <c r="CD676" s="11"/>
      <c r="CE676" s="11"/>
      <c r="CF676" s="389"/>
      <c r="CG676" s="11"/>
      <c r="CH676" s="11"/>
      <c r="CI676" s="11"/>
      <c r="CJ676" s="11"/>
      <c r="CK676" s="389"/>
      <c r="CL676" s="11"/>
      <c r="CM676" s="11"/>
      <c r="CN676" s="274"/>
      <c r="CO676" s="274"/>
      <c r="CP676" s="389"/>
      <c r="CQ676" s="11"/>
      <c r="CR676" s="11"/>
      <c r="CS676" s="11"/>
      <c r="CT676" s="11"/>
      <c r="CU676" s="389"/>
      <c r="CV676" s="11"/>
      <c r="CW676" s="11"/>
      <c r="CX676" s="11"/>
      <c r="CY676" s="11"/>
      <c r="CZ676" s="389"/>
      <c r="DA676" s="11"/>
      <c r="DB676" s="11"/>
      <c r="DC676" s="11"/>
      <c r="DD676" s="11"/>
      <c r="DE676" s="389"/>
      <c r="DF676" s="11"/>
      <c r="DG676" s="11"/>
      <c r="DH676" s="11"/>
      <c r="DI676" s="11"/>
      <c r="DJ676" s="389"/>
      <c r="DK676" s="11"/>
      <c r="DL676" s="11"/>
      <c r="DM676" s="118"/>
      <c r="DN676" s="118"/>
      <c r="DO676" s="389"/>
      <c r="DP676" s="52"/>
      <c r="DQ676" s="52"/>
      <c r="DR676" s="77">
        <v>422000</v>
      </c>
      <c r="DS676" s="77">
        <v>0</v>
      </c>
      <c r="DT676" s="274">
        <f t="shared" si="20"/>
        <v>422000</v>
      </c>
      <c r="DU676" s="11" t="s">
        <v>343</v>
      </c>
      <c r="DV676" s="11" t="s">
        <v>2840</v>
      </c>
      <c r="DW676" s="11"/>
      <c r="DX676" s="11"/>
      <c r="DY676" s="274"/>
      <c r="DZ676" s="11"/>
      <c r="EA676" s="11"/>
      <c r="EB676" s="11"/>
      <c r="EC676" s="11"/>
      <c r="ED676" s="11"/>
      <c r="EE676" s="11"/>
      <c r="EF676" s="11"/>
    </row>
    <row r="677" spans="1:136" ht="39" customHeight="1" x14ac:dyDescent="0.25">
      <c r="A677" s="425">
        <v>675</v>
      </c>
      <c r="B677" s="426" t="s">
        <v>2842</v>
      </c>
      <c r="C677" s="426" t="s">
        <v>2823</v>
      </c>
      <c r="D677" s="566" t="s">
        <v>2836</v>
      </c>
      <c r="E677" s="30">
        <v>1</v>
      </c>
      <c r="F677" s="71"/>
      <c r="G677" s="274"/>
      <c r="H677" s="274"/>
      <c r="I677" s="389"/>
      <c r="J677" s="274"/>
      <c r="K677" s="11"/>
      <c r="L677" s="274"/>
      <c r="M677" s="274"/>
      <c r="N677" s="389"/>
      <c r="O677" s="48"/>
      <c r="P677" s="11"/>
      <c r="Q677" s="274"/>
      <c r="R677" s="274"/>
      <c r="S677" s="389"/>
      <c r="T677" s="11"/>
      <c r="U677" s="11"/>
      <c r="V677" s="16">
        <v>782172</v>
      </c>
      <c r="W677" s="274">
        <v>0</v>
      </c>
      <c r="X677" s="16">
        <f>+V677+W677</f>
        <v>782172</v>
      </c>
      <c r="Y677" s="11" t="s">
        <v>343</v>
      </c>
      <c r="Z677" s="48" t="s">
        <v>2843</v>
      </c>
      <c r="AA677" s="52"/>
      <c r="AB677" s="52"/>
      <c r="AC677" s="389"/>
      <c r="AD677" s="5"/>
      <c r="AE677" s="52"/>
      <c r="AF677" s="118"/>
      <c r="AG677" s="118"/>
      <c r="AH677" s="389"/>
      <c r="AI677" s="52"/>
      <c r="AJ677" s="11"/>
      <c r="AK677" s="274"/>
      <c r="AL677" s="274"/>
      <c r="AM677" s="389"/>
      <c r="AN677" s="11"/>
      <c r="AO677" s="11"/>
      <c r="AP677" s="11"/>
      <c r="AQ677" s="11"/>
      <c r="AR677" s="389"/>
      <c r="AS677" s="11"/>
      <c r="AT677" s="11"/>
      <c r="AU677" s="118">
        <v>342353</v>
      </c>
      <c r="AV677" s="118">
        <f>+AU677*0.19</f>
        <v>65047.07</v>
      </c>
      <c r="AW677" s="118">
        <f>+AU677+AV677</f>
        <v>407400.07</v>
      </c>
      <c r="AX677" s="52" t="s">
        <v>343</v>
      </c>
      <c r="AY677" s="52" t="s">
        <v>2844</v>
      </c>
      <c r="AZ677" s="11"/>
      <c r="BA677" s="11"/>
      <c r="BB677" s="389"/>
      <c r="BC677" s="11"/>
      <c r="BD677" s="11"/>
      <c r="BE677" s="274"/>
      <c r="BF677" s="274"/>
      <c r="BG677" s="389"/>
      <c r="BH677" s="11"/>
      <c r="BI677" s="11"/>
      <c r="BJ677" s="311"/>
      <c r="BK677" s="311"/>
      <c r="BL677" s="389"/>
      <c r="BM677" s="52"/>
      <c r="BN677" s="52"/>
      <c r="BO677" s="274"/>
      <c r="BP677" s="274"/>
      <c r="BQ677" s="389"/>
      <c r="BR677" s="11"/>
      <c r="BS677" s="11"/>
      <c r="BT677" s="11"/>
      <c r="BU677" s="11"/>
      <c r="BV677" s="389"/>
      <c r="BW677" s="11"/>
      <c r="BX677" s="11"/>
      <c r="BY677" s="11"/>
      <c r="BZ677" s="11"/>
      <c r="CA677" s="389"/>
      <c r="CB677" s="11"/>
      <c r="CC677" s="11"/>
      <c r="CD677" s="11"/>
      <c r="CE677" s="11"/>
      <c r="CF677" s="389"/>
      <c r="CG677" s="11"/>
      <c r="CH677" s="11"/>
      <c r="CI677" s="11"/>
      <c r="CJ677" s="11"/>
      <c r="CK677" s="389"/>
      <c r="CL677" s="11"/>
      <c r="CM677" s="11"/>
      <c r="CN677" s="274"/>
      <c r="CO677" s="274"/>
      <c r="CP677" s="389"/>
      <c r="CQ677" s="11"/>
      <c r="CR677" s="11"/>
      <c r="CS677" s="11"/>
      <c r="CT677" s="11"/>
      <c r="CU677" s="389"/>
      <c r="CV677" s="11"/>
      <c r="CW677" s="11"/>
      <c r="CX677" s="11"/>
      <c r="CY677" s="11"/>
      <c r="CZ677" s="389"/>
      <c r="DA677" s="11"/>
      <c r="DB677" s="11"/>
      <c r="DC677" s="11"/>
      <c r="DD677" s="11"/>
      <c r="DE677" s="389"/>
      <c r="DF677" s="11"/>
      <c r="DG677" s="11"/>
      <c r="DH677" s="11"/>
      <c r="DI677" s="11"/>
      <c r="DJ677" s="389"/>
      <c r="DK677" s="11"/>
      <c r="DL677" s="11"/>
      <c r="DM677" s="118"/>
      <c r="DN677" s="118"/>
      <c r="DO677" s="389"/>
      <c r="DP677" s="52"/>
      <c r="DQ677" s="52"/>
      <c r="DR677" s="77">
        <v>291000</v>
      </c>
      <c r="DS677" s="77">
        <v>0</v>
      </c>
      <c r="DT677" s="274">
        <f t="shared" si="20"/>
        <v>291000</v>
      </c>
      <c r="DU677" s="11" t="s">
        <v>343</v>
      </c>
      <c r="DV677" s="11" t="s">
        <v>2843</v>
      </c>
      <c r="DW677" s="11"/>
      <c r="DX677" s="11"/>
      <c r="DY677" s="274"/>
      <c r="DZ677" s="11"/>
      <c r="EA677" s="11"/>
      <c r="EB677" s="11"/>
      <c r="EC677" s="11"/>
      <c r="ED677" s="11"/>
      <c r="EE677" s="11"/>
      <c r="EF677" s="11"/>
    </row>
    <row r="678" spans="1:136" x14ac:dyDescent="0.25">
      <c r="I678" s="300">
        <f>SUBTOTAL(9,I3:I677)</f>
        <v>62835612.5</v>
      </c>
      <c r="N678" s="300">
        <f>SUBTOTAL(9,N3:N677)</f>
        <v>35368490</v>
      </c>
      <c r="S678" s="300">
        <f>SUBTOTAL(9,S3:S677)</f>
        <v>48722000</v>
      </c>
      <c r="X678" s="300">
        <f>SUBTOTAL(9,X3:X677)</f>
        <v>61677757</v>
      </c>
      <c r="AC678" s="300">
        <f>SUBTOTAL(9,AC3:AC677)</f>
        <v>57896991.459999993</v>
      </c>
      <c r="AH678" s="300">
        <f>SUBTOTAL(9,AH3:AH677)</f>
        <v>85324860</v>
      </c>
      <c r="AM678" s="300">
        <f>SUBTOTAL(9,AM3:AM677)</f>
        <v>163055514.55999991</v>
      </c>
      <c r="AR678" s="300">
        <f>SUBTOTAL(9,AR3:AR677)</f>
        <v>1750133</v>
      </c>
      <c r="AW678" s="300">
        <f>SUBTOTAL(9,AW3:AW677)</f>
        <v>319285841.28210008</v>
      </c>
      <c r="BB678" s="300">
        <f>SUBTOTAL(9,BB3:BB677)</f>
        <v>2629700</v>
      </c>
      <c r="BG678" s="300">
        <f>SUBTOTAL(9,BG3:BG677)</f>
        <v>636423900</v>
      </c>
      <c r="BL678" s="300">
        <f>SUBTOTAL(9,BL3:BL677)</f>
        <v>87836005.431299999</v>
      </c>
      <c r="BQ678" s="300">
        <f>SUBTOTAL(9,BQ3:BQ677)</f>
        <v>44164299.127899989</v>
      </c>
      <c r="BV678" s="300">
        <f>SUBTOTAL(9,BV3:BV677)</f>
        <v>3050000</v>
      </c>
      <c r="CA678" s="300">
        <f>SUBTOTAL(9,CA3:CA677)</f>
        <v>34320670</v>
      </c>
      <c r="CF678" s="300">
        <f>SUBTOTAL(9,CF3:CF677)</f>
        <v>1069810</v>
      </c>
      <c r="CK678" s="300">
        <f>SUBTOTAL(9,CK3:CK677)</f>
        <v>11942042.699999999</v>
      </c>
      <c r="CP678" s="300">
        <f>SUBTOTAL(9,CP3:CP677)</f>
        <v>2319571.7999999998</v>
      </c>
      <c r="CU678" s="300">
        <f>SUBTOTAL(9,CU3:CU677)</f>
        <v>8200</v>
      </c>
      <c r="CZ678" s="300">
        <f>SUBTOTAL(9,CZ3:CZ677)</f>
        <v>8300</v>
      </c>
      <c r="DE678" s="300">
        <f>SUBTOTAL(9,DE3:DE677)</f>
        <v>8150</v>
      </c>
      <c r="DJ678" s="300">
        <f>SUBTOTAL(9,DJ3:DJ677)</f>
        <v>328790</v>
      </c>
      <c r="DO678" s="300">
        <f>SUBTOTAL(9,DO3:DO677)</f>
        <v>25809720</v>
      </c>
      <c r="DT678" s="300">
        <f>SUBTOTAL(9,DT3:DT677)</f>
        <v>24595780</v>
      </c>
      <c r="DY678" s="300">
        <f>SUBTOTAL(9,DY3:DY677)</f>
        <v>6688273.8701298703</v>
      </c>
      <c r="ED678" s="300">
        <f>SUBTOTAL(9,ED3:ED677)</f>
        <v>584100</v>
      </c>
    </row>
  </sheetData>
  <autoFilter ref="A2:DG677"/>
  <mergeCells count="26">
    <mergeCell ref="BT1:BX1"/>
    <mergeCell ref="BY1:CC1"/>
    <mergeCell ref="CD1:CH1"/>
    <mergeCell ref="AK1:AO1"/>
    <mergeCell ref="G1:K1"/>
    <mergeCell ref="L1:P1"/>
    <mergeCell ref="Q1:U1"/>
    <mergeCell ref="AA1:AE1"/>
    <mergeCell ref="AF1:AJ1"/>
    <mergeCell ref="V1:Z1"/>
    <mergeCell ref="EB1:EF1"/>
    <mergeCell ref="AP1:AT1"/>
    <mergeCell ref="AU1:AY1"/>
    <mergeCell ref="AZ1:BD1"/>
    <mergeCell ref="BE1:BI1"/>
    <mergeCell ref="DW1:EA1"/>
    <mergeCell ref="DR1:DV1"/>
    <mergeCell ref="DM1:DQ1"/>
    <mergeCell ref="DH1:DL1"/>
    <mergeCell ref="CI1:CM1"/>
    <mergeCell ref="CN1:CR1"/>
    <mergeCell ref="CS1:CW1"/>
    <mergeCell ref="CX1:DB1"/>
    <mergeCell ref="DC1:DG1"/>
    <mergeCell ref="BJ1:BN1"/>
    <mergeCell ref="BO1:BS1"/>
  </mergeCells>
  <conditionalFormatting sqref="B678:B1048576 B1:B2">
    <cfRule type="duplicateValues" dxfId="217" priority="899"/>
  </conditionalFormatting>
  <conditionalFormatting sqref="B66">
    <cfRule type="duplicateValues" dxfId="93" priority="40"/>
  </conditionalFormatting>
  <conditionalFormatting sqref="B20">
    <cfRule type="duplicateValues" dxfId="92" priority="39"/>
  </conditionalFormatting>
  <conditionalFormatting sqref="B23">
    <cfRule type="duplicateValues" dxfId="91" priority="38"/>
  </conditionalFormatting>
  <conditionalFormatting sqref="B28">
    <cfRule type="duplicateValues" dxfId="90" priority="37"/>
  </conditionalFormatting>
  <conditionalFormatting sqref="B46">
    <cfRule type="duplicateValues" dxfId="89" priority="36"/>
  </conditionalFormatting>
  <conditionalFormatting sqref="B73">
    <cfRule type="duplicateValues" dxfId="88" priority="35"/>
  </conditionalFormatting>
  <conditionalFormatting sqref="B82:B83">
    <cfRule type="duplicateValues" dxfId="87" priority="34"/>
  </conditionalFormatting>
  <conditionalFormatting sqref="B104">
    <cfRule type="duplicateValues" dxfId="86" priority="33"/>
  </conditionalFormatting>
  <conditionalFormatting sqref="B107">
    <cfRule type="duplicateValues" dxfId="85" priority="32"/>
  </conditionalFormatting>
  <conditionalFormatting sqref="B108">
    <cfRule type="duplicateValues" dxfId="84" priority="31"/>
  </conditionalFormatting>
  <conditionalFormatting sqref="B122">
    <cfRule type="duplicateValues" dxfId="83" priority="30"/>
  </conditionalFormatting>
  <conditionalFormatting sqref="B123">
    <cfRule type="duplicateValues" dxfId="82" priority="29"/>
  </conditionalFormatting>
  <conditionalFormatting sqref="B125">
    <cfRule type="duplicateValues" dxfId="81" priority="28"/>
  </conditionalFormatting>
  <conditionalFormatting sqref="B148">
    <cfRule type="duplicateValues" dxfId="80" priority="27"/>
  </conditionalFormatting>
  <conditionalFormatting sqref="B156">
    <cfRule type="duplicateValues" dxfId="79" priority="26"/>
  </conditionalFormatting>
  <conditionalFormatting sqref="B162">
    <cfRule type="duplicateValues" dxfId="78" priority="25"/>
  </conditionalFormatting>
  <conditionalFormatting sqref="B172">
    <cfRule type="duplicateValues" dxfId="77" priority="24"/>
  </conditionalFormatting>
  <conditionalFormatting sqref="B492">
    <cfRule type="duplicateValues" dxfId="76" priority="23"/>
  </conditionalFormatting>
  <conditionalFormatting sqref="B495">
    <cfRule type="duplicateValues" dxfId="75" priority="22"/>
  </conditionalFormatting>
  <conditionalFormatting sqref="B503">
    <cfRule type="duplicateValues" dxfId="74" priority="21"/>
  </conditionalFormatting>
  <conditionalFormatting sqref="B526">
    <cfRule type="duplicateValues" dxfId="73" priority="20"/>
  </conditionalFormatting>
  <conditionalFormatting sqref="B527">
    <cfRule type="duplicateValues" dxfId="72" priority="19"/>
  </conditionalFormatting>
  <conditionalFormatting sqref="B528">
    <cfRule type="duplicateValues" dxfId="71" priority="18"/>
  </conditionalFormatting>
  <conditionalFormatting sqref="B99:B100">
    <cfRule type="duplicateValues" dxfId="70" priority="41"/>
  </conditionalFormatting>
  <conditionalFormatting sqref="B136 B3:B16 B21:B22 B24 B29:B45 B47:B65 B67:B72 B74:B81 B84:B98 B101:B103 B105:B106 B109:B113 B124 B126:B128 B130:B131 B149 B157:B161 B163:B165 B168:B170 B173 B138 B144:B147 B151:B155 B18:B19 B26:B27 B116:B121 B140:B141">
    <cfRule type="duplicateValues" dxfId="69" priority="42"/>
  </conditionalFormatting>
  <conditionalFormatting sqref="B644">
    <cfRule type="duplicateValues" dxfId="68" priority="17"/>
  </conditionalFormatting>
  <conditionalFormatting sqref="B645">
    <cfRule type="duplicateValues" dxfId="67" priority="16"/>
  </conditionalFormatting>
  <conditionalFormatting sqref="B646:B647">
    <cfRule type="duplicateValues" dxfId="66" priority="15"/>
  </conditionalFormatting>
  <conditionalFormatting sqref="B649">
    <cfRule type="duplicateValues" dxfId="65" priority="14"/>
  </conditionalFormatting>
  <conditionalFormatting sqref="B650">
    <cfRule type="duplicateValues" dxfId="64" priority="13"/>
  </conditionalFormatting>
  <conditionalFormatting sqref="B651">
    <cfRule type="duplicateValues" dxfId="63" priority="12"/>
  </conditionalFormatting>
  <conditionalFormatting sqref="B652">
    <cfRule type="duplicateValues" dxfId="62" priority="10"/>
  </conditionalFormatting>
  <conditionalFormatting sqref="B652">
    <cfRule type="duplicateValues" dxfId="61" priority="11"/>
  </conditionalFormatting>
  <conditionalFormatting sqref="B648">
    <cfRule type="duplicateValues" dxfId="60" priority="43"/>
  </conditionalFormatting>
  <conditionalFormatting sqref="B653">
    <cfRule type="duplicateValues" dxfId="59" priority="9"/>
  </conditionalFormatting>
  <conditionalFormatting sqref="B654">
    <cfRule type="duplicateValues" dxfId="58" priority="8"/>
  </conditionalFormatting>
  <conditionalFormatting sqref="B655:B656">
    <cfRule type="duplicateValues" dxfId="57" priority="7"/>
  </conditionalFormatting>
  <conditionalFormatting sqref="B657">
    <cfRule type="duplicateValues" dxfId="56" priority="6"/>
  </conditionalFormatting>
  <conditionalFormatting sqref="B658">
    <cfRule type="duplicateValues" dxfId="55" priority="5"/>
  </conditionalFormatting>
  <conditionalFormatting sqref="B659">
    <cfRule type="duplicateValues" dxfId="54" priority="4"/>
  </conditionalFormatting>
  <conditionalFormatting sqref="B660">
    <cfRule type="duplicateValues" dxfId="53" priority="3"/>
  </conditionalFormatting>
  <conditionalFormatting sqref="B662">
    <cfRule type="duplicateValues" dxfId="52" priority="2"/>
  </conditionalFormatting>
  <conditionalFormatting sqref="B663">
    <cfRule type="duplicateValues" dxfId="51" priority="1"/>
  </conditionalFormatting>
  <conditionalFormatting sqref="B661">
    <cfRule type="duplicateValues" dxfId="50" priority="44"/>
  </conditionalFormatting>
  <conditionalFormatting sqref="B664 B666:B667 B670:B677 B3:B173 B470:B651">
    <cfRule type="duplicateValues" dxfId="49" priority="45"/>
  </conditionalFormatting>
  <conditionalFormatting sqref="B673:B677">
    <cfRule type="duplicateValues" dxfId="48" priority="46"/>
  </conditionalFormatting>
  <conditionalFormatting sqref="B504 B489:B491 B493:B494 B496:B502">
    <cfRule type="duplicateValues" dxfId="47" priority="47"/>
  </conditionalFormatting>
  <hyperlinks>
    <hyperlink ref="B537" r:id="rId1" display="http://www.oxoid.com/UK/blue/prod_detail/prod_detail.asp?pr=CT1653&amp;cat=&amp;sec=2&amp;c=UK&amp;lang=EN"/>
    <hyperlink ref="B535" r:id="rId2" display="http://www.oxoid.com/UK/blue/prod_detail/prod_detail.asp?pr=CT0060&amp;cat=&amp;sec=2&amp;c=UK&amp;lang=EN"/>
  </hyperlinks>
  <pageMargins left="0.7" right="0.7" top="0.75" bottom="0.75" header="0.3" footer="0.3"/>
  <pageSetup orientation="portrait"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77"/>
  <sheetViews>
    <sheetView tabSelected="1" zoomScale="130" zoomScaleNormal="130" workbookViewId="0">
      <pane xSplit="6" ySplit="2" topLeftCell="G3" activePane="bottomRight" state="frozen"/>
      <selection pane="topRight" activeCell="G1" sqref="G1"/>
      <selection pane="bottomLeft" activeCell="A3" sqref="A3"/>
      <selection pane="bottomRight" activeCell="F12" sqref="F12"/>
    </sheetView>
  </sheetViews>
  <sheetFormatPr baseColWidth="10" defaultColWidth="11.42578125" defaultRowHeight="13.5" x14ac:dyDescent="0.25"/>
  <cols>
    <col min="1" max="1" width="4.140625" style="324" customWidth="1"/>
    <col min="2" max="2" width="4.7109375" style="324" bestFit="1" customWidth="1"/>
    <col min="3" max="3" width="29" style="324" customWidth="1"/>
    <col min="4" max="4" width="11" style="347" customWidth="1"/>
    <col min="5" max="5" width="10.5703125" style="347" customWidth="1"/>
    <col min="6" max="6" width="10.85546875" style="347" customWidth="1"/>
    <col min="7" max="7" width="11.28515625" style="347" bestFit="1" customWidth="1"/>
    <col min="8" max="8" width="11.42578125" style="347" customWidth="1"/>
    <col min="9" max="9" width="11.42578125" style="335"/>
    <col min="10" max="10" width="11.5703125" style="347" customWidth="1"/>
    <col min="11" max="11" width="13.5703125" style="347" customWidth="1"/>
    <col min="12" max="16384" width="11.42578125" style="324"/>
  </cols>
  <sheetData>
    <row r="1" spans="2:12" x14ac:dyDescent="0.25">
      <c r="B1" s="515"/>
      <c r="C1" s="516"/>
      <c r="D1" s="517" t="s">
        <v>2845</v>
      </c>
      <c r="E1" s="517"/>
      <c r="F1" s="517"/>
      <c r="G1" s="517"/>
      <c r="H1" s="517"/>
      <c r="I1" s="517"/>
      <c r="J1" s="517"/>
      <c r="K1" s="517"/>
      <c r="L1" s="336"/>
    </row>
    <row r="2" spans="2:12" ht="27" x14ac:dyDescent="0.25">
      <c r="B2" s="325" t="s">
        <v>2846</v>
      </c>
      <c r="C2" s="325" t="s">
        <v>2847</v>
      </c>
      <c r="D2" s="337" t="s">
        <v>2848</v>
      </c>
      <c r="E2" s="338" t="s">
        <v>26</v>
      </c>
      <c r="F2" s="339" t="s">
        <v>2849</v>
      </c>
      <c r="G2" s="340" t="s">
        <v>2850</v>
      </c>
      <c r="H2" s="339" t="s">
        <v>2851</v>
      </c>
      <c r="I2" s="327" t="s">
        <v>2852</v>
      </c>
      <c r="J2" s="328" t="s">
        <v>2853</v>
      </c>
      <c r="K2" s="329" t="s">
        <v>2854</v>
      </c>
      <c r="L2" s="329" t="s">
        <v>2855</v>
      </c>
    </row>
    <row r="3" spans="2:12" x14ac:dyDescent="0.25">
      <c r="B3" s="425">
        <v>1</v>
      </c>
      <c r="C3" s="413" t="s">
        <v>603</v>
      </c>
      <c r="D3" s="429">
        <f>IFERROR(MIN('LP Reactivos'!F3,'LP Reactivos'!I3,'LP Reactivos'!N3,'LP Reactivos'!S3,'LP Reactivos'!X3,'LP Reactivos'!AC3,'LP Reactivos'!AH3,'LP Reactivos'!AM3,'LP Reactivos'!AR3,'LP Reactivos'!AW3,'LP Reactivos'!BB3,'LP Reactivos'!BG3,'LP Reactivos'!BL3,'LP Reactivos'!BQ3,'LP Reactivos'!BV3,'LP Reactivos'!CA3,'LP Reactivos'!CF3,'LP Reactivos'!CK3,'LP Reactivos'!CP3,'LP Reactivos'!CU3,'LP Reactivos'!CZ3,'LP Reactivos'!DE3,'LP Reactivos'!DJ3,'LP Reactivos'!DO3,'LP Reactivos'!DT3,'LP Reactivos'!DY3,'LP Reactivos'!EB3)," ")</f>
        <v>171360</v>
      </c>
      <c r="E3" s="429">
        <f>IFERROR(AVERAGE('LP Reactivos'!F3,'LP Reactivos'!I3,'LP Reactivos'!N3,'LP Reactivos'!S3,'LP Reactivos'!X3,'LP Reactivos'!AC3,'LP Reactivos'!AH3,'LP Reactivos'!AM3,'LP Reactivos'!AR3,'LP Reactivos'!AW3,'LP Reactivos'!BB3,'LP Reactivos'!BG3,'LP Reactivos'!BL3,'LP Reactivos'!BQ3,'LP Reactivos'!BV3,'LP Reactivos'!CA3,'LP Reactivos'!CF3,'LP Reactivos'!CK3,'LP Reactivos'!CP3,'LP Reactivos'!CU3,'LP Reactivos'!CZ3,'LP Reactivos'!DE3,'LP Reactivos'!DJ3,'LP Reactivos'!DO3,'LP Reactivos'!DT3,'LP Reactivos'!DY3,'LP Reactivos'!EB3)," ")</f>
        <v>222009.66666666666</v>
      </c>
      <c r="F3" s="345">
        <f>IFERROR(MEDIAN('LP Reactivos'!F3,'LP Reactivos'!I3,'LP Reactivos'!N3,'LP Reactivos'!S3,'LP Reactivos'!X3,'LP Reactivos'!AC3,'LP Reactivos'!AH3,'LP Reactivos'!AM3,'LP Reactivos'!AR3,'LP Reactivos'!AW3,'LP Reactivos'!BB3,'LP Reactivos'!BG3,'LP Reactivos'!BL3,'LP Reactivos'!BQ3,'LP Reactivos'!BV3,'LP Reactivos'!CA3,'LP Reactivos'!CF3,'LP Reactivos'!CK3,'LP Reactivos'!CP3,'LP Reactivos'!CU3,'LP Reactivos'!CZ3,'LP Reactivos'!DE3,'LP Reactivos'!DJ3,'LP Reactivos'!DO3,'LP Reactivos'!DT3,'LP Reactivos'!DY3,'LP Reactivos'!EB3)," ")</f>
        <v>180509</v>
      </c>
      <c r="G3" s="345">
        <f>IFERROR(GEOMEAN('LP Reactivos'!F3,'LP Reactivos'!I3,'LP Reactivos'!N3,'LP Reactivos'!S3,'LP Reactivos'!X3,'LP Reactivos'!AC3,'LP Reactivos'!AH3,'LP Reactivos'!AM3,'LP Reactivos'!AR3,'LP Reactivos'!AW3,'LP Reactivos'!BB3,'LP Reactivos'!BG3,'LP Reactivos'!BL3,'LP Reactivos'!BQ3,'LP Reactivos'!BV3,'LP Reactivos'!CA3,'LP Reactivos'!CF3,'LP Reactivos'!CK3,'LP Reactivos'!CP3,'LP Reactivos'!CU3,'LP Reactivos'!CZ3,'LP Reactivos'!DE3,'LP Reactivos'!DJ3,'LP Reactivos'!DO3,'LP Reactivos'!DT3,'LP Reactivos'!DY3,'LP Reactivos'!EB3)," ")</f>
        <v>213396.06198061819</v>
      </c>
      <c r="H3" s="345">
        <f t="shared" ref="H3:H59" si="0">STDEVA(D3,E3,F3,G3)</f>
        <v>24654.583425239634</v>
      </c>
      <c r="I3" s="346">
        <f t="shared" ref="I3:I59" si="1">IFERROR(H3/E3," ")</f>
        <v>0.11105184650476016</v>
      </c>
      <c r="J3" s="345">
        <f t="shared" ref="J3:J59" si="2">IF(I3&lt;=10%,F3,IF(AND(I3&gt;10%,I3&lt;=20%),E3,IF(AND(I3&gt;20%,I3&lt;=30%),G3,IF(I3&gt;30%,D3))))</f>
        <v>222009.66666666666</v>
      </c>
      <c r="K3" s="344" t="str">
        <f t="shared" ref="K3:K59" si="3">IF(J3=D3,"Menor Valor",IF(J3=E3,"Promedio",IF(J3=F3,"Mediana",IF(J3=G3,"Media Geométrica"," "))))</f>
        <v>Promedio</v>
      </c>
      <c r="L3" s="326">
        <f>IFERROR(COUNTA('LP Reactivos'!F3,'LP Reactivos'!I3,'LP Reactivos'!N3,'LP Reactivos'!S3,'LP Reactivos'!X3,'LP Reactivos'!AC3,'LP Reactivos'!AH3,'LP Reactivos'!AM3,'LP Reactivos'!AR3,'LP Reactivos'!AW3,'LP Reactivos'!BB3,'LP Reactivos'!BG3,'LP Reactivos'!BL3,'LP Reactivos'!BQ3,'LP Reactivos'!BV3,'LP Reactivos'!CA3,'LP Reactivos'!CF3,'LP Reactivos'!CK3,'LP Reactivos'!CP3,'LP Reactivos'!CU3,'LP Reactivos'!CZ3,'LP Reactivos'!DE3,'LP Reactivos'!DJ3,'LP Reactivos'!DO3,'LP Reactivos'!DT3,'LP Reactivos'!DY3,'LP Reactivos'!EB3)," ")</f>
        <v>3</v>
      </c>
    </row>
    <row r="4" spans="2:12" ht="40.5" x14ac:dyDescent="0.25">
      <c r="B4" s="425">
        <v>2</v>
      </c>
      <c r="C4" s="426" t="s">
        <v>608</v>
      </c>
      <c r="D4" s="429">
        <f>IFERROR(MIN('LP Reactivos'!F4,'LP Reactivos'!I4,'LP Reactivos'!N4,'LP Reactivos'!S4,'LP Reactivos'!X4,'LP Reactivos'!AC4,'LP Reactivos'!AH4,'LP Reactivos'!AM4,'LP Reactivos'!AR4,'LP Reactivos'!AW4,'LP Reactivos'!BB4,'LP Reactivos'!BG4,'LP Reactivos'!BL4,'LP Reactivos'!BQ4,'LP Reactivos'!BV4,'LP Reactivos'!CA4,'LP Reactivos'!CF4,'LP Reactivos'!CK4,'LP Reactivos'!CP4,'LP Reactivos'!CU4,'LP Reactivos'!CZ4,'LP Reactivos'!DE4,'LP Reactivos'!DJ4,'LP Reactivos'!DO4,'LP Reactivos'!DT4,'LP Reactivos'!DY4,'LP Reactivos'!EB4)," ")</f>
        <v>298085.84889999998</v>
      </c>
      <c r="E4" s="429">
        <f>IFERROR(AVERAGE('LP Reactivos'!F4,'LP Reactivos'!I4,'LP Reactivos'!N4,'LP Reactivos'!S4,'LP Reactivos'!X4,'LP Reactivos'!AC4,'LP Reactivos'!AH4,'LP Reactivos'!AM4,'LP Reactivos'!AR4,'LP Reactivos'!AW4,'LP Reactivos'!BB4,'LP Reactivos'!BG4,'LP Reactivos'!BL4,'LP Reactivos'!BQ4,'LP Reactivos'!BV4,'LP Reactivos'!CA4,'LP Reactivos'!CF4,'LP Reactivos'!CK4,'LP Reactivos'!CP4,'LP Reactivos'!CU4,'LP Reactivos'!CZ4,'LP Reactivos'!DE4,'LP Reactivos'!DJ4,'LP Reactivos'!DO4,'LP Reactivos'!DT4,'LP Reactivos'!DY4,'LP Reactivos'!EB4)," ")</f>
        <v>558700.42445000005</v>
      </c>
      <c r="F4" s="345">
        <f>IFERROR(MEDIAN('LP Reactivos'!F4,'LP Reactivos'!I4,'LP Reactivos'!N4,'LP Reactivos'!S4,'LP Reactivos'!X4,'LP Reactivos'!AC4,'LP Reactivos'!AH4,'LP Reactivos'!AM4,'LP Reactivos'!AR4,'LP Reactivos'!AW4,'LP Reactivos'!BB4,'LP Reactivos'!BG4,'LP Reactivos'!BL4,'LP Reactivos'!BQ4,'LP Reactivos'!BV4,'LP Reactivos'!CA4,'LP Reactivos'!CF4,'LP Reactivos'!CK4,'LP Reactivos'!CP4,'LP Reactivos'!CU4,'LP Reactivos'!CZ4,'LP Reactivos'!DE4,'LP Reactivos'!DJ4,'LP Reactivos'!DO4,'LP Reactivos'!DT4,'LP Reactivos'!DY4,'LP Reactivos'!EB4)," ")</f>
        <v>558700.42445000005</v>
      </c>
      <c r="G4" s="345">
        <f>IFERROR(GEOMEAN('LP Reactivos'!F4,'LP Reactivos'!I4,'LP Reactivos'!N4,'LP Reactivos'!S4,'LP Reactivos'!X4,'LP Reactivos'!AC4,'LP Reactivos'!AH4,'LP Reactivos'!AM4,'LP Reactivos'!AR4,'LP Reactivos'!AW4,'LP Reactivos'!BB4,'LP Reactivos'!BG4,'LP Reactivos'!BL4,'LP Reactivos'!BQ4,'LP Reactivos'!BV4,'LP Reactivos'!CA4,'LP Reactivos'!CF4,'LP Reactivos'!CK4,'LP Reactivos'!CP4,'LP Reactivos'!CU4,'LP Reactivos'!CZ4,'LP Reactivos'!DE4,'LP Reactivos'!DJ4,'LP Reactivos'!DO4,'LP Reactivos'!DT4,'LP Reactivos'!DY4,'LP Reactivos'!EB4)," ")</f>
        <v>494192.48000298778</v>
      </c>
      <c r="H4" s="345">
        <f t="shared" si="0"/>
        <v>123362.70186403384</v>
      </c>
      <c r="I4" s="346">
        <f t="shared" si="1"/>
        <v>0.22080294996280958</v>
      </c>
      <c r="J4" s="345">
        <f t="shared" si="2"/>
        <v>494192.48000298778</v>
      </c>
      <c r="K4" s="344" t="str">
        <f t="shared" si="3"/>
        <v>Media Geométrica</v>
      </c>
      <c r="L4" s="326">
        <f>IFERROR(COUNTA('LP Reactivos'!F4,'LP Reactivos'!I4,'LP Reactivos'!N4,'LP Reactivos'!S4,'LP Reactivos'!X4,'LP Reactivos'!AC4,'LP Reactivos'!AH4,'LP Reactivos'!AM4,'LP Reactivos'!AR4,'LP Reactivos'!AW4,'LP Reactivos'!BB4,'LP Reactivos'!BG4,'LP Reactivos'!BL4,'LP Reactivos'!BQ4,'LP Reactivos'!BV4,'LP Reactivos'!CA4,'LP Reactivos'!CF4,'LP Reactivos'!CK4,'LP Reactivos'!CP4,'LP Reactivos'!CU4,'LP Reactivos'!CZ4,'LP Reactivos'!DE4,'LP Reactivos'!DJ4,'LP Reactivos'!DO4,'LP Reactivos'!DT4,'LP Reactivos'!DY4,'LP Reactivos'!EB4)," ")</f>
        <v>2</v>
      </c>
    </row>
    <row r="5" spans="2:12" x14ac:dyDescent="0.25">
      <c r="B5" s="425">
        <v>3</v>
      </c>
      <c r="C5" s="427" t="s">
        <v>613</v>
      </c>
      <c r="D5" s="429">
        <f>IFERROR(MIN('LP Reactivos'!F5,'LP Reactivos'!I5,'LP Reactivos'!N5,'LP Reactivos'!S5,'LP Reactivos'!X5,'LP Reactivos'!AC5,'LP Reactivos'!AH5,'LP Reactivos'!AM5,'LP Reactivos'!AR5,'LP Reactivos'!AW5,'LP Reactivos'!BB5,'LP Reactivos'!BG5,'LP Reactivos'!BL5,'LP Reactivos'!BQ5,'LP Reactivos'!BV5,'LP Reactivos'!CA5,'LP Reactivos'!CF5,'LP Reactivos'!CK5,'LP Reactivos'!CP5,'LP Reactivos'!CU5,'LP Reactivos'!CZ5,'LP Reactivos'!DE5,'LP Reactivos'!DJ5,'LP Reactivos'!DO5,'LP Reactivos'!DT5,'LP Reactivos'!DY5,'LP Reactivos'!EB5)," ")</f>
        <v>124950</v>
      </c>
      <c r="E5" s="429">
        <f>IFERROR(AVERAGE('LP Reactivos'!F5,'LP Reactivos'!I5,'LP Reactivos'!N5,'LP Reactivos'!S5,'LP Reactivos'!X5,'LP Reactivos'!AC5,'LP Reactivos'!AH5,'LP Reactivos'!AM5,'LP Reactivos'!AR5,'LP Reactivos'!AW5,'LP Reactivos'!BB5,'LP Reactivos'!BG5,'LP Reactivos'!BL5,'LP Reactivos'!BQ5,'LP Reactivos'!BV5,'LP Reactivos'!CA5,'LP Reactivos'!CF5,'LP Reactivos'!CK5,'LP Reactivos'!CP5,'LP Reactivos'!CU5,'LP Reactivos'!CZ5,'LP Reactivos'!DE5,'LP Reactivos'!DJ5,'LP Reactivos'!DO5,'LP Reactivos'!DT5,'LP Reactivos'!DY5,'LP Reactivos'!EB5)," ")</f>
        <v>179393.35749999998</v>
      </c>
      <c r="F5" s="345">
        <f>IFERROR(MEDIAN('LP Reactivos'!F5,'LP Reactivos'!I5,'LP Reactivos'!N5,'LP Reactivos'!S5,'LP Reactivos'!X5,'LP Reactivos'!AC5,'LP Reactivos'!AH5,'LP Reactivos'!AM5,'LP Reactivos'!AR5,'LP Reactivos'!AW5,'LP Reactivos'!BB5,'LP Reactivos'!BG5,'LP Reactivos'!BL5,'LP Reactivos'!BQ5,'LP Reactivos'!BV5,'LP Reactivos'!CA5,'LP Reactivos'!CF5,'LP Reactivos'!CK5,'LP Reactivos'!CP5,'LP Reactivos'!CU5,'LP Reactivos'!CZ5,'LP Reactivos'!DE5,'LP Reactivos'!DJ5,'LP Reactivos'!DO5,'LP Reactivos'!DT5,'LP Reactivos'!DY5,'LP Reactivos'!EB5)," ")</f>
        <v>180050.5</v>
      </c>
      <c r="G5" s="345">
        <f>IFERROR(GEOMEAN('LP Reactivos'!F5,'LP Reactivos'!I5,'LP Reactivos'!N5,'LP Reactivos'!S5,'LP Reactivos'!X5,'LP Reactivos'!AC5,'LP Reactivos'!AH5,'LP Reactivos'!AM5,'LP Reactivos'!AR5,'LP Reactivos'!AW5,'LP Reactivos'!BB5,'LP Reactivos'!BG5,'LP Reactivos'!BL5,'LP Reactivos'!BQ5,'LP Reactivos'!BV5,'LP Reactivos'!CA5,'LP Reactivos'!CF5,'LP Reactivos'!CK5,'LP Reactivos'!CP5,'LP Reactivos'!CU5,'LP Reactivos'!CZ5,'LP Reactivos'!DE5,'LP Reactivos'!DJ5,'LP Reactivos'!DO5,'LP Reactivos'!DT5,'LP Reactivos'!DY5,'LP Reactivos'!EB5)," ")</f>
        <v>171926.8168154188</v>
      </c>
      <c r="H5" s="345">
        <f t="shared" si="0"/>
        <v>26345.68416391233</v>
      </c>
      <c r="I5" s="346">
        <f t="shared" si="1"/>
        <v>0.14685986444014423</v>
      </c>
      <c r="J5" s="345">
        <f t="shared" si="2"/>
        <v>179393.35749999998</v>
      </c>
      <c r="K5" s="344" t="str">
        <f t="shared" si="3"/>
        <v>Promedio</v>
      </c>
      <c r="L5" s="326">
        <f>IFERROR(COUNTA('LP Reactivos'!F5,'LP Reactivos'!I5,'LP Reactivos'!N5,'LP Reactivos'!S5,'LP Reactivos'!X5,'LP Reactivos'!AC5,'LP Reactivos'!AH5,'LP Reactivos'!AM5,'LP Reactivos'!AR5,'LP Reactivos'!AW5,'LP Reactivos'!BB5,'LP Reactivos'!BG5,'LP Reactivos'!BL5,'LP Reactivos'!BQ5,'LP Reactivos'!BV5,'LP Reactivos'!CA5,'LP Reactivos'!CF5,'LP Reactivos'!CK5,'LP Reactivos'!CP5,'LP Reactivos'!CU5,'LP Reactivos'!CZ5,'LP Reactivos'!DE5,'LP Reactivos'!DJ5,'LP Reactivos'!DO5,'LP Reactivos'!DT5,'LP Reactivos'!DY5,'LP Reactivos'!EB5)," ")</f>
        <v>4</v>
      </c>
    </row>
    <row r="6" spans="2:12" x14ac:dyDescent="0.25">
      <c r="B6" s="425">
        <v>4</v>
      </c>
      <c r="C6" s="428" t="s">
        <v>617</v>
      </c>
      <c r="D6" s="429">
        <f>IFERROR(MIN('LP Reactivos'!F6,'LP Reactivos'!I6,'LP Reactivos'!N6,'LP Reactivos'!S6,'LP Reactivos'!X6,'LP Reactivos'!AC6,'LP Reactivos'!AH6,'LP Reactivos'!AM6,'LP Reactivos'!AR6,'LP Reactivos'!AW6,'LP Reactivos'!BB6,'LP Reactivos'!BG6,'LP Reactivos'!BL6,'LP Reactivos'!BQ6,'LP Reactivos'!BV6,'LP Reactivos'!CA6,'LP Reactivos'!CF6,'LP Reactivos'!CK6,'LP Reactivos'!CP6,'LP Reactivos'!CU6,'LP Reactivos'!CZ6,'LP Reactivos'!DE6,'LP Reactivos'!DJ6,'LP Reactivos'!DO6,'LP Reactivos'!DT6,'LP Reactivos'!DY6,'LP Reactivos'!EB6)," ")</f>
        <v>984925</v>
      </c>
      <c r="E6" s="429">
        <f>IFERROR(AVERAGE('LP Reactivos'!F6,'LP Reactivos'!I6,'LP Reactivos'!N6,'LP Reactivos'!S6,'LP Reactivos'!X6,'LP Reactivos'!AC6,'LP Reactivos'!AH6,'LP Reactivos'!AM6,'LP Reactivos'!AR6,'LP Reactivos'!AW6,'LP Reactivos'!BB6,'LP Reactivos'!BG6,'LP Reactivos'!BL6,'LP Reactivos'!BQ6,'LP Reactivos'!BV6,'LP Reactivos'!CA6,'LP Reactivos'!CF6,'LP Reactivos'!CK6,'LP Reactivos'!CP6,'LP Reactivos'!CU6,'LP Reactivos'!CZ6,'LP Reactivos'!DE6,'LP Reactivos'!DJ6,'LP Reactivos'!DO6,'LP Reactivos'!DT6,'LP Reactivos'!DY6,'LP Reactivos'!EB6)," ")</f>
        <v>984925</v>
      </c>
      <c r="F6" s="345">
        <f>IFERROR(MEDIAN('LP Reactivos'!F6,'LP Reactivos'!I6,'LP Reactivos'!N6,'LP Reactivos'!S6,'LP Reactivos'!X6,'LP Reactivos'!AC6,'LP Reactivos'!AH6,'LP Reactivos'!AM6,'LP Reactivos'!AR6,'LP Reactivos'!AW6,'LP Reactivos'!BB6,'LP Reactivos'!BG6,'LP Reactivos'!BL6,'LP Reactivos'!BQ6,'LP Reactivos'!BV6,'LP Reactivos'!CA6,'LP Reactivos'!CF6,'LP Reactivos'!CK6,'LP Reactivos'!CP6,'LP Reactivos'!CU6,'LP Reactivos'!CZ6,'LP Reactivos'!DE6,'LP Reactivos'!DJ6,'LP Reactivos'!DO6,'LP Reactivos'!DT6,'LP Reactivos'!DY6,'LP Reactivos'!EB6)," ")</f>
        <v>984925</v>
      </c>
      <c r="G6" s="345">
        <f>IFERROR(GEOMEAN('LP Reactivos'!F6,'LP Reactivos'!I6,'LP Reactivos'!N6,'LP Reactivos'!S6,'LP Reactivos'!X6,'LP Reactivos'!AC6,'LP Reactivos'!AH6,'LP Reactivos'!AM6,'LP Reactivos'!AR6,'LP Reactivos'!AW6,'LP Reactivos'!BB6,'LP Reactivos'!BG6,'LP Reactivos'!BL6,'LP Reactivos'!BQ6,'LP Reactivos'!BV6,'LP Reactivos'!CA6,'LP Reactivos'!CF6,'LP Reactivos'!CK6,'LP Reactivos'!CP6,'LP Reactivos'!CU6,'LP Reactivos'!CZ6,'LP Reactivos'!DE6,'LP Reactivos'!DJ6,'LP Reactivos'!DO6,'LP Reactivos'!DT6,'LP Reactivos'!DY6,'LP Reactivos'!EB6)," ")</f>
        <v>984925</v>
      </c>
      <c r="H6" s="345">
        <f t="shared" si="0"/>
        <v>0</v>
      </c>
      <c r="I6" s="346">
        <f t="shared" si="1"/>
        <v>0</v>
      </c>
      <c r="J6" s="345">
        <f t="shared" si="2"/>
        <v>984925</v>
      </c>
      <c r="K6" s="344" t="str">
        <f t="shared" si="3"/>
        <v>Menor Valor</v>
      </c>
      <c r="L6" s="326">
        <f>IFERROR(COUNTA('LP Reactivos'!F6,'LP Reactivos'!I6,'LP Reactivos'!N6,'LP Reactivos'!S6,'LP Reactivos'!X6,'LP Reactivos'!AC6,'LP Reactivos'!AH6,'LP Reactivos'!AM6,'LP Reactivos'!AR6,'LP Reactivos'!AW6,'LP Reactivos'!BB6,'LP Reactivos'!BG6,'LP Reactivos'!BL6,'LP Reactivos'!BQ6,'LP Reactivos'!BV6,'LP Reactivos'!CA6,'LP Reactivos'!CF6,'LP Reactivos'!CK6,'LP Reactivos'!CP6,'LP Reactivos'!CU6,'LP Reactivos'!CZ6,'LP Reactivos'!DE6,'LP Reactivos'!DJ6,'LP Reactivos'!DO6,'LP Reactivos'!DT6,'LP Reactivos'!DY6,'LP Reactivos'!EB6)," ")</f>
        <v>1</v>
      </c>
    </row>
    <row r="7" spans="2:12" x14ac:dyDescent="0.25">
      <c r="B7" s="425">
        <v>5</v>
      </c>
      <c r="C7" s="427" t="s">
        <v>621</v>
      </c>
      <c r="D7" s="429">
        <f>IFERROR(MIN('LP Reactivos'!F7,'LP Reactivos'!I7,'LP Reactivos'!N7,'LP Reactivos'!S7,'LP Reactivos'!X7,'LP Reactivos'!AC7,'LP Reactivos'!AH7,'LP Reactivos'!AM7,'LP Reactivos'!AR7,'LP Reactivos'!AW7,'LP Reactivos'!BB7,'LP Reactivos'!BG7,'LP Reactivos'!BL7,'LP Reactivos'!BQ7,'LP Reactivos'!BV7,'LP Reactivos'!CA7,'LP Reactivos'!CF7,'LP Reactivos'!CK7,'LP Reactivos'!CP7,'LP Reactivos'!CU7,'LP Reactivos'!CZ7,'LP Reactivos'!DE7,'LP Reactivos'!DJ7,'LP Reactivos'!DO7,'LP Reactivos'!DT7,'LP Reactivos'!DY7,'LP Reactivos'!EB7)," ")</f>
        <v>330558.91399999999</v>
      </c>
      <c r="E7" s="429">
        <f>IFERROR(AVERAGE('LP Reactivos'!F7,'LP Reactivos'!I7,'LP Reactivos'!N7,'LP Reactivos'!S7,'LP Reactivos'!X7,'LP Reactivos'!AC7,'LP Reactivos'!AH7,'LP Reactivos'!AM7,'LP Reactivos'!AR7,'LP Reactivos'!AW7,'LP Reactivos'!BB7,'LP Reactivos'!BG7,'LP Reactivos'!BL7,'LP Reactivos'!BQ7,'LP Reactivos'!BV7,'LP Reactivos'!CA7,'LP Reactivos'!CF7,'LP Reactivos'!CK7,'LP Reactivos'!CP7,'LP Reactivos'!CU7,'LP Reactivos'!CZ7,'LP Reactivos'!DE7,'LP Reactivos'!DJ7,'LP Reactivos'!DO7,'LP Reactivos'!DT7,'LP Reactivos'!DY7,'LP Reactivos'!EB7)," ")</f>
        <v>572952.47849999997</v>
      </c>
      <c r="F7" s="345">
        <f>IFERROR(MEDIAN('LP Reactivos'!F7,'LP Reactivos'!I7,'LP Reactivos'!N7,'LP Reactivos'!S7,'LP Reactivos'!X7,'LP Reactivos'!AC7,'LP Reactivos'!AH7,'LP Reactivos'!AM7,'LP Reactivos'!AR7,'LP Reactivos'!AW7,'LP Reactivos'!BB7,'LP Reactivos'!BG7,'LP Reactivos'!BL7,'LP Reactivos'!BQ7,'LP Reactivos'!BV7,'LP Reactivos'!CA7,'LP Reactivos'!CF7,'LP Reactivos'!CK7,'LP Reactivos'!CP7,'LP Reactivos'!CU7,'LP Reactivos'!CZ7,'LP Reactivos'!DE7,'LP Reactivos'!DJ7,'LP Reactivos'!DO7,'LP Reactivos'!DT7,'LP Reactivos'!DY7,'LP Reactivos'!EB7)," ")</f>
        <v>368900</v>
      </c>
      <c r="G7" s="345">
        <f>IFERROR(GEOMEAN('LP Reactivos'!F7,'LP Reactivos'!I7,'LP Reactivos'!N7,'LP Reactivos'!S7,'LP Reactivos'!X7,'LP Reactivos'!AC7,'LP Reactivos'!AH7,'LP Reactivos'!AM7,'LP Reactivos'!AR7,'LP Reactivos'!AW7,'LP Reactivos'!BB7,'LP Reactivos'!BG7,'LP Reactivos'!BL7,'LP Reactivos'!BQ7,'LP Reactivos'!BV7,'LP Reactivos'!CA7,'LP Reactivos'!CF7,'LP Reactivos'!CK7,'LP Reactivos'!CP7,'LP Reactivos'!CU7,'LP Reactivos'!CZ7,'LP Reactivos'!DE7,'LP Reactivos'!DJ7,'LP Reactivos'!DO7,'LP Reactivos'!DT7,'LP Reactivos'!DY7,'LP Reactivos'!EB7)," ")</f>
        <v>483500.30054742726</v>
      </c>
      <c r="H7" s="345">
        <f t="shared" si="0"/>
        <v>110449.1141181226</v>
      </c>
      <c r="I7" s="346">
        <f t="shared" si="1"/>
        <v>0.19277185850959297</v>
      </c>
      <c r="J7" s="345">
        <f t="shared" si="2"/>
        <v>572952.47849999997</v>
      </c>
      <c r="K7" s="344" t="str">
        <f t="shared" si="3"/>
        <v>Promedio</v>
      </c>
      <c r="L7" s="326">
        <f>IFERROR(COUNTA('LP Reactivos'!F7,'LP Reactivos'!I7,'LP Reactivos'!N7,'LP Reactivos'!S7,'LP Reactivos'!X7,'LP Reactivos'!AC7,'LP Reactivos'!AH7,'LP Reactivos'!AM7,'LP Reactivos'!AR7,'LP Reactivos'!AW7,'LP Reactivos'!BB7,'LP Reactivos'!BG7,'LP Reactivos'!BL7,'LP Reactivos'!BQ7,'LP Reactivos'!BV7,'LP Reactivos'!CA7,'LP Reactivos'!CF7,'LP Reactivos'!CK7,'LP Reactivos'!CP7,'LP Reactivos'!CU7,'LP Reactivos'!CZ7,'LP Reactivos'!DE7,'LP Reactivos'!DJ7,'LP Reactivos'!DO7,'LP Reactivos'!DT7,'LP Reactivos'!DY7,'LP Reactivos'!EB7)," ")</f>
        <v>4</v>
      </c>
    </row>
    <row r="8" spans="2:12" x14ac:dyDescent="0.25">
      <c r="B8" s="425">
        <v>6</v>
      </c>
      <c r="C8" s="427" t="s">
        <v>626</v>
      </c>
      <c r="D8" s="429">
        <f>IFERROR(MIN('LP Reactivos'!F8,'LP Reactivos'!I8,'LP Reactivos'!N8,'LP Reactivos'!S8,'LP Reactivos'!X8,'LP Reactivos'!AC8,'LP Reactivos'!AH8,'LP Reactivos'!AM8,'LP Reactivos'!AR8,'LP Reactivos'!AW8,'LP Reactivos'!BB8,'LP Reactivos'!BG8,'LP Reactivos'!BL8,'LP Reactivos'!BQ8,'LP Reactivos'!BV8,'LP Reactivos'!CA8,'LP Reactivos'!CF8,'LP Reactivos'!CK8,'LP Reactivos'!CP8,'LP Reactivos'!CU8,'LP Reactivos'!CZ8,'LP Reactivos'!DE8,'LP Reactivos'!DJ8,'LP Reactivos'!DO8,'LP Reactivos'!DT8,'LP Reactivos'!DY8,'LP Reactivos'!EB8)," ")</f>
        <v>71400</v>
      </c>
      <c r="E8" s="429">
        <f>IFERROR(AVERAGE('LP Reactivos'!F8,'LP Reactivos'!I8,'LP Reactivos'!N8,'LP Reactivos'!S8,'LP Reactivos'!X8,'LP Reactivos'!AC8,'LP Reactivos'!AH8,'LP Reactivos'!AM8,'LP Reactivos'!AR8,'LP Reactivos'!AW8,'LP Reactivos'!BB8,'LP Reactivos'!BG8,'LP Reactivos'!BL8,'LP Reactivos'!BQ8,'LP Reactivos'!BV8,'LP Reactivos'!CA8,'LP Reactivos'!CF8,'LP Reactivos'!CK8,'LP Reactivos'!CP8,'LP Reactivos'!CU8,'LP Reactivos'!CZ8,'LP Reactivos'!DE8,'LP Reactivos'!DJ8,'LP Reactivos'!DO8,'LP Reactivos'!DT8,'LP Reactivos'!DY8,'LP Reactivos'!EB8)," ")</f>
        <v>149123.20766666668</v>
      </c>
      <c r="F8" s="345">
        <f>IFERROR(MEDIAN('LP Reactivos'!F8,'LP Reactivos'!I8,'LP Reactivos'!N8,'LP Reactivos'!S8,'LP Reactivos'!X8,'LP Reactivos'!AC8,'LP Reactivos'!AH8,'LP Reactivos'!AM8,'LP Reactivos'!AR8,'LP Reactivos'!AW8,'LP Reactivos'!BB8,'LP Reactivos'!BG8,'LP Reactivos'!BL8,'LP Reactivos'!BQ8,'LP Reactivos'!BV8,'LP Reactivos'!CA8,'LP Reactivos'!CF8,'LP Reactivos'!CK8,'LP Reactivos'!CP8,'LP Reactivos'!CU8,'LP Reactivos'!CZ8,'LP Reactivos'!DE8,'LP Reactivos'!DJ8,'LP Reactivos'!DO8,'LP Reactivos'!DT8,'LP Reactivos'!DY8,'LP Reactivos'!EB8)," ")</f>
        <v>145305.973</v>
      </c>
      <c r="G8" s="345">
        <f>IFERROR(GEOMEAN('LP Reactivos'!F8,'LP Reactivos'!I8,'LP Reactivos'!N8,'LP Reactivos'!S8,'LP Reactivos'!X8,'LP Reactivos'!AC8,'LP Reactivos'!AH8,'LP Reactivos'!AM8,'LP Reactivos'!AR8,'LP Reactivos'!AW8,'LP Reactivos'!BB8,'LP Reactivos'!BG8,'LP Reactivos'!BL8,'LP Reactivos'!BQ8,'LP Reactivos'!BV8,'LP Reactivos'!CA8,'LP Reactivos'!CF8,'LP Reactivos'!CK8,'LP Reactivos'!CP8,'LP Reactivos'!CU8,'LP Reactivos'!CZ8,'LP Reactivos'!DE8,'LP Reactivos'!DJ8,'LP Reactivos'!DO8,'LP Reactivos'!DT8,'LP Reactivos'!DY8,'LP Reactivos'!EB8)," ")</f>
        <v>140624.29818424187</v>
      </c>
      <c r="H8" s="345">
        <f t="shared" si="0"/>
        <v>36972.640939105964</v>
      </c>
      <c r="I8" s="346">
        <f t="shared" si="1"/>
        <v>0.24793351429074986</v>
      </c>
      <c r="J8" s="345">
        <f t="shared" si="2"/>
        <v>140624.29818424187</v>
      </c>
      <c r="K8" s="344" t="str">
        <f t="shared" si="3"/>
        <v>Media Geométrica</v>
      </c>
      <c r="L8" s="326">
        <f>IFERROR(COUNTA('LP Reactivos'!F8,'LP Reactivos'!I8,'LP Reactivos'!N8,'LP Reactivos'!S8,'LP Reactivos'!X8,'LP Reactivos'!AC8,'LP Reactivos'!AH8,'LP Reactivos'!AM8,'LP Reactivos'!AR8,'LP Reactivos'!AW8,'LP Reactivos'!BB8,'LP Reactivos'!BG8,'LP Reactivos'!BL8,'LP Reactivos'!BQ8,'LP Reactivos'!BV8,'LP Reactivos'!CA8,'LP Reactivos'!CF8,'LP Reactivos'!CK8,'LP Reactivos'!CP8,'LP Reactivos'!CU8,'LP Reactivos'!CZ8,'LP Reactivos'!DE8,'LP Reactivos'!DJ8,'LP Reactivos'!DO8,'LP Reactivos'!DT8,'LP Reactivos'!DY8,'LP Reactivos'!EB8)," ")</f>
        <v>6</v>
      </c>
    </row>
    <row r="9" spans="2:12" x14ac:dyDescent="0.25">
      <c r="B9" s="425">
        <v>7</v>
      </c>
      <c r="C9" s="427" t="s">
        <v>631</v>
      </c>
      <c r="D9" s="429">
        <f>IFERROR(MIN('LP Reactivos'!F9,'LP Reactivos'!I9,'LP Reactivos'!N9,'LP Reactivos'!S9,'LP Reactivos'!X9,'LP Reactivos'!AC9,'LP Reactivos'!AH9,'LP Reactivos'!AM9,'LP Reactivos'!AR9,'LP Reactivos'!AW9,'LP Reactivos'!BB9,'LP Reactivos'!BG9,'LP Reactivos'!BL9,'LP Reactivos'!BQ9,'LP Reactivos'!BV9,'LP Reactivos'!CA9,'LP Reactivos'!CF9,'LP Reactivos'!CK9,'LP Reactivos'!CP9,'LP Reactivos'!CU9,'LP Reactivos'!CZ9,'LP Reactivos'!DE9,'LP Reactivos'!DJ9,'LP Reactivos'!DO9,'LP Reactivos'!DT9,'LP Reactivos'!DY9,'LP Reactivos'!EB9)," ")</f>
        <v>28908.194</v>
      </c>
      <c r="E9" s="429">
        <f>IFERROR(AVERAGE('LP Reactivos'!F9,'LP Reactivos'!I9,'LP Reactivos'!N9,'LP Reactivos'!S9,'LP Reactivos'!X9,'LP Reactivos'!AC9,'LP Reactivos'!AH9,'LP Reactivos'!AM9,'LP Reactivos'!AR9,'LP Reactivos'!AW9,'LP Reactivos'!BB9,'LP Reactivos'!BG9,'LP Reactivos'!BL9,'LP Reactivos'!BQ9,'LP Reactivos'!BV9,'LP Reactivos'!CA9,'LP Reactivos'!CF9,'LP Reactivos'!CK9,'LP Reactivos'!CP9,'LP Reactivos'!CU9,'LP Reactivos'!CZ9,'LP Reactivos'!DE9,'LP Reactivos'!DJ9,'LP Reactivos'!DO9,'LP Reactivos'!DT9,'LP Reactivos'!DY9,'LP Reactivos'!EB9)," ")</f>
        <v>72267.423500000004</v>
      </c>
      <c r="F9" s="345">
        <f>IFERROR(MEDIAN('LP Reactivos'!F9,'LP Reactivos'!I9,'LP Reactivos'!N9,'LP Reactivos'!S9,'LP Reactivos'!X9,'LP Reactivos'!AC9,'LP Reactivos'!AH9,'LP Reactivos'!AM9,'LP Reactivos'!AR9,'LP Reactivos'!AW9,'LP Reactivos'!BB9,'LP Reactivos'!BG9,'LP Reactivos'!BL9,'LP Reactivos'!BQ9,'LP Reactivos'!BV9,'LP Reactivos'!CA9,'LP Reactivos'!CF9,'LP Reactivos'!CK9,'LP Reactivos'!CP9,'LP Reactivos'!CU9,'LP Reactivos'!CZ9,'LP Reactivos'!DE9,'LP Reactivos'!DJ9,'LP Reactivos'!DO9,'LP Reactivos'!DT9,'LP Reactivos'!DY9,'LP Reactivos'!EB9)," ")</f>
        <v>61136.25</v>
      </c>
      <c r="G9" s="345">
        <f>IFERROR(GEOMEAN('LP Reactivos'!F9,'LP Reactivos'!I9,'LP Reactivos'!N9,'LP Reactivos'!S9,'LP Reactivos'!X9,'LP Reactivos'!AC9,'LP Reactivos'!AH9,'LP Reactivos'!AM9,'LP Reactivos'!AR9,'LP Reactivos'!AW9,'LP Reactivos'!BB9,'LP Reactivos'!BG9,'LP Reactivos'!BL9,'LP Reactivos'!BQ9,'LP Reactivos'!BV9,'LP Reactivos'!CA9,'LP Reactivos'!CF9,'LP Reactivos'!CK9,'LP Reactivos'!CP9,'LP Reactivos'!CU9,'LP Reactivos'!CZ9,'LP Reactivos'!DE9,'LP Reactivos'!DJ9,'LP Reactivos'!DO9,'LP Reactivos'!DT9,'LP Reactivos'!DY9,'LP Reactivos'!EB9)," ")</f>
        <v>61805.377472770211</v>
      </c>
      <c r="H9" s="345">
        <f t="shared" si="0"/>
        <v>18785.411491703915</v>
      </c>
      <c r="I9" s="346">
        <f t="shared" si="1"/>
        <v>0.25994300864626663</v>
      </c>
      <c r="J9" s="345">
        <f t="shared" si="2"/>
        <v>61805.377472770211</v>
      </c>
      <c r="K9" s="344" t="str">
        <f t="shared" si="3"/>
        <v>Media Geométrica</v>
      </c>
      <c r="L9" s="326">
        <f>IFERROR(COUNTA('LP Reactivos'!F9,'LP Reactivos'!I9,'LP Reactivos'!N9,'LP Reactivos'!S9,'LP Reactivos'!X9,'LP Reactivos'!AC9,'LP Reactivos'!AH9,'LP Reactivos'!AM9,'LP Reactivos'!AR9,'LP Reactivos'!AW9,'LP Reactivos'!BB9,'LP Reactivos'!BG9,'LP Reactivos'!BL9,'LP Reactivos'!BQ9,'LP Reactivos'!BV9,'LP Reactivos'!CA9,'LP Reactivos'!CF9,'LP Reactivos'!CK9,'LP Reactivos'!CP9,'LP Reactivos'!CU9,'LP Reactivos'!CZ9,'LP Reactivos'!DE9,'LP Reactivos'!DJ9,'LP Reactivos'!DO9,'LP Reactivos'!DT9,'LP Reactivos'!DY9,'LP Reactivos'!EB9)," ")</f>
        <v>4</v>
      </c>
    </row>
    <row r="10" spans="2:12" x14ac:dyDescent="0.25">
      <c r="B10" s="425">
        <v>8</v>
      </c>
      <c r="C10" s="428" t="s">
        <v>635</v>
      </c>
      <c r="D10" s="429">
        <f>IFERROR(MIN('LP Reactivos'!F10,'LP Reactivos'!I10,'LP Reactivos'!N10,'LP Reactivos'!S10,'LP Reactivos'!X10,'LP Reactivos'!AC10,'LP Reactivos'!AH10,'LP Reactivos'!AM10,'LP Reactivos'!AR10,'LP Reactivos'!AW10,'LP Reactivos'!BB10,'LP Reactivos'!BG10,'LP Reactivos'!BL10,'LP Reactivos'!BQ10,'LP Reactivos'!BV10,'LP Reactivos'!CA10,'LP Reactivos'!CF10,'LP Reactivos'!CK10,'LP Reactivos'!CP10,'LP Reactivos'!CU10,'LP Reactivos'!CZ10,'LP Reactivos'!DE10,'LP Reactivos'!DJ10,'LP Reactivos'!DO10,'LP Reactivos'!DT10,'LP Reactivos'!DY10,'LP Reactivos'!EB10)," ")</f>
        <v>2203953</v>
      </c>
      <c r="E10" s="429">
        <f>IFERROR(AVERAGE('LP Reactivos'!F10,'LP Reactivos'!I10,'LP Reactivos'!N10,'LP Reactivos'!S10,'LP Reactivos'!X10,'LP Reactivos'!AC10,'LP Reactivos'!AH10,'LP Reactivos'!AM10,'LP Reactivos'!AR10,'LP Reactivos'!AW10,'LP Reactivos'!BB10,'LP Reactivos'!BG10,'LP Reactivos'!BL10,'LP Reactivos'!BQ10,'LP Reactivos'!BV10,'LP Reactivos'!CA10,'LP Reactivos'!CF10,'LP Reactivos'!CK10,'LP Reactivos'!CP10,'LP Reactivos'!CU10,'LP Reactivos'!CZ10,'LP Reactivos'!DE10,'LP Reactivos'!DJ10,'LP Reactivos'!DO10,'LP Reactivos'!DT10,'LP Reactivos'!DY10,'LP Reactivos'!EB10)," ")</f>
        <v>5030154.333333333</v>
      </c>
      <c r="F10" s="345">
        <f>IFERROR(MEDIAN('LP Reactivos'!F10,'LP Reactivos'!I10,'LP Reactivos'!N10,'LP Reactivos'!S10,'LP Reactivos'!X10,'LP Reactivos'!AC10,'LP Reactivos'!AH10,'LP Reactivos'!AM10,'LP Reactivos'!AR10,'LP Reactivos'!AW10,'LP Reactivos'!BB10,'LP Reactivos'!BG10,'LP Reactivos'!BL10,'LP Reactivos'!BQ10,'LP Reactivos'!BV10,'LP Reactivos'!CA10,'LP Reactivos'!CF10,'LP Reactivos'!CK10,'LP Reactivos'!CP10,'LP Reactivos'!CU10,'LP Reactivos'!CZ10,'LP Reactivos'!DE10,'LP Reactivos'!DJ10,'LP Reactivos'!DO10,'LP Reactivos'!DT10,'LP Reactivos'!DY10,'LP Reactivos'!EB10)," ")</f>
        <v>4561270</v>
      </c>
      <c r="G10" s="345">
        <f>IFERROR(GEOMEAN('LP Reactivos'!F10,'LP Reactivos'!I10,'LP Reactivos'!N10,'LP Reactivos'!S10,'LP Reactivos'!X10,'LP Reactivos'!AC10,'LP Reactivos'!AH10,'LP Reactivos'!AM10,'LP Reactivos'!AR10,'LP Reactivos'!AW10,'LP Reactivos'!BB10,'LP Reactivos'!BG10,'LP Reactivos'!BL10,'LP Reactivos'!BQ10,'LP Reactivos'!BV10,'LP Reactivos'!CA10,'LP Reactivos'!CF10,'LP Reactivos'!CK10,'LP Reactivos'!CP10,'LP Reactivos'!CU10,'LP Reactivos'!CZ10,'LP Reactivos'!DE10,'LP Reactivos'!DJ10,'LP Reactivos'!DO10,'LP Reactivos'!DT10,'LP Reactivos'!DY10,'LP Reactivos'!EB10)," ")</f>
        <v>4374162.9450870538</v>
      </c>
      <c r="H10" s="345">
        <f t="shared" si="0"/>
        <v>1256295.9739606164</v>
      </c>
      <c r="I10" s="346">
        <f t="shared" si="1"/>
        <v>0.24975296794285565</v>
      </c>
      <c r="J10" s="345">
        <f t="shared" si="2"/>
        <v>4374162.9450870538</v>
      </c>
      <c r="K10" s="344" t="str">
        <f t="shared" si="3"/>
        <v>Media Geométrica</v>
      </c>
      <c r="L10" s="326">
        <f>IFERROR(COUNTA('LP Reactivos'!F10,'LP Reactivos'!I10,'LP Reactivos'!N10,'LP Reactivos'!S10,'LP Reactivos'!X10,'LP Reactivos'!AC10,'LP Reactivos'!AH10,'LP Reactivos'!AM10,'LP Reactivos'!AR10,'LP Reactivos'!AW10,'LP Reactivos'!BB10,'LP Reactivos'!BG10,'LP Reactivos'!BL10,'LP Reactivos'!BQ10,'LP Reactivos'!BV10,'LP Reactivos'!CA10,'LP Reactivos'!CF10,'LP Reactivos'!CK10,'LP Reactivos'!CP10,'LP Reactivos'!CU10,'LP Reactivos'!CZ10,'LP Reactivos'!DE10,'LP Reactivos'!DJ10,'LP Reactivos'!DO10,'LP Reactivos'!DT10,'LP Reactivos'!DY10,'LP Reactivos'!EB10)," ")</f>
        <v>3</v>
      </c>
    </row>
    <row r="11" spans="2:12" x14ac:dyDescent="0.25">
      <c r="B11" s="425">
        <v>9</v>
      </c>
      <c r="C11" s="427" t="s">
        <v>641</v>
      </c>
      <c r="D11" s="429">
        <f>IFERROR(MIN('LP Reactivos'!F11,'LP Reactivos'!I11,'LP Reactivos'!N11,'LP Reactivos'!S11,'LP Reactivos'!X11,'LP Reactivos'!AC11,'LP Reactivos'!AH11,'LP Reactivos'!AM11,'LP Reactivos'!AR11,'LP Reactivos'!AW11,'LP Reactivos'!BB11,'LP Reactivos'!BG11,'LP Reactivos'!BL11,'LP Reactivos'!BQ11,'LP Reactivos'!BV11,'LP Reactivos'!CA11,'LP Reactivos'!CF11,'LP Reactivos'!CK11,'LP Reactivos'!CP11,'LP Reactivos'!CU11,'LP Reactivos'!CZ11,'LP Reactivos'!DE11,'LP Reactivos'!DJ11,'LP Reactivos'!DO11,'LP Reactivos'!DT11,'LP Reactivos'!DY11,'LP Reactivos'!EB11)," ")</f>
        <v>357464.1</v>
      </c>
      <c r="E11" s="429">
        <f>IFERROR(AVERAGE('LP Reactivos'!F11,'LP Reactivos'!I11,'LP Reactivos'!N11,'LP Reactivos'!S11,'LP Reactivos'!X11,'LP Reactivos'!AC11,'LP Reactivos'!AH11,'LP Reactivos'!AM11,'LP Reactivos'!AR11,'LP Reactivos'!AW11,'LP Reactivos'!BB11,'LP Reactivos'!BG11,'LP Reactivos'!BL11,'LP Reactivos'!BQ11,'LP Reactivos'!BV11,'LP Reactivos'!CA11,'LP Reactivos'!CF11,'LP Reactivos'!CK11,'LP Reactivos'!CP11,'LP Reactivos'!CU11,'LP Reactivos'!CZ11,'LP Reactivos'!DE11,'LP Reactivos'!DJ11,'LP Reactivos'!DO11,'LP Reactivos'!DT11,'LP Reactivos'!DY11,'LP Reactivos'!EB11)," ")</f>
        <v>1464255.0150000001</v>
      </c>
      <c r="F11" s="345">
        <f>IFERROR(MEDIAN('LP Reactivos'!F11,'LP Reactivos'!I11,'LP Reactivos'!N11,'LP Reactivos'!S11,'LP Reactivos'!X11,'LP Reactivos'!AC11,'LP Reactivos'!AH11,'LP Reactivos'!AM11,'LP Reactivos'!AR11,'LP Reactivos'!AW11,'LP Reactivos'!BB11,'LP Reactivos'!BG11,'LP Reactivos'!BL11,'LP Reactivos'!BQ11,'LP Reactivos'!BV11,'LP Reactivos'!CA11,'LP Reactivos'!CF11,'LP Reactivos'!CK11,'LP Reactivos'!CP11,'LP Reactivos'!CU11,'LP Reactivos'!CZ11,'LP Reactivos'!DE11,'LP Reactivos'!DJ11,'LP Reactivos'!DO11,'LP Reactivos'!DT11,'LP Reactivos'!DY11,'LP Reactivos'!EB11)," ")</f>
        <v>1606019</v>
      </c>
      <c r="G11" s="345">
        <f>IFERROR(GEOMEAN('LP Reactivos'!F11,'LP Reactivos'!I11,'LP Reactivos'!N11,'LP Reactivos'!S11,'LP Reactivos'!X11,'LP Reactivos'!AC11,'LP Reactivos'!AH11,'LP Reactivos'!AM11,'LP Reactivos'!AR11,'LP Reactivos'!AW11,'LP Reactivos'!BB11,'LP Reactivos'!BG11,'LP Reactivos'!BL11,'LP Reactivos'!BQ11,'LP Reactivos'!BV11,'LP Reactivos'!CA11,'LP Reactivos'!CF11,'LP Reactivos'!CK11,'LP Reactivos'!CP11,'LP Reactivos'!CU11,'LP Reactivos'!CZ11,'LP Reactivos'!DE11,'LP Reactivos'!DJ11,'LP Reactivos'!DO11,'LP Reactivos'!DT11,'LP Reactivos'!DY11,'LP Reactivos'!EB11)," ")</f>
        <v>1170180.0717149351</v>
      </c>
      <c r="H11" s="345">
        <f t="shared" si="0"/>
        <v>558339.45690480038</v>
      </c>
      <c r="I11" s="346">
        <f t="shared" si="1"/>
        <v>0.38131298932570179</v>
      </c>
      <c r="J11" s="345">
        <f>IF(I11&lt;=10%,F11,IF(AND(I11&gt;10%,I11&lt;=20%),E11,IF(AND(I11&gt;20%,I11&lt;=39%),G11,IF(I11&gt;39%,D11))))</f>
        <v>1170180.0717149351</v>
      </c>
      <c r="K11" s="344" t="str">
        <f t="shared" si="3"/>
        <v>Media Geométrica</v>
      </c>
      <c r="L11" s="326">
        <f>IFERROR(COUNTA('LP Reactivos'!F11,'LP Reactivos'!I11,'LP Reactivos'!N11,'LP Reactivos'!S11,'LP Reactivos'!X11,'LP Reactivos'!AC11,'LP Reactivos'!AH11,'LP Reactivos'!AM11,'LP Reactivos'!AR11,'LP Reactivos'!AW11,'LP Reactivos'!BB11,'LP Reactivos'!BG11,'LP Reactivos'!BL11,'LP Reactivos'!BQ11,'LP Reactivos'!BV11,'LP Reactivos'!CA11,'LP Reactivos'!CF11,'LP Reactivos'!CK11,'LP Reactivos'!CP11,'LP Reactivos'!CU11,'LP Reactivos'!CZ11,'LP Reactivos'!DE11,'LP Reactivos'!DJ11,'LP Reactivos'!DO11,'LP Reactivos'!DT11,'LP Reactivos'!DY11,'LP Reactivos'!EB11)," ")</f>
        <v>4</v>
      </c>
    </row>
    <row r="12" spans="2:12" x14ac:dyDescent="0.25">
      <c r="B12" s="425">
        <v>10</v>
      </c>
      <c r="C12" s="427" t="s">
        <v>646</v>
      </c>
      <c r="D12" s="429">
        <f>IFERROR(MIN('LP Reactivos'!F12,'LP Reactivos'!I12,'LP Reactivos'!N12,'LP Reactivos'!S12,'LP Reactivos'!X12,'LP Reactivos'!AC12,'LP Reactivos'!AH12,'LP Reactivos'!AM12,'LP Reactivos'!AR12,'LP Reactivos'!AW12,'LP Reactivos'!BB12,'LP Reactivos'!BG12,'LP Reactivos'!BL12,'LP Reactivos'!BQ12,'LP Reactivos'!BV12,'LP Reactivos'!CA12,'LP Reactivos'!CF12,'LP Reactivos'!CK12,'LP Reactivos'!CP12,'LP Reactivos'!CU12,'LP Reactivos'!CZ12,'LP Reactivos'!DE12,'LP Reactivos'!DJ12,'LP Reactivos'!DO12,'LP Reactivos'!DT12,'LP Reactivos'!DY12,'LP Reactivos'!EB12)," ")</f>
        <v>145180</v>
      </c>
      <c r="E12" s="429">
        <f>IFERROR(AVERAGE('LP Reactivos'!F12,'LP Reactivos'!I12,'LP Reactivos'!N12,'LP Reactivos'!S12,'LP Reactivos'!X12,'LP Reactivos'!AC12,'LP Reactivos'!AH12,'LP Reactivos'!AM12,'LP Reactivos'!AR12,'LP Reactivos'!AW12,'LP Reactivos'!BB12,'LP Reactivos'!BG12,'LP Reactivos'!BL12,'LP Reactivos'!BQ12,'LP Reactivos'!BV12,'LP Reactivos'!CA12,'LP Reactivos'!CF12,'LP Reactivos'!CK12,'LP Reactivos'!CP12,'LP Reactivos'!CU12,'LP Reactivos'!CZ12,'LP Reactivos'!DE12,'LP Reactivos'!DJ12,'LP Reactivos'!DO12,'LP Reactivos'!DT12,'LP Reactivos'!DY12,'LP Reactivos'!EB12)," ")</f>
        <v>295153.68</v>
      </c>
      <c r="F12" s="345">
        <f>IFERROR(MEDIAN('LP Reactivos'!F12,'LP Reactivos'!I12,'LP Reactivos'!N12,'LP Reactivos'!S12,'LP Reactivos'!X12,'LP Reactivos'!AC12,'LP Reactivos'!AH12,'LP Reactivos'!AM12,'LP Reactivos'!AR12,'LP Reactivos'!AW12,'LP Reactivos'!BB12,'LP Reactivos'!BG12,'LP Reactivos'!BL12,'LP Reactivos'!BQ12,'LP Reactivos'!BV12,'LP Reactivos'!CA12,'LP Reactivos'!CF12,'LP Reactivos'!CK12,'LP Reactivos'!CP12,'LP Reactivos'!CU12,'LP Reactivos'!CZ12,'LP Reactivos'!DE12,'LP Reactivos'!DJ12,'LP Reactivos'!DO12,'LP Reactivos'!DT12,'LP Reactivos'!DY12,'LP Reactivos'!EB12)," ")</f>
        <v>252734</v>
      </c>
      <c r="G12" s="345">
        <f>IFERROR(GEOMEAN('LP Reactivos'!F12,'LP Reactivos'!I12,'LP Reactivos'!N12,'LP Reactivos'!S12,'LP Reactivos'!X12,'LP Reactivos'!AC12,'LP Reactivos'!AH12,'LP Reactivos'!AM12,'LP Reactivos'!AR12,'LP Reactivos'!AW12,'LP Reactivos'!BB12,'LP Reactivos'!BG12,'LP Reactivos'!BL12,'LP Reactivos'!BQ12,'LP Reactivos'!BV12,'LP Reactivos'!CA12,'LP Reactivos'!CF12,'LP Reactivos'!CK12,'LP Reactivos'!CP12,'LP Reactivos'!CU12,'LP Reactivos'!CZ12,'LP Reactivos'!DE12,'LP Reactivos'!DJ12,'LP Reactivos'!DO12,'LP Reactivos'!DT12,'LP Reactivos'!DY12,'LP Reactivos'!EB12)," ")</f>
        <v>264898.82432785106</v>
      </c>
      <c r="H12" s="345">
        <f t="shared" si="0"/>
        <v>65355.013197890767</v>
      </c>
      <c r="I12" s="346">
        <f t="shared" si="1"/>
        <v>0.22142706537791013</v>
      </c>
      <c r="J12" s="345">
        <f t="shared" si="2"/>
        <v>264898.82432785106</v>
      </c>
      <c r="K12" s="344" t="str">
        <f t="shared" si="3"/>
        <v>Media Geométrica</v>
      </c>
      <c r="L12" s="326">
        <f>IFERROR(COUNTA('LP Reactivos'!F12,'LP Reactivos'!I12,'LP Reactivos'!N12,'LP Reactivos'!S12,'LP Reactivos'!X12,'LP Reactivos'!AC12,'LP Reactivos'!AH12,'LP Reactivos'!AM12,'LP Reactivos'!AR12,'LP Reactivos'!AW12,'LP Reactivos'!BB12,'LP Reactivos'!BG12,'LP Reactivos'!BL12,'LP Reactivos'!BQ12,'LP Reactivos'!BV12,'LP Reactivos'!CA12,'LP Reactivos'!CF12,'LP Reactivos'!CK12,'LP Reactivos'!CP12,'LP Reactivos'!CU12,'LP Reactivos'!CZ12,'LP Reactivos'!DE12,'LP Reactivos'!DJ12,'LP Reactivos'!DO12,'LP Reactivos'!DT12,'LP Reactivos'!DY12,'LP Reactivos'!EB12)," ")</f>
        <v>5</v>
      </c>
    </row>
    <row r="13" spans="2:12" x14ac:dyDescent="0.25">
      <c r="B13" s="425">
        <v>11</v>
      </c>
      <c r="C13" s="427" t="s">
        <v>652</v>
      </c>
      <c r="D13" s="429">
        <f>IFERROR(MIN('LP Reactivos'!F13,'LP Reactivos'!I13,'LP Reactivos'!N13,'LP Reactivos'!S13,'LP Reactivos'!X13,'LP Reactivos'!AC13,'LP Reactivos'!AH13,'LP Reactivos'!AM13,'LP Reactivos'!AR13,'LP Reactivos'!AW13,'LP Reactivos'!BB13,'LP Reactivos'!BG13,'LP Reactivos'!BL13,'LP Reactivos'!BQ13,'LP Reactivos'!BV13,'LP Reactivos'!CA13,'LP Reactivos'!CF13,'LP Reactivos'!CK13,'LP Reactivos'!CP13,'LP Reactivos'!CU13,'LP Reactivos'!CZ13,'LP Reactivos'!DE13,'LP Reactivos'!DJ13,'LP Reactivos'!DO13,'LP Reactivos'!DT13,'LP Reactivos'!DY13,'LP Reactivos'!EB13)," ")</f>
        <v>126798</v>
      </c>
      <c r="E13" s="429">
        <f>IFERROR(AVERAGE('LP Reactivos'!F13,'LP Reactivos'!I13,'LP Reactivos'!N13,'LP Reactivos'!S13,'LP Reactivos'!X13,'LP Reactivos'!AC13,'LP Reactivos'!AH13,'LP Reactivos'!AM13,'LP Reactivos'!AR13,'LP Reactivos'!AW13,'LP Reactivos'!BB13,'LP Reactivos'!BG13,'LP Reactivos'!BL13,'LP Reactivos'!BQ13,'LP Reactivos'!BV13,'LP Reactivos'!CA13,'LP Reactivos'!CF13,'LP Reactivos'!CK13,'LP Reactivos'!CP13,'LP Reactivos'!CU13,'LP Reactivos'!CZ13,'LP Reactivos'!DE13,'LP Reactivos'!DJ13,'LP Reactivos'!DO13,'LP Reactivos'!DT13,'LP Reactivos'!DY13,'LP Reactivos'!EB13)," ")</f>
        <v>306571.35249999998</v>
      </c>
      <c r="F13" s="345">
        <f>IFERROR(MEDIAN('LP Reactivos'!F13,'LP Reactivos'!I13,'LP Reactivos'!N13,'LP Reactivos'!S13,'LP Reactivos'!X13,'LP Reactivos'!AC13,'LP Reactivos'!AH13,'LP Reactivos'!AM13,'LP Reactivos'!AR13,'LP Reactivos'!AW13,'LP Reactivos'!BB13,'LP Reactivos'!BG13,'LP Reactivos'!BL13,'LP Reactivos'!BQ13,'LP Reactivos'!BV13,'LP Reactivos'!CA13,'LP Reactivos'!CF13,'LP Reactivos'!CK13,'LP Reactivos'!CP13,'LP Reactivos'!CU13,'LP Reactivos'!CZ13,'LP Reactivos'!DE13,'LP Reactivos'!DJ13,'LP Reactivos'!DO13,'LP Reactivos'!DT13,'LP Reactivos'!DY13,'LP Reactivos'!EB13)," ")</f>
        <v>317098.70499999996</v>
      </c>
      <c r="G13" s="345">
        <f>IFERROR(GEOMEAN('LP Reactivos'!F13,'LP Reactivos'!I13,'LP Reactivos'!N13,'LP Reactivos'!S13,'LP Reactivos'!X13,'LP Reactivos'!AC13,'LP Reactivos'!AH13,'LP Reactivos'!AM13,'LP Reactivos'!AR13,'LP Reactivos'!AW13,'LP Reactivos'!BB13,'LP Reactivos'!BG13,'LP Reactivos'!BL13,'LP Reactivos'!BQ13,'LP Reactivos'!BV13,'LP Reactivos'!CA13,'LP Reactivos'!CF13,'LP Reactivos'!CK13,'LP Reactivos'!CP13,'LP Reactivos'!CU13,'LP Reactivos'!CZ13,'LP Reactivos'!DE13,'LP Reactivos'!DJ13,'LP Reactivos'!DO13,'LP Reactivos'!DT13,'LP Reactivos'!DY13,'LP Reactivos'!EB13)," ")</f>
        <v>277469.6945899296</v>
      </c>
      <c r="H13" s="345">
        <f t="shared" si="0"/>
        <v>88394.459787290427</v>
      </c>
      <c r="I13" s="346">
        <f t="shared" si="1"/>
        <v>0.28833241940729093</v>
      </c>
      <c r="J13" s="345">
        <f t="shared" si="2"/>
        <v>277469.6945899296</v>
      </c>
      <c r="K13" s="344" t="str">
        <f t="shared" si="3"/>
        <v>Media Geométrica</v>
      </c>
      <c r="L13" s="326">
        <f>IFERROR(COUNTA('LP Reactivos'!F13,'LP Reactivos'!I13,'LP Reactivos'!N13,'LP Reactivos'!S13,'LP Reactivos'!X13,'LP Reactivos'!AC13,'LP Reactivos'!AH13,'LP Reactivos'!AM13,'LP Reactivos'!AR13,'LP Reactivos'!AW13,'LP Reactivos'!BB13,'LP Reactivos'!BG13,'LP Reactivos'!BL13,'LP Reactivos'!BQ13,'LP Reactivos'!BV13,'LP Reactivos'!CA13,'LP Reactivos'!CF13,'LP Reactivos'!CK13,'LP Reactivos'!CP13,'LP Reactivos'!CU13,'LP Reactivos'!CZ13,'LP Reactivos'!DE13,'LP Reactivos'!DJ13,'LP Reactivos'!DO13,'LP Reactivos'!DT13,'LP Reactivos'!DY13,'LP Reactivos'!EB13)," ")</f>
        <v>4</v>
      </c>
    </row>
    <row r="14" spans="2:12" x14ac:dyDescent="0.25">
      <c r="B14" s="425">
        <v>12</v>
      </c>
      <c r="C14" s="427" t="s">
        <v>655</v>
      </c>
      <c r="D14" s="429">
        <f>IFERROR(MIN('LP Reactivos'!F14,'LP Reactivos'!I14,'LP Reactivos'!N14,'LP Reactivos'!S14,'LP Reactivos'!X14,'LP Reactivos'!AC14,'LP Reactivos'!AH14,'LP Reactivos'!AM14,'LP Reactivos'!AR14,'LP Reactivos'!AW14,'LP Reactivos'!BB14,'LP Reactivos'!BG14,'LP Reactivos'!BL14,'LP Reactivos'!BQ14,'LP Reactivos'!BV14,'LP Reactivos'!CA14,'LP Reactivos'!CF14,'LP Reactivos'!CK14,'LP Reactivos'!CP14,'LP Reactivos'!CU14,'LP Reactivos'!CZ14,'LP Reactivos'!DE14,'LP Reactivos'!DJ14,'LP Reactivos'!DO14,'LP Reactivos'!DT14,'LP Reactivos'!DY14,'LP Reactivos'!EB14)," ")</f>
        <v>642350.1</v>
      </c>
      <c r="E14" s="429">
        <f>IFERROR(AVERAGE('LP Reactivos'!F14,'LP Reactivos'!I14,'LP Reactivos'!N14,'LP Reactivos'!S14,'LP Reactivos'!X14,'LP Reactivos'!AC14,'LP Reactivos'!AH14,'LP Reactivos'!AM14,'LP Reactivos'!AR14,'LP Reactivos'!AW14,'LP Reactivos'!BB14,'LP Reactivos'!BG14,'LP Reactivos'!BL14,'LP Reactivos'!BQ14,'LP Reactivos'!BV14,'LP Reactivos'!CA14,'LP Reactivos'!CF14,'LP Reactivos'!CK14,'LP Reactivos'!CP14,'LP Reactivos'!CU14,'LP Reactivos'!CZ14,'LP Reactivos'!DE14,'LP Reactivos'!DJ14,'LP Reactivos'!DO14,'LP Reactivos'!DT14,'LP Reactivos'!DY14,'LP Reactivos'!EB14)," ")</f>
        <v>772979.13559999992</v>
      </c>
      <c r="F14" s="345">
        <f>IFERROR(MEDIAN('LP Reactivos'!F14,'LP Reactivos'!I14,'LP Reactivos'!N14,'LP Reactivos'!S14,'LP Reactivos'!X14,'LP Reactivos'!AC14,'LP Reactivos'!AH14,'LP Reactivos'!AM14,'LP Reactivos'!AR14,'LP Reactivos'!AW14,'LP Reactivos'!BB14,'LP Reactivos'!BG14,'LP Reactivos'!BL14,'LP Reactivos'!BQ14,'LP Reactivos'!BV14,'LP Reactivos'!CA14,'LP Reactivos'!CF14,'LP Reactivos'!CK14,'LP Reactivos'!CP14,'LP Reactivos'!CU14,'LP Reactivos'!CZ14,'LP Reactivos'!DE14,'LP Reactivos'!DJ14,'LP Reactivos'!DO14,'LP Reactivos'!DT14,'LP Reactivos'!DY14,'LP Reactivos'!EB14)," ")</f>
        <v>816858</v>
      </c>
      <c r="G14" s="345">
        <f>IFERROR(GEOMEAN('LP Reactivos'!F14,'LP Reactivos'!I14,'LP Reactivos'!N14,'LP Reactivos'!S14,'LP Reactivos'!X14,'LP Reactivos'!AC14,'LP Reactivos'!AH14,'LP Reactivos'!AM14,'LP Reactivos'!AR14,'LP Reactivos'!AW14,'LP Reactivos'!BB14,'LP Reactivos'!BG14,'LP Reactivos'!BL14,'LP Reactivos'!BQ14,'LP Reactivos'!BV14,'LP Reactivos'!CA14,'LP Reactivos'!CF14,'LP Reactivos'!CK14,'LP Reactivos'!CP14,'LP Reactivos'!CU14,'LP Reactivos'!CZ14,'LP Reactivos'!DE14,'LP Reactivos'!DJ14,'LP Reactivos'!DO14,'LP Reactivos'!DT14,'LP Reactivos'!DY14,'LP Reactivos'!EB14)," ")</f>
        <v>769635.63642545836</v>
      </c>
      <c r="H14" s="345">
        <f t="shared" si="0"/>
        <v>75213.609825972046</v>
      </c>
      <c r="I14" s="346">
        <f t="shared" si="1"/>
        <v>9.7303544639131725E-2</v>
      </c>
      <c r="J14" s="345">
        <f t="shared" si="2"/>
        <v>816858</v>
      </c>
      <c r="K14" s="344" t="str">
        <f t="shared" si="3"/>
        <v>Mediana</v>
      </c>
      <c r="L14" s="326">
        <f>IFERROR(COUNTA('LP Reactivos'!F14,'LP Reactivos'!I14,'LP Reactivos'!N14,'LP Reactivos'!S14,'LP Reactivos'!X14,'LP Reactivos'!AC14,'LP Reactivos'!AH14,'LP Reactivos'!AM14,'LP Reactivos'!AR14,'LP Reactivos'!AW14,'LP Reactivos'!BB14,'LP Reactivos'!BG14,'LP Reactivos'!BL14,'LP Reactivos'!BQ14,'LP Reactivos'!BV14,'LP Reactivos'!CA14,'LP Reactivos'!CF14,'LP Reactivos'!CK14,'LP Reactivos'!CP14,'LP Reactivos'!CU14,'LP Reactivos'!CZ14,'LP Reactivos'!DE14,'LP Reactivos'!DJ14,'LP Reactivos'!DO14,'LP Reactivos'!DT14,'LP Reactivos'!DY14,'LP Reactivos'!EB14)," ")</f>
        <v>5</v>
      </c>
    </row>
    <row r="15" spans="2:12" x14ac:dyDescent="0.25">
      <c r="B15" s="425">
        <v>13</v>
      </c>
      <c r="C15" s="427" t="s">
        <v>659</v>
      </c>
      <c r="D15" s="429">
        <f>IFERROR(MIN('LP Reactivos'!F15,'LP Reactivos'!I15,'LP Reactivos'!N15,'LP Reactivos'!S15,'LP Reactivos'!X15,'LP Reactivos'!AC15,'LP Reactivos'!AH15,'LP Reactivos'!AM15,'LP Reactivos'!AR15,'LP Reactivos'!AW15,'LP Reactivos'!BB15,'LP Reactivos'!BG15,'LP Reactivos'!BL15,'LP Reactivos'!BQ15,'LP Reactivos'!BV15,'LP Reactivos'!CA15,'LP Reactivos'!CF15,'LP Reactivos'!CK15,'LP Reactivos'!CP15,'LP Reactivos'!CU15,'LP Reactivos'!CZ15,'LP Reactivos'!DE15,'LP Reactivos'!DJ15,'LP Reactivos'!DO15,'LP Reactivos'!DT15,'LP Reactivos'!DY15,'LP Reactivos'!EB15)," ")</f>
        <v>182962.5</v>
      </c>
      <c r="E15" s="429">
        <f>IFERROR(AVERAGE('LP Reactivos'!F15,'LP Reactivos'!I15,'LP Reactivos'!N15,'LP Reactivos'!S15,'LP Reactivos'!X15,'LP Reactivos'!AC15,'LP Reactivos'!AH15,'LP Reactivos'!AM15,'LP Reactivos'!AR15,'LP Reactivos'!AW15,'LP Reactivos'!BB15,'LP Reactivos'!BG15,'LP Reactivos'!BL15,'LP Reactivos'!BQ15,'LP Reactivos'!BV15,'LP Reactivos'!CA15,'LP Reactivos'!CF15,'LP Reactivos'!CK15,'LP Reactivos'!CP15,'LP Reactivos'!CU15,'LP Reactivos'!CZ15,'LP Reactivos'!DE15,'LP Reactivos'!DJ15,'LP Reactivos'!DO15,'LP Reactivos'!DT15,'LP Reactivos'!DY15,'LP Reactivos'!EB15)," ")</f>
        <v>456023.77520000003</v>
      </c>
      <c r="F15" s="345">
        <f>IFERROR(MEDIAN('LP Reactivos'!F15,'LP Reactivos'!I15,'LP Reactivos'!N15,'LP Reactivos'!S15,'LP Reactivos'!X15,'LP Reactivos'!AC15,'LP Reactivos'!AH15,'LP Reactivos'!AM15,'LP Reactivos'!AR15,'LP Reactivos'!AW15,'LP Reactivos'!BB15,'LP Reactivos'!BG15,'LP Reactivos'!BL15,'LP Reactivos'!BQ15,'LP Reactivos'!BV15,'LP Reactivos'!CA15,'LP Reactivos'!CF15,'LP Reactivos'!CK15,'LP Reactivos'!CP15,'LP Reactivos'!CU15,'LP Reactivos'!CZ15,'LP Reactivos'!DE15,'LP Reactivos'!DJ15,'LP Reactivos'!DO15,'LP Reactivos'!DT15,'LP Reactivos'!DY15,'LP Reactivos'!EB15)," ")</f>
        <v>408653</v>
      </c>
      <c r="G15" s="345">
        <f>IFERROR(GEOMEAN('LP Reactivos'!F15,'LP Reactivos'!I15,'LP Reactivos'!N15,'LP Reactivos'!S15,'LP Reactivos'!X15,'LP Reactivos'!AC15,'LP Reactivos'!AH15,'LP Reactivos'!AM15,'LP Reactivos'!AR15,'LP Reactivos'!AW15,'LP Reactivos'!BB15,'LP Reactivos'!BG15,'LP Reactivos'!BL15,'LP Reactivos'!BQ15,'LP Reactivos'!BV15,'LP Reactivos'!CA15,'LP Reactivos'!CF15,'LP Reactivos'!CK15,'LP Reactivos'!CP15,'LP Reactivos'!CU15,'LP Reactivos'!CZ15,'LP Reactivos'!DE15,'LP Reactivos'!DJ15,'LP Reactivos'!DO15,'LP Reactivos'!DT15,'LP Reactivos'!DY15,'LP Reactivos'!EB15)," ")</f>
        <v>411537.26856999169</v>
      </c>
      <c r="H15" s="345">
        <f t="shared" si="0"/>
        <v>123145.05175175189</v>
      </c>
      <c r="I15" s="346">
        <f t="shared" si="1"/>
        <v>0.27004085850072995</v>
      </c>
      <c r="J15" s="345">
        <f t="shared" si="2"/>
        <v>411537.26856999169</v>
      </c>
      <c r="K15" s="344" t="str">
        <f t="shared" si="3"/>
        <v>Media Geométrica</v>
      </c>
      <c r="L15" s="326">
        <f>IFERROR(COUNTA('LP Reactivos'!F15,'LP Reactivos'!I15,'LP Reactivos'!N15,'LP Reactivos'!S15,'LP Reactivos'!X15,'LP Reactivos'!AC15,'LP Reactivos'!AH15,'LP Reactivos'!AM15,'LP Reactivos'!AR15,'LP Reactivos'!AW15,'LP Reactivos'!BB15,'LP Reactivos'!BG15,'LP Reactivos'!BL15,'LP Reactivos'!BQ15,'LP Reactivos'!BV15,'LP Reactivos'!CA15,'LP Reactivos'!CF15,'LP Reactivos'!CK15,'LP Reactivos'!CP15,'LP Reactivos'!CU15,'LP Reactivos'!CZ15,'LP Reactivos'!DE15,'LP Reactivos'!DJ15,'LP Reactivos'!DO15,'LP Reactivos'!DT15,'LP Reactivos'!DY15,'LP Reactivos'!EB15)," ")</f>
        <v>5</v>
      </c>
    </row>
    <row r="16" spans="2:12" x14ac:dyDescent="0.25">
      <c r="B16" s="425">
        <v>14</v>
      </c>
      <c r="C16" s="427" t="s">
        <v>664</v>
      </c>
      <c r="D16" s="429">
        <f>IFERROR(MIN('LP Reactivos'!F16,'LP Reactivos'!I16,'LP Reactivos'!N16,'LP Reactivos'!S16,'LP Reactivos'!X16,'LP Reactivos'!AC16,'LP Reactivos'!AH16,'LP Reactivos'!AM16,'LP Reactivos'!AR16,'LP Reactivos'!AW16,'LP Reactivos'!BB16,'LP Reactivos'!BG16,'LP Reactivos'!BL16,'LP Reactivos'!BQ16,'LP Reactivos'!BV16,'LP Reactivos'!CA16,'LP Reactivos'!CF16,'LP Reactivos'!CK16,'LP Reactivos'!CP16,'LP Reactivos'!CU16,'LP Reactivos'!CZ16,'LP Reactivos'!DE16,'LP Reactivos'!DJ16,'LP Reactivos'!DO16,'LP Reactivos'!DT16,'LP Reactivos'!DY16,'LP Reactivos'!EB16)," ")</f>
        <v>224517.3</v>
      </c>
      <c r="E16" s="429">
        <f>IFERROR(AVERAGE('LP Reactivos'!F16,'LP Reactivos'!I16,'LP Reactivos'!N16,'LP Reactivos'!S16,'LP Reactivos'!X16,'LP Reactivos'!AC16,'LP Reactivos'!AH16,'LP Reactivos'!AM16,'LP Reactivos'!AR16,'LP Reactivos'!AW16,'LP Reactivos'!BB16,'LP Reactivos'!BG16,'LP Reactivos'!BL16,'LP Reactivos'!BQ16,'LP Reactivos'!BV16,'LP Reactivos'!CA16,'LP Reactivos'!CF16,'LP Reactivos'!CK16,'LP Reactivos'!CP16,'LP Reactivos'!CU16,'LP Reactivos'!CZ16,'LP Reactivos'!DE16,'LP Reactivos'!DJ16,'LP Reactivos'!DO16,'LP Reactivos'!DT16,'LP Reactivos'!DY16,'LP Reactivos'!EB16)," ")</f>
        <v>290069.174</v>
      </c>
      <c r="F16" s="345">
        <f>IFERROR(MEDIAN('LP Reactivos'!F16,'LP Reactivos'!I16,'LP Reactivos'!N16,'LP Reactivos'!S16,'LP Reactivos'!X16,'LP Reactivos'!AC16,'LP Reactivos'!AH16,'LP Reactivos'!AM16,'LP Reactivos'!AR16,'LP Reactivos'!AW16,'LP Reactivos'!BB16,'LP Reactivos'!BG16,'LP Reactivos'!BL16,'LP Reactivos'!BQ16,'LP Reactivos'!BV16,'LP Reactivos'!CA16,'LP Reactivos'!CF16,'LP Reactivos'!CK16,'LP Reactivos'!CP16,'LP Reactivos'!CU16,'LP Reactivos'!CZ16,'LP Reactivos'!DE16,'LP Reactivos'!DJ16,'LP Reactivos'!DO16,'LP Reactivos'!DT16,'LP Reactivos'!DY16,'LP Reactivos'!EB16)," ")</f>
        <v>271276</v>
      </c>
      <c r="G16" s="345">
        <f>IFERROR(GEOMEAN('LP Reactivos'!F16,'LP Reactivos'!I16,'LP Reactivos'!N16,'LP Reactivos'!S16,'LP Reactivos'!X16,'LP Reactivos'!AC16,'LP Reactivos'!AH16,'LP Reactivos'!AM16,'LP Reactivos'!AR16,'LP Reactivos'!AW16,'LP Reactivos'!BB16,'LP Reactivos'!BG16,'LP Reactivos'!BL16,'LP Reactivos'!BQ16,'LP Reactivos'!BV16,'LP Reactivos'!CA16,'LP Reactivos'!CF16,'LP Reactivos'!CK16,'LP Reactivos'!CP16,'LP Reactivos'!CU16,'LP Reactivos'!CZ16,'LP Reactivos'!DE16,'LP Reactivos'!DJ16,'LP Reactivos'!DO16,'LP Reactivos'!DT16,'LP Reactivos'!DY16,'LP Reactivos'!EB16)," ")</f>
        <v>283971.53809537011</v>
      </c>
      <c r="H16" s="345">
        <f t="shared" si="0"/>
        <v>29678.516189118942</v>
      </c>
      <c r="I16" s="346">
        <f t="shared" si="1"/>
        <v>0.1023153056212686</v>
      </c>
      <c r="J16" s="345">
        <f t="shared" si="2"/>
        <v>290069.174</v>
      </c>
      <c r="K16" s="344" t="str">
        <f t="shared" si="3"/>
        <v>Promedio</v>
      </c>
      <c r="L16" s="326">
        <f>IFERROR(COUNTA('LP Reactivos'!F16,'LP Reactivos'!I16,'LP Reactivos'!N16,'LP Reactivos'!S16,'LP Reactivos'!X16,'LP Reactivos'!AC16,'LP Reactivos'!AH16,'LP Reactivos'!AM16,'LP Reactivos'!AR16,'LP Reactivos'!AW16,'LP Reactivos'!BB16,'LP Reactivos'!BG16,'LP Reactivos'!BL16,'LP Reactivos'!BQ16,'LP Reactivos'!BV16,'LP Reactivos'!CA16,'LP Reactivos'!CF16,'LP Reactivos'!CK16,'LP Reactivos'!CP16,'LP Reactivos'!CU16,'LP Reactivos'!CZ16,'LP Reactivos'!DE16,'LP Reactivos'!DJ16,'LP Reactivos'!DO16,'LP Reactivos'!DT16,'LP Reactivos'!DY16,'LP Reactivos'!EB16)," ")</f>
        <v>6</v>
      </c>
    </row>
    <row r="17" spans="2:12" x14ac:dyDescent="0.25">
      <c r="B17" s="425">
        <v>15</v>
      </c>
      <c r="C17" s="427" t="s">
        <v>669</v>
      </c>
      <c r="D17" s="429">
        <f>IFERROR(MIN('LP Reactivos'!F17,'LP Reactivos'!I17,'LP Reactivos'!N17,'LP Reactivos'!S17,'LP Reactivos'!X17,'LP Reactivos'!AC17,'LP Reactivos'!AH17,'LP Reactivos'!AM17,'LP Reactivos'!AR17,'LP Reactivos'!AW17,'LP Reactivos'!BB17,'LP Reactivos'!BG17,'LP Reactivos'!BL17,'LP Reactivos'!BQ17,'LP Reactivos'!BV17,'LP Reactivos'!CA17,'LP Reactivos'!CF17,'LP Reactivos'!CK17,'LP Reactivos'!CP17,'LP Reactivos'!CU17,'LP Reactivos'!CZ17,'LP Reactivos'!DE17,'LP Reactivos'!DJ17,'LP Reactivos'!DO17,'LP Reactivos'!DT17,'LP Reactivos'!DY17,'LP Reactivos'!EB17)," ")</f>
        <v>153510</v>
      </c>
      <c r="E17" s="429">
        <f>IFERROR(AVERAGE('LP Reactivos'!F17,'LP Reactivos'!I17,'LP Reactivos'!N17,'LP Reactivos'!S17,'LP Reactivos'!X17,'LP Reactivos'!AC17,'LP Reactivos'!AH17,'LP Reactivos'!AM17,'LP Reactivos'!AR17,'LP Reactivos'!AW17,'LP Reactivos'!BB17,'LP Reactivos'!BG17,'LP Reactivos'!BL17,'LP Reactivos'!BQ17,'LP Reactivos'!BV17,'LP Reactivos'!CA17,'LP Reactivos'!CF17,'LP Reactivos'!CK17,'LP Reactivos'!CP17,'LP Reactivos'!CU17,'LP Reactivos'!CZ17,'LP Reactivos'!DE17,'LP Reactivos'!DJ17,'LP Reactivos'!DO17,'LP Reactivos'!DT17,'LP Reactivos'!DY17,'LP Reactivos'!EB17)," ")</f>
        <v>256736.46766666663</v>
      </c>
      <c r="F17" s="345">
        <f>IFERROR(MEDIAN('LP Reactivos'!F17,'LP Reactivos'!I17,'LP Reactivos'!N17,'LP Reactivos'!S17,'LP Reactivos'!X17,'LP Reactivos'!AC17,'LP Reactivos'!AH17,'LP Reactivos'!AM17,'LP Reactivos'!AR17,'LP Reactivos'!AW17,'LP Reactivos'!BB17,'LP Reactivos'!BG17,'LP Reactivos'!BL17,'LP Reactivos'!BQ17,'LP Reactivos'!BV17,'LP Reactivos'!CA17,'LP Reactivos'!CF17,'LP Reactivos'!CK17,'LP Reactivos'!CP17,'LP Reactivos'!CU17,'LP Reactivos'!CZ17,'LP Reactivos'!DE17,'LP Reactivos'!DJ17,'LP Reactivos'!DO17,'LP Reactivos'!DT17,'LP Reactivos'!DY17,'LP Reactivos'!EB17)," ")</f>
        <v>237739.5</v>
      </c>
      <c r="G17" s="345">
        <f>IFERROR(GEOMEAN('LP Reactivos'!F17,'LP Reactivos'!I17,'LP Reactivos'!N17,'LP Reactivos'!S17,'LP Reactivos'!X17,'LP Reactivos'!AC17,'LP Reactivos'!AH17,'LP Reactivos'!AM17,'LP Reactivos'!AR17,'LP Reactivos'!AW17,'LP Reactivos'!BB17,'LP Reactivos'!BG17,'LP Reactivos'!BL17,'LP Reactivos'!BQ17,'LP Reactivos'!BV17,'LP Reactivos'!CA17,'LP Reactivos'!CF17,'LP Reactivos'!CK17,'LP Reactivos'!CP17,'LP Reactivos'!CU17,'LP Reactivos'!CZ17,'LP Reactivos'!DE17,'LP Reactivos'!DJ17,'LP Reactivos'!DO17,'LP Reactivos'!DT17,'LP Reactivos'!DY17,'LP Reactivos'!EB17)," ")</f>
        <v>245453.39782038546</v>
      </c>
      <c r="H17" s="345">
        <f t="shared" si="0"/>
        <v>47215.461243478254</v>
      </c>
      <c r="I17" s="346">
        <f t="shared" si="1"/>
        <v>0.18390632882267574</v>
      </c>
      <c r="J17" s="345">
        <f t="shared" si="2"/>
        <v>256736.46766666663</v>
      </c>
      <c r="K17" s="344" t="str">
        <f t="shared" si="3"/>
        <v>Promedio</v>
      </c>
      <c r="L17" s="326">
        <f>IFERROR(COUNTA('LP Reactivos'!F17,'LP Reactivos'!I17,'LP Reactivos'!N17,'LP Reactivos'!S17,'LP Reactivos'!X17,'LP Reactivos'!AC17,'LP Reactivos'!AH17,'LP Reactivos'!AM17,'LP Reactivos'!AR17,'LP Reactivos'!AW17,'LP Reactivos'!BB17,'LP Reactivos'!BG17,'LP Reactivos'!BL17,'LP Reactivos'!BQ17,'LP Reactivos'!BV17,'LP Reactivos'!CA17,'LP Reactivos'!CF17,'LP Reactivos'!CK17,'LP Reactivos'!CP17,'LP Reactivos'!CU17,'LP Reactivos'!CZ17,'LP Reactivos'!DE17,'LP Reactivos'!DJ17,'LP Reactivos'!DO17,'LP Reactivos'!DT17,'LP Reactivos'!DY17,'LP Reactivos'!EB17)," ")</f>
        <v>6</v>
      </c>
    </row>
    <row r="18" spans="2:12" x14ac:dyDescent="0.25">
      <c r="B18" s="425">
        <v>16</v>
      </c>
      <c r="C18" s="428" t="s">
        <v>675</v>
      </c>
      <c r="D18" s="429">
        <f>IFERROR(MIN('LP Reactivos'!F18,'LP Reactivos'!I18,'LP Reactivos'!N18,'LP Reactivos'!S18,'LP Reactivos'!X18,'LP Reactivos'!AC18,'LP Reactivos'!AH18,'LP Reactivos'!AM18,'LP Reactivos'!AR18,'LP Reactivos'!AW18,'LP Reactivos'!BB18,'LP Reactivos'!BG18,'LP Reactivos'!BL18,'LP Reactivos'!BQ18,'LP Reactivos'!BV18,'LP Reactivos'!CA18,'LP Reactivos'!CF18,'LP Reactivos'!CK18,'LP Reactivos'!CP18,'LP Reactivos'!CU18,'LP Reactivos'!CZ18,'LP Reactivos'!DE18,'LP Reactivos'!DJ18,'LP Reactivos'!DO18,'LP Reactivos'!DT18,'LP Reactivos'!DY18,'LP Reactivos'!EB18)," ")</f>
        <v>285600</v>
      </c>
      <c r="E18" s="429">
        <f>IFERROR(AVERAGE('LP Reactivos'!F18,'LP Reactivos'!I18,'LP Reactivos'!N18,'LP Reactivos'!S18,'LP Reactivos'!X18,'LP Reactivos'!AC18,'LP Reactivos'!AH18,'LP Reactivos'!AM18,'LP Reactivos'!AR18,'LP Reactivos'!AW18,'LP Reactivos'!BB18,'LP Reactivos'!BG18,'LP Reactivos'!BL18,'LP Reactivos'!BQ18,'LP Reactivos'!BV18,'LP Reactivos'!CA18,'LP Reactivos'!CF18,'LP Reactivos'!CK18,'LP Reactivos'!CP18,'LP Reactivos'!CU18,'LP Reactivos'!CZ18,'LP Reactivos'!DE18,'LP Reactivos'!DJ18,'LP Reactivos'!DO18,'LP Reactivos'!DT18,'LP Reactivos'!DY18,'LP Reactivos'!EB18)," ")</f>
        <v>501682.33333333331</v>
      </c>
      <c r="F18" s="345">
        <f>IFERROR(MEDIAN('LP Reactivos'!F18,'LP Reactivos'!I18,'LP Reactivos'!N18,'LP Reactivos'!S18,'LP Reactivos'!X18,'LP Reactivos'!AC18,'LP Reactivos'!AH18,'LP Reactivos'!AM18,'LP Reactivos'!AR18,'LP Reactivos'!AW18,'LP Reactivos'!BB18,'LP Reactivos'!BG18,'LP Reactivos'!BL18,'LP Reactivos'!BQ18,'LP Reactivos'!BV18,'LP Reactivos'!CA18,'LP Reactivos'!CF18,'LP Reactivos'!CK18,'LP Reactivos'!CP18,'LP Reactivos'!CU18,'LP Reactivos'!CZ18,'LP Reactivos'!DE18,'LP Reactivos'!DJ18,'LP Reactivos'!DO18,'LP Reactivos'!DT18,'LP Reactivos'!DY18,'LP Reactivos'!EB18)," ")</f>
        <v>608977</v>
      </c>
      <c r="G18" s="345">
        <f>IFERROR(GEOMEAN('LP Reactivos'!F18,'LP Reactivos'!I18,'LP Reactivos'!N18,'LP Reactivos'!S18,'LP Reactivos'!X18,'LP Reactivos'!AC18,'LP Reactivos'!AH18,'LP Reactivos'!AM18,'LP Reactivos'!AR18,'LP Reactivos'!AW18,'LP Reactivos'!BB18,'LP Reactivos'!BG18,'LP Reactivos'!BL18,'LP Reactivos'!BQ18,'LP Reactivos'!BV18,'LP Reactivos'!CA18,'LP Reactivos'!CF18,'LP Reactivos'!CK18,'LP Reactivos'!CP18,'LP Reactivos'!CU18,'LP Reactivos'!CZ18,'LP Reactivos'!DE18,'LP Reactivos'!DJ18,'LP Reactivos'!DO18,'LP Reactivos'!DT18,'LP Reactivos'!DY18,'LP Reactivos'!EB18)," ")</f>
        <v>473523.06712178385</v>
      </c>
      <c r="H18" s="345">
        <f t="shared" si="0"/>
        <v>134546.21131947465</v>
      </c>
      <c r="I18" s="346">
        <f t="shared" si="1"/>
        <v>0.2681900525089409</v>
      </c>
      <c r="J18" s="345">
        <f t="shared" si="2"/>
        <v>473523.06712178385</v>
      </c>
      <c r="K18" s="344" t="str">
        <f t="shared" si="3"/>
        <v>Media Geométrica</v>
      </c>
      <c r="L18" s="326">
        <f>IFERROR(COUNTA('LP Reactivos'!F18,'LP Reactivos'!I18,'LP Reactivos'!N18,'LP Reactivos'!S18,'LP Reactivos'!X18,'LP Reactivos'!AC18,'LP Reactivos'!AH18,'LP Reactivos'!AM18,'LP Reactivos'!AR18,'LP Reactivos'!AW18,'LP Reactivos'!BB18,'LP Reactivos'!BG18,'LP Reactivos'!BL18,'LP Reactivos'!BQ18,'LP Reactivos'!BV18,'LP Reactivos'!CA18,'LP Reactivos'!CF18,'LP Reactivos'!CK18,'LP Reactivos'!CP18,'LP Reactivos'!CU18,'LP Reactivos'!CZ18,'LP Reactivos'!DE18,'LP Reactivos'!DJ18,'LP Reactivos'!DO18,'LP Reactivos'!DT18,'LP Reactivos'!DY18,'LP Reactivos'!EB18)," ")</f>
        <v>3</v>
      </c>
    </row>
    <row r="19" spans="2:12" ht="35.25" customHeight="1" x14ac:dyDescent="0.25">
      <c r="B19" s="425">
        <v>17</v>
      </c>
      <c r="C19" s="427" t="s">
        <v>679</v>
      </c>
      <c r="D19" s="429">
        <f>IFERROR(MIN('LP Reactivos'!F19,'LP Reactivos'!I19,'LP Reactivos'!N19,'LP Reactivos'!S19,'LP Reactivos'!X19,'LP Reactivos'!AC19,'LP Reactivos'!AH19,'LP Reactivos'!AM19,'LP Reactivos'!AR19,'LP Reactivos'!AW19,'LP Reactivos'!BB19,'LP Reactivos'!BG19,'LP Reactivos'!BL19,'LP Reactivos'!BQ19,'LP Reactivos'!BV19,'LP Reactivos'!CA19,'LP Reactivos'!CF19,'LP Reactivos'!CK19,'LP Reactivos'!CP19,'LP Reactivos'!CU19,'LP Reactivos'!CZ19,'LP Reactivos'!DE19,'LP Reactivos'!DJ19,'LP Reactivos'!DO19,'LP Reactivos'!DT19,'LP Reactivos'!DY19,'LP Reactivos'!EB19)," ")</f>
        <v>353430</v>
      </c>
      <c r="E19" s="429">
        <f>IFERROR(AVERAGE('LP Reactivos'!F19,'LP Reactivos'!I19,'LP Reactivos'!N19,'LP Reactivos'!S19,'LP Reactivos'!X19,'LP Reactivos'!AC19,'LP Reactivos'!AH19,'LP Reactivos'!AM19,'LP Reactivos'!AR19,'LP Reactivos'!AW19,'LP Reactivos'!BB19,'LP Reactivos'!BG19,'LP Reactivos'!BL19,'LP Reactivos'!BQ19,'LP Reactivos'!BV19,'LP Reactivos'!CA19,'LP Reactivos'!CF19,'LP Reactivos'!CK19,'LP Reactivos'!CP19,'LP Reactivos'!CU19,'LP Reactivos'!CZ19,'LP Reactivos'!DE19,'LP Reactivos'!DJ19,'LP Reactivos'!DO19,'LP Reactivos'!DT19,'LP Reactivos'!DY19,'LP Reactivos'!EB19)," ")</f>
        <v>468875.84057142859</v>
      </c>
      <c r="F19" s="345">
        <f>IFERROR(MEDIAN('LP Reactivos'!F19,'LP Reactivos'!I19,'LP Reactivos'!N19,'LP Reactivos'!S19,'LP Reactivos'!X19,'LP Reactivos'!AC19,'LP Reactivos'!AH19,'LP Reactivos'!AM19,'LP Reactivos'!AR19,'LP Reactivos'!AW19,'LP Reactivos'!BB19,'LP Reactivos'!BG19,'LP Reactivos'!BL19,'LP Reactivos'!BQ19,'LP Reactivos'!BV19,'LP Reactivos'!CA19,'LP Reactivos'!CF19,'LP Reactivos'!CK19,'LP Reactivos'!CP19,'LP Reactivos'!CU19,'LP Reactivos'!CZ19,'LP Reactivos'!DE19,'LP Reactivos'!DJ19,'LP Reactivos'!DO19,'LP Reactivos'!DT19,'LP Reactivos'!DY19,'LP Reactivos'!EB19)," ")</f>
        <v>459887.4</v>
      </c>
      <c r="G19" s="345">
        <f>IFERROR(GEOMEAN('LP Reactivos'!F19,'LP Reactivos'!I19,'LP Reactivos'!N19,'LP Reactivos'!S19,'LP Reactivos'!X19,'LP Reactivos'!AC19,'LP Reactivos'!AH19,'LP Reactivos'!AM19,'LP Reactivos'!AR19,'LP Reactivos'!AW19,'LP Reactivos'!BB19,'LP Reactivos'!BG19,'LP Reactivos'!BL19,'LP Reactivos'!BQ19,'LP Reactivos'!BV19,'LP Reactivos'!CA19,'LP Reactivos'!CF19,'LP Reactivos'!CK19,'LP Reactivos'!CP19,'LP Reactivos'!CU19,'LP Reactivos'!CZ19,'LP Reactivos'!DE19,'LP Reactivos'!DJ19,'LP Reactivos'!DO19,'LP Reactivos'!DT19,'LP Reactivos'!DY19,'LP Reactivos'!EB19)," ")</f>
        <v>460293.64224011084</v>
      </c>
      <c r="H19" s="345">
        <f t="shared" si="0"/>
        <v>54951.015593957243</v>
      </c>
      <c r="I19" s="346">
        <f t="shared" si="1"/>
        <v>0.1171973704744252</v>
      </c>
      <c r="J19" s="345">
        <f t="shared" si="2"/>
        <v>468875.84057142859</v>
      </c>
      <c r="K19" s="344" t="str">
        <f t="shared" si="3"/>
        <v>Promedio</v>
      </c>
      <c r="L19" s="326">
        <f>IFERROR(COUNTA('LP Reactivos'!F19,'LP Reactivos'!I19,'LP Reactivos'!N19,'LP Reactivos'!S19,'LP Reactivos'!X19,'LP Reactivos'!AC19,'LP Reactivos'!AH19,'LP Reactivos'!AM19,'LP Reactivos'!AR19,'LP Reactivos'!AW19,'LP Reactivos'!BB19,'LP Reactivos'!BG19,'LP Reactivos'!BL19,'LP Reactivos'!BQ19,'LP Reactivos'!BV19,'LP Reactivos'!CA19,'LP Reactivos'!CF19,'LP Reactivos'!CK19,'LP Reactivos'!CP19,'LP Reactivos'!CU19,'LP Reactivos'!CZ19,'LP Reactivos'!DE19,'LP Reactivos'!DJ19,'LP Reactivos'!DO19,'LP Reactivos'!DT19,'LP Reactivos'!DY19,'LP Reactivos'!EB19)," ")</f>
        <v>7</v>
      </c>
    </row>
    <row r="20" spans="2:12" x14ac:dyDescent="0.25">
      <c r="B20" s="425">
        <v>18</v>
      </c>
      <c r="C20" s="428" t="s">
        <v>683</v>
      </c>
      <c r="D20" s="429">
        <f>IFERROR(MIN('LP Reactivos'!F20,'LP Reactivos'!I20,'LP Reactivos'!N20,'LP Reactivos'!S20,'LP Reactivos'!X20,'LP Reactivos'!AC20,'LP Reactivos'!AH20,'LP Reactivos'!AM20,'LP Reactivos'!AR20,'LP Reactivos'!AW20,'LP Reactivos'!BB20,'LP Reactivos'!BG20,'LP Reactivos'!BL20,'LP Reactivos'!BQ20,'LP Reactivos'!BV20,'LP Reactivos'!CA20,'LP Reactivos'!CF20,'LP Reactivos'!CK20,'LP Reactivos'!CP20,'LP Reactivos'!CU20,'LP Reactivos'!CZ20,'LP Reactivos'!DE20,'LP Reactivos'!DJ20,'LP Reactivos'!DO20,'LP Reactivos'!DT20,'LP Reactivos'!DY20,'LP Reactivos'!EB20)," ")</f>
        <v>353430</v>
      </c>
      <c r="E20" s="429">
        <f>IFERROR(AVERAGE('LP Reactivos'!F20,'LP Reactivos'!I20,'LP Reactivos'!N20,'LP Reactivos'!S20,'LP Reactivos'!X20,'LP Reactivos'!AC20,'LP Reactivos'!AH20,'LP Reactivos'!AM20,'LP Reactivos'!AR20,'LP Reactivos'!AW20,'LP Reactivos'!BB20,'LP Reactivos'!BG20,'LP Reactivos'!BL20,'LP Reactivos'!BQ20,'LP Reactivos'!BV20,'LP Reactivos'!CA20,'LP Reactivos'!CF20,'LP Reactivos'!CK20,'LP Reactivos'!CP20,'LP Reactivos'!CU20,'LP Reactivos'!CZ20,'LP Reactivos'!DE20,'LP Reactivos'!DJ20,'LP Reactivos'!DO20,'LP Reactivos'!DT20,'LP Reactivos'!DY20,'LP Reactivos'!EB20)," ")</f>
        <v>467833.5</v>
      </c>
      <c r="F20" s="345">
        <f>IFERROR(MEDIAN('LP Reactivos'!F20,'LP Reactivos'!I20,'LP Reactivos'!N20,'LP Reactivos'!S20,'LP Reactivos'!X20,'LP Reactivos'!AC20,'LP Reactivos'!AH20,'LP Reactivos'!AM20,'LP Reactivos'!AR20,'LP Reactivos'!AW20,'LP Reactivos'!BB20,'LP Reactivos'!BG20,'LP Reactivos'!BL20,'LP Reactivos'!BQ20,'LP Reactivos'!BV20,'LP Reactivos'!CA20,'LP Reactivos'!CF20,'LP Reactivos'!CK20,'LP Reactivos'!CP20,'LP Reactivos'!CU20,'LP Reactivos'!CZ20,'LP Reactivos'!DE20,'LP Reactivos'!DJ20,'LP Reactivos'!DO20,'LP Reactivos'!DT20,'LP Reactivos'!DY20,'LP Reactivos'!EB20)," ")</f>
        <v>467833.5</v>
      </c>
      <c r="G20" s="345">
        <f>IFERROR(GEOMEAN('LP Reactivos'!F20,'LP Reactivos'!I20,'LP Reactivos'!N20,'LP Reactivos'!S20,'LP Reactivos'!X20,'LP Reactivos'!AC20,'LP Reactivos'!AH20,'LP Reactivos'!AM20,'LP Reactivos'!AR20,'LP Reactivos'!AW20,'LP Reactivos'!BB20,'LP Reactivos'!BG20,'LP Reactivos'!BL20,'LP Reactivos'!BQ20,'LP Reactivos'!BV20,'LP Reactivos'!CA20,'LP Reactivos'!CF20,'LP Reactivos'!CK20,'LP Reactivos'!CP20,'LP Reactivos'!CU20,'LP Reactivos'!CZ20,'LP Reactivos'!DE20,'LP Reactivos'!DJ20,'LP Reactivos'!DO20,'LP Reactivos'!DT20,'LP Reactivos'!DY20,'LP Reactivos'!EB20)," ")</f>
        <v>453629.83026913035</v>
      </c>
      <c r="H20" s="345">
        <f t="shared" si="0"/>
        <v>55241.7535913049</v>
      </c>
      <c r="I20" s="346">
        <f t="shared" si="1"/>
        <v>0.11807994423508555</v>
      </c>
      <c r="J20" s="345">
        <f t="shared" si="2"/>
        <v>467833.5</v>
      </c>
      <c r="K20" s="344" t="str">
        <f t="shared" si="3"/>
        <v>Promedio</v>
      </c>
      <c r="L20" s="326">
        <f>IFERROR(COUNTA('LP Reactivos'!F20,'LP Reactivos'!I20,'LP Reactivos'!N20,'LP Reactivos'!S20,'LP Reactivos'!X20,'LP Reactivos'!AC20,'LP Reactivos'!AH20,'LP Reactivos'!AM20,'LP Reactivos'!AR20,'LP Reactivos'!AW20,'LP Reactivos'!BB20,'LP Reactivos'!BG20,'LP Reactivos'!BL20,'LP Reactivos'!BQ20,'LP Reactivos'!BV20,'LP Reactivos'!CA20,'LP Reactivos'!CF20,'LP Reactivos'!CK20,'LP Reactivos'!CP20,'LP Reactivos'!CU20,'LP Reactivos'!CZ20,'LP Reactivos'!DE20,'LP Reactivos'!DJ20,'LP Reactivos'!DO20,'LP Reactivos'!DT20,'LP Reactivos'!DY20,'LP Reactivos'!EB20)," ")</f>
        <v>2</v>
      </c>
    </row>
    <row r="21" spans="2:12" ht="27" x14ac:dyDescent="0.25">
      <c r="B21" s="425">
        <v>19</v>
      </c>
      <c r="C21" s="427" t="s">
        <v>684</v>
      </c>
      <c r="D21" s="429">
        <f>IFERROR(MIN('LP Reactivos'!F21,'LP Reactivos'!I21,'LP Reactivos'!N21,'LP Reactivos'!S21,'LP Reactivos'!X21,'LP Reactivos'!AC21,'LP Reactivos'!AH21,'LP Reactivos'!AM21,'LP Reactivos'!AR21,'LP Reactivos'!AW21,'LP Reactivos'!BB21,'LP Reactivos'!BG21,'LP Reactivos'!BL21,'LP Reactivos'!BQ21,'LP Reactivos'!BV21,'LP Reactivos'!CA21,'LP Reactivos'!CF21,'LP Reactivos'!CK21,'LP Reactivos'!CP21,'LP Reactivos'!CU21,'LP Reactivos'!CZ21,'LP Reactivos'!DE21,'LP Reactivos'!DJ21,'LP Reactivos'!DO21,'LP Reactivos'!DT21,'LP Reactivos'!DY21,'LP Reactivos'!EB21)," ")</f>
        <v>621322.80000000005</v>
      </c>
      <c r="E21" s="429">
        <f>IFERROR(AVERAGE('LP Reactivos'!F21,'LP Reactivos'!I21,'LP Reactivos'!N21,'LP Reactivos'!S21,'LP Reactivos'!X21,'LP Reactivos'!AC21,'LP Reactivos'!AH21,'LP Reactivos'!AM21,'LP Reactivos'!AR21,'LP Reactivos'!AW21,'LP Reactivos'!BB21,'LP Reactivos'!BG21,'LP Reactivos'!BL21,'LP Reactivos'!BQ21,'LP Reactivos'!BV21,'LP Reactivos'!CA21,'LP Reactivos'!CF21,'LP Reactivos'!CK21,'LP Reactivos'!CP21,'LP Reactivos'!CU21,'LP Reactivos'!CZ21,'LP Reactivos'!DE21,'LP Reactivos'!DJ21,'LP Reactivos'!DO21,'LP Reactivos'!DT21,'LP Reactivos'!DY21,'LP Reactivos'!EB21)," ")</f>
        <v>1021572.8459999999</v>
      </c>
      <c r="F21" s="345">
        <f>IFERROR(MEDIAN('LP Reactivos'!F21,'LP Reactivos'!I21,'LP Reactivos'!N21,'LP Reactivos'!S21,'LP Reactivos'!X21,'LP Reactivos'!AC21,'LP Reactivos'!AH21,'LP Reactivos'!AM21,'LP Reactivos'!AR21,'LP Reactivos'!AW21,'LP Reactivos'!BB21,'LP Reactivos'!BG21,'LP Reactivos'!BL21,'LP Reactivos'!BQ21,'LP Reactivos'!BV21,'LP Reactivos'!CA21,'LP Reactivos'!CF21,'LP Reactivos'!CK21,'LP Reactivos'!CP21,'LP Reactivos'!CU21,'LP Reactivos'!CZ21,'LP Reactivos'!DE21,'LP Reactivos'!DJ21,'LP Reactivos'!DO21,'LP Reactivos'!DT21,'LP Reactivos'!DY21,'LP Reactivos'!EB21)," ")</f>
        <v>1041094.292</v>
      </c>
      <c r="G21" s="345">
        <f>IFERROR(GEOMEAN('LP Reactivos'!F21,'LP Reactivos'!I21,'LP Reactivos'!N21,'LP Reactivos'!S21,'LP Reactivos'!X21,'LP Reactivos'!AC21,'LP Reactivos'!AH21,'LP Reactivos'!AM21,'LP Reactivos'!AR21,'LP Reactivos'!AW21,'LP Reactivos'!BB21,'LP Reactivos'!BG21,'LP Reactivos'!BL21,'LP Reactivos'!BQ21,'LP Reactivos'!BV21,'LP Reactivos'!CA21,'LP Reactivos'!CF21,'LP Reactivos'!CK21,'LP Reactivos'!CP21,'LP Reactivos'!CU21,'LP Reactivos'!CZ21,'LP Reactivos'!DE21,'LP Reactivos'!DJ21,'LP Reactivos'!DO21,'LP Reactivos'!DT21,'LP Reactivos'!DY21,'LP Reactivos'!EB21)," ")</f>
        <v>967747.6909931238</v>
      </c>
      <c r="H21" s="345">
        <f t="shared" si="0"/>
        <v>196866.36075504217</v>
      </c>
      <c r="I21" s="346">
        <f t="shared" si="1"/>
        <v>0.19270907750326224</v>
      </c>
      <c r="J21" s="345">
        <f t="shared" si="2"/>
        <v>1021572.8459999999</v>
      </c>
      <c r="K21" s="344" t="str">
        <f t="shared" si="3"/>
        <v>Promedio</v>
      </c>
      <c r="L21" s="326">
        <f>IFERROR(COUNTA('LP Reactivos'!F21,'LP Reactivos'!I21,'LP Reactivos'!N21,'LP Reactivos'!S21,'LP Reactivos'!X21,'LP Reactivos'!AC21,'LP Reactivos'!AH21,'LP Reactivos'!AM21,'LP Reactivos'!AR21,'LP Reactivos'!AW21,'LP Reactivos'!BB21,'LP Reactivos'!BG21,'LP Reactivos'!BL21,'LP Reactivos'!BQ21,'LP Reactivos'!BV21,'LP Reactivos'!CA21,'LP Reactivos'!CF21,'LP Reactivos'!CK21,'LP Reactivos'!CP21,'LP Reactivos'!CU21,'LP Reactivos'!CZ21,'LP Reactivos'!DE21,'LP Reactivos'!DJ21,'LP Reactivos'!DO21,'LP Reactivos'!DT21,'LP Reactivos'!DY21,'LP Reactivos'!EB21)," ")</f>
        <v>4</v>
      </c>
    </row>
    <row r="22" spans="2:12" ht="27" x14ac:dyDescent="0.25">
      <c r="B22" s="425">
        <v>20</v>
      </c>
      <c r="C22" s="427" t="s">
        <v>688</v>
      </c>
      <c r="D22" s="429">
        <f>IFERROR(MIN('LP Reactivos'!F22,'LP Reactivos'!I22,'LP Reactivos'!N22,'LP Reactivos'!S22,'LP Reactivos'!X22,'LP Reactivos'!AC22,'LP Reactivos'!AH22,'LP Reactivos'!AM22,'LP Reactivos'!AR22,'LP Reactivos'!AW22,'LP Reactivos'!BB22,'LP Reactivos'!BG22,'LP Reactivos'!BL22,'LP Reactivos'!BQ22,'LP Reactivos'!BV22,'LP Reactivos'!CA22,'LP Reactivos'!CF22,'LP Reactivos'!CK22,'LP Reactivos'!CP22,'LP Reactivos'!CU22,'LP Reactivos'!CZ22,'LP Reactivos'!DE22,'LP Reactivos'!DJ22,'LP Reactivos'!DO22,'LP Reactivos'!DT22,'LP Reactivos'!DY22,'LP Reactivos'!EB22)," ")</f>
        <v>174930</v>
      </c>
      <c r="E22" s="429">
        <f>IFERROR(AVERAGE('LP Reactivos'!F22,'LP Reactivos'!I22,'LP Reactivos'!N22,'LP Reactivos'!S22,'LP Reactivos'!X22,'LP Reactivos'!AC22,'LP Reactivos'!AH22,'LP Reactivos'!AM22,'LP Reactivos'!AR22,'LP Reactivos'!AW22,'LP Reactivos'!BB22,'LP Reactivos'!BG22,'LP Reactivos'!BL22,'LP Reactivos'!BQ22,'LP Reactivos'!BV22,'LP Reactivos'!CA22,'LP Reactivos'!CF22,'LP Reactivos'!CK22,'LP Reactivos'!CP22,'LP Reactivos'!CU22,'LP Reactivos'!CZ22,'LP Reactivos'!DE22,'LP Reactivos'!DJ22,'LP Reactivos'!DO22,'LP Reactivos'!DT22,'LP Reactivos'!DY22,'LP Reactivos'!EB22)," ")</f>
        <v>248635.70033333334</v>
      </c>
      <c r="F22" s="345">
        <f>IFERROR(MEDIAN('LP Reactivos'!F22,'LP Reactivos'!I22,'LP Reactivos'!N22,'LP Reactivos'!S22,'LP Reactivos'!X22,'LP Reactivos'!AC22,'LP Reactivos'!AH22,'LP Reactivos'!AM22,'LP Reactivos'!AR22,'LP Reactivos'!AW22,'LP Reactivos'!BB22,'LP Reactivos'!BG22,'LP Reactivos'!BL22,'LP Reactivos'!BQ22,'LP Reactivos'!BV22,'LP Reactivos'!CA22,'LP Reactivos'!CF22,'LP Reactivos'!CK22,'LP Reactivos'!CP22,'LP Reactivos'!CU22,'LP Reactivos'!CZ22,'LP Reactivos'!DE22,'LP Reactivos'!DJ22,'LP Reactivos'!DO22,'LP Reactivos'!DT22,'LP Reactivos'!DY22,'LP Reactivos'!EB22)," ")</f>
        <v>257742.1</v>
      </c>
      <c r="G22" s="345">
        <f>IFERROR(GEOMEAN('LP Reactivos'!F22,'LP Reactivos'!I22,'LP Reactivos'!N22,'LP Reactivos'!S22,'LP Reactivos'!X22,'LP Reactivos'!AC22,'LP Reactivos'!AH22,'LP Reactivos'!AM22,'LP Reactivos'!AR22,'LP Reactivos'!AW22,'LP Reactivos'!BB22,'LP Reactivos'!BG22,'LP Reactivos'!BL22,'LP Reactivos'!BQ22,'LP Reactivos'!BV22,'LP Reactivos'!CA22,'LP Reactivos'!CF22,'LP Reactivos'!CK22,'LP Reactivos'!CP22,'LP Reactivos'!CU22,'LP Reactivos'!CZ22,'LP Reactivos'!DE22,'LP Reactivos'!DJ22,'LP Reactivos'!DO22,'LP Reactivos'!DT22,'LP Reactivos'!DY22,'LP Reactivos'!EB22)," ")</f>
        <v>245638.88746228407</v>
      </c>
      <c r="H22" s="345">
        <f t="shared" si="0"/>
        <v>38219.231731984299</v>
      </c>
      <c r="I22" s="346">
        <f t="shared" si="1"/>
        <v>0.15371578450216805</v>
      </c>
      <c r="J22" s="345">
        <f t="shared" si="2"/>
        <v>248635.70033333334</v>
      </c>
      <c r="K22" s="344" t="str">
        <f t="shared" si="3"/>
        <v>Promedio</v>
      </c>
      <c r="L22" s="326">
        <f>IFERROR(COUNTA('LP Reactivos'!F22,'LP Reactivos'!I22,'LP Reactivos'!N22,'LP Reactivos'!S22,'LP Reactivos'!X22,'LP Reactivos'!AC22,'LP Reactivos'!AH22,'LP Reactivos'!AM22,'LP Reactivos'!AR22,'LP Reactivos'!AW22,'LP Reactivos'!BB22,'LP Reactivos'!BG22,'LP Reactivos'!BL22,'LP Reactivos'!BQ22,'LP Reactivos'!BV22,'LP Reactivos'!CA22,'LP Reactivos'!CF22,'LP Reactivos'!CK22,'LP Reactivos'!CP22,'LP Reactivos'!CU22,'LP Reactivos'!CZ22,'LP Reactivos'!DE22,'LP Reactivos'!DJ22,'LP Reactivos'!DO22,'LP Reactivos'!DT22,'LP Reactivos'!DY22,'LP Reactivos'!EB22)," ")</f>
        <v>6</v>
      </c>
    </row>
    <row r="23" spans="2:12" x14ac:dyDescent="0.25">
      <c r="B23" s="425">
        <v>21</v>
      </c>
      <c r="C23" s="427" t="s">
        <v>692</v>
      </c>
      <c r="D23" s="429">
        <f>IFERROR(MIN('LP Reactivos'!F23,'LP Reactivos'!I23,'LP Reactivos'!N23,'LP Reactivos'!S23,'LP Reactivos'!X23,'LP Reactivos'!AC23,'LP Reactivos'!AH23,'LP Reactivos'!AM23,'LP Reactivos'!AR23,'LP Reactivos'!AW23,'LP Reactivos'!BB23,'LP Reactivos'!BG23,'LP Reactivos'!BL23,'LP Reactivos'!BQ23,'LP Reactivos'!BV23,'LP Reactivos'!CA23,'LP Reactivos'!CF23,'LP Reactivos'!CK23,'LP Reactivos'!CP23,'LP Reactivos'!CU23,'LP Reactivos'!CZ23,'LP Reactivos'!DE23,'LP Reactivos'!DJ23,'LP Reactivos'!DO23,'LP Reactivos'!DT23,'LP Reactivos'!DY23,'LP Reactivos'!EB23)," ")</f>
        <v>94620</v>
      </c>
      <c r="E23" s="429">
        <f>IFERROR(AVERAGE('LP Reactivos'!F23,'LP Reactivos'!I23,'LP Reactivos'!N23,'LP Reactivos'!S23,'LP Reactivos'!X23,'LP Reactivos'!AC23,'LP Reactivos'!AH23,'LP Reactivos'!AM23,'LP Reactivos'!AR23,'LP Reactivos'!AW23,'LP Reactivos'!BB23,'LP Reactivos'!BG23,'LP Reactivos'!BL23,'LP Reactivos'!BQ23,'LP Reactivos'!BV23,'LP Reactivos'!CA23,'LP Reactivos'!CF23,'LP Reactivos'!CK23,'LP Reactivos'!CP23,'LP Reactivos'!CU23,'LP Reactivos'!CZ23,'LP Reactivos'!DE23,'LP Reactivos'!DJ23,'LP Reactivos'!DO23,'LP Reactivos'!DT23,'LP Reactivos'!DY23,'LP Reactivos'!EB23)," ")</f>
        <v>381021.4</v>
      </c>
      <c r="F23" s="345">
        <f>IFERROR(MEDIAN('LP Reactivos'!F23,'LP Reactivos'!I23,'LP Reactivos'!N23,'LP Reactivos'!S23,'LP Reactivos'!X23,'LP Reactivos'!AC23,'LP Reactivos'!AH23,'LP Reactivos'!AM23,'LP Reactivos'!AR23,'LP Reactivos'!AW23,'LP Reactivos'!BB23,'LP Reactivos'!BG23,'LP Reactivos'!BL23,'LP Reactivos'!BQ23,'LP Reactivos'!BV23,'LP Reactivos'!CA23,'LP Reactivos'!CF23,'LP Reactivos'!CK23,'LP Reactivos'!CP23,'LP Reactivos'!CU23,'LP Reactivos'!CZ23,'LP Reactivos'!DE23,'LP Reactivos'!DJ23,'LP Reactivos'!DO23,'LP Reactivos'!DT23,'LP Reactivos'!DY23,'LP Reactivos'!EB23)," ")</f>
        <v>162500</v>
      </c>
      <c r="G23" s="345">
        <f>IFERROR(GEOMEAN('LP Reactivos'!F23,'LP Reactivos'!I23,'LP Reactivos'!N23,'LP Reactivos'!S23,'LP Reactivos'!X23,'LP Reactivos'!AC23,'LP Reactivos'!AH23,'LP Reactivos'!AM23,'LP Reactivos'!AR23,'LP Reactivos'!AW23,'LP Reactivos'!BB23,'LP Reactivos'!BG23,'LP Reactivos'!BL23,'LP Reactivos'!BQ23,'LP Reactivos'!BV23,'LP Reactivos'!CA23,'LP Reactivos'!CF23,'LP Reactivos'!CK23,'LP Reactivos'!CP23,'LP Reactivos'!CU23,'LP Reactivos'!CZ23,'LP Reactivos'!DE23,'LP Reactivos'!DJ23,'LP Reactivos'!DO23,'LP Reactivos'!DT23,'LP Reactivos'!DY23,'LP Reactivos'!EB23)," ")</f>
        <v>240116.56215939534</v>
      </c>
      <c r="H23" s="345">
        <f t="shared" si="0"/>
        <v>122960.97356087326</v>
      </c>
      <c r="I23" s="346">
        <f t="shared" si="1"/>
        <v>0.32271408787242201</v>
      </c>
      <c r="J23" s="345">
        <f>IF(I23&lt;=10%,F23,IF(AND(I23&gt;10%,I23&lt;=20%),E23,IF(AND(I23&gt;20%,I23&lt;=33%),G23,IF(I23&gt;33%,D23))))</f>
        <v>240116.56215939534</v>
      </c>
      <c r="K23" s="344" t="str">
        <f>IF(J23=D23,"Menor Valor",IF(J23=E23,"Promedio",IF(J23=F23,"Mediana",IF(J23=G23,"Media Geométrica"," "))))</f>
        <v>Media Geométrica</v>
      </c>
      <c r="L23" s="326">
        <f>IFERROR(COUNTA('LP Reactivos'!F23,'LP Reactivos'!I23,'LP Reactivos'!N23,'LP Reactivos'!S23,'LP Reactivos'!X23,'LP Reactivos'!AC23,'LP Reactivos'!AH23,'LP Reactivos'!AM23,'LP Reactivos'!AR23,'LP Reactivos'!AW23,'LP Reactivos'!BB23,'LP Reactivos'!BG23,'LP Reactivos'!BL23,'LP Reactivos'!BQ23,'LP Reactivos'!BV23,'LP Reactivos'!CA23,'LP Reactivos'!CF23,'LP Reactivos'!CK23,'LP Reactivos'!CP23,'LP Reactivos'!CU23,'LP Reactivos'!CZ23,'LP Reactivos'!DE23,'LP Reactivos'!DJ23,'LP Reactivos'!DO23,'LP Reactivos'!DT23,'LP Reactivos'!DY23,'LP Reactivos'!EB23)," ")</f>
        <v>5</v>
      </c>
    </row>
    <row r="24" spans="2:12" ht="27" x14ac:dyDescent="0.25">
      <c r="B24" s="425">
        <v>22</v>
      </c>
      <c r="C24" s="413" t="s">
        <v>697</v>
      </c>
      <c r="D24" s="429">
        <f>IFERROR(MIN('LP Reactivos'!F24,'LP Reactivos'!I24,'LP Reactivos'!N24,'LP Reactivos'!S24,'LP Reactivos'!X24,'LP Reactivos'!AC24,'LP Reactivos'!AH24,'LP Reactivos'!AM24,'LP Reactivos'!AR24,'LP Reactivos'!AW24,'LP Reactivos'!BB24,'LP Reactivos'!BG24,'LP Reactivos'!BL24,'LP Reactivos'!BQ24,'LP Reactivos'!BV24,'LP Reactivos'!CA24,'LP Reactivos'!CF24,'LP Reactivos'!CK24,'LP Reactivos'!CP24,'LP Reactivos'!CU24,'LP Reactivos'!CZ24,'LP Reactivos'!DE24,'LP Reactivos'!DJ24,'LP Reactivos'!DO24,'LP Reactivos'!DT24,'LP Reactivos'!DY24,'LP Reactivos'!EB24)," ")</f>
        <v>250292.7</v>
      </c>
      <c r="E24" s="429">
        <f>IFERROR(AVERAGE('LP Reactivos'!F24,'LP Reactivos'!I24,'LP Reactivos'!N24,'LP Reactivos'!S24,'LP Reactivos'!X24,'LP Reactivos'!AC24,'LP Reactivos'!AH24,'LP Reactivos'!AM24,'LP Reactivos'!AR24,'LP Reactivos'!AW24,'LP Reactivos'!BB24,'LP Reactivos'!BG24,'LP Reactivos'!BL24,'LP Reactivos'!BQ24,'LP Reactivos'!BV24,'LP Reactivos'!CA24,'LP Reactivos'!CF24,'LP Reactivos'!CK24,'LP Reactivos'!CP24,'LP Reactivos'!CU24,'LP Reactivos'!CZ24,'LP Reactivos'!DE24,'LP Reactivos'!DJ24,'LP Reactivos'!DO24,'LP Reactivos'!DT24,'LP Reactivos'!DY24,'LP Reactivos'!EB24)," ")</f>
        <v>377957.40733333334</v>
      </c>
      <c r="F24" s="345">
        <f>IFERROR(MEDIAN('LP Reactivos'!F24,'LP Reactivos'!I24,'LP Reactivos'!N24,'LP Reactivos'!S24,'LP Reactivos'!X24,'LP Reactivos'!AC24,'LP Reactivos'!AH24,'LP Reactivos'!AM24,'LP Reactivos'!AR24,'LP Reactivos'!AW24,'LP Reactivos'!BB24,'LP Reactivos'!BG24,'LP Reactivos'!BL24,'LP Reactivos'!BQ24,'LP Reactivos'!BV24,'LP Reactivos'!CA24,'LP Reactivos'!CF24,'LP Reactivos'!CK24,'LP Reactivos'!CP24,'LP Reactivos'!CU24,'LP Reactivos'!CZ24,'LP Reactivos'!DE24,'LP Reactivos'!DJ24,'LP Reactivos'!DO24,'LP Reactivos'!DT24,'LP Reactivos'!DY24,'LP Reactivos'!EB24)," ")</f>
        <v>359640.37199999997</v>
      </c>
      <c r="G24" s="345">
        <f>IFERROR(GEOMEAN('LP Reactivos'!F24,'LP Reactivos'!I24,'LP Reactivos'!N24,'LP Reactivos'!S24,'LP Reactivos'!X24,'LP Reactivos'!AC24,'LP Reactivos'!AH24,'LP Reactivos'!AM24,'LP Reactivos'!AR24,'LP Reactivos'!AW24,'LP Reactivos'!BB24,'LP Reactivos'!BG24,'LP Reactivos'!BL24,'LP Reactivos'!BQ24,'LP Reactivos'!BV24,'LP Reactivos'!CA24,'LP Reactivos'!CF24,'LP Reactivos'!CK24,'LP Reactivos'!CP24,'LP Reactivos'!CU24,'LP Reactivos'!CZ24,'LP Reactivos'!DE24,'LP Reactivos'!DJ24,'LP Reactivos'!DO24,'LP Reactivos'!DT24,'LP Reactivos'!DY24,'LP Reactivos'!EB24)," ")</f>
        <v>359243.81752904807</v>
      </c>
      <c r="H24" s="345">
        <f t="shared" si="0"/>
        <v>58317.669108775423</v>
      </c>
      <c r="I24" s="346">
        <f t="shared" si="1"/>
        <v>0.15429693393293681</v>
      </c>
      <c r="J24" s="345">
        <f t="shared" si="2"/>
        <v>377957.40733333334</v>
      </c>
      <c r="K24" s="344" t="str">
        <f t="shared" si="3"/>
        <v>Promedio</v>
      </c>
      <c r="L24" s="326">
        <f>IFERROR(COUNTA('LP Reactivos'!F24,'LP Reactivos'!I24,'LP Reactivos'!N24,'LP Reactivos'!S24,'LP Reactivos'!X24,'LP Reactivos'!AC24,'LP Reactivos'!AH24,'LP Reactivos'!AM24,'LP Reactivos'!AR24,'LP Reactivos'!AW24,'LP Reactivos'!BB24,'LP Reactivos'!BG24,'LP Reactivos'!BL24,'LP Reactivos'!BQ24,'LP Reactivos'!BV24,'LP Reactivos'!CA24,'LP Reactivos'!CF24,'LP Reactivos'!CK24,'LP Reactivos'!CP24,'LP Reactivos'!CU24,'LP Reactivos'!CZ24,'LP Reactivos'!DE24,'LP Reactivos'!DJ24,'LP Reactivos'!DO24,'LP Reactivos'!DT24,'LP Reactivos'!DY24,'LP Reactivos'!EB24)," ")</f>
        <v>6</v>
      </c>
    </row>
    <row r="25" spans="2:12" x14ac:dyDescent="0.25">
      <c r="B25" s="425">
        <v>23</v>
      </c>
      <c r="C25" s="427" t="s">
        <v>703</v>
      </c>
      <c r="D25" s="429">
        <f>IFERROR(MIN('LP Reactivos'!F25,'LP Reactivos'!I25,'LP Reactivos'!N25,'LP Reactivos'!S25,'LP Reactivos'!X25,'LP Reactivos'!AC25,'LP Reactivos'!AH25,'LP Reactivos'!AM25,'LP Reactivos'!AR25,'LP Reactivos'!AW25,'LP Reactivos'!BB25,'LP Reactivos'!BG25,'LP Reactivos'!BL25,'LP Reactivos'!BQ25,'LP Reactivos'!BV25,'LP Reactivos'!CA25,'LP Reactivos'!CF25,'LP Reactivos'!CK25,'LP Reactivos'!CP25,'LP Reactivos'!CU25,'LP Reactivos'!CZ25,'LP Reactivos'!DE25,'LP Reactivos'!DJ25,'LP Reactivos'!DO25,'LP Reactivos'!DT25,'LP Reactivos'!DY25,'LP Reactivos'!EB25)," ")</f>
        <v>286790</v>
      </c>
      <c r="E25" s="429">
        <f>IFERROR(AVERAGE('LP Reactivos'!F25,'LP Reactivos'!I25,'LP Reactivos'!N25,'LP Reactivos'!S25,'LP Reactivos'!X25,'LP Reactivos'!AC25,'LP Reactivos'!AH25,'LP Reactivos'!AM25,'LP Reactivos'!AR25,'LP Reactivos'!AW25,'LP Reactivos'!BB25,'LP Reactivos'!BG25,'LP Reactivos'!BL25,'LP Reactivos'!BQ25,'LP Reactivos'!BV25,'LP Reactivos'!CA25,'LP Reactivos'!CF25,'LP Reactivos'!CK25,'LP Reactivos'!CP25,'LP Reactivos'!CU25,'LP Reactivos'!CZ25,'LP Reactivos'!DE25,'LP Reactivos'!DJ25,'LP Reactivos'!DO25,'LP Reactivos'!DT25,'LP Reactivos'!DY25,'LP Reactivos'!EB25)," ")</f>
        <v>384065.71166666667</v>
      </c>
      <c r="F25" s="345">
        <f>IFERROR(MEDIAN('LP Reactivos'!F25,'LP Reactivos'!I25,'LP Reactivos'!N25,'LP Reactivos'!S25,'LP Reactivos'!X25,'LP Reactivos'!AC25,'LP Reactivos'!AH25,'LP Reactivos'!AM25,'LP Reactivos'!AR25,'LP Reactivos'!AW25,'LP Reactivos'!BB25,'LP Reactivos'!BG25,'LP Reactivos'!BL25,'LP Reactivos'!BQ25,'LP Reactivos'!BV25,'LP Reactivos'!CA25,'LP Reactivos'!CF25,'LP Reactivos'!CK25,'LP Reactivos'!CP25,'LP Reactivos'!CU25,'LP Reactivos'!CZ25,'LP Reactivos'!DE25,'LP Reactivos'!DJ25,'LP Reactivos'!DO25,'LP Reactivos'!DT25,'LP Reactivos'!DY25,'LP Reactivos'!EB25)," ")</f>
        <v>364457</v>
      </c>
      <c r="G25" s="345">
        <f>IFERROR(GEOMEAN('LP Reactivos'!F25,'LP Reactivos'!I25,'LP Reactivos'!N25,'LP Reactivos'!S25,'LP Reactivos'!X25,'LP Reactivos'!AC25,'LP Reactivos'!AH25,'LP Reactivos'!AM25,'LP Reactivos'!AR25,'LP Reactivos'!AW25,'LP Reactivos'!BB25,'LP Reactivos'!BG25,'LP Reactivos'!BL25,'LP Reactivos'!BQ25,'LP Reactivos'!BV25,'LP Reactivos'!CA25,'LP Reactivos'!CF25,'LP Reactivos'!CK25,'LP Reactivos'!CP25,'LP Reactivos'!CU25,'LP Reactivos'!CZ25,'LP Reactivos'!DE25,'LP Reactivos'!DJ25,'LP Reactivos'!DO25,'LP Reactivos'!DT25,'LP Reactivos'!DY25,'LP Reactivos'!EB25)," ")</f>
        <v>375350.10207450774</v>
      </c>
      <c r="H25" s="345">
        <f t="shared" si="0"/>
        <v>44643.720858685097</v>
      </c>
      <c r="I25" s="346">
        <f t="shared" si="1"/>
        <v>0.11623979830157735</v>
      </c>
      <c r="J25" s="345">
        <f t="shared" si="2"/>
        <v>384065.71166666667</v>
      </c>
      <c r="K25" s="344" t="str">
        <f t="shared" si="3"/>
        <v>Promedio</v>
      </c>
      <c r="L25" s="326">
        <f>IFERROR(COUNTA('LP Reactivos'!F25,'LP Reactivos'!I25,'LP Reactivos'!N25,'LP Reactivos'!S25,'LP Reactivos'!X25,'LP Reactivos'!AC25,'LP Reactivos'!AH25,'LP Reactivos'!AM25,'LP Reactivos'!AR25,'LP Reactivos'!AW25,'LP Reactivos'!BB25,'LP Reactivos'!BG25,'LP Reactivos'!BL25,'LP Reactivos'!BQ25,'LP Reactivos'!BV25,'LP Reactivos'!CA25,'LP Reactivos'!CF25,'LP Reactivos'!CK25,'LP Reactivos'!CP25,'LP Reactivos'!CU25,'LP Reactivos'!CZ25,'LP Reactivos'!DE25,'LP Reactivos'!DJ25,'LP Reactivos'!DO25,'LP Reactivos'!DT25,'LP Reactivos'!DY25,'LP Reactivos'!EB25)," ")</f>
        <v>6</v>
      </c>
    </row>
    <row r="26" spans="2:12" x14ac:dyDescent="0.25">
      <c r="B26" s="425">
        <v>24</v>
      </c>
      <c r="C26" s="428" t="s">
        <v>708</v>
      </c>
      <c r="D26" s="429">
        <f>IFERROR(MIN('LP Reactivos'!F26,'LP Reactivos'!I26,'LP Reactivos'!N26,'LP Reactivos'!S26,'LP Reactivos'!X26,'LP Reactivos'!AC26,'LP Reactivos'!AH26,'LP Reactivos'!AM26,'LP Reactivos'!AR26,'LP Reactivos'!AW26,'LP Reactivos'!BB26,'LP Reactivos'!BG26,'LP Reactivos'!BL26,'LP Reactivos'!BQ26,'LP Reactivos'!BV26,'LP Reactivos'!CA26,'LP Reactivos'!CF26,'LP Reactivos'!CK26,'LP Reactivos'!CP26,'LP Reactivos'!CU26,'LP Reactivos'!CZ26,'LP Reactivos'!DE26,'LP Reactivos'!DJ26,'LP Reactivos'!DO26,'LP Reactivos'!DT26,'LP Reactivos'!DY26,'LP Reactivos'!EB26)," ")</f>
        <v>218960</v>
      </c>
      <c r="E26" s="429">
        <f>IFERROR(AVERAGE('LP Reactivos'!F26,'LP Reactivos'!I26,'LP Reactivos'!N26,'LP Reactivos'!S26,'LP Reactivos'!X26,'LP Reactivos'!AC26,'LP Reactivos'!AH26,'LP Reactivos'!AM26,'LP Reactivos'!AR26,'LP Reactivos'!AW26,'LP Reactivos'!BB26,'LP Reactivos'!BG26,'LP Reactivos'!BL26,'LP Reactivos'!BQ26,'LP Reactivos'!BV26,'LP Reactivos'!CA26,'LP Reactivos'!CF26,'LP Reactivos'!CK26,'LP Reactivos'!CP26,'LP Reactivos'!CU26,'LP Reactivos'!CZ26,'LP Reactivos'!DE26,'LP Reactivos'!DJ26,'LP Reactivos'!DO26,'LP Reactivos'!DT26,'LP Reactivos'!DY26,'LP Reactivos'!EB26)," ")</f>
        <v>218960</v>
      </c>
      <c r="F26" s="345">
        <f>IFERROR(MEDIAN('LP Reactivos'!F26,'LP Reactivos'!I26,'LP Reactivos'!N26,'LP Reactivos'!S26,'LP Reactivos'!X26,'LP Reactivos'!AC26,'LP Reactivos'!AH26,'LP Reactivos'!AM26,'LP Reactivos'!AR26,'LP Reactivos'!AW26,'LP Reactivos'!BB26,'LP Reactivos'!BG26,'LP Reactivos'!BL26,'LP Reactivos'!BQ26,'LP Reactivos'!BV26,'LP Reactivos'!CA26,'LP Reactivos'!CF26,'LP Reactivos'!CK26,'LP Reactivos'!CP26,'LP Reactivos'!CU26,'LP Reactivos'!CZ26,'LP Reactivos'!DE26,'LP Reactivos'!DJ26,'LP Reactivos'!DO26,'LP Reactivos'!DT26,'LP Reactivos'!DY26,'LP Reactivos'!EB26)," ")</f>
        <v>218960</v>
      </c>
      <c r="G26" s="345">
        <f>IFERROR(GEOMEAN('LP Reactivos'!F26,'LP Reactivos'!I26,'LP Reactivos'!N26,'LP Reactivos'!S26,'LP Reactivos'!X26,'LP Reactivos'!AC26,'LP Reactivos'!AH26,'LP Reactivos'!AM26,'LP Reactivos'!AR26,'LP Reactivos'!AW26,'LP Reactivos'!BB26,'LP Reactivos'!BG26,'LP Reactivos'!BL26,'LP Reactivos'!BQ26,'LP Reactivos'!BV26,'LP Reactivos'!CA26,'LP Reactivos'!CF26,'LP Reactivos'!CK26,'LP Reactivos'!CP26,'LP Reactivos'!CU26,'LP Reactivos'!CZ26,'LP Reactivos'!DE26,'LP Reactivos'!DJ26,'LP Reactivos'!DO26,'LP Reactivos'!DT26,'LP Reactivos'!DY26,'LP Reactivos'!EB26)," ")</f>
        <v>218960</v>
      </c>
      <c r="H26" s="345">
        <f t="shared" si="0"/>
        <v>0</v>
      </c>
      <c r="I26" s="346">
        <f t="shared" si="1"/>
        <v>0</v>
      </c>
      <c r="J26" s="345">
        <f t="shared" si="2"/>
        <v>218960</v>
      </c>
      <c r="K26" s="344" t="str">
        <f>IF(J26=D26,"Menor Valor",IF(J26=E26,"Promedio",IF(J26=F26,"Mediana",IF(J26=G26,"Media Geométrica"," "))))</f>
        <v>Menor Valor</v>
      </c>
      <c r="L26" s="326">
        <f>IFERROR(COUNTA('LP Reactivos'!F26,'LP Reactivos'!I26,'LP Reactivos'!N26,'LP Reactivos'!S26,'LP Reactivos'!X26,'LP Reactivos'!AC26,'LP Reactivos'!AH26,'LP Reactivos'!AM26,'LP Reactivos'!AR26,'LP Reactivos'!AW26,'LP Reactivos'!BB26,'LP Reactivos'!BG26,'LP Reactivos'!BL26,'LP Reactivos'!BQ26,'LP Reactivos'!BV26,'LP Reactivos'!CA26,'LP Reactivos'!CF26,'LP Reactivos'!CK26,'LP Reactivos'!CP26,'LP Reactivos'!CU26,'LP Reactivos'!CZ26,'LP Reactivos'!DE26,'LP Reactivos'!DJ26,'LP Reactivos'!DO26,'LP Reactivos'!DT26,'LP Reactivos'!DY26,'LP Reactivos'!EB26)," ")</f>
        <v>1</v>
      </c>
    </row>
    <row r="27" spans="2:12" x14ac:dyDescent="0.25">
      <c r="B27" s="425">
        <v>25</v>
      </c>
      <c r="C27" s="427" t="s">
        <v>711</v>
      </c>
      <c r="D27" s="429">
        <f>IFERROR(MIN('LP Reactivos'!F27,'LP Reactivos'!I27,'LP Reactivos'!N27,'LP Reactivos'!S27,'LP Reactivos'!X27,'LP Reactivos'!AC27,'LP Reactivos'!AH27,'LP Reactivos'!AM27,'LP Reactivos'!AR27,'LP Reactivos'!AW27,'LP Reactivos'!BB27,'LP Reactivos'!BG27,'LP Reactivos'!BL27,'LP Reactivos'!BQ27,'LP Reactivos'!BV27,'LP Reactivos'!CA27,'LP Reactivos'!CF27,'LP Reactivos'!CK27,'LP Reactivos'!CP27,'LP Reactivos'!CU27,'LP Reactivos'!CZ27,'LP Reactivos'!DE27,'LP Reactivos'!DJ27,'LP Reactivos'!DO27,'LP Reactivos'!DT27,'LP Reactivos'!DY27,'LP Reactivos'!EB27)," ")</f>
        <v>126140</v>
      </c>
      <c r="E27" s="429">
        <f>IFERROR(AVERAGE('LP Reactivos'!F27,'LP Reactivos'!I27,'LP Reactivos'!N27,'LP Reactivos'!S27,'LP Reactivos'!X27,'LP Reactivos'!AC27,'LP Reactivos'!AH27,'LP Reactivos'!AM27,'LP Reactivos'!AR27,'LP Reactivos'!AW27,'LP Reactivos'!BB27,'LP Reactivos'!BG27,'LP Reactivos'!BL27,'LP Reactivos'!BQ27,'LP Reactivos'!BV27,'LP Reactivos'!CA27,'LP Reactivos'!CF27,'LP Reactivos'!CK27,'LP Reactivos'!CP27,'LP Reactivos'!CU27,'LP Reactivos'!CZ27,'LP Reactivos'!DE27,'LP Reactivos'!DJ27,'LP Reactivos'!DO27,'LP Reactivos'!DT27,'LP Reactivos'!DY27,'LP Reactivos'!EB27)," ")</f>
        <v>174381.17749999999</v>
      </c>
      <c r="F27" s="345">
        <f>IFERROR(MEDIAN('LP Reactivos'!F27,'LP Reactivos'!I27,'LP Reactivos'!N27,'LP Reactivos'!S27,'LP Reactivos'!X27,'LP Reactivos'!AC27,'LP Reactivos'!AH27,'LP Reactivos'!AM27,'LP Reactivos'!AR27,'LP Reactivos'!AW27,'LP Reactivos'!BB27,'LP Reactivos'!BG27,'LP Reactivos'!BL27,'LP Reactivos'!BQ27,'LP Reactivos'!BV27,'LP Reactivos'!CA27,'LP Reactivos'!CF27,'LP Reactivos'!CK27,'LP Reactivos'!CP27,'LP Reactivos'!CU27,'LP Reactivos'!CZ27,'LP Reactivos'!DE27,'LP Reactivos'!DJ27,'LP Reactivos'!DO27,'LP Reactivos'!DT27,'LP Reactivos'!DY27,'LP Reactivos'!EB27)," ")</f>
        <v>167116.46000000002</v>
      </c>
      <c r="G27" s="345">
        <f>IFERROR(GEOMEAN('LP Reactivos'!F27,'LP Reactivos'!I27,'LP Reactivos'!N27,'LP Reactivos'!S27,'LP Reactivos'!X27,'LP Reactivos'!AC27,'LP Reactivos'!AH27,'LP Reactivos'!AM27,'LP Reactivos'!AR27,'LP Reactivos'!AW27,'LP Reactivos'!BB27,'LP Reactivos'!BG27,'LP Reactivos'!BL27,'LP Reactivos'!BQ27,'LP Reactivos'!BV27,'LP Reactivos'!CA27,'LP Reactivos'!CF27,'LP Reactivos'!CK27,'LP Reactivos'!CP27,'LP Reactivos'!CU27,'LP Reactivos'!CZ27,'LP Reactivos'!DE27,'LP Reactivos'!DJ27,'LP Reactivos'!DO27,'LP Reactivos'!DT27,'LP Reactivos'!DY27,'LP Reactivos'!EB27)," ")</f>
        <v>170873.31459309434</v>
      </c>
      <c r="H27" s="345">
        <f t="shared" si="0"/>
        <v>22521.371506054933</v>
      </c>
      <c r="I27" s="346">
        <f t="shared" si="1"/>
        <v>0.1291502433286123</v>
      </c>
      <c r="J27" s="345">
        <f t="shared" si="2"/>
        <v>174381.17749999999</v>
      </c>
      <c r="K27" s="344" t="str">
        <f t="shared" si="3"/>
        <v>Promedio</v>
      </c>
      <c r="L27" s="326">
        <f>IFERROR(COUNTA('LP Reactivos'!F27,'LP Reactivos'!I27,'LP Reactivos'!N27,'LP Reactivos'!S27,'LP Reactivos'!X27,'LP Reactivos'!AC27,'LP Reactivos'!AH27,'LP Reactivos'!AM27,'LP Reactivos'!AR27,'LP Reactivos'!AW27,'LP Reactivos'!BB27,'LP Reactivos'!BG27,'LP Reactivos'!BL27,'LP Reactivos'!BQ27,'LP Reactivos'!BV27,'LP Reactivos'!CA27,'LP Reactivos'!CF27,'LP Reactivos'!CK27,'LP Reactivos'!CP27,'LP Reactivos'!CU27,'LP Reactivos'!CZ27,'LP Reactivos'!DE27,'LP Reactivos'!DJ27,'LP Reactivos'!DO27,'LP Reactivos'!DT27,'LP Reactivos'!DY27,'LP Reactivos'!EB27)," ")</f>
        <v>8</v>
      </c>
    </row>
    <row r="28" spans="2:12" ht="27" x14ac:dyDescent="0.25">
      <c r="B28" s="425">
        <v>26</v>
      </c>
      <c r="C28" s="427" t="s">
        <v>716</v>
      </c>
      <c r="D28" s="429">
        <f>IFERROR(MIN('LP Reactivos'!F28,'LP Reactivos'!I28,'LP Reactivos'!N28,'LP Reactivos'!S28,'LP Reactivos'!X28,'LP Reactivos'!AC28,'LP Reactivos'!AH28,'LP Reactivos'!AM28,'LP Reactivos'!AR28,'LP Reactivos'!AW28,'LP Reactivos'!BB28,'LP Reactivos'!BG28,'LP Reactivos'!BL28,'LP Reactivos'!BQ28,'LP Reactivos'!BV28,'LP Reactivos'!CA28,'LP Reactivos'!CF28,'LP Reactivos'!CK28,'LP Reactivos'!CP28,'LP Reactivos'!CU28,'LP Reactivos'!CZ28,'LP Reactivos'!DE28,'LP Reactivos'!DJ28,'LP Reactivos'!DO28,'LP Reactivos'!DT28,'LP Reactivos'!DY28,'LP Reactivos'!EB28)," ")</f>
        <v>260467.20000000001</v>
      </c>
      <c r="E28" s="429">
        <f>IFERROR(AVERAGE('LP Reactivos'!F28,'LP Reactivos'!I28,'LP Reactivos'!N28,'LP Reactivos'!S28,'LP Reactivos'!X28,'LP Reactivos'!AC28,'LP Reactivos'!AH28,'LP Reactivos'!AM28,'LP Reactivos'!AR28,'LP Reactivos'!AW28,'LP Reactivos'!BB28,'LP Reactivos'!BG28,'LP Reactivos'!BL28,'LP Reactivos'!BQ28,'LP Reactivos'!BV28,'LP Reactivos'!CA28,'LP Reactivos'!CF28,'LP Reactivos'!CK28,'LP Reactivos'!CP28,'LP Reactivos'!CU28,'LP Reactivos'!CZ28,'LP Reactivos'!DE28,'LP Reactivos'!DJ28,'LP Reactivos'!DO28,'LP Reactivos'!DT28,'LP Reactivos'!DY28,'LP Reactivos'!EB28)," ")</f>
        <v>358216.14600000001</v>
      </c>
      <c r="F28" s="345">
        <f>IFERROR(MEDIAN('LP Reactivos'!F28,'LP Reactivos'!I28,'LP Reactivos'!N28,'LP Reactivos'!S28,'LP Reactivos'!X28,'LP Reactivos'!AC28,'LP Reactivos'!AH28,'LP Reactivos'!AM28,'LP Reactivos'!AR28,'LP Reactivos'!AW28,'LP Reactivos'!BB28,'LP Reactivos'!BG28,'LP Reactivos'!BL28,'LP Reactivos'!BQ28,'LP Reactivos'!BV28,'LP Reactivos'!CA28,'LP Reactivos'!CF28,'LP Reactivos'!CK28,'LP Reactivos'!CP28,'LP Reactivos'!CU28,'LP Reactivos'!CZ28,'LP Reactivos'!DE28,'LP Reactivos'!DJ28,'LP Reactivos'!DO28,'LP Reactivos'!DT28,'LP Reactivos'!DY28,'LP Reactivos'!EB28)," ")</f>
        <v>331228</v>
      </c>
      <c r="G28" s="345">
        <f>IFERROR(GEOMEAN('LP Reactivos'!F28,'LP Reactivos'!I28,'LP Reactivos'!N28,'LP Reactivos'!S28,'LP Reactivos'!X28,'LP Reactivos'!AC28,'LP Reactivos'!AH28,'LP Reactivos'!AM28,'LP Reactivos'!AR28,'LP Reactivos'!AW28,'LP Reactivos'!BB28,'LP Reactivos'!BG28,'LP Reactivos'!BL28,'LP Reactivos'!BQ28,'LP Reactivos'!BV28,'LP Reactivos'!CA28,'LP Reactivos'!CF28,'LP Reactivos'!CK28,'LP Reactivos'!CP28,'LP Reactivos'!CU28,'LP Reactivos'!CZ28,'LP Reactivos'!DE28,'LP Reactivos'!DJ28,'LP Reactivos'!DO28,'LP Reactivos'!DT28,'LP Reactivos'!DY28,'LP Reactivos'!EB28)," ")</f>
        <v>347235.7498034804</v>
      </c>
      <c r="H28" s="345">
        <f t="shared" si="0"/>
        <v>43965.806481354208</v>
      </c>
      <c r="I28" s="346">
        <f t="shared" si="1"/>
        <v>0.12273541260575732</v>
      </c>
      <c r="J28" s="345">
        <f t="shared" si="2"/>
        <v>358216.14600000001</v>
      </c>
      <c r="K28" s="344" t="str">
        <f t="shared" si="3"/>
        <v>Promedio</v>
      </c>
      <c r="L28" s="326">
        <f>IFERROR(COUNTA('LP Reactivos'!F28,'LP Reactivos'!I28,'LP Reactivos'!N28,'LP Reactivos'!S28,'LP Reactivos'!X28,'LP Reactivos'!AC28,'LP Reactivos'!AH28,'LP Reactivos'!AM28,'LP Reactivos'!AR28,'LP Reactivos'!AW28,'LP Reactivos'!BB28,'LP Reactivos'!BG28,'LP Reactivos'!BL28,'LP Reactivos'!BQ28,'LP Reactivos'!BV28,'LP Reactivos'!CA28,'LP Reactivos'!CF28,'LP Reactivos'!CK28,'LP Reactivos'!CP28,'LP Reactivos'!CU28,'LP Reactivos'!CZ28,'LP Reactivos'!DE28,'LP Reactivos'!DJ28,'LP Reactivos'!DO28,'LP Reactivos'!DT28,'LP Reactivos'!DY28,'LP Reactivos'!EB28)," ")</f>
        <v>5</v>
      </c>
    </row>
    <row r="29" spans="2:12" ht="27" x14ac:dyDescent="0.25">
      <c r="B29" s="425">
        <v>27</v>
      </c>
      <c r="C29" s="427" t="s">
        <v>719</v>
      </c>
      <c r="D29" s="429">
        <f>IFERROR(MIN('LP Reactivos'!F29,'LP Reactivos'!I29,'LP Reactivos'!N29,'LP Reactivos'!S29,'LP Reactivos'!X29,'LP Reactivos'!AC29,'LP Reactivos'!AH29,'LP Reactivos'!AM29,'LP Reactivos'!AR29,'LP Reactivos'!AW29,'LP Reactivos'!BB29,'LP Reactivos'!BG29,'LP Reactivos'!BL29,'LP Reactivos'!BQ29,'LP Reactivos'!BV29,'LP Reactivos'!CA29,'LP Reactivos'!CF29,'LP Reactivos'!CK29,'LP Reactivos'!CP29,'LP Reactivos'!CU29,'LP Reactivos'!CZ29,'LP Reactivos'!DE29,'LP Reactivos'!DJ29,'LP Reactivos'!DO29,'LP Reactivos'!DT29,'LP Reactivos'!DY29,'LP Reactivos'!EB29)," ")</f>
        <v>196350</v>
      </c>
      <c r="E29" s="429">
        <f>IFERROR(AVERAGE('LP Reactivos'!F29,'LP Reactivos'!I29,'LP Reactivos'!N29,'LP Reactivos'!S29,'LP Reactivos'!X29,'LP Reactivos'!AC29,'LP Reactivos'!AH29,'LP Reactivos'!AM29,'LP Reactivos'!AR29,'LP Reactivos'!AW29,'LP Reactivos'!BB29,'LP Reactivos'!BG29,'LP Reactivos'!BL29,'LP Reactivos'!BQ29,'LP Reactivos'!BV29,'LP Reactivos'!CA29,'LP Reactivos'!CF29,'LP Reactivos'!CK29,'LP Reactivos'!CP29,'LP Reactivos'!CU29,'LP Reactivos'!CZ29,'LP Reactivos'!DE29,'LP Reactivos'!DJ29,'LP Reactivos'!DO29,'LP Reactivos'!DT29,'LP Reactivos'!DY29,'LP Reactivos'!EB29)," ")</f>
        <v>775559.5</v>
      </c>
      <c r="F29" s="345">
        <f>IFERROR(MEDIAN('LP Reactivos'!F29,'LP Reactivos'!I29,'LP Reactivos'!N29,'LP Reactivos'!S29,'LP Reactivos'!X29,'LP Reactivos'!AC29,'LP Reactivos'!AH29,'LP Reactivos'!AM29,'LP Reactivos'!AR29,'LP Reactivos'!AW29,'LP Reactivos'!BB29,'LP Reactivos'!BG29,'LP Reactivos'!BL29,'LP Reactivos'!BQ29,'LP Reactivos'!BV29,'LP Reactivos'!CA29,'LP Reactivos'!CF29,'LP Reactivos'!CK29,'LP Reactivos'!CP29,'LP Reactivos'!CU29,'LP Reactivos'!CZ29,'LP Reactivos'!DE29,'LP Reactivos'!DJ29,'LP Reactivos'!DO29,'LP Reactivos'!DT29,'LP Reactivos'!DY29,'LP Reactivos'!EB29)," ")</f>
        <v>775559.5</v>
      </c>
      <c r="G29" s="345">
        <f>IFERROR(GEOMEAN('LP Reactivos'!F29,'LP Reactivos'!I29,'LP Reactivos'!N29,'LP Reactivos'!S29,'LP Reactivos'!X29,'LP Reactivos'!AC29,'LP Reactivos'!AH29,'LP Reactivos'!AM29,'LP Reactivos'!AR29,'LP Reactivos'!AW29,'LP Reactivos'!BB29,'LP Reactivos'!BG29,'LP Reactivos'!BL29,'LP Reactivos'!BQ29,'LP Reactivos'!BV29,'LP Reactivos'!CA29,'LP Reactivos'!CF29,'LP Reactivos'!CK29,'LP Reactivos'!CP29,'LP Reactivos'!CU29,'LP Reactivos'!CZ29,'LP Reactivos'!DE29,'LP Reactivos'!DJ29,'LP Reactivos'!DO29,'LP Reactivos'!DT29,'LP Reactivos'!DY29,'LP Reactivos'!EB29)," ")</f>
        <v>515760.49979617476</v>
      </c>
      <c r="H29" s="345">
        <f t="shared" si="0"/>
        <v>275072.92944695527</v>
      </c>
      <c r="I29" s="346">
        <f t="shared" si="1"/>
        <v>0.35467675845238861</v>
      </c>
      <c r="J29" s="345">
        <f>IF(I29&lt;=10%,F29,IF(AND(I29&gt;10%,I29&lt;=20%),E29,IF(AND(I29&gt;20%,I29&lt;=36%),G29,IF(I29&gt;36%,D29))))</f>
        <v>515760.49979617476</v>
      </c>
      <c r="K29" s="344" t="str">
        <f>IF(J29=D29,"Menor Valor",IF(J29=E29,"Promedio",IF(J29=F29,"Mediana",IF(J29=G29,"Media Geométrica"," "))))</f>
        <v>Media Geométrica</v>
      </c>
      <c r="L29" s="326">
        <f>IFERROR(COUNTA('LP Reactivos'!F29,'LP Reactivos'!I29,'LP Reactivos'!N29,'LP Reactivos'!S29,'LP Reactivos'!X29,'LP Reactivos'!AC29,'LP Reactivos'!AH29,'LP Reactivos'!AM29,'LP Reactivos'!AR29,'LP Reactivos'!AW29,'LP Reactivos'!BB29,'LP Reactivos'!BG29,'LP Reactivos'!BL29,'LP Reactivos'!BQ29,'LP Reactivos'!BV29,'LP Reactivos'!CA29,'LP Reactivos'!CF29,'LP Reactivos'!CK29,'LP Reactivos'!CP29,'LP Reactivos'!CU29,'LP Reactivos'!CZ29,'LP Reactivos'!DE29,'LP Reactivos'!DJ29,'LP Reactivos'!DO29,'LP Reactivos'!DT29,'LP Reactivos'!DY29,'LP Reactivos'!EB29)," ")</f>
        <v>2</v>
      </c>
    </row>
    <row r="30" spans="2:12" x14ac:dyDescent="0.25">
      <c r="B30" s="425">
        <v>28</v>
      </c>
      <c r="C30" s="427" t="s">
        <v>722</v>
      </c>
      <c r="D30" s="429">
        <f>IFERROR(MIN('LP Reactivos'!F30,'LP Reactivos'!I30,'LP Reactivos'!N30,'LP Reactivos'!S30,'LP Reactivos'!X30,'LP Reactivos'!AC30,'LP Reactivos'!AH30,'LP Reactivos'!AM30,'LP Reactivos'!AR30,'LP Reactivos'!AW30,'LP Reactivos'!BB30,'LP Reactivos'!BG30,'LP Reactivos'!BL30,'LP Reactivos'!BQ30,'LP Reactivos'!BV30,'LP Reactivos'!CA30,'LP Reactivos'!CF30,'LP Reactivos'!CK30,'LP Reactivos'!CP30,'LP Reactivos'!CU30,'LP Reactivos'!CZ30,'LP Reactivos'!DE30,'LP Reactivos'!DJ30,'LP Reactivos'!DO30,'LP Reactivos'!DT30,'LP Reactivos'!DY30,'LP Reactivos'!EB30)," ")</f>
        <v>215687.5</v>
      </c>
      <c r="E30" s="429">
        <f>IFERROR(AVERAGE('LP Reactivos'!F30,'LP Reactivos'!I30,'LP Reactivos'!N30,'LP Reactivos'!S30,'LP Reactivos'!X30,'LP Reactivos'!AC30,'LP Reactivos'!AH30,'LP Reactivos'!AM30,'LP Reactivos'!AR30,'LP Reactivos'!AW30,'LP Reactivos'!BB30,'LP Reactivos'!BG30,'LP Reactivos'!BL30,'LP Reactivos'!BQ30,'LP Reactivos'!BV30,'LP Reactivos'!CA30,'LP Reactivos'!CF30,'LP Reactivos'!CK30,'LP Reactivos'!CP30,'LP Reactivos'!CU30,'LP Reactivos'!CZ30,'LP Reactivos'!DE30,'LP Reactivos'!DJ30,'LP Reactivos'!DO30,'LP Reactivos'!DT30,'LP Reactivos'!DY30,'LP Reactivos'!EB30)," ")</f>
        <v>728263.04249999998</v>
      </c>
      <c r="F30" s="345">
        <f>IFERROR(MEDIAN('LP Reactivos'!F30,'LP Reactivos'!I30,'LP Reactivos'!N30,'LP Reactivos'!S30,'LP Reactivos'!X30,'LP Reactivos'!AC30,'LP Reactivos'!AH30,'LP Reactivos'!AM30,'LP Reactivos'!AR30,'LP Reactivos'!AW30,'LP Reactivos'!BB30,'LP Reactivos'!BG30,'LP Reactivos'!BL30,'LP Reactivos'!BQ30,'LP Reactivos'!BV30,'LP Reactivos'!CA30,'LP Reactivos'!CF30,'LP Reactivos'!CK30,'LP Reactivos'!CP30,'LP Reactivos'!CU30,'LP Reactivos'!CZ30,'LP Reactivos'!DE30,'LP Reactivos'!DJ30,'LP Reactivos'!DO30,'LP Reactivos'!DT30,'LP Reactivos'!DY30,'LP Reactivos'!EB30)," ")</f>
        <v>679394.8</v>
      </c>
      <c r="G30" s="345">
        <f>IFERROR(GEOMEAN('LP Reactivos'!F30,'LP Reactivos'!I30,'LP Reactivos'!N30,'LP Reactivos'!S30,'LP Reactivos'!X30,'LP Reactivos'!AC30,'LP Reactivos'!AH30,'LP Reactivos'!AM30,'LP Reactivos'!AR30,'LP Reactivos'!AW30,'LP Reactivos'!BB30,'LP Reactivos'!BG30,'LP Reactivos'!BL30,'LP Reactivos'!BQ30,'LP Reactivos'!BV30,'LP Reactivos'!CA30,'LP Reactivos'!CF30,'LP Reactivos'!CK30,'LP Reactivos'!CP30,'LP Reactivos'!CU30,'LP Reactivos'!CZ30,'LP Reactivos'!DE30,'LP Reactivos'!DJ30,'LP Reactivos'!DO30,'LP Reactivos'!DT30,'LP Reactivos'!DY30,'LP Reactivos'!EB30)," ")</f>
        <v>564327.66804384196</v>
      </c>
      <c r="H30" s="345">
        <f t="shared" si="0"/>
        <v>231266.70581023855</v>
      </c>
      <c r="I30" s="346">
        <f t="shared" si="1"/>
        <v>0.31755930524270504</v>
      </c>
      <c r="J30" s="345">
        <f>IF(I30&lt;=10%,F30,IF(AND(I30&gt;10%,I30&lt;=20%),E30,IF(AND(I30&gt;20%,I30&lt;=32%),G30,IF(I30&gt;32%,D30))))</f>
        <v>564327.66804384196</v>
      </c>
      <c r="K30" s="344" t="str">
        <f t="shared" si="3"/>
        <v>Media Geométrica</v>
      </c>
      <c r="L30" s="326">
        <f>IFERROR(COUNTA('LP Reactivos'!F30,'LP Reactivos'!I30,'LP Reactivos'!N30,'LP Reactivos'!S30,'LP Reactivos'!X30,'LP Reactivos'!AC30,'LP Reactivos'!AH30,'LP Reactivos'!AM30,'LP Reactivos'!AR30,'LP Reactivos'!AW30,'LP Reactivos'!BB30,'LP Reactivos'!BG30,'LP Reactivos'!BL30,'LP Reactivos'!BQ30,'LP Reactivos'!BV30,'LP Reactivos'!CA30,'LP Reactivos'!CF30,'LP Reactivos'!CK30,'LP Reactivos'!CP30,'LP Reactivos'!CU30,'LP Reactivos'!CZ30,'LP Reactivos'!DE30,'LP Reactivos'!DJ30,'LP Reactivos'!DO30,'LP Reactivos'!DT30,'LP Reactivos'!DY30,'LP Reactivos'!EB30)," ")</f>
        <v>4</v>
      </c>
    </row>
    <row r="31" spans="2:12" x14ac:dyDescent="0.25">
      <c r="B31" s="425">
        <v>29</v>
      </c>
      <c r="C31" s="427" t="s">
        <v>726</v>
      </c>
      <c r="D31" s="429">
        <f>IFERROR(MIN('LP Reactivos'!F31,'LP Reactivos'!I31,'LP Reactivos'!N31,'LP Reactivos'!S31,'LP Reactivos'!X31,'LP Reactivos'!AC31,'LP Reactivos'!AH31,'LP Reactivos'!AM31,'LP Reactivos'!AR31,'LP Reactivos'!AW31,'LP Reactivos'!BB31,'LP Reactivos'!BG31,'LP Reactivos'!BL31,'LP Reactivos'!BQ31,'LP Reactivos'!BV31,'LP Reactivos'!CA31,'LP Reactivos'!CF31,'LP Reactivos'!CK31,'LP Reactivos'!CP31,'LP Reactivos'!CU31,'LP Reactivos'!CZ31,'LP Reactivos'!DE31,'LP Reactivos'!DJ31,'LP Reactivos'!DO31,'LP Reactivos'!DT31,'LP Reactivos'!DY31,'LP Reactivos'!EB31)," ")</f>
        <v>304609</v>
      </c>
      <c r="E31" s="429">
        <f>IFERROR(AVERAGE('LP Reactivos'!F31,'LP Reactivos'!I31,'LP Reactivos'!N31,'LP Reactivos'!S31,'LP Reactivos'!X31,'LP Reactivos'!AC31,'LP Reactivos'!AH31,'LP Reactivos'!AM31,'LP Reactivos'!AR31,'LP Reactivos'!AW31,'LP Reactivos'!BB31,'LP Reactivos'!BG31,'LP Reactivos'!BL31,'LP Reactivos'!BQ31,'LP Reactivos'!BV31,'LP Reactivos'!CA31,'LP Reactivos'!CF31,'LP Reactivos'!CK31,'LP Reactivos'!CP31,'LP Reactivos'!CU31,'LP Reactivos'!CZ31,'LP Reactivos'!DE31,'LP Reactivos'!DJ31,'LP Reactivos'!DO31,'LP Reactivos'!DT31,'LP Reactivos'!DY31,'LP Reactivos'!EB31)," ")</f>
        <v>539855.80150000006</v>
      </c>
      <c r="F31" s="345">
        <f>IFERROR(MEDIAN('LP Reactivos'!F31,'LP Reactivos'!I31,'LP Reactivos'!N31,'LP Reactivos'!S31,'LP Reactivos'!X31,'LP Reactivos'!AC31,'LP Reactivos'!AH31,'LP Reactivos'!AM31,'LP Reactivos'!AR31,'LP Reactivos'!AW31,'LP Reactivos'!BB31,'LP Reactivos'!BG31,'LP Reactivos'!BL31,'LP Reactivos'!BQ31,'LP Reactivos'!BV31,'LP Reactivos'!CA31,'LP Reactivos'!CF31,'LP Reactivos'!CK31,'LP Reactivos'!CP31,'LP Reactivos'!CU31,'LP Reactivos'!CZ31,'LP Reactivos'!DE31,'LP Reactivos'!DJ31,'LP Reactivos'!DO31,'LP Reactivos'!DT31,'LP Reactivos'!DY31,'LP Reactivos'!EB31)," ")</f>
        <v>439110</v>
      </c>
      <c r="G31" s="345">
        <f>IFERROR(GEOMEAN('LP Reactivos'!F31,'LP Reactivos'!I31,'LP Reactivos'!N31,'LP Reactivos'!S31,'LP Reactivos'!X31,'LP Reactivos'!AC31,'LP Reactivos'!AH31,'LP Reactivos'!AM31,'LP Reactivos'!AR31,'LP Reactivos'!AW31,'LP Reactivos'!BB31,'LP Reactivos'!BG31,'LP Reactivos'!BL31,'LP Reactivos'!BQ31,'LP Reactivos'!BV31,'LP Reactivos'!CA31,'LP Reactivos'!CF31,'LP Reactivos'!CK31,'LP Reactivos'!CP31,'LP Reactivos'!CU31,'LP Reactivos'!CZ31,'LP Reactivos'!DE31,'LP Reactivos'!DJ31,'LP Reactivos'!DO31,'LP Reactivos'!DT31,'LP Reactivos'!DY31,'LP Reactivos'!EB31)," ")</f>
        <v>484250.71918714751</v>
      </c>
      <c r="H31" s="345">
        <f t="shared" si="0"/>
        <v>100408.35378473415</v>
      </c>
      <c r="I31" s="346">
        <f t="shared" si="1"/>
        <v>0.18599106188309461</v>
      </c>
      <c r="J31" s="345">
        <f t="shared" si="2"/>
        <v>539855.80150000006</v>
      </c>
      <c r="K31" s="344" t="str">
        <f t="shared" si="3"/>
        <v>Promedio</v>
      </c>
      <c r="L31" s="326">
        <f>IFERROR(COUNTA('LP Reactivos'!F31,'LP Reactivos'!I31,'LP Reactivos'!N31,'LP Reactivos'!S31,'LP Reactivos'!X31,'LP Reactivos'!AC31,'LP Reactivos'!AH31,'LP Reactivos'!AM31,'LP Reactivos'!AR31,'LP Reactivos'!AW31,'LP Reactivos'!BB31,'LP Reactivos'!BG31,'LP Reactivos'!BL31,'LP Reactivos'!BQ31,'LP Reactivos'!BV31,'LP Reactivos'!CA31,'LP Reactivos'!CF31,'LP Reactivos'!CK31,'LP Reactivos'!CP31,'LP Reactivos'!CU31,'LP Reactivos'!CZ31,'LP Reactivos'!DE31,'LP Reactivos'!DJ31,'LP Reactivos'!DO31,'LP Reactivos'!DT31,'LP Reactivos'!DY31,'LP Reactivos'!EB31)," ")</f>
        <v>4</v>
      </c>
    </row>
    <row r="32" spans="2:12" ht="27" x14ac:dyDescent="0.25">
      <c r="B32" s="425">
        <v>30</v>
      </c>
      <c r="C32" s="427" t="s">
        <v>730</v>
      </c>
      <c r="D32" s="429">
        <f>IFERROR(MIN('LP Reactivos'!F32,'LP Reactivos'!I32,'LP Reactivos'!N32,'LP Reactivos'!S32,'LP Reactivos'!X32,'LP Reactivos'!AC32,'LP Reactivos'!AH32,'LP Reactivos'!AM32,'LP Reactivos'!AR32,'LP Reactivos'!AW32,'LP Reactivos'!BB32,'LP Reactivos'!BG32,'LP Reactivos'!BL32,'LP Reactivos'!BQ32,'LP Reactivos'!BV32,'LP Reactivos'!CA32,'LP Reactivos'!CF32,'LP Reactivos'!CK32,'LP Reactivos'!CP32,'LP Reactivos'!CU32,'LP Reactivos'!CZ32,'LP Reactivos'!DE32,'LP Reactivos'!DJ32,'LP Reactivos'!DO32,'LP Reactivos'!DT32,'LP Reactivos'!DY32,'LP Reactivos'!EB32)," ")</f>
        <v>423937.5</v>
      </c>
      <c r="E32" s="429">
        <f>IFERROR(AVERAGE('LP Reactivos'!F32,'LP Reactivos'!I32,'LP Reactivos'!N32,'LP Reactivos'!S32,'LP Reactivos'!X32,'LP Reactivos'!AC32,'LP Reactivos'!AH32,'LP Reactivos'!AM32,'LP Reactivos'!AR32,'LP Reactivos'!AW32,'LP Reactivos'!BB32,'LP Reactivos'!BG32,'LP Reactivos'!BL32,'LP Reactivos'!BQ32,'LP Reactivos'!BV32,'LP Reactivos'!CA32,'LP Reactivos'!CF32,'LP Reactivos'!CK32,'LP Reactivos'!CP32,'LP Reactivos'!CU32,'LP Reactivos'!CZ32,'LP Reactivos'!DE32,'LP Reactivos'!DJ32,'LP Reactivos'!DO32,'LP Reactivos'!DT32,'LP Reactivos'!DY32,'LP Reactivos'!EB32)," ")</f>
        <v>586081.4</v>
      </c>
      <c r="F32" s="345">
        <f>IFERROR(MEDIAN('LP Reactivos'!F32,'LP Reactivos'!I32,'LP Reactivos'!N32,'LP Reactivos'!S32,'LP Reactivos'!X32,'LP Reactivos'!AC32,'LP Reactivos'!AH32,'LP Reactivos'!AM32,'LP Reactivos'!AR32,'LP Reactivos'!AW32,'LP Reactivos'!BB32,'LP Reactivos'!BG32,'LP Reactivos'!BL32,'LP Reactivos'!BQ32,'LP Reactivos'!BV32,'LP Reactivos'!CA32,'LP Reactivos'!CF32,'LP Reactivos'!CK32,'LP Reactivos'!CP32,'LP Reactivos'!CU32,'LP Reactivos'!CZ32,'LP Reactivos'!DE32,'LP Reactivos'!DJ32,'LP Reactivos'!DO32,'LP Reactivos'!DT32,'LP Reactivos'!DY32,'LP Reactivos'!EB32)," ")</f>
        <v>523600</v>
      </c>
      <c r="G32" s="345">
        <f>IFERROR(GEOMEAN('LP Reactivos'!F32,'LP Reactivos'!I32,'LP Reactivos'!N32,'LP Reactivos'!S32,'LP Reactivos'!X32,'LP Reactivos'!AC32,'LP Reactivos'!AH32,'LP Reactivos'!AM32,'LP Reactivos'!AR32,'LP Reactivos'!AW32,'LP Reactivos'!BB32,'LP Reactivos'!BG32,'LP Reactivos'!BL32,'LP Reactivos'!BQ32,'LP Reactivos'!BV32,'LP Reactivos'!CA32,'LP Reactivos'!CF32,'LP Reactivos'!CK32,'LP Reactivos'!CP32,'LP Reactivos'!CU32,'LP Reactivos'!CZ32,'LP Reactivos'!DE32,'LP Reactivos'!DJ32,'LP Reactivos'!DO32,'LP Reactivos'!DT32,'LP Reactivos'!DY32,'LP Reactivos'!EB32)," ")</f>
        <v>555870.45555367717</v>
      </c>
      <c r="H32" s="345">
        <f t="shared" si="0"/>
        <v>70408.079428979472</v>
      </c>
      <c r="I32" s="346">
        <f t="shared" si="1"/>
        <v>0.12013361869013327</v>
      </c>
      <c r="J32" s="345">
        <f t="shared" si="2"/>
        <v>586081.4</v>
      </c>
      <c r="K32" s="344" t="str">
        <f t="shared" si="3"/>
        <v>Promedio</v>
      </c>
      <c r="L32" s="326">
        <f>IFERROR(COUNTA('LP Reactivos'!F32,'LP Reactivos'!I32,'LP Reactivos'!N32,'LP Reactivos'!S32,'LP Reactivos'!X32,'LP Reactivos'!AC32,'LP Reactivos'!AH32,'LP Reactivos'!AM32,'LP Reactivos'!AR32,'LP Reactivos'!AW32,'LP Reactivos'!BB32,'LP Reactivos'!BG32,'LP Reactivos'!BL32,'LP Reactivos'!BQ32,'LP Reactivos'!BV32,'LP Reactivos'!CA32,'LP Reactivos'!CF32,'LP Reactivos'!CK32,'LP Reactivos'!CP32,'LP Reactivos'!CU32,'LP Reactivos'!CZ32,'LP Reactivos'!DE32,'LP Reactivos'!DJ32,'LP Reactivos'!DO32,'LP Reactivos'!DT32,'LP Reactivos'!DY32,'LP Reactivos'!EB32)," ")</f>
        <v>5</v>
      </c>
    </row>
    <row r="33" spans="2:12" ht="40.5" x14ac:dyDescent="0.25">
      <c r="B33" s="425">
        <v>31</v>
      </c>
      <c r="C33" s="427" t="s">
        <v>734</v>
      </c>
      <c r="D33" s="429">
        <f>IFERROR(MIN('LP Reactivos'!F33,'LP Reactivos'!I33,'LP Reactivos'!N33,'LP Reactivos'!S33,'LP Reactivos'!X33,'LP Reactivos'!AC33,'LP Reactivos'!AH33,'LP Reactivos'!AM33,'LP Reactivos'!AR33,'LP Reactivos'!AW33,'LP Reactivos'!BB33,'LP Reactivos'!BG33,'LP Reactivos'!BL33,'LP Reactivos'!BQ33,'LP Reactivos'!BV33,'LP Reactivos'!CA33,'LP Reactivos'!CF33,'LP Reactivos'!CK33,'LP Reactivos'!CP33,'LP Reactivos'!CU33,'LP Reactivos'!CZ33,'LP Reactivos'!DE33,'LP Reactivos'!DJ33,'LP Reactivos'!DO33,'LP Reactivos'!DT33,'LP Reactivos'!DY33,'LP Reactivos'!EB33)," ")</f>
        <v>505750</v>
      </c>
      <c r="E33" s="429">
        <f>IFERROR(AVERAGE('LP Reactivos'!F33,'LP Reactivos'!I33,'LP Reactivos'!N33,'LP Reactivos'!S33,'LP Reactivos'!X33,'LP Reactivos'!AC33,'LP Reactivos'!AH33,'LP Reactivos'!AM33,'LP Reactivos'!AR33,'LP Reactivos'!AW33,'LP Reactivos'!BB33,'LP Reactivos'!BG33,'LP Reactivos'!BL33,'LP Reactivos'!BQ33,'LP Reactivos'!BV33,'LP Reactivos'!CA33,'LP Reactivos'!CF33,'LP Reactivos'!CK33,'LP Reactivos'!CP33,'LP Reactivos'!CU33,'LP Reactivos'!CZ33,'LP Reactivos'!DE33,'LP Reactivos'!DJ33,'LP Reactivos'!DO33,'LP Reactivos'!DT33,'LP Reactivos'!DY33,'LP Reactivos'!EB33)," ")</f>
        <v>603047.24950000003</v>
      </c>
      <c r="F33" s="345">
        <f>IFERROR(MEDIAN('LP Reactivos'!F33,'LP Reactivos'!I33,'LP Reactivos'!N33,'LP Reactivos'!S33,'LP Reactivos'!X33,'LP Reactivos'!AC33,'LP Reactivos'!AH33,'LP Reactivos'!AM33,'LP Reactivos'!AR33,'LP Reactivos'!AW33,'LP Reactivos'!BB33,'LP Reactivos'!BG33,'LP Reactivos'!BL33,'LP Reactivos'!BQ33,'LP Reactivos'!BV33,'LP Reactivos'!CA33,'LP Reactivos'!CF33,'LP Reactivos'!CK33,'LP Reactivos'!CP33,'LP Reactivos'!CU33,'LP Reactivos'!CZ33,'LP Reactivos'!DE33,'LP Reactivos'!DJ33,'LP Reactivos'!DO33,'LP Reactivos'!DT33,'LP Reactivos'!DY33,'LP Reactivos'!EB33)," ")</f>
        <v>613234</v>
      </c>
      <c r="G33" s="345">
        <f>IFERROR(GEOMEAN('LP Reactivos'!F33,'LP Reactivos'!I33,'LP Reactivos'!N33,'LP Reactivos'!S33,'LP Reactivos'!X33,'LP Reactivos'!AC33,'LP Reactivos'!AH33,'LP Reactivos'!AM33,'LP Reactivos'!AR33,'LP Reactivos'!AW33,'LP Reactivos'!BB33,'LP Reactivos'!BG33,'LP Reactivos'!BL33,'LP Reactivos'!BQ33,'LP Reactivos'!BV33,'LP Reactivos'!CA33,'LP Reactivos'!CF33,'LP Reactivos'!CK33,'LP Reactivos'!CP33,'LP Reactivos'!CU33,'LP Reactivos'!CZ33,'LP Reactivos'!DE33,'LP Reactivos'!DJ33,'LP Reactivos'!DO33,'LP Reactivos'!DT33,'LP Reactivos'!DY33,'LP Reactivos'!EB33)," ")</f>
        <v>599679.90434539132</v>
      </c>
      <c r="H33" s="345">
        <f t="shared" si="0"/>
        <v>50117.540471337154</v>
      </c>
      <c r="I33" s="346">
        <f t="shared" si="1"/>
        <v>8.3107153731139194E-2</v>
      </c>
      <c r="J33" s="345">
        <f t="shared" si="2"/>
        <v>613234</v>
      </c>
      <c r="K33" s="344" t="str">
        <f t="shared" si="3"/>
        <v>Mediana</v>
      </c>
      <c r="L33" s="326">
        <f>IFERROR(COUNTA('LP Reactivos'!F33,'LP Reactivos'!I33,'LP Reactivos'!N33,'LP Reactivos'!S33,'LP Reactivos'!X33,'LP Reactivos'!AC33,'LP Reactivos'!AH33,'LP Reactivos'!AM33,'LP Reactivos'!AR33,'LP Reactivos'!AW33,'LP Reactivos'!BB33,'LP Reactivos'!BG33,'LP Reactivos'!BL33,'LP Reactivos'!BQ33,'LP Reactivos'!BV33,'LP Reactivos'!CA33,'LP Reactivos'!CF33,'LP Reactivos'!CK33,'LP Reactivos'!CP33,'LP Reactivos'!CU33,'LP Reactivos'!CZ33,'LP Reactivos'!DE33,'LP Reactivos'!DJ33,'LP Reactivos'!DO33,'LP Reactivos'!DT33,'LP Reactivos'!DY33,'LP Reactivos'!EB33)," ")</f>
        <v>4</v>
      </c>
    </row>
    <row r="34" spans="2:12" x14ac:dyDescent="0.25">
      <c r="B34" s="425">
        <v>32</v>
      </c>
      <c r="C34" s="413" t="s">
        <v>738</v>
      </c>
      <c r="D34" s="429">
        <f>IFERROR(MIN('LP Reactivos'!F34,'LP Reactivos'!I34,'LP Reactivos'!N34,'LP Reactivos'!S34,'LP Reactivos'!X34,'LP Reactivos'!AC34,'LP Reactivos'!AH34,'LP Reactivos'!AM34,'LP Reactivos'!AR34,'LP Reactivos'!AW34,'LP Reactivos'!BB34,'LP Reactivos'!BG34,'LP Reactivos'!BL34,'LP Reactivos'!BQ34,'LP Reactivos'!BV34,'LP Reactivos'!CA34,'LP Reactivos'!CF34,'LP Reactivos'!CK34,'LP Reactivos'!CP34,'LP Reactivos'!CU34,'LP Reactivos'!CZ34,'LP Reactivos'!DE34,'LP Reactivos'!DJ34,'LP Reactivos'!DO34,'LP Reactivos'!DT34,'LP Reactivos'!DY34,'LP Reactivos'!EB34)," ")</f>
        <v>879529</v>
      </c>
      <c r="E34" s="429">
        <f>IFERROR(AVERAGE('LP Reactivos'!F34,'LP Reactivos'!I34,'LP Reactivos'!N34,'LP Reactivos'!S34,'LP Reactivos'!X34,'LP Reactivos'!AC34,'LP Reactivos'!AH34,'LP Reactivos'!AM34,'LP Reactivos'!AR34,'LP Reactivos'!AW34,'LP Reactivos'!BB34,'LP Reactivos'!BG34,'LP Reactivos'!BL34,'LP Reactivos'!BQ34,'LP Reactivos'!BV34,'LP Reactivos'!CA34,'LP Reactivos'!CF34,'LP Reactivos'!CK34,'LP Reactivos'!CP34,'LP Reactivos'!CU34,'LP Reactivos'!CZ34,'LP Reactivos'!DE34,'LP Reactivos'!DJ34,'LP Reactivos'!DO34,'LP Reactivos'!DT34,'LP Reactivos'!DY34,'LP Reactivos'!EB34)," ")</f>
        <v>1715795.3190000001</v>
      </c>
      <c r="F34" s="345">
        <f>IFERROR(MEDIAN('LP Reactivos'!F34,'LP Reactivos'!I34,'LP Reactivos'!N34,'LP Reactivos'!S34,'LP Reactivos'!X34,'LP Reactivos'!AC34,'LP Reactivos'!AH34,'LP Reactivos'!AM34,'LP Reactivos'!AR34,'LP Reactivos'!AW34,'LP Reactivos'!BB34,'LP Reactivos'!BG34,'LP Reactivos'!BL34,'LP Reactivos'!BQ34,'LP Reactivos'!BV34,'LP Reactivos'!CA34,'LP Reactivos'!CF34,'LP Reactivos'!CK34,'LP Reactivos'!CP34,'LP Reactivos'!CU34,'LP Reactivos'!CZ34,'LP Reactivos'!DE34,'LP Reactivos'!DJ34,'LP Reactivos'!DO34,'LP Reactivos'!DT34,'LP Reactivos'!DY34,'LP Reactivos'!EB34)," ")</f>
        <v>1842715</v>
      </c>
      <c r="G34" s="345">
        <f>IFERROR(GEOMEAN('LP Reactivos'!F34,'LP Reactivos'!I34,'LP Reactivos'!N34,'LP Reactivos'!S34,'LP Reactivos'!X34,'LP Reactivos'!AC34,'LP Reactivos'!AH34,'LP Reactivos'!AM34,'LP Reactivos'!AR34,'LP Reactivos'!AW34,'LP Reactivos'!BB34,'LP Reactivos'!BG34,'LP Reactivos'!BL34,'LP Reactivos'!BQ34,'LP Reactivos'!BV34,'LP Reactivos'!CA34,'LP Reactivos'!CF34,'LP Reactivos'!CK34,'LP Reactivos'!CP34,'LP Reactivos'!CU34,'LP Reactivos'!CZ34,'LP Reactivos'!DE34,'LP Reactivos'!DJ34,'LP Reactivos'!DO34,'LP Reactivos'!DT34,'LP Reactivos'!DY34,'LP Reactivos'!EB34)," ")</f>
        <v>1650189.9457059207</v>
      </c>
      <c r="H34" s="345">
        <f t="shared" si="0"/>
        <v>435743.18574584892</v>
      </c>
      <c r="I34" s="346">
        <f t="shared" si="1"/>
        <v>0.2539598872433157</v>
      </c>
      <c r="J34" s="345">
        <f t="shared" si="2"/>
        <v>1650189.9457059207</v>
      </c>
      <c r="K34" s="344" t="str">
        <f t="shared" si="3"/>
        <v>Media Geométrica</v>
      </c>
      <c r="L34" s="326">
        <f>IFERROR(COUNTA('LP Reactivos'!F34,'LP Reactivos'!I34,'LP Reactivos'!N34,'LP Reactivos'!S34,'LP Reactivos'!X34,'LP Reactivos'!AC34,'LP Reactivos'!AH34,'LP Reactivos'!AM34,'LP Reactivos'!AR34,'LP Reactivos'!AW34,'LP Reactivos'!BB34,'LP Reactivos'!BG34,'LP Reactivos'!BL34,'LP Reactivos'!BQ34,'LP Reactivos'!BV34,'LP Reactivos'!CA34,'LP Reactivos'!CF34,'LP Reactivos'!CK34,'LP Reactivos'!CP34,'LP Reactivos'!CU34,'LP Reactivos'!CZ34,'LP Reactivos'!DE34,'LP Reactivos'!DJ34,'LP Reactivos'!DO34,'LP Reactivos'!DT34,'LP Reactivos'!DY34,'LP Reactivos'!EB34)," ")</f>
        <v>6</v>
      </c>
    </row>
    <row r="35" spans="2:12" x14ac:dyDescent="0.25">
      <c r="B35" s="425">
        <v>33</v>
      </c>
      <c r="C35" s="427" t="s">
        <v>744</v>
      </c>
      <c r="D35" s="429">
        <f>IFERROR(MIN('LP Reactivos'!F35,'LP Reactivos'!I35,'LP Reactivos'!N35,'LP Reactivos'!S35,'LP Reactivos'!X35,'LP Reactivos'!AC35,'LP Reactivos'!AH35,'LP Reactivos'!AM35,'LP Reactivos'!AR35,'LP Reactivos'!AW35,'LP Reactivos'!BB35,'LP Reactivos'!BG35,'LP Reactivos'!BL35,'LP Reactivos'!BQ35,'LP Reactivos'!BV35,'LP Reactivos'!CA35,'LP Reactivos'!CF35,'LP Reactivos'!CK35,'LP Reactivos'!CP35,'LP Reactivos'!CU35,'LP Reactivos'!CZ35,'LP Reactivos'!DE35,'LP Reactivos'!DJ35,'LP Reactivos'!DO35,'LP Reactivos'!DT35,'LP Reactivos'!DY35,'LP Reactivos'!EB35)," ")</f>
        <v>654500</v>
      </c>
      <c r="E35" s="429">
        <f>IFERROR(AVERAGE('LP Reactivos'!F35,'LP Reactivos'!I35,'LP Reactivos'!N35,'LP Reactivos'!S35,'LP Reactivos'!X35,'LP Reactivos'!AC35,'LP Reactivos'!AH35,'LP Reactivos'!AM35,'LP Reactivos'!AR35,'LP Reactivos'!AW35,'LP Reactivos'!BB35,'LP Reactivos'!BG35,'LP Reactivos'!BL35,'LP Reactivos'!BQ35,'LP Reactivos'!BV35,'LP Reactivos'!CA35,'LP Reactivos'!CF35,'LP Reactivos'!CK35,'LP Reactivos'!CP35,'LP Reactivos'!CU35,'LP Reactivos'!CZ35,'LP Reactivos'!DE35,'LP Reactivos'!DJ35,'LP Reactivos'!DO35,'LP Reactivos'!DT35,'LP Reactivos'!DY35,'LP Reactivos'!EB35)," ")</f>
        <v>958078.28879999998</v>
      </c>
      <c r="F35" s="345">
        <f>IFERROR(MEDIAN('LP Reactivos'!F35,'LP Reactivos'!I35,'LP Reactivos'!N35,'LP Reactivos'!S35,'LP Reactivos'!X35,'LP Reactivos'!AC35,'LP Reactivos'!AH35,'LP Reactivos'!AM35,'LP Reactivos'!AR35,'LP Reactivos'!AW35,'LP Reactivos'!BB35,'LP Reactivos'!BG35,'LP Reactivos'!BL35,'LP Reactivos'!BQ35,'LP Reactivos'!BV35,'LP Reactivos'!CA35,'LP Reactivos'!CF35,'LP Reactivos'!CK35,'LP Reactivos'!CP35,'LP Reactivos'!CU35,'LP Reactivos'!CZ35,'LP Reactivos'!DE35,'LP Reactivos'!DJ35,'LP Reactivos'!DO35,'LP Reactivos'!DT35,'LP Reactivos'!DY35,'LP Reactivos'!EB35)," ")</f>
        <v>940144.74400000006</v>
      </c>
      <c r="G35" s="345">
        <f>IFERROR(GEOMEAN('LP Reactivos'!F35,'LP Reactivos'!I35,'LP Reactivos'!N35,'LP Reactivos'!S35,'LP Reactivos'!X35,'LP Reactivos'!AC35,'LP Reactivos'!AH35,'LP Reactivos'!AM35,'LP Reactivos'!AR35,'LP Reactivos'!AW35,'LP Reactivos'!BB35,'LP Reactivos'!BG35,'LP Reactivos'!BL35,'LP Reactivos'!BQ35,'LP Reactivos'!BV35,'LP Reactivos'!CA35,'LP Reactivos'!CF35,'LP Reactivos'!CK35,'LP Reactivos'!CP35,'LP Reactivos'!CU35,'LP Reactivos'!CZ35,'LP Reactivos'!DE35,'LP Reactivos'!DJ35,'LP Reactivos'!DO35,'LP Reactivos'!DT35,'LP Reactivos'!DY35,'LP Reactivos'!EB35)," ")</f>
        <v>931385.07913047681</v>
      </c>
      <c r="H35" s="345">
        <f t="shared" si="0"/>
        <v>144778.25442460619</v>
      </c>
      <c r="I35" s="346">
        <f t="shared" si="1"/>
        <v>0.15111317740634955</v>
      </c>
      <c r="J35" s="345">
        <f t="shared" si="2"/>
        <v>958078.28879999998</v>
      </c>
      <c r="K35" s="344" t="str">
        <f t="shared" si="3"/>
        <v>Promedio</v>
      </c>
      <c r="L35" s="326">
        <f>IFERROR(COUNTA('LP Reactivos'!F35,'LP Reactivos'!I35,'LP Reactivos'!N35,'LP Reactivos'!S35,'LP Reactivos'!X35,'LP Reactivos'!AC35,'LP Reactivos'!AH35,'LP Reactivos'!AM35,'LP Reactivos'!AR35,'LP Reactivos'!AW35,'LP Reactivos'!BB35,'LP Reactivos'!BG35,'LP Reactivos'!BL35,'LP Reactivos'!BQ35,'LP Reactivos'!BV35,'LP Reactivos'!CA35,'LP Reactivos'!CF35,'LP Reactivos'!CK35,'LP Reactivos'!CP35,'LP Reactivos'!CU35,'LP Reactivos'!CZ35,'LP Reactivos'!DE35,'LP Reactivos'!DJ35,'LP Reactivos'!DO35,'LP Reactivos'!DT35,'LP Reactivos'!DY35,'LP Reactivos'!EB35)," ")</f>
        <v>5</v>
      </c>
    </row>
    <row r="36" spans="2:12" x14ac:dyDescent="0.25">
      <c r="B36" s="425">
        <v>34</v>
      </c>
      <c r="C36" s="427" t="s">
        <v>748</v>
      </c>
      <c r="D36" s="429">
        <f>IFERROR(MIN('LP Reactivos'!F36,'LP Reactivos'!I36,'LP Reactivos'!N36,'LP Reactivos'!S36,'LP Reactivos'!X36,'LP Reactivos'!AC36,'LP Reactivos'!AH36,'LP Reactivos'!AM36,'LP Reactivos'!AR36,'LP Reactivos'!AW36,'LP Reactivos'!BB36,'LP Reactivos'!BG36,'LP Reactivos'!BL36,'LP Reactivos'!BQ36,'LP Reactivos'!BV36,'LP Reactivos'!CA36,'LP Reactivos'!CF36,'LP Reactivos'!CK36,'LP Reactivos'!CP36,'LP Reactivos'!CU36,'LP Reactivos'!CZ36,'LP Reactivos'!DE36,'LP Reactivos'!DJ36,'LP Reactivos'!DO36,'LP Reactivos'!DT36,'LP Reactivos'!DY36,'LP Reactivos'!EB36)," ")</f>
        <v>273271</v>
      </c>
      <c r="E36" s="429">
        <f>IFERROR(AVERAGE('LP Reactivos'!F36,'LP Reactivos'!I36,'LP Reactivos'!N36,'LP Reactivos'!S36,'LP Reactivos'!X36,'LP Reactivos'!AC36,'LP Reactivos'!AH36,'LP Reactivos'!AM36,'LP Reactivos'!AR36,'LP Reactivos'!AW36,'LP Reactivos'!BB36,'LP Reactivos'!BG36,'LP Reactivos'!BL36,'LP Reactivos'!BQ36,'LP Reactivos'!BV36,'LP Reactivos'!CA36,'LP Reactivos'!CF36,'LP Reactivos'!CK36,'LP Reactivos'!CP36,'LP Reactivos'!CU36,'LP Reactivos'!CZ36,'LP Reactivos'!DE36,'LP Reactivos'!DJ36,'LP Reactivos'!DO36,'LP Reactivos'!DT36,'LP Reactivos'!DY36,'LP Reactivos'!EB36)," ")</f>
        <v>790694.755</v>
      </c>
      <c r="F36" s="345">
        <f>IFERROR(MEDIAN('LP Reactivos'!F36,'LP Reactivos'!I36,'LP Reactivos'!N36,'LP Reactivos'!S36,'LP Reactivos'!X36,'LP Reactivos'!AC36,'LP Reactivos'!AH36,'LP Reactivos'!AM36,'LP Reactivos'!AR36,'LP Reactivos'!AW36,'LP Reactivos'!BB36,'LP Reactivos'!BG36,'LP Reactivos'!BL36,'LP Reactivos'!BQ36,'LP Reactivos'!BV36,'LP Reactivos'!CA36,'LP Reactivos'!CF36,'LP Reactivos'!CK36,'LP Reactivos'!CP36,'LP Reactivos'!CU36,'LP Reactivos'!CZ36,'LP Reactivos'!DE36,'LP Reactivos'!DJ36,'LP Reactivos'!DO36,'LP Reactivos'!DT36,'LP Reactivos'!DY36,'LP Reactivos'!EB36)," ")</f>
        <v>805129.01</v>
      </c>
      <c r="G36" s="345">
        <f>IFERROR(GEOMEAN('LP Reactivos'!F36,'LP Reactivos'!I36,'LP Reactivos'!N36,'LP Reactivos'!S36,'LP Reactivos'!X36,'LP Reactivos'!AC36,'LP Reactivos'!AH36,'LP Reactivos'!AM36,'LP Reactivos'!AR36,'LP Reactivos'!AW36,'LP Reactivos'!BB36,'LP Reactivos'!BG36,'LP Reactivos'!BL36,'LP Reactivos'!BQ36,'LP Reactivos'!BV36,'LP Reactivos'!CA36,'LP Reactivos'!CF36,'LP Reactivos'!CK36,'LP Reactivos'!CP36,'LP Reactivos'!CU36,'LP Reactivos'!CZ36,'LP Reactivos'!DE36,'LP Reactivos'!DJ36,'LP Reactivos'!DO36,'LP Reactivos'!DT36,'LP Reactivos'!DY36,'LP Reactivos'!EB36)," ")</f>
        <v>688875.8855931256</v>
      </c>
      <c r="H36" s="345">
        <f t="shared" si="0"/>
        <v>249569.28309713191</v>
      </c>
      <c r="I36" s="346">
        <f t="shared" si="1"/>
        <v>0.31563290576922054</v>
      </c>
      <c r="J36" s="345">
        <f>IF(I36&lt;=10%,F36,IF(AND(I36&gt;10%,I36&lt;=20%),E36,IF(AND(I36&gt;20%,I36&lt;=32%),G36,IF(I36&gt;32%,D36))))</f>
        <v>688875.8855931256</v>
      </c>
      <c r="K36" s="344" t="str">
        <f>IF(J36=D36,"Menor Valor",IF(J36=E36,"Promedio",IF(J36=F36,"Mediana",IF(J36=G36,"Media Geométrica"," "))))</f>
        <v>Media Geométrica</v>
      </c>
      <c r="L36" s="326">
        <f>IFERROR(COUNTA('LP Reactivos'!F36,'LP Reactivos'!I36,'LP Reactivos'!N36,'LP Reactivos'!S36,'LP Reactivos'!X36,'LP Reactivos'!AC36,'LP Reactivos'!AH36,'LP Reactivos'!AM36,'LP Reactivos'!AR36,'LP Reactivos'!AW36,'LP Reactivos'!BB36,'LP Reactivos'!BG36,'LP Reactivos'!BL36,'LP Reactivos'!BQ36,'LP Reactivos'!BV36,'LP Reactivos'!CA36,'LP Reactivos'!CF36,'LP Reactivos'!CK36,'LP Reactivos'!CP36,'LP Reactivos'!CU36,'LP Reactivos'!CZ36,'LP Reactivos'!DE36,'LP Reactivos'!DJ36,'LP Reactivos'!DO36,'LP Reactivos'!DT36,'LP Reactivos'!DY36,'LP Reactivos'!EB36)," ")</f>
        <v>4</v>
      </c>
    </row>
    <row r="37" spans="2:12" x14ac:dyDescent="0.25">
      <c r="B37" s="425">
        <v>35</v>
      </c>
      <c r="C37" s="428" t="s">
        <v>752</v>
      </c>
      <c r="D37" s="429">
        <f>IFERROR(MIN('LP Reactivos'!F37,'LP Reactivos'!I37,'LP Reactivos'!N37,'LP Reactivos'!S37,'LP Reactivos'!X37,'LP Reactivos'!AC37,'LP Reactivos'!AH37,'LP Reactivos'!AM37,'LP Reactivos'!AR37,'LP Reactivos'!AW37,'LP Reactivos'!BB37,'LP Reactivos'!BG37,'LP Reactivos'!BL37,'LP Reactivos'!BQ37,'LP Reactivos'!BV37,'LP Reactivos'!CA37,'LP Reactivos'!CF37,'LP Reactivos'!CK37,'LP Reactivos'!CP37,'LP Reactivos'!CU37,'LP Reactivos'!CZ37,'LP Reactivos'!DE37,'LP Reactivos'!DJ37,'LP Reactivos'!DO37,'LP Reactivos'!DT37,'LP Reactivos'!DY37,'LP Reactivos'!EB37)," ")</f>
        <v>241932</v>
      </c>
      <c r="E37" s="429">
        <f>IFERROR(AVERAGE('LP Reactivos'!F37,'LP Reactivos'!I37,'LP Reactivos'!N37,'LP Reactivos'!S37,'LP Reactivos'!X37,'LP Reactivos'!AC37,'LP Reactivos'!AH37,'LP Reactivos'!AM37,'LP Reactivos'!AR37,'LP Reactivos'!AW37,'LP Reactivos'!BB37,'LP Reactivos'!BG37,'LP Reactivos'!BL37,'LP Reactivos'!BQ37,'LP Reactivos'!BV37,'LP Reactivos'!CA37,'LP Reactivos'!CF37,'LP Reactivos'!CK37,'LP Reactivos'!CP37,'LP Reactivos'!CU37,'LP Reactivos'!CZ37,'LP Reactivos'!DE37,'LP Reactivos'!DJ37,'LP Reactivos'!DO37,'LP Reactivos'!DT37,'LP Reactivos'!DY37,'LP Reactivos'!EB37)," ")</f>
        <v>376279.25</v>
      </c>
      <c r="F37" s="345">
        <f>IFERROR(MEDIAN('LP Reactivos'!F37,'LP Reactivos'!I37,'LP Reactivos'!N37,'LP Reactivos'!S37,'LP Reactivos'!X37,'LP Reactivos'!AC37,'LP Reactivos'!AH37,'LP Reactivos'!AM37,'LP Reactivos'!AR37,'LP Reactivos'!AW37,'LP Reactivos'!BB37,'LP Reactivos'!BG37,'LP Reactivos'!BL37,'LP Reactivos'!BQ37,'LP Reactivos'!BV37,'LP Reactivos'!CA37,'LP Reactivos'!CF37,'LP Reactivos'!CK37,'LP Reactivos'!CP37,'LP Reactivos'!CU37,'LP Reactivos'!CZ37,'LP Reactivos'!DE37,'LP Reactivos'!DJ37,'LP Reactivos'!DO37,'LP Reactivos'!DT37,'LP Reactivos'!DY37,'LP Reactivos'!EB37)," ")</f>
        <v>391807.5</v>
      </c>
      <c r="G37" s="345">
        <f>IFERROR(GEOMEAN('LP Reactivos'!F37,'LP Reactivos'!I37,'LP Reactivos'!N37,'LP Reactivos'!S37,'LP Reactivos'!X37,'LP Reactivos'!AC37,'LP Reactivos'!AH37,'LP Reactivos'!AM37,'LP Reactivos'!AR37,'LP Reactivos'!AW37,'LP Reactivos'!BB37,'LP Reactivos'!BG37,'LP Reactivos'!BL37,'LP Reactivos'!BQ37,'LP Reactivos'!BV37,'LP Reactivos'!CA37,'LP Reactivos'!CF37,'LP Reactivos'!CK37,'LP Reactivos'!CP37,'LP Reactivos'!CU37,'LP Reactivos'!CZ37,'LP Reactivos'!DE37,'LP Reactivos'!DJ37,'LP Reactivos'!DO37,'LP Reactivos'!DT37,'LP Reactivos'!DY37,'LP Reactivos'!EB37)," ")</f>
        <v>363733.15448639629</v>
      </c>
      <c r="H37" s="345">
        <f t="shared" si="0"/>
        <v>68637.981622026375</v>
      </c>
      <c r="I37" s="346">
        <f t="shared" si="1"/>
        <v>0.18241234833445208</v>
      </c>
      <c r="J37" s="345">
        <f t="shared" si="2"/>
        <v>376279.25</v>
      </c>
      <c r="K37" s="344" t="str">
        <f t="shared" si="3"/>
        <v>Promedio</v>
      </c>
      <c r="L37" s="326">
        <f>IFERROR(COUNTA('LP Reactivos'!F37,'LP Reactivos'!I37,'LP Reactivos'!N37,'LP Reactivos'!S37,'LP Reactivos'!X37,'LP Reactivos'!AC37,'LP Reactivos'!AH37,'LP Reactivos'!AM37,'LP Reactivos'!AR37,'LP Reactivos'!AW37,'LP Reactivos'!BB37,'LP Reactivos'!BG37,'LP Reactivos'!BL37,'LP Reactivos'!BQ37,'LP Reactivos'!BV37,'LP Reactivos'!CA37,'LP Reactivos'!CF37,'LP Reactivos'!CK37,'LP Reactivos'!CP37,'LP Reactivos'!CU37,'LP Reactivos'!CZ37,'LP Reactivos'!DE37,'LP Reactivos'!DJ37,'LP Reactivos'!DO37,'LP Reactivos'!DT37,'LP Reactivos'!DY37,'LP Reactivos'!EB37)," ")</f>
        <v>4</v>
      </c>
    </row>
    <row r="38" spans="2:12" ht="27" x14ac:dyDescent="0.25">
      <c r="B38" s="425">
        <v>36</v>
      </c>
      <c r="C38" s="427" t="s">
        <v>759</v>
      </c>
      <c r="D38" s="429">
        <f>IFERROR(MIN('LP Reactivos'!F38,'LP Reactivos'!I38,'LP Reactivos'!N38,'LP Reactivos'!S38,'LP Reactivos'!X38,'LP Reactivos'!AC38,'LP Reactivos'!AH38,'LP Reactivos'!AM38,'LP Reactivos'!AR38,'LP Reactivos'!AW38,'LP Reactivos'!BB38,'LP Reactivos'!BG38,'LP Reactivos'!BL38,'LP Reactivos'!BQ38,'LP Reactivos'!BV38,'LP Reactivos'!CA38,'LP Reactivos'!CF38,'LP Reactivos'!CK38,'LP Reactivos'!CP38,'LP Reactivos'!CU38,'LP Reactivos'!CZ38,'LP Reactivos'!DE38,'LP Reactivos'!DJ38,'LP Reactivos'!DO38,'LP Reactivos'!DT38,'LP Reactivos'!DY38,'LP Reactivos'!EB38)," ")</f>
        <v>188020</v>
      </c>
      <c r="E38" s="429">
        <f>IFERROR(AVERAGE('LP Reactivos'!F38,'LP Reactivos'!I38,'LP Reactivos'!N38,'LP Reactivos'!S38,'LP Reactivos'!X38,'LP Reactivos'!AC38,'LP Reactivos'!AH38,'LP Reactivos'!AM38,'LP Reactivos'!AR38,'LP Reactivos'!AW38,'LP Reactivos'!BB38,'LP Reactivos'!BG38,'LP Reactivos'!BL38,'LP Reactivos'!BQ38,'LP Reactivos'!BV38,'LP Reactivos'!CA38,'LP Reactivos'!CF38,'LP Reactivos'!CK38,'LP Reactivos'!CP38,'LP Reactivos'!CU38,'LP Reactivos'!CZ38,'LP Reactivos'!DE38,'LP Reactivos'!DJ38,'LP Reactivos'!DO38,'LP Reactivos'!DT38,'LP Reactivos'!DY38,'LP Reactivos'!EB38)," ")</f>
        <v>274043.20299999998</v>
      </c>
      <c r="F38" s="345">
        <f>IFERROR(MEDIAN('LP Reactivos'!F38,'LP Reactivos'!I38,'LP Reactivos'!N38,'LP Reactivos'!S38,'LP Reactivos'!X38,'LP Reactivos'!AC38,'LP Reactivos'!AH38,'LP Reactivos'!AM38,'LP Reactivos'!AR38,'LP Reactivos'!AW38,'LP Reactivos'!BB38,'LP Reactivos'!BG38,'LP Reactivos'!BL38,'LP Reactivos'!BQ38,'LP Reactivos'!BV38,'LP Reactivos'!CA38,'LP Reactivos'!CF38,'LP Reactivos'!CK38,'LP Reactivos'!CP38,'LP Reactivos'!CU38,'LP Reactivos'!CZ38,'LP Reactivos'!DE38,'LP Reactivos'!DJ38,'LP Reactivos'!DO38,'LP Reactivos'!DT38,'LP Reactivos'!DY38,'LP Reactivos'!EB38)," ")</f>
        <v>283077.2</v>
      </c>
      <c r="G38" s="345">
        <f>IFERROR(GEOMEAN('LP Reactivos'!F38,'LP Reactivos'!I38,'LP Reactivos'!N38,'LP Reactivos'!S38,'LP Reactivos'!X38,'LP Reactivos'!AC38,'LP Reactivos'!AH38,'LP Reactivos'!AM38,'LP Reactivos'!AR38,'LP Reactivos'!AW38,'LP Reactivos'!BB38,'LP Reactivos'!BG38,'LP Reactivos'!BL38,'LP Reactivos'!BQ38,'LP Reactivos'!BV38,'LP Reactivos'!CA38,'LP Reactivos'!CF38,'LP Reactivos'!CK38,'LP Reactivos'!CP38,'LP Reactivos'!CU38,'LP Reactivos'!CZ38,'LP Reactivos'!DE38,'LP Reactivos'!DJ38,'LP Reactivos'!DO38,'LP Reactivos'!DT38,'LP Reactivos'!DY38,'LP Reactivos'!EB38)," ")</f>
        <v>268805.98171482212</v>
      </c>
      <c r="H38" s="345">
        <f t="shared" si="0"/>
        <v>44040.650566433127</v>
      </c>
      <c r="I38" s="346">
        <f t="shared" si="1"/>
        <v>0.16070696183781333</v>
      </c>
      <c r="J38" s="345">
        <f t="shared" si="2"/>
        <v>274043.20299999998</v>
      </c>
      <c r="K38" s="344" t="str">
        <f t="shared" si="3"/>
        <v>Promedio</v>
      </c>
      <c r="L38" s="326">
        <f>IFERROR(COUNTA('LP Reactivos'!F38,'LP Reactivos'!I38,'LP Reactivos'!N38,'LP Reactivos'!S38,'LP Reactivos'!X38,'LP Reactivos'!AC38,'LP Reactivos'!AH38,'LP Reactivos'!AM38,'LP Reactivos'!AR38,'LP Reactivos'!AW38,'LP Reactivos'!BB38,'LP Reactivos'!BG38,'LP Reactivos'!BL38,'LP Reactivos'!BQ38,'LP Reactivos'!BV38,'LP Reactivos'!CA38,'LP Reactivos'!CF38,'LP Reactivos'!CK38,'LP Reactivos'!CP38,'LP Reactivos'!CU38,'LP Reactivos'!CZ38,'LP Reactivos'!DE38,'LP Reactivos'!DJ38,'LP Reactivos'!DO38,'LP Reactivos'!DT38,'LP Reactivos'!DY38,'LP Reactivos'!EB38)," ")</f>
        <v>6</v>
      </c>
    </row>
    <row r="39" spans="2:12" x14ac:dyDescent="0.25">
      <c r="B39" s="425">
        <v>37</v>
      </c>
      <c r="C39" s="427" t="s">
        <v>763</v>
      </c>
      <c r="D39" s="429">
        <f>IFERROR(MIN('LP Reactivos'!F39,'LP Reactivos'!I39,'LP Reactivos'!N39,'LP Reactivos'!S39,'LP Reactivos'!X39,'LP Reactivos'!AC39,'LP Reactivos'!AH39,'LP Reactivos'!AM39,'LP Reactivos'!AR39,'LP Reactivos'!AW39,'LP Reactivos'!BB39,'LP Reactivos'!BG39,'LP Reactivos'!BL39,'LP Reactivos'!BQ39,'LP Reactivos'!BV39,'LP Reactivos'!CA39,'LP Reactivos'!CF39,'LP Reactivos'!CK39,'LP Reactivos'!CP39,'LP Reactivos'!CU39,'LP Reactivos'!CZ39,'LP Reactivos'!DE39,'LP Reactivos'!DJ39,'LP Reactivos'!DO39,'LP Reactivos'!DT39,'LP Reactivos'!DY39,'LP Reactivos'!EB39)," ")</f>
        <v>297500</v>
      </c>
      <c r="E39" s="429">
        <f>IFERROR(AVERAGE('LP Reactivos'!F39,'LP Reactivos'!I39,'LP Reactivos'!N39,'LP Reactivos'!S39,'LP Reactivos'!X39,'LP Reactivos'!AC39,'LP Reactivos'!AH39,'LP Reactivos'!AM39,'LP Reactivos'!AR39,'LP Reactivos'!AW39,'LP Reactivos'!BB39,'LP Reactivos'!BG39,'LP Reactivos'!BL39,'LP Reactivos'!BQ39,'LP Reactivos'!BV39,'LP Reactivos'!CA39,'LP Reactivos'!CF39,'LP Reactivos'!CK39,'LP Reactivos'!CP39,'LP Reactivos'!CU39,'LP Reactivos'!CZ39,'LP Reactivos'!DE39,'LP Reactivos'!DJ39,'LP Reactivos'!DO39,'LP Reactivos'!DT39,'LP Reactivos'!DY39,'LP Reactivos'!EB39)," ")</f>
        <v>975513.72</v>
      </c>
      <c r="F39" s="345">
        <f>IFERROR(MEDIAN('LP Reactivos'!F39,'LP Reactivos'!I39,'LP Reactivos'!N39,'LP Reactivos'!S39,'LP Reactivos'!X39,'LP Reactivos'!AC39,'LP Reactivos'!AH39,'LP Reactivos'!AM39,'LP Reactivos'!AR39,'LP Reactivos'!AW39,'LP Reactivos'!BB39,'LP Reactivos'!BG39,'LP Reactivos'!BL39,'LP Reactivos'!BQ39,'LP Reactivos'!BV39,'LP Reactivos'!CA39,'LP Reactivos'!CF39,'LP Reactivos'!CK39,'LP Reactivos'!CP39,'LP Reactivos'!CU39,'LP Reactivos'!CZ39,'LP Reactivos'!DE39,'LP Reactivos'!DJ39,'LP Reactivos'!DO39,'LP Reactivos'!DT39,'LP Reactivos'!DY39,'LP Reactivos'!EB39)," ")</f>
        <v>1055777.52</v>
      </c>
      <c r="G39" s="345">
        <f>IFERROR(GEOMEAN('LP Reactivos'!F39,'LP Reactivos'!I39,'LP Reactivos'!N39,'LP Reactivos'!S39,'LP Reactivos'!X39,'LP Reactivos'!AC39,'LP Reactivos'!AH39,'LP Reactivos'!AM39,'LP Reactivos'!AR39,'LP Reactivos'!AW39,'LP Reactivos'!BB39,'LP Reactivos'!BG39,'LP Reactivos'!BL39,'LP Reactivos'!BQ39,'LP Reactivos'!BV39,'LP Reactivos'!CA39,'LP Reactivos'!CF39,'LP Reactivos'!CK39,'LP Reactivos'!CP39,'LP Reactivos'!CU39,'LP Reactivos'!CZ39,'LP Reactivos'!DE39,'LP Reactivos'!DJ39,'LP Reactivos'!DO39,'LP Reactivos'!DT39,'LP Reactivos'!DY39,'LP Reactivos'!EB39)," ")</f>
        <v>848308.92005017935</v>
      </c>
      <c r="H39" s="345">
        <f t="shared" si="0"/>
        <v>342021.49383460818</v>
      </c>
      <c r="I39" s="346">
        <f t="shared" si="1"/>
        <v>0.35060654383682904</v>
      </c>
      <c r="J39" s="345">
        <f>IF(I39&lt;=10%,F39,IF(AND(I39&gt;10%,I39&lt;=20%),E39,IF(AND(I39&gt;20%,I39&lt;=36%),G39,IF(I39&gt;36%,D39))))</f>
        <v>848308.92005017935</v>
      </c>
      <c r="K39" s="344" t="str">
        <f t="shared" si="3"/>
        <v>Media Geométrica</v>
      </c>
      <c r="L39" s="326">
        <f>IFERROR(COUNTA('LP Reactivos'!F39,'LP Reactivos'!I39,'LP Reactivos'!N39,'LP Reactivos'!S39,'LP Reactivos'!X39,'LP Reactivos'!AC39,'LP Reactivos'!AH39,'LP Reactivos'!AM39,'LP Reactivos'!AR39,'LP Reactivos'!AW39,'LP Reactivos'!BB39,'LP Reactivos'!BG39,'LP Reactivos'!BL39,'LP Reactivos'!BQ39,'LP Reactivos'!BV39,'LP Reactivos'!CA39,'LP Reactivos'!CF39,'LP Reactivos'!CK39,'LP Reactivos'!CP39,'LP Reactivos'!CU39,'LP Reactivos'!CZ39,'LP Reactivos'!DE39,'LP Reactivos'!DJ39,'LP Reactivos'!DO39,'LP Reactivos'!DT39,'LP Reactivos'!DY39,'LP Reactivos'!EB39)," ")</f>
        <v>5</v>
      </c>
    </row>
    <row r="40" spans="2:12" x14ac:dyDescent="0.25">
      <c r="B40" s="425">
        <v>38</v>
      </c>
      <c r="C40" s="428" t="s">
        <v>769</v>
      </c>
      <c r="D40" s="429">
        <f>IFERROR(MIN('LP Reactivos'!F40,'LP Reactivos'!I40,'LP Reactivos'!N40,'LP Reactivos'!S40,'LP Reactivos'!X40,'LP Reactivos'!AC40,'LP Reactivos'!AH40,'LP Reactivos'!AM40,'LP Reactivos'!AR40,'LP Reactivos'!AW40,'LP Reactivos'!BB40,'LP Reactivos'!BG40,'LP Reactivos'!BL40,'LP Reactivos'!BQ40,'LP Reactivos'!BV40,'LP Reactivos'!CA40,'LP Reactivos'!CF40,'LP Reactivos'!CK40,'LP Reactivos'!CP40,'LP Reactivos'!CU40,'LP Reactivos'!CZ40,'LP Reactivos'!DE40,'LP Reactivos'!DJ40,'LP Reactivos'!DO40,'LP Reactivos'!DT40,'LP Reactivos'!DY40,'LP Reactivos'!EB40)," ")</f>
        <v>464100</v>
      </c>
      <c r="E40" s="429">
        <f>IFERROR(AVERAGE('LP Reactivos'!F40,'LP Reactivos'!I40,'LP Reactivos'!N40,'LP Reactivos'!S40,'LP Reactivos'!X40,'LP Reactivos'!AC40,'LP Reactivos'!AH40,'LP Reactivos'!AM40,'LP Reactivos'!AR40,'LP Reactivos'!AW40,'LP Reactivos'!BB40,'LP Reactivos'!BG40,'LP Reactivos'!BL40,'LP Reactivos'!BQ40,'LP Reactivos'!BV40,'LP Reactivos'!CA40,'LP Reactivos'!CF40,'LP Reactivos'!CK40,'LP Reactivos'!CP40,'LP Reactivos'!CU40,'LP Reactivos'!CZ40,'LP Reactivos'!DE40,'LP Reactivos'!DJ40,'LP Reactivos'!DO40,'LP Reactivos'!DT40,'LP Reactivos'!DY40,'LP Reactivos'!EB40)," ")</f>
        <v>1147070.155</v>
      </c>
      <c r="F40" s="345">
        <f>IFERROR(MEDIAN('LP Reactivos'!F40,'LP Reactivos'!I40,'LP Reactivos'!N40,'LP Reactivos'!S40,'LP Reactivos'!X40,'LP Reactivos'!AC40,'LP Reactivos'!AH40,'LP Reactivos'!AM40,'LP Reactivos'!AR40,'LP Reactivos'!AW40,'LP Reactivos'!BB40,'LP Reactivos'!BG40,'LP Reactivos'!BL40,'LP Reactivos'!BQ40,'LP Reactivos'!BV40,'LP Reactivos'!CA40,'LP Reactivos'!CF40,'LP Reactivos'!CK40,'LP Reactivos'!CP40,'LP Reactivos'!CU40,'LP Reactivos'!CZ40,'LP Reactivos'!DE40,'LP Reactivos'!DJ40,'LP Reactivos'!DO40,'LP Reactivos'!DT40,'LP Reactivos'!DY40,'LP Reactivos'!EB40)," ")</f>
        <v>985080.81</v>
      </c>
      <c r="G40" s="345">
        <f>IFERROR(GEOMEAN('LP Reactivos'!F40,'LP Reactivos'!I40,'LP Reactivos'!N40,'LP Reactivos'!S40,'LP Reactivos'!X40,'LP Reactivos'!AC40,'LP Reactivos'!AH40,'LP Reactivos'!AM40,'LP Reactivos'!AR40,'LP Reactivos'!AW40,'LP Reactivos'!BB40,'LP Reactivos'!BG40,'LP Reactivos'!BL40,'LP Reactivos'!BQ40,'LP Reactivos'!BV40,'LP Reactivos'!CA40,'LP Reactivos'!CF40,'LP Reactivos'!CK40,'LP Reactivos'!CP40,'LP Reactivos'!CU40,'LP Reactivos'!CZ40,'LP Reactivos'!DE40,'LP Reactivos'!DJ40,'LP Reactivos'!DO40,'LP Reactivos'!DT40,'LP Reactivos'!DY40,'LP Reactivos'!EB40)," ")</f>
        <v>950463.69536777248</v>
      </c>
      <c r="H40" s="345">
        <f t="shared" si="0"/>
        <v>294464.46781528759</v>
      </c>
      <c r="I40" s="346">
        <f t="shared" si="1"/>
        <v>0.25671007700072851</v>
      </c>
      <c r="J40" s="345">
        <f t="shared" si="2"/>
        <v>950463.69536777248</v>
      </c>
      <c r="K40" s="344" t="str">
        <f t="shared" si="3"/>
        <v>Media Geométrica</v>
      </c>
      <c r="L40" s="326">
        <f>IFERROR(COUNTA('LP Reactivos'!F40,'LP Reactivos'!I40,'LP Reactivos'!N40,'LP Reactivos'!S40,'LP Reactivos'!X40,'LP Reactivos'!AC40,'LP Reactivos'!AH40,'LP Reactivos'!AM40,'LP Reactivos'!AR40,'LP Reactivos'!AW40,'LP Reactivos'!BB40,'LP Reactivos'!BG40,'LP Reactivos'!BL40,'LP Reactivos'!BQ40,'LP Reactivos'!BV40,'LP Reactivos'!CA40,'LP Reactivos'!CF40,'LP Reactivos'!CK40,'LP Reactivos'!CP40,'LP Reactivos'!CU40,'LP Reactivos'!CZ40,'LP Reactivos'!DE40,'LP Reactivos'!DJ40,'LP Reactivos'!DO40,'LP Reactivos'!DT40,'LP Reactivos'!DY40,'LP Reactivos'!EB40)," ")</f>
        <v>4</v>
      </c>
    </row>
    <row r="41" spans="2:12" x14ac:dyDescent="0.25">
      <c r="B41" s="425">
        <v>39</v>
      </c>
      <c r="C41" s="428" t="s">
        <v>773</v>
      </c>
      <c r="D41" s="429">
        <f>IFERROR(MIN('LP Reactivos'!F41,'LP Reactivos'!I41,'LP Reactivos'!N41,'LP Reactivos'!S41,'LP Reactivos'!X41,'LP Reactivos'!AC41,'LP Reactivos'!AH41,'LP Reactivos'!AM41,'LP Reactivos'!AR41,'LP Reactivos'!AW41,'LP Reactivos'!BB41,'LP Reactivos'!BG41,'LP Reactivos'!BL41,'LP Reactivos'!BQ41,'LP Reactivos'!BV41,'LP Reactivos'!CA41,'LP Reactivos'!CF41,'LP Reactivos'!CK41,'LP Reactivos'!CP41,'LP Reactivos'!CU41,'LP Reactivos'!CZ41,'LP Reactivos'!DE41,'LP Reactivos'!DJ41,'LP Reactivos'!DO41,'LP Reactivos'!DT41,'LP Reactivos'!DY41,'LP Reactivos'!EB41)," ")</f>
        <v>443870</v>
      </c>
      <c r="E41" s="429">
        <f>IFERROR(AVERAGE('LP Reactivos'!F41,'LP Reactivos'!I41,'LP Reactivos'!N41,'LP Reactivos'!S41,'LP Reactivos'!X41,'LP Reactivos'!AC41,'LP Reactivos'!AH41,'LP Reactivos'!AM41,'LP Reactivos'!AR41,'LP Reactivos'!AW41,'LP Reactivos'!BB41,'LP Reactivos'!BG41,'LP Reactivos'!BL41,'LP Reactivos'!BQ41,'LP Reactivos'!BV41,'LP Reactivos'!CA41,'LP Reactivos'!CF41,'LP Reactivos'!CK41,'LP Reactivos'!CP41,'LP Reactivos'!CU41,'LP Reactivos'!CZ41,'LP Reactivos'!DE41,'LP Reactivos'!DJ41,'LP Reactivos'!DO41,'LP Reactivos'!DT41,'LP Reactivos'!DY41,'LP Reactivos'!EB41)," ")</f>
        <v>985987.39</v>
      </c>
      <c r="F41" s="345">
        <f>IFERROR(MEDIAN('LP Reactivos'!F41,'LP Reactivos'!I41,'LP Reactivos'!N41,'LP Reactivos'!S41,'LP Reactivos'!X41,'LP Reactivos'!AC41,'LP Reactivos'!AH41,'LP Reactivos'!AM41,'LP Reactivos'!AR41,'LP Reactivos'!AW41,'LP Reactivos'!BB41,'LP Reactivos'!BG41,'LP Reactivos'!BL41,'LP Reactivos'!BQ41,'LP Reactivos'!BV41,'LP Reactivos'!CA41,'LP Reactivos'!CF41,'LP Reactivos'!CK41,'LP Reactivos'!CP41,'LP Reactivos'!CU41,'LP Reactivos'!CZ41,'LP Reactivos'!DE41,'LP Reactivos'!DJ41,'LP Reactivos'!DO41,'LP Reactivos'!DT41,'LP Reactivos'!DY41,'LP Reactivos'!EB41)," ")</f>
        <v>897274.28</v>
      </c>
      <c r="G41" s="345">
        <f>IFERROR(GEOMEAN('LP Reactivos'!F41,'LP Reactivos'!I41,'LP Reactivos'!N41,'LP Reactivos'!S41,'LP Reactivos'!X41,'LP Reactivos'!AC41,'LP Reactivos'!AH41,'LP Reactivos'!AM41,'LP Reactivos'!AR41,'LP Reactivos'!AW41,'LP Reactivos'!BB41,'LP Reactivos'!BG41,'LP Reactivos'!BL41,'LP Reactivos'!BQ41,'LP Reactivos'!BV41,'LP Reactivos'!CA41,'LP Reactivos'!CF41,'LP Reactivos'!CK41,'LP Reactivos'!CP41,'LP Reactivos'!CU41,'LP Reactivos'!CZ41,'LP Reactivos'!DE41,'LP Reactivos'!DJ41,'LP Reactivos'!DO41,'LP Reactivos'!DT41,'LP Reactivos'!DY41,'LP Reactivos'!EB41)," ")</f>
        <v>850410.56429450156</v>
      </c>
      <c r="H41" s="345">
        <f t="shared" si="0"/>
        <v>240345.10526248181</v>
      </c>
      <c r="I41" s="346">
        <f t="shared" si="1"/>
        <v>0.24376083071658938</v>
      </c>
      <c r="J41" s="345">
        <f t="shared" si="2"/>
        <v>850410.56429450156</v>
      </c>
      <c r="K41" s="344" t="str">
        <f t="shared" si="3"/>
        <v>Media Geométrica</v>
      </c>
      <c r="L41" s="326">
        <f>IFERROR(COUNTA('LP Reactivos'!F41,'LP Reactivos'!I41,'LP Reactivos'!N41,'LP Reactivos'!S41,'LP Reactivos'!X41,'LP Reactivos'!AC41,'LP Reactivos'!AH41,'LP Reactivos'!AM41,'LP Reactivos'!AR41,'LP Reactivos'!AW41,'LP Reactivos'!BB41,'LP Reactivos'!BG41,'LP Reactivos'!BL41,'LP Reactivos'!BQ41,'LP Reactivos'!BV41,'LP Reactivos'!CA41,'LP Reactivos'!CF41,'LP Reactivos'!CK41,'LP Reactivos'!CP41,'LP Reactivos'!CU41,'LP Reactivos'!CZ41,'LP Reactivos'!DE41,'LP Reactivos'!DJ41,'LP Reactivos'!DO41,'LP Reactivos'!DT41,'LP Reactivos'!DY41,'LP Reactivos'!EB41)," ")</f>
        <v>4</v>
      </c>
    </row>
    <row r="42" spans="2:12" x14ac:dyDescent="0.25">
      <c r="B42" s="425">
        <v>40</v>
      </c>
      <c r="C42" s="428" t="s">
        <v>775</v>
      </c>
      <c r="D42" s="429">
        <f>IFERROR(MIN('LP Reactivos'!F42,'LP Reactivos'!I42,'LP Reactivos'!N42,'LP Reactivos'!S42,'LP Reactivos'!X42,'LP Reactivos'!AC42,'LP Reactivos'!AH42,'LP Reactivos'!AM42,'LP Reactivos'!AR42,'LP Reactivos'!AW42,'LP Reactivos'!BB42,'LP Reactivos'!BG42,'LP Reactivos'!BL42,'LP Reactivos'!BQ42,'LP Reactivos'!BV42,'LP Reactivos'!CA42,'LP Reactivos'!CF42,'LP Reactivos'!CK42,'LP Reactivos'!CP42,'LP Reactivos'!CU42,'LP Reactivos'!CZ42,'LP Reactivos'!DE42,'LP Reactivos'!DJ42,'LP Reactivos'!DO42,'LP Reactivos'!DT42,'LP Reactivos'!DY42,'LP Reactivos'!EB42)," ")</f>
        <v>234430</v>
      </c>
      <c r="E42" s="429">
        <f>IFERROR(AVERAGE('LP Reactivos'!F42,'LP Reactivos'!I42,'LP Reactivos'!N42,'LP Reactivos'!S42,'LP Reactivos'!X42,'LP Reactivos'!AC42,'LP Reactivos'!AH42,'LP Reactivos'!AM42,'LP Reactivos'!AR42,'LP Reactivos'!AW42,'LP Reactivos'!BB42,'LP Reactivos'!BG42,'LP Reactivos'!BL42,'LP Reactivos'!BQ42,'LP Reactivos'!BV42,'LP Reactivos'!CA42,'LP Reactivos'!CF42,'LP Reactivos'!CK42,'LP Reactivos'!CP42,'LP Reactivos'!CU42,'LP Reactivos'!CZ42,'LP Reactivos'!DE42,'LP Reactivos'!DJ42,'LP Reactivos'!DO42,'LP Reactivos'!DT42,'LP Reactivos'!DY42,'LP Reactivos'!EB42)," ")</f>
        <v>1259615</v>
      </c>
      <c r="F42" s="345">
        <f>IFERROR(MEDIAN('LP Reactivos'!F42,'LP Reactivos'!I42,'LP Reactivos'!N42,'LP Reactivos'!S42,'LP Reactivos'!X42,'LP Reactivos'!AC42,'LP Reactivos'!AH42,'LP Reactivos'!AM42,'LP Reactivos'!AR42,'LP Reactivos'!AW42,'LP Reactivos'!BB42,'LP Reactivos'!BG42,'LP Reactivos'!BL42,'LP Reactivos'!BQ42,'LP Reactivos'!BV42,'LP Reactivos'!CA42,'LP Reactivos'!CF42,'LP Reactivos'!CK42,'LP Reactivos'!CP42,'LP Reactivos'!CU42,'LP Reactivos'!CZ42,'LP Reactivos'!DE42,'LP Reactivos'!DJ42,'LP Reactivos'!DO42,'LP Reactivos'!DT42,'LP Reactivos'!DY42,'LP Reactivos'!EB42)," ")</f>
        <v>1259615</v>
      </c>
      <c r="G42" s="345">
        <f>IFERROR(GEOMEAN('LP Reactivos'!F42,'LP Reactivos'!I42,'LP Reactivos'!N42,'LP Reactivos'!S42,'LP Reactivos'!X42,'LP Reactivos'!AC42,'LP Reactivos'!AH42,'LP Reactivos'!AM42,'LP Reactivos'!AR42,'LP Reactivos'!AW42,'LP Reactivos'!BB42,'LP Reactivos'!BG42,'LP Reactivos'!BL42,'LP Reactivos'!BQ42,'LP Reactivos'!BV42,'LP Reactivos'!CA42,'LP Reactivos'!CF42,'LP Reactivos'!CK42,'LP Reactivos'!CP42,'LP Reactivos'!CU42,'LP Reactivos'!CZ42,'LP Reactivos'!DE42,'LP Reactivos'!DJ42,'LP Reactivos'!DO42,'LP Reactivos'!DT42,'LP Reactivos'!DY42,'LP Reactivos'!EB42)," ")</f>
        <v>731864.51205124031</v>
      </c>
      <c r="H42" s="345">
        <f t="shared" si="0"/>
        <v>492145.88092098944</v>
      </c>
      <c r="I42" s="346">
        <f t="shared" si="1"/>
        <v>0.39071135300944293</v>
      </c>
      <c r="J42" s="345">
        <f>IF(I42&lt;=10%,F42,IF(AND(I42&gt;10%,I42&lt;=20%),E42,IF(AND(I42&gt;20%,I42&lt;=40%),G42,IF(I42&gt;40%,D42))))</f>
        <v>731864.51205124031</v>
      </c>
      <c r="K42" s="344" t="str">
        <f>IF(J42=D42,"Menor Valor",IF(J42=E42,"Promedio",IF(J42=F42,"Mediana",IF(J42=G42,"Media Geométrica"," "))))</f>
        <v>Media Geométrica</v>
      </c>
      <c r="L42" s="326">
        <f>IFERROR(COUNTA('LP Reactivos'!F42,'LP Reactivos'!I42,'LP Reactivos'!N42,'LP Reactivos'!S42,'LP Reactivos'!X42,'LP Reactivos'!AC42,'LP Reactivos'!AH42,'LP Reactivos'!AM42,'LP Reactivos'!AR42,'LP Reactivos'!AW42,'LP Reactivos'!BB42,'LP Reactivos'!BG42,'LP Reactivos'!BL42,'LP Reactivos'!BQ42,'LP Reactivos'!BV42,'LP Reactivos'!CA42,'LP Reactivos'!CF42,'LP Reactivos'!CK42,'LP Reactivos'!CP42,'LP Reactivos'!CU42,'LP Reactivos'!CZ42,'LP Reactivos'!DE42,'LP Reactivos'!DJ42,'LP Reactivos'!DO42,'LP Reactivos'!DT42,'LP Reactivos'!DY42,'LP Reactivos'!EB42)," ")</f>
        <v>2</v>
      </c>
    </row>
    <row r="43" spans="2:12" x14ac:dyDescent="0.25">
      <c r="B43" s="425">
        <v>41</v>
      </c>
      <c r="C43" s="428" t="s">
        <v>779</v>
      </c>
      <c r="D43" s="429">
        <f>IFERROR(MIN('LP Reactivos'!F43,'LP Reactivos'!I43,'LP Reactivos'!N43,'LP Reactivos'!S43,'LP Reactivos'!X43,'LP Reactivos'!AC43,'LP Reactivos'!AH43,'LP Reactivos'!AM43,'LP Reactivos'!AR43,'LP Reactivos'!AW43,'LP Reactivos'!BB43,'LP Reactivos'!BG43,'LP Reactivos'!BL43,'LP Reactivos'!BQ43,'LP Reactivos'!BV43,'LP Reactivos'!CA43,'LP Reactivos'!CF43,'LP Reactivos'!CK43,'LP Reactivos'!CP43,'LP Reactivos'!CU43,'LP Reactivos'!CZ43,'LP Reactivos'!DE43,'LP Reactivos'!DJ43,'LP Reactivos'!DO43,'LP Reactivos'!DT43,'LP Reactivos'!DY43,'LP Reactivos'!EB43)," ")</f>
        <v>258230</v>
      </c>
      <c r="E43" s="429">
        <f>IFERROR(AVERAGE('LP Reactivos'!F43,'LP Reactivos'!I43,'LP Reactivos'!N43,'LP Reactivos'!S43,'LP Reactivos'!X43,'LP Reactivos'!AC43,'LP Reactivos'!AH43,'LP Reactivos'!AM43,'LP Reactivos'!AR43,'LP Reactivos'!AW43,'LP Reactivos'!BB43,'LP Reactivos'!BG43,'LP Reactivos'!BL43,'LP Reactivos'!BQ43,'LP Reactivos'!BV43,'LP Reactivos'!CA43,'LP Reactivos'!CF43,'LP Reactivos'!CK43,'LP Reactivos'!CP43,'LP Reactivos'!CU43,'LP Reactivos'!CZ43,'LP Reactivos'!DE43,'LP Reactivos'!DJ43,'LP Reactivos'!DO43,'LP Reactivos'!DT43,'LP Reactivos'!DY43,'LP Reactivos'!EB43)," ")</f>
        <v>736723.33333333337</v>
      </c>
      <c r="F43" s="345">
        <f>IFERROR(MEDIAN('LP Reactivos'!F43,'LP Reactivos'!I43,'LP Reactivos'!N43,'LP Reactivos'!S43,'LP Reactivos'!X43,'LP Reactivos'!AC43,'LP Reactivos'!AH43,'LP Reactivos'!AM43,'LP Reactivos'!AR43,'LP Reactivos'!AW43,'LP Reactivos'!BB43,'LP Reactivos'!BG43,'LP Reactivos'!BL43,'LP Reactivos'!BQ43,'LP Reactivos'!BV43,'LP Reactivos'!CA43,'LP Reactivos'!CF43,'LP Reactivos'!CK43,'LP Reactivos'!CP43,'LP Reactivos'!CU43,'LP Reactivos'!CZ43,'LP Reactivos'!DE43,'LP Reactivos'!DJ43,'LP Reactivos'!DO43,'LP Reactivos'!DT43,'LP Reactivos'!DY43,'LP Reactivos'!EB43)," ")</f>
        <v>606900</v>
      </c>
      <c r="G43" s="345">
        <f>IFERROR(GEOMEAN('LP Reactivos'!F43,'LP Reactivos'!I43,'LP Reactivos'!N43,'LP Reactivos'!S43,'LP Reactivos'!X43,'LP Reactivos'!AC43,'LP Reactivos'!AH43,'LP Reactivos'!AM43,'LP Reactivos'!AR43,'LP Reactivos'!AW43,'LP Reactivos'!BB43,'LP Reactivos'!BG43,'LP Reactivos'!BL43,'LP Reactivos'!BQ43,'LP Reactivos'!BV43,'LP Reactivos'!CA43,'LP Reactivos'!CF43,'LP Reactivos'!CK43,'LP Reactivos'!CP43,'LP Reactivos'!CU43,'LP Reactivos'!CZ43,'LP Reactivos'!DE43,'LP Reactivos'!DJ43,'LP Reactivos'!DO43,'LP Reactivos'!DT43,'LP Reactivos'!DY43,'LP Reactivos'!EB43)," ")</f>
        <v>595140.73577570834</v>
      </c>
      <c r="H43" s="345">
        <f t="shared" si="0"/>
        <v>204343.15356963722</v>
      </c>
      <c r="I43" s="346">
        <f t="shared" si="1"/>
        <v>0.27736756028220072</v>
      </c>
      <c r="J43" s="345">
        <f t="shared" si="2"/>
        <v>595140.73577570834</v>
      </c>
      <c r="K43" s="344" t="str">
        <f t="shared" si="3"/>
        <v>Media Geométrica</v>
      </c>
      <c r="L43" s="326">
        <f>IFERROR(COUNTA('LP Reactivos'!F43,'LP Reactivos'!I43,'LP Reactivos'!N43,'LP Reactivos'!S43,'LP Reactivos'!X43,'LP Reactivos'!AC43,'LP Reactivos'!AH43,'LP Reactivos'!AM43,'LP Reactivos'!AR43,'LP Reactivos'!AW43,'LP Reactivos'!BB43,'LP Reactivos'!BG43,'LP Reactivos'!BL43,'LP Reactivos'!BQ43,'LP Reactivos'!BV43,'LP Reactivos'!CA43,'LP Reactivos'!CF43,'LP Reactivos'!CK43,'LP Reactivos'!CP43,'LP Reactivos'!CU43,'LP Reactivos'!CZ43,'LP Reactivos'!DE43,'LP Reactivos'!DJ43,'LP Reactivos'!DO43,'LP Reactivos'!DT43,'LP Reactivos'!DY43,'LP Reactivos'!EB43)," ")</f>
        <v>3</v>
      </c>
    </row>
    <row r="44" spans="2:12" x14ac:dyDescent="0.25">
      <c r="B44" s="425">
        <v>42</v>
      </c>
      <c r="C44" s="428" t="s">
        <v>782</v>
      </c>
      <c r="D44" s="429">
        <f>IFERROR(MIN('LP Reactivos'!F44,'LP Reactivos'!I44,'LP Reactivos'!N44,'LP Reactivos'!S44,'LP Reactivos'!X44,'LP Reactivos'!AC44,'LP Reactivos'!AH44,'LP Reactivos'!AM44,'LP Reactivos'!AR44,'LP Reactivos'!AW44,'LP Reactivos'!BB44,'LP Reactivos'!BG44,'LP Reactivos'!BL44,'LP Reactivos'!BQ44,'LP Reactivos'!BV44,'LP Reactivos'!CA44,'LP Reactivos'!CF44,'LP Reactivos'!CK44,'LP Reactivos'!CP44,'LP Reactivos'!CU44,'LP Reactivos'!CZ44,'LP Reactivos'!DE44,'LP Reactivos'!DJ44,'LP Reactivos'!DO44,'LP Reactivos'!DT44,'LP Reactivos'!DY44,'LP Reactivos'!EB44)," ")</f>
        <v>286790</v>
      </c>
      <c r="E44" s="429">
        <f>IFERROR(AVERAGE('LP Reactivos'!F44,'LP Reactivos'!I44,'LP Reactivos'!N44,'LP Reactivos'!S44,'LP Reactivos'!X44,'LP Reactivos'!AC44,'LP Reactivos'!AH44,'LP Reactivos'!AM44,'LP Reactivos'!AR44,'LP Reactivos'!AW44,'LP Reactivos'!BB44,'LP Reactivos'!BG44,'LP Reactivos'!BL44,'LP Reactivos'!BQ44,'LP Reactivos'!BV44,'LP Reactivos'!CA44,'LP Reactivos'!CF44,'LP Reactivos'!CK44,'LP Reactivos'!CP44,'LP Reactivos'!CU44,'LP Reactivos'!CZ44,'LP Reactivos'!DE44,'LP Reactivos'!DJ44,'LP Reactivos'!DO44,'LP Reactivos'!DT44,'LP Reactivos'!DY44,'LP Reactivos'!EB44)," ")</f>
        <v>286790</v>
      </c>
      <c r="F44" s="345">
        <f>IFERROR(MEDIAN('LP Reactivos'!F44,'LP Reactivos'!I44,'LP Reactivos'!N44,'LP Reactivos'!S44,'LP Reactivos'!X44,'LP Reactivos'!AC44,'LP Reactivos'!AH44,'LP Reactivos'!AM44,'LP Reactivos'!AR44,'LP Reactivos'!AW44,'LP Reactivos'!BB44,'LP Reactivos'!BG44,'LP Reactivos'!BL44,'LP Reactivos'!BQ44,'LP Reactivos'!BV44,'LP Reactivos'!CA44,'LP Reactivos'!CF44,'LP Reactivos'!CK44,'LP Reactivos'!CP44,'LP Reactivos'!CU44,'LP Reactivos'!CZ44,'LP Reactivos'!DE44,'LP Reactivos'!DJ44,'LP Reactivos'!DO44,'LP Reactivos'!DT44,'LP Reactivos'!DY44,'LP Reactivos'!EB44)," ")</f>
        <v>286790</v>
      </c>
      <c r="G44" s="345">
        <f>IFERROR(GEOMEAN('LP Reactivos'!F44,'LP Reactivos'!I44,'LP Reactivos'!N44,'LP Reactivos'!S44,'LP Reactivos'!X44,'LP Reactivos'!AC44,'LP Reactivos'!AH44,'LP Reactivos'!AM44,'LP Reactivos'!AR44,'LP Reactivos'!AW44,'LP Reactivos'!BB44,'LP Reactivos'!BG44,'LP Reactivos'!BL44,'LP Reactivos'!BQ44,'LP Reactivos'!BV44,'LP Reactivos'!CA44,'LP Reactivos'!CF44,'LP Reactivos'!CK44,'LP Reactivos'!CP44,'LP Reactivos'!CU44,'LP Reactivos'!CZ44,'LP Reactivos'!DE44,'LP Reactivos'!DJ44,'LP Reactivos'!DO44,'LP Reactivos'!DT44,'LP Reactivos'!DY44,'LP Reactivos'!EB44)," ")</f>
        <v>286790</v>
      </c>
      <c r="H44" s="345">
        <f t="shared" si="0"/>
        <v>0</v>
      </c>
      <c r="I44" s="346">
        <f t="shared" si="1"/>
        <v>0</v>
      </c>
      <c r="J44" s="345">
        <f t="shared" si="2"/>
        <v>286790</v>
      </c>
      <c r="K44" s="344" t="str">
        <f t="shared" si="3"/>
        <v>Menor Valor</v>
      </c>
      <c r="L44" s="326">
        <f>IFERROR(COUNTA('LP Reactivos'!F44,'LP Reactivos'!I44,'LP Reactivos'!N44,'LP Reactivos'!S44,'LP Reactivos'!X44,'LP Reactivos'!AC44,'LP Reactivos'!AH44,'LP Reactivos'!AM44,'LP Reactivos'!AR44,'LP Reactivos'!AW44,'LP Reactivos'!BB44,'LP Reactivos'!BG44,'LP Reactivos'!BL44,'LP Reactivos'!BQ44,'LP Reactivos'!BV44,'LP Reactivos'!CA44,'LP Reactivos'!CF44,'LP Reactivos'!CK44,'LP Reactivos'!CP44,'LP Reactivos'!CU44,'LP Reactivos'!CZ44,'LP Reactivos'!DE44,'LP Reactivos'!DJ44,'LP Reactivos'!DO44,'LP Reactivos'!DT44,'LP Reactivos'!DY44,'LP Reactivos'!EB44)," ")</f>
        <v>1</v>
      </c>
    </row>
    <row r="45" spans="2:12" x14ac:dyDescent="0.25">
      <c r="B45" s="425">
        <v>43</v>
      </c>
      <c r="C45" s="427" t="s">
        <v>784</v>
      </c>
      <c r="D45" s="429">
        <f>IFERROR(MIN('LP Reactivos'!F45,'LP Reactivos'!I45,'LP Reactivos'!N45,'LP Reactivos'!S45,'LP Reactivos'!X45,'LP Reactivos'!AC45,'LP Reactivos'!AH45,'LP Reactivos'!AM45,'LP Reactivos'!AR45,'LP Reactivos'!AW45,'LP Reactivos'!BB45,'LP Reactivos'!BG45,'LP Reactivos'!BL45,'LP Reactivos'!BQ45,'LP Reactivos'!BV45,'LP Reactivos'!CA45,'LP Reactivos'!CF45,'LP Reactivos'!CK45,'LP Reactivos'!CP45,'LP Reactivos'!CU45,'LP Reactivos'!CZ45,'LP Reactivos'!DE45,'LP Reactivos'!DJ45,'LP Reactivos'!DO45,'LP Reactivos'!DT45,'LP Reactivos'!DY45,'LP Reactivos'!EB45)," ")</f>
        <v>316540</v>
      </c>
      <c r="E45" s="429">
        <f>IFERROR(AVERAGE('LP Reactivos'!F45,'LP Reactivos'!I45,'LP Reactivos'!N45,'LP Reactivos'!S45,'LP Reactivos'!X45,'LP Reactivos'!AC45,'LP Reactivos'!AH45,'LP Reactivos'!AM45,'LP Reactivos'!AR45,'LP Reactivos'!AW45,'LP Reactivos'!BB45,'LP Reactivos'!BG45,'LP Reactivos'!BL45,'LP Reactivos'!BQ45,'LP Reactivos'!BV45,'LP Reactivos'!CA45,'LP Reactivos'!CF45,'LP Reactivos'!CK45,'LP Reactivos'!CP45,'LP Reactivos'!CU45,'LP Reactivos'!CZ45,'LP Reactivos'!DE45,'LP Reactivos'!DJ45,'LP Reactivos'!DO45,'LP Reactivos'!DT45,'LP Reactivos'!DY45,'LP Reactivos'!EB45)," ")</f>
        <v>316540</v>
      </c>
      <c r="F45" s="345">
        <f>IFERROR(MEDIAN('LP Reactivos'!F45,'LP Reactivos'!I45,'LP Reactivos'!N45,'LP Reactivos'!S45,'LP Reactivos'!X45,'LP Reactivos'!AC45,'LP Reactivos'!AH45,'LP Reactivos'!AM45,'LP Reactivos'!AR45,'LP Reactivos'!AW45,'LP Reactivos'!BB45,'LP Reactivos'!BG45,'LP Reactivos'!BL45,'LP Reactivos'!BQ45,'LP Reactivos'!BV45,'LP Reactivos'!CA45,'LP Reactivos'!CF45,'LP Reactivos'!CK45,'LP Reactivos'!CP45,'LP Reactivos'!CU45,'LP Reactivos'!CZ45,'LP Reactivos'!DE45,'LP Reactivos'!DJ45,'LP Reactivos'!DO45,'LP Reactivos'!DT45,'LP Reactivos'!DY45,'LP Reactivos'!EB45)," ")</f>
        <v>316540</v>
      </c>
      <c r="G45" s="345">
        <f>IFERROR(GEOMEAN('LP Reactivos'!F45,'LP Reactivos'!I45,'LP Reactivos'!N45,'LP Reactivos'!S45,'LP Reactivos'!X45,'LP Reactivos'!AC45,'LP Reactivos'!AH45,'LP Reactivos'!AM45,'LP Reactivos'!AR45,'LP Reactivos'!AW45,'LP Reactivos'!BB45,'LP Reactivos'!BG45,'LP Reactivos'!BL45,'LP Reactivos'!BQ45,'LP Reactivos'!BV45,'LP Reactivos'!CA45,'LP Reactivos'!CF45,'LP Reactivos'!CK45,'LP Reactivos'!CP45,'LP Reactivos'!CU45,'LP Reactivos'!CZ45,'LP Reactivos'!DE45,'LP Reactivos'!DJ45,'LP Reactivos'!DO45,'LP Reactivos'!DT45,'LP Reactivos'!DY45,'LP Reactivos'!EB45)," ")</f>
        <v>316540</v>
      </c>
      <c r="H45" s="345">
        <f t="shared" si="0"/>
        <v>0</v>
      </c>
      <c r="I45" s="346">
        <f t="shared" si="1"/>
        <v>0</v>
      </c>
      <c r="J45" s="345">
        <f t="shared" si="2"/>
        <v>316540</v>
      </c>
      <c r="K45" s="344" t="str">
        <f t="shared" si="3"/>
        <v>Menor Valor</v>
      </c>
      <c r="L45" s="326">
        <f>IFERROR(COUNTA('LP Reactivos'!F45,'LP Reactivos'!I45,'LP Reactivos'!N45,'LP Reactivos'!S45,'LP Reactivos'!X45,'LP Reactivos'!AC45,'LP Reactivos'!AH45,'LP Reactivos'!AM45,'LP Reactivos'!AR45,'LP Reactivos'!AW45,'LP Reactivos'!BB45,'LP Reactivos'!BG45,'LP Reactivos'!BL45,'LP Reactivos'!BQ45,'LP Reactivos'!BV45,'LP Reactivos'!CA45,'LP Reactivos'!CF45,'LP Reactivos'!CK45,'LP Reactivos'!CP45,'LP Reactivos'!CU45,'LP Reactivos'!CZ45,'LP Reactivos'!DE45,'LP Reactivos'!DJ45,'LP Reactivos'!DO45,'LP Reactivos'!DT45,'LP Reactivos'!DY45,'LP Reactivos'!EB45)," ")</f>
        <v>1</v>
      </c>
    </row>
    <row r="46" spans="2:12" x14ac:dyDescent="0.25">
      <c r="B46" s="425">
        <v>44</v>
      </c>
      <c r="C46" s="426" t="s">
        <v>787</v>
      </c>
      <c r="D46" s="429">
        <f>IFERROR(MIN('LP Reactivos'!F46,'LP Reactivos'!I46,'LP Reactivos'!N46,'LP Reactivos'!S46,'LP Reactivos'!X46,'LP Reactivos'!AC46,'LP Reactivos'!AH46,'LP Reactivos'!AM46,'LP Reactivos'!AR46,'LP Reactivos'!AW46,'LP Reactivos'!BB46,'LP Reactivos'!BG46,'LP Reactivos'!BL46,'LP Reactivos'!BQ46,'LP Reactivos'!BV46,'LP Reactivos'!CA46,'LP Reactivos'!CF46,'LP Reactivos'!CK46,'LP Reactivos'!CP46,'LP Reactivos'!CU46,'LP Reactivos'!CZ46,'LP Reactivos'!DE46,'LP Reactivos'!DJ46,'LP Reactivos'!DO46,'LP Reactivos'!DT46,'LP Reactivos'!DY46,'LP Reactivos'!EB46)," ")</f>
        <v>230860</v>
      </c>
      <c r="E46" s="429">
        <f>IFERROR(AVERAGE('LP Reactivos'!F46,'LP Reactivos'!I46,'LP Reactivos'!N46,'LP Reactivos'!S46,'LP Reactivos'!X46,'LP Reactivos'!AC46,'LP Reactivos'!AH46,'LP Reactivos'!AM46,'LP Reactivos'!AR46,'LP Reactivos'!AW46,'LP Reactivos'!BB46,'LP Reactivos'!BG46,'LP Reactivos'!BL46,'LP Reactivos'!BQ46,'LP Reactivos'!BV46,'LP Reactivos'!CA46,'LP Reactivos'!CF46,'LP Reactivos'!CK46,'LP Reactivos'!CP46,'LP Reactivos'!CU46,'LP Reactivos'!CZ46,'LP Reactivos'!DE46,'LP Reactivos'!DJ46,'LP Reactivos'!DO46,'LP Reactivos'!DT46,'LP Reactivos'!DY46,'LP Reactivos'!EB46)," ")</f>
        <v>315575.58750000002</v>
      </c>
      <c r="F46" s="345">
        <f>IFERROR(MEDIAN('LP Reactivos'!F46,'LP Reactivos'!I46,'LP Reactivos'!N46,'LP Reactivos'!S46,'LP Reactivos'!X46,'LP Reactivos'!AC46,'LP Reactivos'!AH46,'LP Reactivos'!AM46,'LP Reactivos'!AR46,'LP Reactivos'!AW46,'LP Reactivos'!BB46,'LP Reactivos'!BG46,'LP Reactivos'!BL46,'LP Reactivos'!BQ46,'LP Reactivos'!BV46,'LP Reactivos'!CA46,'LP Reactivos'!CF46,'LP Reactivos'!CK46,'LP Reactivos'!CP46,'LP Reactivos'!CU46,'LP Reactivos'!CZ46,'LP Reactivos'!DE46,'LP Reactivos'!DJ46,'LP Reactivos'!DO46,'LP Reactivos'!DT46,'LP Reactivos'!DY46,'LP Reactivos'!EB46)," ")</f>
        <v>308367.67499999999</v>
      </c>
      <c r="G46" s="345">
        <f>IFERROR(GEOMEAN('LP Reactivos'!F46,'LP Reactivos'!I46,'LP Reactivos'!N46,'LP Reactivos'!S46,'LP Reactivos'!X46,'LP Reactivos'!AC46,'LP Reactivos'!AH46,'LP Reactivos'!AM46,'LP Reactivos'!AR46,'LP Reactivos'!AW46,'LP Reactivos'!BB46,'LP Reactivos'!BG46,'LP Reactivos'!BL46,'LP Reactivos'!BQ46,'LP Reactivos'!BV46,'LP Reactivos'!CA46,'LP Reactivos'!CF46,'LP Reactivos'!CK46,'LP Reactivos'!CP46,'LP Reactivos'!CU46,'LP Reactivos'!CZ46,'LP Reactivos'!DE46,'LP Reactivos'!DJ46,'LP Reactivos'!DO46,'LP Reactivos'!DT46,'LP Reactivos'!DY46,'LP Reactivos'!EB46)," ")</f>
        <v>308554.08710384433</v>
      </c>
      <c r="H46" s="345">
        <f t="shared" si="0"/>
        <v>40126.707482017664</v>
      </c>
      <c r="I46" s="346">
        <f t="shared" si="1"/>
        <v>0.12715402924510966</v>
      </c>
      <c r="J46" s="345">
        <f t="shared" si="2"/>
        <v>315575.58750000002</v>
      </c>
      <c r="K46" s="344" t="str">
        <f t="shared" si="3"/>
        <v>Promedio</v>
      </c>
      <c r="L46" s="326">
        <f>IFERROR(COUNTA('LP Reactivos'!F46,'LP Reactivos'!I46,'LP Reactivos'!N46,'LP Reactivos'!S46,'LP Reactivos'!X46,'LP Reactivos'!AC46,'LP Reactivos'!AH46,'LP Reactivos'!AM46,'LP Reactivos'!AR46,'LP Reactivos'!AW46,'LP Reactivos'!BB46,'LP Reactivos'!BG46,'LP Reactivos'!BL46,'LP Reactivos'!BQ46,'LP Reactivos'!BV46,'LP Reactivos'!CA46,'LP Reactivos'!CF46,'LP Reactivos'!CK46,'LP Reactivos'!CP46,'LP Reactivos'!CU46,'LP Reactivos'!CZ46,'LP Reactivos'!DE46,'LP Reactivos'!DJ46,'LP Reactivos'!DO46,'LP Reactivos'!DT46,'LP Reactivos'!DY46,'LP Reactivos'!EB46)," ")</f>
        <v>4</v>
      </c>
    </row>
    <row r="47" spans="2:12" x14ac:dyDescent="0.25">
      <c r="B47" s="425">
        <v>45</v>
      </c>
      <c r="C47" s="426" t="s">
        <v>791</v>
      </c>
      <c r="D47" s="429">
        <f>IFERROR(MIN('LP Reactivos'!F47,'LP Reactivos'!I47,'LP Reactivos'!N47,'LP Reactivos'!S47,'LP Reactivos'!X47,'LP Reactivos'!AC47,'LP Reactivos'!AH47,'LP Reactivos'!AM47,'LP Reactivos'!AR47,'LP Reactivos'!AW47,'LP Reactivos'!BB47,'LP Reactivos'!BG47,'LP Reactivos'!BL47,'LP Reactivos'!BQ47,'LP Reactivos'!BV47,'LP Reactivos'!CA47,'LP Reactivos'!CF47,'LP Reactivos'!CK47,'LP Reactivos'!CP47,'LP Reactivos'!CU47,'LP Reactivos'!CZ47,'LP Reactivos'!DE47,'LP Reactivos'!DJ47,'LP Reactivos'!DO47,'LP Reactivos'!DT47,'LP Reactivos'!DY47,'LP Reactivos'!EB47)," ")</f>
        <v>303450</v>
      </c>
      <c r="E47" s="429">
        <f>IFERROR(AVERAGE('LP Reactivos'!F47,'LP Reactivos'!I47,'LP Reactivos'!N47,'LP Reactivos'!S47,'LP Reactivos'!X47,'LP Reactivos'!AC47,'LP Reactivos'!AH47,'LP Reactivos'!AM47,'LP Reactivos'!AR47,'LP Reactivos'!AW47,'LP Reactivos'!BB47,'LP Reactivos'!BG47,'LP Reactivos'!BL47,'LP Reactivos'!BQ47,'LP Reactivos'!BV47,'LP Reactivos'!CA47,'LP Reactivos'!CF47,'LP Reactivos'!CK47,'LP Reactivos'!CP47,'LP Reactivos'!CU47,'LP Reactivos'!CZ47,'LP Reactivos'!DE47,'LP Reactivos'!DJ47,'LP Reactivos'!DO47,'LP Reactivos'!DT47,'LP Reactivos'!DY47,'LP Reactivos'!EB47)," ")</f>
        <v>466605.50750000001</v>
      </c>
      <c r="F47" s="345">
        <f>IFERROR(MEDIAN('LP Reactivos'!F47,'LP Reactivos'!I47,'LP Reactivos'!N47,'LP Reactivos'!S47,'LP Reactivos'!X47,'LP Reactivos'!AC47,'LP Reactivos'!AH47,'LP Reactivos'!AM47,'LP Reactivos'!AR47,'LP Reactivos'!AW47,'LP Reactivos'!BB47,'LP Reactivos'!BG47,'LP Reactivos'!BL47,'LP Reactivos'!BQ47,'LP Reactivos'!BV47,'LP Reactivos'!CA47,'LP Reactivos'!CF47,'LP Reactivos'!CK47,'LP Reactivos'!CP47,'LP Reactivos'!CU47,'LP Reactivos'!CZ47,'LP Reactivos'!DE47,'LP Reactivos'!DJ47,'LP Reactivos'!DO47,'LP Reactivos'!DT47,'LP Reactivos'!DY47,'LP Reactivos'!EB47)," ")</f>
        <v>418307.01500000001</v>
      </c>
      <c r="G47" s="345">
        <f>IFERROR(GEOMEAN('LP Reactivos'!F47,'LP Reactivos'!I47,'LP Reactivos'!N47,'LP Reactivos'!S47,'LP Reactivos'!X47,'LP Reactivos'!AC47,'LP Reactivos'!AH47,'LP Reactivos'!AM47,'LP Reactivos'!AR47,'LP Reactivos'!AW47,'LP Reactivos'!BB47,'LP Reactivos'!BG47,'LP Reactivos'!BL47,'LP Reactivos'!BQ47,'LP Reactivos'!BV47,'LP Reactivos'!CA47,'LP Reactivos'!CF47,'LP Reactivos'!CK47,'LP Reactivos'!CP47,'LP Reactivos'!CU47,'LP Reactivos'!CZ47,'LP Reactivos'!DE47,'LP Reactivos'!DJ47,'LP Reactivos'!DO47,'LP Reactivos'!DT47,'LP Reactivos'!DY47,'LP Reactivos'!EB47)," ")</f>
        <v>435273.95161349961</v>
      </c>
      <c r="H47" s="345">
        <f t="shared" si="0"/>
        <v>71175.660312695676</v>
      </c>
      <c r="I47" s="346">
        <f t="shared" si="1"/>
        <v>0.15253926318624877</v>
      </c>
      <c r="J47" s="345">
        <f t="shared" si="2"/>
        <v>466605.50750000001</v>
      </c>
      <c r="K47" s="344" t="str">
        <f t="shared" si="3"/>
        <v>Promedio</v>
      </c>
      <c r="L47" s="326">
        <f>IFERROR(COUNTA('LP Reactivos'!F47,'LP Reactivos'!I47,'LP Reactivos'!N47,'LP Reactivos'!S47,'LP Reactivos'!X47,'LP Reactivos'!AC47,'LP Reactivos'!AH47,'LP Reactivos'!AM47,'LP Reactivos'!AR47,'LP Reactivos'!AW47,'LP Reactivos'!BB47,'LP Reactivos'!BG47,'LP Reactivos'!BL47,'LP Reactivos'!BQ47,'LP Reactivos'!BV47,'LP Reactivos'!CA47,'LP Reactivos'!CF47,'LP Reactivos'!CK47,'LP Reactivos'!CP47,'LP Reactivos'!CU47,'LP Reactivos'!CZ47,'LP Reactivos'!DE47,'LP Reactivos'!DJ47,'LP Reactivos'!DO47,'LP Reactivos'!DT47,'LP Reactivos'!DY47,'LP Reactivos'!EB47)," ")</f>
        <v>4</v>
      </c>
    </row>
    <row r="48" spans="2:12" x14ac:dyDescent="0.25">
      <c r="B48" s="425">
        <v>46</v>
      </c>
      <c r="C48" s="426" t="s">
        <v>795</v>
      </c>
      <c r="D48" s="429">
        <f>IFERROR(MIN('LP Reactivos'!F48,'LP Reactivos'!I48,'LP Reactivos'!N48,'LP Reactivos'!S48,'LP Reactivos'!X48,'LP Reactivos'!AC48,'LP Reactivos'!AH48,'LP Reactivos'!AM48,'LP Reactivos'!AR48,'LP Reactivos'!AW48,'LP Reactivos'!BB48,'LP Reactivos'!BG48,'LP Reactivos'!BL48,'LP Reactivos'!BQ48,'LP Reactivos'!BV48,'LP Reactivos'!CA48,'LP Reactivos'!CF48,'LP Reactivos'!CK48,'LP Reactivos'!CP48,'LP Reactivos'!CU48,'LP Reactivos'!CZ48,'LP Reactivos'!DE48,'LP Reactivos'!DJ48,'LP Reactivos'!DO48,'LP Reactivos'!DT48,'LP Reactivos'!DY48,'LP Reactivos'!EB48)," ")</f>
        <v>357000</v>
      </c>
      <c r="E48" s="429">
        <f>IFERROR(AVERAGE('LP Reactivos'!F48,'LP Reactivos'!I48,'LP Reactivos'!N48,'LP Reactivos'!S48,'LP Reactivos'!X48,'LP Reactivos'!AC48,'LP Reactivos'!AH48,'LP Reactivos'!AM48,'LP Reactivos'!AR48,'LP Reactivos'!AW48,'LP Reactivos'!BB48,'LP Reactivos'!BG48,'LP Reactivos'!BL48,'LP Reactivos'!BQ48,'LP Reactivos'!BV48,'LP Reactivos'!CA48,'LP Reactivos'!CF48,'LP Reactivos'!CK48,'LP Reactivos'!CP48,'LP Reactivos'!CU48,'LP Reactivos'!CZ48,'LP Reactivos'!DE48,'LP Reactivos'!DJ48,'LP Reactivos'!DO48,'LP Reactivos'!DT48,'LP Reactivos'!DY48,'LP Reactivos'!EB48)," ")</f>
        <v>2889618.9233333333</v>
      </c>
      <c r="F48" s="345">
        <f>IFERROR(MEDIAN('LP Reactivos'!F48,'LP Reactivos'!I48,'LP Reactivos'!N48,'LP Reactivos'!S48,'LP Reactivos'!X48,'LP Reactivos'!AC48,'LP Reactivos'!AH48,'LP Reactivos'!AM48,'LP Reactivos'!AR48,'LP Reactivos'!AW48,'LP Reactivos'!BB48,'LP Reactivos'!BG48,'LP Reactivos'!BL48,'LP Reactivos'!BQ48,'LP Reactivos'!BV48,'LP Reactivos'!CA48,'LP Reactivos'!CF48,'LP Reactivos'!CK48,'LP Reactivos'!CP48,'LP Reactivos'!CU48,'LP Reactivos'!CZ48,'LP Reactivos'!DE48,'LP Reactivos'!DJ48,'LP Reactivos'!DO48,'LP Reactivos'!DT48,'LP Reactivos'!DY48,'LP Reactivos'!EB48)," ")</f>
        <v>3651137.77</v>
      </c>
      <c r="G48" s="345">
        <f>IFERROR(GEOMEAN('LP Reactivos'!F48,'LP Reactivos'!I48,'LP Reactivos'!N48,'LP Reactivos'!S48,'LP Reactivos'!X48,'LP Reactivos'!AC48,'LP Reactivos'!AH48,'LP Reactivos'!AM48,'LP Reactivos'!AR48,'LP Reactivos'!AW48,'LP Reactivos'!BB48,'LP Reactivos'!BG48,'LP Reactivos'!BL48,'LP Reactivos'!BQ48,'LP Reactivos'!BV48,'LP Reactivos'!CA48,'LP Reactivos'!CF48,'LP Reactivos'!CK48,'LP Reactivos'!CP48,'LP Reactivos'!CU48,'LP Reactivos'!CZ48,'LP Reactivos'!DE48,'LP Reactivos'!DJ48,'LP Reactivos'!DO48,'LP Reactivos'!DT48,'LP Reactivos'!DY48,'LP Reactivos'!EB48)," ")</f>
        <v>1824664.9039521602</v>
      </c>
      <c r="H48" s="345">
        <f t="shared" si="0"/>
        <v>1427981.7831615012</v>
      </c>
      <c r="I48" s="346">
        <f t="shared" si="1"/>
        <v>0.49417650598517199</v>
      </c>
      <c r="J48" s="345">
        <f>IF(I48&lt;=10%,F48,IF(AND(I48&gt;10%,I48&lt;=20%),E48,IF(AND(I48&gt;20%,I48&lt;=50%),G48,IF(I48&gt;50%,D48))))</f>
        <v>1824664.9039521602</v>
      </c>
      <c r="K48" s="344" t="str">
        <f t="shared" si="3"/>
        <v>Media Geométrica</v>
      </c>
      <c r="L48" s="326">
        <f>IFERROR(COUNTA('LP Reactivos'!F48,'LP Reactivos'!I48,'LP Reactivos'!N48,'LP Reactivos'!S48,'LP Reactivos'!X48,'LP Reactivos'!AC48,'LP Reactivos'!AH48,'LP Reactivos'!AM48,'LP Reactivos'!AR48,'LP Reactivos'!AW48,'LP Reactivos'!BB48,'LP Reactivos'!BG48,'LP Reactivos'!BL48,'LP Reactivos'!BQ48,'LP Reactivos'!BV48,'LP Reactivos'!CA48,'LP Reactivos'!CF48,'LP Reactivos'!CK48,'LP Reactivos'!CP48,'LP Reactivos'!CU48,'LP Reactivos'!CZ48,'LP Reactivos'!DE48,'LP Reactivos'!DJ48,'LP Reactivos'!DO48,'LP Reactivos'!DT48,'LP Reactivos'!DY48,'LP Reactivos'!EB48)," ")</f>
        <v>3</v>
      </c>
    </row>
    <row r="49" spans="2:12" x14ac:dyDescent="0.25">
      <c r="B49" s="425">
        <v>47</v>
      </c>
      <c r="C49" s="427" t="s">
        <v>797</v>
      </c>
      <c r="D49" s="429">
        <f>IFERROR(MIN('LP Reactivos'!F49,'LP Reactivos'!I49,'LP Reactivos'!N49,'LP Reactivos'!S49,'LP Reactivos'!X49,'LP Reactivos'!AC49,'LP Reactivos'!AH49,'LP Reactivos'!AM49,'LP Reactivos'!AR49,'LP Reactivos'!AW49,'LP Reactivos'!BB49,'LP Reactivos'!BG49,'LP Reactivos'!BL49,'LP Reactivos'!BQ49,'LP Reactivos'!BV49,'LP Reactivos'!CA49,'LP Reactivos'!CF49,'LP Reactivos'!CK49,'LP Reactivos'!CP49,'LP Reactivos'!CU49,'LP Reactivos'!CZ49,'LP Reactivos'!DE49,'LP Reactivos'!DJ49,'LP Reactivos'!DO49,'LP Reactivos'!DT49,'LP Reactivos'!DY49,'LP Reactivos'!EB49)," ")</f>
        <v>289170</v>
      </c>
      <c r="E49" s="429">
        <f>IFERROR(AVERAGE('LP Reactivos'!F49,'LP Reactivos'!I49,'LP Reactivos'!N49,'LP Reactivos'!S49,'LP Reactivos'!X49,'LP Reactivos'!AC49,'LP Reactivos'!AH49,'LP Reactivos'!AM49,'LP Reactivos'!AR49,'LP Reactivos'!AW49,'LP Reactivos'!BB49,'LP Reactivos'!BG49,'LP Reactivos'!BL49,'LP Reactivos'!BQ49,'LP Reactivos'!BV49,'LP Reactivos'!CA49,'LP Reactivos'!CF49,'LP Reactivos'!CK49,'LP Reactivos'!CP49,'LP Reactivos'!CU49,'LP Reactivos'!CZ49,'LP Reactivos'!DE49,'LP Reactivos'!DJ49,'LP Reactivos'!DO49,'LP Reactivos'!DT49,'LP Reactivos'!DY49,'LP Reactivos'!EB49)," ")</f>
        <v>862945.11239999998</v>
      </c>
      <c r="F49" s="345">
        <f>IFERROR(MEDIAN('LP Reactivos'!F49,'LP Reactivos'!I49,'LP Reactivos'!N49,'LP Reactivos'!S49,'LP Reactivos'!X49,'LP Reactivos'!AC49,'LP Reactivos'!AH49,'LP Reactivos'!AM49,'LP Reactivos'!AR49,'LP Reactivos'!AW49,'LP Reactivos'!BB49,'LP Reactivos'!BG49,'LP Reactivos'!BL49,'LP Reactivos'!BQ49,'LP Reactivos'!BV49,'LP Reactivos'!CA49,'LP Reactivos'!CF49,'LP Reactivos'!CK49,'LP Reactivos'!CP49,'LP Reactivos'!CU49,'LP Reactivos'!CZ49,'LP Reactivos'!DE49,'LP Reactivos'!DJ49,'LP Reactivos'!DO49,'LP Reactivos'!DT49,'LP Reactivos'!DY49,'LP Reactivos'!EB49)," ")</f>
        <v>585320.54</v>
      </c>
      <c r="G49" s="345">
        <f>IFERROR(GEOMEAN('LP Reactivos'!F49,'LP Reactivos'!I49,'LP Reactivos'!N49,'LP Reactivos'!S49,'LP Reactivos'!X49,'LP Reactivos'!AC49,'LP Reactivos'!AH49,'LP Reactivos'!AM49,'LP Reactivos'!AR49,'LP Reactivos'!AW49,'LP Reactivos'!BB49,'LP Reactivos'!BG49,'LP Reactivos'!BL49,'LP Reactivos'!BQ49,'LP Reactivos'!BV49,'LP Reactivos'!CA49,'LP Reactivos'!CF49,'LP Reactivos'!CK49,'LP Reactivos'!CP49,'LP Reactivos'!CU49,'LP Reactivos'!CZ49,'LP Reactivos'!DE49,'LP Reactivos'!DJ49,'LP Reactivos'!DO49,'LP Reactivos'!DT49,'LP Reactivos'!DY49,'LP Reactivos'!EB49)," ")</f>
        <v>724569.12661099073</v>
      </c>
      <c r="H49" s="345">
        <f t="shared" si="0"/>
        <v>245307.44432956976</v>
      </c>
      <c r="I49" s="346">
        <f t="shared" si="1"/>
        <v>0.28426772549568907</v>
      </c>
      <c r="J49" s="345">
        <f t="shared" si="2"/>
        <v>724569.12661099073</v>
      </c>
      <c r="K49" s="344" t="str">
        <f t="shared" si="3"/>
        <v>Media Geométrica</v>
      </c>
      <c r="L49" s="326">
        <f>IFERROR(COUNTA('LP Reactivos'!F49,'LP Reactivos'!I49,'LP Reactivos'!N49,'LP Reactivos'!S49,'LP Reactivos'!X49,'LP Reactivos'!AC49,'LP Reactivos'!AH49,'LP Reactivos'!AM49,'LP Reactivos'!AR49,'LP Reactivos'!AW49,'LP Reactivos'!BB49,'LP Reactivos'!BG49,'LP Reactivos'!BL49,'LP Reactivos'!BQ49,'LP Reactivos'!BV49,'LP Reactivos'!CA49,'LP Reactivos'!CF49,'LP Reactivos'!CK49,'LP Reactivos'!CP49,'LP Reactivos'!CU49,'LP Reactivos'!CZ49,'LP Reactivos'!DE49,'LP Reactivos'!DJ49,'LP Reactivos'!DO49,'LP Reactivos'!DT49,'LP Reactivos'!DY49,'LP Reactivos'!EB49)," ")</f>
        <v>5</v>
      </c>
    </row>
    <row r="50" spans="2:12" x14ac:dyDescent="0.25">
      <c r="B50" s="425">
        <v>48</v>
      </c>
      <c r="C50" s="427" t="s">
        <v>801</v>
      </c>
      <c r="D50" s="429">
        <f>IFERROR(MIN('LP Reactivos'!F50,'LP Reactivos'!I50,'LP Reactivos'!N50,'LP Reactivos'!S50,'LP Reactivos'!X50,'LP Reactivos'!AC50,'LP Reactivos'!AH50,'LP Reactivos'!AM50,'LP Reactivos'!AR50,'LP Reactivos'!AW50,'LP Reactivos'!BB50,'LP Reactivos'!BG50,'LP Reactivos'!BL50,'LP Reactivos'!BQ50,'LP Reactivos'!BV50,'LP Reactivos'!CA50,'LP Reactivos'!CF50,'LP Reactivos'!CK50,'LP Reactivos'!CP50,'LP Reactivos'!CU50,'LP Reactivos'!CZ50,'LP Reactivos'!DE50,'LP Reactivos'!DJ50,'LP Reactivos'!DO50,'LP Reactivos'!DT50,'LP Reactivos'!DY50,'LP Reactivos'!EB50)," ")</f>
        <v>452200</v>
      </c>
      <c r="E50" s="429">
        <f>IFERROR(AVERAGE('LP Reactivos'!F50,'LP Reactivos'!I50,'LP Reactivos'!N50,'LP Reactivos'!S50,'LP Reactivos'!X50,'LP Reactivos'!AC50,'LP Reactivos'!AH50,'LP Reactivos'!AM50,'LP Reactivos'!AR50,'LP Reactivos'!AW50,'LP Reactivos'!BB50,'LP Reactivos'!BG50,'LP Reactivos'!BL50,'LP Reactivos'!BQ50,'LP Reactivos'!BV50,'LP Reactivos'!CA50,'LP Reactivos'!CF50,'LP Reactivos'!CK50,'LP Reactivos'!CP50,'LP Reactivos'!CU50,'LP Reactivos'!CZ50,'LP Reactivos'!DE50,'LP Reactivos'!DJ50,'LP Reactivos'!DO50,'LP Reactivos'!DT50,'LP Reactivos'!DY50,'LP Reactivos'!EB50)," ")</f>
        <v>904814.12</v>
      </c>
      <c r="F50" s="345">
        <f>IFERROR(MEDIAN('LP Reactivos'!F50,'LP Reactivos'!I50,'LP Reactivos'!N50,'LP Reactivos'!S50,'LP Reactivos'!X50,'LP Reactivos'!AC50,'LP Reactivos'!AH50,'LP Reactivos'!AM50,'LP Reactivos'!AR50,'LP Reactivos'!AW50,'LP Reactivos'!BB50,'LP Reactivos'!BG50,'LP Reactivos'!BL50,'LP Reactivos'!BQ50,'LP Reactivos'!BV50,'LP Reactivos'!CA50,'LP Reactivos'!CF50,'LP Reactivos'!CK50,'LP Reactivos'!CP50,'LP Reactivos'!CU50,'LP Reactivos'!CZ50,'LP Reactivos'!DE50,'LP Reactivos'!DJ50,'LP Reactivos'!DO50,'LP Reactivos'!DT50,'LP Reactivos'!DY50,'LP Reactivos'!EB50)," ")</f>
        <v>904814.12</v>
      </c>
      <c r="G50" s="345">
        <f>IFERROR(GEOMEAN('LP Reactivos'!F50,'LP Reactivos'!I50,'LP Reactivos'!N50,'LP Reactivos'!S50,'LP Reactivos'!X50,'LP Reactivos'!AC50,'LP Reactivos'!AH50,'LP Reactivos'!AM50,'LP Reactivos'!AR50,'LP Reactivos'!AW50,'LP Reactivos'!BB50,'LP Reactivos'!BG50,'LP Reactivos'!BL50,'LP Reactivos'!BQ50,'LP Reactivos'!BV50,'LP Reactivos'!CA50,'LP Reactivos'!CF50,'LP Reactivos'!CK50,'LP Reactivos'!CP50,'LP Reactivos'!CU50,'LP Reactivos'!CZ50,'LP Reactivos'!DE50,'LP Reactivos'!DJ50,'LP Reactivos'!DO50,'LP Reactivos'!DT50,'LP Reactivos'!DY50,'LP Reactivos'!EB50)," ")</f>
        <v>783472.43099422462</v>
      </c>
      <c r="H50" s="345">
        <f t="shared" si="0"/>
        <v>213874.59677833004</v>
      </c>
      <c r="I50" s="346">
        <f t="shared" si="1"/>
        <v>0.23637407070783781</v>
      </c>
      <c r="J50" s="345">
        <f t="shared" si="2"/>
        <v>783472.43099422462</v>
      </c>
      <c r="K50" s="344" t="str">
        <f t="shared" si="3"/>
        <v>Media Geométrica</v>
      </c>
      <c r="L50" s="326">
        <f>IFERROR(COUNTA('LP Reactivos'!F50,'LP Reactivos'!I50,'LP Reactivos'!N50,'LP Reactivos'!S50,'LP Reactivos'!X50,'LP Reactivos'!AC50,'LP Reactivos'!AH50,'LP Reactivos'!AM50,'LP Reactivos'!AR50,'LP Reactivos'!AW50,'LP Reactivos'!BB50,'LP Reactivos'!BG50,'LP Reactivos'!BL50,'LP Reactivos'!BQ50,'LP Reactivos'!BV50,'LP Reactivos'!CA50,'LP Reactivos'!CF50,'LP Reactivos'!CK50,'LP Reactivos'!CP50,'LP Reactivos'!CU50,'LP Reactivos'!CZ50,'LP Reactivos'!DE50,'LP Reactivos'!DJ50,'LP Reactivos'!DO50,'LP Reactivos'!DT50,'LP Reactivos'!DY50,'LP Reactivos'!EB50)," ")</f>
        <v>2</v>
      </c>
    </row>
    <row r="51" spans="2:12" x14ac:dyDescent="0.25">
      <c r="B51" s="425">
        <v>49</v>
      </c>
      <c r="C51" s="428" t="s">
        <v>803</v>
      </c>
      <c r="D51" s="429">
        <f>IFERROR(MIN('LP Reactivos'!F51,'LP Reactivos'!I51,'LP Reactivos'!N51,'LP Reactivos'!S51,'LP Reactivos'!X51,'LP Reactivos'!AC51,'LP Reactivos'!AH51,'LP Reactivos'!AM51,'LP Reactivos'!AR51,'LP Reactivos'!AW51,'LP Reactivos'!BB51,'LP Reactivos'!BG51,'LP Reactivos'!BL51,'LP Reactivos'!BQ51,'LP Reactivos'!BV51,'LP Reactivos'!CA51,'LP Reactivos'!CF51,'LP Reactivos'!CK51,'LP Reactivos'!CP51,'LP Reactivos'!CU51,'LP Reactivos'!CZ51,'LP Reactivos'!DE51,'LP Reactivos'!DJ51,'LP Reactivos'!DO51,'LP Reactivos'!DT51,'LP Reactivos'!DY51,'LP Reactivos'!EB51)," ")</f>
        <v>107100</v>
      </c>
      <c r="E51" s="429">
        <f>IFERROR(AVERAGE('LP Reactivos'!F51,'LP Reactivos'!I51,'LP Reactivos'!N51,'LP Reactivos'!S51,'LP Reactivos'!X51,'LP Reactivos'!AC51,'LP Reactivos'!AH51,'LP Reactivos'!AM51,'LP Reactivos'!AR51,'LP Reactivos'!AW51,'LP Reactivos'!BB51,'LP Reactivos'!BG51,'LP Reactivos'!BL51,'LP Reactivos'!BQ51,'LP Reactivos'!BV51,'LP Reactivos'!CA51,'LP Reactivos'!CF51,'LP Reactivos'!CK51,'LP Reactivos'!CP51,'LP Reactivos'!CU51,'LP Reactivos'!CZ51,'LP Reactivos'!DE51,'LP Reactivos'!DJ51,'LP Reactivos'!DO51,'LP Reactivos'!DT51,'LP Reactivos'!DY51,'LP Reactivos'!EB51)," ")</f>
        <v>828707.5</v>
      </c>
      <c r="F51" s="345">
        <f>IFERROR(MEDIAN('LP Reactivos'!F51,'LP Reactivos'!I51,'LP Reactivos'!N51,'LP Reactivos'!S51,'LP Reactivos'!X51,'LP Reactivos'!AC51,'LP Reactivos'!AH51,'LP Reactivos'!AM51,'LP Reactivos'!AR51,'LP Reactivos'!AW51,'LP Reactivos'!BB51,'LP Reactivos'!BG51,'LP Reactivos'!BL51,'LP Reactivos'!BQ51,'LP Reactivos'!BV51,'LP Reactivos'!CA51,'LP Reactivos'!CF51,'LP Reactivos'!CK51,'LP Reactivos'!CP51,'LP Reactivos'!CU51,'LP Reactivos'!CZ51,'LP Reactivos'!DE51,'LP Reactivos'!DJ51,'LP Reactivos'!DO51,'LP Reactivos'!DT51,'LP Reactivos'!DY51,'LP Reactivos'!EB51)," ")</f>
        <v>828707.5</v>
      </c>
      <c r="G51" s="345">
        <f>IFERROR(GEOMEAN('LP Reactivos'!F51,'LP Reactivos'!I51,'LP Reactivos'!N51,'LP Reactivos'!S51,'LP Reactivos'!X51,'LP Reactivos'!AC51,'LP Reactivos'!AH51,'LP Reactivos'!AM51,'LP Reactivos'!AR51,'LP Reactivos'!AW51,'LP Reactivos'!BB51,'LP Reactivos'!BG51,'LP Reactivos'!BL51,'LP Reactivos'!BQ51,'LP Reactivos'!BV51,'LP Reactivos'!CA51,'LP Reactivos'!CF51,'LP Reactivos'!CK51,'LP Reactivos'!CP51,'LP Reactivos'!CU51,'LP Reactivos'!CZ51,'LP Reactivos'!DE51,'LP Reactivos'!DJ51,'LP Reactivos'!DO51,'LP Reactivos'!DT51,'LP Reactivos'!DY51,'LP Reactivos'!EB51)," ")</f>
        <v>407478.51047631947</v>
      </c>
      <c r="H51" s="345">
        <f t="shared" si="0"/>
        <v>351962.32526824443</v>
      </c>
      <c r="I51" s="346">
        <f t="shared" si="1"/>
        <v>0.42471236868043843</v>
      </c>
      <c r="J51" s="345">
        <f>IF(I51&lt;=10%,F51,IF(AND(I51&gt;10%,I51&lt;=20%),E51,IF(AND(I51&gt;20%,I51&lt;=43%),G51,IF(I51&gt;43%,D51))))</f>
        <v>407478.51047631947</v>
      </c>
      <c r="K51" s="344" t="str">
        <f t="shared" si="3"/>
        <v>Media Geométrica</v>
      </c>
      <c r="L51" s="326">
        <f>IFERROR(COUNTA('LP Reactivos'!F51,'LP Reactivos'!I51,'LP Reactivos'!N51,'LP Reactivos'!S51,'LP Reactivos'!X51,'LP Reactivos'!AC51,'LP Reactivos'!AH51,'LP Reactivos'!AM51,'LP Reactivos'!AR51,'LP Reactivos'!AW51,'LP Reactivos'!BB51,'LP Reactivos'!BG51,'LP Reactivos'!BL51,'LP Reactivos'!BQ51,'LP Reactivos'!BV51,'LP Reactivos'!CA51,'LP Reactivos'!CF51,'LP Reactivos'!CK51,'LP Reactivos'!CP51,'LP Reactivos'!CU51,'LP Reactivos'!CZ51,'LP Reactivos'!DE51,'LP Reactivos'!DJ51,'LP Reactivos'!DO51,'LP Reactivos'!DT51,'LP Reactivos'!DY51,'LP Reactivos'!EB51)," ")</f>
        <v>2</v>
      </c>
    </row>
    <row r="52" spans="2:12" x14ac:dyDescent="0.25">
      <c r="B52" s="425">
        <v>50</v>
      </c>
      <c r="C52" s="426" t="s">
        <v>804</v>
      </c>
      <c r="D52" s="429">
        <f>IFERROR(MIN('LP Reactivos'!F52,'LP Reactivos'!I52,'LP Reactivos'!N52,'LP Reactivos'!S52,'LP Reactivos'!X52,'LP Reactivos'!AC52,'LP Reactivos'!AH52,'LP Reactivos'!AM52,'LP Reactivos'!AR52,'LP Reactivos'!AW52,'LP Reactivos'!BB52,'LP Reactivos'!BG52,'LP Reactivos'!BL52,'LP Reactivos'!BQ52,'LP Reactivos'!BV52,'LP Reactivos'!CA52,'LP Reactivos'!CF52,'LP Reactivos'!CK52,'LP Reactivos'!CP52,'LP Reactivos'!CU52,'LP Reactivos'!CZ52,'LP Reactivos'!DE52,'LP Reactivos'!DJ52,'LP Reactivos'!DO52,'LP Reactivos'!DT52,'LP Reactivos'!DY52,'LP Reactivos'!EB52)," ")</f>
        <v>452200</v>
      </c>
      <c r="E52" s="429">
        <f>IFERROR(AVERAGE('LP Reactivos'!F52,'LP Reactivos'!I52,'LP Reactivos'!N52,'LP Reactivos'!S52,'LP Reactivos'!X52,'LP Reactivos'!AC52,'LP Reactivos'!AH52,'LP Reactivos'!AM52,'LP Reactivos'!AR52,'LP Reactivos'!AW52,'LP Reactivos'!BB52,'LP Reactivos'!BG52,'LP Reactivos'!BL52,'LP Reactivos'!BQ52,'LP Reactivos'!BV52,'LP Reactivos'!CA52,'LP Reactivos'!CF52,'LP Reactivos'!CK52,'LP Reactivos'!CP52,'LP Reactivos'!CU52,'LP Reactivos'!CZ52,'LP Reactivos'!DE52,'LP Reactivos'!DJ52,'LP Reactivos'!DO52,'LP Reactivos'!DT52,'LP Reactivos'!DY52,'LP Reactivos'!EB52)," ")</f>
        <v>1298154</v>
      </c>
      <c r="F52" s="345">
        <f>IFERROR(MEDIAN('LP Reactivos'!F52,'LP Reactivos'!I52,'LP Reactivos'!N52,'LP Reactivos'!S52,'LP Reactivos'!X52,'LP Reactivos'!AC52,'LP Reactivos'!AH52,'LP Reactivos'!AM52,'LP Reactivos'!AR52,'LP Reactivos'!AW52,'LP Reactivos'!BB52,'LP Reactivos'!BG52,'LP Reactivos'!BL52,'LP Reactivos'!BQ52,'LP Reactivos'!BV52,'LP Reactivos'!CA52,'LP Reactivos'!CF52,'LP Reactivos'!CK52,'LP Reactivos'!CP52,'LP Reactivos'!CU52,'LP Reactivos'!CZ52,'LP Reactivos'!DE52,'LP Reactivos'!DJ52,'LP Reactivos'!DO52,'LP Reactivos'!DT52,'LP Reactivos'!DY52,'LP Reactivos'!EB52)," ")</f>
        <v>1076712</v>
      </c>
      <c r="G52" s="345">
        <f>IFERROR(GEOMEAN('LP Reactivos'!F52,'LP Reactivos'!I52,'LP Reactivos'!N52,'LP Reactivos'!S52,'LP Reactivos'!X52,'LP Reactivos'!AC52,'LP Reactivos'!AH52,'LP Reactivos'!AM52,'LP Reactivos'!AR52,'LP Reactivos'!AW52,'LP Reactivos'!BB52,'LP Reactivos'!BG52,'LP Reactivos'!BL52,'LP Reactivos'!BQ52,'LP Reactivos'!BV52,'LP Reactivos'!CA52,'LP Reactivos'!CF52,'LP Reactivos'!CK52,'LP Reactivos'!CP52,'LP Reactivos'!CU52,'LP Reactivos'!CZ52,'LP Reactivos'!DE52,'LP Reactivos'!DJ52,'LP Reactivos'!DO52,'LP Reactivos'!DT52,'LP Reactivos'!DY52,'LP Reactivos'!EB52)," ")</f>
        <v>1048223.9567775455</v>
      </c>
      <c r="H52" s="345">
        <f t="shared" si="0"/>
        <v>362078.61943098559</v>
      </c>
      <c r="I52" s="346">
        <f t="shared" si="1"/>
        <v>0.27891807861855034</v>
      </c>
      <c r="J52" s="345">
        <f t="shared" si="2"/>
        <v>1048223.9567775455</v>
      </c>
      <c r="K52" s="344" t="str">
        <f t="shared" si="3"/>
        <v>Media Geométrica</v>
      </c>
      <c r="L52" s="326">
        <f>IFERROR(COUNTA('LP Reactivos'!F52,'LP Reactivos'!I52,'LP Reactivos'!N52,'LP Reactivos'!S52,'LP Reactivos'!X52,'LP Reactivos'!AC52,'LP Reactivos'!AH52,'LP Reactivos'!AM52,'LP Reactivos'!AR52,'LP Reactivos'!AW52,'LP Reactivos'!BB52,'LP Reactivos'!BG52,'LP Reactivos'!BL52,'LP Reactivos'!BQ52,'LP Reactivos'!BV52,'LP Reactivos'!CA52,'LP Reactivos'!CF52,'LP Reactivos'!CK52,'LP Reactivos'!CP52,'LP Reactivos'!CU52,'LP Reactivos'!CZ52,'LP Reactivos'!DE52,'LP Reactivos'!DJ52,'LP Reactivos'!DO52,'LP Reactivos'!DT52,'LP Reactivos'!DY52,'LP Reactivos'!EB52)," ")</f>
        <v>3</v>
      </c>
    </row>
    <row r="53" spans="2:12" x14ac:dyDescent="0.25">
      <c r="B53" s="425">
        <v>51</v>
      </c>
      <c r="C53" s="426" t="s">
        <v>808</v>
      </c>
      <c r="D53" s="429">
        <f>IFERROR(MIN('LP Reactivos'!F53,'LP Reactivos'!I53,'LP Reactivos'!N53,'LP Reactivos'!S53,'LP Reactivos'!X53,'LP Reactivos'!AC53,'LP Reactivos'!AH53,'LP Reactivos'!AM53,'LP Reactivos'!AR53,'LP Reactivos'!AW53,'LP Reactivos'!BB53,'LP Reactivos'!BG53,'LP Reactivos'!BL53,'LP Reactivos'!BQ53,'LP Reactivos'!BV53,'LP Reactivos'!CA53,'LP Reactivos'!CF53,'LP Reactivos'!CK53,'LP Reactivos'!CP53,'LP Reactivos'!CU53,'LP Reactivos'!CZ53,'LP Reactivos'!DE53,'LP Reactivos'!DJ53,'LP Reactivos'!DO53,'LP Reactivos'!DT53,'LP Reactivos'!DY53,'LP Reactivos'!EB53)," ")</f>
        <v>238000</v>
      </c>
      <c r="E53" s="429">
        <f>IFERROR(AVERAGE('LP Reactivos'!F53,'LP Reactivos'!I53,'LP Reactivos'!N53,'LP Reactivos'!S53,'LP Reactivos'!X53,'LP Reactivos'!AC53,'LP Reactivos'!AH53,'LP Reactivos'!AM53,'LP Reactivos'!AR53,'LP Reactivos'!AW53,'LP Reactivos'!BB53,'LP Reactivos'!BG53,'LP Reactivos'!BL53,'LP Reactivos'!BQ53,'LP Reactivos'!BV53,'LP Reactivos'!CA53,'LP Reactivos'!CF53,'LP Reactivos'!CK53,'LP Reactivos'!CP53,'LP Reactivos'!CU53,'LP Reactivos'!CZ53,'LP Reactivos'!DE53,'LP Reactivos'!DJ53,'LP Reactivos'!DO53,'LP Reactivos'!DT53,'LP Reactivos'!DY53,'LP Reactivos'!EB53)," ")</f>
        <v>470456.52166666667</v>
      </c>
      <c r="F53" s="345">
        <f>IFERROR(MEDIAN('LP Reactivos'!F53,'LP Reactivos'!I53,'LP Reactivos'!N53,'LP Reactivos'!S53,'LP Reactivos'!X53,'LP Reactivos'!AC53,'LP Reactivos'!AH53,'LP Reactivos'!AM53,'LP Reactivos'!AR53,'LP Reactivos'!AW53,'LP Reactivos'!BB53,'LP Reactivos'!BG53,'LP Reactivos'!BL53,'LP Reactivos'!BQ53,'LP Reactivos'!BV53,'LP Reactivos'!CA53,'LP Reactivos'!CF53,'LP Reactivos'!CK53,'LP Reactivos'!CP53,'LP Reactivos'!CU53,'LP Reactivos'!CZ53,'LP Reactivos'!DE53,'LP Reactivos'!DJ53,'LP Reactivos'!DO53,'LP Reactivos'!DT53,'LP Reactivos'!DY53,'LP Reactivos'!EB53)," ")</f>
        <v>503961.43</v>
      </c>
      <c r="G53" s="345">
        <f>IFERROR(GEOMEAN('LP Reactivos'!F53,'LP Reactivos'!I53,'LP Reactivos'!N53,'LP Reactivos'!S53,'LP Reactivos'!X53,'LP Reactivos'!AC53,'LP Reactivos'!AH53,'LP Reactivos'!AM53,'LP Reactivos'!AR53,'LP Reactivos'!AW53,'LP Reactivos'!BB53,'LP Reactivos'!BG53,'LP Reactivos'!BL53,'LP Reactivos'!BQ53,'LP Reactivos'!BV53,'LP Reactivos'!CA53,'LP Reactivos'!CF53,'LP Reactivos'!CK53,'LP Reactivos'!CP53,'LP Reactivos'!CU53,'LP Reactivos'!CZ53,'LP Reactivos'!DE53,'LP Reactivos'!DJ53,'LP Reactivos'!DO53,'LP Reactivos'!DT53,'LP Reactivos'!DY53,'LP Reactivos'!EB53)," ")</f>
        <v>448987.99410125922</v>
      </c>
      <c r="H53" s="345">
        <f t="shared" si="0"/>
        <v>120378.91758272014</v>
      </c>
      <c r="I53" s="346">
        <f t="shared" si="1"/>
        <v>0.25587681759891173</v>
      </c>
      <c r="J53" s="345">
        <f t="shared" si="2"/>
        <v>448987.99410125922</v>
      </c>
      <c r="K53" s="344" t="str">
        <f t="shared" si="3"/>
        <v>Media Geométrica</v>
      </c>
      <c r="L53" s="326">
        <f>IFERROR(COUNTA('LP Reactivos'!F53,'LP Reactivos'!I53,'LP Reactivos'!N53,'LP Reactivos'!S53,'LP Reactivos'!X53,'LP Reactivos'!AC53,'LP Reactivos'!AH53,'LP Reactivos'!AM53,'LP Reactivos'!AR53,'LP Reactivos'!AW53,'LP Reactivos'!BB53,'LP Reactivos'!BG53,'LP Reactivos'!BL53,'LP Reactivos'!BQ53,'LP Reactivos'!BV53,'LP Reactivos'!CA53,'LP Reactivos'!CF53,'LP Reactivos'!CK53,'LP Reactivos'!CP53,'LP Reactivos'!CU53,'LP Reactivos'!CZ53,'LP Reactivos'!DE53,'LP Reactivos'!DJ53,'LP Reactivos'!DO53,'LP Reactivos'!DT53,'LP Reactivos'!DY53,'LP Reactivos'!EB53)," ")</f>
        <v>6</v>
      </c>
    </row>
    <row r="54" spans="2:12" ht="27" x14ac:dyDescent="0.25">
      <c r="B54" s="425">
        <v>52</v>
      </c>
      <c r="C54" s="413" t="s">
        <v>812</v>
      </c>
      <c r="D54" s="429">
        <f>IFERROR(MIN('LP Reactivos'!F54,'LP Reactivos'!I54,'LP Reactivos'!N54,'LP Reactivos'!S54,'LP Reactivos'!X54,'LP Reactivos'!AC54,'LP Reactivos'!AH54,'LP Reactivos'!AM54,'LP Reactivos'!AR54,'LP Reactivos'!AW54,'LP Reactivos'!BB54,'LP Reactivos'!BG54,'LP Reactivos'!BL54,'LP Reactivos'!BQ54,'LP Reactivos'!BV54,'LP Reactivos'!CA54,'LP Reactivos'!CF54,'LP Reactivos'!CK54,'LP Reactivos'!CP54,'LP Reactivos'!CU54,'LP Reactivos'!CZ54,'LP Reactivos'!DE54,'LP Reactivos'!DJ54,'LP Reactivos'!DO54,'LP Reactivos'!DT54,'LP Reactivos'!DY54,'LP Reactivos'!EB54)," ")</f>
        <v>696745</v>
      </c>
      <c r="E54" s="429">
        <f>IFERROR(AVERAGE('LP Reactivos'!F54,'LP Reactivos'!I54,'LP Reactivos'!N54,'LP Reactivos'!S54,'LP Reactivos'!X54,'LP Reactivos'!AC54,'LP Reactivos'!AH54,'LP Reactivos'!AM54,'LP Reactivos'!AR54,'LP Reactivos'!AW54,'LP Reactivos'!BB54,'LP Reactivos'!BG54,'LP Reactivos'!BL54,'LP Reactivos'!BQ54,'LP Reactivos'!BV54,'LP Reactivos'!CA54,'LP Reactivos'!CF54,'LP Reactivos'!CK54,'LP Reactivos'!CP54,'LP Reactivos'!CU54,'LP Reactivos'!CZ54,'LP Reactivos'!DE54,'LP Reactivos'!DJ54,'LP Reactivos'!DO54,'LP Reactivos'!DT54,'LP Reactivos'!DY54,'LP Reactivos'!EB54)," ")</f>
        <v>1215241.5</v>
      </c>
      <c r="F54" s="345">
        <f>IFERROR(MEDIAN('LP Reactivos'!F54,'LP Reactivos'!I54,'LP Reactivos'!N54,'LP Reactivos'!S54,'LP Reactivos'!X54,'LP Reactivos'!AC54,'LP Reactivos'!AH54,'LP Reactivos'!AM54,'LP Reactivos'!AR54,'LP Reactivos'!AW54,'LP Reactivos'!BB54,'LP Reactivos'!BG54,'LP Reactivos'!BL54,'LP Reactivos'!BQ54,'LP Reactivos'!BV54,'LP Reactivos'!CA54,'LP Reactivos'!CF54,'LP Reactivos'!CK54,'LP Reactivos'!CP54,'LP Reactivos'!CU54,'LP Reactivos'!CZ54,'LP Reactivos'!DE54,'LP Reactivos'!DJ54,'LP Reactivos'!DO54,'LP Reactivos'!DT54,'LP Reactivos'!DY54,'LP Reactivos'!EB54)," ")</f>
        <v>1215241.5</v>
      </c>
      <c r="G54" s="345">
        <f>IFERROR(GEOMEAN('LP Reactivos'!F54,'LP Reactivos'!I54,'LP Reactivos'!N54,'LP Reactivos'!S54,'LP Reactivos'!X54,'LP Reactivos'!AC54,'LP Reactivos'!AH54,'LP Reactivos'!AM54,'LP Reactivos'!AR54,'LP Reactivos'!AW54,'LP Reactivos'!BB54,'LP Reactivos'!BG54,'LP Reactivos'!BL54,'LP Reactivos'!BQ54,'LP Reactivos'!BV54,'LP Reactivos'!CA54,'LP Reactivos'!CF54,'LP Reactivos'!CK54,'LP Reactivos'!CP54,'LP Reactivos'!CU54,'LP Reactivos'!CZ54,'LP Reactivos'!DE54,'LP Reactivos'!DJ54,'LP Reactivos'!DO54,'LP Reactivos'!DT54,'LP Reactivos'!DY54,'LP Reactivos'!EB54)," ")</f>
        <v>1099078.3788292808</v>
      </c>
      <c r="H54" s="345">
        <f t="shared" si="0"/>
        <v>246058.45006571943</v>
      </c>
      <c r="I54" s="346">
        <f t="shared" si="1"/>
        <v>0.20247699742456082</v>
      </c>
      <c r="J54" s="345">
        <f t="shared" si="2"/>
        <v>1099078.3788292808</v>
      </c>
      <c r="K54" s="344" t="str">
        <f t="shared" si="3"/>
        <v>Media Geométrica</v>
      </c>
      <c r="L54" s="326">
        <f>IFERROR(COUNTA('LP Reactivos'!F54,'LP Reactivos'!I54,'LP Reactivos'!N54,'LP Reactivos'!S54,'LP Reactivos'!X54,'LP Reactivos'!AC54,'LP Reactivos'!AH54,'LP Reactivos'!AM54,'LP Reactivos'!AR54,'LP Reactivos'!AW54,'LP Reactivos'!BB54,'LP Reactivos'!BG54,'LP Reactivos'!BL54,'LP Reactivos'!BQ54,'LP Reactivos'!BV54,'LP Reactivos'!CA54,'LP Reactivos'!CF54,'LP Reactivos'!CK54,'LP Reactivos'!CP54,'LP Reactivos'!CU54,'LP Reactivos'!CZ54,'LP Reactivos'!DE54,'LP Reactivos'!DJ54,'LP Reactivos'!DO54,'LP Reactivos'!DT54,'LP Reactivos'!DY54,'LP Reactivos'!EB54)," ")</f>
        <v>2</v>
      </c>
    </row>
    <row r="55" spans="2:12" x14ac:dyDescent="0.25">
      <c r="B55" s="425">
        <v>53</v>
      </c>
      <c r="C55" s="426" t="s">
        <v>815</v>
      </c>
      <c r="D55" s="429">
        <f>IFERROR(MIN('LP Reactivos'!F55,'LP Reactivos'!I55,'LP Reactivos'!N55,'LP Reactivos'!S55,'LP Reactivos'!X55,'LP Reactivos'!AC55,'LP Reactivos'!AH55,'LP Reactivos'!AM55,'LP Reactivos'!AR55,'LP Reactivos'!AW55,'LP Reactivos'!BB55,'LP Reactivos'!BG55,'LP Reactivos'!BL55,'LP Reactivos'!BQ55,'LP Reactivos'!BV55,'LP Reactivos'!CA55,'LP Reactivos'!CF55,'LP Reactivos'!CK55,'LP Reactivos'!CP55,'LP Reactivos'!CU55,'LP Reactivos'!CZ55,'LP Reactivos'!DE55,'LP Reactivos'!DJ55,'LP Reactivos'!DO55,'LP Reactivos'!DT55,'LP Reactivos'!DY55,'LP Reactivos'!EB55)," ")</f>
        <v>166600</v>
      </c>
      <c r="E55" s="429">
        <f>IFERROR(AVERAGE('LP Reactivos'!F55,'LP Reactivos'!I55,'LP Reactivos'!N55,'LP Reactivos'!S55,'LP Reactivos'!X55,'LP Reactivos'!AC55,'LP Reactivos'!AH55,'LP Reactivos'!AM55,'LP Reactivos'!AR55,'LP Reactivos'!AW55,'LP Reactivos'!BB55,'LP Reactivos'!BG55,'LP Reactivos'!BL55,'LP Reactivos'!BQ55,'LP Reactivos'!BV55,'LP Reactivos'!CA55,'LP Reactivos'!CF55,'LP Reactivos'!CK55,'LP Reactivos'!CP55,'LP Reactivos'!CU55,'LP Reactivos'!CZ55,'LP Reactivos'!DE55,'LP Reactivos'!DJ55,'LP Reactivos'!DO55,'LP Reactivos'!DT55,'LP Reactivos'!DY55,'LP Reactivos'!EB55)," ")</f>
        <v>404810.79399999999</v>
      </c>
      <c r="F55" s="345">
        <f>IFERROR(MEDIAN('LP Reactivos'!F55,'LP Reactivos'!I55,'LP Reactivos'!N55,'LP Reactivos'!S55,'LP Reactivos'!X55,'LP Reactivos'!AC55,'LP Reactivos'!AH55,'LP Reactivos'!AM55,'LP Reactivos'!AR55,'LP Reactivos'!AW55,'LP Reactivos'!BB55,'LP Reactivos'!BG55,'LP Reactivos'!BL55,'LP Reactivos'!BQ55,'LP Reactivos'!BV55,'LP Reactivos'!CA55,'LP Reactivos'!CF55,'LP Reactivos'!CK55,'LP Reactivos'!CP55,'LP Reactivos'!CU55,'LP Reactivos'!CZ55,'LP Reactivos'!DE55,'LP Reactivos'!DJ55,'LP Reactivos'!DO55,'LP Reactivos'!DT55,'LP Reactivos'!DY55,'LP Reactivos'!EB55)," ")</f>
        <v>342125</v>
      </c>
      <c r="G55" s="345">
        <f>IFERROR(GEOMEAN('LP Reactivos'!F55,'LP Reactivos'!I55,'LP Reactivos'!N55,'LP Reactivos'!S55,'LP Reactivos'!X55,'LP Reactivos'!AC55,'LP Reactivos'!AH55,'LP Reactivos'!AM55,'LP Reactivos'!AR55,'LP Reactivos'!AW55,'LP Reactivos'!BB55,'LP Reactivos'!BG55,'LP Reactivos'!BL55,'LP Reactivos'!BQ55,'LP Reactivos'!BV55,'LP Reactivos'!CA55,'LP Reactivos'!CF55,'LP Reactivos'!CK55,'LP Reactivos'!CP55,'LP Reactivos'!CU55,'LP Reactivos'!CZ55,'LP Reactivos'!DE55,'LP Reactivos'!DJ55,'LP Reactivos'!DO55,'LP Reactivos'!DT55,'LP Reactivos'!DY55,'LP Reactivos'!EB55)," ")</f>
        <v>361304.64518521068</v>
      </c>
      <c r="H55" s="345">
        <f t="shared" si="0"/>
        <v>104743.12205078382</v>
      </c>
      <c r="I55" s="346">
        <f t="shared" si="1"/>
        <v>0.25874587240078339</v>
      </c>
      <c r="J55" s="345">
        <f t="shared" si="2"/>
        <v>361304.64518521068</v>
      </c>
      <c r="K55" s="344" t="str">
        <f t="shared" si="3"/>
        <v>Media Geométrica</v>
      </c>
      <c r="L55" s="326">
        <f>IFERROR(COUNTA('LP Reactivos'!F55,'LP Reactivos'!I55,'LP Reactivos'!N55,'LP Reactivos'!S55,'LP Reactivos'!X55,'LP Reactivos'!AC55,'LP Reactivos'!AH55,'LP Reactivos'!AM55,'LP Reactivos'!AR55,'LP Reactivos'!AW55,'LP Reactivos'!BB55,'LP Reactivos'!BG55,'LP Reactivos'!BL55,'LP Reactivos'!BQ55,'LP Reactivos'!BV55,'LP Reactivos'!CA55,'LP Reactivos'!CF55,'LP Reactivos'!CK55,'LP Reactivos'!CP55,'LP Reactivos'!CU55,'LP Reactivos'!CZ55,'LP Reactivos'!DE55,'LP Reactivos'!DJ55,'LP Reactivos'!DO55,'LP Reactivos'!DT55,'LP Reactivos'!DY55,'LP Reactivos'!EB55)," ")</f>
        <v>5</v>
      </c>
    </row>
    <row r="56" spans="2:12" x14ac:dyDescent="0.25">
      <c r="B56" s="425">
        <v>54</v>
      </c>
      <c r="C56" s="426" t="s">
        <v>820</v>
      </c>
      <c r="D56" s="429">
        <f>IFERROR(MIN('LP Reactivos'!F56,'LP Reactivos'!I56,'LP Reactivos'!N56,'LP Reactivos'!S56,'LP Reactivos'!X56,'LP Reactivos'!AC56,'LP Reactivos'!AH56,'LP Reactivos'!AM56,'LP Reactivos'!AR56,'LP Reactivos'!AW56,'LP Reactivos'!BB56,'LP Reactivos'!BG56,'LP Reactivos'!BL56,'LP Reactivos'!BQ56,'LP Reactivos'!BV56,'LP Reactivos'!CA56,'LP Reactivos'!CF56,'LP Reactivos'!CK56,'LP Reactivos'!CP56,'LP Reactivos'!CU56,'LP Reactivos'!CZ56,'LP Reactivos'!DE56,'LP Reactivos'!DJ56,'LP Reactivos'!DO56,'LP Reactivos'!DT56,'LP Reactivos'!DY56,'LP Reactivos'!EB56)," ")</f>
        <v>341530</v>
      </c>
      <c r="E56" s="429">
        <f>IFERROR(AVERAGE('LP Reactivos'!F56,'LP Reactivos'!I56,'LP Reactivos'!N56,'LP Reactivos'!S56,'LP Reactivos'!X56,'LP Reactivos'!AC56,'LP Reactivos'!AH56,'LP Reactivos'!AM56,'LP Reactivos'!AR56,'LP Reactivos'!AW56,'LP Reactivos'!BB56,'LP Reactivos'!BG56,'LP Reactivos'!BL56,'LP Reactivos'!BQ56,'LP Reactivos'!BV56,'LP Reactivos'!CA56,'LP Reactivos'!CF56,'LP Reactivos'!CK56,'LP Reactivos'!CP56,'LP Reactivos'!CU56,'LP Reactivos'!CZ56,'LP Reactivos'!DE56,'LP Reactivos'!DJ56,'LP Reactivos'!DO56,'LP Reactivos'!DT56,'LP Reactivos'!DY56,'LP Reactivos'!EB56)," ")</f>
        <v>540278.80199999991</v>
      </c>
      <c r="F56" s="345">
        <f>IFERROR(MEDIAN('LP Reactivos'!F56,'LP Reactivos'!I56,'LP Reactivos'!N56,'LP Reactivos'!S56,'LP Reactivos'!X56,'LP Reactivos'!AC56,'LP Reactivos'!AH56,'LP Reactivos'!AM56,'LP Reactivos'!AR56,'LP Reactivos'!AW56,'LP Reactivos'!BB56,'LP Reactivos'!BG56,'LP Reactivos'!BL56,'LP Reactivos'!BQ56,'LP Reactivos'!BV56,'LP Reactivos'!CA56,'LP Reactivos'!CF56,'LP Reactivos'!CK56,'LP Reactivos'!CP56,'LP Reactivos'!CU56,'LP Reactivos'!CZ56,'LP Reactivos'!DE56,'LP Reactivos'!DJ56,'LP Reactivos'!DO56,'LP Reactivos'!DT56,'LP Reactivos'!DY56,'LP Reactivos'!EB56)," ")</f>
        <v>509320</v>
      </c>
      <c r="G56" s="345">
        <f>IFERROR(GEOMEAN('LP Reactivos'!F56,'LP Reactivos'!I56,'LP Reactivos'!N56,'LP Reactivos'!S56,'LP Reactivos'!X56,'LP Reactivos'!AC56,'LP Reactivos'!AH56,'LP Reactivos'!AM56,'LP Reactivos'!AR56,'LP Reactivos'!AW56,'LP Reactivos'!BB56,'LP Reactivos'!BG56,'LP Reactivos'!BL56,'LP Reactivos'!BQ56,'LP Reactivos'!BV56,'LP Reactivos'!CA56,'LP Reactivos'!CF56,'LP Reactivos'!CK56,'LP Reactivos'!CP56,'LP Reactivos'!CU56,'LP Reactivos'!CZ56,'LP Reactivos'!DE56,'LP Reactivos'!DJ56,'LP Reactivos'!DO56,'LP Reactivos'!DT56,'LP Reactivos'!DY56,'LP Reactivos'!EB56)," ")</f>
        <v>524305.34274721949</v>
      </c>
      <c r="H56" s="345">
        <f t="shared" si="0"/>
        <v>92420.937216549981</v>
      </c>
      <c r="I56" s="346">
        <f t="shared" si="1"/>
        <v>0.17106156464852382</v>
      </c>
      <c r="J56" s="345">
        <f t="shared" si="2"/>
        <v>540278.80199999991</v>
      </c>
      <c r="K56" s="344" t="str">
        <f t="shared" si="3"/>
        <v>Promedio</v>
      </c>
      <c r="L56" s="326">
        <f>IFERROR(COUNTA('LP Reactivos'!F56,'LP Reactivos'!I56,'LP Reactivos'!N56,'LP Reactivos'!S56,'LP Reactivos'!X56,'LP Reactivos'!AC56,'LP Reactivos'!AH56,'LP Reactivos'!AM56,'LP Reactivos'!AR56,'LP Reactivos'!AW56,'LP Reactivos'!BB56,'LP Reactivos'!BG56,'LP Reactivos'!BL56,'LP Reactivos'!BQ56,'LP Reactivos'!BV56,'LP Reactivos'!CA56,'LP Reactivos'!CF56,'LP Reactivos'!CK56,'LP Reactivos'!CP56,'LP Reactivos'!CU56,'LP Reactivos'!CZ56,'LP Reactivos'!DE56,'LP Reactivos'!DJ56,'LP Reactivos'!DO56,'LP Reactivos'!DT56,'LP Reactivos'!DY56,'LP Reactivos'!EB56)," ")</f>
        <v>5</v>
      </c>
    </row>
    <row r="57" spans="2:12" x14ac:dyDescent="0.25">
      <c r="B57" s="425">
        <v>55</v>
      </c>
      <c r="C57" s="428" t="s">
        <v>825</v>
      </c>
      <c r="D57" s="429">
        <f>IFERROR(MIN('LP Reactivos'!F57,'LP Reactivos'!I57,'LP Reactivos'!N57,'LP Reactivos'!S57,'LP Reactivos'!X57,'LP Reactivos'!AC57,'LP Reactivos'!AH57,'LP Reactivos'!AM57,'LP Reactivos'!AR57,'LP Reactivos'!AW57,'LP Reactivos'!BB57,'LP Reactivos'!BG57,'LP Reactivos'!BL57,'LP Reactivos'!BQ57,'LP Reactivos'!BV57,'LP Reactivos'!CA57,'LP Reactivos'!CF57,'LP Reactivos'!CK57,'LP Reactivos'!CP57,'LP Reactivos'!CU57,'LP Reactivos'!CZ57,'LP Reactivos'!DE57,'LP Reactivos'!DJ57,'LP Reactivos'!DO57,'LP Reactivos'!DT57,'LP Reactivos'!DY57,'LP Reactivos'!EB57)," ")</f>
        <v>1577940</v>
      </c>
      <c r="E57" s="429">
        <f>IFERROR(AVERAGE('LP Reactivos'!F57,'LP Reactivos'!I57,'LP Reactivos'!N57,'LP Reactivos'!S57,'LP Reactivos'!X57,'LP Reactivos'!AC57,'LP Reactivos'!AH57,'LP Reactivos'!AM57,'LP Reactivos'!AR57,'LP Reactivos'!AW57,'LP Reactivos'!BB57,'LP Reactivos'!BG57,'LP Reactivos'!BL57,'LP Reactivos'!BQ57,'LP Reactivos'!BV57,'LP Reactivos'!CA57,'LP Reactivos'!CF57,'LP Reactivos'!CK57,'LP Reactivos'!CP57,'LP Reactivos'!CU57,'LP Reactivos'!CZ57,'LP Reactivos'!DE57,'LP Reactivos'!DJ57,'LP Reactivos'!DO57,'LP Reactivos'!DT57,'LP Reactivos'!DY57,'LP Reactivos'!EB57)," ")</f>
        <v>1577940</v>
      </c>
      <c r="F57" s="345">
        <f>IFERROR(MEDIAN('LP Reactivos'!F57,'LP Reactivos'!I57,'LP Reactivos'!N57,'LP Reactivos'!S57,'LP Reactivos'!X57,'LP Reactivos'!AC57,'LP Reactivos'!AH57,'LP Reactivos'!AM57,'LP Reactivos'!AR57,'LP Reactivos'!AW57,'LP Reactivos'!BB57,'LP Reactivos'!BG57,'LP Reactivos'!BL57,'LP Reactivos'!BQ57,'LP Reactivos'!BV57,'LP Reactivos'!CA57,'LP Reactivos'!CF57,'LP Reactivos'!CK57,'LP Reactivos'!CP57,'LP Reactivos'!CU57,'LP Reactivos'!CZ57,'LP Reactivos'!DE57,'LP Reactivos'!DJ57,'LP Reactivos'!DO57,'LP Reactivos'!DT57,'LP Reactivos'!DY57,'LP Reactivos'!EB57)," ")</f>
        <v>1577940</v>
      </c>
      <c r="G57" s="345">
        <f>IFERROR(GEOMEAN('LP Reactivos'!F57,'LP Reactivos'!I57,'LP Reactivos'!N57,'LP Reactivos'!S57,'LP Reactivos'!X57,'LP Reactivos'!AC57,'LP Reactivos'!AH57,'LP Reactivos'!AM57,'LP Reactivos'!AR57,'LP Reactivos'!AW57,'LP Reactivos'!BB57,'LP Reactivos'!BG57,'LP Reactivos'!BL57,'LP Reactivos'!BQ57,'LP Reactivos'!BV57,'LP Reactivos'!CA57,'LP Reactivos'!CF57,'LP Reactivos'!CK57,'LP Reactivos'!CP57,'LP Reactivos'!CU57,'LP Reactivos'!CZ57,'LP Reactivos'!DE57,'LP Reactivos'!DJ57,'LP Reactivos'!DO57,'LP Reactivos'!DT57,'LP Reactivos'!DY57,'LP Reactivos'!EB57)," ")</f>
        <v>1577940</v>
      </c>
      <c r="H57" s="345">
        <f t="shared" si="0"/>
        <v>0</v>
      </c>
      <c r="I57" s="346">
        <f t="shared" si="1"/>
        <v>0</v>
      </c>
      <c r="J57" s="345">
        <f t="shared" si="2"/>
        <v>1577940</v>
      </c>
      <c r="K57" s="344" t="str">
        <f t="shared" si="3"/>
        <v>Menor Valor</v>
      </c>
      <c r="L57" s="326">
        <f>IFERROR(COUNTA('LP Reactivos'!F57,'LP Reactivos'!I57,'LP Reactivos'!N57,'LP Reactivos'!S57,'LP Reactivos'!X57,'LP Reactivos'!AC57,'LP Reactivos'!AH57,'LP Reactivos'!AM57,'LP Reactivos'!AR57,'LP Reactivos'!AW57,'LP Reactivos'!BB57,'LP Reactivos'!BG57,'LP Reactivos'!BL57,'LP Reactivos'!BQ57,'LP Reactivos'!BV57,'LP Reactivos'!CA57,'LP Reactivos'!CF57,'LP Reactivos'!CK57,'LP Reactivos'!CP57,'LP Reactivos'!CU57,'LP Reactivos'!CZ57,'LP Reactivos'!DE57,'LP Reactivos'!DJ57,'LP Reactivos'!DO57,'LP Reactivos'!DT57,'LP Reactivos'!DY57,'LP Reactivos'!EB57)," ")</f>
        <v>1</v>
      </c>
    </row>
    <row r="58" spans="2:12" x14ac:dyDescent="0.25">
      <c r="B58" s="425">
        <v>56</v>
      </c>
      <c r="C58" s="428" t="s">
        <v>827</v>
      </c>
      <c r="D58" s="429">
        <f>IFERROR(MIN('LP Reactivos'!F58,'LP Reactivos'!I58,'LP Reactivos'!N58,'LP Reactivos'!S58,'LP Reactivos'!X58,'LP Reactivos'!AC58,'LP Reactivos'!AH58,'LP Reactivos'!AM58,'LP Reactivos'!AR58,'LP Reactivos'!AW58,'LP Reactivos'!BB58,'LP Reactivos'!BG58,'LP Reactivos'!BL58,'LP Reactivos'!BQ58,'LP Reactivos'!BV58,'LP Reactivos'!CA58,'LP Reactivos'!CF58,'LP Reactivos'!CK58,'LP Reactivos'!CP58,'LP Reactivos'!CU58,'LP Reactivos'!CZ58,'LP Reactivos'!DE58,'LP Reactivos'!DJ58,'LP Reactivos'!DO58,'LP Reactivos'!DT58,'LP Reactivos'!DY58,'LP Reactivos'!EB58)," ")</f>
        <v>276080</v>
      </c>
      <c r="E58" s="429">
        <f>IFERROR(AVERAGE('LP Reactivos'!F58,'LP Reactivos'!I58,'LP Reactivos'!N58,'LP Reactivos'!S58,'LP Reactivos'!X58,'LP Reactivos'!AC58,'LP Reactivos'!AH58,'LP Reactivos'!AM58,'LP Reactivos'!AR58,'LP Reactivos'!AW58,'LP Reactivos'!BB58,'LP Reactivos'!BG58,'LP Reactivos'!BL58,'LP Reactivos'!BQ58,'LP Reactivos'!BV58,'LP Reactivos'!CA58,'LP Reactivos'!CF58,'LP Reactivos'!CK58,'LP Reactivos'!CP58,'LP Reactivos'!CU58,'LP Reactivos'!CZ58,'LP Reactivos'!DE58,'LP Reactivos'!DJ58,'LP Reactivos'!DO58,'LP Reactivos'!DT58,'LP Reactivos'!DY58,'LP Reactivos'!EB58)," ")</f>
        <v>1154977.115</v>
      </c>
      <c r="F58" s="345">
        <f>IFERROR(MEDIAN('LP Reactivos'!F58,'LP Reactivos'!I58,'LP Reactivos'!N58,'LP Reactivos'!S58,'LP Reactivos'!X58,'LP Reactivos'!AC58,'LP Reactivos'!AH58,'LP Reactivos'!AM58,'LP Reactivos'!AR58,'LP Reactivos'!AW58,'LP Reactivos'!BB58,'LP Reactivos'!BG58,'LP Reactivos'!BL58,'LP Reactivos'!BQ58,'LP Reactivos'!BV58,'LP Reactivos'!CA58,'LP Reactivos'!CF58,'LP Reactivos'!CK58,'LP Reactivos'!CP58,'LP Reactivos'!CU58,'LP Reactivos'!CZ58,'LP Reactivos'!DE58,'LP Reactivos'!DJ58,'LP Reactivos'!DO58,'LP Reactivos'!DT58,'LP Reactivos'!DY58,'LP Reactivos'!EB58)," ")</f>
        <v>1096664.73</v>
      </c>
      <c r="G58" s="345">
        <f>IFERROR(GEOMEAN('LP Reactivos'!F58,'LP Reactivos'!I58,'LP Reactivos'!N58,'LP Reactivos'!S58,'LP Reactivos'!X58,'LP Reactivos'!AC58,'LP Reactivos'!AH58,'LP Reactivos'!AM58,'LP Reactivos'!AR58,'LP Reactivos'!AW58,'LP Reactivos'!BB58,'LP Reactivos'!BG58,'LP Reactivos'!BL58,'LP Reactivos'!BQ58,'LP Reactivos'!BV58,'LP Reactivos'!CA58,'LP Reactivos'!CF58,'LP Reactivos'!CK58,'LP Reactivos'!CP58,'LP Reactivos'!CU58,'LP Reactivos'!CZ58,'LP Reactivos'!DE58,'LP Reactivos'!DJ58,'LP Reactivos'!DO58,'LP Reactivos'!DT58,'LP Reactivos'!DY58,'LP Reactivos'!EB58)," ")</f>
        <v>844403.61660012626</v>
      </c>
      <c r="H58" s="345">
        <f t="shared" si="0"/>
        <v>401279.52358013648</v>
      </c>
      <c r="I58" s="346">
        <f t="shared" si="1"/>
        <v>0.34743504297064493</v>
      </c>
      <c r="J58" s="345">
        <f>IF(I58&lt;=10%,F58,IF(AND(I58&gt;10%,I58&lt;=20%),E58,IF(AND(I58&gt;20%,I58&lt;=35%),G58,IF(I58&gt;35%,D58))))</f>
        <v>844403.61660012626</v>
      </c>
      <c r="K58" s="344" t="str">
        <f>IF(J58=D58,"Menor Valor",IF(J58=E58,"Promedio",IF(J58=F58,"Mediana",IF(J58=G58,"Media Geométrica"," "))))</f>
        <v>Media Geométrica</v>
      </c>
      <c r="L58" s="326">
        <f>IFERROR(COUNTA('LP Reactivos'!F58,'LP Reactivos'!I58,'LP Reactivos'!N58,'LP Reactivos'!S58,'LP Reactivos'!X58,'LP Reactivos'!AC58,'LP Reactivos'!AH58,'LP Reactivos'!AM58,'LP Reactivos'!AR58,'LP Reactivos'!AW58,'LP Reactivos'!BB58,'LP Reactivos'!BG58,'LP Reactivos'!BL58,'LP Reactivos'!BQ58,'LP Reactivos'!BV58,'LP Reactivos'!CA58,'LP Reactivos'!CF58,'LP Reactivos'!CK58,'LP Reactivos'!CP58,'LP Reactivos'!CU58,'LP Reactivos'!CZ58,'LP Reactivos'!DE58,'LP Reactivos'!DJ58,'LP Reactivos'!DO58,'LP Reactivos'!DT58,'LP Reactivos'!DY58,'LP Reactivos'!EB58)," ")</f>
        <v>4</v>
      </c>
    </row>
    <row r="59" spans="2:12" x14ac:dyDescent="0.25">
      <c r="B59" s="425">
        <v>57</v>
      </c>
      <c r="C59" s="427" t="s">
        <v>832</v>
      </c>
      <c r="D59" s="429">
        <f>IFERROR(MIN('LP Reactivos'!F59,'LP Reactivos'!I59,'LP Reactivos'!N59,'LP Reactivos'!S59,'LP Reactivos'!X59,'LP Reactivos'!AC59,'LP Reactivos'!AH59,'LP Reactivos'!AM59,'LP Reactivos'!AR59,'LP Reactivos'!AW59,'LP Reactivos'!BB59,'LP Reactivos'!BG59,'LP Reactivos'!BL59,'LP Reactivos'!BQ59,'LP Reactivos'!BV59,'LP Reactivos'!CA59,'LP Reactivos'!CF59,'LP Reactivos'!CK59,'LP Reactivos'!CP59,'LP Reactivos'!CU59,'LP Reactivos'!CZ59,'LP Reactivos'!DE59,'LP Reactivos'!DJ59,'LP Reactivos'!DO59,'LP Reactivos'!DT59,'LP Reactivos'!DY59,'LP Reactivos'!EB59)," ")</f>
        <v>176120</v>
      </c>
      <c r="E59" s="429">
        <f>IFERROR(AVERAGE('LP Reactivos'!F59,'LP Reactivos'!I59,'LP Reactivos'!N59,'LP Reactivos'!S59,'LP Reactivos'!X59,'LP Reactivos'!AC59,'LP Reactivos'!AH59,'LP Reactivos'!AM59,'LP Reactivos'!AR59,'LP Reactivos'!AW59,'LP Reactivos'!BB59,'LP Reactivos'!BG59,'LP Reactivos'!BL59,'LP Reactivos'!BQ59,'LP Reactivos'!BV59,'LP Reactivos'!CA59,'LP Reactivos'!CF59,'LP Reactivos'!CK59,'LP Reactivos'!CP59,'LP Reactivos'!CU59,'LP Reactivos'!CZ59,'LP Reactivos'!DE59,'LP Reactivos'!DJ59,'LP Reactivos'!DO59,'LP Reactivos'!DT59,'LP Reactivos'!DY59,'LP Reactivos'!EB59)," ")</f>
        <v>328390.10533333331</v>
      </c>
      <c r="F59" s="345">
        <f>IFERROR(MEDIAN('LP Reactivos'!F59,'LP Reactivos'!I59,'LP Reactivos'!N59,'LP Reactivos'!S59,'LP Reactivos'!X59,'LP Reactivos'!AC59,'LP Reactivos'!AH59,'LP Reactivos'!AM59,'LP Reactivos'!AR59,'LP Reactivos'!AW59,'LP Reactivos'!BB59,'LP Reactivos'!BG59,'LP Reactivos'!BL59,'LP Reactivos'!BQ59,'LP Reactivos'!BV59,'LP Reactivos'!CA59,'LP Reactivos'!CF59,'LP Reactivos'!CK59,'LP Reactivos'!CP59,'LP Reactivos'!CU59,'LP Reactivos'!CZ59,'LP Reactivos'!DE59,'LP Reactivos'!DJ59,'LP Reactivos'!DO59,'LP Reactivos'!DT59,'LP Reactivos'!DY59,'LP Reactivos'!EB59)," ")</f>
        <v>345383</v>
      </c>
      <c r="G59" s="345">
        <f>IFERROR(GEOMEAN('LP Reactivos'!F59,'LP Reactivos'!I59,'LP Reactivos'!N59,'LP Reactivos'!S59,'LP Reactivos'!X59,'LP Reactivos'!AC59,'LP Reactivos'!AH59,'LP Reactivos'!AM59,'LP Reactivos'!AR59,'LP Reactivos'!AW59,'LP Reactivos'!BB59,'LP Reactivos'!BG59,'LP Reactivos'!BL59,'LP Reactivos'!BQ59,'LP Reactivos'!BV59,'LP Reactivos'!CA59,'LP Reactivos'!CF59,'LP Reactivos'!CK59,'LP Reactivos'!CP59,'LP Reactivos'!CU59,'LP Reactivos'!CZ59,'LP Reactivos'!DE59,'LP Reactivos'!DJ59,'LP Reactivos'!DO59,'LP Reactivos'!DT59,'LP Reactivos'!DY59,'LP Reactivos'!EB59)," ")</f>
        <v>309804.86495727726</v>
      </c>
      <c r="H59" s="345">
        <f t="shared" si="0"/>
        <v>77248.389728619542</v>
      </c>
      <c r="I59" s="346">
        <f t="shared" si="1"/>
        <v>0.23523360927762529</v>
      </c>
      <c r="J59" s="345">
        <f t="shared" si="2"/>
        <v>309804.86495727726</v>
      </c>
      <c r="K59" s="344" t="str">
        <f t="shared" si="3"/>
        <v>Media Geométrica</v>
      </c>
      <c r="L59" s="326">
        <f>IFERROR(COUNTA('LP Reactivos'!F59,'LP Reactivos'!I59,'LP Reactivos'!N59,'LP Reactivos'!S59,'LP Reactivos'!X59,'LP Reactivos'!AC59,'LP Reactivos'!AH59,'LP Reactivos'!AM59,'LP Reactivos'!AR59,'LP Reactivos'!AW59,'LP Reactivos'!BB59,'LP Reactivos'!BG59,'LP Reactivos'!BL59,'LP Reactivos'!BQ59,'LP Reactivos'!BV59,'LP Reactivos'!CA59,'LP Reactivos'!CF59,'LP Reactivos'!CK59,'LP Reactivos'!CP59,'LP Reactivos'!CU59,'LP Reactivos'!CZ59,'LP Reactivos'!DE59,'LP Reactivos'!DJ59,'LP Reactivos'!DO59,'LP Reactivos'!DT59,'LP Reactivos'!DY59,'LP Reactivos'!EB59)," ")</f>
        <v>6</v>
      </c>
    </row>
    <row r="60" spans="2:12" x14ac:dyDescent="0.25">
      <c r="B60" s="425">
        <v>58</v>
      </c>
      <c r="C60" s="428" t="s">
        <v>838</v>
      </c>
      <c r="D60" s="429">
        <f>IFERROR(MIN('LP Reactivos'!F60,'LP Reactivos'!I60,'LP Reactivos'!N60,'LP Reactivos'!S60,'LP Reactivos'!X60,'LP Reactivos'!AC60,'LP Reactivos'!AH60,'LP Reactivos'!AM60,'LP Reactivos'!AR60,'LP Reactivos'!AW60,'LP Reactivos'!BB60,'LP Reactivos'!BG60,'LP Reactivos'!BL60,'LP Reactivos'!BQ60,'LP Reactivos'!BV60,'LP Reactivos'!CA60,'LP Reactivos'!CF60,'LP Reactivos'!CK60,'LP Reactivos'!CP60,'LP Reactivos'!CU60,'LP Reactivos'!CZ60,'LP Reactivos'!DE60,'LP Reactivos'!DJ60,'LP Reactivos'!DO60,'LP Reactivos'!DT60,'LP Reactivos'!DY60,'LP Reactivos'!EB60)," ")</f>
        <v>177310</v>
      </c>
      <c r="E60" s="429">
        <f>IFERROR(AVERAGE('LP Reactivos'!F60,'LP Reactivos'!I60,'LP Reactivos'!N60,'LP Reactivos'!S60,'LP Reactivos'!X60,'LP Reactivos'!AC60,'LP Reactivos'!AH60,'LP Reactivos'!AM60,'LP Reactivos'!AR60,'LP Reactivos'!AW60,'LP Reactivos'!BB60,'LP Reactivos'!BG60,'LP Reactivos'!BL60,'LP Reactivos'!BQ60,'LP Reactivos'!BV60,'LP Reactivos'!CA60,'LP Reactivos'!CF60,'LP Reactivos'!CK60,'LP Reactivos'!CP60,'LP Reactivos'!CU60,'LP Reactivos'!CZ60,'LP Reactivos'!DE60,'LP Reactivos'!DJ60,'LP Reactivos'!DO60,'LP Reactivos'!DT60,'LP Reactivos'!DY60,'LP Reactivos'!EB60)," ")</f>
        <v>369632.33333333331</v>
      </c>
      <c r="F60" s="345">
        <f>IFERROR(MEDIAN('LP Reactivos'!F60,'LP Reactivos'!I60,'LP Reactivos'!N60,'LP Reactivos'!S60,'LP Reactivos'!X60,'LP Reactivos'!AC60,'LP Reactivos'!AH60,'LP Reactivos'!AM60,'LP Reactivos'!AR60,'LP Reactivos'!AW60,'LP Reactivos'!BB60,'LP Reactivos'!BG60,'LP Reactivos'!BL60,'LP Reactivos'!BQ60,'LP Reactivos'!BV60,'LP Reactivos'!CA60,'LP Reactivos'!CF60,'LP Reactivos'!CK60,'LP Reactivos'!CP60,'LP Reactivos'!CU60,'LP Reactivos'!CZ60,'LP Reactivos'!DE60,'LP Reactivos'!DJ60,'LP Reactivos'!DO60,'LP Reactivos'!DT60,'LP Reactivos'!DY60,'LP Reactivos'!EB60)," ")</f>
        <v>291550</v>
      </c>
      <c r="G60" s="345">
        <f>IFERROR(GEOMEAN('LP Reactivos'!F60,'LP Reactivos'!I60,'LP Reactivos'!N60,'LP Reactivos'!S60,'LP Reactivos'!X60,'LP Reactivos'!AC60,'LP Reactivos'!AH60,'LP Reactivos'!AM60,'LP Reactivos'!AR60,'LP Reactivos'!AW60,'LP Reactivos'!BB60,'LP Reactivos'!BG60,'LP Reactivos'!BL60,'LP Reactivos'!BQ60,'LP Reactivos'!BV60,'LP Reactivos'!CA60,'LP Reactivos'!CF60,'LP Reactivos'!CK60,'LP Reactivos'!CP60,'LP Reactivos'!CU60,'LP Reactivos'!CZ60,'LP Reactivos'!DE60,'LP Reactivos'!DJ60,'LP Reactivos'!DO60,'LP Reactivos'!DT60,'LP Reactivos'!DY60,'LP Reactivos'!EB60)," ")</f>
        <v>321033.5728482143</v>
      </c>
      <c r="H60" s="345">
        <f t="shared" ref="H60:H114" si="4">STDEVA(D60,E60,F60,G60)</f>
        <v>81661.442481747828</v>
      </c>
      <c r="I60" s="346">
        <f t="shared" ref="I60:I114" si="5">IFERROR(H60/E60," ")</f>
        <v>0.22092613420835613</v>
      </c>
      <c r="J60" s="345">
        <f t="shared" ref="J60:J114" si="6">IF(I60&lt;=10%,F60,IF(AND(I60&gt;10%,I60&lt;=20%),E60,IF(AND(I60&gt;20%,I60&lt;=30%),G60,IF(I60&gt;30%,D60))))</f>
        <v>321033.5728482143</v>
      </c>
      <c r="K60" s="344" t="str">
        <f t="shared" ref="K60:K114" si="7">IF(J60=D60,"Menor Valor",IF(J60=E60,"Promedio",IF(J60=F60,"Mediana",IF(J60=G60,"Media Geométrica"," "))))</f>
        <v>Media Geométrica</v>
      </c>
      <c r="L60" s="326">
        <f>IFERROR(COUNTA('LP Reactivos'!F60,'LP Reactivos'!I60,'LP Reactivos'!N60,'LP Reactivos'!S60,'LP Reactivos'!X60,'LP Reactivos'!AC60,'LP Reactivos'!AH60,'LP Reactivos'!AM60,'LP Reactivos'!AR60,'LP Reactivos'!AW60,'LP Reactivos'!BB60,'LP Reactivos'!BG60,'LP Reactivos'!BL60,'LP Reactivos'!BQ60,'LP Reactivos'!BV60,'LP Reactivos'!CA60,'LP Reactivos'!CF60,'LP Reactivos'!CK60,'LP Reactivos'!CP60,'LP Reactivos'!CU60,'LP Reactivos'!CZ60,'LP Reactivos'!DE60,'LP Reactivos'!DJ60,'LP Reactivos'!DO60,'LP Reactivos'!DT60,'LP Reactivos'!DY60,'LP Reactivos'!EB60)," ")</f>
        <v>3</v>
      </c>
    </row>
    <row r="61" spans="2:12" x14ac:dyDescent="0.25">
      <c r="B61" s="425">
        <v>59</v>
      </c>
      <c r="C61" s="428" t="s">
        <v>843</v>
      </c>
      <c r="D61" s="429">
        <f>IFERROR(MIN('LP Reactivos'!F61,'LP Reactivos'!I61,'LP Reactivos'!N61,'LP Reactivos'!S61,'LP Reactivos'!X61,'LP Reactivos'!AC61,'LP Reactivos'!AH61,'LP Reactivos'!AM61,'LP Reactivos'!AR61,'LP Reactivos'!AW61,'LP Reactivos'!BB61,'LP Reactivos'!BG61,'LP Reactivos'!BL61,'LP Reactivos'!BQ61,'LP Reactivos'!BV61,'LP Reactivos'!CA61,'LP Reactivos'!CF61,'LP Reactivos'!CK61,'LP Reactivos'!CP61,'LP Reactivos'!CU61,'LP Reactivos'!CZ61,'LP Reactivos'!DE61,'LP Reactivos'!DJ61,'LP Reactivos'!DO61,'LP Reactivos'!DT61,'LP Reactivos'!DY61,'LP Reactivos'!EB61)," ")</f>
        <v>329630</v>
      </c>
      <c r="E61" s="429">
        <f>IFERROR(AVERAGE('LP Reactivos'!F61,'LP Reactivos'!I61,'LP Reactivos'!N61,'LP Reactivos'!S61,'LP Reactivos'!X61,'LP Reactivos'!AC61,'LP Reactivos'!AH61,'LP Reactivos'!AM61,'LP Reactivos'!AR61,'LP Reactivos'!AW61,'LP Reactivos'!BB61,'LP Reactivos'!BG61,'LP Reactivos'!BL61,'LP Reactivos'!BQ61,'LP Reactivos'!BV61,'LP Reactivos'!CA61,'LP Reactivos'!CF61,'LP Reactivos'!CK61,'LP Reactivos'!CP61,'LP Reactivos'!CU61,'LP Reactivos'!CZ61,'LP Reactivos'!DE61,'LP Reactivos'!DJ61,'LP Reactivos'!DO61,'LP Reactivos'!DT61,'LP Reactivos'!DY61,'LP Reactivos'!EB61)," ")</f>
        <v>604919.96250000002</v>
      </c>
      <c r="F61" s="345">
        <f>IFERROR(MEDIAN('LP Reactivos'!F61,'LP Reactivos'!I61,'LP Reactivos'!N61,'LP Reactivos'!S61,'LP Reactivos'!X61,'LP Reactivos'!AC61,'LP Reactivos'!AH61,'LP Reactivos'!AM61,'LP Reactivos'!AR61,'LP Reactivos'!AW61,'LP Reactivos'!BB61,'LP Reactivos'!BG61,'LP Reactivos'!BL61,'LP Reactivos'!BQ61,'LP Reactivos'!BV61,'LP Reactivos'!CA61,'LP Reactivos'!CF61,'LP Reactivos'!CK61,'LP Reactivos'!CP61,'LP Reactivos'!CU61,'LP Reactivos'!CZ61,'LP Reactivos'!DE61,'LP Reactivos'!DJ61,'LP Reactivos'!DO61,'LP Reactivos'!DT61,'LP Reactivos'!DY61,'LP Reactivos'!EB61)," ")</f>
        <v>604171.92500000005</v>
      </c>
      <c r="G61" s="345">
        <f>IFERROR(GEOMEAN('LP Reactivos'!F61,'LP Reactivos'!I61,'LP Reactivos'!N61,'LP Reactivos'!S61,'LP Reactivos'!X61,'LP Reactivos'!AC61,'LP Reactivos'!AH61,'LP Reactivos'!AM61,'LP Reactivos'!AR61,'LP Reactivos'!AW61,'LP Reactivos'!BB61,'LP Reactivos'!BG61,'LP Reactivos'!BL61,'LP Reactivos'!BQ61,'LP Reactivos'!BV61,'LP Reactivos'!CA61,'LP Reactivos'!CF61,'LP Reactivos'!CK61,'LP Reactivos'!CP61,'LP Reactivos'!CU61,'LP Reactivos'!CZ61,'LP Reactivos'!DE61,'LP Reactivos'!DJ61,'LP Reactivos'!DO61,'LP Reactivos'!DT61,'LP Reactivos'!DY61,'LP Reactivos'!EB61)," ")</f>
        <v>567764.30275798519</v>
      </c>
      <c r="H61" s="345">
        <f t="shared" si="4"/>
        <v>132467.73058443092</v>
      </c>
      <c r="I61" s="346">
        <f t="shared" si="5"/>
        <v>0.2189838967075432</v>
      </c>
      <c r="J61" s="345">
        <f t="shared" si="6"/>
        <v>567764.30275798519</v>
      </c>
      <c r="K61" s="344" t="str">
        <f t="shared" si="7"/>
        <v>Media Geométrica</v>
      </c>
      <c r="L61" s="326">
        <f>IFERROR(COUNTA('LP Reactivos'!F61,'LP Reactivos'!I61,'LP Reactivos'!N61,'LP Reactivos'!S61,'LP Reactivos'!X61,'LP Reactivos'!AC61,'LP Reactivos'!AH61,'LP Reactivos'!AM61,'LP Reactivos'!AR61,'LP Reactivos'!AW61,'LP Reactivos'!BB61,'LP Reactivos'!BG61,'LP Reactivos'!BL61,'LP Reactivos'!BQ61,'LP Reactivos'!BV61,'LP Reactivos'!CA61,'LP Reactivos'!CF61,'LP Reactivos'!CK61,'LP Reactivos'!CP61,'LP Reactivos'!CU61,'LP Reactivos'!CZ61,'LP Reactivos'!DE61,'LP Reactivos'!DJ61,'LP Reactivos'!DO61,'LP Reactivos'!DT61,'LP Reactivos'!DY61,'LP Reactivos'!EB61)," ")</f>
        <v>4</v>
      </c>
    </row>
    <row r="62" spans="2:12" ht="27" x14ac:dyDescent="0.25">
      <c r="B62" s="425">
        <v>60</v>
      </c>
      <c r="C62" s="413" t="s">
        <v>845</v>
      </c>
      <c r="D62" s="429">
        <f>IFERROR(MIN('LP Reactivos'!F62,'LP Reactivos'!I62,'LP Reactivos'!N62,'LP Reactivos'!S62,'LP Reactivos'!X62,'LP Reactivos'!AC62,'LP Reactivos'!AH62,'LP Reactivos'!AM62,'LP Reactivos'!AR62,'LP Reactivos'!AW62,'LP Reactivos'!BB62,'LP Reactivos'!BG62,'LP Reactivos'!BL62,'LP Reactivos'!BQ62,'LP Reactivos'!BV62,'LP Reactivos'!CA62,'LP Reactivos'!CF62,'LP Reactivos'!CK62,'LP Reactivos'!CP62,'LP Reactivos'!CU62,'LP Reactivos'!CZ62,'LP Reactivos'!DE62,'LP Reactivos'!DJ62,'LP Reactivos'!DO62,'LP Reactivos'!DT62,'LP Reactivos'!DY62,'LP Reactivos'!EB62)," ")</f>
        <v>773500</v>
      </c>
      <c r="E62" s="429">
        <f>IFERROR(AVERAGE('LP Reactivos'!F62,'LP Reactivos'!I62,'LP Reactivos'!N62,'LP Reactivos'!S62,'LP Reactivos'!X62,'LP Reactivos'!AC62,'LP Reactivos'!AH62,'LP Reactivos'!AM62,'LP Reactivos'!AR62,'LP Reactivos'!AW62,'LP Reactivos'!BB62,'LP Reactivos'!BG62,'LP Reactivos'!BL62,'LP Reactivos'!BQ62,'LP Reactivos'!BV62,'LP Reactivos'!CA62,'LP Reactivos'!CF62,'LP Reactivos'!CK62,'LP Reactivos'!CP62,'LP Reactivos'!CU62,'LP Reactivos'!CZ62,'LP Reactivos'!DE62,'LP Reactivos'!DJ62,'LP Reactivos'!DO62,'LP Reactivos'!DT62,'LP Reactivos'!DY62,'LP Reactivos'!EB62)," ")</f>
        <v>2814642.9066666667</v>
      </c>
      <c r="F62" s="345">
        <f>IFERROR(MEDIAN('LP Reactivos'!F62,'LP Reactivos'!I62,'LP Reactivos'!N62,'LP Reactivos'!S62,'LP Reactivos'!X62,'LP Reactivos'!AC62,'LP Reactivos'!AH62,'LP Reactivos'!AM62,'LP Reactivos'!AR62,'LP Reactivos'!AW62,'LP Reactivos'!BB62,'LP Reactivos'!BG62,'LP Reactivos'!BL62,'LP Reactivos'!BQ62,'LP Reactivos'!BV62,'LP Reactivos'!CA62,'LP Reactivos'!CF62,'LP Reactivos'!CK62,'LP Reactivos'!CP62,'LP Reactivos'!CU62,'LP Reactivos'!CZ62,'LP Reactivos'!DE62,'LP Reactivos'!DJ62,'LP Reactivos'!DO62,'LP Reactivos'!DT62,'LP Reactivos'!DY62,'LP Reactivos'!EB62)," ")</f>
        <v>3229645.72</v>
      </c>
      <c r="G62" s="345">
        <f>IFERROR(GEOMEAN('LP Reactivos'!F62,'LP Reactivos'!I62,'LP Reactivos'!N62,'LP Reactivos'!S62,'LP Reactivos'!X62,'LP Reactivos'!AC62,'LP Reactivos'!AH62,'LP Reactivos'!AM62,'LP Reactivos'!AR62,'LP Reactivos'!AW62,'LP Reactivos'!BB62,'LP Reactivos'!BG62,'LP Reactivos'!BL62,'LP Reactivos'!BQ62,'LP Reactivos'!BV62,'LP Reactivos'!CA62,'LP Reactivos'!CF62,'LP Reactivos'!CK62,'LP Reactivos'!CP62,'LP Reactivos'!CU62,'LP Reactivos'!CZ62,'LP Reactivos'!DE62,'LP Reactivos'!DJ62,'LP Reactivos'!DO62,'LP Reactivos'!DT62,'LP Reactivos'!DY62,'LP Reactivos'!EB62)," ")</f>
        <v>2230274.153627831</v>
      </c>
      <c r="H62" s="345">
        <f t="shared" si="4"/>
        <v>1073683.8765151794</v>
      </c>
      <c r="I62" s="346">
        <f t="shared" si="5"/>
        <v>0.38146362153866431</v>
      </c>
      <c r="J62" s="345">
        <f>IF(I62&lt;=10%,F62,IF(AND(I62&gt;10%,I62&lt;=20%),E62,IF(AND(I62&gt;20%,I62&lt;=40%),G62,IF(I62&gt;40%,D62))))</f>
        <v>2230274.153627831</v>
      </c>
      <c r="K62" s="344" t="str">
        <f t="shared" si="7"/>
        <v>Media Geométrica</v>
      </c>
      <c r="L62" s="326">
        <f>IFERROR(COUNTA('LP Reactivos'!F62,'LP Reactivos'!I62,'LP Reactivos'!N62,'LP Reactivos'!S62,'LP Reactivos'!X62,'LP Reactivos'!AC62,'LP Reactivos'!AH62,'LP Reactivos'!AM62,'LP Reactivos'!AR62,'LP Reactivos'!AW62,'LP Reactivos'!BB62,'LP Reactivos'!BG62,'LP Reactivos'!BL62,'LP Reactivos'!BQ62,'LP Reactivos'!BV62,'LP Reactivos'!CA62,'LP Reactivos'!CF62,'LP Reactivos'!CK62,'LP Reactivos'!CP62,'LP Reactivos'!CU62,'LP Reactivos'!CZ62,'LP Reactivos'!DE62,'LP Reactivos'!DJ62,'LP Reactivos'!DO62,'LP Reactivos'!DT62,'LP Reactivos'!DY62,'LP Reactivos'!EB62)," ")</f>
        <v>3</v>
      </c>
    </row>
    <row r="63" spans="2:12" x14ac:dyDescent="0.25">
      <c r="B63" s="425">
        <v>61</v>
      </c>
      <c r="C63" s="427" t="s">
        <v>847</v>
      </c>
      <c r="D63" s="429">
        <f>IFERROR(MIN('LP Reactivos'!F63,'LP Reactivos'!I63,'LP Reactivos'!N63,'LP Reactivos'!S63,'LP Reactivos'!X63,'LP Reactivos'!AC63,'LP Reactivos'!AH63,'LP Reactivos'!AM63,'LP Reactivos'!AR63,'LP Reactivos'!AW63,'LP Reactivos'!BB63,'LP Reactivos'!BG63,'LP Reactivos'!BL63,'LP Reactivos'!BQ63,'LP Reactivos'!BV63,'LP Reactivos'!CA63,'LP Reactivos'!CF63,'LP Reactivos'!CK63,'LP Reactivos'!CP63,'LP Reactivos'!CU63,'LP Reactivos'!CZ63,'LP Reactivos'!DE63,'LP Reactivos'!DJ63,'LP Reactivos'!DO63,'LP Reactivos'!DT63,'LP Reactivos'!DY63,'LP Reactivos'!EB63)," ")</f>
        <v>71400</v>
      </c>
      <c r="E63" s="429">
        <f>IFERROR(AVERAGE('LP Reactivos'!F63,'LP Reactivos'!I63,'LP Reactivos'!N63,'LP Reactivos'!S63,'LP Reactivos'!X63,'LP Reactivos'!AC63,'LP Reactivos'!AH63,'LP Reactivos'!AM63,'LP Reactivos'!AR63,'LP Reactivos'!AW63,'LP Reactivos'!BB63,'LP Reactivos'!BG63,'LP Reactivos'!BL63,'LP Reactivos'!BQ63,'LP Reactivos'!BV63,'LP Reactivos'!CA63,'LP Reactivos'!CF63,'LP Reactivos'!CK63,'LP Reactivos'!CP63,'LP Reactivos'!CU63,'LP Reactivos'!CZ63,'LP Reactivos'!DE63,'LP Reactivos'!DJ63,'LP Reactivos'!DO63,'LP Reactivos'!DT63,'LP Reactivos'!DY63,'LP Reactivos'!EB63)," ")</f>
        <v>585813.19999999995</v>
      </c>
      <c r="F63" s="345">
        <f>IFERROR(MEDIAN('LP Reactivos'!F63,'LP Reactivos'!I63,'LP Reactivos'!N63,'LP Reactivos'!S63,'LP Reactivos'!X63,'LP Reactivos'!AC63,'LP Reactivos'!AH63,'LP Reactivos'!AM63,'LP Reactivos'!AR63,'LP Reactivos'!AW63,'LP Reactivos'!BB63,'LP Reactivos'!BG63,'LP Reactivos'!BL63,'LP Reactivos'!BQ63,'LP Reactivos'!BV63,'LP Reactivos'!CA63,'LP Reactivos'!CF63,'LP Reactivos'!CK63,'LP Reactivos'!CP63,'LP Reactivos'!CU63,'LP Reactivos'!CZ63,'LP Reactivos'!DE63,'LP Reactivos'!DJ63,'LP Reactivos'!DO63,'LP Reactivos'!DT63,'LP Reactivos'!DY63,'LP Reactivos'!EB63)," ")</f>
        <v>571879.49</v>
      </c>
      <c r="G63" s="345">
        <f>IFERROR(GEOMEAN('LP Reactivos'!F63,'LP Reactivos'!I63,'LP Reactivos'!N63,'LP Reactivos'!S63,'LP Reactivos'!X63,'LP Reactivos'!AC63,'LP Reactivos'!AH63,'LP Reactivos'!AM63,'LP Reactivos'!AR63,'LP Reactivos'!AW63,'LP Reactivos'!BB63,'LP Reactivos'!BG63,'LP Reactivos'!BL63,'LP Reactivos'!BQ63,'LP Reactivos'!BV63,'LP Reactivos'!CA63,'LP Reactivos'!CF63,'LP Reactivos'!CK63,'LP Reactivos'!CP63,'LP Reactivos'!CU63,'LP Reactivos'!CZ63,'LP Reactivos'!DE63,'LP Reactivos'!DJ63,'LP Reactivos'!DO63,'LP Reactivos'!DT63,'LP Reactivos'!DY63,'LP Reactivos'!EB63)," ")</f>
        <v>431322.22598781937</v>
      </c>
      <c r="H63" s="345">
        <f t="shared" si="4"/>
        <v>239524.28944283028</v>
      </c>
      <c r="I63" s="346">
        <f t="shared" si="5"/>
        <v>0.40887485881647989</v>
      </c>
      <c r="J63" s="345">
        <f>IF(I63&lt;=10%,F63,IF(AND(I63&gt;10%,I63&lt;=20%),E63,IF(AND(I63&gt;20%,I63&lt;=41%),G63,IF(I63&gt;41%,D63))))</f>
        <v>431322.22598781937</v>
      </c>
      <c r="K63" s="344" t="str">
        <f t="shared" si="7"/>
        <v>Media Geométrica</v>
      </c>
      <c r="L63" s="326">
        <f>IFERROR(COUNTA('LP Reactivos'!F63,'LP Reactivos'!I63,'LP Reactivos'!N63,'LP Reactivos'!S63,'LP Reactivos'!X63,'LP Reactivos'!AC63,'LP Reactivos'!AH63,'LP Reactivos'!AM63,'LP Reactivos'!AR63,'LP Reactivos'!AW63,'LP Reactivos'!BB63,'LP Reactivos'!BG63,'LP Reactivos'!BL63,'LP Reactivos'!BQ63,'LP Reactivos'!BV63,'LP Reactivos'!CA63,'LP Reactivos'!CF63,'LP Reactivos'!CK63,'LP Reactivos'!CP63,'LP Reactivos'!CU63,'LP Reactivos'!CZ63,'LP Reactivos'!DE63,'LP Reactivos'!DJ63,'LP Reactivos'!DO63,'LP Reactivos'!DT63,'LP Reactivos'!DY63,'LP Reactivos'!EB63)," ")</f>
        <v>5</v>
      </c>
    </row>
    <row r="64" spans="2:12" x14ac:dyDescent="0.25">
      <c r="B64" s="425">
        <v>62</v>
      </c>
      <c r="C64" s="426" t="s">
        <v>850</v>
      </c>
      <c r="D64" s="429">
        <f>IFERROR(MIN('LP Reactivos'!F64,'LP Reactivos'!I64,'LP Reactivos'!N64,'LP Reactivos'!S64,'LP Reactivos'!X64,'LP Reactivos'!AC64,'LP Reactivos'!AH64,'LP Reactivos'!AM64,'LP Reactivos'!AR64,'LP Reactivos'!AW64,'LP Reactivos'!BB64,'LP Reactivos'!BG64,'LP Reactivos'!BL64,'LP Reactivos'!BQ64,'LP Reactivos'!BV64,'LP Reactivos'!CA64,'LP Reactivos'!CF64,'LP Reactivos'!CK64,'LP Reactivos'!CP64,'LP Reactivos'!CU64,'LP Reactivos'!CZ64,'LP Reactivos'!DE64,'LP Reactivos'!DJ64,'LP Reactivos'!DO64,'LP Reactivos'!DT64,'LP Reactivos'!DY64,'LP Reactivos'!EB64)," ")</f>
        <v>292740</v>
      </c>
      <c r="E64" s="429">
        <f>IFERROR(AVERAGE('LP Reactivos'!F64,'LP Reactivos'!I64,'LP Reactivos'!N64,'LP Reactivos'!S64,'LP Reactivos'!X64,'LP Reactivos'!AC64,'LP Reactivos'!AH64,'LP Reactivos'!AM64,'LP Reactivos'!AR64,'LP Reactivos'!AW64,'LP Reactivos'!BB64,'LP Reactivos'!BG64,'LP Reactivos'!BL64,'LP Reactivos'!BQ64,'LP Reactivos'!BV64,'LP Reactivos'!CA64,'LP Reactivos'!CF64,'LP Reactivos'!CK64,'LP Reactivos'!CP64,'LP Reactivos'!CU64,'LP Reactivos'!CZ64,'LP Reactivos'!DE64,'LP Reactivos'!DJ64,'LP Reactivos'!DO64,'LP Reactivos'!DT64,'LP Reactivos'!DY64,'LP Reactivos'!EB64)," ")</f>
        <v>733009.33333333337</v>
      </c>
      <c r="F64" s="345">
        <f>IFERROR(MEDIAN('LP Reactivos'!F64,'LP Reactivos'!I64,'LP Reactivos'!N64,'LP Reactivos'!S64,'LP Reactivos'!X64,'LP Reactivos'!AC64,'LP Reactivos'!AH64,'LP Reactivos'!AM64,'LP Reactivos'!AR64,'LP Reactivos'!AW64,'LP Reactivos'!BB64,'LP Reactivos'!BG64,'LP Reactivos'!BL64,'LP Reactivos'!BQ64,'LP Reactivos'!BV64,'LP Reactivos'!CA64,'LP Reactivos'!CF64,'LP Reactivos'!CK64,'LP Reactivos'!CP64,'LP Reactivos'!CU64,'LP Reactivos'!CZ64,'LP Reactivos'!DE64,'LP Reactivos'!DJ64,'LP Reactivos'!DO64,'LP Reactivos'!DT64,'LP Reactivos'!DY64,'LP Reactivos'!EB64)," ")</f>
        <v>703198</v>
      </c>
      <c r="G64" s="345">
        <f>IFERROR(GEOMEAN('LP Reactivos'!F64,'LP Reactivos'!I64,'LP Reactivos'!N64,'LP Reactivos'!S64,'LP Reactivos'!X64,'LP Reactivos'!AC64,'LP Reactivos'!AH64,'LP Reactivos'!AM64,'LP Reactivos'!AR64,'LP Reactivos'!AW64,'LP Reactivos'!BB64,'LP Reactivos'!BG64,'LP Reactivos'!BL64,'LP Reactivos'!BQ64,'LP Reactivos'!BV64,'LP Reactivos'!CA64,'LP Reactivos'!CF64,'LP Reactivos'!CK64,'LP Reactivos'!CP64,'LP Reactivos'!CU64,'LP Reactivos'!CZ64,'LP Reactivos'!DE64,'LP Reactivos'!DJ64,'LP Reactivos'!DO64,'LP Reactivos'!DT64,'LP Reactivos'!DY64,'LP Reactivos'!EB64)," ")</f>
        <v>627989.82062555652</v>
      </c>
      <c r="H64" s="345">
        <f t="shared" si="4"/>
        <v>202542.04949354604</v>
      </c>
      <c r="I64" s="346">
        <f t="shared" si="5"/>
        <v>0.27631578519265698</v>
      </c>
      <c r="J64" s="345">
        <f t="shared" si="6"/>
        <v>627989.82062555652</v>
      </c>
      <c r="K64" s="344" t="str">
        <f t="shared" si="7"/>
        <v>Media Geométrica</v>
      </c>
      <c r="L64" s="326">
        <f>IFERROR(COUNTA('LP Reactivos'!F64,'LP Reactivos'!I64,'LP Reactivos'!N64,'LP Reactivos'!S64,'LP Reactivos'!X64,'LP Reactivos'!AC64,'LP Reactivos'!AH64,'LP Reactivos'!AM64,'LP Reactivos'!AR64,'LP Reactivos'!AW64,'LP Reactivos'!BB64,'LP Reactivos'!BG64,'LP Reactivos'!BL64,'LP Reactivos'!BQ64,'LP Reactivos'!BV64,'LP Reactivos'!CA64,'LP Reactivos'!CF64,'LP Reactivos'!CK64,'LP Reactivos'!CP64,'LP Reactivos'!CU64,'LP Reactivos'!CZ64,'LP Reactivos'!DE64,'LP Reactivos'!DJ64,'LP Reactivos'!DO64,'LP Reactivos'!DT64,'LP Reactivos'!DY64,'LP Reactivos'!EB64)," ")</f>
        <v>3</v>
      </c>
    </row>
    <row r="65" spans="2:12" x14ac:dyDescent="0.25">
      <c r="B65" s="425">
        <v>63</v>
      </c>
      <c r="C65" s="426" t="s">
        <v>854</v>
      </c>
      <c r="D65" s="429">
        <f>IFERROR(MIN('LP Reactivos'!F65,'LP Reactivos'!I65,'LP Reactivos'!N65,'LP Reactivos'!S65,'LP Reactivos'!X65,'LP Reactivos'!AC65,'LP Reactivos'!AH65,'LP Reactivos'!AM65,'LP Reactivos'!AR65,'LP Reactivos'!AW65,'LP Reactivos'!BB65,'LP Reactivos'!BG65,'LP Reactivos'!BL65,'LP Reactivos'!BQ65,'LP Reactivos'!BV65,'LP Reactivos'!CA65,'LP Reactivos'!CF65,'LP Reactivos'!CK65,'LP Reactivos'!CP65,'LP Reactivos'!CU65,'LP Reactivos'!CZ65,'LP Reactivos'!DE65,'LP Reactivos'!DJ65,'LP Reactivos'!DO65,'LP Reactivos'!DT65,'LP Reactivos'!DY65,'LP Reactivos'!EB65)," ")</f>
        <v>285600</v>
      </c>
      <c r="E65" s="429">
        <f>IFERROR(AVERAGE('LP Reactivos'!F65,'LP Reactivos'!I65,'LP Reactivos'!N65,'LP Reactivos'!S65,'LP Reactivos'!X65,'LP Reactivos'!AC65,'LP Reactivos'!AH65,'LP Reactivos'!AM65,'LP Reactivos'!AR65,'LP Reactivos'!AW65,'LP Reactivos'!BB65,'LP Reactivos'!BG65,'LP Reactivos'!BL65,'LP Reactivos'!BQ65,'LP Reactivos'!BV65,'LP Reactivos'!CA65,'LP Reactivos'!CF65,'LP Reactivos'!CK65,'LP Reactivos'!CP65,'LP Reactivos'!CU65,'LP Reactivos'!CZ65,'LP Reactivos'!DE65,'LP Reactivos'!DJ65,'LP Reactivos'!DO65,'LP Reactivos'!DT65,'LP Reactivos'!DY65,'LP Reactivos'!EB65)," ")</f>
        <v>449324.95</v>
      </c>
      <c r="F65" s="345">
        <f>IFERROR(MEDIAN('LP Reactivos'!F65,'LP Reactivos'!I65,'LP Reactivos'!N65,'LP Reactivos'!S65,'LP Reactivos'!X65,'LP Reactivos'!AC65,'LP Reactivos'!AH65,'LP Reactivos'!AM65,'LP Reactivos'!AR65,'LP Reactivos'!AW65,'LP Reactivos'!BB65,'LP Reactivos'!BG65,'LP Reactivos'!BL65,'LP Reactivos'!BQ65,'LP Reactivos'!BV65,'LP Reactivos'!CA65,'LP Reactivos'!CF65,'LP Reactivos'!CK65,'LP Reactivos'!CP65,'LP Reactivos'!CU65,'LP Reactivos'!CZ65,'LP Reactivos'!DE65,'LP Reactivos'!DJ65,'LP Reactivos'!DO65,'LP Reactivos'!DT65,'LP Reactivos'!DY65,'LP Reactivos'!EB65)," ")</f>
        <v>462148.4</v>
      </c>
      <c r="G65" s="345">
        <f>IFERROR(GEOMEAN('LP Reactivos'!F65,'LP Reactivos'!I65,'LP Reactivos'!N65,'LP Reactivos'!S65,'LP Reactivos'!X65,'LP Reactivos'!AC65,'LP Reactivos'!AH65,'LP Reactivos'!AM65,'LP Reactivos'!AR65,'LP Reactivos'!AW65,'LP Reactivos'!BB65,'LP Reactivos'!BG65,'LP Reactivos'!BL65,'LP Reactivos'!BQ65,'LP Reactivos'!BV65,'LP Reactivos'!CA65,'LP Reactivos'!CF65,'LP Reactivos'!CK65,'LP Reactivos'!CP65,'LP Reactivos'!CU65,'LP Reactivos'!CZ65,'LP Reactivos'!DE65,'LP Reactivos'!DJ65,'LP Reactivos'!DO65,'LP Reactivos'!DT65,'LP Reactivos'!DY65,'LP Reactivos'!EB65)," ")</f>
        <v>434440.23475811206</v>
      </c>
      <c r="H65" s="345">
        <f t="shared" si="4"/>
        <v>82301.453164934181</v>
      </c>
      <c r="I65" s="346">
        <f t="shared" si="5"/>
        <v>0.18316688882941884</v>
      </c>
      <c r="J65" s="345">
        <f t="shared" si="6"/>
        <v>449324.95</v>
      </c>
      <c r="K65" s="344" t="str">
        <f t="shared" si="7"/>
        <v>Promedio</v>
      </c>
      <c r="L65" s="326">
        <f>IFERROR(COUNTA('LP Reactivos'!F65,'LP Reactivos'!I65,'LP Reactivos'!N65,'LP Reactivos'!S65,'LP Reactivos'!X65,'LP Reactivos'!AC65,'LP Reactivos'!AH65,'LP Reactivos'!AM65,'LP Reactivos'!AR65,'LP Reactivos'!AW65,'LP Reactivos'!BB65,'LP Reactivos'!BG65,'LP Reactivos'!BL65,'LP Reactivos'!BQ65,'LP Reactivos'!BV65,'LP Reactivos'!CA65,'LP Reactivos'!CF65,'LP Reactivos'!CK65,'LP Reactivos'!CP65,'LP Reactivos'!CU65,'LP Reactivos'!CZ65,'LP Reactivos'!DE65,'LP Reactivos'!DJ65,'LP Reactivos'!DO65,'LP Reactivos'!DT65,'LP Reactivos'!DY65,'LP Reactivos'!EB65)," ")</f>
        <v>4</v>
      </c>
    </row>
    <row r="66" spans="2:12" x14ac:dyDescent="0.25">
      <c r="B66" s="425">
        <v>64</v>
      </c>
      <c r="C66" s="426" t="s">
        <v>857</v>
      </c>
      <c r="D66" s="429">
        <f>IFERROR(MIN('LP Reactivos'!F66,'LP Reactivos'!I66,'LP Reactivos'!N66,'LP Reactivos'!S66,'LP Reactivos'!X66,'LP Reactivos'!AC66,'LP Reactivos'!AH66,'LP Reactivos'!AM66,'LP Reactivos'!AR66,'LP Reactivos'!AW66,'LP Reactivos'!BB66,'LP Reactivos'!BG66,'LP Reactivos'!BL66,'LP Reactivos'!BQ66,'LP Reactivos'!BV66,'LP Reactivos'!CA66,'LP Reactivos'!CF66,'LP Reactivos'!CK66,'LP Reactivos'!CP66,'LP Reactivos'!CU66,'LP Reactivos'!CZ66,'LP Reactivos'!DE66,'LP Reactivos'!DJ66,'LP Reactivos'!DO66,'LP Reactivos'!DT66,'LP Reactivos'!DY66,'LP Reactivos'!EB66)," ")</f>
        <v>215390</v>
      </c>
      <c r="E66" s="429">
        <f>IFERROR(AVERAGE('LP Reactivos'!F66,'LP Reactivos'!I66,'LP Reactivos'!N66,'LP Reactivos'!S66,'LP Reactivos'!X66,'LP Reactivos'!AC66,'LP Reactivos'!AH66,'LP Reactivos'!AM66,'LP Reactivos'!AR66,'LP Reactivos'!AW66,'LP Reactivos'!BB66,'LP Reactivos'!BG66,'LP Reactivos'!BL66,'LP Reactivos'!BQ66,'LP Reactivos'!BV66,'LP Reactivos'!CA66,'LP Reactivos'!CF66,'LP Reactivos'!CK66,'LP Reactivos'!CP66,'LP Reactivos'!CU66,'LP Reactivos'!CZ66,'LP Reactivos'!DE66,'LP Reactivos'!DJ66,'LP Reactivos'!DO66,'LP Reactivos'!DT66,'LP Reactivos'!DY66,'LP Reactivos'!EB66)," ")</f>
        <v>389292.77500000002</v>
      </c>
      <c r="F66" s="345">
        <f>IFERROR(MEDIAN('LP Reactivos'!F66,'LP Reactivos'!I66,'LP Reactivos'!N66,'LP Reactivos'!S66,'LP Reactivos'!X66,'LP Reactivos'!AC66,'LP Reactivos'!AH66,'LP Reactivos'!AM66,'LP Reactivos'!AR66,'LP Reactivos'!AW66,'LP Reactivos'!BB66,'LP Reactivos'!BG66,'LP Reactivos'!BL66,'LP Reactivos'!BQ66,'LP Reactivos'!BV66,'LP Reactivos'!CA66,'LP Reactivos'!CF66,'LP Reactivos'!CK66,'LP Reactivos'!CP66,'LP Reactivos'!CU66,'LP Reactivos'!CZ66,'LP Reactivos'!DE66,'LP Reactivos'!DJ66,'LP Reactivos'!DO66,'LP Reactivos'!DT66,'LP Reactivos'!DY66,'LP Reactivos'!EB66)," ")</f>
        <v>384483.05</v>
      </c>
      <c r="G66" s="345">
        <f>IFERROR(GEOMEAN('LP Reactivos'!F66,'LP Reactivos'!I66,'LP Reactivos'!N66,'LP Reactivos'!S66,'LP Reactivos'!X66,'LP Reactivos'!AC66,'LP Reactivos'!AH66,'LP Reactivos'!AM66,'LP Reactivos'!AR66,'LP Reactivos'!AW66,'LP Reactivos'!BB66,'LP Reactivos'!BG66,'LP Reactivos'!BL66,'LP Reactivos'!BQ66,'LP Reactivos'!BV66,'LP Reactivos'!CA66,'LP Reactivos'!CF66,'LP Reactivos'!CK66,'LP Reactivos'!CP66,'LP Reactivos'!CU66,'LP Reactivos'!CZ66,'LP Reactivos'!DE66,'LP Reactivos'!DJ66,'LP Reactivos'!DO66,'LP Reactivos'!DT66,'LP Reactivos'!DY66,'LP Reactivos'!EB66)," ")</f>
        <v>365847.07589381753</v>
      </c>
      <c r="H66" s="345">
        <f t="shared" si="4"/>
        <v>82861.380323586855</v>
      </c>
      <c r="I66" s="346">
        <f t="shared" si="5"/>
        <v>0.21285106132161546</v>
      </c>
      <c r="J66" s="345">
        <f t="shared" si="6"/>
        <v>365847.07589381753</v>
      </c>
      <c r="K66" s="344" t="str">
        <f t="shared" si="7"/>
        <v>Media Geométrica</v>
      </c>
      <c r="L66" s="326">
        <f>IFERROR(COUNTA('LP Reactivos'!F66,'LP Reactivos'!I66,'LP Reactivos'!N66,'LP Reactivos'!S66,'LP Reactivos'!X66,'LP Reactivos'!AC66,'LP Reactivos'!AH66,'LP Reactivos'!AM66,'LP Reactivos'!AR66,'LP Reactivos'!AW66,'LP Reactivos'!BB66,'LP Reactivos'!BG66,'LP Reactivos'!BL66,'LP Reactivos'!BQ66,'LP Reactivos'!BV66,'LP Reactivos'!CA66,'LP Reactivos'!CF66,'LP Reactivos'!CK66,'LP Reactivos'!CP66,'LP Reactivos'!CU66,'LP Reactivos'!CZ66,'LP Reactivos'!DE66,'LP Reactivos'!DJ66,'LP Reactivos'!DO66,'LP Reactivos'!DT66,'LP Reactivos'!DY66,'LP Reactivos'!EB66)," ")</f>
        <v>4</v>
      </c>
    </row>
    <row r="67" spans="2:12" x14ac:dyDescent="0.25">
      <c r="B67" s="425">
        <v>65</v>
      </c>
      <c r="C67" s="427" t="s">
        <v>859</v>
      </c>
      <c r="D67" s="429">
        <f>IFERROR(MIN('LP Reactivos'!F67,'LP Reactivos'!I67,'LP Reactivos'!N67,'LP Reactivos'!S67,'LP Reactivos'!X67,'LP Reactivos'!AC67,'LP Reactivos'!AH67,'LP Reactivos'!AM67,'LP Reactivos'!AR67,'LP Reactivos'!AW67,'LP Reactivos'!BB67,'LP Reactivos'!BG67,'LP Reactivos'!BL67,'LP Reactivos'!BQ67,'LP Reactivos'!BV67,'LP Reactivos'!CA67,'LP Reactivos'!CF67,'LP Reactivos'!CK67,'LP Reactivos'!CP67,'LP Reactivos'!CU67,'LP Reactivos'!CZ67,'LP Reactivos'!DE67,'LP Reactivos'!DJ67,'LP Reactivos'!DO67,'LP Reactivos'!DT67,'LP Reactivos'!DY67,'LP Reactivos'!EB67)," ")</f>
        <v>2142000</v>
      </c>
      <c r="E67" s="429">
        <f>IFERROR(AVERAGE('LP Reactivos'!F67,'LP Reactivos'!I67,'LP Reactivos'!N67,'LP Reactivos'!S67,'LP Reactivos'!X67,'LP Reactivos'!AC67,'LP Reactivos'!AH67,'LP Reactivos'!AM67,'LP Reactivos'!AR67,'LP Reactivos'!AW67,'LP Reactivos'!BB67,'LP Reactivos'!BG67,'LP Reactivos'!BL67,'LP Reactivos'!BQ67,'LP Reactivos'!BV67,'LP Reactivos'!CA67,'LP Reactivos'!CF67,'LP Reactivos'!CK67,'LP Reactivos'!CP67,'LP Reactivos'!CU67,'LP Reactivos'!CZ67,'LP Reactivos'!DE67,'LP Reactivos'!DJ67,'LP Reactivos'!DO67,'LP Reactivos'!DT67,'LP Reactivos'!DY67,'LP Reactivos'!EB67)," ")</f>
        <v>4448252.0492000002</v>
      </c>
      <c r="F67" s="345">
        <f>IFERROR(MEDIAN('LP Reactivos'!F67,'LP Reactivos'!I67,'LP Reactivos'!N67,'LP Reactivos'!S67,'LP Reactivos'!X67,'LP Reactivos'!AC67,'LP Reactivos'!AH67,'LP Reactivos'!AM67,'LP Reactivos'!AR67,'LP Reactivos'!AW67,'LP Reactivos'!BB67,'LP Reactivos'!BG67,'LP Reactivos'!BL67,'LP Reactivos'!BQ67,'LP Reactivos'!BV67,'LP Reactivos'!CA67,'LP Reactivos'!CF67,'LP Reactivos'!CK67,'LP Reactivos'!CP67,'LP Reactivos'!CU67,'LP Reactivos'!CZ67,'LP Reactivos'!DE67,'LP Reactivos'!DJ67,'LP Reactivos'!DO67,'LP Reactivos'!DT67,'LP Reactivos'!DY67,'LP Reactivos'!EB67)," ")</f>
        <v>4059923</v>
      </c>
      <c r="G67" s="345">
        <f>IFERROR(GEOMEAN('LP Reactivos'!F67,'LP Reactivos'!I67,'LP Reactivos'!N67,'LP Reactivos'!S67,'LP Reactivos'!X67,'LP Reactivos'!AC67,'LP Reactivos'!AH67,'LP Reactivos'!AM67,'LP Reactivos'!AR67,'LP Reactivos'!AW67,'LP Reactivos'!BB67,'LP Reactivos'!BG67,'LP Reactivos'!BL67,'LP Reactivos'!BQ67,'LP Reactivos'!BV67,'LP Reactivos'!CA67,'LP Reactivos'!CF67,'LP Reactivos'!CK67,'LP Reactivos'!CP67,'LP Reactivos'!CU67,'LP Reactivos'!CZ67,'LP Reactivos'!DE67,'LP Reactivos'!DJ67,'LP Reactivos'!DO67,'LP Reactivos'!DT67,'LP Reactivos'!DY67,'LP Reactivos'!EB67)," ")</f>
        <v>4146757.5335321319</v>
      </c>
      <c r="H67" s="345">
        <f t="shared" si="4"/>
        <v>1051408.5213919068</v>
      </c>
      <c r="I67" s="346">
        <f t="shared" si="5"/>
        <v>0.2363644212968998</v>
      </c>
      <c r="J67" s="345">
        <f t="shared" si="6"/>
        <v>4146757.5335321319</v>
      </c>
      <c r="K67" s="344" t="str">
        <f t="shared" si="7"/>
        <v>Media Geométrica</v>
      </c>
      <c r="L67" s="326">
        <f>IFERROR(COUNTA('LP Reactivos'!F67,'LP Reactivos'!I67,'LP Reactivos'!N67,'LP Reactivos'!S67,'LP Reactivos'!X67,'LP Reactivos'!AC67,'LP Reactivos'!AH67,'LP Reactivos'!AM67,'LP Reactivos'!AR67,'LP Reactivos'!AW67,'LP Reactivos'!BB67,'LP Reactivos'!BG67,'LP Reactivos'!BL67,'LP Reactivos'!BQ67,'LP Reactivos'!BV67,'LP Reactivos'!CA67,'LP Reactivos'!CF67,'LP Reactivos'!CK67,'LP Reactivos'!CP67,'LP Reactivos'!CU67,'LP Reactivos'!CZ67,'LP Reactivos'!DE67,'LP Reactivos'!DJ67,'LP Reactivos'!DO67,'LP Reactivos'!DT67,'LP Reactivos'!DY67,'LP Reactivos'!EB67)," ")</f>
        <v>5</v>
      </c>
    </row>
    <row r="68" spans="2:12" ht="27" x14ac:dyDescent="0.25">
      <c r="B68" s="425">
        <v>66</v>
      </c>
      <c r="C68" s="427" t="s">
        <v>867</v>
      </c>
      <c r="D68" s="429">
        <f>IFERROR(MIN('LP Reactivos'!F68,'LP Reactivos'!I68,'LP Reactivos'!N68,'LP Reactivos'!S68,'LP Reactivos'!X68,'LP Reactivos'!AC68,'LP Reactivos'!AH68,'LP Reactivos'!AM68,'LP Reactivos'!AR68,'LP Reactivos'!AW68,'LP Reactivos'!BB68,'LP Reactivos'!BG68,'LP Reactivos'!BL68,'LP Reactivos'!BQ68,'LP Reactivos'!BV68,'LP Reactivos'!CA68,'LP Reactivos'!CF68,'LP Reactivos'!CK68,'LP Reactivos'!CP68,'LP Reactivos'!CU68,'LP Reactivos'!CZ68,'LP Reactivos'!DE68,'LP Reactivos'!DJ68,'LP Reactivos'!DO68,'LP Reactivos'!DT68,'LP Reactivos'!DY68,'LP Reactivos'!EB68)," ")</f>
        <v>1384061.5347999998</v>
      </c>
      <c r="E68" s="429">
        <f>IFERROR(AVERAGE('LP Reactivos'!F68,'LP Reactivos'!I68,'LP Reactivos'!N68,'LP Reactivos'!S68,'LP Reactivos'!X68,'LP Reactivos'!AC68,'LP Reactivos'!AH68,'LP Reactivos'!AM68,'LP Reactivos'!AR68,'LP Reactivos'!AW68,'LP Reactivos'!BB68,'LP Reactivos'!BG68,'LP Reactivos'!BL68,'LP Reactivos'!BQ68,'LP Reactivos'!BV68,'LP Reactivos'!CA68,'LP Reactivos'!CF68,'LP Reactivos'!CK68,'LP Reactivos'!CP68,'LP Reactivos'!CU68,'LP Reactivos'!CZ68,'LP Reactivos'!DE68,'LP Reactivos'!DJ68,'LP Reactivos'!DO68,'LP Reactivos'!DT68,'LP Reactivos'!DY68,'LP Reactivos'!EB68)," ")</f>
        <v>1661537.5889333331</v>
      </c>
      <c r="F68" s="345">
        <f>IFERROR(MEDIAN('LP Reactivos'!F68,'LP Reactivos'!I68,'LP Reactivos'!N68,'LP Reactivos'!S68,'LP Reactivos'!X68,'LP Reactivos'!AC68,'LP Reactivos'!AH68,'LP Reactivos'!AM68,'LP Reactivos'!AR68,'LP Reactivos'!AW68,'LP Reactivos'!BB68,'LP Reactivos'!BG68,'LP Reactivos'!BL68,'LP Reactivos'!BQ68,'LP Reactivos'!BV68,'LP Reactivos'!CA68,'LP Reactivos'!CF68,'LP Reactivos'!CK68,'LP Reactivos'!CP68,'LP Reactivos'!CU68,'LP Reactivos'!CZ68,'LP Reactivos'!DE68,'LP Reactivos'!DJ68,'LP Reactivos'!DO68,'LP Reactivos'!DT68,'LP Reactivos'!DY68,'LP Reactivos'!EB68)," ")</f>
        <v>1563556.2320000001</v>
      </c>
      <c r="G68" s="345">
        <f>IFERROR(GEOMEAN('LP Reactivos'!F68,'LP Reactivos'!I68,'LP Reactivos'!N68,'LP Reactivos'!S68,'LP Reactivos'!X68,'LP Reactivos'!AC68,'LP Reactivos'!AH68,'LP Reactivos'!AM68,'LP Reactivos'!AR68,'LP Reactivos'!AW68,'LP Reactivos'!BB68,'LP Reactivos'!BG68,'LP Reactivos'!BL68,'LP Reactivos'!BQ68,'LP Reactivos'!BV68,'LP Reactivos'!CA68,'LP Reactivos'!CF68,'LP Reactivos'!CK68,'LP Reactivos'!CP68,'LP Reactivos'!CU68,'LP Reactivos'!CZ68,'LP Reactivos'!DE68,'LP Reactivos'!DJ68,'LP Reactivos'!DO68,'LP Reactivos'!DT68,'LP Reactivos'!DY68,'LP Reactivos'!EB68)," ")</f>
        <v>1639656.8044922228</v>
      </c>
      <c r="H68" s="345">
        <f t="shared" si="4"/>
        <v>125966.48396738453</v>
      </c>
      <c r="I68" s="346">
        <f t="shared" si="5"/>
        <v>7.5813201462539268E-2</v>
      </c>
      <c r="J68" s="345">
        <f t="shared" si="6"/>
        <v>1563556.2320000001</v>
      </c>
      <c r="K68" s="344" t="str">
        <f t="shared" si="7"/>
        <v>Mediana</v>
      </c>
      <c r="L68" s="326">
        <f>IFERROR(COUNTA('LP Reactivos'!F68,'LP Reactivos'!I68,'LP Reactivos'!N68,'LP Reactivos'!S68,'LP Reactivos'!X68,'LP Reactivos'!AC68,'LP Reactivos'!AH68,'LP Reactivos'!AM68,'LP Reactivos'!AR68,'LP Reactivos'!AW68,'LP Reactivos'!BB68,'LP Reactivos'!BG68,'LP Reactivos'!BL68,'LP Reactivos'!BQ68,'LP Reactivos'!BV68,'LP Reactivos'!CA68,'LP Reactivos'!CF68,'LP Reactivos'!CK68,'LP Reactivos'!CP68,'LP Reactivos'!CU68,'LP Reactivos'!CZ68,'LP Reactivos'!DE68,'LP Reactivos'!DJ68,'LP Reactivos'!DO68,'LP Reactivos'!DT68,'LP Reactivos'!DY68,'LP Reactivos'!EB68)," ")</f>
        <v>3</v>
      </c>
    </row>
    <row r="69" spans="2:12" x14ac:dyDescent="0.25">
      <c r="B69" s="425">
        <v>67</v>
      </c>
      <c r="C69" s="427" t="s">
        <v>873</v>
      </c>
      <c r="D69" s="429">
        <f>IFERROR(MIN('LP Reactivos'!F69,'LP Reactivos'!I69,'LP Reactivos'!N69,'LP Reactivos'!S69,'LP Reactivos'!X69,'LP Reactivos'!AC69,'LP Reactivos'!AH69,'LP Reactivos'!AM69,'LP Reactivos'!AR69,'LP Reactivos'!AW69,'LP Reactivos'!BB69,'LP Reactivos'!BG69,'LP Reactivos'!BL69,'LP Reactivos'!BQ69,'LP Reactivos'!BV69,'LP Reactivos'!CA69,'LP Reactivos'!CF69,'LP Reactivos'!CK69,'LP Reactivos'!CP69,'LP Reactivos'!CU69,'LP Reactivos'!CZ69,'LP Reactivos'!DE69,'LP Reactivos'!DJ69,'LP Reactivos'!DO69,'LP Reactivos'!DT69,'LP Reactivos'!DY69,'LP Reactivos'!EB69)," ")</f>
        <v>239194.76</v>
      </c>
      <c r="E69" s="429">
        <f>IFERROR(AVERAGE('LP Reactivos'!F69,'LP Reactivos'!I69,'LP Reactivos'!N69,'LP Reactivos'!S69,'LP Reactivos'!X69,'LP Reactivos'!AC69,'LP Reactivos'!AH69,'LP Reactivos'!AM69,'LP Reactivos'!AR69,'LP Reactivos'!AW69,'LP Reactivos'!BB69,'LP Reactivos'!BG69,'LP Reactivos'!BL69,'LP Reactivos'!BQ69,'LP Reactivos'!BV69,'LP Reactivos'!CA69,'LP Reactivos'!CF69,'LP Reactivos'!CK69,'LP Reactivos'!CP69,'LP Reactivos'!CU69,'LP Reactivos'!CZ69,'LP Reactivos'!DE69,'LP Reactivos'!DJ69,'LP Reactivos'!DO69,'LP Reactivos'!DT69,'LP Reactivos'!DY69,'LP Reactivos'!EB69)," ")</f>
        <v>500855.07184999995</v>
      </c>
      <c r="F69" s="345">
        <f>IFERROR(MEDIAN('LP Reactivos'!F69,'LP Reactivos'!I69,'LP Reactivos'!N69,'LP Reactivos'!S69,'LP Reactivos'!X69,'LP Reactivos'!AC69,'LP Reactivos'!AH69,'LP Reactivos'!AM69,'LP Reactivos'!AR69,'LP Reactivos'!AW69,'LP Reactivos'!BB69,'LP Reactivos'!BG69,'LP Reactivos'!BL69,'LP Reactivos'!BQ69,'LP Reactivos'!BV69,'LP Reactivos'!CA69,'LP Reactivos'!CF69,'LP Reactivos'!CK69,'LP Reactivos'!CP69,'LP Reactivos'!CU69,'LP Reactivos'!CZ69,'LP Reactivos'!DE69,'LP Reactivos'!DJ69,'LP Reactivos'!DO69,'LP Reactivos'!DT69,'LP Reactivos'!DY69,'LP Reactivos'!EB69)," ")</f>
        <v>500855.07184999995</v>
      </c>
      <c r="G69" s="345">
        <f>IFERROR(GEOMEAN('LP Reactivos'!F69,'LP Reactivos'!I69,'LP Reactivos'!N69,'LP Reactivos'!S69,'LP Reactivos'!X69,'LP Reactivos'!AC69,'LP Reactivos'!AH69,'LP Reactivos'!AM69,'LP Reactivos'!AR69,'LP Reactivos'!AW69,'LP Reactivos'!BB69,'LP Reactivos'!BG69,'LP Reactivos'!BL69,'LP Reactivos'!BQ69,'LP Reactivos'!BV69,'LP Reactivos'!CA69,'LP Reactivos'!CF69,'LP Reactivos'!CK69,'LP Reactivos'!CP69,'LP Reactivos'!CU69,'LP Reactivos'!CZ69,'LP Reactivos'!DE69,'LP Reactivos'!DJ69,'LP Reactivos'!DO69,'LP Reactivos'!DT69,'LP Reactivos'!DY69,'LP Reactivos'!EB69)," ")</f>
        <v>427071.05287109938</v>
      </c>
      <c r="H69" s="345">
        <f t="shared" si="4"/>
        <v>123530.66486073496</v>
      </c>
      <c r="I69" s="346">
        <f t="shared" si="5"/>
        <v>0.2466395406648311</v>
      </c>
      <c r="J69" s="345">
        <f t="shared" si="6"/>
        <v>427071.05287109938</v>
      </c>
      <c r="K69" s="344" t="str">
        <f t="shared" si="7"/>
        <v>Media Geométrica</v>
      </c>
      <c r="L69" s="326">
        <f>IFERROR(COUNTA('LP Reactivos'!F69,'LP Reactivos'!I69,'LP Reactivos'!N69,'LP Reactivos'!S69,'LP Reactivos'!X69,'LP Reactivos'!AC69,'LP Reactivos'!AH69,'LP Reactivos'!AM69,'LP Reactivos'!AR69,'LP Reactivos'!AW69,'LP Reactivos'!BB69,'LP Reactivos'!BG69,'LP Reactivos'!BL69,'LP Reactivos'!BQ69,'LP Reactivos'!BV69,'LP Reactivos'!CA69,'LP Reactivos'!CF69,'LP Reactivos'!CK69,'LP Reactivos'!CP69,'LP Reactivos'!CU69,'LP Reactivos'!CZ69,'LP Reactivos'!DE69,'LP Reactivos'!DJ69,'LP Reactivos'!DO69,'LP Reactivos'!DT69,'LP Reactivos'!DY69,'LP Reactivos'!EB69)," ")</f>
        <v>2</v>
      </c>
    </row>
    <row r="70" spans="2:12" x14ac:dyDescent="0.25">
      <c r="B70" s="425">
        <v>68</v>
      </c>
      <c r="C70" s="427" t="s">
        <v>879</v>
      </c>
      <c r="D70" s="429">
        <f>IFERROR(MIN('LP Reactivos'!F70,'LP Reactivos'!I70,'LP Reactivos'!N70,'LP Reactivos'!S70,'LP Reactivos'!X70,'LP Reactivos'!AC70,'LP Reactivos'!AH70,'LP Reactivos'!AM70,'LP Reactivos'!AR70,'LP Reactivos'!AW70,'LP Reactivos'!BB70,'LP Reactivos'!BG70,'LP Reactivos'!BL70,'LP Reactivos'!BQ70,'LP Reactivos'!BV70,'LP Reactivos'!CA70,'LP Reactivos'!CF70,'LP Reactivos'!CK70,'LP Reactivos'!CP70,'LP Reactivos'!CU70,'LP Reactivos'!CZ70,'LP Reactivos'!DE70,'LP Reactivos'!DJ70,'LP Reactivos'!DO70,'LP Reactivos'!DT70,'LP Reactivos'!DY70,'LP Reactivos'!EB70)," ")</f>
        <v>113817.1682</v>
      </c>
      <c r="E70" s="429">
        <f>IFERROR(AVERAGE('LP Reactivos'!F70,'LP Reactivos'!I70,'LP Reactivos'!N70,'LP Reactivos'!S70,'LP Reactivos'!X70,'LP Reactivos'!AC70,'LP Reactivos'!AH70,'LP Reactivos'!AM70,'LP Reactivos'!AR70,'LP Reactivos'!AW70,'LP Reactivos'!BB70,'LP Reactivos'!BG70,'LP Reactivos'!BL70,'LP Reactivos'!BQ70,'LP Reactivos'!BV70,'LP Reactivos'!CA70,'LP Reactivos'!CF70,'LP Reactivos'!CK70,'LP Reactivos'!CP70,'LP Reactivos'!CU70,'LP Reactivos'!CZ70,'LP Reactivos'!DE70,'LP Reactivos'!DJ70,'LP Reactivos'!DO70,'LP Reactivos'!DT70,'LP Reactivos'!DY70,'LP Reactivos'!EB70)," ")</f>
        <v>113817.1682</v>
      </c>
      <c r="F70" s="345">
        <f>IFERROR(MEDIAN('LP Reactivos'!F70,'LP Reactivos'!I70,'LP Reactivos'!N70,'LP Reactivos'!S70,'LP Reactivos'!X70,'LP Reactivos'!AC70,'LP Reactivos'!AH70,'LP Reactivos'!AM70,'LP Reactivos'!AR70,'LP Reactivos'!AW70,'LP Reactivos'!BB70,'LP Reactivos'!BG70,'LP Reactivos'!BL70,'LP Reactivos'!BQ70,'LP Reactivos'!BV70,'LP Reactivos'!CA70,'LP Reactivos'!CF70,'LP Reactivos'!CK70,'LP Reactivos'!CP70,'LP Reactivos'!CU70,'LP Reactivos'!CZ70,'LP Reactivos'!DE70,'LP Reactivos'!DJ70,'LP Reactivos'!DO70,'LP Reactivos'!DT70,'LP Reactivos'!DY70,'LP Reactivos'!EB70)," ")</f>
        <v>113817.1682</v>
      </c>
      <c r="G70" s="345">
        <f>IFERROR(GEOMEAN('LP Reactivos'!F70,'LP Reactivos'!I70,'LP Reactivos'!N70,'LP Reactivos'!S70,'LP Reactivos'!X70,'LP Reactivos'!AC70,'LP Reactivos'!AH70,'LP Reactivos'!AM70,'LP Reactivos'!AR70,'LP Reactivos'!AW70,'LP Reactivos'!BB70,'LP Reactivos'!BG70,'LP Reactivos'!BL70,'LP Reactivos'!BQ70,'LP Reactivos'!BV70,'LP Reactivos'!CA70,'LP Reactivos'!CF70,'LP Reactivos'!CK70,'LP Reactivos'!CP70,'LP Reactivos'!CU70,'LP Reactivos'!CZ70,'LP Reactivos'!DE70,'LP Reactivos'!DJ70,'LP Reactivos'!DO70,'LP Reactivos'!DT70,'LP Reactivos'!DY70,'LP Reactivos'!EB70)," ")</f>
        <v>113817.1682</v>
      </c>
      <c r="H70" s="345">
        <f t="shared" si="4"/>
        <v>0</v>
      </c>
      <c r="I70" s="346">
        <f t="shared" si="5"/>
        <v>0</v>
      </c>
      <c r="J70" s="345">
        <f t="shared" si="6"/>
        <v>113817.1682</v>
      </c>
      <c r="K70" s="344" t="str">
        <f t="shared" si="7"/>
        <v>Menor Valor</v>
      </c>
      <c r="L70" s="326">
        <f>IFERROR(COUNTA('LP Reactivos'!F70,'LP Reactivos'!I70,'LP Reactivos'!N70,'LP Reactivos'!S70,'LP Reactivos'!X70,'LP Reactivos'!AC70,'LP Reactivos'!AH70,'LP Reactivos'!AM70,'LP Reactivos'!AR70,'LP Reactivos'!AW70,'LP Reactivos'!BB70,'LP Reactivos'!BG70,'LP Reactivos'!BL70,'LP Reactivos'!BQ70,'LP Reactivos'!BV70,'LP Reactivos'!CA70,'LP Reactivos'!CF70,'LP Reactivos'!CK70,'LP Reactivos'!CP70,'LP Reactivos'!CU70,'LP Reactivos'!CZ70,'LP Reactivos'!DE70,'LP Reactivos'!DJ70,'LP Reactivos'!DO70,'LP Reactivos'!DT70,'LP Reactivos'!DY70,'LP Reactivos'!EB70)," ")</f>
        <v>1</v>
      </c>
    </row>
    <row r="71" spans="2:12" x14ac:dyDescent="0.25">
      <c r="B71" s="425">
        <v>69</v>
      </c>
      <c r="C71" s="427" t="s">
        <v>882</v>
      </c>
      <c r="D71" s="429">
        <f>IFERROR(MIN('LP Reactivos'!F71,'LP Reactivos'!I71,'LP Reactivos'!N71,'LP Reactivos'!S71,'LP Reactivos'!X71,'LP Reactivos'!AC71,'LP Reactivos'!AH71,'LP Reactivos'!AM71,'LP Reactivos'!AR71,'LP Reactivos'!AW71,'LP Reactivos'!BB71,'LP Reactivos'!BG71,'LP Reactivos'!BL71,'LP Reactivos'!BQ71,'LP Reactivos'!BV71,'LP Reactivos'!CA71,'LP Reactivos'!CF71,'LP Reactivos'!CK71,'LP Reactivos'!CP71,'LP Reactivos'!CU71,'LP Reactivos'!CZ71,'LP Reactivos'!DE71,'LP Reactivos'!DJ71,'LP Reactivos'!DO71,'LP Reactivos'!DT71,'LP Reactivos'!DY71,'LP Reactivos'!EB71)," ")</f>
        <v>166600</v>
      </c>
      <c r="E71" s="429">
        <f>IFERROR(AVERAGE('LP Reactivos'!F71,'LP Reactivos'!I71,'LP Reactivos'!N71,'LP Reactivos'!S71,'LP Reactivos'!X71,'LP Reactivos'!AC71,'LP Reactivos'!AH71,'LP Reactivos'!AM71,'LP Reactivos'!AR71,'LP Reactivos'!AW71,'LP Reactivos'!BB71,'LP Reactivos'!BG71,'LP Reactivos'!BL71,'LP Reactivos'!BQ71,'LP Reactivos'!BV71,'LP Reactivos'!CA71,'LP Reactivos'!CF71,'LP Reactivos'!CK71,'LP Reactivos'!CP71,'LP Reactivos'!CU71,'LP Reactivos'!CZ71,'LP Reactivos'!DE71,'LP Reactivos'!DJ71,'LP Reactivos'!DO71,'LP Reactivos'!DT71,'LP Reactivos'!DY71,'LP Reactivos'!EB71)," ")</f>
        <v>258290.53133333335</v>
      </c>
      <c r="F71" s="345">
        <f>IFERROR(MEDIAN('LP Reactivos'!F71,'LP Reactivos'!I71,'LP Reactivos'!N71,'LP Reactivos'!S71,'LP Reactivos'!X71,'LP Reactivos'!AC71,'LP Reactivos'!AH71,'LP Reactivos'!AM71,'LP Reactivos'!AR71,'LP Reactivos'!AW71,'LP Reactivos'!BB71,'LP Reactivos'!BG71,'LP Reactivos'!BL71,'LP Reactivos'!BQ71,'LP Reactivos'!BV71,'LP Reactivos'!CA71,'LP Reactivos'!CF71,'LP Reactivos'!CK71,'LP Reactivos'!CP71,'LP Reactivos'!CU71,'LP Reactivos'!CZ71,'LP Reactivos'!DE71,'LP Reactivos'!DJ71,'LP Reactivos'!DO71,'LP Reactivos'!DT71,'LP Reactivos'!DY71,'LP Reactivos'!EB71)," ")</f>
        <v>202300</v>
      </c>
      <c r="G71" s="345">
        <f>IFERROR(GEOMEAN('LP Reactivos'!F71,'LP Reactivos'!I71,'LP Reactivos'!N71,'LP Reactivos'!S71,'LP Reactivos'!X71,'LP Reactivos'!AC71,'LP Reactivos'!AH71,'LP Reactivos'!AM71,'LP Reactivos'!AR71,'LP Reactivos'!AW71,'LP Reactivos'!BB71,'LP Reactivos'!BG71,'LP Reactivos'!BL71,'LP Reactivos'!BQ71,'LP Reactivos'!BV71,'LP Reactivos'!CA71,'LP Reactivos'!CF71,'LP Reactivos'!CK71,'LP Reactivos'!CP71,'LP Reactivos'!CU71,'LP Reactivos'!CZ71,'LP Reactivos'!DE71,'LP Reactivos'!DJ71,'LP Reactivos'!DO71,'LP Reactivos'!DT71,'LP Reactivos'!DY71,'LP Reactivos'!EB71)," ")</f>
        <v>239178.5207497224</v>
      </c>
      <c r="H71" s="345">
        <f t="shared" si="4"/>
        <v>40629.955134350195</v>
      </c>
      <c r="I71" s="346">
        <f t="shared" si="5"/>
        <v>0.15730330850539681</v>
      </c>
      <c r="J71" s="345">
        <f t="shared" si="6"/>
        <v>258290.53133333335</v>
      </c>
      <c r="K71" s="344" t="str">
        <f t="shared" si="7"/>
        <v>Promedio</v>
      </c>
      <c r="L71" s="326">
        <f>IFERROR(COUNTA('LP Reactivos'!F71,'LP Reactivos'!I71,'LP Reactivos'!N71,'LP Reactivos'!S71,'LP Reactivos'!X71,'LP Reactivos'!AC71,'LP Reactivos'!AH71,'LP Reactivos'!AM71,'LP Reactivos'!AR71,'LP Reactivos'!AW71,'LP Reactivos'!BB71,'LP Reactivos'!BG71,'LP Reactivos'!BL71,'LP Reactivos'!BQ71,'LP Reactivos'!BV71,'LP Reactivos'!CA71,'LP Reactivos'!CF71,'LP Reactivos'!CK71,'LP Reactivos'!CP71,'LP Reactivos'!CU71,'LP Reactivos'!CZ71,'LP Reactivos'!DE71,'LP Reactivos'!DJ71,'LP Reactivos'!DO71,'LP Reactivos'!DT71,'LP Reactivos'!DY71,'LP Reactivos'!EB71)," ")</f>
        <v>3</v>
      </c>
    </row>
    <row r="72" spans="2:12" ht="54" x14ac:dyDescent="0.25">
      <c r="B72" s="425">
        <v>70</v>
      </c>
      <c r="C72" s="426" t="s">
        <v>884</v>
      </c>
      <c r="D72" s="429">
        <f>IFERROR(MIN('LP Reactivos'!F72,'LP Reactivos'!I72,'LP Reactivos'!N72,'LP Reactivos'!S72,'LP Reactivos'!X72,'LP Reactivos'!AC72,'LP Reactivos'!AH72,'LP Reactivos'!AM72,'LP Reactivos'!AR72,'LP Reactivos'!AW72,'LP Reactivos'!BB72,'LP Reactivos'!BG72,'LP Reactivos'!BL72,'LP Reactivos'!BQ72,'LP Reactivos'!BV72,'LP Reactivos'!CA72,'LP Reactivos'!CF72,'LP Reactivos'!CK72,'LP Reactivos'!CP72,'LP Reactivos'!CU72,'LP Reactivos'!CZ72,'LP Reactivos'!DE72,'LP Reactivos'!DJ72,'LP Reactivos'!DO72,'LP Reactivos'!DT72,'LP Reactivos'!DY72,'LP Reactivos'!EB72)," ")</f>
        <v>603925</v>
      </c>
      <c r="E72" s="429">
        <f>IFERROR(AVERAGE('LP Reactivos'!F72,'LP Reactivos'!I72,'LP Reactivos'!N72,'LP Reactivos'!S72,'LP Reactivos'!X72,'LP Reactivos'!AC72,'LP Reactivos'!AH72,'LP Reactivos'!AM72,'LP Reactivos'!AR72,'LP Reactivos'!AW72,'LP Reactivos'!BB72,'LP Reactivos'!BG72,'LP Reactivos'!BL72,'LP Reactivos'!BQ72,'LP Reactivos'!BV72,'LP Reactivos'!CA72,'LP Reactivos'!CF72,'LP Reactivos'!CK72,'LP Reactivos'!CP72,'LP Reactivos'!CU72,'LP Reactivos'!CZ72,'LP Reactivos'!DE72,'LP Reactivos'!DJ72,'LP Reactivos'!DO72,'LP Reactivos'!DT72,'LP Reactivos'!DY72,'LP Reactivos'!EB72)," ")</f>
        <v>661429.60800000001</v>
      </c>
      <c r="F72" s="345">
        <f>IFERROR(MEDIAN('LP Reactivos'!F72,'LP Reactivos'!I72,'LP Reactivos'!N72,'LP Reactivos'!S72,'LP Reactivos'!X72,'LP Reactivos'!AC72,'LP Reactivos'!AH72,'LP Reactivos'!AM72,'LP Reactivos'!AR72,'LP Reactivos'!AW72,'LP Reactivos'!BB72,'LP Reactivos'!BG72,'LP Reactivos'!BL72,'LP Reactivos'!BQ72,'LP Reactivos'!BV72,'LP Reactivos'!CA72,'LP Reactivos'!CF72,'LP Reactivos'!CK72,'LP Reactivos'!CP72,'LP Reactivos'!CU72,'LP Reactivos'!CZ72,'LP Reactivos'!DE72,'LP Reactivos'!DJ72,'LP Reactivos'!DO72,'LP Reactivos'!DT72,'LP Reactivos'!DY72,'LP Reactivos'!EB72)," ")</f>
        <v>661429.60800000001</v>
      </c>
      <c r="G72" s="345">
        <f>IFERROR(GEOMEAN('LP Reactivos'!F72,'LP Reactivos'!I72,'LP Reactivos'!N72,'LP Reactivos'!S72,'LP Reactivos'!X72,'LP Reactivos'!AC72,'LP Reactivos'!AH72,'LP Reactivos'!AM72,'LP Reactivos'!AR72,'LP Reactivos'!AW72,'LP Reactivos'!BB72,'LP Reactivos'!BG72,'LP Reactivos'!BL72,'LP Reactivos'!BQ72,'LP Reactivos'!BV72,'LP Reactivos'!CA72,'LP Reactivos'!CF72,'LP Reactivos'!CK72,'LP Reactivos'!CP72,'LP Reactivos'!CU72,'LP Reactivos'!CZ72,'LP Reactivos'!DE72,'LP Reactivos'!DJ72,'LP Reactivos'!DO72,'LP Reactivos'!DT72,'LP Reactivos'!DY72,'LP Reactivos'!EB72)," ")</f>
        <v>658925.14476061694</v>
      </c>
      <c r="H72" s="345">
        <f t="shared" si="4"/>
        <v>28359.478836288861</v>
      </c>
      <c r="I72" s="346">
        <f t="shared" si="5"/>
        <v>4.2876034718253589E-2</v>
      </c>
      <c r="J72" s="345">
        <f t="shared" si="6"/>
        <v>661429.60800000001</v>
      </c>
      <c r="K72" s="344" t="str">
        <f t="shared" si="7"/>
        <v>Promedio</v>
      </c>
      <c r="L72" s="326">
        <f>IFERROR(COUNTA('LP Reactivos'!F72,'LP Reactivos'!I72,'LP Reactivos'!N72,'LP Reactivos'!S72,'LP Reactivos'!X72,'LP Reactivos'!AC72,'LP Reactivos'!AH72,'LP Reactivos'!AM72,'LP Reactivos'!AR72,'LP Reactivos'!AW72,'LP Reactivos'!BB72,'LP Reactivos'!BG72,'LP Reactivos'!BL72,'LP Reactivos'!BQ72,'LP Reactivos'!BV72,'LP Reactivos'!CA72,'LP Reactivos'!CF72,'LP Reactivos'!CK72,'LP Reactivos'!CP72,'LP Reactivos'!CU72,'LP Reactivos'!CZ72,'LP Reactivos'!DE72,'LP Reactivos'!DJ72,'LP Reactivos'!DO72,'LP Reactivos'!DT72,'LP Reactivos'!DY72,'LP Reactivos'!EB72)," ")</f>
        <v>2</v>
      </c>
    </row>
    <row r="73" spans="2:12" x14ac:dyDescent="0.25">
      <c r="B73" s="425">
        <v>71</v>
      </c>
      <c r="C73" s="427" t="s">
        <v>885</v>
      </c>
      <c r="D73" s="429">
        <f>IFERROR(MIN('LP Reactivos'!F73,'LP Reactivos'!I73,'LP Reactivos'!N73,'LP Reactivos'!S73,'LP Reactivos'!X73,'LP Reactivos'!AC73,'LP Reactivos'!AH73,'LP Reactivos'!AM73,'LP Reactivos'!AR73,'LP Reactivos'!AW73,'LP Reactivos'!BB73,'LP Reactivos'!BG73,'LP Reactivos'!BL73,'LP Reactivos'!BQ73,'LP Reactivos'!BV73,'LP Reactivos'!CA73,'LP Reactivos'!CF73,'LP Reactivos'!CK73,'LP Reactivos'!CP73,'LP Reactivos'!CU73,'LP Reactivos'!CZ73,'LP Reactivos'!DE73,'LP Reactivos'!DJ73,'LP Reactivos'!DO73,'LP Reactivos'!DT73,'LP Reactivos'!DY73,'LP Reactivos'!EB73)," ")</f>
        <v>78540</v>
      </c>
      <c r="E73" s="429">
        <f>IFERROR(AVERAGE('LP Reactivos'!F73,'LP Reactivos'!I73,'LP Reactivos'!N73,'LP Reactivos'!S73,'LP Reactivos'!X73,'LP Reactivos'!AC73,'LP Reactivos'!AH73,'LP Reactivos'!AM73,'LP Reactivos'!AR73,'LP Reactivos'!AW73,'LP Reactivos'!BB73,'LP Reactivos'!BG73,'LP Reactivos'!BL73,'LP Reactivos'!BQ73,'LP Reactivos'!BV73,'LP Reactivos'!CA73,'LP Reactivos'!CF73,'LP Reactivos'!CK73,'LP Reactivos'!CP73,'LP Reactivos'!CU73,'LP Reactivos'!CZ73,'LP Reactivos'!DE73,'LP Reactivos'!DJ73,'LP Reactivos'!DO73,'LP Reactivos'!DT73,'LP Reactivos'!DY73,'LP Reactivos'!EB73)," ")</f>
        <v>84158.5</v>
      </c>
      <c r="F73" s="345">
        <f>IFERROR(MEDIAN('LP Reactivos'!F73,'LP Reactivos'!I73,'LP Reactivos'!N73,'LP Reactivos'!S73,'LP Reactivos'!X73,'LP Reactivos'!AC73,'LP Reactivos'!AH73,'LP Reactivos'!AM73,'LP Reactivos'!AR73,'LP Reactivos'!AW73,'LP Reactivos'!BB73,'LP Reactivos'!BG73,'LP Reactivos'!BL73,'LP Reactivos'!BQ73,'LP Reactivos'!BV73,'LP Reactivos'!CA73,'LP Reactivos'!CF73,'LP Reactivos'!CK73,'LP Reactivos'!CP73,'LP Reactivos'!CU73,'LP Reactivos'!CZ73,'LP Reactivos'!DE73,'LP Reactivos'!DJ73,'LP Reactivos'!DO73,'LP Reactivos'!DT73,'LP Reactivos'!DY73,'LP Reactivos'!EB73)," ")</f>
        <v>84158.5</v>
      </c>
      <c r="G73" s="345">
        <f>IFERROR(GEOMEAN('LP Reactivos'!F73,'LP Reactivos'!I73,'LP Reactivos'!N73,'LP Reactivos'!S73,'LP Reactivos'!X73,'LP Reactivos'!AC73,'LP Reactivos'!AH73,'LP Reactivos'!AM73,'LP Reactivos'!AR73,'LP Reactivos'!AW73,'LP Reactivos'!BB73,'LP Reactivos'!BG73,'LP Reactivos'!BL73,'LP Reactivos'!BQ73,'LP Reactivos'!BV73,'LP Reactivos'!CA73,'LP Reactivos'!CF73,'LP Reactivos'!CK73,'LP Reactivos'!CP73,'LP Reactivos'!CU73,'LP Reactivos'!CZ73,'LP Reactivos'!DE73,'LP Reactivos'!DJ73,'LP Reactivos'!DO73,'LP Reactivos'!DT73,'LP Reactivos'!DY73,'LP Reactivos'!EB73)," ")</f>
        <v>83970.742404720935</v>
      </c>
      <c r="H73" s="345">
        <f t="shared" si="4"/>
        <v>2779.3667353614337</v>
      </c>
      <c r="I73" s="346">
        <f t="shared" si="5"/>
        <v>3.3025383477146501E-2</v>
      </c>
      <c r="J73" s="345">
        <f t="shared" si="6"/>
        <v>84158.5</v>
      </c>
      <c r="K73" s="344" t="str">
        <f t="shared" si="7"/>
        <v>Promedio</v>
      </c>
      <c r="L73" s="326">
        <f>IFERROR(COUNTA('LP Reactivos'!F73,'LP Reactivos'!I73,'LP Reactivos'!N73,'LP Reactivos'!S73,'LP Reactivos'!X73,'LP Reactivos'!AC73,'LP Reactivos'!AH73,'LP Reactivos'!AM73,'LP Reactivos'!AR73,'LP Reactivos'!AW73,'LP Reactivos'!BB73,'LP Reactivos'!BG73,'LP Reactivos'!BL73,'LP Reactivos'!BQ73,'LP Reactivos'!BV73,'LP Reactivos'!CA73,'LP Reactivos'!CF73,'LP Reactivos'!CK73,'LP Reactivos'!CP73,'LP Reactivos'!CU73,'LP Reactivos'!CZ73,'LP Reactivos'!DE73,'LP Reactivos'!DJ73,'LP Reactivos'!DO73,'LP Reactivos'!DT73,'LP Reactivos'!DY73,'LP Reactivos'!EB73)," ")</f>
        <v>2</v>
      </c>
    </row>
    <row r="74" spans="2:12" x14ac:dyDescent="0.25">
      <c r="B74" s="425">
        <v>72</v>
      </c>
      <c r="C74" s="427" t="s">
        <v>887</v>
      </c>
      <c r="D74" s="429">
        <f>IFERROR(MIN('LP Reactivos'!F74,'LP Reactivos'!I74,'LP Reactivos'!N74,'LP Reactivos'!S74,'LP Reactivos'!X74,'LP Reactivos'!AC74,'LP Reactivos'!AH74,'LP Reactivos'!AM74,'LP Reactivos'!AR74,'LP Reactivos'!AW74,'LP Reactivos'!BB74,'LP Reactivos'!BG74,'LP Reactivos'!BL74,'LP Reactivos'!BQ74,'LP Reactivos'!BV74,'LP Reactivos'!CA74,'LP Reactivos'!CF74,'LP Reactivos'!CK74,'LP Reactivos'!CP74,'LP Reactivos'!CU74,'LP Reactivos'!CZ74,'LP Reactivos'!DE74,'LP Reactivos'!DJ74,'LP Reactivos'!DO74,'LP Reactivos'!DT74,'LP Reactivos'!DY74,'LP Reactivos'!EB74)," ")</f>
        <v>6284.39</v>
      </c>
      <c r="E74" s="429">
        <f>IFERROR(AVERAGE('LP Reactivos'!F74,'LP Reactivos'!I74,'LP Reactivos'!N74,'LP Reactivos'!S74,'LP Reactivos'!X74,'LP Reactivos'!AC74,'LP Reactivos'!AH74,'LP Reactivos'!AM74,'LP Reactivos'!AR74,'LP Reactivos'!AW74,'LP Reactivos'!BB74,'LP Reactivos'!BG74,'LP Reactivos'!BL74,'LP Reactivos'!BQ74,'LP Reactivos'!BV74,'LP Reactivos'!CA74,'LP Reactivos'!CF74,'LP Reactivos'!CK74,'LP Reactivos'!CP74,'LP Reactivos'!CU74,'LP Reactivos'!CZ74,'LP Reactivos'!DE74,'LP Reactivos'!DJ74,'LP Reactivos'!DO74,'LP Reactivos'!DT74,'LP Reactivos'!DY74,'LP Reactivos'!EB74)," ")</f>
        <v>9092.1949999999997</v>
      </c>
      <c r="F74" s="345">
        <f>IFERROR(MEDIAN('LP Reactivos'!F74,'LP Reactivos'!I74,'LP Reactivos'!N74,'LP Reactivos'!S74,'LP Reactivos'!X74,'LP Reactivos'!AC74,'LP Reactivos'!AH74,'LP Reactivos'!AM74,'LP Reactivos'!AR74,'LP Reactivos'!AW74,'LP Reactivos'!BB74,'LP Reactivos'!BG74,'LP Reactivos'!BL74,'LP Reactivos'!BQ74,'LP Reactivos'!BV74,'LP Reactivos'!CA74,'LP Reactivos'!CF74,'LP Reactivos'!CK74,'LP Reactivos'!CP74,'LP Reactivos'!CU74,'LP Reactivos'!CZ74,'LP Reactivos'!DE74,'LP Reactivos'!DJ74,'LP Reactivos'!DO74,'LP Reactivos'!DT74,'LP Reactivos'!DY74,'LP Reactivos'!EB74)," ")</f>
        <v>9092.1949999999997</v>
      </c>
      <c r="G74" s="345">
        <f>IFERROR(GEOMEAN('LP Reactivos'!F74,'LP Reactivos'!I74,'LP Reactivos'!N74,'LP Reactivos'!S74,'LP Reactivos'!X74,'LP Reactivos'!AC74,'LP Reactivos'!AH74,'LP Reactivos'!AM74,'LP Reactivos'!AR74,'LP Reactivos'!AW74,'LP Reactivos'!BB74,'LP Reactivos'!BG74,'LP Reactivos'!BL74,'LP Reactivos'!BQ74,'LP Reactivos'!BV74,'LP Reactivos'!CA74,'LP Reactivos'!CF74,'LP Reactivos'!CK74,'LP Reactivos'!CP74,'LP Reactivos'!CU74,'LP Reactivos'!CZ74,'LP Reactivos'!DE74,'LP Reactivos'!DJ74,'LP Reactivos'!DO74,'LP Reactivos'!DT74,'LP Reactivos'!DY74,'LP Reactivos'!EB74)," ")</f>
        <v>8647.7882143355018</v>
      </c>
      <c r="H74" s="345">
        <f t="shared" si="4"/>
        <v>1346.2349887081236</v>
      </c>
      <c r="I74" s="346">
        <f t="shared" si="5"/>
        <v>0.1480649049770846</v>
      </c>
      <c r="J74" s="345">
        <f t="shared" si="6"/>
        <v>9092.1949999999997</v>
      </c>
      <c r="K74" s="344" t="str">
        <f t="shared" si="7"/>
        <v>Promedio</v>
      </c>
      <c r="L74" s="326">
        <f>IFERROR(COUNTA('LP Reactivos'!F74,'LP Reactivos'!I74,'LP Reactivos'!N74,'LP Reactivos'!S74,'LP Reactivos'!X74,'LP Reactivos'!AC74,'LP Reactivos'!AH74,'LP Reactivos'!AM74,'LP Reactivos'!AR74,'LP Reactivos'!AW74,'LP Reactivos'!BB74,'LP Reactivos'!BG74,'LP Reactivos'!BL74,'LP Reactivos'!BQ74,'LP Reactivos'!BV74,'LP Reactivos'!CA74,'LP Reactivos'!CF74,'LP Reactivos'!CK74,'LP Reactivos'!CP74,'LP Reactivos'!CU74,'LP Reactivos'!CZ74,'LP Reactivos'!DE74,'LP Reactivos'!DJ74,'LP Reactivos'!DO74,'LP Reactivos'!DT74,'LP Reactivos'!DY74,'LP Reactivos'!EB74)," ")</f>
        <v>2</v>
      </c>
    </row>
    <row r="75" spans="2:12" x14ac:dyDescent="0.25">
      <c r="B75" s="425">
        <v>73</v>
      </c>
      <c r="C75" s="427" t="s">
        <v>891</v>
      </c>
      <c r="D75" s="429">
        <f>IFERROR(MIN('LP Reactivos'!F75,'LP Reactivos'!I75,'LP Reactivos'!N75,'LP Reactivos'!S75,'LP Reactivos'!X75,'LP Reactivos'!AC75,'LP Reactivos'!AH75,'LP Reactivos'!AM75,'LP Reactivos'!AR75,'LP Reactivos'!AW75,'LP Reactivos'!BB75,'LP Reactivos'!BG75,'LP Reactivos'!BL75,'LP Reactivos'!BQ75,'LP Reactivos'!BV75,'LP Reactivos'!CA75,'LP Reactivos'!CF75,'LP Reactivos'!CK75,'LP Reactivos'!CP75,'LP Reactivos'!CU75,'LP Reactivos'!CZ75,'LP Reactivos'!DE75,'LP Reactivos'!DJ75,'LP Reactivos'!DO75,'LP Reactivos'!DT75,'LP Reactivos'!DY75,'LP Reactivos'!EB75)," ")</f>
        <v>243950</v>
      </c>
      <c r="E75" s="429">
        <f>IFERROR(AVERAGE('LP Reactivos'!F75,'LP Reactivos'!I75,'LP Reactivos'!N75,'LP Reactivos'!S75,'LP Reactivos'!X75,'LP Reactivos'!AC75,'LP Reactivos'!AH75,'LP Reactivos'!AM75,'LP Reactivos'!AR75,'LP Reactivos'!AW75,'LP Reactivos'!BB75,'LP Reactivos'!BG75,'LP Reactivos'!BL75,'LP Reactivos'!BQ75,'LP Reactivos'!BV75,'LP Reactivos'!CA75,'LP Reactivos'!CF75,'LP Reactivos'!CK75,'LP Reactivos'!CP75,'LP Reactivos'!CU75,'LP Reactivos'!CZ75,'LP Reactivos'!DE75,'LP Reactivos'!DJ75,'LP Reactivos'!DO75,'LP Reactivos'!DT75,'LP Reactivos'!DY75,'LP Reactivos'!EB75)," ")</f>
        <v>275128</v>
      </c>
      <c r="F75" s="345">
        <f>IFERROR(MEDIAN('LP Reactivos'!F75,'LP Reactivos'!I75,'LP Reactivos'!N75,'LP Reactivos'!S75,'LP Reactivos'!X75,'LP Reactivos'!AC75,'LP Reactivos'!AH75,'LP Reactivos'!AM75,'LP Reactivos'!AR75,'LP Reactivos'!AW75,'LP Reactivos'!BB75,'LP Reactivos'!BG75,'LP Reactivos'!BL75,'LP Reactivos'!BQ75,'LP Reactivos'!BV75,'LP Reactivos'!CA75,'LP Reactivos'!CF75,'LP Reactivos'!CK75,'LP Reactivos'!CP75,'LP Reactivos'!CU75,'LP Reactivos'!CZ75,'LP Reactivos'!DE75,'LP Reactivos'!DJ75,'LP Reactivos'!DO75,'LP Reactivos'!DT75,'LP Reactivos'!DY75,'LP Reactivos'!EB75)," ")</f>
        <v>255850</v>
      </c>
      <c r="G75" s="345">
        <f>IFERROR(GEOMEAN('LP Reactivos'!F75,'LP Reactivos'!I75,'LP Reactivos'!N75,'LP Reactivos'!S75,'LP Reactivos'!X75,'LP Reactivos'!AC75,'LP Reactivos'!AH75,'LP Reactivos'!AM75,'LP Reactivos'!AR75,'LP Reactivos'!AW75,'LP Reactivos'!BB75,'LP Reactivos'!BG75,'LP Reactivos'!BL75,'LP Reactivos'!BQ75,'LP Reactivos'!BV75,'LP Reactivos'!CA75,'LP Reactivos'!CF75,'LP Reactivos'!CK75,'LP Reactivos'!CP75,'LP Reactivos'!CU75,'LP Reactivos'!CZ75,'LP Reactivos'!DE75,'LP Reactivos'!DJ75,'LP Reactivos'!DO75,'LP Reactivos'!DT75,'LP Reactivos'!DY75,'LP Reactivos'!EB75)," ")</f>
        <v>272887.15865077364</v>
      </c>
      <c r="H75" s="345">
        <f t="shared" si="4"/>
        <v>14770.365216721615</v>
      </c>
      <c r="I75" s="346">
        <f t="shared" si="5"/>
        <v>5.368543084208665E-2</v>
      </c>
      <c r="J75" s="345">
        <f t="shared" si="6"/>
        <v>255850</v>
      </c>
      <c r="K75" s="344" t="str">
        <f t="shared" si="7"/>
        <v>Mediana</v>
      </c>
      <c r="L75" s="326">
        <f>IFERROR(COUNTA('LP Reactivos'!F75,'LP Reactivos'!I75,'LP Reactivos'!N75,'LP Reactivos'!S75,'LP Reactivos'!X75,'LP Reactivos'!AC75,'LP Reactivos'!AH75,'LP Reactivos'!AM75,'LP Reactivos'!AR75,'LP Reactivos'!AW75,'LP Reactivos'!BB75,'LP Reactivos'!BG75,'LP Reactivos'!BL75,'LP Reactivos'!BQ75,'LP Reactivos'!BV75,'LP Reactivos'!CA75,'LP Reactivos'!CF75,'LP Reactivos'!CK75,'LP Reactivos'!CP75,'LP Reactivos'!CU75,'LP Reactivos'!CZ75,'LP Reactivos'!DE75,'LP Reactivos'!DJ75,'LP Reactivos'!DO75,'LP Reactivos'!DT75,'LP Reactivos'!DY75,'LP Reactivos'!EB75)," ")</f>
        <v>3</v>
      </c>
    </row>
    <row r="76" spans="2:12" x14ac:dyDescent="0.25">
      <c r="B76" s="425">
        <v>74</v>
      </c>
      <c r="C76" s="427" t="s">
        <v>895</v>
      </c>
      <c r="D76" s="429">
        <f>IFERROR(MIN('LP Reactivos'!F76,'LP Reactivos'!I76,'LP Reactivos'!N76,'LP Reactivos'!S76,'LP Reactivos'!X76,'LP Reactivos'!AC76,'LP Reactivos'!AH76,'LP Reactivos'!AM76,'LP Reactivos'!AR76,'LP Reactivos'!AW76,'LP Reactivos'!BB76,'LP Reactivos'!BG76,'LP Reactivos'!BL76,'LP Reactivos'!BQ76,'LP Reactivos'!BV76,'LP Reactivos'!CA76,'LP Reactivos'!CF76,'LP Reactivos'!CK76,'LP Reactivos'!CP76,'LP Reactivos'!CU76,'LP Reactivos'!CZ76,'LP Reactivos'!DE76,'LP Reactivos'!DJ76,'LP Reactivos'!DO76,'LP Reactivos'!DT76,'LP Reactivos'!DY76,'LP Reactivos'!EB76)," ")</f>
        <v>42840</v>
      </c>
      <c r="E76" s="429">
        <f>IFERROR(AVERAGE('LP Reactivos'!F76,'LP Reactivos'!I76,'LP Reactivos'!N76,'LP Reactivos'!S76,'LP Reactivos'!X76,'LP Reactivos'!AC76,'LP Reactivos'!AH76,'LP Reactivos'!AM76,'LP Reactivos'!AR76,'LP Reactivos'!AW76,'LP Reactivos'!BB76,'LP Reactivos'!BG76,'LP Reactivos'!BL76,'LP Reactivos'!BQ76,'LP Reactivos'!BV76,'LP Reactivos'!CA76,'LP Reactivos'!CF76,'LP Reactivos'!CK76,'LP Reactivos'!CP76,'LP Reactivos'!CU76,'LP Reactivos'!CZ76,'LP Reactivos'!DE76,'LP Reactivos'!DJ76,'LP Reactivos'!DO76,'LP Reactivos'!DT76,'LP Reactivos'!DY76,'LP Reactivos'!EB76)," ")</f>
        <v>81121.705000000002</v>
      </c>
      <c r="F76" s="345">
        <f>IFERROR(MEDIAN('LP Reactivos'!F76,'LP Reactivos'!I76,'LP Reactivos'!N76,'LP Reactivos'!S76,'LP Reactivos'!X76,'LP Reactivos'!AC76,'LP Reactivos'!AH76,'LP Reactivos'!AM76,'LP Reactivos'!AR76,'LP Reactivos'!AW76,'LP Reactivos'!BB76,'LP Reactivos'!BG76,'LP Reactivos'!BL76,'LP Reactivos'!BQ76,'LP Reactivos'!BV76,'LP Reactivos'!CA76,'LP Reactivos'!CF76,'LP Reactivos'!CK76,'LP Reactivos'!CP76,'LP Reactivos'!CU76,'LP Reactivos'!CZ76,'LP Reactivos'!DE76,'LP Reactivos'!DJ76,'LP Reactivos'!DO76,'LP Reactivos'!DT76,'LP Reactivos'!DY76,'LP Reactivos'!EB76)," ")</f>
        <v>81121.705000000002</v>
      </c>
      <c r="G76" s="345">
        <f>IFERROR(GEOMEAN('LP Reactivos'!F76,'LP Reactivos'!I76,'LP Reactivos'!N76,'LP Reactivos'!S76,'LP Reactivos'!X76,'LP Reactivos'!AC76,'LP Reactivos'!AH76,'LP Reactivos'!AM76,'LP Reactivos'!AR76,'LP Reactivos'!AW76,'LP Reactivos'!BB76,'LP Reactivos'!BG76,'LP Reactivos'!BL76,'LP Reactivos'!BQ76,'LP Reactivos'!BV76,'LP Reactivos'!CA76,'LP Reactivos'!CF76,'LP Reactivos'!CK76,'LP Reactivos'!CP76,'LP Reactivos'!CU76,'LP Reactivos'!CZ76,'LP Reactivos'!DE76,'LP Reactivos'!DJ76,'LP Reactivos'!DO76,'LP Reactivos'!DT76,'LP Reactivos'!DY76,'LP Reactivos'!EB76)," ")</f>
        <v>71520.920606491083</v>
      </c>
      <c r="H76" s="345">
        <f t="shared" si="4"/>
        <v>18115.194368704211</v>
      </c>
      <c r="I76" s="346">
        <f t="shared" si="5"/>
        <v>0.22330884648817736</v>
      </c>
      <c r="J76" s="345">
        <f t="shared" si="6"/>
        <v>71520.920606491083</v>
      </c>
      <c r="K76" s="344" t="str">
        <f t="shared" si="7"/>
        <v>Media Geométrica</v>
      </c>
      <c r="L76" s="326">
        <f>IFERROR(COUNTA('LP Reactivos'!F76,'LP Reactivos'!I76,'LP Reactivos'!N76,'LP Reactivos'!S76,'LP Reactivos'!X76,'LP Reactivos'!AC76,'LP Reactivos'!AH76,'LP Reactivos'!AM76,'LP Reactivos'!AR76,'LP Reactivos'!AW76,'LP Reactivos'!BB76,'LP Reactivos'!BG76,'LP Reactivos'!BL76,'LP Reactivos'!BQ76,'LP Reactivos'!BV76,'LP Reactivos'!CA76,'LP Reactivos'!CF76,'LP Reactivos'!CK76,'LP Reactivos'!CP76,'LP Reactivos'!CU76,'LP Reactivos'!CZ76,'LP Reactivos'!DE76,'LP Reactivos'!DJ76,'LP Reactivos'!DO76,'LP Reactivos'!DT76,'LP Reactivos'!DY76,'LP Reactivos'!EB76)," ")</f>
        <v>2</v>
      </c>
    </row>
    <row r="77" spans="2:12" x14ac:dyDescent="0.25">
      <c r="B77" s="425">
        <v>75</v>
      </c>
      <c r="C77" s="427" t="s">
        <v>897</v>
      </c>
      <c r="D77" s="429">
        <f>IFERROR(MIN('LP Reactivos'!F77,'LP Reactivos'!I77,'LP Reactivos'!N77,'LP Reactivos'!S77,'LP Reactivos'!X77,'LP Reactivos'!AC77,'LP Reactivos'!AH77,'LP Reactivos'!AM77,'LP Reactivos'!AR77,'LP Reactivos'!AW77,'LP Reactivos'!BB77,'LP Reactivos'!BG77,'LP Reactivos'!BL77,'LP Reactivos'!BQ77,'LP Reactivos'!BV77,'LP Reactivos'!CA77,'LP Reactivos'!CF77,'LP Reactivos'!CK77,'LP Reactivos'!CP77,'LP Reactivos'!CU77,'LP Reactivos'!CZ77,'LP Reactivos'!DE77,'LP Reactivos'!DJ77,'LP Reactivos'!DO77,'LP Reactivos'!DT77,'LP Reactivos'!DY77,'LP Reactivos'!EB77)," ")</f>
        <v>33935.705999999998</v>
      </c>
      <c r="E77" s="429">
        <f>IFERROR(AVERAGE('LP Reactivos'!F77,'LP Reactivos'!I77,'LP Reactivos'!N77,'LP Reactivos'!S77,'LP Reactivos'!X77,'LP Reactivos'!AC77,'LP Reactivos'!AH77,'LP Reactivos'!AM77,'LP Reactivos'!AR77,'LP Reactivos'!AW77,'LP Reactivos'!BB77,'LP Reactivos'!BG77,'LP Reactivos'!BL77,'LP Reactivos'!BQ77,'LP Reactivos'!BV77,'LP Reactivos'!CA77,'LP Reactivos'!CF77,'LP Reactivos'!CK77,'LP Reactivos'!CP77,'LP Reactivos'!CU77,'LP Reactivos'!CZ77,'LP Reactivos'!DE77,'LP Reactivos'!DJ77,'LP Reactivos'!DO77,'LP Reactivos'!DT77,'LP Reactivos'!DY77,'LP Reactivos'!EB77)," ")</f>
        <v>64762.735333333338</v>
      </c>
      <c r="F77" s="345">
        <f>IFERROR(MEDIAN('LP Reactivos'!F77,'LP Reactivos'!I77,'LP Reactivos'!N77,'LP Reactivos'!S77,'LP Reactivos'!X77,'LP Reactivos'!AC77,'LP Reactivos'!AH77,'LP Reactivos'!AM77,'LP Reactivos'!AR77,'LP Reactivos'!AW77,'LP Reactivos'!BB77,'LP Reactivos'!BG77,'LP Reactivos'!BL77,'LP Reactivos'!BQ77,'LP Reactivos'!BV77,'LP Reactivos'!CA77,'LP Reactivos'!CF77,'LP Reactivos'!CK77,'LP Reactivos'!CP77,'LP Reactivos'!CU77,'LP Reactivos'!CZ77,'LP Reactivos'!DE77,'LP Reactivos'!DJ77,'LP Reactivos'!DO77,'LP Reactivos'!DT77,'LP Reactivos'!DY77,'LP Reactivos'!EB77)," ")</f>
        <v>42840</v>
      </c>
      <c r="G77" s="345">
        <f>IFERROR(GEOMEAN('LP Reactivos'!F77,'LP Reactivos'!I77,'LP Reactivos'!N77,'LP Reactivos'!S77,'LP Reactivos'!X77,'LP Reactivos'!AC77,'LP Reactivos'!AH77,'LP Reactivos'!AM77,'LP Reactivos'!AR77,'LP Reactivos'!AW77,'LP Reactivos'!BB77,'LP Reactivos'!BG77,'LP Reactivos'!BL77,'LP Reactivos'!BQ77,'LP Reactivos'!BV77,'LP Reactivos'!CA77,'LP Reactivos'!CF77,'LP Reactivos'!CK77,'LP Reactivos'!CP77,'LP Reactivos'!CU77,'LP Reactivos'!CZ77,'LP Reactivos'!DE77,'LP Reactivos'!DJ77,'LP Reactivos'!DO77,'LP Reactivos'!DT77,'LP Reactivos'!DY77,'LP Reactivos'!EB77)," ")</f>
        <v>55487.710490791877</v>
      </c>
      <c r="H77" s="345">
        <f t="shared" si="4"/>
        <v>13603.547569512204</v>
      </c>
      <c r="I77" s="346">
        <f t="shared" si="5"/>
        <v>0.21005208472889295</v>
      </c>
      <c r="J77" s="345">
        <f t="shared" si="6"/>
        <v>55487.710490791877</v>
      </c>
      <c r="K77" s="344" t="str">
        <f t="shared" si="7"/>
        <v>Media Geométrica</v>
      </c>
      <c r="L77" s="326">
        <f>IFERROR(COUNTA('LP Reactivos'!F77,'LP Reactivos'!I77,'LP Reactivos'!N77,'LP Reactivos'!S77,'LP Reactivos'!X77,'LP Reactivos'!AC77,'LP Reactivos'!AH77,'LP Reactivos'!AM77,'LP Reactivos'!AR77,'LP Reactivos'!AW77,'LP Reactivos'!BB77,'LP Reactivos'!BG77,'LP Reactivos'!BL77,'LP Reactivos'!BQ77,'LP Reactivos'!BV77,'LP Reactivos'!CA77,'LP Reactivos'!CF77,'LP Reactivos'!CK77,'LP Reactivos'!CP77,'LP Reactivos'!CU77,'LP Reactivos'!CZ77,'LP Reactivos'!DE77,'LP Reactivos'!DJ77,'LP Reactivos'!DO77,'LP Reactivos'!DT77,'LP Reactivos'!DY77,'LP Reactivos'!EB77)," ")</f>
        <v>3</v>
      </c>
    </row>
    <row r="78" spans="2:12" x14ac:dyDescent="0.25">
      <c r="B78" s="425">
        <v>76</v>
      </c>
      <c r="C78" s="428" t="s">
        <v>899</v>
      </c>
      <c r="D78" s="429">
        <f>IFERROR(MIN('LP Reactivos'!F78,'LP Reactivos'!I78,'LP Reactivos'!N78,'LP Reactivos'!S78,'LP Reactivos'!X78,'LP Reactivos'!AC78,'LP Reactivos'!AH78,'LP Reactivos'!AM78,'LP Reactivos'!AR78,'LP Reactivos'!AW78,'LP Reactivos'!BB78,'LP Reactivos'!BG78,'LP Reactivos'!BL78,'LP Reactivos'!BQ78,'LP Reactivos'!BV78,'LP Reactivos'!CA78,'LP Reactivos'!CF78,'LP Reactivos'!CK78,'LP Reactivos'!CP78,'LP Reactivos'!CU78,'LP Reactivos'!CZ78,'LP Reactivos'!DE78,'LP Reactivos'!DJ78,'LP Reactivos'!DO78,'LP Reactivos'!DT78,'LP Reactivos'!DY78,'LP Reactivos'!EB78)," ")</f>
        <v>357000</v>
      </c>
      <c r="E78" s="429">
        <f>IFERROR(AVERAGE('LP Reactivos'!F78,'LP Reactivos'!I78,'LP Reactivos'!N78,'LP Reactivos'!S78,'LP Reactivos'!X78,'LP Reactivos'!AC78,'LP Reactivos'!AH78,'LP Reactivos'!AM78,'LP Reactivos'!AR78,'LP Reactivos'!AW78,'LP Reactivos'!BB78,'LP Reactivos'!BG78,'LP Reactivos'!BL78,'LP Reactivos'!BQ78,'LP Reactivos'!BV78,'LP Reactivos'!CA78,'LP Reactivos'!CF78,'LP Reactivos'!CK78,'LP Reactivos'!CP78,'LP Reactivos'!CU78,'LP Reactivos'!CZ78,'LP Reactivos'!DE78,'LP Reactivos'!DJ78,'LP Reactivos'!DO78,'LP Reactivos'!DT78,'LP Reactivos'!DY78,'LP Reactivos'!EB78)," ")</f>
        <v>508794.66666666669</v>
      </c>
      <c r="F78" s="345">
        <f>IFERROR(MEDIAN('LP Reactivos'!F78,'LP Reactivos'!I78,'LP Reactivos'!N78,'LP Reactivos'!S78,'LP Reactivos'!X78,'LP Reactivos'!AC78,'LP Reactivos'!AH78,'LP Reactivos'!AM78,'LP Reactivos'!AR78,'LP Reactivos'!AW78,'LP Reactivos'!BB78,'LP Reactivos'!BG78,'LP Reactivos'!BL78,'LP Reactivos'!BQ78,'LP Reactivos'!BV78,'LP Reactivos'!CA78,'LP Reactivos'!CF78,'LP Reactivos'!CK78,'LP Reactivos'!CP78,'LP Reactivos'!CU78,'LP Reactivos'!CZ78,'LP Reactivos'!DE78,'LP Reactivos'!DJ78,'LP Reactivos'!DO78,'LP Reactivos'!DT78,'LP Reactivos'!DY78,'LP Reactivos'!EB78)," ")</f>
        <v>386364</v>
      </c>
      <c r="G78" s="345">
        <f>IFERROR(GEOMEAN('LP Reactivos'!F78,'LP Reactivos'!I78,'LP Reactivos'!N78,'LP Reactivos'!S78,'LP Reactivos'!X78,'LP Reactivos'!AC78,'LP Reactivos'!AH78,'LP Reactivos'!AM78,'LP Reactivos'!AR78,'LP Reactivos'!AW78,'LP Reactivos'!BB78,'LP Reactivos'!BG78,'LP Reactivos'!BL78,'LP Reactivos'!BQ78,'LP Reactivos'!BV78,'LP Reactivos'!CA78,'LP Reactivos'!CF78,'LP Reactivos'!CK78,'LP Reactivos'!CP78,'LP Reactivos'!CU78,'LP Reactivos'!CZ78,'LP Reactivos'!DE78,'LP Reactivos'!DJ78,'LP Reactivos'!DO78,'LP Reactivos'!DT78,'LP Reactivos'!DY78,'LP Reactivos'!EB78)," ")</f>
        <v>476225.42156252993</v>
      </c>
      <c r="H78" s="345">
        <f t="shared" si="4"/>
        <v>72020.636755229134</v>
      </c>
      <c r="I78" s="346">
        <f t="shared" si="5"/>
        <v>0.14155147739080559</v>
      </c>
      <c r="J78" s="345">
        <f t="shared" si="6"/>
        <v>508794.66666666669</v>
      </c>
      <c r="K78" s="344" t="str">
        <f t="shared" si="7"/>
        <v>Promedio</v>
      </c>
      <c r="L78" s="326">
        <f>IFERROR(COUNTA('LP Reactivos'!F78,'LP Reactivos'!I78,'LP Reactivos'!N78,'LP Reactivos'!S78,'LP Reactivos'!X78,'LP Reactivos'!AC78,'LP Reactivos'!AH78,'LP Reactivos'!AM78,'LP Reactivos'!AR78,'LP Reactivos'!AW78,'LP Reactivos'!BB78,'LP Reactivos'!BG78,'LP Reactivos'!BL78,'LP Reactivos'!BQ78,'LP Reactivos'!BV78,'LP Reactivos'!CA78,'LP Reactivos'!CF78,'LP Reactivos'!CK78,'LP Reactivos'!CP78,'LP Reactivos'!CU78,'LP Reactivos'!CZ78,'LP Reactivos'!DE78,'LP Reactivos'!DJ78,'LP Reactivos'!DO78,'LP Reactivos'!DT78,'LP Reactivos'!DY78,'LP Reactivos'!EB78)," ")</f>
        <v>3</v>
      </c>
    </row>
    <row r="79" spans="2:12" ht="42" customHeight="1" x14ac:dyDescent="0.25">
      <c r="B79" s="425">
        <v>77</v>
      </c>
      <c r="C79" s="427" t="s">
        <v>903</v>
      </c>
      <c r="D79" s="429">
        <f>IFERROR(MIN('LP Reactivos'!F79,'LP Reactivos'!I79,'LP Reactivos'!N79,'LP Reactivos'!S79,'LP Reactivos'!X79,'LP Reactivos'!AC79,'LP Reactivos'!AH79,'LP Reactivos'!AM79,'LP Reactivos'!AR79,'LP Reactivos'!AW79,'LP Reactivos'!BB79,'LP Reactivos'!BG79,'LP Reactivos'!BL79,'LP Reactivos'!BQ79,'LP Reactivos'!BV79,'LP Reactivos'!CA79,'LP Reactivos'!CF79,'LP Reactivos'!CK79,'LP Reactivos'!CP79,'LP Reactivos'!CU79,'LP Reactivos'!CZ79,'LP Reactivos'!DE79,'LP Reactivos'!DJ79,'LP Reactivos'!DO79,'LP Reactivos'!DT79,'LP Reactivos'!DY79,'LP Reactivos'!EB79)," ")</f>
        <v>297500</v>
      </c>
      <c r="E79" s="429">
        <f>IFERROR(AVERAGE('LP Reactivos'!F79,'LP Reactivos'!I79,'LP Reactivos'!N79,'LP Reactivos'!S79,'LP Reactivos'!X79,'LP Reactivos'!AC79,'LP Reactivos'!AH79,'LP Reactivos'!AM79,'LP Reactivos'!AR79,'LP Reactivos'!AW79,'LP Reactivos'!BB79,'LP Reactivos'!BG79,'LP Reactivos'!BL79,'LP Reactivos'!BQ79,'LP Reactivos'!BV79,'LP Reactivos'!CA79,'LP Reactivos'!CF79,'LP Reactivos'!CK79,'LP Reactivos'!CP79,'LP Reactivos'!CU79,'LP Reactivos'!CZ79,'LP Reactivos'!DE79,'LP Reactivos'!DJ79,'LP Reactivos'!DO79,'LP Reactivos'!DT79,'LP Reactivos'!DY79,'LP Reactivos'!EB79)," ")</f>
        <v>455971</v>
      </c>
      <c r="F79" s="345">
        <f>IFERROR(MEDIAN('LP Reactivos'!F79,'LP Reactivos'!I79,'LP Reactivos'!N79,'LP Reactivos'!S79,'LP Reactivos'!X79,'LP Reactivos'!AC79,'LP Reactivos'!AH79,'LP Reactivos'!AM79,'LP Reactivos'!AR79,'LP Reactivos'!AW79,'LP Reactivos'!BB79,'LP Reactivos'!BG79,'LP Reactivos'!BL79,'LP Reactivos'!BQ79,'LP Reactivos'!BV79,'LP Reactivos'!CA79,'LP Reactivos'!CF79,'LP Reactivos'!CK79,'LP Reactivos'!CP79,'LP Reactivos'!CU79,'LP Reactivos'!CZ79,'LP Reactivos'!DE79,'LP Reactivos'!DJ79,'LP Reactivos'!DO79,'LP Reactivos'!DT79,'LP Reactivos'!DY79,'LP Reactivos'!EB79)," ")</f>
        <v>371682</v>
      </c>
      <c r="G79" s="345">
        <f>IFERROR(GEOMEAN('LP Reactivos'!F79,'LP Reactivos'!I79,'LP Reactivos'!N79,'LP Reactivos'!S79,'LP Reactivos'!X79,'LP Reactivos'!AC79,'LP Reactivos'!AH79,'LP Reactivos'!AM79,'LP Reactivos'!AR79,'LP Reactivos'!AW79,'LP Reactivos'!BB79,'LP Reactivos'!BG79,'LP Reactivos'!BL79,'LP Reactivos'!BQ79,'LP Reactivos'!BV79,'LP Reactivos'!CA79,'LP Reactivos'!CF79,'LP Reactivos'!CK79,'LP Reactivos'!CP79,'LP Reactivos'!CU79,'LP Reactivos'!CZ79,'LP Reactivos'!DE79,'LP Reactivos'!DJ79,'LP Reactivos'!DO79,'LP Reactivos'!DT79,'LP Reactivos'!DY79,'LP Reactivos'!EB79)," ")</f>
        <v>423380.81413855596</v>
      </c>
      <c r="H79" s="345">
        <f t="shared" si="4"/>
        <v>69102.297026463144</v>
      </c>
      <c r="I79" s="346">
        <f t="shared" si="5"/>
        <v>0.15154976309121226</v>
      </c>
      <c r="J79" s="345">
        <f t="shared" si="6"/>
        <v>455971</v>
      </c>
      <c r="K79" s="344" t="str">
        <f t="shared" si="7"/>
        <v>Promedio</v>
      </c>
      <c r="L79" s="326">
        <f>IFERROR(COUNTA('LP Reactivos'!F79,'LP Reactivos'!I79,'LP Reactivos'!N79,'LP Reactivos'!S79,'LP Reactivos'!X79,'LP Reactivos'!AC79,'LP Reactivos'!AH79,'LP Reactivos'!AM79,'LP Reactivos'!AR79,'LP Reactivos'!AW79,'LP Reactivos'!BB79,'LP Reactivos'!BG79,'LP Reactivos'!BL79,'LP Reactivos'!BQ79,'LP Reactivos'!BV79,'LP Reactivos'!CA79,'LP Reactivos'!CF79,'LP Reactivos'!CK79,'LP Reactivos'!CP79,'LP Reactivos'!CU79,'LP Reactivos'!CZ79,'LP Reactivos'!DE79,'LP Reactivos'!DJ79,'LP Reactivos'!DO79,'LP Reactivos'!DT79,'LP Reactivos'!DY79,'LP Reactivos'!EB79)," ")</f>
        <v>4</v>
      </c>
    </row>
    <row r="80" spans="2:12" x14ac:dyDescent="0.25">
      <c r="B80" s="425">
        <v>78</v>
      </c>
      <c r="C80" s="427" t="s">
        <v>904</v>
      </c>
      <c r="D80" s="429">
        <f>IFERROR(MIN('LP Reactivos'!F80,'LP Reactivos'!I80,'LP Reactivos'!N80,'LP Reactivos'!S80,'LP Reactivos'!X80,'LP Reactivos'!AC80,'LP Reactivos'!AH80,'LP Reactivos'!AM80,'LP Reactivos'!AR80,'LP Reactivos'!AW80,'LP Reactivos'!BB80,'LP Reactivos'!BG80,'LP Reactivos'!BL80,'LP Reactivos'!BQ80,'LP Reactivos'!BV80,'LP Reactivos'!CA80,'LP Reactivos'!CF80,'LP Reactivos'!CK80,'LP Reactivos'!CP80,'LP Reactivos'!CU80,'LP Reactivos'!CZ80,'LP Reactivos'!DE80,'LP Reactivos'!DJ80,'LP Reactivos'!DO80,'LP Reactivos'!DT80,'LP Reactivos'!DY80,'LP Reactivos'!EB80)," ")</f>
        <v>110311</v>
      </c>
      <c r="E80" s="429">
        <f>IFERROR(AVERAGE('LP Reactivos'!F80,'LP Reactivos'!I80,'LP Reactivos'!N80,'LP Reactivos'!S80,'LP Reactivos'!X80,'LP Reactivos'!AC80,'LP Reactivos'!AH80,'LP Reactivos'!AM80,'LP Reactivos'!AR80,'LP Reactivos'!AW80,'LP Reactivos'!BB80,'LP Reactivos'!BG80,'LP Reactivos'!BL80,'LP Reactivos'!BQ80,'LP Reactivos'!BV80,'LP Reactivos'!CA80,'LP Reactivos'!CF80,'LP Reactivos'!CK80,'LP Reactivos'!CP80,'LP Reactivos'!CU80,'LP Reactivos'!CZ80,'LP Reactivos'!DE80,'LP Reactivos'!DJ80,'LP Reactivos'!DO80,'LP Reactivos'!DT80,'LP Reactivos'!DY80,'LP Reactivos'!EB80)," ")</f>
        <v>268232.63052000001</v>
      </c>
      <c r="F80" s="345">
        <f>IFERROR(MEDIAN('LP Reactivos'!F80,'LP Reactivos'!I80,'LP Reactivos'!N80,'LP Reactivos'!S80,'LP Reactivos'!X80,'LP Reactivos'!AC80,'LP Reactivos'!AH80,'LP Reactivos'!AM80,'LP Reactivos'!AR80,'LP Reactivos'!AW80,'LP Reactivos'!BB80,'LP Reactivos'!BG80,'LP Reactivos'!BL80,'LP Reactivos'!BQ80,'LP Reactivos'!BV80,'LP Reactivos'!CA80,'LP Reactivos'!CF80,'LP Reactivos'!CK80,'LP Reactivos'!CP80,'LP Reactivos'!CU80,'LP Reactivos'!CZ80,'LP Reactivos'!DE80,'LP Reactivos'!DJ80,'LP Reactivos'!DO80,'LP Reactivos'!DT80,'LP Reactivos'!DY80,'LP Reactivos'!EB80)," ")</f>
        <v>333200</v>
      </c>
      <c r="G80" s="345">
        <f>IFERROR(GEOMEAN('LP Reactivos'!F80,'LP Reactivos'!I80,'LP Reactivos'!N80,'LP Reactivos'!S80,'LP Reactivos'!X80,'LP Reactivos'!AC80,'LP Reactivos'!AH80,'LP Reactivos'!AM80,'LP Reactivos'!AR80,'LP Reactivos'!AW80,'LP Reactivos'!BB80,'LP Reactivos'!BG80,'LP Reactivos'!BL80,'LP Reactivos'!BQ80,'LP Reactivos'!BV80,'LP Reactivos'!CA80,'LP Reactivos'!CF80,'LP Reactivos'!CK80,'LP Reactivos'!CP80,'LP Reactivos'!CU80,'LP Reactivos'!CZ80,'LP Reactivos'!DE80,'LP Reactivos'!DJ80,'LP Reactivos'!DO80,'LP Reactivos'!DT80,'LP Reactivos'!DY80,'LP Reactivos'!EB80)," ")</f>
        <v>236372.14292586985</v>
      </c>
      <c r="H80" s="345">
        <f t="shared" si="4"/>
        <v>93595.603144292574</v>
      </c>
      <c r="I80" s="346">
        <f t="shared" si="5"/>
        <v>0.34893444158097642</v>
      </c>
      <c r="J80" s="345">
        <f>IF(I80&lt;=10%,F80,IF(AND(I80&gt;10%,I80&lt;=20%),E80,IF(AND(I80&gt;20%,I80&lt;=35%),G80,IF(I80&gt;35%,D80))))</f>
        <v>236372.14292586985</v>
      </c>
      <c r="K80" s="344" t="str">
        <f t="shared" si="7"/>
        <v>Media Geométrica</v>
      </c>
      <c r="L80" s="326">
        <f>IFERROR(COUNTA('LP Reactivos'!F80,'LP Reactivos'!I80,'LP Reactivos'!N80,'LP Reactivos'!S80,'LP Reactivos'!X80,'LP Reactivos'!AC80,'LP Reactivos'!AH80,'LP Reactivos'!AM80,'LP Reactivos'!AR80,'LP Reactivos'!AW80,'LP Reactivos'!BB80,'LP Reactivos'!BG80,'LP Reactivos'!BL80,'LP Reactivos'!BQ80,'LP Reactivos'!BV80,'LP Reactivos'!CA80,'LP Reactivos'!CF80,'LP Reactivos'!CK80,'LP Reactivos'!CP80,'LP Reactivos'!CU80,'LP Reactivos'!CZ80,'LP Reactivos'!DE80,'LP Reactivos'!DJ80,'LP Reactivos'!DO80,'LP Reactivos'!DT80,'LP Reactivos'!DY80,'LP Reactivos'!EB80)," ")</f>
        <v>5</v>
      </c>
    </row>
    <row r="81" spans="2:12" ht="92.25" customHeight="1" x14ac:dyDescent="0.25">
      <c r="B81" s="425">
        <v>79</v>
      </c>
      <c r="C81" s="413" t="s">
        <v>910</v>
      </c>
      <c r="D81" s="429">
        <f>IFERROR(MIN('LP Reactivos'!F81,'LP Reactivos'!I81,'LP Reactivos'!N81,'LP Reactivos'!S81,'LP Reactivos'!X81,'LP Reactivos'!AC81,'LP Reactivos'!AH81,'LP Reactivos'!AM81,'LP Reactivos'!AR81,'LP Reactivos'!AW81,'LP Reactivos'!BB81,'LP Reactivos'!BG81,'LP Reactivos'!BL81,'LP Reactivos'!BQ81,'LP Reactivos'!BV81,'LP Reactivos'!CA81,'LP Reactivos'!CF81,'LP Reactivos'!CK81,'LP Reactivos'!CP81,'LP Reactivos'!CU81,'LP Reactivos'!CZ81,'LP Reactivos'!DE81,'LP Reactivos'!DJ81,'LP Reactivos'!DO81,'LP Reactivos'!DT81,'LP Reactivos'!DY81,'LP Reactivos'!EB81)," ")</f>
        <v>299000</v>
      </c>
      <c r="E81" s="429">
        <f>IFERROR(AVERAGE('LP Reactivos'!F81,'LP Reactivos'!I81,'LP Reactivos'!N81,'LP Reactivos'!S81,'LP Reactivos'!X81,'LP Reactivos'!AC81,'LP Reactivos'!AH81,'LP Reactivos'!AM81,'LP Reactivos'!AR81,'LP Reactivos'!AW81,'LP Reactivos'!BB81,'LP Reactivos'!BG81,'LP Reactivos'!BL81,'LP Reactivos'!BQ81,'LP Reactivos'!BV81,'LP Reactivos'!CA81,'LP Reactivos'!CF81,'LP Reactivos'!CK81,'LP Reactivos'!CP81,'LP Reactivos'!CU81,'LP Reactivos'!CZ81,'LP Reactivos'!DE81,'LP Reactivos'!DJ81,'LP Reactivos'!DO81,'LP Reactivos'!DT81,'LP Reactivos'!DY81,'LP Reactivos'!EB81)," ")</f>
        <v>405581.5</v>
      </c>
      <c r="F81" s="345">
        <f>IFERROR(MEDIAN('LP Reactivos'!F81,'LP Reactivos'!I81,'LP Reactivos'!N81,'LP Reactivos'!S81,'LP Reactivos'!X81,'LP Reactivos'!AC81,'LP Reactivos'!AH81,'LP Reactivos'!AM81,'LP Reactivos'!AR81,'LP Reactivos'!AW81,'LP Reactivos'!BB81,'LP Reactivos'!BG81,'LP Reactivos'!BL81,'LP Reactivos'!BQ81,'LP Reactivos'!BV81,'LP Reactivos'!CA81,'LP Reactivos'!CF81,'LP Reactivos'!CK81,'LP Reactivos'!CP81,'LP Reactivos'!CU81,'LP Reactivos'!CZ81,'LP Reactivos'!DE81,'LP Reactivos'!DJ81,'LP Reactivos'!DO81,'LP Reactivos'!DT81,'LP Reactivos'!DY81,'LP Reactivos'!EB81)," ")</f>
        <v>374807</v>
      </c>
      <c r="G81" s="345">
        <f>IFERROR(GEOMEAN('LP Reactivos'!F81,'LP Reactivos'!I81,'LP Reactivos'!N81,'LP Reactivos'!S81,'LP Reactivos'!X81,'LP Reactivos'!AC81,'LP Reactivos'!AH81,'LP Reactivos'!AM81,'LP Reactivos'!AR81,'LP Reactivos'!AW81,'LP Reactivos'!BB81,'LP Reactivos'!BG81,'LP Reactivos'!BL81,'LP Reactivos'!BQ81,'LP Reactivos'!BV81,'LP Reactivos'!CA81,'LP Reactivos'!CF81,'LP Reactivos'!CK81,'LP Reactivos'!CP81,'LP Reactivos'!CU81,'LP Reactivos'!CZ81,'LP Reactivos'!DE81,'LP Reactivos'!DJ81,'LP Reactivos'!DO81,'LP Reactivos'!DT81,'LP Reactivos'!DY81,'LP Reactivos'!EB81)," ")</f>
        <v>393317.17105507129</v>
      </c>
      <c r="H81" s="345">
        <f t="shared" si="4"/>
        <v>47820.982314503832</v>
      </c>
      <c r="I81" s="346">
        <f t="shared" si="5"/>
        <v>0.11790720808149245</v>
      </c>
      <c r="J81" s="345">
        <f t="shared" si="6"/>
        <v>405581.5</v>
      </c>
      <c r="K81" s="344" t="str">
        <f t="shared" si="7"/>
        <v>Promedio</v>
      </c>
      <c r="L81" s="326">
        <f>IFERROR(COUNTA('LP Reactivos'!F81,'LP Reactivos'!I81,'LP Reactivos'!N81,'LP Reactivos'!S81,'LP Reactivos'!X81,'LP Reactivos'!AC81,'LP Reactivos'!AH81,'LP Reactivos'!AM81,'LP Reactivos'!AR81,'LP Reactivos'!AW81,'LP Reactivos'!BB81,'LP Reactivos'!BG81,'LP Reactivos'!BL81,'LP Reactivos'!BQ81,'LP Reactivos'!BV81,'LP Reactivos'!CA81,'LP Reactivos'!CF81,'LP Reactivos'!CK81,'LP Reactivos'!CP81,'LP Reactivos'!CU81,'LP Reactivos'!CZ81,'LP Reactivos'!DE81,'LP Reactivos'!DJ81,'LP Reactivos'!DO81,'LP Reactivos'!DT81,'LP Reactivos'!DY81,'LP Reactivos'!EB81)," ")</f>
        <v>3</v>
      </c>
    </row>
    <row r="82" spans="2:12" ht="32.25" customHeight="1" x14ac:dyDescent="0.25">
      <c r="B82" s="425">
        <v>80</v>
      </c>
      <c r="C82" s="427" t="s">
        <v>914</v>
      </c>
      <c r="D82" s="429">
        <f>IFERROR(MIN('LP Reactivos'!F82,'LP Reactivos'!I82,'LP Reactivos'!N82,'LP Reactivos'!S82,'LP Reactivos'!X82,'LP Reactivos'!AC82,'LP Reactivos'!AH82,'LP Reactivos'!AM82,'LP Reactivos'!AR82,'LP Reactivos'!AW82,'LP Reactivos'!BB82,'LP Reactivos'!BG82,'LP Reactivos'!BL82,'LP Reactivos'!BQ82,'LP Reactivos'!BV82,'LP Reactivos'!CA82,'LP Reactivos'!CF82,'LP Reactivos'!CK82,'LP Reactivos'!CP82,'LP Reactivos'!CU82,'LP Reactivos'!CZ82,'LP Reactivos'!DE82,'LP Reactivos'!DJ82,'LP Reactivos'!DO82,'LP Reactivos'!DT82,'LP Reactivos'!DY82,'LP Reactivos'!EB82)," ")</f>
        <v>71400</v>
      </c>
      <c r="E82" s="429">
        <f>IFERROR(AVERAGE('LP Reactivos'!F82,'LP Reactivos'!I82,'LP Reactivos'!N82,'LP Reactivos'!S82,'LP Reactivos'!X82,'LP Reactivos'!AC82,'LP Reactivos'!AH82,'LP Reactivos'!AM82,'LP Reactivos'!AR82,'LP Reactivos'!AW82,'LP Reactivos'!BB82,'LP Reactivos'!BG82,'LP Reactivos'!BL82,'LP Reactivos'!BQ82,'LP Reactivos'!BV82,'LP Reactivos'!CA82,'LP Reactivos'!CF82,'LP Reactivos'!CK82,'LP Reactivos'!CP82,'LP Reactivos'!CU82,'LP Reactivos'!CZ82,'LP Reactivos'!DE82,'LP Reactivos'!DJ82,'LP Reactivos'!DO82,'LP Reactivos'!DT82,'LP Reactivos'!DY82,'LP Reactivos'!EB82)," ")</f>
        <v>137186.44133333335</v>
      </c>
      <c r="F82" s="345">
        <f>IFERROR(MEDIAN('LP Reactivos'!F82,'LP Reactivos'!I82,'LP Reactivos'!N82,'LP Reactivos'!S82,'LP Reactivos'!X82,'LP Reactivos'!AC82,'LP Reactivos'!AH82,'LP Reactivos'!AM82,'LP Reactivos'!AR82,'LP Reactivos'!AW82,'LP Reactivos'!BB82,'LP Reactivos'!BG82,'LP Reactivos'!BL82,'LP Reactivos'!BQ82,'LP Reactivos'!BV82,'LP Reactivos'!CA82,'LP Reactivos'!CF82,'LP Reactivos'!CK82,'LP Reactivos'!CP82,'LP Reactivos'!CU82,'LP Reactivos'!CZ82,'LP Reactivos'!DE82,'LP Reactivos'!DJ82,'LP Reactivos'!DO82,'LP Reactivos'!DT82,'LP Reactivos'!DY82,'LP Reactivos'!EB82)," ")</f>
        <v>133373.5</v>
      </c>
      <c r="G82" s="345">
        <f>IFERROR(GEOMEAN('LP Reactivos'!F82,'LP Reactivos'!I82,'LP Reactivos'!N82,'LP Reactivos'!S82,'LP Reactivos'!X82,'LP Reactivos'!AC82,'LP Reactivos'!AH82,'LP Reactivos'!AM82,'LP Reactivos'!AR82,'LP Reactivos'!AW82,'LP Reactivos'!BB82,'LP Reactivos'!BG82,'LP Reactivos'!BL82,'LP Reactivos'!BQ82,'LP Reactivos'!BV82,'LP Reactivos'!CA82,'LP Reactivos'!CF82,'LP Reactivos'!CK82,'LP Reactivos'!CP82,'LP Reactivos'!CU82,'LP Reactivos'!CZ82,'LP Reactivos'!DE82,'LP Reactivos'!DJ82,'LP Reactivos'!DO82,'LP Reactivos'!DT82,'LP Reactivos'!DY82,'LP Reactivos'!EB82)," ")</f>
        <v>128711.86355462947</v>
      </c>
      <c r="H82" s="345">
        <f t="shared" si="4"/>
        <v>31039.367629600758</v>
      </c>
      <c r="I82" s="346">
        <f t="shared" si="5"/>
        <v>0.22625681756830338</v>
      </c>
      <c r="J82" s="345">
        <f t="shared" si="6"/>
        <v>128711.86355462947</v>
      </c>
      <c r="K82" s="344" t="str">
        <f t="shared" si="7"/>
        <v>Media Geométrica</v>
      </c>
      <c r="L82" s="326">
        <f>IFERROR(COUNTA('LP Reactivos'!F82,'LP Reactivos'!I82,'LP Reactivos'!N82,'LP Reactivos'!S82,'LP Reactivos'!X82,'LP Reactivos'!AC82,'LP Reactivos'!AH82,'LP Reactivos'!AM82,'LP Reactivos'!AR82,'LP Reactivos'!AW82,'LP Reactivos'!BB82,'LP Reactivos'!BG82,'LP Reactivos'!BL82,'LP Reactivos'!BQ82,'LP Reactivos'!BV82,'LP Reactivos'!CA82,'LP Reactivos'!CF82,'LP Reactivos'!CK82,'LP Reactivos'!CP82,'LP Reactivos'!CU82,'LP Reactivos'!CZ82,'LP Reactivos'!DE82,'LP Reactivos'!DJ82,'LP Reactivos'!DO82,'LP Reactivos'!DT82,'LP Reactivos'!DY82,'LP Reactivos'!EB82)," ")</f>
        <v>6</v>
      </c>
    </row>
    <row r="83" spans="2:12" ht="29.25" customHeight="1" x14ac:dyDescent="0.25">
      <c r="B83" s="425">
        <v>81</v>
      </c>
      <c r="C83" s="413" t="s">
        <v>918</v>
      </c>
      <c r="D83" s="429">
        <f>IFERROR(MIN('LP Reactivos'!F83,'LP Reactivos'!I83,'LP Reactivos'!N83,'LP Reactivos'!S83,'LP Reactivos'!X83,'LP Reactivos'!AC83,'LP Reactivos'!AH83,'LP Reactivos'!AM83,'LP Reactivos'!AR83,'LP Reactivos'!AW83,'LP Reactivos'!BB83,'LP Reactivos'!BG83,'LP Reactivos'!BL83,'LP Reactivos'!BQ83,'LP Reactivos'!BV83,'LP Reactivos'!CA83,'LP Reactivos'!CF83,'LP Reactivos'!CK83,'LP Reactivos'!CP83,'LP Reactivos'!CU83,'LP Reactivos'!CZ83,'LP Reactivos'!DE83,'LP Reactivos'!DJ83,'LP Reactivos'!DO83,'LP Reactivos'!DT83,'LP Reactivos'!DY83,'LP Reactivos'!EB83)," ")</f>
        <v>163030</v>
      </c>
      <c r="E83" s="429">
        <f>IFERROR(AVERAGE('LP Reactivos'!F83,'LP Reactivos'!I83,'LP Reactivos'!N83,'LP Reactivos'!S83,'LP Reactivos'!X83,'LP Reactivos'!AC83,'LP Reactivos'!AH83,'LP Reactivos'!AM83,'LP Reactivos'!AR83,'LP Reactivos'!AW83,'LP Reactivos'!BB83,'LP Reactivos'!BG83,'LP Reactivos'!BL83,'LP Reactivos'!BQ83,'LP Reactivos'!BV83,'LP Reactivos'!CA83,'LP Reactivos'!CF83,'LP Reactivos'!CK83,'LP Reactivos'!CP83,'LP Reactivos'!CU83,'LP Reactivos'!CZ83,'LP Reactivos'!DE83,'LP Reactivos'!DJ83,'LP Reactivos'!DO83,'LP Reactivos'!DT83,'LP Reactivos'!DY83,'LP Reactivos'!EB83)," ")</f>
        <v>555019.47499999998</v>
      </c>
      <c r="F83" s="345">
        <f>IFERROR(MEDIAN('LP Reactivos'!F83,'LP Reactivos'!I83,'LP Reactivos'!N83,'LP Reactivos'!S83,'LP Reactivos'!X83,'LP Reactivos'!AC83,'LP Reactivos'!AH83,'LP Reactivos'!AM83,'LP Reactivos'!AR83,'LP Reactivos'!AW83,'LP Reactivos'!BB83,'LP Reactivos'!BG83,'LP Reactivos'!BL83,'LP Reactivos'!BQ83,'LP Reactivos'!BV83,'LP Reactivos'!CA83,'LP Reactivos'!CF83,'LP Reactivos'!CK83,'LP Reactivos'!CP83,'LP Reactivos'!CU83,'LP Reactivos'!CZ83,'LP Reactivos'!DE83,'LP Reactivos'!DJ83,'LP Reactivos'!DO83,'LP Reactivos'!DT83,'LP Reactivos'!DY83,'LP Reactivos'!EB83)," ")</f>
        <v>641773.94999999995</v>
      </c>
      <c r="G83" s="345">
        <f>IFERROR(GEOMEAN('LP Reactivos'!F83,'LP Reactivos'!I83,'LP Reactivos'!N83,'LP Reactivos'!S83,'LP Reactivos'!X83,'LP Reactivos'!AC83,'LP Reactivos'!AH83,'LP Reactivos'!AM83,'LP Reactivos'!AR83,'LP Reactivos'!AW83,'LP Reactivos'!BB83,'LP Reactivos'!BG83,'LP Reactivos'!BL83,'LP Reactivos'!BQ83,'LP Reactivos'!BV83,'LP Reactivos'!CA83,'LP Reactivos'!CF83,'LP Reactivos'!CK83,'LP Reactivos'!CP83,'LP Reactivos'!CU83,'LP Reactivos'!CZ83,'LP Reactivos'!DE83,'LP Reactivos'!DJ83,'LP Reactivos'!DO83,'LP Reactivos'!DT83,'LP Reactivos'!DY83,'LP Reactivos'!EB83)," ")</f>
        <v>475673.53138894669</v>
      </c>
      <c r="H83" s="345">
        <f t="shared" si="4"/>
        <v>208568.32666509837</v>
      </c>
      <c r="I83" s="346">
        <f t="shared" si="5"/>
        <v>0.37578560043338727</v>
      </c>
      <c r="J83" s="345">
        <f>IF(I83&lt;=10%,F83,IF(AND(I83&gt;10%,I83&lt;=20%),E83,IF(AND(I83&gt;20%,I83&lt;=38%),G83,IF(I83&gt;38%,D83))))</f>
        <v>475673.53138894669</v>
      </c>
      <c r="K83" s="344" t="str">
        <f t="shared" si="7"/>
        <v>Media Geométrica</v>
      </c>
      <c r="L83" s="326">
        <f>IFERROR(COUNTA('LP Reactivos'!F83,'LP Reactivos'!I83,'LP Reactivos'!N83,'LP Reactivos'!S83,'LP Reactivos'!X83,'LP Reactivos'!AC83,'LP Reactivos'!AH83,'LP Reactivos'!AM83,'LP Reactivos'!AR83,'LP Reactivos'!AW83,'LP Reactivos'!BB83,'LP Reactivos'!BG83,'LP Reactivos'!BL83,'LP Reactivos'!BQ83,'LP Reactivos'!BV83,'LP Reactivos'!CA83,'LP Reactivos'!CF83,'LP Reactivos'!CK83,'LP Reactivos'!CP83,'LP Reactivos'!CU83,'LP Reactivos'!CZ83,'LP Reactivos'!DE83,'LP Reactivos'!DJ83,'LP Reactivos'!DO83,'LP Reactivos'!DT83,'LP Reactivos'!DY83,'LP Reactivos'!EB83)," ")</f>
        <v>4</v>
      </c>
    </row>
    <row r="84" spans="2:12" x14ac:dyDescent="0.25">
      <c r="B84" s="425">
        <v>82</v>
      </c>
      <c r="C84" s="427" t="s">
        <v>923</v>
      </c>
      <c r="D84" s="429">
        <f>IFERROR(MIN('LP Reactivos'!F84,'LP Reactivos'!I84,'LP Reactivos'!N84,'LP Reactivos'!S84,'LP Reactivos'!X84,'LP Reactivos'!AC84,'LP Reactivos'!AH84,'LP Reactivos'!AM84,'LP Reactivos'!AR84,'LP Reactivos'!AW84,'LP Reactivos'!BB84,'LP Reactivos'!BG84,'LP Reactivos'!BL84,'LP Reactivos'!BQ84,'LP Reactivos'!BV84,'LP Reactivos'!CA84,'LP Reactivos'!CF84,'LP Reactivos'!CK84,'LP Reactivos'!CP84,'LP Reactivos'!CU84,'LP Reactivos'!CZ84,'LP Reactivos'!DE84,'LP Reactivos'!DJ84,'LP Reactivos'!DO84,'LP Reactivos'!DT84,'LP Reactivos'!DY84,'LP Reactivos'!EB84)," ")</f>
        <v>246000</v>
      </c>
      <c r="E84" s="429">
        <f>IFERROR(AVERAGE('LP Reactivos'!F84,'LP Reactivos'!I84,'LP Reactivos'!N84,'LP Reactivos'!S84,'LP Reactivos'!X84,'LP Reactivos'!AC84,'LP Reactivos'!AH84,'LP Reactivos'!AM84,'LP Reactivos'!AR84,'LP Reactivos'!AW84,'LP Reactivos'!BB84,'LP Reactivos'!BG84,'LP Reactivos'!BL84,'LP Reactivos'!BQ84,'LP Reactivos'!BV84,'LP Reactivos'!CA84,'LP Reactivos'!CF84,'LP Reactivos'!CK84,'LP Reactivos'!CP84,'LP Reactivos'!CU84,'LP Reactivos'!CZ84,'LP Reactivos'!DE84,'LP Reactivos'!DJ84,'LP Reactivos'!DO84,'LP Reactivos'!DT84,'LP Reactivos'!DY84,'LP Reactivos'!EB84)," ")</f>
        <v>327596.38024285715</v>
      </c>
      <c r="F84" s="345">
        <f>IFERROR(MEDIAN('LP Reactivos'!F84,'LP Reactivos'!I84,'LP Reactivos'!N84,'LP Reactivos'!S84,'LP Reactivos'!X84,'LP Reactivos'!AC84,'LP Reactivos'!AH84,'LP Reactivos'!AM84,'LP Reactivos'!AR84,'LP Reactivos'!AW84,'LP Reactivos'!BB84,'LP Reactivos'!BG84,'LP Reactivos'!BL84,'LP Reactivos'!BQ84,'LP Reactivos'!BV84,'LP Reactivos'!CA84,'LP Reactivos'!CF84,'LP Reactivos'!CK84,'LP Reactivos'!CP84,'LP Reactivos'!CU84,'LP Reactivos'!CZ84,'LP Reactivos'!DE84,'LP Reactivos'!DJ84,'LP Reactivos'!DO84,'LP Reactivos'!DT84,'LP Reactivos'!DY84,'LP Reactivos'!EB84)," ")</f>
        <v>305830</v>
      </c>
      <c r="G84" s="345">
        <f>IFERROR(GEOMEAN('LP Reactivos'!F84,'LP Reactivos'!I84,'LP Reactivos'!N84,'LP Reactivos'!S84,'LP Reactivos'!X84,'LP Reactivos'!AC84,'LP Reactivos'!AH84,'LP Reactivos'!AM84,'LP Reactivos'!AR84,'LP Reactivos'!AW84,'LP Reactivos'!BB84,'LP Reactivos'!BG84,'LP Reactivos'!BL84,'LP Reactivos'!BQ84,'LP Reactivos'!BV84,'LP Reactivos'!CA84,'LP Reactivos'!CF84,'LP Reactivos'!CK84,'LP Reactivos'!CP84,'LP Reactivos'!CU84,'LP Reactivos'!CZ84,'LP Reactivos'!DE84,'LP Reactivos'!DJ84,'LP Reactivos'!DO84,'LP Reactivos'!DT84,'LP Reactivos'!DY84,'LP Reactivos'!EB84)," ")</f>
        <v>316212.74869495293</v>
      </c>
      <c r="H84" s="345">
        <f t="shared" si="4"/>
        <v>36376.036176072215</v>
      </c>
      <c r="I84" s="346">
        <f t="shared" si="5"/>
        <v>0.11103918837291656</v>
      </c>
      <c r="J84" s="345">
        <f t="shared" si="6"/>
        <v>327596.38024285715</v>
      </c>
      <c r="K84" s="344" t="str">
        <f t="shared" si="7"/>
        <v>Promedio</v>
      </c>
      <c r="L84" s="326">
        <f>IFERROR(COUNTA('LP Reactivos'!F84,'LP Reactivos'!I84,'LP Reactivos'!N84,'LP Reactivos'!S84,'LP Reactivos'!X84,'LP Reactivos'!AC84,'LP Reactivos'!AH84,'LP Reactivos'!AM84,'LP Reactivos'!AR84,'LP Reactivos'!AW84,'LP Reactivos'!BB84,'LP Reactivos'!BG84,'LP Reactivos'!BL84,'LP Reactivos'!BQ84,'LP Reactivos'!BV84,'LP Reactivos'!CA84,'LP Reactivos'!CF84,'LP Reactivos'!CK84,'LP Reactivos'!CP84,'LP Reactivos'!CU84,'LP Reactivos'!CZ84,'LP Reactivos'!DE84,'LP Reactivos'!DJ84,'LP Reactivos'!DO84,'LP Reactivos'!DT84,'LP Reactivos'!DY84,'LP Reactivos'!EB84)," ")</f>
        <v>7</v>
      </c>
    </row>
    <row r="85" spans="2:12" x14ac:dyDescent="0.25">
      <c r="B85" s="425">
        <v>83</v>
      </c>
      <c r="C85" s="427" t="s">
        <v>929</v>
      </c>
      <c r="D85" s="429">
        <f>IFERROR(MIN('LP Reactivos'!F85,'LP Reactivos'!I85,'LP Reactivos'!N85,'LP Reactivos'!S85,'LP Reactivos'!X85,'LP Reactivos'!AC85,'LP Reactivos'!AH85,'LP Reactivos'!AM85,'LP Reactivos'!AR85,'LP Reactivos'!AW85,'LP Reactivos'!BB85,'LP Reactivos'!BG85,'LP Reactivos'!BL85,'LP Reactivos'!BQ85,'LP Reactivos'!BV85,'LP Reactivos'!CA85,'LP Reactivos'!CF85,'LP Reactivos'!CK85,'LP Reactivos'!CP85,'LP Reactivos'!CU85,'LP Reactivos'!CZ85,'LP Reactivos'!DE85,'LP Reactivos'!DJ85,'LP Reactivos'!DO85,'LP Reactivos'!DT85,'LP Reactivos'!DY85,'LP Reactivos'!EB85)," ")</f>
        <v>206131.8</v>
      </c>
      <c r="E85" s="429">
        <f>IFERROR(AVERAGE('LP Reactivos'!F85,'LP Reactivos'!I85,'LP Reactivos'!N85,'LP Reactivos'!S85,'LP Reactivos'!X85,'LP Reactivos'!AC85,'LP Reactivos'!AH85,'LP Reactivos'!AM85,'LP Reactivos'!AR85,'LP Reactivos'!AW85,'LP Reactivos'!BB85,'LP Reactivos'!BG85,'LP Reactivos'!BL85,'LP Reactivos'!BQ85,'LP Reactivos'!BV85,'LP Reactivos'!CA85,'LP Reactivos'!CF85,'LP Reactivos'!CK85,'LP Reactivos'!CP85,'LP Reactivos'!CU85,'LP Reactivos'!CZ85,'LP Reactivos'!DE85,'LP Reactivos'!DJ85,'LP Reactivos'!DO85,'LP Reactivos'!DT85,'LP Reactivos'!DY85,'LP Reactivos'!EB85)," ")</f>
        <v>310441.09133333334</v>
      </c>
      <c r="F85" s="345">
        <f>IFERROR(MEDIAN('LP Reactivos'!F85,'LP Reactivos'!I85,'LP Reactivos'!N85,'LP Reactivos'!S85,'LP Reactivos'!X85,'LP Reactivos'!AC85,'LP Reactivos'!AH85,'LP Reactivos'!AM85,'LP Reactivos'!AR85,'LP Reactivos'!AW85,'LP Reactivos'!BB85,'LP Reactivos'!BG85,'LP Reactivos'!BL85,'LP Reactivos'!BQ85,'LP Reactivos'!BV85,'LP Reactivos'!CA85,'LP Reactivos'!CF85,'LP Reactivos'!CK85,'LP Reactivos'!CP85,'LP Reactivos'!CU85,'LP Reactivos'!CZ85,'LP Reactivos'!DE85,'LP Reactivos'!DJ85,'LP Reactivos'!DO85,'LP Reactivos'!DT85,'LP Reactivos'!DY85,'LP Reactivos'!EB85)," ")</f>
        <v>355696.47399999999</v>
      </c>
      <c r="G85" s="345">
        <f>IFERROR(GEOMEAN('LP Reactivos'!F85,'LP Reactivos'!I85,'LP Reactivos'!N85,'LP Reactivos'!S85,'LP Reactivos'!X85,'LP Reactivos'!AC85,'LP Reactivos'!AH85,'LP Reactivos'!AM85,'LP Reactivos'!AR85,'LP Reactivos'!AW85,'LP Reactivos'!BB85,'LP Reactivos'!BG85,'LP Reactivos'!BL85,'LP Reactivos'!BQ85,'LP Reactivos'!BV85,'LP Reactivos'!CA85,'LP Reactivos'!CF85,'LP Reactivos'!CK85,'LP Reactivos'!CP85,'LP Reactivos'!CU85,'LP Reactivos'!CZ85,'LP Reactivos'!DE85,'LP Reactivos'!DJ85,'LP Reactivos'!DO85,'LP Reactivos'!DT85,'LP Reactivos'!DY85,'LP Reactivos'!EB85)," ")</f>
        <v>300338.52291391982</v>
      </c>
      <c r="H85" s="345">
        <f t="shared" si="4"/>
        <v>62808.930433758433</v>
      </c>
      <c r="I85" s="346">
        <f t="shared" si="5"/>
        <v>0.20232157464721029</v>
      </c>
      <c r="J85" s="345">
        <f t="shared" si="6"/>
        <v>300338.52291391982</v>
      </c>
      <c r="K85" s="344" t="str">
        <f t="shared" si="7"/>
        <v>Media Geométrica</v>
      </c>
      <c r="L85" s="326">
        <f>IFERROR(COUNTA('LP Reactivos'!F85,'LP Reactivos'!I85,'LP Reactivos'!N85,'LP Reactivos'!S85,'LP Reactivos'!X85,'LP Reactivos'!AC85,'LP Reactivos'!AH85,'LP Reactivos'!AM85,'LP Reactivos'!AR85,'LP Reactivos'!AW85,'LP Reactivos'!BB85,'LP Reactivos'!BG85,'LP Reactivos'!BL85,'LP Reactivos'!BQ85,'LP Reactivos'!BV85,'LP Reactivos'!CA85,'LP Reactivos'!CF85,'LP Reactivos'!CK85,'LP Reactivos'!CP85,'LP Reactivos'!CU85,'LP Reactivos'!CZ85,'LP Reactivos'!DE85,'LP Reactivos'!DJ85,'LP Reactivos'!DO85,'LP Reactivos'!DT85,'LP Reactivos'!DY85,'LP Reactivos'!EB85)," ")</f>
        <v>3</v>
      </c>
    </row>
    <row r="86" spans="2:12" x14ac:dyDescent="0.25">
      <c r="B86" s="425">
        <v>84</v>
      </c>
      <c r="C86" s="427" t="s">
        <v>931</v>
      </c>
      <c r="D86" s="429">
        <f>IFERROR(MIN('LP Reactivos'!F86,'LP Reactivos'!I86,'LP Reactivos'!N86,'LP Reactivos'!S86,'LP Reactivos'!X86,'LP Reactivos'!AC86,'LP Reactivos'!AH86,'LP Reactivos'!AM86,'LP Reactivos'!AR86,'LP Reactivos'!AW86,'LP Reactivos'!BB86,'LP Reactivos'!BG86,'LP Reactivos'!BL86,'LP Reactivos'!BQ86,'LP Reactivos'!BV86,'LP Reactivos'!CA86,'LP Reactivos'!CF86,'LP Reactivos'!CK86,'LP Reactivos'!CP86,'LP Reactivos'!CU86,'LP Reactivos'!CZ86,'LP Reactivos'!DE86,'LP Reactivos'!DJ86,'LP Reactivos'!DO86,'LP Reactivos'!DT86,'LP Reactivos'!DY86,'LP Reactivos'!EB86)," ")</f>
        <v>656880</v>
      </c>
      <c r="E86" s="429">
        <f>IFERROR(AVERAGE('LP Reactivos'!F86,'LP Reactivos'!I86,'LP Reactivos'!N86,'LP Reactivos'!S86,'LP Reactivos'!X86,'LP Reactivos'!AC86,'LP Reactivos'!AH86,'LP Reactivos'!AM86,'LP Reactivos'!AR86,'LP Reactivos'!AW86,'LP Reactivos'!BB86,'LP Reactivos'!BG86,'LP Reactivos'!BL86,'LP Reactivos'!BQ86,'LP Reactivos'!BV86,'LP Reactivos'!CA86,'LP Reactivos'!CF86,'LP Reactivos'!CK86,'LP Reactivos'!CP86,'LP Reactivos'!CU86,'LP Reactivos'!CZ86,'LP Reactivos'!DE86,'LP Reactivos'!DJ86,'LP Reactivos'!DO86,'LP Reactivos'!DT86,'LP Reactivos'!DY86,'LP Reactivos'!EB86)," ")</f>
        <v>686021.79099999997</v>
      </c>
      <c r="F86" s="345">
        <f>IFERROR(MEDIAN('LP Reactivos'!F86,'LP Reactivos'!I86,'LP Reactivos'!N86,'LP Reactivos'!S86,'LP Reactivos'!X86,'LP Reactivos'!AC86,'LP Reactivos'!AH86,'LP Reactivos'!AM86,'LP Reactivos'!AR86,'LP Reactivos'!AW86,'LP Reactivos'!BB86,'LP Reactivos'!BG86,'LP Reactivos'!BL86,'LP Reactivos'!BQ86,'LP Reactivos'!BV86,'LP Reactivos'!CA86,'LP Reactivos'!CF86,'LP Reactivos'!CK86,'LP Reactivos'!CP86,'LP Reactivos'!CU86,'LP Reactivos'!CZ86,'LP Reactivos'!DE86,'LP Reactivos'!DJ86,'LP Reactivos'!DO86,'LP Reactivos'!DT86,'LP Reactivos'!DY86,'LP Reactivos'!EB86)," ")</f>
        <v>686021.79099999997</v>
      </c>
      <c r="G86" s="345">
        <f>IFERROR(GEOMEAN('LP Reactivos'!F86,'LP Reactivos'!I86,'LP Reactivos'!N86,'LP Reactivos'!S86,'LP Reactivos'!X86,'LP Reactivos'!AC86,'LP Reactivos'!AH86,'LP Reactivos'!AM86,'LP Reactivos'!AR86,'LP Reactivos'!AW86,'LP Reactivos'!BB86,'LP Reactivos'!BG86,'LP Reactivos'!BL86,'LP Reactivos'!BQ86,'LP Reactivos'!BV86,'LP Reactivos'!CA86,'LP Reactivos'!CF86,'LP Reactivos'!CK86,'LP Reactivos'!CP86,'LP Reactivos'!CU86,'LP Reactivos'!CZ86,'LP Reactivos'!DE86,'LP Reactivos'!DJ86,'LP Reactivos'!DO86,'LP Reactivos'!DT86,'LP Reactivos'!DY86,'LP Reactivos'!EB86)," ")</f>
        <v>685402.54868519423</v>
      </c>
      <c r="H86" s="345">
        <f t="shared" si="4"/>
        <v>14470.633109172997</v>
      </c>
      <c r="I86" s="346">
        <f t="shared" si="5"/>
        <v>2.1093547317322749E-2</v>
      </c>
      <c r="J86" s="345">
        <f t="shared" si="6"/>
        <v>686021.79099999997</v>
      </c>
      <c r="K86" s="344" t="str">
        <f t="shared" si="7"/>
        <v>Promedio</v>
      </c>
      <c r="L86" s="326">
        <f>IFERROR(COUNTA('LP Reactivos'!F86,'LP Reactivos'!I86,'LP Reactivos'!N86,'LP Reactivos'!S86,'LP Reactivos'!X86,'LP Reactivos'!AC86,'LP Reactivos'!AH86,'LP Reactivos'!AM86,'LP Reactivos'!AR86,'LP Reactivos'!AW86,'LP Reactivos'!BB86,'LP Reactivos'!BG86,'LP Reactivos'!BL86,'LP Reactivos'!BQ86,'LP Reactivos'!BV86,'LP Reactivos'!CA86,'LP Reactivos'!CF86,'LP Reactivos'!CK86,'LP Reactivos'!CP86,'LP Reactivos'!CU86,'LP Reactivos'!CZ86,'LP Reactivos'!DE86,'LP Reactivos'!DJ86,'LP Reactivos'!DO86,'LP Reactivos'!DT86,'LP Reactivos'!DY86,'LP Reactivos'!EB86)," ")</f>
        <v>2</v>
      </c>
    </row>
    <row r="87" spans="2:12" x14ac:dyDescent="0.25">
      <c r="B87" s="425">
        <v>85</v>
      </c>
      <c r="C87" s="427" t="s">
        <v>934</v>
      </c>
      <c r="D87" s="429">
        <f>IFERROR(MIN('LP Reactivos'!F87,'LP Reactivos'!I87,'LP Reactivos'!N87,'LP Reactivos'!S87,'LP Reactivos'!X87,'LP Reactivos'!AC87,'LP Reactivos'!AH87,'LP Reactivos'!AM87,'LP Reactivos'!AR87,'LP Reactivos'!AW87,'LP Reactivos'!BB87,'LP Reactivos'!BG87,'LP Reactivos'!BL87,'LP Reactivos'!BQ87,'LP Reactivos'!BV87,'LP Reactivos'!CA87,'LP Reactivos'!CF87,'LP Reactivos'!CK87,'LP Reactivos'!CP87,'LP Reactivos'!CU87,'LP Reactivos'!CZ87,'LP Reactivos'!DE87,'LP Reactivos'!DJ87,'LP Reactivos'!DO87,'LP Reactivos'!DT87,'LP Reactivos'!DY87,'LP Reactivos'!EB87)," ")</f>
        <v>190748.67</v>
      </c>
      <c r="E87" s="429">
        <f>IFERROR(AVERAGE('LP Reactivos'!F87,'LP Reactivos'!I87,'LP Reactivos'!N87,'LP Reactivos'!S87,'LP Reactivos'!X87,'LP Reactivos'!AC87,'LP Reactivos'!AH87,'LP Reactivos'!AM87,'LP Reactivos'!AR87,'LP Reactivos'!AW87,'LP Reactivos'!BB87,'LP Reactivos'!BG87,'LP Reactivos'!BL87,'LP Reactivos'!BQ87,'LP Reactivos'!BV87,'LP Reactivos'!CA87,'LP Reactivos'!CF87,'LP Reactivos'!CK87,'LP Reactivos'!CP87,'LP Reactivos'!CU87,'LP Reactivos'!CZ87,'LP Reactivos'!DE87,'LP Reactivos'!DJ87,'LP Reactivos'!DO87,'LP Reactivos'!DT87,'LP Reactivos'!DY87,'LP Reactivos'!EB87)," ")</f>
        <v>220422.66733333332</v>
      </c>
      <c r="F87" s="345">
        <f>IFERROR(MEDIAN('LP Reactivos'!F87,'LP Reactivos'!I87,'LP Reactivos'!N87,'LP Reactivos'!S87,'LP Reactivos'!X87,'LP Reactivos'!AC87,'LP Reactivos'!AH87,'LP Reactivos'!AM87,'LP Reactivos'!AR87,'LP Reactivos'!AW87,'LP Reactivos'!BB87,'LP Reactivos'!BG87,'LP Reactivos'!BL87,'LP Reactivos'!BQ87,'LP Reactivos'!BV87,'LP Reactivos'!CA87,'LP Reactivos'!CF87,'LP Reactivos'!CK87,'LP Reactivos'!CP87,'LP Reactivos'!CU87,'LP Reactivos'!CZ87,'LP Reactivos'!DE87,'LP Reactivos'!DJ87,'LP Reactivos'!DO87,'LP Reactivos'!DT87,'LP Reactivos'!DY87,'LP Reactivos'!EB87)," ")</f>
        <v>226685</v>
      </c>
      <c r="G87" s="345">
        <f>IFERROR(GEOMEAN('LP Reactivos'!F87,'LP Reactivos'!I87,'LP Reactivos'!N87,'LP Reactivos'!S87,'LP Reactivos'!X87,'LP Reactivos'!AC87,'LP Reactivos'!AH87,'LP Reactivos'!AM87,'LP Reactivos'!AR87,'LP Reactivos'!AW87,'LP Reactivos'!BB87,'LP Reactivos'!BG87,'LP Reactivos'!BL87,'LP Reactivos'!BQ87,'LP Reactivos'!BV87,'LP Reactivos'!CA87,'LP Reactivos'!CF87,'LP Reactivos'!CK87,'LP Reactivos'!CP87,'LP Reactivos'!CU87,'LP Reactivos'!CZ87,'LP Reactivos'!DE87,'LP Reactivos'!DJ87,'LP Reactivos'!DO87,'LP Reactivos'!DT87,'LP Reactivos'!DY87,'LP Reactivos'!EB87)," ")</f>
        <v>219276.98548655453</v>
      </c>
      <c r="H87" s="345">
        <f t="shared" si="4"/>
        <v>16024.041293374921</v>
      </c>
      <c r="I87" s="346">
        <f t="shared" si="5"/>
        <v>7.2696884976637302E-2</v>
      </c>
      <c r="J87" s="345">
        <f t="shared" si="6"/>
        <v>226685</v>
      </c>
      <c r="K87" s="344" t="str">
        <f t="shared" si="7"/>
        <v>Mediana</v>
      </c>
      <c r="L87" s="326">
        <f>IFERROR(COUNTA('LP Reactivos'!F87,'LP Reactivos'!I87,'LP Reactivos'!N87,'LP Reactivos'!S87,'LP Reactivos'!X87,'LP Reactivos'!AC87,'LP Reactivos'!AH87,'LP Reactivos'!AM87,'LP Reactivos'!AR87,'LP Reactivos'!AW87,'LP Reactivos'!BB87,'LP Reactivos'!BG87,'LP Reactivos'!BL87,'LP Reactivos'!BQ87,'LP Reactivos'!BV87,'LP Reactivos'!CA87,'LP Reactivos'!CF87,'LP Reactivos'!CK87,'LP Reactivos'!CP87,'LP Reactivos'!CU87,'LP Reactivos'!CZ87,'LP Reactivos'!DE87,'LP Reactivos'!DJ87,'LP Reactivos'!DO87,'LP Reactivos'!DT87,'LP Reactivos'!DY87,'LP Reactivos'!EB87)," ")</f>
        <v>3</v>
      </c>
    </row>
    <row r="88" spans="2:12" x14ac:dyDescent="0.25">
      <c r="B88" s="425">
        <v>86</v>
      </c>
      <c r="C88" s="427" t="s">
        <v>937</v>
      </c>
      <c r="D88" s="429">
        <f>IFERROR(MIN('LP Reactivos'!F88,'LP Reactivos'!I88,'LP Reactivos'!N88,'LP Reactivos'!S88,'LP Reactivos'!X88,'LP Reactivos'!AC88,'LP Reactivos'!AH88,'LP Reactivos'!AM88,'LP Reactivos'!AR88,'LP Reactivos'!AW88,'LP Reactivos'!BB88,'LP Reactivos'!BG88,'LP Reactivos'!BL88,'LP Reactivos'!BQ88,'LP Reactivos'!BV88,'LP Reactivos'!CA88,'LP Reactivos'!CF88,'LP Reactivos'!CK88,'LP Reactivos'!CP88,'LP Reactivos'!CU88,'LP Reactivos'!CZ88,'LP Reactivos'!DE88,'LP Reactivos'!DJ88,'LP Reactivos'!DO88,'LP Reactivos'!DT88,'LP Reactivos'!DY88,'LP Reactivos'!EB88)," ")</f>
        <v>295834</v>
      </c>
      <c r="E88" s="429">
        <f>IFERROR(AVERAGE('LP Reactivos'!F88,'LP Reactivos'!I88,'LP Reactivos'!N88,'LP Reactivos'!S88,'LP Reactivos'!X88,'LP Reactivos'!AC88,'LP Reactivos'!AH88,'LP Reactivos'!AM88,'LP Reactivos'!AR88,'LP Reactivos'!AW88,'LP Reactivos'!BB88,'LP Reactivos'!BG88,'LP Reactivos'!BL88,'LP Reactivos'!BQ88,'LP Reactivos'!BV88,'LP Reactivos'!CA88,'LP Reactivos'!CF88,'LP Reactivos'!CK88,'LP Reactivos'!CP88,'LP Reactivos'!CU88,'LP Reactivos'!CZ88,'LP Reactivos'!DE88,'LP Reactivos'!DJ88,'LP Reactivos'!DO88,'LP Reactivos'!DT88,'LP Reactivos'!DY88,'LP Reactivos'!EB88)," ")</f>
        <v>400136.43685999996</v>
      </c>
      <c r="F88" s="345">
        <f>IFERROR(MEDIAN('LP Reactivos'!F88,'LP Reactivos'!I88,'LP Reactivos'!N88,'LP Reactivos'!S88,'LP Reactivos'!X88,'LP Reactivos'!AC88,'LP Reactivos'!AH88,'LP Reactivos'!AM88,'LP Reactivos'!AR88,'LP Reactivos'!AW88,'LP Reactivos'!BB88,'LP Reactivos'!BG88,'LP Reactivos'!BL88,'LP Reactivos'!BQ88,'LP Reactivos'!BV88,'LP Reactivos'!CA88,'LP Reactivos'!CF88,'LP Reactivos'!CK88,'LP Reactivos'!CP88,'LP Reactivos'!CU88,'LP Reactivos'!CZ88,'LP Reactivos'!DE88,'LP Reactivos'!DJ88,'LP Reactivos'!DO88,'LP Reactivos'!DT88,'LP Reactivos'!DY88,'LP Reactivos'!EB88)," ")</f>
        <v>424509.61629999999</v>
      </c>
      <c r="G88" s="345">
        <f>IFERROR(GEOMEAN('LP Reactivos'!F88,'LP Reactivos'!I88,'LP Reactivos'!N88,'LP Reactivos'!S88,'LP Reactivos'!X88,'LP Reactivos'!AC88,'LP Reactivos'!AH88,'LP Reactivos'!AM88,'LP Reactivos'!AR88,'LP Reactivos'!AW88,'LP Reactivos'!BB88,'LP Reactivos'!BG88,'LP Reactivos'!BL88,'LP Reactivos'!BQ88,'LP Reactivos'!BV88,'LP Reactivos'!CA88,'LP Reactivos'!CF88,'LP Reactivos'!CK88,'LP Reactivos'!CP88,'LP Reactivos'!CU88,'LP Reactivos'!CZ88,'LP Reactivos'!DE88,'LP Reactivos'!DJ88,'LP Reactivos'!DO88,'LP Reactivos'!DT88,'LP Reactivos'!DY88,'LP Reactivos'!EB88)," ")</f>
        <v>391715.34975951415</v>
      </c>
      <c r="H88" s="345">
        <f t="shared" si="4"/>
        <v>56546.497311741659</v>
      </c>
      <c r="I88" s="346">
        <f t="shared" si="5"/>
        <v>0.1413180408049822</v>
      </c>
      <c r="J88" s="345">
        <f t="shared" si="6"/>
        <v>400136.43685999996</v>
      </c>
      <c r="K88" s="344" t="str">
        <f t="shared" si="7"/>
        <v>Promedio</v>
      </c>
      <c r="L88" s="326">
        <f>IFERROR(COUNTA('LP Reactivos'!F88,'LP Reactivos'!I88,'LP Reactivos'!N88,'LP Reactivos'!S88,'LP Reactivos'!X88,'LP Reactivos'!AC88,'LP Reactivos'!AH88,'LP Reactivos'!AM88,'LP Reactivos'!AR88,'LP Reactivos'!AW88,'LP Reactivos'!BB88,'LP Reactivos'!BG88,'LP Reactivos'!BL88,'LP Reactivos'!BQ88,'LP Reactivos'!BV88,'LP Reactivos'!CA88,'LP Reactivos'!CF88,'LP Reactivos'!CK88,'LP Reactivos'!CP88,'LP Reactivos'!CU88,'LP Reactivos'!CZ88,'LP Reactivos'!DE88,'LP Reactivos'!DJ88,'LP Reactivos'!DO88,'LP Reactivos'!DT88,'LP Reactivos'!DY88,'LP Reactivos'!EB88)," ")</f>
        <v>5</v>
      </c>
    </row>
    <row r="89" spans="2:12" ht="67.5" x14ac:dyDescent="0.25">
      <c r="B89" s="425">
        <v>87</v>
      </c>
      <c r="C89" s="427" t="s">
        <v>941</v>
      </c>
      <c r="D89" s="429">
        <f>IFERROR(MIN('LP Reactivos'!F89,'LP Reactivos'!I89,'LP Reactivos'!N89,'LP Reactivos'!S89,'LP Reactivos'!X89,'LP Reactivos'!AC89,'LP Reactivos'!AH89,'LP Reactivos'!AM89,'LP Reactivos'!AR89,'LP Reactivos'!AW89,'LP Reactivos'!BB89,'LP Reactivos'!BG89,'LP Reactivos'!BL89,'LP Reactivos'!BQ89,'LP Reactivos'!BV89,'LP Reactivos'!CA89,'LP Reactivos'!CF89,'LP Reactivos'!CK89,'LP Reactivos'!CP89,'LP Reactivos'!CU89,'LP Reactivos'!CZ89,'LP Reactivos'!DE89,'LP Reactivos'!DJ89,'LP Reactivos'!DO89,'LP Reactivos'!DT89,'LP Reactivos'!DY89,'LP Reactivos'!EB89)," ")</f>
        <v>188020</v>
      </c>
      <c r="E89" s="429">
        <f>IFERROR(AVERAGE('LP Reactivos'!F89,'LP Reactivos'!I89,'LP Reactivos'!N89,'LP Reactivos'!S89,'LP Reactivos'!X89,'LP Reactivos'!AC89,'LP Reactivos'!AH89,'LP Reactivos'!AM89,'LP Reactivos'!AR89,'LP Reactivos'!AW89,'LP Reactivos'!BB89,'LP Reactivos'!BG89,'LP Reactivos'!BL89,'LP Reactivos'!BQ89,'LP Reactivos'!BV89,'LP Reactivos'!CA89,'LP Reactivos'!CF89,'LP Reactivos'!CK89,'LP Reactivos'!CP89,'LP Reactivos'!CU89,'LP Reactivos'!CZ89,'LP Reactivos'!DE89,'LP Reactivos'!DJ89,'LP Reactivos'!DO89,'LP Reactivos'!DT89,'LP Reactivos'!DY89,'LP Reactivos'!EB89)," ")</f>
        <v>265609.24651999999</v>
      </c>
      <c r="F89" s="345">
        <f>IFERROR(MEDIAN('LP Reactivos'!F89,'LP Reactivos'!I89,'LP Reactivos'!N89,'LP Reactivos'!S89,'LP Reactivos'!X89,'LP Reactivos'!AC89,'LP Reactivos'!AH89,'LP Reactivos'!AM89,'LP Reactivos'!AR89,'LP Reactivos'!AW89,'LP Reactivos'!BB89,'LP Reactivos'!BG89,'LP Reactivos'!BL89,'LP Reactivos'!BQ89,'LP Reactivos'!BV89,'LP Reactivos'!CA89,'LP Reactivos'!CF89,'LP Reactivos'!CK89,'LP Reactivos'!CP89,'LP Reactivos'!CU89,'LP Reactivos'!CZ89,'LP Reactivos'!DE89,'LP Reactivos'!DJ89,'LP Reactivos'!DO89,'LP Reactivos'!DT89,'LP Reactivos'!DY89,'LP Reactivos'!EB89)," ")</f>
        <v>279247.23259999999</v>
      </c>
      <c r="G89" s="345">
        <f>IFERROR(GEOMEAN('LP Reactivos'!F89,'LP Reactivos'!I89,'LP Reactivos'!N89,'LP Reactivos'!S89,'LP Reactivos'!X89,'LP Reactivos'!AC89,'LP Reactivos'!AH89,'LP Reactivos'!AM89,'LP Reactivos'!AR89,'LP Reactivos'!AW89,'LP Reactivos'!BB89,'LP Reactivos'!BG89,'LP Reactivos'!BL89,'LP Reactivos'!BQ89,'LP Reactivos'!BV89,'LP Reactivos'!CA89,'LP Reactivos'!CF89,'LP Reactivos'!CK89,'LP Reactivos'!CP89,'LP Reactivos'!CU89,'LP Reactivos'!CZ89,'LP Reactivos'!DE89,'LP Reactivos'!DJ89,'LP Reactivos'!DO89,'LP Reactivos'!DT89,'LP Reactivos'!DY89,'LP Reactivos'!EB89)," ")</f>
        <v>257878.64947982013</v>
      </c>
      <c r="H89" s="345">
        <f t="shared" si="4"/>
        <v>40748.316110423526</v>
      </c>
      <c r="I89" s="346">
        <f t="shared" si="5"/>
        <v>0.15341452394563093</v>
      </c>
      <c r="J89" s="345">
        <f t="shared" si="6"/>
        <v>265609.24651999999</v>
      </c>
      <c r="K89" s="344" t="str">
        <f t="shared" si="7"/>
        <v>Promedio</v>
      </c>
      <c r="L89" s="326">
        <f>IFERROR(COUNTA('LP Reactivos'!F89,'LP Reactivos'!I89,'LP Reactivos'!N89,'LP Reactivos'!S89,'LP Reactivos'!X89,'LP Reactivos'!AC89,'LP Reactivos'!AH89,'LP Reactivos'!AM89,'LP Reactivos'!AR89,'LP Reactivos'!AW89,'LP Reactivos'!BB89,'LP Reactivos'!BG89,'LP Reactivos'!BL89,'LP Reactivos'!BQ89,'LP Reactivos'!BV89,'LP Reactivos'!CA89,'LP Reactivos'!CF89,'LP Reactivos'!CK89,'LP Reactivos'!CP89,'LP Reactivos'!CU89,'LP Reactivos'!CZ89,'LP Reactivos'!DE89,'LP Reactivos'!DJ89,'LP Reactivos'!DO89,'LP Reactivos'!DT89,'LP Reactivos'!DY89,'LP Reactivos'!EB89)," ")</f>
        <v>5</v>
      </c>
    </row>
    <row r="90" spans="2:12" x14ac:dyDescent="0.25">
      <c r="B90" s="425">
        <v>88</v>
      </c>
      <c r="C90" s="428" t="s">
        <v>945</v>
      </c>
      <c r="D90" s="429">
        <f>IFERROR(MIN('LP Reactivos'!F90,'LP Reactivos'!I90,'LP Reactivos'!N90,'LP Reactivos'!S90,'LP Reactivos'!X90,'LP Reactivos'!AC90,'LP Reactivos'!AH90,'LP Reactivos'!AM90,'LP Reactivos'!AR90,'LP Reactivos'!AW90,'LP Reactivos'!BB90,'LP Reactivos'!BG90,'LP Reactivos'!BL90,'LP Reactivos'!BQ90,'LP Reactivos'!BV90,'LP Reactivos'!CA90,'LP Reactivos'!CF90,'LP Reactivos'!CK90,'LP Reactivos'!CP90,'LP Reactivos'!CU90,'LP Reactivos'!CZ90,'LP Reactivos'!DE90,'LP Reactivos'!DJ90,'LP Reactivos'!DO90,'LP Reactivos'!DT90,'LP Reactivos'!DY90,'LP Reactivos'!EB90)," ")</f>
        <v>214200</v>
      </c>
      <c r="E90" s="429">
        <f>IFERROR(AVERAGE('LP Reactivos'!F90,'LP Reactivos'!I90,'LP Reactivos'!N90,'LP Reactivos'!S90,'LP Reactivos'!X90,'LP Reactivos'!AC90,'LP Reactivos'!AH90,'LP Reactivos'!AM90,'LP Reactivos'!AR90,'LP Reactivos'!AW90,'LP Reactivos'!BB90,'LP Reactivos'!BG90,'LP Reactivos'!BL90,'LP Reactivos'!BQ90,'LP Reactivos'!BV90,'LP Reactivos'!CA90,'LP Reactivos'!CF90,'LP Reactivos'!CK90,'LP Reactivos'!CP90,'LP Reactivos'!CU90,'LP Reactivos'!CZ90,'LP Reactivos'!DE90,'LP Reactivos'!DJ90,'LP Reactivos'!DO90,'LP Reactivos'!DT90,'LP Reactivos'!DY90,'LP Reactivos'!EB90)," ")</f>
        <v>214200</v>
      </c>
      <c r="F90" s="345">
        <f>IFERROR(MEDIAN('LP Reactivos'!F90,'LP Reactivos'!I90,'LP Reactivos'!N90,'LP Reactivos'!S90,'LP Reactivos'!X90,'LP Reactivos'!AC90,'LP Reactivos'!AH90,'LP Reactivos'!AM90,'LP Reactivos'!AR90,'LP Reactivos'!AW90,'LP Reactivos'!BB90,'LP Reactivos'!BG90,'LP Reactivos'!BL90,'LP Reactivos'!BQ90,'LP Reactivos'!BV90,'LP Reactivos'!CA90,'LP Reactivos'!CF90,'LP Reactivos'!CK90,'LP Reactivos'!CP90,'LP Reactivos'!CU90,'LP Reactivos'!CZ90,'LP Reactivos'!DE90,'LP Reactivos'!DJ90,'LP Reactivos'!DO90,'LP Reactivos'!DT90,'LP Reactivos'!DY90,'LP Reactivos'!EB90)," ")</f>
        <v>214200</v>
      </c>
      <c r="G90" s="345">
        <f>IFERROR(GEOMEAN('LP Reactivos'!F90,'LP Reactivos'!I90,'LP Reactivos'!N90,'LP Reactivos'!S90,'LP Reactivos'!X90,'LP Reactivos'!AC90,'LP Reactivos'!AH90,'LP Reactivos'!AM90,'LP Reactivos'!AR90,'LP Reactivos'!AW90,'LP Reactivos'!BB90,'LP Reactivos'!BG90,'LP Reactivos'!BL90,'LP Reactivos'!BQ90,'LP Reactivos'!BV90,'LP Reactivos'!CA90,'LP Reactivos'!CF90,'LP Reactivos'!CK90,'LP Reactivos'!CP90,'LP Reactivos'!CU90,'LP Reactivos'!CZ90,'LP Reactivos'!DE90,'LP Reactivos'!DJ90,'LP Reactivos'!DO90,'LP Reactivos'!DT90,'LP Reactivos'!DY90,'LP Reactivos'!EB90)," ")</f>
        <v>214200</v>
      </c>
      <c r="H90" s="345">
        <f t="shared" si="4"/>
        <v>0</v>
      </c>
      <c r="I90" s="346">
        <f t="shared" si="5"/>
        <v>0</v>
      </c>
      <c r="J90" s="345">
        <f t="shared" si="6"/>
        <v>214200</v>
      </c>
      <c r="K90" s="344" t="str">
        <f t="shared" si="7"/>
        <v>Menor Valor</v>
      </c>
      <c r="L90" s="326">
        <f>IFERROR(COUNTA('LP Reactivos'!F90,'LP Reactivos'!I90,'LP Reactivos'!N90,'LP Reactivos'!S90,'LP Reactivos'!X90,'LP Reactivos'!AC90,'LP Reactivos'!AH90,'LP Reactivos'!AM90,'LP Reactivos'!AR90,'LP Reactivos'!AW90,'LP Reactivos'!BB90,'LP Reactivos'!BG90,'LP Reactivos'!BL90,'LP Reactivos'!BQ90,'LP Reactivos'!BV90,'LP Reactivos'!CA90,'LP Reactivos'!CF90,'LP Reactivos'!CK90,'LP Reactivos'!CP90,'LP Reactivos'!CU90,'LP Reactivos'!CZ90,'LP Reactivos'!DE90,'LP Reactivos'!DJ90,'LP Reactivos'!DO90,'LP Reactivos'!DT90,'LP Reactivos'!DY90,'LP Reactivos'!EB90)," ")</f>
        <v>1</v>
      </c>
    </row>
    <row r="91" spans="2:12" ht="27" x14ac:dyDescent="0.25">
      <c r="B91" s="425">
        <v>89</v>
      </c>
      <c r="C91" s="427" t="s">
        <v>949</v>
      </c>
      <c r="D91" s="429">
        <f>IFERROR(MIN('LP Reactivos'!F91,'LP Reactivos'!I91,'LP Reactivos'!N91,'LP Reactivos'!S91,'LP Reactivos'!X91,'LP Reactivos'!AC91,'LP Reactivos'!AH91,'LP Reactivos'!AM91,'LP Reactivos'!AR91,'LP Reactivos'!AW91,'LP Reactivos'!BB91,'LP Reactivos'!BG91,'LP Reactivos'!BL91,'LP Reactivos'!BQ91,'LP Reactivos'!BV91,'LP Reactivos'!CA91,'LP Reactivos'!CF91,'LP Reactivos'!CK91,'LP Reactivos'!CP91,'LP Reactivos'!CU91,'LP Reactivos'!CZ91,'LP Reactivos'!DE91,'LP Reactivos'!DJ91,'LP Reactivos'!DO91,'LP Reactivos'!DT91,'LP Reactivos'!DY91,'LP Reactivos'!EB91)," ")</f>
        <v>116620</v>
      </c>
      <c r="E91" s="429">
        <f>IFERROR(AVERAGE('LP Reactivos'!F91,'LP Reactivos'!I91,'LP Reactivos'!N91,'LP Reactivos'!S91,'LP Reactivos'!X91,'LP Reactivos'!AC91,'LP Reactivos'!AH91,'LP Reactivos'!AM91,'LP Reactivos'!AR91,'LP Reactivos'!AW91,'LP Reactivos'!BB91,'LP Reactivos'!BG91,'LP Reactivos'!BL91,'LP Reactivos'!BQ91,'LP Reactivos'!BV91,'LP Reactivos'!CA91,'LP Reactivos'!CF91,'LP Reactivos'!CK91,'LP Reactivos'!CP91,'LP Reactivos'!CU91,'LP Reactivos'!CZ91,'LP Reactivos'!DE91,'LP Reactivos'!DJ91,'LP Reactivos'!DO91,'LP Reactivos'!DT91,'LP Reactivos'!DY91,'LP Reactivos'!EB91)," ")</f>
        <v>151222</v>
      </c>
      <c r="F91" s="345">
        <f>IFERROR(MEDIAN('LP Reactivos'!F91,'LP Reactivos'!I91,'LP Reactivos'!N91,'LP Reactivos'!S91,'LP Reactivos'!X91,'LP Reactivos'!AC91,'LP Reactivos'!AH91,'LP Reactivos'!AM91,'LP Reactivos'!AR91,'LP Reactivos'!AW91,'LP Reactivos'!BB91,'LP Reactivos'!BG91,'LP Reactivos'!BL91,'LP Reactivos'!BQ91,'LP Reactivos'!BV91,'LP Reactivos'!CA91,'LP Reactivos'!CF91,'LP Reactivos'!CK91,'LP Reactivos'!CP91,'LP Reactivos'!CU91,'LP Reactivos'!CZ91,'LP Reactivos'!DE91,'LP Reactivos'!DJ91,'LP Reactivos'!DO91,'LP Reactivos'!DT91,'LP Reactivos'!DY91,'LP Reactivos'!EB91)," ")</f>
        <v>122846</v>
      </c>
      <c r="G91" s="345">
        <f>IFERROR(GEOMEAN('LP Reactivos'!F91,'LP Reactivos'!I91,'LP Reactivos'!N91,'LP Reactivos'!S91,'LP Reactivos'!X91,'LP Reactivos'!AC91,'LP Reactivos'!AH91,'LP Reactivos'!AM91,'LP Reactivos'!AR91,'LP Reactivos'!AW91,'LP Reactivos'!BB91,'LP Reactivos'!BG91,'LP Reactivos'!BL91,'LP Reactivos'!BQ91,'LP Reactivos'!BV91,'LP Reactivos'!CA91,'LP Reactivos'!CF91,'LP Reactivos'!CK91,'LP Reactivos'!CP91,'LP Reactivos'!CU91,'LP Reactivos'!CZ91,'LP Reactivos'!DE91,'LP Reactivos'!DJ91,'LP Reactivos'!DO91,'LP Reactivos'!DT91,'LP Reactivos'!DY91,'LP Reactivos'!EB91)," ")</f>
        <v>145317.47436776845</v>
      </c>
      <c r="H91" s="345">
        <f t="shared" si="4"/>
        <v>16843.976357270934</v>
      </c>
      <c r="I91" s="346">
        <f t="shared" si="5"/>
        <v>0.11138575311311141</v>
      </c>
      <c r="J91" s="345">
        <f t="shared" si="6"/>
        <v>151222</v>
      </c>
      <c r="K91" s="344" t="str">
        <f t="shared" si="7"/>
        <v>Promedio</v>
      </c>
      <c r="L91" s="326">
        <f>IFERROR(COUNTA('LP Reactivos'!F91,'LP Reactivos'!I91,'LP Reactivos'!N91,'LP Reactivos'!S91,'LP Reactivos'!X91,'LP Reactivos'!AC91,'LP Reactivos'!AH91,'LP Reactivos'!AM91,'LP Reactivos'!AR91,'LP Reactivos'!AW91,'LP Reactivos'!BB91,'LP Reactivos'!BG91,'LP Reactivos'!BL91,'LP Reactivos'!BQ91,'LP Reactivos'!BV91,'LP Reactivos'!CA91,'LP Reactivos'!CF91,'LP Reactivos'!CK91,'LP Reactivos'!CP91,'LP Reactivos'!CU91,'LP Reactivos'!CZ91,'LP Reactivos'!DE91,'LP Reactivos'!DJ91,'LP Reactivos'!DO91,'LP Reactivos'!DT91,'LP Reactivos'!DY91,'LP Reactivos'!EB91)," ")</f>
        <v>3</v>
      </c>
    </row>
    <row r="92" spans="2:12" ht="27" x14ac:dyDescent="0.25">
      <c r="B92" s="425">
        <v>90</v>
      </c>
      <c r="C92" s="427" t="s">
        <v>951</v>
      </c>
      <c r="D92" s="429">
        <f>IFERROR(MIN('LP Reactivos'!F92,'LP Reactivos'!I92,'LP Reactivos'!N92,'LP Reactivos'!S92,'LP Reactivos'!X92,'LP Reactivos'!AC92,'LP Reactivos'!AH92,'LP Reactivos'!AM92,'LP Reactivos'!AR92,'LP Reactivos'!AW92,'LP Reactivos'!BB92,'LP Reactivos'!BG92,'LP Reactivos'!BL92,'LP Reactivos'!BQ92,'LP Reactivos'!BV92,'LP Reactivos'!CA92,'LP Reactivos'!CF92,'LP Reactivos'!CK92,'LP Reactivos'!CP92,'LP Reactivos'!CU92,'LP Reactivos'!CZ92,'LP Reactivos'!DE92,'LP Reactivos'!DJ92,'LP Reactivos'!DO92,'LP Reactivos'!DT92,'LP Reactivos'!DY92,'LP Reactivos'!EB92)," ")</f>
        <v>162000</v>
      </c>
      <c r="E92" s="429">
        <f>IFERROR(AVERAGE('LP Reactivos'!F92,'LP Reactivos'!I92,'LP Reactivos'!N92,'LP Reactivos'!S92,'LP Reactivos'!X92,'LP Reactivos'!AC92,'LP Reactivos'!AH92,'LP Reactivos'!AM92,'LP Reactivos'!AR92,'LP Reactivos'!AW92,'LP Reactivos'!BB92,'LP Reactivos'!BG92,'LP Reactivos'!BL92,'LP Reactivos'!BQ92,'LP Reactivos'!BV92,'LP Reactivos'!CA92,'LP Reactivos'!CF92,'LP Reactivos'!CK92,'LP Reactivos'!CP92,'LP Reactivos'!CU92,'LP Reactivos'!CZ92,'LP Reactivos'!DE92,'LP Reactivos'!DJ92,'LP Reactivos'!DO92,'LP Reactivos'!DT92,'LP Reactivos'!DY92,'LP Reactivos'!EB92)," ")</f>
        <v>232342.75</v>
      </c>
      <c r="F92" s="345">
        <f>IFERROR(MEDIAN('LP Reactivos'!F92,'LP Reactivos'!I92,'LP Reactivos'!N92,'LP Reactivos'!S92,'LP Reactivos'!X92,'LP Reactivos'!AC92,'LP Reactivos'!AH92,'LP Reactivos'!AM92,'LP Reactivos'!AR92,'LP Reactivos'!AW92,'LP Reactivos'!BB92,'LP Reactivos'!BG92,'LP Reactivos'!BL92,'LP Reactivos'!BQ92,'LP Reactivos'!BV92,'LP Reactivos'!CA92,'LP Reactivos'!CF92,'LP Reactivos'!CK92,'LP Reactivos'!CP92,'LP Reactivos'!CU92,'LP Reactivos'!CZ92,'LP Reactivos'!DE92,'LP Reactivos'!DJ92,'LP Reactivos'!DO92,'LP Reactivos'!DT92,'LP Reactivos'!DY92,'LP Reactivos'!EB92)," ")</f>
        <v>207565.5</v>
      </c>
      <c r="G92" s="345">
        <f>IFERROR(GEOMEAN('LP Reactivos'!F92,'LP Reactivos'!I92,'LP Reactivos'!N92,'LP Reactivos'!S92,'LP Reactivos'!X92,'LP Reactivos'!AC92,'LP Reactivos'!AH92,'LP Reactivos'!AM92,'LP Reactivos'!AR92,'LP Reactivos'!AW92,'LP Reactivos'!BB92,'LP Reactivos'!BG92,'LP Reactivos'!BL92,'LP Reactivos'!BQ92,'LP Reactivos'!BV92,'LP Reactivos'!CA92,'LP Reactivos'!CF92,'LP Reactivos'!CK92,'LP Reactivos'!CP92,'LP Reactivos'!CU92,'LP Reactivos'!CZ92,'LP Reactivos'!DE92,'LP Reactivos'!DJ92,'LP Reactivos'!DO92,'LP Reactivos'!DT92,'LP Reactivos'!DY92,'LP Reactivos'!EB92)," ")</f>
        <v>222646.12102992009</v>
      </c>
      <c r="H92" s="345">
        <f t="shared" si="4"/>
        <v>31141.65367770071</v>
      </c>
      <c r="I92" s="346">
        <f t="shared" si="5"/>
        <v>0.13403324905855987</v>
      </c>
      <c r="J92" s="345">
        <f t="shared" si="6"/>
        <v>232342.75</v>
      </c>
      <c r="K92" s="344" t="str">
        <f t="shared" si="7"/>
        <v>Promedio</v>
      </c>
      <c r="L92" s="326">
        <f>IFERROR(COUNTA('LP Reactivos'!F92,'LP Reactivos'!I92,'LP Reactivos'!N92,'LP Reactivos'!S92,'LP Reactivos'!X92,'LP Reactivos'!AC92,'LP Reactivos'!AH92,'LP Reactivos'!AM92,'LP Reactivos'!AR92,'LP Reactivos'!AW92,'LP Reactivos'!BB92,'LP Reactivos'!BG92,'LP Reactivos'!BL92,'LP Reactivos'!BQ92,'LP Reactivos'!BV92,'LP Reactivos'!CA92,'LP Reactivos'!CF92,'LP Reactivos'!CK92,'LP Reactivos'!CP92,'LP Reactivos'!CU92,'LP Reactivos'!CZ92,'LP Reactivos'!DE92,'LP Reactivos'!DJ92,'LP Reactivos'!DO92,'LP Reactivos'!DT92,'LP Reactivos'!DY92,'LP Reactivos'!EB92)," ")</f>
        <v>4</v>
      </c>
    </row>
    <row r="93" spans="2:12" x14ac:dyDescent="0.25">
      <c r="B93" s="425">
        <v>91</v>
      </c>
      <c r="C93" s="427" t="s">
        <v>955</v>
      </c>
      <c r="D93" s="429">
        <f>IFERROR(MIN('LP Reactivos'!F93,'LP Reactivos'!I93,'LP Reactivos'!N93,'LP Reactivos'!S93,'LP Reactivos'!X93,'LP Reactivos'!AC93,'LP Reactivos'!AH93,'LP Reactivos'!AM93,'LP Reactivos'!AR93,'LP Reactivos'!AW93,'LP Reactivos'!BB93,'LP Reactivos'!BG93,'LP Reactivos'!BL93,'LP Reactivos'!BQ93,'LP Reactivos'!BV93,'LP Reactivos'!CA93,'LP Reactivos'!CF93,'LP Reactivos'!CK93,'LP Reactivos'!CP93,'LP Reactivos'!CU93,'LP Reactivos'!CZ93,'LP Reactivos'!DE93,'LP Reactivos'!DJ93,'LP Reactivos'!DO93,'LP Reactivos'!DT93,'LP Reactivos'!DY93,'LP Reactivos'!EB93)," ")</f>
        <v>2406654.1513999999</v>
      </c>
      <c r="E93" s="429">
        <f>IFERROR(AVERAGE('LP Reactivos'!F93,'LP Reactivos'!I93,'LP Reactivos'!N93,'LP Reactivos'!S93,'LP Reactivos'!X93,'LP Reactivos'!AC93,'LP Reactivos'!AH93,'LP Reactivos'!AM93,'LP Reactivos'!AR93,'LP Reactivos'!AW93,'LP Reactivos'!BB93,'LP Reactivos'!BG93,'LP Reactivos'!BL93,'LP Reactivos'!BQ93,'LP Reactivos'!BV93,'LP Reactivos'!CA93,'LP Reactivos'!CF93,'LP Reactivos'!CK93,'LP Reactivos'!CP93,'LP Reactivos'!CU93,'LP Reactivos'!CZ93,'LP Reactivos'!DE93,'LP Reactivos'!DJ93,'LP Reactivos'!DO93,'LP Reactivos'!DT93,'LP Reactivos'!DY93,'LP Reactivos'!EB93)," ")</f>
        <v>2406654.1513999999</v>
      </c>
      <c r="F93" s="345">
        <f>IFERROR(MEDIAN('LP Reactivos'!F93,'LP Reactivos'!I93,'LP Reactivos'!N93,'LP Reactivos'!S93,'LP Reactivos'!X93,'LP Reactivos'!AC93,'LP Reactivos'!AH93,'LP Reactivos'!AM93,'LP Reactivos'!AR93,'LP Reactivos'!AW93,'LP Reactivos'!BB93,'LP Reactivos'!BG93,'LP Reactivos'!BL93,'LP Reactivos'!BQ93,'LP Reactivos'!BV93,'LP Reactivos'!CA93,'LP Reactivos'!CF93,'LP Reactivos'!CK93,'LP Reactivos'!CP93,'LP Reactivos'!CU93,'LP Reactivos'!CZ93,'LP Reactivos'!DE93,'LP Reactivos'!DJ93,'LP Reactivos'!DO93,'LP Reactivos'!DT93,'LP Reactivos'!DY93,'LP Reactivos'!EB93)," ")</f>
        <v>2406654.1513999999</v>
      </c>
      <c r="G93" s="345">
        <f>IFERROR(GEOMEAN('LP Reactivos'!F93,'LP Reactivos'!I93,'LP Reactivos'!N93,'LP Reactivos'!S93,'LP Reactivos'!X93,'LP Reactivos'!AC93,'LP Reactivos'!AH93,'LP Reactivos'!AM93,'LP Reactivos'!AR93,'LP Reactivos'!AW93,'LP Reactivos'!BB93,'LP Reactivos'!BG93,'LP Reactivos'!BL93,'LP Reactivos'!BQ93,'LP Reactivos'!BV93,'LP Reactivos'!CA93,'LP Reactivos'!CF93,'LP Reactivos'!CK93,'LP Reactivos'!CP93,'LP Reactivos'!CU93,'LP Reactivos'!CZ93,'LP Reactivos'!DE93,'LP Reactivos'!DJ93,'LP Reactivos'!DO93,'LP Reactivos'!DT93,'LP Reactivos'!DY93,'LP Reactivos'!EB93)," ")</f>
        <v>2406654.1513999999</v>
      </c>
      <c r="H93" s="345">
        <f t="shared" si="4"/>
        <v>0</v>
      </c>
      <c r="I93" s="346">
        <f t="shared" si="5"/>
        <v>0</v>
      </c>
      <c r="J93" s="345">
        <f t="shared" si="6"/>
        <v>2406654.1513999999</v>
      </c>
      <c r="K93" s="344" t="str">
        <f t="shared" si="7"/>
        <v>Menor Valor</v>
      </c>
      <c r="L93" s="326">
        <f>IFERROR(COUNTA('LP Reactivos'!F93,'LP Reactivos'!I93,'LP Reactivos'!N93,'LP Reactivos'!S93,'LP Reactivos'!X93,'LP Reactivos'!AC93,'LP Reactivos'!AH93,'LP Reactivos'!AM93,'LP Reactivos'!AR93,'LP Reactivos'!AW93,'LP Reactivos'!BB93,'LP Reactivos'!BG93,'LP Reactivos'!BL93,'LP Reactivos'!BQ93,'LP Reactivos'!BV93,'LP Reactivos'!CA93,'LP Reactivos'!CF93,'LP Reactivos'!CK93,'LP Reactivos'!CP93,'LP Reactivos'!CU93,'LP Reactivos'!CZ93,'LP Reactivos'!DE93,'LP Reactivos'!DJ93,'LP Reactivos'!DO93,'LP Reactivos'!DT93,'LP Reactivos'!DY93,'LP Reactivos'!EB93)," ")</f>
        <v>1</v>
      </c>
    </row>
    <row r="94" spans="2:12" x14ac:dyDescent="0.25">
      <c r="B94" s="425">
        <v>92</v>
      </c>
      <c r="C94" s="427" t="s">
        <v>956</v>
      </c>
      <c r="D94" s="429">
        <f>IFERROR(MIN('LP Reactivos'!F94,'LP Reactivos'!I94,'LP Reactivos'!N94,'LP Reactivos'!S94,'LP Reactivos'!X94,'LP Reactivos'!AC94,'LP Reactivos'!AH94,'LP Reactivos'!AM94,'LP Reactivos'!AR94,'LP Reactivos'!AW94,'LP Reactivos'!BB94,'LP Reactivos'!BG94,'LP Reactivos'!BL94,'LP Reactivos'!BQ94,'LP Reactivos'!BV94,'LP Reactivos'!CA94,'LP Reactivos'!CF94,'LP Reactivos'!CK94,'LP Reactivos'!CP94,'LP Reactivos'!CU94,'LP Reactivos'!CZ94,'LP Reactivos'!DE94,'LP Reactivos'!DJ94,'LP Reactivos'!DO94,'LP Reactivos'!DT94,'LP Reactivos'!DY94,'LP Reactivos'!EB94)," ")</f>
        <v>804440</v>
      </c>
      <c r="E94" s="429">
        <f>IFERROR(AVERAGE('LP Reactivos'!F94,'LP Reactivos'!I94,'LP Reactivos'!N94,'LP Reactivos'!S94,'LP Reactivos'!X94,'LP Reactivos'!AC94,'LP Reactivos'!AH94,'LP Reactivos'!AM94,'LP Reactivos'!AR94,'LP Reactivos'!AW94,'LP Reactivos'!BB94,'LP Reactivos'!BG94,'LP Reactivos'!BL94,'LP Reactivos'!BQ94,'LP Reactivos'!BV94,'LP Reactivos'!CA94,'LP Reactivos'!CF94,'LP Reactivos'!CK94,'LP Reactivos'!CP94,'LP Reactivos'!CU94,'LP Reactivos'!CZ94,'LP Reactivos'!DE94,'LP Reactivos'!DJ94,'LP Reactivos'!DO94,'LP Reactivos'!DT94,'LP Reactivos'!DY94,'LP Reactivos'!EB94)," ")</f>
        <v>1194053.1400000001</v>
      </c>
      <c r="F94" s="345">
        <f>IFERROR(MEDIAN('LP Reactivos'!F94,'LP Reactivos'!I94,'LP Reactivos'!N94,'LP Reactivos'!S94,'LP Reactivos'!X94,'LP Reactivos'!AC94,'LP Reactivos'!AH94,'LP Reactivos'!AM94,'LP Reactivos'!AR94,'LP Reactivos'!AW94,'LP Reactivos'!BB94,'LP Reactivos'!BG94,'LP Reactivos'!BL94,'LP Reactivos'!BQ94,'LP Reactivos'!BV94,'LP Reactivos'!CA94,'LP Reactivos'!CF94,'LP Reactivos'!CK94,'LP Reactivos'!CP94,'LP Reactivos'!CU94,'LP Reactivos'!CZ94,'LP Reactivos'!DE94,'LP Reactivos'!DJ94,'LP Reactivos'!DO94,'LP Reactivos'!DT94,'LP Reactivos'!DY94,'LP Reactivos'!EB94)," ")</f>
        <v>1194053.1400000001</v>
      </c>
      <c r="G94" s="345">
        <f>IFERROR(GEOMEAN('LP Reactivos'!F94,'LP Reactivos'!I94,'LP Reactivos'!N94,'LP Reactivos'!S94,'LP Reactivos'!X94,'LP Reactivos'!AC94,'LP Reactivos'!AH94,'LP Reactivos'!AM94,'LP Reactivos'!AR94,'LP Reactivos'!AW94,'LP Reactivos'!BB94,'LP Reactivos'!BG94,'LP Reactivos'!BL94,'LP Reactivos'!BQ94,'LP Reactivos'!BV94,'LP Reactivos'!CA94,'LP Reactivos'!CF94,'LP Reactivos'!CK94,'LP Reactivos'!CP94,'LP Reactivos'!CU94,'LP Reactivos'!CZ94,'LP Reactivos'!DE94,'LP Reactivos'!DJ94,'LP Reactivos'!DO94,'LP Reactivos'!DT94,'LP Reactivos'!DY94,'LP Reactivos'!EB94)," ")</f>
        <v>1128700.3598312531</v>
      </c>
      <c r="H94" s="345">
        <f t="shared" si="4"/>
        <v>186476.88651027263</v>
      </c>
      <c r="I94" s="346">
        <f t="shared" si="5"/>
        <v>0.1561713463692852</v>
      </c>
      <c r="J94" s="345">
        <f t="shared" si="6"/>
        <v>1194053.1400000001</v>
      </c>
      <c r="K94" s="344" t="str">
        <f t="shared" si="7"/>
        <v>Promedio</v>
      </c>
      <c r="L94" s="326">
        <f>IFERROR(COUNTA('LP Reactivos'!F94,'LP Reactivos'!I94,'LP Reactivos'!N94,'LP Reactivos'!S94,'LP Reactivos'!X94,'LP Reactivos'!AC94,'LP Reactivos'!AH94,'LP Reactivos'!AM94,'LP Reactivos'!AR94,'LP Reactivos'!AW94,'LP Reactivos'!BB94,'LP Reactivos'!BG94,'LP Reactivos'!BL94,'LP Reactivos'!BQ94,'LP Reactivos'!BV94,'LP Reactivos'!CA94,'LP Reactivos'!CF94,'LP Reactivos'!CK94,'LP Reactivos'!CP94,'LP Reactivos'!CU94,'LP Reactivos'!CZ94,'LP Reactivos'!DE94,'LP Reactivos'!DJ94,'LP Reactivos'!DO94,'LP Reactivos'!DT94,'LP Reactivos'!DY94,'LP Reactivos'!EB94)," ")</f>
        <v>2</v>
      </c>
    </row>
    <row r="95" spans="2:12" x14ac:dyDescent="0.25">
      <c r="B95" s="425">
        <v>93</v>
      </c>
      <c r="C95" s="427" t="s">
        <v>961</v>
      </c>
      <c r="D95" s="429">
        <f>IFERROR(MIN('LP Reactivos'!F95,'LP Reactivos'!I95,'LP Reactivos'!N95,'LP Reactivos'!S95,'LP Reactivos'!X95,'LP Reactivos'!AC95,'LP Reactivos'!AH95,'LP Reactivos'!AM95,'LP Reactivos'!AR95,'LP Reactivos'!AW95,'LP Reactivos'!BB95,'LP Reactivos'!BG95,'LP Reactivos'!BL95,'LP Reactivos'!BQ95,'LP Reactivos'!BV95,'LP Reactivos'!CA95,'LP Reactivos'!CF95,'LP Reactivos'!CK95,'LP Reactivos'!CP95,'LP Reactivos'!CU95,'LP Reactivos'!CZ95,'LP Reactivos'!DE95,'LP Reactivos'!DJ95,'LP Reactivos'!DO95,'LP Reactivos'!DT95,'LP Reactivos'!DY95,'LP Reactivos'!EB95)," ")</f>
        <v>804440</v>
      </c>
      <c r="E95" s="429">
        <f>IFERROR(AVERAGE('LP Reactivos'!F95,'LP Reactivos'!I95,'LP Reactivos'!N95,'LP Reactivos'!S95,'LP Reactivos'!X95,'LP Reactivos'!AC95,'LP Reactivos'!AH95,'LP Reactivos'!AM95,'LP Reactivos'!AR95,'LP Reactivos'!AW95,'LP Reactivos'!BB95,'LP Reactivos'!BG95,'LP Reactivos'!BL95,'LP Reactivos'!BQ95,'LP Reactivos'!BV95,'LP Reactivos'!CA95,'LP Reactivos'!CF95,'LP Reactivos'!CK95,'LP Reactivos'!CP95,'LP Reactivos'!CU95,'LP Reactivos'!CZ95,'LP Reactivos'!DE95,'LP Reactivos'!DJ95,'LP Reactivos'!DO95,'LP Reactivos'!DT95,'LP Reactivos'!DY95,'LP Reactivos'!EB95)," ")</f>
        <v>1280777.7220000001</v>
      </c>
      <c r="F95" s="345">
        <f>IFERROR(MEDIAN('LP Reactivos'!F95,'LP Reactivos'!I95,'LP Reactivos'!N95,'LP Reactivos'!S95,'LP Reactivos'!X95,'LP Reactivos'!AC95,'LP Reactivos'!AH95,'LP Reactivos'!AM95,'LP Reactivos'!AR95,'LP Reactivos'!AW95,'LP Reactivos'!BB95,'LP Reactivos'!BG95,'LP Reactivos'!BL95,'LP Reactivos'!BQ95,'LP Reactivos'!BV95,'LP Reactivos'!CA95,'LP Reactivos'!CF95,'LP Reactivos'!CK95,'LP Reactivos'!CP95,'LP Reactivos'!CU95,'LP Reactivos'!CZ95,'LP Reactivos'!DE95,'LP Reactivos'!DJ95,'LP Reactivos'!DO95,'LP Reactivos'!DT95,'LP Reactivos'!DY95,'LP Reactivos'!EB95)," ")</f>
        <v>1280777.7220000001</v>
      </c>
      <c r="G95" s="345">
        <f>IFERROR(GEOMEAN('LP Reactivos'!F95,'LP Reactivos'!I95,'LP Reactivos'!N95,'LP Reactivos'!S95,'LP Reactivos'!X95,'LP Reactivos'!AC95,'LP Reactivos'!AH95,'LP Reactivos'!AM95,'LP Reactivos'!AR95,'LP Reactivos'!AW95,'LP Reactivos'!BB95,'LP Reactivos'!BG95,'LP Reactivos'!BL95,'LP Reactivos'!BQ95,'LP Reactivos'!BV95,'LP Reactivos'!CA95,'LP Reactivos'!CF95,'LP Reactivos'!CK95,'LP Reactivos'!CP95,'LP Reactivos'!CU95,'LP Reactivos'!CZ95,'LP Reactivos'!DE95,'LP Reactivos'!DJ95,'LP Reactivos'!DO95,'LP Reactivos'!DT95,'LP Reactivos'!DY95,'LP Reactivos'!EB95)," ")</f>
        <v>1188904.5158343711</v>
      </c>
      <c r="H95" s="345">
        <f t="shared" si="4"/>
        <v>227025.98727134874</v>
      </c>
      <c r="I95" s="346">
        <f t="shared" si="5"/>
        <v>0.17725635242689577</v>
      </c>
      <c r="J95" s="345">
        <f t="shared" si="6"/>
        <v>1280777.7220000001</v>
      </c>
      <c r="K95" s="344" t="str">
        <f t="shared" si="7"/>
        <v>Promedio</v>
      </c>
      <c r="L95" s="326">
        <f>IFERROR(COUNTA('LP Reactivos'!F95,'LP Reactivos'!I95,'LP Reactivos'!N95,'LP Reactivos'!S95,'LP Reactivos'!X95,'LP Reactivos'!AC95,'LP Reactivos'!AH95,'LP Reactivos'!AM95,'LP Reactivos'!AR95,'LP Reactivos'!AW95,'LP Reactivos'!BB95,'LP Reactivos'!BG95,'LP Reactivos'!BL95,'LP Reactivos'!BQ95,'LP Reactivos'!BV95,'LP Reactivos'!CA95,'LP Reactivos'!CF95,'LP Reactivos'!CK95,'LP Reactivos'!CP95,'LP Reactivos'!CU95,'LP Reactivos'!CZ95,'LP Reactivos'!DE95,'LP Reactivos'!DJ95,'LP Reactivos'!DO95,'LP Reactivos'!DT95,'LP Reactivos'!DY95,'LP Reactivos'!EB95)," ")</f>
        <v>2</v>
      </c>
    </row>
    <row r="96" spans="2:12" x14ac:dyDescent="0.25">
      <c r="B96" s="425">
        <v>94</v>
      </c>
      <c r="C96" s="427" t="s">
        <v>963</v>
      </c>
      <c r="D96" s="429">
        <f>IFERROR(MIN('LP Reactivos'!F96,'LP Reactivos'!I96,'LP Reactivos'!N96,'LP Reactivos'!S96,'LP Reactivos'!X96,'LP Reactivos'!AC96,'LP Reactivos'!AH96,'LP Reactivos'!AM96,'LP Reactivos'!AR96,'LP Reactivos'!AW96,'LP Reactivos'!BB96,'LP Reactivos'!BG96,'LP Reactivos'!BL96,'LP Reactivos'!BQ96,'LP Reactivos'!BV96,'LP Reactivos'!CA96,'LP Reactivos'!CF96,'LP Reactivos'!CK96,'LP Reactivos'!CP96,'LP Reactivos'!CU96,'LP Reactivos'!CZ96,'LP Reactivos'!DE96,'LP Reactivos'!DJ96,'LP Reactivos'!DO96,'LP Reactivos'!DT96,'LP Reactivos'!DY96,'LP Reactivos'!EB96)," ")</f>
        <v>804440</v>
      </c>
      <c r="E96" s="429">
        <f>IFERROR(AVERAGE('LP Reactivos'!F96,'LP Reactivos'!I96,'LP Reactivos'!N96,'LP Reactivos'!S96,'LP Reactivos'!X96,'LP Reactivos'!AC96,'LP Reactivos'!AH96,'LP Reactivos'!AM96,'LP Reactivos'!AR96,'LP Reactivos'!AW96,'LP Reactivos'!BB96,'LP Reactivos'!BG96,'LP Reactivos'!BL96,'LP Reactivos'!BQ96,'LP Reactivos'!BV96,'LP Reactivos'!CA96,'LP Reactivos'!CF96,'LP Reactivos'!CK96,'LP Reactivos'!CP96,'LP Reactivos'!CU96,'LP Reactivos'!CZ96,'LP Reactivos'!DE96,'LP Reactivos'!DJ96,'LP Reactivos'!DO96,'LP Reactivos'!DT96,'LP Reactivos'!DY96,'LP Reactivos'!EB96)," ")</f>
        <v>804440</v>
      </c>
      <c r="F96" s="345">
        <f>IFERROR(MEDIAN('LP Reactivos'!F96,'LP Reactivos'!I96,'LP Reactivos'!N96,'LP Reactivos'!S96,'LP Reactivos'!X96,'LP Reactivos'!AC96,'LP Reactivos'!AH96,'LP Reactivos'!AM96,'LP Reactivos'!AR96,'LP Reactivos'!AW96,'LP Reactivos'!BB96,'LP Reactivos'!BG96,'LP Reactivos'!BL96,'LP Reactivos'!BQ96,'LP Reactivos'!BV96,'LP Reactivos'!CA96,'LP Reactivos'!CF96,'LP Reactivos'!CK96,'LP Reactivos'!CP96,'LP Reactivos'!CU96,'LP Reactivos'!CZ96,'LP Reactivos'!DE96,'LP Reactivos'!DJ96,'LP Reactivos'!DO96,'LP Reactivos'!DT96,'LP Reactivos'!DY96,'LP Reactivos'!EB96)," ")</f>
        <v>804440</v>
      </c>
      <c r="G96" s="345">
        <f>IFERROR(GEOMEAN('LP Reactivos'!F96,'LP Reactivos'!I96,'LP Reactivos'!N96,'LP Reactivos'!S96,'LP Reactivos'!X96,'LP Reactivos'!AC96,'LP Reactivos'!AH96,'LP Reactivos'!AM96,'LP Reactivos'!AR96,'LP Reactivos'!AW96,'LP Reactivos'!BB96,'LP Reactivos'!BG96,'LP Reactivos'!BL96,'LP Reactivos'!BQ96,'LP Reactivos'!BV96,'LP Reactivos'!CA96,'LP Reactivos'!CF96,'LP Reactivos'!CK96,'LP Reactivos'!CP96,'LP Reactivos'!CU96,'LP Reactivos'!CZ96,'LP Reactivos'!DE96,'LP Reactivos'!DJ96,'LP Reactivos'!DO96,'LP Reactivos'!DT96,'LP Reactivos'!DY96,'LP Reactivos'!EB96)," ")</f>
        <v>804440</v>
      </c>
      <c r="H96" s="345">
        <f t="shared" si="4"/>
        <v>0</v>
      </c>
      <c r="I96" s="346">
        <f t="shared" si="5"/>
        <v>0</v>
      </c>
      <c r="J96" s="345">
        <f t="shared" si="6"/>
        <v>804440</v>
      </c>
      <c r="K96" s="344" t="str">
        <f t="shared" si="7"/>
        <v>Menor Valor</v>
      </c>
      <c r="L96" s="326">
        <f>IFERROR(COUNTA('LP Reactivos'!F96,'LP Reactivos'!I96,'LP Reactivos'!N96,'LP Reactivos'!S96,'LP Reactivos'!X96,'LP Reactivos'!AC96,'LP Reactivos'!AH96,'LP Reactivos'!AM96,'LP Reactivos'!AR96,'LP Reactivos'!AW96,'LP Reactivos'!BB96,'LP Reactivos'!BG96,'LP Reactivos'!BL96,'LP Reactivos'!BQ96,'LP Reactivos'!BV96,'LP Reactivos'!CA96,'LP Reactivos'!CF96,'LP Reactivos'!CK96,'LP Reactivos'!CP96,'LP Reactivos'!CU96,'LP Reactivos'!CZ96,'LP Reactivos'!DE96,'LP Reactivos'!DJ96,'LP Reactivos'!DO96,'LP Reactivos'!DT96,'LP Reactivos'!DY96,'LP Reactivos'!EB96)," ")</f>
        <v>1</v>
      </c>
    </row>
    <row r="97" spans="2:12" x14ac:dyDescent="0.25">
      <c r="B97" s="425">
        <v>95</v>
      </c>
      <c r="C97" s="427" t="s">
        <v>965</v>
      </c>
      <c r="D97" s="429">
        <f>IFERROR(MIN('LP Reactivos'!F97,'LP Reactivos'!I97,'LP Reactivos'!N97,'LP Reactivos'!S97,'LP Reactivos'!X97,'LP Reactivos'!AC97,'LP Reactivos'!AH97,'LP Reactivos'!AM97,'LP Reactivos'!AR97,'LP Reactivos'!AW97,'LP Reactivos'!BB97,'LP Reactivos'!BG97,'LP Reactivos'!BL97,'LP Reactivos'!BQ97,'LP Reactivos'!BV97,'LP Reactivos'!CA97,'LP Reactivos'!CF97,'LP Reactivos'!CK97,'LP Reactivos'!CP97,'LP Reactivos'!CU97,'LP Reactivos'!CZ97,'LP Reactivos'!DE97,'LP Reactivos'!DJ97,'LP Reactivos'!DO97,'LP Reactivos'!DT97,'LP Reactivos'!DY97,'LP Reactivos'!EB97)," ")</f>
        <v>804440</v>
      </c>
      <c r="E97" s="429">
        <f>IFERROR(AVERAGE('LP Reactivos'!F97,'LP Reactivos'!I97,'LP Reactivos'!N97,'LP Reactivos'!S97,'LP Reactivos'!X97,'LP Reactivos'!AC97,'LP Reactivos'!AH97,'LP Reactivos'!AM97,'LP Reactivos'!AR97,'LP Reactivos'!AW97,'LP Reactivos'!BB97,'LP Reactivos'!BG97,'LP Reactivos'!BL97,'LP Reactivos'!BQ97,'LP Reactivos'!BV97,'LP Reactivos'!CA97,'LP Reactivos'!CF97,'LP Reactivos'!CK97,'LP Reactivos'!CP97,'LP Reactivos'!CU97,'LP Reactivos'!CZ97,'LP Reactivos'!DE97,'LP Reactivos'!DJ97,'LP Reactivos'!DO97,'LP Reactivos'!DT97,'LP Reactivos'!DY97,'LP Reactivos'!EB97)," ")</f>
        <v>804440</v>
      </c>
      <c r="F97" s="345">
        <f>IFERROR(MEDIAN('LP Reactivos'!F97,'LP Reactivos'!I97,'LP Reactivos'!N97,'LP Reactivos'!S97,'LP Reactivos'!X97,'LP Reactivos'!AC97,'LP Reactivos'!AH97,'LP Reactivos'!AM97,'LP Reactivos'!AR97,'LP Reactivos'!AW97,'LP Reactivos'!BB97,'LP Reactivos'!BG97,'LP Reactivos'!BL97,'LP Reactivos'!BQ97,'LP Reactivos'!BV97,'LP Reactivos'!CA97,'LP Reactivos'!CF97,'LP Reactivos'!CK97,'LP Reactivos'!CP97,'LP Reactivos'!CU97,'LP Reactivos'!CZ97,'LP Reactivos'!DE97,'LP Reactivos'!DJ97,'LP Reactivos'!DO97,'LP Reactivos'!DT97,'LP Reactivos'!DY97,'LP Reactivos'!EB97)," ")</f>
        <v>804440</v>
      </c>
      <c r="G97" s="345">
        <f>IFERROR(GEOMEAN('LP Reactivos'!F97,'LP Reactivos'!I97,'LP Reactivos'!N97,'LP Reactivos'!S97,'LP Reactivos'!X97,'LP Reactivos'!AC97,'LP Reactivos'!AH97,'LP Reactivos'!AM97,'LP Reactivos'!AR97,'LP Reactivos'!AW97,'LP Reactivos'!BB97,'LP Reactivos'!BG97,'LP Reactivos'!BL97,'LP Reactivos'!BQ97,'LP Reactivos'!BV97,'LP Reactivos'!CA97,'LP Reactivos'!CF97,'LP Reactivos'!CK97,'LP Reactivos'!CP97,'LP Reactivos'!CU97,'LP Reactivos'!CZ97,'LP Reactivos'!DE97,'LP Reactivos'!DJ97,'LP Reactivos'!DO97,'LP Reactivos'!DT97,'LP Reactivos'!DY97,'LP Reactivos'!EB97)," ")</f>
        <v>804440</v>
      </c>
      <c r="H97" s="345">
        <f t="shared" si="4"/>
        <v>0</v>
      </c>
      <c r="I97" s="346">
        <f t="shared" si="5"/>
        <v>0</v>
      </c>
      <c r="J97" s="345">
        <f t="shared" si="6"/>
        <v>804440</v>
      </c>
      <c r="K97" s="344" t="str">
        <f t="shared" si="7"/>
        <v>Menor Valor</v>
      </c>
      <c r="L97" s="326">
        <f>IFERROR(COUNTA('LP Reactivos'!F97,'LP Reactivos'!I97,'LP Reactivos'!N97,'LP Reactivos'!S97,'LP Reactivos'!X97,'LP Reactivos'!AC97,'LP Reactivos'!AH97,'LP Reactivos'!AM97,'LP Reactivos'!AR97,'LP Reactivos'!AW97,'LP Reactivos'!BB97,'LP Reactivos'!BG97,'LP Reactivos'!BL97,'LP Reactivos'!BQ97,'LP Reactivos'!BV97,'LP Reactivos'!CA97,'LP Reactivos'!CF97,'LP Reactivos'!CK97,'LP Reactivos'!CP97,'LP Reactivos'!CU97,'LP Reactivos'!CZ97,'LP Reactivos'!DE97,'LP Reactivos'!DJ97,'LP Reactivos'!DO97,'LP Reactivos'!DT97,'LP Reactivos'!DY97,'LP Reactivos'!EB97)," ")</f>
        <v>1</v>
      </c>
    </row>
    <row r="98" spans="2:12" x14ac:dyDescent="0.25">
      <c r="B98" s="425">
        <v>96</v>
      </c>
      <c r="C98" s="428" t="s">
        <v>967</v>
      </c>
      <c r="D98" s="429">
        <f>IFERROR(MIN('LP Reactivos'!F98,'LP Reactivos'!I98,'LP Reactivos'!N98,'LP Reactivos'!S98,'LP Reactivos'!X98,'LP Reactivos'!AC98,'LP Reactivos'!AH98,'LP Reactivos'!AM98,'LP Reactivos'!AR98,'LP Reactivos'!AW98,'LP Reactivos'!BB98,'LP Reactivos'!BG98,'LP Reactivos'!BL98,'LP Reactivos'!BQ98,'LP Reactivos'!BV98,'LP Reactivos'!CA98,'LP Reactivos'!CF98,'LP Reactivos'!CK98,'LP Reactivos'!CP98,'LP Reactivos'!CU98,'LP Reactivos'!CZ98,'LP Reactivos'!DE98,'LP Reactivos'!DJ98,'LP Reactivos'!DO98,'LP Reactivos'!DT98,'LP Reactivos'!DY98,'LP Reactivos'!EB98)," ")</f>
        <v>1138000</v>
      </c>
      <c r="E98" s="429">
        <f>IFERROR(AVERAGE('LP Reactivos'!F98,'LP Reactivos'!I98,'LP Reactivos'!N98,'LP Reactivos'!S98,'LP Reactivos'!X98,'LP Reactivos'!AC98,'LP Reactivos'!AH98,'LP Reactivos'!AM98,'LP Reactivos'!AR98,'LP Reactivos'!AW98,'LP Reactivos'!BB98,'LP Reactivos'!BG98,'LP Reactivos'!BL98,'LP Reactivos'!BQ98,'LP Reactivos'!BV98,'LP Reactivos'!CA98,'LP Reactivos'!CF98,'LP Reactivos'!CK98,'LP Reactivos'!CP98,'LP Reactivos'!CU98,'LP Reactivos'!CZ98,'LP Reactivos'!DE98,'LP Reactivos'!DJ98,'LP Reactivos'!DO98,'LP Reactivos'!DT98,'LP Reactivos'!DY98,'LP Reactivos'!EB98)," ")</f>
        <v>1678717.6666666667</v>
      </c>
      <c r="F98" s="345">
        <f>IFERROR(MEDIAN('LP Reactivos'!F98,'LP Reactivos'!I98,'LP Reactivos'!N98,'LP Reactivos'!S98,'LP Reactivos'!X98,'LP Reactivos'!AC98,'LP Reactivos'!AH98,'LP Reactivos'!AM98,'LP Reactivos'!AR98,'LP Reactivos'!AW98,'LP Reactivos'!BB98,'LP Reactivos'!BG98,'LP Reactivos'!BL98,'LP Reactivos'!BQ98,'LP Reactivos'!BV98,'LP Reactivos'!CA98,'LP Reactivos'!CF98,'LP Reactivos'!CK98,'LP Reactivos'!CP98,'LP Reactivos'!CU98,'LP Reactivos'!CZ98,'LP Reactivos'!DE98,'LP Reactivos'!DJ98,'LP Reactivos'!DO98,'LP Reactivos'!DT98,'LP Reactivos'!DY98,'LP Reactivos'!EB98)," ")</f>
        <v>1426523</v>
      </c>
      <c r="G98" s="345">
        <f>IFERROR(GEOMEAN('LP Reactivos'!F98,'LP Reactivos'!I98,'LP Reactivos'!N98,'LP Reactivos'!S98,'LP Reactivos'!X98,'LP Reactivos'!AC98,'LP Reactivos'!AH98,'LP Reactivos'!AM98,'LP Reactivos'!AR98,'LP Reactivos'!AW98,'LP Reactivos'!BB98,'LP Reactivos'!BG98,'LP Reactivos'!BL98,'LP Reactivos'!BQ98,'LP Reactivos'!BV98,'LP Reactivos'!CA98,'LP Reactivos'!CF98,'LP Reactivos'!CK98,'LP Reactivos'!CP98,'LP Reactivos'!CU98,'LP Reactivos'!CZ98,'LP Reactivos'!DE98,'LP Reactivos'!DJ98,'LP Reactivos'!DO98,'LP Reactivos'!DT98,'LP Reactivos'!DY98,'LP Reactivos'!EB98)," ")</f>
        <v>1589040.0115121705</v>
      </c>
      <c r="H98" s="345">
        <f t="shared" si="4"/>
        <v>237541.96459420747</v>
      </c>
      <c r="I98" s="346">
        <f t="shared" si="5"/>
        <v>0.14150203414841098</v>
      </c>
      <c r="J98" s="345">
        <f t="shared" si="6"/>
        <v>1678717.6666666667</v>
      </c>
      <c r="K98" s="344" t="str">
        <f t="shared" si="7"/>
        <v>Promedio</v>
      </c>
      <c r="L98" s="326">
        <f>IFERROR(COUNTA('LP Reactivos'!F98,'LP Reactivos'!I98,'LP Reactivos'!N98,'LP Reactivos'!S98,'LP Reactivos'!X98,'LP Reactivos'!AC98,'LP Reactivos'!AH98,'LP Reactivos'!AM98,'LP Reactivos'!AR98,'LP Reactivos'!AW98,'LP Reactivos'!BB98,'LP Reactivos'!BG98,'LP Reactivos'!BL98,'LP Reactivos'!BQ98,'LP Reactivos'!BV98,'LP Reactivos'!CA98,'LP Reactivos'!CF98,'LP Reactivos'!CK98,'LP Reactivos'!CP98,'LP Reactivos'!CU98,'LP Reactivos'!CZ98,'LP Reactivos'!DE98,'LP Reactivos'!DJ98,'LP Reactivos'!DO98,'LP Reactivos'!DT98,'LP Reactivos'!DY98,'LP Reactivos'!EB98)," ")</f>
        <v>3</v>
      </c>
    </row>
    <row r="99" spans="2:12" ht="40.5" x14ac:dyDescent="0.25">
      <c r="B99" s="425">
        <v>97</v>
      </c>
      <c r="C99" s="427" t="s">
        <v>970</v>
      </c>
      <c r="D99" s="429">
        <f>IFERROR(MIN('LP Reactivos'!F99,'LP Reactivos'!I99,'LP Reactivos'!N99,'LP Reactivos'!S99,'LP Reactivos'!X99,'LP Reactivos'!AC99,'LP Reactivos'!AH99,'LP Reactivos'!AM99,'LP Reactivos'!AR99,'LP Reactivos'!AW99,'LP Reactivos'!BB99,'LP Reactivos'!BG99,'LP Reactivos'!BL99,'LP Reactivos'!BQ99,'LP Reactivos'!BV99,'LP Reactivos'!CA99,'LP Reactivos'!CF99,'LP Reactivos'!CK99,'LP Reactivos'!CP99,'LP Reactivos'!CU99,'LP Reactivos'!CZ99,'LP Reactivos'!DE99,'LP Reactivos'!DJ99,'LP Reactivos'!DO99,'LP Reactivos'!DT99,'LP Reactivos'!DY99,'LP Reactivos'!EB99)," ")</f>
        <v>581332.47999999998</v>
      </c>
      <c r="E99" s="429">
        <f>IFERROR(AVERAGE('LP Reactivos'!F99,'LP Reactivos'!I99,'LP Reactivos'!N99,'LP Reactivos'!S99,'LP Reactivos'!X99,'LP Reactivos'!AC99,'LP Reactivos'!AH99,'LP Reactivos'!AM99,'LP Reactivos'!AR99,'LP Reactivos'!AW99,'LP Reactivos'!BB99,'LP Reactivos'!BG99,'LP Reactivos'!BL99,'LP Reactivos'!BQ99,'LP Reactivos'!BV99,'LP Reactivos'!CA99,'LP Reactivos'!CF99,'LP Reactivos'!CK99,'LP Reactivos'!CP99,'LP Reactivos'!CU99,'LP Reactivos'!CZ99,'LP Reactivos'!DE99,'LP Reactivos'!DJ99,'LP Reactivos'!DO99,'LP Reactivos'!DT99,'LP Reactivos'!DY99,'LP Reactivos'!EB99)," ")</f>
        <v>581332.47999999998</v>
      </c>
      <c r="F99" s="345">
        <f>IFERROR(MEDIAN('LP Reactivos'!F99,'LP Reactivos'!I99,'LP Reactivos'!N99,'LP Reactivos'!S99,'LP Reactivos'!X99,'LP Reactivos'!AC99,'LP Reactivos'!AH99,'LP Reactivos'!AM99,'LP Reactivos'!AR99,'LP Reactivos'!AW99,'LP Reactivos'!BB99,'LP Reactivos'!BG99,'LP Reactivos'!BL99,'LP Reactivos'!BQ99,'LP Reactivos'!BV99,'LP Reactivos'!CA99,'LP Reactivos'!CF99,'LP Reactivos'!CK99,'LP Reactivos'!CP99,'LP Reactivos'!CU99,'LP Reactivos'!CZ99,'LP Reactivos'!DE99,'LP Reactivos'!DJ99,'LP Reactivos'!DO99,'LP Reactivos'!DT99,'LP Reactivos'!DY99,'LP Reactivos'!EB99)," ")</f>
        <v>581332.47999999998</v>
      </c>
      <c r="G99" s="345">
        <f>IFERROR(GEOMEAN('LP Reactivos'!F99,'LP Reactivos'!I99,'LP Reactivos'!N99,'LP Reactivos'!S99,'LP Reactivos'!X99,'LP Reactivos'!AC99,'LP Reactivos'!AH99,'LP Reactivos'!AM99,'LP Reactivos'!AR99,'LP Reactivos'!AW99,'LP Reactivos'!BB99,'LP Reactivos'!BG99,'LP Reactivos'!BL99,'LP Reactivos'!BQ99,'LP Reactivos'!BV99,'LP Reactivos'!CA99,'LP Reactivos'!CF99,'LP Reactivos'!CK99,'LP Reactivos'!CP99,'LP Reactivos'!CU99,'LP Reactivos'!CZ99,'LP Reactivos'!DE99,'LP Reactivos'!DJ99,'LP Reactivos'!DO99,'LP Reactivos'!DT99,'LP Reactivos'!DY99,'LP Reactivos'!EB99)," ")</f>
        <v>581332.47999999998</v>
      </c>
      <c r="H99" s="345">
        <f t="shared" si="4"/>
        <v>0</v>
      </c>
      <c r="I99" s="346">
        <f t="shared" si="5"/>
        <v>0</v>
      </c>
      <c r="J99" s="345">
        <f t="shared" si="6"/>
        <v>581332.47999999998</v>
      </c>
      <c r="K99" s="344" t="str">
        <f t="shared" si="7"/>
        <v>Menor Valor</v>
      </c>
      <c r="L99" s="326">
        <f>IFERROR(COUNTA('LP Reactivos'!F99,'LP Reactivos'!I99,'LP Reactivos'!N99,'LP Reactivos'!S99,'LP Reactivos'!X99,'LP Reactivos'!AC99,'LP Reactivos'!AH99,'LP Reactivos'!AM99,'LP Reactivos'!AR99,'LP Reactivos'!AW99,'LP Reactivos'!BB99,'LP Reactivos'!BG99,'LP Reactivos'!BL99,'LP Reactivos'!BQ99,'LP Reactivos'!BV99,'LP Reactivos'!CA99,'LP Reactivos'!CF99,'LP Reactivos'!CK99,'LP Reactivos'!CP99,'LP Reactivos'!CU99,'LP Reactivos'!CZ99,'LP Reactivos'!DE99,'LP Reactivos'!DJ99,'LP Reactivos'!DO99,'LP Reactivos'!DT99,'LP Reactivos'!DY99,'LP Reactivos'!EB99)," ")</f>
        <v>1</v>
      </c>
    </row>
    <row r="100" spans="2:12" x14ac:dyDescent="0.25">
      <c r="B100" s="425">
        <v>98</v>
      </c>
      <c r="C100" s="427" t="s">
        <v>973</v>
      </c>
      <c r="D100" s="429">
        <f>IFERROR(MIN('LP Reactivos'!F100,'LP Reactivos'!I100,'LP Reactivos'!N100,'LP Reactivos'!S100,'LP Reactivos'!X100,'LP Reactivos'!AC100,'LP Reactivos'!AH100,'LP Reactivos'!AM100,'LP Reactivos'!AR100,'LP Reactivos'!AW100,'LP Reactivos'!BB100,'LP Reactivos'!BG100,'LP Reactivos'!BL100,'LP Reactivos'!BQ100,'LP Reactivos'!BV100,'LP Reactivos'!CA100,'LP Reactivos'!CF100,'LP Reactivos'!CK100,'LP Reactivos'!CP100,'LP Reactivos'!CU100,'LP Reactivos'!CZ100,'LP Reactivos'!DE100,'LP Reactivos'!DJ100,'LP Reactivos'!DO100,'LP Reactivos'!DT100,'LP Reactivos'!DY100,'LP Reactivos'!EB100)," ")</f>
        <v>181256.5944</v>
      </c>
      <c r="E100" s="429">
        <f>IFERROR(AVERAGE('LP Reactivos'!F100,'LP Reactivos'!I100,'LP Reactivos'!N100,'LP Reactivos'!S100,'LP Reactivos'!X100,'LP Reactivos'!AC100,'LP Reactivos'!AH100,'LP Reactivos'!AM100,'LP Reactivos'!AR100,'LP Reactivos'!AW100,'LP Reactivos'!BB100,'LP Reactivos'!BG100,'LP Reactivos'!BL100,'LP Reactivos'!BQ100,'LP Reactivos'!BV100,'LP Reactivos'!CA100,'LP Reactivos'!CF100,'LP Reactivos'!CK100,'LP Reactivos'!CP100,'LP Reactivos'!CU100,'LP Reactivos'!CZ100,'LP Reactivos'!DE100,'LP Reactivos'!DJ100,'LP Reactivos'!DO100,'LP Reactivos'!DT100,'LP Reactivos'!DY100,'LP Reactivos'!EB100)," ")</f>
        <v>181256.5944</v>
      </c>
      <c r="F100" s="345">
        <f>IFERROR(MEDIAN('LP Reactivos'!F100,'LP Reactivos'!I100,'LP Reactivos'!N100,'LP Reactivos'!S100,'LP Reactivos'!X100,'LP Reactivos'!AC100,'LP Reactivos'!AH100,'LP Reactivos'!AM100,'LP Reactivos'!AR100,'LP Reactivos'!AW100,'LP Reactivos'!BB100,'LP Reactivos'!BG100,'LP Reactivos'!BL100,'LP Reactivos'!BQ100,'LP Reactivos'!BV100,'LP Reactivos'!CA100,'LP Reactivos'!CF100,'LP Reactivos'!CK100,'LP Reactivos'!CP100,'LP Reactivos'!CU100,'LP Reactivos'!CZ100,'LP Reactivos'!DE100,'LP Reactivos'!DJ100,'LP Reactivos'!DO100,'LP Reactivos'!DT100,'LP Reactivos'!DY100,'LP Reactivos'!EB100)," ")</f>
        <v>181256.5944</v>
      </c>
      <c r="G100" s="345">
        <f>IFERROR(GEOMEAN('LP Reactivos'!F100,'LP Reactivos'!I100,'LP Reactivos'!N100,'LP Reactivos'!S100,'LP Reactivos'!X100,'LP Reactivos'!AC100,'LP Reactivos'!AH100,'LP Reactivos'!AM100,'LP Reactivos'!AR100,'LP Reactivos'!AW100,'LP Reactivos'!BB100,'LP Reactivos'!BG100,'LP Reactivos'!BL100,'LP Reactivos'!BQ100,'LP Reactivos'!BV100,'LP Reactivos'!CA100,'LP Reactivos'!CF100,'LP Reactivos'!CK100,'LP Reactivos'!CP100,'LP Reactivos'!CU100,'LP Reactivos'!CZ100,'LP Reactivos'!DE100,'LP Reactivos'!DJ100,'LP Reactivos'!DO100,'LP Reactivos'!DT100,'LP Reactivos'!DY100,'LP Reactivos'!EB100)," ")</f>
        <v>181256.5944</v>
      </c>
      <c r="H100" s="345">
        <f t="shared" si="4"/>
        <v>0</v>
      </c>
      <c r="I100" s="346">
        <f t="shared" si="5"/>
        <v>0</v>
      </c>
      <c r="J100" s="345">
        <f t="shared" si="6"/>
        <v>181256.5944</v>
      </c>
      <c r="K100" s="344" t="str">
        <f t="shared" si="7"/>
        <v>Menor Valor</v>
      </c>
      <c r="L100" s="326">
        <f>IFERROR(COUNTA('LP Reactivos'!F100,'LP Reactivos'!I100,'LP Reactivos'!N100,'LP Reactivos'!S100,'LP Reactivos'!X100,'LP Reactivos'!AC100,'LP Reactivos'!AH100,'LP Reactivos'!AM100,'LP Reactivos'!AR100,'LP Reactivos'!AW100,'LP Reactivos'!BB100,'LP Reactivos'!BG100,'LP Reactivos'!BL100,'LP Reactivos'!BQ100,'LP Reactivos'!BV100,'LP Reactivos'!CA100,'LP Reactivos'!CF100,'LP Reactivos'!CK100,'LP Reactivos'!CP100,'LP Reactivos'!CU100,'LP Reactivos'!CZ100,'LP Reactivos'!DE100,'LP Reactivos'!DJ100,'LP Reactivos'!DO100,'LP Reactivos'!DT100,'LP Reactivos'!DY100,'LP Reactivos'!EB100)," ")</f>
        <v>1</v>
      </c>
    </row>
    <row r="101" spans="2:12" x14ac:dyDescent="0.25">
      <c r="B101" s="425">
        <v>99</v>
      </c>
      <c r="C101" s="427" t="s">
        <v>975</v>
      </c>
      <c r="D101" s="429">
        <f>IFERROR(MIN('LP Reactivos'!F101,'LP Reactivos'!I101,'LP Reactivos'!N101,'LP Reactivos'!S101,'LP Reactivos'!X101,'LP Reactivos'!AC101,'LP Reactivos'!AH101,'LP Reactivos'!AM101,'LP Reactivos'!AR101,'LP Reactivos'!AW101,'LP Reactivos'!BB101,'LP Reactivos'!BG101,'LP Reactivos'!BL101,'LP Reactivos'!BQ101,'LP Reactivos'!BV101,'LP Reactivos'!CA101,'LP Reactivos'!CF101,'LP Reactivos'!CK101,'LP Reactivos'!CP101,'LP Reactivos'!CU101,'LP Reactivos'!CZ101,'LP Reactivos'!DE101,'LP Reactivos'!DJ101,'LP Reactivos'!DO101,'LP Reactivos'!DT101,'LP Reactivos'!DY101,'LP Reactivos'!EB101)," ")</f>
        <v>359832.55320000002</v>
      </c>
      <c r="E101" s="429">
        <f>IFERROR(AVERAGE('LP Reactivos'!F101,'LP Reactivos'!I101,'LP Reactivos'!N101,'LP Reactivos'!S101,'LP Reactivos'!X101,'LP Reactivos'!AC101,'LP Reactivos'!AH101,'LP Reactivos'!AM101,'LP Reactivos'!AR101,'LP Reactivos'!AW101,'LP Reactivos'!BB101,'LP Reactivos'!BG101,'LP Reactivos'!BL101,'LP Reactivos'!BQ101,'LP Reactivos'!BV101,'LP Reactivos'!CA101,'LP Reactivos'!CF101,'LP Reactivos'!CK101,'LP Reactivos'!CP101,'LP Reactivos'!CU101,'LP Reactivos'!CZ101,'LP Reactivos'!DE101,'LP Reactivos'!DJ101,'LP Reactivos'!DO101,'LP Reactivos'!DT101,'LP Reactivos'!DY101,'LP Reactivos'!EB101)," ")</f>
        <v>359832.55320000002</v>
      </c>
      <c r="F101" s="345">
        <f>IFERROR(MEDIAN('LP Reactivos'!F101,'LP Reactivos'!I101,'LP Reactivos'!N101,'LP Reactivos'!S101,'LP Reactivos'!X101,'LP Reactivos'!AC101,'LP Reactivos'!AH101,'LP Reactivos'!AM101,'LP Reactivos'!AR101,'LP Reactivos'!AW101,'LP Reactivos'!BB101,'LP Reactivos'!BG101,'LP Reactivos'!BL101,'LP Reactivos'!BQ101,'LP Reactivos'!BV101,'LP Reactivos'!CA101,'LP Reactivos'!CF101,'LP Reactivos'!CK101,'LP Reactivos'!CP101,'LP Reactivos'!CU101,'LP Reactivos'!CZ101,'LP Reactivos'!DE101,'LP Reactivos'!DJ101,'LP Reactivos'!DO101,'LP Reactivos'!DT101,'LP Reactivos'!DY101,'LP Reactivos'!EB101)," ")</f>
        <v>359832.55320000002</v>
      </c>
      <c r="G101" s="345">
        <f>IFERROR(GEOMEAN('LP Reactivos'!F101,'LP Reactivos'!I101,'LP Reactivos'!N101,'LP Reactivos'!S101,'LP Reactivos'!X101,'LP Reactivos'!AC101,'LP Reactivos'!AH101,'LP Reactivos'!AM101,'LP Reactivos'!AR101,'LP Reactivos'!AW101,'LP Reactivos'!BB101,'LP Reactivos'!BG101,'LP Reactivos'!BL101,'LP Reactivos'!BQ101,'LP Reactivos'!BV101,'LP Reactivos'!CA101,'LP Reactivos'!CF101,'LP Reactivos'!CK101,'LP Reactivos'!CP101,'LP Reactivos'!CU101,'LP Reactivos'!CZ101,'LP Reactivos'!DE101,'LP Reactivos'!DJ101,'LP Reactivos'!DO101,'LP Reactivos'!DT101,'LP Reactivos'!DY101,'LP Reactivos'!EB101)," ")</f>
        <v>359832.55320000002</v>
      </c>
      <c r="H101" s="345">
        <f t="shared" si="4"/>
        <v>0</v>
      </c>
      <c r="I101" s="346">
        <f t="shared" si="5"/>
        <v>0</v>
      </c>
      <c r="J101" s="345">
        <f t="shared" si="6"/>
        <v>359832.55320000002</v>
      </c>
      <c r="K101" s="344" t="str">
        <f t="shared" si="7"/>
        <v>Menor Valor</v>
      </c>
      <c r="L101" s="326">
        <f>IFERROR(COUNTA('LP Reactivos'!F101,'LP Reactivos'!I101,'LP Reactivos'!N101,'LP Reactivos'!S101,'LP Reactivos'!X101,'LP Reactivos'!AC101,'LP Reactivos'!AH101,'LP Reactivos'!AM101,'LP Reactivos'!AR101,'LP Reactivos'!AW101,'LP Reactivos'!BB101,'LP Reactivos'!BG101,'LP Reactivos'!BL101,'LP Reactivos'!BQ101,'LP Reactivos'!BV101,'LP Reactivos'!CA101,'LP Reactivos'!CF101,'LP Reactivos'!CK101,'LP Reactivos'!CP101,'LP Reactivos'!CU101,'LP Reactivos'!CZ101,'LP Reactivos'!DE101,'LP Reactivos'!DJ101,'LP Reactivos'!DO101,'LP Reactivos'!DT101,'LP Reactivos'!DY101,'LP Reactivos'!EB101)," ")</f>
        <v>1</v>
      </c>
    </row>
    <row r="102" spans="2:12" x14ac:dyDescent="0.25">
      <c r="B102" s="425">
        <v>100</v>
      </c>
      <c r="C102" s="427" t="s">
        <v>978</v>
      </c>
      <c r="D102" s="429">
        <f>IFERROR(MIN('LP Reactivos'!F102,'LP Reactivos'!I102,'LP Reactivos'!N102,'LP Reactivos'!S102,'LP Reactivos'!X102,'LP Reactivos'!AC102,'LP Reactivos'!AH102,'LP Reactivos'!AM102,'LP Reactivos'!AR102,'LP Reactivos'!AW102,'LP Reactivos'!BB102,'LP Reactivos'!BG102,'LP Reactivos'!BL102,'LP Reactivos'!BQ102,'LP Reactivos'!BV102,'LP Reactivos'!CA102,'LP Reactivos'!CF102,'LP Reactivos'!CK102,'LP Reactivos'!CP102,'LP Reactivos'!CU102,'LP Reactivos'!CZ102,'LP Reactivos'!DE102,'LP Reactivos'!DJ102,'LP Reactivos'!DO102,'LP Reactivos'!DT102,'LP Reactivos'!DY102,'LP Reactivos'!EB102)," ")</f>
        <v>89011.255000000005</v>
      </c>
      <c r="E102" s="429">
        <f>IFERROR(AVERAGE('LP Reactivos'!F102,'LP Reactivos'!I102,'LP Reactivos'!N102,'LP Reactivos'!S102,'LP Reactivos'!X102,'LP Reactivos'!AC102,'LP Reactivos'!AH102,'LP Reactivos'!AM102,'LP Reactivos'!AR102,'LP Reactivos'!AW102,'LP Reactivos'!BB102,'LP Reactivos'!BG102,'LP Reactivos'!BL102,'LP Reactivos'!BQ102,'LP Reactivos'!BV102,'LP Reactivos'!CA102,'LP Reactivos'!CF102,'LP Reactivos'!CK102,'LP Reactivos'!CP102,'LP Reactivos'!CU102,'LP Reactivos'!CZ102,'LP Reactivos'!DE102,'LP Reactivos'!DJ102,'LP Reactivos'!DO102,'LP Reactivos'!DT102,'LP Reactivos'!DY102,'LP Reactivos'!EB102)," ")</f>
        <v>89011.255000000005</v>
      </c>
      <c r="F102" s="345">
        <f>IFERROR(MEDIAN('LP Reactivos'!F102,'LP Reactivos'!I102,'LP Reactivos'!N102,'LP Reactivos'!S102,'LP Reactivos'!X102,'LP Reactivos'!AC102,'LP Reactivos'!AH102,'LP Reactivos'!AM102,'LP Reactivos'!AR102,'LP Reactivos'!AW102,'LP Reactivos'!BB102,'LP Reactivos'!BG102,'LP Reactivos'!BL102,'LP Reactivos'!BQ102,'LP Reactivos'!BV102,'LP Reactivos'!CA102,'LP Reactivos'!CF102,'LP Reactivos'!CK102,'LP Reactivos'!CP102,'LP Reactivos'!CU102,'LP Reactivos'!CZ102,'LP Reactivos'!DE102,'LP Reactivos'!DJ102,'LP Reactivos'!DO102,'LP Reactivos'!DT102,'LP Reactivos'!DY102,'LP Reactivos'!EB102)," ")</f>
        <v>89011.255000000005</v>
      </c>
      <c r="G102" s="345">
        <f>IFERROR(GEOMEAN('LP Reactivos'!F102,'LP Reactivos'!I102,'LP Reactivos'!N102,'LP Reactivos'!S102,'LP Reactivos'!X102,'LP Reactivos'!AC102,'LP Reactivos'!AH102,'LP Reactivos'!AM102,'LP Reactivos'!AR102,'LP Reactivos'!AW102,'LP Reactivos'!BB102,'LP Reactivos'!BG102,'LP Reactivos'!BL102,'LP Reactivos'!BQ102,'LP Reactivos'!BV102,'LP Reactivos'!CA102,'LP Reactivos'!CF102,'LP Reactivos'!CK102,'LP Reactivos'!CP102,'LP Reactivos'!CU102,'LP Reactivos'!CZ102,'LP Reactivos'!DE102,'LP Reactivos'!DJ102,'LP Reactivos'!DO102,'LP Reactivos'!DT102,'LP Reactivos'!DY102,'LP Reactivos'!EB102)," ")</f>
        <v>89011.255000000005</v>
      </c>
      <c r="H102" s="345">
        <f t="shared" si="4"/>
        <v>0</v>
      </c>
      <c r="I102" s="346">
        <f t="shared" si="5"/>
        <v>0</v>
      </c>
      <c r="J102" s="345">
        <f t="shared" si="6"/>
        <v>89011.255000000005</v>
      </c>
      <c r="K102" s="344" t="str">
        <f t="shared" si="7"/>
        <v>Menor Valor</v>
      </c>
      <c r="L102" s="326">
        <f>IFERROR(COUNTA('LP Reactivos'!F102,'LP Reactivos'!I102,'LP Reactivos'!N102,'LP Reactivos'!S102,'LP Reactivos'!X102,'LP Reactivos'!AC102,'LP Reactivos'!AH102,'LP Reactivos'!AM102,'LP Reactivos'!AR102,'LP Reactivos'!AW102,'LP Reactivos'!BB102,'LP Reactivos'!BG102,'LP Reactivos'!BL102,'LP Reactivos'!BQ102,'LP Reactivos'!BV102,'LP Reactivos'!CA102,'LP Reactivos'!CF102,'LP Reactivos'!CK102,'LP Reactivos'!CP102,'LP Reactivos'!CU102,'LP Reactivos'!CZ102,'LP Reactivos'!DE102,'LP Reactivos'!DJ102,'LP Reactivos'!DO102,'LP Reactivos'!DT102,'LP Reactivos'!DY102,'LP Reactivos'!EB102)," ")</f>
        <v>1</v>
      </c>
    </row>
    <row r="103" spans="2:12" x14ac:dyDescent="0.25">
      <c r="B103" s="425">
        <v>101</v>
      </c>
      <c r="C103" s="427" t="s">
        <v>979</v>
      </c>
      <c r="D103" s="429">
        <f>IFERROR(MIN('LP Reactivos'!F103,'LP Reactivos'!I103,'LP Reactivos'!N103,'LP Reactivos'!S103,'LP Reactivos'!X103,'LP Reactivos'!AC103,'LP Reactivos'!AH103,'LP Reactivos'!AM103,'LP Reactivos'!AR103,'LP Reactivos'!AW103,'LP Reactivos'!BB103,'LP Reactivos'!BG103,'LP Reactivos'!BL103,'LP Reactivos'!BQ103,'LP Reactivos'!BV103,'LP Reactivos'!CA103,'LP Reactivos'!CF103,'LP Reactivos'!CK103,'LP Reactivos'!CP103,'LP Reactivos'!CU103,'LP Reactivos'!CZ103,'LP Reactivos'!DE103,'LP Reactivos'!DJ103,'LP Reactivos'!DO103,'LP Reactivos'!DT103,'LP Reactivos'!DY103,'LP Reactivos'!EB103)," ")</f>
        <v>904140.99840000004</v>
      </c>
      <c r="E103" s="429">
        <f>IFERROR(AVERAGE('LP Reactivos'!F103,'LP Reactivos'!I103,'LP Reactivos'!N103,'LP Reactivos'!S103,'LP Reactivos'!X103,'LP Reactivos'!AC103,'LP Reactivos'!AH103,'LP Reactivos'!AM103,'LP Reactivos'!AR103,'LP Reactivos'!AW103,'LP Reactivos'!BB103,'LP Reactivos'!BG103,'LP Reactivos'!BL103,'LP Reactivos'!BQ103,'LP Reactivos'!BV103,'LP Reactivos'!CA103,'LP Reactivos'!CF103,'LP Reactivos'!CK103,'LP Reactivos'!CP103,'LP Reactivos'!CU103,'LP Reactivos'!CZ103,'LP Reactivos'!DE103,'LP Reactivos'!DJ103,'LP Reactivos'!DO103,'LP Reactivos'!DT103,'LP Reactivos'!DY103,'LP Reactivos'!EB103)," ")</f>
        <v>904140.99840000004</v>
      </c>
      <c r="F103" s="345">
        <f>IFERROR(MEDIAN('LP Reactivos'!F103,'LP Reactivos'!I103,'LP Reactivos'!N103,'LP Reactivos'!S103,'LP Reactivos'!X103,'LP Reactivos'!AC103,'LP Reactivos'!AH103,'LP Reactivos'!AM103,'LP Reactivos'!AR103,'LP Reactivos'!AW103,'LP Reactivos'!BB103,'LP Reactivos'!BG103,'LP Reactivos'!BL103,'LP Reactivos'!BQ103,'LP Reactivos'!BV103,'LP Reactivos'!CA103,'LP Reactivos'!CF103,'LP Reactivos'!CK103,'LP Reactivos'!CP103,'LP Reactivos'!CU103,'LP Reactivos'!CZ103,'LP Reactivos'!DE103,'LP Reactivos'!DJ103,'LP Reactivos'!DO103,'LP Reactivos'!DT103,'LP Reactivos'!DY103,'LP Reactivos'!EB103)," ")</f>
        <v>904140.99840000004</v>
      </c>
      <c r="G103" s="345">
        <f>IFERROR(GEOMEAN('LP Reactivos'!F103,'LP Reactivos'!I103,'LP Reactivos'!N103,'LP Reactivos'!S103,'LP Reactivos'!X103,'LP Reactivos'!AC103,'LP Reactivos'!AH103,'LP Reactivos'!AM103,'LP Reactivos'!AR103,'LP Reactivos'!AW103,'LP Reactivos'!BB103,'LP Reactivos'!BG103,'LP Reactivos'!BL103,'LP Reactivos'!BQ103,'LP Reactivos'!BV103,'LP Reactivos'!CA103,'LP Reactivos'!CF103,'LP Reactivos'!CK103,'LP Reactivos'!CP103,'LP Reactivos'!CU103,'LP Reactivos'!CZ103,'LP Reactivos'!DE103,'LP Reactivos'!DJ103,'LP Reactivos'!DO103,'LP Reactivos'!DT103,'LP Reactivos'!DY103,'LP Reactivos'!EB103)," ")</f>
        <v>904140.99840000004</v>
      </c>
      <c r="H103" s="345">
        <f t="shared" si="4"/>
        <v>0</v>
      </c>
      <c r="I103" s="346">
        <f t="shared" si="5"/>
        <v>0</v>
      </c>
      <c r="J103" s="345">
        <f t="shared" si="6"/>
        <v>904140.99840000004</v>
      </c>
      <c r="K103" s="344" t="str">
        <f t="shared" si="7"/>
        <v>Menor Valor</v>
      </c>
      <c r="L103" s="326">
        <f>IFERROR(COUNTA('LP Reactivos'!F103,'LP Reactivos'!I103,'LP Reactivos'!N103,'LP Reactivos'!S103,'LP Reactivos'!X103,'LP Reactivos'!AC103,'LP Reactivos'!AH103,'LP Reactivos'!AM103,'LP Reactivos'!AR103,'LP Reactivos'!AW103,'LP Reactivos'!BB103,'LP Reactivos'!BG103,'LP Reactivos'!BL103,'LP Reactivos'!BQ103,'LP Reactivos'!BV103,'LP Reactivos'!CA103,'LP Reactivos'!CF103,'LP Reactivos'!CK103,'LP Reactivos'!CP103,'LP Reactivos'!CU103,'LP Reactivos'!CZ103,'LP Reactivos'!DE103,'LP Reactivos'!DJ103,'LP Reactivos'!DO103,'LP Reactivos'!DT103,'LP Reactivos'!DY103,'LP Reactivos'!EB103)," ")</f>
        <v>1</v>
      </c>
    </row>
    <row r="104" spans="2:12" ht="27" x14ac:dyDescent="0.25">
      <c r="B104" s="425">
        <v>102</v>
      </c>
      <c r="C104" s="427" t="s">
        <v>982</v>
      </c>
      <c r="D104" s="429">
        <f>IFERROR(MIN('LP Reactivos'!F104,'LP Reactivos'!I104,'LP Reactivos'!N104,'LP Reactivos'!S104,'LP Reactivos'!X104,'LP Reactivos'!AC104,'LP Reactivos'!AH104,'LP Reactivos'!AM104,'LP Reactivos'!AR104,'LP Reactivos'!AW104,'LP Reactivos'!BB104,'LP Reactivos'!BG104,'LP Reactivos'!BL104,'LP Reactivos'!BQ104,'LP Reactivos'!BV104,'LP Reactivos'!CA104,'LP Reactivos'!CF104,'LP Reactivos'!CK104,'LP Reactivos'!CP104,'LP Reactivos'!CU104,'LP Reactivos'!CZ104,'LP Reactivos'!DE104,'LP Reactivos'!DJ104,'LP Reactivos'!DO104,'LP Reactivos'!DT104,'LP Reactivos'!DY104,'LP Reactivos'!EB104)," ")</f>
        <v>1090727.1780000001</v>
      </c>
      <c r="E104" s="429">
        <f>IFERROR(AVERAGE('LP Reactivos'!F104,'LP Reactivos'!I104,'LP Reactivos'!N104,'LP Reactivos'!S104,'LP Reactivos'!X104,'LP Reactivos'!AC104,'LP Reactivos'!AH104,'LP Reactivos'!AM104,'LP Reactivos'!AR104,'LP Reactivos'!AW104,'LP Reactivos'!BB104,'LP Reactivos'!BG104,'LP Reactivos'!BL104,'LP Reactivos'!BQ104,'LP Reactivos'!BV104,'LP Reactivos'!CA104,'LP Reactivos'!CF104,'LP Reactivos'!CK104,'LP Reactivos'!CP104,'LP Reactivos'!CU104,'LP Reactivos'!CZ104,'LP Reactivos'!DE104,'LP Reactivos'!DJ104,'LP Reactivos'!DO104,'LP Reactivos'!DT104,'LP Reactivos'!DY104,'LP Reactivos'!EB104)," ")</f>
        <v>1090727.1780000001</v>
      </c>
      <c r="F104" s="345">
        <f>IFERROR(MEDIAN('LP Reactivos'!F104,'LP Reactivos'!I104,'LP Reactivos'!N104,'LP Reactivos'!S104,'LP Reactivos'!X104,'LP Reactivos'!AC104,'LP Reactivos'!AH104,'LP Reactivos'!AM104,'LP Reactivos'!AR104,'LP Reactivos'!AW104,'LP Reactivos'!BB104,'LP Reactivos'!BG104,'LP Reactivos'!BL104,'LP Reactivos'!BQ104,'LP Reactivos'!BV104,'LP Reactivos'!CA104,'LP Reactivos'!CF104,'LP Reactivos'!CK104,'LP Reactivos'!CP104,'LP Reactivos'!CU104,'LP Reactivos'!CZ104,'LP Reactivos'!DE104,'LP Reactivos'!DJ104,'LP Reactivos'!DO104,'LP Reactivos'!DT104,'LP Reactivos'!DY104,'LP Reactivos'!EB104)," ")</f>
        <v>1090727.1780000001</v>
      </c>
      <c r="G104" s="345">
        <f>IFERROR(GEOMEAN('LP Reactivos'!F104,'LP Reactivos'!I104,'LP Reactivos'!N104,'LP Reactivos'!S104,'LP Reactivos'!X104,'LP Reactivos'!AC104,'LP Reactivos'!AH104,'LP Reactivos'!AM104,'LP Reactivos'!AR104,'LP Reactivos'!AW104,'LP Reactivos'!BB104,'LP Reactivos'!BG104,'LP Reactivos'!BL104,'LP Reactivos'!BQ104,'LP Reactivos'!BV104,'LP Reactivos'!CA104,'LP Reactivos'!CF104,'LP Reactivos'!CK104,'LP Reactivos'!CP104,'LP Reactivos'!CU104,'LP Reactivos'!CZ104,'LP Reactivos'!DE104,'LP Reactivos'!DJ104,'LP Reactivos'!DO104,'LP Reactivos'!DT104,'LP Reactivos'!DY104,'LP Reactivos'!EB104)," ")</f>
        <v>1090727.1780000001</v>
      </c>
      <c r="H104" s="345">
        <f t="shared" si="4"/>
        <v>0</v>
      </c>
      <c r="I104" s="346">
        <f t="shared" si="5"/>
        <v>0</v>
      </c>
      <c r="J104" s="345">
        <f t="shared" si="6"/>
        <v>1090727.1780000001</v>
      </c>
      <c r="K104" s="344" t="str">
        <f t="shared" si="7"/>
        <v>Menor Valor</v>
      </c>
      <c r="L104" s="326">
        <f>IFERROR(COUNTA('LP Reactivos'!F104,'LP Reactivos'!I104,'LP Reactivos'!N104,'LP Reactivos'!S104,'LP Reactivos'!X104,'LP Reactivos'!AC104,'LP Reactivos'!AH104,'LP Reactivos'!AM104,'LP Reactivos'!AR104,'LP Reactivos'!AW104,'LP Reactivos'!BB104,'LP Reactivos'!BG104,'LP Reactivos'!BL104,'LP Reactivos'!BQ104,'LP Reactivos'!BV104,'LP Reactivos'!CA104,'LP Reactivos'!CF104,'LP Reactivos'!CK104,'LP Reactivos'!CP104,'LP Reactivos'!CU104,'LP Reactivos'!CZ104,'LP Reactivos'!DE104,'LP Reactivos'!DJ104,'LP Reactivos'!DO104,'LP Reactivos'!DT104,'LP Reactivos'!DY104,'LP Reactivos'!EB104)," ")</f>
        <v>1</v>
      </c>
    </row>
    <row r="105" spans="2:12" x14ac:dyDescent="0.25">
      <c r="B105" s="425">
        <v>103</v>
      </c>
      <c r="C105" s="427" t="s">
        <v>984</v>
      </c>
      <c r="D105" s="429">
        <f>IFERROR(MIN('LP Reactivos'!F105,'LP Reactivos'!I105,'LP Reactivos'!N105,'LP Reactivos'!S105,'LP Reactivos'!X105,'LP Reactivos'!AC105,'LP Reactivos'!AH105,'LP Reactivos'!AM105,'LP Reactivos'!AR105,'LP Reactivos'!AW105,'LP Reactivos'!BB105,'LP Reactivos'!BG105,'LP Reactivos'!BL105,'LP Reactivos'!BQ105,'LP Reactivos'!BV105,'LP Reactivos'!CA105,'LP Reactivos'!CF105,'LP Reactivos'!CK105,'LP Reactivos'!CP105,'LP Reactivos'!CU105,'LP Reactivos'!CZ105,'LP Reactivos'!DE105,'LP Reactivos'!DJ105,'LP Reactivos'!DO105,'LP Reactivos'!DT105,'LP Reactivos'!DY105,'LP Reactivos'!EB105)," ")</f>
        <v>973156.27500000002</v>
      </c>
      <c r="E105" s="429">
        <f>IFERROR(AVERAGE('LP Reactivos'!F105,'LP Reactivos'!I105,'LP Reactivos'!N105,'LP Reactivos'!S105,'LP Reactivos'!X105,'LP Reactivos'!AC105,'LP Reactivos'!AH105,'LP Reactivos'!AM105,'LP Reactivos'!AR105,'LP Reactivos'!AW105,'LP Reactivos'!BB105,'LP Reactivos'!BG105,'LP Reactivos'!BL105,'LP Reactivos'!BQ105,'LP Reactivos'!BV105,'LP Reactivos'!CA105,'LP Reactivos'!CF105,'LP Reactivos'!CK105,'LP Reactivos'!CP105,'LP Reactivos'!CU105,'LP Reactivos'!CZ105,'LP Reactivos'!DE105,'LP Reactivos'!DJ105,'LP Reactivos'!DO105,'LP Reactivos'!DT105,'LP Reactivos'!DY105,'LP Reactivos'!EB105)," ")</f>
        <v>973156.27500000002</v>
      </c>
      <c r="F105" s="345">
        <f>IFERROR(MEDIAN('LP Reactivos'!F105,'LP Reactivos'!I105,'LP Reactivos'!N105,'LP Reactivos'!S105,'LP Reactivos'!X105,'LP Reactivos'!AC105,'LP Reactivos'!AH105,'LP Reactivos'!AM105,'LP Reactivos'!AR105,'LP Reactivos'!AW105,'LP Reactivos'!BB105,'LP Reactivos'!BG105,'LP Reactivos'!BL105,'LP Reactivos'!BQ105,'LP Reactivos'!BV105,'LP Reactivos'!CA105,'LP Reactivos'!CF105,'LP Reactivos'!CK105,'LP Reactivos'!CP105,'LP Reactivos'!CU105,'LP Reactivos'!CZ105,'LP Reactivos'!DE105,'LP Reactivos'!DJ105,'LP Reactivos'!DO105,'LP Reactivos'!DT105,'LP Reactivos'!DY105,'LP Reactivos'!EB105)," ")</f>
        <v>973156.27500000002</v>
      </c>
      <c r="G105" s="345">
        <f>IFERROR(GEOMEAN('LP Reactivos'!F105,'LP Reactivos'!I105,'LP Reactivos'!N105,'LP Reactivos'!S105,'LP Reactivos'!X105,'LP Reactivos'!AC105,'LP Reactivos'!AH105,'LP Reactivos'!AM105,'LP Reactivos'!AR105,'LP Reactivos'!AW105,'LP Reactivos'!BB105,'LP Reactivos'!BG105,'LP Reactivos'!BL105,'LP Reactivos'!BQ105,'LP Reactivos'!BV105,'LP Reactivos'!CA105,'LP Reactivos'!CF105,'LP Reactivos'!CK105,'LP Reactivos'!CP105,'LP Reactivos'!CU105,'LP Reactivos'!CZ105,'LP Reactivos'!DE105,'LP Reactivos'!DJ105,'LP Reactivos'!DO105,'LP Reactivos'!DT105,'LP Reactivos'!DY105,'LP Reactivos'!EB105)," ")</f>
        <v>973156.27500000002</v>
      </c>
      <c r="H105" s="345">
        <f t="shared" si="4"/>
        <v>0</v>
      </c>
      <c r="I105" s="346">
        <f t="shared" si="5"/>
        <v>0</v>
      </c>
      <c r="J105" s="345">
        <f t="shared" si="6"/>
        <v>973156.27500000002</v>
      </c>
      <c r="K105" s="344" t="str">
        <f t="shared" si="7"/>
        <v>Menor Valor</v>
      </c>
      <c r="L105" s="326">
        <f>IFERROR(COUNTA('LP Reactivos'!F105,'LP Reactivos'!I105,'LP Reactivos'!N105,'LP Reactivos'!S105,'LP Reactivos'!X105,'LP Reactivos'!AC105,'LP Reactivos'!AH105,'LP Reactivos'!AM105,'LP Reactivos'!AR105,'LP Reactivos'!AW105,'LP Reactivos'!BB105,'LP Reactivos'!BG105,'LP Reactivos'!BL105,'LP Reactivos'!BQ105,'LP Reactivos'!BV105,'LP Reactivos'!CA105,'LP Reactivos'!CF105,'LP Reactivos'!CK105,'LP Reactivos'!CP105,'LP Reactivos'!CU105,'LP Reactivos'!CZ105,'LP Reactivos'!DE105,'LP Reactivos'!DJ105,'LP Reactivos'!DO105,'LP Reactivos'!DT105,'LP Reactivos'!DY105,'LP Reactivos'!EB105)," ")</f>
        <v>1</v>
      </c>
    </row>
    <row r="106" spans="2:12" x14ac:dyDescent="0.25">
      <c r="B106" s="425">
        <v>104</v>
      </c>
      <c r="C106" s="427" t="s">
        <v>985</v>
      </c>
      <c r="D106" s="429">
        <f>IFERROR(MIN('LP Reactivos'!F106,'LP Reactivos'!I106,'LP Reactivos'!N106,'LP Reactivos'!S106,'LP Reactivos'!X106,'LP Reactivos'!AC106,'LP Reactivos'!AH106,'LP Reactivos'!AM106,'LP Reactivos'!AR106,'LP Reactivos'!AW106,'LP Reactivos'!BB106,'LP Reactivos'!BG106,'LP Reactivos'!BL106,'LP Reactivos'!BQ106,'LP Reactivos'!BV106,'LP Reactivos'!CA106,'LP Reactivos'!CF106,'LP Reactivos'!CK106,'LP Reactivos'!CP106,'LP Reactivos'!CU106,'LP Reactivos'!CZ106,'LP Reactivos'!DE106,'LP Reactivos'!DJ106,'LP Reactivos'!DO106,'LP Reactivos'!DT106,'LP Reactivos'!DY106,'LP Reactivos'!EB106)," ")</f>
        <v>4576.5146000000004</v>
      </c>
      <c r="E106" s="429">
        <f>IFERROR(AVERAGE('LP Reactivos'!F106,'LP Reactivos'!I106,'LP Reactivos'!N106,'LP Reactivos'!S106,'LP Reactivos'!X106,'LP Reactivos'!AC106,'LP Reactivos'!AH106,'LP Reactivos'!AM106,'LP Reactivos'!AR106,'LP Reactivos'!AW106,'LP Reactivos'!BB106,'LP Reactivos'!BG106,'LP Reactivos'!BL106,'LP Reactivos'!BQ106,'LP Reactivos'!BV106,'LP Reactivos'!CA106,'LP Reactivos'!CF106,'LP Reactivos'!CK106,'LP Reactivos'!CP106,'LP Reactivos'!CU106,'LP Reactivos'!CZ106,'LP Reactivos'!DE106,'LP Reactivos'!DJ106,'LP Reactivos'!DO106,'LP Reactivos'!DT106,'LP Reactivos'!DY106,'LP Reactivos'!EB106)," ")</f>
        <v>4576.5146000000004</v>
      </c>
      <c r="F106" s="345">
        <f>IFERROR(MEDIAN('LP Reactivos'!F106,'LP Reactivos'!I106,'LP Reactivos'!N106,'LP Reactivos'!S106,'LP Reactivos'!X106,'LP Reactivos'!AC106,'LP Reactivos'!AH106,'LP Reactivos'!AM106,'LP Reactivos'!AR106,'LP Reactivos'!AW106,'LP Reactivos'!BB106,'LP Reactivos'!BG106,'LP Reactivos'!BL106,'LP Reactivos'!BQ106,'LP Reactivos'!BV106,'LP Reactivos'!CA106,'LP Reactivos'!CF106,'LP Reactivos'!CK106,'LP Reactivos'!CP106,'LP Reactivos'!CU106,'LP Reactivos'!CZ106,'LP Reactivos'!DE106,'LP Reactivos'!DJ106,'LP Reactivos'!DO106,'LP Reactivos'!DT106,'LP Reactivos'!DY106,'LP Reactivos'!EB106)," ")</f>
        <v>4576.5146000000004</v>
      </c>
      <c r="G106" s="345">
        <f>IFERROR(GEOMEAN('LP Reactivos'!F106,'LP Reactivos'!I106,'LP Reactivos'!N106,'LP Reactivos'!S106,'LP Reactivos'!X106,'LP Reactivos'!AC106,'LP Reactivos'!AH106,'LP Reactivos'!AM106,'LP Reactivos'!AR106,'LP Reactivos'!AW106,'LP Reactivos'!BB106,'LP Reactivos'!BG106,'LP Reactivos'!BL106,'LP Reactivos'!BQ106,'LP Reactivos'!BV106,'LP Reactivos'!CA106,'LP Reactivos'!CF106,'LP Reactivos'!CK106,'LP Reactivos'!CP106,'LP Reactivos'!CU106,'LP Reactivos'!CZ106,'LP Reactivos'!DE106,'LP Reactivos'!DJ106,'LP Reactivos'!DO106,'LP Reactivos'!DT106,'LP Reactivos'!DY106,'LP Reactivos'!EB106)," ")</f>
        <v>4576.5146000000004</v>
      </c>
      <c r="H106" s="345">
        <f t="shared" si="4"/>
        <v>0</v>
      </c>
      <c r="I106" s="346">
        <f t="shared" si="5"/>
        <v>0</v>
      </c>
      <c r="J106" s="345">
        <f t="shared" si="6"/>
        <v>4576.5146000000004</v>
      </c>
      <c r="K106" s="344" t="str">
        <f t="shared" si="7"/>
        <v>Menor Valor</v>
      </c>
      <c r="L106" s="326">
        <f>IFERROR(COUNTA('LP Reactivos'!F106,'LP Reactivos'!I106,'LP Reactivos'!N106,'LP Reactivos'!S106,'LP Reactivos'!X106,'LP Reactivos'!AC106,'LP Reactivos'!AH106,'LP Reactivos'!AM106,'LP Reactivos'!AR106,'LP Reactivos'!AW106,'LP Reactivos'!BB106,'LP Reactivos'!BG106,'LP Reactivos'!BL106,'LP Reactivos'!BQ106,'LP Reactivos'!BV106,'LP Reactivos'!CA106,'LP Reactivos'!CF106,'LP Reactivos'!CK106,'LP Reactivos'!CP106,'LP Reactivos'!CU106,'LP Reactivos'!CZ106,'LP Reactivos'!DE106,'LP Reactivos'!DJ106,'LP Reactivos'!DO106,'LP Reactivos'!DT106,'LP Reactivos'!DY106,'LP Reactivos'!EB106)," ")</f>
        <v>1</v>
      </c>
    </row>
    <row r="107" spans="2:12" x14ac:dyDescent="0.25">
      <c r="B107" s="425">
        <v>105</v>
      </c>
      <c r="C107" s="427" t="s">
        <v>987</v>
      </c>
      <c r="D107" s="429">
        <f>IFERROR(MIN('LP Reactivos'!F107,'LP Reactivos'!I107,'LP Reactivos'!N107,'LP Reactivos'!S107,'LP Reactivos'!X107,'LP Reactivos'!AC107,'LP Reactivos'!AH107,'LP Reactivos'!AM107,'LP Reactivos'!AR107,'LP Reactivos'!AW107,'LP Reactivos'!BB107,'LP Reactivos'!BG107,'LP Reactivos'!BL107,'LP Reactivos'!BQ107,'LP Reactivos'!BV107,'LP Reactivos'!CA107,'LP Reactivos'!CF107,'LP Reactivos'!CK107,'LP Reactivos'!CP107,'LP Reactivos'!CU107,'LP Reactivos'!CZ107,'LP Reactivos'!DE107,'LP Reactivos'!DJ107,'LP Reactivos'!DO107,'LP Reactivos'!DT107,'LP Reactivos'!DY107,'LP Reactivos'!EB107)," ")</f>
        <v>1852450.1684000001</v>
      </c>
      <c r="E107" s="429">
        <f>IFERROR(AVERAGE('LP Reactivos'!F107,'LP Reactivos'!I107,'LP Reactivos'!N107,'LP Reactivos'!S107,'LP Reactivos'!X107,'LP Reactivos'!AC107,'LP Reactivos'!AH107,'LP Reactivos'!AM107,'LP Reactivos'!AR107,'LP Reactivos'!AW107,'LP Reactivos'!BB107,'LP Reactivos'!BG107,'LP Reactivos'!BL107,'LP Reactivos'!BQ107,'LP Reactivos'!BV107,'LP Reactivos'!CA107,'LP Reactivos'!CF107,'LP Reactivos'!CK107,'LP Reactivos'!CP107,'LP Reactivos'!CU107,'LP Reactivos'!CZ107,'LP Reactivos'!DE107,'LP Reactivos'!DJ107,'LP Reactivos'!DO107,'LP Reactivos'!DT107,'LP Reactivos'!DY107,'LP Reactivos'!EB107)," ")</f>
        <v>1852450.1684000001</v>
      </c>
      <c r="F107" s="345">
        <f>IFERROR(MEDIAN('LP Reactivos'!F107,'LP Reactivos'!I107,'LP Reactivos'!N107,'LP Reactivos'!S107,'LP Reactivos'!X107,'LP Reactivos'!AC107,'LP Reactivos'!AH107,'LP Reactivos'!AM107,'LP Reactivos'!AR107,'LP Reactivos'!AW107,'LP Reactivos'!BB107,'LP Reactivos'!BG107,'LP Reactivos'!BL107,'LP Reactivos'!BQ107,'LP Reactivos'!BV107,'LP Reactivos'!CA107,'LP Reactivos'!CF107,'LP Reactivos'!CK107,'LP Reactivos'!CP107,'LP Reactivos'!CU107,'LP Reactivos'!CZ107,'LP Reactivos'!DE107,'LP Reactivos'!DJ107,'LP Reactivos'!DO107,'LP Reactivos'!DT107,'LP Reactivos'!DY107,'LP Reactivos'!EB107)," ")</f>
        <v>1852450.1684000001</v>
      </c>
      <c r="G107" s="345">
        <f>IFERROR(GEOMEAN('LP Reactivos'!F107,'LP Reactivos'!I107,'LP Reactivos'!N107,'LP Reactivos'!S107,'LP Reactivos'!X107,'LP Reactivos'!AC107,'LP Reactivos'!AH107,'LP Reactivos'!AM107,'LP Reactivos'!AR107,'LP Reactivos'!AW107,'LP Reactivos'!BB107,'LP Reactivos'!BG107,'LP Reactivos'!BL107,'LP Reactivos'!BQ107,'LP Reactivos'!BV107,'LP Reactivos'!CA107,'LP Reactivos'!CF107,'LP Reactivos'!CK107,'LP Reactivos'!CP107,'LP Reactivos'!CU107,'LP Reactivos'!CZ107,'LP Reactivos'!DE107,'LP Reactivos'!DJ107,'LP Reactivos'!DO107,'LP Reactivos'!DT107,'LP Reactivos'!DY107,'LP Reactivos'!EB107)," ")</f>
        <v>1852450.1684000001</v>
      </c>
      <c r="H107" s="345">
        <f t="shared" si="4"/>
        <v>0</v>
      </c>
      <c r="I107" s="346">
        <f t="shared" si="5"/>
        <v>0</v>
      </c>
      <c r="J107" s="345">
        <f t="shared" si="6"/>
        <v>1852450.1684000001</v>
      </c>
      <c r="K107" s="344" t="str">
        <f t="shared" si="7"/>
        <v>Menor Valor</v>
      </c>
      <c r="L107" s="326">
        <f>IFERROR(COUNTA('LP Reactivos'!F107,'LP Reactivos'!I107,'LP Reactivos'!N107,'LP Reactivos'!S107,'LP Reactivos'!X107,'LP Reactivos'!AC107,'LP Reactivos'!AH107,'LP Reactivos'!AM107,'LP Reactivos'!AR107,'LP Reactivos'!AW107,'LP Reactivos'!BB107,'LP Reactivos'!BG107,'LP Reactivos'!BL107,'LP Reactivos'!BQ107,'LP Reactivos'!BV107,'LP Reactivos'!CA107,'LP Reactivos'!CF107,'LP Reactivos'!CK107,'LP Reactivos'!CP107,'LP Reactivos'!CU107,'LP Reactivos'!CZ107,'LP Reactivos'!DE107,'LP Reactivos'!DJ107,'LP Reactivos'!DO107,'LP Reactivos'!DT107,'LP Reactivos'!DY107,'LP Reactivos'!EB107)," ")</f>
        <v>1</v>
      </c>
    </row>
    <row r="108" spans="2:12" x14ac:dyDescent="0.25">
      <c r="B108" s="425">
        <v>106</v>
      </c>
      <c r="C108" s="427" t="s">
        <v>989</v>
      </c>
      <c r="D108" s="429">
        <f>IFERROR(MIN('LP Reactivos'!F108,'LP Reactivos'!I108,'LP Reactivos'!N108,'LP Reactivos'!S108,'LP Reactivos'!X108,'LP Reactivos'!AC108,'LP Reactivos'!AH108,'LP Reactivos'!AM108,'LP Reactivos'!AR108,'LP Reactivos'!AW108,'LP Reactivos'!BB108,'LP Reactivos'!BG108,'LP Reactivos'!BL108,'LP Reactivos'!BQ108,'LP Reactivos'!BV108,'LP Reactivos'!CA108,'LP Reactivos'!CF108,'LP Reactivos'!CK108,'LP Reactivos'!CP108,'LP Reactivos'!CU108,'LP Reactivos'!CZ108,'LP Reactivos'!DE108,'LP Reactivos'!DJ108,'LP Reactivos'!DO108,'LP Reactivos'!DT108,'LP Reactivos'!DY108,'LP Reactivos'!EB108)," ")</f>
        <v>1865022.1170000001</v>
      </c>
      <c r="E108" s="429">
        <f>IFERROR(AVERAGE('LP Reactivos'!F108,'LP Reactivos'!I108,'LP Reactivos'!N108,'LP Reactivos'!S108,'LP Reactivos'!X108,'LP Reactivos'!AC108,'LP Reactivos'!AH108,'LP Reactivos'!AM108,'LP Reactivos'!AR108,'LP Reactivos'!AW108,'LP Reactivos'!BB108,'LP Reactivos'!BG108,'LP Reactivos'!BL108,'LP Reactivos'!BQ108,'LP Reactivos'!BV108,'LP Reactivos'!CA108,'LP Reactivos'!CF108,'LP Reactivos'!CK108,'LP Reactivos'!CP108,'LP Reactivos'!CU108,'LP Reactivos'!CZ108,'LP Reactivos'!DE108,'LP Reactivos'!DJ108,'LP Reactivos'!DO108,'LP Reactivos'!DT108,'LP Reactivos'!DY108,'LP Reactivos'!EB108)," ")</f>
        <v>1865022.1170000001</v>
      </c>
      <c r="F108" s="345">
        <f>IFERROR(MEDIAN('LP Reactivos'!F108,'LP Reactivos'!I108,'LP Reactivos'!N108,'LP Reactivos'!S108,'LP Reactivos'!X108,'LP Reactivos'!AC108,'LP Reactivos'!AH108,'LP Reactivos'!AM108,'LP Reactivos'!AR108,'LP Reactivos'!AW108,'LP Reactivos'!BB108,'LP Reactivos'!BG108,'LP Reactivos'!BL108,'LP Reactivos'!BQ108,'LP Reactivos'!BV108,'LP Reactivos'!CA108,'LP Reactivos'!CF108,'LP Reactivos'!CK108,'LP Reactivos'!CP108,'LP Reactivos'!CU108,'LP Reactivos'!CZ108,'LP Reactivos'!DE108,'LP Reactivos'!DJ108,'LP Reactivos'!DO108,'LP Reactivos'!DT108,'LP Reactivos'!DY108,'LP Reactivos'!EB108)," ")</f>
        <v>1865022.1170000001</v>
      </c>
      <c r="G108" s="345">
        <f>IFERROR(GEOMEAN('LP Reactivos'!F108,'LP Reactivos'!I108,'LP Reactivos'!N108,'LP Reactivos'!S108,'LP Reactivos'!X108,'LP Reactivos'!AC108,'LP Reactivos'!AH108,'LP Reactivos'!AM108,'LP Reactivos'!AR108,'LP Reactivos'!AW108,'LP Reactivos'!BB108,'LP Reactivos'!BG108,'LP Reactivos'!BL108,'LP Reactivos'!BQ108,'LP Reactivos'!BV108,'LP Reactivos'!CA108,'LP Reactivos'!CF108,'LP Reactivos'!CK108,'LP Reactivos'!CP108,'LP Reactivos'!CU108,'LP Reactivos'!CZ108,'LP Reactivos'!DE108,'LP Reactivos'!DJ108,'LP Reactivos'!DO108,'LP Reactivos'!DT108,'LP Reactivos'!DY108,'LP Reactivos'!EB108)," ")</f>
        <v>1865022.1170000001</v>
      </c>
      <c r="H108" s="345">
        <f t="shared" si="4"/>
        <v>0</v>
      </c>
      <c r="I108" s="346">
        <f t="shared" si="5"/>
        <v>0</v>
      </c>
      <c r="J108" s="345">
        <f t="shared" si="6"/>
        <v>1865022.1170000001</v>
      </c>
      <c r="K108" s="344" t="str">
        <f t="shared" si="7"/>
        <v>Menor Valor</v>
      </c>
      <c r="L108" s="326">
        <f>IFERROR(COUNTA('LP Reactivos'!F108,'LP Reactivos'!I108,'LP Reactivos'!N108,'LP Reactivos'!S108,'LP Reactivos'!X108,'LP Reactivos'!AC108,'LP Reactivos'!AH108,'LP Reactivos'!AM108,'LP Reactivos'!AR108,'LP Reactivos'!AW108,'LP Reactivos'!BB108,'LP Reactivos'!BG108,'LP Reactivos'!BL108,'LP Reactivos'!BQ108,'LP Reactivos'!BV108,'LP Reactivos'!CA108,'LP Reactivos'!CF108,'LP Reactivos'!CK108,'LP Reactivos'!CP108,'LP Reactivos'!CU108,'LP Reactivos'!CZ108,'LP Reactivos'!DE108,'LP Reactivos'!DJ108,'LP Reactivos'!DO108,'LP Reactivos'!DT108,'LP Reactivos'!DY108,'LP Reactivos'!EB108)," ")</f>
        <v>1</v>
      </c>
    </row>
    <row r="109" spans="2:12" x14ac:dyDescent="0.25">
      <c r="B109" s="425">
        <v>107</v>
      </c>
      <c r="C109" s="427" t="s">
        <v>990</v>
      </c>
      <c r="D109" s="429">
        <f>IFERROR(MIN('LP Reactivos'!F109,'LP Reactivos'!I109,'LP Reactivos'!N109,'LP Reactivos'!S109,'LP Reactivos'!X109,'LP Reactivos'!AC109,'LP Reactivos'!AH109,'LP Reactivos'!AM109,'LP Reactivos'!AR109,'LP Reactivos'!AW109,'LP Reactivos'!BB109,'LP Reactivos'!BG109,'LP Reactivos'!BL109,'LP Reactivos'!BQ109,'LP Reactivos'!BV109,'LP Reactivos'!CA109,'LP Reactivos'!CF109,'LP Reactivos'!CK109,'LP Reactivos'!CP109,'LP Reactivos'!CU109,'LP Reactivos'!CZ109,'LP Reactivos'!DE109,'LP Reactivos'!DJ109,'LP Reactivos'!DO109,'LP Reactivos'!DT109,'LP Reactivos'!DY109,'LP Reactivos'!EB109)," ")</f>
        <v>2221296.3324000002</v>
      </c>
      <c r="E109" s="429">
        <f>IFERROR(AVERAGE('LP Reactivos'!F109,'LP Reactivos'!I109,'LP Reactivos'!N109,'LP Reactivos'!S109,'LP Reactivos'!X109,'LP Reactivos'!AC109,'LP Reactivos'!AH109,'LP Reactivos'!AM109,'LP Reactivos'!AR109,'LP Reactivos'!AW109,'LP Reactivos'!BB109,'LP Reactivos'!BG109,'LP Reactivos'!BL109,'LP Reactivos'!BQ109,'LP Reactivos'!BV109,'LP Reactivos'!CA109,'LP Reactivos'!CF109,'LP Reactivos'!CK109,'LP Reactivos'!CP109,'LP Reactivos'!CU109,'LP Reactivos'!CZ109,'LP Reactivos'!DE109,'LP Reactivos'!DJ109,'LP Reactivos'!DO109,'LP Reactivos'!DT109,'LP Reactivos'!DY109,'LP Reactivos'!EB109)," ")</f>
        <v>2221296.3324000002</v>
      </c>
      <c r="F109" s="345">
        <f>IFERROR(MEDIAN('LP Reactivos'!F109,'LP Reactivos'!I109,'LP Reactivos'!N109,'LP Reactivos'!S109,'LP Reactivos'!X109,'LP Reactivos'!AC109,'LP Reactivos'!AH109,'LP Reactivos'!AM109,'LP Reactivos'!AR109,'LP Reactivos'!AW109,'LP Reactivos'!BB109,'LP Reactivos'!BG109,'LP Reactivos'!BL109,'LP Reactivos'!BQ109,'LP Reactivos'!BV109,'LP Reactivos'!CA109,'LP Reactivos'!CF109,'LP Reactivos'!CK109,'LP Reactivos'!CP109,'LP Reactivos'!CU109,'LP Reactivos'!CZ109,'LP Reactivos'!DE109,'LP Reactivos'!DJ109,'LP Reactivos'!DO109,'LP Reactivos'!DT109,'LP Reactivos'!DY109,'LP Reactivos'!EB109)," ")</f>
        <v>2221296.3324000002</v>
      </c>
      <c r="G109" s="345">
        <f>IFERROR(GEOMEAN('LP Reactivos'!F109,'LP Reactivos'!I109,'LP Reactivos'!N109,'LP Reactivos'!S109,'LP Reactivos'!X109,'LP Reactivos'!AC109,'LP Reactivos'!AH109,'LP Reactivos'!AM109,'LP Reactivos'!AR109,'LP Reactivos'!AW109,'LP Reactivos'!BB109,'LP Reactivos'!BG109,'LP Reactivos'!BL109,'LP Reactivos'!BQ109,'LP Reactivos'!BV109,'LP Reactivos'!CA109,'LP Reactivos'!CF109,'LP Reactivos'!CK109,'LP Reactivos'!CP109,'LP Reactivos'!CU109,'LP Reactivos'!CZ109,'LP Reactivos'!DE109,'LP Reactivos'!DJ109,'LP Reactivos'!DO109,'LP Reactivos'!DT109,'LP Reactivos'!DY109,'LP Reactivos'!EB109)," ")</f>
        <v>2221296.3324000002</v>
      </c>
      <c r="H109" s="345">
        <f t="shared" si="4"/>
        <v>0</v>
      </c>
      <c r="I109" s="346">
        <f t="shared" si="5"/>
        <v>0</v>
      </c>
      <c r="J109" s="345">
        <f t="shared" si="6"/>
        <v>2221296.3324000002</v>
      </c>
      <c r="K109" s="344" t="str">
        <f t="shared" si="7"/>
        <v>Menor Valor</v>
      </c>
      <c r="L109" s="326">
        <f>IFERROR(COUNTA('LP Reactivos'!F109,'LP Reactivos'!I109,'LP Reactivos'!N109,'LP Reactivos'!S109,'LP Reactivos'!X109,'LP Reactivos'!AC109,'LP Reactivos'!AH109,'LP Reactivos'!AM109,'LP Reactivos'!AR109,'LP Reactivos'!AW109,'LP Reactivos'!BB109,'LP Reactivos'!BG109,'LP Reactivos'!BL109,'LP Reactivos'!BQ109,'LP Reactivos'!BV109,'LP Reactivos'!CA109,'LP Reactivos'!CF109,'LP Reactivos'!CK109,'LP Reactivos'!CP109,'LP Reactivos'!CU109,'LP Reactivos'!CZ109,'LP Reactivos'!DE109,'LP Reactivos'!DJ109,'LP Reactivos'!DO109,'LP Reactivos'!DT109,'LP Reactivos'!DY109,'LP Reactivos'!EB109)," ")</f>
        <v>1</v>
      </c>
    </row>
    <row r="110" spans="2:12" ht="27" x14ac:dyDescent="0.25">
      <c r="B110" s="425">
        <v>108</v>
      </c>
      <c r="C110" s="427" t="s">
        <v>991</v>
      </c>
      <c r="D110" s="429">
        <f>IFERROR(MIN('LP Reactivos'!F110,'LP Reactivos'!I110,'LP Reactivos'!N110,'LP Reactivos'!S110,'LP Reactivos'!X110,'LP Reactivos'!AC110,'LP Reactivos'!AH110,'LP Reactivos'!AM110,'LP Reactivos'!AR110,'LP Reactivos'!AW110,'LP Reactivos'!BB110,'LP Reactivos'!BG110,'LP Reactivos'!BL110,'LP Reactivos'!BQ110,'LP Reactivos'!BV110,'LP Reactivos'!CA110,'LP Reactivos'!CF110,'LP Reactivos'!CK110,'LP Reactivos'!CP110,'LP Reactivos'!CU110,'LP Reactivos'!CZ110,'LP Reactivos'!DE110,'LP Reactivos'!DJ110,'LP Reactivos'!DO110,'LP Reactivos'!DT110,'LP Reactivos'!DY110,'LP Reactivos'!EB110)," ")</f>
        <v>2418233.2719999999</v>
      </c>
      <c r="E110" s="429">
        <f>IFERROR(AVERAGE('LP Reactivos'!F110,'LP Reactivos'!I110,'LP Reactivos'!N110,'LP Reactivos'!S110,'LP Reactivos'!X110,'LP Reactivos'!AC110,'LP Reactivos'!AH110,'LP Reactivos'!AM110,'LP Reactivos'!AR110,'LP Reactivos'!AW110,'LP Reactivos'!BB110,'LP Reactivos'!BG110,'LP Reactivos'!BL110,'LP Reactivos'!BQ110,'LP Reactivos'!BV110,'LP Reactivos'!CA110,'LP Reactivos'!CF110,'LP Reactivos'!CK110,'LP Reactivos'!CP110,'LP Reactivos'!CU110,'LP Reactivos'!CZ110,'LP Reactivos'!DE110,'LP Reactivos'!DJ110,'LP Reactivos'!DO110,'LP Reactivos'!DT110,'LP Reactivos'!DY110,'LP Reactivos'!EB110)," ")</f>
        <v>2706136.6359999999</v>
      </c>
      <c r="F110" s="345">
        <f>IFERROR(MEDIAN('LP Reactivos'!F110,'LP Reactivos'!I110,'LP Reactivos'!N110,'LP Reactivos'!S110,'LP Reactivos'!X110,'LP Reactivos'!AC110,'LP Reactivos'!AH110,'LP Reactivos'!AM110,'LP Reactivos'!AR110,'LP Reactivos'!AW110,'LP Reactivos'!BB110,'LP Reactivos'!BG110,'LP Reactivos'!BL110,'LP Reactivos'!BQ110,'LP Reactivos'!BV110,'LP Reactivos'!CA110,'LP Reactivos'!CF110,'LP Reactivos'!CK110,'LP Reactivos'!CP110,'LP Reactivos'!CU110,'LP Reactivos'!CZ110,'LP Reactivos'!DE110,'LP Reactivos'!DJ110,'LP Reactivos'!DO110,'LP Reactivos'!DT110,'LP Reactivos'!DY110,'LP Reactivos'!EB110)," ")</f>
        <v>2706136.6359999999</v>
      </c>
      <c r="G110" s="345">
        <f>IFERROR(GEOMEAN('LP Reactivos'!F110,'LP Reactivos'!I110,'LP Reactivos'!N110,'LP Reactivos'!S110,'LP Reactivos'!X110,'LP Reactivos'!AC110,'LP Reactivos'!AH110,'LP Reactivos'!AM110,'LP Reactivos'!AR110,'LP Reactivos'!AW110,'LP Reactivos'!BB110,'LP Reactivos'!BG110,'LP Reactivos'!BL110,'LP Reactivos'!BQ110,'LP Reactivos'!BV110,'LP Reactivos'!CA110,'LP Reactivos'!CF110,'LP Reactivos'!CK110,'LP Reactivos'!CP110,'LP Reactivos'!CU110,'LP Reactivos'!CZ110,'LP Reactivos'!DE110,'LP Reactivos'!DJ110,'LP Reactivos'!DO110,'LP Reactivos'!DT110,'LP Reactivos'!DY110,'LP Reactivos'!EB110)," ")</f>
        <v>2690778.1673149648</v>
      </c>
      <c r="H110" s="345">
        <f t="shared" si="4"/>
        <v>141577.18127343612</v>
      </c>
      <c r="I110" s="346">
        <f t="shared" si="5"/>
        <v>5.2317085320091029E-2</v>
      </c>
      <c r="J110" s="345">
        <f t="shared" si="6"/>
        <v>2706136.6359999999</v>
      </c>
      <c r="K110" s="344" t="str">
        <f t="shared" si="7"/>
        <v>Promedio</v>
      </c>
      <c r="L110" s="326">
        <f>IFERROR(COUNTA('LP Reactivos'!F110,'LP Reactivos'!I110,'LP Reactivos'!N110,'LP Reactivos'!S110,'LP Reactivos'!X110,'LP Reactivos'!AC110,'LP Reactivos'!AH110,'LP Reactivos'!AM110,'LP Reactivos'!AR110,'LP Reactivos'!AW110,'LP Reactivos'!BB110,'LP Reactivos'!BG110,'LP Reactivos'!BL110,'LP Reactivos'!BQ110,'LP Reactivos'!BV110,'LP Reactivos'!CA110,'LP Reactivos'!CF110,'LP Reactivos'!CK110,'LP Reactivos'!CP110,'LP Reactivos'!CU110,'LP Reactivos'!CZ110,'LP Reactivos'!DE110,'LP Reactivos'!DJ110,'LP Reactivos'!DO110,'LP Reactivos'!DT110,'LP Reactivos'!DY110,'LP Reactivos'!EB110)," ")</f>
        <v>2</v>
      </c>
    </row>
    <row r="111" spans="2:12" ht="27" x14ac:dyDescent="0.25">
      <c r="B111" s="425">
        <v>109</v>
      </c>
      <c r="C111" s="427" t="s">
        <v>995</v>
      </c>
      <c r="D111" s="429">
        <f>IFERROR(MIN('LP Reactivos'!F111,'LP Reactivos'!I111,'LP Reactivos'!N111,'LP Reactivos'!S111,'LP Reactivos'!X111,'LP Reactivos'!AC111,'LP Reactivos'!AH111,'LP Reactivos'!AM111,'LP Reactivos'!AR111,'LP Reactivos'!AW111,'LP Reactivos'!BB111,'LP Reactivos'!BG111,'LP Reactivos'!BL111,'LP Reactivos'!BQ111,'LP Reactivos'!BV111,'LP Reactivos'!CA111,'LP Reactivos'!CF111,'LP Reactivos'!CK111,'LP Reactivos'!CP111,'LP Reactivos'!CU111,'LP Reactivos'!CZ111,'LP Reactivos'!DE111,'LP Reactivos'!DJ111,'LP Reactivos'!DO111,'LP Reactivos'!DT111,'LP Reactivos'!DY111,'LP Reactivos'!EB111)," ")</f>
        <v>2629700</v>
      </c>
      <c r="E111" s="429">
        <f>IFERROR(AVERAGE('LP Reactivos'!F111,'LP Reactivos'!I111,'LP Reactivos'!N111,'LP Reactivos'!S111,'LP Reactivos'!X111,'LP Reactivos'!AC111,'LP Reactivos'!AH111,'LP Reactivos'!AM111,'LP Reactivos'!AR111,'LP Reactivos'!AW111,'LP Reactivos'!BB111,'LP Reactivos'!BG111,'LP Reactivos'!BL111,'LP Reactivos'!BQ111,'LP Reactivos'!BV111,'LP Reactivos'!CA111,'LP Reactivos'!CF111,'LP Reactivos'!CK111,'LP Reactivos'!CP111,'LP Reactivos'!CU111,'LP Reactivos'!CZ111,'LP Reactivos'!DE111,'LP Reactivos'!DJ111,'LP Reactivos'!DO111,'LP Reactivos'!DT111,'LP Reactivos'!DY111,'LP Reactivos'!EB111)," ")</f>
        <v>2629700</v>
      </c>
      <c r="F111" s="345">
        <f>IFERROR(MEDIAN('LP Reactivos'!F111,'LP Reactivos'!I111,'LP Reactivos'!N111,'LP Reactivos'!S111,'LP Reactivos'!X111,'LP Reactivos'!AC111,'LP Reactivos'!AH111,'LP Reactivos'!AM111,'LP Reactivos'!AR111,'LP Reactivos'!AW111,'LP Reactivos'!BB111,'LP Reactivos'!BG111,'LP Reactivos'!BL111,'LP Reactivos'!BQ111,'LP Reactivos'!BV111,'LP Reactivos'!CA111,'LP Reactivos'!CF111,'LP Reactivos'!CK111,'LP Reactivos'!CP111,'LP Reactivos'!CU111,'LP Reactivos'!CZ111,'LP Reactivos'!DE111,'LP Reactivos'!DJ111,'LP Reactivos'!DO111,'LP Reactivos'!DT111,'LP Reactivos'!DY111,'LP Reactivos'!EB111)," ")</f>
        <v>2629700</v>
      </c>
      <c r="G111" s="345">
        <f>IFERROR(GEOMEAN('LP Reactivos'!F111,'LP Reactivos'!I111,'LP Reactivos'!N111,'LP Reactivos'!S111,'LP Reactivos'!X111,'LP Reactivos'!AC111,'LP Reactivos'!AH111,'LP Reactivos'!AM111,'LP Reactivos'!AR111,'LP Reactivos'!AW111,'LP Reactivos'!BB111,'LP Reactivos'!BG111,'LP Reactivos'!BL111,'LP Reactivos'!BQ111,'LP Reactivos'!BV111,'LP Reactivos'!CA111,'LP Reactivos'!CF111,'LP Reactivos'!CK111,'LP Reactivos'!CP111,'LP Reactivos'!CU111,'LP Reactivos'!CZ111,'LP Reactivos'!DE111,'LP Reactivos'!DJ111,'LP Reactivos'!DO111,'LP Reactivos'!DT111,'LP Reactivos'!DY111,'LP Reactivos'!EB111)," ")</f>
        <v>2629700</v>
      </c>
      <c r="H111" s="345">
        <f t="shared" si="4"/>
        <v>0</v>
      </c>
      <c r="I111" s="346">
        <f t="shared" si="5"/>
        <v>0</v>
      </c>
      <c r="J111" s="345">
        <f t="shared" si="6"/>
        <v>2629700</v>
      </c>
      <c r="K111" s="344" t="str">
        <f t="shared" si="7"/>
        <v>Menor Valor</v>
      </c>
      <c r="L111" s="326">
        <f>IFERROR(COUNTA('LP Reactivos'!F111,'LP Reactivos'!I111,'LP Reactivos'!N111,'LP Reactivos'!S111,'LP Reactivos'!X111,'LP Reactivos'!AC111,'LP Reactivos'!AH111,'LP Reactivos'!AM111,'LP Reactivos'!AR111,'LP Reactivos'!AW111,'LP Reactivos'!BB111,'LP Reactivos'!BG111,'LP Reactivos'!BL111,'LP Reactivos'!BQ111,'LP Reactivos'!BV111,'LP Reactivos'!CA111,'LP Reactivos'!CF111,'LP Reactivos'!CK111,'LP Reactivos'!CP111,'LP Reactivos'!CU111,'LP Reactivos'!CZ111,'LP Reactivos'!DE111,'LP Reactivos'!DJ111,'LP Reactivos'!DO111,'LP Reactivos'!DT111,'LP Reactivos'!DY111,'LP Reactivos'!EB111)," ")</f>
        <v>1</v>
      </c>
    </row>
    <row r="112" spans="2:12" ht="40.5" x14ac:dyDescent="0.25">
      <c r="B112" s="425">
        <v>110</v>
      </c>
      <c r="C112" s="427" t="s">
        <v>999</v>
      </c>
      <c r="D112" s="429">
        <f>IFERROR(MIN('LP Reactivos'!F112,'LP Reactivos'!I112,'LP Reactivos'!N112,'LP Reactivos'!S112,'LP Reactivos'!X112,'LP Reactivos'!AC112,'LP Reactivos'!AH112,'LP Reactivos'!AM112,'LP Reactivos'!AR112,'LP Reactivos'!AW112,'LP Reactivos'!BB112,'LP Reactivos'!BG112,'LP Reactivos'!BL112,'LP Reactivos'!BQ112,'LP Reactivos'!BV112,'LP Reactivos'!CA112,'LP Reactivos'!CF112,'LP Reactivos'!CK112,'LP Reactivos'!CP112,'LP Reactivos'!CU112,'LP Reactivos'!CZ112,'LP Reactivos'!DE112,'LP Reactivos'!DJ112,'LP Reactivos'!DO112,'LP Reactivos'!DT112,'LP Reactivos'!DY112,'LP Reactivos'!EB112)," ")</f>
        <v>1490454</v>
      </c>
      <c r="E112" s="429">
        <f>IFERROR(AVERAGE('LP Reactivos'!F112,'LP Reactivos'!I112,'LP Reactivos'!N112,'LP Reactivos'!S112,'LP Reactivos'!X112,'LP Reactivos'!AC112,'LP Reactivos'!AH112,'LP Reactivos'!AM112,'LP Reactivos'!AR112,'LP Reactivos'!AW112,'LP Reactivos'!BB112,'LP Reactivos'!BG112,'LP Reactivos'!BL112,'LP Reactivos'!BQ112,'LP Reactivos'!BV112,'LP Reactivos'!CA112,'LP Reactivos'!CF112,'LP Reactivos'!CK112,'LP Reactivos'!CP112,'LP Reactivos'!CU112,'LP Reactivos'!CZ112,'LP Reactivos'!DE112,'LP Reactivos'!DJ112,'LP Reactivos'!DO112,'LP Reactivos'!DT112,'LP Reactivos'!DY112,'LP Reactivos'!EB112)," ")</f>
        <v>1583129.8</v>
      </c>
      <c r="F112" s="345">
        <f>IFERROR(MEDIAN('LP Reactivos'!F112,'LP Reactivos'!I112,'LP Reactivos'!N112,'LP Reactivos'!S112,'LP Reactivos'!X112,'LP Reactivos'!AC112,'LP Reactivos'!AH112,'LP Reactivos'!AM112,'LP Reactivos'!AR112,'LP Reactivos'!AW112,'LP Reactivos'!BB112,'LP Reactivos'!BG112,'LP Reactivos'!BL112,'LP Reactivos'!BQ112,'LP Reactivos'!BV112,'LP Reactivos'!CA112,'LP Reactivos'!CF112,'LP Reactivos'!CK112,'LP Reactivos'!CP112,'LP Reactivos'!CU112,'LP Reactivos'!CZ112,'LP Reactivos'!DE112,'LP Reactivos'!DJ112,'LP Reactivos'!DO112,'LP Reactivos'!DT112,'LP Reactivos'!DY112,'LP Reactivos'!EB112)," ")</f>
        <v>1583129.8</v>
      </c>
      <c r="G112" s="345">
        <f>IFERROR(GEOMEAN('LP Reactivos'!F112,'LP Reactivos'!I112,'LP Reactivos'!N112,'LP Reactivos'!S112,'LP Reactivos'!X112,'LP Reactivos'!AC112,'LP Reactivos'!AH112,'LP Reactivos'!AM112,'LP Reactivos'!AR112,'LP Reactivos'!AW112,'LP Reactivos'!BB112,'LP Reactivos'!BG112,'LP Reactivos'!BL112,'LP Reactivos'!BQ112,'LP Reactivos'!BV112,'LP Reactivos'!CA112,'LP Reactivos'!CF112,'LP Reactivos'!CK112,'LP Reactivos'!CP112,'LP Reactivos'!CU112,'LP Reactivos'!CZ112,'LP Reactivos'!DE112,'LP Reactivos'!DJ112,'LP Reactivos'!DO112,'LP Reactivos'!DT112,'LP Reactivos'!DY112,'LP Reactivos'!EB112)," ")</f>
        <v>1580414.8695018026</v>
      </c>
      <c r="H112" s="345">
        <f t="shared" si="4"/>
        <v>45903.25655479182</v>
      </c>
      <c r="I112" s="346">
        <f t="shared" si="5"/>
        <v>2.8995257719734553E-2</v>
      </c>
      <c r="J112" s="345">
        <f t="shared" si="6"/>
        <v>1583129.8</v>
      </c>
      <c r="K112" s="344" t="str">
        <f t="shared" si="7"/>
        <v>Promedio</v>
      </c>
      <c r="L112" s="326">
        <f>IFERROR(COUNTA('LP Reactivos'!F112,'LP Reactivos'!I112,'LP Reactivos'!N112,'LP Reactivos'!S112,'LP Reactivos'!X112,'LP Reactivos'!AC112,'LP Reactivos'!AH112,'LP Reactivos'!AM112,'LP Reactivos'!AR112,'LP Reactivos'!AW112,'LP Reactivos'!BB112,'LP Reactivos'!BG112,'LP Reactivos'!BL112,'LP Reactivos'!BQ112,'LP Reactivos'!BV112,'LP Reactivos'!CA112,'LP Reactivos'!CF112,'LP Reactivos'!CK112,'LP Reactivos'!CP112,'LP Reactivos'!CU112,'LP Reactivos'!CZ112,'LP Reactivos'!DE112,'LP Reactivos'!DJ112,'LP Reactivos'!DO112,'LP Reactivos'!DT112,'LP Reactivos'!DY112,'LP Reactivos'!EB112)," ")</f>
        <v>2</v>
      </c>
    </row>
    <row r="113" spans="2:12" x14ac:dyDescent="0.25">
      <c r="B113" s="425">
        <v>111</v>
      </c>
      <c r="C113" s="427" t="s">
        <v>1003</v>
      </c>
      <c r="D113" s="429">
        <f>IFERROR(MIN('LP Reactivos'!F113,'LP Reactivos'!I113,'LP Reactivos'!N113,'LP Reactivos'!S113,'LP Reactivos'!X113,'LP Reactivos'!AC113,'LP Reactivos'!AH113,'LP Reactivos'!AM113,'LP Reactivos'!AR113,'LP Reactivos'!AW113,'LP Reactivos'!BB113,'LP Reactivos'!BG113,'LP Reactivos'!BL113,'LP Reactivos'!BQ113,'LP Reactivos'!BV113,'LP Reactivos'!CA113,'LP Reactivos'!CF113,'LP Reactivos'!CK113,'LP Reactivos'!CP113,'LP Reactivos'!CU113,'LP Reactivos'!CZ113,'LP Reactivos'!DE113,'LP Reactivos'!DJ113,'LP Reactivos'!DO113,'LP Reactivos'!DT113,'LP Reactivos'!DY113,'LP Reactivos'!EB113)," ")</f>
        <v>487000</v>
      </c>
      <c r="E113" s="429">
        <f>IFERROR(AVERAGE('LP Reactivos'!F113,'LP Reactivos'!I113,'LP Reactivos'!N113,'LP Reactivos'!S113,'LP Reactivos'!X113,'LP Reactivos'!AC113,'LP Reactivos'!AH113,'LP Reactivos'!AM113,'LP Reactivos'!AR113,'LP Reactivos'!AW113,'LP Reactivos'!BB113,'LP Reactivos'!BG113,'LP Reactivos'!BL113,'LP Reactivos'!BQ113,'LP Reactivos'!BV113,'LP Reactivos'!CA113,'LP Reactivos'!CF113,'LP Reactivos'!CK113,'LP Reactivos'!CP113,'LP Reactivos'!CU113,'LP Reactivos'!CZ113,'LP Reactivos'!DE113,'LP Reactivos'!DJ113,'LP Reactivos'!DO113,'LP Reactivos'!DT113,'LP Reactivos'!DY113,'LP Reactivos'!EB113)," ")</f>
        <v>487000</v>
      </c>
      <c r="F113" s="345">
        <f>IFERROR(MEDIAN('LP Reactivos'!F113,'LP Reactivos'!I113,'LP Reactivos'!N113,'LP Reactivos'!S113,'LP Reactivos'!X113,'LP Reactivos'!AC113,'LP Reactivos'!AH113,'LP Reactivos'!AM113,'LP Reactivos'!AR113,'LP Reactivos'!AW113,'LP Reactivos'!BB113,'LP Reactivos'!BG113,'LP Reactivos'!BL113,'LP Reactivos'!BQ113,'LP Reactivos'!BV113,'LP Reactivos'!CA113,'LP Reactivos'!CF113,'LP Reactivos'!CK113,'LP Reactivos'!CP113,'LP Reactivos'!CU113,'LP Reactivos'!CZ113,'LP Reactivos'!DE113,'LP Reactivos'!DJ113,'LP Reactivos'!DO113,'LP Reactivos'!DT113,'LP Reactivos'!DY113,'LP Reactivos'!EB113)," ")</f>
        <v>487000</v>
      </c>
      <c r="G113" s="345">
        <f>IFERROR(GEOMEAN('LP Reactivos'!F113,'LP Reactivos'!I113,'LP Reactivos'!N113,'LP Reactivos'!S113,'LP Reactivos'!X113,'LP Reactivos'!AC113,'LP Reactivos'!AH113,'LP Reactivos'!AM113,'LP Reactivos'!AR113,'LP Reactivos'!AW113,'LP Reactivos'!BB113,'LP Reactivos'!BG113,'LP Reactivos'!BL113,'LP Reactivos'!BQ113,'LP Reactivos'!BV113,'LP Reactivos'!CA113,'LP Reactivos'!CF113,'LP Reactivos'!CK113,'LP Reactivos'!CP113,'LP Reactivos'!CU113,'LP Reactivos'!CZ113,'LP Reactivos'!DE113,'LP Reactivos'!DJ113,'LP Reactivos'!DO113,'LP Reactivos'!DT113,'LP Reactivos'!DY113,'LP Reactivos'!EB113)," ")</f>
        <v>487000</v>
      </c>
      <c r="H113" s="345">
        <f t="shared" si="4"/>
        <v>0</v>
      </c>
      <c r="I113" s="346">
        <f t="shared" si="5"/>
        <v>0</v>
      </c>
      <c r="J113" s="345">
        <f t="shared" si="6"/>
        <v>487000</v>
      </c>
      <c r="K113" s="344" t="str">
        <f t="shared" si="7"/>
        <v>Menor Valor</v>
      </c>
      <c r="L113" s="326">
        <f>IFERROR(COUNTA('LP Reactivos'!F113,'LP Reactivos'!I113,'LP Reactivos'!N113,'LP Reactivos'!S113,'LP Reactivos'!X113,'LP Reactivos'!AC113,'LP Reactivos'!AH113,'LP Reactivos'!AM113,'LP Reactivos'!AR113,'LP Reactivos'!AW113,'LP Reactivos'!BB113,'LP Reactivos'!BG113,'LP Reactivos'!BL113,'LP Reactivos'!BQ113,'LP Reactivos'!BV113,'LP Reactivos'!CA113,'LP Reactivos'!CF113,'LP Reactivos'!CK113,'LP Reactivos'!CP113,'LP Reactivos'!CU113,'LP Reactivos'!CZ113,'LP Reactivos'!DE113,'LP Reactivos'!DJ113,'LP Reactivos'!DO113,'LP Reactivos'!DT113,'LP Reactivos'!DY113,'LP Reactivos'!EB113)," ")</f>
        <v>1</v>
      </c>
    </row>
    <row r="114" spans="2:12" x14ac:dyDescent="0.25">
      <c r="B114" s="425">
        <v>112</v>
      </c>
      <c r="C114" s="427" t="s">
        <v>1007</v>
      </c>
      <c r="D114" s="429">
        <f>IFERROR(MIN('LP Reactivos'!F114,'LP Reactivos'!I114,'LP Reactivos'!N114,'LP Reactivos'!S114,'LP Reactivos'!X114,'LP Reactivos'!AC114,'LP Reactivos'!AH114,'LP Reactivos'!AM114,'LP Reactivos'!AR114,'LP Reactivos'!AW114,'LP Reactivos'!BB114,'LP Reactivos'!BG114,'LP Reactivos'!BL114,'LP Reactivos'!BQ114,'LP Reactivos'!BV114,'LP Reactivos'!CA114,'LP Reactivos'!CF114,'LP Reactivos'!CK114,'LP Reactivos'!CP114,'LP Reactivos'!CU114,'LP Reactivos'!CZ114,'LP Reactivos'!DE114,'LP Reactivos'!DJ114,'LP Reactivos'!DO114,'LP Reactivos'!DT114,'LP Reactivos'!DY114,'LP Reactivos'!EB114)," ")</f>
        <v>487000</v>
      </c>
      <c r="E114" s="429">
        <f>IFERROR(AVERAGE('LP Reactivos'!F114,'LP Reactivos'!I114,'LP Reactivos'!N114,'LP Reactivos'!S114,'LP Reactivos'!X114,'LP Reactivos'!AC114,'LP Reactivos'!AH114,'LP Reactivos'!AM114,'LP Reactivos'!AR114,'LP Reactivos'!AW114,'LP Reactivos'!BB114,'LP Reactivos'!BG114,'LP Reactivos'!BL114,'LP Reactivos'!BQ114,'LP Reactivos'!BV114,'LP Reactivos'!CA114,'LP Reactivos'!CF114,'LP Reactivos'!CK114,'LP Reactivos'!CP114,'LP Reactivos'!CU114,'LP Reactivos'!CZ114,'LP Reactivos'!DE114,'LP Reactivos'!DJ114,'LP Reactivos'!DO114,'LP Reactivos'!DT114,'LP Reactivos'!DY114,'LP Reactivos'!EB114)," ")</f>
        <v>487000</v>
      </c>
      <c r="F114" s="345">
        <f>IFERROR(MEDIAN('LP Reactivos'!F114,'LP Reactivos'!I114,'LP Reactivos'!N114,'LP Reactivos'!S114,'LP Reactivos'!X114,'LP Reactivos'!AC114,'LP Reactivos'!AH114,'LP Reactivos'!AM114,'LP Reactivos'!AR114,'LP Reactivos'!AW114,'LP Reactivos'!BB114,'LP Reactivos'!BG114,'LP Reactivos'!BL114,'LP Reactivos'!BQ114,'LP Reactivos'!BV114,'LP Reactivos'!CA114,'LP Reactivos'!CF114,'LP Reactivos'!CK114,'LP Reactivos'!CP114,'LP Reactivos'!CU114,'LP Reactivos'!CZ114,'LP Reactivos'!DE114,'LP Reactivos'!DJ114,'LP Reactivos'!DO114,'LP Reactivos'!DT114,'LP Reactivos'!DY114,'LP Reactivos'!EB114)," ")</f>
        <v>487000</v>
      </c>
      <c r="G114" s="345">
        <f>IFERROR(GEOMEAN('LP Reactivos'!F114,'LP Reactivos'!I114,'LP Reactivos'!N114,'LP Reactivos'!S114,'LP Reactivos'!X114,'LP Reactivos'!AC114,'LP Reactivos'!AH114,'LP Reactivos'!AM114,'LP Reactivos'!AR114,'LP Reactivos'!AW114,'LP Reactivos'!BB114,'LP Reactivos'!BG114,'LP Reactivos'!BL114,'LP Reactivos'!BQ114,'LP Reactivos'!BV114,'LP Reactivos'!CA114,'LP Reactivos'!CF114,'LP Reactivos'!CK114,'LP Reactivos'!CP114,'LP Reactivos'!CU114,'LP Reactivos'!CZ114,'LP Reactivos'!DE114,'LP Reactivos'!DJ114,'LP Reactivos'!DO114,'LP Reactivos'!DT114,'LP Reactivos'!DY114,'LP Reactivos'!EB114)," ")</f>
        <v>487000</v>
      </c>
      <c r="H114" s="345">
        <f t="shared" si="4"/>
        <v>0</v>
      </c>
      <c r="I114" s="346">
        <f t="shared" si="5"/>
        <v>0</v>
      </c>
      <c r="J114" s="345">
        <f t="shared" si="6"/>
        <v>487000</v>
      </c>
      <c r="K114" s="344" t="str">
        <f t="shared" si="7"/>
        <v>Menor Valor</v>
      </c>
      <c r="L114" s="326">
        <f>IFERROR(COUNTA('LP Reactivos'!F114,'LP Reactivos'!I114,'LP Reactivos'!N114,'LP Reactivos'!S114,'LP Reactivos'!X114,'LP Reactivos'!AC114,'LP Reactivos'!AH114,'LP Reactivos'!AM114,'LP Reactivos'!AR114,'LP Reactivos'!AW114,'LP Reactivos'!BB114,'LP Reactivos'!BG114,'LP Reactivos'!BL114,'LP Reactivos'!BQ114,'LP Reactivos'!BV114,'LP Reactivos'!CA114,'LP Reactivos'!CF114,'LP Reactivos'!CK114,'LP Reactivos'!CP114,'LP Reactivos'!CU114,'LP Reactivos'!CZ114,'LP Reactivos'!DE114,'LP Reactivos'!DJ114,'LP Reactivos'!DO114,'LP Reactivos'!DT114,'LP Reactivos'!DY114,'LP Reactivos'!EB114)," ")</f>
        <v>1</v>
      </c>
    </row>
    <row r="115" spans="2:12" ht="33" customHeight="1" x14ac:dyDescent="0.25">
      <c r="B115" s="425">
        <v>113</v>
      </c>
      <c r="C115" s="427" t="s">
        <v>1009</v>
      </c>
      <c r="D115" s="429">
        <f>IFERROR(MIN('LP Reactivos'!F115,'LP Reactivos'!I115,'LP Reactivos'!N115,'LP Reactivos'!S115,'LP Reactivos'!X115,'LP Reactivos'!AC115,'LP Reactivos'!AH115,'LP Reactivos'!AM115,'LP Reactivos'!AR115,'LP Reactivos'!AW115,'LP Reactivos'!BB115,'LP Reactivos'!BG115,'LP Reactivos'!BL115,'LP Reactivos'!BQ115,'LP Reactivos'!BV115,'LP Reactivos'!CA115,'LP Reactivos'!CF115,'LP Reactivos'!CK115,'LP Reactivos'!CP115,'LP Reactivos'!CU115,'LP Reactivos'!CZ115,'LP Reactivos'!DE115,'LP Reactivos'!DJ115,'LP Reactivos'!DO115,'LP Reactivos'!DT115,'LP Reactivos'!DY115,'LP Reactivos'!EB115)," ")</f>
        <v>1787320.5</v>
      </c>
      <c r="E115" s="429">
        <f>IFERROR(AVERAGE('LP Reactivos'!F115,'LP Reactivos'!I115,'LP Reactivos'!N115,'LP Reactivos'!S115,'LP Reactivos'!X115,'LP Reactivos'!AC115,'LP Reactivos'!AH115,'LP Reactivos'!AM115,'LP Reactivos'!AR115,'LP Reactivos'!AW115,'LP Reactivos'!BB115,'LP Reactivos'!BG115,'LP Reactivos'!BL115,'LP Reactivos'!BQ115,'LP Reactivos'!BV115,'LP Reactivos'!CA115,'LP Reactivos'!CF115,'LP Reactivos'!CK115,'LP Reactivos'!CP115,'LP Reactivos'!CU115,'LP Reactivos'!CZ115,'LP Reactivos'!DE115,'LP Reactivos'!DJ115,'LP Reactivos'!DO115,'LP Reactivos'!DT115,'LP Reactivos'!DY115,'LP Reactivos'!EB115)," ")</f>
        <v>2660020.8333333335</v>
      </c>
      <c r="F115" s="345">
        <f>IFERROR(MEDIAN('LP Reactivos'!F115,'LP Reactivos'!I115,'LP Reactivos'!N115,'LP Reactivos'!S115,'LP Reactivos'!X115,'LP Reactivos'!AC115,'LP Reactivos'!AH115,'LP Reactivos'!AM115,'LP Reactivos'!AR115,'LP Reactivos'!AW115,'LP Reactivos'!BB115,'LP Reactivos'!BG115,'LP Reactivos'!BL115,'LP Reactivos'!BQ115,'LP Reactivos'!BV115,'LP Reactivos'!CA115,'LP Reactivos'!CF115,'LP Reactivos'!CK115,'LP Reactivos'!CP115,'LP Reactivos'!CU115,'LP Reactivos'!CZ115,'LP Reactivos'!DE115,'LP Reactivos'!DJ115,'LP Reactivos'!DO115,'LP Reactivos'!DT115,'LP Reactivos'!DY115,'LP Reactivos'!EB115)," ")</f>
        <v>2272882</v>
      </c>
      <c r="G115" s="345">
        <f>IFERROR(GEOMEAN('LP Reactivos'!F115,'LP Reactivos'!I115,'LP Reactivos'!N115,'LP Reactivos'!S115,'LP Reactivos'!X115,'LP Reactivos'!AC115,'LP Reactivos'!AH115,'LP Reactivos'!AM115,'LP Reactivos'!AR115,'LP Reactivos'!AW115,'LP Reactivos'!BB115,'LP Reactivos'!BG115,'LP Reactivos'!BL115,'LP Reactivos'!BQ115,'LP Reactivos'!BV115,'LP Reactivos'!CA115,'LP Reactivos'!CF115,'LP Reactivos'!CK115,'LP Reactivos'!CP115,'LP Reactivos'!CU115,'LP Reactivos'!CZ115,'LP Reactivos'!DE115,'LP Reactivos'!DJ115,'LP Reactivos'!DO115,'LP Reactivos'!DT115,'LP Reactivos'!DY115,'LP Reactivos'!EB115)," ")</f>
        <v>2515841.6002095053</v>
      </c>
      <c r="H115" s="345">
        <f t="shared" ref="H115:H176" si="8">STDEVA(D115,E115,F115,G115)</f>
        <v>382732.75384677586</v>
      </c>
      <c r="I115" s="346">
        <f t="shared" ref="I115:I176" si="9">IFERROR(H115/E115," ")</f>
        <v>0.14388336702128932</v>
      </c>
      <c r="J115" s="345">
        <f t="shared" ref="J115:J176" si="10">IF(I115&lt;=10%,F115,IF(AND(I115&gt;10%,I115&lt;=20%),E115,IF(AND(I115&gt;20%,I115&lt;=30%),G115,IF(I115&gt;30%,D115))))</f>
        <v>2660020.8333333335</v>
      </c>
      <c r="K115" s="344" t="str">
        <f t="shared" ref="K115:K176" si="11">IF(J115=D115,"Menor Valor",IF(J115=E115,"Promedio",IF(J115=F115,"Mediana",IF(J115=G115,"Media Geométrica"," "))))</f>
        <v>Promedio</v>
      </c>
      <c r="L115" s="326">
        <f>IFERROR(COUNTA('LP Reactivos'!F115,'LP Reactivos'!I115,'LP Reactivos'!N115,'LP Reactivos'!S115,'LP Reactivos'!X115,'LP Reactivos'!AC115,'LP Reactivos'!AH115,'LP Reactivos'!AM115,'LP Reactivos'!AR115,'LP Reactivos'!AW115,'LP Reactivos'!BB115,'LP Reactivos'!BG115,'LP Reactivos'!BL115,'LP Reactivos'!BQ115,'LP Reactivos'!BV115,'LP Reactivos'!CA115,'LP Reactivos'!CF115,'LP Reactivos'!CK115,'LP Reactivos'!CP115,'LP Reactivos'!CU115,'LP Reactivos'!CZ115,'LP Reactivos'!DE115,'LP Reactivos'!DJ115,'LP Reactivos'!DO115,'LP Reactivos'!DT115,'LP Reactivos'!DY115,'LP Reactivos'!EB115)," ")</f>
        <v>3</v>
      </c>
    </row>
    <row r="116" spans="2:12" x14ac:dyDescent="0.25">
      <c r="B116" s="425">
        <v>114</v>
      </c>
      <c r="C116" s="427" t="s">
        <v>1012</v>
      </c>
      <c r="D116" s="429">
        <f>IFERROR(MIN('LP Reactivos'!F116,'LP Reactivos'!I116,'LP Reactivos'!N116,'LP Reactivos'!S116,'LP Reactivos'!X116,'LP Reactivos'!AC116,'LP Reactivos'!AH116,'LP Reactivos'!AM116,'LP Reactivos'!AR116,'LP Reactivos'!AW116,'LP Reactivos'!BB116,'LP Reactivos'!BG116,'LP Reactivos'!BL116,'LP Reactivos'!BQ116,'LP Reactivos'!BV116,'LP Reactivos'!CA116,'LP Reactivos'!CF116,'LP Reactivos'!CK116,'LP Reactivos'!CP116,'LP Reactivos'!CU116,'LP Reactivos'!CZ116,'LP Reactivos'!DE116,'LP Reactivos'!DJ116,'LP Reactivos'!DO116,'LP Reactivos'!DT116,'LP Reactivos'!DY116,'LP Reactivos'!EB116)," ")</f>
        <v>95200</v>
      </c>
      <c r="E116" s="429">
        <f>IFERROR(AVERAGE('LP Reactivos'!F116,'LP Reactivos'!I116,'LP Reactivos'!N116,'LP Reactivos'!S116,'LP Reactivos'!X116,'LP Reactivos'!AC116,'LP Reactivos'!AH116,'LP Reactivos'!AM116,'LP Reactivos'!AR116,'LP Reactivos'!AW116,'LP Reactivos'!BB116,'LP Reactivos'!BG116,'LP Reactivos'!BL116,'LP Reactivos'!BQ116,'LP Reactivos'!BV116,'LP Reactivos'!CA116,'LP Reactivos'!CF116,'LP Reactivos'!CK116,'LP Reactivos'!CP116,'LP Reactivos'!CU116,'LP Reactivos'!CZ116,'LP Reactivos'!DE116,'LP Reactivos'!DJ116,'LP Reactivos'!DO116,'LP Reactivos'!DT116,'LP Reactivos'!DY116,'LP Reactivos'!EB116)," ")</f>
        <v>564739.58333333337</v>
      </c>
      <c r="F116" s="345">
        <f>IFERROR(MEDIAN('LP Reactivos'!F116,'LP Reactivos'!I116,'LP Reactivos'!N116,'LP Reactivos'!S116,'LP Reactivos'!X116,'LP Reactivos'!AC116,'LP Reactivos'!AH116,'LP Reactivos'!AM116,'LP Reactivos'!AR116,'LP Reactivos'!AW116,'LP Reactivos'!BB116,'LP Reactivos'!BG116,'LP Reactivos'!BL116,'LP Reactivos'!BQ116,'LP Reactivos'!BV116,'LP Reactivos'!CA116,'LP Reactivos'!CF116,'LP Reactivos'!CK116,'LP Reactivos'!CP116,'LP Reactivos'!CU116,'LP Reactivos'!CZ116,'LP Reactivos'!DE116,'LP Reactivos'!DJ116,'LP Reactivos'!DO116,'LP Reactivos'!DT116,'LP Reactivos'!DY116,'LP Reactivos'!EB116)," ")</f>
        <v>157109.75</v>
      </c>
      <c r="G116" s="345">
        <f>IFERROR(GEOMEAN('LP Reactivos'!F116,'LP Reactivos'!I116,'LP Reactivos'!N116,'LP Reactivos'!S116,'LP Reactivos'!X116,'LP Reactivos'!AC116,'LP Reactivos'!AH116,'LP Reactivos'!AM116,'LP Reactivos'!AR116,'LP Reactivos'!AW116,'LP Reactivos'!BB116,'LP Reactivos'!BG116,'LP Reactivos'!BL116,'LP Reactivos'!BQ116,'LP Reactivos'!BV116,'LP Reactivos'!CA116,'LP Reactivos'!CF116,'LP Reactivos'!CK116,'LP Reactivos'!CP116,'LP Reactivos'!CU116,'LP Reactivos'!CZ116,'LP Reactivos'!DE116,'LP Reactivos'!DJ116,'LP Reactivos'!DO116,'LP Reactivos'!DT116,'LP Reactivos'!DY116,'LP Reactivos'!EB116)," ")</f>
        <v>278350.91045489552</v>
      </c>
      <c r="H116" s="345">
        <f t="shared" si="8"/>
        <v>208311.55861418325</v>
      </c>
      <c r="I116" s="346">
        <f t="shared" si="9"/>
        <v>0.36886303840194762</v>
      </c>
      <c r="J116" s="345">
        <f t="shared" si="10"/>
        <v>95200</v>
      </c>
      <c r="K116" s="344" t="str">
        <f t="shared" si="11"/>
        <v>Menor Valor</v>
      </c>
      <c r="L116" s="326">
        <f>IFERROR(COUNTA('LP Reactivos'!F116,'LP Reactivos'!I116,'LP Reactivos'!N116,'LP Reactivos'!S116,'LP Reactivos'!X116,'LP Reactivos'!AC116,'LP Reactivos'!AH116,'LP Reactivos'!AM116,'LP Reactivos'!AR116,'LP Reactivos'!AW116,'LP Reactivos'!BB116,'LP Reactivos'!BG116,'LP Reactivos'!BL116,'LP Reactivos'!BQ116,'LP Reactivos'!BV116,'LP Reactivos'!CA116,'LP Reactivos'!CF116,'LP Reactivos'!CK116,'LP Reactivos'!CP116,'LP Reactivos'!CU116,'LP Reactivos'!CZ116,'LP Reactivos'!DE116,'LP Reactivos'!DJ116,'LP Reactivos'!DO116,'LP Reactivos'!DT116,'LP Reactivos'!DY116,'LP Reactivos'!EB116)," ")</f>
        <v>3</v>
      </c>
    </row>
    <row r="117" spans="2:12" x14ac:dyDescent="0.25">
      <c r="B117" s="425">
        <v>115</v>
      </c>
      <c r="C117" s="427" t="s">
        <v>1016</v>
      </c>
      <c r="D117" s="429">
        <f>IFERROR(MIN('LP Reactivos'!F117,'LP Reactivos'!I117,'LP Reactivos'!N117,'LP Reactivos'!S117,'LP Reactivos'!X117,'LP Reactivos'!AC117,'LP Reactivos'!AH117,'LP Reactivos'!AM117,'LP Reactivos'!AR117,'LP Reactivos'!AW117,'LP Reactivos'!BB117,'LP Reactivos'!BG117,'LP Reactivos'!BL117,'LP Reactivos'!BQ117,'LP Reactivos'!BV117,'LP Reactivos'!CA117,'LP Reactivos'!CF117,'LP Reactivos'!CK117,'LP Reactivos'!CP117,'LP Reactivos'!CU117,'LP Reactivos'!CZ117,'LP Reactivos'!DE117,'LP Reactivos'!DJ117,'LP Reactivos'!DO117,'LP Reactivos'!DT117,'LP Reactivos'!DY117,'LP Reactivos'!EB117)," ")</f>
        <v>603301.44000000006</v>
      </c>
      <c r="E117" s="429">
        <f>IFERROR(AVERAGE('LP Reactivos'!F117,'LP Reactivos'!I117,'LP Reactivos'!N117,'LP Reactivos'!S117,'LP Reactivos'!X117,'LP Reactivos'!AC117,'LP Reactivos'!AH117,'LP Reactivos'!AM117,'LP Reactivos'!AR117,'LP Reactivos'!AW117,'LP Reactivos'!BB117,'LP Reactivos'!BG117,'LP Reactivos'!BL117,'LP Reactivos'!BQ117,'LP Reactivos'!BV117,'LP Reactivos'!CA117,'LP Reactivos'!CF117,'LP Reactivos'!CK117,'LP Reactivos'!CP117,'LP Reactivos'!CU117,'LP Reactivos'!CZ117,'LP Reactivos'!DE117,'LP Reactivos'!DJ117,'LP Reactivos'!DO117,'LP Reactivos'!DT117,'LP Reactivos'!DY117,'LP Reactivos'!EB117)," ")</f>
        <v>603301.44000000006</v>
      </c>
      <c r="F117" s="345">
        <f>IFERROR(MEDIAN('LP Reactivos'!F117,'LP Reactivos'!I117,'LP Reactivos'!N117,'LP Reactivos'!S117,'LP Reactivos'!X117,'LP Reactivos'!AC117,'LP Reactivos'!AH117,'LP Reactivos'!AM117,'LP Reactivos'!AR117,'LP Reactivos'!AW117,'LP Reactivos'!BB117,'LP Reactivos'!BG117,'LP Reactivos'!BL117,'LP Reactivos'!BQ117,'LP Reactivos'!BV117,'LP Reactivos'!CA117,'LP Reactivos'!CF117,'LP Reactivos'!CK117,'LP Reactivos'!CP117,'LP Reactivos'!CU117,'LP Reactivos'!CZ117,'LP Reactivos'!DE117,'LP Reactivos'!DJ117,'LP Reactivos'!DO117,'LP Reactivos'!DT117,'LP Reactivos'!DY117,'LP Reactivos'!EB117)," ")</f>
        <v>603301.44000000006</v>
      </c>
      <c r="G117" s="345">
        <f>IFERROR(GEOMEAN('LP Reactivos'!F117,'LP Reactivos'!I117,'LP Reactivos'!N117,'LP Reactivos'!S117,'LP Reactivos'!X117,'LP Reactivos'!AC117,'LP Reactivos'!AH117,'LP Reactivos'!AM117,'LP Reactivos'!AR117,'LP Reactivos'!AW117,'LP Reactivos'!BB117,'LP Reactivos'!BG117,'LP Reactivos'!BL117,'LP Reactivos'!BQ117,'LP Reactivos'!BV117,'LP Reactivos'!CA117,'LP Reactivos'!CF117,'LP Reactivos'!CK117,'LP Reactivos'!CP117,'LP Reactivos'!CU117,'LP Reactivos'!CZ117,'LP Reactivos'!DE117,'LP Reactivos'!DJ117,'LP Reactivos'!DO117,'LP Reactivos'!DT117,'LP Reactivos'!DY117,'LP Reactivos'!EB117)," ")</f>
        <v>603301.44000000006</v>
      </c>
      <c r="H117" s="345">
        <f t="shared" si="8"/>
        <v>0</v>
      </c>
      <c r="I117" s="346">
        <f t="shared" si="9"/>
        <v>0</v>
      </c>
      <c r="J117" s="345">
        <f t="shared" si="10"/>
        <v>603301.44000000006</v>
      </c>
      <c r="K117" s="344" t="str">
        <f t="shared" si="11"/>
        <v>Menor Valor</v>
      </c>
      <c r="L117" s="326">
        <f>IFERROR(COUNTA('LP Reactivos'!F117,'LP Reactivos'!I117,'LP Reactivos'!N117,'LP Reactivos'!S117,'LP Reactivos'!X117,'LP Reactivos'!AC117,'LP Reactivos'!AH117,'LP Reactivos'!AM117,'LP Reactivos'!AR117,'LP Reactivos'!AW117,'LP Reactivos'!BB117,'LP Reactivos'!BG117,'LP Reactivos'!BL117,'LP Reactivos'!BQ117,'LP Reactivos'!BV117,'LP Reactivos'!CA117,'LP Reactivos'!CF117,'LP Reactivos'!CK117,'LP Reactivos'!CP117,'LP Reactivos'!CU117,'LP Reactivos'!CZ117,'LP Reactivos'!DE117,'LP Reactivos'!DJ117,'LP Reactivos'!DO117,'LP Reactivos'!DT117,'LP Reactivos'!DY117,'LP Reactivos'!EB117)," ")</f>
        <v>1</v>
      </c>
    </row>
    <row r="118" spans="2:12" ht="40.5" x14ac:dyDescent="0.25">
      <c r="B118" s="425">
        <v>116</v>
      </c>
      <c r="C118" s="427" t="s">
        <v>1017</v>
      </c>
      <c r="D118" s="429">
        <f>IFERROR(MIN('LP Reactivos'!F118,'LP Reactivos'!I118,'LP Reactivos'!N118,'LP Reactivos'!S118,'LP Reactivos'!X118,'LP Reactivos'!AC118,'LP Reactivos'!AH118,'LP Reactivos'!AM118,'LP Reactivos'!AR118,'LP Reactivos'!AW118,'LP Reactivos'!BB118,'LP Reactivos'!BG118,'LP Reactivos'!BL118,'LP Reactivos'!BQ118,'LP Reactivos'!BV118,'LP Reactivos'!CA118,'LP Reactivos'!CF118,'LP Reactivos'!CK118,'LP Reactivos'!CP118,'LP Reactivos'!CU118,'LP Reactivos'!CZ118,'LP Reactivos'!DE118,'LP Reactivos'!DJ118,'LP Reactivos'!DO118,'LP Reactivos'!DT118,'LP Reactivos'!DY118,'LP Reactivos'!EB118)," ")</f>
        <v>869890</v>
      </c>
      <c r="E118" s="429">
        <f>IFERROR(AVERAGE('LP Reactivos'!F118,'LP Reactivos'!I118,'LP Reactivos'!N118,'LP Reactivos'!S118,'LP Reactivos'!X118,'LP Reactivos'!AC118,'LP Reactivos'!AH118,'LP Reactivos'!AM118,'LP Reactivos'!AR118,'LP Reactivos'!AW118,'LP Reactivos'!BB118,'LP Reactivos'!BG118,'LP Reactivos'!BL118,'LP Reactivos'!BQ118,'LP Reactivos'!BV118,'LP Reactivos'!CA118,'LP Reactivos'!CF118,'LP Reactivos'!CK118,'LP Reactivos'!CP118,'LP Reactivos'!CU118,'LP Reactivos'!CZ118,'LP Reactivos'!DE118,'LP Reactivos'!DJ118,'LP Reactivos'!DO118,'LP Reactivos'!DT118,'LP Reactivos'!DY118,'LP Reactivos'!EB118)," ")</f>
        <v>1144452.6310000001</v>
      </c>
      <c r="F118" s="345">
        <f>IFERROR(MEDIAN('LP Reactivos'!F118,'LP Reactivos'!I118,'LP Reactivos'!N118,'LP Reactivos'!S118,'LP Reactivos'!X118,'LP Reactivos'!AC118,'LP Reactivos'!AH118,'LP Reactivos'!AM118,'LP Reactivos'!AR118,'LP Reactivos'!AW118,'LP Reactivos'!BB118,'LP Reactivos'!BG118,'LP Reactivos'!BL118,'LP Reactivos'!BQ118,'LP Reactivos'!BV118,'LP Reactivos'!CA118,'LP Reactivos'!CF118,'LP Reactivos'!CK118,'LP Reactivos'!CP118,'LP Reactivos'!CU118,'LP Reactivos'!CZ118,'LP Reactivos'!DE118,'LP Reactivos'!DJ118,'LP Reactivos'!DO118,'LP Reactivos'!DT118,'LP Reactivos'!DY118,'LP Reactivos'!EB118)," ")</f>
        <v>1144452.6310000001</v>
      </c>
      <c r="G118" s="345">
        <f>IFERROR(GEOMEAN('LP Reactivos'!F118,'LP Reactivos'!I118,'LP Reactivos'!N118,'LP Reactivos'!S118,'LP Reactivos'!X118,'LP Reactivos'!AC118,'LP Reactivos'!AH118,'LP Reactivos'!AM118,'LP Reactivos'!AR118,'LP Reactivos'!AW118,'LP Reactivos'!BB118,'LP Reactivos'!BG118,'LP Reactivos'!BL118,'LP Reactivos'!BQ118,'LP Reactivos'!BV118,'LP Reactivos'!CA118,'LP Reactivos'!CF118,'LP Reactivos'!CK118,'LP Reactivos'!CP118,'LP Reactivos'!CU118,'LP Reactivos'!CZ118,'LP Reactivos'!DE118,'LP Reactivos'!DJ118,'LP Reactivos'!DO118,'LP Reactivos'!DT118,'LP Reactivos'!DY118,'LP Reactivos'!EB118)," ")</f>
        <v>1111029.7863969174</v>
      </c>
      <c r="H118" s="345">
        <f t="shared" si="8"/>
        <v>132649.86692717363</v>
      </c>
      <c r="I118" s="346">
        <f t="shared" si="9"/>
        <v>0.11590682159668488</v>
      </c>
      <c r="J118" s="345">
        <f t="shared" si="10"/>
        <v>1144452.6310000001</v>
      </c>
      <c r="K118" s="344" t="str">
        <f t="shared" si="11"/>
        <v>Promedio</v>
      </c>
      <c r="L118" s="326">
        <f>IFERROR(COUNTA('LP Reactivos'!F118,'LP Reactivos'!I118,'LP Reactivos'!N118,'LP Reactivos'!S118,'LP Reactivos'!X118,'LP Reactivos'!AC118,'LP Reactivos'!AH118,'LP Reactivos'!AM118,'LP Reactivos'!AR118,'LP Reactivos'!AW118,'LP Reactivos'!BB118,'LP Reactivos'!BG118,'LP Reactivos'!BL118,'LP Reactivos'!BQ118,'LP Reactivos'!BV118,'LP Reactivos'!CA118,'LP Reactivos'!CF118,'LP Reactivos'!CK118,'LP Reactivos'!CP118,'LP Reactivos'!CU118,'LP Reactivos'!CZ118,'LP Reactivos'!DE118,'LP Reactivos'!DJ118,'LP Reactivos'!DO118,'LP Reactivos'!DT118,'LP Reactivos'!DY118,'LP Reactivos'!EB118)," ")</f>
        <v>2</v>
      </c>
    </row>
    <row r="119" spans="2:12" x14ac:dyDescent="0.25">
      <c r="B119" s="425">
        <v>117</v>
      </c>
      <c r="C119" s="427" t="s">
        <v>1020</v>
      </c>
      <c r="D119" s="429">
        <f>IFERROR(MIN('LP Reactivos'!F119,'LP Reactivos'!I119,'LP Reactivos'!N119,'LP Reactivos'!S119,'LP Reactivos'!X119,'LP Reactivos'!AC119,'LP Reactivos'!AH119,'LP Reactivos'!AM119,'LP Reactivos'!AR119,'LP Reactivos'!AW119,'LP Reactivos'!BB119,'LP Reactivos'!BG119,'LP Reactivos'!BL119,'LP Reactivos'!BQ119,'LP Reactivos'!BV119,'LP Reactivos'!CA119,'LP Reactivos'!CF119,'LP Reactivos'!CK119,'LP Reactivos'!CP119,'LP Reactivos'!CU119,'LP Reactivos'!CZ119,'LP Reactivos'!DE119,'LP Reactivos'!DJ119,'LP Reactivos'!DO119,'LP Reactivos'!DT119,'LP Reactivos'!DY119,'LP Reactivos'!EB119)," ")</f>
        <v>476166.6</v>
      </c>
      <c r="E119" s="429">
        <f>IFERROR(AVERAGE('LP Reactivos'!F119,'LP Reactivos'!I119,'LP Reactivos'!N119,'LP Reactivos'!S119,'LP Reactivos'!X119,'LP Reactivos'!AC119,'LP Reactivos'!AH119,'LP Reactivos'!AM119,'LP Reactivos'!AR119,'LP Reactivos'!AW119,'LP Reactivos'!BB119,'LP Reactivos'!BG119,'LP Reactivos'!BL119,'LP Reactivos'!BQ119,'LP Reactivos'!BV119,'LP Reactivos'!CA119,'LP Reactivos'!CF119,'LP Reactivos'!CK119,'LP Reactivos'!CP119,'LP Reactivos'!CU119,'LP Reactivos'!CZ119,'LP Reactivos'!DE119,'LP Reactivos'!DJ119,'LP Reactivos'!DO119,'LP Reactivos'!DT119,'LP Reactivos'!DY119,'LP Reactivos'!EB119)," ")</f>
        <v>593893.62099999993</v>
      </c>
      <c r="F119" s="345">
        <f>IFERROR(MEDIAN('LP Reactivos'!F119,'LP Reactivos'!I119,'LP Reactivos'!N119,'LP Reactivos'!S119,'LP Reactivos'!X119,'LP Reactivos'!AC119,'LP Reactivos'!AH119,'LP Reactivos'!AM119,'LP Reactivos'!AR119,'LP Reactivos'!AW119,'LP Reactivos'!BB119,'LP Reactivos'!BG119,'LP Reactivos'!BL119,'LP Reactivos'!BQ119,'LP Reactivos'!BV119,'LP Reactivos'!CA119,'LP Reactivos'!CF119,'LP Reactivos'!CK119,'LP Reactivos'!CP119,'LP Reactivos'!CU119,'LP Reactivos'!CZ119,'LP Reactivos'!DE119,'LP Reactivos'!DJ119,'LP Reactivos'!DO119,'LP Reactivos'!DT119,'LP Reactivos'!DY119,'LP Reactivos'!EB119)," ")</f>
        <v>564822.56299999997</v>
      </c>
      <c r="G119" s="345">
        <f>IFERROR(GEOMEAN('LP Reactivos'!F119,'LP Reactivos'!I119,'LP Reactivos'!N119,'LP Reactivos'!S119,'LP Reactivos'!X119,'LP Reactivos'!AC119,'LP Reactivos'!AH119,'LP Reactivos'!AM119,'LP Reactivos'!AR119,'LP Reactivos'!AW119,'LP Reactivos'!BB119,'LP Reactivos'!BG119,'LP Reactivos'!BL119,'LP Reactivos'!BQ119,'LP Reactivos'!BV119,'LP Reactivos'!CA119,'LP Reactivos'!CF119,'LP Reactivos'!CK119,'LP Reactivos'!CP119,'LP Reactivos'!CU119,'LP Reactivos'!CZ119,'LP Reactivos'!DE119,'LP Reactivos'!DJ119,'LP Reactivos'!DO119,'LP Reactivos'!DT119,'LP Reactivos'!DY119,'LP Reactivos'!EB119)," ")</f>
        <v>582915.85379941913</v>
      </c>
      <c r="H119" s="345">
        <f t="shared" si="8"/>
        <v>53547.439554120647</v>
      </c>
      <c r="I119" s="346">
        <f t="shared" si="9"/>
        <v>9.01633519214389E-2</v>
      </c>
      <c r="J119" s="345">
        <f t="shared" si="10"/>
        <v>564822.56299999997</v>
      </c>
      <c r="K119" s="344" t="str">
        <f t="shared" si="11"/>
        <v>Mediana</v>
      </c>
      <c r="L119" s="326">
        <f>IFERROR(COUNTA('LP Reactivos'!F119,'LP Reactivos'!I119,'LP Reactivos'!N119,'LP Reactivos'!S119,'LP Reactivos'!X119,'LP Reactivos'!AC119,'LP Reactivos'!AH119,'LP Reactivos'!AM119,'LP Reactivos'!AR119,'LP Reactivos'!AW119,'LP Reactivos'!BB119,'LP Reactivos'!BG119,'LP Reactivos'!BL119,'LP Reactivos'!BQ119,'LP Reactivos'!BV119,'LP Reactivos'!CA119,'LP Reactivos'!CF119,'LP Reactivos'!CK119,'LP Reactivos'!CP119,'LP Reactivos'!CU119,'LP Reactivos'!CZ119,'LP Reactivos'!DE119,'LP Reactivos'!DJ119,'LP Reactivos'!DO119,'LP Reactivos'!DT119,'LP Reactivos'!DY119,'LP Reactivos'!EB119)," ")</f>
        <v>6</v>
      </c>
    </row>
    <row r="120" spans="2:12" ht="27" x14ac:dyDescent="0.25">
      <c r="B120" s="425">
        <v>118</v>
      </c>
      <c r="C120" s="427" t="s">
        <v>1025</v>
      </c>
      <c r="D120" s="429">
        <f>IFERROR(MIN('LP Reactivos'!F120,'LP Reactivos'!I120,'LP Reactivos'!N120,'LP Reactivos'!S120,'LP Reactivos'!X120,'LP Reactivos'!AC120,'LP Reactivos'!AH120,'LP Reactivos'!AM120,'LP Reactivos'!AR120,'LP Reactivos'!AW120,'LP Reactivos'!BB120,'LP Reactivos'!BG120,'LP Reactivos'!BL120,'LP Reactivos'!BQ120,'LP Reactivos'!BV120,'LP Reactivos'!CA120,'LP Reactivos'!CF120,'LP Reactivos'!CK120,'LP Reactivos'!CP120,'LP Reactivos'!CU120,'LP Reactivos'!CZ120,'LP Reactivos'!DE120,'LP Reactivos'!DJ120,'LP Reactivos'!DO120,'LP Reactivos'!DT120,'LP Reactivos'!DY120,'LP Reactivos'!EB120)," ")</f>
        <v>83300</v>
      </c>
      <c r="E120" s="429">
        <f>IFERROR(AVERAGE('LP Reactivos'!F120,'LP Reactivos'!I120,'LP Reactivos'!N120,'LP Reactivos'!S120,'LP Reactivos'!X120,'LP Reactivos'!AC120,'LP Reactivos'!AH120,'LP Reactivos'!AM120,'LP Reactivos'!AR120,'LP Reactivos'!AW120,'LP Reactivos'!BB120,'LP Reactivos'!BG120,'LP Reactivos'!BL120,'LP Reactivos'!BQ120,'LP Reactivos'!BV120,'LP Reactivos'!CA120,'LP Reactivos'!CF120,'LP Reactivos'!CK120,'LP Reactivos'!CP120,'LP Reactivos'!CU120,'LP Reactivos'!CZ120,'LP Reactivos'!DE120,'LP Reactivos'!DJ120,'LP Reactivos'!DO120,'LP Reactivos'!DT120,'LP Reactivos'!DY120,'LP Reactivos'!EB120)," ")</f>
        <v>157033.55479999998</v>
      </c>
      <c r="F120" s="345">
        <f>IFERROR(MEDIAN('LP Reactivos'!F120,'LP Reactivos'!I120,'LP Reactivos'!N120,'LP Reactivos'!S120,'LP Reactivos'!X120,'LP Reactivos'!AC120,'LP Reactivos'!AH120,'LP Reactivos'!AM120,'LP Reactivos'!AR120,'LP Reactivos'!AW120,'LP Reactivos'!BB120,'LP Reactivos'!BG120,'LP Reactivos'!BL120,'LP Reactivos'!BQ120,'LP Reactivos'!BV120,'LP Reactivos'!CA120,'LP Reactivos'!CF120,'LP Reactivos'!CK120,'LP Reactivos'!CP120,'LP Reactivos'!CU120,'LP Reactivos'!CZ120,'LP Reactivos'!DE120,'LP Reactivos'!DJ120,'LP Reactivos'!DO120,'LP Reactivos'!DT120,'LP Reactivos'!DY120,'LP Reactivos'!EB120)," ")</f>
        <v>167164.774</v>
      </c>
      <c r="G120" s="345">
        <f>IFERROR(GEOMEAN('LP Reactivos'!F120,'LP Reactivos'!I120,'LP Reactivos'!N120,'LP Reactivos'!S120,'LP Reactivos'!X120,'LP Reactivos'!AC120,'LP Reactivos'!AH120,'LP Reactivos'!AM120,'LP Reactivos'!AR120,'LP Reactivos'!AW120,'LP Reactivos'!BB120,'LP Reactivos'!BG120,'LP Reactivos'!BL120,'LP Reactivos'!BQ120,'LP Reactivos'!BV120,'LP Reactivos'!CA120,'LP Reactivos'!CF120,'LP Reactivos'!CK120,'LP Reactivos'!CP120,'LP Reactivos'!CU120,'LP Reactivos'!CZ120,'LP Reactivos'!DE120,'LP Reactivos'!DJ120,'LP Reactivos'!DO120,'LP Reactivos'!DT120,'LP Reactivos'!DY120,'LP Reactivos'!EB120)," ")</f>
        <v>149781.85039626755</v>
      </c>
      <c r="H120" s="345">
        <f t="shared" si="8"/>
        <v>38021.012508302556</v>
      </c>
      <c r="I120" s="346">
        <f t="shared" si="9"/>
        <v>0.24212030706893581</v>
      </c>
      <c r="J120" s="345">
        <f t="shared" si="10"/>
        <v>149781.85039626755</v>
      </c>
      <c r="K120" s="344" t="str">
        <f t="shared" si="11"/>
        <v>Media Geométrica</v>
      </c>
      <c r="L120" s="326">
        <f>IFERROR(COUNTA('LP Reactivos'!F120,'LP Reactivos'!I120,'LP Reactivos'!N120,'LP Reactivos'!S120,'LP Reactivos'!X120,'LP Reactivos'!AC120,'LP Reactivos'!AH120,'LP Reactivos'!AM120,'LP Reactivos'!AR120,'LP Reactivos'!AW120,'LP Reactivos'!BB120,'LP Reactivos'!BG120,'LP Reactivos'!BL120,'LP Reactivos'!BQ120,'LP Reactivos'!BV120,'LP Reactivos'!CA120,'LP Reactivos'!CF120,'LP Reactivos'!CK120,'LP Reactivos'!CP120,'LP Reactivos'!CU120,'LP Reactivos'!CZ120,'LP Reactivos'!DE120,'LP Reactivos'!DJ120,'LP Reactivos'!DO120,'LP Reactivos'!DT120,'LP Reactivos'!DY120,'LP Reactivos'!EB120)," ")</f>
        <v>5</v>
      </c>
    </row>
    <row r="121" spans="2:12" x14ac:dyDescent="0.25">
      <c r="B121" s="425">
        <v>119</v>
      </c>
      <c r="C121" s="427" t="s">
        <v>1028</v>
      </c>
      <c r="D121" s="429">
        <f>IFERROR(MIN('LP Reactivos'!F121,'LP Reactivos'!I121,'LP Reactivos'!N121,'LP Reactivos'!S121,'LP Reactivos'!X121,'LP Reactivos'!AC121,'LP Reactivos'!AH121,'LP Reactivos'!AM121,'LP Reactivos'!AR121,'LP Reactivos'!AW121,'LP Reactivos'!BB121,'LP Reactivos'!BG121,'LP Reactivos'!BL121,'LP Reactivos'!BQ121,'LP Reactivos'!BV121,'LP Reactivos'!CA121,'LP Reactivos'!CF121,'LP Reactivos'!CK121,'LP Reactivos'!CP121,'LP Reactivos'!CU121,'LP Reactivos'!CZ121,'LP Reactivos'!DE121,'LP Reactivos'!DJ121,'LP Reactivos'!DO121,'LP Reactivos'!DT121,'LP Reactivos'!DY121,'LP Reactivos'!EB121)," ")</f>
        <v>164220</v>
      </c>
      <c r="E121" s="429">
        <f>IFERROR(AVERAGE('LP Reactivos'!F121,'LP Reactivos'!I121,'LP Reactivos'!N121,'LP Reactivos'!S121,'LP Reactivos'!X121,'LP Reactivos'!AC121,'LP Reactivos'!AH121,'LP Reactivos'!AM121,'LP Reactivos'!AR121,'LP Reactivos'!AW121,'LP Reactivos'!BB121,'LP Reactivos'!BG121,'LP Reactivos'!BL121,'LP Reactivos'!BQ121,'LP Reactivos'!BV121,'LP Reactivos'!CA121,'LP Reactivos'!CF121,'LP Reactivos'!CK121,'LP Reactivos'!CP121,'LP Reactivos'!CU121,'LP Reactivos'!CZ121,'LP Reactivos'!DE121,'LP Reactivos'!DJ121,'LP Reactivos'!DO121,'LP Reactivos'!DT121,'LP Reactivos'!DY121,'LP Reactivos'!EB121)," ")</f>
        <v>430122.31296666665</v>
      </c>
      <c r="F121" s="345">
        <f>IFERROR(MEDIAN('LP Reactivos'!F121,'LP Reactivos'!I121,'LP Reactivos'!N121,'LP Reactivos'!S121,'LP Reactivos'!X121,'LP Reactivos'!AC121,'LP Reactivos'!AH121,'LP Reactivos'!AM121,'LP Reactivos'!AR121,'LP Reactivos'!AW121,'LP Reactivos'!BB121,'LP Reactivos'!BG121,'LP Reactivos'!BL121,'LP Reactivos'!BQ121,'LP Reactivos'!BV121,'LP Reactivos'!CA121,'LP Reactivos'!CF121,'LP Reactivos'!CK121,'LP Reactivos'!CP121,'LP Reactivos'!CU121,'LP Reactivos'!CZ121,'LP Reactivos'!DE121,'LP Reactivos'!DJ121,'LP Reactivos'!DO121,'LP Reactivos'!DT121,'LP Reactivos'!DY121,'LP Reactivos'!EB121)," ")</f>
        <v>414451.6</v>
      </c>
      <c r="G121" s="345">
        <f>IFERROR(GEOMEAN('LP Reactivos'!F121,'LP Reactivos'!I121,'LP Reactivos'!N121,'LP Reactivos'!S121,'LP Reactivos'!X121,'LP Reactivos'!AC121,'LP Reactivos'!AH121,'LP Reactivos'!AM121,'LP Reactivos'!AR121,'LP Reactivos'!AW121,'LP Reactivos'!BB121,'LP Reactivos'!BG121,'LP Reactivos'!BL121,'LP Reactivos'!BQ121,'LP Reactivos'!BV121,'LP Reactivos'!CA121,'LP Reactivos'!CF121,'LP Reactivos'!CK121,'LP Reactivos'!CP121,'LP Reactivos'!CU121,'LP Reactivos'!CZ121,'LP Reactivos'!DE121,'LP Reactivos'!DJ121,'LP Reactivos'!DO121,'LP Reactivos'!DT121,'LP Reactivos'!DY121,'LP Reactivos'!EB121)," ")</f>
        <v>373961.00741487474</v>
      </c>
      <c r="H121" s="345">
        <f t="shared" si="8"/>
        <v>123271.49421941581</v>
      </c>
      <c r="I121" s="346">
        <f t="shared" si="9"/>
        <v>0.28659637155110579</v>
      </c>
      <c r="J121" s="345">
        <f t="shared" si="10"/>
        <v>373961.00741487474</v>
      </c>
      <c r="K121" s="344" t="str">
        <f t="shared" si="11"/>
        <v>Media Geométrica</v>
      </c>
      <c r="L121" s="326">
        <f>IFERROR(COUNTA('LP Reactivos'!F121,'LP Reactivos'!I121,'LP Reactivos'!N121,'LP Reactivos'!S121,'LP Reactivos'!X121,'LP Reactivos'!AC121,'LP Reactivos'!AH121,'LP Reactivos'!AM121,'LP Reactivos'!AR121,'LP Reactivos'!AW121,'LP Reactivos'!BB121,'LP Reactivos'!BG121,'LP Reactivos'!BL121,'LP Reactivos'!BQ121,'LP Reactivos'!BV121,'LP Reactivos'!CA121,'LP Reactivos'!CF121,'LP Reactivos'!CK121,'LP Reactivos'!CP121,'LP Reactivos'!CU121,'LP Reactivos'!CZ121,'LP Reactivos'!DE121,'LP Reactivos'!DJ121,'LP Reactivos'!DO121,'LP Reactivos'!DT121,'LP Reactivos'!DY121,'LP Reactivos'!EB121)," ")</f>
        <v>6</v>
      </c>
    </row>
    <row r="122" spans="2:12" x14ac:dyDescent="0.25">
      <c r="B122" s="425">
        <v>120</v>
      </c>
      <c r="C122" s="427" t="s">
        <v>1033</v>
      </c>
      <c r="D122" s="429">
        <f>IFERROR(MIN('LP Reactivos'!F122,'LP Reactivos'!I122,'LP Reactivos'!N122,'LP Reactivos'!S122,'LP Reactivos'!X122,'LP Reactivos'!AC122,'LP Reactivos'!AH122,'LP Reactivos'!AM122,'LP Reactivos'!AR122,'LP Reactivos'!AW122,'LP Reactivos'!BB122,'LP Reactivos'!BG122,'LP Reactivos'!BL122,'LP Reactivos'!BQ122,'LP Reactivos'!BV122,'LP Reactivos'!CA122,'LP Reactivos'!CF122,'LP Reactivos'!CK122,'LP Reactivos'!CP122,'LP Reactivos'!CU122,'LP Reactivos'!CZ122,'LP Reactivos'!DE122,'LP Reactivos'!DJ122,'LP Reactivos'!DO122,'LP Reactivos'!DT122,'LP Reactivos'!DY122,'LP Reactivos'!EB122)," ")</f>
        <v>84496</v>
      </c>
      <c r="E122" s="429">
        <f>IFERROR(AVERAGE('LP Reactivos'!F122,'LP Reactivos'!I122,'LP Reactivos'!N122,'LP Reactivos'!S122,'LP Reactivos'!X122,'LP Reactivos'!AC122,'LP Reactivos'!AH122,'LP Reactivos'!AM122,'LP Reactivos'!AR122,'LP Reactivos'!AW122,'LP Reactivos'!BB122,'LP Reactivos'!BG122,'LP Reactivos'!BL122,'LP Reactivos'!BQ122,'LP Reactivos'!BV122,'LP Reactivos'!CA122,'LP Reactivos'!CF122,'LP Reactivos'!CK122,'LP Reactivos'!CP122,'LP Reactivos'!CU122,'LP Reactivos'!CZ122,'LP Reactivos'!DE122,'LP Reactivos'!DJ122,'LP Reactivos'!DO122,'LP Reactivos'!DT122,'LP Reactivos'!DY122,'LP Reactivos'!EB122)," ")</f>
        <v>327147.66666666669</v>
      </c>
      <c r="F122" s="345">
        <f>IFERROR(MEDIAN('LP Reactivos'!F122,'LP Reactivos'!I122,'LP Reactivos'!N122,'LP Reactivos'!S122,'LP Reactivos'!X122,'LP Reactivos'!AC122,'LP Reactivos'!AH122,'LP Reactivos'!AM122,'LP Reactivos'!AR122,'LP Reactivos'!AW122,'LP Reactivos'!BB122,'LP Reactivos'!BG122,'LP Reactivos'!BL122,'LP Reactivos'!BQ122,'LP Reactivos'!BV122,'LP Reactivos'!CA122,'LP Reactivos'!CF122,'LP Reactivos'!CK122,'LP Reactivos'!CP122,'LP Reactivos'!CU122,'LP Reactivos'!CZ122,'LP Reactivos'!DE122,'LP Reactivos'!DJ122,'LP Reactivos'!DO122,'LP Reactivos'!DT122,'LP Reactivos'!DY122,'LP Reactivos'!EB122)," ")</f>
        <v>90440</v>
      </c>
      <c r="G122" s="345">
        <f>IFERROR(GEOMEAN('LP Reactivos'!F122,'LP Reactivos'!I122,'LP Reactivos'!N122,'LP Reactivos'!S122,'LP Reactivos'!X122,'LP Reactivos'!AC122,'LP Reactivos'!AH122,'LP Reactivos'!AM122,'LP Reactivos'!AR122,'LP Reactivos'!AW122,'LP Reactivos'!BB122,'LP Reactivos'!BG122,'LP Reactivos'!BL122,'LP Reactivos'!BQ122,'LP Reactivos'!BV122,'LP Reactivos'!CA122,'LP Reactivos'!CF122,'LP Reactivos'!CK122,'LP Reactivos'!CP122,'LP Reactivos'!CU122,'LP Reactivos'!CZ122,'LP Reactivos'!DE122,'LP Reactivos'!DJ122,'LP Reactivos'!DO122,'LP Reactivos'!DT122,'LP Reactivos'!DY122,'LP Reactivos'!EB122)," ")</f>
        <v>183344.66684344114</v>
      </c>
      <c r="H122" s="345">
        <f t="shared" si="8"/>
        <v>113294.35141371934</v>
      </c>
      <c r="I122" s="346">
        <f t="shared" si="9"/>
        <v>0.34630952000386983</v>
      </c>
      <c r="J122" s="345">
        <f>IF(I122&lt;=10%,F122,IF(AND(I122&gt;10%,I122&lt;=20%),E122,IF(AND(I122&gt;20%,I122&lt;=35%),G122,IF(I122&gt;35%,D122))))</f>
        <v>183344.66684344114</v>
      </c>
      <c r="K122" s="344" t="str">
        <f t="shared" si="11"/>
        <v>Media Geométrica</v>
      </c>
      <c r="L122" s="326">
        <f>IFERROR(COUNTA('LP Reactivos'!F122,'LP Reactivos'!I122,'LP Reactivos'!N122,'LP Reactivos'!S122,'LP Reactivos'!X122,'LP Reactivos'!AC122,'LP Reactivos'!AH122,'LP Reactivos'!AM122,'LP Reactivos'!AR122,'LP Reactivos'!AW122,'LP Reactivos'!BB122,'LP Reactivos'!BG122,'LP Reactivos'!BL122,'LP Reactivos'!BQ122,'LP Reactivos'!BV122,'LP Reactivos'!CA122,'LP Reactivos'!CF122,'LP Reactivos'!CK122,'LP Reactivos'!CP122,'LP Reactivos'!CU122,'LP Reactivos'!CZ122,'LP Reactivos'!DE122,'LP Reactivos'!DJ122,'LP Reactivos'!DO122,'LP Reactivos'!DT122,'LP Reactivos'!DY122,'LP Reactivos'!EB122)," ")</f>
        <v>3</v>
      </c>
    </row>
    <row r="123" spans="2:12" x14ac:dyDescent="0.25">
      <c r="B123" s="425">
        <v>121</v>
      </c>
      <c r="C123" s="427" t="s">
        <v>1035</v>
      </c>
      <c r="D123" s="429">
        <f>IFERROR(MIN('LP Reactivos'!F123,'LP Reactivos'!I123,'LP Reactivos'!N123,'LP Reactivos'!S123,'LP Reactivos'!X123,'LP Reactivos'!AC123,'LP Reactivos'!AH123,'LP Reactivos'!AM123,'LP Reactivos'!AR123,'LP Reactivos'!AW123,'LP Reactivos'!BB123,'LP Reactivos'!BG123,'LP Reactivos'!BL123,'LP Reactivos'!BQ123,'LP Reactivos'!BV123,'LP Reactivos'!CA123,'LP Reactivos'!CF123,'LP Reactivos'!CK123,'LP Reactivos'!CP123,'LP Reactivos'!CU123,'LP Reactivos'!CZ123,'LP Reactivos'!DE123,'LP Reactivos'!DJ123,'LP Reactivos'!DO123,'LP Reactivos'!DT123,'LP Reactivos'!DY123,'LP Reactivos'!EB123)," ")</f>
        <v>609280</v>
      </c>
      <c r="E123" s="429">
        <f>IFERROR(AVERAGE('LP Reactivos'!F123,'LP Reactivos'!I123,'LP Reactivos'!N123,'LP Reactivos'!S123,'LP Reactivos'!X123,'LP Reactivos'!AC123,'LP Reactivos'!AH123,'LP Reactivos'!AM123,'LP Reactivos'!AR123,'LP Reactivos'!AW123,'LP Reactivos'!BB123,'LP Reactivos'!BG123,'LP Reactivos'!BL123,'LP Reactivos'!BQ123,'LP Reactivos'!BV123,'LP Reactivos'!CA123,'LP Reactivos'!CF123,'LP Reactivos'!CK123,'LP Reactivos'!CP123,'LP Reactivos'!CU123,'LP Reactivos'!CZ123,'LP Reactivos'!DE123,'LP Reactivos'!DJ123,'LP Reactivos'!DO123,'LP Reactivos'!DT123,'LP Reactivos'!DY123,'LP Reactivos'!EB123)," ")</f>
        <v>625545</v>
      </c>
      <c r="F123" s="345">
        <f>IFERROR(MEDIAN('LP Reactivos'!F123,'LP Reactivos'!I123,'LP Reactivos'!N123,'LP Reactivos'!S123,'LP Reactivos'!X123,'LP Reactivos'!AC123,'LP Reactivos'!AH123,'LP Reactivos'!AM123,'LP Reactivos'!AR123,'LP Reactivos'!AW123,'LP Reactivos'!BB123,'LP Reactivos'!BG123,'LP Reactivos'!BL123,'LP Reactivos'!BQ123,'LP Reactivos'!BV123,'LP Reactivos'!CA123,'LP Reactivos'!CF123,'LP Reactivos'!CK123,'LP Reactivos'!CP123,'LP Reactivos'!CU123,'LP Reactivos'!CZ123,'LP Reactivos'!DE123,'LP Reactivos'!DJ123,'LP Reactivos'!DO123,'LP Reactivos'!DT123,'LP Reactivos'!DY123,'LP Reactivos'!EB123)," ")</f>
        <v>625545</v>
      </c>
      <c r="G123" s="345">
        <f>IFERROR(GEOMEAN('LP Reactivos'!F123,'LP Reactivos'!I123,'LP Reactivos'!N123,'LP Reactivos'!S123,'LP Reactivos'!X123,'LP Reactivos'!AC123,'LP Reactivos'!AH123,'LP Reactivos'!AM123,'LP Reactivos'!AR123,'LP Reactivos'!AW123,'LP Reactivos'!BB123,'LP Reactivos'!BG123,'LP Reactivos'!BL123,'LP Reactivos'!BQ123,'LP Reactivos'!BV123,'LP Reactivos'!CA123,'LP Reactivos'!CF123,'LP Reactivos'!CK123,'LP Reactivos'!CP123,'LP Reactivos'!CU123,'LP Reactivos'!CZ123,'LP Reactivos'!DE123,'LP Reactivos'!DJ123,'LP Reactivos'!DO123,'LP Reactivos'!DT123,'LP Reactivos'!DY123,'LP Reactivos'!EB123)," ")</f>
        <v>625333.50845768698</v>
      </c>
      <c r="H123" s="345">
        <f t="shared" si="8"/>
        <v>8097.8651566630379</v>
      </c>
      <c r="I123" s="346">
        <f t="shared" si="9"/>
        <v>1.2945295952590202E-2</v>
      </c>
      <c r="J123" s="345">
        <f t="shared" si="10"/>
        <v>625545</v>
      </c>
      <c r="K123" s="344" t="str">
        <f t="shared" si="11"/>
        <v>Promedio</v>
      </c>
      <c r="L123" s="326">
        <f>IFERROR(COUNTA('LP Reactivos'!F123,'LP Reactivos'!I123,'LP Reactivos'!N123,'LP Reactivos'!S123,'LP Reactivos'!X123,'LP Reactivos'!AC123,'LP Reactivos'!AH123,'LP Reactivos'!AM123,'LP Reactivos'!AR123,'LP Reactivos'!AW123,'LP Reactivos'!BB123,'LP Reactivos'!BG123,'LP Reactivos'!BL123,'LP Reactivos'!BQ123,'LP Reactivos'!BV123,'LP Reactivos'!CA123,'LP Reactivos'!CF123,'LP Reactivos'!CK123,'LP Reactivos'!CP123,'LP Reactivos'!CU123,'LP Reactivos'!CZ123,'LP Reactivos'!DE123,'LP Reactivos'!DJ123,'LP Reactivos'!DO123,'LP Reactivos'!DT123,'LP Reactivos'!DY123,'LP Reactivos'!EB123)," ")</f>
        <v>2</v>
      </c>
    </row>
    <row r="124" spans="2:12" x14ac:dyDescent="0.25">
      <c r="B124" s="425">
        <v>122</v>
      </c>
      <c r="C124" s="427" t="s">
        <v>1037</v>
      </c>
      <c r="D124" s="429">
        <f>IFERROR(MIN('LP Reactivos'!F124,'LP Reactivos'!I124,'LP Reactivos'!N124,'LP Reactivos'!S124,'LP Reactivos'!X124,'LP Reactivos'!AC124,'LP Reactivos'!AH124,'LP Reactivos'!AM124,'LP Reactivos'!AR124,'LP Reactivos'!AW124,'LP Reactivos'!BB124,'LP Reactivos'!BG124,'LP Reactivos'!BL124,'LP Reactivos'!BQ124,'LP Reactivos'!BV124,'LP Reactivos'!CA124,'LP Reactivos'!CF124,'LP Reactivos'!CK124,'LP Reactivos'!CP124,'LP Reactivos'!CU124,'LP Reactivos'!CZ124,'LP Reactivos'!DE124,'LP Reactivos'!DJ124,'LP Reactivos'!DO124,'LP Reactivos'!DT124,'LP Reactivos'!DY124,'LP Reactivos'!EB124)," ")</f>
        <v>227290</v>
      </c>
      <c r="E124" s="429">
        <f>IFERROR(AVERAGE('LP Reactivos'!F124,'LP Reactivos'!I124,'LP Reactivos'!N124,'LP Reactivos'!S124,'LP Reactivos'!X124,'LP Reactivos'!AC124,'LP Reactivos'!AH124,'LP Reactivos'!AM124,'LP Reactivos'!AR124,'LP Reactivos'!AW124,'LP Reactivos'!BB124,'LP Reactivos'!BG124,'LP Reactivos'!BL124,'LP Reactivos'!BQ124,'LP Reactivos'!BV124,'LP Reactivos'!CA124,'LP Reactivos'!CF124,'LP Reactivos'!CK124,'LP Reactivos'!CP124,'LP Reactivos'!CU124,'LP Reactivos'!CZ124,'LP Reactivos'!DE124,'LP Reactivos'!DJ124,'LP Reactivos'!DO124,'LP Reactivos'!DT124,'LP Reactivos'!DY124,'LP Reactivos'!EB124)," ")</f>
        <v>799850</v>
      </c>
      <c r="F124" s="345">
        <f>IFERROR(MEDIAN('LP Reactivos'!F124,'LP Reactivos'!I124,'LP Reactivos'!N124,'LP Reactivos'!S124,'LP Reactivos'!X124,'LP Reactivos'!AC124,'LP Reactivos'!AH124,'LP Reactivos'!AM124,'LP Reactivos'!AR124,'LP Reactivos'!AW124,'LP Reactivos'!BB124,'LP Reactivos'!BG124,'LP Reactivos'!BL124,'LP Reactivos'!BQ124,'LP Reactivos'!BV124,'LP Reactivos'!CA124,'LP Reactivos'!CF124,'LP Reactivos'!CK124,'LP Reactivos'!CP124,'LP Reactivos'!CU124,'LP Reactivos'!CZ124,'LP Reactivos'!DE124,'LP Reactivos'!DJ124,'LP Reactivos'!DO124,'LP Reactivos'!DT124,'LP Reactivos'!DY124,'LP Reactivos'!EB124)," ")</f>
        <v>799850</v>
      </c>
      <c r="G124" s="345">
        <f>IFERROR(GEOMEAN('LP Reactivos'!F124,'LP Reactivos'!I124,'LP Reactivos'!N124,'LP Reactivos'!S124,'LP Reactivos'!X124,'LP Reactivos'!AC124,'LP Reactivos'!AH124,'LP Reactivos'!AM124,'LP Reactivos'!AR124,'LP Reactivos'!AW124,'LP Reactivos'!BB124,'LP Reactivos'!BG124,'LP Reactivos'!BL124,'LP Reactivos'!BQ124,'LP Reactivos'!BV124,'LP Reactivos'!CA124,'LP Reactivos'!CF124,'LP Reactivos'!CK124,'LP Reactivos'!CP124,'LP Reactivos'!CU124,'LP Reactivos'!CZ124,'LP Reactivos'!DE124,'LP Reactivos'!DJ124,'LP Reactivos'!DO124,'LP Reactivos'!DT124,'LP Reactivos'!DY124,'LP Reactivos'!EB124)," ")</f>
        <v>558511.47606830788</v>
      </c>
      <c r="H124" s="345">
        <f t="shared" si="8"/>
        <v>271085.18643837248</v>
      </c>
      <c r="I124" s="346">
        <f t="shared" si="9"/>
        <v>0.33892003055369441</v>
      </c>
      <c r="J124" s="345">
        <f>IF(I124&lt;=10%,F124,IF(AND(I124&gt;10%,I124&lt;=20%),E124,IF(AND(I124&gt;20%,I124&lt;=35%),G124,IF(I124&gt;35%,D124))))</f>
        <v>558511.47606830788</v>
      </c>
      <c r="K124" s="344" t="str">
        <f t="shared" si="11"/>
        <v>Media Geométrica</v>
      </c>
      <c r="L124" s="326">
        <f>IFERROR(COUNTA('LP Reactivos'!F124,'LP Reactivos'!I124,'LP Reactivos'!N124,'LP Reactivos'!S124,'LP Reactivos'!X124,'LP Reactivos'!AC124,'LP Reactivos'!AH124,'LP Reactivos'!AM124,'LP Reactivos'!AR124,'LP Reactivos'!AW124,'LP Reactivos'!BB124,'LP Reactivos'!BG124,'LP Reactivos'!BL124,'LP Reactivos'!BQ124,'LP Reactivos'!BV124,'LP Reactivos'!CA124,'LP Reactivos'!CF124,'LP Reactivos'!CK124,'LP Reactivos'!CP124,'LP Reactivos'!CU124,'LP Reactivos'!CZ124,'LP Reactivos'!DE124,'LP Reactivos'!DJ124,'LP Reactivos'!DO124,'LP Reactivos'!DT124,'LP Reactivos'!DY124,'LP Reactivos'!EB124)," ")</f>
        <v>2</v>
      </c>
    </row>
    <row r="125" spans="2:12" x14ac:dyDescent="0.25">
      <c r="B125" s="425">
        <v>123</v>
      </c>
      <c r="C125" s="427" t="s">
        <v>1040</v>
      </c>
      <c r="D125" s="429">
        <f>IFERROR(MIN('LP Reactivos'!F125,'LP Reactivos'!I125,'LP Reactivos'!N125,'LP Reactivos'!S125,'LP Reactivos'!X125,'LP Reactivos'!AC125,'LP Reactivos'!AH125,'LP Reactivos'!AM125,'LP Reactivos'!AR125,'LP Reactivos'!AW125,'LP Reactivos'!BB125,'LP Reactivos'!BG125,'LP Reactivos'!BL125,'LP Reactivos'!BQ125,'LP Reactivos'!BV125,'LP Reactivos'!CA125,'LP Reactivos'!CF125,'LP Reactivos'!CK125,'LP Reactivos'!CP125,'LP Reactivos'!CU125,'LP Reactivos'!CZ125,'LP Reactivos'!DE125,'LP Reactivos'!DJ125,'LP Reactivos'!DO125,'LP Reactivos'!DT125,'LP Reactivos'!DY125,'LP Reactivos'!EB125)," ")</f>
        <v>2281</v>
      </c>
      <c r="E125" s="429">
        <f>IFERROR(AVERAGE('LP Reactivos'!F125,'LP Reactivos'!I125,'LP Reactivos'!N125,'LP Reactivos'!S125,'LP Reactivos'!X125,'LP Reactivos'!AC125,'LP Reactivos'!AH125,'LP Reactivos'!AM125,'LP Reactivos'!AR125,'LP Reactivos'!AW125,'LP Reactivos'!BB125,'LP Reactivos'!BG125,'LP Reactivos'!BL125,'LP Reactivos'!BQ125,'LP Reactivos'!BV125,'LP Reactivos'!CA125,'LP Reactivos'!CF125,'LP Reactivos'!CK125,'LP Reactivos'!CP125,'LP Reactivos'!CU125,'LP Reactivos'!CZ125,'LP Reactivos'!DE125,'LP Reactivos'!DJ125,'LP Reactivos'!DO125,'LP Reactivos'!DT125,'LP Reactivos'!DY125,'LP Reactivos'!EB125)," ")</f>
        <v>2281</v>
      </c>
      <c r="F125" s="345">
        <f>IFERROR(MEDIAN('LP Reactivos'!F125,'LP Reactivos'!I125,'LP Reactivos'!N125,'LP Reactivos'!S125,'LP Reactivos'!X125,'LP Reactivos'!AC125,'LP Reactivos'!AH125,'LP Reactivos'!AM125,'LP Reactivos'!AR125,'LP Reactivos'!AW125,'LP Reactivos'!BB125,'LP Reactivos'!BG125,'LP Reactivos'!BL125,'LP Reactivos'!BQ125,'LP Reactivos'!BV125,'LP Reactivos'!CA125,'LP Reactivos'!CF125,'LP Reactivos'!CK125,'LP Reactivos'!CP125,'LP Reactivos'!CU125,'LP Reactivos'!CZ125,'LP Reactivos'!DE125,'LP Reactivos'!DJ125,'LP Reactivos'!DO125,'LP Reactivos'!DT125,'LP Reactivos'!DY125,'LP Reactivos'!EB125)," ")</f>
        <v>2281</v>
      </c>
      <c r="G125" s="345">
        <f>IFERROR(GEOMEAN('LP Reactivos'!F125,'LP Reactivos'!I125,'LP Reactivos'!N125,'LP Reactivos'!S125,'LP Reactivos'!X125,'LP Reactivos'!AC125,'LP Reactivos'!AH125,'LP Reactivos'!AM125,'LP Reactivos'!AR125,'LP Reactivos'!AW125,'LP Reactivos'!BB125,'LP Reactivos'!BG125,'LP Reactivos'!BL125,'LP Reactivos'!BQ125,'LP Reactivos'!BV125,'LP Reactivos'!CA125,'LP Reactivos'!CF125,'LP Reactivos'!CK125,'LP Reactivos'!CP125,'LP Reactivos'!CU125,'LP Reactivos'!CZ125,'LP Reactivos'!DE125,'LP Reactivos'!DJ125,'LP Reactivos'!DO125,'LP Reactivos'!DT125,'LP Reactivos'!DY125,'LP Reactivos'!EB125)," ")</f>
        <v>2281</v>
      </c>
      <c r="H125" s="345">
        <f t="shared" si="8"/>
        <v>0</v>
      </c>
      <c r="I125" s="346">
        <f t="shared" si="9"/>
        <v>0</v>
      </c>
      <c r="J125" s="345">
        <f t="shared" si="10"/>
        <v>2281</v>
      </c>
      <c r="K125" s="344" t="str">
        <f t="shared" si="11"/>
        <v>Menor Valor</v>
      </c>
      <c r="L125" s="326">
        <f>IFERROR(COUNTA('LP Reactivos'!F125,'LP Reactivos'!I125,'LP Reactivos'!N125,'LP Reactivos'!S125,'LP Reactivos'!X125,'LP Reactivos'!AC125,'LP Reactivos'!AH125,'LP Reactivos'!AM125,'LP Reactivos'!AR125,'LP Reactivos'!AW125,'LP Reactivos'!BB125,'LP Reactivos'!BG125,'LP Reactivos'!BL125,'LP Reactivos'!BQ125,'LP Reactivos'!BV125,'LP Reactivos'!CA125,'LP Reactivos'!CF125,'LP Reactivos'!CK125,'LP Reactivos'!CP125,'LP Reactivos'!CU125,'LP Reactivos'!CZ125,'LP Reactivos'!DE125,'LP Reactivos'!DJ125,'LP Reactivos'!DO125,'LP Reactivos'!DT125,'LP Reactivos'!DY125,'LP Reactivos'!EB125)," ")</f>
        <v>1</v>
      </c>
    </row>
    <row r="126" spans="2:12" x14ac:dyDescent="0.25">
      <c r="B126" s="425">
        <v>124</v>
      </c>
      <c r="C126" s="427" t="s">
        <v>1044</v>
      </c>
      <c r="D126" s="429">
        <f>IFERROR(MIN('LP Reactivos'!F126,'LP Reactivos'!I126,'LP Reactivos'!N126,'LP Reactivos'!S126,'LP Reactivos'!X126,'LP Reactivos'!AC126,'LP Reactivos'!AH126,'LP Reactivos'!AM126,'LP Reactivos'!AR126,'LP Reactivos'!AW126,'LP Reactivos'!BB126,'LP Reactivos'!BG126,'LP Reactivos'!BL126,'LP Reactivos'!BQ126,'LP Reactivos'!BV126,'LP Reactivos'!CA126,'LP Reactivos'!CF126,'LP Reactivos'!CK126,'LP Reactivos'!CP126,'LP Reactivos'!CU126,'LP Reactivos'!CZ126,'LP Reactivos'!DE126,'LP Reactivos'!DJ126,'LP Reactivos'!DO126,'LP Reactivos'!DT126,'LP Reactivos'!DY126,'LP Reactivos'!EB126)," ")</f>
        <v>1823729.9780000001</v>
      </c>
      <c r="E126" s="429">
        <f>IFERROR(AVERAGE('LP Reactivos'!F126,'LP Reactivos'!I126,'LP Reactivos'!N126,'LP Reactivos'!S126,'LP Reactivos'!X126,'LP Reactivos'!AC126,'LP Reactivos'!AH126,'LP Reactivos'!AM126,'LP Reactivos'!AR126,'LP Reactivos'!AW126,'LP Reactivos'!BB126,'LP Reactivos'!BG126,'LP Reactivos'!BL126,'LP Reactivos'!BQ126,'LP Reactivos'!BV126,'LP Reactivos'!CA126,'LP Reactivos'!CF126,'LP Reactivos'!CK126,'LP Reactivos'!CP126,'LP Reactivos'!CU126,'LP Reactivos'!CZ126,'LP Reactivos'!DE126,'LP Reactivos'!DJ126,'LP Reactivos'!DO126,'LP Reactivos'!DT126,'LP Reactivos'!DY126,'LP Reactivos'!EB126)," ")</f>
        <v>1823729.9780000001</v>
      </c>
      <c r="F126" s="345">
        <f>IFERROR(MEDIAN('LP Reactivos'!F126,'LP Reactivos'!I126,'LP Reactivos'!N126,'LP Reactivos'!S126,'LP Reactivos'!X126,'LP Reactivos'!AC126,'LP Reactivos'!AH126,'LP Reactivos'!AM126,'LP Reactivos'!AR126,'LP Reactivos'!AW126,'LP Reactivos'!BB126,'LP Reactivos'!BG126,'LP Reactivos'!BL126,'LP Reactivos'!BQ126,'LP Reactivos'!BV126,'LP Reactivos'!CA126,'LP Reactivos'!CF126,'LP Reactivos'!CK126,'LP Reactivos'!CP126,'LP Reactivos'!CU126,'LP Reactivos'!CZ126,'LP Reactivos'!DE126,'LP Reactivos'!DJ126,'LP Reactivos'!DO126,'LP Reactivos'!DT126,'LP Reactivos'!DY126,'LP Reactivos'!EB126)," ")</f>
        <v>1823729.9780000001</v>
      </c>
      <c r="G126" s="345">
        <f>IFERROR(GEOMEAN('LP Reactivos'!F126,'LP Reactivos'!I126,'LP Reactivos'!N126,'LP Reactivos'!S126,'LP Reactivos'!X126,'LP Reactivos'!AC126,'LP Reactivos'!AH126,'LP Reactivos'!AM126,'LP Reactivos'!AR126,'LP Reactivos'!AW126,'LP Reactivos'!BB126,'LP Reactivos'!BG126,'LP Reactivos'!BL126,'LP Reactivos'!BQ126,'LP Reactivos'!BV126,'LP Reactivos'!CA126,'LP Reactivos'!CF126,'LP Reactivos'!CK126,'LP Reactivos'!CP126,'LP Reactivos'!CU126,'LP Reactivos'!CZ126,'LP Reactivos'!DE126,'LP Reactivos'!DJ126,'LP Reactivos'!DO126,'LP Reactivos'!DT126,'LP Reactivos'!DY126,'LP Reactivos'!EB126)," ")</f>
        <v>1823729.9780000001</v>
      </c>
      <c r="H126" s="345">
        <f t="shared" si="8"/>
        <v>0</v>
      </c>
      <c r="I126" s="346">
        <f t="shared" si="9"/>
        <v>0</v>
      </c>
      <c r="J126" s="345">
        <f t="shared" si="10"/>
        <v>1823729.9780000001</v>
      </c>
      <c r="K126" s="344" t="str">
        <f t="shared" si="11"/>
        <v>Menor Valor</v>
      </c>
      <c r="L126" s="326">
        <f>IFERROR(COUNTA('LP Reactivos'!F126,'LP Reactivos'!I126,'LP Reactivos'!N126,'LP Reactivos'!S126,'LP Reactivos'!X126,'LP Reactivos'!AC126,'LP Reactivos'!AH126,'LP Reactivos'!AM126,'LP Reactivos'!AR126,'LP Reactivos'!AW126,'LP Reactivos'!BB126,'LP Reactivos'!BG126,'LP Reactivos'!BL126,'LP Reactivos'!BQ126,'LP Reactivos'!BV126,'LP Reactivos'!CA126,'LP Reactivos'!CF126,'LP Reactivos'!CK126,'LP Reactivos'!CP126,'LP Reactivos'!CU126,'LP Reactivos'!CZ126,'LP Reactivos'!DE126,'LP Reactivos'!DJ126,'LP Reactivos'!DO126,'LP Reactivos'!DT126,'LP Reactivos'!DY126,'LP Reactivos'!EB126)," ")</f>
        <v>1</v>
      </c>
    </row>
    <row r="127" spans="2:12" x14ac:dyDescent="0.25">
      <c r="B127" s="425">
        <v>125</v>
      </c>
      <c r="C127" s="427" t="s">
        <v>1047</v>
      </c>
      <c r="D127" s="429">
        <f>IFERROR(MIN('LP Reactivos'!F127,'LP Reactivos'!I127,'LP Reactivos'!N127,'LP Reactivos'!S127,'LP Reactivos'!X127,'LP Reactivos'!AC127,'LP Reactivos'!AH127,'LP Reactivos'!AM127,'LP Reactivos'!AR127,'LP Reactivos'!AW127,'LP Reactivos'!BB127,'LP Reactivos'!BG127,'LP Reactivos'!BL127,'LP Reactivos'!BQ127,'LP Reactivos'!BV127,'LP Reactivos'!CA127,'LP Reactivos'!CF127,'LP Reactivos'!CK127,'LP Reactivos'!CP127,'LP Reactivos'!CU127,'LP Reactivos'!CZ127,'LP Reactivos'!DE127,'LP Reactivos'!DJ127,'LP Reactivos'!DO127,'LP Reactivos'!DT127,'LP Reactivos'!DY127,'LP Reactivos'!EB127)," ")</f>
        <v>1647767.058</v>
      </c>
      <c r="E127" s="429">
        <f>IFERROR(AVERAGE('LP Reactivos'!F127,'LP Reactivos'!I127,'LP Reactivos'!N127,'LP Reactivos'!S127,'LP Reactivos'!X127,'LP Reactivos'!AC127,'LP Reactivos'!AH127,'LP Reactivos'!AM127,'LP Reactivos'!AR127,'LP Reactivos'!AW127,'LP Reactivos'!BB127,'LP Reactivos'!BG127,'LP Reactivos'!BL127,'LP Reactivos'!BQ127,'LP Reactivos'!BV127,'LP Reactivos'!CA127,'LP Reactivos'!CF127,'LP Reactivos'!CK127,'LP Reactivos'!CP127,'LP Reactivos'!CU127,'LP Reactivos'!CZ127,'LP Reactivos'!DE127,'LP Reactivos'!DJ127,'LP Reactivos'!DO127,'LP Reactivos'!DT127,'LP Reactivos'!DY127,'LP Reactivos'!EB127)," ")</f>
        <v>1647767.058</v>
      </c>
      <c r="F127" s="345">
        <f>IFERROR(MEDIAN('LP Reactivos'!F127,'LP Reactivos'!I127,'LP Reactivos'!N127,'LP Reactivos'!S127,'LP Reactivos'!X127,'LP Reactivos'!AC127,'LP Reactivos'!AH127,'LP Reactivos'!AM127,'LP Reactivos'!AR127,'LP Reactivos'!AW127,'LP Reactivos'!BB127,'LP Reactivos'!BG127,'LP Reactivos'!BL127,'LP Reactivos'!BQ127,'LP Reactivos'!BV127,'LP Reactivos'!CA127,'LP Reactivos'!CF127,'LP Reactivos'!CK127,'LP Reactivos'!CP127,'LP Reactivos'!CU127,'LP Reactivos'!CZ127,'LP Reactivos'!DE127,'LP Reactivos'!DJ127,'LP Reactivos'!DO127,'LP Reactivos'!DT127,'LP Reactivos'!DY127,'LP Reactivos'!EB127)," ")</f>
        <v>1647767.058</v>
      </c>
      <c r="G127" s="345">
        <f>IFERROR(GEOMEAN('LP Reactivos'!F127,'LP Reactivos'!I127,'LP Reactivos'!N127,'LP Reactivos'!S127,'LP Reactivos'!X127,'LP Reactivos'!AC127,'LP Reactivos'!AH127,'LP Reactivos'!AM127,'LP Reactivos'!AR127,'LP Reactivos'!AW127,'LP Reactivos'!BB127,'LP Reactivos'!BG127,'LP Reactivos'!BL127,'LP Reactivos'!BQ127,'LP Reactivos'!BV127,'LP Reactivos'!CA127,'LP Reactivos'!CF127,'LP Reactivos'!CK127,'LP Reactivos'!CP127,'LP Reactivos'!CU127,'LP Reactivos'!CZ127,'LP Reactivos'!DE127,'LP Reactivos'!DJ127,'LP Reactivos'!DO127,'LP Reactivos'!DT127,'LP Reactivos'!DY127,'LP Reactivos'!EB127)," ")</f>
        <v>1647767.058</v>
      </c>
      <c r="H127" s="345">
        <f t="shared" si="8"/>
        <v>0</v>
      </c>
      <c r="I127" s="346">
        <f t="shared" si="9"/>
        <v>0</v>
      </c>
      <c r="J127" s="345">
        <f t="shared" si="10"/>
        <v>1647767.058</v>
      </c>
      <c r="K127" s="344" t="str">
        <f t="shared" si="11"/>
        <v>Menor Valor</v>
      </c>
      <c r="L127" s="326">
        <f>IFERROR(COUNTA('LP Reactivos'!F127,'LP Reactivos'!I127,'LP Reactivos'!N127,'LP Reactivos'!S127,'LP Reactivos'!X127,'LP Reactivos'!AC127,'LP Reactivos'!AH127,'LP Reactivos'!AM127,'LP Reactivos'!AR127,'LP Reactivos'!AW127,'LP Reactivos'!BB127,'LP Reactivos'!BG127,'LP Reactivos'!BL127,'LP Reactivos'!BQ127,'LP Reactivos'!BV127,'LP Reactivos'!CA127,'LP Reactivos'!CF127,'LP Reactivos'!CK127,'LP Reactivos'!CP127,'LP Reactivos'!CU127,'LP Reactivos'!CZ127,'LP Reactivos'!DE127,'LP Reactivos'!DJ127,'LP Reactivos'!DO127,'LP Reactivos'!DT127,'LP Reactivos'!DY127,'LP Reactivos'!EB127)," ")</f>
        <v>1</v>
      </c>
    </row>
    <row r="128" spans="2:12" x14ac:dyDescent="0.25">
      <c r="B128" s="425">
        <v>126</v>
      </c>
      <c r="C128" s="427" t="s">
        <v>1050</v>
      </c>
      <c r="D128" s="429">
        <f>IFERROR(MIN('LP Reactivos'!F128,'LP Reactivos'!I128,'LP Reactivos'!N128,'LP Reactivos'!S128,'LP Reactivos'!X128,'LP Reactivos'!AC128,'LP Reactivos'!AH128,'LP Reactivos'!AM128,'LP Reactivos'!AR128,'LP Reactivos'!AW128,'LP Reactivos'!BB128,'LP Reactivos'!BG128,'LP Reactivos'!BL128,'LP Reactivos'!BQ128,'LP Reactivos'!BV128,'LP Reactivos'!CA128,'LP Reactivos'!CF128,'LP Reactivos'!CK128,'LP Reactivos'!CP128,'LP Reactivos'!CU128,'LP Reactivos'!CZ128,'LP Reactivos'!DE128,'LP Reactivos'!DJ128,'LP Reactivos'!DO128,'LP Reactivos'!DT128,'LP Reactivos'!DY128,'LP Reactivos'!EB128)," ")</f>
        <v>2039912.9939999999</v>
      </c>
      <c r="E128" s="429">
        <f>IFERROR(AVERAGE('LP Reactivos'!F128,'LP Reactivos'!I128,'LP Reactivos'!N128,'LP Reactivos'!S128,'LP Reactivos'!X128,'LP Reactivos'!AC128,'LP Reactivos'!AH128,'LP Reactivos'!AM128,'LP Reactivos'!AR128,'LP Reactivos'!AW128,'LP Reactivos'!BB128,'LP Reactivos'!BG128,'LP Reactivos'!BL128,'LP Reactivos'!BQ128,'LP Reactivos'!BV128,'LP Reactivos'!CA128,'LP Reactivos'!CF128,'LP Reactivos'!CK128,'LP Reactivos'!CP128,'LP Reactivos'!CU128,'LP Reactivos'!CZ128,'LP Reactivos'!DE128,'LP Reactivos'!DJ128,'LP Reactivos'!DO128,'LP Reactivos'!DT128,'LP Reactivos'!DY128,'LP Reactivos'!EB128)," ")</f>
        <v>2039912.9939999999</v>
      </c>
      <c r="F128" s="345">
        <f>IFERROR(MEDIAN('LP Reactivos'!F128,'LP Reactivos'!I128,'LP Reactivos'!N128,'LP Reactivos'!S128,'LP Reactivos'!X128,'LP Reactivos'!AC128,'LP Reactivos'!AH128,'LP Reactivos'!AM128,'LP Reactivos'!AR128,'LP Reactivos'!AW128,'LP Reactivos'!BB128,'LP Reactivos'!BG128,'LP Reactivos'!BL128,'LP Reactivos'!BQ128,'LP Reactivos'!BV128,'LP Reactivos'!CA128,'LP Reactivos'!CF128,'LP Reactivos'!CK128,'LP Reactivos'!CP128,'LP Reactivos'!CU128,'LP Reactivos'!CZ128,'LP Reactivos'!DE128,'LP Reactivos'!DJ128,'LP Reactivos'!DO128,'LP Reactivos'!DT128,'LP Reactivos'!DY128,'LP Reactivos'!EB128)," ")</f>
        <v>2039912.9939999999</v>
      </c>
      <c r="G128" s="345">
        <f>IFERROR(GEOMEAN('LP Reactivos'!F128,'LP Reactivos'!I128,'LP Reactivos'!N128,'LP Reactivos'!S128,'LP Reactivos'!X128,'LP Reactivos'!AC128,'LP Reactivos'!AH128,'LP Reactivos'!AM128,'LP Reactivos'!AR128,'LP Reactivos'!AW128,'LP Reactivos'!BB128,'LP Reactivos'!BG128,'LP Reactivos'!BL128,'LP Reactivos'!BQ128,'LP Reactivos'!BV128,'LP Reactivos'!CA128,'LP Reactivos'!CF128,'LP Reactivos'!CK128,'LP Reactivos'!CP128,'LP Reactivos'!CU128,'LP Reactivos'!CZ128,'LP Reactivos'!DE128,'LP Reactivos'!DJ128,'LP Reactivos'!DO128,'LP Reactivos'!DT128,'LP Reactivos'!DY128,'LP Reactivos'!EB128)," ")</f>
        <v>2039912.9939999999</v>
      </c>
      <c r="H128" s="345">
        <f t="shared" si="8"/>
        <v>0</v>
      </c>
      <c r="I128" s="346">
        <f t="shared" si="9"/>
        <v>0</v>
      </c>
      <c r="J128" s="345">
        <f t="shared" si="10"/>
        <v>2039912.9939999999</v>
      </c>
      <c r="K128" s="344" t="str">
        <f t="shared" si="11"/>
        <v>Menor Valor</v>
      </c>
      <c r="L128" s="326">
        <f>IFERROR(COUNTA('LP Reactivos'!F128,'LP Reactivos'!I128,'LP Reactivos'!N128,'LP Reactivos'!S128,'LP Reactivos'!X128,'LP Reactivos'!AC128,'LP Reactivos'!AH128,'LP Reactivos'!AM128,'LP Reactivos'!AR128,'LP Reactivos'!AW128,'LP Reactivos'!BB128,'LP Reactivos'!BG128,'LP Reactivos'!BL128,'LP Reactivos'!BQ128,'LP Reactivos'!BV128,'LP Reactivos'!CA128,'LP Reactivos'!CF128,'LP Reactivos'!CK128,'LP Reactivos'!CP128,'LP Reactivos'!CU128,'LP Reactivos'!CZ128,'LP Reactivos'!DE128,'LP Reactivos'!DJ128,'LP Reactivos'!DO128,'LP Reactivos'!DT128,'LP Reactivos'!DY128,'LP Reactivos'!EB128)," ")</f>
        <v>1</v>
      </c>
    </row>
    <row r="129" spans="2:12" x14ac:dyDescent="0.25">
      <c r="B129" s="425">
        <v>127</v>
      </c>
      <c r="C129" s="427" t="s">
        <v>1052</v>
      </c>
      <c r="D129" s="429">
        <f>IFERROR(MIN('LP Reactivos'!F129,'LP Reactivos'!I129,'LP Reactivos'!N129,'LP Reactivos'!S129,'LP Reactivos'!X129,'LP Reactivos'!AC129,'LP Reactivos'!AH129,'LP Reactivos'!AM129,'LP Reactivos'!AR129,'LP Reactivos'!AW129,'LP Reactivos'!BB129,'LP Reactivos'!BG129,'LP Reactivos'!BL129,'LP Reactivos'!BQ129,'LP Reactivos'!BV129,'LP Reactivos'!CA129,'LP Reactivos'!CF129,'LP Reactivos'!CK129,'LP Reactivos'!CP129,'LP Reactivos'!CU129,'LP Reactivos'!CZ129,'LP Reactivos'!DE129,'LP Reactivos'!DJ129,'LP Reactivos'!DO129,'LP Reactivos'!DT129,'LP Reactivos'!DY129,'LP Reactivos'!EB129)," ")</f>
        <v>169122.9688</v>
      </c>
      <c r="E129" s="429">
        <f>IFERROR(AVERAGE('LP Reactivos'!F129,'LP Reactivos'!I129,'LP Reactivos'!N129,'LP Reactivos'!S129,'LP Reactivos'!X129,'LP Reactivos'!AC129,'LP Reactivos'!AH129,'LP Reactivos'!AM129,'LP Reactivos'!AR129,'LP Reactivos'!AW129,'LP Reactivos'!BB129,'LP Reactivos'!BG129,'LP Reactivos'!BL129,'LP Reactivos'!BQ129,'LP Reactivos'!BV129,'LP Reactivos'!CA129,'LP Reactivos'!CF129,'LP Reactivos'!CK129,'LP Reactivos'!CP129,'LP Reactivos'!CU129,'LP Reactivos'!CZ129,'LP Reactivos'!DE129,'LP Reactivos'!DJ129,'LP Reactivos'!DO129,'LP Reactivos'!DT129,'LP Reactivos'!DY129,'LP Reactivos'!EB129)," ")</f>
        <v>169122.9688</v>
      </c>
      <c r="F129" s="345">
        <f>IFERROR(MEDIAN('LP Reactivos'!F129,'LP Reactivos'!I129,'LP Reactivos'!N129,'LP Reactivos'!S129,'LP Reactivos'!X129,'LP Reactivos'!AC129,'LP Reactivos'!AH129,'LP Reactivos'!AM129,'LP Reactivos'!AR129,'LP Reactivos'!AW129,'LP Reactivos'!BB129,'LP Reactivos'!BG129,'LP Reactivos'!BL129,'LP Reactivos'!BQ129,'LP Reactivos'!BV129,'LP Reactivos'!CA129,'LP Reactivos'!CF129,'LP Reactivos'!CK129,'LP Reactivos'!CP129,'LP Reactivos'!CU129,'LP Reactivos'!CZ129,'LP Reactivos'!DE129,'LP Reactivos'!DJ129,'LP Reactivos'!DO129,'LP Reactivos'!DT129,'LP Reactivos'!DY129,'LP Reactivos'!EB129)," ")</f>
        <v>169122.9688</v>
      </c>
      <c r="G129" s="345">
        <f>IFERROR(GEOMEAN('LP Reactivos'!F129,'LP Reactivos'!I129,'LP Reactivos'!N129,'LP Reactivos'!S129,'LP Reactivos'!X129,'LP Reactivos'!AC129,'LP Reactivos'!AH129,'LP Reactivos'!AM129,'LP Reactivos'!AR129,'LP Reactivos'!AW129,'LP Reactivos'!BB129,'LP Reactivos'!BG129,'LP Reactivos'!BL129,'LP Reactivos'!BQ129,'LP Reactivos'!BV129,'LP Reactivos'!CA129,'LP Reactivos'!CF129,'LP Reactivos'!CK129,'LP Reactivos'!CP129,'LP Reactivos'!CU129,'LP Reactivos'!CZ129,'LP Reactivos'!DE129,'LP Reactivos'!DJ129,'LP Reactivos'!DO129,'LP Reactivos'!DT129,'LP Reactivos'!DY129,'LP Reactivos'!EB129)," ")</f>
        <v>169122.9688</v>
      </c>
      <c r="H129" s="345">
        <f t="shared" si="8"/>
        <v>0</v>
      </c>
      <c r="I129" s="346">
        <f t="shared" si="9"/>
        <v>0</v>
      </c>
      <c r="J129" s="345">
        <f t="shared" si="10"/>
        <v>169122.9688</v>
      </c>
      <c r="K129" s="344" t="str">
        <f t="shared" si="11"/>
        <v>Menor Valor</v>
      </c>
      <c r="L129" s="326">
        <f>IFERROR(COUNTA('LP Reactivos'!F129,'LP Reactivos'!I129,'LP Reactivos'!N129,'LP Reactivos'!S129,'LP Reactivos'!X129,'LP Reactivos'!AC129,'LP Reactivos'!AH129,'LP Reactivos'!AM129,'LP Reactivos'!AR129,'LP Reactivos'!AW129,'LP Reactivos'!BB129,'LP Reactivos'!BG129,'LP Reactivos'!BL129,'LP Reactivos'!BQ129,'LP Reactivos'!BV129,'LP Reactivos'!CA129,'LP Reactivos'!CF129,'LP Reactivos'!CK129,'LP Reactivos'!CP129,'LP Reactivos'!CU129,'LP Reactivos'!CZ129,'LP Reactivos'!DE129,'LP Reactivos'!DJ129,'LP Reactivos'!DO129,'LP Reactivos'!DT129,'LP Reactivos'!DY129,'LP Reactivos'!EB129)," ")</f>
        <v>1</v>
      </c>
    </row>
    <row r="130" spans="2:12" x14ac:dyDescent="0.25">
      <c r="B130" s="425">
        <v>128</v>
      </c>
      <c r="C130" s="427" t="s">
        <v>1054</v>
      </c>
      <c r="D130" s="429">
        <f>IFERROR(MIN('LP Reactivos'!F130,'LP Reactivos'!I130,'LP Reactivos'!N130,'LP Reactivos'!S130,'LP Reactivos'!X130,'LP Reactivos'!AC130,'LP Reactivos'!AH130,'LP Reactivos'!AM130,'LP Reactivos'!AR130,'LP Reactivos'!AW130,'LP Reactivos'!BB130,'LP Reactivos'!BG130,'LP Reactivos'!BL130,'LP Reactivos'!BQ130,'LP Reactivos'!BV130,'LP Reactivos'!CA130,'LP Reactivos'!CF130,'LP Reactivos'!CK130,'LP Reactivos'!CP130,'LP Reactivos'!CU130,'LP Reactivos'!CZ130,'LP Reactivos'!DE130,'LP Reactivos'!DJ130,'LP Reactivos'!DO130,'LP Reactivos'!DT130,'LP Reactivos'!DY130,'LP Reactivos'!EB130)," ")</f>
        <v>663353.80339999998</v>
      </c>
      <c r="E130" s="429">
        <f>IFERROR(AVERAGE('LP Reactivos'!F130,'LP Reactivos'!I130,'LP Reactivos'!N130,'LP Reactivos'!S130,'LP Reactivos'!X130,'LP Reactivos'!AC130,'LP Reactivos'!AH130,'LP Reactivos'!AM130,'LP Reactivos'!AR130,'LP Reactivos'!AW130,'LP Reactivos'!BB130,'LP Reactivos'!BG130,'LP Reactivos'!BL130,'LP Reactivos'!BQ130,'LP Reactivos'!BV130,'LP Reactivos'!CA130,'LP Reactivos'!CF130,'LP Reactivos'!CK130,'LP Reactivos'!CP130,'LP Reactivos'!CU130,'LP Reactivos'!CZ130,'LP Reactivos'!DE130,'LP Reactivos'!DJ130,'LP Reactivos'!DO130,'LP Reactivos'!DT130,'LP Reactivos'!DY130,'LP Reactivos'!EB130)," ")</f>
        <v>663353.80339999998</v>
      </c>
      <c r="F130" s="345">
        <f>IFERROR(MEDIAN('LP Reactivos'!F130,'LP Reactivos'!I130,'LP Reactivos'!N130,'LP Reactivos'!S130,'LP Reactivos'!X130,'LP Reactivos'!AC130,'LP Reactivos'!AH130,'LP Reactivos'!AM130,'LP Reactivos'!AR130,'LP Reactivos'!AW130,'LP Reactivos'!BB130,'LP Reactivos'!BG130,'LP Reactivos'!BL130,'LP Reactivos'!BQ130,'LP Reactivos'!BV130,'LP Reactivos'!CA130,'LP Reactivos'!CF130,'LP Reactivos'!CK130,'LP Reactivos'!CP130,'LP Reactivos'!CU130,'LP Reactivos'!CZ130,'LP Reactivos'!DE130,'LP Reactivos'!DJ130,'LP Reactivos'!DO130,'LP Reactivos'!DT130,'LP Reactivos'!DY130,'LP Reactivos'!EB130)," ")</f>
        <v>663353.80339999998</v>
      </c>
      <c r="G130" s="345">
        <f>IFERROR(GEOMEAN('LP Reactivos'!F130,'LP Reactivos'!I130,'LP Reactivos'!N130,'LP Reactivos'!S130,'LP Reactivos'!X130,'LP Reactivos'!AC130,'LP Reactivos'!AH130,'LP Reactivos'!AM130,'LP Reactivos'!AR130,'LP Reactivos'!AW130,'LP Reactivos'!BB130,'LP Reactivos'!BG130,'LP Reactivos'!BL130,'LP Reactivos'!BQ130,'LP Reactivos'!BV130,'LP Reactivos'!CA130,'LP Reactivos'!CF130,'LP Reactivos'!CK130,'LP Reactivos'!CP130,'LP Reactivos'!CU130,'LP Reactivos'!CZ130,'LP Reactivos'!DE130,'LP Reactivos'!DJ130,'LP Reactivos'!DO130,'LP Reactivos'!DT130,'LP Reactivos'!DY130,'LP Reactivos'!EB130)," ")</f>
        <v>663353.80339999998</v>
      </c>
      <c r="H130" s="345">
        <f t="shared" si="8"/>
        <v>0</v>
      </c>
      <c r="I130" s="346">
        <f t="shared" si="9"/>
        <v>0</v>
      </c>
      <c r="J130" s="345">
        <f t="shared" si="10"/>
        <v>663353.80339999998</v>
      </c>
      <c r="K130" s="344" t="str">
        <f t="shared" si="11"/>
        <v>Menor Valor</v>
      </c>
      <c r="L130" s="326">
        <f>IFERROR(COUNTA('LP Reactivos'!F130,'LP Reactivos'!I130,'LP Reactivos'!N130,'LP Reactivos'!S130,'LP Reactivos'!X130,'LP Reactivos'!AC130,'LP Reactivos'!AH130,'LP Reactivos'!AM130,'LP Reactivos'!AR130,'LP Reactivos'!AW130,'LP Reactivos'!BB130,'LP Reactivos'!BG130,'LP Reactivos'!BL130,'LP Reactivos'!BQ130,'LP Reactivos'!BV130,'LP Reactivos'!CA130,'LP Reactivos'!CF130,'LP Reactivos'!CK130,'LP Reactivos'!CP130,'LP Reactivos'!CU130,'LP Reactivos'!CZ130,'LP Reactivos'!DE130,'LP Reactivos'!DJ130,'LP Reactivos'!DO130,'LP Reactivos'!DT130,'LP Reactivos'!DY130,'LP Reactivos'!EB130)," ")</f>
        <v>1</v>
      </c>
    </row>
    <row r="131" spans="2:12" ht="52.5" customHeight="1" x14ac:dyDescent="0.25">
      <c r="B131" s="425">
        <v>129</v>
      </c>
      <c r="C131" s="427" t="s">
        <v>1056</v>
      </c>
      <c r="D131" s="429">
        <f>IFERROR(MIN('LP Reactivos'!F131,'LP Reactivos'!I131,'LP Reactivos'!N131,'LP Reactivos'!S131,'LP Reactivos'!X131,'LP Reactivos'!AC131,'LP Reactivos'!AH131,'LP Reactivos'!AM131,'LP Reactivos'!AR131,'LP Reactivos'!AW131,'LP Reactivos'!BB131,'LP Reactivos'!BG131,'LP Reactivos'!BL131,'LP Reactivos'!BQ131,'LP Reactivos'!BV131,'LP Reactivos'!CA131,'LP Reactivos'!CF131,'LP Reactivos'!CK131,'LP Reactivos'!CP131,'LP Reactivos'!CU131,'LP Reactivos'!CZ131,'LP Reactivos'!DE131,'LP Reactivos'!DJ131,'LP Reactivos'!DO131,'LP Reactivos'!DT131,'LP Reactivos'!DY131,'LP Reactivos'!EB131)," ")</f>
        <v>2719150</v>
      </c>
      <c r="E131" s="429">
        <f>IFERROR(AVERAGE('LP Reactivos'!F131,'LP Reactivos'!I131,'LP Reactivos'!N131,'LP Reactivos'!S131,'LP Reactivos'!X131,'LP Reactivos'!AC131,'LP Reactivos'!AH131,'LP Reactivos'!AM131,'LP Reactivos'!AR131,'LP Reactivos'!AW131,'LP Reactivos'!BB131,'LP Reactivos'!BG131,'LP Reactivos'!BL131,'LP Reactivos'!BQ131,'LP Reactivos'!BV131,'LP Reactivos'!CA131,'LP Reactivos'!CF131,'LP Reactivos'!CK131,'LP Reactivos'!CP131,'LP Reactivos'!CU131,'LP Reactivos'!CZ131,'LP Reactivos'!DE131,'LP Reactivos'!DJ131,'LP Reactivos'!DO131,'LP Reactivos'!DT131,'LP Reactivos'!DY131,'LP Reactivos'!EB131)," ")</f>
        <v>3511860.0269999998</v>
      </c>
      <c r="F131" s="345">
        <f>IFERROR(MEDIAN('LP Reactivos'!F131,'LP Reactivos'!I131,'LP Reactivos'!N131,'LP Reactivos'!S131,'LP Reactivos'!X131,'LP Reactivos'!AC131,'LP Reactivos'!AH131,'LP Reactivos'!AM131,'LP Reactivos'!AR131,'LP Reactivos'!AW131,'LP Reactivos'!BB131,'LP Reactivos'!BG131,'LP Reactivos'!BL131,'LP Reactivos'!BQ131,'LP Reactivos'!BV131,'LP Reactivos'!CA131,'LP Reactivos'!CF131,'LP Reactivos'!CK131,'LP Reactivos'!CP131,'LP Reactivos'!CU131,'LP Reactivos'!CZ131,'LP Reactivos'!DE131,'LP Reactivos'!DJ131,'LP Reactivos'!DO131,'LP Reactivos'!DT131,'LP Reactivos'!DY131,'LP Reactivos'!EB131)," ")</f>
        <v>3182995.054</v>
      </c>
      <c r="G131" s="345">
        <f>IFERROR(GEOMEAN('LP Reactivos'!F131,'LP Reactivos'!I131,'LP Reactivos'!N131,'LP Reactivos'!S131,'LP Reactivos'!X131,'LP Reactivos'!AC131,'LP Reactivos'!AH131,'LP Reactivos'!AM131,'LP Reactivos'!AR131,'LP Reactivos'!AW131,'LP Reactivos'!BB131,'LP Reactivos'!BG131,'LP Reactivos'!BL131,'LP Reactivos'!BQ131,'LP Reactivos'!BV131,'LP Reactivos'!CA131,'LP Reactivos'!CF131,'LP Reactivos'!CK131,'LP Reactivos'!CP131,'LP Reactivos'!CU131,'LP Reactivos'!CZ131,'LP Reactivos'!DE131,'LP Reactivos'!DJ131,'LP Reactivos'!DO131,'LP Reactivos'!DT131,'LP Reactivos'!DY131,'LP Reactivos'!EB131)," ")</f>
        <v>3410776.7335740784</v>
      </c>
      <c r="H131" s="345">
        <f t="shared" si="8"/>
        <v>352626.272400713</v>
      </c>
      <c r="I131" s="346">
        <f t="shared" si="9"/>
        <v>0.10041011591852747</v>
      </c>
      <c r="J131" s="345">
        <f t="shared" si="10"/>
        <v>3511860.0269999998</v>
      </c>
      <c r="K131" s="344" t="str">
        <f t="shared" si="11"/>
        <v>Promedio</v>
      </c>
      <c r="L131" s="326">
        <f>IFERROR(COUNTA('LP Reactivos'!F131,'LP Reactivos'!I131,'LP Reactivos'!N131,'LP Reactivos'!S131,'LP Reactivos'!X131,'LP Reactivos'!AC131,'LP Reactivos'!AH131,'LP Reactivos'!AM131,'LP Reactivos'!AR131,'LP Reactivos'!AW131,'LP Reactivos'!BB131,'LP Reactivos'!BG131,'LP Reactivos'!BL131,'LP Reactivos'!BQ131,'LP Reactivos'!BV131,'LP Reactivos'!CA131,'LP Reactivos'!CF131,'LP Reactivos'!CK131,'LP Reactivos'!CP131,'LP Reactivos'!CU131,'LP Reactivos'!CZ131,'LP Reactivos'!DE131,'LP Reactivos'!DJ131,'LP Reactivos'!DO131,'LP Reactivos'!DT131,'LP Reactivos'!DY131,'LP Reactivos'!EB131)," ")</f>
        <v>4</v>
      </c>
    </row>
    <row r="132" spans="2:12" x14ac:dyDescent="0.25">
      <c r="B132" s="425">
        <v>130</v>
      </c>
      <c r="C132" s="427" t="s">
        <v>1060</v>
      </c>
      <c r="D132" s="429">
        <f>IFERROR(MIN('LP Reactivos'!F132,'LP Reactivos'!I132,'LP Reactivos'!N132,'LP Reactivos'!S132,'LP Reactivos'!X132,'LP Reactivos'!AC132,'LP Reactivos'!AH132,'LP Reactivos'!AM132,'LP Reactivos'!AR132,'LP Reactivos'!AW132,'LP Reactivos'!BB132,'LP Reactivos'!BG132,'LP Reactivos'!BL132,'LP Reactivos'!BQ132,'LP Reactivos'!BV132,'LP Reactivos'!CA132,'LP Reactivos'!CF132,'LP Reactivos'!CK132,'LP Reactivos'!CP132,'LP Reactivos'!CU132,'LP Reactivos'!CZ132,'LP Reactivos'!DE132,'LP Reactivos'!DJ132,'LP Reactivos'!DO132,'LP Reactivos'!DT132,'LP Reactivos'!DY132,'LP Reactivos'!EB132)," ")</f>
        <v>545020</v>
      </c>
      <c r="E132" s="429">
        <f>IFERROR(AVERAGE('LP Reactivos'!F132,'LP Reactivos'!I132,'LP Reactivos'!N132,'LP Reactivos'!S132,'LP Reactivos'!X132,'LP Reactivos'!AC132,'LP Reactivos'!AH132,'LP Reactivos'!AM132,'LP Reactivos'!AR132,'LP Reactivos'!AW132,'LP Reactivos'!BB132,'LP Reactivos'!BG132,'LP Reactivos'!BL132,'LP Reactivos'!BQ132,'LP Reactivos'!BV132,'LP Reactivos'!CA132,'LP Reactivos'!CF132,'LP Reactivos'!CK132,'LP Reactivos'!CP132,'LP Reactivos'!CU132,'LP Reactivos'!CZ132,'LP Reactivos'!DE132,'LP Reactivos'!DJ132,'LP Reactivos'!DO132,'LP Reactivos'!DT132,'LP Reactivos'!DY132,'LP Reactivos'!EB132)," ")</f>
        <v>626419</v>
      </c>
      <c r="F132" s="345">
        <f>IFERROR(MEDIAN('LP Reactivos'!F132,'LP Reactivos'!I132,'LP Reactivos'!N132,'LP Reactivos'!S132,'LP Reactivos'!X132,'LP Reactivos'!AC132,'LP Reactivos'!AH132,'LP Reactivos'!AM132,'LP Reactivos'!AR132,'LP Reactivos'!AW132,'LP Reactivos'!BB132,'LP Reactivos'!BG132,'LP Reactivos'!BL132,'LP Reactivos'!BQ132,'LP Reactivos'!BV132,'LP Reactivos'!CA132,'LP Reactivos'!CF132,'LP Reactivos'!CK132,'LP Reactivos'!CP132,'LP Reactivos'!CU132,'LP Reactivos'!CZ132,'LP Reactivos'!DE132,'LP Reactivos'!DJ132,'LP Reactivos'!DO132,'LP Reactivos'!DT132,'LP Reactivos'!DY132,'LP Reactivos'!EB132)," ")</f>
        <v>626419</v>
      </c>
      <c r="G132" s="345">
        <f>IFERROR(GEOMEAN('LP Reactivos'!F132,'LP Reactivos'!I132,'LP Reactivos'!N132,'LP Reactivos'!S132,'LP Reactivos'!X132,'LP Reactivos'!AC132,'LP Reactivos'!AH132,'LP Reactivos'!AM132,'LP Reactivos'!AR132,'LP Reactivos'!AW132,'LP Reactivos'!BB132,'LP Reactivos'!BG132,'LP Reactivos'!BL132,'LP Reactivos'!BQ132,'LP Reactivos'!BV132,'LP Reactivos'!CA132,'LP Reactivos'!CF132,'LP Reactivos'!CK132,'LP Reactivos'!CP132,'LP Reactivos'!CU132,'LP Reactivos'!CZ132,'LP Reactivos'!DE132,'LP Reactivos'!DJ132,'LP Reactivos'!DO132,'LP Reactivos'!DT132,'LP Reactivos'!DY132,'LP Reactivos'!EB132)," ")</f>
        <v>621107.85404791008</v>
      </c>
      <c r="H132" s="345">
        <f t="shared" si="8"/>
        <v>39892.953093523582</v>
      </c>
      <c r="I132" s="346">
        <f t="shared" si="9"/>
        <v>6.3684136486159559E-2</v>
      </c>
      <c r="J132" s="345">
        <f t="shared" si="10"/>
        <v>626419</v>
      </c>
      <c r="K132" s="344" t="str">
        <f t="shared" si="11"/>
        <v>Promedio</v>
      </c>
      <c r="L132" s="326">
        <f>IFERROR(COUNTA('LP Reactivos'!F132,'LP Reactivos'!I132,'LP Reactivos'!N132,'LP Reactivos'!S132,'LP Reactivos'!X132,'LP Reactivos'!AC132,'LP Reactivos'!AH132,'LP Reactivos'!AM132,'LP Reactivos'!AR132,'LP Reactivos'!AW132,'LP Reactivos'!BB132,'LP Reactivos'!BG132,'LP Reactivos'!BL132,'LP Reactivos'!BQ132,'LP Reactivos'!BV132,'LP Reactivos'!CA132,'LP Reactivos'!CF132,'LP Reactivos'!CK132,'LP Reactivos'!CP132,'LP Reactivos'!CU132,'LP Reactivos'!CZ132,'LP Reactivos'!DE132,'LP Reactivos'!DJ132,'LP Reactivos'!DO132,'LP Reactivos'!DT132,'LP Reactivos'!DY132,'LP Reactivos'!EB132)," ")</f>
        <v>2</v>
      </c>
    </row>
    <row r="133" spans="2:12" x14ac:dyDescent="0.25">
      <c r="B133" s="425">
        <v>131</v>
      </c>
      <c r="C133" s="426" t="s">
        <v>1063</v>
      </c>
      <c r="D133" s="429">
        <f>IFERROR(MIN('LP Reactivos'!F133,'LP Reactivos'!I133,'LP Reactivos'!N133,'LP Reactivos'!S133,'LP Reactivos'!X133,'LP Reactivos'!AC133,'LP Reactivos'!AH133,'LP Reactivos'!AM133,'LP Reactivos'!AR133,'LP Reactivos'!AW133,'LP Reactivos'!BB133,'LP Reactivos'!BG133,'LP Reactivos'!BL133,'LP Reactivos'!BQ133,'LP Reactivos'!BV133,'LP Reactivos'!CA133,'LP Reactivos'!CF133,'LP Reactivos'!CK133,'LP Reactivos'!CP133,'LP Reactivos'!CU133,'LP Reactivos'!CZ133,'LP Reactivos'!DE133,'LP Reactivos'!DJ133,'LP Reactivos'!DO133,'LP Reactivos'!DT133,'LP Reactivos'!DY133,'LP Reactivos'!EB133)," ")</f>
        <v>567630</v>
      </c>
      <c r="E133" s="429">
        <f>IFERROR(AVERAGE('LP Reactivos'!F133,'LP Reactivos'!I133,'LP Reactivos'!N133,'LP Reactivos'!S133,'LP Reactivos'!X133,'LP Reactivos'!AC133,'LP Reactivos'!AH133,'LP Reactivos'!AM133,'LP Reactivos'!AR133,'LP Reactivos'!AW133,'LP Reactivos'!BB133,'LP Reactivos'!BG133,'LP Reactivos'!BL133,'LP Reactivos'!BQ133,'LP Reactivos'!BV133,'LP Reactivos'!CA133,'LP Reactivos'!CF133,'LP Reactivos'!CK133,'LP Reactivos'!CP133,'LP Reactivos'!CU133,'LP Reactivos'!CZ133,'LP Reactivos'!DE133,'LP Reactivos'!DJ133,'LP Reactivos'!DO133,'LP Reactivos'!DT133,'LP Reactivos'!DY133,'LP Reactivos'!EB133)," ")</f>
        <v>734018.66666666663</v>
      </c>
      <c r="F133" s="345">
        <f>IFERROR(MEDIAN('LP Reactivos'!F133,'LP Reactivos'!I133,'LP Reactivos'!N133,'LP Reactivos'!S133,'LP Reactivos'!X133,'LP Reactivos'!AC133,'LP Reactivos'!AH133,'LP Reactivos'!AM133,'LP Reactivos'!AR133,'LP Reactivos'!AW133,'LP Reactivos'!BB133,'LP Reactivos'!BG133,'LP Reactivos'!BL133,'LP Reactivos'!BQ133,'LP Reactivos'!BV133,'LP Reactivos'!CA133,'LP Reactivos'!CF133,'LP Reactivos'!CK133,'LP Reactivos'!CP133,'LP Reactivos'!CU133,'LP Reactivos'!CZ133,'LP Reactivos'!DE133,'LP Reactivos'!DJ133,'LP Reactivos'!DO133,'LP Reactivos'!DT133,'LP Reactivos'!DY133,'LP Reactivos'!EB133)," ")</f>
        <v>597936</v>
      </c>
      <c r="G133" s="345">
        <f>IFERROR(GEOMEAN('LP Reactivos'!F133,'LP Reactivos'!I133,'LP Reactivos'!N133,'LP Reactivos'!S133,'LP Reactivos'!X133,'LP Reactivos'!AC133,'LP Reactivos'!AH133,'LP Reactivos'!AM133,'LP Reactivos'!AR133,'LP Reactivos'!AW133,'LP Reactivos'!BB133,'LP Reactivos'!BG133,'LP Reactivos'!BL133,'LP Reactivos'!BQ133,'LP Reactivos'!BV133,'LP Reactivos'!CA133,'LP Reactivos'!CF133,'LP Reactivos'!CK133,'LP Reactivos'!CP133,'LP Reactivos'!CU133,'LP Reactivos'!CZ133,'LP Reactivos'!DE133,'LP Reactivos'!DJ133,'LP Reactivos'!DO133,'LP Reactivos'!DT133,'LP Reactivos'!DY133,'LP Reactivos'!EB133)," ")</f>
        <v>705930.13165404426</v>
      </c>
      <c r="H133" s="345">
        <f t="shared" si="8"/>
        <v>80983.927872868313</v>
      </c>
      <c r="I133" s="346">
        <f t="shared" si="9"/>
        <v>0.11032952096522747</v>
      </c>
      <c r="J133" s="345">
        <f t="shared" si="10"/>
        <v>734018.66666666663</v>
      </c>
      <c r="K133" s="344" t="str">
        <f t="shared" si="11"/>
        <v>Promedio</v>
      </c>
      <c r="L133" s="326">
        <f>IFERROR(COUNTA('LP Reactivos'!F133,'LP Reactivos'!I133,'LP Reactivos'!N133,'LP Reactivos'!S133,'LP Reactivos'!X133,'LP Reactivos'!AC133,'LP Reactivos'!AH133,'LP Reactivos'!AM133,'LP Reactivos'!AR133,'LP Reactivos'!AW133,'LP Reactivos'!BB133,'LP Reactivos'!BG133,'LP Reactivos'!BL133,'LP Reactivos'!BQ133,'LP Reactivos'!BV133,'LP Reactivos'!CA133,'LP Reactivos'!CF133,'LP Reactivos'!CK133,'LP Reactivos'!CP133,'LP Reactivos'!CU133,'LP Reactivos'!CZ133,'LP Reactivos'!DE133,'LP Reactivos'!DJ133,'LP Reactivos'!DO133,'LP Reactivos'!DT133,'LP Reactivos'!DY133,'LP Reactivos'!EB133)," ")</f>
        <v>3</v>
      </c>
    </row>
    <row r="134" spans="2:12" ht="27" x14ac:dyDescent="0.25">
      <c r="B134" s="425">
        <v>132</v>
      </c>
      <c r="C134" s="427" t="s">
        <v>1066</v>
      </c>
      <c r="D134" s="429">
        <f>IFERROR(MIN('LP Reactivos'!F134,'LP Reactivos'!I134,'LP Reactivos'!N134,'LP Reactivos'!S134,'LP Reactivos'!X134,'LP Reactivos'!AC134,'LP Reactivos'!AH134,'LP Reactivos'!AM134,'LP Reactivos'!AR134,'LP Reactivos'!AW134,'LP Reactivos'!BB134,'LP Reactivos'!BG134,'LP Reactivos'!BL134,'LP Reactivos'!BQ134,'LP Reactivos'!BV134,'LP Reactivos'!CA134,'LP Reactivos'!CF134,'LP Reactivos'!CK134,'LP Reactivos'!CP134,'LP Reactivos'!CU134,'LP Reactivos'!CZ134,'LP Reactivos'!DE134,'LP Reactivos'!DJ134,'LP Reactivos'!DO134,'LP Reactivos'!DT134,'LP Reactivos'!DY134,'LP Reactivos'!EB134)," ")</f>
        <v>105136.5</v>
      </c>
      <c r="E134" s="429">
        <f>IFERROR(AVERAGE('LP Reactivos'!F134,'LP Reactivos'!I134,'LP Reactivos'!N134,'LP Reactivos'!S134,'LP Reactivos'!X134,'LP Reactivos'!AC134,'LP Reactivos'!AH134,'LP Reactivos'!AM134,'LP Reactivos'!AR134,'LP Reactivos'!AW134,'LP Reactivos'!BB134,'LP Reactivos'!BG134,'LP Reactivos'!BL134,'LP Reactivos'!BQ134,'LP Reactivos'!BV134,'LP Reactivos'!CA134,'LP Reactivos'!CF134,'LP Reactivos'!CK134,'LP Reactivos'!CP134,'LP Reactivos'!CU134,'LP Reactivos'!CZ134,'LP Reactivos'!DE134,'LP Reactivos'!DJ134,'LP Reactivos'!DO134,'LP Reactivos'!DT134,'LP Reactivos'!DY134,'LP Reactivos'!EB134)," ")</f>
        <v>154391.1</v>
      </c>
      <c r="F134" s="345">
        <f>IFERROR(MEDIAN('LP Reactivos'!F134,'LP Reactivos'!I134,'LP Reactivos'!N134,'LP Reactivos'!S134,'LP Reactivos'!X134,'LP Reactivos'!AC134,'LP Reactivos'!AH134,'LP Reactivos'!AM134,'LP Reactivos'!AR134,'LP Reactivos'!AW134,'LP Reactivos'!BB134,'LP Reactivos'!BG134,'LP Reactivos'!BL134,'LP Reactivos'!BQ134,'LP Reactivos'!BV134,'LP Reactivos'!CA134,'LP Reactivos'!CF134,'LP Reactivos'!CK134,'LP Reactivos'!CP134,'LP Reactivos'!CU134,'LP Reactivos'!CZ134,'LP Reactivos'!DE134,'LP Reactivos'!DJ134,'LP Reactivos'!DO134,'LP Reactivos'!DT134,'LP Reactivos'!DY134,'LP Reactivos'!EB134)," ")</f>
        <v>133699</v>
      </c>
      <c r="G134" s="345">
        <f>IFERROR(GEOMEAN('LP Reactivos'!F134,'LP Reactivos'!I134,'LP Reactivos'!N134,'LP Reactivos'!S134,'LP Reactivos'!X134,'LP Reactivos'!AC134,'LP Reactivos'!AH134,'LP Reactivos'!AM134,'LP Reactivos'!AR134,'LP Reactivos'!AW134,'LP Reactivos'!BB134,'LP Reactivos'!BG134,'LP Reactivos'!BL134,'LP Reactivos'!BQ134,'LP Reactivos'!BV134,'LP Reactivos'!CA134,'LP Reactivos'!CF134,'LP Reactivos'!CK134,'LP Reactivos'!CP134,'LP Reactivos'!CU134,'LP Reactivos'!CZ134,'LP Reactivos'!DE134,'LP Reactivos'!DJ134,'LP Reactivos'!DO134,'LP Reactivos'!DT134,'LP Reactivos'!DY134,'LP Reactivos'!EB134)," ")</f>
        <v>148670.14250010182</v>
      </c>
      <c r="H134" s="345">
        <f t="shared" si="8"/>
        <v>22026.570170328243</v>
      </c>
      <c r="I134" s="346">
        <f t="shared" si="9"/>
        <v>0.14266735692878826</v>
      </c>
      <c r="J134" s="345">
        <f t="shared" si="10"/>
        <v>154391.1</v>
      </c>
      <c r="K134" s="344" t="str">
        <f t="shared" si="11"/>
        <v>Promedio</v>
      </c>
      <c r="L134" s="326">
        <f>IFERROR(COUNTA('LP Reactivos'!F134,'LP Reactivos'!I134,'LP Reactivos'!N134,'LP Reactivos'!S134,'LP Reactivos'!X134,'LP Reactivos'!AC134,'LP Reactivos'!AH134,'LP Reactivos'!AM134,'LP Reactivos'!AR134,'LP Reactivos'!AW134,'LP Reactivos'!BB134,'LP Reactivos'!BG134,'LP Reactivos'!BL134,'LP Reactivos'!BQ134,'LP Reactivos'!BV134,'LP Reactivos'!CA134,'LP Reactivos'!CF134,'LP Reactivos'!CK134,'LP Reactivos'!CP134,'LP Reactivos'!CU134,'LP Reactivos'!CZ134,'LP Reactivos'!DE134,'LP Reactivos'!DJ134,'LP Reactivos'!DO134,'LP Reactivos'!DT134,'LP Reactivos'!DY134,'LP Reactivos'!EB134)," ")</f>
        <v>5</v>
      </c>
    </row>
    <row r="135" spans="2:12" ht="27" x14ac:dyDescent="0.25">
      <c r="B135" s="425">
        <v>133</v>
      </c>
      <c r="C135" s="427" t="s">
        <v>1071</v>
      </c>
      <c r="D135" s="429">
        <f>IFERROR(MIN('LP Reactivos'!F135,'LP Reactivos'!I135,'LP Reactivos'!N135,'LP Reactivos'!S135,'LP Reactivos'!X135,'LP Reactivos'!AC135,'LP Reactivos'!AH135,'LP Reactivos'!AM135,'LP Reactivos'!AR135,'LP Reactivos'!AW135,'LP Reactivos'!BB135,'LP Reactivos'!BG135,'LP Reactivos'!BL135,'LP Reactivos'!BQ135,'LP Reactivos'!BV135,'LP Reactivos'!CA135,'LP Reactivos'!CF135,'LP Reactivos'!CK135,'LP Reactivos'!CP135,'LP Reactivos'!CU135,'LP Reactivos'!CZ135,'LP Reactivos'!DE135,'LP Reactivos'!DJ135,'LP Reactivos'!DO135,'LP Reactivos'!DT135,'LP Reactivos'!DY135,'LP Reactivos'!EB135)," ")</f>
        <v>6479575.7599999998</v>
      </c>
      <c r="E135" s="429">
        <f>IFERROR(AVERAGE('LP Reactivos'!F135,'LP Reactivos'!I135,'LP Reactivos'!N135,'LP Reactivos'!S135,'LP Reactivos'!X135,'LP Reactivos'!AC135,'LP Reactivos'!AH135,'LP Reactivos'!AM135,'LP Reactivos'!AR135,'LP Reactivos'!AW135,'LP Reactivos'!BB135,'LP Reactivos'!BG135,'LP Reactivos'!BL135,'LP Reactivos'!BQ135,'LP Reactivos'!BV135,'LP Reactivos'!CA135,'LP Reactivos'!CF135,'LP Reactivos'!CK135,'LP Reactivos'!CP135,'LP Reactivos'!CU135,'LP Reactivos'!CZ135,'LP Reactivos'!DE135,'LP Reactivos'!DJ135,'LP Reactivos'!DO135,'LP Reactivos'!DT135,'LP Reactivos'!DY135,'LP Reactivos'!EB135)," ")</f>
        <v>6479575.7599999998</v>
      </c>
      <c r="F135" s="345">
        <f>IFERROR(MEDIAN('LP Reactivos'!F135,'LP Reactivos'!I135,'LP Reactivos'!N135,'LP Reactivos'!S135,'LP Reactivos'!X135,'LP Reactivos'!AC135,'LP Reactivos'!AH135,'LP Reactivos'!AM135,'LP Reactivos'!AR135,'LP Reactivos'!AW135,'LP Reactivos'!BB135,'LP Reactivos'!BG135,'LP Reactivos'!BL135,'LP Reactivos'!BQ135,'LP Reactivos'!BV135,'LP Reactivos'!CA135,'LP Reactivos'!CF135,'LP Reactivos'!CK135,'LP Reactivos'!CP135,'LP Reactivos'!CU135,'LP Reactivos'!CZ135,'LP Reactivos'!DE135,'LP Reactivos'!DJ135,'LP Reactivos'!DO135,'LP Reactivos'!DT135,'LP Reactivos'!DY135,'LP Reactivos'!EB135)," ")</f>
        <v>6479575.7599999998</v>
      </c>
      <c r="G135" s="345">
        <f>IFERROR(GEOMEAN('LP Reactivos'!F135,'LP Reactivos'!I135,'LP Reactivos'!N135,'LP Reactivos'!S135,'LP Reactivos'!X135,'LP Reactivos'!AC135,'LP Reactivos'!AH135,'LP Reactivos'!AM135,'LP Reactivos'!AR135,'LP Reactivos'!AW135,'LP Reactivos'!BB135,'LP Reactivos'!BG135,'LP Reactivos'!BL135,'LP Reactivos'!BQ135,'LP Reactivos'!BV135,'LP Reactivos'!CA135,'LP Reactivos'!CF135,'LP Reactivos'!CK135,'LP Reactivos'!CP135,'LP Reactivos'!CU135,'LP Reactivos'!CZ135,'LP Reactivos'!DE135,'LP Reactivos'!DJ135,'LP Reactivos'!DO135,'LP Reactivos'!DT135,'LP Reactivos'!DY135,'LP Reactivos'!EB135)," ")</f>
        <v>6479575.7599999998</v>
      </c>
      <c r="H135" s="345">
        <f t="shared" si="8"/>
        <v>0</v>
      </c>
      <c r="I135" s="346">
        <f t="shared" si="9"/>
        <v>0</v>
      </c>
      <c r="J135" s="345">
        <f t="shared" si="10"/>
        <v>6479575.7599999998</v>
      </c>
      <c r="K135" s="344" t="str">
        <f t="shared" si="11"/>
        <v>Menor Valor</v>
      </c>
      <c r="L135" s="326">
        <f>IFERROR(COUNTA('LP Reactivos'!F135,'LP Reactivos'!I135,'LP Reactivos'!N135,'LP Reactivos'!S135,'LP Reactivos'!X135,'LP Reactivos'!AC135,'LP Reactivos'!AH135,'LP Reactivos'!AM135,'LP Reactivos'!AR135,'LP Reactivos'!AW135,'LP Reactivos'!BB135,'LP Reactivos'!BG135,'LP Reactivos'!BL135,'LP Reactivos'!BQ135,'LP Reactivos'!BV135,'LP Reactivos'!CA135,'LP Reactivos'!CF135,'LP Reactivos'!CK135,'LP Reactivos'!CP135,'LP Reactivos'!CU135,'LP Reactivos'!CZ135,'LP Reactivos'!DE135,'LP Reactivos'!DJ135,'LP Reactivos'!DO135,'LP Reactivos'!DT135,'LP Reactivos'!DY135,'LP Reactivos'!EB135)," ")</f>
        <v>1</v>
      </c>
    </row>
    <row r="136" spans="2:12" x14ac:dyDescent="0.25">
      <c r="B136" s="425">
        <v>134</v>
      </c>
      <c r="C136" s="427" t="s">
        <v>1073</v>
      </c>
      <c r="D136" s="429">
        <f>IFERROR(MIN('LP Reactivos'!F136,'LP Reactivos'!I136,'LP Reactivos'!N136,'LP Reactivos'!S136,'LP Reactivos'!X136,'LP Reactivos'!AC136,'LP Reactivos'!AH136,'LP Reactivos'!AM136,'LP Reactivos'!AR136,'LP Reactivos'!AW136,'LP Reactivos'!BB136,'LP Reactivos'!BG136,'LP Reactivos'!BL136,'LP Reactivos'!BQ136,'LP Reactivos'!BV136,'LP Reactivos'!CA136,'LP Reactivos'!CF136,'LP Reactivos'!CK136,'LP Reactivos'!CP136,'LP Reactivos'!CU136,'LP Reactivos'!CZ136,'LP Reactivos'!DE136,'LP Reactivos'!DJ136,'LP Reactivos'!DO136,'LP Reactivos'!DT136,'LP Reactivos'!DY136,'LP Reactivos'!EB136)," ")</f>
        <v>257712.80000000002</v>
      </c>
      <c r="E136" s="429">
        <f>IFERROR(AVERAGE('LP Reactivos'!F136,'LP Reactivos'!I136,'LP Reactivos'!N136,'LP Reactivos'!S136,'LP Reactivos'!X136,'LP Reactivos'!AC136,'LP Reactivos'!AH136,'LP Reactivos'!AM136,'LP Reactivos'!AR136,'LP Reactivos'!AW136,'LP Reactivos'!BB136,'LP Reactivos'!BG136,'LP Reactivos'!BL136,'LP Reactivos'!BQ136,'LP Reactivos'!BV136,'LP Reactivos'!CA136,'LP Reactivos'!CF136,'LP Reactivos'!CK136,'LP Reactivos'!CP136,'LP Reactivos'!CU136,'LP Reactivos'!CZ136,'LP Reactivos'!DE136,'LP Reactivos'!DJ136,'LP Reactivos'!DO136,'LP Reactivos'!DT136,'LP Reactivos'!DY136,'LP Reactivos'!EB136)," ")</f>
        <v>257712.80000000002</v>
      </c>
      <c r="F136" s="345">
        <f>IFERROR(MEDIAN('LP Reactivos'!F136,'LP Reactivos'!I136,'LP Reactivos'!N136,'LP Reactivos'!S136,'LP Reactivos'!X136,'LP Reactivos'!AC136,'LP Reactivos'!AH136,'LP Reactivos'!AM136,'LP Reactivos'!AR136,'LP Reactivos'!AW136,'LP Reactivos'!BB136,'LP Reactivos'!BG136,'LP Reactivos'!BL136,'LP Reactivos'!BQ136,'LP Reactivos'!BV136,'LP Reactivos'!CA136,'LP Reactivos'!CF136,'LP Reactivos'!CK136,'LP Reactivos'!CP136,'LP Reactivos'!CU136,'LP Reactivos'!CZ136,'LP Reactivos'!DE136,'LP Reactivos'!DJ136,'LP Reactivos'!DO136,'LP Reactivos'!DT136,'LP Reactivos'!DY136,'LP Reactivos'!EB136)," ")</f>
        <v>257712.80000000002</v>
      </c>
      <c r="G136" s="345">
        <f>IFERROR(GEOMEAN('LP Reactivos'!F136,'LP Reactivos'!I136,'LP Reactivos'!N136,'LP Reactivos'!S136,'LP Reactivos'!X136,'LP Reactivos'!AC136,'LP Reactivos'!AH136,'LP Reactivos'!AM136,'LP Reactivos'!AR136,'LP Reactivos'!AW136,'LP Reactivos'!BB136,'LP Reactivos'!BG136,'LP Reactivos'!BL136,'LP Reactivos'!BQ136,'LP Reactivos'!BV136,'LP Reactivos'!CA136,'LP Reactivos'!CF136,'LP Reactivos'!CK136,'LP Reactivos'!CP136,'LP Reactivos'!CU136,'LP Reactivos'!CZ136,'LP Reactivos'!DE136,'LP Reactivos'!DJ136,'LP Reactivos'!DO136,'LP Reactivos'!DT136,'LP Reactivos'!DY136,'LP Reactivos'!EB136)," ")</f>
        <v>257712.80000000002</v>
      </c>
      <c r="H136" s="345">
        <f t="shared" si="8"/>
        <v>0</v>
      </c>
      <c r="I136" s="346">
        <f t="shared" si="9"/>
        <v>0</v>
      </c>
      <c r="J136" s="345">
        <f t="shared" si="10"/>
        <v>257712.80000000002</v>
      </c>
      <c r="K136" s="344" t="str">
        <f t="shared" si="11"/>
        <v>Menor Valor</v>
      </c>
      <c r="L136" s="326">
        <f>IFERROR(COUNTA('LP Reactivos'!F136,'LP Reactivos'!I136,'LP Reactivos'!N136,'LP Reactivos'!S136,'LP Reactivos'!X136,'LP Reactivos'!AC136,'LP Reactivos'!AH136,'LP Reactivos'!AM136,'LP Reactivos'!AR136,'LP Reactivos'!AW136,'LP Reactivos'!BB136,'LP Reactivos'!BG136,'LP Reactivos'!BL136,'LP Reactivos'!BQ136,'LP Reactivos'!BV136,'LP Reactivos'!CA136,'LP Reactivos'!CF136,'LP Reactivos'!CK136,'LP Reactivos'!CP136,'LP Reactivos'!CU136,'LP Reactivos'!CZ136,'LP Reactivos'!DE136,'LP Reactivos'!DJ136,'LP Reactivos'!DO136,'LP Reactivos'!DT136,'LP Reactivos'!DY136,'LP Reactivos'!EB136)," ")</f>
        <v>1</v>
      </c>
    </row>
    <row r="137" spans="2:12" ht="27" customHeight="1" x14ac:dyDescent="0.25">
      <c r="B137" s="425">
        <v>135</v>
      </c>
      <c r="C137" s="427" t="s">
        <v>1076</v>
      </c>
      <c r="D137" s="429">
        <f>IFERROR(MIN('LP Reactivos'!F137,'LP Reactivos'!I137,'LP Reactivos'!N137,'LP Reactivos'!S137,'LP Reactivos'!X137,'LP Reactivos'!AC137,'LP Reactivos'!AH137,'LP Reactivos'!AM137,'LP Reactivos'!AR137,'LP Reactivos'!AW137,'LP Reactivos'!BB137,'LP Reactivos'!BG137,'LP Reactivos'!BL137,'LP Reactivos'!BQ137,'LP Reactivos'!BV137,'LP Reactivos'!CA137,'LP Reactivos'!CF137,'LP Reactivos'!CK137,'LP Reactivos'!CP137,'LP Reactivos'!CU137,'LP Reactivos'!CZ137,'LP Reactivos'!DE137,'LP Reactivos'!DJ137,'LP Reactivos'!DO137,'LP Reactivos'!DT137,'LP Reactivos'!DY137,'LP Reactivos'!EB137)," ")</f>
        <v>1482932</v>
      </c>
      <c r="E137" s="429">
        <f>IFERROR(AVERAGE('LP Reactivos'!F137,'LP Reactivos'!I137,'LP Reactivos'!N137,'LP Reactivos'!S137,'LP Reactivos'!X137,'LP Reactivos'!AC137,'LP Reactivos'!AH137,'LP Reactivos'!AM137,'LP Reactivos'!AR137,'LP Reactivos'!AW137,'LP Reactivos'!BB137,'LP Reactivos'!BG137,'LP Reactivos'!BL137,'LP Reactivos'!BQ137,'LP Reactivos'!BV137,'LP Reactivos'!CA137,'LP Reactivos'!CF137,'LP Reactivos'!CK137,'LP Reactivos'!CP137,'LP Reactivos'!CU137,'LP Reactivos'!CZ137,'LP Reactivos'!DE137,'LP Reactivos'!DJ137,'LP Reactivos'!DO137,'LP Reactivos'!DT137,'LP Reactivos'!DY137,'LP Reactivos'!EB137)," ")</f>
        <v>2115916</v>
      </c>
      <c r="F137" s="345">
        <f>IFERROR(MEDIAN('LP Reactivos'!F137,'LP Reactivos'!I137,'LP Reactivos'!N137,'LP Reactivos'!S137,'LP Reactivos'!X137,'LP Reactivos'!AC137,'LP Reactivos'!AH137,'LP Reactivos'!AM137,'LP Reactivos'!AR137,'LP Reactivos'!AW137,'LP Reactivos'!BB137,'LP Reactivos'!BG137,'LP Reactivos'!BL137,'LP Reactivos'!BQ137,'LP Reactivos'!BV137,'LP Reactivos'!CA137,'LP Reactivos'!CF137,'LP Reactivos'!CK137,'LP Reactivos'!CP137,'LP Reactivos'!CU137,'LP Reactivos'!CZ137,'LP Reactivos'!DE137,'LP Reactivos'!DJ137,'LP Reactivos'!DO137,'LP Reactivos'!DT137,'LP Reactivos'!DY137,'LP Reactivos'!EB137)," ")</f>
        <v>2115916</v>
      </c>
      <c r="G137" s="345">
        <f>IFERROR(GEOMEAN('LP Reactivos'!F137,'LP Reactivos'!I137,'LP Reactivos'!N137,'LP Reactivos'!S137,'LP Reactivos'!X137,'LP Reactivos'!AC137,'LP Reactivos'!AH137,'LP Reactivos'!AM137,'LP Reactivos'!AR137,'LP Reactivos'!AW137,'LP Reactivos'!BB137,'LP Reactivos'!BG137,'LP Reactivos'!BL137,'LP Reactivos'!BQ137,'LP Reactivos'!BV137,'LP Reactivos'!CA137,'LP Reactivos'!CF137,'LP Reactivos'!CK137,'LP Reactivos'!CP137,'LP Reactivos'!CU137,'LP Reactivos'!CZ137,'LP Reactivos'!DE137,'LP Reactivos'!DJ137,'LP Reactivos'!DO137,'LP Reactivos'!DT137,'LP Reactivos'!DY137,'LP Reactivos'!EB137)," ")</f>
        <v>2019017.5271156018</v>
      </c>
      <c r="H137" s="345">
        <f t="shared" si="8"/>
        <v>303795.95797583571</v>
      </c>
      <c r="I137" s="346">
        <f t="shared" si="9"/>
        <v>0.14357656824554269</v>
      </c>
      <c r="J137" s="345">
        <f t="shared" si="10"/>
        <v>2115916</v>
      </c>
      <c r="K137" s="344" t="str">
        <f t="shared" si="11"/>
        <v>Promedio</v>
      </c>
      <c r="L137" s="326">
        <f>IFERROR(COUNTA('LP Reactivos'!F137,'LP Reactivos'!I137,'LP Reactivos'!N137,'LP Reactivos'!S137,'LP Reactivos'!X137,'LP Reactivos'!AC137,'LP Reactivos'!AH137,'LP Reactivos'!AM137,'LP Reactivos'!AR137,'LP Reactivos'!AW137,'LP Reactivos'!BB137,'LP Reactivos'!BG137,'LP Reactivos'!BL137,'LP Reactivos'!BQ137,'LP Reactivos'!BV137,'LP Reactivos'!CA137,'LP Reactivos'!CF137,'LP Reactivos'!CK137,'LP Reactivos'!CP137,'LP Reactivos'!CU137,'LP Reactivos'!CZ137,'LP Reactivos'!DE137,'LP Reactivos'!DJ137,'LP Reactivos'!DO137,'LP Reactivos'!DT137,'LP Reactivos'!DY137,'LP Reactivos'!EB137)," ")</f>
        <v>2</v>
      </c>
    </row>
    <row r="138" spans="2:12" x14ac:dyDescent="0.25">
      <c r="B138" s="425">
        <v>136</v>
      </c>
      <c r="C138" s="427" t="s">
        <v>1081</v>
      </c>
      <c r="D138" s="429">
        <f>IFERROR(MIN('LP Reactivos'!F138,'LP Reactivos'!I138,'LP Reactivos'!N138,'LP Reactivos'!S138,'LP Reactivos'!X138,'LP Reactivos'!AC138,'LP Reactivos'!AH138,'LP Reactivos'!AM138,'LP Reactivos'!AR138,'LP Reactivos'!AW138,'LP Reactivos'!BB138,'LP Reactivos'!BG138,'LP Reactivos'!BL138,'LP Reactivos'!BQ138,'LP Reactivos'!BV138,'LP Reactivos'!CA138,'LP Reactivos'!CF138,'LP Reactivos'!CK138,'LP Reactivos'!CP138,'LP Reactivos'!CU138,'LP Reactivos'!CZ138,'LP Reactivos'!DE138,'LP Reactivos'!DJ138,'LP Reactivos'!DO138,'LP Reactivos'!DT138,'LP Reactivos'!DY138,'LP Reactivos'!EB138)," ")</f>
        <v>4666788.0140000004</v>
      </c>
      <c r="E138" s="429">
        <f>IFERROR(AVERAGE('LP Reactivos'!F138,'LP Reactivos'!I138,'LP Reactivos'!N138,'LP Reactivos'!S138,'LP Reactivos'!X138,'LP Reactivos'!AC138,'LP Reactivos'!AH138,'LP Reactivos'!AM138,'LP Reactivos'!AR138,'LP Reactivos'!AW138,'LP Reactivos'!BB138,'LP Reactivos'!BG138,'LP Reactivos'!BL138,'LP Reactivos'!BQ138,'LP Reactivos'!BV138,'LP Reactivos'!CA138,'LP Reactivos'!CF138,'LP Reactivos'!CK138,'LP Reactivos'!CP138,'LP Reactivos'!CU138,'LP Reactivos'!CZ138,'LP Reactivos'!DE138,'LP Reactivos'!DJ138,'LP Reactivos'!DO138,'LP Reactivos'!DT138,'LP Reactivos'!DY138,'LP Reactivos'!EB138)," ")</f>
        <v>4666788.0140000004</v>
      </c>
      <c r="F138" s="345">
        <f>IFERROR(MEDIAN('LP Reactivos'!F138,'LP Reactivos'!I138,'LP Reactivos'!N138,'LP Reactivos'!S138,'LP Reactivos'!X138,'LP Reactivos'!AC138,'LP Reactivos'!AH138,'LP Reactivos'!AM138,'LP Reactivos'!AR138,'LP Reactivos'!AW138,'LP Reactivos'!BB138,'LP Reactivos'!BG138,'LP Reactivos'!BL138,'LP Reactivos'!BQ138,'LP Reactivos'!BV138,'LP Reactivos'!CA138,'LP Reactivos'!CF138,'LP Reactivos'!CK138,'LP Reactivos'!CP138,'LP Reactivos'!CU138,'LP Reactivos'!CZ138,'LP Reactivos'!DE138,'LP Reactivos'!DJ138,'LP Reactivos'!DO138,'LP Reactivos'!DT138,'LP Reactivos'!DY138,'LP Reactivos'!EB138)," ")</f>
        <v>4666788.0140000004</v>
      </c>
      <c r="G138" s="345">
        <f>IFERROR(GEOMEAN('LP Reactivos'!F138,'LP Reactivos'!I138,'LP Reactivos'!N138,'LP Reactivos'!S138,'LP Reactivos'!X138,'LP Reactivos'!AC138,'LP Reactivos'!AH138,'LP Reactivos'!AM138,'LP Reactivos'!AR138,'LP Reactivos'!AW138,'LP Reactivos'!BB138,'LP Reactivos'!BG138,'LP Reactivos'!BL138,'LP Reactivos'!BQ138,'LP Reactivos'!BV138,'LP Reactivos'!CA138,'LP Reactivos'!CF138,'LP Reactivos'!CK138,'LP Reactivos'!CP138,'LP Reactivos'!CU138,'LP Reactivos'!CZ138,'LP Reactivos'!DE138,'LP Reactivos'!DJ138,'LP Reactivos'!DO138,'LP Reactivos'!DT138,'LP Reactivos'!DY138,'LP Reactivos'!EB138)," ")</f>
        <v>4666788.0140000004</v>
      </c>
      <c r="H138" s="345">
        <f t="shared" si="8"/>
        <v>0</v>
      </c>
      <c r="I138" s="346">
        <f t="shared" si="9"/>
        <v>0</v>
      </c>
      <c r="J138" s="345">
        <f t="shared" si="10"/>
        <v>4666788.0140000004</v>
      </c>
      <c r="K138" s="344" t="str">
        <f t="shared" si="11"/>
        <v>Menor Valor</v>
      </c>
      <c r="L138" s="326">
        <f>IFERROR(COUNTA('LP Reactivos'!F138,'LP Reactivos'!I138,'LP Reactivos'!N138,'LP Reactivos'!S138,'LP Reactivos'!X138,'LP Reactivos'!AC138,'LP Reactivos'!AH138,'LP Reactivos'!AM138,'LP Reactivos'!AR138,'LP Reactivos'!AW138,'LP Reactivos'!BB138,'LP Reactivos'!BG138,'LP Reactivos'!BL138,'LP Reactivos'!BQ138,'LP Reactivos'!BV138,'LP Reactivos'!CA138,'LP Reactivos'!CF138,'LP Reactivos'!CK138,'LP Reactivos'!CP138,'LP Reactivos'!CU138,'LP Reactivos'!CZ138,'LP Reactivos'!DE138,'LP Reactivos'!DJ138,'LP Reactivos'!DO138,'LP Reactivos'!DT138,'LP Reactivos'!DY138,'LP Reactivos'!EB138)," ")</f>
        <v>1</v>
      </c>
    </row>
    <row r="139" spans="2:12" ht="40.5" x14ac:dyDescent="0.25">
      <c r="B139" s="425">
        <v>137</v>
      </c>
      <c r="C139" s="427" t="s">
        <v>1083</v>
      </c>
      <c r="D139" s="429">
        <f>IFERROR(MIN('LP Reactivos'!F139,'LP Reactivos'!I139,'LP Reactivos'!N139,'LP Reactivos'!S139,'LP Reactivos'!X139,'LP Reactivos'!AC139,'LP Reactivos'!AH139,'LP Reactivos'!AM139,'LP Reactivos'!AR139,'LP Reactivos'!AW139,'LP Reactivos'!BB139,'LP Reactivos'!BG139,'LP Reactivos'!BL139,'LP Reactivos'!BQ139,'LP Reactivos'!BV139,'LP Reactivos'!CA139,'LP Reactivos'!CF139,'LP Reactivos'!CK139,'LP Reactivos'!CP139,'LP Reactivos'!CU139,'LP Reactivos'!CZ139,'LP Reactivos'!DE139,'LP Reactivos'!DJ139,'LP Reactivos'!DO139,'LP Reactivos'!DT139,'LP Reactivos'!DY139,'LP Reactivos'!EB139)," ")</f>
        <v>1489880</v>
      </c>
      <c r="E139" s="429">
        <f>IFERROR(AVERAGE('LP Reactivos'!F139,'LP Reactivos'!I139,'LP Reactivos'!N139,'LP Reactivos'!S139,'LP Reactivos'!X139,'LP Reactivos'!AC139,'LP Reactivos'!AH139,'LP Reactivos'!AM139,'LP Reactivos'!AR139,'LP Reactivos'!AW139,'LP Reactivos'!BB139,'LP Reactivos'!BG139,'LP Reactivos'!BL139,'LP Reactivos'!BQ139,'LP Reactivos'!BV139,'LP Reactivos'!CA139,'LP Reactivos'!CF139,'LP Reactivos'!CK139,'LP Reactivos'!CP139,'LP Reactivos'!CU139,'LP Reactivos'!CZ139,'LP Reactivos'!DE139,'LP Reactivos'!DJ139,'LP Reactivos'!DO139,'LP Reactivos'!DT139,'LP Reactivos'!DY139,'LP Reactivos'!EB139)," ")</f>
        <v>1489880</v>
      </c>
      <c r="F139" s="345">
        <f>IFERROR(MEDIAN('LP Reactivos'!F139,'LP Reactivos'!I139,'LP Reactivos'!N139,'LP Reactivos'!S139,'LP Reactivos'!X139,'LP Reactivos'!AC139,'LP Reactivos'!AH139,'LP Reactivos'!AM139,'LP Reactivos'!AR139,'LP Reactivos'!AW139,'LP Reactivos'!BB139,'LP Reactivos'!BG139,'LP Reactivos'!BL139,'LP Reactivos'!BQ139,'LP Reactivos'!BV139,'LP Reactivos'!CA139,'LP Reactivos'!CF139,'LP Reactivos'!CK139,'LP Reactivos'!CP139,'LP Reactivos'!CU139,'LP Reactivos'!CZ139,'LP Reactivos'!DE139,'LP Reactivos'!DJ139,'LP Reactivos'!DO139,'LP Reactivos'!DT139,'LP Reactivos'!DY139,'LP Reactivos'!EB139)," ")</f>
        <v>1489880</v>
      </c>
      <c r="G139" s="345">
        <f>IFERROR(GEOMEAN('LP Reactivos'!F139,'LP Reactivos'!I139,'LP Reactivos'!N139,'LP Reactivos'!S139,'LP Reactivos'!X139,'LP Reactivos'!AC139,'LP Reactivos'!AH139,'LP Reactivos'!AM139,'LP Reactivos'!AR139,'LP Reactivos'!AW139,'LP Reactivos'!BB139,'LP Reactivos'!BG139,'LP Reactivos'!BL139,'LP Reactivos'!BQ139,'LP Reactivos'!BV139,'LP Reactivos'!CA139,'LP Reactivos'!CF139,'LP Reactivos'!CK139,'LP Reactivos'!CP139,'LP Reactivos'!CU139,'LP Reactivos'!CZ139,'LP Reactivos'!DE139,'LP Reactivos'!DJ139,'LP Reactivos'!DO139,'LP Reactivos'!DT139,'LP Reactivos'!DY139,'LP Reactivos'!EB139)," ")</f>
        <v>1489880</v>
      </c>
      <c r="H139" s="345">
        <f t="shared" si="8"/>
        <v>0</v>
      </c>
      <c r="I139" s="346">
        <f t="shared" si="9"/>
        <v>0</v>
      </c>
      <c r="J139" s="345">
        <f t="shared" si="10"/>
        <v>1489880</v>
      </c>
      <c r="K139" s="344" t="str">
        <f t="shared" si="11"/>
        <v>Menor Valor</v>
      </c>
      <c r="L139" s="326">
        <f>IFERROR(COUNTA('LP Reactivos'!F139,'LP Reactivos'!I139,'LP Reactivos'!N139,'LP Reactivos'!S139,'LP Reactivos'!X139,'LP Reactivos'!AC139,'LP Reactivos'!AH139,'LP Reactivos'!AM139,'LP Reactivos'!AR139,'LP Reactivos'!AW139,'LP Reactivos'!BB139,'LP Reactivos'!BG139,'LP Reactivos'!BL139,'LP Reactivos'!BQ139,'LP Reactivos'!BV139,'LP Reactivos'!CA139,'LP Reactivos'!CF139,'LP Reactivos'!CK139,'LP Reactivos'!CP139,'LP Reactivos'!CU139,'LP Reactivos'!CZ139,'LP Reactivos'!DE139,'LP Reactivos'!DJ139,'LP Reactivos'!DO139,'LP Reactivos'!DT139,'LP Reactivos'!DY139,'LP Reactivos'!EB139)," ")</f>
        <v>1</v>
      </c>
    </row>
    <row r="140" spans="2:12" x14ac:dyDescent="0.25">
      <c r="B140" s="425">
        <v>138</v>
      </c>
      <c r="C140" s="427" t="s">
        <v>1085</v>
      </c>
      <c r="D140" s="429">
        <f>IFERROR(MIN('LP Reactivos'!F140,'LP Reactivos'!I140,'LP Reactivos'!N140,'LP Reactivos'!S140,'LP Reactivos'!X140,'LP Reactivos'!AC140,'LP Reactivos'!AH140,'LP Reactivos'!AM140,'LP Reactivos'!AR140,'LP Reactivos'!AW140,'LP Reactivos'!BB140,'LP Reactivos'!BG140,'LP Reactivos'!BL140,'LP Reactivos'!BQ140,'LP Reactivos'!BV140,'LP Reactivos'!CA140,'LP Reactivos'!CF140,'LP Reactivos'!CK140,'LP Reactivos'!CP140,'LP Reactivos'!CU140,'LP Reactivos'!CZ140,'LP Reactivos'!DE140,'LP Reactivos'!DJ140,'LP Reactivos'!DO140,'LP Reactivos'!DT140,'LP Reactivos'!DY140,'LP Reactivos'!EB140)," ")</f>
        <v>744940</v>
      </c>
      <c r="E140" s="429">
        <f>IFERROR(AVERAGE('LP Reactivos'!F140,'LP Reactivos'!I140,'LP Reactivos'!N140,'LP Reactivos'!S140,'LP Reactivos'!X140,'LP Reactivos'!AC140,'LP Reactivos'!AH140,'LP Reactivos'!AM140,'LP Reactivos'!AR140,'LP Reactivos'!AW140,'LP Reactivos'!BB140,'LP Reactivos'!BG140,'LP Reactivos'!BL140,'LP Reactivos'!BQ140,'LP Reactivos'!BV140,'LP Reactivos'!CA140,'LP Reactivos'!CF140,'LP Reactivos'!CK140,'LP Reactivos'!CP140,'LP Reactivos'!CU140,'LP Reactivos'!CZ140,'LP Reactivos'!DE140,'LP Reactivos'!DJ140,'LP Reactivos'!DO140,'LP Reactivos'!DT140,'LP Reactivos'!DY140,'LP Reactivos'!EB140)," ")</f>
        <v>1068151.973</v>
      </c>
      <c r="F140" s="345">
        <f>IFERROR(MEDIAN('LP Reactivos'!F140,'LP Reactivos'!I140,'LP Reactivos'!N140,'LP Reactivos'!S140,'LP Reactivos'!X140,'LP Reactivos'!AC140,'LP Reactivos'!AH140,'LP Reactivos'!AM140,'LP Reactivos'!AR140,'LP Reactivos'!AW140,'LP Reactivos'!BB140,'LP Reactivos'!BG140,'LP Reactivos'!BL140,'LP Reactivos'!BQ140,'LP Reactivos'!BV140,'LP Reactivos'!CA140,'LP Reactivos'!CF140,'LP Reactivos'!CK140,'LP Reactivos'!CP140,'LP Reactivos'!CU140,'LP Reactivos'!CZ140,'LP Reactivos'!DE140,'LP Reactivos'!DJ140,'LP Reactivos'!DO140,'LP Reactivos'!DT140,'LP Reactivos'!DY140,'LP Reactivos'!EB140)," ")</f>
        <v>1068151.973</v>
      </c>
      <c r="G140" s="345">
        <f>IFERROR(GEOMEAN('LP Reactivos'!F140,'LP Reactivos'!I140,'LP Reactivos'!N140,'LP Reactivos'!S140,'LP Reactivos'!X140,'LP Reactivos'!AC140,'LP Reactivos'!AH140,'LP Reactivos'!AM140,'LP Reactivos'!AR140,'LP Reactivos'!AW140,'LP Reactivos'!BB140,'LP Reactivos'!BG140,'LP Reactivos'!BL140,'LP Reactivos'!BQ140,'LP Reactivos'!BV140,'LP Reactivos'!CA140,'LP Reactivos'!CF140,'LP Reactivos'!CK140,'LP Reactivos'!CP140,'LP Reactivos'!CU140,'LP Reactivos'!CZ140,'LP Reactivos'!DE140,'LP Reactivos'!DJ140,'LP Reactivos'!DO140,'LP Reactivos'!DT140,'LP Reactivos'!DY140,'LP Reactivos'!EB140)," ")</f>
        <v>1018077.9233110008</v>
      </c>
      <c r="H140" s="345">
        <f t="shared" si="8"/>
        <v>155067.48666206156</v>
      </c>
      <c r="I140" s="346">
        <f t="shared" si="9"/>
        <v>0.14517361815710617</v>
      </c>
      <c r="J140" s="345">
        <f t="shared" si="10"/>
        <v>1068151.973</v>
      </c>
      <c r="K140" s="344" t="str">
        <f t="shared" si="11"/>
        <v>Promedio</v>
      </c>
      <c r="L140" s="326">
        <f>IFERROR(COUNTA('LP Reactivos'!F140,'LP Reactivos'!I140,'LP Reactivos'!N140,'LP Reactivos'!S140,'LP Reactivos'!X140,'LP Reactivos'!AC140,'LP Reactivos'!AH140,'LP Reactivos'!AM140,'LP Reactivos'!AR140,'LP Reactivos'!AW140,'LP Reactivos'!BB140,'LP Reactivos'!BG140,'LP Reactivos'!BL140,'LP Reactivos'!BQ140,'LP Reactivos'!BV140,'LP Reactivos'!CA140,'LP Reactivos'!CF140,'LP Reactivos'!CK140,'LP Reactivos'!CP140,'LP Reactivos'!CU140,'LP Reactivos'!CZ140,'LP Reactivos'!DE140,'LP Reactivos'!DJ140,'LP Reactivos'!DO140,'LP Reactivos'!DT140,'LP Reactivos'!DY140,'LP Reactivos'!EB140)," ")</f>
        <v>2</v>
      </c>
    </row>
    <row r="141" spans="2:12" ht="27" x14ac:dyDescent="0.25">
      <c r="B141" s="425">
        <v>139</v>
      </c>
      <c r="C141" s="427" t="s">
        <v>1088</v>
      </c>
      <c r="D141" s="429">
        <f>IFERROR(MIN('LP Reactivos'!F141,'LP Reactivos'!I141,'LP Reactivos'!N141,'LP Reactivos'!S141,'LP Reactivos'!X141,'LP Reactivos'!AC141,'LP Reactivos'!AH141,'LP Reactivos'!AM141,'LP Reactivos'!AR141,'LP Reactivos'!AW141,'LP Reactivos'!BB141,'LP Reactivos'!BG141,'LP Reactivos'!BL141,'LP Reactivos'!BQ141,'LP Reactivos'!BV141,'LP Reactivos'!CA141,'LP Reactivos'!CF141,'LP Reactivos'!CK141,'LP Reactivos'!CP141,'LP Reactivos'!CU141,'LP Reactivos'!CZ141,'LP Reactivos'!DE141,'LP Reactivos'!DJ141,'LP Reactivos'!DO141,'LP Reactivos'!DT141,'LP Reactivos'!DY141,'LP Reactivos'!EB141)," ")</f>
        <v>226100</v>
      </c>
      <c r="E141" s="429">
        <f>IFERROR(AVERAGE('LP Reactivos'!F141,'LP Reactivos'!I141,'LP Reactivos'!N141,'LP Reactivos'!S141,'LP Reactivos'!X141,'LP Reactivos'!AC141,'LP Reactivos'!AH141,'LP Reactivos'!AM141,'LP Reactivos'!AR141,'LP Reactivos'!AW141,'LP Reactivos'!BB141,'LP Reactivos'!BG141,'LP Reactivos'!BL141,'LP Reactivos'!BQ141,'LP Reactivos'!BV141,'LP Reactivos'!CA141,'LP Reactivos'!CF141,'LP Reactivos'!CK141,'LP Reactivos'!CP141,'LP Reactivos'!CU141,'LP Reactivos'!CZ141,'LP Reactivos'!DE141,'LP Reactivos'!DJ141,'LP Reactivos'!DO141,'LP Reactivos'!DT141,'LP Reactivos'!DY141,'LP Reactivos'!EB141)," ")</f>
        <v>611402.12700000009</v>
      </c>
      <c r="F141" s="345">
        <f>IFERROR(MEDIAN('LP Reactivos'!F141,'LP Reactivos'!I141,'LP Reactivos'!N141,'LP Reactivos'!S141,'LP Reactivos'!X141,'LP Reactivos'!AC141,'LP Reactivos'!AH141,'LP Reactivos'!AM141,'LP Reactivos'!AR141,'LP Reactivos'!AW141,'LP Reactivos'!BB141,'LP Reactivos'!BG141,'LP Reactivos'!BL141,'LP Reactivos'!BQ141,'LP Reactivos'!BV141,'LP Reactivos'!CA141,'LP Reactivos'!CF141,'LP Reactivos'!CK141,'LP Reactivos'!CP141,'LP Reactivos'!CU141,'LP Reactivos'!CZ141,'LP Reactivos'!DE141,'LP Reactivos'!DJ141,'LP Reactivos'!DO141,'LP Reactivos'!DT141,'LP Reactivos'!DY141,'LP Reactivos'!EB141)," ")</f>
        <v>611402.12700000009</v>
      </c>
      <c r="G141" s="345">
        <f>IFERROR(GEOMEAN('LP Reactivos'!F141,'LP Reactivos'!I141,'LP Reactivos'!N141,'LP Reactivos'!S141,'LP Reactivos'!X141,'LP Reactivos'!AC141,'LP Reactivos'!AH141,'LP Reactivos'!AM141,'LP Reactivos'!AR141,'LP Reactivos'!AW141,'LP Reactivos'!BB141,'LP Reactivos'!BG141,'LP Reactivos'!BL141,'LP Reactivos'!BQ141,'LP Reactivos'!BV141,'LP Reactivos'!CA141,'LP Reactivos'!CF141,'LP Reactivos'!CK141,'LP Reactivos'!CP141,'LP Reactivos'!CU141,'LP Reactivos'!CZ141,'LP Reactivos'!DE141,'LP Reactivos'!DJ141,'LP Reactivos'!DO141,'LP Reactivos'!DT141,'LP Reactivos'!DY141,'LP Reactivos'!EB141)," ")</f>
        <v>474715.52726806822</v>
      </c>
      <c r="H141" s="345">
        <f t="shared" si="8"/>
        <v>181680.02817058694</v>
      </c>
      <c r="I141" s="346">
        <f t="shared" si="9"/>
        <v>0.29715308492962916</v>
      </c>
      <c r="J141" s="345">
        <f t="shared" si="10"/>
        <v>474715.52726806822</v>
      </c>
      <c r="K141" s="344" t="str">
        <f t="shared" si="11"/>
        <v>Media Geométrica</v>
      </c>
      <c r="L141" s="326">
        <f>IFERROR(COUNTA('LP Reactivos'!F141,'LP Reactivos'!I141,'LP Reactivos'!N141,'LP Reactivos'!S141,'LP Reactivos'!X141,'LP Reactivos'!AC141,'LP Reactivos'!AH141,'LP Reactivos'!AM141,'LP Reactivos'!AR141,'LP Reactivos'!AW141,'LP Reactivos'!BB141,'LP Reactivos'!BG141,'LP Reactivos'!BL141,'LP Reactivos'!BQ141,'LP Reactivos'!BV141,'LP Reactivos'!CA141,'LP Reactivos'!CF141,'LP Reactivos'!CK141,'LP Reactivos'!CP141,'LP Reactivos'!CU141,'LP Reactivos'!CZ141,'LP Reactivos'!DE141,'LP Reactivos'!DJ141,'LP Reactivos'!DO141,'LP Reactivos'!DT141,'LP Reactivos'!DY141,'LP Reactivos'!EB141)," ")</f>
        <v>2</v>
      </c>
    </row>
    <row r="142" spans="2:12" ht="27" x14ac:dyDescent="0.25">
      <c r="B142" s="425">
        <v>140</v>
      </c>
      <c r="C142" s="427" t="s">
        <v>1090</v>
      </c>
      <c r="D142" s="429">
        <f>IFERROR(MIN('LP Reactivos'!F142,'LP Reactivos'!I142,'LP Reactivos'!N142,'LP Reactivos'!S142,'LP Reactivos'!X142,'LP Reactivos'!AC142,'LP Reactivos'!AH142,'LP Reactivos'!AM142,'LP Reactivos'!AR142,'LP Reactivos'!AW142,'LP Reactivos'!BB142,'LP Reactivos'!BG142,'LP Reactivos'!BL142,'LP Reactivos'!BQ142,'LP Reactivos'!BV142,'LP Reactivos'!CA142,'LP Reactivos'!CF142,'LP Reactivos'!CK142,'LP Reactivos'!CP142,'LP Reactivos'!CU142,'LP Reactivos'!CZ142,'LP Reactivos'!DE142,'LP Reactivos'!DJ142,'LP Reactivos'!DO142,'LP Reactivos'!DT142,'LP Reactivos'!DY142,'LP Reactivos'!EB142)," ")</f>
        <v>744940</v>
      </c>
      <c r="E142" s="429">
        <f>IFERROR(AVERAGE('LP Reactivos'!F142,'LP Reactivos'!I142,'LP Reactivos'!N142,'LP Reactivos'!S142,'LP Reactivos'!X142,'LP Reactivos'!AC142,'LP Reactivos'!AH142,'LP Reactivos'!AM142,'LP Reactivos'!AR142,'LP Reactivos'!AW142,'LP Reactivos'!BB142,'LP Reactivos'!BG142,'LP Reactivos'!BL142,'LP Reactivos'!BQ142,'LP Reactivos'!BV142,'LP Reactivos'!CA142,'LP Reactivos'!CF142,'LP Reactivos'!CK142,'LP Reactivos'!CP142,'LP Reactivos'!CU142,'LP Reactivos'!CZ142,'LP Reactivos'!DE142,'LP Reactivos'!DJ142,'LP Reactivos'!DO142,'LP Reactivos'!DT142,'LP Reactivos'!DY142,'LP Reactivos'!EB142)," ")</f>
        <v>744940</v>
      </c>
      <c r="F142" s="345">
        <f>IFERROR(MEDIAN('LP Reactivos'!F142,'LP Reactivos'!I142,'LP Reactivos'!N142,'LP Reactivos'!S142,'LP Reactivos'!X142,'LP Reactivos'!AC142,'LP Reactivos'!AH142,'LP Reactivos'!AM142,'LP Reactivos'!AR142,'LP Reactivos'!AW142,'LP Reactivos'!BB142,'LP Reactivos'!BG142,'LP Reactivos'!BL142,'LP Reactivos'!BQ142,'LP Reactivos'!BV142,'LP Reactivos'!CA142,'LP Reactivos'!CF142,'LP Reactivos'!CK142,'LP Reactivos'!CP142,'LP Reactivos'!CU142,'LP Reactivos'!CZ142,'LP Reactivos'!DE142,'LP Reactivos'!DJ142,'LP Reactivos'!DO142,'LP Reactivos'!DT142,'LP Reactivos'!DY142,'LP Reactivos'!EB142)," ")</f>
        <v>744940</v>
      </c>
      <c r="G142" s="345">
        <f>IFERROR(GEOMEAN('LP Reactivos'!F142,'LP Reactivos'!I142,'LP Reactivos'!N142,'LP Reactivos'!S142,'LP Reactivos'!X142,'LP Reactivos'!AC142,'LP Reactivos'!AH142,'LP Reactivos'!AM142,'LP Reactivos'!AR142,'LP Reactivos'!AW142,'LP Reactivos'!BB142,'LP Reactivos'!BG142,'LP Reactivos'!BL142,'LP Reactivos'!BQ142,'LP Reactivos'!BV142,'LP Reactivos'!CA142,'LP Reactivos'!CF142,'LP Reactivos'!CK142,'LP Reactivos'!CP142,'LP Reactivos'!CU142,'LP Reactivos'!CZ142,'LP Reactivos'!DE142,'LP Reactivos'!DJ142,'LP Reactivos'!DO142,'LP Reactivos'!DT142,'LP Reactivos'!DY142,'LP Reactivos'!EB142)," ")</f>
        <v>744940</v>
      </c>
      <c r="H142" s="345">
        <f t="shared" si="8"/>
        <v>0</v>
      </c>
      <c r="I142" s="346">
        <f t="shared" si="9"/>
        <v>0</v>
      </c>
      <c r="J142" s="345">
        <f t="shared" si="10"/>
        <v>744940</v>
      </c>
      <c r="K142" s="344" t="str">
        <f t="shared" si="11"/>
        <v>Menor Valor</v>
      </c>
      <c r="L142" s="326">
        <f>IFERROR(COUNTA('LP Reactivos'!F142,'LP Reactivos'!I142,'LP Reactivos'!N142,'LP Reactivos'!S142,'LP Reactivos'!X142,'LP Reactivos'!AC142,'LP Reactivos'!AH142,'LP Reactivos'!AM142,'LP Reactivos'!AR142,'LP Reactivos'!AW142,'LP Reactivos'!BB142,'LP Reactivos'!BG142,'LP Reactivos'!BL142,'LP Reactivos'!BQ142,'LP Reactivos'!BV142,'LP Reactivos'!CA142,'LP Reactivos'!CF142,'LP Reactivos'!CK142,'LP Reactivos'!CP142,'LP Reactivos'!CU142,'LP Reactivos'!CZ142,'LP Reactivos'!DE142,'LP Reactivos'!DJ142,'LP Reactivos'!DO142,'LP Reactivos'!DT142,'LP Reactivos'!DY142,'LP Reactivos'!EB142)," ")</f>
        <v>1</v>
      </c>
    </row>
    <row r="143" spans="2:12" ht="27" x14ac:dyDescent="0.25">
      <c r="B143" s="425">
        <v>141</v>
      </c>
      <c r="C143" s="427" t="s">
        <v>1091</v>
      </c>
      <c r="D143" s="429">
        <f>IFERROR(MIN('LP Reactivos'!F143,'LP Reactivos'!I143,'LP Reactivos'!N143,'LP Reactivos'!S143,'LP Reactivos'!X143,'LP Reactivos'!AC143,'LP Reactivos'!AH143,'LP Reactivos'!AM143,'LP Reactivos'!AR143,'LP Reactivos'!AW143,'LP Reactivos'!BB143,'LP Reactivos'!BG143,'LP Reactivos'!BL143,'LP Reactivos'!BQ143,'LP Reactivos'!BV143,'LP Reactivos'!CA143,'LP Reactivos'!CF143,'LP Reactivos'!CK143,'LP Reactivos'!CP143,'LP Reactivos'!CU143,'LP Reactivos'!CZ143,'LP Reactivos'!DE143,'LP Reactivos'!DJ143,'LP Reactivos'!DO143,'LP Reactivos'!DT143,'LP Reactivos'!DY143,'LP Reactivos'!EB143)," ")</f>
        <v>4447030</v>
      </c>
      <c r="E143" s="429">
        <f>IFERROR(AVERAGE('LP Reactivos'!F143,'LP Reactivos'!I143,'LP Reactivos'!N143,'LP Reactivos'!S143,'LP Reactivos'!X143,'LP Reactivos'!AC143,'LP Reactivos'!AH143,'LP Reactivos'!AM143,'LP Reactivos'!AR143,'LP Reactivos'!AW143,'LP Reactivos'!BB143,'LP Reactivos'!BG143,'LP Reactivos'!BL143,'LP Reactivos'!BQ143,'LP Reactivos'!BV143,'LP Reactivos'!CA143,'LP Reactivos'!CF143,'LP Reactivos'!CK143,'LP Reactivos'!CP143,'LP Reactivos'!CU143,'LP Reactivos'!CZ143,'LP Reactivos'!DE143,'LP Reactivos'!DJ143,'LP Reactivos'!DO143,'LP Reactivos'!DT143,'LP Reactivos'!DY143,'LP Reactivos'!EB143)," ")</f>
        <v>4447030</v>
      </c>
      <c r="F143" s="345">
        <f>IFERROR(MEDIAN('LP Reactivos'!F143,'LP Reactivos'!I143,'LP Reactivos'!N143,'LP Reactivos'!S143,'LP Reactivos'!X143,'LP Reactivos'!AC143,'LP Reactivos'!AH143,'LP Reactivos'!AM143,'LP Reactivos'!AR143,'LP Reactivos'!AW143,'LP Reactivos'!BB143,'LP Reactivos'!BG143,'LP Reactivos'!BL143,'LP Reactivos'!BQ143,'LP Reactivos'!BV143,'LP Reactivos'!CA143,'LP Reactivos'!CF143,'LP Reactivos'!CK143,'LP Reactivos'!CP143,'LP Reactivos'!CU143,'LP Reactivos'!CZ143,'LP Reactivos'!DE143,'LP Reactivos'!DJ143,'LP Reactivos'!DO143,'LP Reactivos'!DT143,'LP Reactivos'!DY143,'LP Reactivos'!EB143)," ")</f>
        <v>4447030</v>
      </c>
      <c r="G143" s="345">
        <f>IFERROR(GEOMEAN('LP Reactivos'!F143,'LP Reactivos'!I143,'LP Reactivos'!N143,'LP Reactivos'!S143,'LP Reactivos'!X143,'LP Reactivos'!AC143,'LP Reactivos'!AH143,'LP Reactivos'!AM143,'LP Reactivos'!AR143,'LP Reactivos'!AW143,'LP Reactivos'!BB143,'LP Reactivos'!BG143,'LP Reactivos'!BL143,'LP Reactivos'!BQ143,'LP Reactivos'!BV143,'LP Reactivos'!CA143,'LP Reactivos'!CF143,'LP Reactivos'!CK143,'LP Reactivos'!CP143,'LP Reactivos'!CU143,'LP Reactivos'!CZ143,'LP Reactivos'!DE143,'LP Reactivos'!DJ143,'LP Reactivos'!DO143,'LP Reactivos'!DT143,'LP Reactivos'!DY143,'LP Reactivos'!EB143)," ")</f>
        <v>4447030</v>
      </c>
      <c r="H143" s="345">
        <f t="shared" si="8"/>
        <v>0</v>
      </c>
      <c r="I143" s="346">
        <f t="shared" si="9"/>
        <v>0</v>
      </c>
      <c r="J143" s="345">
        <f t="shared" si="10"/>
        <v>4447030</v>
      </c>
      <c r="K143" s="344" t="str">
        <f t="shared" si="11"/>
        <v>Menor Valor</v>
      </c>
      <c r="L143" s="326">
        <f>IFERROR(COUNTA('LP Reactivos'!F143,'LP Reactivos'!I143,'LP Reactivos'!N143,'LP Reactivos'!S143,'LP Reactivos'!X143,'LP Reactivos'!AC143,'LP Reactivos'!AH143,'LP Reactivos'!AM143,'LP Reactivos'!AR143,'LP Reactivos'!AW143,'LP Reactivos'!BB143,'LP Reactivos'!BG143,'LP Reactivos'!BL143,'LP Reactivos'!BQ143,'LP Reactivos'!BV143,'LP Reactivos'!CA143,'LP Reactivos'!CF143,'LP Reactivos'!CK143,'LP Reactivos'!CP143,'LP Reactivos'!CU143,'LP Reactivos'!CZ143,'LP Reactivos'!DE143,'LP Reactivos'!DJ143,'LP Reactivos'!DO143,'LP Reactivos'!DT143,'LP Reactivos'!DY143,'LP Reactivos'!EB143)," ")</f>
        <v>1</v>
      </c>
    </row>
    <row r="144" spans="2:12" x14ac:dyDescent="0.25">
      <c r="B144" s="425">
        <v>142</v>
      </c>
      <c r="C144" s="427" t="s">
        <v>1093</v>
      </c>
      <c r="D144" s="429">
        <f>IFERROR(MIN('LP Reactivos'!F144,'LP Reactivos'!I144,'LP Reactivos'!N144,'LP Reactivos'!S144,'LP Reactivos'!X144,'LP Reactivos'!AC144,'LP Reactivos'!AH144,'LP Reactivos'!AM144,'LP Reactivos'!AR144,'LP Reactivos'!AW144,'LP Reactivos'!BB144,'LP Reactivos'!BG144,'LP Reactivos'!BL144,'LP Reactivos'!BQ144,'LP Reactivos'!BV144,'LP Reactivos'!CA144,'LP Reactivos'!CF144,'LP Reactivos'!CK144,'LP Reactivos'!CP144,'LP Reactivos'!CU144,'LP Reactivos'!CZ144,'LP Reactivos'!DE144,'LP Reactivos'!DJ144,'LP Reactivos'!DO144,'LP Reactivos'!DT144,'LP Reactivos'!DY144,'LP Reactivos'!EB144)," ")</f>
        <v>1580320</v>
      </c>
      <c r="E144" s="429">
        <f>IFERROR(AVERAGE('LP Reactivos'!F144,'LP Reactivos'!I144,'LP Reactivos'!N144,'LP Reactivos'!S144,'LP Reactivos'!X144,'LP Reactivos'!AC144,'LP Reactivos'!AH144,'LP Reactivos'!AM144,'LP Reactivos'!AR144,'LP Reactivos'!AW144,'LP Reactivos'!BB144,'LP Reactivos'!BG144,'LP Reactivos'!BL144,'LP Reactivos'!BQ144,'LP Reactivos'!BV144,'LP Reactivos'!CA144,'LP Reactivos'!CF144,'LP Reactivos'!CK144,'LP Reactivos'!CP144,'LP Reactivos'!CU144,'LP Reactivos'!CZ144,'LP Reactivos'!DE144,'LP Reactivos'!DJ144,'LP Reactivos'!DO144,'LP Reactivos'!DT144,'LP Reactivos'!DY144,'LP Reactivos'!EB144)," ")</f>
        <v>1580320</v>
      </c>
      <c r="F144" s="345">
        <f>IFERROR(MEDIAN('LP Reactivos'!F144,'LP Reactivos'!I144,'LP Reactivos'!N144,'LP Reactivos'!S144,'LP Reactivos'!X144,'LP Reactivos'!AC144,'LP Reactivos'!AH144,'LP Reactivos'!AM144,'LP Reactivos'!AR144,'LP Reactivos'!AW144,'LP Reactivos'!BB144,'LP Reactivos'!BG144,'LP Reactivos'!BL144,'LP Reactivos'!BQ144,'LP Reactivos'!BV144,'LP Reactivos'!CA144,'LP Reactivos'!CF144,'LP Reactivos'!CK144,'LP Reactivos'!CP144,'LP Reactivos'!CU144,'LP Reactivos'!CZ144,'LP Reactivos'!DE144,'LP Reactivos'!DJ144,'LP Reactivos'!DO144,'LP Reactivos'!DT144,'LP Reactivos'!DY144,'LP Reactivos'!EB144)," ")</f>
        <v>1580320</v>
      </c>
      <c r="G144" s="345">
        <f>IFERROR(GEOMEAN('LP Reactivos'!F144,'LP Reactivos'!I144,'LP Reactivos'!N144,'LP Reactivos'!S144,'LP Reactivos'!X144,'LP Reactivos'!AC144,'LP Reactivos'!AH144,'LP Reactivos'!AM144,'LP Reactivos'!AR144,'LP Reactivos'!AW144,'LP Reactivos'!BB144,'LP Reactivos'!BG144,'LP Reactivos'!BL144,'LP Reactivos'!BQ144,'LP Reactivos'!BV144,'LP Reactivos'!CA144,'LP Reactivos'!CF144,'LP Reactivos'!CK144,'LP Reactivos'!CP144,'LP Reactivos'!CU144,'LP Reactivos'!CZ144,'LP Reactivos'!DE144,'LP Reactivos'!DJ144,'LP Reactivos'!DO144,'LP Reactivos'!DT144,'LP Reactivos'!DY144,'LP Reactivos'!EB144)," ")</f>
        <v>1580320</v>
      </c>
      <c r="H144" s="345">
        <f t="shared" si="8"/>
        <v>0</v>
      </c>
      <c r="I144" s="346">
        <f t="shared" si="9"/>
        <v>0</v>
      </c>
      <c r="J144" s="345">
        <f t="shared" si="10"/>
        <v>1580320</v>
      </c>
      <c r="K144" s="344" t="str">
        <f t="shared" si="11"/>
        <v>Menor Valor</v>
      </c>
      <c r="L144" s="326">
        <f>IFERROR(COUNTA('LP Reactivos'!F144,'LP Reactivos'!I144,'LP Reactivos'!N144,'LP Reactivos'!S144,'LP Reactivos'!X144,'LP Reactivos'!AC144,'LP Reactivos'!AH144,'LP Reactivos'!AM144,'LP Reactivos'!AR144,'LP Reactivos'!AW144,'LP Reactivos'!BB144,'LP Reactivos'!BG144,'LP Reactivos'!BL144,'LP Reactivos'!BQ144,'LP Reactivos'!BV144,'LP Reactivos'!CA144,'LP Reactivos'!CF144,'LP Reactivos'!CK144,'LP Reactivos'!CP144,'LP Reactivos'!CU144,'LP Reactivos'!CZ144,'LP Reactivos'!DE144,'LP Reactivos'!DJ144,'LP Reactivos'!DO144,'LP Reactivos'!DT144,'LP Reactivos'!DY144,'LP Reactivos'!EB144)," ")</f>
        <v>1</v>
      </c>
    </row>
    <row r="145" spans="2:12" x14ac:dyDescent="0.25">
      <c r="B145" s="425">
        <v>143</v>
      </c>
      <c r="C145" s="427" t="s">
        <v>1096</v>
      </c>
      <c r="D145" s="429">
        <f>IFERROR(MIN('LP Reactivos'!F145,'LP Reactivos'!I145,'LP Reactivos'!N145,'LP Reactivos'!S145,'LP Reactivos'!X145,'LP Reactivos'!AC145,'LP Reactivos'!AH145,'LP Reactivos'!AM145,'LP Reactivos'!AR145,'LP Reactivos'!AW145,'LP Reactivos'!BB145,'LP Reactivos'!BG145,'LP Reactivos'!BL145,'LP Reactivos'!BQ145,'LP Reactivos'!BV145,'LP Reactivos'!CA145,'LP Reactivos'!CF145,'LP Reactivos'!CK145,'LP Reactivos'!CP145,'LP Reactivos'!CU145,'LP Reactivos'!CZ145,'LP Reactivos'!DE145,'LP Reactivos'!DJ145,'LP Reactivos'!DO145,'LP Reactivos'!DT145,'LP Reactivos'!DY145,'LP Reactivos'!EB145)," ")</f>
        <v>312712.96000000002</v>
      </c>
      <c r="E145" s="429">
        <f>IFERROR(AVERAGE('LP Reactivos'!F145,'LP Reactivos'!I145,'LP Reactivos'!N145,'LP Reactivos'!S145,'LP Reactivos'!X145,'LP Reactivos'!AC145,'LP Reactivos'!AH145,'LP Reactivos'!AM145,'LP Reactivos'!AR145,'LP Reactivos'!AW145,'LP Reactivos'!BB145,'LP Reactivos'!BG145,'LP Reactivos'!BL145,'LP Reactivos'!BQ145,'LP Reactivos'!BV145,'LP Reactivos'!CA145,'LP Reactivos'!CF145,'LP Reactivos'!CK145,'LP Reactivos'!CP145,'LP Reactivos'!CU145,'LP Reactivos'!CZ145,'LP Reactivos'!DE145,'LP Reactivos'!DJ145,'LP Reactivos'!DO145,'LP Reactivos'!DT145,'LP Reactivos'!DY145,'LP Reactivos'!EB145)," ")</f>
        <v>3129204.6853333339</v>
      </c>
      <c r="F145" s="345">
        <f>IFERROR(MEDIAN('LP Reactivos'!F145,'LP Reactivos'!I145,'LP Reactivos'!N145,'LP Reactivos'!S145,'LP Reactivos'!X145,'LP Reactivos'!AC145,'LP Reactivos'!AH145,'LP Reactivos'!AM145,'LP Reactivos'!AR145,'LP Reactivos'!AW145,'LP Reactivos'!BB145,'LP Reactivos'!BG145,'LP Reactivos'!BL145,'LP Reactivos'!BQ145,'LP Reactivos'!BV145,'LP Reactivos'!CA145,'LP Reactivos'!CF145,'LP Reactivos'!CK145,'LP Reactivos'!CP145,'LP Reactivos'!CU145,'LP Reactivos'!CZ145,'LP Reactivos'!DE145,'LP Reactivos'!DJ145,'LP Reactivos'!DO145,'LP Reactivos'!DT145,'LP Reactivos'!DY145,'LP Reactivos'!EB145)," ")</f>
        <v>551349.5</v>
      </c>
      <c r="G145" s="345">
        <f>IFERROR(GEOMEAN('LP Reactivos'!F145,'LP Reactivos'!I145,'LP Reactivos'!N145,'LP Reactivos'!S145,'LP Reactivos'!X145,'LP Reactivos'!AC145,'LP Reactivos'!AH145,'LP Reactivos'!AM145,'LP Reactivos'!AR145,'LP Reactivos'!AW145,'LP Reactivos'!BB145,'LP Reactivos'!BG145,'LP Reactivos'!BL145,'LP Reactivos'!BQ145,'LP Reactivos'!BV145,'LP Reactivos'!CA145,'LP Reactivos'!CF145,'LP Reactivos'!CK145,'LP Reactivos'!CP145,'LP Reactivos'!CU145,'LP Reactivos'!CZ145,'LP Reactivos'!DE145,'LP Reactivos'!DJ145,'LP Reactivos'!DO145,'LP Reactivos'!DT145,'LP Reactivos'!DY145,'LP Reactivos'!EB145)," ")</f>
        <v>1148687.495572763</v>
      </c>
      <c r="H145" s="345">
        <f t="shared" si="8"/>
        <v>1278443.8730237097</v>
      </c>
      <c r="I145" s="346">
        <f t="shared" si="9"/>
        <v>0.40855233248748807</v>
      </c>
      <c r="J145" s="345">
        <f>IF(I145&lt;=10%,F145,IF(AND(I145&gt;10%,I145&lt;=20%),E145,IF(AND(I145&gt;20%,I145&lt;=41%),G145,IF(I145&gt;41%,D145))))</f>
        <v>1148687.495572763</v>
      </c>
      <c r="K145" s="344" t="str">
        <f t="shared" si="11"/>
        <v>Media Geométrica</v>
      </c>
      <c r="L145" s="326">
        <f>IFERROR(COUNTA('LP Reactivos'!F145,'LP Reactivos'!I145,'LP Reactivos'!N145,'LP Reactivos'!S145,'LP Reactivos'!X145,'LP Reactivos'!AC145,'LP Reactivos'!AH145,'LP Reactivos'!AM145,'LP Reactivos'!AR145,'LP Reactivos'!AW145,'LP Reactivos'!BB145,'LP Reactivos'!BG145,'LP Reactivos'!BL145,'LP Reactivos'!BQ145,'LP Reactivos'!BV145,'LP Reactivos'!CA145,'LP Reactivos'!CF145,'LP Reactivos'!CK145,'LP Reactivos'!CP145,'LP Reactivos'!CU145,'LP Reactivos'!CZ145,'LP Reactivos'!DE145,'LP Reactivos'!DJ145,'LP Reactivos'!DO145,'LP Reactivos'!DT145,'LP Reactivos'!DY145,'LP Reactivos'!EB145)," ")</f>
        <v>6</v>
      </c>
    </row>
    <row r="146" spans="2:12" ht="54" x14ac:dyDescent="0.25">
      <c r="B146" s="425">
        <v>144</v>
      </c>
      <c r="C146" s="427" t="s">
        <v>1102</v>
      </c>
      <c r="D146" s="429">
        <f>IFERROR(MIN('LP Reactivos'!F146,'LP Reactivos'!I146,'LP Reactivos'!N146,'LP Reactivos'!S146,'LP Reactivos'!X146,'LP Reactivos'!AC146,'LP Reactivos'!AH146,'LP Reactivos'!AM146,'LP Reactivos'!AR146,'LP Reactivos'!AW146,'LP Reactivos'!BB146,'LP Reactivos'!BG146,'LP Reactivos'!BL146,'LP Reactivos'!BQ146,'LP Reactivos'!BV146,'LP Reactivos'!CA146,'LP Reactivos'!CF146,'LP Reactivos'!CK146,'LP Reactivos'!CP146,'LP Reactivos'!CU146,'LP Reactivos'!CZ146,'LP Reactivos'!DE146,'LP Reactivos'!DJ146,'LP Reactivos'!DO146,'LP Reactivos'!DT146,'LP Reactivos'!DY146,'LP Reactivos'!EB146)," ")</f>
        <v>35099</v>
      </c>
      <c r="E146" s="429">
        <f>IFERROR(AVERAGE('LP Reactivos'!F146,'LP Reactivos'!I146,'LP Reactivos'!N146,'LP Reactivos'!S146,'LP Reactivos'!X146,'LP Reactivos'!AC146,'LP Reactivos'!AH146,'LP Reactivos'!AM146,'LP Reactivos'!AR146,'LP Reactivos'!AW146,'LP Reactivos'!BB146,'LP Reactivos'!BG146,'LP Reactivos'!BL146,'LP Reactivos'!BQ146,'LP Reactivos'!BV146,'LP Reactivos'!CA146,'LP Reactivos'!CF146,'LP Reactivos'!CK146,'LP Reactivos'!CP146,'LP Reactivos'!CU146,'LP Reactivos'!CZ146,'LP Reactivos'!DE146,'LP Reactivos'!DJ146,'LP Reactivos'!DO146,'LP Reactivos'!DT146,'LP Reactivos'!DY146,'LP Reactivos'!EB146)," ")</f>
        <v>35099</v>
      </c>
      <c r="F146" s="345">
        <f>IFERROR(MEDIAN('LP Reactivos'!F146,'LP Reactivos'!I146,'LP Reactivos'!N146,'LP Reactivos'!S146,'LP Reactivos'!X146,'LP Reactivos'!AC146,'LP Reactivos'!AH146,'LP Reactivos'!AM146,'LP Reactivos'!AR146,'LP Reactivos'!AW146,'LP Reactivos'!BB146,'LP Reactivos'!BG146,'LP Reactivos'!BL146,'LP Reactivos'!BQ146,'LP Reactivos'!BV146,'LP Reactivos'!CA146,'LP Reactivos'!CF146,'LP Reactivos'!CK146,'LP Reactivos'!CP146,'LP Reactivos'!CU146,'LP Reactivos'!CZ146,'LP Reactivos'!DE146,'LP Reactivos'!DJ146,'LP Reactivos'!DO146,'LP Reactivos'!DT146,'LP Reactivos'!DY146,'LP Reactivos'!EB146)," ")</f>
        <v>35099</v>
      </c>
      <c r="G146" s="345">
        <f>IFERROR(GEOMEAN('LP Reactivos'!F146,'LP Reactivos'!I146,'LP Reactivos'!N146,'LP Reactivos'!S146,'LP Reactivos'!X146,'LP Reactivos'!AC146,'LP Reactivos'!AH146,'LP Reactivos'!AM146,'LP Reactivos'!AR146,'LP Reactivos'!AW146,'LP Reactivos'!BB146,'LP Reactivos'!BG146,'LP Reactivos'!BL146,'LP Reactivos'!BQ146,'LP Reactivos'!BV146,'LP Reactivos'!CA146,'LP Reactivos'!CF146,'LP Reactivos'!CK146,'LP Reactivos'!CP146,'LP Reactivos'!CU146,'LP Reactivos'!CZ146,'LP Reactivos'!DE146,'LP Reactivos'!DJ146,'LP Reactivos'!DO146,'LP Reactivos'!DT146,'LP Reactivos'!DY146,'LP Reactivos'!EB146)," ")</f>
        <v>35099</v>
      </c>
      <c r="H146" s="345">
        <f t="shared" si="8"/>
        <v>0</v>
      </c>
      <c r="I146" s="346">
        <f t="shared" si="9"/>
        <v>0</v>
      </c>
      <c r="J146" s="345">
        <f t="shared" si="10"/>
        <v>35099</v>
      </c>
      <c r="K146" s="344" t="str">
        <f t="shared" si="11"/>
        <v>Menor Valor</v>
      </c>
      <c r="L146" s="326">
        <f>IFERROR(COUNTA('LP Reactivos'!F146,'LP Reactivos'!I146,'LP Reactivos'!N146,'LP Reactivos'!S146,'LP Reactivos'!X146,'LP Reactivos'!AC146,'LP Reactivos'!AH146,'LP Reactivos'!AM146,'LP Reactivos'!AR146,'LP Reactivos'!AW146,'LP Reactivos'!BB146,'LP Reactivos'!BG146,'LP Reactivos'!BL146,'LP Reactivos'!BQ146,'LP Reactivos'!BV146,'LP Reactivos'!CA146,'LP Reactivos'!CF146,'LP Reactivos'!CK146,'LP Reactivos'!CP146,'LP Reactivos'!CU146,'LP Reactivos'!CZ146,'LP Reactivos'!DE146,'LP Reactivos'!DJ146,'LP Reactivos'!DO146,'LP Reactivos'!DT146,'LP Reactivos'!DY146,'LP Reactivos'!EB146)," ")</f>
        <v>1</v>
      </c>
    </row>
    <row r="147" spans="2:12" ht="40.5" x14ac:dyDescent="0.25">
      <c r="B147" s="425">
        <v>145</v>
      </c>
      <c r="C147" s="427" t="s">
        <v>1105</v>
      </c>
      <c r="D147" s="429">
        <f>IFERROR(MIN('LP Reactivos'!F147,'LP Reactivos'!I147,'LP Reactivos'!N147,'LP Reactivos'!S147,'LP Reactivos'!X147,'LP Reactivos'!AC147,'LP Reactivos'!AH147,'LP Reactivos'!AM147,'LP Reactivos'!AR147,'LP Reactivos'!AW147,'LP Reactivos'!BB147,'LP Reactivos'!BG147,'LP Reactivos'!BL147,'LP Reactivos'!BQ147,'LP Reactivos'!BV147,'LP Reactivos'!CA147,'LP Reactivos'!CF147,'LP Reactivos'!CK147,'LP Reactivos'!CP147,'LP Reactivos'!CU147,'LP Reactivos'!CZ147,'LP Reactivos'!DE147,'LP Reactivos'!DJ147,'LP Reactivos'!DO147,'LP Reactivos'!DT147,'LP Reactivos'!DY147,'LP Reactivos'!EB147)," ")</f>
        <v>108290</v>
      </c>
      <c r="E147" s="429">
        <f>IFERROR(AVERAGE('LP Reactivos'!F147,'LP Reactivos'!I147,'LP Reactivos'!N147,'LP Reactivos'!S147,'LP Reactivos'!X147,'LP Reactivos'!AC147,'LP Reactivos'!AH147,'LP Reactivos'!AM147,'LP Reactivos'!AR147,'LP Reactivos'!AW147,'LP Reactivos'!BB147,'LP Reactivos'!BG147,'LP Reactivos'!BL147,'LP Reactivos'!BQ147,'LP Reactivos'!BV147,'LP Reactivos'!CA147,'LP Reactivos'!CF147,'LP Reactivos'!CK147,'LP Reactivos'!CP147,'LP Reactivos'!CU147,'LP Reactivos'!CZ147,'LP Reactivos'!DE147,'LP Reactivos'!DJ147,'LP Reactivos'!DO147,'LP Reactivos'!DT147,'LP Reactivos'!DY147,'LP Reactivos'!EB147)," ")</f>
        <v>131792.5</v>
      </c>
      <c r="F147" s="345">
        <f>IFERROR(MEDIAN('LP Reactivos'!F147,'LP Reactivos'!I147,'LP Reactivos'!N147,'LP Reactivos'!S147,'LP Reactivos'!X147,'LP Reactivos'!AC147,'LP Reactivos'!AH147,'LP Reactivos'!AM147,'LP Reactivos'!AR147,'LP Reactivos'!AW147,'LP Reactivos'!BB147,'LP Reactivos'!BG147,'LP Reactivos'!BL147,'LP Reactivos'!BQ147,'LP Reactivos'!BV147,'LP Reactivos'!CA147,'LP Reactivos'!CF147,'LP Reactivos'!CK147,'LP Reactivos'!CP147,'LP Reactivos'!CU147,'LP Reactivos'!CZ147,'LP Reactivos'!DE147,'LP Reactivos'!DJ147,'LP Reactivos'!DO147,'LP Reactivos'!DT147,'LP Reactivos'!DY147,'LP Reactivos'!EB147)," ")</f>
        <v>141312.5</v>
      </c>
      <c r="G147" s="345">
        <f>IFERROR(GEOMEAN('LP Reactivos'!F147,'LP Reactivos'!I147,'LP Reactivos'!N147,'LP Reactivos'!S147,'LP Reactivos'!X147,'LP Reactivos'!AC147,'LP Reactivos'!AH147,'LP Reactivos'!AM147,'LP Reactivos'!AR147,'LP Reactivos'!AW147,'LP Reactivos'!BB147,'LP Reactivos'!BG147,'LP Reactivos'!BL147,'LP Reactivos'!BQ147,'LP Reactivos'!BV147,'LP Reactivos'!CA147,'LP Reactivos'!CF147,'LP Reactivos'!CK147,'LP Reactivos'!CP147,'LP Reactivos'!CU147,'LP Reactivos'!CZ147,'LP Reactivos'!DE147,'LP Reactivos'!DJ147,'LP Reactivos'!DO147,'LP Reactivos'!DT147,'LP Reactivos'!DY147,'LP Reactivos'!EB147)," ")</f>
        <v>130662.4090680876</v>
      </c>
      <c r="H147" s="345">
        <f t="shared" si="8"/>
        <v>13990.203841683417</v>
      </c>
      <c r="I147" s="346">
        <f t="shared" si="9"/>
        <v>0.10615326245183464</v>
      </c>
      <c r="J147" s="345">
        <f t="shared" si="10"/>
        <v>131792.5</v>
      </c>
      <c r="K147" s="344" t="str">
        <f t="shared" si="11"/>
        <v>Promedio</v>
      </c>
      <c r="L147" s="326">
        <f>IFERROR(COUNTA('LP Reactivos'!F147,'LP Reactivos'!I147,'LP Reactivos'!N147,'LP Reactivos'!S147,'LP Reactivos'!X147,'LP Reactivos'!AC147,'LP Reactivos'!AH147,'LP Reactivos'!AM147,'LP Reactivos'!AR147,'LP Reactivos'!AW147,'LP Reactivos'!BB147,'LP Reactivos'!BG147,'LP Reactivos'!BL147,'LP Reactivos'!BQ147,'LP Reactivos'!BV147,'LP Reactivos'!CA147,'LP Reactivos'!CF147,'LP Reactivos'!CK147,'LP Reactivos'!CP147,'LP Reactivos'!CU147,'LP Reactivos'!CZ147,'LP Reactivos'!DE147,'LP Reactivos'!DJ147,'LP Reactivos'!DO147,'LP Reactivos'!DT147,'LP Reactivos'!DY147,'LP Reactivos'!EB147)," ")</f>
        <v>3</v>
      </c>
    </row>
    <row r="148" spans="2:12" ht="81" x14ac:dyDescent="0.25">
      <c r="B148" s="425">
        <v>146</v>
      </c>
      <c r="C148" s="413" t="s">
        <v>1109</v>
      </c>
      <c r="D148" s="429">
        <f>IFERROR(MIN('LP Reactivos'!F148,'LP Reactivos'!I148,'LP Reactivos'!N148,'LP Reactivos'!S148,'LP Reactivos'!X148,'LP Reactivos'!AC148,'LP Reactivos'!AH148,'LP Reactivos'!AM148,'LP Reactivos'!AR148,'LP Reactivos'!AW148,'LP Reactivos'!BB148,'LP Reactivos'!BG148,'LP Reactivos'!BL148,'LP Reactivos'!BQ148,'LP Reactivos'!BV148,'LP Reactivos'!CA148,'LP Reactivos'!CF148,'LP Reactivos'!CK148,'LP Reactivos'!CP148,'LP Reactivos'!CU148,'LP Reactivos'!CZ148,'LP Reactivos'!DE148,'LP Reactivos'!DJ148,'LP Reactivos'!DO148,'LP Reactivos'!DT148,'LP Reactivos'!DY148,'LP Reactivos'!EB148)," ")</f>
        <v>227230.5</v>
      </c>
      <c r="E148" s="429">
        <f>IFERROR(AVERAGE('LP Reactivos'!F148,'LP Reactivos'!I148,'LP Reactivos'!N148,'LP Reactivos'!S148,'LP Reactivos'!X148,'LP Reactivos'!AC148,'LP Reactivos'!AH148,'LP Reactivos'!AM148,'LP Reactivos'!AR148,'LP Reactivos'!AW148,'LP Reactivos'!BB148,'LP Reactivos'!BG148,'LP Reactivos'!BL148,'LP Reactivos'!BQ148,'LP Reactivos'!BV148,'LP Reactivos'!CA148,'LP Reactivos'!CF148,'LP Reactivos'!CK148,'LP Reactivos'!CP148,'LP Reactivos'!CU148,'LP Reactivos'!CZ148,'LP Reactivos'!DE148,'LP Reactivos'!DJ148,'LP Reactivos'!DO148,'LP Reactivos'!DT148,'LP Reactivos'!DY148,'LP Reactivos'!EB148)," ")</f>
        <v>293047.5</v>
      </c>
      <c r="F148" s="345">
        <f>IFERROR(MEDIAN('LP Reactivos'!F148,'LP Reactivos'!I148,'LP Reactivos'!N148,'LP Reactivos'!S148,'LP Reactivos'!X148,'LP Reactivos'!AC148,'LP Reactivos'!AH148,'LP Reactivos'!AM148,'LP Reactivos'!AR148,'LP Reactivos'!AW148,'LP Reactivos'!BB148,'LP Reactivos'!BG148,'LP Reactivos'!BL148,'LP Reactivos'!BQ148,'LP Reactivos'!BV148,'LP Reactivos'!CA148,'LP Reactivos'!CF148,'LP Reactivos'!CK148,'LP Reactivos'!CP148,'LP Reactivos'!CU148,'LP Reactivos'!CZ148,'LP Reactivos'!DE148,'LP Reactivos'!DJ148,'LP Reactivos'!DO148,'LP Reactivos'!DT148,'LP Reactivos'!DY148,'LP Reactivos'!EB148)," ")</f>
        <v>288962</v>
      </c>
      <c r="G148" s="345">
        <f>IFERROR(GEOMEAN('LP Reactivos'!F148,'LP Reactivos'!I148,'LP Reactivos'!N148,'LP Reactivos'!S148,'LP Reactivos'!X148,'LP Reactivos'!AC148,'LP Reactivos'!AH148,'LP Reactivos'!AM148,'LP Reactivos'!AR148,'LP Reactivos'!AW148,'LP Reactivos'!BB148,'LP Reactivos'!BG148,'LP Reactivos'!BL148,'LP Reactivos'!BQ148,'LP Reactivos'!BV148,'LP Reactivos'!CA148,'LP Reactivos'!CF148,'LP Reactivos'!CK148,'LP Reactivos'!CP148,'LP Reactivos'!CU148,'LP Reactivos'!CZ148,'LP Reactivos'!DE148,'LP Reactivos'!DJ148,'LP Reactivos'!DO148,'LP Reactivos'!DT148,'LP Reactivos'!DY148,'LP Reactivos'!EB148)," ")</f>
        <v>287773.88935374492</v>
      </c>
      <c r="H148" s="345">
        <f t="shared" si="8"/>
        <v>31429.910730193504</v>
      </c>
      <c r="I148" s="346">
        <f t="shared" si="9"/>
        <v>0.10725193263956698</v>
      </c>
      <c r="J148" s="345">
        <f t="shared" si="10"/>
        <v>293047.5</v>
      </c>
      <c r="K148" s="344" t="str">
        <f t="shared" si="11"/>
        <v>Promedio</v>
      </c>
      <c r="L148" s="326">
        <f>IFERROR(COUNTA('LP Reactivos'!F148,'LP Reactivos'!I148,'LP Reactivos'!N148,'LP Reactivos'!S148,'LP Reactivos'!X148,'LP Reactivos'!AC148,'LP Reactivos'!AH148,'LP Reactivos'!AM148,'LP Reactivos'!AR148,'LP Reactivos'!AW148,'LP Reactivos'!BB148,'LP Reactivos'!BG148,'LP Reactivos'!BL148,'LP Reactivos'!BQ148,'LP Reactivos'!BV148,'LP Reactivos'!CA148,'LP Reactivos'!CF148,'LP Reactivos'!CK148,'LP Reactivos'!CP148,'LP Reactivos'!CU148,'LP Reactivos'!CZ148,'LP Reactivos'!DE148,'LP Reactivos'!DJ148,'LP Reactivos'!DO148,'LP Reactivos'!DT148,'LP Reactivos'!DY148,'LP Reactivos'!EB148)," ")</f>
        <v>3</v>
      </c>
    </row>
    <row r="149" spans="2:12" ht="81" x14ac:dyDescent="0.25">
      <c r="B149" s="425">
        <v>147</v>
      </c>
      <c r="C149" s="413" t="s">
        <v>1111</v>
      </c>
      <c r="D149" s="429">
        <f>IFERROR(MIN('LP Reactivos'!F149,'LP Reactivos'!I149,'LP Reactivos'!N149,'LP Reactivos'!S149,'LP Reactivos'!X149,'LP Reactivos'!AC149,'LP Reactivos'!AH149,'LP Reactivos'!AM149,'LP Reactivos'!AR149,'LP Reactivos'!AW149,'LP Reactivos'!BB149,'LP Reactivos'!BG149,'LP Reactivos'!BL149,'LP Reactivos'!BQ149,'LP Reactivos'!BV149,'LP Reactivos'!CA149,'LP Reactivos'!CF149,'LP Reactivos'!CK149,'LP Reactivos'!CP149,'LP Reactivos'!CU149,'LP Reactivos'!CZ149,'LP Reactivos'!DE149,'LP Reactivos'!DJ149,'LP Reactivos'!DO149,'LP Reactivos'!DT149,'LP Reactivos'!DY149,'LP Reactivos'!EB149)," ")</f>
        <v>87072.3</v>
      </c>
      <c r="E149" s="429">
        <f>IFERROR(AVERAGE('LP Reactivos'!F149,'LP Reactivos'!I149,'LP Reactivos'!N149,'LP Reactivos'!S149,'LP Reactivos'!X149,'LP Reactivos'!AC149,'LP Reactivos'!AH149,'LP Reactivos'!AM149,'LP Reactivos'!AR149,'LP Reactivos'!AW149,'LP Reactivos'!BB149,'LP Reactivos'!BG149,'LP Reactivos'!BL149,'LP Reactivos'!BQ149,'LP Reactivos'!BV149,'LP Reactivos'!CA149,'LP Reactivos'!CF149,'LP Reactivos'!CK149,'LP Reactivos'!CP149,'LP Reactivos'!CU149,'LP Reactivos'!CZ149,'LP Reactivos'!DE149,'LP Reactivos'!DJ149,'LP Reactivos'!DO149,'LP Reactivos'!DT149,'LP Reactivos'!DY149,'LP Reactivos'!EB149)," ")</f>
        <v>150978.80653333335</v>
      </c>
      <c r="F149" s="345">
        <f>IFERROR(MEDIAN('LP Reactivos'!F149,'LP Reactivos'!I149,'LP Reactivos'!N149,'LP Reactivos'!S149,'LP Reactivos'!X149,'LP Reactivos'!AC149,'LP Reactivos'!AH149,'LP Reactivos'!AM149,'LP Reactivos'!AR149,'LP Reactivos'!AW149,'LP Reactivos'!BB149,'LP Reactivos'!BG149,'LP Reactivos'!BL149,'LP Reactivos'!BQ149,'LP Reactivos'!BV149,'LP Reactivos'!CA149,'LP Reactivos'!CF149,'LP Reactivos'!CK149,'LP Reactivos'!CP149,'LP Reactivos'!CU149,'LP Reactivos'!CZ149,'LP Reactivos'!DE149,'LP Reactivos'!DJ149,'LP Reactivos'!DO149,'LP Reactivos'!DT149,'LP Reactivos'!DY149,'LP Reactivos'!EB149)," ")</f>
        <v>116712.22500000001</v>
      </c>
      <c r="G149" s="345">
        <f>IFERROR(GEOMEAN('LP Reactivos'!F149,'LP Reactivos'!I149,'LP Reactivos'!N149,'LP Reactivos'!S149,'LP Reactivos'!X149,'LP Reactivos'!AC149,'LP Reactivos'!AH149,'LP Reactivos'!AM149,'LP Reactivos'!AR149,'LP Reactivos'!AW149,'LP Reactivos'!BB149,'LP Reactivos'!BG149,'LP Reactivos'!BL149,'LP Reactivos'!BQ149,'LP Reactivos'!BV149,'LP Reactivos'!CA149,'LP Reactivos'!CF149,'LP Reactivos'!CK149,'LP Reactivos'!CP149,'LP Reactivos'!CU149,'LP Reactivos'!CZ149,'LP Reactivos'!DE149,'LP Reactivos'!DJ149,'LP Reactivos'!DO149,'LP Reactivos'!DT149,'LP Reactivos'!DY149,'LP Reactivos'!EB149)," ")</f>
        <v>133069.9360579096</v>
      </c>
      <c r="H149" s="345">
        <f t="shared" si="8"/>
        <v>27142.909167584028</v>
      </c>
      <c r="I149" s="346">
        <f t="shared" si="9"/>
        <v>0.17977959814903804</v>
      </c>
      <c r="J149" s="345">
        <f t="shared" si="10"/>
        <v>150978.80653333335</v>
      </c>
      <c r="K149" s="344" t="str">
        <f t="shared" si="11"/>
        <v>Promedio</v>
      </c>
      <c r="L149" s="326">
        <f>IFERROR(COUNTA('LP Reactivos'!F149,'LP Reactivos'!I149,'LP Reactivos'!N149,'LP Reactivos'!S149,'LP Reactivos'!X149,'LP Reactivos'!AC149,'LP Reactivos'!AH149,'LP Reactivos'!AM149,'LP Reactivos'!AR149,'LP Reactivos'!AW149,'LP Reactivos'!BB149,'LP Reactivos'!BG149,'LP Reactivos'!BL149,'LP Reactivos'!BQ149,'LP Reactivos'!BV149,'LP Reactivos'!CA149,'LP Reactivos'!CF149,'LP Reactivos'!CK149,'LP Reactivos'!CP149,'LP Reactivos'!CU149,'LP Reactivos'!CZ149,'LP Reactivos'!DE149,'LP Reactivos'!DJ149,'LP Reactivos'!DO149,'LP Reactivos'!DT149,'LP Reactivos'!DY149,'LP Reactivos'!EB149)," ")</f>
        <v>6</v>
      </c>
    </row>
    <row r="150" spans="2:12" ht="81" x14ac:dyDescent="0.25">
      <c r="B150" s="425">
        <v>148</v>
      </c>
      <c r="C150" s="413" t="s">
        <v>1114</v>
      </c>
      <c r="D150" s="429">
        <f>IFERROR(MIN('LP Reactivos'!F150,'LP Reactivos'!I150,'LP Reactivos'!N150,'LP Reactivos'!S150,'LP Reactivos'!X150,'LP Reactivos'!AC150,'LP Reactivos'!AH150,'LP Reactivos'!AM150,'LP Reactivos'!AR150,'LP Reactivos'!AW150,'LP Reactivos'!BB150,'LP Reactivos'!BG150,'LP Reactivos'!BL150,'LP Reactivos'!BQ150,'LP Reactivos'!BV150,'LP Reactivos'!CA150,'LP Reactivos'!CF150,'LP Reactivos'!CK150,'LP Reactivos'!CP150,'LP Reactivos'!CU150,'LP Reactivos'!CZ150,'LP Reactivos'!DE150,'LP Reactivos'!DJ150,'LP Reactivos'!DO150,'LP Reactivos'!DT150,'LP Reactivos'!DY150,'LP Reactivos'!EB150)," ")</f>
        <v>89741.089200000002</v>
      </c>
      <c r="E150" s="429">
        <f>IFERROR(AVERAGE('LP Reactivos'!F150,'LP Reactivos'!I150,'LP Reactivos'!N150,'LP Reactivos'!S150,'LP Reactivos'!X150,'LP Reactivos'!AC150,'LP Reactivos'!AH150,'LP Reactivos'!AM150,'LP Reactivos'!AR150,'LP Reactivos'!AW150,'LP Reactivos'!BB150,'LP Reactivos'!BG150,'LP Reactivos'!BL150,'LP Reactivos'!BQ150,'LP Reactivos'!BV150,'LP Reactivos'!CA150,'LP Reactivos'!CF150,'LP Reactivos'!CK150,'LP Reactivos'!CP150,'LP Reactivos'!CU150,'LP Reactivos'!CZ150,'LP Reactivos'!DE150,'LP Reactivos'!DJ150,'LP Reactivos'!DO150,'LP Reactivos'!DT150,'LP Reactivos'!DY150,'LP Reactivos'!EB150)," ")</f>
        <v>154553.3682</v>
      </c>
      <c r="F150" s="345">
        <f>IFERROR(MEDIAN('LP Reactivos'!F150,'LP Reactivos'!I150,'LP Reactivos'!N150,'LP Reactivos'!S150,'LP Reactivos'!X150,'LP Reactivos'!AC150,'LP Reactivos'!AH150,'LP Reactivos'!AM150,'LP Reactivos'!AR150,'LP Reactivos'!AW150,'LP Reactivos'!BB150,'LP Reactivos'!BG150,'LP Reactivos'!BL150,'LP Reactivos'!BQ150,'LP Reactivos'!BV150,'LP Reactivos'!CA150,'LP Reactivos'!CF150,'LP Reactivos'!CK150,'LP Reactivos'!CP150,'LP Reactivos'!CU150,'LP Reactivos'!CZ150,'LP Reactivos'!DE150,'LP Reactivos'!DJ150,'LP Reactivos'!DO150,'LP Reactivos'!DT150,'LP Reactivos'!DY150,'LP Reactivos'!EB150)," ")</f>
        <v>123807.6</v>
      </c>
      <c r="G150" s="345">
        <f>IFERROR(GEOMEAN('LP Reactivos'!F150,'LP Reactivos'!I150,'LP Reactivos'!N150,'LP Reactivos'!S150,'LP Reactivos'!X150,'LP Reactivos'!AC150,'LP Reactivos'!AH150,'LP Reactivos'!AM150,'LP Reactivos'!AR150,'LP Reactivos'!AW150,'LP Reactivos'!BB150,'LP Reactivos'!BG150,'LP Reactivos'!BL150,'LP Reactivos'!BQ150,'LP Reactivos'!BV150,'LP Reactivos'!CA150,'LP Reactivos'!CF150,'LP Reactivos'!CK150,'LP Reactivos'!CP150,'LP Reactivos'!CU150,'LP Reactivos'!CZ150,'LP Reactivos'!DE150,'LP Reactivos'!DJ150,'LP Reactivos'!DO150,'LP Reactivos'!DT150,'LP Reactivos'!DY150,'LP Reactivos'!EB150)," ")</f>
        <v>137479.88729020115</v>
      </c>
      <c r="H150" s="345">
        <f t="shared" si="8"/>
        <v>27483.159938843321</v>
      </c>
      <c r="I150" s="346">
        <f t="shared" si="9"/>
        <v>0.17782310575903271</v>
      </c>
      <c r="J150" s="345">
        <f t="shared" si="10"/>
        <v>154553.3682</v>
      </c>
      <c r="K150" s="344" t="str">
        <f t="shared" si="11"/>
        <v>Promedio</v>
      </c>
      <c r="L150" s="326">
        <f>IFERROR(COUNTA('LP Reactivos'!F150,'LP Reactivos'!I150,'LP Reactivos'!N150,'LP Reactivos'!S150,'LP Reactivos'!X150,'LP Reactivos'!AC150,'LP Reactivos'!AH150,'LP Reactivos'!AM150,'LP Reactivos'!AR150,'LP Reactivos'!AW150,'LP Reactivos'!BB150,'LP Reactivos'!BG150,'LP Reactivos'!BL150,'LP Reactivos'!BQ150,'LP Reactivos'!BV150,'LP Reactivos'!CA150,'LP Reactivos'!CF150,'LP Reactivos'!CK150,'LP Reactivos'!CP150,'LP Reactivos'!CU150,'LP Reactivos'!CZ150,'LP Reactivos'!DE150,'LP Reactivos'!DJ150,'LP Reactivos'!DO150,'LP Reactivos'!DT150,'LP Reactivos'!DY150,'LP Reactivos'!EB150)," ")</f>
        <v>6</v>
      </c>
    </row>
    <row r="151" spans="2:12" ht="27" x14ac:dyDescent="0.25">
      <c r="B151" s="425">
        <v>149</v>
      </c>
      <c r="C151" s="427" t="s">
        <v>1116</v>
      </c>
      <c r="D151" s="429">
        <f>IFERROR(MIN('LP Reactivos'!F151,'LP Reactivos'!I151,'LP Reactivos'!N151,'LP Reactivos'!S151,'LP Reactivos'!X151,'LP Reactivos'!AC151,'LP Reactivos'!AH151,'LP Reactivos'!AM151,'LP Reactivos'!AR151,'LP Reactivos'!AW151,'LP Reactivos'!BB151,'LP Reactivos'!BG151,'LP Reactivos'!BL151,'LP Reactivos'!BQ151,'LP Reactivos'!BV151,'LP Reactivos'!CA151,'LP Reactivos'!CF151,'LP Reactivos'!CK151,'LP Reactivos'!CP151,'LP Reactivos'!CU151,'LP Reactivos'!CZ151,'LP Reactivos'!DE151,'LP Reactivos'!DJ151,'LP Reactivos'!DO151,'LP Reactivos'!DT151,'LP Reactivos'!DY151,'LP Reactivos'!EB151)," ")</f>
        <v>1087199.47</v>
      </c>
      <c r="E151" s="429">
        <f>IFERROR(AVERAGE('LP Reactivos'!F151,'LP Reactivos'!I151,'LP Reactivos'!N151,'LP Reactivos'!S151,'LP Reactivos'!X151,'LP Reactivos'!AC151,'LP Reactivos'!AH151,'LP Reactivos'!AM151,'LP Reactivos'!AR151,'LP Reactivos'!AW151,'LP Reactivos'!BB151,'LP Reactivos'!BG151,'LP Reactivos'!BL151,'LP Reactivos'!BQ151,'LP Reactivos'!BV151,'LP Reactivos'!CA151,'LP Reactivos'!CF151,'LP Reactivos'!CK151,'LP Reactivos'!CP151,'LP Reactivos'!CU151,'LP Reactivos'!CZ151,'LP Reactivos'!DE151,'LP Reactivos'!DJ151,'LP Reactivos'!DO151,'LP Reactivos'!DT151,'LP Reactivos'!DY151,'LP Reactivos'!EB151)," ")</f>
        <v>1087199.47</v>
      </c>
      <c r="F151" s="345">
        <f>IFERROR(MEDIAN('LP Reactivos'!F151,'LP Reactivos'!I151,'LP Reactivos'!N151,'LP Reactivos'!S151,'LP Reactivos'!X151,'LP Reactivos'!AC151,'LP Reactivos'!AH151,'LP Reactivos'!AM151,'LP Reactivos'!AR151,'LP Reactivos'!AW151,'LP Reactivos'!BB151,'LP Reactivos'!BG151,'LP Reactivos'!BL151,'LP Reactivos'!BQ151,'LP Reactivos'!BV151,'LP Reactivos'!CA151,'LP Reactivos'!CF151,'LP Reactivos'!CK151,'LP Reactivos'!CP151,'LP Reactivos'!CU151,'LP Reactivos'!CZ151,'LP Reactivos'!DE151,'LP Reactivos'!DJ151,'LP Reactivos'!DO151,'LP Reactivos'!DT151,'LP Reactivos'!DY151,'LP Reactivos'!EB151)," ")</f>
        <v>1087199.47</v>
      </c>
      <c r="G151" s="345">
        <f>IFERROR(GEOMEAN('LP Reactivos'!F151,'LP Reactivos'!I151,'LP Reactivos'!N151,'LP Reactivos'!S151,'LP Reactivos'!X151,'LP Reactivos'!AC151,'LP Reactivos'!AH151,'LP Reactivos'!AM151,'LP Reactivos'!AR151,'LP Reactivos'!AW151,'LP Reactivos'!BB151,'LP Reactivos'!BG151,'LP Reactivos'!BL151,'LP Reactivos'!BQ151,'LP Reactivos'!BV151,'LP Reactivos'!CA151,'LP Reactivos'!CF151,'LP Reactivos'!CK151,'LP Reactivos'!CP151,'LP Reactivos'!CU151,'LP Reactivos'!CZ151,'LP Reactivos'!DE151,'LP Reactivos'!DJ151,'LP Reactivos'!DO151,'LP Reactivos'!DT151,'LP Reactivos'!DY151,'LP Reactivos'!EB151)," ")</f>
        <v>1087199.47</v>
      </c>
      <c r="H151" s="345">
        <f t="shared" si="8"/>
        <v>0</v>
      </c>
      <c r="I151" s="346">
        <f t="shared" si="9"/>
        <v>0</v>
      </c>
      <c r="J151" s="345">
        <f t="shared" si="10"/>
        <v>1087199.47</v>
      </c>
      <c r="K151" s="344" t="str">
        <f t="shared" si="11"/>
        <v>Menor Valor</v>
      </c>
      <c r="L151" s="326">
        <f>IFERROR(COUNTA('LP Reactivos'!F151,'LP Reactivos'!I151,'LP Reactivos'!N151,'LP Reactivos'!S151,'LP Reactivos'!X151,'LP Reactivos'!AC151,'LP Reactivos'!AH151,'LP Reactivos'!AM151,'LP Reactivos'!AR151,'LP Reactivos'!AW151,'LP Reactivos'!BB151,'LP Reactivos'!BG151,'LP Reactivos'!BL151,'LP Reactivos'!BQ151,'LP Reactivos'!BV151,'LP Reactivos'!CA151,'LP Reactivos'!CF151,'LP Reactivos'!CK151,'LP Reactivos'!CP151,'LP Reactivos'!CU151,'LP Reactivos'!CZ151,'LP Reactivos'!DE151,'LP Reactivos'!DJ151,'LP Reactivos'!DO151,'LP Reactivos'!DT151,'LP Reactivos'!DY151,'LP Reactivos'!EB151)," ")</f>
        <v>1</v>
      </c>
    </row>
    <row r="152" spans="2:12" ht="27" x14ac:dyDescent="0.25">
      <c r="B152" s="425">
        <v>150</v>
      </c>
      <c r="C152" s="427" t="s">
        <v>1119</v>
      </c>
      <c r="D152" s="429">
        <f>IFERROR(MIN('LP Reactivos'!F152,'LP Reactivos'!I152,'LP Reactivos'!N152,'LP Reactivos'!S152,'LP Reactivos'!X152,'LP Reactivos'!AC152,'LP Reactivos'!AH152,'LP Reactivos'!AM152,'LP Reactivos'!AR152,'LP Reactivos'!AW152,'LP Reactivos'!BB152,'LP Reactivos'!BG152,'LP Reactivos'!BL152,'LP Reactivos'!BQ152,'LP Reactivos'!BV152,'LP Reactivos'!CA152,'LP Reactivos'!CF152,'LP Reactivos'!CK152,'LP Reactivos'!CP152,'LP Reactivos'!CU152,'LP Reactivos'!CZ152,'LP Reactivos'!DE152,'LP Reactivos'!DJ152,'LP Reactivos'!DO152,'LP Reactivos'!DT152,'LP Reactivos'!DY152,'LP Reactivos'!EB152)," ")</f>
        <v>321300</v>
      </c>
      <c r="E152" s="429">
        <f>IFERROR(AVERAGE('LP Reactivos'!F152,'LP Reactivos'!I152,'LP Reactivos'!N152,'LP Reactivos'!S152,'LP Reactivos'!X152,'LP Reactivos'!AC152,'LP Reactivos'!AH152,'LP Reactivos'!AM152,'LP Reactivos'!AR152,'LP Reactivos'!AW152,'LP Reactivos'!BB152,'LP Reactivos'!BG152,'LP Reactivos'!BL152,'LP Reactivos'!BQ152,'LP Reactivos'!BV152,'LP Reactivos'!CA152,'LP Reactivos'!CF152,'LP Reactivos'!CK152,'LP Reactivos'!CP152,'LP Reactivos'!CU152,'LP Reactivos'!CZ152,'LP Reactivos'!DE152,'LP Reactivos'!DJ152,'LP Reactivos'!DO152,'LP Reactivos'!DT152,'LP Reactivos'!DY152,'LP Reactivos'!EB152)," ")</f>
        <v>1284883.25</v>
      </c>
      <c r="F152" s="345">
        <f>IFERROR(MEDIAN('LP Reactivos'!F152,'LP Reactivos'!I152,'LP Reactivos'!N152,'LP Reactivos'!S152,'LP Reactivos'!X152,'LP Reactivos'!AC152,'LP Reactivos'!AH152,'LP Reactivos'!AM152,'LP Reactivos'!AR152,'LP Reactivos'!AW152,'LP Reactivos'!BB152,'LP Reactivos'!BG152,'LP Reactivos'!BL152,'LP Reactivos'!BQ152,'LP Reactivos'!BV152,'LP Reactivos'!CA152,'LP Reactivos'!CF152,'LP Reactivos'!CK152,'LP Reactivos'!CP152,'LP Reactivos'!CU152,'LP Reactivos'!CZ152,'LP Reactivos'!DE152,'LP Reactivos'!DJ152,'LP Reactivos'!DO152,'LP Reactivos'!DT152,'LP Reactivos'!DY152,'LP Reactivos'!EB152)," ")</f>
        <v>1308366.5</v>
      </c>
      <c r="G152" s="345">
        <f>IFERROR(GEOMEAN('LP Reactivos'!F152,'LP Reactivos'!I152,'LP Reactivos'!N152,'LP Reactivos'!S152,'LP Reactivos'!X152,'LP Reactivos'!AC152,'LP Reactivos'!AH152,'LP Reactivos'!AM152,'LP Reactivos'!AR152,'LP Reactivos'!AW152,'LP Reactivos'!BB152,'LP Reactivos'!BG152,'LP Reactivos'!BL152,'LP Reactivos'!BQ152,'LP Reactivos'!BV152,'LP Reactivos'!CA152,'LP Reactivos'!CF152,'LP Reactivos'!CK152,'LP Reactivos'!CP152,'LP Reactivos'!CU152,'LP Reactivos'!CZ152,'LP Reactivos'!DE152,'LP Reactivos'!DJ152,'LP Reactivos'!DO152,'LP Reactivos'!DT152,'LP Reactivos'!DY152,'LP Reactivos'!EB152)," ")</f>
        <v>947613.30579063634</v>
      </c>
      <c r="H152" s="345">
        <f t="shared" si="8"/>
        <v>460027.77611275984</v>
      </c>
      <c r="I152" s="346">
        <f t="shared" si="9"/>
        <v>0.35803079860583431</v>
      </c>
      <c r="J152" s="345">
        <f>IF(I152&lt;=10%,F152,IF(AND(I152&gt;10%,I152&lt;=20%),E152,IF(AND(I152&gt;20%,I152&lt;=36%),G152,IF(I152&gt;36%,D152))))</f>
        <v>947613.30579063634</v>
      </c>
      <c r="K152" s="344" t="str">
        <f t="shared" si="11"/>
        <v>Media Geométrica</v>
      </c>
      <c r="L152" s="326">
        <f>IFERROR(COUNTA('LP Reactivos'!F152,'LP Reactivos'!I152,'LP Reactivos'!N152,'LP Reactivos'!S152,'LP Reactivos'!X152,'LP Reactivos'!AC152,'LP Reactivos'!AH152,'LP Reactivos'!AM152,'LP Reactivos'!AR152,'LP Reactivos'!AW152,'LP Reactivos'!BB152,'LP Reactivos'!BG152,'LP Reactivos'!BL152,'LP Reactivos'!BQ152,'LP Reactivos'!BV152,'LP Reactivos'!CA152,'LP Reactivos'!CF152,'LP Reactivos'!CK152,'LP Reactivos'!CP152,'LP Reactivos'!CU152,'LP Reactivos'!CZ152,'LP Reactivos'!DE152,'LP Reactivos'!DJ152,'LP Reactivos'!DO152,'LP Reactivos'!DT152,'LP Reactivos'!DY152,'LP Reactivos'!EB152)," ")</f>
        <v>4</v>
      </c>
    </row>
    <row r="153" spans="2:12" x14ac:dyDescent="0.25">
      <c r="B153" s="425">
        <v>151</v>
      </c>
      <c r="C153" s="428" t="s">
        <v>1125</v>
      </c>
      <c r="D153" s="429">
        <f>IFERROR(MIN('LP Reactivos'!F153,'LP Reactivos'!I153,'LP Reactivos'!N153,'LP Reactivos'!S153,'LP Reactivos'!X153,'LP Reactivos'!AC153,'LP Reactivos'!AH153,'LP Reactivos'!AM153,'LP Reactivos'!AR153,'LP Reactivos'!AW153,'LP Reactivos'!BB153,'LP Reactivos'!BG153,'LP Reactivos'!BL153,'LP Reactivos'!BQ153,'LP Reactivos'!BV153,'LP Reactivos'!CA153,'LP Reactivos'!CF153,'LP Reactivos'!CK153,'LP Reactivos'!CP153,'LP Reactivos'!CU153,'LP Reactivos'!CZ153,'LP Reactivos'!DE153,'LP Reactivos'!DJ153,'LP Reactivos'!DO153,'LP Reactivos'!DT153,'LP Reactivos'!DY153,'LP Reactivos'!EB153)," ")</f>
        <v>265370</v>
      </c>
      <c r="E153" s="429">
        <f>IFERROR(AVERAGE('LP Reactivos'!F153,'LP Reactivos'!I153,'LP Reactivos'!N153,'LP Reactivos'!S153,'LP Reactivos'!X153,'LP Reactivos'!AC153,'LP Reactivos'!AH153,'LP Reactivos'!AM153,'LP Reactivos'!AR153,'LP Reactivos'!AW153,'LP Reactivos'!BB153,'LP Reactivos'!BG153,'LP Reactivos'!BL153,'LP Reactivos'!BQ153,'LP Reactivos'!BV153,'LP Reactivos'!CA153,'LP Reactivos'!CF153,'LP Reactivos'!CK153,'LP Reactivos'!CP153,'LP Reactivos'!CU153,'LP Reactivos'!CZ153,'LP Reactivos'!DE153,'LP Reactivos'!DJ153,'LP Reactivos'!DO153,'LP Reactivos'!DT153,'LP Reactivos'!DY153,'LP Reactivos'!EB153)," ")</f>
        <v>634130.49</v>
      </c>
      <c r="F153" s="345">
        <f>IFERROR(MEDIAN('LP Reactivos'!F153,'LP Reactivos'!I153,'LP Reactivos'!N153,'LP Reactivos'!S153,'LP Reactivos'!X153,'LP Reactivos'!AC153,'LP Reactivos'!AH153,'LP Reactivos'!AM153,'LP Reactivos'!AR153,'LP Reactivos'!AW153,'LP Reactivos'!BB153,'LP Reactivos'!BG153,'LP Reactivos'!BL153,'LP Reactivos'!BQ153,'LP Reactivos'!BV153,'LP Reactivos'!CA153,'LP Reactivos'!CF153,'LP Reactivos'!CK153,'LP Reactivos'!CP153,'LP Reactivos'!CU153,'LP Reactivos'!CZ153,'LP Reactivos'!DE153,'LP Reactivos'!DJ153,'LP Reactivos'!DO153,'LP Reactivos'!DT153,'LP Reactivos'!DY153,'LP Reactivos'!EB153)," ")</f>
        <v>604547.72</v>
      </c>
      <c r="G153" s="345">
        <f>IFERROR(GEOMEAN('LP Reactivos'!F153,'LP Reactivos'!I153,'LP Reactivos'!N153,'LP Reactivos'!S153,'LP Reactivos'!X153,'LP Reactivos'!AC153,'LP Reactivos'!AH153,'LP Reactivos'!AM153,'LP Reactivos'!AR153,'LP Reactivos'!AW153,'LP Reactivos'!BB153,'LP Reactivos'!BG153,'LP Reactivos'!BL153,'LP Reactivos'!BQ153,'LP Reactivos'!BV153,'LP Reactivos'!CA153,'LP Reactivos'!CF153,'LP Reactivos'!CK153,'LP Reactivos'!CP153,'LP Reactivos'!CU153,'LP Reactivos'!CZ153,'LP Reactivos'!DE153,'LP Reactivos'!DJ153,'LP Reactivos'!DO153,'LP Reactivos'!DT153,'LP Reactivos'!DY153,'LP Reactivos'!EB153)," ")</f>
        <v>567881.97318874684</v>
      </c>
      <c r="H153" s="345">
        <f t="shared" si="8"/>
        <v>170574.44657728847</v>
      </c>
      <c r="I153" s="346">
        <f t="shared" si="9"/>
        <v>0.26898950494761492</v>
      </c>
      <c r="J153" s="345">
        <f t="shared" si="10"/>
        <v>567881.97318874684</v>
      </c>
      <c r="K153" s="344" t="str">
        <f t="shared" si="11"/>
        <v>Media Geométrica</v>
      </c>
      <c r="L153" s="326">
        <f>IFERROR(COUNTA('LP Reactivos'!F153,'LP Reactivos'!I153,'LP Reactivos'!N153,'LP Reactivos'!S153,'LP Reactivos'!X153,'LP Reactivos'!AC153,'LP Reactivos'!AH153,'LP Reactivos'!AM153,'LP Reactivos'!AR153,'LP Reactivos'!AW153,'LP Reactivos'!BB153,'LP Reactivos'!BG153,'LP Reactivos'!BL153,'LP Reactivos'!BQ153,'LP Reactivos'!BV153,'LP Reactivos'!CA153,'LP Reactivos'!CF153,'LP Reactivos'!CK153,'LP Reactivos'!CP153,'LP Reactivos'!CU153,'LP Reactivos'!CZ153,'LP Reactivos'!DE153,'LP Reactivos'!DJ153,'LP Reactivos'!DO153,'LP Reactivos'!DT153,'LP Reactivos'!DY153,'LP Reactivos'!EB153)," ")</f>
        <v>6</v>
      </c>
    </row>
    <row r="154" spans="2:12" x14ac:dyDescent="0.25">
      <c r="B154" s="425">
        <v>152</v>
      </c>
      <c r="C154" s="426" t="s">
        <v>1131</v>
      </c>
      <c r="D154" s="429">
        <f>IFERROR(MIN('LP Reactivos'!F154,'LP Reactivos'!I154,'LP Reactivos'!N154,'LP Reactivos'!S154,'LP Reactivos'!X154,'LP Reactivos'!AC154,'LP Reactivos'!AH154,'LP Reactivos'!AM154,'LP Reactivos'!AR154,'LP Reactivos'!AW154,'LP Reactivos'!BB154,'LP Reactivos'!BG154,'LP Reactivos'!BL154,'LP Reactivos'!BQ154,'LP Reactivos'!BV154,'LP Reactivos'!CA154,'LP Reactivos'!CF154,'LP Reactivos'!CK154,'LP Reactivos'!CP154,'LP Reactivos'!CU154,'LP Reactivos'!CZ154,'LP Reactivos'!DE154,'LP Reactivos'!DJ154,'LP Reactivos'!DO154,'LP Reactivos'!DT154,'LP Reactivos'!DY154,'LP Reactivos'!EB154)," ")</f>
        <v>164220</v>
      </c>
      <c r="E154" s="429">
        <f>IFERROR(AVERAGE('LP Reactivos'!F154,'LP Reactivos'!I154,'LP Reactivos'!N154,'LP Reactivos'!S154,'LP Reactivos'!X154,'LP Reactivos'!AC154,'LP Reactivos'!AH154,'LP Reactivos'!AM154,'LP Reactivos'!AR154,'LP Reactivos'!AW154,'LP Reactivos'!BB154,'LP Reactivos'!BG154,'LP Reactivos'!BL154,'LP Reactivos'!BQ154,'LP Reactivos'!BV154,'LP Reactivos'!CA154,'LP Reactivos'!CF154,'LP Reactivos'!CK154,'LP Reactivos'!CP154,'LP Reactivos'!CU154,'LP Reactivos'!CZ154,'LP Reactivos'!DE154,'LP Reactivos'!DJ154,'LP Reactivos'!DO154,'LP Reactivos'!DT154,'LP Reactivos'!DY154,'LP Reactivos'!EB154)," ")</f>
        <v>249543.7</v>
      </c>
      <c r="F154" s="345">
        <f>IFERROR(MEDIAN('LP Reactivos'!F154,'LP Reactivos'!I154,'LP Reactivos'!N154,'LP Reactivos'!S154,'LP Reactivos'!X154,'LP Reactivos'!AC154,'LP Reactivos'!AH154,'LP Reactivos'!AM154,'LP Reactivos'!AR154,'LP Reactivos'!AW154,'LP Reactivos'!BB154,'LP Reactivos'!BG154,'LP Reactivos'!BL154,'LP Reactivos'!BQ154,'LP Reactivos'!BV154,'LP Reactivos'!CA154,'LP Reactivos'!CF154,'LP Reactivos'!CK154,'LP Reactivos'!CP154,'LP Reactivos'!CU154,'LP Reactivos'!CZ154,'LP Reactivos'!DE154,'LP Reactivos'!DJ154,'LP Reactivos'!DO154,'LP Reactivos'!DT154,'LP Reactivos'!DY154,'LP Reactivos'!EB154)," ")</f>
        <v>232002.4</v>
      </c>
      <c r="G154" s="345">
        <f>IFERROR(GEOMEAN('LP Reactivos'!F154,'LP Reactivos'!I154,'LP Reactivos'!N154,'LP Reactivos'!S154,'LP Reactivos'!X154,'LP Reactivos'!AC154,'LP Reactivos'!AH154,'LP Reactivos'!AM154,'LP Reactivos'!AR154,'LP Reactivos'!AW154,'LP Reactivos'!BB154,'LP Reactivos'!BG154,'LP Reactivos'!BL154,'LP Reactivos'!BQ154,'LP Reactivos'!BV154,'LP Reactivos'!CA154,'LP Reactivos'!CF154,'LP Reactivos'!CK154,'LP Reactivos'!CP154,'LP Reactivos'!CU154,'LP Reactivos'!CZ154,'LP Reactivos'!DE154,'LP Reactivos'!DJ154,'LP Reactivos'!DO154,'LP Reactivos'!DT154,'LP Reactivos'!DY154,'LP Reactivos'!EB154)," ")</f>
        <v>239056.21955193774</v>
      </c>
      <c r="H154" s="345">
        <f t="shared" si="8"/>
        <v>38667.91101846769</v>
      </c>
      <c r="I154" s="346">
        <f t="shared" si="9"/>
        <v>0.15495446696697887</v>
      </c>
      <c r="J154" s="345">
        <f t="shared" si="10"/>
        <v>249543.7</v>
      </c>
      <c r="K154" s="344" t="str">
        <f t="shared" si="11"/>
        <v>Promedio</v>
      </c>
      <c r="L154" s="326">
        <f>IFERROR(COUNTA('LP Reactivos'!F154,'LP Reactivos'!I154,'LP Reactivos'!N154,'LP Reactivos'!S154,'LP Reactivos'!X154,'LP Reactivos'!AC154,'LP Reactivos'!AH154,'LP Reactivos'!AM154,'LP Reactivos'!AR154,'LP Reactivos'!AW154,'LP Reactivos'!BB154,'LP Reactivos'!BG154,'LP Reactivos'!BL154,'LP Reactivos'!BQ154,'LP Reactivos'!BV154,'LP Reactivos'!CA154,'LP Reactivos'!CF154,'LP Reactivos'!CK154,'LP Reactivos'!CP154,'LP Reactivos'!CU154,'LP Reactivos'!CZ154,'LP Reactivos'!DE154,'LP Reactivos'!DJ154,'LP Reactivos'!DO154,'LP Reactivos'!DT154,'LP Reactivos'!DY154,'LP Reactivos'!EB154)," ")</f>
        <v>4</v>
      </c>
    </row>
    <row r="155" spans="2:12" x14ac:dyDescent="0.25">
      <c r="B155" s="425">
        <v>153</v>
      </c>
      <c r="C155" s="427" t="s">
        <v>1135</v>
      </c>
      <c r="D155" s="429">
        <f>IFERROR(MIN('LP Reactivos'!F155,'LP Reactivos'!I155,'LP Reactivos'!N155,'LP Reactivos'!S155,'LP Reactivos'!X155,'LP Reactivos'!AC155,'LP Reactivos'!AH155,'LP Reactivos'!AM155,'LP Reactivos'!AR155,'LP Reactivos'!AW155,'LP Reactivos'!BB155,'LP Reactivos'!BG155,'LP Reactivos'!BL155,'LP Reactivos'!BQ155,'LP Reactivos'!BV155,'LP Reactivos'!CA155,'LP Reactivos'!CF155,'LP Reactivos'!CK155,'LP Reactivos'!CP155,'LP Reactivos'!CU155,'LP Reactivos'!CZ155,'LP Reactivos'!DE155,'LP Reactivos'!DJ155,'LP Reactivos'!DO155,'LP Reactivos'!DT155,'LP Reactivos'!DY155,'LP Reactivos'!EB155)," ")</f>
        <v>727586</v>
      </c>
      <c r="E155" s="429">
        <f>IFERROR(AVERAGE('LP Reactivos'!F155,'LP Reactivos'!I155,'LP Reactivos'!N155,'LP Reactivos'!S155,'LP Reactivos'!X155,'LP Reactivos'!AC155,'LP Reactivos'!AH155,'LP Reactivos'!AM155,'LP Reactivos'!AR155,'LP Reactivos'!AW155,'LP Reactivos'!BB155,'LP Reactivos'!BG155,'LP Reactivos'!BL155,'LP Reactivos'!BQ155,'LP Reactivos'!BV155,'LP Reactivos'!CA155,'LP Reactivos'!CF155,'LP Reactivos'!CK155,'LP Reactivos'!CP155,'LP Reactivos'!CU155,'LP Reactivos'!CZ155,'LP Reactivos'!DE155,'LP Reactivos'!DJ155,'LP Reactivos'!DO155,'LP Reactivos'!DT155,'LP Reactivos'!DY155,'LP Reactivos'!EB155)," ")</f>
        <v>1035242.486</v>
      </c>
      <c r="F155" s="345">
        <f>IFERROR(MEDIAN('LP Reactivos'!F155,'LP Reactivos'!I155,'LP Reactivos'!N155,'LP Reactivos'!S155,'LP Reactivos'!X155,'LP Reactivos'!AC155,'LP Reactivos'!AH155,'LP Reactivos'!AM155,'LP Reactivos'!AR155,'LP Reactivos'!AW155,'LP Reactivos'!BB155,'LP Reactivos'!BG155,'LP Reactivos'!BL155,'LP Reactivos'!BQ155,'LP Reactivos'!BV155,'LP Reactivos'!CA155,'LP Reactivos'!CF155,'LP Reactivos'!CK155,'LP Reactivos'!CP155,'LP Reactivos'!CU155,'LP Reactivos'!CZ155,'LP Reactivos'!DE155,'LP Reactivos'!DJ155,'LP Reactivos'!DO155,'LP Reactivos'!DT155,'LP Reactivos'!DY155,'LP Reactivos'!EB155)," ")</f>
        <v>981750</v>
      </c>
      <c r="G155" s="345">
        <f>IFERROR(GEOMEAN('LP Reactivos'!F155,'LP Reactivos'!I155,'LP Reactivos'!N155,'LP Reactivos'!S155,'LP Reactivos'!X155,'LP Reactivos'!AC155,'LP Reactivos'!AH155,'LP Reactivos'!AM155,'LP Reactivos'!AR155,'LP Reactivos'!AW155,'LP Reactivos'!BB155,'LP Reactivos'!BG155,'LP Reactivos'!BL155,'LP Reactivos'!BQ155,'LP Reactivos'!BV155,'LP Reactivos'!CA155,'LP Reactivos'!CF155,'LP Reactivos'!CK155,'LP Reactivos'!CP155,'LP Reactivos'!CU155,'LP Reactivos'!CZ155,'LP Reactivos'!DE155,'LP Reactivos'!DJ155,'LP Reactivos'!DO155,'LP Reactivos'!DT155,'LP Reactivos'!DY155,'LP Reactivos'!EB155)," ")</f>
        <v>999150.26778803649</v>
      </c>
      <c r="H155" s="345">
        <f t="shared" si="8"/>
        <v>140672.7489027094</v>
      </c>
      <c r="I155" s="346">
        <f t="shared" si="9"/>
        <v>0.13588386373732095</v>
      </c>
      <c r="J155" s="345">
        <f t="shared" si="10"/>
        <v>1035242.486</v>
      </c>
      <c r="K155" s="344" t="str">
        <f t="shared" si="11"/>
        <v>Promedio</v>
      </c>
      <c r="L155" s="326">
        <f>IFERROR(COUNTA('LP Reactivos'!F155,'LP Reactivos'!I155,'LP Reactivos'!N155,'LP Reactivos'!S155,'LP Reactivos'!X155,'LP Reactivos'!AC155,'LP Reactivos'!AH155,'LP Reactivos'!AM155,'LP Reactivos'!AR155,'LP Reactivos'!AW155,'LP Reactivos'!BB155,'LP Reactivos'!BG155,'LP Reactivos'!BL155,'LP Reactivos'!BQ155,'LP Reactivos'!BV155,'LP Reactivos'!CA155,'LP Reactivos'!CF155,'LP Reactivos'!CK155,'LP Reactivos'!CP155,'LP Reactivos'!CU155,'LP Reactivos'!CZ155,'LP Reactivos'!DE155,'LP Reactivos'!DJ155,'LP Reactivos'!DO155,'LP Reactivos'!DT155,'LP Reactivos'!DY155,'LP Reactivos'!EB155)," ")</f>
        <v>3</v>
      </c>
    </row>
    <row r="156" spans="2:12" x14ac:dyDescent="0.25">
      <c r="B156" s="425">
        <v>154</v>
      </c>
      <c r="C156" s="427" t="s">
        <v>1138</v>
      </c>
      <c r="D156" s="429">
        <f>IFERROR(MIN('LP Reactivos'!F156,'LP Reactivos'!I156,'LP Reactivos'!N156,'LP Reactivos'!S156,'LP Reactivos'!X156,'LP Reactivos'!AC156,'LP Reactivos'!AH156,'LP Reactivos'!AM156,'LP Reactivos'!AR156,'LP Reactivos'!AW156,'LP Reactivos'!BB156,'LP Reactivos'!BG156,'LP Reactivos'!BL156,'LP Reactivos'!BQ156,'LP Reactivos'!BV156,'LP Reactivos'!CA156,'LP Reactivos'!CF156,'LP Reactivos'!CK156,'LP Reactivos'!CP156,'LP Reactivos'!CU156,'LP Reactivos'!CZ156,'LP Reactivos'!DE156,'LP Reactivos'!DJ156,'LP Reactivos'!DO156,'LP Reactivos'!DT156,'LP Reactivos'!DY156,'LP Reactivos'!EB156)," ")</f>
        <v>190400</v>
      </c>
      <c r="E156" s="429">
        <f>IFERROR(AVERAGE('LP Reactivos'!F156,'LP Reactivos'!I156,'LP Reactivos'!N156,'LP Reactivos'!S156,'LP Reactivos'!X156,'LP Reactivos'!AC156,'LP Reactivos'!AH156,'LP Reactivos'!AM156,'LP Reactivos'!AR156,'LP Reactivos'!AW156,'LP Reactivos'!BB156,'LP Reactivos'!BG156,'LP Reactivos'!BL156,'LP Reactivos'!BQ156,'LP Reactivos'!BV156,'LP Reactivos'!CA156,'LP Reactivos'!CF156,'LP Reactivos'!CK156,'LP Reactivos'!CP156,'LP Reactivos'!CU156,'LP Reactivos'!CZ156,'LP Reactivos'!DE156,'LP Reactivos'!DJ156,'LP Reactivos'!DO156,'LP Reactivos'!DT156,'LP Reactivos'!DY156,'LP Reactivos'!EB156)," ")</f>
        <v>843738.42833333334</v>
      </c>
      <c r="F156" s="345">
        <f>IFERROR(MEDIAN('LP Reactivos'!F156,'LP Reactivos'!I156,'LP Reactivos'!N156,'LP Reactivos'!S156,'LP Reactivos'!X156,'LP Reactivos'!AC156,'LP Reactivos'!AH156,'LP Reactivos'!AM156,'LP Reactivos'!AR156,'LP Reactivos'!AW156,'LP Reactivos'!BB156,'LP Reactivos'!BG156,'LP Reactivos'!BL156,'LP Reactivos'!BQ156,'LP Reactivos'!BV156,'LP Reactivos'!CA156,'LP Reactivos'!CF156,'LP Reactivos'!CK156,'LP Reactivos'!CP156,'LP Reactivos'!CU156,'LP Reactivos'!CZ156,'LP Reactivos'!DE156,'LP Reactivos'!DJ156,'LP Reactivos'!DO156,'LP Reactivos'!DT156,'LP Reactivos'!DY156,'LP Reactivos'!EB156)," ")</f>
        <v>849749.45</v>
      </c>
      <c r="G156" s="345">
        <f>IFERROR(GEOMEAN('LP Reactivos'!F156,'LP Reactivos'!I156,'LP Reactivos'!N156,'LP Reactivos'!S156,'LP Reactivos'!X156,'LP Reactivos'!AC156,'LP Reactivos'!AH156,'LP Reactivos'!AM156,'LP Reactivos'!AR156,'LP Reactivos'!AW156,'LP Reactivos'!BB156,'LP Reactivos'!BG156,'LP Reactivos'!BL156,'LP Reactivos'!BQ156,'LP Reactivos'!BV156,'LP Reactivos'!CA156,'LP Reactivos'!CF156,'LP Reactivos'!CK156,'LP Reactivos'!CP156,'LP Reactivos'!CU156,'LP Reactivos'!CZ156,'LP Reactivos'!DE156,'LP Reactivos'!DJ156,'LP Reactivos'!DO156,'LP Reactivos'!DT156,'LP Reactivos'!DY156,'LP Reactivos'!EB156)," ")</f>
        <v>706323.58149693499</v>
      </c>
      <c r="H156" s="345">
        <f t="shared" si="8"/>
        <v>311884.04540862661</v>
      </c>
      <c r="I156" s="346">
        <f t="shared" si="9"/>
        <v>0.3696454196411349</v>
      </c>
      <c r="J156" s="345">
        <f>IF(I156&lt;=10%,F156,IF(AND(I156&gt;10%,I156&lt;=20%),E156,IF(AND(I156&gt;20%,I156&lt;=38%),G156,IF(I156&gt;38%,D156))))</f>
        <v>706323.58149693499</v>
      </c>
      <c r="K156" s="344" t="str">
        <f t="shared" si="11"/>
        <v>Media Geométrica</v>
      </c>
      <c r="L156" s="326">
        <f>IFERROR(COUNTA('LP Reactivos'!F156,'LP Reactivos'!I156,'LP Reactivos'!N156,'LP Reactivos'!S156,'LP Reactivos'!X156,'LP Reactivos'!AC156,'LP Reactivos'!AH156,'LP Reactivos'!AM156,'LP Reactivos'!AR156,'LP Reactivos'!AW156,'LP Reactivos'!BB156,'LP Reactivos'!BG156,'LP Reactivos'!BL156,'LP Reactivos'!BQ156,'LP Reactivos'!BV156,'LP Reactivos'!CA156,'LP Reactivos'!CF156,'LP Reactivos'!CK156,'LP Reactivos'!CP156,'LP Reactivos'!CU156,'LP Reactivos'!CZ156,'LP Reactivos'!DE156,'LP Reactivos'!DJ156,'LP Reactivos'!DO156,'LP Reactivos'!DT156,'LP Reactivos'!DY156,'LP Reactivos'!EB156)," ")</f>
        <v>6</v>
      </c>
    </row>
    <row r="157" spans="2:12" x14ac:dyDescent="0.25">
      <c r="B157" s="425">
        <v>155</v>
      </c>
      <c r="C157" s="426" t="s">
        <v>1142</v>
      </c>
      <c r="D157" s="429">
        <f>IFERROR(MIN('LP Reactivos'!F157,'LP Reactivos'!I157,'LP Reactivos'!N157,'LP Reactivos'!S157,'LP Reactivos'!X157,'LP Reactivos'!AC157,'LP Reactivos'!AH157,'LP Reactivos'!AM157,'LP Reactivos'!AR157,'LP Reactivos'!AW157,'LP Reactivos'!BB157,'LP Reactivos'!BG157,'LP Reactivos'!BL157,'LP Reactivos'!BQ157,'LP Reactivos'!BV157,'LP Reactivos'!CA157,'LP Reactivos'!CF157,'LP Reactivos'!CK157,'LP Reactivos'!CP157,'LP Reactivos'!CU157,'LP Reactivos'!CZ157,'LP Reactivos'!DE157,'LP Reactivos'!DJ157,'LP Reactivos'!DO157,'LP Reactivos'!DT157,'LP Reactivos'!DY157,'LP Reactivos'!EB157)," ")</f>
        <v>149940</v>
      </c>
      <c r="E157" s="429">
        <f>IFERROR(AVERAGE('LP Reactivos'!F157,'LP Reactivos'!I157,'LP Reactivos'!N157,'LP Reactivos'!S157,'LP Reactivos'!X157,'LP Reactivos'!AC157,'LP Reactivos'!AH157,'LP Reactivos'!AM157,'LP Reactivos'!AR157,'LP Reactivos'!AW157,'LP Reactivos'!BB157,'LP Reactivos'!BG157,'LP Reactivos'!BL157,'LP Reactivos'!BQ157,'LP Reactivos'!BV157,'LP Reactivos'!CA157,'LP Reactivos'!CF157,'LP Reactivos'!CK157,'LP Reactivos'!CP157,'LP Reactivos'!CU157,'LP Reactivos'!CZ157,'LP Reactivos'!DE157,'LP Reactivos'!DJ157,'LP Reactivos'!DO157,'LP Reactivos'!DT157,'LP Reactivos'!DY157,'LP Reactivos'!EB157)," ")</f>
        <v>685997.45</v>
      </c>
      <c r="F157" s="345">
        <f>IFERROR(MEDIAN('LP Reactivos'!F157,'LP Reactivos'!I157,'LP Reactivos'!N157,'LP Reactivos'!S157,'LP Reactivos'!X157,'LP Reactivos'!AC157,'LP Reactivos'!AH157,'LP Reactivos'!AM157,'LP Reactivos'!AR157,'LP Reactivos'!AW157,'LP Reactivos'!BB157,'LP Reactivos'!BG157,'LP Reactivos'!BL157,'LP Reactivos'!BQ157,'LP Reactivos'!BV157,'LP Reactivos'!CA157,'LP Reactivos'!CF157,'LP Reactivos'!CK157,'LP Reactivos'!CP157,'LP Reactivos'!CU157,'LP Reactivos'!CZ157,'LP Reactivos'!DE157,'LP Reactivos'!DJ157,'LP Reactivos'!DO157,'LP Reactivos'!DT157,'LP Reactivos'!DY157,'LP Reactivos'!EB157)," ")</f>
        <v>700148.4</v>
      </c>
      <c r="G157" s="345">
        <f>IFERROR(GEOMEAN('LP Reactivos'!F157,'LP Reactivos'!I157,'LP Reactivos'!N157,'LP Reactivos'!S157,'LP Reactivos'!X157,'LP Reactivos'!AC157,'LP Reactivos'!AH157,'LP Reactivos'!AM157,'LP Reactivos'!AR157,'LP Reactivos'!AW157,'LP Reactivos'!BB157,'LP Reactivos'!BG157,'LP Reactivos'!BL157,'LP Reactivos'!BQ157,'LP Reactivos'!BV157,'LP Reactivos'!CA157,'LP Reactivos'!CF157,'LP Reactivos'!CK157,'LP Reactivos'!CP157,'LP Reactivos'!CU157,'LP Reactivos'!CZ157,'LP Reactivos'!DE157,'LP Reactivos'!DJ157,'LP Reactivos'!DO157,'LP Reactivos'!DT157,'LP Reactivos'!DY157,'LP Reactivos'!EB157)," ")</f>
        <v>536225.44644781342</v>
      </c>
      <c r="H157" s="345">
        <f t="shared" si="8"/>
        <v>256386.09498236235</v>
      </c>
      <c r="I157" s="346">
        <f t="shared" si="9"/>
        <v>0.37374205251398873</v>
      </c>
      <c r="J157" s="345">
        <f>IF(I157&lt;=10%,F157,IF(AND(I157&gt;10%,I157&lt;=20%),E157,IF(AND(I157&gt;20%,I157&lt;=38%),G157,IF(I157&gt;38%,D157))))</f>
        <v>536225.44644781342</v>
      </c>
      <c r="K157" s="344" t="str">
        <f t="shared" si="11"/>
        <v>Media Geométrica</v>
      </c>
      <c r="L157" s="326">
        <f>IFERROR(COUNTA('LP Reactivos'!F157,'LP Reactivos'!I157,'LP Reactivos'!N157,'LP Reactivos'!S157,'LP Reactivos'!X157,'LP Reactivos'!AC157,'LP Reactivos'!AH157,'LP Reactivos'!AM157,'LP Reactivos'!AR157,'LP Reactivos'!AW157,'LP Reactivos'!BB157,'LP Reactivos'!BG157,'LP Reactivos'!BL157,'LP Reactivos'!BQ157,'LP Reactivos'!BV157,'LP Reactivos'!CA157,'LP Reactivos'!CF157,'LP Reactivos'!CK157,'LP Reactivos'!CP157,'LP Reactivos'!CU157,'LP Reactivos'!CZ157,'LP Reactivos'!DE157,'LP Reactivos'!DJ157,'LP Reactivos'!DO157,'LP Reactivos'!DT157,'LP Reactivos'!DY157,'LP Reactivos'!EB157)," ")</f>
        <v>4</v>
      </c>
    </row>
    <row r="158" spans="2:12" ht="27" x14ac:dyDescent="0.25">
      <c r="B158" s="425">
        <v>156</v>
      </c>
      <c r="C158" s="427" t="s">
        <v>1146</v>
      </c>
      <c r="D158" s="429">
        <f>IFERROR(MIN('LP Reactivos'!F158,'LP Reactivos'!I158,'LP Reactivos'!N158,'LP Reactivos'!S158,'LP Reactivos'!X158,'LP Reactivos'!AC158,'LP Reactivos'!AH158,'LP Reactivos'!AM158,'LP Reactivos'!AR158,'LP Reactivos'!AW158,'LP Reactivos'!BB158,'LP Reactivos'!BG158,'LP Reactivos'!BL158,'LP Reactivos'!BQ158,'LP Reactivos'!BV158,'LP Reactivos'!CA158,'LP Reactivos'!CF158,'LP Reactivos'!CK158,'LP Reactivos'!CP158,'LP Reactivos'!CU158,'LP Reactivos'!CZ158,'LP Reactivos'!DE158,'LP Reactivos'!DJ158,'LP Reactivos'!DO158,'LP Reactivos'!DT158,'LP Reactivos'!DY158,'LP Reactivos'!EB158)," ")</f>
        <v>321300</v>
      </c>
      <c r="E158" s="429">
        <f>IFERROR(AVERAGE('LP Reactivos'!F158,'LP Reactivos'!I158,'LP Reactivos'!N158,'LP Reactivos'!S158,'LP Reactivos'!X158,'LP Reactivos'!AC158,'LP Reactivos'!AH158,'LP Reactivos'!AM158,'LP Reactivos'!AR158,'LP Reactivos'!AW158,'LP Reactivos'!BB158,'LP Reactivos'!BG158,'LP Reactivos'!BL158,'LP Reactivos'!BQ158,'LP Reactivos'!BV158,'LP Reactivos'!CA158,'LP Reactivos'!CF158,'LP Reactivos'!CK158,'LP Reactivos'!CP158,'LP Reactivos'!CU158,'LP Reactivos'!CZ158,'LP Reactivos'!DE158,'LP Reactivos'!DJ158,'LP Reactivos'!DO158,'LP Reactivos'!DT158,'LP Reactivos'!DY158,'LP Reactivos'!EB158)," ")</f>
        <v>1384124.31</v>
      </c>
      <c r="F158" s="345">
        <f>IFERROR(MEDIAN('LP Reactivos'!F158,'LP Reactivos'!I158,'LP Reactivos'!N158,'LP Reactivos'!S158,'LP Reactivos'!X158,'LP Reactivos'!AC158,'LP Reactivos'!AH158,'LP Reactivos'!AM158,'LP Reactivos'!AR158,'LP Reactivos'!AW158,'LP Reactivos'!BB158,'LP Reactivos'!BG158,'LP Reactivos'!BL158,'LP Reactivos'!BQ158,'LP Reactivos'!BV158,'LP Reactivos'!CA158,'LP Reactivos'!CF158,'LP Reactivos'!CK158,'LP Reactivos'!CP158,'LP Reactivos'!CU158,'LP Reactivos'!CZ158,'LP Reactivos'!DE158,'LP Reactivos'!DJ158,'LP Reactivos'!DO158,'LP Reactivos'!DT158,'LP Reactivos'!DY158,'LP Reactivos'!EB158)," ")</f>
        <v>455483.62</v>
      </c>
      <c r="G158" s="345">
        <f>IFERROR(GEOMEAN('LP Reactivos'!F158,'LP Reactivos'!I158,'LP Reactivos'!N158,'LP Reactivos'!S158,'LP Reactivos'!X158,'LP Reactivos'!AC158,'LP Reactivos'!AH158,'LP Reactivos'!AM158,'LP Reactivos'!AR158,'LP Reactivos'!AW158,'LP Reactivos'!BB158,'LP Reactivos'!BG158,'LP Reactivos'!BL158,'LP Reactivos'!BQ158,'LP Reactivos'!BV158,'LP Reactivos'!CA158,'LP Reactivos'!CF158,'LP Reactivos'!CK158,'LP Reactivos'!CP158,'LP Reactivos'!CU158,'LP Reactivos'!CZ158,'LP Reactivos'!DE158,'LP Reactivos'!DJ158,'LP Reactivos'!DO158,'LP Reactivos'!DT158,'LP Reactivos'!DY158,'LP Reactivos'!EB158)," ")</f>
        <v>727540.39310211001</v>
      </c>
      <c r="H158" s="345">
        <f t="shared" si="8"/>
        <v>472592.39604850666</v>
      </c>
      <c r="I158" s="346">
        <f t="shared" si="9"/>
        <v>0.34143782652622195</v>
      </c>
      <c r="J158" s="345">
        <f>IF(I158&lt;=10%,F158,IF(AND(I158&gt;10%,I158&lt;=20%),E158,IF(AND(I158&gt;20%,I158&lt;=35%),G158,IF(I158&gt;35%,D158))))</f>
        <v>727540.39310211001</v>
      </c>
      <c r="K158" s="344" t="str">
        <f t="shared" si="11"/>
        <v>Media Geométrica</v>
      </c>
      <c r="L158" s="326">
        <f>IFERROR(COUNTA('LP Reactivos'!F158,'LP Reactivos'!I158,'LP Reactivos'!N158,'LP Reactivos'!S158,'LP Reactivos'!X158,'LP Reactivos'!AC158,'LP Reactivos'!AH158,'LP Reactivos'!AM158,'LP Reactivos'!AR158,'LP Reactivos'!AW158,'LP Reactivos'!BB158,'LP Reactivos'!BG158,'LP Reactivos'!BL158,'LP Reactivos'!BQ158,'LP Reactivos'!BV158,'LP Reactivos'!CA158,'LP Reactivos'!CF158,'LP Reactivos'!CK158,'LP Reactivos'!CP158,'LP Reactivos'!CU158,'LP Reactivos'!CZ158,'LP Reactivos'!DE158,'LP Reactivos'!DJ158,'LP Reactivos'!DO158,'LP Reactivos'!DT158,'LP Reactivos'!DY158,'LP Reactivos'!EB158)," ")</f>
        <v>4</v>
      </c>
    </row>
    <row r="159" spans="2:12" x14ac:dyDescent="0.25">
      <c r="B159" s="425">
        <v>157</v>
      </c>
      <c r="C159" s="427" t="s">
        <v>1151</v>
      </c>
      <c r="D159" s="429">
        <f>IFERROR(MIN('LP Reactivos'!F159,'LP Reactivos'!I159,'LP Reactivos'!N159,'LP Reactivos'!S159,'LP Reactivos'!X159,'LP Reactivos'!AC159,'LP Reactivos'!AH159,'LP Reactivos'!AM159,'LP Reactivos'!AR159,'LP Reactivos'!AW159,'LP Reactivos'!BB159,'LP Reactivos'!BG159,'LP Reactivos'!BL159,'LP Reactivos'!BQ159,'LP Reactivos'!BV159,'LP Reactivos'!CA159,'LP Reactivos'!CF159,'LP Reactivos'!CK159,'LP Reactivos'!CP159,'LP Reactivos'!CU159,'LP Reactivos'!CZ159,'LP Reactivos'!DE159,'LP Reactivos'!DJ159,'LP Reactivos'!DO159,'LP Reactivos'!DT159,'LP Reactivos'!DY159,'LP Reactivos'!EB159)," ")</f>
        <v>592735.21519999998</v>
      </c>
      <c r="E159" s="429">
        <f>IFERROR(AVERAGE('LP Reactivos'!F159,'LP Reactivos'!I159,'LP Reactivos'!N159,'LP Reactivos'!S159,'LP Reactivos'!X159,'LP Reactivos'!AC159,'LP Reactivos'!AH159,'LP Reactivos'!AM159,'LP Reactivos'!AR159,'LP Reactivos'!AW159,'LP Reactivos'!BB159,'LP Reactivos'!BG159,'LP Reactivos'!BL159,'LP Reactivos'!BQ159,'LP Reactivos'!BV159,'LP Reactivos'!CA159,'LP Reactivos'!CF159,'LP Reactivos'!CK159,'LP Reactivos'!CP159,'LP Reactivos'!CU159,'LP Reactivos'!CZ159,'LP Reactivos'!DE159,'LP Reactivos'!DJ159,'LP Reactivos'!DO159,'LP Reactivos'!DT159,'LP Reactivos'!DY159,'LP Reactivos'!EB159)," ")</f>
        <v>592735.21519999998</v>
      </c>
      <c r="F159" s="345">
        <f>IFERROR(MEDIAN('LP Reactivos'!F159,'LP Reactivos'!I159,'LP Reactivos'!N159,'LP Reactivos'!S159,'LP Reactivos'!X159,'LP Reactivos'!AC159,'LP Reactivos'!AH159,'LP Reactivos'!AM159,'LP Reactivos'!AR159,'LP Reactivos'!AW159,'LP Reactivos'!BB159,'LP Reactivos'!BG159,'LP Reactivos'!BL159,'LP Reactivos'!BQ159,'LP Reactivos'!BV159,'LP Reactivos'!CA159,'LP Reactivos'!CF159,'LP Reactivos'!CK159,'LP Reactivos'!CP159,'LP Reactivos'!CU159,'LP Reactivos'!CZ159,'LP Reactivos'!DE159,'LP Reactivos'!DJ159,'LP Reactivos'!DO159,'LP Reactivos'!DT159,'LP Reactivos'!DY159,'LP Reactivos'!EB159)," ")</f>
        <v>592735.21519999998</v>
      </c>
      <c r="G159" s="345">
        <f>IFERROR(GEOMEAN('LP Reactivos'!F159,'LP Reactivos'!I159,'LP Reactivos'!N159,'LP Reactivos'!S159,'LP Reactivos'!X159,'LP Reactivos'!AC159,'LP Reactivos'!AH159,'LP Reactivos'!AM159,'LP Reactivos'!AR159,'LP Reactivos'!AW159,'LP Reactivos'!BB159,'LP Reactivos'!BG159,'LP Reactivos'!BL159,'LP Reactivos'!BQ159,'LP Reactivos'!BV159,'LP Reactivos'!CA159,'LP Reactivos'!CF159,'LP Reactivos'!CK159,'LP Reactivos'!CP159,'LP Reactivos'!CU159,'LP Reactivos'!CZ159,'LP Reactivos'!DE159,'LP Reactivos'!DJ159,'LP Reactivos'!DO159,'LP Reactivos'!DT159,'LP Reactivos'!DY159,'LP Reactivos'!EB159)," ")</f>
        <v>592735.21519999998</v>
      </c>
      <c r="H159" s="345">
        <f t="shared" si="8"/>
        <v>0</v>
      </c>
      <c r="I159" s="346">
        <f t="shared" si="9"/>
        <v>0</v>
      </c>
      <c r="J159" s="345">
        <f t="shared" si="10"/>
        <v>592735.21519999998</v>
      </c>
      <c r="K159" s="344" t="str">
        <f t="shared" si="11"/>
        <v>Menor Valor</v>
      </c>
      <c r="L159" s="326">
        <f>IFERROR(COUNTA('LP Reactivos'!F159,'LP Reactivos'!I159,'LP Reactivos'!N159,'LP Reactivos'!S159,'LP Reactivos'!X159,'LP Reactivos'!AC159,'LP Reactivos'!AH159,'LP Reactivos'!AM159,'LP Reactivos'!AR159,'LP Reactivos'!AW159,'LP Reactivos'!BB159,'LP Reactivos'!BG159,'LP Reactivos'!BL159,'LP Reactivos'!BQ159,'LP Reactivos'!BV159,'LP Reactivos'!CA159,'LP Reactivos'!CF159,'LP Reactivos'!CK159,'LP Reactivos'!CP159,'LP Reactivos'!CU159,'LP Reactivos'!CZ159,'LP Reactivos'!DE159,'LP Reactivos'!DJ159,'LP Reactivos'!DO159,'LP Reactivos'!DT159,'LP Reactivos'!DY159,'LP Reactivos'!EB159)," ")</f>
        <v>1</v>
      </c>
    </row>
    <row r="160" spans="2:12" ht="27" x14ac:dyDescent="0.25">
      <c r="B160" s="425">
        <v>158</v>
      </c>
      <c r="C160" s="426" t="s">
        <v>1153</v>
      </c>
      <c r="D160" s="429">
        <f>IFERROR(MIN('LP Reactivos'!F160,'LP Reactivos'!I160,'LP Reactivos'!N160,'LP Reactivos'!S160,'LP Reactivos'!X160,'LP Reactivos'!AC160,'LP Reactivos'!AH160,'LP Reactivos'!AM160,'LP Reactivos'!AR160,'LP Reactivos'!AW160,'LP Reactivos'!BB160,'LP Reactivos'!BG160,'LP Reactivos'!BL160,'LP Reactivos'!BQ160,'LP Reactivos'!BV160,'LP Reactivos'!CA160,'LP Reactivos'!CF160,'LP Reactivos'!CK160,'LP Reactivos'!CP160,'LP Reactivos'!CU160,'LP Reactivos'!CZ160,'LP Reactivos'!DE160,'LP Reactivos'!DJ160,'LP Reactivos'!DO160,'LP Reactivos'!DT160,'LP Reactivos'!DY160,'LP Reactivos'!EB160)," ")</f>
        <v>297500</v>
      </c>
      <c r="E160" s="429">
        <f>IFERROR(AVERAGE('LP Reactivos'!F160,'LP Reactivos'!I160,'LP Reactivos'!N160,'LP Reactivos'!S160,'LP Reactivos'!X160,'LP Reactivos'!AC160,'LP Reactivos'!AH160,'LP Reactivos'!AM160,'LP Reactivos'!AR160,'LP Reactivos'!AW160,'LP Reactivos'!BB160,'LP Reactivos'!BG160,'LP Reactivos'!BL160,'LP Reactivos'!BQ160,'LP Reactivos'!BV160,'LP Reactivos'!CA160,'LP Reactivos'!CF160,'LP Reactivos'!CK160,'LP Reactivos'!CP160,'LP Reactivos'!CU160,'LP Reactivos'!CZ160,'LP Reactivos'!DE160,'LP Reactivos'!DJ160,'LP Reactivos'!DO160,'LP Reactivos'!DT160,'LP Reactivos'!DY160,'LP Reactivos'!EB160)," ")</f>
        <v>297500</v>
      </c>
      <c r="F160" s="345">
        <f>IFERROR(MEDIAN('LP Reactivos'!F160,'LP Reactivos'!I160,'LP Reactivos'!N160,'LP Reactivos'!S160,'LP Reactivos'!X160,'LP Reactivos'!AC160,'LP Reactivos'!AH160,'LP Reactivos'!AM160,'LP Reactivos'!AR160,'LP Reactivos'!AW160,'LP Reactivos'!BB160,'LP Reactivos'!BG160,'LP Reactivos'!BL160,'LP Reactivos'!BQ160,'LP Reactivos'!BV160,'LP Reactivos'!CA160,'LP Reactivos'!CF160,'LP Reactivos'!CK160,'LP Reactivos'!CP160,'LP Reactivos'!CU160,'LP Reactivos'!CZ160,'LP Reactivos'!DE160,'LP Reactivos'!DJ160,'LP Reactivos'!DO160,'LP Reactivos'!DT160,'LP Reactivos'!DY160,'LP Reactivos'!EB160)," ")</f>
        <v>297500</v>
      </c>
      <c r="G160" s="345">
        <f>IFERROR(GEOMEAN('LP Reactivos'!F160,'LP Reactivos'!I160,'LP Reactivos'!N160,'LP Reactivos'!S160,'LP Reactivos'!X160,'LP Reactivos'!AC160,'LP Reactivos'!AH160,'LP Reactivos'!AM160,'LP Reactivos'!AR160,'LP Reactivos'!AW160,'LP Reactivos'!BB160,'LP Reactivos'!BG160,'LP Reactivos'!BL160,'LP Reactivos'!BQ160,'LP Reactivos'!BV160,'LP Reactivos'!CA160,'LP Reactivos'!CF160,'LP Reactivos'!CK160,'LP Reactivos'!CP160,'LP Reactivos'!CU160,'LP Reactivos'!CZ160,'LP Reactivos'!DE160,'LP Reactivos'!DJ160,'LP Reactivos'!DO160,'LP Reactivos'!DT160,'LP Reactivos'!DY160,'LP Reactivos'!EB160)," ")</f>
        <v>297500</v>
      </c>
      <c r="H160" s="345">
        <f t="shared" si="8"/>
        <v>0</v>
      </c>
      <c r="I160" s="346">
        <f t="shared" si="9"/>
        <v>0</v>
      </c>
      <c r="J160" s="345">
        <f t="shared" si="10"/>
        <v>297500</v>
      </c>
      <c r="K160" s="344" t="str">
        <f t="shared" si="11"/>
        <v>Menor Valor</v>
      </c>
      <c r="L160" s="326">
        <f>IFERROR(COUNTA('LP Reactivos'!F160,'LP Reactivos'!I160,'LP Reactivos'!N160,'LP Reactivos'!S160,'LP Reactivos'!X160,'LP Reactivos'!AC160,'LP Reactivos'!AH160,'LP Reactivos'!AM160,'LP Reactivos'!AR160,'LP Reactivos'!AW160,'LP Reactivos'!BB160,'LP Reactivos'!BG160,'LP Reactivos'!BL160,'LP Reactivos'!BQ160,'LP Reactivos'!BV160,'LP Reactivos'!CA160,'LP Reactivos'!CF160,'LP Reactivos'!CK160,'LP Reactivos'!CP160,'LP Reactivos'!CU160,'LP Reactivos'!CZ160,'LP Reactivos'!DE160,'LP Reactivos'!DJ160,'LP Reactivos'!DO160,'LP Reactivos'!DT160,'LP Reactivos'!DY160,'LP Reactivos'!EB160)," ")</f>
        <v>1</v>
      </c>
    </row>
    <row r="161" spans="2:12" x14ac:dyDescent="0.25">
      <c r="B161" s="425">
        <v>159</v>
      </c>
      <c r="C161" s="427" t="s">
        <v>1156</v>
      </c>
      <c r="D161" s="429">
        <f>IFERROR(MIN('LP Reactivos'!F161,'LP Reactivos'!I161,'LP Reactivos'!N161,'LP Reactivos'!S161,'LP Reactivos'!X161,'LP Reactivos'!AC161,'LP Reactivos'!AH161,'LP Reactivos'!AM161,'LP Reactivos'!AR161,'LP Reactivos'!AW161,'LP Reactivos'!BB161,'LP Reactivos'!BG161,'LP Reactivos'!BL161,'LP Reactivos'!BQ161,'LP Reactivos'!BV161,'LP Reactivos'!CA161,'LP Reactivos'!CF161,'LP Reactivos'!CK161,'LP Reactivos'!CP161,'LP Reactivos'!CU161,'LP Reactivos'!CZ161,'LP Reactivos'!DE161,'LP Reactivos'!DJ161,'LP Reactivos'!DO161,'LP Reactivos'!DT161,'LP Reactivos'!DY161,'LP Reactivos'!EB161)," ")</f>
        <v>442680</v>
      </c>
      <c r="E161" s="429">
        <f>IFERROR(AVERAGE('LP Reactivos'!F161,'LP Reactivos'!I161,'LP Reactivos'!N161,'LP Reactivos'!S161,'LP Reactivos'!X161,'LP Reactivos'!AC161,'LP Reactivos'!AH161,'LP Reactivos'!AM161,'LP Reactivos'!AR161,'LP Reactivos'!AW161,'LP Reactivos'!BB161,'LP Reactivos'!BG161,'LP Reactivos'!BL161,'LP Reactivos'!BQ161,'LP Reactivos'!BV161,'LP Reactivos'!CA161,'LP Reactivos'!CF161,'LP Reactivos'!CK161,'LP Reactivos'!CP161,'LP Reactivos'!CU161,'LP Reactivos'!CZ161,'LP Reactivos'!DE161,'LP Reactivos'!DJ161,'LP Reactivos'!DO161,'LP Reactivos'!DT161,'LP Reactivos'!DY161,'LP Reactivos'!EB161)," ")</f>
        <v>876511.00800000003</v>
      </c>
      <c r="F161" s="345">
        <f>IFERROR(MEDIAN('LP Reactivos'!F161,'LP Reactivos'!I161,'LP Reactivos'!N161,'LP Reactivos'!S161,'LP Reactivos'!X161,'LP Reactivos'!AC161,'LP Reactivos'!AH161,'LP Reactivos'!AM161,'LP Reactivos'!AR161,'LP Reactivos'!AW161,'LP Reactivos'!BB161,'LP Reactivos'!BG161,'LP Reactivos'!BL161,'LP Reactivos'!BQ161,'LP Reactivos'!BV161,'LP Reactivos'!CA161,'LP Reactivos'!CF161,'LP Reactivos'!CK161,'LP Reactivos'!CP161,'LP Reactivos'!CU161,'LP Reactivos'!CZ161,'LP Reactivos'!DE161,'LP Reactivos'!DJ161,'LP Reactivos'!DO161,'LP Reactivos'!DT161,'LP Reactivos'!DY161,'LP Reactivos'!EB161)," ")</f>
        <v>638494.02399999998</v>
      </c>
      <c r="G161" s="345">
        <f>IFERROR(GEOMEAN('LP Reactivos'!F161,'LP Reactivos'!I161,'LP Reactivos'!N161,'LP Reactivos'!S161,'LP Reactivos'!X161,'LP Reactivos'!AC161,'LP Reactivos'!AH161,'LP Reactivos'!AM161,'LP Reactivos'!AR161,'LP Reactivos'!AW161,'LP Reactivos'!BB161,'LP Reactivos'!BG161,'LP Reactivos'!BL161,'LP Reactivos'!BQ161,'LP Reactivos'!BV161,'LP Reactivos'!CA161,'LP Reactivos'!CF161,'LP Reactivos'!CK161,'LP Reactivos'!CP161,'LP Reactivos'!CU161,'LP Reactivos'!CZ161,'LP Reactivos'!DE161,'LP Reactivos'!DJ161,'LP Reactivos'!DO161,'LP Reactivos'!DT161,'LP Reactivos'!DY161,'LP Reactivos'!EB161)," ")</f>
        <v>759229.02095161891</v>
      </c>
      <c r="H161" s="345">
        <f t="shared" si="8"/>
        <v>185234.05167746037</v>
      </c>
      <c r="I161" s="346">
        <f t="shared" si="9"/>
        <v>0.21133111847633562</v>
      </c>
      <c r="J161" s="345">
        <f>IF(I161&lt;=10%,F161,IF(AND(I161&gt;10%,I161&lt;=20%),E161,IF(AND(I161&gt;20%,I161&lt;=30%),G161,IF(I161&gt;30%,D161))))</f>
        <v>759229.02095161891</v>
      </c>
      <c r="K161" s="344" t="str">
        <f t="shared" si="11"/>
        <v>Media Geométrica</v>
      </c>
      <c r="L161" s="326">
        <f>IFERROR(COUNTA('LP Reactivos'!F161,'LP Reactivos'!I161,'LP Reactivos'!N161,'LP Reactivos'!S161,'LP Reactivos'!X161,'LP Reactivos'!AC161,'LP Reactivos'!AH161,'LP Reactivos'!AM161,'LP Reactivos'!AR161,'LP Reactivos'!AW161,'LP Reactivos'!BB161,'LP Reactivos'!BG161,'LP Reactivos'!BL161,'LP Reactivos'!BQ161,'LP Reactivos'!BV161,'LP Reactivos'!CA161,'LP Reactivos'!CF161,'LP Reactivos'!CK161,'LP Reactivos'!CP161,'LP Reactivos'!CU161,'LP Reactivos'!CZ161,'LP Reactivos'!DE161,'LP Reactivos'!DJ161,'LP Reactivos'!DO161,'LP Reactivos'!DT161,'LP Reactivos'!DY161,'LP Reactivos'!EB161)," ")</f>
        <v>3</v>
      </c>
    </row>
    <row r="162" spans="2:12" x14ac:dyDescent="0.25">
      <c r="B162" s="425">
        <v>160</v>
      </c>
      <c r="C162" s="427" t="s">
        <v>1159</v>
      </c>
      <c r="D162" s="429">
        <f>IFERROR(MIN('LP Reactivos'!F162,'LP Reactivos'!I162,'LP Reactivos'!N162,'LP Reactivos'!S162,'LP Reactivos'!X162,'LP Reactivos'!AC162,'LP Reactivos'!AH162,'LP Reactivos'!AM162,'LP Reactivos'!AR162,'LP Reactivos'!AW162,'LP Reactivos'!BB162,'LP Reactivos'!BG162,'LP Reactivos'!BL162,'LP Reactivos'!BQ162,'LP Reactivos'!BV162,'LP Reactivos'!CA162,'LP Reactivos'!CF162,'LP Reactivos'!CK162,'LP Reactivos'!CP162,'LP Reactivos'!CU162,'LP Reactivos'!CZ162,'LP Reactivos'!DE162,'LP Reactivos'!DJ162,'LP Reactivos'!DO162,'LP Reactivos'!DT162,'LP Reactivos'!DY162,'LP Reactivos'!EB162)," ")</f>
        <v>452200</v>
      </c>
      <c r="E162" s="429">
        <f>IFERROR(AVERAGE('LP Reactivos'!F162,'LP Reactivos'!I162,'LP Reactivos'!N162,'LP Reactivos'!S162,'LP Reactivos'!X162,'LP Reactivos'!AC162,'LP Reactivos'!AH162,'LP Reactivos'!AM162,'LP Reactivos'!AR162,'LP Reactivos'!AW162,'LP Reactivos'!BB162,'LP Reactivos'!BG162,'LP Reactivos'!BL162,'LP Reactivos'!BQ162,'LP Reactivos'!BV162,'LP Reactivos'!CA162,'LP Reactivos'!CF162,'LP Reactivos'!CK162,'LP Reactivos'!CP162,'LP Reactivos'!CU162,'LP Reactivos'!CZ162,'LP Reactivos'!DE162,'LP Reactivos'!DJ162,'LP Reactivos'!DO162,'LP Reactivos'!DT162,'LP Reactivos'!DY162,'LP Reactivos'!EB162)," ")</f>
        <v>1237940</v>
      </c>
      <c r="F162" s="345">
        <f>IFERROR(MEDIAN('LP Reactivos'!F162,'LP Reactivos'!I162,'LP Reactivos'!N162,'LP Reactivos'!S162,'LP Reactivos'!X162,'LP Reactivos'!AC162,'LP Reactivos'!AH162,'LP Reactivos'!AM162,'LP Reactivos'!AR162,'LP Reactivos'!AW162,'LP Reactivos'!BB162,'LP Reactivos'!BG162,'LP Reactivos'!BL162,'LP Reactivos'!BQ162,'LP Reactivos'!BV162,'LP Reactivos'!CA162,'LP Reactivos'!CF162,'LP Reactivos'!CK162,'LP Reactivos'!CP162,'LP Reactivos'!CU162,'LP Reactivos'!CZ162,'LP Reactivos'!DE162,'LP Reactivos'!DJ162,'LP Reactivos'!DO162,'LP Reactivos'!DT162,'LP Reactivos'!DY162,'LP Reactivos'!EB162)," ")</f>
        <v>1032920</v>
      </c>
      <c r="G162" s="345">
        <f>IFERROR(GEOMEAN('LP Reactivos'!F162,'LP Reactivos'!I162,'LP Reactivos'!N162,'LP Reactivos'!S162,'LP Reactivos'!X162,'LP Reactivos'!AC162,'LP Reactivos'!AH162,'LP Reactivos'!AM162,'LP Reactivos'!AR162,'LP Reactivos'!AW162,'LP Reactivos'!BB162,'LP Reactivos'!BG162,'LP Reactivos'!BL162,'LP Reactivos'!BQ162,'LP Reactivos'!BV162,'LP Reactivos'!CA162,'LP Reactivos'!CF162,'LP Reactivos'!CK162,'LP Reactivos'!CP162,'LP Reactivos'!CU162,'LP Reactivos'!CZ162,'LP Reactivos'!DE162,'LP Reactivos'!DJ162,'LP Reactivos'!DO162,'LP Reactivos'!DT162,'LP Reactivos'!DY162,'LP Reactivos'!EB162)," ")</f>
        <v>1013482.5742934264</v>
      </c>
      <c r="H162" s="345">
        <f t="shared" si="8"/>
        <v>336953.67437260284</v>
      </c>
      <c r="I162" s="346">
        <f t="shared" si="9"/>
        <v>0.27218901915488863</v>
      </c>
      <c r="J162" s="345">
        <f t="shared" si="10"/>
        <v>1013482.5742934264</v>
      </c>
      <c r="K162" s="344" t="str">
        <f t="shared" si="11"/>
        <v>Media Geométrica</v>
      </c>
      <c r="L162" s="326">
        <f>IFERROR(COUNTA('LP Reactivos'!F162,'LP Reactivos'!I162,'LP Reactivos'!N162,'LP Reactivos'!S162,'LP Reactivos'!X162,'LP Reactivos'!AC162,'LP Reactivos'!AH162,'LP Reactivos'!AM162,'LP Reactivos'!AR162,'LP Reactivos'!AW162,'LP Reactivos'!BB162,'LP Reactivos'!BG162,'LP Reactivos'!BL162,'LP Reactivos'!BQ162,'LP Reactivos'!BV162,'LP Reactivos'!CA162,'LP Reactivos'!CF162,'LP Reactivos'!CK162,'LP Reactivos'!CP162,'LP Reactivos'!CU162,'LP Reactivos'!CZ162,'LP Reactivos'!DE162,'LP Reactivos'!DJ162,'LP Reactivos'!DO162,'LP Reactivos'!DT162,'LP Reactivos'!DY162,'LP Reactivos'!EB162)," ")</f>
        <v>3</v>
      </c>
    </row>
    <row r="163" spans="2:12" x14ac:dyDescent="0.25">
      <c r="B163" s="425">
        <v>161</v>
      </c>
      <c r="C163" s="427" t="s">
        <v>1161</v>
      </c>
      <c r="D163" s="429">
        <f>IFERROR(MIN('LP Reactivos'!F163,'LP Reactivos'!I163,'LP Reactivos'!N163,'LP Reactivos'!S163,'LP Reactivos'!X163,'LP Reactivos'!AC163,'LP Reactivos'!AH163,'LP Reactivos'!AM163,'LP Reactivos'!AR163,'LP Reactivos'!AW163,'LP Reactivos'!BB163,'LP Reactivos'!BG163,'LP Reactivos'!BL163,'LP Reactivos'!BQ163,'LP Reactivos'!BV163,'LP Reactivos'!CA163,'LP Reactivos'!CF163,'LP Reactivos'!CK163,'LP Reactivos'!CP163,'LP Reactivos'!CU163,'LP Reactivos'!CZ163,'LP Reactivos'!DE163,'LP Reactivos'!DJ163,'LP Reactivos'!DO163,'LP Reactivos'!DT163,'LP Reactivos'!DY163,'LP Reactivos'!EB163)," ")</f>
        <v>221876</v>
      </c>
      <c r="E163" s="429">
        <f>IFERROR(AVERAGE('LP Reactivos'!F163,'LP Reactivos'!I163,'LP Reactivos'!N163,'LP Reactivos'!S163,'LP Reactivos'!X163,'LP Reactivos'!AC163,'LP Reactivos'!AH163,'LP Reactivos'!AM163,'LP Reactivos'!AR163,'LP Reactivos'!AW163,'LP Reactivos'!BB163,'LP Reactivos'!BG163,'LP Reactivos'!BL163,'LP Reactivos'!BQ163,'LP Reactivos'!BV163,'LP Reactivos'!CA163,'LP Reactivos'!CF163,'LP Reactivos'!CK163,'LP Reactivos'!CP163,'LP Reactivos'!CU163,'LP Reactivos'!CZ163,'LP Reactivos'!DE163,'LP Reactivos'!DJ163,'LP Reactivos'!DO163,'LP Reactivos'!DT163,'LP Reactivos'!DY163,'LP Reactivos'!EB163)," ")</f>
        <v>221876</v>
      </c>
      <c r="F163" s="345">
        <f>IFERROR(MEDIAN('LP Reactivos'!F163,'LP Reactivos'!I163,'LP Reactivos'!N163,'LP Reactivos'!S163,'LP Reactivos'!X163,'LP Reactivos'!AC163,'LP Reactivos'!AH163,'LP Reactivos'!AM163,'LP Reactivos'!AR163,'LP Reactivos'!AW163,'LP Reactivos'!BB163,'LP Reactivos'!BG163,'LP Reactivos'!BL163,'LP Reactivos'!BQ163,'LP Reactivos'!BV163,'LP Reactivos'!CA163,'LP Reactivos'!CF163,'LP Reactivos'!CK163,'LP Reactivos'!CP163,'LP Reactivos'!CU163,'LP Reactivos'!CZ163,'LP Reactivos'!DE163,'LP Reactivos'!DJ163,'LP Reactivos'!DO163,'LP Reactivos'!DT163,'LP Reactivos'!DY163,'LP Reactivos'!EB163)," ")</f>
        <v>221876</v>
      </c>
      <c r="G163" s="345">
        <f>IFERROR(GEOMEAN('LP Reactivos'!F163,'LP Reactivos'!I163,'LP Reactivos'!N163,'LP Reactivos'!S163,'LP Reactivos'!X163,'LP Reactivos'!AC163,'LP Reactivos'!AH163,'LP Reactivos'!AM163,'LP Reactivos'!AR163,'LP Reactivos'!AW163,'LP Reactivos'!BB163,'LP Reactivos'!BG163,'LP Reactivos'!BL163,'LP Reactivos'!BQ163,'LP Reactivos'!BV163,'LP Reactivos'!CA163,'LP Reactivos'!CF163,'LP Reactivos'!CK163,'LP Reactivos'!CP163,'LP Reactivos'!CU163,'LP Reactivos'!CZ163,'LP Reactivos'!DE163,'LP Reactivos'!DJ163,'LP Reactivos'!DO163,'LP Reactivos'!DT163,'LP Reactivos'!DY163,'LP Reactivos'!EB163)," ")</f>
        <v>221876</v>
      </c>
      <c r="H163" s="345">
        <f t="shared" si="8"/>
        <v>0</v>
      </c>
      <c r="I163" s="346">
        <f t="shared" si="9"/>
        <v>0</v>
      </c>
      <c r="J163" s="345">
        <f t="shared" si="10"/>
        <v>221876</v>
      </c>
      <c r="K163" s="344" t="str">
        <f t="shared" si="11"/>
        <v>Menor Valor</v>
      </c>
      <c r="L163" s="326">
        <f>IFERROR(COUNTA('LP Reactivos'!F163,'LP Reactivos'!I163,'LP Reactivos'!N163,'LP Reactivos'!S163,'LP Reactivos'!X163,'LP Reactivos'!AC163,'LP Reactivos'!AH163,'LP Reactivos'!AM163,'LP Reactivos'!AR163,'LP Reactivos'!AW163,'LP Reactivos'!BB163,'LP Reactivos'!BG163,'LP Reactivos'!BL163,'LP Reactivos'!BQ163,'LP Reactivos'!BV163,'LP Reactivos'!CA163,'LP Reactivos'!CF163,'LP Reactivos'!CK163,'LP Reactivos'!CP163,'LP Reactivos'!CU163,'LP Reactivos'!CZ163,'LP Reactivos'!DE163,'LP Reactivos'!DJ163,'LP Reactivos'!DO163,'LP Reactivos'!DT163,'LP Reactivos'!DY163,'LP Reactivos'!EB163)," ")</f>
        <v>1</v>
      </c>
    </row>
    <row r="164" spans="2:12" ht="27" x14ac:dyDescent="0.25">
      <c r="B164" s="425">
        <v>162</v>
      </c>
      <c r="C164" s="427" t="s">
        <v>1164</v>
      </c>
      <c r="D164" s="429">
        <f>IFERROR(MIN('LP Reactivos'!F164,'LP Reactivos'!I164,'LP Reactivos'!N164,'LP Reactivos'!S164,'LP Reactivos'!X164,'LP Reactivos'!AC164,'LP Reactivos'!AH164,'LP Reactivos'!AM164,'LP Reactivos'!AR164,'LP Reactivos'!AW164,'LP Reactivos'!BB164,'LP Reactivos'!BG164,'LP Reactivos'!BL164,'LP Reactivos'!BQ164,'LP Reactivos'!BV164,'LP Reactivos'!CA164,'LP Reactivos'!CF164,'LP Reactivos'!CK164,'LP Reactivos'!CP164,'LP Reactivos'!CU164,'LP Reactivos'!CZ164,'LP Reactivos'!DE164,'LP Reactivos'!DJ164,'LP Reactivos'!DO164,'LP Reactivos'!DT164,'LP Reactivos'!DY164,'LP Reactivos'!EB164)," ")</f>
        <v>624750</v>
      </c>
      <c r="E164" s="429">
        <f>IFERROR(AVERAGE('LP Reactivos'!F164,'LP Reactivos'!I164,'LP Reactivos'!N164,'LP Reactivos'!S164,'LP Reactivos'!X164,'LP Reactivos'!AC164,'LP Reactivos'!AH164,'LP Reactivos'!AM164,'LP Reactivos'!AR164,'LP Reactivos'!AW164,'LP Reactivos'!BB164,'LP Reactivos'!BG164,'LP Reactivos'!BL164,'LP Reactivos'!BQ164,'LP Reactivos'!BV164,'LP Reactivos'!CA164,'LP Reactivos'!CF164,'LP Reactivos'!CK164,'LP Reactivos'!CP164,'LP Reactivos'!CU164,'LP Reactivos'!CZ164,'LP Reactivos'!DE164,'LP Reactivos'!DJ164,'LP Reactivos'!DO164,'LP Reactivos'!DT164,'LP Reactivos'!DY164,'LP Reactivos'!EB164)," ")</f>
        <v>679034</v>
      </c>
      <c r="F164" s="345">
        <f>IFERROR(MEDIAN('LP Reactivos'!F164,'LP Reactivos'!I164,'LP Reactivos'!N164,'LP Reactivos'!S164,'LP Reactivos'!X164,'LP Reactivos'!AC164,'LP Reactivos'!AH164,'LP Reactivos'!AM164,'LP Reactivos'!AR164,'LP Reactivos'!AW164,'LP Reactivos'!BB164,'LP Reactivos'!BG164,'LP Reactivos'!BL164,'LP Reactivos'!BQ164,'LP Reactivos'!BV164,'LP Reactivos'!CA164,'LP Reactivos'!CF164,'LP Reactivos'!CK164,'LP Reactivos'!CP164,'LP Reactivos'!CU164,'LP Reactivos'!CZ164,'LP Reactivos'!DE164,'LP Reactivos'!DJ164,'LP Reactivos'!DO164,'LP Reactivos'!DT164,'LP Reactivos'!DY164,'LP Reactivos'!EB164)," ")</f>
        <v>679034</v>
      </c>
      <c r="G164" s="345">
        <f>IFERROR(GEOMEAN('LP Reactivos'!F164,'LP Reactivos'!I164,'LP Reactivos'!N164,'LP Reactivos'!S164,'LP Reactivos'!X164,'LP Reactivos'!AC164,'LP Reactivos'!AH164,'LP Reactivos'!AM164,'LP Reactivos'!AR164,'LP Reactivos'!AW164,'LP Reactivos'!BB164,'LP Reactivos'!BG164,'LP Reactivos'!BL164,'LP Reactivos'!BQ164,'LP Reactivos'!BV164,'LP Reactivos'!CA164,'LP Reactivos'!CF164,'LP Reactivos'!CK164,'LP Reactivos'!CP164,'LP Reactivos'!CU164,'LP Reactivos'!CZ164,'LP Reactivos'!DE164,'LP Reactivos'!DJ164,'LP Reactivos'!DO164,'LP Reactivos'!DT164,'LP Reactivos'!DY164,'LP Reactivos'!EB164)," ")</f>
        <v>676860.70982145215</v>
      </c>
      <c r="H164" s="345">
        <f t="shared" si="8"/>
        <v>26799.374635887707</v>
      </c>
      <c r="I164" s="346">
        <f t="shared" si="9"/>
        <v>3.946691128262754E-2</v>
      </c>
      <c r="J164" s="345">
        <f t="shared" si="10"/>
        <v>679034</v>
      </c>
      <c r="K164" s="344" t="str">
        <f t="shared" si="11"/>
        <v>Promedio</v>
      </c>
      <c r="L164" s="326">
        <f>IFERROR(COUNTA('LP Reactivos'!F164,'LP Reactivos'!I164,'LP Reactivos'!N164,'LP Reactivos'!S164,'LP Reactivos'!X164,'LP Reactivos'!AC164,'LP Reactivos'!AH164,'LP Reactivos'!AM164,'LP Reactivos'!AR164,'LP Reactivos'!AW164,'LP Reactivos'!BB164,'LP Reactivos'!BG164,'LP Reactivos'!BL164,'LP Reactivos'!BQ164,'LP Reactivos'!BV164,'LP Reactivos'!CA164,'LP Reactivos'!CF164,'LP Reactivos'!CK164,'LP Reactivos'!CP164,'LP Reactivos'!CU164,'LP Reactivos'!CZ164,'LP Reactivos'!DE164,'LP Reactivos'!DJ164,'LP Reactivos'!DO164,'LP Reactivos'!DT164,'LP Reactivos'!DY164,'LP Reactivos'!EB164)," ")</f>
        <v>2</v>
      </c>
    </row>
    <row r="165" spans="2:12" ht="27" x14ac:dyDescent="0.25">
      <c r="B165" s="425">
        <v>163</v>
      </c>
      <c r="C165" s="413" t="s">
        <v>1167</v>
      </c>
      <c r="D165" s="429">
        <f>IFERROR(MIN('LP Reactivos'!F165,'LP Reactivos'!I165,'LP Reactivos'!N165,'LP Reactivos'!S165,'LP Reactivos'!X165,'LP Reactivos'!AC165,'LP Reactivos'!AH165,'LP Reactivos'!AM165,'LP Reactivos'!AR165,'LP Reactivos'!AW165,'LP Reactivos'!BB165,'LP Reactivos'!BG165,'LP Reactivos'!BL165,'LP Reactivos'!BQ165,'LP Reactivos'!BV165,'LP Reactivos'!CA165,'LP Reactivos'!CF165,'LP Reactivos'!CK165,'LP Reactivos'!CP165,'LP Reactivos'!CU165,'LP Reactivos'!CZ165,'LP Reactivos'!DE165,'LP Reactivos'!DJ165,'LP Reactivos'!DO165,'LP Reactivos'!DT165,'LP Reactivos'!DY165,'LP Reactivos'!EB165)," ")</f>
        <v>184450</v>
      </c>
      <c r="E165" s="429">
        <f>IFERROR(AVERAGE('LP Reactivos'!F165,'LP Reactivos'!I165,'LP Reactivos'!N165,'LP Reactivos'!S165,'LP Reactivos'!X165,'LP Reactivos'!AC165,'LP Reactivos'!AH165,'LP Reactivos'!AM165,'LP Reactivos'!AR165,'LP Reactivos'!AW165,'LP Reactivos'!BB165,'LP Reactivos'!BG165,'LP Reactivos'!BL165,'LP Reactivos'!BQ165,'LP Reactivos'!BV165,'LP Reactivos'!CA165,'LP Reactivos'!CF165,'LP Reactivos'!CK165,'LP Reactivos'!CP165,'LP Reactivos'!CU165,'LP Reactivos'!CZ165,'LP Reactivos'!DE165,'LP Reactivos'!DJ165,'LP Reactivos'!DO165,'LP Reactivos'!DT165,'LP Reactivos'!DY165,'LP Reactivos'!EB165)," ")</f>
        <v>543035.80866666662</v>
      </c>
      <c r="F165" s="345">
        <f>IFERROR(MEDIAN('LP Reactivos'!F165,'LP Reactivos'!I165,'LP Reactivos'!N165,'LP Reactivos'!S165,'LP Reactivos'!X165,'LP Reactivos'!AC165,'LP Reactivos'!AH165,'LP Reactivos'!AM165,'LP Reactivos'!AR165,'LP Reactivos'!AW165,'LP Reactivos'!BB165,'LP Reactivos'!BG165,'LP Reactivos'!BL165,'LP Reactivos'!BQ165,'LP Reactivos'!BV165,'LP Reactivos'!CA165,'LP Reactivos'!CF165,'LP Reactivos'!CK165,'LP Reactivos'!CP165,'LP Reactivos'!CU165,'LP Reactivos'!CZ165,'LP Reactivos'!DE165,'LP Reactivos'!DJ165,'LP Reactivos'!DO165,'LP Reactivos'!DT165,'LP Reactivos'!DY165,'LP Reactivos'!EB165)," ")</f>
        <v>600123.42599999998</v>
      </c>
      <c r="G165" s="345">
        <f>IFERROR(GEOMEAN('LP Reactivos'!F165,'LP Reactivos'!I165,'LP Reactivos'!N165,'LP Reactivos'!S165,'LP Reactivos'!X165,'LP Reactivos'!AC165,'LP Reactivos'!AH165,'LP Reactivos'!AM165,'LP Reactivos'!AR165,'LP Reactivos'!AW165,'LP Reactivos'!BB165,'LP Reactivos'!BG165,'LP Reactivos'!BL165,'LP Reactivos'!BQ165,'LP Reactivos'!BV165,'LP Reactivos'!CA165,'LP Reactivos'!CF165,'LP Reactivos'!CK165,'LP Reactivos'!CP165,'LP Reactivos'!CU165,'LP Reactivos'!CZ165,'LP Reactivos'!DE165,'LP Reactivos'!DJ165,'LP Reactivos'!DO165,'LP Reactivos'!DT165,'LP Reactivos'!DY165,'LP Reactivos'!EB165)," ")</f>
        <v>494163.18705928751</v>
      </c>
      <c r="H165" s="345">
        <f t="shared" si="8"/>
        <v>185778.88715039598</v>
      </c>
      <c r="I165" s="346">
        <f t="shared" si="9"/>
        <v>0.3421116695905283</v>
      </c>
      <c r="J165" s="345">
        <f>IF(I165&lt;=10%,F165,IF(AND(I165&gt;10%,I165&lt;=20%),E165,IF(AND(I165&gt;20%,I165&lt;=35%),G165,IF(I165&gt;35%,D165))))</f>
        <v>494163.18705928751</v>
      </c>
      <c r="K165" s="344" t="str">
        <f t="shared" si="11"/>
        <v>Media Geométrica</v>
      </c>
      <c r="L165" s="326">
        <f>IFERROR(COUNTA('LP Reactivos'!F165,'LP Reactivos'!I165,'LP Reactivos'!N165,'LP Reactivos'!S165,'LP Reactivos'!X165,'LP Reactivos'!AC165,'LP Reactivos'!AH165,'LP Reactivos'!AM165,'LP Reactivos'!AR165,'LP Reactivos'!AW165,'LP Reactivos'!BB165,'LP Reactivos'!BG165,'LP Reactivos'!BL165,'LP Reactivos'!BQ165,'LP Reactivos'!BV165,'LP Reactivos'!CA165,'LP Reactivos'!CF165,'LP Reactivos'!CK165,'LP Reactivos'!CP165,'LP Reactivos'!CU165,'LP Reactivos'!CZ165,'LP Reactivos'!DE165,'LP Reactivos'!DJ165,'LP Reactivos'!DO165,'LP Reactivos'!DT165,'LP Reactivos'!DY165,'LP Reactivos'!EB165)," ")</f>
        <v>6</v>
      </c>
    </row>
    <row r="166" spans="2:12" ht="40.5" x14ac:dyDescent="0.25">
      <c r="B166" s="425">
        <v>164</v>
      </c>
      <c r="C166" s="413" t="s">
        <v>1172</v>
      </c>
      <c r="D166" s="429">
        <f>IFERROR(MIN('LP Reactivos'!F166,'LP Reactivos'!I166,'LP Reactivos'!N166,'LP Reactivos'!S166,'LP Reactivos'!X166,'LP Reactivos'!AC166,'LP Reactivos'!AH166,'LP Reactivos'!AM166,'LP Reactivos'!AR166,'LP Reactivos'!AW166,'LP Reactivos'!BB166,'LP Reactivos'!BG166,'LP Reactivos'!BL166,'LP Reactivos'!BQ166,'LP Reactivos'!BV166,'LP Reactivos'!CA166,'LP Reactivos'!CF166,'LP Reactivos'!CK166,'LP Reactivos'!CP166,'LP Reactivos'!CU166,'LP Reactivos'!CZ166,'LP Reactivos'!DE166,'LP Reactivos'!DJ166,'LP Reactivos'!DO166,'LP Reactivos'!DT166,'LP Reactivos'!DY166,'LP Reactivos'!EB166)," ")</f>
        <v>149225</v>
      </c>
      <c r="E166" s="429">
        <f>IFERROR(AVERAGE('LP Reactivos'!F166,'LP Reactivos'!I166,'LP Reactivos'!N166,'LP Reactivos'!S166,'LP Reactivos'!X166,'LP Reactivos'!AC166,'LP Reactivos'!AH166,'LP Reactivos'!AM166,'LP Reactivos'!AR166,'LP Reactivos'!AW166,'LP Reactivos'!BB166,'LP Reactivos'!BG166,'LP Reactivos'!BL166,'LP Reactivos'!BQ166,'LP Reactivos'!BV166,'LP Reactivos'!CA166,'LP Reactivos'!CF166,'LP Reactivos'!CK166,'LP Reactivos'!CP166,'LP Reactivos'!CU166,'LP Reactivos'!CZ166,'LP Reactivos'!DE166,'LP Reactivos'!DJ166,'LP Reactivos'!DO166,'LP Reactivos'!DT166,'LP Reactivos'!DY166,'LP Reactivos'!EB166)," ")</f>
        <v>238331.28799999997</v>
      </c>
      <c r="F166" s="345">
        <f>IFERROR(MEDIAN('LP Reactivos'!F166,'LP Reactivos'!I166,'LP Reactivos'!N166,'LP Reactivos'!S166,'LP Reactivos'!X166,'LP Reactivos'!AC166,'LP Reactivos'!AH166,'LP Reactivos'!AM166,'LP Reactivos'!AR166,'LP Reactivos'!AW166,'LP Reactivos'!BB166,'LP Reactivos'!BG166,'LP Reactivos'!BL166,'LP Reactivos'!BQ166,'LP Reactivos'!BV166,'LP Reactivos'!CA166,'LP Reactivos'!CF166,'LP Reactivos'!CK166,'LP Reactivos'!CP166,'LP Reactivos'!CU166,'LP Reactivos'!CZ166,'LP Reactivos'!DE166,'LP Reactivos'!DJ166,'LP Reactivos'!DO166,'LP Reactivos'!DT166,'LP Reactivos'!DY166,'LP Reactivos'!EB166)," ")</f>
        <v>231907.20000000001</v>
      </c>
      <c r="G166" s="345">
        <f>IFERROR(GEOMEAN('LP Reactivos'!F166,'LP Reactivos'!I166,'LP Reactivos'!N166,'LP Reactivos'!S166,'LP Reactivos'!X166,'LP Reactivos'!AC166,'LP Reactivos'!AH166,'LP Reactivos'!AM166,'LP Reactivos'!AR166,'LP Reactivos'!AW166,'LP Reactivos'!BB166,'LP Reactivos'!BG166,'LP Reactivos'!BL166,'LP Reactivos'!BQ166,'LP Reactivos'!BV166,'LP Reactivos'!CA166,'LP Reactivos'!CF166,'LP Reactivos'!CK166,'LP Reactivos'!CP166,'LP Reactivos'!CU166,'LP Reactivos'!CZ166,'LP Reactivos'!DE166,'LP Reactivos'!DJ166,'LP Reactivos'!DO166,'LP Reactivos'!DT166,'LP Reactivos'!DY166,'LP Reactivos'!EB166)," ")</f>
        <v>229418.42460609987</v>
      </c>
      <c r="H166" s="345">
        <f t="shared" si="8"/>
        <v>42164.523151879548</v>
      </c>
      <c r="I166" s="346">
        <f t="shared" si="9"/>
        <v>0.17691560141226423</v>
      </c>
      <c r="J166" s="345">
        <f t="shared" si="10"/>
        <v>238331.28799999997</v>
      </c>
      <c r="K166" s="344" t="str">
        <f t="shared" si="11"/>
        <v>Promedio</v>
      </c>
      <c r="L166" s="326">
        <f>IFERROR(COUNTA('LP Reactivos'!F166,'LP Reactivos'!I166,'LP Reactivos'!N166,'LP Reactivos'!S166,'LP Reactivos'!X166,'LP Reactivos'!AC166,'LP Reactivos'!AH166,'LP Reactivos'!AM166,'LP Reactivos'!AR166,'LP Reactivos'!AW166,'LP Reactivos'!BB166,'LP Reactivos'!BG166,'LP Reactivos'!BL166,'LP Reactivos'!BQ166,'LP Reactivos'!BV166,'LP Reactivos'!CA166,'LP Reactivos'!CF166,'LP Reactivos'!CK166,'LP Reactivos'!CP166,'LP Reactivos'!CU166,'LP Reactivos'!CZ166,'LP Reactivos'!DE166,'LP Reactivos'!DJ166,'LP Reactivos'!DO166,'LP Reactivos'!DT166,'LP Reactivos'!DY166,'LP Reactivos'!EB166)," ")</f>
        <v>6</v>
      </c>
    </row>
    <row r="167" spans="2:12" ht="54" x14ac:dyDescent="0.25">
      <c r="B167" s="425">
        <v>165</v>
      </c>
      <c r="C167" s="427" t="s">
        <v>1177</v>
      </c>
      <c r="D167" s="429">
        <f>IFERROR(MIN('LP Reactivos'!F167,'LP Reactivos'!I167,'LP Reactivos'!N167,'LP Reactivos'!S167,'LP Reactivos'!X167,'LP Reactivos'!AC167,'LP Reactivos'!AH167,'LP Reactivos'!AM167,'LP Reactivos'!AR167,'LP Reactivos'!AW167,'LP Reactivos'!BB167,'LP Reactivos'!BG167,'LP Reactivos'!BL167,'LP Reactivos'!BQ167,'LP Reactivos'!BV167,'LP Reactivos'!CA167,'LP Reactivos'!CF167,'LP Reactivos'!CK167,'LP Reactivos'!CP167,'LP Reactivos'!CU167,'LP Reactivos'!CZ167,'LP Reactivos'!DE167,'LP Reactivos'!DJ167,'LP Reactivos'!DO167,'LP Reactivos'!DT167,'LP Reactivos'!DY167,'LP Reactivos'!EB167)," ")</f>
        <v>1376668</v>
      </c>
      <c r="E167" s="429">
        <f>IFERROR(AVERAGE('LP Reactivos'!F167,'LP Reactivos'!I167,'LP Reactivos'!N167,'LP Reactivos'!S167,'LP Reactivos'!X167,'LP Reactivos'!AC167,'LP Reactivos'!AH167,'LP Reactivos'!AM167,'LP Reactivos'!AR167,'LP Reactivos'!AW167,'LP Reactivos'!BB167,'LP Reactivos'!BG167,'LP Reactivos'!BL167,'LP Reactivos'!BQ167,'LP Reactivos'!BV167,'LP Reactivos'!CA167,'LP Reactivos'!CF167,'LP Reactivos'!CK167,'LP Reactivos'!CP167,'LP Reactivos'!CU167,'LP Reactivos'!CZ167,'LP Reactivos'!DE167,'LP Reactivos'!DJ167,'LP Reactivos'!DO167,'LP Reactivos'!DT167,'LP Reactivos'!DY167,'LP Reactivos'!EB167)," ")</f>
        <v>1710755.2913333334</v>
      </c>
      <c r="F167" s="345">
        <f>IFERROR(MEDIAN('LP Reactivos'!F167,'LP Reactivos'!I167,'LP Reactivos'!N167,'LP Reactivos'!S167,'LP Reactivos'!X167,'LP Reactivos'!AC167,'LP Reactivos'!AH167,'LP Reactivos'!AM167,'LP Reactivos'!AR167,'LP Reactivos'!AW167,'LP Reactivos'!BB167,'LP Reactivos'!BG167,'LP Reactivos'!BL167,'LP Reactivos'!BQ167,'LP Reactivos'!BV167,'LP Reactivos'!CA167,'LP Reactivos'!CF167,'LP Reactivos'!CK167,'LP Reactivos'!CP167,'LP Reactivos'!CU167,'LP Reactivos'!CZ167,'LP Reactivos'!DE167,'LP Reactivos'!DJ167,'LP Reactivos'!DO167,'LP Reactivos'!DT167,'LP Reactivos'!DY167,'LP Reactivos'!EB167)," ")</f>
        <v>1765960</v>
      </c>
      <c r="G167" s="345">
        <f>IFERROR(GEOMEAN('LP Reactivos'!F167,'LP Reactivos'!I167,'LP Reactivos'!N167,'LP Reactivos'!S167,'LP Reactivos'!X167,'LP Reactivos'!AC167,'LP Reactivos'!AH167,'LP Reactivos'!AM167,'LP Reactivos'!AR167,'LP Reactivos'!AW167,'LP Reactivos'!BB167,'LP Reactivos'!BG167,'LP Reactivos'!BL167,'LP Reactivos'!BQ167,'LP Reactivos'!BV167,'LP Reactivos'!CA167,'LP Reactivos'!CF167,'LP Reactivos'!CK167,'LP Reactivos'!CP167,'LP Reactivos'!CU167,'LP Reactivos'!CZ167,'LP Reactivos'!DE167,'LP Reactivos'!DJ167,'LP Reactivos'!DO167,'LP Reactivos'!DT167,'LP Reactivos'!DY167,'LP Reactivos'!EB167)," ")</f>
        <v>1691198.973784375</v>
      </c>
      <c r="H167" s="345">
        <f t="shared" si="8"/>
        <v>175857.78662981521</v>
      </c>
      <c r="I167" s="346">
        <f t="shared" si="9"/>
        <v>0.10279540710510073</v>
      </c>
      <c r="J167" s="345">
        <f t="shared" si="10"/>
        <v>1710755.2913333334</v>
      </c>
      <c r="K167" s="344" t="str">
        <f t="shared" si="11"/>
        <v>Promedio</v>
      </c>
      <c r="L167" s="326">
        <f>IFERROR(COUNTA('LP Reactivos'!F167,'LP Reactivos'!I167,'LP Reactivos'!N167,'LP Reactivos'!S167,'LP Reactivos'!X167,'LP Reactivos'!AC167,'LP Reactivos'!AH167,'LP Reactivos'!AM167,'LP Reactivos'!AR167,'LP Reactivos'!AW167,'LP Reactivos'!BB167,'LP Reactivos'!BG167,'LP Reactivos'!BL167,'LP Reactivos'!BQ167,'LP Reactivos'!BV167,'LP Reactivos'!CA167,'LP Reactivos'!CF167,'LP Reactivos'!CK167,'LP Reactivos'!CP167,'LP Reactivos'!CU167,'LP Reactivos'!CZ167,'LP Reactivos'!DE167,'LP Reactivos'!DJ167,'LP Reactivos'!DO167,'LP Reactivos'!DT167,'LP Reactivos'!DY167,'LP Reactivos'!EB167)," ")</f>
        <v>3</v>
      </c>
    </row>
    <row r="168" spans="2:12" x14ac:dyDescent="0.25">
      <c r="B168" s="425">
        <v>166</v>
      </c>
      <c r="C168" s="427" t="s">
        <v>1181</v>
      </c>
      <c r="D168" s="429">
        <f>IFERROR(MIN('LP Reactivos'!F168,'LP Reactivos'!I168,'LP Reactivos'!N168,'LP Reactivos'!S168,'LP Reactivos'!X168,'LP Reactivos'!AC168,'LP Reactivos'!AH168,'LP Reactivos'!AM168,'LP Reactivos'!AR168,'LP Reactivos'!AW168,'LP Reactivos'!BB168,'LP Reactivos'!BG168,'LP Reactivos'!BL168,'LP Reactivos'!BQ168,'LP Reactivos'!BV168,'LP Reactivos'!CA168,'LP Reactivos'!CF168,'LP Reactivos'!CK168,'LP Reactivos'!CP168,'LP Reactivos'!CU168,'LP Reactivos'!CZ168,'LP Reactivos'!DE168,'LP Reactivos'!DJ168,'LP Reactivos'!DO168,'LP Reactivos'!DT168,'LP Reactivos'!DY168,'LP Reactivos'!EB168)," ")</f>
        <v>400673</v>
      </c>
      <c r="E168" s="429">
        <f>IFERROR(AVERAGE('LP Reactivos'!F168,'LP Reactivos'!I168,'LP Reactivos'!N168,'LP Reactivos'!S168,'LP Reactivos'!X168,'LP Reactivos'!AC168,'LP Reactivos'!AH168,'LP Reactivos'!AM168,'LP Reactivos'!AR168,'LP Reactivos'!AW168,'LP Reactivos'!BB168,'LP Reactivos'!BG168,'LP Reactivos'!BL168,'LP Reactivos'!BQ168,'LP Reactivos'!BV168,'LP Reactivos'!CA168,'LP Reactivos'!CF168,'LP Reactivos'!CK168,'LP Reactivos'!CP168,'LP Reactivos'!CU168,'LP Reactivos'!CZ168,'LP Reactivos'!DE168,'LP Reactivos'!DJ168,'LP Reactivos'!DO168,'LP Reactivos'!DT168,'LP Reactivos'!DY168,'LP Reactivos'!EB168)," ")</f>
        <v>400673</v>
      </c>
      <c r="F168" s="345">
        <f>IFERROR(MEDIAN('LP Reactivos'!F168,'LP Reactivos'!I168,'LP Reactivos'!N168,'LP Reactivos'!S168,'LP Reactivos'!X168,'LP Reactivos'!AC168,'LP Reactivos'!AH168,'LP Reactivos'!AM168,'LP Reactivos'!AR168,'LP Reactivos'!AW168,'LP Reactivos'!BB168,'LP Reactivos'!BG168,'LP Reactivos'!BL168,'LP Reactivos'!BQ168,'LP Reactivos'!BV168,'LP Reactivos'!CA168,'LP Reactivos'!CF168,'LP Reactivos'!CK168,'LP Reactivos'!CP168,'LP Reactivos'!CU168,'LP Reactivos'!CZ168,'LP Reactivos'!DE168,'LP Reactivos'!DJ168,'LP Reactivos'!DO168,'LP Reactivos'!DT168,'LP Reactivos'!DY168,'LP Reactivos'!EB168)," ")</f>
        <v>400673</v>
      </c>
      <c r="G168" s="345">
        <f>IFERROR(GEOMEAN('LP Reactivos'!F168,'LP Reactivos'!I168,'LP Reactivos'!N168,'LP Reactivos'!S168,'LP Reactivos'!X168,'LP Reactivos'!AC168,'LP Reactivos'!AH168,'LP Reactivos'!AM168,'LP Reactivos'!AR168,'LP Reactivos'!AW168,'LP Reactivos'!BB168,'LP Reactivos'!BG168,'LP Reactivos'!BL168,'LP Reactivos'!BQ168,'LP Reactivos'!BV168,'LP Reactivos'!CA168,'LP Reactivos'!CF168,'LP Reactivos'!CK168,'LP Reactivos'!CP168,'LP Reactivos'!CU168,'LP Reactivos'!CZ168,'LP Reactivos'!DE168,'LP Reactivos'!DJ168,'LP Reactivos'!DO168,'LP Reactivos'!DT168,'LP Reactivos'!DY168,'LP Reactivos'!EB168)," ")</f>
        <v>400673</v>
      </c>
      <c r="H168" s="345">
        <f t="shared" si="8"/>
        <v>0</v>
      </c>
      <c r="I168" s="346">
        <f t="shared" si="9"/>
        <v>0</v>
      </c>
      <c r="J168" s="345">
        <f t="shared" si="10"/>
        <v>400673</v>
      </c>
      <c r="K168" s="344" t="str">
        <f t="shared" si="11"/>
        <v>Menor Valor</v>
      </c>
      <c r="L168" s="326">
        <f>IFERROR(COUNTA('LP Reactivos'!F168,'LP Reactivos'!I168,'LP Reactivos'!N168,'LP Reactivos'!S168,'LP Reactivos'!X168,'LP Reactivos'!AC168,'LP Reactivos'!AH168,'LP Reactivos'!AM168,'LP Reactivos'!AR168,'LP Reactivos'!AW168,'LP Reactivos'!BB168,'LP Reactivos'!BG168,'LP Reactivos'!BL168,'LP Reactivos'!BQ168,'LP Reactivos'!BV168,'LP Reactivos'!CA168,'LP Reactivos'!CF168,'LP Reactivos'!CK168,'LP Reactivos'!CP168,'LP Reactivos'!CU168,'LP Reactivos'!CZ168,'LP Reactivos'!DE168,'LP Reactivos'!DJ168,'LP Reactivos'!DO168,'LP Reactivos'!DT168,'LP Reactivos'!DY168,'LP Reactivos'!EB168)," ")</f>
        <v>1</v>
      </c>
    </row>
    <row r="169" spans="2:12" ht="54" x14ac:dyDescent="0.25">
      <c r="B169" s="425">
        <v>167</v>
      </c>
      <c r="C169" s="413" t="s">
        <v>1184</v>
      </c>
      <c r="D169" s="429">
        <f>IFERROR(MIN('LP Reactivos'!F169,'LP Reactivos'!I169,'LP Reactivos'!N169,'LP Reactivos'!S169,'LP Reactivos'!X169,'LP Reactivos'!AC169,'LP Reactivos'!AH169,'LP Reactivos'!AM169,'LP Reactivos'!AR169,'LP Reactivos'!AW169,'LP Reactivos'!BB169,'LP Reactivos'!BG169,'LP Reactivos'!BL169,'LP Reactivos'!BQ169,'LP Reactivos'!BV169,'LP Reactivos'!CA169,'LP Reactivos'!CF169,'LP Reactivos'!CK169,'LP Reactivos'!CP169,'LP Reactivos'!CU169,'LP Reactivos'!CZ169,'LP Reactivos'!DE169,'LP Reactivos'!DJ169,'LP Reactivos'!DO169,'LP Reactivos'!DT169,'LP Reactivos'!DY169,'LP Reactivos'!EB169)," ")</f>
        <v>101722.622</v>
      </c>
      <c r="E169" s="429">
        <f>IFERROR(AVERAGE('LP Reactivos'!F169,'LP Reactivos'!I169,'LP Reactivos'!N169,'LP Reactivos'!S169,'LP Reactivos'!X169,'LP Reactivos'!AC169,'LP Reactivos'!AH169,'LP Reactivos'!AM169,'LP Reactivos'!AR169,'LP Reactivos'!AW169,'LP Reactivos'!BB169,'LP Reactivos'!BG169,'LP Reactivos'!BL169,'LP Reactivos'!BQ169,'LP Reactivos'!BV169,'LP Reactivos'!CA169,'LP Reactivos'!CF169,'LP Reactivos'!CK169,'LP Reactivos'!CP169,'LP Reactivos'!CU169,'LP Reactivos'!CZ169,'LP Reactivos'!DE169,'LP Reactivos'!DJ169,'LP Reactivos'!DO169,'LP Reactivos'!DT169,'LP Reactivos'!DY169,'LP Reactivos'!EB169)," ")</f>
        <v>101722.622</v>
      </c>
      <c r="F169" s="345">
        <f>IFERROR(MEDIAN('LP Reactivos'!F169,'LP Reactivos'!I169,'LP Reactivos'!N169,'LP Reactivos'!S169,'LP Reactivos'!X169,'LP Reactivos'!AC169,'LP Reactivos'!AH169,'LP Reactivos'!AM169,'LP Reactivos'!AR169,'LP Reactivos'!AW169,'LP Reactivos'!BB169,'LP Reactivos'!BG169,'LP Reactivos'!BL169,'LP Reactivos'!BQ169,'LP Reactivos'!BV169,'LP Reactivos'!CA169,'LP Reactivos'!CF169,'LP Reactivos'!CK169,'LP Reactivos'!CP169,'LP Reactivos'!CU169,'LP Reactivos'!CZ169,'LP Reactivos'!DE169,'LP Reactivos'!DJ169,'LP Reactivos'!DO169,'LP Reactivos'!DT169,'LP Reactivos'!DY169,'LP Reactivos'!EB169)," ")</f>
        <v>101722.622</v>
      </c>
      <c r="G169" s="345">
        <f>IFERROR(GEOMEAN('LP Reactivos'!F169,'LP Reactivos'!I169,'LP Reactivos'!N169,'LP Reactivos'!S169,'LP Reactivos'!X169,'LP Reactivos'!AC169,'LP Reactivos'!AH169,'LP Reactivos'!AM169,'LP Reactivos'!AR169,'LP Reactivos'!AW169,'LP Reactivos'!BB169,'LP Reactivos'!BG169,'LP Reactivos'!BL169,'LP Reactivos'!BQ169,'LP Reactivos'!BV169,'LP Reactivos'!CA169,'LP Reactivos'!CF169,'LP Reactivos'!CK169,'LP Reactivos'!CP169,'LP Reactivos'!CU169,'LP Reactivos'!CZ169,'LP Reactivos'!DE169,'LP Reactivos'!DJ169,'LP Reactivos'!DO169,'LP Reactivos'!DT169,'LP Reactivos'!DY169,'LP Reactivos'!EB169)," ")</f>
        <v>101722.622</v>
      </c>
      <c r="H169" s="345">
        <f t="shared" si="8"/>
        <v>0</v>
      </c>
      <c r="I169" s="346">
        <f t="shared" si="9"/>
        <v>0</v>
      </c>
      <c r="J169" s="345">
        <f t="shared" si="10"/>
        <v>101722.622</v>
      </c>
      <c r="K169" s="344" t="str">
        <f t="shared" si="11"/>
        <v>Menor Valor</v>
      </c>
      <c r="L169" s="326">
        <f>IFERROR(COUNTA('LP Reactivos'!F169,'LP Reactivos'!I169,'LP Reactivos'!N169,'LP Reactivos'!S169,'LP Reactivos'!X169,'LP Reactivos'!AC169,'LP Reactivos'!AH169,'LP Reactivos'!AM169,'LP Reactivos'!AR169,'LP Reactivos'!AW169,'LP Reactivos'!BB169,'LP Reactivos'!BG169,'LP Reactivos'!BL169,'LP Reactivos'!BQ169,'LP Reactivos'!BV169,'LP Reactivos'!CA169,'LP Reactivos'!CF169,'LP Reactivos'!CK169,'LP Reactivos'!CP169,'LP Reactivos'!CU169,'LP Reactivos'!CZ169,'LP Reactivos'!DE169,'LP Reactivos'!DJ169,'LP Reactivos'!DO169,'LP Reactivos'!DT169,'LP Reactivos'!DY169,'LP Reactivos'!EB169)," ")</f>
        <v>1</v>
      </c>
    </row>
    <row r="170" spans="2:12" ht="54" x14ac:dyDescent="0.25">
      <c r="B170" s="425">
        <v>168</v>
      </c>
      <c r="C170" s="413" t="s">
        <v>1187</v>
      </c>
      <c r="D170" s="429">
        <f>IFERROR(MIN('LP Reactivos'!F170,'LP Reactivos'!I170,'LP Reactivos'!N170,'LP Reactivos'!S170,'LP Reactivos'!X170,'LP Reactivos'!AC170,'LP Reactivos'!AH170,'LP Reactivos'!AM170,'LP Reactivos'!AR170,'LP Reactivos'!AW170,'LP Reactivos'!BB170,'LP Reactivos'!BG170,'LP Reactivos'!BL170,'LP Reactivos'!BQ170,'LP Reactivos'!BV170,'LP Reactivos'!CA170,'LP Reactivos'!CF170,'LP Reactivos'!CK170,'LP Reactivos'!CP170,'LP Reactivos'!CU170,'LP Reactivos'!CZ170,'LP Reactivos'!DE170,'LP Reactivos'!DJ170,'LP Reactivos'!DO170,'LP Reactivos'!DT170,'LP Reactivos'!DY170,'LP Reactivos'!EB170)," ")</f>
        <v>893890.57740000007</v>
      </c>
      <c r="E170" s="429">
        <f>IFERROR(AVERAGE('LP Reactivos'!F170,'LP Reactivos'!I170,'LP Reactivos'!N170,'LP Reactivos'!S170,'LP Reactivos'!X170,'LP Reactivos'!AC170,'LP Reactivos'!AH170,'LP Reactivos'!AM170,'LP Reactivos'!AR170,'LP Reactivos'!AW170,'LP Reactivos'!BB170,'LP Reactivos'!BG170,'LP Reactivos'!BL170,'LP Reactivos'!BQ170,'LP Reactivos'!BV170,'LP Reactivos'!CA170,'LP Reactivos'!CF170,'LP Reactivos'!CK170,'LP Reactivos'!CP170,'LP Reactivos'!CU170,'LP Reactivos'!CZ170,'LP Reactivos'!DE170,'LP Reactivos'!DJ170,'LP Reactivos'!DO170,'LP Reactivos'!DT170,'LP Reactivos'!DY170,'LP Reactivos'!EB170)," ")</f>
        <v>893890.57740000007</v>
      </c>
      <c r="F170" s="345">
        <f>IFERROR(MEDIAN('LP Reactivos'!F170,'LP Reactivos'!I170,'LP Reactivos'!N170,'LP Reactivos'!S170,'LP Reactivos'!X170,'LP Reactivos'!AC170,'LP Reactivos'!AH170,'LP Reactivos'!AM170,'LP Reactivos'!AR170,'LP Reactivos'!AW170,'LP Reactivos'!BB170,'LP Reactivos'!BG170,'LP Reactivos'!BL170,'LP Reactivos'!BQ170,'LP Reactivos'!BV170,'LP Reactivos'!CA170,'LP Reactivos'!CF170,'LP Reactivos'!CK170,'LP Reactivos'!CP170,'LP Reactivos'!CU170,'LP Reactivos'!CZ170,'LP Reactivos'!DE170,'LP Reactivos'!DJ170,'LP Reactivos'!DO170,'LP Reactivos'!DT170,'LP Reactivos'!DY170,'LP Reactivos'!EB170)," ")</f>
        <v>893890.57740000007</v>
      </c>
      <c r="G170" s="345">
        <f>IFERROR(GEOMEAN('LP Reactivos'!F170,'LP Reactivos'!I170,'LP Reactivos'!N170,'LP Reactivos'!S170,'LP Reactivos'!X170,'LP Reactivos'!AC170,'LP Reactivos'!AH170,'LP Reactivos'!AM170,'LP Reactivos'!AR170,'LP Reactivos'!AW170,'LP Reactivos'!BB170,'LP Reactivos'!BG170,'LP Reactivos'!BL170,'LP Reactivos'!BQ170,'LP Reactivos'!BV170,'LP Reactivos'!CA170,'LP Reactivos'!CF170,'LP Reactivos'!CK170,'LP Reactivos'!CP170,'LP Reactivos'!CU170,'LP Reactivos'!CZ170,'LP Reactivos'!DE170,'LP Reactivos'!DJ170,'LP Reactivos'!DO170,'LP Reactivos'!DT170,'LP Reactivos'!DY170,'LP Reactivos'!EB170)," ")</f>
        <v>893890.57740000007</v>
      </c>
      <c r="H170" s="345">
        <f t="shared" si="8"/>
        <v>0</v>
      </c>
      <c r="I170" s="346">
        <f t="shared" si="9"/>
        <v>0</v>
      </c>
      <c r="J170" s="345">
        <f t="shared" si="10"/>
        <v>893890.57740000007</v>
      </c>
      <c r="K170" s="344" t="str">
        <f t="shared" si="11"/>
        <v>Menor Valor</v>
      </c>
      <c r="L170" s="326">
        <f>IFERROR(COUNTA('LP Reactivos'!F170,'LP Reactivos'!I170,'LP Reactivos'!N170,'LP Reactivos'!S170,'LP Reactivos'!X170,'LP Reactivos'!AC170,'LP Reactivos'!AH170,'LP Reactivos'!AM170,'LP Reactivos'!AR170,'LP Reactivos'!AW170,'LP Reactivos'!BB170,'LP Reactivos'!BG170,'LP Reactivos'!BL170,'LP Reactivos'!BQ170,'LP Reactivos'!BV170,'LP Reactivos'!CA170,'LP Reactivos'!CF170,'LP Reactivos'!CK170,'LP Reactivos'!CP170,'LP Reactivos'!CU170,'LP Reactivos'!CZ170,'LP Reactivos'!DE170,'LP Reactivos'!DJ170,'LP Reactivos'!DO170,'LP Reactivos'!DT170,'LP Reactivos'!DY170,'LP Reactivos'!EB170)," ")</f>
        <v>1</v>
      </c>
    </row>
    <row r="171" spans="2:12" ht="54" x14ac:dyDescent="0.25">
      <c r="B171" s="425">
        <v>169</v>
      </c>
      <c r="C171" s="413" t="s">
        <v>1189</v>
      </c>
      <c r="D171" s="429">
        <f>IFERROR(MIN('LP Reactivos'!F171,'LP Reactivos'!I171,'LP Reactivos'!N171,'LP Reactivos'!S171,'LP Reactivos'!X171,'LP Reactivos'!AC171,'LP Reactivos'!AH171,'LP Reactivos'!AM171,'LP Reactivos'!AR171,'LP Reactivos'!AW171,'LP Reactivos'!BB171,'LP Reactivos'!BG171,'LP Reactivos'!BL171,'LP Reactivos'!BQ171,'LP Reactivos'!BV171,'LP Reactivos'!CA171,'LP Reactivos'!CF171,'LP Reactivos'!CK171,'LP Reactivos'!CP171,'LP Reactivos'!CU171,'LP Reactivos'!CZ171,'LP Reactivos'!DE171,'LP Reactivos'!DJ171,'LP Reactivos'!DO171,'LP Reactivos'!DT171,'LP Reactivos'!DY171,'LP Reactivos'!EB171)," ")</f>
        <v>1422951.7194000001</v>
      </c>
      <c r="E171" s="429">
        <f>IFERROR(AVERAGE('LP Reactivos'!F171,'LP Reactivos'!I171,'LP Reactivos'!N171,'LP Reactivos'!S171,'LP Reactivos'!X171,'LP Reactivos'!AC171,'LP Reactivos'!AH171,'LP Reactivos'!AM171,'LP Reactivos'!AR171,'LP Reactivos'!AW171,'LP Reactivos'!BB171,'LP Reactivos'!BG171,'LP Reactivos'!BL171,'LP Reactivos'!BQ171,'LP Reactivos'!BV171,'LP Reactivos'!CA171,'LP Reactivos'!CF171,'LP Reactivos'!CK171,'LP Reactivos'!CP171,'LP Reactivos'!CU171,'LP Reactivos'!CZ171,'LP Reactivos'!DE171,'LP Reactivos'!DJ171,'LP Reactivos'!DO171,'LP Reactivos'!DT171,'LP Reactivos'!DY171,'LP Reactivos'!EB171)," ")</f>
        <v>1422951.7194000001</v>
      </c>
      <c r="F171" s="345">
        <f>IFERROR(MEDIAN('LP Reactivos'!F171,'LP Reactivos'!I171,'LP Reactivos'!N171,'LP Reactivos'!S171,'LP Reactivos'!X171,'LP Reactivos'!AC171,'LP Reactivos'!AH171,'LP Reactivos'!AM171,'LP Reactivos'!AR171,'LP Reactivos'!AW171,'LP Reactivos'!BB171,'LP Reactivos'!BG171,'LP Reactivos'!BL171,'LP Reactivos'!BQ171,'LP Reactivos'!BV171,'LP Reactivos'!CA171,'LP Reactivos'!CF171,'LP Reactivos'!CK171,'LP Reactivos'!CP171,'LP Reactivos'!CU171,'LP Reactivos'!CZ171,'LP Reactivos'!DE171,'LP Reactivos'!DJ171,'LP Reactivos'!DO171,'LP Reactivos'!DT171,'LP Reactivos'!DY171,'LP Reactivos'!EB171)," ")</f>
        <v>1422951.7194000001</v>
      </c>
      <c r="G171" s="345">
        <f>IFERROR(GEOMEAN('LP Reactivos'!F171,'LP Reactivos'!I171,'LP Reactivos'!N171,'LP Reactivos'!S171,'LP Reactivos'!X171,'LP Reactivos'!AC171,'LP Reactivos'!AH171,'LP Reactivos'!AM171,'LP Reactivos'!AR171,'LP Reactivos'!AW171,'LP Reactivos'!BB171,'LP Reactivos'!BG171,'LP Reactivos'!BL171,'LP Reactivos'!BQ171,'LP Reactivos'!BV171,'LP Reactivos'!CA171,'LP Reactivos'!CF171,'LP Reactivos'!CK171,'LP Reactivos'!CP171,'LP Reactivos'!CU171,'LP Reactivos'!CZ171,'LP Reactivos'!DE171,'LP Reactivos'!DJ171,'LP Reactivos'!DO171,'LP Reactivos'!DT171,'LP Reactivos'!DY171,'LP Reactivos'!EB171)," ")</f>
        <v>1422951.7194000001</v>
      </c>
      <c r="H171" s="345">
        <f t="shared" si="8"/>
        <v>0</v>
      </c>
      <c r="I171" s="346">
        <f t="shared" si="9"/>
        <v>0</v>
      </c>
      <c r="J171" s="345">
        <f t="shared" si="10"/>
        <v>1422951.7194000001</v>
      </c>
      <c r="K171" s="344" t="str">
        <f t="shared" si="11"/>
        <v>Menor Valor</v>
      </c>
      <c r="L171" s="326">
        <f>IFERROR(COUNTA('LP Reactivos'!F171,'LP Reactivos'!I171,'LP Reactivos'!N171,'LP Reactivos'!S171,'LP Reactivos'!X171,'LP Reactivos'!AC171,'LP Reactivos'!AH171,'LP Reactivos'!AM171,'LP Reactivos'!AR171,'LP Reactivos'!AW171,'LP Reactivos'!BB171,'LP Reactivos'!BG171,'LP Reactivos'!BL171,'LP Reactivos'!BQ171,'LP Reactivos'!BV171,'LP Reactivos'!CA171,'LP Reactivos'!CF171,'LP Reactivos'!CK171,'LP Reactivos'!CP171,'LP Reactivos'!CU171,'LP Reactivos'!CZ171,'LP Reactivos'!DE171,'LP Reactivos'!DJ171,'LP Reactivos'!DO171,'LP Reactivos'!DT171,'LP Reactivos'!DY171,'LP Reactivos'!EB171)," ")</f>
        <v>1</v>
      </c>
    </row>
    <row r="172" spans="2:12" ht="54" x14ac:dyDescent="0.25">
      <c r="B172" s="425">
        <v>170</v>
      </c>
      <c r="C172" s="413" t="s">
        <v>1190</v>
      </c>
      <c r="D172" s="429">
        <f>IFERROR(MIN('LP Reactivos'!F172,'LP Reactivos'!I172,'LP Reactivos'!N172,'LP Reactivos'!S172,'LP Reactivos'!X172,'LP Reactivos'!AC172,'LP Reactivos'!AH172,'LP Reactivos'!AM172,'LP Reactivos'!AR172,'LP Reactivos'!AW172,'LP Reactivos'!BB172,'LP Reactivos'!BG172,'LP Reactivos'!BL172,'LP Reactivos'!BQ172,'LP Reactivos'!BV172,'LP Reactivos'!CA172,'LP Reactivos'!CF172,'LP Reactivos'!CK172,'LP Reactivos'!CP172,'LP Reactivos'!CU172,'LP Reactivos'!CZ172,'LP Reactivos'!DE172,'LP Reactivos'!DJ172,'LP Reactivos'!DO172,'LP Reactivos'!DT172,'LP Reactivos'!DY172,'LP Reactivos'!EB172)," ")</f>
        <v>139901.0834</v>
      </c>
      <c r="E172" s="429">
        <f>IFERROR(AVERAGE('LP Reactivos'!F172,'LP Reactivos'!I172,'LP Reactivos'!N172,'LP Reactivos'!S172,'LP Reactivos'!X172,'LP Reactivos'!AC172,'LP Reactivos'!AH172,'LP Reactivos'!AM172,'LP Reactivos'!AR172,'LP Reactivos'!AW172,'LP Reactivos'!BB172,'LP Reactivos'!BG172,'LP Reactivos'!BL172,'LP Reactivos'!BQ172,'LP Reactivos'!BV172,'LP Reactivos'!CA172,'LP Reactivos'!CF172,'LP Reactivos'!CK172,'LP Reactivos'!CP172,'LP Reactivos'!CU172,'LP Reactivos'!CZ172,'LP Reactivos'!DE172,'LP Reactivos'!DJ172,'LP Reactivos'!DO172,'LP Reactivos'!DT172,'LP Reactivos'!DY172,'LP Reactivos'!EB172)," ")</f>
        <v>139901.0834</v>
      </c>
      <c r="F172" s="345">
        <f>IFERROR(MEDIAN('LP Reactivos'!F172,'LP Reactivos'!I172,'LP Reactivos'!N172,'LP Reactivos'!S172,'LP Reactivos'!X172,'LP Reactivos'!AC172,'LP Reactivos'!AH172,'LP Reactivos'!AM172,'LP Reactivos'!AR172,'LP Reactivos'!AW172,'LP Reactivos'!BB172,'LP Reactivos'!BG172,'LP Reactivos'!BL172,'LP Reactivos'!BQ172,'LP Reactivos'!BV172,'LP Reactivos'!CA172,'LP Reactivos'!CF172,'LP Reactivos'!CK172,'LP Reactivos'!CP172,'LP Reactivos'!CU172,'LP Reactivos'!CZ172,'LP Reactivos'!DE172,'LP Reactivos'!DJ172,'LP Reactivos'!DO172,'LP Reactivos'!DT172,'LP Reactivos'!DY172,'LP Reactivos'!EB172)," ")</f>
        <v>139901.0834</v>
      </c>
      <c r="G172" s="345">
        <f>IFERROR(GEOMEAN('LP Reactivos'!F172,'LP Reactivos'!I172,'LP Reactivos'!N172,'LP Reactivos'!S172,'LP Reactivos'!X172,'LP Reactivos'!AC172,'LP Reactivos'!AH172,'LP Reactivos'!AM172,'LP Reactivos'!AR172,'LP Reactivos'!AW172,'LP Reactivos'!BB172,'LP Reactivos'!BG172,'LP Reactivos'!BL172,'LP Reactivos'!BQ172,'LP Reactivos'!BV172,'LP Reactivos'!CA172,'LP Reactivos'!CF172,'LP Reactivos'!CK172,'LP Reactivos'!CP172,'LP Reactivos'!CU172,'LP Reactivos'!CZ172,'LP Reactivos'!DE172,'LP Reactivos'!DJ172,'LP Reactivos'!DO172,'LP Reactivos'!DT172,'LP Reactivos'!DY172,'LP Reactivos'!EB172)," ")</f>
        <v>139901.0834</v>
      </c>
      <c r="H172" s="345">
        <f t="shared" si="8"/>
        <v>0</v>
      </c>
      <c r="I172" s="346">
        <f t="shared" si="9"/>
        <v>0</v>
      </c>
      <c r="J172" s="345">
        <f t="shared" si="10"/>
        <v>139901.0834</v>
      </c>
      <c r="K172" s="344" t="str">
        <f t="shared" si="11"/>
        <v>Menor Valor</v>
      </c>
      <c r="L172" s="326">
        <f>IFERROR(COUNTA('LP Reactivos'!F172,'LP Reactivos'!I172,'LP Reactivos'!N172,'LP Reactivos'!S172,'LP Reactivos'!X172,'LP Reactivos'!AC172,'LP Reactivos'!AH172,'LP Reactivos'!AM172,'LP Reactivos'!AR172,'LP Reactivos'!AW172,'LP Reactivos'!BB172,'LP Reactivos'!BG172,'LP Reactivos'!BL172,'LP Reactivos'!BQ172,'LP Reactivos'!BV172,'LP Reactivos'!CA172,'LP Reactivos'!CF172,'LP Reactivos'!CK172,'LP Reactivos'!CP172,'LP Reactivos'!CU172,'LP Reactivos'!CZ172,'LP Reactivos'!DE172,'LP Reactivos'!DJ172,'LP Reactivos'!DO172,'LP Reactivos'!DT172,'LP Reactivos'!DY172,'LP Reactivos'!EB172)," ")</f>
        <v>1</v>
      </c>
    </row>
    <row r="173" spans="2:12" ht="54" x14ac:dyDescent="0.25">
      <c r="B173" s="425">
        <v>171</v>
      </c>
      <c r="C173" s="413" t="s">
        <v>1191</v>
      </c>
      <c r="D173" s="429">
        <f>IFERROR(MIN('LP Reactivos'!F173,'LP Reactivos'!I173,'LP Reactivos'!N173,'LP Reactivos'!S173,'LP Reactivos'!X173,'LP Reactivos'!AC173,'LP Reactivos'!AH173,'LP Reactivos'!AM173,'LP Reactivos'!AR173,'LP Reactivos'!AW173,'LP Reactivos'!BB173,'LP Reactivos'!BG173,'LP Reactivos'!BL173,'LP Reactivos'!BQ173,'LP Reactivos'!BV173,'LP Reactivos'!CA173,'LP Reactivos'!CF173,'LP Reactivos'!CK173,'LP Reactivos'!CP173,'LP Reactivos'!CU173,'LP Reactivos'!CZ173,'LP Reactivos'!DE173,'LP Reactivos'!DJ173,'LP Reactivos'!DO173,'LP Reactivos'!DT173,'LP Reactivos'!DY173,'LP Reactivos'!EB173)," ")</f>
        <v>961185.30420000001</v>
      </c>
      <c r="E173" s="429">
        <f>IFERROR(AVERAGE('LP Reactivos'!F173,'LP Reactivos'!I173,'LP Reactivos'!N173,'LP Reactivos'!S173,'LP Reactivos'!X173,'LP Reactivos'!AC173,'LP Reactivos'!AH173,'LP Reactivos'!AM173,'LP Reactivos'!AR173,'LP Reactivos'!AW173,'LP Reactivos'!BB173,'LP Reactivos'!BG173,'LP Reactivos'!BL173,'LP Reactivos'!BQ173,'LP Reactivos'!BV173,'LP Reactivos'!CA173,'LP Reactivos'!CF173,'LP Reactivos'!CK173,'LP Reactivos'!CP173,'LP Reactivos'!CU173,'LP Reactivos'!CZ173,'LP Reactivos'!DE173,'LP Reactivos'!DJ173,'LP Reactivos'!DO173,'LP Reactivos'!DT173,'LP Reactivos'!DY173,'LP Reactivos'!EB173)," ")</f>
        <v>961185.30420000001</v>
      </c>
      <c r="F173" s="345">
        <f>IFERROR(MEDIAN('LP Reactivos'!F173,'LP Reactivos'!I173,'LP Reactivos'!N173,'LP Reactivos'!S173,'LP Reactivos'!X173,'LP Reactivos'!AC173,'LP Reactivos'!AH173,'LP Reactivos'!AM173,'LP Reactivos'!AR173,'LP Reactivos'!AW173,'LP Reactivos'!BB173,'LP Reactivos'!BG173,'LP Reactivos'!BL173,'LP Reactivos'!BQ173,'LP Reactivos'!BV173,'LP Reactivos'!CA173,'LP Reactivos'!CF173,'LP Reactivos'!CK173,'LP Reactivos'!CP173,'LP Reactivos'!CU173,'LP Reactivos'!CZ173,'LP Reactivos'!DE173,'LP Reactivos'!DJ173,'LP Reactivos'!DO173,'LP Reactivos'!DT173,'LP Reactivos'!DY173,'LP Reactivos'!EB173)," ")</f>
        <v>961185.30420000001</v>
      </c>
      <c r="G173" s="345">
        <f>IFERROR(GEOMEAN('LP Reactivos'!F173,'LP Reactivos'!I173,'LP Reactivos'!N173,'LP Reactivos'!S173,'LP Reactivos'!X173,'LP Reactivos'!AC173,'LP Reactivos'!AH173,'LP Reactivos'!AM173,'LP Reactivos'!AR173,'LP Reactivos'!AW173,'LP Reactivos'!BB173,'LP Reactivos'!BG173,'LP Reactivos'!BL173,'LP Reactivos'!BQ173,'LP Reactivos'!BV173,'LP Reactivos'!CA173,'LP Reactivos'!CF173,'LP Reactivos'!CK173,'LP Reactivos'!CP173,'LP Reactivos'!CU173,'LP Reactivos'!CZ173,'LP Reactivos'!DE173,'LP Reactivos'!DJ173,'LP Reactivos'!DO173,'LP Reactivos'!DT173,'LP Reactivos'!DY173,'LP Reactivos'!EB173)," ")</f>
        <v>961185.30420000001</v>
      </c>
      <c r="H173" s="345">
        <f t="shared" si="8"/>
        <v>0</v>
      </c>
      <c r="I173" s="346">
        <f t="shared" si="9"/>
        <v>0</v>
      </c>
      <c r="J173" s="345">
        <f t="shared" si="10"/>
        <v>961185.30420000001</v>
      </c>
      <c r="K173" s="344" t="str">
        <f t="shared" si="11"/>
        <v>Menor Valor</v>
      </c>
      <c r="L173" s="326">
        <f>IFERROR(COUNTA('LP Reactivos'!F173,'LP Reactivos'!I173,'LP Reactivos'!N173,'LP Reactivos'!S173,'LP Reactivos'!X173,'LP Reactivos'!AC173,'LP Reactivos'!AH173,'LP Reactivos'!AM173,'LP Reactivos'!AR173,'LP Reactivos'!AW173,'LP Reactivos'!BB173,'LP Reactivos'!BG173,'LP Reactivos'!BL173,'LP Reactivos'!BQ173,'LP Reactivos'!BV173,'LP Reactivos'!CA173,'LP Reactivos'!CF173,'LP Reactivos'!CK173,'LP Reactivos'!CP173,'LP Reactivos'!CU173,'LP Reactivos'!CZ173,'LP Reactivos'!DE173,'LP Reactivos'!DJ173,'LP Reactivos'!DO173,'LP Reactivos'!DT173,'LP Reactivos'!DY173,'LP Reactivos'!EB173)," ")</f>
        <v>1</v>
      </c>
    </row>
    <row r="174" spans="2:12" x14ac:dyDescent="0.25">
      <c r="B174" s="425">
        <v>172</v>
      </c>
      <c r="C174" s="427" t="s">
        <v>2856</v>
      </c>
      <c r="D174" s="429">
        <f>IFERROR(MIN('LP Reactivos'!F174,'LP Reactivos'!I174,'LP Reactivos'!N174,'LP Reactivos'!S174,'LP Reactivos'!X174,'LP Reactivos'!AC174,'LP Reactivos'!AH174,'LP Reactivos'!AM174,'LP Reactivos'!AR174,'LP Reactivos'!AW174,'LP Reactivos'!BB174,'LP Reactivos'!BG174,'LP Reactivos'!BL174,'LP Reactivos'!BQ174,'LP Reactivos'!BV174,'LP Reactivos'!CA174,'LP Reactivos'!CF174,'LP Reactivos'!CK174,'LP Reactivos'!CP174,'LP Reactivos'!CU174,'LP Reactivos'!CZ174,'LP Reactivos'!DE174,'LP Reactivos'!DJ174,'LP Reactivos'!DO174,'LP Reactivos'!DT174,'LP Reactivos'!DY174,'LP Reactivos'!EB174)," ")</f>
        <v>353000</v>
      </c>
      <c r="E174" s="429">
        <f>IFERROR(AVERAGE('LP Reactivos'!F174,'LP Reactivos'!I174,'LP Reactivos'!N174,'LP Reactivos'!S174,'LP Reactivos'!X174,'LP Reactivos'!AC174,'LP Reactivos'!AH174,'LP Reactivos'!AM174,'LP Reactivos'!AR174,'LP Reactivos'!AW174,'LP Reactivos'!BB174,'LP Reactivos'!BG174,'LP Reactivos'!BL174,'LP Reactivos'!BQ174,'LP Reactivos'!BV174,'LP Reactivos'!CA174,'LP Reactivos'!CF174,'LP Reactivos'!CK174,'LP Reactivos'!CP174,'LP Reactivos'!CU174,'LP Reactivos'!CZ174,'LP Reactivos'!DE174,'LP Reactivos'!DJ174,'LP Reactivos'!DO174,'LP Reactivos'!DT174,'LP Reactivos'!DY174,'LP Reactivos'!EB174)," ")</f>
        <v>569200</v>
      </c>
      <c r="F174" s="345">
        <f>IFERROR(MEDIAN('LP Reactivos'!F174,'LP Reactivos'!I174,'LP Reactivos'!N174,'LP Reactivos'!S174,'LP Reactivos'!X174,'LP Reactivos'!AC174,'LP Reactivos'!AH174,'LP Reactivos'!AM174,'LP Reactivos'!AR174,'LP Reactivos'!AW174,'LP Reactivos'!BB174,'LP Reactivos'!BG174,'LP Reactivos'!BL174,'LP Reactivos'!BQ174,'LP Reactivos'!BV174,'LP Reactivos'!CA174,'LP Reactivos'!CF174,'LP Reactivos'!CK174,'LP Reactivos'!CP174,'LP Reactivos'!CU174,'LP Reactivos'!CZ174,'LP Reactivos'!DE174,'LP Reactivos'!DJ174,'LP Reactivos'!DO174,'LP Reactivos'!DT174,'LP Reactivos'!DY174,'LP Reactivos'!EB174)," ")</f>
        <v>569200</v>
      </c>
      <c r="G174" s="345">
        <f>IFERROR(GEOMEAN('LP Reactivos'!F174,'LP Reactivos'!I174,'LP Reactivos'!N174,'LP Reactivos'!S174,'LP Reactivos'!X174,'LP Reactivos'!AC174,'LP Reactivos'!AH174,'LP Reactivos'!AM174,'LP Reactivos'!AR174,'LP Reactivos'!AW174,'LP Reactivos'!BB174,'LP Reactivos'!BG174,'LP Reactivos'!BL174,'LP Reactivos'!BQ174,'LP Reactivos'!BV174,'LP Reactivos'!CA174,'LP Reactivos'!CF174,'LP Reactivos'!CK174,'LP Reactivos'!CP174,'LP Reactivos'!CU174,'LP Reactivos'!CZ174,'LP Reactivos'!DE174,'LP Reactivos'!DJ174,'LP Reactivos'!DO174,'LP Reactivos'!DT174,'LP Reactivos'!DY174,'LP Reactivos'!EB174)," ")</f>
        <v>526541.73623749905</v>
      </c>
      <c r="H174" s="345">
        <f t="shared" si="8"/>
        <v>102972.92085413689</v>
      </c>
      <c r="I174" s="346">
        <f t="shared" si="9"/>
        <v>0.18090815329258061</v>
      </c>
      <c r="J174" s="345">
        <f t="shared" si="10"/>
        <v>569200</v>
      </c>
      <c r="K174" s="344" t="str">
        <f t="shared" si="11"/>
        <v>Promedio</v>
      </c>
      <c r="L174" s="326">
        <f>IFERROR(COUNTA('LP Reactivos'!F174,'LP Reactivos'!I174,'LP Reactivos'!N174,'LP Reactivos'!S174,'LP Reactivos'!X174,'LP Reactivos'!AC174,'LP Reactivos'!AH174,'LP Reactivos'!AM174,'LP Reactivos'!AR174,'LP Reactivos'!AW174,'LP Reactivos'!BB174,'LP Reactivos'!BG174,'LP Reactivos'!BL174,'LP Reactivos'!BQ174,'LP Reactivos'!BV174,'LP Reactivos'!CA174,'LP Reactivos'!CF174,'LP Reactivos'!CK174,'LP Reactivos'!CP174,'LP Reactivos'!CU174,'LP Reactivos'!CZ174,'LP Reactivos'!DE174,'LP Reactivos'!DJ174,'LP Reactivos'!DO174,'LP Reactivos'!DT174,'LP Reactivos'!DY174,'LP Reactivos'!EB174)," ")</f>
        <v>2</v>
      </c>
    </row>
    <row r="175" spans="2:12" x14ac:dyDescent="0.25">
      <c r="B175" s="425">
        <v>173</v>
      </c>
      <c r="C175" s="427" t="s">
        <v>1195</v>
      </c>
      <c r="D175" s="429">
        <f>IFERROR(MIN('LP Reactivos'!F175,'LP Reactivos'!I175,'LP Reactivos'!N175,'LP Reactivos'!S175,'LP Reactivos'!X175,'LP Reactivos'!AC175,'LP Reactivos'!AH175,'LP Reactivos'!AM175,'LP Reactivos'!AR175,'LP Reactivos'!AW175,'LP Reactivos'!BB175,'LP Reactivos'!BG175,'LP Reactivos'!BL175,'LP Reactivos'!BQ175,'LP Reactivos'!BV175,'LP Reactivos'!CA175,'LP Reactivos'!CF175,'LP Reactivos'!CK175,'LP Reactivos'!CP175,'LP Reactivos'!CU175,'LP Reactivos'!CZ175,'LP Reactivos'!DE175,'LP Reactivos'!DJ175,'LP Reactivos'!DO175,'LP Reactivos'!DT175,'LP Reactivos'!DY175,'LP Reactivos'!EB175)," ")</f>
        <v>353000</v>
      </c>
      <c r="E175" s="429">
        <f>IFERROR(AVERAGE('LP Reactivos'!F175,'LP Reactivos'!I175,'LP Reactivos'!N175,'LP Reactivos'!S175,'LP Reactivos'!X175,'LP Reactivos'!AC175,'LP Reactivos'!AH175,'LP Reactivos'!AM175,'LP Reactivos'!AR175,'LP Reactivos'!AW175,'LP Reactivos'!BB175,'LP Reactivos'!BG175,'LP Reactivos'!BL175,'LP Reactivos'!BQ175,'LP Reactivos'!BV175,'LP Reactivos'!CA175,'LP Reactivos'!CF175,'LP Reactivos'!CK175,'LP Reactivos'!CP175,'LP Reactivos'!CU175,'LP Reactivos'!CZ175,'LP Reactivos'!DE175,'LP Reactivos'!DJ175,'LP Reactivos'!DO175,'LP Reactivos'!DT175,'LP Reactivos'!DY175,'LP Reactivos'!EB175)," ")</f>
        <v>569200</v>
      </c>
      <c r="F175" s="345">
        <f>IFERROR(MEDIAN('LP Reactivos'!F175,'LP Reactivos'!I175,'LP Reactivos'!N175,'LP Reactivos'!S175,'LP Reactivos'!X175,'LP Reactivos'!AC175,'LP Reactivos'!AH175,'LP Reactivos'!AM175,'LP Reactivos'!AR175,'LP Reactivos'!AW175,'LP Reactivos'!BB175,'LP Reactivos'!BG175,'LP Reactivos'!BL175,'LP Reactivos'!BQ175,'LP Reactivos'!BV175,'LP Reactivos'!CA175,'LP Reactivos'!CF175,'LP Reactivos'!CK175,'LP Reactivos'!CP175,'LP Reactivos'!CU175,'LP Reactivos'!CZ175,'LP Reactivos'!DE175,'LP Reactivos'!DJ175,'LP Reactivos'!DO175,'LP Reactivos'!DT175,'LP Reactivos'!DY175,'LP Reactivos'!EB175)," ")</f>
        <v>569200</v>
      </c>
      <c r="G175" s="345">
        <f>IFERROR(GEOMEAN('LP Reactivos'!F175,'LP Reactivos'!I175,'LP Reactivos'!N175,'LP Reactivos'!S175,'LP Reactivos'!X175,'LP Reactivos'!AC175,'LP Reactivos'!AH175,'LP Reactivos'!AM175,'LP Reactivos'!AR175,'LP Reactivos'!AW175,'LP Reactivos'!BB175,'LP Reactivos'!BG175,'LP Reactivos'!BL175,'LP Reactivos'!BQ175,'LP Reactivos'!BV175,'LP Reactivos'!CA175,'LP Reactivos'!CF175,'LP Reactivos'!CK175,'LP Reactivos'!CP175,'LP Reactivos'!CU175,'LP Reactivos'!CZ175,'LP Reactivos'!DE175,'LP Reactivos'!DJ175,'LP Reactivos'!DO175,'LP Reactivos'!DT175,'LP Reactivos'!DY175,'LP Reactivos'!EB175)," ")</f>
        <v>526541.73623749905</v>
      </c>
      <c r="H175" s="345">
        <f t="shared" si="8"/>
        <v>102972.92085413689</v>
      </c>
      <c r="I175" s="346">
        <f t="shared" si="9"/>
        <v>0.18090815329258061</v>
      </c>
      <c r="J175" s="345">
        <f t="shared" si="10"/>
        <v>569200</v>
      </c>
      <c r="K175" s="344" t="str">
        <f t="shared" si="11"/>
        <v>Promedio</v>
      </c>
      <c r="L175" s="326">
        <f>IFERROR(COUNTA('LP Reactivos'!F175,'LP Reactivos'!I175,'LP Reactivos'!N175,'LP Reactivos'!S175,'LP Reactivos'!X175,'LP Reactivos'!AC175,'LP Reactivos'!AH175,'LP Reactivos'!AM175,'LP Reactivos'!AR175,'LP Reactivos'!AW175,'LP Reactivos'!BB175,'LP Reactivos'!BG175,'LP Reactivos'!BL175,'LP Reactivos'!BQ175,'LP Reactivos'!BV175,'LP Reactivos'!CA175,'LP Reactivos'!CF175,'LP Reactivos'!CK175,'LP Reactivos'!CP175,'LP Reactivos'!CU175,'LP Reactivos'!CZ175,'LP Reactivos'!DE175,'LP Reactivos'!DJ175,'LP Reactivos'!DO175,'LP Reactivos'!DT175,'LP Reactivos'!DY175,'LP Reactivos'!EB175)," ")</f>
        <v>2</v>
      </c>
    </row>
    <row r="176" spans="2:12" x14ac:dyDescent="0.25">
      <c r="B176" s="425">
        <v>174</v>
      </c>
      <c r="C176" s="427" t="s">
        <v>1198</v>
      </c>
      <c r="D176" s="429">
        <f>IFERROR(MIN('LP Reactivos'!F176,'LP Reactivos'!I176,'LP Reactivos'!N176,'LP Reactivos'!S176,'LP Reactivos'!X176,'LP Reactivos'!AC176,'LP Reactivos'!AH176,'LP Reactivos'!AM176,'LP Reactivos'!AR176,'LP Reactivos'!AW176,'LP Reactivos'!BB176,'LP Reactivos'!BG176,'LP Reactivos'!BL176,'LP Reactivos'!BQ176,'LP Reactivos'!BV176,'LP Reactivos'!CA176,'LP Reactivos'!CF176,'LP Reactivos'!CK176,'LP Reactivos'!CP176,'LP Reactivos'!CU176,'LP Reactivos'!CZ176,'LP Reactivos'!DE176,'LP Reactivos'!DJ176,'LP Reactivos'!DO176,'LP Reactivos'!DT176,'LP Reactivos'!DY176,'LP Reactivos'!EB176)," ")</f>
        <v>353000</v>
      </c>
      <c r="E176" s="429">
        <f>IFERROR(AVERAGE('LP Reactivos'!F176,'LP Reactivos'!I176,'LP Reactivos'!N176,'LP Reactivos'!S176,'LP Reactivos'!X176,'LP Reactivos'!AC176,'LP Reactivos'!AH176,'LP Reactivos'!AM176,'LP Reactivos'!AR176,'LP Reactivos'!AW176,'LP Reactivos'!BB176,'LP Reactivos'!BG176,'LP Reactivos'!BL176,'LP Reactivos'!BQ176,'LP Reactivos'!BV176,'LP Reactivos'!CA176,'LP Reactivos'!CF176,'LP Reactivos'!CK176,'LP Reactivos'!CP176,'LP Reactivos'!CU176,'LP Reactivos'!CZ176,'LP Reactivos'!DE176,'LP Reactivos'!DJ176,'LP Reactivos'!DO176,'LP Reactivos'!DT176,'LP Reactivos'!DY176,'LP Reactivos'!EB176)," ")</f>
        <v>569200</v>
      </c>
      <c r="F176" s="345">
        <f>IFERROR(MEDIAN('LP Reactivos'!F176,'LP Reactivos'!I176,'LP Reactivos'!N176,'LP Reactivos'!S176,'LP Reactivos'!X176,'LP Reactivos'!AC176,'LP Reactivos'!AH176,'LP Reactivos'!AM176,'LP Reactivos'!AR176,'LP Reactivos'!AW176,'LP Reactivos'!BB176,'LP Reactivos'!BG176,'LP Reactivos'!BL176,'LP Reactivos'!BQ176,'LP Reactivos'!BV176,'LP Reactivos'!CA176,'LP Reactivos'!CF176,'LP Reactivos'!CK176,'LP Reactivos'!CP176,'LP Reactivos'!CU176,'LP Reactivos'!CZ176,'LP Reactivos'!DE176,'LP Reactivos'!DJ176,'LP Reactivos'!DO176,'LP Reactivos'!DT176,'LP Reactivos'!DY176,'LP Reactivos'!EB176)," ")</f>
        <v>569200</v>
      </c>
      <c r="G176" s="345">
        <f>IFERROR(GEOMEAN('LP Reactivos'!F176,'LP Reactivos'!I176,'LP Reactivos'!N176,'LP Reactivos'!S176,'LP Reactivos'!X176,'LP Reactivos'!AC176,'LP Reactivos'!AH176,'LP Reactivos'!AM176,'LP Reactivos'!AR176,'LP Reactivos'!AW176,'LP Reactivos'!BB176,'LP Reactivos'!BG176,'LP Reactivos'!BL176,'LP Reactivos'!BQ176,'LP Reactivos'!BV176,'LP Reactivos'!CA176,'LP Reactivos'!CF176,'LP Reactivos'!CK176,'LP Reactivos'!CP176,'LP Reactivos'!CU176,'LP Reactivos'!CZ176,'LP Reactivos'!DE176,'LP Reactivos'!DJ176,'LP Reactivos'!DO176,'LP Reactivos'!DT176,'LP Reactivos'!DY176,'LP Reactivos'!EB176)," ")</f>
        <v>526541.73623749905</v>
      </c>
      <c r="H176" s="345">
        <f t="shared" si="8"/>
        <v>102972.92085413689</v>
      </c>
      <c r="I176" s="346">
        <f t="shared" si="9"/>
        <v>0.18090815329258061</v>
      </c>
      <c r="J176" s="345">
        <f t="shared" si="10"/>
        <v>569200</v>
      </c>
      <c r="K176" s="344" t="str">
        <f t="shared" si="11"/>
        <v>Promedio</v>
      </c>
      <c r="L176" s="326">
        <f>IFERROR(COUNTA('LP Reactivos'!F176,'LP Reactivos'!I176,'LP Reactivos'!N176,'LP Reactivos'!S176,'LP Reactivos'!X176,'LP Reactivos'!AC176,'LP Reactivos'!AH176,'LP Reactivos'!AM176,'LP Reactivos'!AR176,'LP Reactivos'!AW176,'LP Reactivos'!BB176,'LP Reactivos'!BG176,'LP Reactivos'!BL176,'LP Reactivos'!BQ176,'LP Reactivos'!BV176,'LP Reactivos'!CA176,'LP Reactivos'!CF176,'LP Reactivos'!CK176,'LP Reactivos'!CP176,'LP Reactivos'!CU176,'LP Reactivos'!CZ176,'LP Reactivos'!DE176,'LP Reactivos'!DJ176,'LP Reactivos'!DO176,'LP Reactivos'!DT176,'LP Reactivos'!DY176,'LP Reactivos'!EB176)," ")</f>
        <v>2</v>
      </c>
    </row>
    <row r="177" spans="2:12" x14ac:dyDescent="0.25">
      <c r="B177" s="425">
        <v>175</v>
      </c>
      <c r="C177" s="427" t="s">
        <v>1201</v>
      </c>
      <c r="D177" s="429">
        <f>IFERROR(MIN('LP Reactivos'!F177,'LP Reactivos'!I177,'LP Reactivos'!N177,'LP Reactivos'!S177,'LP Reactivos'!X177,'LP Reactivos'!AC177,'LP Reactivos'!AH177,'LP Reactivos'!AM177,'LP Reactivos'!AR177,'LP Reactivos'!AW177,'LP Reactivos'!BB177,'LP Reactivos'!BG177,'LP Reactivos'!BL177,'LP Reactivos'!BQ177,'LP Reactivos'!BV177,'LP Reactivos'!CA177,'LP Reactivos'!CF177,'LP Reactivos'!CK177,'LP Reactivos'!CP177,'LP Reactivos'!CU177,'LP Reactivos'!CZ177,'LP Reactivos'!DE177,'LP Reactivos'!DJ177,'LP Reactivos'!DO177,'LP Reactivos'!DT177,'LP Reactivos'!DY177,'LP Reactivos'!EB177)," ")</f>
        <v>353000</v>
      </c>
      <c r="E177" s="429">
        <f>IFERROR(AVERAGE('LP Reactivos'!F177,'LP Reactivos'!I177,'LP Reactivos'!N177,'LP Reactivos'!S177,'LP Reactivos'!X177,'LP Reactivos'!AC177,'LP Reactivos'!AH177,'LP Reactivos'!AM177,'LP Reactivos'!AR177,'LP Reactivos'!AW177,'LP Reactivos'!BB177,'LP Reactivos'!BG177,'LP Reactivos'!BL177,'LP Reactivos'!BQ177,'LP Reactivos'!BV177,'LP Reactivos'!CA177,'LP Reactivos'!CF177,'LP Reactivos'!CK177,'LP Reactivos'!CP177,'LP Reactivos'!CU177,'LP Reactivos'!CZ177,'LP Reactivos'!DE177,'LP Reactivos'!DJ177,'LP Reactivos'!DO177,'LP Reactivos'!DT177,'LP Reactivos'!DY177,'LP Reactivos'!EB177)," ")</f>
        <v>569200</v>
      </c>
      <c r="F177" s="345">
        <f>IFERROR(MEDIAN('LP Reactivos'!F177,'LP Reactivos'!I177,'LP Reactivos'!N177,'LP Reactivos'!S177,'LP Reactivos'!X177,'LP Reactivos'!AC177,'LP Reactivos'!AH177,'LP Reactivos'!AM177,'LP Reactivos'!AR177,'LP Reactivos'!AW177,'LP Reactivos'!BB177,'LP Reactivos'!BG177,'LP Reactivos'!BL177,'LP Reactivos'!BQ177,'LP Reactivos'!BV177,'LP Reactivos'!CA177,'LP Reactivos'!CF177,'LP Reactivos'!CK177,'LP Reactivos'!CP177,'LP Reactivos'!CU177,'LP Reactivos'!CZ177,'LP Reactivos'!DE177,'LP Reactivos'!DJ177,'LP Reactivos'!DO177,'LP Reactivos'!DT177,'LP Reactivos'!DY177,'LP Reactivos'!EB177)," ")</f>
        <v>569200</v>
      </c>
      <c r="G177" s="345">
        <f>IFERROR(GEOMEAN('LP Reactivos'!F177,'LP Reactivos'!I177,'LP Reactivos'!N177,'LP Reactivos'!S177,'LP Reactivos'!X177,'LP Reactivos'!AC177,'LP Reactivos'!AH177,'LP Reactivos'!AM177,'LP Reactivos'!AR177,'LP Reactivos'!AW177,'LP Reactivos'!BB177,'LP Reactivos'!BG177,'LP Reactivos'!BL177,'LP Reactivos'!BQ177,'LP Reactivos'!BV177,'LP Reactivos'!CA177,'LP Reactivos'!CF177,'LP Reactivos'!CK177,'LP Reactivos'!CP177,'LP Reactivos'!CU177,'LP Reactivos'!CZ177,'LP Reactivos'!DE177,'LP Reactivos'!DJ177,'LP Reactivos'!DO177,'LP Reactivos'!DT177,'LP Reactivos'!DY177,'LP Reactivos'!EB177)," ")</f>
        <v>526541.73623749905</v>
      </c>
      <c r="H177" s="345">
        <f t="shared" ref="H177:H231" si="12">STDEVA(D177,E177,F177,G177)</f>
        <v>102972.92085413689</v>
      </c>
      <c r="I177" s="346">
        <f t="shared" ref="I177:I231" si="13">IFERROR(H177/E177," ")</f>
        <v>0.18090815329258061</v>
      </c>
      <c r="J177" s="345">
        <f t="shared" ref="J177:J231" si="14">IF(I177&lt;=10%,F177,IF(AND(I177&gt;10%,I177&lt;=20%),E177,IF(AND(I177&gt;20%,I177&lt;=30%),G177,IF(I177&gt;30%,D177))))</f>
        <v>569200</v>
      </c>
      <c r="K177" s="344" t="str">
        <f t="shared" ref="K177:K231" si="15">IF(J177=D177,"Menor Valor",IF(J177=E177,"Promedio",IF(J177=F177,"Mediana",IF(J177=G177,"Media Geométrica"," "))))</f>
        <v>Promedio</v>
      </c>
      <c r="L177" s="326">
        <f>IFERROR(COUNTA('LP Reactivos'!F177,'LP Reactivos'!I177,'LP Reactivos'!N177,'LP Reactivos'!S177,'LP Reactivos'!X177,'LP Reactivos'!AC177,'LP Reactivos'!AH177,'LP Reactivos'!AM177,'LP Reactivos'!AR177,'LP Reactivos'!AW177,'LP Reactivos'!BB177,'LP Reactivos'!BG177,'LP Reactivos'!BL177,'LP Reactivos'!BQ177,'LP Reactivos'!BV177,'LP Reactivos'!CA177,'LP Reactivos'!CF177,'LP Reactivos'!CK177,'LP Reactivos'!CP177,'LP Reactivos'!CU177,'LP Reactivos'!CZ177,'LP Reactivos'!DE177,'LP Reactivos'!DJ177,'LP Reactivos'!DO177,'LP Reactivos'!DT177,'LP Reactivos'!DY177,'LP Reactivos'!EB177)," ")</f>
        <v>2</v>
      </c>
    </row>
    <row r="178" spans="2:12" ht="27" x14ac:dyDescent="0.25">
      <c r="B178" s="425">
        <v>176</v>
      </c>
      <c r="C178" s="413" t="s">
        <v>1204</v>
      </c>
      <c r="D178" s="429">
        <f>IFERROR(MIN('LP Reactivos'!F178,'LP Reactivos'!I178,'LP Reactivos'!N178,'LP Reactivos'!S178,'LP Reactivos'!X178,'LP Reactivos'!AC178,'LP Reactivos'!AH178,'LP Reactivos'!AM178,'LP Reactivos'!AR178,'LP Reactivos'!AW178,'LP Reactivos'!BB178,'LP Reactivos'!BG178,'LP Reactivos'!BL178,'LP Reactivos'!BQ178,'LP Reactivos'!BV178,'LP Reactivos'!CA178,'LP Reactivos'!CF178,'LP Reactivos'!CK178,'LP Reactivos'!CP178,'LP Reactivos'!CU178,'LP Reactivos'!CZ178,'LP Reactivos'!DE178,'LP Reactivos'!DJ178,'LP Reactivos'!DO178,'LP Reactivos'!DT178,'LP Reactivos'!DY178,'LP Reactivos'!EB178)," ")</f>
        <v>2810780</v>
      </c>
      <c r="E178" s="429">
        <f>IFERROR(AVERAGE('LP Reactivos'!F178,'LP Reactivos'!I178,'LP Reactivos'!N178,'LP Reactivos'!S178,'LP Reactivos'!X178,'LP Reactivos'!AC178,'LP Reactivos'!AH178,'LP Reactivos'!AM178,'LP Reactivos'!AR178,'LP Reactivos'!AW178,'LP Reactivos'!BB178,'LP Reactivos'!BG178,'LP Reactivos'!BL178,'LP Reactivos'!BQ178,'LP Reactivos'!BV178,'LP Reactivos'!CA178,'LP Reactivos'!CF178,'LP Reactivos'!CK178,'LP Reactivos'!CP178,'LP Reactivos'!CU178,'LP Reactivos'!CZ178,'LP Reactivos'!DE178,'LP Reactivos'!DJ178,'LP Reactivos'!DO178,'LP Reactivos'!DT178,'LP Reactivos'!DY178,'LP Reactivos'!EB178)," ")</f>
        <v>2810780</v>
      </c>
      <c r="F178" s="345">
        <f>IFERROR(MEDIAN('LP Reactivos'!F178,'LP Reactivos'!I178,'LP Reactivos'!N178,'LP Reactivos'!S178,'LP Reactivos'!X178,'LP Reactivos'!AC178,'LP Reactivos'!AH178,'LP Reactivos'!AM178,'LP Reactivos'!AR178,'LP Reactivos'!AW178,'LP Reactivos'!BB178,'LP Reactivos'!BG178,'LP Reactivos'!BL178,'LP Reactivos'!BQ178,'LP Reactivos'!BV178,'LP Reactivos'!CA178,'LP Reactivos'!CF178,'LP Reactivos'!CK178,'LP Reactivos'!CP178,'LP Reactivos'!CU178,'LP Reactivos'!CZ178,'LP Reactivos'!DE178,'LP Reactivos'!DJ178,'LP Reactivos'!DO178,'LP Reactivos'!DT178,'LP Reactivos'!DY178,'LP Reactivos'!EB178)," ")</f>
        <v>2810780</v>
      </c>
      <c r="G178" s="345">
        <f>IFERROR(GEOMEAN('LP Reactivos'!F178,'LP Reactivos'!I178,'LP Reactivos'!N178,'LP Reactivos'!S178,'LP Reactivos'!X178,'LP Reactivos'!AC178,'LP Reactivos'!AH178,'LP Reactivos'!AM178,'LP Reactivos'!AR178,'LP Reactivos'!AW178,'LP Reactivos'!BB178,'LP Reactivos'!BG178,'LP Reactivos'!BL178,'LP Reactivos'!BQ178,'LP Reactivos'!BV178,'LP Reactivos'!CA178,'LP Reactivos'!CF178,'LP Reactivos'!CK178,'LP Reactivos'!CP178,'LP Reactivos'!CU178,'LP Reactivos'!CZ178,'LP Reactivos'!DE178,'LP Reactivos'!DJ178,'LP Reactivos'!DO178,'LP Reactivos'!DT178,'LP Reactivos'!DY178,'LP Reactivos'!EB178)," ")</f>
        <v>2810780</v>
      </c>
      <c r="H178" s="345">
        <f t="shared" si="12"/>
        <v>0</v>
      </c>
      <c r="I178" s="346">
        <f t="shared" si="13"/>
        <v>0</v>
      </c>
      <c r="J178" s="345">
        <f t="shared" si="14"/>
        <v>2810780</v>
      </c>
      <c r="K178" s="344" t="str">
        <f t="shared" si="15"/>
        <v>Menor Valor</v>
      </c>
      <c r="L178" s="326">
        <f>IFERROR(COUNTA('LP Reactivos'!F178,'LP Reactivos'!I178,'LP Reactivos'!N178,'LP Reactivos'!S178,'LP Reactivos'!X178,'LP Reactivos'!AC178,'LP Reactivos'!AH178,'LP Reactivos'!AM178,'LP Reactivos'!AR178,'LP Reactivos'!AW178,'LP Reactivos'!BB178,'LP Reactivos'!BG178,'LP Reactivos'!BL178,'LP Reactivos'!BQ178,'LP Reactivos'!BV178,'LP Reactivos'!CA178,'LP Reactivos'!CF178,'LP Reactivos'!CK178,'LP Reactivos'!CP178,'LP Reactivos'!CU178,'LP Reactivos'!CZ178,'LP Reactivos'!DE178,'LP Reactivos'!DJ178,'LP Reactivos'!DO178,'LP Reactivos'!DT178,'LP Reactivos'!DY178,'LP Reactivos'!EB178)," ")</f>
        <v>1</v>
      </c>
    </row>
    <row r="179" spans="2:12" ht="27" x14ac:dyDescent="0.25">
      <c r="B179" s="425">
        <v>177</v>
      </c>
      <c r="C179" s="427" t="s">
        <v>1207</v>
      </c>
      <c r="D179" s="429">
        <f>IFERROR(MIN('LP Reactivos'!F179,'LP Reactivos'!I179,'LP Reactivos'!N179,'LP Reactivos'!S179,'LP Reactivos'!X179,'LP Reactivos'!AC179,'LP Reactivos'!AH179,'LP Reactivos'!AM179,'LP Reactivos'!AR179,'LP Reactivos'!AW179,'LP Reactivos'!BB179,'LP Reactivos'!BG179,'LP Reactivos'!BL179,'LP Reactivos'!BQ179,'LP Reactivos'!BV179,'LP Reactivos'!CA179,'LP Reactivos'!CF179,'LP Reactivos'!CK179,'LP Reactivos'!CP179,'LP Reactivos'!CU179,'LP Reactivos'!CZ179,'LP Reactivos'!DE179,'LP Reactivos'!DJ179,'LP Reactivos'!DO179,'LP Reactivos'!DT179,'LP Reactivos'!DY179,'LP Reactivos'!EB179)," ")</f>
        <v>353000</v>
      </c>
      <c r="E179" s="429">
        <f>IFERROR(AVERAGE('LP Reactivos'!F179,'LP Reactivos'!I179,'LP Reactivos'!N179,'LP Reactivos'!S179,'LP Reactivos'!X179,'LP Reactivos'!AC179,'LP Reactivos'!AH179,'LP Reactivos'!AM179,'LP Reactivos'!AR179,'LP Reactivos'!AW179,'LP Reactivos'!BB179,'LP Reactivos'!BG179,'LP Reactivos'!BL179,'LP Reactivos'!BQ179,'LP Reactivos'!BV179,'LP Reactivos'!CA179,'LP Reactivos'!CF179,'LP Reactivos'!CK179,'LP Reactivos'!CP179,'LP Reactivos'!CU179,'LP Reactivos'!CZ179,'LP Reactivos'!DE179,'LP Reactivos'!DJ179,'LP Reactivos'!DO179,'LP Reactivos'!DT179,'LP Reactivos'!DY179,'LP Reactivos'!EB179)," ")</f>
        <v>569200</v>
      </c>
      <c r="F179" s="345">
        <f>IFERROR(MEDIAN('LP Reactivos'!F179,'LP Reactivos'!I179,'LP Reactivos'!N179,'LP Reactivos'!S179,'LP Reactivos'!X179,'LP Reactivos'!AC179,'LP Reactivos'!AH179,'LP Reactivos'!AM179,'LP Reactivos'!AR179,'LP Reactivos'!AW179,'LP Reactivos'!BB179,'LP Reactivos'!BG179,'LP Reactivos'!BL179,'LP Reactivos'!BQ179,'LP Reactivos'!BV179,'LP Reactivos'!CA179,'LP Reactivos'!CF179,'LP Reactivos'!CK179,'LP Reactivos'!CP179,'LP Reactivos'!CU179,'LP Reactivos'!CZ179,'LP Reactivos'!DE179,'LP Reactivos'!DJ179,'LP Reactivos'!DO179,'LP Reactivos'!DT179,'LP Reactivos'!DY179,'LP Reactivos'!EB179)," ")</f>
        <v>569200</v>
      </c>
      <c r="G179" s="345">
        <f>IFERROR(GEOMEAN('LP Reactivos'!F179,'LP Reactivos'!I179,'LP Reactivos'!N179,'LP Reactivos'!S179,'LP Reactivos'!X179,'LP Reactivos'!AC179,'LP Reactivos'!AH179,'LP Reactivos'!AM179,'LP Reactivos'!AR179,'LP Reactivos'!AW179,'LP Reactivos'!BB179,'LP Reactivos'!BG179,'LP Reactivos'!BL179,'LP Reactivos'!BQ179,'LP Reactivos'!BV179,'LP Reactivos'!CA179,'LP Reactivos'!CF179,'LP Reactivos'!CK179,'LP Reactivos'!CP179,'LP Reactivos'!CU179,'LP Reactivos'!CZ179,'LP Reactivos'!DE179,'LP Reactivos'!DJ179,'LP Reactivos'!DO179,'LP Reactivos'!DT179,'LP Reactivos'!DY179,'LP Reactivos'!EB179)," ")</f>
        <v>526541.73623749905</v>
      </c>
      <c r="H179" s="345">
        <f t="shared" si="12"/>
        <v>102972.92085413689</v>
      </c>
      <c r="I179" s="346">
        <f t="shared" si="13"/>
        <v>0.18090815329258061</v>
      </c>
      <c r="J179" s="345">
        <f t="shared" si="14"/>
        <v>569200</v>
      </c>
      <c r="K179" s="344" t="str">
        <f t="shared" si="15"/>
        <v>Promedio</v>
      </c>
      <c r="L179" s="326">
        <f>IFERROR(COUNTA('LP Reactivos'!F179,'LP Reactivos'!I179,'LP Reactivos'!N179,'LP Reactivos'!S179,'LP Reactivos'!X179,'LP Reactivos'!AC179,'LP Reactivos'!AH179,'LP Reactivos'!AM179,'LP Reactivos'!AR179,'LP Reactivos'!AW179,'LP Reactivos'!BB179,'LP Reactivos'!BG179,'LP Reactivos'!BL179,'LP Reactivos'!BQ179,'LP Reactivos'!BV179,'LP Reactivos'!CA179,'LP Reactivos'!CF179,'LP Reactivos'!CK179,'LP Reactivos'!CP179,'LP Reactivos'!CU179,'LP Reactivos'!CZ179,'LP Reactivos'!DE179,'LP Reactivos'!DJ179,'LP Reactivos'!DO179,'LP Reactivos'!DT179,'LP Reactivos'!DY179,'LP Reactivos'!EB179)," ")</f>
        <v>2</v>
      </c>
    </row>
    <row r="180" spans="2:12" x14ac:dyDescent="0.25">
      <c r="B180" s="425">
        <v>178</v>
      </c>
      <c r="C180" s="413" t="s">
        <v>1210</v>
      </c>
      <c r="D180" s="429">
        <f>IFERROR(MIN('LP Reactivos'!F180,'LP Reactivos'!I180,'LP Reactivos'!N180,'LP Reactivos'!S180,'LP Reactivos'!X180,'LP Reactivos'!AC180,'LP Reactivos'!AH180,'LP Reactivos'!AM180,'LP Reactivos'!AR180,'LP Reactivos'!AW180,'LP Reactivos'!BB180,'LP Reactivos'!BG180,'LP Reactivos'!BL180,'LP Reactivos'!BQ180,'LP Reactivos'!BV180,'LP Reactivos'!CA180,'LP Reactivos'!CF180,'LP Reactivos'!CK180,'LP Reactivos'!CP180,'LP Reactivos'!CU180,'LP Reactivos'!CZ180,'LP Reactivos'!DE180,'LP Reactivos'!DJ180,'LP Reactivos'!DO180,'LP Reactivos'!DT180,'LP Reactivos'!DY180,'LP Reactivos'!EB180)," ")</f>
        <v>316000</v>
      </c>
      <c r="E180" s="429">
        <f>IFERROR(AVERAGE('LP Reactivos'!F180,'LP Reactivos'!I180,'LP Reactivos'!N180,'LP Reactivos'!S180,'LP Reactivos'!X180,'LP Reactivos'!AC180,'LP Reactivos'!AH180,'LP Reactivos'!AM180,'LP Reactivos'!AR180,'LP Reactivos'!AW180,'LP Reactivos'!BB180,'LP Reactivos'!BG180,'LP Reactivos'!BL180,'LP Reactivos'!BQ180,'LP Reactivos'!BV180,'LP Reactivos'!CA180,'LP Reactivos'!CF180,'LP Reactivos'!CK180,'LP Reactivos'!CP180,'LP Reactivos'!CU180,'LP Reactivos'!CZ180,'LP Reactivos'!DE180,'LP Reactivos'!DJ180,'LP Reactivos'!DO180,'LP Reactivos'!DT180,'LP Reactivos'!DY180,'LP Reactivos'!EB180)," ")</f>
        <v>550700</v>
      </c>
      <c r="F180" s="345">
        <f>IFERROR(MEDIAN('LP Reactivos'!F180,'LP Reactivos'!I180,'LP Reactivos'!N180,'LP Reactivos'!S180,'LP Reactivos'!X180,'LP Reactivos'!AC180,'LP Reactivos'!AH180,'LP Reactivos'!AM180,'LP Reactivos'!AR180,'LP Reactivos'!AW180,'LP Reactivos'!BB180,'LP Reactivos'!BG180,'LP Reactivos'!BL180,'LP Reactivos'!BQ180,'LP Reactivos'!BV180,'LP Reactivos'!CA180,'LP Reactivos'!CF180,'LP Reactivos'!CK180,'LP Reactivos'!CP180,'LP Reactivos'!CU180,'LP Reactivos'!CZ180,'LP Reactivos'!DE180,'LP Reactivos'!DJ180,'LP Reactivos'!DO180,'LP Reactivos'!DT180,'LP Reactivos'!DY180,'LP Reactivos'!EB180)," ")</f>
        <v>550700</v>
      </c>
      <c r="G180" s="345">
        <f>IFERROR(GEOMEAN('LP Reactivos'!F180,'LP Reactivos'!I180,'LP Reactivos'!N180,'LP Reactivos'!S180,'LP Reactivos'!X180,'LP Reactivos'!AC180,'LP Reactivos'!AH180,'LP Reactivos'!AM180,'LP Reactivos'!AR180,'LP Reactivos'!AW180,'LP Reactivos'!BB180,'LP Reactivos'!BG180,'LP Reactivos'!BL180,'LP Reactivos'!BQ180,'LP Reactivos'!BV180,'LP Reactivos'!CA180,'LP Reactivos'!CF180,'LP Reactivos'!CK180,'LP Reactivos'!CP180,'LP Reactivos'!CU180,'LP Reactivos'!CZ180,'LP Reactivos'!DE180,'LP Reactivos'!DJ180,'LP Reactivos'!DO180,'LP Reactivos'!DT180,'LP Reactivos'!DY180,'LP Reactivos'!EB180)," ")</f>
        <v>498183.09887028486</v>
      </c>
      <c r="H180" s="345">
        <f t="shared" si="12"/>
        <v>111383.31387694352</v>
      </c>
      <c r="I180" s="346">
        <f t="shared" si="13"/>
        <v>0.20225769725248505</v>
      </c>
      <c r="J180" s="345">
        <f t="shared" si="14"/>
        <v>498183.09887028486</v>
      </c>
      <c r="K180" s="344" t="str">
        <f t="shared" si="15"/>
        <v>Media Geométrica</v>
      </c>
      <c r="L180" s="326">
        <f>IFERROR(COUNTA('LP Reactivos'!F180,'LP Reactivos'!I180,'LP Reactivos'!N180,'LP Reactivos'!S180,'LP Reactivos'!X180,'LP Reactivos'!AC180,'LP Reactivos'!AH180,'LP Reactivos'!AM180,'LP Reactivos'!AR180,'LP Reactivos'!AW180,'LP Reactivos'!BB180,'LP Reactivos'!BG180,'LP Reactivos'!BL180,'LP Reactivos'!BQ180,'LP Reactivos'!BV180,'LP Reactivos'!CA180,'LP Reactivos'!CF180,'LP Reactivos'!CK180,'LP Reactivos'!CP180,'LP Reactivos'!CU180,'LP Reactivos'!CZ180,'LP Reactivos'!DE180,'LP Reactivos'!DJ180,'LP Reactivos'!DO180,'LP Reactivos'!DT180,'LP Reactivos'!DY180,'LP Reactivos'!EB180)," ")</f>
        <v>2</v>
      </c>
    </row>
    <row r="181" spans="2:12" ht="54" x14ac:dyDescent="0.25">
      <c r="B181" s="425">
        <v>179</v>
      </c>
      <c r="C181" s="413" t="s">
        <v>1214</v>
      </c>
      <c r="D181" s="429">
        <f>IFERROR(MIN('LP Reactivos'!F181,'LP Reactivos'!I181,'LP Reactivos'!N181,'LP Reactivos'!S181,'LP Reactivos'!X181,'LP Reactivos'!AC181,'LP Reactivos'!AH181,'LP Reactivos'!AM181,'LP Reactivos'!AR181,'LP Reactivos'!AW181,'LP Reactivos'!BB181,'LP Reactivos'!BG181,'LP Reactivos'!BL181,'LP Reactivos'!BQ181,'LP Reactivos'!BV181,'LP Reactivos'!CA181,'LP Reactivos'!CF181,'LP Reactivos'!CK181,'LP Reactivos'!CP181,'LP Reactivos'!CU181,'LP Reactivos'!CZ181,'LP Reactivos'!DE181,'LP Reactivos'!DJ181,'LP Reactivos'!DO181,'LP Reactivos'!DT181,'LP Reactivos'!DY181,'LP Reactivos'!EB181)," ")</f>
        <v>353000</v>
      </c>
      <c r="E181" s="429">
        <f>IFERROR(AVERAGE('LP Reactivos'!F181,'LP Reactivos'!I181,'LP Reactivos'!N181,'LP Reactivos'!S181,'LP Reactivos'!X181,'LP Reactivos'!AC181,'LP Reactivos'!AH181,'LP Reactivos'!AM181,'LP Reactivos'!AR181,'LP Reactivos'!AW181,'LP Reactivos'!BB181,'LP Reactivos'!BG181,'LP Reactivos'!BL181,'LP Reactivos'!BQ181,'LP Reactivos'!BV181,'LP Reactivos'!CA181,'LP Reactivos'!CF181,'LP Reactivos'!CK181,'LP Reactivos'!CP181,'LP Reactivos'!CU181,'LP Reactivos'!CZ181,'LP Reactivos'!DE181,'LP Reactivos'!DJ181,'LP Reactivos'!DO181,'LP Reactivos'!DT181,'LP Reactivos'!DY181,'LP Reactivos'!EB181)," ")</f>
        <v>680279.46799999999</v>
      </c>
      <c r="F181" s="345">
        <f>IFERROR(MEDIAN('LP Reactivos'!F181,'LP Reactivos'!I181,'LP Reactivos'!N181,'LP Reactivos'!S181,'LP Reactivos'!X181,'LP Reactivos'!AC181,'LP Reactivos'!AH181,'LP Reactivos'!AM181,'LP Reactivos'!AR181,'LP Reactivos'!AW181,'LP Reactivos'!BB181,'LP Reactivos'!BG181,'LP Reactivos'!BL181,'LP Reactivos'!BQ181,'LP Reactivos'!BV181,'LP Reactivos'!CA181,'LP Reactivos'!CF181,'LP Reactivos'!CK181,'LP Reactivos'!CP181,'LP Reactivos'!CU181,'LP Reactivos'!CZ181,'LP Reactivos'!DE181,'LP Reactivos'!DJ181,'LP Reactivos'!DO181,'LP Reactivos'!DT181,'LP Reactivos'!DY181,'LP Reactivos'!EB181)," ")</f>
        <v>785400</v>
      </c>
      <c r="G181" s="345">
        <f>IFERROR(GEOMEAN('LP Reactivos'!F181,'LP Reactivos'!I181,'LP Reactivos'!N181,'LP Reactivos'!S181,'LP Reactivos'!X181,'LP Reactivos'!AC181,'LP Reactivos'!AH181,'LP Reactivos'!AM181,'LP Reactivos'!AR181,'LP Reactivos'!AW181,'LP Reactivos'!BB181,'LP Reactivos'!BG181,'LP Reactivos'!BL181,'LP Reactivos'!BQ181,'LP Reactivos'!BV181,'LP Reactivos'!CA181,'LP Reactivos'!CF181,'LP Reactivos'!CK181,'LP Reactivos'!CP181,'LP Reactivos'!CU181,'LP Reactivos'!CZ181,'LP Reactivos'!DE181,'LP Reactivos'!DJ181,'LP Reactivos'!DO181,'LP Reactivos'!DT181,'LP Reactivos'!DY181,'LP Reactivos'!EB181)," ")</f>
        <v>630126.47015290149</v>
      </c>
      <c r="H181" s="345">
        <f t="shared" si="12"/>
        <v>184516.53249008223</v>
      </c>
      <c r="I181" s="346">
        <f t="shared" si="13"/>
        <v>0.27123636853623551</v>
      </c>
      <c r="J181" s="345">
        <f t="shared" si="14"/>
        <v>630126.47015290149</v>
      </c>
      <c r="K181" s="344" t="str">
        <f t="shared" si="15"/>
        <v>Media Geométrica</v>
      </c>
      <c r="L181" s="326">
        <f>IFERROR(COUNTA('LP Reactivos'!F181,'LP Reactivos'!I181,'LP Reactivos'!N181,'LP Reactivos'!S181,'LP Reactivos'!X181,'LP Reactivos'!AC181,'LP Reactivos'!AH181,'LP Reactivos'!AM181,'LP Reactivos'!AR181,'LP Reactivos'!AW181,'LP Reactivos'!BB181,'LP Reactivos'!BG181,'LP Reactivos'!BL181,'LP Reactivos'!BQ181,'LP Reactivos'!BV181,'LP Reactivos'!CA181,'LP Reactivos'!CF181,'LP Reactivos'!CK181,'LP Reactivos'!CP181,'LP Reactivos'!CU181,'LP Reactivos'!CZ181,'LP Reactivos'!DE181,'LP Reactivos'!DJ181,'LP Reactivos'!DO181,'LP Reactivos'!DT181,'LP Reactivos'!DY181,'LP Reactivos'!EB181)," ")</f>
        <v>3</v>
      </c>
    </row>
    <row r="182" spans="2:12" x14ac:dyDescent="0.25">
      <c r="B182" s="425">
        <v>180</v>
      </c>
      <c r="C182" s="427" t="s">
        <v>2857</v>
      </c>
      <c r="D182" s="429">
        <f>IFERROR(MIN('LP Reactivos'!F182,'LP Reactivos'!I182,'LP Reactivos'!N182,'LP Reactivos'!S182,'LP Reactivos'!X182,'LP Reactivos'!AC182,'LP Reactivos'!AH182,'LP Reactivos'!AM182,'LP Reactivos'!AR182,'LP Reactivos'!AW182,'LP Reactivos'!BB182,'LP Reactivos'!BG182,'LP Reactivos'!BL182,'LP Reactivos'!BQ182,'LP Reactivos'!BV182,'LP Reactivos'!CA182,'LP Reactivos'!CF182,'LP Reactivos'!CK182,'LP Reactivos'!CP182,'LP Reactivos'!CU182,'LP Reactivos'!CZ182,'LP Reactivos'!DE182,'LP Reactivos'!DJ182,'LP Reactivos'!DO182,'LP Reactivos'!DT182,'LP Reactivos'!DY182,'LP Reactivos'!EB182)," ")</f>
        <v>353000</v>
      </c>
      <c r="E182" s="429">
        <f>IFERROR(AVERAGE('LP Reactivos'!F182,'LP Reactivos'!I182,'LP Reactivos'!N182,'LP Reactivos'!S182,'LP Reactivos'!X182,'LP Reactivos'!AC182,'LP Reactivos'!AH182,'LP Reactivos'!AM182,'LP Reactivos'!AR182,'LP Reactivos'!AW182,'LP Reactivos'!BB182,'LP Reactivos'!BG182,'LP Reactivos'!BL182,'LP Reactivos'!BQ182,'LP Reactivos'!BV182,'LP Reactivos'!CA182,'LP Reactivos'!CF182,'LP Reactivos'!CK182,'LP Reactivos'!CP182,'LP Reactivos'!CU182,'LP Reactivos'!CZ182,'LP Reactivos'!DE182,'LP Reactivos'!DJ182,'LP Reactivos'!DO182,'LP Reactivos'!DT182,'LP Reactivos'!DY182,'LP Reactivos'!EB182)," ")</f>
        <v>569200</v>
      </c>
      <c r="F182" s="345">
        <f>IFERROR(MEDIAN('LP Reactivos'!F182,'LP Reactivos'!I182,'LP Reactivos'!N182,'LP Reactivos'!S182,'LP Reactivos'!X182,'LP Reactivos'!AC182,'LP Reactivos'!AH182,'LP Reactivos'!AM182,'LP Reactivos'!AR182,'LP Reactivos'!AW182,'LP Reactivos'!BB182,'LP Reactivos'!BG182,'LP Reactivos'!BL182,'LP Reactivos'!BQ182,'LP Reactivos'!BV182,'LP Reactivos'!CA182,'LP Reactivos'!CF182,'LP Reactivos'!CK182,'LP Reactivos'!CP182,'LP Reactivos'!CU182,'LP Reactivos'!CZ182,'LP Reactivos'!DE182,'LP Reactivos'!DJ182,'LP Reactivos'!DO182,'LP Reactivos'!DT182,'LP Reactivos'!DY182,'LP Reactivos'!EB182)," ")</f>
        <v>569200</v>
      </c>
      <c r="G182" s="345">
        <f>IFERROR(GEOMEAN('LP Reactivos'!F182,'LP Reactivos'!I182,'LP Reactivos'!N182,'LP Reactivos'!S182,'LP Reactivos'!X182,'LP Reactivos'!AC182,'LP Reactivos'!AH182,'LP Reactivos'!AM182,'LP Reactivos'!AR182,'LP Reactivos'!AW182,'LP Reactivos'!BB182,'LP Reactivos'!BG182,'LP Reactivos'!BL182,'LP Reactivos'!BQ182,'LP Reactivos'!BV182,'LP Reactivos'!CA182,'LP Reactivos'!CF182,'LP Reactivos'!CK182,'LP Reactivos'!CP182,'LP Reactivos'!CU182,'LP Reactivos'!CZ182,'LP Reactivos'!DE182,'LP Reactivos'!DJ182,'LP Reactivos'!DO182,'LP Reactivos'!DT182,'LP Reactivos'!DY182,'LP Reactivos'!EB182)," ")</f>
        <v>526541.73623749905</v>
      </c>
      <c r="H182" s="345">
        <f t="shared" si="12"/>
        <v>102972.92085413689</v>
      </c>
      <c r="I182" s="346">
        <f t="shared" si="13"/>
        <v>0.18090815329258061</v>
      </c>
      <c r="J182" s="345">
        <f t="shared" si="14"/>
        <v>569200</v>
      </c>
      <c r="K182" s="344" t="str">
        <f t="shared" si="15"/>
        <v>Promedio</v>
      </c>
      <c r="L182" s="326">
        <f>IFERROR(COUNTA('LP Reactivos'!F182,'LP Reactivos'!I182,'LP Reactivos'!N182,'LP Reactivos'!S182,'LP Reactivos'!X182,'LP Reactivos'!AC182,'LP Reactivos'!AH182,'LP Reactivos'!AM182,'LP Reactivos'!AR182,'LP Reactivos'!AW182,'LP Reactivos'!BB182,'LP Reactivos'!BG182,'LP Reactivos'!BL182,'LP Reactivos'!BQ182,'LP Reactivos'!BV182,'LP Reactivos'!CA182,'LP Reactivos'!CF182,'LP Reactivos'!CK182,'LP Reactivos'!CP182,'LP Reactivos'!CU182,'LP Reactivos'!CZ182,'LP Reactivos'!DE182,'LP Reactivos'!DJ182,'LP Reactivos'!DO182,'LP Reactivos'!DT182,'LP Reactivos'!DY182,'LP Reactivos'!EB182)," ")</f>
        <v>2</v>
      </c>
    </row>
    <row r="183" spans="2:12" ht="42" customHeight="1" x14ac:dyDescent="0.25">
      <c r="B183" s="425">
        <v>181</v>
      </c>
      <c r="C183" s="427" t="s">
        <v>1218</v>
      </c>
      <c r="D183" s="429">
        <f>IFERROR(MIN('LP Reactivos'!F183,'LP Reactivos'!I183,'LP Reactivos'!N183,'LP Reactivos'!S183,'LP Reactivos'!X183,'LP Reactivos'!AC183,'LP Reactivos'!AH183,'LP Reactivos'!AM183,'LP Reactivos'!AR183,'LP Reactivos'!AW183,'LP Reactivos'!BB183,'LP Reactivos'!BG183,'LP Reactivos'!BL183,'LP Reactivos'!BQ183,'LP Reactivos'!BV183,'LP Reactivos'!CA183,'LP Reactivos'!CF183,'LP Reactivos'!CK183,'LP Reactivos'!CP183,'LP Reactivos'!CU183,'LP Reactivos'!CZ183,'LP Reactivos'!DE183,'LP Reactivos'!DJ183,'LP Reactivos'!DO183,'LP Reactivos'!DT183,'LP Reactivos'!DY183,'LP Reactivos'!EB183)," ")</f>
        <v>208250</v>
      </c>
      <c r="E183" s="429">
        <f>IFERROR(AVERAGE('LP Reactivos'!F183,'LP Reactivos'!I183,'LP Reactivos'!N183,'LP Reactivos'!S183,'LP Reactivos'!X183,'LP Reactivos'!AC183,'LP Reactivos'!AH183,'LP Reactivos'!AM183,'LP Reactivos'!AR183,'LP Reactivos'!AW183,'LP Reactivos'!BB183,'LP Reactivos'!BG183,'LP Reactivos'!BL183,'LP Reactivos'!BQ183,'LP Reactivos'!BV183,'LP Reactivos'!CA183,'LP Reactivos'!CF183,'LP Reactivos'!CK183,'LP Reactivos'!CP183,'LP Reactivos'!CU183,'LP Reactivos'!CZ183,'LP Reactivos'!DE183,'LP Reactivos'!DJ183,'LP Reactivos'!DO183,'LP Reactivos'!DT183,'LP Reactivos'!DY183,'LP Reactivos'!EB183)," ")</f>
        <v>355314.40633333335</v>
      </c>
      <c r="F183" s="345">
        <f>IFERROR(MEDIAN('LP Reactivos'!F183,'LP Reactivos'!I183,'LP Reactivos'!N183,'LP Reactivos'!S183,'LP Reactivos'!X183,'LP Reactivos'!AC183,'LP Reactivos'!AH183,'LP Reactivos'!AM183,'LP Reactivos'!AR183,'LP Reactivos'!AW183,'LP Reactivos'!BB183,'LP Reactivos'!BG183,'LP Reactivos'!BL183,'LP Reactivos'!BQ183,'LP Reactivos'!BV183,'LP Reactivos'!CA183,'LP Reactivos'!CF183,'LP Reactivos'!CK183,'LP Reactivos'!CP183,'LP Reactivos'!CU183,'LP Reactivos'!CZ183,'LP Reactivos'!DE183,'LP Reactivos'!DJ183,'LP Reactivos'!DO183,'LP Reactivos'!DT183,'LP Reactivos'!DY183,'LP Reactivos'!EB183)," ")</f>
        <v>279668.45</v>
      </c>
      <c r="G183" s="345">
        <f>IFERROR(GEOMEAN('LP Reactivos'!F183,'LP Reactivos'!I183,'LP Reactivos'!N183,'LP Reactivos'!S183,'LP Reactivos'!X183,'LP Reactivos'!AC183,'LP Reactivos'!AH183,'LP Reactivos'!AM183,'LP Reactivos'!AR183,'LP Reactivos'!AW183,'LP Reactivos'!BB183,'LP Reactivos'!BG183,'LP Reactivos'!BL183,'LP Reactivos'!BQ183,'LP Reactivos'!BV183,'LP Reactivos'!CA183,'LP Reactivos'!CF183,'LP Reactivos'!CK183,'LP Reactivos'!CP183,'LP Reactivos'!CU183,'LP Reactivos'!CZ183,'LP Reactivos'!DE183,'LP Reactivos'!DJ183,'LP Reactivos'!DO183,'LP Reactivos'!DT183,'LP Reactivos'!DY183,'LP Reactivos'!EB183)," ")</f>
        <v>325600.99711220822</v>
      </c>
      <c r="H183" s="345">
        <f t="shared" si="12"/>
        <v>64040.864177459414</v>
      </c>
      <c r="I183" s="346">
        <f t="shared" si="13"/>
        <v>0.18023717315131982</v>
      </c>
      <c r="J183" s="345">
        <f t="shared" si="14"/>
        <v>355314.40633333335</v>
      </c>
      <c r="K183" s="344" t="str">
        <f t="shared" si="15"/>
        <v>Promedio</v>
      </c>
      <c r="L183" s="326">
        <f>IFERROR(COUNTA('LP Reactivos'!F183,'LP Reactivos'!I183,'LP Reactivos'!N183,'LP Reactivos'!S183,'LP Reactivos'!X183,'LP Reactivos'!AC183,'LP Reactivos'!AH183,'LP Reactivos'!AM183,'LP Reactivos'!AR183,'LP Reactivos'!AW183,'LP Reactivos'!BB183,'LP Reactivos'!BG183,'LP Reactivos'!BL183,'LP Reactivos'!BQ183,'LP Reactivos'!BV183,'LP Reactivos'!CA183,'LP Reactivos'!CF183,'LP Reactivos'!CK183,'LP Reactivos'!CP183,'LP Reactivos'!CU183,'LP Reactivos'!CZ183,'LP Reactivos'!DE183,'LP Reactivos'!DJ183,'LP Reactivos'!DO183,'LP Reactivos'!DT183,'LP Reactivos'!DY183,'LP Reactivos'!EB183)," ")</f>
        <v>6</v>
      </c>
    </row>
    <row r="184" spans="2:12" x14ac:dyDescent="0.25">
      <c r="B184" s="425">
        <v>182</v>
      </c>
      <c r="C184" s="413" t="s">
        <v>1222</v>
      </c>
      <c r="D184" s="429">
        <f>IFERROR(MIN('LP Reactivos'!F184,'LP Reactivos'!I184,'LP Reactivos'!N184,'LP Reactivos'!S184,'LP Reactivos'!X184,'LP Reactivos'!AC184,'LP Reactivos'!AH184,'LP Reactivos'!AM184,'LP Reactivos'!AR184,'LP Reactivos'!AW184,'LP Reactivos'!BB184,'LP Reactivos'!BG184,'LP Reactivos'!BL184,'LP Reactivos'!BQ184,'LP Reactivos'!BV184,'LP Reactivos'!CA184,'LP Reactivos'!CF184,'LP Reactivos'!CK184,'LP Reactivos'!CP184,'LP Reactivos'!CU184,'LP Reactivos'!CZ184,'LP Reactivos'!DE184,'LP Reactivos'!DJ184,'LP Reactivos'!DO184,'LP Reactivos'!DT184,'LP Reactivos'!DY184,'LP Reactivos'!EB184)," ")</f>
        <v>113860</v>
      </c>
      <c r="E184" s="429">
        <f>IFERROR(AVERAGE('LP Reactivos'!F184,'LP Reactivos'!I184,'LP Reactivos'!N184,'LP Reactivos'!S184,'LP Reactivos'!X184,'LP Reactivos'!AC184,'LP Reactivos'!AH184,'LP Reactivos'!AM184,'LP Reactivos'!AR184,'LP Reactivos'!AW184,'LP Reactivos'!BB184,'LP Reactivos'!BG184,'LP Reactivos'!BL184,'LP Reactivos'!BQ184,'LP Reactivos'!BV184,'LP Reactivos'!CA184,'LP Reactivos'!CF184,'LP Reactivos'!CK184,'LP Reactivos'!CP184,'LP Reactivos'!CU184,'LP Reactivos'!CZ184,'LP Reactivos'!DE184,'LP Reactivos'!DJ184,'LP Reactivos'!DO184,'LP Reactivos'!DT184,'LP Reactivos'!DY184,'LP Reactivos'!EB184)," ")</f>
        <v>284572</v>
      </c>
      <c r="F184" s="345">
        <f>IFERROR(MEDIAN('LP Reactivos'!F184,'LP Reactivos'!I184,'LP Reactivos'!N184,'LP Reactivos'!S184,'LP Reactivos'!X184,'LP Reactivos'!AC184,'LP Reactivos'!AH184,'LP Reactivos'!AM184,'LP Reactivos'!AR184,'LP Reactivos'!AW184,'LP Reactivos'!BB184,'LP Reactivos'!BG184,'LP Reactivos'!BL184,'LP Reactivos'!BQ184,'LP Reactivos'!BV184,'LP Reactivos'!CA184,'LP Reactivos'!CF184,'LP Reactivos'!CK184,'LP Reactivos'!CP184,'LP Reactivos'!CU184,'LP Reactivos'!CZ184,'LP Reactivos'!DE184,'LP Reactivos'!DJ184,'LP Reactivos'!DO184,'LP Reactivos'!DT184,'LP Reactivos'!DY184,'LP Reactivos'!EB184)," ")</f>
        <v>133280</v>
      </c>
      <c r="G184" s="345">
        <f>IFERROR(GEOMEAN('LP Reactivos'!F184,'LP Reactivos'!I184,'LP Reactivos'!N184,'LP Reactivos'!S184,'LP Reactivos'!X184,'LP Reactivos'!AC184,'LP Reactivos'!AH184,'LP Reactivos'!AM184,'LP Reactivos'!AR184,'LP Reactivos'!AW184,'LP Reactivos'!BB184,'LP Reactivos'!BG184,'LP Reactivos'!BL184,'LP Reactivos'!BQ184,'LP Reactivos'!BV184,'LP Reactivos'!CA184,'LP Reactivos'!CF184,'LP Reactivos'!CK184,'LP Reactivos'!CP184,'LP Reactivos'!CU184,'LP Reactivos'!CZ184,'LP Reactivos'!DE184,'LP Reactivos'!DJ184,'LP Reactivos'!DO184,'LP Reactivos'!DT184,'LP Reactivos'!DY184,'LP Reactivos'!EB184)," ")</f>
        <v>209372.23943724047</v>
      </c>
      <c r="H184" s="345">
        <f t="shared" si="12"/>
        <v>77983.23184163135</v>
      </c>
      <c r="I184" s="346">
        <f t="shared" si="13"/>
        <v>0.27403691101595151</v>
      </c>
      <c r="J184" s="345">
        <f t="shared" si="14"/>
        <v>209372.23943724047</v>
      </c>
      <c r="K184" s="344" t="str">
        <f t="shared" si="15"/>
        <v>Media Geométrica</v>
      </c>
      <c r="L184" s="326">
        <f>IFERROR(COUNTA('LP Reactivos'!F184,'LP Reactivos'!I184,'LP Reactivos'!N184,'LP Reactivos'!S184,'LP Reactivos'!X184,'LP Reactivos'!AC184,'LP Reactivos'!AH184,'LP Reactivos'!AM184,'LP Reactivos'!AR184,'LP Reactivos'!AW184,'LP Reactivos'!BB184,'LP Reactivos'!BG184,'LP Reactivos'!BL184,'LP Reactivos'!BQ184,'LP Reactivos'!BV184,'LP Reactivos'!CA184,'LP Reactivos'!CF184,'LP Reactivos'!CK184,'LP Reactivos'!CP184,'LP Reactivos'!CU184,'LP Reactivos'!CZ184,'LP Reactivos'!DE184,'LP Reactivos'!DJ184,'LP Reactivos'!DO184,'LP Reactivos'!DT184,'LP Reactivos'!DY184,'LP Reactivos'!EB184)," ")</f>
        <v>5</v>
      </c>
    </row>
    <row r="185" spans="2:12" x14ac:dyDescent="0.25">
      <c r="B185" s="425">
        <v>183</v>
      </c>
      <c r="C185" s="428" t="s">
        <v>1229</v>
      </c>
      <c r="D185" s="429">
        <f>IFERROR(MIN('LP Reactivos'!F185,'LP Reactivos'!I185,'LP Reactivos'!N185,'LP Reactivos'!S185,'LP Reactivos'!X185,'LP Reactivos'!AC185,'LP Reactivos'!AH185,'LP Reactivos'!AM185,'LP Reactivos'!AR185,'LP Reactivos'!AW185,'LP Reactivos'!BB185,'LP Reactivos'!BG185,'LP Reactivos'!BL185,'LP Reactivos'!BQ185,'LP Reactivos'!BV185,'LP Reactivos'!CA185,'LP Reactivos'!CF185,'LP Reactivos'!CK185,'LP Reactivos'!CP185,'LP Reactivos'!CU185,'LP Reactivos'!CZ185,'LP Reactivos'!DE185,'LP Reactivos'!DJ185,'LP Reactivos'!DO185,'LP Reactivos'!DT185,'LP Reactivos'!DY185,'LP Reactivos'!EB185)," ")</f>
        <v>262990</v>
      </c>
      <c r="E185" s="429">
        <f>IFERROR(AVERAGE('LP Reactivos'!F185,'LP Reactivos'!I185,'LP Reactivos'!N185,'LP Reactivos'!S185,'LP Reactivos'!X185,'LP Reactivos'!AC185,'LP Reactivos'!AH185,'LP Reactivos'!AM185,'LP Reactivos'!AR185,'LP Reactivos'!AW185,'LP Reactivos'!BB185,'LP Reactivos'!BG185,'LP Reactivos'!BL185,'LP Reactivos'!BQ185,'LP Reactivos'!BV185,'LP Reactivos'!CA185,'LP Reactivos'!CF185,'LP Reactivos'!CK185,'LP Reactivos'!CP185,'LP Reactivos'!CU185,'LP Reactivos'!CZ185,'LP Reactivos'!DE185,'LP Reactivos'!DJ185,'LP Reactivos'!DO185,'LP Reactivos'!DT185,'LP Reactivos'!DY185,'LP Reactivos'!EB185)," ")</f>
        <v>585419</v>
      </c>
      <c r="F185" s="345">
        <f>IFERROR(MEDIAN('LP Reactivos'!F185,'LP Reactivos'!I185,'LP Reactivos'!N185,'LP Reactivos'!S185,'LP Reactivos'!X185,'LP Reactivos'!AC185,'LP Reactivos'!AH185,'LP Reactivos'!AM185,'LP Reactivos'!AR185,'LP Reactivos'!AW185,'LP Reactivos'!BB185,'LP Reactivos'!BG185,'LP Reactivos'!BL185,'LP Reactivos'!BQ185,'LP Reactivos'!BV185,'LP Reactivos'!CA185,'LP Reactivos'!CF185,'LP Reactivos'!CK185,'LP Reactivos'!CP185,'LP Reactivos'!CU185,'LP Reactivos'!CZ185,'LP Reactivos'!DE185,'LP Reactivos'!DJ185,'LP Reactivos'!DO185,'LP Reactivos'!DT185,'LP Reactivos'!DY185,'LP Reactivos'!EB185)," ")</f>
        <v>313977</v>
      </c>
      <c r="G185" s="345">
        <f>IFERROR(GEOMEAN('LP Reactivos'!F185,'LP Reactivos'!I185,'LP Reactivos'!N185,'LP Reactivos'!S185,'LP Reactivos'!X185,'LP Reactivos'!AC185,'LP Reactivos'!AH185,'LP Reactivos'!AM185,'LP Reactivos'!AR185,'LP Reactivos'!AW185,'LP Reactivos'!BB185,'LP Reactivos'!BG185,'LP Reactivos'!BL185,'LP Reactivos'!BQ185,'LP Reactivos'!BV185,'LP Reactivos'!CA185,'LP Reactivos'!CF185,'LP Reactivos'!CK185,'LP Reactivos'!CP185,'LP Reactivos'!CU185,'LP Reactivos'!CZ185,'LP Reactivos'!DE185,'LP Reactivos'!DJ185,'LP Reactivos'!DO185,'LP Reactivos'!DT185,'LP Reactivos'!DY185,'LP Reactivos'!EB185)," ")</f>
        <v>460065.03578801116</v>
      </c>
      <c r="H185" s="345">
        <f t="shared" si="12"/>
        <v>146097.79654079469</v>
      </c>
      <c r="I185" s="346">
        <f t="shared" si="13"/>
        <v>0.24956107769101224</v>
      </c>
      <c r="J185" s="345">
        <f t="shared" si="14"/>
        <v>460065.03578801116</v>
      </c>
      <c r="K185" s="344" t="str">
        <f t="shared" si="15"/>
        <v>Media Geométrica</v>
      </c>
      <c r="L185" s="326">
        <f>IFERROR(COUNTA('LP Reactivos'!F185,'LP Reactivos'!I185,'LP Reactivos'!N185,'LP Reactivos'!S185,'LP Reactivos'!X185,'LP Reactivos'!AC185,'LP Reactivos'!AH185,'LP Reactivos'!AM185,'LP Reactivos'!AR185,'LP Reactivos'!AW185,'LP Reactivos'!BB185,'LP Reactivos'!BG185,'LP Reactivos'!BL185,'LP Reactivos'!BQ185,'LP Reactivos'!BV185,'LP Reactivos'!CA185,'LP Reactivos'!CF185,'LP Reactivos'!CK185,'LP Reactivos'!CP185,'LP Reactivos'!CU185,'LP Reactivos'!CZ185,'LP Reactivos'!DE185,'LP Reactivos'!DJ185,'LP Reactivos'!DO185,'LP Reactivos'!DT185,'LP Reactivos'!DY185,'LP Reactivos'!EB185)," ")</f>
        <v>3</v>
      </c>
    </row>
    <row r="186" spans="2:12" x14ac:dyDescent="0.25">
      <c r="B186" s="425">
        <v>184</v>
      </c>
      <c r="C186" s="427" t="s">
        <v>1233</v>
      </c>
      <c r="D186" s="429">
        <f>IFERROR(MIN('LP Reactivos'!F186,'LP Reactivos'!I186,'LP Reactivos'!N186,'LP Reactivos'!S186,'LP Reactivos'!X186,'LP Reactivos'!AC186,'LP Reactivos'!AH186,'LP Reactivos'!AM186,'LP Reactivos'!AR186,'LP Reactivos'!AW186,'LP Reactivos'!BB186,'LP Reactivos'!BG186,'LP Reactivos'!BL186,'LP Reactivos'!BQ186,'LP Reactivos'!BV186,'LP Reactivos'!CA186,'LP Reactivos'!CF186,'LP Reactivos'!CK186,'LP Reactivos'!CP186,'LP Reactivos'!CU186,'LP Reactivos'!CZ186,'LP Reactivos'!DE186,'LP Reactivos'!DJ186,'LP Reactivos'!DO186,'LP Reactivos'!DT186,'LP Reactivos'!DY186,'LP Reactivos'!EB186)," ")</f>
        <v>317730</v>
      </c>
      <c r="E186" s="429">
        <f>IFERROR(AVERAGE('LP Reactivos'!F186,'LP Reactivos'!I186,'LP Reactivos'!N186,'LP Reactivos'!S186,'LP Reactivos'!X186,'LP Reactivos'!AC186,'LP Reactivos'!AH186,'LP Reactivos'!AM186,'LP Reactivos'!AR186,'LP Reactivos'!AW186,'LP Reactivos'!BB186,'LP Reactivos'!BG186,'LP Reactivos'!BL186,'LP Reactivos'!BQ186,'LP Reactivos'!BV186,'LP Reactivos'!CA186,'LP Reactivos'!CF186,'LP Reactivos'!CK186,'LP Reactivos'!CP186,'LP Reactivos'!CU186,'LP Reactivos'!CZ186,'LP Reactivos'!DE186,'LP Reactivos'!DJ186,'LP Reactivos'!DO186,'LP Reactivos'!DT186,'LP Reactivos'!DY186,'LP Reactivos'!EB186)," ")</f>
        <v>448130.397</v>
      </c>
      <c r="F186" s="345">
        <f>IFERROR(MEDIAN('LP Reactivos'!F186,'LP Reactivos'!I186,'LP Reactivos'!N186,'LP Reactivos'!S186,'LP Reactivos'!X186,'LP Reactivos'!AC186,'LP Reactivos'!AH186,'LP Reactivos'!AM186,'LP Reactivos'!AR186,'LP Reactivos'!AW186,'LP Reactivos'!BB186,'LP Reactivos'!BG186,'LP Reactivos'!BL186,'LP Reactivos'!BQ186,'LP Reactivos'!BV186,'LP Reactivos'!CA186,'LP Reactivos'!CF186,'LP Reactivos'!CK186,'LP Reactivos'!CP186,'LP Reactivos'!CU186,'LP Reactivos'!CZ186,'LP Reactivos'!DE186,'LP Reactivos'!DJ186,'LP Reactivos'!DO186,'LP Reactivos'!DT186,'LP Reactivos'!DY186,'LP Reactivos'!EB186)," ")</f>
        <v>447630.79399999999</v>
      </c>
      <c r="G186" s="345">
        <f>IFERROR(GEOMEAN('LP Reactivos'!F186,'LP Reactivos'!I186,'LP Reactivos'!N186,'LP Reactivos'!S186,'LP Reactivos'!X186,'LP Reactivos'!AC186,'LP Reactivos'!AH186,'LP Reactivos'!AM186,'LP Reactivos'!AR186,'LP Reactivos'!AW186,'LP Reactivos'!BB186,'LP Reactivos'!BG186,'LP Reactivos'!BL186,'LP Reactivos'!BQ186,'LP Reactivos'!BV186,'LP Reactivos'!CA186,'LP Reactivos'!CF186,'LP Reactivos'!CK186,'LP Reactivos'!CP186,'LP Reactivos'!CU186,'LP Reactivos'!CZ186,'LP Reactivos'!DE186,'LP Reactivos'!DJ186,'LP Reactivos'!DO186,'LP Reactivos'!DT186,'LP Reactivos'!DY186,'LP Reactivos'!EB186)," ")</f>
        <v>431124.31156841747</v>
      </c>
      <c r="H186" s="345">
        <f t="shared" si="12"/>
        <v>62781.811473540729</v>
      </c>
      <c r="I186" s="346">
        <f t="shared" si="13"/>
        <v>0.14009719468670795</v>
      </c>
      <c r="J186" s="345">
        <f t="shared" si="14"/>
        <v>448130.397</v>
      </c>
      <c r="K186" s="344" t="str">
        <f t="shared" si="15"/>
        <v>Promedio</v>
      </c>
      <c r="L186" s="326">
        <f>IFERROR(COUNTA('LP Reactivos'!F186,'LP Reactivos'!I186,'LP Reactivos'!N186,'LP Reactivos'!S186,'LP Reactivos'!X186,'LP Reactivos'!AC186,'LP Reactivos'!AH186,'LP Reactivos'!AM186,'LP Reactivos'!AR186,'LP Reactivos'!AW186,'LP Reactivos'!BB186,'LP Reactivos'!BG186,'LP Reactivos'!BL186,'LP Reactivos'!BQ186,'LP Reactivos'!BV186,'LP Reactivos'!CA186,'LP Reactivos'!CF186,'LP Reactivos'!CK186,'LP Reactivos'!CP186,'LP Reactivos'!CU186,'LP Reactivos'!CZ186,'LP Reactivos'!DE186,'LP Reactivos'!DJ186,'LP Reactivos'!DO186,'LP Reactivos'!DT186,'LP Reactivos'!DY186,'LP Reactivos'!EB186)," ")</f>
        <v>4</v>
      </c>
    </row>
    <row r="187" spans="2:12" x14ac:dyDescent="0.25">
      <c r="B187" s="425">
        <v>185</v>
      </c>
      <c r="C187" s="427" t="s">
        <v>1237</v>
      </c>
      <c r="D187" s="429">
        <f>IFERROR(MIN('LP Reactivos'!F187,'LP Reactivos'!I187,'LP Reactivos'!N187,'LP Reactivos'!S187,'LP Reactivos'!X187,'LP Reactivos'!AC187,'LP Reactivos'!AH187,'LP Reactivos'!AM187,'LP Reactivos'!AR187,'LP Reactivos'!AW187,'LP Reactivos'!BB187,'LP Reactivos'!BG187,'LP Reactivos'!BL187,'LP Reactivos'!BQ187,'LP Reactivos'!BV187,'LP Reactivos'!CA187,'LP Reactivos'!CF187,'LP Reactivos'!CK187,'LP Reactivos'!CP187,'LP Reactivos'!CU187,'LP Reactivos'!CZ187,'LP Reactivos'!DE187,'LP Reactivos'!DJ187,'LP Reactivos'!DO187,'LP Reactivos'!DT187,'LP Reactivos'!DY187,'LP Reactivos'!EB187)," ")</f>
        <v>253470</v>
      </c>
      <c r="E187" s="429">
        <f>IFERROR(AVERAGE('LP Reactivos'!F187,'LP Reactivos'!I187,'LP Reactivos'!N187,'LP Reactivos'!S187,'LP Reactivos'!X187,'LP Reactivos'!AC187,'LP Reactivos'!AH187,'LP Reactivos'!AM187,'LP Reactivos'!AR187,'LP Reactivos'!AW187,'LP Reactivos'!BB187,'LP Reactivos'!BG187,'LP Reactivos'!BL187,'LP Reactivos'!BQ187,'LP Reactivos'!BV187,'LP Reactivos'!CA187,'LP Reactivos'!CF187,'LP Reactivos'!CK187,'LP Reactivos'!CP187,'LP Reactivos'!CU187,'LP Reactivos'!CZ187,'LP Reactivos'!DE187,'LP Reactivos'!DJ187,'LP Reactivos'!DO187,'LP Reactivos'!DT187,'LP Reactivos'!DY187,'LP Reactivos'!EB187)," ")</f>
        <v>403861.72000000003</v>
      </c>
      <c r="F187" s="345">
        <f>IFERROR(MEDIAN('LP Reactivos'!F187,'LP Reactivos'!I187,'LP Reactivos'!N187,'LP Reactivos'!S187,'LP Reactivos'!X187,'LP Reactivos'!AC187,'LP Reactivos'!AH187,'LP Reactivos'!AM187,'LP Reactivos'!AR187,'LP Reactivos'!AW187,'LP Reactivos'!BB187,'LP Reactivos'!BG187,'LP Reactivos'!BL187,'LP Reactivos'!BQ187,'LP Reactivos'!BV187,'LP Reactivos'!CA187,'LP Reactivos'!CF187,'LP Reactivos'!CK187,'LP Reactivos'!CP187,'LP Reactivos'!CU187,'LP Reactivos'!CZ187,'LP Reactivos'!DE187,'LP Reactivos'!DJ187,'LP Reactivos'!DO187,'LP Reactivos'!DT187,'LP Reactivos'!DY187,'LP Reactivos'!EB187)," ")</f>
        <v>421902.6</v>
      </c>
      <c r="G187" s="345">
        <f>IFERROR(GEOMEAN('LP Reactivos'!F187,'LP Reactivos'!I187,'LP Reactivos'!N187,'LP Reactivos'!S187,'LP Reactivos'!X187,'LP Reactivos'!AC187,'LP Reactivos'!AH187,'LP Reactivos'!AM187,'LP Reactivos'!AR187,'LP Reactivos'!AW187,'LP Reactivos'!BB187,'LP Reactivos'!BG187,'LP Reactivos'!BL187,'LP Reactivos'!BQ187,'LP Reactivos'!BV187,'LP Reactivos'!CA187,'LP Reactivos'!CF187,'LP Reactivos'!CK187,'LP Reactivos'!CP187,'LP Reactivos'!CU187,'LP Reactivos'!CZ187,'LP Reactivos'!DE187,'LP Reactivos'!DJ187,'LP Reactivos'!DO187,'LP Reactivos'!DT187,'LP Reactivos'!DY187,'LP Reactivos'!EB187)," ")</f>
        <v>392109.7929018921</v>
      </c>
      <c r="H187" s="345">
        <f t="shared" si="12"/>
        <v>77222.295387880455</v>
      </c>
      <c r="I187" s="346">
        <f t="shared" si="13"/>
        <v>0.19120974225504822</v>
      </c>
      <c r="J187" s="345">
        <f t="shared" si="14"/>
        <v>403861.72000000003</v>
      </c>
      <c r="K187" s="344" t="str">
        <f t="shared" si="15"/>
        <v>Promedio</v>
      </c>
      <c r="L187" s="326">
        <f>IFERROR(COUNTA('LP Reactivos'!F187,'LP Reactivos'!I187,'LP Reactivos'!N187,'LP Reactivos'!S187,'LP Reactivos'!X187,'LP Reactivos'!AC187,'LP Reactivos'!AH187,'LP Reactivos'!AM187,'LP Reactivos'!AR187,'LP Reactivos'!AW187,'LP Reactivos'!BB187,'LP Reactivos'!BG187,'LP Reactivos'!BL187,'LP Reactivos'!BQ187,'LP Reactivos'!BV187,'LP Reactivos'!CA187,'LP Reactivos'!CF187,'LP Reactivos'!CK187,'LP Reactivos'!CP187,'LP Reactivos'!CU187,'LP Reactivos'!CZ187,'LP Reactivos'!DE187,'LP Reactivos'!DJ187,'LP Reactivos'!DO187,'LP Reactivos'!DT187,'LP Reactivos'!DY187,'LP Reactivos'!EB187)," ")</f>
        <v>5</v>
      </c>
    </row>
    <row r="188" spans="2:12" ht="40.5" x14ac:dyDescent="0.25">
      <c r="B188" s="425">
        <v>186</v>
      </c>
      <c r="C188" s="427" t="s">
        <v>1243</v>
      </c>
      <c r="D188" s="429">
        <f>IFERROR(MIN('LP Reactivos'!F188,'LP Reactivos'!I188,'LP Reactivos'!N188,'LP Reactivos'!S188,'LP Reactivos'!X188,'LP Reactivos'!AC188,'LP Reactivos'!AH188,'LP Reactivos'!AM188,'LP Reactivos'!AR188,'LP Reactivos'!AW188,'LP Reactivos'!BB188,'LP Reactivos'!BG188,'LP Reactivos'!BL188,'LP Reactivos'!BQ188,'LP Reactivos'!BV188,'LP Reactivos'!CA188,'LP Reactivos'!CF188,'LP Reactivos'!CK188,'LP Reactivos'!CP188,'LP Reactivos'!CU188,'LP Reactivos'!CZ188,'LP Reactivos'!DE188,'LP Reactivos'!DJ188,'LP Reactivos'!DO188,'LP Reactivos'!DT188,'LP Reactivos'!DY188,'LP Reactivos'!EB188)," ")</f>
        <v>1600765</v>
      </c>
      <c r="E188" s="429">
        <f>IFERROR(AVERAGE('LP Reactivos'!F188,'LP Reactivos'!I188,'LP Reactivos'!N188,'LP Reactivos'!S188,'LP Reactivos'!X188,'LP Reactivos'!AC188,'LP Reactivos'!AH188,'LP Reactivos'!AM188,'LP Reactivos'!AR188,'LP Reactivos'!AW188,'LP Reactivos'!BB188,'LP Reactivos'!BG188,'LP Reactivos'!BL188,'LP Reactivos'!BQ188,'LP Reactivos'!BV188,'LP Reactivos'!CA188,'LP Reactivos'!CF188,'LP Reactivos'!CK188,'LP Reactivos'!CP188,'LP Reactivos'!CU188,'LP Reactivos'!CZ188,'LP Reactivos'!DE188,'LP Reactivos'!DJ188,'LP Reactivos'!DO188,'LP Reactivos'!DT188,'LP Reactivos'!DY188,'LP Reactivos'!EB188)," ")</f>
        <v>5428292.5</v>
      </c>
      <c r="F188" s="345">
        <f>IFERROR(MEDIAN('LP Reactivos'!F188,'LP Reactivos'!I188,'LP Reactivos'!N188,'LP Reactivos'!S188,'LP Reactivos'!X188,'LP Reactivos'!AC188,'LP Reactivos'!AH188,'LP Reactivos'!AM188,'LP Reactivos'!AR188,'LP Reactivos'!AW188,'LP Reactivos'!BB188,'LP Reactivos'!BG188,'LP Reactivos'!BL188,'LP Reactivos'!BQ188,'LP Reactivos'!BV188,'LP Reactivos'!CA188,'LP Reactivos'!CF188,'LP Reactivos'!CK188,'LP Reactivos'!CP188,'LP Reactivos'!CU188,'LP Reactivos'!CZ188,'LP Reactivos'!DE188,'LP Reactivos'!DJ188,'LP Reactivos'!DO188,'LP Reactivos'!DT188,'LP Reactivos'!DY188,'LP Reactivos'!EB188)," ")</f>
        <v>5428292.5</v>
      </c>
      <c r="G188" s="345">
        <f>IFERROR(GEOMEAN('LP Reactivos'!F188,'LP Reactivos'!I188,'LP Reactivos'!N188,'LP Reactivos'!S188,'LP Reactivos'!X188,'LP Reactivos'!AC188,'LP Reactivos'!AH188,'LP Reactivos'!AM188,'LP Reactivos'!AR188,'LP Reactivos'!AW188,'LP Reactivos'!BB188,'LP Reactivos'!BG188,'LP Reactivos'!BL188,'LP Reactivos'!BQ188,'LP Reactivos'!BV188,'LP Reactivos'!CA188,'LP Reactivos'!CF188,'LP Reactivos'!CK188,'LP Reactivos'!CP188,'LP Reactivos'!CU188,'LP Reactivos'!CZ188,'LP Reactivos'!DE188,'LP Reactivos'!DJ188,'LP Reactivos'!DO188,'LP Reactivos'!DT188,'LP Reactivos'!DY188,'LP Reactivos'!EB188)," ")</f>
        <v>3849206.7627369668</v>
      </c>
      <c r="H188" s="345">
        <f t="shared" si="12"/>
        <v>1810673.1579302046</v>
      </c>
      <c r="I188" s="346">
        <f t="shared" si="13"/>
        <v>0.33356219436041901</v>
      </c>
      <c r="J188" s="345">
        <f>IF(I188&lt;=10%,F188,IF(AND(I188&gt;10%,I188&lt;=20%),E188,IF(AND(I188&gt;20%,I188&lt;=34%),G188,IF(I188&gt;34%,D188))))</f>
        <v>3849206.7627369668</v>
      </c>
      <c r="K188" s="344" t="str">
        <f t="shared" si="15"/>
        <v>Media Geométrica</v>
      </c>
      <c r="L188" s="326">
        <f>IFERROR(COUNTA('LP Reactivos'!F188,'LP Reactivos'!I188,'LP Reactivos'!N188,'LP Reactivos'!S188,'LP Reactivos'!X188,'LP Reactivos'!AC188,'LP Reactivos'!AH188,'LP Reactivos'!AM188,'LP Reactivos'!AR188,'LP Reactivos'!AW188,'LP Reactivos'!BB188,'LP Reactivos'!BG188,'LP Reactivos'!BL188,'LP Reactivos'!BQ188,'LP Reactivos'!BV188,'LP Reactivos'!CA188,'LP Reactivos'!CF188,'LP Reactivos'!CK188,'LP Reactivos'!CP188,'LP Reactivos'!CU188,'LP Reactivos'!CZ188,'LP Reactivos'!DE188,'LP Reactivos'!DJ188,'LP Reactivos'!DO188,'LP Reactivos'!DT188,'LP Reactivos'!DY188,'LP Reactivos'!EB188)," ")</f>
        <v>2</v>
      </c>
    </row>
    <row r="189" spans="2:12" x14ac:dyDescent="0.25">
      <c r="B189" s="425">
        <v>187</v>
      </c>
      <c r="C189" s="427" t="s">
        <v>1248</v>
      </c>
      <c r="D189" s="429">
        <f>IFERROR(MIN('LP Reactivos'!F189,'LP Reactivos'!I189,'LP Reactivos'!N189,'LP Reactivos'!S189,'LP Reactivos'!X189,'LP Reactivos'!AC189,'LP Reactivos'!AH189,'LP Reactivos'!AM189,'LP Reactivos'!AR189,'LP Reactivos'!AW189,'LP Reactivos'!BB189,'LP Reactivos'!BG189,'LP Reactivos'!BL189,'LP Reactivos'!BQ189,'LP Reactivos'!BV189,'LP Reactivos'!CA189,'LP Reactivos'!CF189,'LP Reactivos'!CK189,'LP Reactivos'!CP189,'LP Reactivos'!CU189,'LP Reactivos'!CZ189,'LP Reactivos'!DE189,'LP Reactivos'!DJ189,'LP Reactivos'!DO189,'LP Reactivos'!DT189,'LP Reactivos'!DY189,'LP Reactivos'!EB189)," ")</f>
        <v>2424348.92</v>
      </c>
      <c r="E189" s="429">
        <f>IFERROR(AVERAGE('LP Reactivos'!F189,'LP Reactivos'!I189,'LP Reactivos'!N189,'LP Reactivos'!S189,'LP Reactivos'!X189,'LP Reactivos'!AC189,'LP Reactivos'!AH189,'LP Reactivos'!AM189,'LP Reactivos'!AR189,'LP Reactivos'!AW189,'LP Reactivos'!BB189,'LP Reactivos'!BG189,'LP Reactivos'!BL189,'LP Reactivos'!BQ189,'LP Reactivos'!BV189,'LP Reactivos'!CA189,'LP Reactivos'!CF189,'LP Reactivos'!CK189,'LP Reactivos'!CP189,'LP Reactivos'!CU189,'LP Reactivos'!CZ189,'LP Reactivos'!DE189,'LP Reactivos'!DJ189,'LP Reactivos'!DO189,'LP Reactivos'!DT189,'LP Reactivos'!DY189,'LP Reactivos'!EB189)," ")</f>
        <v>2769856.7726666667</v>
      </c>
      <c r="F189" s="345">
        <f>IFERROR(MEDIAN('LP Reactivos'!F189,'LP Reactivos'!I189,'LP Reactivos'!N189,'LP Reactivos'!S189,'LP Reactivos'!X189,'LP Reactivos'!AC189,'LP Reactivos'!AH189,'LP Reactivos'!AM189,'LP Reactivos'!AR189,'LP Reactivos'!AW189,'LP Reactivos'!BB189,'LP Reactivos'!BG189,'LP Reactivos'!BL189,'LP Reactivos'!BQ189,'LP Reactivos'!BV189,'LP Reactivos'!CA189,'LP Reactivos'!CF189,'LP Reactivos'!CK189,'LP Reactivos'!CP189,'LP Reactivos'!CU189,'LP Reactivos'!CZ189,'LP Reactivos'!DE189,'LP Reactivos'!DJ189,'LP Reactivos'!DO189,'LP Reactivos'!DT189,'LP Reactivos'!DY189,'LP Reactivos'!EB189)," ")</f>
        <v>2942351.398</v>
      </c>
      <c r="G189" s="345">
        <f>IFERROR(GEOMEAN('LP Reactivos'!F189,'LP Reactivos'!I189,'LP Reactivos'!N189,'LP Reactivos'!S189,'LP Reactivos'!X189,'LP Reactivos'!AC189,'LP Reactivos'!AH189,'LP Reactivos'!AM189,'LP Reactivos'!AR189,'LP Reactivos'!AW189,'LP Reactivos'!BB189,'LP Reactivos'!BG189,'LP Reactivos'!BL189,'LP Reactivos'!BQ189,'LP Reactivos'!BV189,'LP Reactivos'!CA189,'LP Reactivos'!CF189,'LP Reactivos'!CK189,'LP Reactivos'!CP189,'LP Reactivos'!CU189,'LP Reactivos'!CZ189,'LP Reactivos'!DE189,'LP Reactivos'!DJ189,'LP Reactivos'!DO189,'LP Reactivos'!DT189,'LP Reactivos'!DY189,'LP Reactivos'!EB189)," ")</f>
        <v>2758588.451007627</v>
      </c>
      <c r="H189" s="345">
        <f t="shared" si="12"/>
        <v>216615.73101652658</v>
      </c>
      <c r="I189" s="346">
        <f t="shared" si="13"/>
        <v>7.8204668614681033E-2</v>
      </c>
      <c r="J189" s="345">
        <f t="shared" si="14"/>
        <v>2942351.398</v>
      </c>
      <c r="K189" s="344" t="str">
        <f t="shared" si="15"/>
        <v>Mediana</v>
      </c>
      <c r="L189" s="326">
        <f>IFERROR(COUNTA('LP Reactivos'!F189,'LP Reactivos'!I189,'LP Reactivos'!N189,'LP Reactivos'!S189,'LP Reactivos'!X189,'LP Reactivos'!AC189,'LP Reactivos'!AH189,'LP Reactivos'!AM189,'LP Reactivos'!AR189,'LP Reactivos'!AW189,'LP Reactivos'!BB189,'LP Reactivos'!BG189,'LP Reactivos'!BL189,'LP Reactivos'!BQ189,'LP Reactivos'!BV189,'LP Reactivos'!CA189,'LP Reactivos'!CF189,'LP Reactivos'!CK189,'LP Reactivos'!CP189,'LP Reactivos'!CU189,'LP Reactivos'!CZ189,'LP Reactivos'!DE189,'LP Reactivos'!DJ189,'LP Reactivos'!DO189,'LP Reactivos'!DT189,'LP Reactivos'!DY189,'LP Reactivos'!EB189)," ")</f>
        <v>3</v>
      </c>
    </row>
    <row r="190" spans="2:12" x14ac:dyDescent="0.25">
      <c r="B190" s="425">
        <v>188</v>
      </c>
      <c r="C190" s="428" t="s">
        <v>1250</v>
      </c>
      <c r="D190" s="429">
        <f>IFERROR(MIN('LP Reactivos'!F190,'LP Reactivos'!I190,'LP Reactivos'!N190,'LP Reactivos'!S190,'LP Reactivos'!X190,'LP Reactivos'!AC190,'LP Reactivos'!AH190,'LP Reactivos'!AM190,'LP Reactivos'!AR190,'LP Reactivos'!AW190,'LP Reactivos'!BB190,'LP Reactivos'!BG190,'LP Reactivos'!BL190,'LP Reactivos'!BQ190,'LP Reactivos'!BV190,'LP Reactivos'!CA190,'LP Reactivos'!CF190,'LP Reactivos'!CK190,'LP Reactivos'!CP190,'LP Reactivos'!CU190,'LP Reactivos'!CZ190,'LP Reactivos'!DE190,'LP Reactivos'!DJ190,'LP Reactivos'!DO190,'LP Reactivos'!DT190,'LP Reactivos'!DY190,'LP Reactivos'!EB190)," ")</f>
        <v>158043.9</v>
      </c>
      <c r="E190" s="429">
        <f>IFERROR(AVERAGE('LP Reactivos'!F190,'LP Reactivos'!I190,'LP Reactivos'!N190,'LP Reactivos'!S190,'LP Reactivos'!X190,'LP Reactivos'!AC190,'LP Reactivos'!AH190,'LP Reactivos'!AM190,'LP Reactivos'!AR190,'LP Reactivos'!AW190,'LP Reactivos'!BB190,'LP Reactivos'!BG190,'LP Reactivos'!BL190,'LP Reactivos'!BQ190,'LP Reactivos'!BV190,'LP Reactivos'!CA190,'LP Reactivos'!CF190,'LP Reactivos'!CK190,'LP Reactivos'!CP190,'LP Reactivos'!CU190,'LP Reactivos'!CZ190,'LP Reactivos'!DE190,'LP Reactivos'!DJ190,'LP Reactivos'!DO190,'LP Reactivos'!DT190,'LP Reactivos'!DY190,'LP Reactivos'!EB190)," ")</f>
        <v>256895.18</v>
      </c>
      <c r="F190" s="345">
        <f>IFERROR(MEDIAN('LP Reactivos'!F190,'LP Reactivos'!I190,'LP Reactivos'!N190,'LP Reactivos'!S190,'LP Reactivos'!X190,'LP Reactivos'!AC190,'LP Reactivos'!AH190,'LP Reactivos'!AM190,'LP Reactivos'!AR190,'LP Reactivos'!AW190,'LP Reactivos'!BB190,'LP Reactivos'!BG190,'LP Reactivos'!BL190,'LP Reactivos'!BQ190,'LP Reactivos'!BV190,'LP Reactivos'!CA190,'LP Reactivos'!CF190,'LP Reactivos'!CK190,'LP Reactivos'!CP190,'LP Reactivos'!CU190,'LP Reactivos'!CZ190,'LP Reactivos'!DE190,'LP Reactivos'!DJ190,'LP Reactivos'!DO190,'LP Reactivos'!DT190,'LP Reactivos'!DY190,'LP Reactivos'!EB190)," ")</f>
        <v>208250</v>
      </c>
      <c r="G190" s="345">
        <f>IFERROR(GEOMEAN('LP Reactivos'!F190,'LP Reactivos'!I190,'LP Reactivos'!N190,'LP Reactivos'!S190,'LP Reactivos'!X190,'LP Reactivos'!AC190,'LP Reactivos'!AH190,'LP Reactivos'!AM190,'LP Reactivos'!AR190,'LP Reactivos'!AW190,'LP Reactivos'!BB190,'LP Reactivos'!BG190,'LP Reactivos'!BL190,'LP Reactivos'!BQ190,'LP Reactivos'!BV190,'LP Reactivos'!CA190,'LP Reactivos'!CF190,'LP Reactivos'!CK190,'LP Reactivos'!CP190,'LP Reactivos'!CU190,'LP Reactivos'!CZ190,'LP Reactivos'!DE190,'LP Reactivos'!DJ190,'LP Reactivos'!DO190,'LP Reactivos'!DT190,'LP Reactivos'!DY190,'LP Reactivos'!EB190)," ")</f>
        <v>236576.12585996097</v>
      </c>
      <c r="H190" s="345">
        <f t="shared" si="12"/>
        <v>42857.443381110235</v>
      </c>
      <c r="I190" s="346">
        <f t="shared" si="13"/>
        <v>0.16682852275044724</v>
      </c>
      <c r="J190" s="345">
        <f t="shared" si="14"/>
        <v>256895.18</v>
      </c>
      <c r="K190" s="344" t="str">
        <f t="shared" si="15"/>
        <v>Promedio</v>
      </c>
      <c r="L190" s="326">
        <f>IFERROR(COUNTA('LP Reactivos'!F190,'LP Reactivos'!I190,'LP Reactivos'!N190,'LP Reactivos'!S190,'LP Reactivos'!X190,'LP Reactivos'!AC190,'LP Reactivos'!AH190,'LP Reactivos'!AM190,'LP Reactivos'!AR190,'LP Reactivos'!AW190,'LP Reactivos'!BB190,'LP Reactivos'!BG190,'LP Reactivos'!BL190,'LP Reactivos'!BQ190,'LP Reactivos'!BV190,'LP Reactivos'!CA190,'LP Reactivos'!CF190,'LP Reactivos'!CK190,'LP Reactivos'!CP190,'LP Reactivos'!CU190,'LP Reactivos'!CZ190,'LP Reactivos'!DE190,'LP Reactivos'!DJ190,'LP Reactivos'!DO190,'LP Reactivos'!DT190,'LP Reactivos'!DY190,'LP Reactivos'!EB190)," ")</f>
        <v>5</v>
      </c>
    </row>
    <row r="191" spans="2:12" ht="67.5" x14ac:dyDescent="0.25">
      <c r="B191" s="425">
        <v>189</v>
      </c>
      <c r="C191" s="427" t="s">
        <v>1256</v>
      </c>
      <c r="D191" s="429">
        <f>IFERROR(MIN('LP Reactivos'!F191,'LP Reactivos'!I191,'LP Reactivos'!N191,'LP Reactivos'!S191,'LP Reactivos'!X191,'LP Reactivos'!AC191,'LP Reactivos'!AH191,'LP Reactivos'!AM191,'LP Reactivos'!AR191,'LP Reactivos'!AW191,'LP Reactivos'!BB191,'LP Reactivos'!BG191,'LP Reactivos'!BL191,'LP Reactivos'!BQ191,'LP Reactivos'!BV191,'LP Reactivos'!CA191,'LP Reactivos'!CF191,'LP Reactivos'!CK191,'LP Reactivos'!CP191,'LP Reactivos'!CU191,'LP Reactivos'!CZ191,'LP Reactivos'!DE191,'LP Reactivos'!DJ191,'LP Reactivos'!DO191,'LP Reactivos'!DT191,'LP Reactivos'!DY191,'LP Reactivos'!EB191)," ")</f>
        <v>117345.9</v>
      </c>
      <c r="E191" s="429">
        <f>IFERROR(AVERAGE('LP Reactivos'!F191,'LP Reactivos'!I191,'LP Reactivos'!N191,'LP Reactivos'!S191,'LP Reactivos'!X191,'LP Reactivos'!AC191,'LP Reactivos'!AH191,'LP Reactivos'!AM191,'LP Reactivos'!AR191,'LP Reactivos'!AW191,'LP Reactivos'!BB191,'LP Reactivos'!BG191,'LP Reactivos'!BL191,'LP Reactivos'!BQ191,'LP Reactivos'!BV191,'LP Reactivos'!CA191,'LP Reactivos'!CF191,'LP Reactivos'!CK191,'LP Reactivos'!CP191,'LP Reactivos'!CU191,'LP Reactivos'!CZ191,'LP Reactivos'!DE191,'LP Reactivos'!DJ191,'LP Reactivos'!DO191,'LP Reactivos'!DT191,'LP Reactivos'!DY191,'LP Reactivos'!EB191)," ")</f>
        <v>205699.94100000002</v>
      </c>
      <c r="F191" s="345">
        <f>IFERROR(MEDIAN('LP Reactivos'!F191,'LP Reactivos'!I191,'LP Reactivos'!N191,'LP Reactivos'!S191,'LP Reactivos'!X191,'LP Reactivos'!AC191,'LP Reactivos'!AH191,'LP Reactivos'!AM191,'LP Reactivos'!AR191,'LP Reactivos'!AW191,'LP Reactivos'!BB191,'LP Reactivos'!BG191,'LP Reactivos'!BL191,'LP Reactivos'!BQ191,'LP Reactivos'!BV191,'LP Reactivos'!CA191,'LP Reactivos'!CF191,'LP Reactivos'!CK191,'LP Reactivos'!CP191,'LP Reactivos'!CU191,'LP Reactivos'!CZ191,'LP Reactivos'!DE191,'LP Reactivos'!DJ191,'LP Reactivos'!DO191,'LP Reactivos'!DT191,'LP Reactivos'!DY191,'LP Reactivos'!EB191)," ")</f>
        <v>219931.87300000002</v>
      </c>
      <c r="G191" s="345">
        <f>IFERROR(GEOMEAN('LP Reactivos'!F191,'LP Reactivos'!I191,'LP Reactivos'!N191,'LP Reactivos'!S191,'LP Reactivos'!X191,'LP Reactivos'!AC191,'LP Reactivos'!AH191,'LP Reactivos'!AM191,'LP Reactivos'!AR191,'LP Reactivos'!AW191,'LP Reactivos'!BB191,'LP Reactivos'!BG191,'LP Reactivos'!BL191,'LP Reactivos'!BQ191,'LP Reactivos'!BV191,'LP Reactivos'!CA191,'LP Reactivos'!CF191,'LP Reactivos'!CK191,'LP Reactivos'!CP191,'LP Reactivos'!CU191,'LP Reactivos'!CZ191,'LP Reactivos'!DE191,'LP Reactivos'!DJ191,'LP Reactivos'!DO191,'LP Reactivos'!DT191,'LP Reactivos'!DY191,'LP Reactivos'!EB191)," ")</f>
        <v>196178.84939767423</v>
      </c>
      <c r="H191" s="345">
        <f t="shared" si="12"/>
        <v>46009.380866050698</v>
      </c>
      <c r="I191" s="346">
        <f t="shared" si="13"/>
        <v>0.22367230949303332</v>
      </c>
      <c r="J191" s="345">
        <f t="shared" si="14"/>
        <v>196178.84939767423</v>
      </c>
      <c r="K191" s="344" t="str">
        <f t="shared" si="15"/>
        <v>Media Geométrica</v>
      </c>
      <c r="L191" s="326">
        <f>IFERROR(COUNTA('LP Reactivos'!F191,'LP Reactivos'!I191,'LP Reactivos'!N191,'LP Reactivos'!S191,'LP Reactivos'!X191,'LP Reactivos'!AC191,'LP Reactivos'!AH191,'LP Reactivos'!AM191,'LP Reactivos'!AR191,'LP Reactivos'!AW191,'LP Reactivos'!BB191,'LP Reactivos'!BG191,'LP Reactivos'!BL191,'LP Reactivos'!BQ191,'LP Reactivos'!BV191,'LP Reactivos'!CA191,'LP Reactivos'!CF191,'LP Reactivos'!CK191,'LP Reactivos'!CP191,'LP Reactivos'!CU191,'LP Reactivos'!CZ191,'LP Reactivos'!DE191,'LP Reactivos'!DJ191,'LP Reactivos'!DO191,'LP Reactivos'!DT191,'LP Reactivos'!DY191,'LP Reactivos'!EB191)," ")</f>
        <v>6</v>
      </c>
    </row>
    <row r="192" spans="2:12" ht="27" x14ac:dyDescent="0.25">
      <c r="B192" s="425">
        <v>190</v>
      </c>
      <c r="C192" s="413" t="s">
        <v>1261</v>
      </c>
      <c r="D192" s="429">
        <f>IFERROR(MIN('LP Reactivos'!F192,'LP Reactivos'!I192,'LP Reactivos'!N192,'LP Reactivos'!S192,'LP Reactivos'!X192,'LP Reactivos'!AC192,'LP Reactivos'!AH192,'LP Reactivos'!AM192,'LP Reactivos'!AR192,'LP Reactivos'!AW192,'LP Reactivos'!BB192,'LP Reactivos'!BG192,'LP Reactivos'!BL192,'LP Reactivos'!BQ192,'LP Reactivos'!BV192,'LP Reactivos'!CA192,'LP Reactivos'!CF192,'LP Reactivos'!CK192,'LP Reactivos'!CP192,'LP Reactivos'!CU192,'LP Reactivos'!CZ192,'LP Reactivos'!DE192,'LP Reactivos'!DJ192,'LP Reactivos'!DO192,'LP Reactivos'!DT192,'LP Reactivos'!DY192,'LP Reactivos'!EB192)," ")</f>
        <v>428400</v>
      </c>
      <c r="E192" s="429">
        <f>IFERROR(AVERAGE('LP Reactivos'!F192,'LP Reactivos'!I192,'LP Reactivos'!N192,'LP Reactivos'!S192,'LP Reactivos'!X192,'LP Reactivos'!AC192,'LP Reactivos'!AH192,'LP Reactivos'!AM192,'LP Reactivos'!AR192,'LP Reactivos'!AW192,'LP Reactivos'!BB192,'LP Reactivos'!BG192,'LP Reactivos'!BL192,'LP Reactivos'!BQ192,'LP Reactivos'!BV192,'LP Reactivos'!CA192,'LP Reactivos'!CF192,'LP Reactivos'!CK192,'LP Reactivos'!CP192,'LP Reactivos'!CU192,'LP Reactivos'!CZ192,'LP Reactivos'!DE192,'LP Reactivos'!DJ192,'LP Reactivos'!DO192,'LP Reactivos'!DT192,'LP Reactivos'!DY192,'LP Reactivos'!EB192)," ")</f>
        <v>652328.39280000003</v>
      </c>
      <c r="F192" s="345">
        <f>IFERROR(MEDIAN('LP Reactivos'!F192,'LP Reactivos'!I192,'LP Reactivos'!N192,'LP Reactivos'!S192,'LP Reactivos'!X192,'LP Reactivos'!AC192,'LP Reactivos'!AH192,'LP Reactivos'!AM192,'LP Reactivos'!AR192,'LP Reactivos'!AW192,'LP Reactivos'!BB192,'LP Reactivos'!BG192,'LP Reactivos'!BL192,'LP Reactivos'!BQ192,'LP Reactivos'!BV192,'LP Reactivos'!CA192,'LP Reactivos'!CF192,'LP Reactivos'!CK192,'LP Reactivos'!CP192,'LP Reactivos'!CU192,'LP Reactivos'!CZ192,'LP Reactivos'!DE192,'LP Reactivos'!DJ192,'LP Reactivos'!DO192,'LP Reactivos'!DT192,'LP Reactivos'!DY192,'LP Reactivos'!EB192)," ")</f>
        <v>587860</v>
      </c>
      <c r="G192" s="345">
        <f>IFERROR(GEOMEAN('LP Reactivos'!F192,'LP Reactivos'!I192,'LP Reactivos'!N192,'LP Reactivos'!S192,'LP Reactivos'!X192,'LP Reactivos'!AC192,'LP Reactivos'!AH192,'LP Reactivos'!AM192,'LP Reactivos'!AR192,'LP Reactivos'!AW192,'LP Reactivos'!BB192,'LP Reactivos'!BG192,'LP Reactivos'!BL192,'LP Reactivos'!BQ192,'LP Reactivos'!BV192,'LP Reactivos'!CA192,'LP Reactivos'!CF192,'LP Reactivos'!CK192,'LP Reactivos'!CP192,'LP Reactivos'!CU192,'LP Reactivos'!CZ192,'LP Reactivos'!DE192,'LP Reactivos'!DJ192,'LP Reactivos'!DO192,'LP Reactivos'!DT192,'LP Reactivos'!DY192,'LP Reactivos'!EB192)," ")</f>
        <v>626496.51933618181</v>
      </c>
      <c r="H192" s="345">
        <f t="shared" si="12"/>
        <v>100469.68351132213</v>
      </c>
      <c r="I192" s="346">
        <f t="shared" si="13"/>
        <v>0.15401703286296406</v>
      </c>
      <c r="J192" s="345">
        <f t="shared" si="14"/>
        <v>652328.39280000003</v>
      </c>
      <c r="K192" s="344" t="str">
        <f t="shared" si="15"/>
        <v>Promedio</v>
      </c>
      <c r="L192" s="326">
        <f>IFERROR(COUNTA('LP Reactivos'!F192,'LP Reactivos'!I192,'LP Reactivos'!N192,'LP Reactivos'!S192,'LP Reactivos'!X192,'LP Reactivos'!AC192,'LP Reactivos'!AH192,'LP Reactivos'!AM192,'LP Reactivos'!AR192,'LP Reactivos'!AW192,'LP Reactivos'!BB192,'LP Reactivos'!BG192,'LP Reactivos'!BL192,'LP Reactivos'!BQ192,'LP Reactivos'!BV192,'LP Reactivos'!CA192,'LP Reactivos'!CF192,'LP Reactivos'!CK192,'LP Reactivos'!CP192,'LP Reactivos'!CU192,'LP Reactivos'!CZ192,'LP Reactivos'!DE192,'LP Reactivos'!DJ192,'LP Reactivos'!DO192,'LP Reactivos'!DT192,'LP Reactivos'!DY192,'LP Reactivos'!EB192)," ")</f>
        <v>5</v>
      </c>
    </row>
    <row r="193" spans="2:12" ht="40.5" x14ac:dyDescent="0.25">
      <c r="B193" s="425">
        <v>191</v>
      </c>
      <c r="C193" s="427" t="s">
        <v>1267</v>
      </c>
      <c r="D193" s="429">
        <f>IFERROR(MIN('LP Reactivos'!F193,'LP Reactivos'!I193,'LP Reactivos'!N193,'LP Reactivos'!S193,'LP Reactivos'!X193,'LP Reactivos'!AC193,'LP Reactivos'!AH193,'LP Reactivos'!AM193,'LP Reactivos'!AR193,'LP Reactivos'!AW193,'LP Reactivos'!BB193,'LP Reactivos'!BG193,'LP Reactivos'!BL193,'LP Reactivos'!BQ193,'LP Reactivos'!BV193,'LP Reactivos'!CA193,'LP Reactivos'!CF193,'LP Reactivos'!CK193,'LP Reactivos'!CP193,'LP Reactivos'!CU193,'LP Reactivos'!CZ193,'LP Reactivos'!DE193,'LP Reactivos'!DJ193,'LP Reactivos'!DO193,'LP Reactivos'!DT193,'LP Reactivos'!DY193,'LP Reactivos'!EB193)," ")</f>
        <v>115430</v>
      </c>
      <c r="E193" s="429">
        <f>IFERROR(AVERAGE('LP Reactivos'!F193,'LP Reactivos'!I193,'LP Reactivos'!N193,'LP Reactivos'!S193,'LP Reactivos'!X193,'LP Reactivos'!AC193,'LP Reactivos'!AH193,'LP Reactivos'!AM193,'LP Reactivos'!AR193,'LP Reactivos'!AW193,'LP Reactivos'!BB193,'LP Reactivos'!BG193,'LP Reactivos'!BL193,'LP Reactivos'!BQ193,'LP Reactivos'!BV193,'LP Reactivos'!CA193,'LP Reactivos'!CF193,'LP Reactivos'!CK193,'LP Reactivos'!CP193,'LP Reactivos'!CU193,'LP Reactivos'!CZ193,'LP Reactivos'!DE193,'LP Reactivos'!DJ193,'LP Reactivos'!DO193,'LP Reactivos'!DT193,'LP Reactivos'!DY193,'LP Reactivos'!EB193)," ")</f>
        <v>259042.24866666668</v>
      </c>
      <c r="F193" s="345">
        <f>IFERROR(MEDIAN('LP Reactivos'!F193,'LP Reactivos'!I193,'LP Reactivos'!N193,'LP Reactivos'!S193,'LP Reactivos'!X193,'LP Reactivos'!AC193,'LP Reactivos'!AH193,'LP Reactivos'!AM193,'LP Reactivos'!AR193,'LP Reactivos'!AW193,'LP Reactivos'!BB193,'LP Reactivos'!BG193,'LP Reactivos'!BL193,'LP Reactivos'!BQ193,'LP Reactivos'!BV193,'LP Reactivos'!CA193,'LP Reactivos'!CF193,'LP Reactivos'!CK193,'LP Reactivos'!CP193,'LP Reactivos'!CU193,'LP Reactivos'!CZ193,'LP Reactivos'!DE193,'LP Reactivos'!DJ193,'LP Reactivos'!DO193,'LP Reactivos'!DT193,'LP Reactivos'!DY193,'LP Reactivos'!EB193)," ")</f>
        <v>264041.24599999998</v>
      </c>
      <c r="G193" s="345">
        <f>IFERROR(GEOMEAN('LP Reactivos'!F193,'LP Reactivos'!I193,'LP Reactivos'!N193,'LP Reactivos'!S193,'LP Reactivos'!X193,'LP Reactivos'!AC193,'LP Reactivos'!AH193,'LP Reactivos'!AM193,'LP Reactivos'!AR193,'LP Reactivos'!AW193,'LP Reactivos'!BB193,'LP Reactivos'!BG193,'LP Reactivos'!BL193,'LP Reactivos'!BQ193,'LP Reactivos'!BV193,'LP Reactivos'!CA193,'LP Reactivos'!CF193,'LP Reactivos'!CK193,'LP Reactivos'!CP193,'LP Reactivos'!CU193,'LP Reactivos'!CZ193,'LP Reactivos'!DE193,'LP Reactivos'!DJ193,'LP Reactivos'!DO193,'LP Reactivos'!DT193,'LP Reactivos'!DY193,'LP Reactivos'!EB193)," ")</f>
        <v>236200.7997665671</v>
      </c>
      <c r="H193" s="345">
        <f t="shared" si="12"/>
        <v>69891.093072064803</v>
      </c>
      <c r="I193" s="346">
        <f t="shared" si="13"/>
        <v>0.26980576887286079</v>
      </c>
      <c r="J193" s="345">
        <f t="shared" si="14"/>
        <v>236200.7997665671</v>
      </c>
      <c r="K193" s="344" t="str">
        <f t="shared" si="15"/>
        <v>Media Geométrica</v>
      </c>
      <c r="L193" s="326">
        <f>IFERROR(COUNTA('LP Reactivos'!F193,'LP Reactivos'!I193,'LP Reactivos'!N193,'LP Reactivos'!S193,'LP Reactivos'!X193,'LP Reactivos'!AC193,'LP Reactivos'!AH193,'LP Reactivos'!AM193,'LP Reactivos'!AR193,'LP Reactivos'!AW193,'LP Reactivos'!BB193,'LP Reactivos'!BG193,'LP Reactivos'!BL193,'LP Reactivos'!BQ193,'LP Reactivos'!BV193,'LP Reactivos'!CA193,'LP Reactivos'!CF193,'LP Reactivos'!CK193,'LP Reactivos'!CP193,'LP Reactivos'!CU193,'LP Reactivos'!CZ193,'LP Reactivos'!DE193,'LP Reactivos'!DJ193,'LP Reactivos'!DO193,'LP Reactivos'!DT193,'LP Reactivos'!DY193,'LP Reactivos'!EB193)," ")</f>
        <v>6</v>
      </c>
    </row>
    <row r="194" spans="2:12" ht="27" x14ac:dyDescent="0.25">
      <c r="B194" s="425">
        <v>192</v>
      </c>
      <c r="C194" s="427" t="s">
        <v>1272</v>
      </c>
      <c r="D194" s="429">
        <f>IFERROR(MIN('LP Reactivos'!F194,'LP Reactivos'!I194,'LP Reactivos'!N194,'LP Reactivos'!S194,'LP Reactivos'!X194,'LP Reactivos'!AC194,'LP Reactivos'!AH194,'LP Reactivos'!AM194,'LP Reactivos'!AR194,'LP Reactivos'!AW194,'LP Reactivos'!BB194,'LP Reactivos'!BG194,'LP Reactivos'!BL194,'LP Reactivos'!BQ194,'LP Reactivos'!BV194,'LP Reactivos'!CA194,'LP Reactivos'!CF194,'LP Reactivos'!CK194,'LP Reactivos'!CP194,'LP Reactivos'!CU194,'LP Reactivos'!CZ194,'LP Reactivos'!DE194,'LP Reactivos'!DJ194,'LP Reactivos'!DO194,'LP Reactivos'!DT194,'LP Reactivos'!DY194,'LP Reactivos'!EB194)," ")</f>
        <v>69540</v>
      </c>
      <c r="E194" s="429">
        <f>IFERROR(AVERAGE('LP Reactivos'!F194,'LP Reactivos'!I194,'LP Reactivos'!N194,'LP Reactivos'!S194,'LP Reactivos'!X194,'LP Reactivos'!AC194,'LP Reactivos'!AH194,'LP Reactivos'!AM194,'LP Reactivos'!AR194,'LP Reactivos'!AW194,'LP Reactivos'!BB194,'LP Reactivos'!BG194,'LP Reactivos'!BL194,'LP Reactivos'!BQ194,'LP Reactivos'!BV194,'LP Reactivos'!CA194,'LP Reactivos'!CF194,'LP Reactivos'!CK194,'LP Reactivos'!CP194,'LP Reactivos'!CU194,'LP Reactivos'!CZ194,'LP Reactivos'!DE194,'LP Reactivos'!DJ194,'LP Reactivos'!DO194,'LP Reactivos'!DT194,'LP Reactivos'!DY194,'LP Reactivos'!EB194)," ")</f>
        <v>292399.61424999998</v>
      </c>
      <c r="F194" s="345">
        <f>IFERROR(MEDIAN('LP Reactivos'!F194,'LP Reactivos'!I194,'LP Reactivos'!N194,'LP Reactivos'!S194,'LP Reactivos'!X194,'LP Reactivos'!AC194,'LP Reactivos'!AH194,'LP Reactivos'!AM194,'LP Reactivos'!AR194,'LP Reactivos'!AW194,'LP Reactivos'!BB194,'LP Reactivos'!BG194,'LP Reactivos'!BL194,'LP Reactivos'!BQ194,'LP Reactivos'!BV194,'LP Reactivos'!CA194,'LP Reactivos'!CF194,'LP Reactivos'!CK194,'LP Reactivos'!CP194,'LP Reactivos'!CU194,'LP Reactivos'!CZ194,'LP Reactivos'!DE194,'LP Reactivos'!DJ194,'LP Reactivos'!DO194,'LP Reactivos'!DT194,'LP Reactivos'!DY194,'LP Reactivos'!EB194)," ")</f>
        <v>249900</v>
      </c>
      <c r="G194" s="345">
        <f>IFERROR(GEOMEAN('LP Reactivos'!F194,'LP Reactivos'!I194,'LP Reactivos'!N194,'LP Reactivos'!S194,'LP Reactivos'!X194,'LP Reactivos'!AC194,'LP Reactivos'!AH194,'LP Reactivos'!AM194,'LP Reactivos'!AR194,'LP Reactivos'!AW194,'LP Reactivos'!BB194,'LP Reactivos'!BG194,'LP Reactivos'!BL194,'LP Reactivos'!BQ194,'LP Reactivos'!BV194,'LP Reactivos'!CA194,'LP Reactivos'!CF194,'LP Reactivos'!CK194,'LP Reactivos'!CP194,'LP Reactivos'!CU194,'LP Reactivos'!CZ194,'LP Reactivos'!DE194,'LP Reactivos'!DJ194,'LP Reactivos'!DO194,'LP Reactivos'!DT194,'LP Reactivos'!DY194,'LP Reactivos'!EB194)," ")</f>
        <v>223408.90654589399</v>
      </c>
      <c r="H194" s="345">
        <f t="shared" si="12"/>
        <v>97099.386652111178</v>
      </c>
      <c r="I194" s="346">
        <f t="shared" si="13"/>
        <v>0.3320776838272152</v>
      </c>
      <c r="J194" s="345">
        <f>IF(I194&lt;=10%,F194,IF(AND(I194&gt;10%,I194&lt;=20%),E194,IF(AND(I194&gt;20%,I194&lt;=34%),G194,IF(I194&gt;34%,D194))))</f>
        <v>223408.90654589399</v>
      </c>
      <c r="K194" s="344" t="str">
        <f t="shared" si="15"/>
        <v>Media Geométrica</v>
      </c>
      <c r="L194" s="326">
        <f>IFERROR(COUNTA('LP Reactivos'!F194,'LP Reactivos'!I194,'LP Reactivos'!N194,'LP Reactivos'!S194,'LP Reactivos'!X194,'LP Reactivos'!AC194,'LP Reactivos'!AH194,'LP Reactivos'!AM194,'LP Reactivos'!AR194,'LP Reactivos'!AW194,'LP Reactivos'!BB194,'LP Reactivos'!BG194,'LP Reactivos'!BL194,'LP Reactivos'!BQ194,'LP Reactivos'!BV194,'LP Reactivos'!CA194,'LP Reactivos'!CF194,'LP Reactivos'!CK194,'LP Reactivos'!CP194,'LP Reactivos'!CU194,'LP Reactivos'!CZ194,'LP Reactivos'!DE194,'LP Reactivos'!DJ194,'LP Reactivos'!DO194,'LP Reactivos'!DT194,'LP Reactivos'!DY194,'LP Reactivos'!EB194)," ")</f>
        <v>8</v>
      </c>
    </row>
    <row r="195" spans="2:12" ht="40.5" x14ac:dyDescent="0.25">
      <c r="B195" s="425">
        <v>193</v>
      </c>
      <c r="C195" s="427" t="s">
        <v>1277</v>
      </c>
      <c r="D195" s="429">
        <f>IFERROR(MIN('LP Reactivos'!F195,'LP Reactivos'!I195,'LP Reactivos'!N195,'LP Reactivos'!S195,'LP Reactivos'!X195,'LP Reactivos'!AC195,'LP Reactivos'!AH195,'LP Reactivos'!AM195,'LP Reactivos'!AR195,'LP Reactivos'!AW195,'LP Reactivos'!BB195,'LP Reactivos'!BG195,'LP Reactivos'!BL195,'LP Reactivos'!BQ195,'LP Reactivos'!BV195,'LP Reactivos'!CA195,'LP Reactivos'!CF195,'LP Reactivos'!CK195,'LP Reactivos'!CP195,'LP Reactivos'!CU195,'LP Reactivos'!CZ195,'LP Reactivos'!DE195,'LP Reactivos'!DJ195,'LP Reactivos'!DO195,'LP Reactivos'!DT195,'LP Reactivos'!DY195,'LP Reactivos'!EB195)," ")</f>
        <v>74784.241000000009</v>
      </c>
      <c r="E195" s="429">
        <f>IFERROR(AVERAGE('LP Reactivos'!F195,'LP Reactivos'!I195,'LP Reactivos'!N195,'LP Reactivos'!S195,'LP Reactivos'!X195,'LP Reactivos'!AC195,'LP Reactivos'!AH195,'LP Reactivos'!AM195,'LP Reactivos'!AR195,'LP Reactivos'!AW195,'LP Reactivos'!BB195,'LP Reactivos'!BG195,'LP Reactivos'!BL195,'LP Reactivos'!BQ195,'LP Reactivos'!BV195,'LP Reactivos'!CA195,'LP Reactivos'!CF195,'LP Reactivos'!CK195,'LP Reactivos'!CP195,'LP Reactivos'!CU195,'LP Reactivos'!CZ195,'LP Reactivos'!DE195,'LP Reactivos'!DJ195,'LP Reactivos'!DO195,'LP Reactivos'!DT195,'LP Reactivos'!DY195,'LP Reactivos'!EB195)," ")</f>
        <v>160801.3082</v>
      </c>
      <c r="F195" s="345">
        <f>IFERROR(MEDIAN('LP Reactivos'!F195,'LP Reactivos'!I195,'LP Reactivos'!N195,'LP Reactivos'!S195,'LP Reactivos'!X195,'LP Reactivos'!AC195,'LP Reactivos'!AH195,'LP Reactivos'!AM195,'LP Reactivos'!AR195,'LP Reactivos'!AW195,'LP Reactivos'!BB195,'LP Reactivos'!BG195,'LP Reactivos'!BL195,'LP Reactivos'!BQ195,'LP Reactivos'!BV195,'LP Reactivos'!CA195,'LP Reactivos'!CF195,'LP Reactivos'!CK195,'LP Reactivos'!CP195,'LP Reactivos'!CU195,'LP Reactivos'!CZ195,'LP Reactivos'!DE195,'LP Reactivos'!DJ195,'LP Reactivos'!DO195,'LP Reactivos'!DT195,'LP Reactivos'!DY195,'LP Reactivos'!EB195)," ")</f>
        <v>126437.5</v>
      </c>
      <c r="G195" s="345">
        <f>IFERROR(GEOMEAN('LP Reactivos'!F195,'LP Reactivos'!I195,'LP Reactivos'!N195,'LP Reactivos'!S195,'LP Reactivos'!X195,'LP Reactivos'!AC195,'LP Reactivos'!AH195,'LP Reactivos'!AM195,'LP Reactivos'!AR195,'LP Reactivos'!AW195,'LP Reactivos'!BB195,'LP Reactivos'!BG195,'LP Reactivos'!BL195,'LP Reactivos'!BQ195,'LP Reactivos'!BV195,'LP Reactivos'!CA195,'LP Reactivos'!CF195,'LP Reactivos'!CK195,'LP Reactivos'!CP195,'LP Reactivos'!CU195,'LP Reactivos'!CZ195,'LP Reactivos'!DE195,'LP Reactivos'!DJ195,'LP Reactivos'!DO195,'LP Reactivos'!DT195,'LP Reactivos'!DY195,'LP Reactivos'!EB195)," ")</f>
        <v>142157.21786796622</v>
      </c>
      <c r="H195" s="345">
        <f t="shared" si="12"/>
        <v>36947.819032641382</v>
      </c>
      <c r="I195" s="346">
        <f t="shared" si="13"/>
        <v>0.22977312464825694</v>
      </c>
      <c r="J195" s="345">
        <f t="shared" si="14"/>
        <v>142157.21786796622</v>
      </c>
      <c r="K195" s="344" t="str">
        <f t="shared" si="15"/>
        <v>Media Geométrica</v>
      </c>
      <c r="L195" s="326">
        <f>IFERROR(COUNTA('LP Reactivos'!F195,'LP Reactivos'!I195,'LP Reactivos'!N195,'LP Reactivos'!S195,'LP Reactivos'!X195,'LP Reactivos'!AC195,'LP Reactivos'!AH195,'LP Reactivos'!AM195,'LP Reactivos'!AR195,'LP Reactivos'!AW195,'LP Reactivos'!BB195,'LP Reactivos'!BG195,'LP Reactivos'!BL195,'LP Reactivos'!BQ195,'LP Reactivos'!BV195,'LP Reactivos'!CA195,'LP Reactivos'!CF195,'LP Reactivos'!CK195,'LP Reactivos'!CP195,'LP Reactivos'!CU195,'LP Reactivos'!CZ195,'LP Reactivos'!DE195,'LP Reactivos'!DJ195,'LP Reactivos'!DO195,'LP Reactivos'!DT195,'LP Reactivos'!DY195,'LP Reactivos'!EB195)," ")</f>
        <v>5</v>
      </c>
    </row>
    <row r="196" spans="2:12" x14ac:dyDescent="0.25">
      <c r="B196" s="425">
        <v>194</v>
      </c>
      <c r="C196" s="427" t="s">
        <v>1282</v>
      </c>
      <c r="D196" s="429">
        <f>IFERROR(MIN('LP Reactivos'!F196,'LP Reactivos'!I196,'LP Reactivos'!N196,'LP Reactivos'!S196,'LP Reactivos'!X196,'LP Reactivos'!AC196,'LP Reactivos'!AH196,'LP Reactivos'!AM196,'LP Reactivos'!AR196,'LP Reactivos'!AW196,'LP Reactivos'!BB196,'LP Reactivos'!BG196,'LP Reactivos'!BL196,'LP Reactivos'!BQ196,'LP Reactivos'!BV196,'LP Reactivos'!CA196,'LP Reactivos'!CF196,'LP Reactivos'!CK196,'LP Reactivos'!CP196,'LP Reactivos'!CU196,'LP Reactivos'!CZ196,'LP Reactivos'!DE196,'LP Reactivos'!DJ196,'LP Reactivos'!DO196,'LP Reactivos'!DT196,'LP Reactivos'!DY196,'LP Reactivos'!EB196)," ")</f>
        <v>26180</v>
      </c>
      <c r="E196" s="429">
        <f>IFERROR(AVERAGE('LP Reactivos'!F196,'LP Reactivos'!I196,'LP Reactivos'!N196,'LP Reactivos'!S196,'LP Reactivos'!X196,'LP Reactivos'!AC196,'LP Reactivos'!AH196,'LP Reactivos'!AM196,'LP Reactivos'!AR196,'LP Reactivos'!AW196,'LP Reactivos'!BB196,'LP Reactivos'!BG196,'LP Reactivos'!BL196,'LP Reactivos'!BQ196,'LP Reactivos'!BV196,'LP Reactivos'!CA196,'LP Reactivos'!CF196,'LP Reactivos'!CK196,'LP Reactivos'!CP196,'LP Reactivos'!CU196,'LP Reactivos'!CZ196,'LP Reactivos'!DE196,'LP Reactivos'!DJ196,'LP Reactivos'!DO196,'LP Reactivos'!DT196,'LP Reactivos'!DY196,'LP Reactivos'!EB196)," ")</f>
        <v>77754.14228571429</v>
      </c>
      <c r="F196" s="345">
        <f>IFERROR(MEDIAN('LP Reactivos'!F196,'LP Reactivos'!I196,'LP Reactivos'!N196,'LP Reactivos'!S196,'LP Reactivos'!X196,'LP Reactivos'!AC196,'LP Reactivos'!AH196,'LP Reactivos'!AM196,'LP Reactivos'!AR196,'LP Reactivos'!AW196,'LP Reactivos'!BB196,'LP Reactivos'!BG196,'LP Reactivos'!BL196,'LP Reactivos'!BQ196,'LP Reactivos'!BV196,'LP Reactivos'!CA196,'LP Reactivos'!CF196,'LP Reactivos'!CK196,'LP Reactivos'!CP196,'LP Reactivos'!CU196,'LP Reactivos'!CZ196,'LP Reactivos'!DE196,'LP Reactivos'!DJ196,'LP Reactivos'!DO196,'LP Reactivos'!DT196,'LP Reactivos'!DY196,'LP Reactivos'!EB196)," ")</f>
        <v>85395</v>
      </c>
      <c r="G196" s="345">
        <f>IFERROR(GEOMEAN('LP Reactivos'!F196,'LP Reactivos'!I196,'LP Reactivos'!N196,'LP Reactivos'!S196,'LP Reactivos'!X196,'LP Reactivos'!AC196,'LP Reactivos'!AH196,'LP Reactivos'!AM196,'LP Reactivos'!AR196,'LP Reactivos'!AW196,'LP Reactivos'!BB196,'LP Reactivos'!BG196,'LP Reactivos'!BL196,'LP Reactivos'!BQ196,'LP Reactivos'!BV196,'LP Reactivos'!CA196,'LP Reactivos'!CF196,'LP Reactivos'!CK196,'LP Reactivos'!CP196,'LP Reactivos'!CU196,'LP Reactivos'!CZ196,'LP Reactivos'!DE196,'LP Reactivos'!DJ196,'LP Reactivos'!DO196,'LP Reactivos'!DT196,'LP Reactivos'!DY196,'LP Reactivos'!EB196)," ")</f>
        <v>69911.1156907767</v>
      </c>
      <c r="H196" s="345">
        <f t="shared" si="12"/>
        <v>26517.86395235527</v>
      </c>
      <c r="I196" s="346">
        <f t="shared" si="13"/>
        <v>0.34104760431814807</v>
      </c>
      <c r="J196" s="345">
        <f>IF(I196&lt;=10%,F196,IF(AND(I196&gt;10%,I196&lt;=20%),E196,IF(AND(I196&gt;20%,I196&lt;=35%),G196,IF(I196&gt;35%,D196))))</f>
        <v>69911.1156907767</v>
      </c>
      <c r="K196" s="344" t="str">
        <f t="shared" si="15"/>
        <v>Media Geométrica</v>
      </c>
      <c r="L196" s="326">
        <f>IFERROR(COUNTA('LP Reactivos'!F196,'LP Reactivos'!I196,'LP Reactivos'!N196,'LP Reactivos'!S196,'LP Reactivos'!X196,'LP Reactivos'!AC196,'LP Reactivos'!AH196,'LP Reactivos'!AM196,'LP Reactivos'!AR196,'LP Reactivos'!AW196,'LP Reactivos'!BB196,'LP Reactivos'!BG196,'LP Reactivos'!BL196,'LP Reactivos'!BQ196,'LP Reactivos'!BV196,'LP Reactivos'!CA196,'LP Reactivos'!CF196,'LP Reactivos'!CK196,'LP Reactivos'!CP196,'LP Reactivos'!CU196,'LP Reactivos'!CZ196,'LP Reactivos'!DE196,'LP Reactivos'!DJ196,'LP Reactivos'!DO196,'LP Reactivos'!DT196,'LP Reactivos'!DY196,'LP Reactivos'!EB196)," ")</f>
        <v>7</v>
      </c>
    </row>
    <row r="197" spans="2:12" ht="40.5" x14ac:dyDescent="0.25">
      <c r="B197" s="425">
        <v>195</v>
      </c>
      <c r="C197" s="427" t="s">
        <v>1288</v>
      </c>
      <c r="D197" s="429">
        <f>IFERROR(MIN('LP Reactivos'!F197,'LP Reactivos'!I197,'LP Reactivos'!N197,'LP Reactivos'!S197,'LP Reactivos'!X197,'LP Reactivos'!AC197,'LP Reactivos'!AH197,'LP Reactivos'!AM197,'LP Reactivos'!AR197,'LP Reactivos'!AW197,'LP Reactivos'!BB197,'LP Reactivos'!BG197,'LP Reactivos'!BL197,'LP Reactivos'!BQ197,'LP Reactivos'!BV197,'LP Reactivos'!CA197,'LP Reactivos'!CF197,'LP Reactivos'!CK197,'LP Reactivos'!CP197,'LP Reactivos'!CU197,'LP Reactivos'!CZ197,'LP Reactivos'!DE197,'LP Reactivos'!DJ197,'LP Reactivos'!DO197,'LP Reactivos'!DT197,'LP Reactivos'!DY197,'LP Reactivos'!EB197)," ")</f>
        <v>553026.32000000007</v>
      </c>
      <c r="E197" s="429">
        <f>IFERROR(AVERAGE('LP Reactivos'!F197,'LP Reactivos'!I197,'LP Reactivos'!N197,'LP Reactivos'!S197,'LP Reactivos'!X197,'LP Reactivos'!AC197,'LP Reactivos'!AH197,'LP Reactivos'!AM197,'LP Reactivos'!AR197,'LP Reactivos'!AW197,'LP Reactivos'!BB197,'LP Reactivos'!BG197,'LP Reactivos'!BL197,'LP Reactivos'!BQ197,'LP Reactivos'!BV197,'LP Reactivos'!CA197,'LP Reactivos'!CF197,'LP Reactivos'!CK197,'LP Reactivos'!CP197,'LP Reactivos'!CU197,'LP Reactivos'!CZ197,'LP Reactivos'!DE197,'LP Reactivos'!DJ197,'LP Reactivos'!DO197,'LP Reactivos'!DT197,'LP Reactivos'!DY197,'LP Reactivos'!EB197)," ")</f>
        <v>1247693.1066666667</v>
      </c>
      <c r="F197" s="345">
        <f>IFERROR(MEDIAN('LP Reactivos'!F197,'LP Reactivos'!I197,'LP Reactivos'!N197,'LP Reactivos'!S197,'LP Reactivos'!X197,'LP Reactivos'!AC197,'LP Reactivos'!AH197,'LP Reactivos'!AM197,'LP Reactivos'!AR197,'LP Reactivos'!AW197,'LP Reactivos'!BB197,'LP Reactivos'!BG197,'LP Reactivos'!BL197,'LP Reactivos'!BQ197,'LP Reactivos'!BV197,'LP Reactivos'!CA197,'LP Reactivos'!CF197,'LP Reactivos'!CK197,'LP Reactivos'!CP197,'LP Reactivos'!CU197,'LP Reactivos'!CZ197,'LP Reactivos'!DE197,'LP Reactivos'!DJ197,'LP Reactivos'!DO197,'LP Reactivos'!DT197,'LP Reactivos'!DY197,'LP Reactivos'!EB197)," ")</f>
        <v>691053</v>
      </c>
      <c r="G197" s="345">
        <f>IFERROR(GEOMEAN('LP Reactivos'!F197,'LP Reactivos'!I197,'LP Reactivos'!N197,'LP Reactivos'!S197,'LP Reactivos'!X197,'LP Reactivos'!AC197,'LP Reactivos'!AH197,'LP Reactivos'!AM197,'LP Reactivos'!AR197,'LP Reactivos'!AW197,'LP Reactivos'!BB197,'LP Reactivos'!BG197,'LP Reactivos'!BL197,'LP Reactivos'!BQ197,'LP Reactivos'!BV197,'LP Reactivos'!CA197,'LP Reactivos'!CF197,'LP Reactivos'!CK197,'LP Reactivos'!CP197,'LP Reactivos'!CU197,'LP Reactivos'!CZ197,'LP Reactivos'!DE197,'LP Reactivos'!DJ197,'LP Reactivos'!DO197,'LP Reactivos'!DT197,'LP Reactivos'!DY197,'LP Reactivos'!EB197)," ")</f>
        <v>984784.34929250646</v>
      </c>
      <c r="H197" s="345">
        <f t="shared" si="12"/>
        <v>310010.16560741788</v>
      </c>
      <c r="I197" s="346">
        <f t="shared" si="13"/>
        <v>0.24846668139061867</v>
      </c>
      <c r="J197" s="345">
        <f t="shared" si="14"/>
        <v>984784.34929250646</v>
      </c>
      <c r="K197" s="344" t="str">
        <f t="shared" si="15"/>
        <v>Media Geométrica</v>
      </c>
      <c r="L197" s="326">
        <f>IFERROR(COUNTA('LP Reactivos'!F197,'LP Reactivos'!I197,'LP Reactivos'!N197,'LP Reactivos'!S197,'LP Reactivos'!X197,'LP Reactivos'!AC197,'LP Reactivos'!AH197,'LP Reactivos'!AM197,'LP Reactivos'!AR197,'LP Reactivos'!AW197,'LP Reactivos'!BB197,'LP Reactivos'!BG197,'LP Reactivos'!BL197,'LP Reactivos'!BQ197,'LP Reactivos'!BV197,'LP Reactivos'!CA197,'LP Reactivos'!CF197,'LP Reactivos'!CK197,'LP Reactivos'!CP197,'LP Reactivos'!CU197,'LP Reactivos'!CZ197,'LP Reactivos'!DE197,'LP Reactivos'!DJ197,'LP Reactivos'!DO197,'LP Reactivos'!DT197,'LP Reactivos'!DY197,'LP Reactivos'!EB197)," ")</f>
        <v>3</v>
      </c>
    </row>
    <row r="198" spans="2:12" x14ac:dyDescent="0.25">
      <c r="B198" s="425">
        <v>196</v>
      </c>
      <c r="C198" s="427" t="s">
        <v>1291</v>
      </c>
      <c r="D198" s="429">
        <f>IFERROR(MIN('LP Reactivos'!F198,'LP Reactivos'!I198,'LP Reactivos'!N198,'LP Reactivos'!S198,'LP Reactivos'!X198,'LP Reactivos'!AC198,'LP Reactivos'!AH198,'LP Reactivos'!AM198,'LP Reactivos'!AR198,'LP Reactivos'!AW198,'LP Reactivos'!BB198,'LP Reactivos'!BG198,'LP Reactivos'!BL198,'LP Reactivos'!BQ198,'LP Reactivos'!BV198,'LP Reactivos'!CA198,'LP Reactivos'!CF198,'LP Reactivos'!CK198,'LP Reactivos'!CP198,'LP Reactivos'!CU198,'LP Reactivos'!CZ198,'LP Reactivos'!DE198,'LP Reactivos'!DJ198,'LP Reactivos'!DO198,'LP Reactivos'!DT198,'LP Reactivos'!DY198,'LP Reactivos'!EB198)," ")</f>
        <v>107100</v>
      </c>
      <c r="E198" s="429">
        <f>IFERROR(AVERAGE('LP Reactivos'!F198,'LP Reactivos'!I198,'LP Reactivos'!N198,'LP Reactivos'!S198,'LP Reactivos'!X198,'LP Reactivos'!AC198,'LP Reactivos'!AH198,'LP Reactivos'!AM198,'LP Reactivos'!AR198,'LP Reactivos'!AW198,'LP Reactivos'!BB198,'LP Reactivos'!BG198,'LP Reactivos'!BL198,'LP Reactivos'!BQ198,'LP Reactivos'!BV198,'LP Reactivos'!CA198,'LP Reactivos'!CF198,'LP Reactivos'!CK198,'LP Reactivos'!CP198,'LP Reactivos'!CU198,'LP Reactivos'!CZ198,'LP Reactivos'!DE198,'LP Reactivos'!DJ198,'LP Reactivos'!DO198,'LP Reactivos'!DT198,'LP Reactivos'!DY198,'LP Reactivos'!EB198)," ")</f>
        <v>148862.17733333333</v>
      </c>
      <c r="F198" s="345">
        <f>IFERROR(MEDIAN('LP Reactivos'!F198,'LP Reactivos'!I198,'LP Reactivos'!N198,'LP Reactivos'!S198,'LP Reactivos'!X198,'LP Reactivos'!AC198,'LP Reactivos'!AH198,'LP Reactivos'!AM198,'LP Reactivos'!AR198,'LP Reactivos'!AW198,'LP Reactivos'!BB198,'LP Reactivos'!BG198,'LP Reactivos'!BL198,'LP Reactivos'!BQ198,'LP Reactivos'!BV198,'LP Reactivos'!CA198,'LP Reactivos'!CF198,'LP Reactivos'!CK198,'LP Reactivos'!CP198,'LP Reactivos'!CU198,'LP Reactivos'!CZ198,'LP Reactivos'!DE198,'LP Reactivos'!DJ198,'LP Reactivos'!DO198,'LP Reactivos'!DT198,'LP Reactivos'!DY198,'LP Reactivos'!EB198)," ")</f>
        <v>118146.53200000001</v>
      </c>
      <c r="G198" s="345">
        <f>IFERROR(GEOMEAN('LP Reactivos'!F198,'LP Reactivos'!I198,'LP Reactivos'!N198,'LP Reactivos'!S198,'LP Reactivos'!X198,'LP Reactivos'!AC198,'LP Reactivos'!AH198,'LP Reactivos'!AM198,'LP Reactivos'!AR198,'LP Reactivos'!AW198,'LP Reactivos'!BB198,'LP Reactivos'!BG198,'LP Reactivos'!BL198,'LP Reactivos'!BQ198,'LP Reactivos'!BV198,'LP Reactivos'!CA198,'LP Reactivos'!CF198,'LP Reactivos'!CK198,'LP Reactivos'!CP198,'LP Reactivos'!CU198,'LP Reactivos'!CZ198,'LP Reactivos'!DE198,'LP Reactivos'!DJ198,'LP Reactivos'!DO198,'LP Reactivos'!DT198,'LP Reactivos'!DY198,'LP Reactivos'!EB198)," ")</f>
        <v>140958.12629746532</v>
      </c>
      <c r="H198" s="345">
        <f t="shared" si="12"/>
        <v>19448.161366900182</v>
      </c>
      <c r="I198" s="346">
        <f t="shared" si="13"/>
        <v>0.13064541789787013</v>
      </c>
      <c r="J198" s="345">
        <f t="shared" si="14"/>
        <v>148862.17733333333</v>
      </c>
      <c r="K198" s="344" t="str">
        <f t="shared" si="15"/>
        <v>Promedio</v>
      </c>
      <c r="L198" s="326">
        <f>IFERROR(COUNTA('LP Reactivos'!F198,'LP Reactivos'!I198,'LP Reactivos'!N198,'LP Reactivos'!S198,'LP Reactivos'!X198,'LP Reactivos'!AC198,'LP Reactivos'!AH198,'LP Reactivos'!AM198,'LP Reactivos'!AR198,'LP Reactivos'!AW198,'LP Reactivos'!BB198,'LP Reactivos'!BG198,'LP Reactivos'!BL198,'LP Reactivos'!BQ198,'LP Reactivos'!BV198,'LP Reactivos'!CA198,'LP Reactivos'!CF198,'LP Reactivos'!CK198,'LP Reactivos'!CP198,'LP Reactivos'!CU198,'LP Reactivos'!CZ198,'LP Reactivos'!DE198,'LP Reactivos'!DJ198,'LP Reactivos'!DO198,'LP Reactivos'!DT198,'LP Reactivos'!DY198,'LP Reactivos'!EB198)," ")</f>
        <v>3</v>
      </c>
    </row>
    <row r="199" spans="2:12" x14ac:dyDescent="0.25">
      <c r="B199" s="425">
        <v>197</v>
      </c>
      <c r="C199" s="427" t="s">
        <v>1296</v>
      </c>
      <c r="D199" s="429">
        <f>IFERROR(MIN('LP Reactivos'!F199,'LP Reactivos'!I199,'LP Reactivos'!N199,'LP Reactivos'!S199,'LP Reactivos'!X199,'LP Reactivos'!AC199,'LP Reactivos'!AH199,'LP Reactivos'!AM199,'LP Reactivos'!AR199,'LP Reactivos'!AW199,'LP Reactivos'!BB199,'LP Reactivos'!BG199,'LP Reactivos'!BL199,'LP Reactivos'!BQ199,'LP Reactivos'!BV199,'LP Reactivos'!CA199,'LP Reactivos'!CF199,'LP Reactivos'!CK199,'LP Reactivos'!CP199,'LP Reactivos'!CU199,'LP Reactivos'!CZ199,'LP Reactivos'!DE199,'LP Reactivos'!DJ199,'LP Reactivos'!DO199,'LP Reactivos'!DT199,'LP Reactivos'!DY199,'LP Reactivos'!EB199)," ")</f>
        <v>960254.79200000002</v>
      </c>
      <c r="E199" s="429">
        <f>IFERROR(AVERAGE('LP Reactivos'!F199,'LP Reactivos'!I199,'LP Reactivos'!N199,'LP Reactivos'!S199,'LP Reactivos'!X199,'LP Reactivos'!AC199,'LP Reactivos'!AH199,'LP Reactivos'!AM199,'LP Reactivos'!AR199,'LP Reactivos'!AW199,'LP Reactivos'!BB199,'LP Reactivos'!BG199,'LP Reactivos'!BL199,'LP Reactivos'!BQ199,'LP Reactivos'!BV199,'LP Reactivos'!CA199,'LP Reactivos'!CF199,'LP Reactivos'!CK199,'LP Reactivos'!CP199,'LP Reactivos'!CU199,'LP Reactivos'!CZ199,'LP Reactivos'!DE199,'LP Reactivos'!DJ199,'LP Reactivos'!DO199,'LP Reactivos'!DT199,'LP Reactivos'!DY199,'LP Reactivos'!EB199)," ")</f>
        <v>960254.79200000002</v>
      </c>
      <c r="F199" s="345">
        <f>IFERROR(MEDIAN('LP Reactivos'!F199,'LP Reactivos'!I199,'LP Reactivos'!N199,'LP Reactivos'!S199,'LP Reactivos'!X199,'LP Reactivos'!AC199,'LP Reactivos'!AH199,'LP Reactivos'!AM199,'LP Reactivos'!AR199,'LP Reactivos'!AW199,'LP Reactivos'!BB199,'LP Reactivos'!BG199,'LP Reactivos'!BL199,'LP Reactivos'!BQ199,'LP Reactivos'!BV199,'LP Reactivos'!CA199,'LP Reactivos'!CF199,'LP Reactivos'!CK199,'LP Reactivos'!CP199,'LP Reactivos'!CU199,'LP Reactivos'!CZ199,'LP Reactivos'!DE199,'LP Reactivos'!DJ199,'LP Reactivos'!DO199,'LP Reactivos'!DT199,'LP Reactivos'!DY199,'LP Reactivos'!EB199)," ")</f>
        <v>960254.79200000002</v>
      </c>
      <c r="G199" s="345">
        <f>IFERROR(GEOMEAN('LP Reactivos'!F199,'LP Reactivos'!I199,'LP Reactivos'!N199,'LP Reactivos'!S199,'LP Reactivos'!X199,'LP Reactivos'!AC199,'LP Reactivos'!AH199,'LP Reactivos'!AM199,'LP Reactivos'!AR199,'LP Reactivos'!AW199,'LP Reactivos'!BB199,'LP Reactivos'!BG199,'LP Reactivos'!BL199,'LP Reactivos'!BQ199,'LP Reactivos'!BV199,'LP Reactivos'!CA199,'LP Reactivos'!CF199,'LP Reactivos'!CK199,'LP Reactivos'!CP199,'LP Reactivos'!CU199,'LP Reactivos'!CZ199,'LP Reactivos'!DE199,'LP Reactivos'!DJ199,'LP Reactivos'!DO199,'LP Reactivos'!DT199,'LP Reactivos'!DY199,'LP Reactivos'!EB199)," ")</f>
        <v>960254.79200000002</v>
      </c>
      <c r="H199" s="345">
        <f t="shared" si="12"/>
        <v>0</v>
      </c>
      <c r="I199" s="346">
        <f t="shared" si="13"/>
        <v>0</v>
      </c>
      <c r="J199" s="345">
        <f t="shared" si="14"/>
        <v>960254.79200000002</v>
      </c>
      <c r="K199" s="344" t="str">
        <f t="shared" si="15"/>
        <v>Menor Valor</v>
      </c>
      <c r="L199" s="326">
        <f>IFERROR(COUNTA('LP Reactivos'!F199,'LP Reactivos'!I199,'LP Reactivos'!N199,'LP Reactivos'!S199,'LP Reactivos'!X199,'LP Reactivos'!AC199,'LP Reactivos'!AH199,'LP Reactivos'!AM199,'LP Reactivos'!AR199,'LP Reactivos'!AW199,'LP Reactivos'!BB199,'LP Reactivos'!BG199,'LP Reactivos'!BL199,'LP Reactivos'!BQ199,'LP Reactivos'!BV199,'LP Reactivos'!CA199,'LP Reactivos'!CF199,'LP Reactivos'!CK199,'LP Reactivos'!CP199,'LP Reactivos'!CU199,'LP Reactivos'!CZ199,'LP Reactivos'!DE199,'LP Reactivos'!DJ199,'LP Reactivos'!DO199,'LP Reactivos'!DT199,'LP Reactivos'!DY199,'LP Reactivos'!EB199)," ")</f>
        <v>1</v>
      </c>
    </row>
    <row r="200" spans="2:12" x14ac:dyDescent="0.25">
      <c r="B200" s="425">
        <v>198</v>
      </c>
      <c r="C200" s="427" t="s">
        <v>1298</v>
      </c>
      <c r="D200" s="429">
        <f>IFERROR(MIN('LP Reactivos'!F200,'LP Reactivos'!I200,'LP Reactivos'!N200,'LP Reactivos'!S200,'LP Reactivos'!X200,'LP Reactivos'!AC200,'LP Reactivos'!AH200,'LP Reactivos'!AM200,'LP Reactivos'!AR200,'LP Reactivos'!AW200,'LP Reactivos'!BB200,'LP Reactivos'!BG200,'LP Reactivos'!BL200,'LP Reactivos'!BQ200,'LP Reactivos'!BV200,'LP Reactivos'!CA200,'LP Reactivos'!CF200,'LP Reactivos'!CK200,'LP Reactivos'!CP200,'LP Reactivos'!CU200,'LP Reactivos'!CZ200,'LP Reactivos'!DE200,'LP Reactivos'!DJ200,'LP Reactivos'!DO200,'LP Reactivos'!DT200,'LP Reactivos'!DY200,'LP Reactivos'!EB200)," ")</f>
        <v>64260</v>
      </c>
      <c r="E200" s="429">
        <f>IFERROR(AVERAGE('LP Reactivos'!F200,'LP Reactivos'!I200,'LP Reactivos'!N200,'LP Reactivos'!S200,'LP Reactivos'!X200,'LP Reactivos'!AC200,'LP Reactivos'!AH200,'LP Reactivos'!AM200,'LP Reactivos'!AR200,'LP Reactivos'!AW200,'LP Reactivos'!BB200,'LP Reactivos'!BG200,'LP Reactivos'!BL200,'LP Reactivos'!BQ200,'LP Reactivos'!BV200,'LP Reactivos'!CA200,'LP Reactivos'!CF200,'LP Reactivos'!CK200,'LP Reactivos'!CP200,'LP Reactivos'!CU200,'LP Reactivos'!CZ200,'LP Reactivos'!DE200,'LP Reactivos'!DJ200,'LP Reactivos'!DO200,'LP Reactivos'!DT200,'LP Reactivos'!DY200,'LP Reactivos'!EB200)," ")</f>
        <v>84918.876000000004</v>
      </c>
      <c r="F200" s="345">
        <f>IFERROR(MEDIAN('LP Reactivos'!F200,'LP Reactivos'!I200,'LP Reactivos'!N200,'LP Reactivos'!S200,'LP Reactivos'!X200,'LP Reactivos'!AC200,'LP Reactivos'!AH200,'LP Reactivos'!AM200,'LP Reactivos'!AR200,'LP Reactivos'!AW200,'LP Reactivos'!BB200,'LP Reactivos'!BG200,'LP Reactivos'!BL200,'LP Reactivos'!BQ200,'LP Reactivos'!BV200,'LP Reactivos'!CA200,'LP Reactivos'!CF200,'LP Reactivos'!CK200,'LP Reactivos'!CP200,'LP Reactivos'!CU200,'LP Reactivos'!CZ200,'LP Reactivos'!DE200,'LP Reactivos'!DJ200,'LP Reactivos'!DO200,'LP Reactivos'!DT200,'LP Reactivos'!DY200,'LP Reactivos'!EB200)," ")</f>
        <v>84918.876000000004</v>
      </c>
      <c r="G200" s="345">
        <f>IFERROR(GEOMEAN('LP Reactivos'!F200,'LP Reactivos'!I200,'LP Reactivos'!N200,'LP Reactivos'!S200,'LP Reactivos'!X200,'LP Reactivos'!AC200,'LP Reactivos'!AH200,'LP Reactivos'!AM200,'LP Reactivos'!AR200,'LP Reactivos'!AW200,'LP Reactivos'!BB200,'LP Reactivos'!BG200,'LP Reactivos'!BL200,'LP Reactivos'!BQ200,'LP Reactivos'!BV200,'LP Reactivos'!CA200,'LP Reactivos'!CF200,'LP Reactivos'!CK200,'LP Reactivos'!CP200,'LP Reactivos'!CU200,'LP Reactivos'!CZ200,'LP Reactivos'!DE200,'LP Reactivos'!DJ200,'LP Reactivos'!DO200,'LP Reactivos'!DT200,'LP Reactivos'!DY200,'LP Reactivos'!EB200)," ")</f>
        <v>82367.629221193449</v>
      </c>
      <c r="H200" s="345">
        <f t="shared" si="12"/>
        <v>9976.9829751271845</v>
      </c>
      <c r="I200" s="346">
        <f t="shared" si="13"/>
        <v>0.11748840122574378</v>
      </c>
      <c r="J200" s="345">
        <f t="shared" si="14"/>
        <v>84918.876000000004</v>
      </c>
      <c r="K200" s="344" t="str">
        <f t="shared" si="15"/>
        <v>Promedio</v>
      </c>
      <c r="L200" s="326">
        <f>IFERROR(COUNTA('LP Reactivos'!F200,'LP Reactivos'!I200,'LP Reactivos'!N200,'LP Reactivos'!S200,'LP Reactivos'!X200,'LP Reactivos'!AC200,'LP Reactivos'!AH200,'LP Reactivos'!AM200,'LP Reactivos'!AR200,'LP Reactivos'!AW200,'LP Reactivos'!BB200,'LP Reactivos'!BG200,'LP Reactivos'!BL200,'LP Reactivos'!BQ200,'LP Reactivos'!BV200,'LP Reactivos'!CA200,'LP Reactivos'!CF200,'LP Reactivos'!CK200,'LP Reactivos'!CP200,'LP Reactivos'!CU200,'LP Reactivos'!CZ200,'LP Reactivos'!DE200,'LP Reactivos'!DJ200,'LP Reactivos'!DO200,'LP Reactivos'!DT200,'LP Reactivos'!DY200,'LP Reactivos'!EB200)," ")</f>
        <v>2</v>
      </c>
    </row>
    <row r="201" spans="2:12" ht="27" x14ac:dyDescent="0.25">
      <c r="B201" s="425">
        <v>199</v>
      </c>
      <c r="C201" s="427" t="s">
        <v>1300</v>
      </c>
      <c r="D201" s="429">
        <f>IFERROR(MIN('LP Reactivos'!F201,'LP Reactivos'!I201,'LP Reactivos'!N201,'LP Reactivos'!S201,'LP Reactivos'!X201,'LP Reactivos'!AC201,'LP Reactivos'!AH201,'LP Reactivos'!AM201,'LP Reactivos'!AR201,'LP Reactivos'!AW201,'LP Reactivos'!BB201,'LP Reactivos'!BG201,'LP Reactivos'!BL201,'LP Reactivos'!BQ201,'LP Reactivos'!BV201,'LP Reactivos'!CA201,'LP Reactivos'!CF201,'LP Reactivos'!CK201,'LP Reactivos'!CP201,'LP Reactivos'!CU201,'LP Reactivos'!CZ201,'LP Reactivos'!DE201,'LP Reactivos'!DJ201,'LP Reactivos'!DO201,'LP Reactivos'!DT201,'LP Reactivos'!DY201,'LP Reactivos'!EB201)," ")</f>
        <v>883200</v>
      </c>
      <c r="E201" s="429">
        <f>IFERROR(AVERAGE('LP Reactivos'!F201,'LP Reactivos'!I201,'LP Reactivos'!N201,'LP Reactivos'!S201,'LP Reactivos'!X201,'LP Reactivos'!AC201,'LP Reactivos'!AH201,'LP Reactivos'!AM201,'LP Reactivos'!AR201,'LP Reactivos'!AW201,'LP Reactivos'!BB201,'LP Reactivos'!BG201,'LP Reactivos'!BL201,'LP Reactivos'!BQ201,'LP Reactivos'!BV201,'LP Reactivos'!CA201,'LP Reactivos'!CF201,'LP Reactivos'!CK201,'LP Reactivos'!CP201,'LP Reactivos'!CU201,'LP Reactivos'!CZ201,'LP Reactivos'!DE201,'LP Reactivos'!DJ201,'LP Reactivos'!DO201,'LP Reactivos'!DT201,'LP Reactivos'!DY201,'LP Reactivos'!EB201)," ")</f>
        <v>1091399.3746666666</v>
      </c>
      <c r="F201" s="345">
        <f>IFERROR(MEDIAN('LP Reactivos'!F201,'LP Reactivos'!I201,'LP Reactivos'!N201,'LP Reactivos'!S201,'LP Reactivos'!X201,'LP Reactivos'!AC201,'LP Reactivos'!AH201,'LP Reactivos'!AM201,'LP Reactivos'!AR201,'LP Reactivos'!AW201,'LP Reactivos'!BB201,'LP Reactivos'!BG201,'LP Reactivos'!BL201,'LP Reactivos'!BQ201,'LP Reactivos'!BV201,'LP Reactivos'!CA201,'LP Reactivos'!CF201,'LP Reactivos'!CK201,'LP Reactivos'!CP201,'LP Reactivos'!CU201,'LP Reactivos'!CZ201,'LP Reactivos'!DE201,'LP Reactivos'!DJ201,'LP Reactivos'!DO201,'LP Reactivos'!DT201,'LP Reactivos'!DY201,'LP Reactivos'!EB201)," ")</f>
        <v>1186909</v>
      </c>
      <c r="G201" s="345">
        <f>IFERROR(GEOMEAN('LP Reactivos'!F201,'LP Reactivos'!I201,'LP Reactivos'!N201,'LP Reactivos'!S201,'LP Reactivos'!X201,'LP Reactivos'!AC201,'LP Reactivos'!AH201,'LP Reactivos'!AM201,'LP Reactivos'!AR201,'LP Reactivos'!AW201,'LP Reactivos'!BB201,'LP Reactivos'!BG201,'LP Reactivos'!BL201,'LP Reactivos'!BQ201,'LP Reactivos'!BV201,'LP Reactivos'!CA201,'LP Reactivos'!CF201,'LP Reactivos'!CK201,'LP Reactivos'!CP201,'LP Reactivos'!CU201,'LP Reactivos'!CZ201,'LP Reactivos'!DE201,'LP Reactivos'!DJ201,'LP Reactivos'!DO201,'LP Reactivos'!DT201,'LP Reactivos'!DY201,'LP Reactivos'!EB201)," ")</f>
        <v>1080716.3096126104</v>
      </c>
      <c r="H201" s="345">
        <f t="shared" si="12"/>
        <v>127512.06895739672</v>
      </c>
      <c r="I201" s="346">
        <f t="shared" si="13"/>
        <v>0.11683355508274984</v>
      </c>
      <c r="J201" s="345">
        <f t="shared" si="14"/>
        <v>1091399.3746666666</v>
      </c>
      <c r="K201" s="344" t="str">
        <f t="shared" si="15"/>
        <v>Promedio</v>
      </c>
      <c r="L201" s="326">
        <f>IFERROR(COUNTA('LP Reactivos'!F201,'LP Reactivos'!I201,'LP Reactivos'!N201,'LP Reactivos'!S201,'LP Reactivos'!X201,'LP Reactivos'!AC201,'LP Reactivos'!AH201,'LP Reactivos'!AM201,'LP Reactivos'!AR201,'LP Reactivos'!AW201,'LP Reactivos'!BB201,'LP Reactivos'!BG201,'LP Reactivos'!BL201,'LP Reactivos'!BQ201,'LP Reactivos'!BV201,'LP Reactivos'!CA201,'LP Reactivos'!CF201,'LP Reactivos'!CK201,'LP Reactivos'!CP201,'LP Reactivos'!CU201,'LP Reactivos'!CZ201,'LP Reactivos'!DE201,'LP Reactivos'!DJ201,'LP Reactivos'!DO201,'LP Reactivos'!DT201,'LP Reactivos'!DY201,'LP Reactivos'!EB201)," ")</f>
        <v>3</v>
      </c>
    </row>
    <row r="202" spans="2:12" ht="27" x14ac:dyDescent="0.25">
      <c r="B202" s="425">
        <v>200</v>
      </c>
      <c r="C202" s="427" t="s">
        <v>1304</v>
      </c>
      <c r="D202" s="429">
        <f>IFERROR(MIN('LP Reactivos'!F202,'LP Reactivos'!I202,'LP Reactivos'!N202,'LP Reactivos'!S202,'LP Reactivos'!X202,'LP Reactivos'!AC202,'LP Reactivos'!AH202,'LP Reactivos'!AM202,'LP Reactivos'!AR202,'LP Reactivos'!AW202,'LP Reactivos'!BB202,'LP Reactivos'!BG202,'LP Reactivos'!BL202,'LP Reactivos'!BQ202,'LP Reactivos'!BV202,'LP Reactivos'!CA202,'LP Reactivos'!CF202,'LP Reactivos'!CK202,'LP Reactivos'!CP202,'LP Reactivos'!CU202,'LP Reactivos'!CZ202,'LP Reactivos'!DE202,'LP Reactivos'!DJ202,'LP Reactivos'!DO202,'LP Reactivos'!DT202,'LP Reactivos'!DY202,'LP Reactivos'!EB202)," ")</f>
        <v>1742738.4495999999</v>
      </c>
      <c r="E202" s="429">
        <f>IFERROR(AVERAGE('LP Reactivos'!F202,'LP Reactivos'!I202,'LP Reactivos'!N202,'LP Reactivos'!S202,'LP Reactivos'!X202,'LP Reactivos'!AC202,'LP Reactivos'!AH202,'LP Reactivos'!AM202,'LP Reactivos'!AR202,'LP Reactivos'!AW202,'LP Reactivos'!BB202,'LP Reactivos'!BG202,'LP Reactivos'!BL202,'LP Reactivos'!BQ202,'LP Reactivos'!BV202,'LP Reactivos'!CA202,'LP Reactivos'!CF202,'LP Reactivos'!CK202,'LP Reactivos'!CP202,'LP Reactivos'!CU202,'LP Reactivos'!CZ202,'LP Reactivos'!DE202,'LP Reactivos'!DJ202,'LP Reactivos'!DO202,'LP Reactivos'!DT202,'LP Reactivos'!DY202,'LP Reactivos'!EB202)," ")</f>
        <v>1742738.4495999999</v>
      </c>
      <c r="F202" s="345">
        <f>IFERROR(MEDIAN('LP Reactivos'!F202,'LP Reactivos'!I202,'LP Reactivos'!N202,'LP Reactivos'!S202,'LP Reactivos'!X202,'LP Reactivos'!AC202,'LP Reactivos'!AH202,'LP Reactivos'!AM202,'LP Reactivos'!AR202,'LP Reactivos'!AW202,'LP Reactivos'!BB202,'LP Reactivos'!BG202,'LP Reactivos'!BL202,'LP Reactivos'!BQ202,'LP Reactivos'!BV202,'LP Reactivos'!CA202,'LP Reactivos'!CF202,'LP Reactivos'!CK202,'LP Reactivos'!CP202,'LP Reactivos'!CU202,'LP Reactivos'!CZ202,'LP Reactivos'!DE202,'LP Reactivos'!DJ202,'LP Reactivos'!DO202,'LP Reactivos'!DT202,'LP Reactivos'!DY202,'LP Reactivos'!EB202)," ")</f>
        <v>1742738.4495999999</v>
      </c>
      <c r="G202" s="345">
        <f>IFERROR(GEOMEAN('LP Reactivos'!F202,'LP Reactivos'!I202,'LP Reactivos'!N202,'LP Reactivos'!S202,'LP Reactivos'!X202,'LP Reactivos'!AC202,'LP Reactivos'!AH202,'LP Reactivos'!AM202,'LP Reactivos'!AR202,'LP Reactivos'!AW202,'LP Reactivos'!BB202,'LP Reactivos'!BG202,'LP Reactivos'!BL202,'LP Reactivos'!BQ202,'LP Reactivos'!BV202,'LP Reactivos'!CA202,'LP Reactivos'!CF202,'LP Reactivos'!CK202,'LP Reactivos'!CP202,'LP Reactivos'!CU202,'LP Reactivos'!CZ202,'LP Reactivos'!DE202,'LP Reactivos'!DJ202,'LP Reactivos'!DO202,'LP Reactivos'!DT202,'LP Reactivos'!DY202,'LP Reactivos'!EB202)," ")</f>
        <v>1742738.4495999999</v>
      </c>
      <c r="H202" s="345">
        <f t="shared" si="12"/>
        <v>0</v>
      </c>
      <c r="I202" s="346">
        <f t="shared" si="13"/>
        <v>0</v>
      </c>
      <c r="J202" s="345">
        <f t="shared" si="14"/>
        <v>1742738.4495999999</v>
      </c>
      <c r="K202" s="344" t="str">
        <f t="shared" si="15"/>
        <v>Menor Valor</v>
      </c>
      <c r="L202" s="326">
        <f>IFERROR(COUNTA('LP Reactivos'!F202,'LP Reactivos'!I202,'LP Reactivos'!N202,'LP Reactivos'!S202,'LP Reactivos'!X202,'LP Reactivos'!AC202,'LP Reactivos'!AH202,'LP Reactivos'!AM202,'LP Reactivos'!AR202,'LP Reactivos'!AW202,'LP Reactivos'!BB202,'LP Reactivos'!BG202,'LP Reactivos'!BL202,'LP Reactivos'!BQ202,'LP Reactivos'!BV202,'LP Reactivos'!CA202,'LP Reactivos'!CF202,'LP Reactivos'!CK202,'LP Reactivos'!CP202,'LP Reactivos'!CU202,'LP Reactivos'!CZ202,'LP Reactivos'!DE202,'LP Reactivos'!DJ202,'LP Reactivos'!DO202,'LP Reactivos'!DT202,'LP Reactivos'!DY202,'LP Reactivos'!EB202)," ")</f>
        <v>1</v>
      </c>
    </row>
    <row r="203" spans="2:12" ht="27" x14ac:dyDescent="0.25">
      <c r="B203" s="425">
        <v>201</v>
      </c>
      <c r="C203" s="427" t="s">
        <v>2858</v>
      </c>
      <c r="D203" s="429">
        <f>IFERROR(MIN('LP Reactivos'!F203,'LP Reactivos'!I203,'LP Reactivos'!N203,'LP Reactivos'!S203,'LP Reactivos'!X203,'LP Reactivos'!AC203,'LP Reactivos'!AH203,'LP Reactivos'!AM203,'LP Reactivos'!AR203,'LP Reactivos'!AW203,'LP Reactivos'!BB203,'LP Reactivos'!BG203,'LP Reactivos'!BL203,'LP Reactivos'!BQ203,'LP Reactivos'!BV203,'LP Reactivos'!CA203,'LP Reactivos'!CF203,'LP Reactivos'!CK203,'LP Reactivos'!CP203,'LP Reactivos'!CU203,'LP Reactivos'!CZ203,'LP Reactivos'!DE203,'LP Reactivos'!DJ203,'LP Reactivos'!DO203,'LP Reactivos'!DT203,'LP Reactivos'!DY203,'LP Reactivos'!EB203)," ")</f>
        <v>601766.78139999998</v>
      </c>
      <c r="E203" s="429">
        <f>IFERROR(AVERAGE('LP Reactivos'!F203,'LP Reactivos'!I203,'LP Reactivos'!N203,'LP Reactivos'!S203,'LP Reactivos'!X203,'LP Reactivos'!AC203,'LP Reactivos'!AH203,'LP Reactivos'!AM203,'LP Reactivos'!AR203,'LP Reactivos'!AW203,'LP Reactivos'!BB203,'LP Reactivos'!BG203,'LP Reactivos'!BL203,'LP Reactivos'!BQ203,'LP Reactivos'!BV203,'LP Reactivos'!CA203,'LP Reactivos'!CF203,'LP Reactivos'!CK203,'LP Reactivos'!CP203,'LP Reactivos'!CU203,'LP Reactivos'!CZ203,'LP Reactivos'!DE203,'LP Reactivos'!DJ203,'LP Reactivos'!DO203,'LP Reactivos'!DT203,'LP Reactivos'!DY203,'LP Reactivos'!EB203)," ")</f>
        <v>601766.78139999998</v>
      </c>
      <c r="F203" s="345">
        <f>IFERROR(MEDIAN('LP Reactivos'!F203,'LP Reactivos'!I203,'LP Reactivos'!N203,'LP Reactivos'!S203,'LP Reactivos'!X203,'LP Reactivos'!AC203,'LP Reactivos'!AH203,'LP Reactivos'!AM203,'LP Reactivos'!AR203,'LP Reactivos'!AW203,'LP Reactivos'!BB203,'LP Reactivos'!BG203,'LP Reactivos'!BL203,'LP Reactivos'!BQ203,'LP Reactivos'!BV203,'LP Reactivos'!CA203,'LP Reactivos'!CF203,'LP Reactivos'!CK203,'LP Reactivos'!CP203,'LP Reactivos'!CU203,'LP Reactivos'!CZ203,'LP Reactivos'!DE203,'LP Reactivos'!DJ203,'LP Reactivos'!DO203,'LP Reactivos'!DT203,'LP Reactivos'!DY203,'LP Reactivos'!EB203)," ")</f>
        <v>601766.78139999998</v>
      </c>
      <c r="G203" s="345">
        <f>IFERROR(GEOMEAN('LP Reactivos'!F203,'LP Reactivos'!I203,'LP Reactivos'!N203,'LP Reactivos'!S203,'LP Reactivos'!X203,'LP Reactivos'!AC203,'LP Reactivos'!AH203,'LP Reactivos'!AM203,'LP Reactivos'!AR203,'LP Reactivos'!AW203,'LP Reactivos'!BB203,'LP Reactivos'!BG203,'LP Reactivos'!BL203,'LP Reactivos'!BQ203,'LP Reactivos'!BV203,'LP Reactivos'!CA203,'LP Reactivos'!CF203,'LP Reactivos'!CK203,'LP Reactivos'!CP203,'LP Reactivos'!CU203,'LP Reactivos'!CZ203,'LP Reactivos'!DE203,'LP Reactivos'!DJ203,'LP Reactivos'!DO203,'LP Reactivos'!DT203,'LP Reactivos'!DY203,'LP Reactivos'!EB203)," ")</f>
        <v>601766.78139999998</v>
      </c>
      <c r="H203" s="345">
        <f t="shared" si="12"/>
        <v>0</v>
      </c>
      <c r="I203" s="346">
        <f t="shared" si="13"/>
        <v>0</v>
      </c>
      <c r="J203" s="345">
        <f t="shared" si="14"/>
        <v>601766.78139999998</v>
      </c>
      <c r="K203" s="344" t="str">
        <f t="shared" si="15"/>
        <v>Menor Valor</v>
      </c>
      <c r="L203" s="326">
        <f>IFERROR(COUNTA('LP Reactivos'!F203,'LP Reactivos'!I203,'LP Reactivos'!N203,'LP Reactivos'!S203,'LP Reactivos'!X203,'LP Reactivos'!AC203,'LP Reactivos'!AH203,'LP Reactivos'!AM203,'LP Reactivos'!AR203,'LP Reactivos'!AW203,'LP Reactivos'!BB203,'LP Reactivos'!BG203,'LP Reactivos'!BL203,'LP Reactivos'!BQ203,'LP Reactivos'!BV203,'LP Reactivos'!CA203,'LP Reactivos'!CF203,'LP Reactivos'!CK203,'LP Reactivos'!CP203,'LP Reactivos'!CU203,'LP Reactivos'!CZ203,'LP Reactivos'!DE203,'LP Reactivos'!DJ203,'LP Reactivos'!DO203,'LP Reactivos'!DT203,'LP Reactivos'!DY203,'LP Reactivos'!EB203)," ")</f>
        <v>1</v>
      </c>
    </row>
    <row r="204" spans="2:12" x14ac:dyDescent="0.25">
      <c r="B204" s="425">
        <v>202</v>
      </c>
      <c r="C204" s="427" t="s">
        <v>1309</v>
      </c>
      <c r="D204" s="429">
        <f>IFERROR(MIN('LP Reactivos'!F204,'LP Reactivos'!I204,'LP Reactivos'!N204,'LP Reactivos'!S204,'LP Reactivos'!X204,'LP Reactivos'!AC204,'LP Reactivos'!AH204,'LP Reactivos'!AM204,'LP Reactivos'!AR204,'LP Reactivos'!AW204,'LP Reactivos'!BB204,'LP Reactivos'!BG204,'LP Reactivos'!BL204,'LP Reactivos'!BQ204,'LP Reactivos'!BV204,'LP Reactivos'!CA204,'LP Reactivos'!CF204,'LP Reactivos'!CK204,'LP Reactivos'!CP204,'LP Reactivos'!CU204,'LP Reactivos'!CZ204,'LP Reactivos'!DE204,'LP Reactivos'!DJ204,'LP Reactivos'!DO204,'LP Reactivos'!DT204,'LP Reactivos'!DY204,'LP Reactivos'!EB204)," ")</f>
        <v>133280</v>
      </c>
      <c r="E204" s="429">
        <f>IFERROR(AVERAGE('LP Reactivos'!F204,'LP Reactivos'!I204,'LP Reactivos'!N204,'LP Reactivos'!S204,'LP Reactivos'!X204,'LP Reactivos'!AC204,'LP Reactivos'!AH204,'LP Reactivos'!AM204,'LP Reactivos'!AR204,'LP Reactivos'!AW204,'LP Reactivos'!BB204,'LP Reactivos'!BG204,'LP Reactivos'!BL204,'LP Reactivos'!BQ204,'LP Reactivos'!BV204,'LP Reactivos'!CA204,'LP Reactivos'!CF204,'LP Reactivos'!CK204,'LP Reactivos'!CP204,'LP Reactivos'!CU204,'LP Reactivos'!CZ204,'LP Reactivos'!DE204,'LP Reactivos'!DJ204,'LP Reactivos'!DO204,'LP Reactivos'!DT204,'LP Reactivos'!DY204,'LP Reactivos'!EB204)," ")</f>
        <v>401403.065</v>
      </c>
      <c r="F204" s="345">
        <f>IFERROR(MEDIAN('LP Reactivos'!F204,'LP Reactivos'!I204,'LP Reactivos'!N204,'LP Reactivos'!S204,'LP Reactivos'!X204,'LP Reactivos'!AC204,'LP Reactivos'!AH204,'LP Reactivos'!AM204,'LP Reactivos'!AR204,'LP Reactivos'!AW204,'LP Reactivos'!BB204,'LP Reactivos'!BG204,'LP Reactivos'!BL204,'LP Reactivos'!BQ204,'LP Reactivos'!BV204,'LP Reactivos'!CA204,'LP Reactivos'!CF204,'LP Reactivos'!CK204,'LP Reactivos'!CP204,'LP Reactivos'!CU204,'LP Reactivos'!CZ204,'LP Reactivos'!DE204,'LP Reactivos'!DJ204,'LP Reactivos'!DO204,'LP Reactivos'!DT204,'LP Reactivos'!DY204,'LP Reactivos'!EB204)," ")</f>
        <v>178056.13</v>
      </c>
      <c r="G204" s="345">
        <f>IFERROR(GEOMEAN('LP Reactivos'!F204,'LP Reactivos'!I204,'LP Reactivos'!N204,'LP Reactivos'!S204,'LP Reactivos'!X204,'LP Reactivos'!AC204,'LP Reactivos'!AH204,'LP Reactivos'!AM204,'LP Reactivos'!AR204,'LP Reactivos'!AW204,'LP Reactivos'!BB204,'LP Reactivos'!BG204,'LP Reactivos'!BL204,'LP Reactivos'!BQ204,'LP Reactivos'!BV204,'LP Reactivos'!CA204,'LP Reactivos'!CF204,'LP Reactivos'!CK204,'LP Reactivos'!CP204,'LP Reactivos'!CU204,'LP Reactivos'!CZ204,'LP Reactivos'!DE204,'LP Reactivos'!DJ204,'LP Reactivos'!DO204,'LP Reactivos'!DT204,'LP Reactivos'!DY204,'LP Reactivos'!EB204)," ")</f>
        <v>259402.69596927191</v>
      </c>
      <c r="H204" s="345">
        <f t="shared" si="12"/>
        <v>117780.5290271836</v>
      </c>
      <c r="I204" s="346">
        <f t="shared" si="13"/>
        <v>0.29342209688205445</v>
      </c>
      <c r="J204" s="345">
        <f t="shared" si="14"/>
        <v>259402.69596927191</v>
      </c>
      <c r="K204" s="344" t="str">
        <f t="shared" si="15"/>
        <v>Media Geométrica</v>
      </c>
      <c r="L204" s="326">
        <f>IFERROR(COUNTA('LP Reactivos'!F204,'LP Reactivos'!I204,'LP Reactivos'!N204,'LP Reactivos'!S204,'LP Reactivos'!X204,'LP Reactivos'!AC204,'LP Reactivos'!AH204,'LP Reactivos'!AM204,'LP Reactivos'!AR204,'LP Reactivos'!AW204,'LP Reactivos'!BB204,'LP Reactivos'!BG204,'LP Reactivos'!BL204,'LP Reactivos'!BQ204,'LP Reactivos'!BV204,'LP Reactivos'!CA204,'LP Reactivos'!CF204,'LP Reactivos'!CK204,'LP Reactivos'!CP204,'LP Reactivos'!CU204,'LP Reactivos'!CZ204,'LP Reactivos'!DE204,'LP Reactivos'!DJ204,'LP Reactivos'!DO204,'LP Reactivos'!DT204,'LP Reactivos'!DY204,'LP Reactivos'!EB204)," ")</f>
        <v>4</v>
      </c>
    </row>
    <row r="205" spans="2:12" ht="27" x14ac:dyDescent="0.25">
      <c r="B205" s="425">
        <v>203</v>
      </c>
      <c r="C205" s="427" t="s">
        <v>1312</v>
      </c>
      <c r="D205" s="429">
        <f>IFERROR(MIN('LP Reactivos'!F205,'LP Reactivos'!I205,'LP Reactivos'!N205,'LP Reactivos'!S205,'LP Reactivos'!X205,'LP Reactivos'!AC205,'LP Reactivos'!AH205,'LP Reactivos'!AM205,'LP Reactivos'!AR205,'LP Reactivos'!AW205,'LP Reactivos'!BB205,'LP Reactivos'!BG205,'LP Reactivos'!BL205,'LP Reactivos'!BQ205,'LP Reactivos'!BV205,'LP Reactivos'!CA205,'LP Reactivos'!CF205,'LP Reactivos'!CK205,'LP Reactivos'!CP205,'LP Reactivos'!CU205,'LP Reactivos'!CZ205,'LP Reactivos'!DE205,'LP Reactivos'!DJ205,'LP Reactivos'!DO205,'LP Reactivos'!DT205,'LP Reactivos'!DY205,'LP Reactivos'!EB205)," ")</f>
        <v>318801</v>
      </c>
      <c r="E205" s="429">
        <f>IFERROR(AVERAGE('LP Reactivos'!F205,'LP Reactivos'!I205,'LP Reactivos'!N205,'LP Reactivos'!S205,'LP Reactivos'!X205,'LP Reactivos'!AC205,'LP Reactivos'!AH205,'LP Reactivos'!AM205,'LP Reactivos'!AR205,'LP Reactivos'!AW205,'LP Reactivos'!BB205,'LP Reactivos'!BG205,'LP Reactivos'!BL205,'LP Reactivos'!BQ205,'LP Reactivos'!BV205,'LP Reactivos'!CA205,'LP Reactivos'!CF205,'LP Reactivos'!CK205,'LP Reactivos'!CP205,'LP Reactivos'!CU205,'LP Reactivos'!CZ205,'LP Reactivos'!DE205,'LP Reactivos'!DJ205,'LP Reactivos'!DO205,'LP Reactivos'!DT205,'LP Reactivos'!DY205,'LP Reactivos'!EB205)," ")</f>
        <v>910144.05066666659</v>
      </c>
      <c r="F205" s="345">
        <f>IFERROR(MEDIAN('LP Reactivos'!F205,'LP Reactivos'!I205,'LP Reactivos'!N205,'LP Reactivos'!S205,'LP Reactivos'!X205,'LP Reactivos'!AC205,'LP Reactivos'!AH205,'LP Reactivos'!AM205,'LP Reactivos'!AR205,'LP Reactivos'!AW205,'LP Reactivos'!BB205,'LP Reactivos'!BG205,'LP Reactivos'!BL205,'LP Reactivos'!BQ205,'LP Reactivos'!BV205,'LP Reactivos'!CA205,'LP Reactivos'!CF205,'LP Reactivos'!CK205,'LP Reactivos'!CP205,'LP Reactivos'!CU205,'LP Reactivos'!CZ205,'LP Reactivos'!DE205,'LP Reactivos'!DJ205,'LP Reactivos'!DO205,'LP Reactivos'!DT205,'LP Reactivos'!DY205,'LP Reactivos'!EB205)," ")</f>
        <v>482641.152</v>
      </c>
      <c r="G205" s="345">
        <f>IFERROR(GEOMEAN('LP Reactivos'!F205,'LP Reactivos'!I205,'LP Reactivos'!N205,'LP Reactivos'!S205,'LP Reactivos'!X205,'LP Reactivos'!AC205,'LP Reactivos'!AH205,'LP Reactivos'!AM205,'LP Reactivos'!AR205,'LP Reactivos'!AW205,'LP Reactivos'!BB205,'LP Reactivos'!BG205,'LP Reactivos'!BL205,'LP Reactivos'!BQ205,'LP Reactivos'!BV205,'LP Reactivos'!CA205,'LP Reactivos'!CF205,'LP Reactivos'!CK205,'LP Reactivos'!CP205,'LP Reactivos'!CU205,'LP Reactivos'!CZ205,'LP Reactivos'!DE205,'LP Reactivos'!DJ205,'LP Reactivos'!DO205,'LP Reactivos'!DT205,'LP Reactivos'!DY205,'LP Reactivos'!EB205)," ")</f>
        <v>667049.40335973573</v>
      </c>
      <c r="H205" s="345">
        <f t="shared" si="12"/>
        <v>253913.91069103641</v>
      </c>
      <c r="I205" s="346">
        <f t="shared" si="13"/>
        <v>0.27898211333145378</v>
      </c>
      <c r="J205" s="345">
        <f t="shared" si="14"/>
        <v>667049.40335973573</v>
      </c>
      <c r="K205" s="344" t="str">
        <f t="shared" si="15"/>
        <v>Media Geométrica</v>
      </c>
      <c r="L205" s="326">
        <f>IFERROR(COUNTA('LP Reactivos'!F205,'LP Reactivos'!I205,'LP Reactivos'!N205,'LP Reactivos'!S205,'LP Reactivos'!X205,'LP Reactivos'!AC205,'LP Reactivos'!AH205,'LP Reactivos'!AM205,'LP Reactivos'!AR205,'LP Reactivos'!AW205,'LP Reactivos'!BB205,'LP Reactivos'!BG205,'LP Reactivos'!BL205,'LP Reactivos'!BQ205,'LP Reactivos'!BV205,'LP Reactivos'!CA205,'LP Reactivos'!CF205,'LP Reactivos'!CK205,'LP Reactivos'!CP205,'LP Reactivos'!CU205,'LP Reactivos'!CZ205,'LP Reactivos'!DE205,'LP Reactivos'!DJ205,'LP Reactivos'!DO205,'LP Reactivos'!DT205,'LP Reactivos'!DY205,'LP Reactivos'!EB205)," ")</f>
        <v>3</v>
      </c>
    </row>
    <row r="206" spans="2:12" x14ac:dyDescent="0.25">
      <c r="B206" s="425">
        <v>204</v>
      </c>
      <c r="C206" s="427" t="s">
        <v>1314</v>
      </c>
      <c r="D206" s="429">
        <f>IFERROR(MIN('LP Reactivos'!F206,'LP Reactivos'!I206,'LP Reactivos'!N206,'LP Reactivos'!S206,'LP Reactivos'!X206,'LP Reactivos'!AC206,'LP Reactivos'!AH206,'LP Reactivos'!AM206,'LP Reactivos'!AR206,'LP Reactivos'!AW206,'LP Reactivos'!BB206,'LP Reactivos'!BG206,'LP Reactivos'!BL206,'LP Reactivos'!BQ206,'LP Reactivos'!BV206,'LP Reactivos'!CA206,'LP Reactivos'!CF206,'LP Reactivos'!CK206,'LP Reactivos'!CP206,'LP Reactivos'!CU206,'LP Reactivos'!CZ206,'LP Reactivos'!DE206,'LP Reactivos'!DJ206,'LP Reactivos'!DO206,'LP Reactivos'!DT206,'LP Reactivos'!DY206,'LP Reactivos'!EB206)," ")</f>
        <v>107285.6274</v>
      </c>
      <c r="E206" s="429">
        <f>IFERROR(AVERAGE('LP Reactivos'!F206,'LP Reactivos'!I206,'LP Reactivos'!N206,'LP Reactivos'!S206,'LP Reactivos'!X206,'LP Reactivos'!AC206,'LP Reactivos'!AH206,'LP Reactivos'!AM206,'LP Reactivos'!AR206,'LP Reactivos'!AW206,'LP Reactivos'!BB206,'LP Reactivos'!BG206,'LP Reactivos'!BL206,'LP Reactivos'!BQ206,'LP Reactivos'!BV206,'LP Reactivos'!CA206,'LP Reactivos'!CF206,'LP Reactivos'!CK206,'LP Reactivos'!CP206,'LP Reactivos'!CU206,'LP Reactivos'!CZ206,'LP Reactivos'!DE206,'LP Reactivos'!DJ206,'LP Reactivos'!DO206,'LP Reactivos'!DT206,'LP Reactivos'!DY206,'LP Reactivos'!EB206)," ")</f>
        <v>107285.6274</v>
      </c>
      <c r="F206" s="345">
        <f>IFERROR(MEDIAN('LP Reactivos'!F206,'LP Reactivos'!I206,'LP Reactivos'!N206,'LP Reactivos'!S206,'LP Reactivos'!X206,'LP Reactivos'!AC206,'LP Reactivos'!AH206,'LP Reactivos'!AM206,'LP Reactivos'!AR206,'LP Reactivos'!AW206,'LP Reactivos'!BB206,'LP Reactivos'!BG206,'LP Reactivos'!BL206,'LP Reactivos'!BQ206,'LP Reactivos'!BV206,'LP Reactivos'!CA206,'LP Reactivos'!CF206,'LP Reactivos'!CK206,'LP Reactivos'!CP206,'LP Reactivos'!CU206,'LP Reactivos'!CZ206,'LP Reactivos'!DE206,'LP Reactivos'!DJ206,'LP Reactivos'!DO206,'LP Reactivos'!DT206,'LP Reactivos'!DY206,'LP Reactivos'!EB206)," ")</f>
        <v>107285.6274</v>
      </c>
      <c r="G206" s="345">
        <f>IFERROR(GEOMEAN('LP Reactivos'!F206,'LP Reactivos'!I206,'LP Reactivos'!N206,'LP Reactivos'!S206,'LP Reactivos'!X206,'LP Reactivos'!AC206,'LP Reactivos'!AH206,'LP Reactivos'!AM206,'LP Reactivos'!AR206,'LP Reactivos'!AW206,'LP Reactivos'!BB206,'LP Reactivos'!BG206,'LP Reactivos'!BL206,'LP Reactivos'!BQ206,'LP Reactivos'!BV206,'LP Reactivos'!CA206,'LP Reactivos'!CF206,'LP Reactivos'!CK206,'LP Reactivos'!CP206,'LP Reactivos'!CU206,'LP Reactivos'!CZ206,'LP Reactivos'!DE206,'LP Reactivos'!DJ206,'LP Reactivos'!DO206,'LP Reactivos'!DT206,'LP Reactivos'!DY206,'LP Reactivos'!EB206)," ")</f>
        <v>107285.6274</v>
      </c>
      <c r="H206" s="345">
        <f t="shared" si="12"/>
        <v>0</v>
      </c>
      <c r="I206" s="346">
        <f t="shared" si="13"/>
        <v>0</v>
      </c>
      <c r="J206" s="345">
        <f t="shared" si="14"/>
        <v>107285.6274</v>
      </c>
      <c r="K206" s="344" t="str">
        <f t="shared" si="15"/>
        <v>Menor Valor</v>
      </c>
      <c r="L206" s="326">
        <f>IFERROR(COUNTA('LP Reactivos'!F206,'LP Reactivos'!I206,'LP Reactivos'!N206,'LP Reactivos'!S206,'LP Reactivos'!X206,'LP Reactivos'!AC206,'LP Reactivos'!AH206,'LP Reactivos'!AM206,'LP Reactivos'!AR206,'LP Reactivos'!AW206,'LP Reactivos'!BB206,'LP Reactivos'!BG206,'LP Reactivos'!BL206,'LP Reactivos'!BQ206,'LP Reactivos'!BV206,'LP Reactivos'!CA206,'LP Reactivos'!CF206,'LP Reactivos'!CK206,'LP Reactivos'!CP206,'LP Reactivos'!CU206,'LP Reactivos'!CZ206,'LP Reactivos'!DE206,'LP Reactivos'!DJ206,'LP Reactivos'!DO206,'LP Reactivos'!DT206,'LP Reactivos'!DY206,'LP Reactivos'!EB206)," ")</f>
        <v>1</v>
      </c>
    </row>
    <row r="207" spans="2:12" x14ac:dyDescent="0.25">
      <c r="B207" s="425">
        <v>205</v>
      </c>
      <c r="C207" s="428" t="s">
        <v>1316</v>
      </c>
      <c r="D207" s="429">
        <f>IFERROR(MIN('LP Reactivos'!F207,'LP Reactivos'!I207,'LP Reactivos'!N207,'LP Reactivos'!S207,'LP Reactivos'!X207,'LP Reactivos'!AC207,'LP Reactivos'!AH207,'LP Reactivos'!AM207,'LP Reactivos'!AR207,'LP Reactivos'!AW207,'LP Reactivos'!BB207,'LP Reactivos'!BG207,'LP Reactivos'!BL207,'LP Reactivos'!BQ207,'LP Reactivos'!BV207,'LP Reactivos'!CA207,'LP Reactivos'!CF207,'LP Reactivos'!CK207,'LP Reactivos'!CP207,'LP Reactivos'!CU207,'LP Reactivos'!CZ207,'LP Reactivos'!DE207,'LP Reactivos'!DJ207,'LP Reactivos'!DO207,'LP Reactivos'!DT207,'LP Reactivos'!DY207,'LP Reactivos'!EB207)," ")</f>
        <v>67216.697799999994</v>
      </c>
      <c r="E207" s="429">
        <f>IFERROR(AVERAGE('LP Reactivos'!F207,'LP Reactivos'!I207,'LP Reactivos'!N207,'LP Reactivos'!S207,'LP Reactivos'!X207,'LP Reactivos'!AC207,'LP Reactivos'!AH207,'LP Reactivos'!AM207,'LP Reactivos'!AR207,'LP Reactivos'!AW207,'LP Reactivos'!BB207,'LP Reactivos'!BG207,'LP Reactivos'!BL207,'LP Reactivos'!BQ207,'LP Reactivos'!BV207,'LP Reactivos'!CA207,'LP Reactivos'!CF207,'LP Reactivos'!CK207,'LP Reactivos'!CP207,'LP Reactivos'!CU207,'LP Reactivos'!CZ207,'LP Reactivos'!DE207,'LP Reactivos'!DJ207,'LP Reactivos'!DO207,'LP Reactivos'!DT207,'LP Reactivos'!DY207,'LP Reactivos'!EB207)," ")</f>
        <v>67216.697799999994</v>
      </c>
      <c r="F207" s="345">
        <f>IFERROR(MEDIAN('LP Reactivos'!F207,'LP Reactivos'!I207,'LP Reactivos'!N207,'LP Reactivos'!S207,'LP Reactivos'!X207,'LP Reactivos'!AC207,'LP Reactivos'!AH207,'LP Reactivos'!AM207,'LP Reactivos'!AR207,'LP Reactivos'!AW207,'LP Reactivos'!BB207,'LP Reactivos'!BG207,'LP Reactivos'!BL207,'LP Reactivos'!BQ207,'LP Reactivos'!BV207,'LP Reactivos'!CA207,'LP Reactivos'!CF207,'LP Reactivos'!CK207,'LP Reactivos'!CP207,'LP Reactivos'!CU207,'LP Reactivos'!CZ207,'LP Reactivos'!DE207,'LP Reactivos'!DJ207,'LP Reactivos'!DO207,'LP Reactivos'!DT207,'LP Reactivos'!DY207,'LP Reactivos'!EB207)," ")</f>
        <v>67216.697799999994</v>
      </c>
      <c r="G207" s="345">
        <f>IFERROR(GEOMEAN('LP Reactivos'!F207,'LP Reactivos'!I207,'LP Reactivos'!N207,'LP Reactivos'!S207,'LP Reactivos'!X207,'LP Reactivos'!AC207,'LP Reactivos'!AH207,'LP Reactivos'!AM207,'LP Reactivos'!AR207,'LP Reactivos'!AW207,'LP Reactivos'!BB207,'LP Reactivos'!BG207,'LP Reactivos'!BL207,'LP Reactivos'!BQ207,'LP Reactivos'!BV207,'LP Reactivos'!CA207,'LP Reactivos'!CF207,'LP Reactivos'!CK207,'LP Reactivos'!CP207,'LP Reactivos'!CU207,'LP Reactivos'!CZ207,'LP Reactivos'!DE207,'LP Reactivos'!DJ207,'LP Reactivos'!DO207,'LP Reactivos'!DT207,'LP Reactivos'!DY207,'LP Reactivos'!EB207)," ")</f>
        <v>67216.697799999994</v>
      </c>
      <c r="H207" s="345">
        <f t="shared" si="12"/>
        <v>0</v>
      </c>
      <c r="I207" s="346">
        <f t="shared" si="13"/>
        <v>0</v>
      </c>
      <c r="J207" s="345">
        <f t="shared" si="14"/>
        <v>67216.697799999994</v>
      </c>
      <c r="K207" s="344" t="str">
        <f t="shared" si="15"/>
        <v>Menor Valor</v>
      </c>
      <c r="L207" s="326">
        <f>IFERROR(COUNTA('LP Reactivos'!F207,'LP Reactivos'!I207,'LP Reactivos'!N207,'LP Reactivos'!S207,'LP Reactivos'!X207,'LP Reactivos'!AC207,'LP Reactivos'!AH207,'LP Reactivos'!AM207,'LP Reactivos'!AR207,'LP Reactivos'!AW207,'LP Reactivos'!BB207,'LP Reactivos'!BG207,'LP Reactivos'!BL207,'LP Reactivos'!BQ207,'LP Reactivos'!BV207,'LP Reactivos'!CA207,'LP Reactivos'!CF207,'LP Reactivos'!CK207,'LP Reactivos'!CP207,'LP Reactivos'!CU207,'LP Reactivos'!CZ207,'LP Reactivos'!DE207,'LP Reactivos'!DJ207,'LP Reactivos'!DO207,'LP Reactivos'!DT207,'LP Reactivos'!DY207,'LP Reactivos'!EB207)," ")</f>
        <v>1</v>
      </c>
    </row>
    <row r="208" spans="2:12" x14ac:dyDescent="0.25">
      <c r="B208" s="425">
        <v>206</v>
      </c>
      <c r="C208" s="427" t="s">
        <v>1320</v>
      </c>
      <c r="D208" s="429">
        <f>IFERROR(MIN('LP Reactivos'!F208,'LP Reactivos'!I208,'LP Reactivos'!N208,'LP Reactivos'!S208,'LP Reactivos'!X208,'LP Reactivos'!AC208,'LP Reactivos'!AH208,'LP Reactivos'!AM208,'LP Reactivos'!AR208,'LP Reactivos'!AW208,'LP Reactivos'!BB208,'LP Reactivos'!BG208,'LP Reactivos'!BL208,'LP Reactivos'!BQ208,'LP Reactivos'!BV208,'LP Reactivos'!CA208,'LP Reactivos'!CF208,'LP Reactivos'!CK208,'LP Reactivos'!CP208,'LP Reactivos'!CU208,'LP Reactivos'!CZ208,'LP Reactivos'!DE208,'LP Reactivos'!DJ208,'LP Reactivos'!DO208,'LP Reactivos'!DT208,'LP Reactivos'!DY208,'LP Reactivos'!EB208)," ")</f>
        <v>67830</v>
      </c>
      <c r="E208" s="429">
        <f>IFERROR(AVERAGE('LP Reactivos'!F208,'LP Reactivos'!I208,'LP Reactivos'!N208,'LP Reactivos'!S208,'LP Reactivos'!X208,'LP Reactivos'!AC208,'LP Reactivos'!AH208,'LP Reactivos'!AM208,'LP Reactivos'!AR208,'LP Reactivos'!AW208,'LP Reactivos'!BB208,'LP Reactivos'!BG208,'LP Reactivos'!BL208,'LP Reactivos'!BQ208,'LP Reactivos'!BV208,'LP Reactivos'!CA208,'LP Reactivos'!CF208,'LP Reactivos'!CK208,'LP Reactivos'!CP208,'LP Reactivos'!CU208,'LP Reactivos'!CZ208,'LP Reactivos'!DE208,'LP Reactivos'!DJ208,'LP Reactivos'!DO208,'LP Reactivos'!DT208,'LP Reactivos'!DY208,'LP Reactivos'!EB208)," ")</f>
        <v>330842.09999999998</v>
      </c>
      <c r="F208" s="345">
        <f>IFERROR(MEDIAN('LP Reactivos'!F208,'LP Reactivos'!I208,'LP Reactivos'!N208,'LP Reactivos'!S208,'LP Reactivos'!X208,'LP Reactivos'!AC208,'LP Reactivos'!AH208,'LP Reactivos'!AM208,'LP Reactivos'!AR208,'LP Reactivos'!AW208,'LP Reactivos'!BB208,'LP Reactivos'!BG208,'LP Reactivos'!BL208,'LP Reactivos'!BQ208,'LP Reactivos'!BV208,'LP Reactivos'!CA208,'LP Reactivos'!CF208,'LP Reactivos'!CK208,'LP Reactivos'!CP208,'LP Reactivos'!CU208,'LP Reactivos'!CZ208,'LP Reactivos'!DE208,'LP Reactivos'!DJ208,'LP Reactivos'!DO208,'LP Reactivos'!DT208,'LP Reactivos'!DY208,'LP Reactivos'!EB208)," ")</f>
        <v>187000</v>
      </c>
      <c r="G208" s="345">
        <f>IFERROR(GEOMEAN('LP Reactivos'!F208,'LP Reactivos'!I208,'LP Reactivos'!N208,'LP Reactivos'!S208,'LP Reactivos'!X208,'LP Reactivos'!AC208,'LP Reactivos'!AH208,'LP Reactivos'!AM208,'LP Reactivos'!AR208,'LP Reactivos'!AW208,'LP Reactivos'!BB208,'LP Reactivos'!BG208,'LP Reactivos'!BL208,'LP Reactivos'!BQ208,'LP Reactivos'!BV208,'LP Reactivos'!CA208,'LP Reactivos'!CF208,'LP Reactivos'!CK208,'LP Reactivos'!CP208,'LP Reactivos'!CU208,'LP Reactivos'!CZ208,'LP Reactivos'!DE208,'LP Reactivos'!DJ208,'LP Reactivos'!DO208,'LP Reactivos'!DT208,'LP Reactivos'!DY208,'LP Reactivos'!EB208)," ")</f>
        <v>220128.41374177014</v>
      </c>
      <c r="H208" s="345">
        <f t="shared" si="12"/>
        <v>108250.18180470148</v>
      </c>
      <c r="I208" s="346">
        <f t="shared" si="13"/>
        <v>0.32719590948280614</v>
      </c>
      <c r="J208" s="345">
        <f>IF(I208&lt;=10%,F208,IF(AND(I208&gt;10%,I208&lt;=20%),E208,IF(AND(I208&gt;20%,I208&lt;=33%),G208,IF(I208&gt;33%,D208))))</f>
        <v>220128.41374177014</v>
      </c>
      <c r="K208" s="344" t="str">
        <f t="shared" si="15"/>
        <v>Media Geométrica</v>
      </c>
      <c r="L208" s="326">
        <f>IFERROR(COUNTA('LP Reactivos'!F208,'LP Reactivos'!I208,'LP Reactivos'!N208,'LP Reactivos'!S208,'LP Reactivos'!X208,'LP Reactivos'!AC208,'LP Reactivos'!AH208,'LP Reactivos'!AM208,'LP Reactivos'!AR208,'LP Reactivos'!AW208,'LP Reactivos'!BB208,'LP Reactivos'!BG208,'LP Reactivos'!BL208,'LP Reactivos'!BQ208,'LP Reactivos'!BV208,'LP Reactivos'!CA208,'LP Reactivos'!CF208,'LP Reactivos'!CK208,'LP Reactivos'!CP208,'LP Reactivos'!CU208,'LP Reactivos'!CZ208,'LP Reactivos'!DE208,'LP Reactivos'!DJ208,'LP Reactivos'!DO208,'LP Reactivos'!DT208,'LP Reactivos'!DY208,'LP Reactivos'!EB208)," ")</f>
        <v>5</v>
      </c>
    </row>
    <row r="209" spans="2:12" x14ac:dyDescent="0.25">
      <c r="B209" s="425">
        <v>207</v>
      </c>
      <c r="C209" s="413" t="s">
        <v>1324</v>
      </c>
      <c r="D209" s="429">
        <f>IFERROR(MIN('LP Reactivos'!F209,'LP Reactivos'!I209,'LP Reactivos'!N209,'LP Reactivos'!S209,'LP Reactivos'!X209,'LP Reactivos'!AC209,'LP Reactivos'!AH209,'LP Reactivos'!AM209,'LP Reactivos'!AR209,'LP Reactivos'!AW209,'LP Reactivos'!BB209,'LP Reactivos'!BG209,'LP Reactivos'!BL209,'LP Reactivos'!BQ209,'LP Reactivos'!BV209,'LP Reactivos'!CA209,'LP Reactivos'!CF209,'LP Reactivos'!CK209,'LP Reactivos'!CP209,'LP Reactivos'!CU209,'LP Reactivos'!CZ209,'LP Reactivos'!DE209,'LP Reactivos'!DJ209,'LP Reactivos'!DO209,'LP Reactivos'!DT209,'LP Reactivos'!DY209,'LP Reactivos'!EB209)," ")</f>
        <v>77350</v>
      </c>
      <c r="E209" s="429">
        <f>IFERROR(AVERAGE('LP Reactivos'!F209,'LP Reactivos'!I209,'LP Reactivos'!N209,'LP Reactivos'!S209,'LP Reactivos'!X209,'LP Reactivos'!AC209,'LP Reactivos'!AH209,'LP Reactivos'!AM209,'LP Reactivos'!AR209,'LP Reactivos'!AW209,'LP Reactivos'!BB209,'LP Reactivos'!BG209,'LP Reactivos'!BL209,'LP Reactivos'!BQ209,'LP Reactivos'!BV209,'LP Reactivos'!CA209,'LP Reactivos'!CF209,'LP Reactivos'!CK209,'LP Reactivos'!CP209,'LP Reactivos'!CU209,'LP Reactivos'!CZ209,'LP Reactivos'!DE209,'LP Reactivos'!DJ209,'LP Reactivos'!DO209,'LP Reactivos'!DT209,'LP Reactivos'!DY209,'LP Reactivos'!EB209)," ")</f>
        <v>209716.25</v>
      </c>
      <c r="F209" s="345">
        <f>IFERROR(MEDIAN('LP Reactivos'!F209,'LP Reactivos'!I209,'LP Reactivos'!N209,'LP Reactivos'!S209,'LP Reactivos'!X209,'LP Reactivos'!AC209,'LP Reactivos'!AH209,'LP Reactivos'!AM209,'LP Reactivos'!AR209,'LP Reactivos'!AW209,'LP Reactivos'!BB209,'LP Reactivos'!BG209,'LP Reactivos'!BL209,'LP Reactivos'!BQ209,'LP Reactivos'!BV209,'LP Reactivos'!CA209,'LP Reactivos'!CF209,'LP Reactivos'!CK209,'LP Reactivos'!CP209,'LP Reactivos'!CU209,'LP Reactivos'!CZ209,'LP Reactivos'!DE209,'LP Reactivos'!DJ209,'LP Reactivos'!DO209,'LP Reactivos'!DT209,'LP Reactivos'!DY209,'LP Reactivos'!EB209)," ")</f>
        <v>187510</v>
      </c>
      <c r="G209" s="345">
        <f>IFERROR(GEOMEAN('LP Reactivos'!F209,'LP Reactivos'!I209,'LP Reactivos'!N209,'LP Reactivos'!S209,'LP Reactivos'!X209,'LP Reactivos'!AC209,'LP Reactivos'!AH209,'LP Reactivos'!AM209,'LP Reactivos'!AR209,'LP Reactivos'!AW209,'LP Reactivos'!BB209,'LP Reactivos'!BG209,'LP Reactivos'!BL209,'LP Reactivos'!BQ209,'LP Reactivos'!BV209,'LP Reactivos'!CA209,'LP Reactivos'!CF209,'LP Reactivos'!CK209,'LP Reactivos'!CP209,'LP Reactivos'!CU209,'LP Reactivos'!CZ209,'LP Reactivos'!DE209,'LP Reactivos'!DJ209,'LP Reactivos'!DO209,'LP Reactivos'!DT209,'LP Reactivos'!DY209,'LP Reactivos'!EB209)," ")</f>
        <v>189413.32491986564</v>
      </c>
      <c r="H209" s="345">
        <f t="shared" si="12"/>
        <v>59946.634241618362</v>
      </c>
      <c r="I209" s="346">
        <f t="shared" si="13"/>
        <v>0.28584639598323147</v>
      </c>
      <c r="J209" s="345">
        <f t="shared" si="14"/>
        <v>189413.32491986564</v>
      </c>
      <c r="K209" s="344" t="str">
        <f t="shared" si="15"/>
        <v>Media Geométrica</v>
      </c>
      <c r="L209" s="326">
        <f>IFERROR(COUNTA('LP Reactivos'!F209,'LP Reactivos'!I209,'LP Reactivos'!N209,'LP Reactivos'!S209,'LP Reactivos'!X209,'LP Reactivos'!AC209,'LP Reactivos'!AH209,'LP Reactivos'!AM209,'LP Reactivos'!AR209,'LP Reactivos'!AW209,'LP Reactivos'!BB209,'LP Reactivos'!BG209,'LP Reactivos'!BL209,'LP Reactivos'!BQ209,'LP Reactivos'!BV209,'LP Reactivos'!CA209,'LP Reactivos'!CF209,'LP Reactivos'!CK209,'LP Reactivos'!CP209,'LP Reactivos'!CU209,'LP Reactivos'!CZ209,'LP Reactivos'!DE209,'LP Reactivos'!DJ209,'LP Reactivos'!DO209,'LP Reactivos'!DT209,'LP Reactivos'!DY209,'LP Reactivos'!EB209)," ")</f>
        <v>6</v>
      </c>
    </row>
    <row r="210" spans="2:12" ht="27" x14ac:dyDescent="0.25">
      <c r="B210" s="425">
        <v>208</v>
      </c>
      <c r="C210" s="413" t="s">
        <v>1330</v>
      </c>
      <c r="D210" s="429">
        <f>IFERROR(MIN('LP Reactivos'!F210,'LP Reactivos'!I210,'LP Reactivos'!N210,'LP Reactivos'!S210,'LP Reactivos'!X210,'LP Reactivos'!AC210,'LP Reactivos'!AH210,'LP Reactivos'!AM210,'LP Reactivos'!AR210,'LP Reactivos'!AW210,'LP Reactivos'!BB210,'LP Reactivos'!BG210,'LP Reactivos'!BL210,'LP Reactivos'!BQ210,'LP Reactivos'!BV210,'LP Reactivos'!CA210,'LP Reactivos'!CF210,'LP Reactivos'!CK210,'LP Reactivos'!CP210,'LP Reactivos'!CU210,'LP Reactivos'!CZ210,'LP Reactivos'!DE210,'LP Reactivos'!DJ210,'LP Reactivos'!DO210,'LP Reactivos'!DT210,'LP Reactivos'!DY210,'LP Reactivos'!EB210)," ")</f>
        <v>223720</v>
      </c>
      <c r="E210" s="429">
        <f>IFERROR(AVERAGE('LP Reactivos'!F210,'LP Reactivos'!I210,'LP Reactivos'!N210,'LP Reactivos'!S210,'LP Reactivos'!X210,'LP Reactivos'!AC210,'LP Reactivos'!AH210,'LP Reactivos'!AM210,'LP Reactivos'!AR210,'LP Reactivos'!AW210,'LP Reactivos'!BB210,'LP Reactivos'!BG210,'LP Reactivos'!BL210,'LP Reactivos'!BQ210,'LP Reactivos'!BV210,'LP Reactivos'!CA210,'LP Reactivos'!CF210,'LP Reactivos'!CK210,'LP Reactivos'!CP210,'LP Reactivos'!CU210,'LP Reactivos'!CZ210,'LP Reactivos'!DE210,'LP Reactivos'!DJ210,'LP Reactivos'!DO210,'LP Reactivos'!DT210,'LP Reactivos'!DY210,'LP Reactivos'!EB210)," ")</f>
        <v>416845.6</v>
      </c>
      <c r="F210" s="345">
        <f>IFERROR(MEDIAN('LP Reactivos'!F210,'LP Reactivos'!I210,'LP Reactivos'!N210,'LP Reactivos'!S210,'LP Reactivos'!X210,'LP Reactivos'!AC210,'LP Reactivos'!AH210,'LP Reactivos'!AM210,'LP Reactivos'!AR210,'LP Reactivos'!AW210,'LP Reactivos'!BB210,'LP Reactivos'!BG210,'LP Reactivos'!BL210,'LP Reactivos'!BQ210,'LP Reactivos'!BV210,'LP Reactivos'!CA210,'LP Reactivos'!CF210,'LP Reactivos'!CK210,'LP Reactivos'!CP210,'LP Reactivos'!CU210,'LP Reactivos'!CZ210,'LP Reactivos'!DE210,'LP Reactivos'!DJ210,'LP Reactivos'!DO210,'LP Reactivos'!DT210,'LP Reactivos'!DY210,'LP Reactivos'!EB210)," ")</f>
        <v>414898</v>
      </c>
      <c r="G210" s="345">
        <f>IFERROR(GEOMEAN('LP Reactivos'!F210,'LP Reactivos'!I210,'LP Reactivos'!N210,'LP Reactivos'!S210,'LP Reactivos'!X210,'LP Reactivos'!AC210,'LP Reactivos'!AH210,'LP Reactivos'!AM210,'LP Reactivos'!AR210,'LP Reactivos'!AW210,'LP Reactivos'!BB210,'LP Reactivos'!BG210,'LP Reactivos'!BL210,'LP Reactivos'!BQ210,'LP Reactivos'!BV210,'LP Reactivos'!CA210,'LP Reactivos'!CF210,'LP Reactivos'!CK210,'LP Reactivos'!CP210,'LP Reactivos'!CU210,'LP Reactivos'!CZ210,'LP Reactivos'!DE210,'LP Reactivos'!DJ210,'LP Reactivos'!DO210,'LP Reactivos'!DT210,'LP Reactivos'!DY210,'LP Reactivos'!EB210)," ")</f>
        <v>383581.87611861387</v>
      </c>
      <c r="H210" s="345">
        <f t="shared" si="12"/>
        <v>91966.167956253674</v>
      </c>
      <c r="I210" s="346">
        <f t="shared" si="13"/>
        <v>0.22062405829941273</v>
      </c>
      <c r="J210" s="345">
        <f t="shared" si="14"/>
        <v>383581.87611861387</v>
      </c>
      <c r="K210" s="344" t="str">
        <f t="shared" si="15"/>
        <v>Media Geométrica</v>
      </c>
      <c r="L210" s="326">
        <f>IFERROR(COUNTA('LP Reactivos'!F210,'LP Reactivos'!I210,'LP Reactivos'!N210,'LP Reactivos'!S210,'LP Reactivos'!X210,'LP Reactivos'!AC210,'LP Reactivos'!AH210,'LP Reactivos'!AM210,'LP Reactivos'!AR210,'LP Reactivos'!AW210,'LP Reactivos'!BB210,'LP Reactivos'!BG210,'LP Reactivos'!BL210,'LP Reactivos'!BQ210,'LP Reactivos'!BV210,'LP Reactivos'!CA210,'LP Reactivos'!CF210,'LP Reactivos'!CK210,'LP Reactivos'!CP210,'LP Reactivos'!CU210,'LP Reactivos'!CZ210,'LP Reactivos'!DE210,'LP Reactivos'!DJ210,'LP Reactivos'!DO210,'LP Reactivos'!DT210,'LP Reactivos'!DY210,'LP Reactivos'!EB210)," ")</f>
        <v>5</v>
      </c>
    </row>
    <row r="211" spans="2:12" ht="27" x14ac:dyDescent="0.25">
      <c r="B211" s="425">
        <v>209</v>
      </c>
      <c r="C211" s="413" t="s">
        <v>1334</v>
      </c>
      <c r="D211" s="429">
        <f>IFERROR(MIN('LP Reactivos'!F211,'LP Reactivos'!I211,'LP Reactivos'!N211,'LP Reactivos'!S211,'LP Reactivos'!X211,'LP Reactivos'!AC211,'LP Reactivos'!AH211,'LP Reactivos'!AM211,'LP Reactivos'!AR211,'LP Reactivos'!AW211,'LP Reactivos'!BB211,'LP Reactivos'!BG211,'LP Reactivos'!BL211,'LP Reactivos'!BQ211,'LP Reactivos'!BV211,'LP Reactivos'!CA211,'LP Reactivos'!CF211,'LP Reactivos'!CK211,'LP Reactivos'!CP211,'LP Reactivos'!CU211,'LP Reactivos'!CZ211,'LP Reactivos'!DE211,'LP Reactivos'!DJ211,'LP Reactivos'!DO211,'LP Reactivos'!DT211,'LP Reactivos'!DY211,'LP Reactivos'!EB211)," ")</f>
        <v>399518.7</v>
      </c>
      <c r="E211" s="429">
        <f>IFERROR(AVERAGE('LP Reactivos'!F211,'LP Reactivos'!I211,'LP Reactivos'!N211,'LP Reactivos'!S211,'LP Reactivos'!X211,'LP Reactivos'!AC211,'LP Reactivos'!AH211,'LP Reactivos'!AM211,'LP Reactivos'!AR211,'LP Reactivos'!AW211,'LP Reactivos'!BB211,'LP Reactivos'!BG211,'LP Reactivos'!BL211,'LP Reactivos'!BQ211,'LP Reactivos'!BV211,'LP Reactivos'!CA211,'LP Reactivos'!CF211,'LP Reactivos'!CK211,'LP Reactivos'!CP211,'LP Reactivos'!CU211,'LP Reactivos'!CZ211,'LP Reactivos'!DE211,'LP Reactivos'!DJ211,'LP Reactivos'!DO211,'LP Reactivos'!DT211,'LP Reactivos'!DY211,'LP Reactivos'!EB211)," ")</f>
        <v>571993.67500000005</v>
      </c>
      <c r="F211" s="345">
        <f>IFERROR(MEDIAN('LP Reactivos'!F211,'LP Reactivos'!I211,'LP Reactivos'!N211,'LP Reactivos'!S211,'LP Reactivos'!X211,'LP Reactivos'!AC211,'LP Reactivos'!AH211,'LP Reactivos'!AM211,'LP Reactivos'!AR211,'LP Reactivos'!AW211,'LP Reactivos'!BB211,'LP Reactivos'!BG211,'LP Reactivos'!BL211,'LP Reactivos'!BQ211,'LP Reactivos'!BV211,'LP Reactivos'!CA211,'LP Reactivos'!CF211,'LP Reactivos'!CK211,'LP Reactivos'!CP211,'LP Reactivos'!CU211,'LP Reactivos'!CZ211,'LP Reactivos'!DE211,'LP Reactivos'!DJ211,'LP Reactivos'!DO211,'LP Reactivos'!DT211,'LP Reactivos'!DY211,'LP Reactivos'!EB211)," ")</f>
        <v>506308</v>
      </c>
      <c r="G211" s="345">
        <f>IFERROR(GEOMEAN('LP Reactivos'!F211,'LP Reactivos'!I211,'LP Reactivos'!N211,'LP Reactivos'!S211,'LP Reactivos'!X211,'LP Reactivos'!AC211,'LP Reactivos'!AH211,'LP Reactivos'!AM211,'LP Reactivos'!AR211,'LP Reactivos'!AW211,'LP Reactivos'!BB211,'LP Reactivos'!BG211,'LP Reactivos'!BL211,'LP Reactivos'!BQ211,'LP Reactivos'!BV211,'LP Reactivos'!CA211,'LP Reactivos'!CF211,'LP Reactivos'!CK211,'LP Reactivos'!CP211,'LP Reactivos'!CU211,'LP Reactivos'!CZ211,'LP Reactivos'!DE211,'LP Reactivos'!DJ211,'LP Reactivos'!DO211,'LP Reactivos'!DT211,'LP Reactivos'!DY211,'LP Reactivos'!EB211)," ")</f>
        <v>547263.61204723571</v>
      </c>
      <c r="H211" s="345">
        <f t="shared" si="12"/>
        <v>76148.799894024938</v>
      </c>
      <c r="I211" s="346">
        <f t="shared" si="13"/>
        <v>0.13312874463869714</v>
      </c>
      <c r="J211" s="345">
        <f t="shared" si="14"/>
        <v>571993.67500000005</v>
      </c>
      <c r="K211" s="344" t="str">
        <f t="shared" si="15"/>
        <v>Promedio</v>
      </c>
      <c r="L211" s="326">
        <f>IFERROR(COUNTA('LP Reactivos'!F211,'LP Reactivos'!I211,'LP Reactivos'!N211,'LP Reactivos'!S211,'LP Reactivos'!X211,'LP Reactivos'!AC211,'LP Reactivos'!AH211,'LP Reactivos'!AM211,'LP Reactivos'!AR211,'LP Reactivos'!AW211,'LP Reactivos'!BB211,'LP Reactivos'!BG211,'LP Reactivos'!BL211,'LP Reactivos'!BQ211,'LP Reactivos'!BV211,'LP Reactivos'!CA211,'LP Reactivos'!CF211,'LP Reactivos'!CK211,'LP Reactivos'!CP211,'LP Reactivos'!CU211,'LP Reactivos'!CZ211,'LP Reactivos'!DE211,'LP Reactivos'!DJ211,'LP Reactivos'!DO211,'LP Reactivos'!DT211,'LP Reactivos'!DY211,'LP Reactivos'!EB211)," ")</f>
        <v>4</v>
      </c>
    </row>
    <row r="212" spans="2:12" ht="27" x14ac:dyDescent="0.25">
      <c r="B212" s="425">
        <v>210</v>
      </c>
      <c r="C212" s="427" t="s">
        <v>1337</v>
      </c>
      <c r="D212" s="429">
        <f>IFERROR(MIN('LP Reactivos'!F212,'LP Reactivos'!I212,'LP Reactivos'!N212,'LP Reactivos'!S212,'LP Reactivos'!X212,'LP Reactivos'!AC212,'LP Reactivos'!AH212,'LP Reactivos'!AM212,'LP Reactivos'!AR212,'LP Reactivos'!AW212,'LP Reactivos'!BB212,'LP Reactivos'!BG212,'LP Reactivos'!BL212,'LP Reactivos'!BQ212,'LP Reactivos'!BV212,'LP Reactivos'!CA212,'LP Reactivos'!CF212,'LP Reactivos'!CK212,'LP Reactivos'!CP212,'LP Reactivos'!CU212,'LP Reactivos'!CZ212,'LP Reactivos'!DE212,'LP Reactivos'!DJ212,'LP Reactivos'!DO212,'LP Reactivos'!DT212,'LP Reactivos'!DY212,'LP Reactivos'!EB212)," ")</f>
        <v>480092.54139999999</v>
      </c>
      <c r="E212" s="429">
        <f>IFERROR(AVERAGE('LP Reactivos'!F212,'LP Reactivos'!I212,'LP Reactivos'!N212,'LP Reactivos'!S212,'LP Reactivos'!X212,'LP Reactivos'!AC212,'LP Reactivos'!AH212,'LP Reactivos'!AM212,'LP Reactivos'!AR212,'LP Reactivos'!AW212,'LP Reactivos'!BB212,'LP Reactivos'!BG212,'LP Reactivos'!BL212,'LP Reactivos'!BQ212,'LP Reactivos'!BV212,'LP Reactivos'!CA212,'LP Reactivos'!CF212,'LP Reactivos'!CK212,'LP Reactivos'!CP212,'LP Reactivos'!CU212,'LP Reactivos'!CZ212,'LP Reactivos'!DE212,'LP Reactivos'!DJ212,'LP Reactivos'!DO212,'LP Reactivos'!DT212,'LP Reactivos'!DY212,'LP Reactivos'!EB212)," ")</f>
        <v>480092.54139999999</v>
      </c>
      <c r="F212" s="345">
        <f>IFERROR(MEDIAN('LP Reactivos'!F212,'LP Reactivos'!I212,'LP Reactivos'!N212,'LP Reactivos'!S212,'LP Reactivos'!X212,'LP Reactivos'!AC212,'LP Reactivos'!AH212,'LP Reactivos'!AM212,'LP Reactivos'!AR212,'LP Reactivos'!AW212,'LP Reactivos'!BB212,'LP Reactivos'!BG212,'LP Reactivos'!BL212,'LP Reactivos'!BQ212,'LP Reactivos'!BV212,'LP Reactivos'!CA212,'LP Reactivos'!CF212,'LP Reactivos'!CK212,'LP Reactivos'!CP212,'LP Reactivos'!CU212,'LP Reactivos'!CZ212,'LP Reactivos'!DE212,'LP Reactivos'!DJ212,'LP Reactivos'!DO212,'LP Reactivos'!DT212,'LP Reactivos'!DY212,'LP Reactivos'!EB212)," ")</f>
        <v>480092.54139999999</v>
      </c>
      <c r="G212" s="345">
        <f>IFERROR(GEOMEAN('LP Reactivos'!F212,'LP Reactivos'!I212,'LP Reactivos'!N212,'LP Reactivos'!S212,'LP Reactivos'!X212,'LP Reactivos'!AC212,'LP Reactivos'!AH212,'LP Reactivos'!AM212,'LP Reactivos'!AR212,'LP Reactivos'!AW212,'LP Reactivos'!BB212,'LP Reactivos'!BG212,'LP Reactivos'!BL212,'LP Reactivos'!BQ212,'LP Reactivos'!BV212,'LP Reactivos'!CA212,'LP Reactivos'!CF212,'LP Reactivos'!CK212,'LP Reactivos'!CP212,'LP Reactivos'!CU212,'LP Reactivos'!CZ212,'LP Reactivos'!DE212,'LP Reactivos'!DJ212,'LP Reactivos'!DO212,'LP Reactivos'!DT212,'LP Reactivos'!DY212,'LP Reactivos'!EB212)," ")</f>
        <v>480092.54139999999</v>
      </c>
      <c r="H212" s="345">
        <f t="shared" si="12"/>
        <v>0</v>
      </c>
      <c r="I212" s="346">
        <f t="shared" si="13"/>
        <v>0</v>
      </c>
      <c r="J212" s="345">
        <f t="shared" si="14"/>
        <v>480092.54139999999</v>
      </c>
      <c r="K212" s="344" t="str">
        <f t="shared" si="15"/>
        <v>Menor Valor</v>
      </c>
      <c r="L212" s="326">
        <f>IFERROR(COUNTA('LP Reactivos'!F212,'LP Reactivos'!I212,'LP Reactivos'!N212,'LP Reactivos'!S212,'LP Reactivos'!X212,'LP Reactivos'!AC212,'LP Reactivos'!AH212,'LP Reactivos'!AM212,'LP Reactivos'!AR212,'LP Reactivos'!AW212,'LP Reactivos'!BB212,'LP Reactivos'!BG212,'LP Reactivos'!BL212,'LP Reactivos'!BQ212,'LP Reactivos'!BV212,'LP Reactivos'!CA212,'LP Reactivos'!CF212,'LP Reactivos'!CK212,'LP Reactivos'!CP212,'LP Reactivos'!CU212,'LP Reactivos'!CZ212,'LP Reactivos'!DE212,'LP Reactivos'!DJ212,'LP Reactivos'!DO212,'LP Reactivos'!DT212,'LP Reactivos'!DY212,'LP Reactivos'!EB212)," ")</f>
        <v>1</v>
      </c>
    </row>
    <row r="213" spans="2:12" ht="27" x14ac:dyDescent="0.25">
      <c r="B213" s="425">
        <v>211</v>
      </c>
      <c r="C213" s="427" t="s">
        <v>1339</v>
      </c>
      <c r="D213" s="429">
        <f>IFERROR(MIN('LP Reactivos'!F213,'LP Reactivos'!I213,'LP Reactivos'!N213,'LP Reactivos'!S213,'LP Reactivos'!X213,'LP Reactivos'!AC213,'LP Reactivos'!AH213,'LP Reactivos'!AM213,'LP Reactivos'!AR213,'LP Reactivos'!AW213,'LP Reactivos'!BB213,'LP Reactivos'!BG213,'LP Reactivos'!BL213,'LP Reactivos'!BQ213,'LP Reactivos'!BV213,'LP Reactivos'!CA213,'LP Reactivos'!CF213,'LP Reactivos'!CK213,'LP Reactivos'!CP213,'LP Reactivos'!CU213,'LP Reactivos'!CZ213,'LP Reactivos'!DE213,'LP Reactivos'!DJ213,'LP Reactivos'!DO213,'LP Reactivos'!DT213,'LP Reactivos'!DY213,'LP Reactivos'!EB213)," ")</f>
        <v>360570</v>
      </c>
      <c r="E213" s="429">
        <f>IFERROR(AVERAGE('LP Reactivos'!F213,'LP Reactivos'!I213,'LP Reactivos'!N213,'LP Reactivos'!S213,'LP Reactivos'!X213,'LP Reactivos'!AC213,'LP Reactivos'!AH213,'LP Reactivos'!AM213,'LP Reactivos'!AR213,'LP Reactivos'!AW213,'LP Reactivos'!BB213,'LP Reactivos'!BG213,'LP Reactivos'!BL213,'LP Reactivos'!BQ213,'LP Reactivos'!BV213,'LP Reactivos'!CA213,'LP Reactivos'!CF213,'LP Reactivos'!CK213,'LP Reactivos'!CP213,'LP Reactivos'!CU213,'LP Reactivos'!CZ213,'LP Reactivos'!DE213,'LP Reactivos'!DJ213,'LP Reactivos'!DO213,'LP Reactivos'!DT213,'LP Reactivos'!DY213,'LP Reactivos'!EB213)," ")</f>
        <v>414496.96666666662</v>
      </c>
      <c r="F213" s="345">
        <f>IFERROR(MEDIAN('LP Reactivos'!F213,'LP Reactivos'!I213,'LP Reactivos'!N213,'LP Reactivos'!S213,'LP Reactivos'!X213,'LP Reactivos'!AC213,'LP Reactivos'!AH213,'LP Reactivos'!AM213,'LP Reactivos'!AR213,'LP Reactivos'!AW213,'LP Reactivos'!BB213,'LP Reactivos'!BG213,'LP Reactivos'!BL213,'LP Reactivos'!BQ213,'LP Reactivos'!BV213,'LP Reactivos'!CA213,'LP Reactivos'!CF213,'LP Reactivos'!CK213,'LP Reactivos'!CP213,'LP Reactivos'!CU213,'LP Reactivos'!CZ213,'LP Reactivos'!DE213,'LP Reactivos'!DJ213,'LP Reactivos'!DO213,'LP Reactivos'!DT213,'LP Reactivos'!DY213,'LP Reactivos'!EB213)," ")</f>
        <v>388665.9</v>
      </c>
      <c r="G213" s="345">
        <f>IFERROR(GEOMEAN('LP Reactivos'!F213,'LP Reactivos'!I213,'LP Reactivos'!N213,'LP Reactivos'!S213,'LP Reactivos'!X213,'LP Reactivos'!AC213,'LP Reactivos'!AH213,'LP Reactivos'!AM213,'LP Reactivos'!AR213,'LP Reactivos'!AW213,'LP Reactivos'!BB213,'LP Reactivos'!BG213,'LP Reactivos'!BL213,'LP Reactivos'!BQ213,'LP Reactivos'!BV213,'LP Reactivos'!CA213,'LP Reactivos'!CF213,'LP Reactivos'!CK213,'LP Reactivos'!CP213,'LP Reactivos'!CU213,'LP Reactivos'!CZ213,'LP Reactivos'!DE213,'LP Reactivos'!DJ213,'LP Reactivos'!DO213,'LP Reactivos'!DT213,'LP Reactivos'!DY213,'LP Reactivos'!EB213)," ")</f>
        <v>410682.03004589403</v>
      </c>
      <c r="H213" s="345">
        <f t="shared" si="12"/>
        <v>24791.16209249169</v>
      </c>
      <c r="I213" s="346">
        <f t="shared" si="13"/>
        <v>5.981023767642777E-2</v>
      </c>
      <c r="J213" s="345">
        <f t="shared" si="14"/>
        <v>388665.9</v>
      </c>
      <c r="K213" s="344" t="str">
        <f t="shared" si="15"/>
        <v>Mediana</v>
      </c>
      <c r="L213" s="326">
        <f>IFERROR(COUNTA('LP Reactivos'!F213,'LP Reactivos'!I213,'LP Reactivos'!N213,'LP Reactivos'!S213,'LP Reactivos'!X213,'LP Reactivos'!AC213,'LP Reactivos'!AH213,'LP Reactivos'!AM213,'LP Reactivos'!AR213,'LP Reactivos'!AW213,'LP Reactivos'!BB213,'LP Reactivos'!BG213,'LP Reactivos'!BL213,'LP Reactivos'!BQ213,'LP Reactivos'!BV213,'LP Reactivos'!CA213,'LP Reactivos'!CF213,'LP Reactivos'!CK213,'LP Reactivos'!CP213,'LP Reactivos'!CU213,'LP Reactivos'!CZ213,'LP Reactivos'!DE213,'LP Reactivos'!DJ213,'LP Reactivos'!DO213,'LP Reactivos'!DT213,'LP Reactivos'!DY213,'LP Reactivos'!EB213)," ")</f>
        <v>3</v>
      </c>
    </row>
    <row r="214" spans="2:12" x14ac:dyDescent="0.25">
      <c r="B214" s="425">
        <v>212</v>
      </c>
      <c r="C214" s="428" t="s">
        <v>1342</v>
      </c>
      <c r="D214" s="429">
        <f>IFERROR(MIN('LP Reactivos'!F214,'LP Reactivos'!I214,'LP Reactivos'!N214,'LP Reactivos'!S214,'LP Reactivos'!X214,'LP Reactivos'!AC214,'LP Reactivos'!AH214,'LP Reactivos'!AM214,'LP Reactivos'!AR214,'LP Reactivos'!AW214,'LP Reactivos'!BB214,'LP Reactivos'!BG214,'LP Reactivos'!BL214,'LP Reactivos'!BQ214,'LP Reactivos'!BV214,'LP Reactivos'!CA214,'LP Reactivos'!CF214,'LP Reactivos'!CK214,'LP Reactivos'!CP214,'LP Reactivos'!CU214,'LP Reactivos'!CZ214,'LP Reactivos'!DE214,'LP Reactivos'!DJ214,'LP Reactivos'!DO214,'LP Reactivos'!DT214,'LP Reactivos'!DY214,'LP Reactivos'!EB214)," ")</f>
        <v>278162.5</v>
      </c>
      <c r="E214" s="429">
        <f>IFERROR(AVERAGE('LP Reactivos'!F214,'LP Reactivos'!I214,'LP Reactivos'!N214,'LP Reactivos'!S214,'LP Reactivos'!X214,'LP Reactivos'!AC214,'LP Reactivos'!AH214,'LP Reactivos'!AM214,'LP Reactivos'!AR214,'LP Reactivos'!AW214,'LP Reactivos'!BB214,'LP Reactivos'!BG214,'LP Reactivos'!BL214,'LP Reactivos'!BQ214,'LP Reactivos'!BV214,'LP Reactivos'!CA214,'LP Reactivos'!CF214,'LP Reactivos'!CK214,'LP Reactivos'!CP214,'LP Reactivos'!CU214,'LP Reactivos'!CZ214,'LP Reactivos'!DE214,'LP Reactivos'!DJ214,'LP Reactivos'!DO214,'LP Reactivos'!DT214,'LP Reactivos'!DY214,'LP Reactivos'!EB214)," ")</f>
        <v>1366618.6666666667</v>
      </c>
      <c r="F214" s="345">
        <f>IFERROR(MEDIAN('LP Reactivos'!F214,'LP Reactivos'!I214,'LP Reactivos'!N214,'LP Reactivos'!S214,'LP Reactivos'!X214,'LP Reactivos'!AC214,'LP Reactivos'!AH214,'LP Reactivos'!AM214,'LP Reactivos'!AR214,'LP Reactivos'!AW214,'LP Reactivos'!BB214,'LP Reactivos'!BG214,'LP Reactivos'!BL214,'LP Reactivos'!BQ214,'LP Reactivos'!BV214,'LP Reactivos'!CA214,'LP Reactivos'!CF214,'LP Reactivos'!CK214,'LP Reactivos'!CP214,'LP Reactivos'!CU214,'LP Reactivos'!CZ214,'LP Reactivos'!DE214,'LP Reactivos'!DJ214,'LP Reactivos'!DO214,'LP Reactivos'!DT214,'LP Reactivos'!DY214,'LP Reactivos'!EB214)," ")</f>
        <v>1057621</v>
      </c>
      <c r="G214" s="345">
        <f>IFERROR(GEOMEAN('LP Reactivos'!F214,'LP Reactivos'!I214,'LP Reactivos'!N214,'LP Reactivos'!S214,'LP Reactivos'!X214,'LP Reactivos'!AC214,'LP Reactivos'!AH214,'LP Reactivos'!AM214,'LP Reactivos'!AR214,'LP Reactivos'!AW214,'LP Reactivos'!BB214,'LP Reactivos'!BG214,'LP Reactivos'!BL214,'LP Reactivos'!BQ214,'LP Reactivos'!BV214,'LP Reactivos'!CA214,'LP Reactivos'!CF214,'LP Reactivos'!CK214,'LP Reactivos'!CP214,'LP Reactivos'!CU214,'LP Reactivos'!CZ214,'LP Reactivos'!DE214,'LP Reactivos'!DJ214,'LP Reactivos'!DO214,'LP Reactivos'!DT214,'LP Reactivos'!DY214,'LP Reactivos'!EB214)," ")</f>
        <v>933381.86563560681</v>
      </c>
      <c r="H214" s="345">
        <f t="shared" si="12"/>
        <v>458277.01260278124</v>
      </c>
      <c r="I214" s="346">
        <f t="shared" si="13"/>
        <v>0.33533642103731048</v>
      </c>
      <c r="J214" s="345">
        <f>IF(I214&lt;=10%,F214,IF(AND(I214&gt;10%,I214&lt;=20%),E214,IF(AND(I214&gt;20%,I214&lt;=34%),G214,IF(I214&gt;34%,D214))))</f>
        <v>933381.86563560681</v>
      </c>
      <c r="K214" s="344" t="str">
        <f t="shared" si="15"/>
        <v>Media Geométrica</v>
      </c>
      <c r="L214" s="326">
        <f>IFERROR(COUNTA('LP Reactivos'!F214,'LP Reactivos'!I214,'LP Reactivos'!N214,'LP Reactivos'!S214,'LP Reactivos'!X214,'LP Reactivos'!AC214,'LP Reactivos'!AH214,'LP Reactivos'!AM214,'LP Reactivos'!AR214,'LP Reactivos'!AW214,'LP Reactivos'!BB214,'LP Reactivos'!BG214,'LP Reactivos'!BL214,'LP Reactivos'!BQ214,'LP Reactivos'!BV214,'LP Reactivos'!CA214,'LP Reactivos'!CF214,'LP Reactivos'!CK214,'LP Reactivos'!CP214,'LP Reactivos'!CU214,'LP Reactivos'!CZ214,'LP Reactivos'!DE214,'LP Reactivos'!DJ214,'LP Reactivos'!DO214,'LP Reactivos'!DT214,'LP Reactivos'!DY214,'LP Reactivos'!EB214)," ")</f>
        <v>3</v>
      </c>
    </row>
    <row r="215" spans="2:12" ht="27" x14ac:dyDescent="0.25">
      <c r="B215" s="425">
        <v>213</v>
      </c>
      <c r="C215" s="427" t="s">
        <v>1345</v>
      </c>
      <c r="D215" s="429">
        <f>IFERROR(MIN('LP Reactivos'!F215,'LP Reactivos'!I215,'LP Reactivos'!N215,'LP Reactivos'!S215,'LP Reactivos'!X215,'LP Reactivos'!AC215,'LP Reactivos'!AH215,'LP Reactivos'!AM215,'LP Reactivos'!AR215,'LP Reactivos'!AW215,'LP Reactivos'!BB215,'LP Reactivos'!BG215,'LP Reactivos'!BL215,'LP Reactivos'!BQ215,'LP Reactivos'!BV215,'LP Reactivos'!CA215,'LP Reactivos'!CF215,'LP Reactivos'!CK215,'LP Reactivos'!CP215,'LP Reactivos'!CU215,'LP Reactivos'!CZ215,'LP Reactivos'!DE215,'LP Reactivos'!DJ215,'LP Reactivos'!DO215,'LP Reactivos'!DT215,'LP Reactivos'!DY215,'LP Reactivos'!EB215)," ")</f>
        <v>169064</v>
      </c>
      <c r="E215" s="429">
        <f>IFERROR(AVERAGE('LP Reactivos'!F215,'LP Reactivos'!I215,'LP Reactivos'!N215,'LP Reactivos'!S215,'LP Reactivos'!X215,'LP Reactivos'!AC215,'LP Reactivos'!AH215,'LP Reactivos'!AM215,'LP Reactivos'!AR215,'LP Reactivos'!AW215,'LP Reactivos'!BB215,'LP Reactivos'!BG215,'LP Reactivos'!BL215,'LP Reactivos'!BQ215,'LP Reactivos'!BV215,'LP Reactivos'!CA215,'LP Reactivos'!CF215,'LP Reactivos'!CK215,'LP Reactivos'!CP215,'LP Reactivos'!CU215,'LP Reactivos'!CZ215,'LP Reactivos'!DE215,'LP Reactivos'!DJ215,'LP Reactivos'!DO215,'LP Reactivos'!DT215,'LP Reactivos'!DY215,'LP Reactivos'!EB215)," ")</f>
        <v>597055.9</v>
      </c>
      <c r="F215" s="345">
        <f>IFERROR(MEDIAN('LP Reactivos'!F215,'LP Reactivos'!I215,'LP Reactivos'!N215,'LP Reactivos'!S215,'LP Reactivos'!X215,'LP Reactivos'!AC215,'LP Reactivos'!AH215,'LP Reactivos'!AM215,'LP Reactivos'!AR215,'LP Reactivos'!AW215,'LP Reactivos'!BB215,'LP Reactivos'!BG215,'LP Reactivos'!BL215,'LP Reactivos'!BQ215,'LP Reactivos'!BV215,'LP Reactivos'!CA215,'LP Reactivos'!CF215,'LP Reactivos'!CK215,'LP Reactivos'!CP215,'LP Reactivos'!CU215,'LP Reactivos'!CZ215,'LP Reactivos'!DE215,'LP Reactivos'!DJ215,'LP Reactivos'!DO215,'LP Reactivos'!DT215,'LP Reactivos'!DY215,'LP Reactivos'!EB215)," ")</f>
        <v>508153.8</v>
      </c>
      <c r="G215" s="345">
        <f>IFERROR(GEOMEAN('LP Reactivos'!F215,'LP Reactivos'!I215,'LP Reactivos'!N215,'LP Reactivos'!S215,'LP Reactivos'!X215,'LP Reactivos'!AC215,'LP Reactivos'!AH215,'LP Reactivos'!AM215,'LP Reactivos'!AR215,'LP Reactivos'!AW215,'LP Reactivos'!BB215,'LP Reactivos'!BG215,'LP Reactivos'!BL215,'LP Reactivos'!BQ215,'LP Reactivos'!BV215,'LP Reactivos'!CA215,'LP Reactivos'!CF215,'LP Reactivos'!CK215,'LP Reactivos'!CP215,'LP Reactivos'!CU215,'LP Reactivos'!CZ215,'LP Reactivos'!DE215,'LP Reactivos'!DJ215,'LP Reactivos'!DO215,'LP Reactivos'!DT215,'LP Reactivos'!DY215,'LP Reactivos'!EB215)," ")</f>
        <v>475449.29038397194</v>
      </c>
      <c r="H215" s="345">
        <f t="shared" si="12"/>
        <v>186143.36789359897</v>
      </c>
      <c r="I215" s="346">
        <f t="shared" si="13"/>
        <v>0.31176874375347263</v>
      </c>
      <c r="J215" s="345">
        <f>IF(I215&lt;=10%,F215,IF(AND(I215&gt;10%,I215&lt;=20%),E215,IF(AND(I215&gt;20%,I215&lt;=32%),G215,IF(I215&gt;32%,D215))))</f>
        <v>475449.29038397194</v>
      </c>
      <c r="K215" s="344" t="str">
        <f t="shared" si="15"/>
        <v>Media Geométrica</v>
      </c>
      <c r="L215" s="326">
        <f>IFERROR(COUNTA('LP Reactivos'!F215,'LP Reactivos'!I215,'LP Reactivos'!N215,'LP Reactivos'!S215,'LP Reactivos'!X215,'LP Reactivos'!AC215,'LP Reactivos'!AH215,'LP Reactivos'!AM215,'LP Reactivos'!AR215,'LP Reactivos'!AW215,'LP Reactivos'!BB215,'LP Reactivos'!BG215,'LP Reactivos'!BL215,'LP Reactivos'!BQ215,'LP Reactivos'!BV215,'LP Reactivos'!CA215,'LP Reactivos'!CF215,'LP Reactivos'!CK215,'LP Reactivos'!CP215,'LP Reactivos'!CU215,'LP Reactivos'!CZ215,'LP Reactivos'!DE215,'LP Reactivos'!DJ215,'LP Reactivos'!DO215,'LP Reactivos'!DT215,'LP Reactivos'!DY215,'LP Reactivos'!EB215)," ")</f>
        <v>4</v>
      </c>
    </row>
    <row r="216" spans="2:12" x14ac:dyDescent="0.25">
      <c r="B216" s="425">
        <v>214</v>
      </c>
      <c r="C216" s="428" t="s">
        <v>1350</v>
      </c>
      <c r="D216" s="429">
        <f>IFERROR(MIN('LP Reactivos'!F216,'LP Reactivos'!I216,'LP Reactivos'!N216,'LP Reactivos'!S216,'LP Reactivos'!X216,'LP Reactivos'!AC216,'LP Reactivos'!AH216,'LP Reactivos'!AM216,'LP Reactivos'!AR216,'LP Reactivos'!AW216,'LP Reactivos'!BB216,'LP Reactivos'!BG216,'LP Reactivos'!BL216,'LP Reactivos'!BQ216,'LP Reactivos'!BV216,'LP Reactivos'!CA216,'LP Reactivos'!CF216,'LP Reactivos'!CK216,'LP Reactivos'!CP216,'LP Reactivos'!CU216,'LP Reactivos'!CZ216,'LP Reactivos'!DE216,'LP Reactivos'!DJ216,'LP Reactivos'!DO216,'LP Reactivos'!DT216,'LP Reactivos'!DY216,'LP Reactivos'!EB216)," ")</f>
        <v>877041.9</v>
      </c>
      <c r="E216" s="429">
        <f>IFERROR(AVERAGE('LP Reactivos'!F216,'LP Reactivos'!I216,'LP Reactivos'!N216,'LP Reactivos'!S216,'LP Reactivos'!X216,'LP Reactivos'!AC216,'LP Reactivos'!AH216,'LP Reactivos'!AM216,'LP Reactivos'!AR216,'LP Reactivos'!AW216,'LP Reactivos'!BB216,'LP Reactivos'!BG216,'LP Reactivos'!BL216,'LP Reactivos'!BQ216,'LP Reactivos'!BV216,'LP Reactivos'!CA216,'LP Reactivos'!CF216,'LP Reactivos'!CK216,'LP Reactivos'!CP216,'LP Reactivos'!CU216,'LP Reactivos'!CZ216,'LP Reactivos'!DE216,'LP Reactivos'!DJ216,'LP Reactivos'!DO216,'LP Reactivos'!DT216,'LP Reactivos'!DY216,'LP Reactivos'!EB216)," ")</f>
        <v>1102829.9666666666</v>
      </c>
      <c r="F216" s="345">
        <f>IFERROR(MEDIAN('LP Reactivos'!F216,'LP Reactivos'!I216,'LP Reactivos'!N216,'LP Reactivos'!S216,'LP Reactivos'!X216,'LP Reactivos'!AC216,'LP Reactivos'!AH216,'LP Reactivos'!AM216,'LP Reactivos'!AR216,'LP Reactivos'!AW216,'LP Reactivos'!BB216,'LP Reactivos'!BG216,'LP Reactivos'!BL216,'LP Reactivos'!BQ216,'LP Reactivos'!BV216,'LP Reactivos'!CA216,'LP Reactivos'!CF216,'LP Reactivos'!CK216,'LP Reactivos'!CP216,'LP Reactivos'!CU216,'LP Reactivos'!CZ216,'LP Reactivos'!DE216,'LP Reactivos'!DJ216,'LP Reactivos'!DO216,'LP Reactivos'!DT216,'LP Reactivos'!DY216,'LP Reactivos'!EB216)," ")</f>
        <v>1115308</v>
      </c>
      <c r="G216" s="345">
        <f>IFERROR(GEOMEAN('LP Reactivos'!F216,'LP Reactivos'!I216,'LP Reactivos'!N216,'LP Reactivos'!S216,'LP Reactivos'!X216,'LP Reactivos'!AC216,'LP Reactivos'!AH216,'LP Reactivos'!AM216,'LP Reactivos'!AR216,'LP Reactivos'!AW216,'LP Reactivos'!BB216,'LP Reactivos'!BG216,'LP Reactivos'!BL216,'LP Reactivos'!BQ216,'LP Reactivos'!BV216,'LP Reactivos'!CA216,'LP Reactivos'!CF216,'LP Reactivos'!CK216,'LP Reactivos'!CP216,'LP Reactivos'!CU216,'LP Reactivos'!CZ216,'LP Reactivos'!DE216,'LP Reactivos'!DJ216,'LP Reactivos'!DO216,'LP Reactivos'!DT216,'LP Reactivos'!DY216,'LP Reactivos'!EB216)," ")</f>
        <v>1087858.516117498</v>
      </c>
      <c r="H216" s="345">
        <f t="shared" si="12"/>
        <v>113036.84904429148</v>
      </c>
      <c r="I216" s="346">
        <f t="shared" si="13"/>
        <v>0.10249707793663643</v>
      </c>
      <c r="J216" s="345">
        <f t="shared" si="14"/>
        <v>1102829.9666666666</v>
      </c>
      <c r="K216" s="344" t="str">
        <f t="shared" si="15"/>
        <v>Promedio</v>
      </c>
      <c r="L216" s="326">
        <f>IFERROR(COUNTA('LP Reactivos'!F216,'LP Reactivos'!I216,'LP Reactivos'!N216,'LP Reactivos'!S216,'LP Reactivos'!X216,'LP Reactivos'!AC216,'LP Reactivos'!AH216,'LP Reactivos'!AM216,'LP Reactivos'!AR216,'LP Reactivos'!AW216,'LP Reactivos'!BB216,'LP Reactivos'!BG216,'LP Reactivos'!BL216,'LP Reactivos'!BQ216,'LP Reactivos'!BV216,'LP Reactivos'!CA216,'LP Reactivos'!CF216,'LP Reactivos'!CK216,'LP Reactivos'!CP216,'LP Reactivos'!CU216,'LP Reactivos'!CZ216,'LP Reactivos'!DE216,'LP Reactivos'!DJ216,'LP Reactivos'!DO216,'LP Reactivos'!DT216,'LP Reactivos'!DY216,'LP Reactivos'!EB216)," ")</f>
        <v>3</v>
      </c>
    </row>
    <row r="217" spans="2:12" x14ac:dyDescent="0.25">
      <c r="B217" s="425">
        <v>215</v>
      </c>
      <c r="C217" s="413" t="s">
        <v>1352</v>
      </c>
      <c r="D217" s="429">
        <f>IFERROR(MIN('LP Reactivos'!F217,'LP Reactivos'!I217,'LP Reactivos'!N217,'LP Reactivos'!S217,'LP Reactivos'!X217,'LP Reactivos'!AC217,'LP Reactivos'!AH217,'LP Reactivos'!AM217,'LP Reactivos'!AR217,'LP Reactivos'!AW217,'LP Reactivos'!BB217,'LP Reactivos'!BG217,'LP Reactivos'!BL217,'LP Reactivos'!BQ217,'LP Reactivos'!BV217,'LP Reactivos'!CA217,'LP Reactivos'!CF217,'LP Reactivos'!CK217,'LP Reactivos'!CP217,'LP Reactivos'!CU217,'LP Reactivos'!CZ217,'LP Reactivos'!DE217,'LP Reactivos'!DJ217,'LP Reactivos'!DO217,'LP Reactivos'!DT217,'LP Reactivos'!DY217,'LP Reactivos'!EB217)," ")</f>
        <v>329930.47500000003</v>
      </c>
      <c r="E217" s="429">
        <f>IFERROR(AVERAGE('LP Reactivos'!F217,'LP Reactivos'!I217,'LP Reactivos'!N217,'LP Reactivos'!S217,'LP Reactivos'!X217,'LP Reactivos'!AC217,'LP Reactivos'!AH217,'LP Reactivos'!AM217,'LP Reactivos'!AR217,'LP Reactivos'!AW217,'LP Reactivos'!BB217,'LP Reactivos'!BG217,'LP Reactivos'!BL217,'LP Reactivos'!BQ217,'LP Reactivos'!BV217,'LP Reactivos'!CA217,'LP Reactivos'!CF217,'LP Reactivos'!CK217,'LP Reactivos'!CP217,'LP Reactivos'!CU217,'LP Reactivos'!CZ217,'LP Reactivos'!DE217,'LP Reactivos'!DJ217,'LP Reactivos'!DO217,'LP Reactivos'!DT217,'LP Reactivos'!DY217,'LP Reactivos'!EB217)," ")</f>
        <v>609716.49375000002</v>
      </c>
      <c r="F217" s="345">
        <f>IFERROR(MEDIAN('LP Reactivos'!F217,'LP Reactivos'!I217,'LP Reactivos'!N217,'LP Reactivos'!S217,'LP Reactivos'!X217,'LP Reactivos'!AC217,'LP Reactivos'!AH217,'LP Reactivos'!AM217,'LP Reactivos'!AR217,'LP Reactivos'!AW217,'LP Reactivos'!BB217,'LP Reactivos'!BG217,'LP Reactivos'!BL217,'LP Reactivos'!BQ217,'LP Reactivos'!BV217,'LP Reactivos'!CA217,'LP Reactivos'!CF217,'LP Reactivos'!CK217,'LP Reactivos'!CP217,'LP Reactivos'!CU217,'LP Reactivos'!CZ217,'LP Reactivos'!DE217,'LP Reactivos'!DJ217,'LP Reactivos'!DO217,'LP Reactivos'!DT217,'LP Reactivos'!DY217,'LP Reactivos'!EB217)," ")</f>
        <v>455302.75</v>
      </c>
      <c r="G217" s="345">
        <f>IFERROR(GEOMEAN('LP Reactivos'!F217,'LP Reactivos'!I217,'LP Reactivos'!N217,'LP Reactivos'!S217,'LP Reactivos'!X217,'LP Reactivos'!AC217,'LP Reactivos'!AH217,'LP Reactivos'!AM217,'LP Reactivos'!AR217,'LP Reactivos'!AW217,'LP Reactivos'!BB217,'LP Reactivos'!BG217,'LP Reactivos'!BL217,'LP Reactivos'!BQ217,'LP Reactivos'!BV217,'LP Reactivos'!CA217,'LP Reactivos'!CF217,'LP Reactivos'!CK217,'LP Reactivos'!CP217,'LP Reactivos'!CU217,'LP Reactivos'!CZ217,'LP Reactivos'!DE217,'LP Reactivos'!DJ217,'LP Reactivos'!DO217,'LP Reactivos'!DT217,'LP Reactivos'!DY217,'LP Reactivos'!EB217)," ")</f>
        <v>528143.2899345248</v>
      </c>
      <c r="H217" s="345">
        <f t="shared" si="12"/>
        <v>118704.91415287054</v>
      </c>
      <c r="I217" s="346">
        <f t="shared" si="13"/>
        <v>0.19468870429072352</v>
      </c>
      <c r="J217" s="345">
        <f t="shared" si="14"/>
        <v>609716.49375000002</v>
      </c>
      <c r="K217" s="344" t="str">
        <f t="shared" si="15"/>
        <v>Promedio</v>
      </c>
      <c r="L217" s="326">
        <f>IFERROR(COUNTA('LP Reactivos'!F217,'LP Reactivos'!I217,'LP Reactivos'!N217,'LP Reactivos'!S217,'LP Reactivos'!X217,'LP Reactivos'!AC217,'LP Reactivos'!AH217,'LP Reactivos'!AM217,'LP Reactivos'!AR217,'LP Reactivos'!AW217,'LP Reactivos'!BB217,'LP Reactivos'!BG217,'LP Reactivos'!BL217,'LP Reactivos'!BQ217,'LP Reactivos'!BV217,'LP Reactivos'!CA217,'LP Reactivos'!CF217,'LP Reactivos'!CK217,'LP Reactivos'!CP217,'LP Reactivos'!CU217,'LP Reactivos'!CZ217,'LP Reactivos'!DE217,'LP Reactivos'!DJ217,'LP Reactivos'!DO217,'LP Reactivos'!DT217,'LP Reactivos'!DY217,'LP Reactivos'!EB217)," ")</f>
        <v>4</v>
      </c>
    </row>
    <row r="218" spans="2:12" ht="40.5" x14ac:dyDescent="0.25">
      <c r="B218" s="425">
        <v>216</v>
      </c>
      <c r="C218" s="427" t="s">
        <v>1355</v>
      </c>
      <c r="D218" s="429">
        <f>IFERROR(MIN('LP Reactivos'!F218,'LP Reactivos'!I218,'LP Reactivos'!N218,'LP Reactivos'!S218,'LP Reactivos'!X218,'LP Reactivos'!AC218,'LP Reactivos'!AH218,'LP Reactivos'!AM218,'LP Reactivos'!AR218,'LP Reactivos'!AW218,'LP Reactivos'!BB218,'LP Reactivos'!BG218,'LP Reactivos'!BL218,'LP Reactivos'!BQ218,'LP Reactivos'!BV218,'LP Reactivos'!CA218,'LP Reactivos'!CF218,'LP Reactivos'!CK218,'LP Reactivos'!CP218,'LP Reactivos'!CU218,'LP Reactivos'!CZ218,'LP Reactivos'!DE218,'LP Reactivos'!DJ218,'LP Reactivos'!DO218,'LP Reactivos'!DT218,'LP Reactivos'!DY218,'LP Reactivos'!EB218)," ")</f>
        <v>1771910</v>
      </c>
      <c r="E218" s="429">
        <f>IFERROR(AVERAGE('LP Reactivos'!F218,'LP Reactivos'!I218,'LP Reactivos'!N218,'LP Reactivos'!S218,'LP Reactivos'!X218,'LP Reactivos'!AC218,'LP Reactivos'!AH218,'LP Reactivos'!AM218,'LP Reactivos'!AR218,'LP Reactivos'!AW218,'LP Reactivos'!BB218,'LP Reactivos'!BG218,'LP Reactivos'!BL218,'LP Reactivos'!BQ218,'LP Reactivos'!BV218,'LP Reactivos'!CA218,'LP Reactivos'!CF218,'LP Reactivos'!CK218,'LP Reactivos'!CP218,'LP Reactivos'!CU218,'LP Reactivos'!CZ218,'LP Reactivos'!DE218,'LP Reactivos'!DJ218,'LP Reactivos'!DO218,'LP Reactivos'!DT218,'LP Reactivos'!DY218,'LP Reactivos'!EB218)," ")</f>
        <v>2170828.5</v>
      </c>
      <c r="F218" s="345">
        <f>IFERROR(MEDIAN('LP Reactivos'!F218,'LP Reactivos'!I218,'LP Reactivos'!N218,'LP Reactivos'!S218,'LP Reactivos'!X218,'LP Reactivos'!AC218,'LP Reactivos'!AH218,'LP Reactivos'!AM218,'LP Reactivos'!AR218,'LP Reactivos'!AW218,'LP Reactivos'!BB218,'LP Reactivos'!BG218,'LP Reactivos'!BL218,'LP Reactivos'!BQ218,'LP Reactivos'!BV218,'LP Reactivos'!CA218,'LP Reactivos'!CF218,'LP Reactivos'!CK218,'LP Reactivos'!CP218,'LP Reactivos'!CU218,'LP Reactivos'!CZ218,'LP Reactivos'!DE218,'LP Reactivos'!DJ218,'LP Reactivos'!DO218,'LP Reactivos'!DT218,'LP Reactivos'!DY218,'LP Reactivos'!EB218)," ")</f>
        <v>2170828.5</v>
      </c>
      <c r="G218" s="345">
        <f>IFERROR(GEOMEAN('LP Reactivos'!F218,'LP Reactivos'!I218,'LP Reactivos'!N218,'LP Reactivos'!S218,'LP Reactivos'!X218,'LP Reactivos'!AC218,'LP Reactivos'!AH218,'LP Reactivos'!AM218,'LP Reactivos'!AR218,'LP Reactivos'!AW218,'LP Reactivos'!BB218,'LP Reactivos'!BG218,'LP Reactivos'!BL218,'LP Reactivos'!BQ218,'LP Reactivos'!BV218,'LP Reactivos'!CA218,'LP Reactivos'!CF218,'LP Reactivos'!CK218,'LP Reactivos'!CP218,'LP Reactivos'!CU218,'LP Reactivos'!CZ218,'LP Reactivos'!DE218,'LP Reactivos'!DJ218,'LP Reactivos'!DO218,'LP Reactivos'!DT218,'LP Reactivos'!DY218,'LP Reactivos'!EB218)," ")</f>
        <v>2133860.4468825976</v>
      </c>
      <c r="H218" s="345">
        <f t="shared" si="12"/>
        <v>194081.88546452808</v>
      </c>
      <c r="I218" s="346">
        <f t="shared" si="13"/>
        <v>8.940452249660813E-2</v>
      </c>
      <c r="J218" s="345">
        <f t="shared" si="14"/>
        <v>2170828.5</v>
      </c>
      <c r="K218" s="344" t="str">
        <f t="shared" si="15"/>
        <v>Promedio</v>
      </c>
      <c r="L218" s="326">
        <f>IFERROR(COUNTA('LP Reactivos'!F218,'LP Reactivos'!I218,'LP Reactivos'!N218,'LP Reactivos'!S218,'LP Reactivos'!X218,'LP Reactivos'!AC218,'LP Reactivos'!AH218,'LP Reactivos'!AM218,'LP Reactivos'!AR218,'LP Reactivos'!AW218,'LP Reactivos'!BB218,'LP Reactivos'!BG218,'LP Reactivos'!BL218,'LP Reactivos'!BQ218,'LP Reactivos'!BV218,'LP Reactivos'!CA218,'LP Reactivos'!CF218,'LP Reactivos'!CK218,'LP Reactivos'!CP218,'LP Reactivos'!CU218,'LP Reactivos'!CZ218,'LP Reactivos'!DE218,'LP Reactivos'!DJ218,'LP Reactivos'!DO218,'LP Reactivos'!DT218,'LP Reactivos'!DY218,'LP Reactivos'!EB218)," ")</f>
        <v>2</v>
      </c>
    </row>
    <row r="219" spans="2:12" ht="27" x14ac:dyDescent="0.25">
      <c r="B219" s="425">
        <v>217</v>
      </c>
      <c r="C219" s="426" t="s">
        <v>1358</v>
      </c>
      <c r="D219" s="429">
        <f>IFERROR(MIN('LP Reactivos'!F219,'LP Reactivos'!I219,'LP Reactivos'!N219,'LP Reactivos'!S219,'LP Reactivos'!X219,'LP Reactivos'!AC219,'LP Reactivos'!AH219,'LP Reactivos'!AM219,'LP Reactivos'!AR219,'LP Reactivos'!AW219,'LP Reactivos'!BB219,'LP Reactivos'!BG219,'LP Reactivos'!BL219,'LP Reactivos'!BQ219,'LP Reactivos'!BV219,'LP Reactivos'!CA219,'LP Reactivos'!CF219,'LP Reactivos'!CK219,'LP Reactivos'!CP219,'LP Reactivos'!CU219,'LP Reactivos'!CZ219,'LP Reactivos'!DE219,'LP Reactivos'!DJ219,'LP Reactivos'!DO219,'LP Reactivos'!DT219,'LP Reactivos'!DY219,'LP Reactivos'!EB219)," ")</f>
        <v>385560</v>
      </c>
      <c r="E219" s="429">
        <f>IFERROR(AVERAGE('LP Reactivos'!F219,'LP Reactivos'!I219,'LP Reactivos'!N219,'LP Reactivos'!S219,'LP Reactivos'!X219,'LP Reactivos'!AC219,'LP Reactivos'!AH219,'LP Reactivos'!AM219,'LP Reactivos'!AR219,'LP Reactivos'!AW219,'LP Reactivos'!BB219,'LP Reactivos'!BG219,'LP Reactivos'!BL219,'LP Reactivos'!BQ219,'LP Reactivos'!BV219,'LP Reactivos'!CA219,'LP Reactivos'!CF219,'LP Reactivos'!CK219,'LP Reactivos'!CP219,'LP Reactivos'!CU219,'LP Reactivos'!CZ219,'LP Reactivos'!DE219,'LP Reactivos'!DJ219,'LP Reactivos'!DO219,'LP Reactivos'!DT219,'LP Reactivos'!DY219,'LP Reactivos'!EB219)," ")</f>
        <v>1630269.3884399999</v>
      </c>
      <c r="F219" s="345">
        <f>IFERROR(MEDIAN('LP Reactivos'!F219,'LP Reactivos'!I219,'LP Reactivos'!N219,'LP Reactivos'!S219,'LP Reactivos'!X219,'LP Reactivos'!AC219,'LP Reactivos'!AH219,'LP Reactivos'!AM219,'LP Reactivos'!AR219,'LP Reactivos'!AW219,'LP Reactivos'!BB219,'LP Reactivos'!BG219,'LP Reactivos'!BL219,'LP Reactivos'!BQ219,'LP Reactivos'!BV219,'LP Reactivos'!CA219,'LP Reactivos'!CF219,'LP Reactivos'!CK219,'LP Reactivos'!CP219,'LP Reactivos'!CU219,'LP Reactivos'!CZ219,'LP Reactivos'!DE219,'LP Reactivos'!DJ219,'LP Reactivos'!DO219,'LP Reactivos'!DT219,'LP Reactivos'!DY219,'LP Reactivos'!EB219)," ")</f>
        <v>808093.3</v>
      </c>
      <c r="G219" s="345">
        <f>IFERROR(GEOMEAN('LP Reactivos'!F219,'LP Reactivos'!I219,'LP Reactivos'!N219,'LP Reactivos'!S219,'LP Reactivos'!X219,'LP Reactivos'!AC219,'LP Reactivos'!AH219,'LP Reactivos'!AM219,'LP Reactivos'!AR219,'LP Reactivos'!AW219,'LP Reactivos'!BB219,'LP Reactivos'!BG219,'LP Reactivos'!BL219,'LP Reactivos'!BQ219,'LP Reactivos'!BV219,'LP Reactivos'!CA219,'LP Reactivos'!CF219,'LP Reactivos'!CK219,'LP Reactivos'!CP219,'LP Reactivos'!CU219,'LP Reactivos'!CZ219,'LP Reactivos'!DE219,'LP Reactivos'!DJ219,'LP Reactivos'!DO219,'LP Reactivos'!DT219,'LP Reactivos'!DY219,'LP Reactivos'!EB219)," ")</f>
        <v>1141335.1674460673</v>
      </c>
      <c r="H219" s="345">
        <f t="shared" si="12"/>
        <v>526395.9449318297</v>
      </c>
      <c r="I219" s="346">
        <f t="shared" si="13"/>
        <v>0.322888933978903</v>
      </c>
      <c r="J219" s="345">
        <f>IF(I219&lt;=10%,F219,IF(AND(I219&gt;10%,I219&lt;=20%),E219,IF(AND(I219&gt;20%,I219&lt;=33%),G219,IF(I219&gt;33%,D219))))</f>
        <v>1141335.1674460673</v>
      </c>
      <c r="K219" s="344" t="str">
        <f t="shared" si="15"/>
        <v>Media Geométrica</v>
      </c>
      <c r="L219" s="326">
        <f>IFERROR(COUNTA('LP Reactivos'!F219,'LP Reactivos'!I219,'LP Reactivos'!N219,'LP Reactivos'!S219,'LP Reactivos'!X219,'LP Reactivos'!AC219,'LP Reactivos'!AH219,'LP Reactivos'!AM219,'LP Reactivos'!AR219,'LP Reactivos'!AW219,'LP Reactivos'!BB219,'LP Reactivos'!BG219,'LP Reactivos'!BL219,'LP Reactivos'!BQ219,'LP Reactivos'!BV219,'LP Reactivos'!CA219,'LP Reactivos'!CF219,'LP Reactivos'!CK219,'LP Reactivos'!CP219,'LP Reactivos'!CU219,'LP Reactivos'!CZ219,'LP Reactivos'!DE219,'LP Reactivos'!DJ219,'LP Reactivos'!DO219,'LP Reactivos'!DT219,'LP Reactivos'!DY219,'LP Reactivos'!EB219)," ")</f>
        <v>5</v>
      </c>
    </row>
    <row r="220" spans="2:12" ht="27" x14ac:dyDescent="0.25">
      <c r="B220" s="425">
        <v>218</v>
      </c>
      <c r="C220" s="426" t="s">
        <v>1362</v>
      </c>
      <c r="D220" s="429">
        <f>IFERROR(MIN('LP Reactivos'!F220,'LP Reactivos'!I220,'LP Reactivos'!N220,'LP Reactivos'!S220,'LP Reactivos'!X220,'LP Reactivos'!AC220,'LP Reactivos'!AH220,'LP Reactivos'!AM220,'LP Reactivos'!AR220,'LP Reactivos'!AW220,'LP Reactivos'!BB220,'LP Reactivos'!BG220,'LP Reactivos'!BL220,'LP Reactivos'!BQ220,'LP Reactivos'!BV220,'LP Reactivos'!CA220,'LP Reactivos'!CF220,'LP Reactivos'!CK220,'LP Reactivos'!CP220,'LP Reactivos'!CU220,'LP Reactivos'!CZ220,'LP Reactivos'!DE220,'LP Reactivos'!DJ220,'LP Reactivos'!DO220,'LP Reactivos'!DT220,'LP Reactivos'!DY220,'LP Reactivos'!EB220)," ")</f>
        <v>312601.09999999998</v>
      </c>
      <c r="E220" s="429">
        <f>IFERROR(AVERAGE('LP Reactivos'!F220,'LP Reactivos'!I220,'LP Reactivos'!N220,'LP Reactivos'!S220,'LP Reactivos'!X220,'LP Reactivos'!AC220,'LP Reactivos'!AH220,'LP Reactivos'!AM220,'LP Reactivos'!AR220,'LP Reactivos'!AW220,'LP Reactivos'!BB220,'LP Reactivos'!BG220,'LP Reactivos'!BL220,'LP Reactivos'!BQ220,'LP Reactivos'!BV220,'LP Reactivos'!CA220,'LP Reactivos'!CF220,'LP Reactivos'!CK220,'LP Reactivos'!CP220,'LP Reactivos'!CU220,'LP Reactivos'!CZ220,'LP Reactivos'!DE220,'LP Reactivos'!DJ220,'LP Reactivos'!DO220,'LP Reactivos'!DT220,'LP Reactivos'!DY220,'LP Reactivos'!EB220)," ")</f>
        <v>978779.64162500005</v>
      </c>
      <c r="F220" s="345">
        <f>IFERROR(MEDIAN('LP Reactivos'!F220,'LP Reactivos'!I220,'LP Reactivos'!N220,'LP Reactivos'!S220,'LP Reactivos'!X220,'LP Reactivos'!AC220,'LP Reactivos'!AH220,'LP Reactivos'!AM220,'LP Reactivos'!AR220,'LP Reactivos'!AW220,'LP Reactivos'!BB220,'LP Reactivos'!BG220,'LP Reactivos'!BL220,'LP Reactivos'!BQ220,'LP Reactivos'!BV220,'LP Reactivos'!CA220,'LP Reactivos'!CF220,'LP Reactivos'!CK220,'LP Reactivos'!CP220,'LP Reactivos'!CU220,'LP Reactivos'!CZ220,'LP Reactivos'!DE220,'LP Reactivos'!DJ220,'LP Reactivos'!DO220,'LP Reactivos'!DT220,'LP Reactivos'!DY220,'LP Reactivos'!EB220)," ")</f>
        <v>1045151.0414</v>
      </c>
      <c r="G220" s="345">
        <f>IFERROR(GEOMEAN('LP Reactivos'!F220,'LP Reactivos'!I220,'LP Reactivos'!N220,'LP Reactivos'!S220,'LP Reactivos'!X220,'LP Reactivos'!AC220,'LP Reactivos'!AH220,'LP Reactivos'!AM220,'LP Reactivos'!AR220,'LP Reactivos'!AW220,'LP Reactivos'!BB220,'LP Reactivos'!BG220,'LP Reactivos'!BL220,'LP Reactivos'!BQ220,'LP Reactivos'!BV220,'LP Reactivos'!CA220,'LP Reactivos'!CF220,'LP Reactivos'!CK220,'LP Reactivos'!CP220,'LP Reactivos'!CU220,'LP Reactivos'!CZ220,'LP Reactivos'!DE220,'LP Reactivos'!DJ220,'LP Reactivos'!DO220,'LP Reactivos'!DT220,'LP Reactivos'!DY220,'LP Reactivos'!EB220)," ")</f>
        <v>831821.0559981371</v>
      </c>
      <c r="H220" s="345">
        <f t="shared" si="12"/>
        <v>331853.92116895859</v>
      </c>
      <c r="I220" s="346">
        <f t="shared" si="13"/>
        <v>0.33904865513753896</v>
      </c>
      <c r="J220" s="345">
        <f>IF(I220&lt;=10%,F220,IF(AND(I220&gt;10%,I220&lt;=20%),E220,IF(AND(I220&gt;20%,I220&lt;=34%),G220,IF(I220&gt;34%,D220))))</f>
        <v>831821.0559981371</v>
      </c>
      <c r="K220" s="344" t="str">
        <f t="shared" si="15"/>
        <v>Media Geométrica</v>
      </c>
      <c r="L220" s="326">
        <f>IFERROR(COUNTA('LP Reactivos'!F220,'LP Reactivos'!I220,'LP Reactivos'!N220,'LP Reactivos'!S220,'LP Reactivos'!X220,'LP Reactivos'!AC220,'LP Reactivos'!AH220,'LP Reactivos'!AM220,'LP Reactivos'!AR220,'LP Reactivos'!AW220,'LP Reactivos'!BB220,'LP Reactivos'!BG220,'LP Reactivos'!BL220,'LP Reactivos'!BQ220,'LP Reactivos'!BV220,'LP Reactivos'!CA220,'LP Reactivos'!CF220,'LP Reactivos'!CK220,'LP Reactivos'!CP220,'LP Reactivos'!CU220,'LP Reactivos'!CZ220,'LP Reactivos'!DE220,'LP Reactivos'!DJ220,'LP Reactivos'!DO220,'LP Reactivos'!DT220,'LP Reactivos'!DY220,'LP Reactivos'!EB220)," ")</f>
        <v>4</v>
      </c>
    </row>
    <row r="221" spans="2:12" x14ac:dyDescent="0.25">
      <c r="B221" s="425">
        <v>219</v>
      </c>
      <c r="C221" s="427" t="s">
        <v>1366</v>
      </c>
      <c r="D221" s="429">
        <f>IFERROR(MIN('LP Reactivos'!F221,'LP Reactivos'!I221,'LP Reactivos'!N221,'LP Reactivos'!S221,'LP Reactivos'!X221,'LP Reactivos'!AC221,'LP Reactivos'!AH221,'LP Reactivos'!AM221,'LP Reactivos'!AR221,'LP Reactivos'!AW221,'LP Reactivos'!BB221,'LP Reactivos'!BG221,'LP Reactivos'!BL221,'LP Reactivos'!BQ221,'LP Reactivos'!BV221,'LP Reactivos'!CA221,'LP Reactivos'!CF221,'LP Reactivos'!CK221,'LP Reactivos'!CP221,'LP Reactivos'!CU221,'LP Reactivos'!CZ221,'LP Reactivos'!DE221,'LP Reactivos'!DJ221,'LP Reactivos'!DO221,'LP Reactivos'!DT221,'LP Reactivos'!DY221,'LP Reactivos'!EB221)," ")</f>
        <v>293632.5</v>
      </c>
      <c r="E221" s="429">
        <f>IFERROR(AVERAGE('LP Reactivos'!F221,'LP Reactivos'!I221,'LP Reactivos'!N221,'LP Reactivos'!S221,'LP Reactivos'!X221,'LP Reactivos'!AC221,'LP Reactivos'!AH221,'LP Reactivos'!AM221,'LP Reactivos'!AR221,'LP Reactivos'!AW221,'LP Reactivos'!BB221,'LP Reactivos'!BG221,'LP Reactivos'!BL221,'LP Reactivos'!BQ221,'LP Reactivos'!BV221,'LP Reactivos'!CA221,'LP Reactivos'!CF221,'LP Reactivos'!CK221,'LP Reactivos'!CP221,'LP Reactivos'!CU221,'LP Reactivos'!CZ221,'LP Reactivos'!DE221,'LP Reactivos'!DJ221,'LP Reactivos'!DO221,'LP Reactivos'!DT221,'LP Reactivos'!DY221,'LP Reactivos'!EB221)," ")</f>
        <v>435605.7</v>
      </c>
      <c r="F221" s="345">
        <f>IFERROR(MEDIAN('LP Reactivos'!F221,'LP Reactivos'!I221,'LP Reactivos'!N221,'LP Reactivos'!S221,'LP Reactivos'!X221,'LP Reactivos'!AC221,'LP Reactivos'!AH221,'LP Reactivos'!AM221,'LP Reactivos'!AR221,'LP Reactivos'!AW221,'LP Reactivos'!BB221,'LP Reactivos'!BG221,'LP Reactivos'!BL221,'LP Reactivos'!BQ221,'LP Reactivos'!BV221,'LP Reactivos'!CA221,'LP Reactivos'!CF221,'LP Reactivos'!CK221,'LP Reactivos'!CP221,'LP Reactivos'!CU221,'LP Reactivos'!CZ221,'LP Reactivos'!DE221,'LP Reactivos'!DJ221,'LP Reactivos'!DO221,'LP Reactivos'!DT221,'LP Reactivos'!DY221,'LP Reactivos'!EB221)," ")</f>
        <v>342720</v>
      </c>
      <c r="G221" s="345">
        <f>IFERROR(GEOMEAN('LP Reactivos'!F221,'LP Reactivos'!I221,'LP Reactivos'!N221,'LP Reactivos'!S221,'LP Reactivos'!X221,'LP Reactivos'!AC221,'LP Reactivos'!AH221,'LP Reactivos'!AM221,'LP Reactivos'!AR221,'LP Reactivos'!AW221,'LP Reactivos'!BB221,'LP Reactivos'!BG221,'LP Reactivos'!BL221,'LP Reactivos'!BQ221,'LP Reactivos'!BV221,'LP Reactivos'!CA221,'LP Reactivos'!CF221,'LP Reactivos'!CK221,'LP Reactivos'!CP221,'LP Reactivos'!CU221,'LP Reactivos'!CZ221,'LP Reactivos'!DE221,'LP Reactivos'!DJ221,'LP Reactivos'!DO221,'LP Reactivos'!DT221,'LP Reactivos'!DY221,'LP Reactivos'!EB221)," ")</f>
        <v>409035.61459856038</v>
      </c>
      <c r="H221" s="345">
        <f t="shared" si="12"/>
        <v>64300.942499477293</v>
      </c>
      <c r="I221" s="346">
        <f t="shared" si="13"/>
        <v>0.14761272063124356</v>
      </c>
      <c r="J221" s="345">
        <f t="shared" si="14"/>
        <v>435605.7</v>
      </c>
      <c r="K221" s="344" t="str">
        <f t="shared" si="15"/>
        <v>Promedio</v>
      </c>
      <c r="L221" s="326">
        <f>IFERROR(COUNTA('LP Reactivos'!F221,'LP Reactivos'!I221,'LP Reactivos'!N221,'LP Reactivos'!S221,'LP Reactivos'!X221,'LP Reactivos'!AC221,'LP Reactivos'!AH221,'LP Reactivos'!AM221,'LP Reactivos'!AR221,'LP Reactivos'!AW221,'LP Reactivos'!BB221,'LP Reactivos'!BG221,'LP Reactivos'!BL221,'LP Reactivos'!BQ221,'LP Reactivos'!BV221,'LP Reactivos'!CA221,'LP Reactivos'!CF221,'LP Reactivos'!CK221,'LP Reactivos'!CP221,'LP Reactivos'!CU221,'LP Reactivos'!CZ221,'LP Reactivos'!DE221,'LP Reactivos'!DJ221,'LP Reactivos'!DO221,'LP Reactivos'!DT221,'LP Reactivos'!DY221,'LP Reactivos'!EB221)," ")</f>
        <v>5</v>
      </c>
    </row>
    <row r="222" spans="2:12" x14ac:dyDescent="0.25">
      <c r="B222" s="425">
        <v>220</v>
      </c>
      <c r="C222" s="413" t="s">
        <v>1370</v>
      </c>
      <c r="D222" s="429">
        <f>IFERROR(MIN('LP Reactivos'!F222,'LP Reactivos'!I222,'LP Reactivos'!N222,'LP Reactivos'!S222,'LP Reactivos'!X222,'LP Reactivos'!AC222,'LP Reactivos'!AH222,'LP Reactivos'!AM222,'LP Reactivos'!AR222,'LP Reactivos'!AW222,'LP Reactivos'!BB222,'LP Reactivos'!BG222,'LP Reactivos'!BL222,'LP Reactivos'!BQ222,'LP Reactivos'!BV222,'LP Reactivos'!CA222,'LP Reactivos'!CF222,'LP Reactivos'!CK222,'LP Reactivos'!CP222,'LP Reactivos'!CU222,'LP Reactivos'!CZ222,'LP Reactivos'!DE222,'LP Reactivos'!DJ222,'LP Reactivos'!DO222,'LP Reactivos'!DT222,'LP Reactivos'!DY222,'LP Reactivos'!EB222)," ")</f>
        <v>188531.7</v>
      </c>
      <c r="E222" s="429">
        <f>IFERROR(AVERAGE('LP Reactivos'!F222,'LP Reactivos'!I222,'LP Reactivos'!N222,'LP Reactivos'!S222,'LP Reactivos'!X222,'LP Reactivos'!AC222,'LP Reactivos'!AH222,'LP Reactivos'!AM222,'LP Reactivos'!AR222,'LP Reactivos'!AW222,'LP Reactivos'!BB222,'LP Reactivos'!BG222,'LP Reactivos'!BL222,'LP Reactivos'!BQ222,'LP Reactivos'!BV222,'LP Reactivos'!CA222,'LP Reactivos'!CF222,'LP Reactivos'!CK222,'LP Reactivos'!CP222,'LP Reactivos'!CU222,'LP Reactivos'!CZ222,'LP Reactivos'!DE222,'LP Reactivos'!DJ222,'LP Reactivos'!DO222,'LP Reactivos'!DT222,'LP Reactivos'!DY222,'LP Reactivos'!EB222)," ")</f>
        <v>265123.98917748919</v>
      </c>
      <c r="F222" s="345">
        <f>IFERROR(MEDIAN('LP Reactivos'!F222,'LP Reactivos'!I222,'LP Reactivos'!N222,'LP Reactivos'!S222,'LP Reactivos'!X222,'LP Reactivos'!AC222,'LP Reactivos'!AH222,'LP Reactivos'!AM222,'LP Reactivos'!AR222,'LP Reactivos'!AW222,'LP Reactivos'!BB222,'LP Reactivos'!BG222,'LP Reactivos'!BL222,'LP Reactivos'!BQ222,'LP Reactivos'!BV222,'LP Reactivos'!CA222,'LP Reactivos'!CF222,'LP Reactivos'!CK222,'LP Reactivos'!CP222,'LP Reactivos'!CU222,'LP Reactivos'!CZ222,'LP Reactivos'!DE222,'LP Reactivos'!DJ222,'LP Reactivos'!DO222,'LP Reactivos'!DT222,'LP Reactivos'!DY222,'LP Reactivos'!EB222)," ")</f>
        <v>266152.46753246756</v>
      </c>
      <c r="G222" s="345">
        <f>IFERROR(GEOMEAN('LP Reactivos'!F222,'LP Reactivos'!I222,'LP Reactivos'!N222,'LP Reactivos'!S222,'LP Reactivos'!X222,'LP Reactivos'!AC222,'LP Reactivos'!AH222,'LP Reactivos'!AM222,'LP Reactivos'!AR222,'LP Reactivos'!AW222,'LP Reactivos'!BB222,'LP Reactivos'!BG222,'LP Reactivos'!BL222,'LP Reactivos'!BQ222,'LP Reactivos'!BV222,'LP Reactivos'!CA222,'LP Reactivos'!CF222,'LP Reactivos'!CK222,'LP Reactivos'!CP222,'LP Reactivos'!CU222,'LP Reactivos'!CZ222,'LP Reactivos'!DE222,'LP Reactivos'!DJ222,'LP Reactivos'!DO222,'LP Reactivos'!DT222,'LP Reactivos'!DY222,'LP Reactivos'!EB222)," ")</f>
        <v>257220.11272585925</v>
      </c>
      <c r="H222" s="345">
        <f t="shared" si="12"/>
        <v>37363.949146264735</v>
      </c>
      <c r="I222" s="346">
        <f t="shared" si="13"/>
        <v>0.14093009562122713</v>
      </c>
      <c r="J222" s="345">
        <f t="shared" si="14"/>
        <v>265123.98917748919</v>
      </c>
      <c r="K222" s="344" t="str">
        <f t="shared" si="15"/>
        <v>Promedio</v>
      </c>
      <c r="L222" s="326">
        <f>IFERROR(COUNTA('LP Reactivos'!F222,'LP Reactivos'!I222,'LP Reactivos'!N222,'LP Reactivos'!S222,'LP Reactivos'!X222,'LP Reactivos'!AC222,'LP Reactivos'!AH222,'LP Reactivos'!AM222,'LP Reactivos'!AR222,'LP Reactivos'!AW222,'LP Reactivos'!BB222,'LP Reactivos'!BG222,'LP Reactivos'!BL222,'LP Reactivos'!BQ222,'LP Reactivos'!BV222,'LP Reactivos'!CA222,'LP Reactivos'!CF222,'LP Reactivos'!CK222,'LP Reactivos'!CP222,'LP Reactivos'!CU222,'LP Reactivos'!CZ222,'LP Reactivos'!DE222,'LP Reactivos'!DJ222,'LP Reactivos'!DO222,'LP Reactivos'!DT222,'LP Reactivos'!DY222,'LP Reactivos'!EB222)," ")</f>
        <v>6</v>
      </c>
    </row>
    <row r="223" spans="2:12" ht="27" x14ac:dyDescent="0.25">
      <c r="B223" s="425">
        <v>221</v>
      </c>
      <c r="C223" s="427" t="s">
        <v>1376</v>
      </c>
      <c r="D223" s="429">
        <f>IFERROR(MIN('LP Reactivos'!F223,'LP Reactivos'!I223,'LP Reactivos'!N223,'LP Reactivos'!S223,'LP Reactivos'!X223,'LP Reactivos'!AC223,'LP Reactivos'!AH223,'LP Reactivos'!AM223,'LP Reactivos'!AR223,'LP Reactivos'!AW223,'LP Reactivos'!BB223,'LP Reactivos'!BG223,'LP Reactivos'!BL223,'LP Reactivos'!BQ223,'LP Reactivos'!BV223,'LP Reactivos'!CA223,'LP Reactivos'!CF223,'LP Reactivos'!CK223,'LP Reactivos'!CP223,'LP Reactivos'!CU223,'LP Reactivos'!CZ223,'LP Reactivos'!DE223,'LP Reactivos'!DJ223,'LP Reactivos'!DO223,'LP Reactivos'!DT223,'LP Reactivos'!DY223,'LP Reactivos'!EB223)," ")</f>
        <v>888930</v>
      </c>
      <c r="E223" s="429">
        <f>IFERROR(AVERAGE('LP Reactivos'!F223,'LP Reactivos'!I223,'LP Reactivos'!N223,'LP Reactivos'!S223,'LP Reactivos'!X223,'LP Reactivos'!AC223,'LP Reactivos'!AH223,'LP Reactivos'!AM223,'LP Reactivos'!AR223,'LP Reactivos'!AW223,'LP Reactivos'!BB223,'LP Reactivos'!BG223,'LP Reactivos'!BL223,'LP Reactivos'!BQ223,'LP Reactivos'!BV223,'LP Reactivos'!CA223,'LP Reactivos'!CF223,'LP Reactivos'!CK223,'LP Reactivos'!CP223,'LP Reactivos'!CU223,'LP Reactivos'!CZ223,'LP Reactivos'!DE223,'LP Reactivos'!DJ223,'LP Reactivos'!DO223,'LP Reactivos'!DT223,'LP Reactivos'!DY223,'LP Reactivos'!EB223)," ")</f>
        <v>1149493.6666666667</v>
      </c>
      <c r="F223" s="345">
        <f>IFERROR(MEDIAN('LP Reactivos'!F223,'LP Reactivos'!I223,'LP Reactivos'!N223,'LP Reactivos'!S223,'LP Reactivos'!X223,'LP Reactivos'!AC223,'LP Reactivos'!AH223,'LP Reactivos'!AM223,'LP Reactivos'!AR223,'LP Reactivos'!AW223,'LP Reactivos'!BB223,'LP Reactivos'!BG223,'LP Reactivos'!BL223,'LP Reactivos'!BQ223,'LP Reactivos'!BV223,'LP Reactivos'!CA223,'LP Reactivos'!CF223,'LP Reactivos'!CK223,'LP Reactivos'!CP223,'LP Reactivos'!CU223,'LP Reactivos'!CZ223,'LP Reactivos'!DE223,'LP Reactivos'!DJ223,'LP Reactivos'!DO223,'LP Reactivos'!DT223,'LP Reactivos'!DY223,'LP Reactivos'!EB223)," ")</f>
        <v>936391</v>
      </c>
      <c r="G223" s="345">
        <f>IFERROR(GEOMEAN('LP Reactivos'!F223,'LP Reactivos'!I223,'LP Reactivos'!N223,'LP Reactivos'!S223,'LP Reactivos'!X223,'LP Reactivos'!AC223,'LP Reactivos'!AH223,'LP Reactivos'!AM223,'LP Reactivos'!AR223,'LP Reactivos'!AW223,'LP Reactivos'!BB223,'LP Reactivos'!BG223,'LP Reactivos'!BL223,'LP Reactivos'!BQ223,'LP Reactivos'!BV223,'LP Reactivos'!CA223,'LP Reactivos'!CF223,'LP Reactivos'!CK223,'LP Reactivos'!CP223,'LP Reactivos'!CU223,'LP Reactivos'!CZ223,'LP Reactivos'!DE223,'LP Reactivos'!DJ223,'LP Reactivos'!DO223,'LP Reactivos'!DT223,'LP Reactivos'!DY223,'LP Reactivos'!EB223)," ")</f>
        <v>1105508.3875280977</v>
      </c>
      <c r="H223" s="345">
        <f t="shared" si="12"/>
        <v>126820.18469001651</v>
      </c>
      <c r="I223" s="346">
        <f t="shared" si="13"/>
        <v>0.11032699732724335</v>
      </c>
      <c r="J223" s="345">
        <f t="shared" si="14"/>
        <v>1149493.6666666667</v>
      </c>
      <c r="K223" s="344" t="str">
        <f t="shared" si="15"/>
        <v>Promedio</v>
      </c>
      <c r="L223" s="326">
        <f>IFERROR(COUNTA('LP Reactivos'!F223,'LP Reactivos'!I223,'LP Reactivos'!N223,'LP Reactivos'!S223,'LP Reactivos'!X223,'LP Reactivos'!AC223,'LP Reactivos'!AH223,'LP Reactivos'!AM223,'LP Reactivos'!AR223,'LP Reactivos'!AW223,'LP Reactivos'!BB223,'LP Reactivos'!BG223,'LP Reactivos'!BL223,'LP Reactivos'!BQ223,'LP Reactivos'!BV223,'LP Reactivos'!CA223,'LP Reactivos'!CF223,'LP Reactivos'!CK223,'LP Reactivos'!CP223,'LP Reactivos'!CU223,'LP Reactivos'!CZ223,'LP Reactivos'!DE223,'LP Reactivos'!DJ223,'LP Reactivos'!DO223,'LP Reactivos'!DT223,'LP Reactivos'!DY223,'LP Reactivos'!EB223)," ")</f>
        <v>3</v>
      </c>
    </row>
    <row r="224" spans="2:12" x14ac:dyDescent="0.25">
      <c r="B224" s="425">
        <v>222</v>
      </c>
      <c r="C224" s="427" t="s">
        <v>1380</v>
      </c>
      <c r="D224" s="429">
        <f>IFERROR(MIN('LP Reactivos'!F224,'LP Reactivos'!I224,'LP Reactivos'!N224,'LP Reactivos'!S224,'LP Reactivos'!X224,'LP Reactivos'!AC224,'LP Reactivos'!AH224,'LP Reactivos'!AM224,'LP Reactivos'!AR224,'LP Reactivos'!AW224,'LP Reactivos'!BB224,'LP Reactivos'!BG224,'LP Reactivos'!BL224,'LP Reactivos'!BQ224,'LP Reactivos'!BV224,'LP Reactivos'!CA224,'LP Reactivos'!CF224,'LP Reactivos'!CK224,'LP Reactivos'!CP224,'LP Reactivos'!CU224,'LP Reactivos'!CZ224,'LP Reactivos'!DE224,'LP Reactivos'!DJ224,'LP Reactivos'!DO224,'LP Reactivos'!DT224,'LP Reactivos'!DY224,'LP Reactivos'!EB224)," ")</f>
        <v>389632.18</v>
      </c>
      <c r="E224" s="429">
        <f>IFERROR(AVERAGE('LP Reactivos'!F224,'LP Reactivos'!I224,'LP Reactivos'!N224,'LP Reactivos'!S224,'LP Reactivos'!X224,'LP Reactivos'!AC224,'LP Reactivos'!AH224,'LP Reactivos'!AM224,'LP Reactivos'!AR224,'LP Reactivos'!AW224,'LP Reactivos'!BB224,'LP Reactivos'!BG224,'LP Reactivos'!BL224,'LP Reactivos'!BQ224,'LP Reactivos'!BV224,'LP Reactivos'!CA224,'LP Reactivos'!CF224,'LP Reactivos'!CK224,'LP Reactivos'!CP224,'LP Reactivos'!CU224,'LP Reactivos'!CZ224,'LP Reactivos'!DE224,'LP Reactivos'!DJ224,'LP Reactivos'!DO224,'LP Reactivos'!DT224,'LP Reactivos'!DY224,'LP Reactivos'!EB224)," ")</f>
        <v>809633.30188311683</v>
      </c>
      <c r="F224" s="345">
        <f>IFERROR(MEDIAN('LP Reactivos'!F224,'LP Reactivos'!I224,'LP Reactivos'!N224,'LP Reactivos'!S224,'LP Reactivos'!X224,'LP Reactivos'!AC224,'LP Reactivos'!AH224,'LP Reactivos'!AM224,'LP Reactivos'!AR224,'LP Reactivos'!AW224,'LP Reactivos'!BB224,'LP Reactivos'!BG224,'LP Reactivos'!BL224,'LP Reactivos'!BQ224,'LP Reactivos'!BV224,'LP Reactivos'!CA224,'LP Reactivos'!CF224,'LP Reactivos'!CK224,'LP Reactivos'!CP224,'LP Reactivos'!CU224,'LP Reactivos'!CZ224,'LP Reactivos'!DE224,'LP Reactivos'!DJ224,'LP Reactivos'!DO224,'LP Reactivos'!DT224,'LP Reactivos'!DY224,'LP Reactivos'!EB224)," ")</f>
        <v>818404.65</v>
      </c>
      <c r="G224" s="345">
        <f>IFERROR(GEOMEAN('LP Reactivos'!F224,'LP Reactivos'!I224,'LP Reactivos'!N224,'LP Reactivos'!S224,'LP Reactivos'!X224,'LP Reactivos'!AC224,'LP Reactivos'!AH224,'LP Reactivos'!AM224,'LP Reactivos'!AR224,'LP Reactivos'!AW224,'LP Reactivos'!BB224,'LP Reactivos'!BG224,'LP Reactivos'!BL224,'LP Reactivos'!BQ224,'LP Reactivos'!BV224,'LP Reactivos'!CA224,'LP Reactivos'!CF224,'LP Reactivos'!CK224,'LP Reactivos'!CP224,'LP Reactivos'!CU224,'LP Reactivos'!CZ224,'LP Reactivos'!DE224,'LP Reactivos'!DJ224,'LP Reactivos'!DO224,'LP Reactivos'!DT224,'LP Reactivos'!DY224,'LP Reactivos'!EB224)," ")</f>
        <v>765683.34073078702</v>
      </c>
      <c r="H224" s="345">
        <f t="shared" si="12"/>
        <v>205436.38938125691</v>
      </c>
      <c r="I224" s="346">
        <f t="shared" si="13"/>
        <v>0.25374004367586506</v>
      </c>
      <c r="J224" s="345">
        <f t="shared" si="14"/>
        <v>765683.34073078702</v>
      </c>
      <c r="K224" s="344" t="str">
        <f t="shared" si="15"/>
        <v>Media Geométrica</v>
      </c>
      <c r="L224" s="326">
        <f>IFERROR(COUNTA('LP Reactivos'!F224,'LP Reactivos'!I224,'LP Reactivos'!N224,'LP Reactivos'!S224,'LP Reactivos'!X224,'LP Reactivos'!AC224,'LP Reactivos'!AH224,'LP Reactivos'!AM224,'LP Reactivos'!AR224,'LP Reactivos'!AW224,'LP Reactivos'!BB224,'LP Reactivos'!BG224,'LP Reactivos'!BL224,'LP Reactivos'!BQ224,'LP Reactivos'!BV224,'LP Reactivos'!CA224,'LP Reactivos'!CF224,'LP Reactivos'!CK224,'LP Reactivos'!CP224,'LP Reactivos'!CU224,'LP Reactivos'!CZ224,'LP Reactivos'!DE224,'LP Reactivos'!DJ224,'LP Reactivos'!DO224,'LP Reactivos'!DT224,'LP Reactivos'!DY224,'LP Reactivos'!EB224)," ")</f>
        <v>8</v>
      </c>
    </row>
    <row r="225" spans="2:12" ht="27" x14ac:dyDescent="0.25">
      <c r="B225" s="425">
        <v>223</v>
      </c>
      <c r="C225" s="427" t="s">
        <v>1386</v>
      </c>
      <c r="D225" s="429">
        <f>IFERROR(MIN('LP Reactivos'!F225,'LP Reactivos'!I225,'LP Reactivos'!N225,'LP Reactivos'!S225,'LP Reactivos'!X225,'LP Reactivos'!AC225,'LP Reactivos'!AH225,'LP Reactivos'!AM225,'LP Reactivos'!AR225,'LP Reactivos'!AW225,'LP Reactivos'!BB225,'LP Reactivos'!BG225,'LP Reactivos'!BL225,'LP Reactivos'!BQ225,'LP Reactivos'!BV225,'LP Reactivos'!CA225,'LP Reactivos'!CF225,'LP Reactivos'!CK225,'LP Reactivos'!CP225,'LP Reactivos'!CU225,'LP Reactivos'!CZ225,'LP Reactivos'!DE225,'LP Reactivos'!DJ225,'LP Reactivos'!DO225,'LP Reactivos'!DT225,'LP Reactivos'!DY225,'LP Reactivos'!EB225)," ")</f>
        <v>105910</v>
      </c>
      <c r="E225" s="429">
        <f>IFERROR(AVERAGE('LP Reactivos'!F225,'LP Reactivos'!I225,'LP Reactivos'!N225,'LP Reactivos'!S225,'LP Reactivos'!X225,'LP Reactivos'!AC225,'LP Reactivos'!AH225,'LP Reactivos'!AM225,'LP Reactivos'!AR225,'LP Reactivos'!AW225,'LP Reactivos'!BB225,'LP Reactivos'!BG225,'LP Reactivos'!BL225,'LP Reactivos'!BQ225,'LP Reactivos'!BV225,'LP Reactivos'!CA225,'LP Reactivos'!CF225,'LP Reactivos'!CK225,'LP Reactivos'!CP225,'LP Reactivos'!CU225,'LP Reactivos'!CZ225,'LP Reactivos'!DE225,'LP Reactivos'!DJ225,'LP Reactivos'!DO225,'LP Reactivos'!DT225,'LP Reactivos'!DY225,'LP Reactivos'!EB225)," ")</f>
        <v>324440.64799999999</v>
      </c>
      <c r="F225" s="345">
        <f>IFERROR(MEDIAN('LP Reactivos'!F225,'LP Reactivos'!I225,'LP Reactivos'!N225,'LP Reactivos'!S225,'LP Reactivos'!X225,'LP Reactivos'!AC225,'LP Reactivos'!AH225,'LP Reactivos'!AM225,'LP Reactivos'!AR225,'LP Reactivos'!AW225,'LP Reactivos'!BB225,'LP Reactivos'!BG225,'LP Reactivos'!BL225,'LP Reactivos'!BQ225,'LP Reactivos'!BV225,'LP Reactivos'!CA225,'LP Reactivos'!CF225,'LP Reactivos'!CK225,'LP Reactivos'!CP225,'LP Reactivos'!CU225,'LP Reactivos'!CZ225,'LP Reactivos'!DE225,'LP Reactivos'!DJ225,'LP Reactivos'!DO225,'LP Reactivos'!DT225,'LP Reactivos'!DY225,'LP Reactivos'!EB225)," ")</f>
        <v>324440.64799999999</v>
      </c>
      <c r="G225" s="345">
        <f>IFERROR(GEOMEAN('LP Reactivos'!F225,'LP Reactivos'!I225,'LP Reactivos'!N225,'LP Reactivos'!S225,'LP Reactivos'!X225,'LP Reactivos'!AC225,'LP Reactivos'!AH225,'LP Reactivos'!AM225,'LP Reactivos'!AR225,'LP Reactivos'!AW225,'LP Reactivos'!BB225,'LP Reactivos'!BG225,'LP Reactivos'!BL225,'LP Reactivos'!BQ225,'LP Reactivos'!BV225,'LP Reactivos'!CA225,'LP Reactivos'!CF225,'LP Reactivos'!CK225,'LP Reactivos'!CP225,'LP Reactivos'!CU225,'LP Reactivos'!CZ225,'LP Reactivos'!DE225,'LP Reactivos'!DJ225,'LP Reactivos'!DO225,'LP Reactivos'!DT225,'LP Reactivos'!DY225,'LP Reactivos'!EB225)," ")</f>
        <v>239804.27427249914</v>
      </c>
      <c r="H225" s="345">
        <f t="shared" si="12"/>
        <v>103184.94578063923</v>
      </c>
      <c r="I225" s="346">
        <f t="shared" si="13"/>
        <v>0.31803951328761754</v>
      </c>
      <c r="J225" s="345">
        <f>IF(I225&lt;=10%,F225,IF(AND(I225&gt;10%,I225&lt;=20%),E225,IF(AND(I225&gt;20%,I225&lt;=32%),G225,IF(I225&gt;32%,D225))))</f>
        <v>239804.27427249914</v>
      </c>
      <c r="K225" s="344" t="str">
        <f t="shared" si="15"/>
        <v>Media Geométrica</v>
      </c>
      <c r="L225" s="326">
        <f>IFERROR(COUNTA('LP Reactivos'!F225,'LP Reactivos'!I225,'LP Reactivos'!N225,'LP Reactivos'!S225,'LP Reactivos'!X225,'LP Reactivos'!AC225,'LP Reactivos'!AH225,'LP Reactivos'!AM225,'LP Reactivos'!AR225,'LP Reactivos'!AW225,'LP Reactivos'!BB225,'LP Reactivos'!BG225,'LP Reactivos'!BL225,'LP Reactivos'!BQ225,'LP Reactivos'!BV225,'LP Reactivos'!CA225,'LP Reactivos'!CF225,'LP Reactivos'!CK225,'LP Reactivos'!CP225,'LP Reactivos'!CU225,'LP Reactivos'!CZ225,'LP Reactivos'!DE225,'LP Reactivos'!DJ225,'LP Reactivos'!DO225,'LP Reactivos'!DT225,'LP Reactivos'!DY225,'LP Reactivos'!EB225)," ")</f>
        <v>2</v>
      </c>
    </row>
    <row r="226" spans="2:12" x14ac:dyDescent="0.25">
      <c r="B226" s="425">
        <v>224</v>
      </c>
      <c r="C226" s="427" t="s">
        <v>1389</v>
      </c>
      <c r="D226" s="429">
        <f>IFERROR(MIN('LP Reactivos'!F226,'LP Reactivos'!I226,'LP Reactivos'!N226,'LP Reactivos'!S226,'LP Reactivos'!X226,'LP Reactivos'!AC226,'LP Reactivos'!AH226,'LP Reactivos'!AM226,'LP Reactivos'!AR226,'LP Reactivos'!AW226,'LP Reactivos'!BB226,'LP Reactivos'!BG226,'LP Reactivos'!BL226,'LP Reactivos'!BQ226,'LP Reactivos'!BV226,'LP Reactivos'!CA226,'LP Reactivos'!CF226,'LP Reactivos'!CK226,'LP Reactivos'!CP226,'LP Reactivos'!CU226,'LP Reactivos'!CZ226,'LP Reactivos'!DE226,'LP Reactivos'!DJ226,'LP Reactivos'!DO226,'LP Reactivos'!DT226,'LP Reactivos'!DY226,'LP Reactivos'!EB226)," ")</f>
        <v>486372</v>
      </c>
      <c r="E226" s="429">
        <f>IFERROR(AVERAGE('LP Reactivos'!F226,'LP Reactivos'!I226,'LP Reactivos'!N226,'LP Reactivos'!S226,'LP Reactivos'!X226,'LP Reactivos'!AC226,'LP Reactivos'!AH226,'LP Reactivos'!AM226,'LP Reactivos'!AR226,'LP Reactivos'!AW226,'LP Reactivos'!BB226,'LP Reactivos'!BG226,'LP Reactivos'!BL226,'LP Reactivos'!BQ226,'LP Reactivos'!BV226,'LP Reactivos'!CA226,'LP Reactivos'!CF226,'LP Reactivos'!CK226,'LP Reactivos'!CP226,'LP Reactivos'!CU226,'LP Reactivos'!CZ226,'LP Reactivos'!DE226,'LP Reactivos'!DJ226,'LP Reactivos'!DO226,'LP Reactivos'!DT226,'LP Reactivos'!DY226,'LP Reactivos'!EB226)," ")</f>
        <v>834879.55200000003</v>
      </c>
      <c r="F226" s="345">
        <f>IFERROR(MEDIAN('LP Reactivos'!F226,'LP Reactivos'!I226,'LP Reactivos'!N226,'LP Reactivos'!S226,'LP Reactivos'!X226,'LP Reactivos'!AC226,'LP Reactivos'!AH226,'LP Reactivos'!AM226,'LP Reactivos'!AR226,'LP Reactivos'!AW226,'LP Reactivos'!BB226,'LP Reactivos'!BG226,'LP Reactivos'!BL226,'LP Reactivos'!BQ226,'LP Reactivos'!BV226,'LP Reactivos'!CA226,'LP Reactivos'!CF226,'LP Reactivos'!CK226,'LP Reactivos'!CP226,'LP Reactivos'!CU226,'LP Reactivos'!CZ226,'LP Reactivos'!DE226,'LP Reactivos'!DJ226,'LP Reactivos'!DO226,'LP Reactivos'!DT226,'LP Reactivos'!DY226,'LP Reactivos'!EB226)," ")</f>
        <v>693796.65600000008</v>
      </c>
      <c r="G226" s="345">
        <f>IFERROR(GEOMEAN('LP Reactivos'!F226,'LP Reactivos'!I226,'LP Reactivos'!N226,'LP Reactivos'!S226,'LP Reactivos'!X226,'LP Reactivos'!AC226,'LP Reactivos'!AH226,'LP Reactivos'!AM226,'LP Reactivos'!AR226,'LP Reactivos'!AW226,'LP Reactivos'!BB226,'LP Reactivos'!BG226,'LP Reactivos'!BL226,'LP Reactivos'!BQ226,'LP Reactivos'!BV226,'LP Reactivos'!CA226,'LP Reactivos'!CF226,'LP Reactivos'!CK226,'LP Reactivos'!CP226,'LP Reactivos'!CU226,'LP Reactivos'!CZ226,'LP Reactivos'!DE226,'LP Reactivos'!DJ226,'LP Reactivos'!DO226,'LP Reactivos'!DT226,'LP Reactivos'!DY226,'LP Reactivos'!EB226)," ")</f>
        <v>764564.79671716865</v>
      </c>
      <c r="H226" s="345">
        <f t="shared" si="12"/>
        <v>150479.90230090148</v>
      </c>
      <c r="I226" s="346">
        <f t="shared" si="13"/>
        <v>0.18024145152485599</v>
      </c>
      <c r="J226" s="345">
        <f t="shared" si="14"/>
        <v>834879.55200000003</v>
      </c>
      <c r="K226" s="344" t="str">
        <f t="shared" si="15"/>
        <v>Promedio</v>
      </c>
      <c r="L226" s="326">
        <f>IFERROR(COUNTA('LP Reactivos'!F226,'LP Reactivos'!I226,'LP Reactivos'!N226,'LP Reactivos'!S226,'LP Reactivos'!X226,'LP Reactivos'!AC226,'LP Reactivos'!AH226,'LP Reactivos'!AM226,'LP Reactivos'!AR226,'LP Reactivos'!AW226,'LP Reactivos'!BB226,'LP Reactivos'!BG226,'LP Reactivos'!BL226,'LP Reactivos'!BQ226,'LP Reactivos'!BV226,'LP Reactivos'!CA226,'LP Reactivos'!CF226,'LP Reactivos'!CK226,'LP Reactivos'!CP226,'LP Reactivos'!CU226,'LP Reactivos'!CZ226,'LP Reactivos'!DE226,'LP Reactivos'!DJ226,'LP Reactivos'!DO226,'LP Reactivos'!DT226,'LP Reactivos'!DY226,'LP Reactivos'!EB226)," ")</f>
        <v>3</v>
      </c>
    </row>
    <row r="227" spans="2:12" x14ac:dyDescent="0.25">
      <c r="B227" s="425">
        <v>225</v>
      </c>
      <c r="C227" s="427" t="s">
        <v>1393</v>
      </c>
      <c r="D227" s="429">
        <f>IFERROR(MIN('LP Reactivos'!F227,'LP Reactivos'!I227,'LP Reactivos'!N227,'LP Reactivos'!S227,'LP Reactivos'!X227,'LP Reactivos'!AC227,'LP Reactivos'!AH227,'LP Reactivos'!AM227,'LP Reactivos'!AR227,'LP Reactivos'!AW227,'LP Reactivos'!BB227,'LP Reactivos'!BG227,'LP Reactivos'!BL227,'LP Reactivos'!BQ227,'LP Reactivos'!BV227,'LP Reactivos'!CA227,'LP Reactivos'!CF227,'LP Reactivos'!CK227,'LP Reactivos'!CP227,'LP Reactivos'!CU227,'LP Reactivos'!CZ227,'LP Reactivos'!DE227,'LP Reactivos'!DJ227,'LP Reactivos'!DO227,'LP Reactivos'!DT227,'LP Reactivos'!DY227,'LP Reactivos'!EB227)," ")</f>
        <v>2929530.1861999999</v>
      </c>
      <c r="E227" s="429">
        <f>IFERROR(AVERAGE('LP Reactivos'!F227,'LP Reactivos'!I227,'LP Reactivos'!N227,'LP Reactivos'!S227,'LP Reactivos'!X227,'LP Reactivos'!AC227,'LP Reactivos'!AH227,'LP Reactivos'!AM227,'LP Reactivos'!AR227,'LP Reactivos'!AW227,'LP Reactivos'!BB227,'LP Reactivos'!BG227,'LP Reactivos'!BL227,'LP Reactivos'!BQ227,'LP Reactivos'!BV227,'LP Reactivos'!CA227,'LP Reactivos'!CF227,'LP Reactivos'!CK227,'LP Reactivos'!CP227,'LP Reactivos'!CU227,'LP Reactivos'!CZ227,'LP Reactivos'!DE227,'LP Reactivos'!DJ227,'LP Reactivos'!DO227,'LP Reactivos'!DT227,'LP Reactivos'!DY227,'LP Reactivos'!EB227)," ")</f>
        <v>2929530.1861999999</v>
      </c>
      <c r="F227" s="345">
        <f>IFERROR(MEDIAN('LP Reactivos'!F227,'LP Reactivos'!I227,'LP Reactivos'!N227,'LP Reactivos'!S227,'LP Reactivos'!X227,'LP Reactivos'!AC227,'LP Reactivos'!AH227,'LP Reactivos'!AM227,'LP Reactivos'!AR227,'LP Reactivos'!AW227,'LP Reactivos'!BB227,'LP Reactivos'!BG227,'LP Reactivos'!BL227,'LP Reactivos'!BQ227,'LP Reactivos'!BV227,'LP Reactivos'!CA227,'LP Reactivos'!CF227,'LP Reactivos'!CK227,'LP Reactivos'!CP227,'LP Reactivos'!CU227,'LP Reactivos'!CZ227,'LP Reactivos'!DE227,'LP Reactivos'!DJ227,'LP Reactivos'!DO227,'LP Reactivos'!DT227,'LP Reactivos'!DY227,'LP Reactivos'!EB227)," ")</f>
        <v>2929530.1861999999</v>
      </c>
      <c r="G227" s="345">
        <f>IFERROR(GEOMEAN('LP Reactivos'!F227,'LP Reactivos'!I227,'LP Reactivos'!N227,'LP Reactivos'!S227,'LP Reactivos'!X227,'LP Reactivos'!AC227,'LP Reactivos'!AH227,'LP Reactivos'!AM227,'LP Reactivos'!AR227,'LP Reactivos'!AW227,'LP Reactivos'!BB227,'LP Reactivos'!BG227,'LP Reactivos'!BL227,'LP Reactivos'!BQ227,'LP Reactivos'!BV227,'LP Reactivos'!CA227,'LP Reactivos'!CF227,'LP Reactivos'!CK227,'LP Reactivos'!CP227,'LP Reactivos'!CU227,'LP Reactivos'!CZ227,'LP Reactivos'!DE227,'LP Reactivos'!DJ227,'LP Reactivos'!DO227,'LP Reactivos'!DT227,'LP Reactivos'!DY227,'LP Reactivos'!EB227)," ")</f>
        <v>2929530.1861999999</v>
      </c>
      <c r="H227" s="345">
        <f t="shared" si="12"/>
        <v>0</v>
      </c>
      <c r="I227" s="346">
        <f t="shared" si="13"/>
        <v>0</v>
      </c>
      <c r="J227" s="345">
        <f t="shared" si="14"/>
        <v>2929530.1861999999</v>
      </c>
      <c r="K227" s="344" t="str">
        <f t="shared" si="15"/>
        <v>Menor Valor</v>
      </c>
      <c r="L227" s="326">
        <f>IFERROR(COUNTA('LP Reactivos'!F227,'LP Reactivos'!I227,'LP Reactivos'!N227,'LP Reactivos'!S227,'LP Reactivos'!X227,'LP Reactivos'!AC227,'LP Reactivos'!AH227,'LP Reactivos'!AM227,'LP Reactivos'!AR227,'LP Reactivos'!AW227,'LP Reactivos'!BB227,'LP Reactivos'!BG227,'LP Reactivos'!BL227,'LP Reactivos'!BQ227,'LP Reactivos'!BV227,'LP Reactivos'!CA227,'LP Reactivos'!CF227,'LP Reactivos'!CK227,'LP Reactivos'!CP227,'LP Reactivos'!CU227,'LP Reactivos'!CZ227,'LP Reactivos'!DE227,'LP Reactivos'!DJ227,'LP Reactivos'!DO227,'LP Reactivos'!DT227,'LP Reactivos'!DY227,'LP Reactivos'!EB227)," ")</f>
        <v>1</v>
      </c>
    </row>
    <row r="228" spans="2:12" ht="27" x14ac:dyDescent="0.25">
      <c r="B228" s="425">
        <v>226</v>
      </c>
      <c r="C228" s="426" t="s">
        <v>1396</v>
      </c>
      <c r="D228" s="429">
        <f>IFERROR(MIN('LP Reactivos'!F228,'LP Reactivos'!I228,'LP Reactivos'!N228,'LP Reactivos'!S228,'LP Reactivos'!X228,'LP Reactivos'!AC228,'LP Reactivos'!AH228,'LP Reactivos'!AM228,'LP Reactivos'!AR228,'LP Reactivos'!AW228,'LP Reactivos'!BB228,'LP Reactivos'!BG228,'LP Reactivos'!BL228,'LP Reactivos'!BQ228,'LP Reactivos'!BV228,'LP Reactivos'!CA228,'LP Reactivos'!CF228,'LP Reactivos'!CK228,'LP Reactivos'!CP228,'LP Reactivos'!CU228,'LP Reactivos'!CZ228,'LP Reactivos'!DE228,'LP Reactivos'!DJ228,'LP Reactivos'!DO228,'LP Reactivos'!DT228,'LP Reactivos'!DY228,'LP Reactivos'!EB228)," ")</f>
        <v>83300</v>
      </c>
      <c r="E228" s="429">
        <f>IFERROR(AVERAGE('LP Reactivos'!F228,'LP Reactivos'!I228,'LP Reactivos'!N228,'LP Reactivos'!S228,'LP Reactivos'!X228,'LP Reactivos'!AC228,'LP Reactivos'!AH228,'LP Reactivos'!AM228,'LP Reactivos'!AR228,'LP Reactivos'!AW228,'LP Reactivos'!BB228,'LP Reactivos'!BG228,'LP Reactivos'!BL228,'LP Reactivos'!BQ228,'LP Reactivos'!BV228,'LP Reactivos'!CA228,'LP Reactivos'!CF228,'LP Reactivos'!CK228,'LP Reactivos'!CP228,'LP Reactivos'!CU228,'LP Reactivos'!CZ228,'LP Reactivos'!DE228,'LP Reactivos'!DJ228,'LP Reactivos'!DO228,'LP Reactivos'!DT228,'LP Reactivos'!DY228,'LP Reactivos'!EB228)," ")</f>
        <v>215852.94666666668</v>
      </c>
      <c r="F228" s="345">
        <f>IFERROR(MEDIAN('LP Reactivos'!F228,'LP Reactivos'!I228,'LP Reactivos'!N228,'LP Reactivos'!S228,'LP Reactivos'!X228,'LP Reactivos'!AC228,'LP Reactivos'!AH228,'LP Reactivos'!AM228,'LP Reactivos'!AR228,'LP Reactivos'!AW228,'LP Reactivos'!BB228,'LP Reactivos'!BG228,'LP Reactivos'!BL228,'LP Reactivos'!BQ228,'LP Reactivos'!BV228,'LP Reactivos'!CA228,'LP Reactivos'!CF228,'LP Reactivos'!CK228,'LP Reactivos'!CP228,'LP Reactivos'!CU228,'LP Reactivos'!CZ228,'LP Reactivos'!DE228,'LP Reactivos'!DJ228,'LP Reactivos'!DO228,'LP Reactivos'!DT228,'LP Reactivos'!DY228,'LP Reactivos'!EB228)," ")</f>
        <v>193531</v>
      </c>
      <c r="G228" s="345">
        <f>IFERROR(GEOMEAN('LP Reactivos'!F228,'LP Reactivos'!I228,'LP Reactivos'!N228,'LP Reactivos'!S228,'LP Reactivos'!X228,'LP Reactivos'!AC228,'LP Reactivos'!AH228,'LP Reactivos'!AM228,'LP Reactivos'!AR228,'LP Reactivos'!AW228,'LP Reactivos'!BB228,'LP Reactivos'!BG228,'LP Reactivos'!BL228,'LP Reactivos'!BQ228,'LP Reactivos'!BV228,'LP Reactivos'!CA228,'LP Reactivos'!CF228,'LP Reactivos'!CK228,'LP Reactivos'!CP228,'LP Reactivos'!CU228,'LP Reactivos'!CZ228,'LP Reactivos'!DE228,'LP Reactivos'!DJ228,'LP Reactivos'!DO228,'LP Reactivos'!DT228,'LP Reactivos'!DY228,'LP Reactivos'!EB228)," ")</f>
        <v>181475.04564176942</v>
      </c>
      <c r="H228" s="345">
        <f t="shared" si="12"/>
        <v>58583.951183418998</v>
      </c>
      <c r="I228" s="346">
        <f t="shared" si="13"/>
        <v>0.27140677061911006</v>
      </c>
      <c r="J228" s="345">
        <f t="shared" si="14"/>
        <v>181475.04564176942</v>
      </c>
      <c r="K228" s="344" t="str">
        <f t="shared" si="15"/>
        <v>Media Geométrica</v>
      </c>
      <c r="L228" s="326">
        <f>IFERROR(COUNTA('LP Reactivos'!F228,'LP Reactivos'!I228,'LP Reactivos'!N228,'LP Reactivos'!S228,'LP Reactivos'!X228,'LP Reactivos'!AC228,'LP Reactivos'!AH228,'LP Reactivos'!AM228,'LP Reactivos'!AR228,'LP Reactivos'!AW228,'LP Reactivos'!BB228,'LP Reactivos'!BG228,'LP Reactivos'!BL228,'LP Reactivos'!BQ228,'LP Reactivos'!BV228,'LP Reactivos'!CA228,'LP Reactivos'!CF228,'LP Reactivos'!CK228,'LP Reactivos'!CP228,'LP Reactivos'!CU228,'LP Reactivos'!CZ228,'LP Reactivos'!DE228,'LP Reactivos'!DJ228,'LP Reactivos'!DO228,'LP Reactivos'!DT228,'LP Reactivos'!DY228,'LP Reactivos'!EB228)," ")</f>
        <v>3</v>
      </c>
    </row>
    <row r="229" spans="2:12" x14ac:dyDescent="0.25">
      <c r="B229" s="425">
        <v>227</v>
      </c>
      <c r="C229" s="427" t="s">
        <v>1400</v>
      </c>
      <c r="D229" s="429">
        <f>IFERROR(MIN('LP Reactivos'!F229,'LP Reactivos'!I229,'LP Reactivos'!N229,'LP Reactivos'!S229,'LP Reactivos'!X229,'LP Reactivos'!AC229,'LP Reactivos'!AH229,'LP Reactivos'!AM229,'LP Reactivos'!AR229,'LP Reactivos'!AW229,'LP Reactivos'!BB229,'LP Reactivos'!BG229,'LP Reactivos'!BL229,'LP Reactivos'!BQ229,'LP Reactivos'!BV229,'LP Reactivos'!CA229,'LP Reactivos'!CF229,'LP Reactivos'!CK229,'LP Reactivos'!CP229,'LP Reactivos'!CU229,'LP Reactivos'!CZ229,'LP Reactivos'!DE229,'LP Reactivos'!DJ229,'LP Reactivos'!DO229,'LP Reactivos'!DT229,'LP Reactivos'!DY229,'LP Reactivos'!EB229)," ")</f>
        <v>113954.4</v>
      </c>
      <c r="E229" s="429">
        <f>IFERROR(AVERAGE('LP Reactivos'!F229,'LP Reactivos'!I229,'LP Reactivos'!N229,'LP Reactivos'!S229,'LP Reactivos'!X229,'LP Reactivos'!AC229,'LP Reactivos'!AH229,'LP Reactivos'!AM229,'LP Reactivos'!AR229,'LP Reactivos'!AW229,'LP Reactivos'!BB229,'LP Reactivos'!BG229,'LP Reactivos'!BL229,'LP Reactivos'!BQ229,'LP Reactivos'!BV229,'LP Reactivos'!CA229,'LP Reactivos'!CF229,'LP Reactivos'!CK229,'LP Reactivos'!CP229,'LP Reactivos'!CU229,'LP Reactivos'!CZ229,'LP Reactivos'!DE229,'LP Reactivos'!DJ229,'LP Reactivos'!DO229,'LP Reactivos'!DT229,'LP Reactivos'!DY229,'LP Reactivos'!EB229)," ")</f>
        <v>129433.2</v>
      </c>
      <c r="F229" s="345">
        <f>IFERROR(MEDIAN('LP Reactivos'!F229,'LP Reactivos'!I229,'LP Reactivos'!N229,'LP Reactivos'!S229,'LP Reactivos'!X229,'LP Reactivos'!AC229,'LP Reactivos'!AH229,'LP Reactivos'!AM229,'LP Reactivos'!AR229,'LP Reactivos'!AW229,'LP Reactivos'!BB229,'LP Reactivos'!BG229,'LP Reactivos'!BL229,'LP Reactivos'!BQ229,'LP Reactivos'!BV229,'LP Reactivos'!CA229,'LP Reactivos'!CF229,'LP Reactivos'!CK229,'LP Reactivos'!CP229,'LP Reactivos'!CU229,'LP Reactivos'!CZ229,'LP Reactivos'!DE229,'LP Reactivos'!DJ229,'LP Reactivos'!DO229,'LP Reactivos'!DT229,'LP Reactivos'!DY229,'LP Reactivos'!EB229)," ")</f>
        <v>129433.2</v>
      </c>
      <c r="G229" s="345">
        <f>IFERROR(GEOMEAN('LP Reactivos'!F229,'LP Reactivos'!I229,'LP Reactivos'!N229,'LP Reactivos'!S229,'LP Reactivos'!X229,'LP Reactivos'!AC229,'LP Reactivos'!AH229,'LP Reactivos'!AM229,'LP Reactivos'!AR229,'LP Reactivos'!AW229,'LP Reactivos'!BB229,'LP Reactivos'!BG229,'LP Reactivos'!BL229,'LP Reactivos'!BQ229,'LP Reactivos'!BV229,'LP Reactivos'!CA229,'LP Reactivos'!CF229,'LP Reactivos'!CK229,'LP Reactivos'!CP229,'LP Reactivos'!CU229,'LP Reactivos'!CZ229,'LP Reactivos'!DE229,'LP Reactivos'!DJ229,'LP Reactivos'!DO229,'LP Reactivos'!DT229,'LP Reactivos'!DY229,'LP Reactivos'!EB229)," ")</f>
        <v>128504.31904336912</v>
      </c>
      <c r="H229" s="345">
        <f t="shared" si="12"/>
        <v>7597.2159523065784</v>
      </c>
      <c r="I229" s="346">
        <f t="shared" si="13"/>
        <v>5.8696037433259615E-2</v>
      </c>
      <c r="J229" s="345">
        <f t="shared" si="14"/>
        <v>129433.2</v>
      </c>
      <c r="K229" s="344" t="str">
        <f t="shared" si="15"/>
        <v>Promedio</v>
      </c>
      <c r="L229" s="326">
        <f>IFERROR(COUNTA('LP Reactivos'!F229,'LP Reactivos'!I229,'LP Reactivos'!N229,'LP Reactivos'!S229,'LP Reactivos'!X229,'LP Reactivos'!AC229,'LP Reactivos'!AH229,'LP Reactivos'!AM229,'LP Reactivos'!AR229,'LP Reactivos'!AW229,'LP Reactivos'!BB229,'LP Reactivos'!BG229,'LP Reactivos'!BL229,'LP Reactivos'!BQ229,'LP Reactivos'!BV229,'LP Reactivos'!CA229,'LP Reactivos'!CF229,'LP Reactivos'!CK229,'LP Reactivos'!CP229,'LP Reactivos'!CU229,'LP Reactivos'!CZ229,'LP Reactivos'!DE229,'LP Reactivos'!DJ229,'LP Reactivos'!DO229,'LP Reactivos'!DT229,'LP Reactivos'!DY229,'LP Reactivos'!EB229)," ")</f>
        <v>2</v>
      </c>
    </row>
    <row r="230" spans="2:12" x14ac:dyDescent="0.25">
      <c r="B230" s="425">
        <v>228</v>
      </c>
      <c r="C230" s="413" t="s">
        <v>1401</v>
      </c>
      <c r="D230" s="429">
        <f>IFERROR(MIN('LP Reactivos'!F230,'LP Reactivos'!I230,'LP Reactivos'!N230,'LP Reactivos'!S230,'LP Reactivos'!X230,'LP Reactivos'!AC230,'LP Reactivos'!AH230,'LP Reactivos'!AM230,'LP Reactivos'!AR230,'LP Reactivos'!AW230,'LP Reactivos'!BB230,'LP Reactivos'!BG230,'LP Reactivos'!BL230,'LP Reactivos'!BQ230,'LP Reactivos'!BV230,'LP Reactivos'!CA230,'LP Reactivos'!CF230,'LP Reactivos'!CK230,'LP Reactivos'!CP230,'LP Reactivos'!CU230,'LP Reactivos'!CZ230,'LP Reactivos'!DE230,'LP Reactivos'!DJ230,'LP Reactivos'!DO230,'LP Reactivos'!DT230,'LP Reactivos'!DY230,'LP Reactivos'!EB230)," ")</f>
        <v>130900</v>
      </c>
      <c r="E230" s="429">
        <f>IFERROR(AVERAGE('LP Reactivos'!F230,'LP Reactivos'!I230,'LP Reactivos'!N230,'LP Reactivos'!S230,'LP Reactivos'!X230,'LP Reactivos'!AC230,'LP Reactivos'!AH230,'LP Reactivos'!AM230,'LP Reactivos'!AR230,'LP Reactivos'!AW230,'LP Reactivos'!BB230,'LP Reactivos'!BG230,'LP Reactivos'!BL230,'LP Reactivos'!BQ230,'LP Reactivos'!BV230,'LP Reactivos'!CA230,'LP Reactivos'!CF230,'LP Reactivos'!CK230,'LP Reactivos'!CP230,'LP Reactivos'!CU230,'LP Reactivos'!CZ230,'LP Reactivos'!DE230,'LP Reactivos'!DJ230,'LP Reactivos'!DO230,'LP Reactivos'!DT230,'LP Reactivos'!DY230,'LP Reactivos'!EB230)," ")</f>
        <v>832757.5</v>
      </c>
      <c r="F230" s="345">
        <f>IFERROR(MEDIAN('LP Reactivos'!F230,'LP Reactivos'!I230,'LP Reactivos'!N230,'LP Reactivos'!S230,'LP Reactivos'!X230,'LP Reactivos'!AC230,'LP Reactivos'!AH230,'LP Reactivos'!AM230,'LP Reactivos'!AR230,'LP Reactivos'!AW230,'LP Reactivos'!BB230,'LP Reactivos'!BG230,'LP Reactivos'!BL230,'LP Reactivos'!BQ230,'LP Reactivos'!BV230,'LP Reactivos'!CA230,'LP Reactivos'!CF230,'LP Reactivos'!CK230,'LP Reactivos'!CP230,'LP Reactivos'!CU230,'LP Reactivos'!CZ230,'LP Reactivos'!DE230,'LP Reactivos'!DJ230,'LP Reactivos'!DO230,'LP Reactivos'!DT230,'LP Reactivos'!DY230,'LP Reactivos'!EB230)," ")</f>
        <v>650037.5</v>
      </c>
      <c r="G230" s="345">
        <f>IFERROR(GEOMEAN('LP Reactivos'!F230,'LP Reactivos'!I230,'LP Reactivos'!N230,'LP Reactivos'!S230,'LP Reactivos'!X230,'LP Reactivos'!AC230,'LP Reactivos'!AH230,'LP Reactivos'!AM230,'LP Reactivos'!AR230,'LP Reactivos'!AW230,'LP Reactivos'!BB230,'LP Reactivos'!BG230,'LP Reactivos'!BL230,'LP Reactivos'!BQ230,'LP Reactivos'!BV230,'LP Reactivos'!CA230,'LP Reactivos'!CF230,'LP Reactivos'!CK230,'LP Reactivos'!CP230,'LP Reactivos'!CU230,'LP Reactivos'!CZ230,'LP Reactivos'!DE230,'LP Reactivos'!DJ230,'LP Reactivos'!DO230,'LP Reactivos'!DT230,'LP Reactivos'!DY230,'LP Reactivos'!EB230)," ")</f>
        <v>631781.56076113274</v>
      </c>
      <c r="H230" s="345">
        <f t="shared" si="12"/>
        <v>300984.66710579657</v>
      </c>
      <c r="I230" s="346">
        <f t="shared" si="13"/>
        <v>0.36143134958952222</v>
      </c>
      <c r="J230" s="345">
        <f>IF(I230&lt;=10%,F230,IF(AND(I230&gt;10%,I230&lt;=20%),E230,IF(AND(I230&gt;20%,I230&lt;=37%),G230,IF(I230&gt;37%,D230))))</f>
        <v>631781.56076113274</v>
      </c>
      <c r="K230" s="344" t="str">
        <f t="shared" si="15"/>
        <v>Media Geométrica</v>
      </c>
      <c r="L230" s="326">
        <f>IFERROR(COUNTA('LP Reactivos'!F230,'LP Reactivos'!I230,'LP Reactivos'!N230,'LP Reactivos'!S230,'LP Reactivos'!X230,'LP Reactivos'!AC230,'LP Reactivos'!AH230,'LP Reactivos'!AM230,'LP Reactivos'!AR230,'LP Reactivos'!AW230,'LP Reactivos'!BB230,'LP Reactivos'!BG230,'LP Reactivos'!BL230,'LP Reactivos'!BQ230,'LP Reactivos'!BV230,'LP Reactivos'!CA230,'LP Reactivos'!CF230,'LP Reactivos'!CK230,'LP Reactivos'!CP230,'LP Reactivos'!CU230,'LP Reactivos'!CZ230,'LP Reactivos'!DE230,'LP Reactivos'!DJ230,'LP Reactivos'!DO230,'LP Reactivos'!DT230,'LP Reactivos'!DY230,'LP Reactivos'!EB230)," ")</f>
        <v>5</v>
      </c>
    </row>
    <row r="231" spans="2:12" x14ac:dyDescent="0.25">
      <c r="B231" s="425">
        <v>229</v>
      </c>
      <c r="C231" s="427" t="s">
        <v>1407</v>
      </c>
      <c r="D231" s="429">
        <f>IFERROR(MIN('LP Reactivos'!F231,'LP Reactivos'!I231,'LP Reactivos'!N231,'LP Reactivos'!S231,'LP Reactivos'!X231,'LP Reactivos'!AC231,'LP Reactivos'!AH231,'LP Reactivos'!AM231,'LP Reactivos'!AR231,'LP Reactivos'!AW231,'LP Reactivos'!BB231,'LP Reactivos'!BG231,'LP Reactivos'!BL231,'LP Reactivos'!BQ231,'LP Reactivos'!BV231,'LP Reactivos'!CA231,'LP Reactivos'!CF231,'LP Reactivos'!CK231,'LP Reactivos'!CP231,'LP Reactivos'!CU231,'LP Reactivos'!CZ231,'LP Reactivos'!DE231,'LP Reactivos'!DJ231,'LP Reactivos'!DO231,'LP Reactivos'!DT231,'LP Reactivos'!DY231,'LP Reactivos'!EB231)," ")</f>
        <v>843365.13800000004</v>
      </c>
      <c r="E231" s="429">
        <f>IFERROR(AVERAGE('LP Reactivos'!F231,'LP Reactivos'!I231,'LP Reactivos'!N231,'LP Reactivos'!S231,'LP Reactivos'!X231,'LP Reactivos'!AC231,'LP Reactivos'!AH231,'LP Reactivos'!AM231,'LP Reactivos'!AR231,'LP Reactivos'!AW231,'LP Reactivos'!BB231,'LP Reactivos'!BG231,'LP Reactivos'!BL231,'LP Reactivos'!BQ231,'LP Reactivos'!BV231,'LP Reactivos'!CA231,'LP Reactivos'!CF231,'LP Reactivos'!CK231,'LP Reactivos'!CP231,'LP Reactivos'!CU231,'LP Reactivos'!CZ231,'LP Reactivos'!DE231,'LP Reactivos'!DJ231,'LP Reactivos'!DO231,'LP Reactivos'!DT231,'LP Reactivos'!DY231,'LP Reactivos'!EB231)," ")</f>
        <v>931655.04600000009</v>
      </c>
      <c r="F231" s="345">
        <f>IFERROR(MEDIAN('LP Reactivos'!F231,'LP Reactivos'!I231,'LP Reactivos'!N231,'LP Reactivos'!S231,'LP Reactivos'!X231,'LP Reactivos'!AC231,'LP Reactivos'!AH231,'LP Reactivos'!AM231,'LP Reactivos'!AR231,'LP Reactivos'!AW231,'LP Reactivos'!BB231,'LP Reactivos'!BG231,'LP Reactivos'!BL231,'LP Reactivos'!BQ231,'LP Reactivos'!BV231,'LP Reactivos'!CA231,'LP Reactivos'!CF231,'LP Reactivos'!CK231,'LP Reactivos'!CP231,'LP Reactivos'!CU231,'LP Reactivos'!CZ231,'LP Reactivos'!DE231,'LP Reactivos'!DJ231,'LP Reactivos'!DO231,'LP Reactivos'!DT231,'LP Reactivos'!DY231,'LP Reactivos'!EB231)," ")</f>
        <v>880600</v>
      </c>
      <c r="G231" s="345">
        <f>IFERROR(GEOMEAN('LP Reactivos'!F231,'LP Reactivos'!I231,'LP Reactivos'!N231,'LP Reactivos'!S231,'LP Reactivos'!X231,'LP Reactivos'!AC231,'LP Reactivos'!AH231,'LP Reactivos'!AM231,'LP Reactivos'!AR231,'LP Reactivos'!AW231,'LP Reactivos'!BB231,'LP Reactivos'!BG231,'LP Reactivos'!BL231,'LP Reactivos'!BQ231,'LP Reactivos'!BV231,'LP Reactivos'!CA231,'LP Reactivos'!CF231,'LP Reactivos'!CK231,'LP Reactivos'!CP231,'LP Reactivos'!CU231,'LP Reactivos'!CZ231,'LP Reactivos'!DE231,'LP Reactivos'!DJ231,'LP Reactivos'!DO231,'LP Reactivos'!DT231,'LP Reactivos'!DY231,'LP Reactivos'!EB231)," ")</f>
        <v>926533.79685924575</v>
      </c>
      <c r="H231" s="345">
        <f t="shared" si="12"/>
        <v>41674.659794635561</v>
      </c>
      <c r="I231" s="346">
        <f t="shared" si="13"/>
        <v>4.4731856467222483E-2</v>
      </c>
      <c r="J231" s="345">
        <f t="shared" si="14"/>
        <v>880600</v>
      </c>
      <c r="K231" s="344" t="str">
        <f t="shared" si="15"/>
        <v>Mediana</v>
      </c>
      <c r="L231" s="326">
        <f>IFERROR(COUNTA('LP Reactivos'!F231,'LP Reactivos'!I231,'LP Reactivos'!N231,'LP Reactivos'!S231,'LP Reactivos'!X231,'LP Reactivos'!AC231,'LP Reactivos'!AH231,'LP Reactivos'!AM231,'LP Reactivos'!AR231,'LP Reactivos'!AW231,'LP Reactivos'!BB231,'LP Reactivos'!BG231,'LP Reactivos'!BL231,'LP Reactivos'!BQ231,'LP Reactivos'!BV231,'LP Reactivos'!CA231,'LP Reactivos'!CF231,'LP Reactivos'!CK231,'LP Reactivos'!CP231,'LP Reactivos'!CU231,'LP Reactivos'!CZ231,'LP Reactivos'!DE231,'LP Reactivos'!DJ231,'LP Reactivos'!DO231,'LP Reactivos'!DT231,'LP Reactivos'!DY231,'LP Reactivos'!EB231)," ")</f>
        <v>3</v>
      </c>
    </row>
    <row r="232" spans="2:12" x14ac:dyDescent="0.25">
      <c r="B232" s="425">
        <v>230</v>
      </c>
      <c r="C232" s="427" t="s">
        <v>1411</v>
      </c>
      <c r="D232" s="429">
        <f>IFERROR(MIN('LP Reactivos'!F232,'LP Reactivos'!I232,'LP Reactivos'!N232,'LP Reactivos'!S232,'LP Reactivos'!X232,'LP Reactivos'!AC232,'LP Reactivos'!AH232,'LP Reactivos'!AM232,'LP Reactivos'!AR232,'LP Reactivos'!AW232,'LP Reactivos'!BB232,'LP Reactivos'!BG232,'LP Reactivos'!BL232,'LP Reactivos'!BQ232,'LP Reactivos'!BV232,'LP Reactivos'!CA232,'LP Reactivos'!CF232,'LP Reactivos'!CK232,'LP Reactivos'!CP232,'LP Reactivos'!CU232,'LP Reactivos'!CZ232,'LP Reactivos'!DE232,'LP Reactivos'!DJ232,'LP Reactivos'!DO232,'LP Reactivos'!DT232,'LP Reactivos'!DY232,'LP Reactivos'!EB232)," ")</f>
        <v>17596.292000000001</v>
      </c>
      <c r="E232" s="429">
        <f>IFERROR(AVERAGE('LP Reactivos'!F232,'LP Reactivos'!I232,'LP Reactivos'!N232,'LP Reactivos'!S232,'LP Reactivos'!X232,'LP Reactivos'!AC232,'LP Reactivos'!AH232,'LP Reactivos'!AM232,'LP Reactivos'!AR232,'LP Reactivos'!AW232,'LP Reactivos'!BB232,'LP Reactivos'!BG232,'LP Reactivos'!BL232,'LP Reactivos'!BQ232,'LP Reactivos'!BV232,'LP Reactivos'!CA232,'LP Reactivos'!CF232,'LP Reactivos'!CK232,'LP Reactivos'!CP232,'LP Reactivos'!CU232,'LP Reactivos'!CZ232,'LP Reactivos'!DE232,'LP Reactivos'!DJ232,'LP Reactivos'!DO232,'LP Reactivos'!DT232,'LP Reactivos'!DY232,'LP Reactivos'!EB232)," ")</f>
        <v>17596.292000000001</v>
      </c>
      <c r="F232" s="345">
        <f>IFERROR(MEDIAN('LP Reactivos'!F232,'LP Reactivos'!I232,'LP Reactivos'!N232,'LP Reactivos'!S232,'LP Reactivos'!X232,'LP Reactivos'!AC232,'LP Reactivos'!AH232,'LP Reactivos'!AM232,'LP Reactivos'!AR232,'LP Reactivos'!AW232,'LP Reactivos'!BB232,'LP Reactivos'!BG232,'LP Reactivos'!BL232,'LP Reactivos'!BQ232,'LP Reactivos'!BV232,'LP Reactivos'!CA232,'LP Reactivos'!CF232,'LP Reactivos'!CK232,'LP Reactivos'!CP232,'LP Reactivos'!CU232,'LP Reactivos'!CZ232,'LP Reactivos'!DE232,'LP Reactivos'!DJ232,'LP Reactivos'!DO232,'LP Reactivos'!DT232,'LP Reactivos'!DY232,'LP Reactivos'!EB232)," ")</f>
        <v>17596.292000000001</v>
      </c>
      <c r="G232" s="345">
        <f>IFERROR(GEOMEAN('LP Reactivos'!F232,'LP Reactivos'!I232,'LP Reactivos'!N232,'LP Reactivos'!S232,'LP Reactivos'!X232,'LP Reactivos'!AC232,'LP Reactivos'!AH232,'LP Reactivos'!AM232,'LP Reactivos'!AR232,'LP Reactivos'!AW232,'LP Reactivos'!BB232,'LP Reactivos'!BG232,'LP Reactivos'!BL232,'LP Reactivos'!BQ232,'LP Reactivos'!BV232,'LP Reactivos'!CA232,'LP Reactivos'!CF232,'LP Reactivos'!CK232,'LP Reactivos'!CP232,'LP Reactivos'!CU232,'LP Reactivos'!CZ232,'LP Reactivos'!DE232,'LP Reactivos'!DJ232,'LP Reactivos'!DO232,'LP Reactivos'!DT232,'LP Reactivos'!DY232,'LP Reactivos'!EB232)," ")</f>
        <v>17596.292000000001</v>
      </c>
      <c r="H232" s="345">
        <f t="shared" ref="H232:H295" si="16">STDEVA(D232,E232,F232,G232)</f>
        <v>0</v>
      </c>
      <c r="I232" s="346">
        <f t="shared" ref="I232:I295" si="17">IFERROR(H232/E232," ")</f>
        <v>0</v>
      </c>
      <c r="J232" s="345">
        <f t="shared" ref="J232:J295" si="18">IF(I232&lt;=10%,F232,IF(AND(I232&gt;10%,I232&lt;=20%),E232,IF(AND(I232&gt;20%,I232&lt;=30%),G232,IF(I232&gt;30%,D232))))</f>
        <v>17596.292000000001</v>
      </c>
      <c r="K232" s="344" t="str">
        <f t="shared" ref="K232:K295" si="19">IF(J232=D232,"Menor Valor",IF(J232=E232,"Promedio",IF(J232=F232,"Mediana",IF(J232=G232,"Media Geométrica"," "))))</f>
        <v>Menor Valor</v>
      </c>
      <c r="L232" s="326">
        <f>IFERROR(COUNTA('LP Reactivos'!F232,'LP Reactivos'!I232,'LP Reactivos'!N232,'LP Reactivos'!S232,'LP Reactivos'!X232,'LP Reactivos'!AC232,'LP Reactivos'!AH232,'LP Reactivos'!AM232,'LP Reactivos'!AR232,'LP Reactivos'!AW232,'LP Reactivos'!BB232,'LP Reactivos'!BG232,'LP Reactivos'!BL232,'LP Reactivos'!BQ232,'LP Reactivos'!BV232,'LP Reactivos'!CA232,'LP Reactivos'!CF232,'LP Reactivos'!CK232,'LP Reactivos'!CP232,'LP Reactivos'!CU232,'LP Reactivos'!CZ232,'LP Reactivos'!DE232,'LP Reactivos'!DJ232,'LP Reactivos'!DO232,'LP Reactivos'!DT232,'LP Reactivos'!DY232,'LP Reactivos'!EB232)," ")</f>
        <v>1</v>
      </c>
    </row>
    <row r="233" spans="2:12" ht="27" x14ac:dyDescent="0.25">
      <c r="B233" s="425">
        <v>231</v>
      </c>
      <c r="C233" s="427" t="s">
        <v>1413</v>
      </c>
      <c r="D233" s="429">
        <f>IFERROR(MIN('LP Reactivos'!F233,'LP Reactivos'!I233,'LP Reactivos'!N233,'LP Reactivos'!S233,'LP Reactivos'!X233,'LP Reactivos'!AC233,'LP Reactivos'!AH233,'LP Reactivos'!AM233,'LP Reactivos'!AR233,'LP Reactivos'!AW233,'LP Reactivos'!BB233,'LP Reactivos'!BG233,'LP Reactivos'!BL233,'LP Reactivos'!BQ233,'LP Reactivos'!BV233,'LP Reactivos'!CA233,'LP Reactivos'!CF233,'LP Reactivos'!CK233,'LP Reactivos'!CP233,'LP Reactivos'!CU233,'LP Reactivos'!CZ233,'LP Reactivos'!DE233,'LP Reactivos'!DJ233,'LP Reactivos'!DO233,'LP Reactivos'!DT233,'LP Reactivos'!DY233,'LP Reactivos'!EB233)," ")</f>
        <v>184450</v>
      </c>
      <c r="E233" s="429">
        <f>IFERROR(AVERAGE('LP Reactivos'!F233,'LP Reactivos'!I233,'LP Reactivos'!N233,'LP Reactivos'!S233,'LP Reactivos'!X233,'LP Reactivos'!AC233,'LP Reactivos'!AH233,'LP Reactivos'!AM233,'LP Reactivos'!AR233,'LP Reactivos'!AW233,'LP Reactivos'!BB233,'LP Reactivos'!BG233,'LP Reactivos'!BL233,'LP Reactivos'!BQ233,'LP Reactivos'!BV233,'LP Reactivos'!CA233,'LP Reactivos'!CF233,'LP Reactivos'!CK233,'LP Reactivos'!CP233,'LP Reactivos'!CU233,'LP Reactivos'!CZ233,'LP Reactivos'!DE233,'LP Reactivos'!DJ233,'LP Reactivos'!DO233,'LP Reactivos'!DT233,'LP Reactivos'!DY233,'LP Reactivos'!EB233)," ")</f>
        <v>604232.66666666663</v>
      </c>
      <c r="F233" s="345">
        <f>IFERROR(MEDIAN('LP Reactivos'!F233,'LP Reactivos'!I233,'LP Reactivos'!N233,'LP Reactivos'!S233,'LP Reactivos'!X233,'LP Reactivos'!AC233,'LP Reactivos'!AH233,'LP Reactivos'!AM233,'LP Reactivos'!AR233,'LP Reactivos'!AW233,'LP Reactivos'!BB233,'LP Reactivos'!BG233,'LP Reactivos'!BL233,'LP Reactivos'!BQ233,'LP Reactivos'!BV233,'LP Reactivos'!CA233,'LP Reactivos'!CF233,'LP Reactivos'!CK233,'LP Reactivos'!CP233,'LP Reactivos'!CU233,'LP Reactivos'!CZ233,'LP Reactivos'!DE233,'LP Reactivos'!DJ233,'LP Reactivos'!DO233,'LP Reactivos'!DT233,'LP Reactivos'!DY233,'LP Reactivos'!EB233)," ")</f>
        <v>194298</v>
      </c>
      <c r="G233" s="345">
        <f>IFERROR(GEOMEAN('LP Reactivos'!F233,'LP Reactivos'!I233,'LP Reactivos'!N233,'LP Reactivos'!S233,'LP Reactivos'!X233,'LP Reactivos'!AC233,'LP Reactivos'!AH233,'LP Reactivos'!AM233,'LP Reactivos'!AR233,'LP Reactivos'!AW233,'LP Reactivos'!BB233,'LP Reactivos'!BG233,'LP Reactivos'!BL233,'LP Reactivos'!BQ233,'LP Reactivos'!BV233,'LP Reactivos'!CA233,'LP Reactivos'!CF233,'LP Reactivos'!CK233,'LP Reactivos'!CP233,'LP Reactivos'!CU233,'LP Reactivos'!CZ233,'LP Reactivos'!DE233,'LP Reactivos'!DJ233,'LP Reactivos'!DO233,'LP Reactivos'!DT233,'LP Reactivos'!DY233,'LP Reactivos'!EB233)," ")</f>
        <v>371786.5428432094</v>
      </c>
      <c r="H233" s="345">
        <f t="shared" si="16"/>
        <v>196847.92456752202</v>
      </c>
      <c r="I233" s="346">
        <f t="shared" si="17"/>
        <v>0.32578166561808203</v>
      </c>
      <c r="J233" s="345">
        <f>IF(I233&lt;=10%,F233,IF(AND(I233&gt;10%,I233&lt;=20%),E233,IF(AND(I233&gt;20%,I233&lt;=33%),G233,IF(I233&gt;33%,D233))))</f>
        <v>371786.5428432094</v>
      </c>
      <c r="K233" s="344" t="str">
        <f t="shared" si="19"/>
        <v>Media Geométrica</v>
      </c>
      <c r="L233" s="326">
        <f>IFERROR(COUNTA('LP Reactivos'!F233,'LP Reactivos'!I233,'LP Reactivos'!N233,'LP Reactivos'!S233,'LP Reactivos'!X233,'LP Reactivos'!AC233,'LP Reactivos'!AH233,'LP Reactivos'!AM233,'LP Reactivos'!AR233,'LP Reactivos'!AW233,'LP Reactivos'!BB233,'LP Reactivos'!BG233,'LP Reactivos'!BL233,'LP Reactivos'!BQ233,'LP Reactivos'!BV233,'LP Reactivos'!CA233,'LP Reactivos'!CF233,'LP Reactivos'!CK233,'LP Reactivos'!CP233,'LP Reactivos'!CU233,'LP Reactivos'!CZ233,'LP Reactivos'!DE233,'LP Reactivos'!DJ233,'LP Reactivos'!DO233,'LP Reactivos'!DT233,'LP Reactivos'!DY233,'LP Reactivos'!EB233)," ")</f>
        <v>3</v>
      </c>
    </row>
    <row r="234" spans="2:12" ht="27" x14ac:dyDescent="0.25">
      <c r="B234" s="425">
        <v>232</v>
      </c>
      <c r="C234" s="427" t="s">
        <v>1416</v>
      </c>
      <c r="D234" s="429">
        <f>IFERROR(MIN('LP Reactivos'!F234,'LP Reactivos'!I234,'LP Reactivos'!N234,'LP Reactivos'!S234,'LP Reactivos'!X234,'LP Reactivos'!AC234,'LP Reactivos'!AH234,'LP Reactivos'!AM234,'LP Reactivos'!AR234,'LP Reactivos'!AW234,'LP Reactivos'!BB234,'LP Reactivos'!BG234,'LP Reactivos'!BL234,'LP Reactivos'!BQ234,'LP Reactivos'!BV234,'LP Reactivos'!CA234,'LP Reactivos'!CF234,'LP Reactivos'!CK234,'LP Reactivos'!CP234,'LP Reactivos'!CU234,'LP Reactivos'!CZ234,'LP Reactivos'!DE234,'LP Reactivos'!DJ234,'LP Reactivos'!DO234,'LP Reactivos'!DT234,'LP Reactivos'!DY234,'LP Reactivos'!EB234)," ")</f>
        <v>277270</v>
      </c>
      <c r="E234" s="429">
        <f>IFERROR(AVERAGE('LP Reactivos'!F234,'LP Reactivos'!I234,'LP Reactivos'!N234,'LP Reactivos'!S234,'LP Reactivos'!X234,'LP Reactivos'!AC234,'LP Reactivos'!AH234,'LP Reactivos'!AM234,'LP Reactivos'!AR234,'LP Reactivos'!AW234,'LP Reactivos'!BB234,'LP Reactivos'!BG234,'LP Reactivos'!BL234,'LP Reactivos'!BQ234,'LP Reactivos'!BV234,'LP Reactivos'!CA234,'LP Reactivos'!CF234,'LP Reactivos'!CK234,'LP Reactivos'!CP234,'LP Reactivos'!CU234,'LP Reactivos'!CZ234,'LP Reactivos'!DE234,'LP Reactivos'!DJ234,'LP Reactivos'!DO234,'LP Reactivos'!DT234,'LP Reactivos'!DY234,'LP Reactivos'!EB234)," ")</f>
        <v>622544.66666666663</v>
      </c>
      <c r="F234" s="345">
        <f>IFERROR(MEDIAN('LP Reactivos'!F234,'LP Reactivos'!I234,'LP Reactivos'!N234,'LP Reactivos'!S234,'LP Reactivos'!X234,'LP Reactivos'!AC234,'LP Reactivos'!AH234,'LP Reactivos'!AM234,'LP Reactivos'!AR234,'LP Reactivos'!AW234,'LP Reactivos'!BB234,'LP Reactivos'!BG234,'LP Reactivos'!BL234,'LP Reactivos'!BQ234,'LP Reactivos'!BV234,'LP Reactivos'!CA234,'LP Reactivos'!CF234,'LP Reactivos'!CK234,'LP Reactivos'!CP234,'LP Reactivos'!CU234,'LP Reactivos'!CZ234,'LP Reactivos'!DE234,'LP Reactivos'!DJ234,'LP Reactivos'!DO234,'LP Reactivos'!DT234,'LP Reactivos'!DY234,'LP Reactivos'!EB234)," ")</f>
        <v>292074</v>
      </c>
      <c r="G234" s="345">
        <f>IFERROR(GEOMEAN('LP Reactivos'!F234,'LP Reactivos'!I234,'LP Reactivos'!N234,'LP Reactivos'!S234,'LP Reactivos'!X234,'LP Reactivos'!AC234,'LP Reactivos'!AH234,'LP Reactivos'!AM234,'LP Reactivos'!AR234,'LP Reactivos'!AW234,'LP Reactivos'!BB234,'LP Reactivos'!BG234,'LP Reactivos'!BL234,'LP Reactivos'!BQ234,'LP Reactivos'!BV234,'LP Reactivos'!CA234,'LP Reactivos'!CF234,'LP Reactivos'!CK234,'LP Reactivos'!CP234,'LP Reactivos'!CU234,'LP Reactivos'!CZ234,'LP Reactivos'!DE234,'LP Reactivos'!DJ234,'LP Reactivos'!DO234,'LP Reactivos'!DT234,'LP Reactivos'!DY234,'LP Reactivos'!EB234)," ")</f>
        <v>471978.80637125217</v>
      </c>
      <c r="H234" s="345">
        <f t="shared" si="16"/>
        <v>163705.00712801042</v>
      </c>
      <c r="I234" s="346">
        <f t="shared" si="17"/>
        <v>0.26296106270502212</v>
      </c>
      <c r="J234" s="345">
        <f t="shared" si="18"/>
        <v>471978.80637125217</v>
      </c>
      <c r="K234" s="344" t="str">
        <f t="shared" si="19"/>
        <v>Media Geométrica</v>
      </c>
      <c r="L234" s="326">
        <f>IFERROR(COUNTA('LP Reactivos'!F234,'LP Reactivos'!I234,'LP Reactivos'!N234,'LP Reactivos'!S234,'LP Reactivos'!X234,'LP Reactivos'!AC234,'LP Reactivos'!AH234,'LP Reactivos'!AM234,'LP Reactivos'!AR234,'LP Reactivos'!AW234,'LP Reactivos'!BB234,'LP Reactivos'!BG234,'LP Reactivos'!BL234,'LP Reactivos'!BQ234,'LP Reactivos'!BV234,'LP Reactivos'!CA234,'LP Reactivos'!CF234,'LP Reactivos'!CK234,'LP Reactivos'!CP234,'LP Reactivos'!CU234,'LP Reactivos'!CZ234,'LP Reactivos'!DE234,'LP Reactivos'!DJ234,'LP Reactivos'!DO234,'LP Reactivos'!DT234,'LP Reactivos'!DY234,'LP Reactivos'!EB234)," ")</f>
        <v>3</v>
      </c>
    </row>
    <row r="235" spans="2:12" ht="27" x14ac:dyDescent="0.25">
      <c r="B235" s="425">
        <v>233</v>
      </c>
      <c r="C235" s="427" t="s">
        <v>1419</v>
      </c>
      <c r="D235" s="429">
        <f>IFERROR(MIN('LP Reactivos'!F235,'LP Reactivos'!I235,'LP Reactivos'!N235,'LP Reactivos'!S235,'LP Reactivos'!X235,'LP Reactivos'!AC235,'LP Reactivos'!AH235,'LP Reactivos'!AM235,'LP Reactivos'!AR235,'LP Reactivos'!AW235,'LP Reactivos'!BB235,'LP Reactivos'!BG235,'LP Reactivos'!BL235,'LP Reactivos'!BQ235,'LP Reactivos'!BV235,'LP Reactivos'!CA235,'LP Reactivos'!CF235,'LP Reactivos'!CK235,'LP Reactivos'!CP235,'LP Reactivos'!CU235,'LP Reactivos'!CZ235,'LP Reactivos'!DE235,'LP Reactivos'!DJ235,'LP Reactivos'!DO235,'LP Reactivos'!DT235,'LP Reactivos'!DY235,'LP Reactivos'!EB235)," ")</f>
        <v>260610</v>
      </c>
      <c r="E235" s="429">
        <f>IFERROR(AVERAGE('LP Reactivos'!F235,'LP Reactivos'!I235,'LP Reactivos'!N235,'LP Reactivos'!S235,'LP Reactivos'!X235,'LP Reactivos'!AC235,'LP Reactivos'!AH235,'LP Reactivos'!AM235,'LP Reactivos'!AR235,'LP Reactivos'!AW235,'LP Reactivos'!BB235,'LP Reactivos'!BG235,'LP Reactivos'!BL235,'LP Reactivos'!BQ235,'LP Reactivos'!BV235,'LP Reactivos'!CA235,'LP Reactivos'!CF235,'LP Reactivos'!CK235,'LP Reactivos'!CP235,'LP Reactivos'!CU235,'LP Reactivos'!CZ235,'LP Reactivos'!DE235,'LP Reactivos'!DJ235,'LP Reactivos'!DO235,'LP Reactivos'!DT235,'LP Reactivos'!DY235,'LP Reactivos'!EB235)," ")</f>
        <v>723794.66666666663</v>
      </c>
      <c r="F235" s="345">
        <f>IFERROR(MEDIAN('LP Reactivos'!F235,'LP Reactivos'!I235,'LP Reactivos'!N235,'LP Reactivos'!S235,'LP Reactivos'!X235,'LP Reactivos'!AC235,'LP Reactivos'!AH235,'LP Reactivos'!AM235,'LP Reactivos'!AR235,'LP Reactivos'!AW235,'LP Reactivos'!BB235,'LP Reactivos'!BG235,'LP Reactivos'!BL235,'LP Reactivos'!BQ235,'LP Reactivos'!BV235,'LP Reactivos'!CA235,'LP Reactivos'!CF235,'LP Reactivos'!CK235,'LP Reactivos'!CP235,'LP Reactivos'!CU235,'LP Reactivos'!CZ235,'LP Reactivos'!DE235,'LP Reactivos'!DJ235,'LP Reactivos'!DO235,'LP Reactivos'!DT235,'LP Reactivos'!DY235,'LP Reactivos'!EB235)," ")</f>
        <v>274524</v>
      </c>
      <c r="G235" s="345">
        <f>IFERROR(GEOMEAN('LP Reactivos'!F235,'LP Reactivos'!I235,'LP Reactivos'!N235,'LP Reactivos'!S235,'LP Reactivos'!X235,'LP Reactivos'!AC235,'LP Reactivos'!AH235,'LP Reactivos'!AM235,'LP Reactivos'!AR235,'LP Reactivos'!AW235,'LP Reactivos'!BB235,'LP Reactivos'!BG235,'LP Reactivos'!BL235,'LP Reactivos'!BQ235,'LP Reactivos'!BV235,'LP Reactivos'!CA235,'LP Reactivos'!CF235,'LP Reactivos'!CK235,'LP Reactivos'!CP235,'LP Reactivos'!CU235,'LP Reactivos'!CZ235,'LP Reactivos'!DE235,'LP Reactivos'!DJ235,'LP Reactivos'!DO235,'LP Reactivos'!DT235,'LP Reactivos'!DY235,'LP Reactivos'!EB235)," ")</f>
        <v>489185.62287547515</v>
      </c>
      <c r="H235" s="345">
        <f t="shared" si="16"/>
        <v>217934.5463465435</v>
      </c>
      <c r="I235" s="346">
        <f t="shared" si="17"/>
        <v>0.30109996160956815</v>
      </c>
      <c r="J235" s="345">
        <f>IF(I235&lt;=10%,F235,IF(AND(I235&gt;10%,I235&lt;=20%),E235,IF(AND(I235&gt;20%,I235&lt;=31%),G235,IF(I235&gt;31%,D235))))</f>
        <v>489185.62287547515</v>
      </c>
      <c r="K235" s="344" t="str">
        <f t="shared" si="19"/>
        <v>Media Geométrica</v>
      </c>
      <c r="L235" s="326">
        <f>IFERROR(COUNTA('LP Reactivos'!F235,'LP Reactivos'!I235,'LP Reactivos'!N235,'LP Reactivos'!S235,'LP Reactivos'!X235,'LP Reactivos'!AC235,'LP Reactivos'!AH235,'LP Reactivos'!AM235,'LP Reactivos'!AR235,'LP Reactivos'!AW235,'LP Reactivos'!BB235,'LP Reactivos'!BG235,'LP Reactivos'!BL235,'LP Reactivos'!BQ235,'LP Reactivos'!BV235,'LP Reactivos'!CA235,'LP Reactivos'!CF235,'LP Reactivos'!CK235,'LP Reactivos'!CP235,'LP Reactivos'!CU235,'LP Reactivos'!CZ235,'LP Reactivos'!DE235,'LP Reactivos'!DJ235,'LP Reactivos'!DO235,'LP Reactivos'!DT235,'LP Reactivos'!DY235,'LP Reactivos'!EB235)," ")</f>
        <v>3</v>
      </c>
    </row>
    <row r="236" spans="2:12" ht="40.5" x14ac:dyDescent="0.25">
      <c r="B236" s="425">
        <v>234</v>
      </c>
      <c r="C236" s="426" t="s">
        <v>1422</v>
      </c>
      <c r="D236" s="429">
        <f>IFERROR(MIN('LP Reactivos'!F236,'LP Reactivos'!I236,'LP Reactivos'!N236,'LP Reactivos'!S236,'LP Reactivos'!X236,'LP Reactivos'!AC236,'LP Reactivos'!AH236,'LP Reactivos'!AM236,'LP Reactivos'!AR236,'LP Reactivos'!AW236,'LP Reactivos'!BB236,'LP Reactivos'!BG236,'LP Reactivos'!BL236,'LP Reactivos'!BQ236,'LP Reactivos'!BV236,'LP Reactivos'!CA236,'LP Reactivos'!CF236,'LP Reactivos'!CK236,'LP Reactivos'!CP236,'LP Reactivos'!CU236,'LP Reactivos'!CZ236,'LP Reactivos'!DE236,'LP Reactivos'!DJ236,'LP Reactivos'!DO236,'LP Reactivos'!DT236,'LP Reactivos'!DY236,'LP Reactivos'!EB236)," ")</f>
        <v>334390</v>
      </c>
      <c r="E236" s="429">
        <f>IFERROR(AVERAGE('LP Reactivos'!F236,'LP Reactivos'!I236,'LP Reactivos'!N236,'LP Reactivos'!S236,'LP Reactivos'!X236,'LP Reactivos'!AC236,'LP Reactivos'!AH236,'LP Reactivos'!AM236,'LP Reactivos'!AR236,'LP Reactivos'!AW236,'LP Reactivos'!BB236,'LP Reactivos'!BG236,'LP Reactivos'!BL236,'LP Reactivos'!BQ236,'LP Reactivos'!BV236,'LP Reactivos'!CA236,'LP Reactivos'!CF236,'LP Reactivos'!CK236,'LP Reactivos'!CP236,'LP Reactivos'!CU236,'LP Reactivos'!CZ236,'LP Reactivos'!DE236,'LP Reactivos'!DJ236,'LP Reactivos'!DO236,'LP Reactivos'!DT236,'LP Reactivos'!DY236,'LP Reactivos'!EB236)," ")</f>
        <v>766257.4439999999</v>
      </c>
      <c r="F236" s="345">
        <f>IFERROR(MEDIAN('LP Reactivos'!F236,'LP Reactivos'!I236,'LP Reactivos'!N236,'LP Reactivos'!S236,'LP Reactivos'!X236,'LP Reactivos'!AC236,'LP Reactivos'!AH236,'LP Reactivos'!AM236,'LP Reactivos'!AR236,'LP Reactivos'!AW236,'LP Reactivos'!BB236,'LP Reactivos'!BG236,'LP Reactivos'!BL236,'LP Reactivos'!BQ236,'LP Reactivos'!BV236,'LP Reactivos'!CA236,'LP Reactivos'!CF236,'LP Reactivos'!CK236,'LP Reactivos'!CP236,'LP Reactivos'!CU236,'LP Reactivos'!CZ236,'LP Reactivos'!DE236,'LP Reactivos'!DJ236,'LP Reactivos'!DO236,'LP Reactivos'!DT236,'LP Reactivos'!DY236,'LP Reactivos'!EB236)," ")</f>
        <v>393399.72</v>
      </c>
      <c r="G236" s="345">
        <f>IFERROR(GEOMEAN('LP Reactivos'!F236,'LP Reactivos'!I236,'LP Reactivos'!N236,'LP Reactivos'!S236,'LP Reactivos'!X236,'LP Reactivos'!AC236,'LP Reactivos'!AH236,'LP Reactivos'!AM236,'LP Reactivos'!AR236,'LP Reactivos'!AW236,'LP Reactivos'!BB236,'LP Reactivos'!BG236,'LP Reactivos'!BL236,'LP Reactivos'!BQ236,'LP Reactivos'!BV236,'LP Reactivos'!CA236,'LP Reactivos'!CF236,'LP Reactivos'!CK236,'LP Reactivos'!CP236,'LP Reactivos'!CU236,'LP Reactivos'!CZ236,'LP Reactivos'!DE236,'LP Reactivos'!DJ236,'LP Reactivos'!DO236,'LP Reactivos'!DT236,'LP Reactivos'!DY236,'LP Reactivos'!EB236)," ")</f>
        <v>590191.34730605374</v>
      </c>
      <c r="H236" s="345">
        <f t="shared" si="16"/>
        <v>196675.50746818798</v>
      </c>
      <c r="I236" s="346">
        <f t="shared" si="17"/>
        <v>0.25667027316760138</v>
      </c>
      <c r="J236" s="345">
        <f t="shared" si="18"/>
        <v>590191.34730605374</v>
      </c>
      <c r="K236" s="344" t="str">
        <f t="shared" si="19"/>
        <v>Media Geométrica</v>
      </c>
      <c r="L236" s="326">
        <f>IFERROR(COUNTA('LP Reactivos'!F236,'LP Reactivos'!I236,'LP Reactivos'!N236,'LP Reactivos'!S236,'LP Reactivos'!X236,'LP Reactivos'!AC236,'LP Reactivos'!AH236,'LP Reactivos'!AM236,'LP Reactivos'!AR236,'LP Reactivos'!AW236,'LP Reactivos'!BB236,'LP Reactivos'!BG236,'LP Reactivos'!BL236,'LP Reactivos'!BQ236,'LP Reactivos'!BV236,'LP Reactivos'!CA236,'LP Reactivos'!CF236,'LP Reactivos'!CK236,'LP Reactivos'!CP236,'LP Reactivos'!CU236,'LP Reactivos'!CZ236,'LP Reactivos'!DE236,'LP Reactivos'!DJ236,'LP Reactivos'!DO236,'LP Reactivos'!DT236,'LP Reactivos'!DY236,'LP Reactivos'!EB236)," ")</f>
        <v>5</v>
      </c>
    </row>
    <row r="237" spans="2:12" ht="27" x14ac:dyDescent="0.25">
      <c r="B237" s="425">
        <v>235</v>
      </c>
      <c r="C237" s="427" t="s">
        <v>1429</v>
      </c>
      <c r="D237" s="429">
        <f>IFERROR(MIN('LP Reactivos'!F237,'LP Reactivos'!I237,'LP Reactivos'!N237,'LP Reactivos'!S237,'LP Reactivos'!X237,'LP Reactivos'!AC237,'LP Reactivos'!AH237,'LP Reactivos'!AM237,'LP Reactivos'!AR237,'LP Reactivos'!AW237,'LP Reactivos'!BB237,'LP Reactivos'!BG237,'LP Reactivos'!BL237,'LP Reactivos'!BQ237,'LP Reactivos'!BV237,'LP Reactivos'!CA237,'LP Reactivos'!CF237,'LP Reactivos'!CK237,'LP Reactivos'!CP237,'LP Reactivos'!CU237,'LP Reactivos'!CZ237,'LP Reactivos'!DE237,'LP Reactivos'!DJ237,'LP Reactivos'!DO237,'LP Reactivos'!DT237,'LP Reactivos'!DY237,'LP Reactivos'!EB237)," ")</f>
        <v>348670</v>
      </c>
      <c r="E237" s="429">
        <f>IFERROR(AVERAGE('LP Reactivos'!F237,'LP Reactivos'!I237,'LP Reactivos'!N237,'LP Reactivos'!S237,'LP Reactivos'!X237,'LP Reactivos'!AC237,'LP Reactivos'!AH237,'LP Reactivos'!AM237,'LP Reactivos'!AR237,'LP Reactivos'!AW237,'LP Reactivos'!BB237,'LP Reactivos'!BG237,'LP Reactivos'!BL237,'LP Reactivos'!BQ237,'LP Reactivos'!BV237,'LP Reactivos'!CA237,'LP Reactivos'!CF237,'LP Reactivos'!CK237,'LP Reactivos'!CP237,'LP Reactivos'!CU237,'LP Reactivos'!CZ237,'LP Reactivos'!DE237,'LP Reactivos'!DJ237,'LP Reactivos'!DO237,'LP Reactivos'!DT237,'LP Reactivos'!DY237,'LP Reactivos'!EB237)," ")</f>
        <v>818182</v>
      </c>
      <c r="F237" s="345">
        <f>IFERROR(MEDIAN('LP Reactivos'!F237,'LP Reactivos'!I237,'LP Reactivos'!N237,'LP Reactivos'!S237,'LP Reactivos'!X237,'LP Reactivos'!AC237,'LP Reactivos'!AH237,'LP Reactivos'!AM237,'LP Reactivos'!AR237,'LP Reactivos'!AW237,'LP Reactivos'!BB237,'LP Reactivos'!BG237,'LP Reactivos'!BL237,'LP Reactivos'!BQ237,'LP Reactivos'!BV237,'LP Reactivos'!CA237,'LP Reactivos'!CF237,'LP Reactivos'!CK237,'LP Reactivos'!CP237,'LP Reactivos'!CU237,'LP Reactivos'!CZ237,'LP Reactivos'!DE237,'LP Reactivos'!DJ237,'LP Reactivos'!DO237,'LP Reactivos'!DT237,'LP Reactivos'!DY237,'LP Reactivos'!EB237)," ")</f>
        <v>367286</v>
      </c>
      <c r="G237" s="345">
        <f>IFERROR(GEOMEAN('LP Reactivos'!F237,'LP Reactivos'!I237,'LP Reactivos'!N237,'LP Reactivos'!S237,'LP Reactivos'!X237,'LP Reactivos'!AC237,'LP Reactivos'!AH237,'LP Reactivos'!AM237,'LP Reactivos'!AR237,'LP Reactivos'!AW237,'LP Reactivos'!BB237,'LP Reactivos'!BG237,'LP Reactivos'!BL237,'LP Reactivos'!BQ237,'LP Reactivos'!BV237,'LP Reactivos'!CA237,'LP Reactivos'!CF237,'LP Reactivos'!CK237,'LP Reactivos'!CP237,'LP Reactivos'!CU237,'LP Reactivos'!CZ237,'LP Reactivos'!DE237,'LP Reactivos'!DJ237,'LP Reactivos'!DO237,'LP Reactivos'!DT237,'LP Reactivos'!DY237,'LP Reactivos'!EB237)," ")</f>
        <v>606092.22262735479</v>
      </c>
      <c r="H237" s="345">
        <f t="shared" si="16"/>
        <v>222180.85027553767</v>
      </c>
      <c r="I237" s="346">
        <f t="shared" si="17"/>
        <v>0.27155431221358778</v>
      </c>
      <c r="J237" s="345">
        <f t="shared" si="18"/>
        <v>606092.22262735479</v>
      </c>
      <c r="K237" s="344" t="str">
        <f t="shared" si="19"/>
        <v>Media Geométrica</v>
      </c>
      <c r="L237" s="326">
        <f>IFERROR(COUNTA('LP Reactivos'!F237,'LP Reactivos'!I237,'LP Reactivos'!N237,'LP Reactivos'!S237,'LP Reactivos'!X237,'LP Reactivos'!AC237,'LP Reactivos'!AH237,'LP Reactivos'!AM237,'LP Reactivos'!AR237,'LP Reactivos'!AW237,'LP Reactivos'!BB237,'LP Reactivos'!BG237,'LP Reactivos'!BL237,'LP Reactivos'!BQ237,'LP Reactivos'!BV237,'LP Reactivos'!CA237,'LP Reactivos'!CF237,'LP Reactivos'!CK237,'LP Reactivos'!CP237,'LP Reactivos'!CU237,'LP Reactivos'!CZ237,'LP Reactivos'!DE237,'LP Reactivos'!DJ237,'LP Reactivos'!DO237,'LP Reactivos'!DT237,'LP Reactivos'!DY237,'LP Reactivos'!EB237)," ")</f>
        <v>3</v>
      </c>
    </row>
    <row r="238" spans="2:12" ht="40.5" x14ac:dyDescent="0.25">
      <c r="B238" s="425">
        <v>236</v>
      </c>
      <c r="C238" s="426" t="s">
        <v>1432</v>
      </c>
      <c r="D238" s="429">
        <f>IFERROR(MIN('LP Reactivos'!F238,'LP Reactivos'!I238,'LP Reactivos'!N238,'LP Reactivos'!S238,'LP Reactivos'!X238,'LP Reactivos'!AC238,'LP Reactivos'!AH238,'LP Reactivos'!AM238,'LP Reactivos'!AR238,'LP Reactivos'!AW238,'LP Reactivos'!BB238,'LP Reactivos'!BG238,'LP Reactivos'!BL238,'LP Reactivos'!BQ238,'LP Reactivos'!BV238,'LP Reactivos'!CA238,'LP Reactivos'!CF238,'LP Reactivos'!CK238,'LP Reactivos'!CP238,'LP Reactivos'!CU238,'LP Reactivos'!CZ238,'LP Reactivos'!DE238,'LP Reactivos'!DJ238,'LP Reactivos'!DO238,'LP Reactivos'!DT238,'LP Reactivos'!DY238,'LP Reactivos'!EB238)," ")</f>
        <v>134470</v>
      </c>
      <c r="E238" s="429">
        <f>IFERROR(AVERAGE('LP Reactivos'!F238,'LP Reactivos'!I238,'LP Reactivos'!N238,'LP Reactivos'!S238,'LP Reactivos'!X238,'LP Reactivos'!AC238,'LP Reactivos'!AH238,'LP Reactivos'!AM238,'LP Reactivos'!AR238,'LP Reactivos'!AW238,'LP Reactivos'!BB238,'LP Reactivos'!BG238,'LP Reactivos'!BL238,'LP Reactivos'!BQ238,'LP Reactivos'!BV238,'LP Reactivos'!CA238,'LP Reactivos'!CF238,'LP Reactivos'!CK238,'LP Reactivos'!CP238,'LP Reactivos'!CU238,'LP Reactivos'!CZ238,'LP Reactivos'!DE238,'LP Reactivos'!DJ238,'LP Reactivos'!DO238,'LP Reactivos'!DT238,'LP Reactivos'!DY238,'LP Reactivos'!EB238)," ")</f>
        <v>1251634.2333333334</v>
      </c>
      <c r="F238" s="345">
        <f>IFERROR(MEDIAN('LP Reactivos'!F238,'LP Reactivos'!I238,'LP Reactivos'!N238,'LP Reactivos'!S238,'LP Reactivos'!X238,'LP Reactivos'!AC238,'LP Reactivos'!AH238,'LP Reactivos'!AM238,'LP Reactivos'!AR238,'LP Reactivos'!AW238,'LP Reactivos'!BB238,'LP Reactivos'!BG238,'LP Reactivos'!BL238,'LP Reactivos'!BQ238,'LP Reactivos'!BV238,'LP Reactivos'!CA238,'LP Reactivos'!CF238,'LP Reactivos'!CK238,'LP Reactivos'!CP238,'LP Reactivos'!CU238,'LP Reactivos'!CZ238,'LP Reactivos'!DE238,'LP Reactivos'!DJ238,'LP Reactivos'!DO238,'LP Reactivos'!DT238,'LP Reactivos'!DY238,'LP Reactivos'!EB238)," ")</f>
        <v>895475</v>
      </c>
      <c r="G238" s="345">
        <f>IFERROR(GEOMEAN('LP Reactivos'!F238,'LP Reactivos'!I238,'LP Reactivos'!N238,'LP Reactivos'!S238,'LP Reactivos'!X238,'LP Reactivos'!AC238,'LP Reactivos'!AH238,'LP Reactivos'!AM238,'LP Reactivos'!AR238,'LP Reactivos'!AW238,'LP Reactivos'!BB238,'LP Reactivos'!BG238,'LP Reactivos'!BL238,'LP Reactivos'!BQ238,'LP Reactivos'!BV238,'LP Reactivos'!CA238,'LP Reactivos'!CF238,'LP Reactivos'!CK238,'LP Reactivos'!CP238,'LP Reactivos'!CU238,'LP Reactivos'!CZ238,'LP Reactivos'!DE238,'LP Reactivos'!DJ238,'LP Reactivos'!DO238,'LP Reactivos'!DT238,'LP Reactivos'!DY238,'LP Reactivos'!EB238)," ")</f>
        <v>561436.3650466043</v>
      </c>
      <c r="H238" s="345">
        <f t="shared" si="16"/>
        <v>476470.45358404471</v>
      </c>
      <c r="I238" s="346">
        <f t="shared" si="17"/>
        <v>0.38067866865155631</v>
      </c>
      <c r="J238" s="345">
        <f>IF(I238&lt;=10%,F238,IF(AND(I238&gt;10%,I238&lt;=20%),E238,IF(AND(I238&gt;20%,I238&lt;=39%),G238,IF(I238&gt;39%,D238))))</f>
        <v>561436.3650466043</v>
      </c>
      <c r="K238" s="344" t="str">
        <f t="shared" si="19"/>
        <v>Media Geométrica</v>
      </c>
      <c r="L238" s="326">
        <f>IFERROR(COUNTA('LP Reactivos'!F238,'LP Reactivos'!I238,'LP Reactivos'!N238,'LP Reactivos'!S238,'LP Reactivos'!X238,'LP Reactivos'!AC238,'LP Reactivos'!AH238,'LP Reactivos'!AM238,'LP Reactivos'!AR238,'LP Reactivos'!AW238,'LP Reactivos'!BB238,'LP Reactivos'!BG238,'LP Reactivos'!BL238,'LP Reactivos'!BQ238,'LP Reactivos'!BV238,'LP Reactivos'!CA238,'LP Reactivos'!CF238,'LP Reactivos'!CK238,'LP Reactivos'!CP238,'LP Reactivos'!CU238,'LP Reactivos'!CZ238,'LP Reactivos'!DE238,'LP Reactivos'!DJ238,'LP Reactivos'!DO238,'LP Reactivos'!DT238,'LP Reactivos'!DY238,'LP Reactivos'!EB238)," ")</f>
        <v>6</v>
      </c>
    </row>
    <row r="239" spans="2:12" ht="40.5" x14ac:dyDescent="0.25">
      <c r="B239" s="425">
        <v>237</v>
      </c>
      <c r="C239" s="426" t="s">
        <v>1436</v>
      </c>
      <c r="D239" s="429">
        <f>IFERROR(MIN('LP Reactivos'!F239,'LP Reactivos'!I239,'LP Reactivos'!N239,'LP Reactivos'!S239,'LP Reactivos'!X239,'LP Reactivos'!AC239,'LP Reactivos'!AH239,'LP Reactivos'!AM239,'LP Reactivos'!AR239,'LP Reactivos'!AW239,'LP Reactivos'!BB239,'LP Reactivos'!BG239,'LP Reactivos'!BL239,'LP Reactivos'!BQ239,'LP Reactivos'!BV239,'LP Reactivos'!CA239,'LP Reactivos'!CF239,'LP Reactivos'!CK239,'LP Reactivos'!CP239,'LP Reactivos'!CU239,'LP Reactivos'!CZ239,'LP Reactivos'!DE239,'LP Reactivos'!DJ239,'LP Reactivos'!DO239,'LP Reactivos'!DT239,'LP Reactivos'!DY239,'LP Reactivos'!EB239)," ")</f>
        <v>281000</v>
      </c>
      <c r="E239" s="429">
        <f>IFERROR(AVERAGE('LP Reactivos'!F239,'LP Reactivos'!I239,'LP Reactivos'!N239,'LP Reactivos'!S239,'LP Reactivos'!X239,'LP Reactivos'!AC239,'LP Reactivos'!AH239,'LP Reactivos'!AM239,'LP Reactivos'!AR239,'LP Reactivos'!AW239,'LP Reactivos'!BB239,'LP Reactivos'!BG239,'LP Reactivos'!BL239,'LP Reactivos'!BQ239,'LP Reactivos'!BV239,'LP Reactivos'!CA239,'LP Reactivos'!CF239,'LP Reactivos'!CK239,'LP Reactivos'!CP239,'LP Reactivos'!CU239,'LP Reactivos'!CZ239,'LP Reactivos'!DE239,'LP Reactivos'!DJ239,'LP Reactivos'!DO239,'LP Reactivos'!DT239,'LP Reactivos'!DY239,'LP Reactivos'!EB239)," ")</f>
        <v>1409351.0279999999</v>
      </c>
      <c r="F239" s="345">
        <f>IFERROR(MEDIAN('LP Reactivos'!F239,'LP Reactivos'!I239,'LP Reactivos'!N239,'LP Reactivos'!S239,'LP Reactivos'!X239,'LP Reactivos'!AC239,'LP Reactivos'!AH239,'LP Reactivos'!AM239,'LP Reactivos'!AR239,'LP Reactivos'!AW239,'LP Reactivos'!BB239,'LP Reactivos'!BG239,'LP Reactivos'!BL239,'LP Reactivos'!BQ239,'LP Reactivos'!BV239,'LP Reactivos'!CA239,'LP Reactivos'!CF239,'LP Reactivos'!CK239,'LP Reactivos'!CP239,'LP Reactivos'!CU239,'LP Reactivos'!CZ239,'LP Reactivos'!DE239,'LP Reactivos'!DJ239,'LP Reactivos'!DO239,'LP Reactivos'!DT239,'LP Reactivos'!DY239,'LP Reactivos'!EB239)," ")</f>
        <v>913920</v>
      </c>
      <c r="G239" s="345">
        <f>IFERROR(GEOMEAN('LP Reactivos'!F239,'LP Reactivos'!I239,'LP Reactivos'!N239,'LP Reactivos'!S239,'LP Reactivos'!X239,'LP Reactivos'!AC239,'LP Reactivos'!AH239,'LP Reactivos'!AM239,'LP Reactivos'!AR239,'LP Reactivos'!AW239,'LP Reactivos'!BB239,'LP Reactivos'!BG239,'LP Reactivos'!BL239,'LP Reactivos'!BQ239,'LP Reactivos'!BV239,'LP Reactivos'!CA239,'LP Reactivos'!CF239,'LP Reactivos'!CK239,'LP Reactivos'!CP239,'LP Reactivos'!CU239,'LP Reactivos'!CZ239,'LP Reactivos'!DE239,'LP Reactivos'!DJ239,'LP Reactivos'!DO239,'LP Reactivos'!DT239,'LP Reactivos'!DY239,'LP Reactivos'!EB239)," ")</f>
        <v>896362.37097552745</v>
      </c>
      <c r="H239" s="345">
        <f t="shared" si="16"/>
        <v>462002.17824875645</v>
      </c>
      <c r="I239" s="346">
        <f t="shared" si="17"/>
        <v>0.32781199933162181</v>
      </c>
      <c r="J239" s="345">
        <f>IF(I239&lt;=10%,F239,IF(AND(I239&gt;10%,I239&lt;=20%),E239,IF(AND(I239&gt;20%,I239&lt;=33%),G239,IF(I239&gt;33%,D239))))</f>
        <v>896362.37097552745</v>
      </c>
      <c r="K239" s="344" t="str">
        <f t="shared" si="19"/>
        <v>Media Geométrica</v>
      </c>
      <c r="L239" s="326">
        <f>IFERROR(COUNTA('LP Reactivos'!F239,'LP Reactivos'!I239,'LP Reactivos'!N239,'LP Reactivos'!S239,'LP Reactivos'!X239,'LP Reactivos'!AC239,'LP Reactivos'!AH239,'LP Reactivos'!AM239,'LP Reactivos'!AR239,'LP Reactivos'!AW239,'LP Reactivos'!BB239,'LP Reactivos'!BG239,'LP Reactivos'!BL239,'LP Reactivos'!BQ239,'LP Reactivos'!BV239,'LP Reactivos'!CA239,'LP Reactivos'!CF239,'LP Reactivos'!CK239,'LP Reactivos'!CP239,'LP Reactivos'!CU239,'LP Reactivos'!CZ239,'LP Reactivos'!DE239,'LP Reactivos'!DJ239,'LP Reactivos'!DO239,'LP Reactivos'!DT239,'LP Reactivos'!DY239,'LP Reactivos'!EB239)," ")</f>
        <v>5</v>
      </c>
    </row>
    <row r="240" spans="2:12" ht="40.5" x14ac:dyDescent="0.25">
      <c r="B240" s="425">
        <v>238</v>
      </c>
      <c r="C240" s="426" t="s">
        <v>1442</v>
      </c>
      <c r="D240" s="429">
        <f>IFERROR(MIN('LP Reactivos'!F240,'LP Reactivos'!I240,'LP Reactivos'!N240,'LP Reactivos'!S240,'LP Reactivos'!X240,'LP Reactivos'!AC240,'LP Reactivos'!AH240,'LP Reactivos'!AM240,'LP Reactivos'!AR240,'LP Reactivos'!AW240,'LP Reactivos'!BB240,'LP Reactivos'!BG240,'LP Reactivos'!BL240,'LP Reactivos'!BQ240,'LP Reactivos'!BV240,'LP Reactivos'!CA240,'LP Reactivos'!CF240,'LP Reactivos'!CK240,'LP Reactivos'!CP240,'LP Reactivos'!CU240,'LP Reactivos'!CZ240,'LP Reactivos'!DE240,'LP Reactivos'!DJ240,'LP Reactivos'!DO240,'LP Reactivos'!DT240,'LP Reactivos'!DY240,'LP Reactivos'!EB240)," ")</f>
        <v>184040</v>
      </c>
      <c r="E240" s="429">
        <f>IFERROR(AVERAGE('LP Reactivos'!F240,'LP Reactivos'!I240,'LP Reactivos'!N240,'LP Reactivos'!S240,'LP Reactivos'!X240,'LP Reactivos'!AC240,'LP Reactivos'!AH240,'LP Reactivos'!AM240,'LP Reactivos'!AR240,'LP Reactivos'!AW240,'LP Reactivos'!BB240,'LP Reactivos'!BG240,'LP Reactivos'!BL240,'LP Reactivos'!BQ240,'LP Reactivos'!BV240,'LP Reactivos'!CA240,'LP Reactivos'!CF240,'LP Reactivos'!CK240,'LP Reactivos'!CP240,'LP Reactivos'!CU240,'LP Reactivos'!CZ240,'LP Reactivos'!DE240,'LP Reactivos'!DJ240,'LP Reactivos'!DO240,'LP Reactivos'!DT240,'LP Reactivos'!DY240,'LP Reactivos'!EB240)," ")</f>
        <v>932097.20499999996</v>
      </c>
      <c r="F240" s="345">
        <f>IFERROR(MEDIAN('LP Reactivos'!F240,'LP Reactivos'!I240,'LP Reactivos'!N240,'LP Reactivos'!S240,'LP Reactivos'!X240,'LP Reactivos'!AC240,'LP Reactivos'!AH240,'LP Reactivos'!AM240,'LP Reactivos'!AR240,'LP Reactivos'!AW240,'LP Reactivos'!BB240,'LP Reactivos'!BG240,'LP Reactivos'!BL240,'LP Reactivos'!BQ240,'LP Reactivos'!BV240,'LP Reactivos'!CA240,'LP Reactivos'!CF240,'LP Reactivos'!CK240,'LP Reactivos'!CP240,'LP Reactivos'!CU240,'LP Reactivos'!CZ240,'LP Reactivos'!DE240,'LP Reactivos'!DJ240,'LP Reactivos'!DO240,'LP Reactivos'!DT240,'LP Reactivos'!DY240,'LP Reactivos'!EB240)," ")</f>
        <v>304904.41000000003</v>
      </c>
      <c r="G240" s="345">
        <f>IFERROR(GEOMEAN('LP Reactivos'!F240,'LP Reactivos'!I240,'LP Reactivos'!N240,'LP Reactivos'!S240,'LP Reactivos'!X240,'LP Reactivos'!AC240,'LP Reactivos'!AH240,'LP Reactivos'!AM240,'LP Reactivos'!AR240,'LP Reactivos'!AW240,'LP Reactivos'!BB240,'LP Reactivos'!BG240,'LP Reactivos'!BL240,'LP Reactivos'!BQ240,'LP Reactivos'!BV240,'LP Reactivos'!CA240,'LP Reactivos'!CF240,'LP Reactivos'!CK240,'LP Reactivos'!CP240,'LP Reactivos'!CU240,'LP Reactivos'!CZ240,'LP Reactivos'!DE240,'LP Reactivos'!DJ240,'LP Reactivos'!DO240,'LP Reactivos'!DT240,'LP Reactivos'!DY240,'LP Reactivos'!EB240)," ")</f>
        <v>473362.13564087357</v>
      </c>
      <c r="H240" s="345">
        <f t="shared" si="16"/>
        <v>327883.5866859844</v>
      </c>
      <c r="I240" s="346">
        <f t="shared" si="17"/>
        <v>0.35176973488079971</v>
      </c>
      <c r="J240" s="345">
        <f>IF(I240&lt;=10%,F240,IF(AND(I240&gt;10%,I240&lt;=20%),E240,IF(AND(I240&gt;20%,I240&lt;=36%),G240,IF(I240&gt;36%,D240))))</f>
        <v>473362.13564087357</v>
      </c>
      <c r="K240" s="344" t="str">
        <f t="shared" si="19"/>
        <v>Media Geométrica</v>
      </c>
      <c r="L240" s="326">
        <f>IFERROR(COUNTA('LP Reactivos'!F240,'LP Reactivos'!I240,'LP Reactivos'!N240,'LP Reactivos'!S240,'LP Reactivos'!X240,'LP Reactivos'!AC240,'LP Reactivos'!AH240,'LP Reactivos'!AM240,'LP Reactivos'!AR240,'LP Reactivos'!AW240,'LP Reactivos'!BB240,'LP Reactivos'!BG240,'LP Reactivos'!BL240,'LP Reactivos'!BQ240,'LP Reactivos'!BV240,'LP Reactivos'!CA240,'LP Reactivos'!CF240,'LP Reactivos'!CK240,'LP Reactivos'!CP240,'LP Reactivos'!CU240,'LP Reactivos'!CZ240,'LP Reactivos'!DE240,'LP Reactivos'!DJ240,'LP Reactivos'!DO240,'LP Reactivos'!DT240,'LP Reactivos'!DY240,'LP Reactivos'!EB240)," ")</f>
        <v>4</v>
      </c>
    </row>
    <row r="241" spans="2:12" ht="40.5" x14ac:dyDescent="0.25">
      <c r="B241" s="425">
        <v>239</v>
      </c>
      <c r="C241" s="426" t="s">
        <v>1447</v>
      </c>
      <c r="D241" s="429">
        <f>IFERROR(MIN('LP Reactivos'!F241,'LP Reactivos'!I241,'LP Reactivos'!N241,'LP Reactivos'!S241,'LP Reactivos'!X241,'LP Reactivos'!AC241,'LP Reactivos'!AH241,'LP Reactivos'!AM241,'LP Reactivos'!AR241,'LP Reactivos'!AW241,'LP Reactivos'!BB241,'LP Reactivos'!BG241,'LP Reactivos'!BL241,'LP Reactivos'!BQ241,'LP Reactivos'!BV241,'LP Reactivos'!CA241,'LP Reactivos'!CF241,'LP Reactivos'!CK241,'LP Reactivos'!CP241,'LP Reactivos'!CU241,'LP Reactivos'!CZ241,'LP Reactivos'!DE241,'LP Reactivos'!DJ241,'LP Reactivos'!DO241,'LP Reactivos'!DT241,'LP Reactivos'!DY241,'LP Reactivos'!EB241)," ")</f>
        <v>191624.99790000002</v>
      </c>
      <c r="E241" s="429">
        <f>IFERROR(AVERAGE('LP Reactivos'!F241,'LP Reactivos'!I241,'LP Reactivos'!N241,'LP Reactivos'!S241,'LP Reactivos'!X241,'LP Reactivos'!AC241,'LP Reactivos'!AH241,'LP Reactivos'!AM241,'LP Reactivos'!AR241,'LP Reactivos'!AW241,'LP Reactivos'!BB241,'LP Reactivos'!BG241,'LP Reactivos'!BL241,'LP Reactivos'!BQ241,'LP Reactivos'!BV241,'LP Reactivos'!CA241,'LP Reactivos'!CF241,'LP Reactivos'!CK241,'LP Reactivos'!CP241,'LP Reactivos'!CU241,'LP Reactivos'!CZ241,'LP Reactivos'!DE241,'LP Reactivos'!DJ241,'LP Reactivos'!DO241,'LP Reactivos'!DT241,'LP Reactivos'!DY241,'LP Reactivos'!EB241)," ")</f>
        <v>1230519.89965</v>
      </c>
      <c r="F241" s="345">
        <f>IFERROR(MEDIAN('LP Reactivos'!F241,'LP Reactivos'!I241,'LP Reactivos'!N241,'LP Reactivos'!S241,'LP Reactivos'!X241,'LP Reactivos'!AC241,'LP Reactivos'!AH241,'LP Reactivos'!AM241,'LP Reactivos'!AR241,'LP Reactivos'!AW241,'LP Reactivos'!BB241,'LP Reactivos'!BG241,'LP Reactivos'!BL241,'LP Reactivos'!BQ241,'LP Reactivos'!BV241,'LP Reactivos'!CA241,'LP Reactivos'!CF241,'LP Reactivos'!CK241,'LP Reactivos'!CP241,'LP Reactivos'!CU241,'LP Reactivos'!CZ241,'LP Reactivos'!DE241,'LP Reactivos'!DJ241,'LP Reactivos'!DO241,'LP Reactivos'!DT241,'LP Reactivos'!DY241,'LP Reactivos'!EB241)," ")</f>
        <v>1301170.2</v>
      </c>
      <c r="G241" s="345">
        <f>IFERROR(GEOMEAN('LP Reactivos'!F241,'LP Reactivos'!I241,'LP Reactivos'!N241,'LP Reactivos'!S241,'LP Reactivos'!X241,'LP Reactivos'!AC241,'LP Reactivos'!AH241,'LP Reactivos'!AM241,'LP Reactivos'!AR241,'LP Reactivos'!AW241,'LP Reactivos'!BB241,'LP Reactivos'!BG241,'LP Reactivos'!BL241,'LP Reactivos'!BQ241,'LP Reactivos'!BV241,'LP Reactivos'!CA241,'LP Reactivos'!CF241,'LP Reactivos'!CK241,'LP Reactivos'!CP241,'LP Reactivos'!CU241,'LP Reactivos'!CZ241,'LP Reactivos'!DE241,'LP Reactivos'!DJ241,'LP Reactivos'!DO241,'LP Reactivos'!DT241,'LP Reactivos'!DY241,'LP Reactivos'!EB241)," ")</f>
        <v>947648.33741854434</v>
      </c>
      <c r="H241" s="345">
        <f t="shared" si="16"/>
        <v>507604.66533710383</v>
      </c>
      <c r="I241" s="346">
        <f t="shared" si="17"/>
        <v>0.41251235797282365</v>
      </c>
      <c r="J241" s="345">
        <f>IF(I241&lt;=10%,F241,IF(AND(I241&gt;10%,I241&lt;=20%),E241,IF(AND(I241&gt;20%,I241&lt;=42%),G241,IF(I241&gt;42%,D241))))</f>
        <v>947648.33741854434</v>
      </c>
      <c r="K241" s="344" t="str">
        <f t="shared" si="19"/>
        <v>Media Geométrica</v>
      </c>
      <c r="L241" s="326">
        <f>IFERROR(COUNTA('LP Reactivos'!F241,'LP Reactivos'!I241,'LP Reactivos'!N241,'LP Reactivos'!S241,'LP Reactivos'!X241,'LP Reactivos'!AC241,'LP Reactivos'!AH241,'LP Reactivos'!AM241,'LP Reactivos'!AR241,'LP Reactivos'!AW241,'LP Reactivos'!BB241,'LP Reactivos'!BG241,'LP Reactivos'!BL241,'LP Reactivos'!BQ241,'LP Reactivos'!BV241,'LP Reactivos'!CA241,'LP Reactivos'!CF241,'LP Reactivos'!CK241,'LP Reactivos'!CP241,'LP Reactivos'!CU241,'LP Reactivos'!CZ241,'LP Reactivos'!DE241,'LP Reactivos'!DJ241,'LP Reactivos'!DO241,'LP Reactivos'!DT241,'LP Reactivos'!DY241,'LP Reactivos'!EB241)," ")</f>
        <v>6</v>
      </c>
    </row>
    <row r="242" spans="2:12" ht="40.5" x14ac:dyDescent="0.25">
      <c r="B242" s="425">
        <v>240</v>
      </c>
      <c r="C242" s="426" t="s">
        <v>1452</v>
      </c>
      <c r="D242" s="429">
        <f>IFERROR(MIN('LP Reactivos'!F242,'LP Reactivos'!I242,'LP Reactivos'!N242,'LP Reactivos'!S242,'LP Reactivos'!X242,'LP Reactivos'!AC242,'LP Reactivos'!AH242,'LP Reactivos'!AM242,'LP Reactivos'!AR242,'LP Reactivos'!AW242,'LP Reactivos'!BB242,'LP Reactivos'!BG242,'LP Reactivos'!BL242,'LP Reactivos'!BQ242,'LP Reactivos'!BV242,'LP Reactivos'!CA242,'LP Reactivos'!CF242,'LP Reactivos'!CK242,'LP Reactivos'!CP242,'LP Reactivos'!CU242,'LP Reactivos'!CZ242,'LP Reactivos'!DE242,'LP Reactivos'!DJ242,'LP Reactivos'!DO242,'LP Reactivos'!DT242,'LP Reactivos'!DY242,'LP Reactivos'!EB242)," ")</f>
        <v>1720000</v>
      </c>
      <c r="E242" s="429">
        <f>IFERROR(AVERAGE('LP Reactivos'!F242,'LP Reactivos'!I242,'LP Reactivos'!N242,'LP Reactivos'!S242,'LP Reactivos'!X242,'LP Reactivos'!AC242,'LP Reactivos'!AH242,'LP Reactivos'!AM242,'LP Reactivos'!AR242,'LP Reactivos'!AW242,'LP Reactivos'!BB242,'LP Reactivos'!BG242,'LP Reactivos'!BL242,'LP Reactivos'!BQ242,'LP Reactivos'!BV242,'LP Reactivos'!CA242,'LP Reactivos'!CF242,'LP Reactivos'!CK242,'LP Reactivos'!CP242,'LP Reactivos'!CU242,'LP Reactivos'!CZ242,'LP Reactivos'!DE242,'LP Reactivos'!DJ242,'LP Reactivos'!DO242,'LP Reactivos'!DT242,'LP Reactivos'!DY242,'LP Reactivos'!EB242)," ")</f>
        <v>2331737.1983333337</v>
      </c>
      <c r="F242" s="345">
        <f>IFERROR(MEDIAN('LP Reactivos'!F242,'LP Reactivos'!I242,'LP Reactivos'!N242,'LP Reactivos'!S242,'LP Reactivos'!X242,'LP Reactivos'!AC242,'LP Reactivos'!AH242,'LP Reactivos'!AM242,'LP Reactivos'!AR242,'LP Reactivos'!AW242,'LP Reactivos'!BB242,'LP Reactivos'!BG242,'LP Reactivos'!BL242,'LP Reactivos'!BQ242,'LP Reactivos'!BV242,'LP Reactivos'!CA242,'LP Reactivos'!CF242,'LP Reactivos'!CK242,'LP Reactivos'!CP242,'LP Reactivos'!CU242,'LP Reactivos'!CZ242,'LP Reactivos'!DE242,'LP Reactivos'!DJ242,'LP Reactivos'!DO242,'LP Reactivos'!DT242,'LP Reactivos'!DY242,'LP Reactivos'!EB242)," ")</f>
        <v>1921338.895</v>
      </c>
      <c r="G242" s="345">
        <f>IFERROR(GEOMEAN('LP Reactivos'!F242,'LP Reactivos'!I242,'LP Reactivos'!N242,'LP Reactivos'!S242,'LP Reactivos'!X242,'LP Reactivos'!AC242,'LP Reactivos'!AH242,'LP Reactivos'!AM242,'LP Reactivos'!AR242,'LP Reactivos'!AW242,'LP Reactivos'!BB242,'LP Reactivos'!BG242,'LP Reactivos'!BL242,'LP Reactivos'!BQ242,'LP Reactivos'!BV242,'LP Reactivos'!CA242,'LP Reactivos'!CF242,'LP Reactivos'!CK242,'LP Reactivos'!CP242,'LP Reactivos'!CU242,'LP Reactivos'!CZ242,'LP Reactivos'!DE242,'LP Reactivos'!DJ242,'LP Reactivos'!DO242,'LP Reactivos'!DT242,'LP Reactivos'!DY242,'LP Reactivos'!EB242)," ")</f>
        <v>2230756.0210676836</v>
      </c>
      <c r="H242" s="345">
        <f t="shared" si="16"/>
        <v>281364.88571578043</v>
      </c>
      <c r="I242" s="346">
        <f t="shared" si="17"/>
        <v>0.12066749456881028</v>
      </c>
      <c r="J242" s="345">
        <f t="shared" si="18"/>
        <v>2331737.1983333337</v>
      </c>
      <c r="K242" s="344" t="str">
        <f t="shared" si="19"/>
        <v>Promedio</v>
      </c>
      <c r="L242" s="326">
        <f>IFERROR(COUNTA('LP Reactivos'!F242,'LP Reactivos'!I242,'LP Reactivos'!N242,'LP Reactivos'!S242,'LP Reactivos'!X242,'LP Reactivos'!AC242,'LP Reactivos'!AH242,'LP Reactivos'!AM242,'LP Reactivos'!AR242,'LP Reactivos'!AW242,'LP Reactivos'!BB242,'LP Reactivos'!BG242,'LP Reactivos'!BL242,'LP Reactivos'!BQ242,'LP Reactivos'!BV242,'LP Reactivos'!CA242,'LP Reactivos'!CF242,'LP Reactivos'!CK242,'LP Reactivos'!CP242,'LP Reactivos'!CU242,'LP Reactivos'!CZ242,'LP Reactivos'!DE242,'LP Reactivos'!DJ242,'LP Reactivos'!DO242,'LP Reactivos'!DT242,'LP Reactivos'!DY242,'LP Reactivos'!EB242)," ")</f>
        <v>6</v>
      </c>
    </row>
    <row r="243" spans="2:12" ht="40.5" x14ac:dyDescent="0.25">
      <c r="B243" s="425">
        <v>241</v>
      </c>
      <c r="C243" s="426" t="s">
        <v>1456</v>
      </c>
      <c r="D243" s="429">
        <f>IFERROR(MIN('LP Reactivos'!F243,'LP Reactivos'!I243,'LP Reactivos'!N243,'LP Reactivos'!S243,'LP Reactivos'!X243,'LP Reactivos'!AC243,'LP Reactivos'!AH243,'LP Reactivos'!AM243,'LP Reactivos'!AR243,'LP Reactivos'!AW243,'LP Reactivos'!BB243,'LP Reactivos'!BG243,'LP Reactivos'!BL243,'LP Reactivos'!BQ243,'LP Reactivos'!BV243,'LP Reactivos'!CA243,'LP Reactivos'!CF243,'LP Reactivos'!CK243,'LP Reactivos'!CP243,'LP Reactivos'!CU243,'LP Reactivos'!CZ243,'LP Reactivos'!DE243,'LP Reactivos'!DJ243,'LP Reactivos'!DO243,'LP Reactivos'!DT243,'LP Reactivos'!DY243,'LP Reactivos'!EB243)," ")</f>
        <v>3860674</v>
      </c>
      <c r="E243" s="429">
        <f>IFERROR(AVERAGE('LP Reactivos'!F243,'LP Reactivos'!I243,'LP Reactivos'!N243,'LP Reactivos'!S243,'LP Reactivos'!X243,'LP Reactivos'!AC243,'LP Reactivos'!AH243,'LP Reactivos'!AM243,'LP Reactivos'!AR243,'LP Reactivos'!AW243,'LP Reactivos'!BB243,'LP Reactivos'!BG243,'LP Reactivos'!BL243,'LP Reactivos'!BQ243,'LP Reactivos'!BV243,'LP Reactivos'!CA243,'LP Reactivos'!CF243,'LP Reactivos'!CK243,'LP Reactivos'!CP243,'LP Reactivos'!CU243,'LP Reactivos'!CZ243,'LP Reactivos'!DE243,'LP Reactivos'!DJ243,'LP Reactivos'!DO243,'LP Reactivos'!DT243,'LP Reactivos'!DY243,'LP Reactivos'!EB243)," ")</f>
        <v>25068697</v>
      </c>
      <c r="F243" s="345">
        <f>IFERROR(MEDIAN('LP Reactivos'!F243,'LP Reactivos'!I243,'LP Reactivos'!N243,'LP Reactivos'!S243,'LP Reactivos'!X243,'LP Reactivos'!AC243,'LP Reactivos'!AH243,'LP Reactivos'!AM243,'LP Reactivos'!AR243,'LP Reactivos'!AW243,'LP Reactivos'!BB243,'LP Reactivos'!BG243,'LP Reactivos'!BL243,'LP Reactivos'!BQ243,'LP Reactivos'!BV243,'LP Reactivos'!CA243,'LP Reactivos'!CF243,'LP Reactivos'!CK243,'LP Reactivos'!CP243,'LP Reactivos'!CU243,'LP Reactivos'!CZ243,'LP Reactivos'!DE243,'LP Reactivos'!DJ243,'LP Reactivos'!DO243,'LP Reactivos'!DT243,'LP Reactivos'!DY243,'LP Reactivos'!EB243)," ")</f>
        <v>25068697</v>
      </c>
      <c r="G243" s="345">
        <f>IFERROR(GEOMEAN('LP Reactivos'!F243,'LP Reactivos'!I243,'LP Reactivos'!N243,'LP Reactivos'!S243,'LP Reactivos'!X243,'LP Reactivos'!AC243,'LP Reactivos'!AH243,'LP Reactivos'!AM243,'LP Reactivos'!AR243,'LP Reactivos'!AW243,'LP Reactivos'!BB243,'LP Reactivos'!BG243,'LP Reactivos'!BL243,'LP Reactivos'!BQ243,'LP Reactivos'!BV243,'LP Reactivos'!CA243,'LP Reactivos'!CF243,'LP Reactivos'!CK243,'LP Reactivos'!CP243,'LP Reactivos'!CU243,'LP Reactivos'!CZ243,'LP Reactivos'!DE243,'LP Reactivos'!DJ243,'LP Reactivos'!DO243,'LP Reactivos'!DT243,'LP Reactivos'!DY243,'LP Reactivos'!EB243)," ")</f>
        <v>13366350.650393697</v>
      </c>
      <c r="H243" s="345">
        <f t="shared" si="16"/>
        <v>10262424.128388584</v>
      </c>
      <c r="I243" s="346">
        <f t="shared" si="17"/>
        <v>0.40937205983975089</v>
      </c>
      <c r="J243" s="345">
        <f>IF(I243&lt;=10%,F243,IF(AND(I243&gt;10%,I243&lt;=20%),E243,IF(AND(I243&gt;20%,I243&lt;=30%),G243,IF(I243&gt;30%,D243))))</f>
        <v>3860674</v>
      </c>
      <c r="K243" s="344" t="str">
        <f t="shared" si="19"/>
        <v>Menor Valor</v>
      </c>
      <c r="L243" s="326">
        <f>IFERROR(COUNTA('LP Reactivos'!F243,'LP Reactivos'!I243,'LP Reactivos'!N243,'LP Reactivos'!S243,'LP Reactivos'!X243,'LP Reactivos'!AC243,'LP Reactivos'!AH243,'LP Reactivos'!AM243,'LP Reactivos'!AR243,'LP Reactivos'!AW243,'LP Reactivos'!BB243,'LP Reactivos'!BG243,'LP Reactivos'!BL243,'LP Reactivos'!BQ243,'LP Reactivos'!BV243,'LP Reactivos'!CA243,'LP Reactivos'!CF243,'LP Reactivos'!CK243,'LP Reactivos'!CP243,'LP Reactivos'!CU243,'LP Reactivos'!CZ243,'LP Reactivos'!DE243,'LP Reactivos'!DJ243,'LP Reactivos'!DO243,'LP Reactivos'!DT243,'LP Reactivos'!DY243,'LP Reactivos'!EB243)," ")</f>
        <v>2</v>
      </c>
    </row>
    <row r="244" spans="2:12" x14ac:dyDescent="0.25">
      <c r="B244" s="425">
        <v>242</v>
      </c>
      <c r="C244" s="428" t="s">
        <v>1459</v>
      </c>
      <c r="D244" s="429">
        <f>IFERROR(MIN('LP Reactivos'!F244,'LP Reactivos'!I244,'LP Reactivos'!N244,'LP Reactivos'!S244,'LP Reactivos'!X244,'LP Reactivos'!AC244,'LP Reactivos'!AH244,'LP Reactivos'!AM244,'LP Reactivos'!AR244,'LP Reactivos'!AW244,'LP Reactivos'!BB244,'LP Reactivos'!BG244,'LP Reactivos'!BL244,'LP Reactivos'!BQ244,'LP Reactivos'!BV244,'LP Reactivos'!CA244,'LP Reactivos'!CF244,'LP Reactivos'!CK244,'LP Reactivos'!CP244,'LP Reactivos'!CU244,'LP Reactivos'!CZ244,'LP Reactivos'!DE244,'LP Reactivos'!DJ244,'LP Reactivos'!DO244,'LP Reactivos'!DT244,'LP Reactivos'!DY244,'LP Reactivos'!EB244)," ")</f>
        <v>2629900</v>
      </c>
      <c r="E244" s="429">
        <f>IFERROR(AVERAGE('LP Reactivos'!F244,'LP Reactivos'!I244,'LP Reactivos'!N244,'LP Reactivos'!S244,'LP Reactivos'!X244,'LP Reactivos'!AC244,'LP Reactivos'!AH244,'LP Reactivos'!AM244,'LP Reactivos'!AR244,'LP Reactivos'!AW244,'LP Reactivos'!BB244,'LP Reactivos'!BG244,'LP Reactivos'!BL244,'LP Reactivos'!BQ244,'LP Reactivos'!BV244,'LP Reactivos'!CA244,'LP Reactivos'!CF244,'LP Reactivos'!CK244,'LP Reactivos'!CP244,'LP Reactivos'!CU244,'LP Reactivos'!CZ244,'LP Reactivos'!DE244,'LP Reactivos'!DJ244,'LP Reactivos'!DO244,'LP Reactivos'!DT244,'LP Reactivos'!DY244,'LP Reactivos'!EB244)," ")</f>
        <v>2629900</v>
      </c>
      <c r="F244" s="345">
        <f>IFERROR(MEDIAN('LP Reactivos'!F244,'LP Reactivos'!I244,'LP Reactivos'!N244,'LP Reactivos'!S244,'LP Reactivos'!X244,'LP Reactivos'!AC244,'LP Reactivos'!AH244,'LP Reactivos'!AM244,'LP Reactivos'!AR244,'LP Reactivos'!AW244,'LP Reactivos'!BB244,'LP Reactivos'!BG244,'LP Reactivos'!BL244,'LP Reactivos'!BQ244,'LP Reactivos'!BV244,'LP Reactivos'!CA244,'LP Reactivos'!CF244,'LP Reactivos'!CK244,'LP Reactivos'!CP244,'LP Reactivos'!CU244,'LP Reactivos'!CZ244,'LP Reactivos'!DE244,'LP Reactivos'!DJ244,'LP Reactivos'!DO244,'LP Reactivos'!DT244,'LP Reactivos'!DY244,'LP Reactivos'!EB244)," ")</f>
        <v>2629900</v>
      </c>
      <c r="G244" s="345">
        <f>IFERROR(GEOMEAN('LP Reactivos'!F244,'LP Reactivos'!I244,'LP Reactivos'!N244,'LP Reactivos'!S244,'LP Reactivos'!X244,'LP Reactivos'!AC244,'LP Reactivos'!AH244,'LP Reactivos'!AM244,'LP Reactivos'!AR244,'LP Reactivos'!AW244,'LP Reactivos'!BB244,'LP Reactivos'!BG244,'LP Reactivos'!BL244,'LP Reactivos'!BQ244,'LP Reactivos'!BV244,'LP Reactivos'!CA244,'LP Reactivos'!CF244,'LP Reactivos'!CK244,'LP Reactivos'!CP244,'LP Reactivos'!CU244,'LP Reactivos'!CZ244,'LP Reactivos'!DE244,'LP Reactivos'!DJ244,'LP Reactivos'!DO244,'LP Reactivos'!DT244,'LP Reactivos'!DY244,'LP Reactivos'!EB244)," ")</f>
        <v>2629900</v>
      </c>
      <c r="H244" s="345">
        <f t="shared" si="16"/>
        <v>0</v>
      </c>
      <c r="I244" s="346">
        <f t="shared" si="17"/>
        <v>0</v>
      </c>
      <c r="J244" s="345">
        <f t="shared" si="18"/>
        <v>2629900</v>
      </c>
      <c r="K244" s="344" t="str">
        <f t="shared" si="19"/>
        <v>Menor Valor</v>
      </c>
      <c r="L244" s="326">
        <f>IFERROR(COUNTA('LP Reactivos'!F244,'LP Reactivos'!I244,'LP Reactivos'!N244,'LP Reactivos'!S244,'LP Reactivos'!X244,'LP Reactivos'!AC244,'LP Reactivos'!AH244,'LP Reactivos'!AM244,'LP Reactivos'!AR244,'LP Reactivos'!AW244,'LP Reactivos'!BB244,'LP Reactivos'!BG244,'LP Reactivos'!BL244,'LP Reactivos'!BQ244,'LP Reactivos'!BV244,'LP Reactivos'!CA244,'LP Reactivos'!CF244,'LP Reactivos'!CK244,'LP Reactivos'!CP244,'LP Reactivos'!CU244,'LP Reactivos'!CZ244,'LP Reactivos'!DE244,'LP Reactivos'!DJ244,'LP Reactivos'!DO244,'LP Reactivos'!DT244,'LP Reactivos'!DY244,'LP Reactivos'!EB244)," ")</f>
        <v>1</v>
      </c>
    </row>
    <row r="245" spans="2:12" ht="40.5" x14ac:dyDescent="0.25">
      <c r="B245" s="425">
        <v>243</v>
      </c>
      <c r="C245" s="426" t="s">
        <v>1463</v>
      </c>
      <c r="D245" s="429">
        <f>IFERROR(MIN('LP Reactivos'!F245,'LP Reactivos'!I245,'LP Reactivos'!N245,'LP Reactivos'!S245,'LP Reactivos'!X245,'LP Reactivos'!AC245,'LP Reactivos'!AH245,'LP Reactivos'!AM245,'LP Reactivos'!AR245,'LP Reactivos'!AW245,'LP Reactivos'!BB245,'LP Reactivos'!BG245,'LP Reactivos'!BL245,'LP Reactivos'!BQ245,'LP Reactivos'!BV245,'LP Reactivos'!CA245,'LP Reactivos'!CF245,'LP Reactivos'!CK245,'LP Reactivos'!CP245,'LP Reactivos'!CU245,'LP Reactivos'!CZ245,'LP Reactivos'!DE245,'LP Reactivos'!DJ245,'LP Reactivos'!DO245,'LP Reactivos'!DT245,'LP Reactivos'!DY245,'LP Reactivos'!EB245)," ")</f>
        <v>454000</v>
      </c>
      <c r="E245" s="429">
        <f>IFERROR(AVERAGE('LP Reactivos'!F245,'LP Reactivos'!I245,'LP Reactivos'!N245,'LP Reactivos'!S245,'LP Reactivos'!X245,'LP Reactivos'!AC245,'LP Reactivos'!AH245,'LP Reactivos'!AM245,'LP Reactivos'!AR245,'LP Reactivos'!AW245,'LP Reactivos'!BB245,'LP Reactivos'!BG245,'LP Reactivos'!BL245,'LP Reactivos'!BQ245,'LP Reactivos'!BV245,'LP Reactivos'!CA245,'LP Reactivos'!CF245,'LP Reactivos'!CK245,'LP Reactivos'!CP245,'LP Reactivos'!CU245,'LP Reactivos'!CZ245,'LP Reactivos'!DE245,'LP Reactivos'!DJ245,'LP Reactivos'!DO245,'LP Reactivos'!DT245,'LP Reactivos'!DY245,'LP Reactivos'!EB245)," ")</f>
        <v>4941006.6000000006</v>
      </c>
      <c r="F245" s="345">
        <f>IFERROR(MEDIAN('LP Reactivos'!F245,'LP Reactivos'!I245,'LP Reactivos'!N245,'LP Reactivos'!S245,'LP Reactivos'!X245,'LP Reactivos'!AC245,'LP Reactivos'!AH245,'LP Reactivos'!AM245,'LP Reactivos'!AR245,'LP Reactivos'!AW245,'LP Reactivos'!BB245,'LP Reactivos'!BG245,'LP Reactivos'!BL245,'LP Reactivos'!BQ245,'LP Reactivos'!BV245,'LP Reactivos'!CA245,'LP Reactivos'!CF245,'LP Reactivos'!CK245,'LP Reactivos'!CP245,'LP Reactivos'!CU245,'LP Reactivos'!CZ245,'LP Reactivos'!DE245,'LP Reactivos'!DJ245,'LP Reactivos'!DO245,'LP Reactivos'!DT245,'LP Reactivos'!DY245,'LP Reactivos'!EB245)," ")</f>
        <v>4320586.55</v>
      </c>
      <c r="G245" s="345">
        <f>IFERROR(GEOMEAN('LP Reactivos'!F245,'LP Reactivos'!I245,'LP Reactivos'!N245,'LP Reactivos'!S245,'LP Reactivos'!X245,'LP Reactivos'!AC245,'LP Reactivos'!AH245,'LP Reactivos'!AM245,'LP Reactivos'!AR245,'LP Reactivos'!AW245,'LP Reactivos'!BB245,'LP Reactivos'!BG245,'LP Reactivos'!BL245,'LP Reactivos'!BQ245,'LP Reactivos'!BV245,'LP Reactivos'!CA245,'LP Reactivos'!CF245,'LP Reactivos'!CK245,'LP Reactivos'!CP245,'LP Reactivos'!CU245,'LP Reactivos'!CZ245,'LP Reactivos'!DE245,'LP Reactivos'!DJ245,'LP Reactivos'!DO245,'LP Reactivos'!DT245,'LP Reactivos'!DY245,'LP Reactivos'!EB245)," ")</f>
        <v>2686116.9665735206</v>
      </c>
      <c r="H245" s="345">
        <f t="shared" si="16"/>
        <v>2004307.9654848538</v>
      </c>
      <c r="I245" s="346">
        <f t="shared" si="17"/>
        <v>0.40564770050800047</v>
      </c>
      <c r="J245" s="345">
        <f>IF(I245&lt;=10%,F245,IF(AND(I245&gt;10%,I245&lt;=20%),E245,IF(AND(I245&gt;20%,I245&lt;=41%),G245,IF(I245&gt;41%,D245))))</f>
        <v>2686116.9665735206</v>
      </c>
      <c r="K245" s="344" t="str">
        <f t="shared" si="19"/>
        <v>Media Geométrica</v>
      </c>
      <c r="L245" s="326">
        <f>IFERROR(COUNTA('LP Reactivos'!F245,'LP Reactivos'!I245,'LP Reactivos'!N245,'LP Reactivos'!S245,'LP Reactivos'!X245,'LP Reactivos'!AC245,'LP Reactivos'!AH245,'LP Reactivos'!AM245,'LP Reactivos'!AR245,'LP Reactivos'!AW245,'LP Reactivos'!BB245,'LP Reactivos'!BG245,'LP Reactivos'!BL245,'LP Reactivos'!BQ245,'LP Reactivos'!BV245,'LP Reactivos'!CA245,'LP Reactivos'!CF245,'LP Reactivos'!CK245,'LP Reactivos'!CP245,'LP Reactivos'!CU245,'LP Reactivos'!CZ245,'LP Reactivos'!DE245,'LP Reactivos'!DJ245,'LP Reactivos'!DO245,'LP Reactivos'!DT245,'LP Reactivos'!DY245,'LP Reactivos'!EB245)," ")</f>
        <v>6</v>
      </c>
    </row>
    <row r="246" spans="2:12" x14ac:dyDescent="0.25">
      <c r="B246" s="425">
        <v>244</v>
      </c>
      <c r="C246" s="426" t="s">
        <v>1468</v>
      </c>
      <c r="D246" s="429">
        <f>IFERROR(MIN('LP Reactivos'!F246,'LP Reactivos'!I246,'LP Reactivos'!N246,'LP Reactivos'!S246,'LP Reactivos'!X246,'LP Reactivos'!AC246,'LP Reactivos'!AH246,'LP Reactivos'!AM246,'LP Reactivos'!AR246,'LP Reactivos'!AW246,'LP Reactivos'!BB246,'LP Reactivos'!BG246,'LP Reactivos'!BL246,'LP Reactivos'!BQ246,'LP Reactivos'!BV246,'LP Reactivos'!CA246,'LP Reactivos'!CF246,'LP Reactivos'!CK246,'LP Reactivos'!CP246,'LP Reactivos'!CU246,'LP Reactivos'!CZ246,'LP Reactivos'!DE246,'LP Reactivos'!DJ246,'LP Reactivos'!DO246,'LP Reactivos'!DT246,'LP Reactivos'!DY246,'LP Reactivos'!EB246)," ")</f>
        <v>329000</v>
      </c>
      <c r="E246" s="429">
        <f>IFERROR(AVERAGE('LP Reactivos'!F246,'LP Reactivos'!I246,'LP Reactivos'!N246,'LP Reactivos'!S246,'LP Reactivos'!X246,'LP Reactivos'!AC246,'LP Reactivos'!AH246,'LP Reactivos'!AM246,'LP Reactivos'!AR246,'LP Reactivos'!AW246,'LP Reactivos'!BB246,'LP Reactivos'!BG246,'LP Reactivos'!BL246,'LP Reactivos'!BQ246,'LP Reactivos'!BV246,'LP Reactivos'!CA246,'LP Reactivos'!CF246,'LP Reactivos'!CK246,'LP Reactivos'!CP246,'LP Reactivos'!CU246,'LP Reactivos'!CZ246,'LP Reactivos'!DE246,'LP Reactivos'!DJ246,'LP Reactivos'!DO246,'LP Reactivos'!DT246,'LP Reactivos'!DY246,'LP Reactivos'!EB246)," ")</f>
        <v>1201361.6666666667</v>
      </c>
      <c r="F246" s="345">
        <f>IFERROR(MEDIAN('LP Reactivos'!F246,'LP Reactivos'!I246,'LP Reactivos'!N246,'LP Reactivos'!S246,'LP Reactivos'!X246,'LP Reactivos'!AC246,'LP Reactivos'!AH246,'LP Reactivos'!AM246,'LP Reactivos'!AR246,'LP Reactivos'!AW246,'LP Reactivos'!BB246,'LP Reactivos'!BG246,'LP Reactivos'!BL246,'LP Reactivos'!BQ246,'LP Reactivos'!BV246,'LP Reactivos'!CA246,'LP Reactivos'!CF246,'LP Reactivos'!CK246,'LP Reactivos'!CP246,'LP Reactivos'!CU246,'LP Reactivos'!CZ246,'LP Reactivos'!DE246,'LP Reactivos'!DJ246,'LP Reactivos'!DO246,'LP Reactivos'!DT246,'LP Reactivos'!DY246,'LP Reactivos'!EB246)," ")</f>
        <v>382704.5</v>
      </c>
      <c r="G246" s="345">
        <f>IFERROR(GEOMEAN('LP Reactivos'!F246,'LP Reactivos'!I246,'LP Reactivos'!N246,'LP Reactivos'!S246,'LP Reactivos'!X246,'LP Reactivos'!AC246,'LP Reactivos'!AH246,'LP Reactivos'!AM246,'LP Reactivos'!AR246,'LP Reactivos'!AW246,'LP Reactivos'!BB246,'LP Reactivos'!BG246,'LP Reactivos'!BL246,'LP Reactivos'!BQ246,'LP Reactivos'!BV246,'LP Reactivos'!CA246,'LP Reactivos'!CF246,'LP Reactivos'!CK246,'LP Reactivos'!CP246,'LP Reactivos'!CU246,'LP Reactivos'!CZ246,'LP Reactivos'!DE246,'LP Reactivos'!DJ246,'LP Reactivos'!DO246,'LP Reactivos'!DT246,'LP Reactivos'!DY246,'LP Reactivos'!EB246)," ")</f>
        <v>666485.57626382867</v>
      </c>
      <c r="H246" s="345">
        <f t="shared" si="16"/>
        <v>399439.1122604087</v>
      </c>
      <c r="I246" s="346">
        <f t="shared" si="17"/>
        <v>0.33248864462997574</v>
      </c>
      <c r="J246" s="345">
        <f>IF(I246&lt;=10%,F246,IF(AND(I246&gt;10%,I246&lt;=20%),E246,IF(AND(I246&gt;20%,I246&lt;=34%),G246,IF(I246&gt;34%,D246))))</f>
        <v>666485.57626382867</v>
      </c>
      <c r="K246" s="344" t="str">
        <f t="shared" si="19"/>
        <v>Media Geométrica</v>
      </c>
      <c r="L246" s="326">
        <f>IFERROR(COUNTA('LP Reactivos'!F246,'LP Reactivos'!I246,'LP Reactivos'!N246,'LP Reactivos'!S246,'LP Reactivos'!X246,'LP Reactivos'!AC246,'LP Reactivos'!AH246,'LP Reactivos'!AM246,'LP Reactivos'!AR246,'LP Reactivos'!AW246,'LP Reactivos'!BB246,'LP Reactivos'!BG246,'LP Reactivos'!BL246,'LP Reactivos'!BQ246,'LP Reactivos'!BV246,'LP Reactivos'!CA246,'LP Reactivos'!CF246,'LP Reactivos'!CK246,'LP Reactivos'!CP246,'LP Reactivos'!CU246,'LP Reactivos'!CZ246,'LP Reactivos'!DE246,'LP Reactivos'!DJ246,'LP Reactivos'!DO246,'LP Reactivos'!DT246,'LP Reactivos'!DY246,'LP Reactivos'!EB246)," ")</f>
        <v>6</v>
      </c>
    </row>
    <row r="247" spans="2:12" ht="40.5" x14ac:dyDescent="0.25">
      <c r="B247" s="425">
        <v>245</v>
      </c>
      <c r="C247" s="426" t="s">
        <v>1472</v>
      </c>
      <c r="D247" s="429">
        <f>IFERROR(MIN('LP Reactivos'!F247,'LP Reactivos'!I247,'LP Reactivos'!N247,'LP Reactivos'!S247,'LP Reactivos'!X247,'LP Reactivos'!AC247,'LP Reactivos'!AH247,'LP Reactivos'!AM247,'LP Reactivos'!AR247,'LP Reactivos'!AW247,'LP Reactivos'!BB247,'LP Reactivos'!BG247,'LP Reactivos'!BL247,'LP Reactivos'!BQ247,'LP Reactivos'!BV247,'LP Reactivos'!CA247,'LP Reactivos'!CF247,'LP Reactivos'!CK247,'LP Reactivos'!CP247,'LP Reactivos'!CU247,'LP Reactivos'!CZ247,'LP Reactivos'!DE247,'LP Reactivos'!DJ247,'LP Reactivos'!DO247,'LP Reactivos'!DT247,'LP Reactivos'!DY247,'LP Reactivos'!EB247)," ")</f>
        <v>458150</v>
      </c>
      <c r="E247" s="429">
        <f>IFERROR(AVERAGE('LP Reactivos'!F247,'LP Reactivos'!I247,'LP Reactivos'!N247,'LP Reactivos'!S247,'LP Reactivos'!X247,'LP Reactivos'!AC247,'LP Reactivos'!AH247,'LP Reactivos'!AM247,'LP Reactivos'!AR247,'LP Reactivos'!AW247,'LP Reactivos'!BB247,'LP Reactivos'!BG247,'LP Reactivos'!BL247,'LP Reactivos'!BQ247,'LP Reactivos'!BV247,'LP Reactivos'!CA247,'LP Reactivos'!CF247,'LP Reactivos'!CK247,'LP Reactivos'!CP247,'LP Reactivos'!CU247,'LP Reactivos'!CZ247,'LP Reactivos'!DE247,'LP Reactivos'!DJ247,'LP Reactivos'!DO247,'LP Reactivos'!DT247,'LP Reactivos'!DY247,'LP Reactivos'!EB247)," ")</f>
        <v>1426795.17</v>
      </c>
      <c r="F247" s="345">
        <f>IFERROR(MEDIAN('LP Reactivos'!F247,'LP Reactivos'!I247,'LP Reactivos'!N247,'LP Reactivos'!S247,'LP Reactivos'!X247,'LP Reactivos'!AC247,'LP Reactivos'!AH247,'LP Reactivos'!AM247,'LP Reactivos'!AR247,'LP Reactivos'!AW247,'LP Reactivos'!BB247,'LP Reactivos'!BG247,'LP Reactivos'!BL247,'LP Reactivos'!BQ247,'LP Reactivos'!BV247,'LP Reactivos'!CA247,'LP Reactivos'!CF247,'LP Reactivos'!CK247,'LP Reactivos'!CP247,'LP Reactivos'!CU247,'LP Reactivos'!CZ247,'LP Reactivos'!DE247,'LP Reactivos'!DJ247,'LP Reactivos'!DO247,'LP Reactivos'!DT247,'LP Reactivos'!DY247,'LP Reactivos'!EB247)," ")</f>
        <v>1132319.05</v>
      </c>
      <c r="G247" s="345">
        <f>IFERROR(GEOMEAN('LP Reactivos'!F247,'LP Reactivos'!I247,'LP Reactivos'!N247,'LP Reactivos'!S247,'LP Reactivos'!X247,'LP Reactivos'!AC247,'LP Reactivos'!AH247,'LP Reactivos'!AM247,'LP Reactivos'!AR247,'LP Reactivos'!AW247,'LP Reactivos'!BB247,'LP Reactivos'!BG247,'LP Reactivos'!BL247,'LP Reactivos'!BQ247,'LP Reactivos'!BV247,'LP Reactivos'!CA247,'LP Reactivos'!CF247,'LP Reactivos'!CK247,'LP Reactivos'!CP247,'LP Reactivos'!CU247,'LP Reactivos'!CZ247,'LP Reactivos'!DE247,'LP Reactivos'!DJ247,'LP Reactivos'!DO247,'LP Reactivos'!DT247,'LP Reactivos'!DY247,'LP Reactivos'!EB247)," ")</f>
        <v>1091899.8545636353</v>
      </c>
      <c r="H247" s="345">
        <f t="shared" si="16"/>
        <v>407729.58976230613</v>
      </c>
      <c r="I247" s="346">
        <f t="shared" si="17"/>
        <v>0.28576602888437458</v>
      </c>
      <c r="J247" s="345">
        <f t="shared" si="18"/>
        <v>1091899.8545636353</v>
      </c>
      <c r="K247" s="344" t="str">
        <f t="shared" si="19"/>
        <v>Media Geométrica</v>
      </c>
      <c r="L247" s="326">
        <f>IFERROR(COUNTA('LP Reactivos'!F247,'LP Reactivos'!I247,'LP Reactivos'!N247,'LP Reactivos'!S247,'LP Reactivos'!X247,'LP Reactivos'!AC247,'LP Reactivos'!AH247,'LP Reactivos'!AM247,'LP Reactivos'!AR247,'LP Reactivos'!AW247,'LP Reactivos'!BB247,'LP Reactivos'!BG247,'LP Reactivos'!BL247,'LP Reactivos'!BQ247,'LP Reactivos'!BV247,'LP Reactivos'!CA247,'LP Reactivos'!CF247,'LP Reactivos'!CK247,'LP Reactivos'!CP247,'LP Reactivos'!CU247,'LP Reactivos'!CZ247,'LP Reactivos'!DE247,'LP Reactivos'!DJ247,'LP Reactivos'!DO247,'LP Reactivos'!DT247,'LP Reactivos'!DY247,'LP Reactivos'!EB247)," ")</f>
        <v>6</v>
      </c>
    </row>
    <row r="248" spans="2:12" ht="40.5" x14ac:dyDescent="0.25">
      <c r="B248" s="425">
        <v>246</v>
      </c>
      <c r="C248" s="426" t="s">
        <v>1477</v>
      </c>
      <c r="D248" s="429">
        <f>IFERROR(MIN('LP Reactivos'!F248,'LP Reactivos'!I248,'LP Reactivos'!N248,'LP Reactivos'!S248,'LP Reactivos'!X248,'LP Reactivos'!AC248,'LP Reactivos'!AH248,'LP Reactivos'!AM248,'LP Reactivos'!AR248,'LP Reactivos'!AW248,'LP Reactivos'!BB248,'LP Reactivos'!BG248,'LP Reactivos'!BL248,'LP Reactivos'!BQ248,'LP Reactivos'!BV248,'LP Reactivos'!CA248,'LP Reactivos'!CF248,'LP Reactivos'!CK248,'LP Reactivos'!CP248,'LP Reactivos'!CU248,'LP Reactivos'!CZ248,'LP Reactivos'!DE248,'LP Reactivos'!DJ248,'LP Reactivos'!DO248,'LP Reactivos'!DT248,'LP Reactivos'!DY248,'LP Reactivos'!EB248)," ")</f>
        <v>490000</v>
      </c>
      <c r="E248" s="429">
        <f>IFERROR(AVERAGE('LP Reactivos'!F248,'LP Reactivos'!I248,'LP Reactivos'!N248,'LP Reactivos'!S248,'LP Reactivos'!X248,'LP Reactivos'!AC248,'LP Reactivos'!AH248,'LP Reactivos'!AM248,'LP Reactivos'!AR248,'LP Reactivos'!AW248,'LP Reactivos'!BB248,'LP Reactivos'!BG248,'LP Reactivos'!BL248,'LP Reactivos'!BQ248,'LP Reactivos'!BV248,'LP Reactivos'!CA248,'LP Reactivos'!CF248,'LP Reactivos'!CK248,'LP Reactivos'!CP248,'LP Reactivos'!CU248,'LP Reactivos'!CZ248,'LP Reactivos'!DE248,'LP Reactivos'!DJ248,'LP Reactivos'!DO248,'LP Reactivos'!DT248,'LP Reactivos'!DY248,'LP Reactivos'!EB248)," ")</f>
        <v>1368178.8327500001</v>
      </c>
      <c r="F248" s="345">
        <f>IFERROR(MEDIAN('LP Reactivos'!F248,'LP Reactivos'!I248,'LP Reactivos'!N248,'LP Reactivos'!S248,'LP Reactivos'!X248,'LP Reactivos'!AC248,'LP Reactivos'!AH248,'LP Reactivos'!AM248,'LP Reactivos'!AR248,'LP Reactivos'!AW248,'LP Reactivos'!BB248,'LP Reactivos'!BG248,'LP Reactivos'!BL248,'LP Reactivos'!BQ248,'LP Reactivos'!BV248,'LP Reactivos'!CA248,'LP Reactivos'!CF248,'LP Reactivos'!CK248,'LP Reactivos'!CP248,'LP Reactivos'!CU248,'LP Reactivos'!CZ248,'LP Reactivos'!DE248,'LP Reactivos'!DJ248,'LP Reactivos'!DO248,'LP Reactivos'!DT248,'LP Reactivos'!DY248,'LP Reactivos'!EB248)," ")</f>
        <v>1670066</v>
      </c>
      <c r="G248" s="345">
        <f>IFERROR(GEOMEAN('LP Reactivos'!F248,'LP Reactivos'!I248,'LP Reactivos'!N248,'LP Reactivos'!S248,'LP Reactivos'!X248,'LP Reactivos'!AC248,'LP Reactivos'!AH248,'LP Reactivos'!AM248,'LP Reactivos'!AR248,'LP Reactivos'!AW248,'LP Reactivos'!BB248,'LP Reactivos'!BG248,'LP Reactivos'!BL248,'LP Reactivos'!BQ248,'LP Reactivos'!BV248,'LP Reactivos'!CA248,'LP Reactivos'!CF248,'LP Reactivos'!CK248,'LP Reactivos'!CP248,'LP Reactivos'!CU248,'LP Reactivos'!CZ248,'LP Reactivos'!DE248,'LP Reactivos'!DJ248,'LP Reactivos'!DO248,'LP Reactivos'!DT248,'LP Reactivos'!DY248,'LP Reactivos'!EB248)," ")</f>
        <v>1190661.8245719068</v>
      </c>
      <c r="H248" s="345">
        <f t="shared" si="16"/>
        <v>500596.08904611634</v>
      </c>
      <c r="I248" s="346">
        <f t="shared" si="17"/>
        <v>0.36588498306170447</v>
      </c>
      <c r="J248" s="345">
        <f>IF(I248&lt;=10%,F248,IF(AND(I248&gt;10%,I248&lt;=20%),E248,IF(AND(I248&gt;20%,I248&lt;=37%),G248,IF(I248&gt;37%,D248))))</f>
        <v>1190661.8245719068</v>
      </c>
      <c r="K248" s="344" t="str">
        <f t="shared" si="19"/>
        <v>Media Geométrica</v>
      </c>
      <c r="L248" s="326">
        <f>IFERROR(COUNTA('LP Reactivos'!F248,'LP Reactivos'!I248,'LP Reactivos'!N248,'LP Reactivos'!S248,'LP Reactivos'!X248,'LP Reactivos'!AC248,'LP Reactivos'!AH248,'LP Reactivos'!AM248,'LP Reactivos'!AR248,'LP Reactivos'!AW248,'LP Reactivos'!BB248,'LP Reactivos'!BG248,'LP Reactivos'!BL248,'LP Reactivos'!BQ248,'LP Reactivos'!BV248,'LP Reactivos'!CA248,'LP Reactivos'!CF248,'LP Reactivos'!CK248,'LP Reactivos'!CP248,'LP Reactivos'!CU248,'LP Reactivos'!CZ248,'LP Reactivos'!DE248,'LP Reactivos'!DJ248,'LP Reactivos'!DO248,'LP Reactivos'!DT248,'LP Reactivos'!DY248,'LP Reactivos'!EB248)," ")</f>
        <v>6</v>
      </c>
    </row>
    <row r="249" spans="2:12" ht="54" x14ac:dyDescent="0.25">
      <c r="B249" s="425">
        <v>247</v>
      </c>
      <c r="C249" s="427" t="s">
        <v>1483</v>
      </c>
      <c r="D249" s="429">
        <f>IFERROR(MIN('LP Reactivos'!F249,'LP Reactivos'!I249,'LP Reactivos'!N249,'LP Reactivos'!S249,'LP Reactivos'!X249,'LP Reactivos'!AC249,'LP Reactivos'!AH249,'LP Reactivos'!AM249,'LP Reactivos'!AR249,'LP Reactivos'!AW249,'LP Reactivos'!BB249,'LP Reactivos'!BG249,'LP Reactivos'!BL249,'LP Reactivos'!BQ249,'LP Reactivos'!BV249,'LP Reactivos'!CA249,'LP Reactivos'!CF249,'LP Reactivos'!CK249,'LP Reactivos'!CP249,'LP Reactivos'!CU249,'LP Reactivos'!CZ249,'LP Reactivos'!DE249,'LP Reactivos'!DJ249,'LP Reactivos'!DO249,'LP Reactivos'!DT249,'LP Reactivos'!DY249,'LP Reactivos'!EB249)," ")</f>
        <v>785778</v>
      </c>
      <c r="E249" s="429">
        <f>IFERROR(AVERAGE('LP Reactivos'!F249,'LP Reactivos'!I249,'LP Reactivos'!N249,'LP Reactivos'!S249,'LP Reactivos'!X249,'LP Reactivos'!AC249,'LP Reactivos'!AH249,'LP Reactivos'!AM249,'LP Reactivos'!AR249,'LP Reactivos'!AW249,'LP Reactivos'!BB249,'LP Reactivos'!BG249,'LP Reactivos'!BL249,'LP Reactivos'!BQ249,'LP Reactivos'!BV249,'LP Reactivos'!CA249,'LP Reactivos'!CF249,'LP Reactivos'!CK249,'LP Reactivos'!CP249,'LP Reactivos'!CU249,'LP Reactivos'!CZ249,'LP Reactivos'!DE249,'LP Reactivos'!DJ249,'LP Reactivos'!DO249,'LP Reactivos'!DT249,'LP Reactivos'!DY249,'LP Reactivos'!EB249)," ")</f>
        <v>1771081.382</v>
      </c>
      <c r="F249" s="345">
        <f>IFERROR(MEDIAN('LP Reactivos'!F249,'LP Reactivos'!I249,'LP Reactivos'!N249,'LP Reactivos'!S249,'LP Reactivos'!X249,'LP Reactivos'!AC249,'LP Reactivos'!AH249,'LP Reactivos'!AM249,'LP Reactivos'!AR249,'LP Reactivos'!AW249,'LP Reactivos'!BB249,'LP Reactivos'!BG249,'LP Reactivos'!BL249,'LP Reactivos'!BQ249,'LP Reactivos'!BV249,'LP Reactivos'!CA249,'LP Reactivos'!CF249,'LP Reactivos'!CK249,'LP Reactivos'!CP249,'LP Reactivos'!CU249,'LP Reactivos'!CZ249,'LP Reactivos'!DE249,'LP Reactivos'!DJ249,'LP Reactivos'!DO249,'LP Reactivos'!DT249,'LP Reactivos'!DY249,'LP Reactivos'!EB249)," ")</f>
        <v>1265676.1459999999</v>
      </c>
      <c r="G249" s="345">
        <f>IFERROR(GEOMEAN('LP Reactivos'!F249,'LP Reactivos'!I249,'LP Reactivos'!N249,'LP Reactivos'!S249,'LP Reactivos'!X249,'LP Reactivos'!AC249,'LP Reactivos'!AH249,'LP Reactivos'!AM249,'LP Reactivos'!AR249,'LP Reactivos'!AW249,'LP Reactivos'!BB249,'LP Reactivos'!BG249,'LP Reactivos'!BL249,'LP Reactivos'!BQ249,'LP Reactivos'!BV249,'LP Reactivos'!CA249,'LP Reactivos'!CF249,'LP Reactivos'!CK249,'LP Reactivos'!CP249,'LP Reactivos'!CU249,'LP Reactivos'!CZ249,'LP Reactivos'!DE249,'LP Reactivos'!DJ249,'LP Reactivos'!DO249,'LP Reactivos'!DT249,'LP Reactivos'!DY249,'LP Reactivos'!EB249)," ")</f>
        <v>1480333.2220485844</v>
      </c>
      <c r="H249" s="345">
        <f t="shared" si="16"/>
        <v>415288.91017568624</v>
      </c>
      <c r="I249" s="346">
        <f t="shared" si="17"/>
        <v>0.23448324531915057</v>
      </c>
      <c r="J249" s="345">
        <f t="shared" si="18"/>
        <v>1480333.2220485844</v>
      </c>
      <c r="K249" s="344" t="str">
        <f t="shared" si="19"/>
        <v>Media Geométrica</v>
      </c>
      <c r="L249" s="326">
        <f>IFERROR(COUNTA('LP Reactivos'!F249,'LP Reactivos'!I249,'LP Reactivos'!N249,'LP Reactivos'!S249,'LP Reactivos'!X249,'LP Reactivos'!AC249,'LP Reactivos'!AH249,'LP Reactivos'!AM249,'LP Reactivos'!AR249,'LP Reactivos'!AW249,'LP Reactivos'!BB249,'LP Reactivos'!BG249,'LP Reactivos'!BL249,'LP Reactivos'!BQ249,'LP Reactivos'!BV249,'LP Reactivos'!CA249,'LP Reactivos'!CF249,'LP Reactivos'!CK249,'LP Reactivos'!CP249,'LP Reactivos'!CU249,'LP Reactivos'!CZ249,'LP Reactivos'!DE249,'LP Reactivos'!DJ249,'LP Reactivos'!DO249,'LP Reactivos'!DT249,'LP Reactivos'!DY249,'LP Reactivos'!EB249)," ")</f>
        <v>3</v>
      </c>
    </row>
    <row r="250" spans="2:12" ht="54" x14ac:dyDescent="0.25">
      <c r="B250" s="425">
        <v>248</v>
      </c>
      <c r="C250" s="427" t="s">
        <v>1488</v>
      </c>
      <c r="D250" s="429">
        <f>IFERROR(MIN('LP Reactivos'!F250,'LP Reactivos'!I250,'LP Reactivos'!N250,'LP Reactivos'!S250,'LP Reactivos'!X250,'LP Reactivos'!AC250,'LP Reactivos'!AH250,'LP Reactivos'!AM250,'LP Reactivos'!AR250,'LP Reactivos'!AW250,'LP Reactivos'!BB250,'LP Reactivos'!BG250,'LP Reactivos'!BL250,'LP Reactivos'!BQ250,'LP Reactivos'!BV250,'LP Reactivos'!CA250,'LP Reactivos'!CF250,'LP Reactivos'!CK250,'LP Reactivos'!CP250,'LP Reactivos'!CU250,'LP Reactivos'!CZ250,'LP Reactivos'!DE250,'LP Reactivos'!DJ250,'LP Reactivos'!DO250,'LP Reactivos'!DT250,'LP Reactivos'!DY250,'LP Reactivos'!EB250)," ")</f>
        <v>744566</v>
      </c>
      <c r="E250" s="429">
        <f>IFERROR(AVERAGE('LP Reactivos'!F250,'LP Reactivos'!I250,'LP Reactivos'!N250,'LP Reactivos'!S250,'LP Reactivos'!X250,'LP Reactivos'!AC250,'LP Reactivos'!AH250,'LP Reactivos'!AM250,'LP Reactivos'!AR250,'LP Reactivos'!AW250,'LP Reactivos'!BB250,'LP Reactivos'!BG250,'LP Reactivos'!BL250,'LP Reactivos'!BQ250,'LP Reactivos'!BV250,'LP Reactivos'!CA250,'LP Reactivos'!CF250,'LP Reactivos'!CK250,'LP Reactivos'!CP250,'LP Reactivos'!CU250,'LP Reactivos'!CZ250,'LP Reactivos'!DE250,'LP Reactivos'!DJ250,'LP Reactivos'!DO250,'LP Reactivos'!DT250,'LP Reactivos'!DY250,'LP Reactivos'!EB250)," ")</f>
        <v>1394491.7079999999</v>
      </c>
      <c r="F250" s="345">
        <f>IFERROR(MEDIAN('LP Reactivos'!F250,'LP Reactivos'!I250,'LP Reactivos'!N250,'LP Reactivos'!S250,'LP Reactivos'!X250,'LP Reactivos'!AC250,'LP Reactivos'!AH250,'LP Reactivos'!AM250,'LP Reactivos'!AR250,'LP Reactivos'!AW250,'LP Reactivos'!BB250,'LP Reactivos'!BG250,'LP Reactivos'!BL250,'LP Reactivos'!BQ250,'LP Reactivos'!BV250,'LP Reactivos'!CA250,'LP Reactivos'!CF250,'LP Reactivos'!CK250,'LP Reactivos'!CP250,'LP Reactivos'!CU250,'LP Reactivos'!CZ250,'LP Reactivos'!DE250,'LP Reactivos'!DJ250,'LP Reactivos'!DO250,'LP Reactivos'!DT250,'LP Reactivos'!DY250,'LP Reactivos'!EB250)," ")</f>
        <v>1204089.1240000001</v>
      </c>
      <c r="G250" s="345">
        <f>IFERROR(GEOMEAN('LP Reactivos'!F250,'LP Reactivos'!I250,'LP Reactivos'!N250,'LP Reactivos'!S250,'LP Reactivos'!X250,'LP Reactivos'!AC250,'LP Reactivos'!AH250,'LP Reactivos'!AM250,'LP Reactivos'!AR250,'LP Reactivos'!AW250,'LP Reactivos'!BB250,'LP Reactivos'!BG250,'LP Reactivos'!BL250,'LP Reactivos'!BQ250,'LP Reactivos'!BV250,'LP Reactivos'!CA250,'LP Reactivos'!CF250,'LP Reactivos'!CK250,'LP Reactivos'!CP250,'LP Reactivos'!CU250,'LP Reactivos'!CZ250,'LP Reactivos'!DE250,'LP Reactivos'!DJ250,'LP Reactivos'!DO250,'LP Reactivos'!DT250,'LP Reactivos'!DY250,'LP Reactivos'!EB250)," ")</f>
        <v>1260670.1250672597</v>
      </c>
      <c r="H250" s="345">
        <f t="shared" si="16"/>
        <v>282443.38150263997</v>
      </c>
      <c r="I250" s="346">
        <f t="shared" si="17"/>
        <v>0.20254217352624085</v>
      </c>
      <c r="J250" s="345">
        <f t="shared" si="18"/>
        <v>1260670.1250672597</v>
      </c>
      <c r="K250" s="344" t="str">
        <f t="shared" si="19"/>
        <v>Media Geométrica</v>
      </c>
      <c r="L250" s="326">
        <f>IFERROR(COUNTA('LP Reactivos'!F250,'LP Reactivos'!I250,'LP Reactivos'!N250,'LP Reactivos'!S250,'LP Reactivos'!X250,'LP Reactivos'!AC250,'LP Reactivos'!AH250,'LP Reactivos'!AM250,'LP Reactivos'!AR250,'LP Reactivos'!AW250,'LP Reactivos'!BB250,'LP Reactivos'!BG250,'LP Reactivos'!BL250,'LP Reactivos'!BQ250,'LP Reactivos'!BV250,'LP Reactivos'!CA250,'LP Reactivos'!CF250,'LP Reactivos'!CK250,'LP Reactivos'!CP250,'LP Reactivos'!CU250,'LP Reactivos'!CZ250,'LP Reactivos'!DE250,'LP Reactivos'!DJ250,'LP Reactivos'!DO250,'LP Reactivos'!DT250,'LP Reactivos'!DY250,'LP Reactivos'!EB250)," ")</f>
        <v>3</v>
      </c>
    </row>
    <row r="251" spans="2:12" ht="54" x14ac:dyDescent="0.25">
      <c r="B251" s="425">
        <v>249</v>
      </c>
      <c r="C251" s="427" t="s">
        <v>1492</v>
      </c>
      <c r="D251" s="429">
        <f>IFERROR(MIN('LP Reactivos'!F251,'LP Reactivos'!I251,'LP Reactivos'!N251,'LP Reactivos'!S251,'LP Reactivos'!X251,'LP Reactivos'!AC251,'LP Reactivos'!AH251,'LP Reactivos'!AM251,'LP Reactivos'!AR251,'LP Reactivos'!AW251,'LP Reactivos'!BB251,'LP Reactivos'!BG251,'LP Reactivos'!BL251,'LP Reactivos'!BQ251,'LP Reactivos'!BV251,'LP Reactivos'!CA251,'LP Reactivos'!CF251,'LP Reactivos'!CK251,'LP Reactivos'!CP251,'LP Reactivos'!CU251,'LP Reactivos'!CZ251,'LP Reactivos'!DE251,'LP Reactivos'!DJ251,'LP Reactivos'!DO251,'LP Reactivos'!DT251,'LP Reactivos'!DY251,'LP Reactivos'!EB251)," ")</f>
        <v>700606</v>
      </c>
      <c r="E251" s="429">
        <f>IFERROR(AVERAGE('LP Reactivos'!F251,'LP Reactivos'!I251,'LP Reactivos'!N251,'LP Reactivos'!S251,'LP Reactivos'!X251,'LP Reactivos'!AC251,'LP Reactivos'!AH251,'LP Reactivos'!AM251,'LP Reactivos'!AR251,'LP Reactivos'!AW251,'LP Reactivos'!BB251,'LP Reactivos'!BG251,'LP Reactivos'!BL251,'LP Reactivos'!BQ251,'LP Reactivos'!BV251,'LP Reactivos'!CA251,'LP Reactivos'!CF251,'LP Reactivos'!CK251,'LP Reactivos'!CP251,'LP Reactivos'!CU251,'LP Reactivos'!CZ251,'LP Reactivos'!DE251,'LP Reactivos'!DJ251,'LP Reactivos'!DO251,'LP Reactivos'!DT251,'LP Reactivos'!DY251,'LP Reactivos'!EB251)," ")</f>
        <v>1367688.554</v>
      </c>
      <c r="F251" s="345">
        <f>IFERROR(MEDIAN('LP Reactivos'!F251,'LP Reactivos'!I251,'LP Reactivos'!N251,'LP Reactivos'!S251,'LP Reactivos'!X251,'LP Reactivos'!AC251,'LP Reactivos'!AH251,'LP Reactivos'!AM251,'LP Reactivos'!AR251,'LP Reactivos'!AW251,'LP Reactivos'!BB251,'LP Reactivos'!BG251,'LP Reactivos'!BL251,'LP Reactivos'!BQ251,'LP Reactivos'!BV251,'LP Reactivos'!CA251,'LP Reactivos'!CF251,'LP Reactivos'!CK251,'LP Reactivos'!CP251,'LP Reactivos'!CU251,'LP Reactivos'!CZ251,'LP Reactivos'!DE251,'LP Reactivos'!DJ251,'LP Reactivos'!DO251,'LP Reactivos'!DT251,'LP Reactivos'!DY251,'LP Reactivos'!EB251)," ")</f>
        <v>1167639.662</v>
      </c>
      <c r="G251" s="345">
        <f>IFERROR(GEOMEAN('LP Reactivos'!F251,'LP Reactivos'!I251,'LP Reactivos'!N251,'LP Reactivos'!S251,'LP Reactivos'!X251,'LP Reactivos'!AC251,'LP Reactivos'!AH251,'LP Reactivos'!AM251,'LP Reactivos'!AR251,'LP Reactivos'!AW251,'LP Reactivos'!BB251,'LP Reactivos'!BG251,'LP Reactivos'!BL251,'LP Reactivos'!BQ251,'LP Reactivos'!BV251,'LP Reactivos'!CA251,'LP Reactivos'!CF251,'LP Reactivos'!CK251,'LP Reactivos'!CP251,'LP Reactivos'!CU251,'LP Reactivos'!CZ251,'LP Reactivos'!DE251,'LP Reactivos'!DJ251,'LP Reactivos'!DO251,'LP Reactivos'!DT251,'LP Reactivos'!DY251,'LP Reactivos'!EB251)," ")</f>
        <v>1222761.4738001344</v>
      </c>
      <c r="H251" s="345">
        <f t="shared" si="16"/>
        <v>288650.27080268413</v>
      </c>
      <c r="I251" s="346">
        <f t="shared" si="17"/>
        <v>0.21104970861859251</v>
      </c>
      <c r="J251" s="345">
        <f t="shared" si="18"/>
        <v>1222761.4738001344</v>
      </c>
      <c r="K251" s="344" t="str">
        <f t="shared" si="19"/>
        <v>Media Geométrica</v>
      </c>
      <c r="L251" s="326">
        <f>IFERROR(COUNTA('LP Reactivos'!F251,'LP Reactivos'!I251,'LP Reactivos'!N251,'LP Reactivos'!S251,'LP Reactivos'!X251,'LP Reactivos'!AC251,'LP Reactivos'!AH251,'LP Reactivos'!AM251,'LP Reactivos'!AR251,'LP Reactivos'!AW251,'LP Reactivos'!BB251,'LP Reactivos'!BG251,'LP Reactivos'!BL251,'LP Reactivos'!BQ251,'LP Reactivos'!BV251,'LP Reactivos'!CA251,'LP Reactivos'!CF251,'LP Reactivos'!CK251,'LP Reactivos'!CP251,'LP Reactivos'!CU251,'LP Reactivos'!CZ251,'LP Reactivos'!DE251,'LP Reactivos'!DJ251,'LP Reactivos'!DO251,'LP Reactivos'!DT251,'LP Reactivos'!DY251,'LP Reactivos'!EB251)," ")</f>
        <v>3</v>
      </c>
    </row>
    <row r="252" spans="2:12" ht="54" x14ac:dyDescent="0.25">
      <c r="B252" s="425">
        <v>250</v>
      </c>
      <c r="C252" s="427" t="s">
        <v>1496</v>
      </c>
      <c r="D252" s="429">
        <f>IFERROR(MIN('LP Reactivos'!F252,'LP Reactivos'!I252,'LP Reactivos'!N252,'LP Reactivos'!S252,'LP Reactivos'!X252,'LP Reactivos'!AC252,'LP Reactivos'!AH252,'LP Reactivos'!AM252,'LP Reactivos'!AR252,'LP Reactivos'!AW252,'LP Reactivos'!BB252,'LP Reactivos'!BG252,'LP Reactivos'!BL252,'LP Reactivos'!BQ252,'LP Reactivos'!BV252,'LP Reactivos'!CA252,'LP Reactivos'!CF252,'LP Reactivos'!CK252,'LP Reactivos'!CP252,'LP Reactivos'!CU252,'LP Reactivos'!CZ252,'LP Reactivos'!DE252,'LP Reactivos'!DJ252,'LP Reactivos'!DO252,'LP Reactivos'!DT252,'LP Reactivos'!DY252,'LP Reactivos'!EB252)," ")</f>
        <v>270373.4694</v>
      </c>
      <c r="E252" s="429">
        <f>IFERROR(AVERAGE('LP Reactivos'!F252,'LP Reactivos'!I252,'LP Reactivos'!N252,'LP Reactivos'!S252,'LP Reactivos'!X252,'LP Reactivos'!AC252,'LP Reactivos'!AH252,'LP Reactivos'!AM252,'LP Reactivos'!AR252,'LP Reactivos'!AW252,'LP Reactivos'!BB252,'LP Reactivos'!BG252,'LP Reactivos'!BL252,'LP Reactivos'!BQ252,'LP Reactivos'!BV252,'LP Reactivos'!CA252,'LP Reactivos'!CF252,'LP Reactivos'!CK252,'LP Reactivos'!CP252,'LP Reactivos'!CU252,'LP Reactivos'!CZ252,'LP Reactivos'!DE252,'LP Reactivos'!DJ252,'LP Reactivos'!DO252,'LP Reactivos'!DT252,'LP Reactivos'!DY252,'LP Reactivos'!EB252)," ")</f>
        <v>868821.73470000003</v>
      </c>
      <c r="F252" s="345">
        <f>IFERROR(MEDIAN('LP Reactivos'!F252,'LP Reactivos'!I252,'LP Reactivos'!N252,'LP Reactivos'!S252,'LP Reactivos'!X252,'LP Reactivos'!AC252,'LP Reactivos'!AH252,'LP Reactivos'!AM252,'LP Reactivos'!AR252,'LP Reactivos'!AW252,'LP Reactivos'!BB252,'LP Reactivos'!BG252,'LP Reactivos'!BL252,'LP Reactivos'!BQ252,'LP Reactivos'!BV252,'LP Reactivos'!CA252,'LP Reactivos'!CF252,'LP Reactivos'!CK252,'LP Reactivos'!CP252,'LP Reactivos'!CU252,'LP Reactivos'!CZ252,'LP Reactivos'!DE252,'LP Reactivos'!DJ252,'LP Reactivos'!DO252,'LP Reactivos'!DT252,'LP Reactivos'!DY252,'LP Reactivos'!EB252)," ")</f>
        <v>868821.73469999991</v>
      </c>
      <c r="G252" s="345">
        <f>IFERROR(GEOMEAN('LP Reactivos'!F252,'LP Reactivos'!I252,'LP Reactivos'!N252,'LP Reactivos'!S252,'LP Reactivos'!X252,'LP Reactivos'!AC252,'LP Reactivos'!AH252,'LP Reactivos'!AM252,'LP Reactivos'!AR252,'LP Reactivos'!AW252,'LP Reactivos'!BB252,'LP Reactivos'!BG252,'LP Reactivos'!BL252,'LP Reactivos'!BQ252,'LP Reactivos'!BV252,'LP Reactivos'!CA252,'LP Reactivos'!CF252,'LP Reactivos'!CK252,'LP Reactivos'!CP252,'LP Reactivos'!CU252,'LP Reactivos'!CZ252,'LP Reactivos'!DE252,'LP Reactivos'!DJ252,'LP Reactivos'!DO252,'LP Reactivos'!DT252,'LP Reactivos'!DY252,'LP Reactivos'!EB252)," ")</f>
        <v>629849.88723229768</v>
      </c>
      <c r="H252" s="345">
        <f t="shared" si="16"/>
        <v>282801.31942510337</v>
      </c>
      <c r="I252" s="346">
        <f t="shared" si="17"/>
        <v>0.32549982134454003</v>
      </c>
      <c r="J252" s="345">
        <f>IF(I252&lt;=10%,F252,IF(AND(I252&gt;10%,I252&lt;=20%),E252,IF(AND(I252&gt;20%,I252&lt;=33%),G252,IF(I252&gt;33%,D252))))</f>
        <v>629849.88723229768</v>
      </c>
      <c r="K252" s="344" t="str">
        <f t="shared" si="19"/>
        <v>Media Geométrica</v>
      </c>
      <c r="L252" s="326">
        <f>IFERROR(COUNTA('LP Reactivos'!F252,'LP Reactivos'!I252,'LP Reactivos'!N252,'LP Reactivos'!S252,'LP Reactivos'!X252,'LP Reactivos'!AC252,'LP Reactivos'!AH252,'LP Reactivos'!AM252,'LP Reactivos'!AR252,'LP Reactivos'!AW252,'LP Reactivos'!BB252,'LP Reactivos'!BG252,'LP Reactivos'!BL252,'LP Reactivos'!BQ252,'LP Reactivos'!BV252,'LP Reactivos'!CA252,'LP Reactivos'!CF252,'LP Reactivos'!CK252,'LP Reactivos'!CP252,'LP Reactivos'!CU252,'LP Reactivos'!CZ252,'LP Reactivos'!DE252,'LP Reactivos'!DJ252,'LP Reactivos'!DO252,'LP Reactivos'!DT252,'LP Reactivos'!DY252,'LP Reactivos'!EB252)," ")</f>
        <v>2</v>
      </c>
    </row>
    <row r="253" spans="2:12" ht="54" x14ac:dyDescent="0.25">
      <c r="B253" s="425">
        <v>251</v>
      </c>
      <c r="C253" s="427" t="s">
        <v>1499</v>
      </c>
      <c r="D253" s="429">
        <f>IFERROR(MIN('LP Reactivos'!F253,'LP Reactivos'!I253,'LP Reactivos'!N253,'LP Reactivos'!S253,'LP Reactivos'!X253,'LP Reactivos'!AC253,'LP Reactivos'!AH253,'LP Reactivos'!AM253,'LP Reactivos'!AR253,'LP Reactivos'!AW253,'LP Reactivos'!BB253,'LP Reactivos'!BG253,'LP Reactivos'!BL253,'LP Reactivos'!BQ253,'LP Reactivos'!BV253,'LP Reactivos'!CA253,'LP Reactivos'!CF253,'LP Reactivos'!CK253,'LP Reactivos'!CP253,'LP Reactivos'!CU253,'LP Reactivos'!CZ253,'LP Reactivos'!DE253,'LP Reactivos'!DJ253,'LP Reactivos'!DO253,'LP Reactivos'!DT253,'LP Reactivos'!DY253,'LP Reactivos'!EB253)," ")</f>
        <v>498980.56599999999</v>
      </c>
      <c r="E253" s="429">
        <f>IFERROR(AVERAGE('LP Reactivos'!F253,'LP Reactivos'!I253,'LP Reactivos'!N253,'LP Reactivos'!S253,'LP Reactivos'!X253,'LP Reactivos'!AC253,'LP Reactivos'!AH253,'LP Reactivos'!AM253,'LP Reactivos'!AR253,'LP Reactivos'!AW253,'LP Reactivos'!BB253,'LP Reactivos'!BG253,'LP Reactivos'!BL253,'LP Reactivos'!BQ253,'LP Reactivos'!BV253,'LP Reactivos'!CA253,'LP Reactivos'!CF253,'LP Reactivos'!CK253,'LP Reactivos'!CP253,'LP Reactivos'!CU253,'LP Reactivos'!CZ253,'LP Reactivos'!DE253,'LP Reactivos'!DJ253,'LP Reactivos'!DO253,'LP Reactivos'!DT253,'LP Reactivos'!DY253,'LP Reactivos'!EB253)," ")</f>
        <v>966465.28300000005</v>
      </c>
      <c r="F253" s="345">
        <f>IFERROR(MEDIAN('LP Reactivos'!F253,'LP Reactivos'!I253,'LP Reactivos'!N253,'LP Reactivos'!S253,'LP Reactivos'!X253,'LP Reactivos'!AC253,'LP Reactivos'!AH253,'LP Reactivos'!AM253,'LP Reactivos'!AR253,'LP Reactivos'!AW253,'LP Reactivos'!BB253,'LP Reactivos'!BG253,'LP Reactivos'!BL253,'LP Reactivos'!BQ253,'LP Reactivos'!BV253,'LP Reactivos'!CA253,'LP Reactivos'!CF253,'LP Reactivos'!CK253,'LP Reactivos'!CP253,'LP Reactivos'!CU253,'LP Reactivos'!CZ253,'LP Reactivos'!DE253,'LP Reactivos'!DJ253,'LP Reactivos'!DO253,'LP Reactivos'!DT253,'LP Reactivos'!DY253,'LP Reactivos'!EB253)," ")</f>
        <v>966465.28300000005</v>
      </c>
      <c r="G253" s="345">
        <f>IFERROR(GEOMEAN('LP Reactivos'!F253,'LP Reactivos'!I253,'LP Reactivos'!N253,'LP Reactivos'!S253,'LP Reactivos'!X253,'LP Reactivos'!AC253,'LP Reactivos'!AH253,'LP Reactivos'!AM253,'LP Reactivos'!AR253,'LP Reactivos'!AW253,'LP Reactivos'!BB253,'LP Reactivos'!BG253,'LP Reactivos'!BL253,'LP Reactivos'!BQ253,'LP Reactivos'!BV253,'LP Reactivos'!CA253,'LP Reactivos'!CF253,'LP Reactivos'!CK253,'LP Reactivos'!CP253,'LP Reactivos'!CU253,'LP Reactivos'!CZ253,'LP Reactivos'!DE253,'LP Reactivos'!DJ253,'LP Reactivos'!DO253,'LP Reactivos'!DT253,'LP Reactivos'!DY253,'LP Reactivos'!EB253)," ")</f>
        <v>845880.12307637301</v>
      </c>
      <c r="H253" s="345">
        <f t="shared" si="16"/>
        <v>221077.81163060723</v>
      </c>
      <c r="I253" s="346">
        <f t="shared" si="17"/>
        <v>0.22874883921785655</v>
      </c>
      <c r="J253" s="345">
        <f t="shared" si="18"/>
        <v>845880.12307637301</v>
      </c>
      <c r="K253" s="344" t="str">
        <f t="shared" si="19"/>
        <v>Media Geométrica</v>
      </c>
      <c r="L253" s="326">
        <f>IFERROR(COUNTA('LP Reactivos'!F253,'LP Reactivos'!I253,'LP Reactivos'!N253,'LP Reactivos'!S253,'LP Reactivos'!X253,'LP Reactivos'!AC253,'LP Reactivos'!AH253,'LP Reactivos'!AM253,'LP Reactivos'!AR253,'LP Reactivos'!AW253,'LP Reactivos'!BB253,'LP Reactivos'!BG253,'LP Reactivos'!BL253,'LP Reactivos'!BQ253,'LP Reactivos'!BV253,'LP Reactivos'!CA253,'LP Reactivos'!CF253,'LP Reactivos'!CK253,'LP Reactivos'!CP253,'LP Reactivos'!CU253,'LP Reactivos'!CZ253,'LP Reactivos'!DE253,'LP Reactivos'!DJ253,'LP Reactivos'!DO253,'LP Reactivos'!DT253,'LP Reactivos'!DY253,'LP Reactivos'!EB253)," ")</f>
        <v>2</v>
      </c>
    </row>
    <row r="254" spans="2:12" ht="54" x14ac:dyDescent="0.25">
      <c r="B254" s="425">
        <v>252</v>
      </c>
      <c r="C254" s="427" t="s">
        <v>1503</v>
      </c>
      <c r="D254" s="429">
        <f>IFERROR(MIN('LP Reactivos'!F254,'LP Reactivos'!I254,'LP Reactivos'!N254,'LP Reactivos'!S254,'LP Reactivos'!X254,'LP Reactivos'!AC254,'LP Reactivos'!AH254,'LP Reactivos'!AM254,'LP Reactivos'!AR254,'LP Reactivos'!AW254,'LP Reactivos'!BB254,'LP Reactivos'!BG254,'LP Reactivos'!BL254,'LP Reactivos'!BQ254,'LP Reactivos'!BV254,'LP Reactivos'!CA254,'LP Reactivos'!CF254,'LP Reactivos'!CK254,'LP Reactivos'!CP254,'LP Reactivos'!CU254,'LP Reactivos'!CZ254,'LP Reactivos'!DE254,'LP Reactivos'!DJ254,'LP Reactivos'!DO254,'LP Reactivos'!DT254,'LP Reactivos'!DY254,'LP Reactivos'!EB254)," ")</f>
        <v>280522.4952</v>
      </c>
      <c r="E254" s="429">
        <f>IFERROR(AVERAGE('LP Reactivos'!F254,'LP Reactivos'!I254,'LP Reactivos'!N254,'LP Reactivos'!S254,'LP Reactivos'!X254,'LP Reactivos'!AC254,'LP Reactivos'!AH254,'LP Reactivos'!AM254,'LP Reactivos'!AR254,'LP Reactivos'!AW254,'LP Reactivos'!BB254,'LP Reactivos'!BG254,'LP Reactivos'!BL254,'LP Reactivos'!BQ254,'LP Reactivos'!BV254,'LP Reactivos'!CA254,'LP Reactivos'!CF254,'LP Reactivos'!CK254,'LP Reactivos'!CP254,'LP Reactivos'!CU254,'LP Reactivos'!CZ254,'LP Reactivos'!DE254,'LP Reactivos'!DJ254,'LP Reactivos'!DO254,'LP Reactivos'!DT254,'LP Reactivos'!DY254,'LP Reactivos'!EB254)," ")</f>
        <v>416936.2476</v>
      </c>
      <c r="F254" s="345">
        <f>IFERROR(MEDIAN('LP Reactivos'!F254,'LP Reactivos'!I254,'LP Reactivos'!N254,'LP Reactivos'!S254,'LP Reactivos'!X254,'LP Reactivos'!AC254,'LP Reactivos'!AH254,'LP Reactivos'!AM254,'LP Reactivos'!AR254,'LP Reactivos'!AW254,'LP Reactivos'!BB254,'LP Reactivos'!BG254,'LP Reactivos'!BL254,'LP Reactivos'!BQ254,'LP Reactivos'!BV254,'LP Reactivos'!CA254,'LP Reactivos'!CF254,'LP Reactivos'!CK254,'LP Reactivos'!CP254,'LP Reactivos'!CU254,'LP Reactivos'!CZ254,'LP Reactivos'!DE254,'LP Reactivos'!DJ254,'LP Reactivos'!DO254,'LP Reactivos'!DT254,'LP Reactivos'!DY254,'LP Reactivos'!EB254)," ")</f>
        <v>416936.2476</v>
      </c>
      <c r="G254" s="345">
        <f>IFERROR(GEOMEAN('LP Reactivos'!F254,'LP Reactivos'!I254,'LP Reactivos'!N254,'LP Reactivos'!S254,'LP Reactivos'!X254,'LP Reactivos'!AC254,'LP Reactivos'!AH254,'LP Reactivos'!AM254,'LP Reactivos'!AR254,'LP Reactivos'!AW254,'LP Reactivos'!BB254,'LP Reactivos'!BG254,'LP Reactivos'!BL254,'LP Reactivos'!BQ254,'LP Reactivos'!BV254,'LP Reactivos'!CA254,'LP Reactivos'!CF254,'LP Reactivos'!CK254,'LP Reactivos'!CP254,'LP Reactivos'!CU254,'LP Reactivos'!CZ254,'LP Reactivos'!DE254,'LP Reactivos'!DJ254,'LP Reactivos'!DO254,'LP Reactivos'!DT254,'LP Reactivos'!DY254,'LP Reactivos'!EB254)," ")</f>
        <v>393988.73425381089</v>
      </c>
      <c r="H254" s="345">
        <f t="shared" si="16"/>
        <v>65284.753088719124</v>
      </c>
      <c r="I254" s="346">
        <f t="shared" si="17"/>
        <v>0.15658209969633527</v>
      </c>
      <c r="J254" s="345">
        <f t="shared" si="18"/>
        <v>416936.2476</v>
      </c>
      <c r="K254" s="344" t="str">
        <f t="shared" si="19"/>
        <v>Promedio</v>
      </c>
      <c r="L254" s="326">
        <f>IFERROR(COUNTA('LP Reactivos'!F254,'LP Reactivos'!I254,'LP Reactivos'!N254,'LP Reactivos'!S254,'LP Reactivos'!X254,'LP Reactivos'!AC254,'LP Reactivos'!AH254,'LP Reactivos'!AM254,'LP Reactivos'!AR254,'LP Reactivos'!AW254,'LP Reactivos'!BB254,'LP Reactivos'!BG254,'LP Reactivos'!BL254,'LP Reactivos'!BQ254,'LP Reactivos'!BV254,'LP Reactivos'!CA254,'LP Reactivos'!CF254,'LP Reactivos'!CK254,'LP Reactivos'!CP254,'LP Reactivos'!CU254,'LP Reactivos'!CZ254,'LP Reactivos'!DE254,'LP Reactivos'!DJ254,'LP Reactivos'!DO254,'LP Reactivos'!DT254,'LP Reactivos'!DY254,'LP Reactivos'!EB254)," ")</f>
        <v>2</v>
      </c>
    </row>
    <row r="255" spans="2:12" ht="54" x14ac:dyDescent="0.25">
      <c r="B255" s="425">
        <v>253</v>
      </c>
      <c r="C255" s="426" t="s">
        <v>1507</v>
      </c>
      <c r="D255" s="429">
        <f>IFERROR(MIN('LP Reactivos'!F255,'LP Reactivos'!I255,'LP Reactivos'!N255,'LP Reactivos'!S255,'LP Reactivos'!X255,'LP Reactivos'!AC255,'LP Reactivos'!AH255,'LP Reactivos'!AM255,'LP Reactivos'!AR255,'LP Reactivos'!AW255,'LP Reactivos'!BB255,'LP Reactivos'!BG255,'LP Reactivos'!BL255,'LP Reactivos'!BQ255,'LP Reactivos'!BV255,'LP Reactivos'!CA255,'LP Reactivos'!CF255,'LP Reactivos'!CK255,'LP Reactivos'!CP255,'LP Reactivos'!CU255,'LP Reactivos'!CZ255,'LP Reactivos'!DE255,'LP Reactivos'!DJ255,'LP Reactivos'!DO255,'LP Reactivos'!DT255,'LP Reactivos'!DY255,'LP Reactivos'!EB255)," ")</f>
        <v>767550</v>
      </c>
      <c r="E255" s="429">
        <f>IFERROR(AVERAGE('LP Reactivos'!F255,'LP Reactivos'!I255,'LP Reactivos'!N255,'LP Reactivos'!S255,'LP Reactivos'!X255,'LP Reactivos'!AC255,'LP Reactivos'!AH255,'LP Reactivos'!AM255,'LP Reactivos'!AR255,'LP Reactivos'!AW255,'LP Reactivos'!BB255,'LP Reactivos'!BG255,'LP Reactivos'!BL255,'LP Reactivos'!BQ255,'LP Reactivos'!BV255,'LP Reactivos'!CA255,'LP Reactivos'!CF255,'LP Reactivos'!CK255,'LP Reactivos'!CP255,'LP Reactivos'!CU255,'LP Reactivos'!CZ255,'LP Reactivos'!DE255,'LP Reactivos'!DJ255,'LP Reactivos'!DO255,'LP Reactivos'!DT255,'LP Reactivos'!DY255,'LP Reactivos'!EB255)," ")</f>
        <v>767550</v>
      </c>
      <c r="F255" s="345">
        <f>IFERROR(MEDIAN('LP Reactivos'!F255,'LP Reactivos'!I255,'LP Reactivos'!N255,'LP Reactivos'!S255,'LP Reactivos'!X255,'LP Reactivos'!AC255,'LP Reactivos'!AH255,'LP Reactivos'!AM255,'LP Reactivos'!AR255,'LP Reactivos'!AW255,'LP Reactivos'!BB255,'LP Reactivos'!BG255,'LP Reactivos'!BL255,'LP Reactivos'!BQ255,'LP Reactivos'!BV255,'LP Reactivos'!CA255,'LP Reactivos'!CF255,'LP Reactivos'!CK255,'LP Reactivos'!CP255,'LP Reactivos'!CU255,'LP Reactivos'!CZ255,'LP Reactivos'!DE255,'LP Reactivos'!DJ255,'LP Reactivos'!DO255,'LP Reactivos'!DT255,'LP Reactivos'!DY255,'LP Reactivos'!EB255)," ")</f>
        <v>767550</v>
      </c>
      <c r="G255" s="345">
        <f>IFERROR(GEOMEAN('LP Reactivos'!F255,'LP Reactivos'!I255,'LP Reactivos'!N255,'LP Reactivos'!S255,'LP Reactivos'!X255,'LP Reactivos'!AC255,'LP Reactivos'!AH255,'LP Reactivos'!AM255,'LP Reactivos'!AR255,'LP Reactivos'!AW255,'LP Reactivos'!BB255,'LP Reactivos'!BG255,'LP Reactivos'!BL255,'LP Reactivos'!BQ255,'LP Reactivos'!BV255,'LP Reactivos'!CA255,'LP Reactivos'!CF255,'LP Reactivos'!CK255,'LP Reactivos'!CP255,'LP Reactivos'!CU255,'LP Reactivos'!CZ255,'LP Reactivos'!DE255,'LP Reactivos'!DJ255,'LP Reactivos'!DO255,'LP Reactivos'!DT255,'LP Reactivos'!DY255,'LP Reactivos'!EB255)," ")</f>
        <v>767550</v>
      </c>
      <c r="H255" s="345">
        <f t="shared" si="16"/>
        <v>0</v>
      </c>
      <c r="I255" s="346">
        <f t="shared" si="17"/>
        <v>0</v>
      </c>
      <c r="J255" s="345">
        <f t="shared" si="18"/>
        <v>767550</v>
      </c>
      <c r="K255" s="344" t="str">
        <f t="shared" si="19"/>
        <v>Menor Valor</v>
      </c>
      <c r="L255" s="326">
        <f>IFERROR(COUNTA('LP Reactivos'!F255,'LP Reactivos'!I255,'LP Reactivos'!N255,'LP Reactivos'!S255,'LP Reactivos'!X255,'LP Reactivos'!AC255,'LP Reactivos'!AH255,'LP Reactivos'!AM255,'LP Reactivos'!AR255,'LP Reactivos'!AW255,'LP Reactivos'!BB255,'LP Reactivos'!BG255,'LP Reactivos'!BL255,'LP Reactivos'!BQ255,'LP Reactivos'!BV255,'LP Reactivos'!CA255,'LP Reactivos'!CF255,'LP Reactivos'!CK255,'LP Reactivos'!CP255,'LP Reactivos'!CU255,'LP Reactivos'!CZ255,'LP Reactivos'!DE255,'LP Reactivos'!DJ255,'LP Reactivos'!DO255,'LP Reactivos'!DT255,'LP Reactivos'!DY255,'LP Reactivos'!EB255)," ")</f>
        <v>1</v>
      </c>
    </row>
    <row r="256" spans="2:12" ht="54" x14ac:dyDescent="0.25">
      <c r="B256" s="425">
        <v>254</v>
      </c>
      <c r="C256" s="427" t="s">
        <v>1510</v>
      </c>
      <c r="D256" s="429">
        <f>IFERROR(MIN('LP Reactivos'!F256,'LP Reactivos'!I256,'LP Reactivos'!N256,'LP Reactivos'!S256,'LP Reactivos'!X256,'LP Reactivos'!AC256,'LP Reactivos'!AH256,'LP Reactivos'!AM256,'LP Reactivos'!AR256,'LP Reactivos'!AW256,'LP Reactivos'!BB256,'LP Reactivos'!BG256,'LP Reactivos'!BL256,'LP Reactivos'!BQ256,'LP Reactivos'!BV256,'LP Reactivos'!CA256,'LP Reactivos'!CF256,'LP Reactivos'!CK256,'LP Reactivos'!CP256,'LP Reactivos'!CU256,'LP Reactivos'!CZ256,'LP Reactivos'!DE256,'LP Reactivos'!DJ256,'LP Reactivos'!DO256,'LP Reactivos'!DT256,'LP Reactivos'!DY256,'LP Reactivos'!EB256)," ")</f>
        <v>1820000</v>
      </c>
      <c r="E256" s="429">
        <f>IFERROR(AVERAGE('LP Reactivos'!F256,'LP Reactivos'!I256,'LP Reactivos'!N256,'LP Reactivos'!S256,'LP Reactivos'!X256,'LP Reactivos'!AC256,'LP Reactivos'!AH256,'LP Reactivos'!AM256,'LP Reactivos'!AR256,'LP Reactivos'!AW256,'LP Reactivos'!BB256,'LP Reactivos'!BG256,'LP Reactivos'!BL256,'LP Reactivos'!BQ256,'LP Reactivos'!BV256,'LP Reactivos'!CA256,'LP Reactivos'!CF256,'LP Reactivos'!CK256,'LP Reactivos'!CP256,'LP Reactivos'!CU256,'LP Reactivos'!CZ256,'LP Reactivos'!DE256,'LP Reactivos'!DJ256,'LP Reactivos'!DO256,'LP Reactivos'!DT256,'LP Reactivos'!DY256,'LP Reactivos'!EB256)," ")</f>
        <v>4747750</v>
      </c>
      <c r="F256" s="345">
        <f>IFERROR(MEDIAN('LP Reactivos'!F256,'LP Reactivos'!I256,'LP Reactivos'!N256,'LP Reactivos'!S256,'LP Reactivos'!X256,'LP Reactivos'!AC256,'LP Reactivos'!AH256,'LP Reactivos'!AM256,'LP Reactivos'!AR256,'LP Reactivos'!AW256,'LP Reactivos'!BB256,'LP Reactivos'!BG256,'LP Reactivos'!BL256,'LP Reactivos'!BQ256,'LP Reactivos'!BV256,'LP Reactivos'!CA256,'LP Reactivos'!CF256,'LP Reactivos'!CK256,'LP Reactivos'!CP256,'LP Reactivos'!CU256,'LP Reactivos'!CZ256,'LP Reactivos'!DE256,'LP Reactivos'!DJ256,'LP Reactivos'!DO256,'LP Reactivos'!DT256,'LP Reactivos'!DY256,'LP Reactivos'!EB256)," ")</f>
        <v>4747750</v>
      </c>
      <c r="G256" s="345">
        <f>IFERROR(GEOMEAN('LP Reactivos'!F256,'LP Reactivos'!I256,'LP Reactivos'!N256,'LP Reactivos'!S256,'LP Reactivos'!X256,'LP Reactivos'!AC256,'LP Reactivos'!AH256,'LP Reactivos'!AM256,'LP Reactivos'!AR256,'LP Reactivos'!AW256,'LP Reactivos'!BB256,'LP Reactivos'!BG256,'LP Reactivos'!BL256,'LP Reactivos'!BQ256,'LP Reactivos'!BV256,'LP Reactivos'!CA256,'LP Reactivos'!CF256,'LP Reactivos'!CK256,'LP Reactivos'!CP256,'LP Reactivos'!CU256,'LP Reactivos'!CZ256,'LP Reactivos'!DE256,'LP Reactivos'!DJ256,'LP Reactivos'!DO256,'LP Reactivos'!DT256,'LP Reactivos'!DY256,'LP Reactivos'!EB256)," ")</f>
        <v>3737567.3906967887</v>
      </c>
      <c r="H256" s="345">
        <f t="shared" si="16"/>
        <v>1380260.924340666</v>
      </c>
      <c r="I256" s="346">
        <f t="shared" si="17"/>
        <v>0.29071895620887073</v>
      </c>
      <c r="J256" s="345">
        <f t="shared" si="18"/>
        <v>3737567.3906967887</v>
      </c>
      <c r="K256" s="344" t="str">
        <f t="shared" si="19"/>
        <v>Media Geométrica</v>
      </c>
      <c r="L256" s="326">
        <f>IFERROR(COUNTA('LP Reactivos'!F256,'LP Reactivos'!I256,'LP Reactivos'!N256,'LP Reactivos'!S256,'LP Reactivos'!X256,'LP Reactivos'!AC256,'LP Reactivos'!AH256,'LP Reactivos'!AM256,'LP Reactivos'!AR256,'LP Reactivos'!AW256,'LP Reactivos'!BB256,'LP Reactivos'!BG256,'LP Reactivos'!BL256,'LP Reactivos'!BQ256,'LP Reactivos'!BV256,'LP Reactivos'!CA256,'LP Reactivos'!CF256,'LP Reactivos'!CK256,'LP Reactivos'!CP256,'LP Reactivos'!CU256,'LP Reactivos'!CZ256,'LP Reactivos'!DE256,'LP Reactivos'!DJ256,'LP Reactivos'!DO256,'LP Reactivos'!DT256,'LP Reactivos'!DY256,'LP Reactivos'!EB256)," ")</f>
        <v>2</v>
      </c>
    </row>
    <row r="257" spans="2:12" ht="54" x14ac:dyDescent="0.25">
      <c r="B257" s="425">
        <v>255</v>
      </c>
      <c r="C257" s="427" t="s">
        <v>1513</v>
      </c>
      <c r="D257" s="429">
        <f>IFERROR(MIN('LP Reactivos'!F257,'LP Reactivos'!I257,'LP Reactivos'!N257,'LP Reactivos'!S257,'LP Reactivos'!X257,'LP Reactivos'!AC257,'LP Reactivos'!AH257,'LP Reactivos'!AM257,'LP Reactivos'!AR257,'LP Reactivos'!AW257,'LP Reactivos'!BB257,'LP Reactivos'!BG257,'LP Reactivos'!BL257,'LP Reactivos'!BQ257,'LP Reactivos'!BV257,'LP Reactivos'!CA257,'LP Reactivos'!CF257,'LP Reactivos'!CK257,'LP Reactivos'!CP257,'LP Reactivos'!CU257,'LP Reactivos'!CZ257,'LP Reactivos'!DE257,'LP Reactivos'!DJ257,'LP Reactivos'!DO257,'LP Reactivos'!DT257,'LP Reactivos'!DY257,'LP Reactivos'!EB257)," ")</f>
        <v>1906747</v>
      </c>
      <c r="E257" s="429">
        <f>IFERROR(AVERAGE('LP Reactivos'!F257,'LP Reactivos'!I257,'LP Reactivos'!N257,'LP Reactivos'!S257,'LP Reactivos'!X257,'LP Reactivos'!AC257,'LP Reactivos'!AH257,'LP Reactivos'!AM257,'LP Reactivos'!AR257,'LP Reactivos'!AW257,'LP Reactivos'!BB257,'LP Reactivos'!BG257,'LP Reactivos'!BL257,'LP Reactivos'!BQ257,'LP Reactivos'!BV257,'LP Reactivos'!CA257,'LP Reactivos'!CF257,'LP Reactivos'!CK257,'LP Reactivos'!CP257,'LP Reactivos'!CU257,'LP Reactivos'!CZ257,'LP Reactivos'!DE257,'LP Reactivos'!DJ257,'LP Reactivos'!DO257,'LP Reactivos'!DT257,'LP Reactivos'!DY257,'LP Reactivos'!EB257)," ")</f>
        <v>2686013.5</v>
      </c>
      <c r="F257" s="345">
        <f>IFERROR(MEDIAN('LP Reactivos'!F257,'LP Reactivos'!I257,'LP Reactivos'!N257,'LP Reactivos'!S257,'LP Reactivos'!X257,'LP Reactivos'!AC257,'LP Reactivos'!AH257,'LP Reactivos'!AM257,'LP Reactivos'!AR257,'LP Reactivos'!AW257,'LP Reactivos'!BB257,'LP Reactivos'!BG257,'LP Reactivos'!BL257,'LP Reactivos'!BQ257,'LP Reactivos'!BV257,'LP Reactivos'!CA257,'LP Reactivos'!CF257,'LP Reactivos'!CK257,'LP Reactivos'!CP257,'LP Reactivos'!CU257,'LP Reactivos'!CZ257,'LP Reactivos'!DE257,'LP Reactivos'!DJ257,'LP Reactivos'!DO257,'LP Reactivos'!DT257,'LP Reactivos'!DY257,'LP Reactivos'!EB257)," ")</f>
        <v>2686013.5</v>
      </c>
      <c r="G257" s="345">
        <f>IFERROR(GEOMEAN('LP Reactivos'!F257,'LP Reactivos'!I257,'LP Reactivos'!N257,'LP Reactivos'!S257,'LP Reactivos'!X257,'LP Reactivos'!AC257,'LP Reactivos'!AH257,'LP Reactivos'!AM257,'LP Reactivos'!AR257,'LP Reactivos'!AW257,'LP Reactivos'!BB257,'LP Reactivos'!BG257,'LP Reactivos'!BL257,'LP Reactivos'!BQ257,'LP Reactivos'!BV257,'LP Reactivos'!CA257,'LP Reactivos'!CF257,'LP Reactivos'!CK257,'LP Reactivos'!CP257,'LP Reactivos'!CU257,'LP Reactivos'!CZ257,'LP Reactivos'!DE257,'LP Reactivos'!DJ257,'LP Reactivos'!DO257,'LP Reactivos'!DT257,'LP Reactivos'!DY257,'LP Reactivos'!EB257)," ")</f>
        <v>2570488.7169874916</v>
      </c>
      <c r="H257" s="345">
        <f t="shared" si="16"/>
        <v>374361.40892349236</v>
      </c>
      <c r="I257" s="346">
        <f t="shared" si="17"/>
        <v>0.13937435866330991</v>
      </c>
      <c r="J257" s="345">
        <f t="shared" si="18"/>
        <v>2686013.5</v>
      </c>
      <c r="K257" s="344" t="str">
        <f t="shared" si="19"/>
        <v>Promedio</v>
      </c>
      <c r="L257" s="326">
        <f>IFERROR(COUNTA('LP Reactivos'!F257,'LP Reactivos'!I257,'LP Reactivos'!N257,'LP Reactivos'!S257,'LP Reactivos'!X257,'LP Reactivos'!AC257,'LP Reactivos'!AH257,'LP Reactivos'!AM257,'LP Reactivos'!AR257,'LP Reactivos'!AW257,'LP Reactivos'!BB257,'LP Reactivos'!BG257,'LP Reactivos'!BL257,'LP Reactivos'!BQ257,'LP Reactivos'!BV257,'LP Reactivos'!CA257,'LP Reactivos'!CF257,'LP Reactivos'!CK257,'LP Reactivos'!CP257,'LP Reactivos'!CU257,'LP Reactivos'!CZ257,'LP Reactivos'!DE257,'LP Reactivos'!DJ257,'LP Reactivos'!DO257,'LP Reactivos'!DT257,'LP Reactivos'!DY257,'LP Reactivos'!EB257)," ")</f>
        <v>2</v>
      </c>
    </row>
    <row r="258" spans="2:12" ht="54" x14ac:dyDescent="0.25">
      <c r="B258" s="425">
        <v>256</v>
      </c>
      <c r="C258" s="427" t="s">
        <v>1517</v>
      </c>
      <c r="D258" s="429">
        <f>IFERROR(MIN('LP Reactivos'!F258,'LP Reactivos'!I258,'LP Reactivos'!N258,'LP Reactivos'!S258,'LP Reactivos'!X258,'LP Reactivos'!AC258,'LP Reactivos'!AH258,'LP Reactivos'!AM258,'LP Reactivos'!AR258,'LP Reactivos'!AW258,'LP Reactivos'!BB258,'LP Reactivos'!BG258,'LP Reactivos'!BL258,'LP Reactivos'!BQ258,'LP Reactivos'!BV258,'LP Reactivos'!CA258,'LP Reactivos'!CF258,'LP Reactivos'!CK258,'LP Reactivos'!CP258,'LP Reactivos'!CU258,'LP Reactivos'!CZ258,'LP Reactivos'!DE258,'LP Reactivos'!DJ258,'LP Reactivos'!DO258,'LP Reactivos'!DT258,'LP Reactivos'!DY258,'LP Reactivos'!EB258)," ")</f>
        <v>379152</v>
      </c>
      <c r="E258" s="429">
        <f>IFERROR(AVERAGE('LP Reactivos'!F258,'LP Reactivos'!I258,'LP Reactivos'!N258,'LP Reactivos'!S258,'LP Reactivos'!X258,'LP Reactivos'!AC258,'LP Reactivos'!AH258,'LP Reactivos'!AM258,'LP Reactivos'!AR258,'LP Reactivos'!AW258,'LP Reactivos'!BB258,'LP Reactivos'!BG258,'LP Reactivos'!BL258,'LP Reactivos'!BQ258,'LP Reactivos'!BV258,'LP Reactivos'!CA258,'LP Reactivos'!CF258,'LP Reactivos'!CK258,'LP Reactivos'!CP258,'LP Reactivos'!CU258,'LP Reactivos'!CZ258,'LP Reactivos'!DE258,'LP Reactivos'!DJ258,'LP Reactivos'!DO258,'LP Reactivos'!DT258,'LP Reactivos'!DY258,'LP Reactivos'!EB258)," ")</f>
        <v>1295658.7220000001</v>
      </c>
      <c r="F258" s="345">
        <f>IFERROR(MEDIAN('LP Reactivos'!F258,'LP Reactivos'!I258,'LP Reactivos'!N258,'LP Reactivos'!S258,'LP Reactivos'!X258,'LP Reactivos'!AC258,'LP Reactivos'!AH258,'LP Reactivos'!AM258,'LP Reactivos'!AR258,'LP Reactivos'!AW258,'LP Reactivos'!BB258,'LP Reactivos'!BG258,'LP Reactivos'!BL258,'LP Reactivos'!BQ258,'LP Reactivos'!BV258,'LP Reactivos'!CA258,'LP Reactivos'!CF258,'LP Reactivos'!CK258,'LP Reactivos'!CP258,'LP Reactivos'!CU258,'LP Reactivos'!CZ258,'LP Reactivos'!DE258,'LP Reactivos'!DJ258,'LP Reactivos'!DO258,'LP Reactivos'!DT258,'LP Reactivos'!DY258,'LP Reactivos'!EB258)," ")</f>
        <v>1500590</v>
      </c>
      <c r="G258" s="345">
        <f>IFERROR(GEOMEAN('LP Reactivos'!F258,'LP Reactivos'!I258,'LP Reactivos'!N258,'LP Reactivos'!S258,'LP Reactivos'!X258,'LP Reactivos'!AC258,'LP Reactivos'!AH258,'LP Reactivos'!AM258,'LP Reactivos'!AR258,'LP Reactivos'!AW258,'LP Reactivos'!BB258,'LP Reactivos'!BG258,'LP Reactivos'!BL258,'LP Reactivos'!BQ258,'LP Reactivos'!BV258,'LP Reactivos'!CA258,'LP Reactivos'!CF258,'LP Reactivos'!CK258,'LP Reactivos'!CP258,'LP Reactivos'!CU258,'LP Reactivos'!CZ258,'LP Reactivos'!DE258,'LP Reactivos'!DJ258,'LP Reactivos'!DO258,'LP Reactivos'!DT258,'LP Reactivos'!DY258,'LP Reactivos'!EB258)," ")</f>
        <v>1045260.3581644304</v>
      </c>
      <c r="H258" s="345">
        <f t="shared" si="16"/>
        <v>487624.28810338967</v>
      </c>
      <c r="I258" s="346">
        <f t="shared" si="17"/>
        <v>0.37635241427672006</v>
      </c>
      <c r="J258" s="345">
        <f>IF(I258&lt;=10%,F258,IF(AND(I258&gt;10%,I258&lt;=20%),E258,IF(AND(I258&gt;20%,I258&lt;=38%),G258,IF(I258&gt;38%,D258))))</f>
        <v>1045260.3581644304</v>
      </c>
      <c r="K258" s="344" t="str">
        <f t="shared" si="19"/>
        <v>Media Geométrica</v>
      </c>
      <c r="L258" s="326">
        <f>IFERROR(COUNTA('LP Reactivos'!F258,'LP Reactivos'!I258,'LP Reactivos'!N258,'LP Reactivos'!S258,'LP Reactivos'!X258,'LP Reactivos'!AC258,'LP Reactivos'!AH258,'LP Reactivos'!AM258,'LP Reactivos'!AR258,'LP Reactivos'!AW258,'LP Reactivos'!BB258,'LP Reactivos'!BG258,'LP Reactivos'!BL258,'LP Reactivos'!BQ258,'LP Reactivos'!BV258,'LP Reactivos'!CA258,'LP Reactivos'!CF258,'LP Reactivos'!CK258,'LP Reactivos'!CP258,'LP Reactivos'!CU258,'LP Reactivos'!CZ258,'LP Reactivos'!DE258,'LP Reactivos'!DJ258,'LP Reactivos'!DO258,'LP Reactivos'!DT258,'LP Reactivos'!DY258,'LP Reactivos'!EB258)," ")</f>
        <v>3</v>
      </c>
    </row>
    <row r="259" spans="2:12" ht="40.5" x14ac:dyDescent="0.25">
      <c r="B259" s="425">
        <v>257</v>
      </c>
      <c r="C259" s="427" t="s">
        <v>1522</v>
      </c>
      <c r="D259" s="429">
        <f>IFERROR(MIN('LP Reactivos'!F259,'LP Reactivos'!I259,'LP Reactivos'!N259,'LP Reactivos'!S259,'LP Reactivos'!X259,'LP Reactivos'!AC259,'LP Reactivos'!AH259,'LP Reactivos'!AM259,'LP Reactivos'!AR259,'LP Reactivos'!AW259,'LP Reactivos'!BB259,'LP Reactivos'!BG259,'LP Reactivos'!BL259,'LP Reactivos'!BQ259,'LP Reactivos'!BV259,'LP Reactivos'!CA259,'LP Reactivos'!CF259,'LP Reactivos'!CK259,'LP Reactivos'!CP259,'LP Reactivos'!CU259,'LP Reactivos'!CZ259,'LP Reactivos'!DE259,'LP Reactivos'!DJ259,'LP Reactivos'!DO259,'LP Reactivos'!DT259,'LP Reactivos'!DY259,'LP Reactivos'!EB259)," ")</f>
        <v>86822.399999999994</v>
      </c>
      <c r="E259" s="429">
        <f>IFERROR(AVERAGE('LP Reactivos'!F259,'LP Reactivos'!I259,'LP Reactivos'!N259,'LP Reactivos'!S259,'LP Reactivos'!X259,'LP Reactivos'!AC259,'LP Reactivos'!AH259,'LP Reactivos'!AM259,'LP Reactivos'!AR259,'LP Reactivos'!AW259,'LP Reactivos'!BB259,'LP Reactivos'!BG259,'LP Reactivos'!BL259,'LP Reactivos'!BQ259,'LP Reactivos'!BV259,'LP Reactivos'!CA259,'LP Reactivos'!CF259,'LP Reactivos'!CK259,'LP Reactivos'!CP259,'LP Reactivos'!CU259,'LP Reactivos'!CZ259,'LP Reactivos'!DE259,'LP Reactivos'!DJ259,'LP Reactivos'!DO259,'LP Reactivos'!DT259,'LP Reactivos'!DY259,'LP Reactivos'!EB259)," ")</f>
        <v>155761.83040000001</v>
      </c>
      <c r="F259" s="345">
        <f>IFERROR(MEDIAN('LP Reactivos'!F259,'LP Reactivos'!I259,'LP Reactivos'!N259,'LP Reactivos'!S259,'LP Reactivos'!X259,'LP Reactivos'!AC259,'LP Reactivos'!AH259,'LP Reactivos'!AM259,'LP Reactivos'!AR259,'LP Reactivos'!AW259,'LP Reactivos'!BB259,'LP Reactivos'!BG259,'LP Reactivos'!BL259,'LP Reactivos'!BQ259,'LP Reactivos'!BV259,'LP Reactivos'!CA259,'LP Reactivos'!CF259,'LP Reactivos'!CK259,'LP Reactivos'!CP259,'LP Reactivos'!CU259,'LP Reactivos'!CZ259,'LP Reactivos'!DE259,'LP Reactivos'!DJ259,'LP Reactivos'!DO259,'LP Reactivos'!DT259,'LP Reactivos'!DY259,'LP Reactivos'!EB259)," ")</f>
        <v>110409</v>
      </c>
      <c r="G259" s="345">
        <f>IFERROR(GEOMEAN('LP Reactivos'!F259,'LP Reactivos'!I259,'LP Reactivos'!N259,'LP Reactivos'!S259,'LP Reactivos'!X259,'LP Reactivos'!AC259,'LP Reactivos'!AH259,'LP Reactivos'!AM259,'LP Reactivos'!AR259,'LP Reactivos'!AW259,'LP Reactivos'!BB259,'LP Reactivos'!BG259,'LP Reactivos'!BL259,'LP Reactivos'!BQ259,'LP Reactivos'!BV259,'LP Reactivos'!CA259,'LP Reactivos'!CF259,'LP Reactivos'!CK259,'LP Reactivos'!CP259,'LP Reactivos'!CU259,'LP Reactivos'!CZ259,'LP Reactivos'!DE259,'LP Reactivos'!DJ259,'LP Reactivos'!DO259,'LP Reactivos'!DT259,'LP Reactivos'!DY259,'LP Reactivos'!EB259)," ")</f>
        <v>140645.79886270812</v>
      </c>
      <c r="H259" s="345">
        <f t="shared" si="16"/>
        <v>30829.597073756351</v>
      </c>
      <c r="I259" s="346">
        <f t="shared" si="17"/>
        <v>0.19792780422896436</v>
      </c>
      <c r="J259" s="345">
        <f t="shared" si="18"/>
        <v>155761.83040000001</v>
      </c>
      <c r="K259" s="344" t="str">
        <f t="shared" si="19"/>
        <v>Promedio</v>
      </c>
      <c r="L259" s="326">
        <f>IFERROR(COUNTA('LP Reactivos'!F259,'LP Reactivos'!I259,'LP Reactivos'!N259,'LP Reactivos'!S259,'LP Reactivos'!X259,'LP Reactivos'!AC259,'LP Reactivos'!AH259,'LP Reactivos'!AM259,'LP Reactivos'!AR259,'LP Reactivos'!AW259,'LP Reactivos'!BB259,'LP Reactivos'!BG259,'LP Reactivos'!BL259,'LP Reactivos'!BQ259,'LP Reactivos'!BV259,'LP Reactivos'!CA259,'LP Reactivos'!CF259,'LP Reactivos'!CK259,'LP Reactivos'!CP259,'LP Reactivos'!CU259,'LP Reactivos'!CZ259,'LP Reactivos'!DE259,'LP Reactivos'!DJ259,'LP Reactivos'!DO259,'LP Reactivos'!DT259,'LP Reactivos'!DY259,'LP Reactivos'!EB259)," ")</f>
        <v>5</v>
      </c>
    </row>
    <row r="260" spans="2:12" x14ac:dyDescent="0.25">
      <c r="B260" s="425">
        <v>258</v>
      </c>
      <c r="C260" s="413" t="s">
        <v>1525</v>
      </c>
      <c r="D260" s="429">
        <f>IFERROR(MIN('LP Reactivos'!F260,'LP Reactivos'!I260,'LP Reactivos'!N260,'LP Reactivos'!S260,'LP Reactivos'!X260,'LP Reactivos'!AC260,'LP Reactivos'!AH260,'LP Reactivos'!AM260,'LP Reactivos'!AR260,'LP Reactivos'!AW260,'LP Reactivos'!BB260,'LP Reactivos'!BG260,'LP Reactivos'!BL260,'LP Reactivos'!BQ260,'LP Reactivos'!BV260,'LP Reactivos'!CA260,'LP Reactivos'!CF260,'LP Reactivos'!CK260,'LP Reactivos'!CP260,'LP Reactivos'!CU260,'LP Reactivos'!CZ260,'LP Reactivos'!DE260,'LP Reactivos'!DJ260,'LP Reactivos'!DO260,'LP Reactivos'!DT260,'LP Reactivos'!DY260,'LP Reactivos'!EB260)," ")</f>
        <v>15372420</v>
      </c>
      <c r="E260" s="429">
        <f>IFERROR(AVERAGE('LP Reactivos'!F260,'LP Reactivos'!I260,'LP Reactivos'!N260,'LP Reactivos'!S260,'LP Reactivos'!X260,'LP Reactivos'!AC260,'LP Reactivos'!AH260,'LP Reactivos'!AM260,'LP Reactivos'!AR260,'LP Reactivos'!AW260,'LP Reactivos'!BB260,'LP Reactivos'!BG260,'LP Reactivos'!BL260,'LP Reactivos'!BQ260,'LP Reactivos'!BV260,'LP Reactivos'!CA260,'LP Reactivos'!CF260,'LP Reactivos'!CK260,'LP Reactivos'!CP260,'LP Reactivos'!CU260,'LP Reactivos'!CZ260,'LP Reactivos'!DE260,'LP Reactivos'!DJ260,'LP Reactivos'!DO260,'LP Reactivos'!DT260,'LP Reactivos'!DY260,'LP Reactivos'!EB260)," ")</f>
        <v>15372420</v>
      </c>
      <c r="F260" s="345">
        <f>IFERROR(MEDIAN('LP Reactivos'!F260,'LP Reactivos'!I260,'LP Reactivos'!N260,'LP Reactivos'!S260,'LP Reactivos'!X260,'LP Reactivos'!AC260,'LP Reactivos'!AH260,'LP Reactivos'!AM260,'LP Reactivos'!AR260,'LP Reactivos'!AW260,'LP Reactivos'!BB260,'LP Reactivos'!BG260,'LP Reactivos'!BL260,'LP Reactivos'!BQ260,'LP Reactivos'!BV260,'LP Reactivos'!CA260,'LP Reactivos'!CF260,'LP Reactivos'!CK260,'LP Reactivos'!CP260,'LP Reactivos'!CU260,'LP Reactivos'!CZ260,'LP Reactivos'!DE260,'LP Reactivos'!DJ260,'LP Reactivos'!DO260,'LP Reactivos'!DT260,'LP Reactivos'!DY260,'LP Reactivos'!EB260)," ")</f>
        <v>15372420</v>
      </c>
      <c r="G260" s="345">
        <f>IFERROR(GEOMEAN('LP Reactivos'!F260,'LP Reactivos'!I260,'LP Reactivos'!N260,'LP Reactivos'!S260,'LP Reactivos'!X260,'LP Reactivos'!AC260,'LP Reactivos'!AH260,'LP Reactivos'!AM260,'LP Reactivos'!AR260,'LP Reactivos'!AW260,'LP Reactivos'!BB260,'LP Reactivos'!BG260,'LP Reactivos'!BL260,'LP Reactivos'!BQ260,'LP Reactivos'!BV260,'LP Reactivos'!CA260,'LP Reactivos'!CF260,'LP Reactivos'!CK260,'LP Reactivos'!CP260,'LP Reactivos'!CU260,'LP Reactivos'!CZ260,'LP Reactivos'!DE260,'LP Reactivos'!DJ260,'LP Reactivos'!DO260,'LP Reactivos'!DT260,'LP Reactivos'!DY260,'LP Reactivos'!EB260)," ")</f>
        <v>15372420</v>
      </c>
      <c r="H260" s="345">
        <f t="shared" si="16"/>
        <v>0</v>
      </c>
      <c r="I260" s="346">
        <f t="shared" si="17"/>
        <v>0</v>
      </c>
      <c r="J260" s="345">
        <f t="shared" si="18"/>
        <v>15372420</v>
      </c>
      <c r="K260" s="344" t="str">
        <f t="shared" si="19"/>
        <v>Menor Valor</v>
      </c>
      <c r="L260" s="326">
        <f>IFERROR(COUNTA('LP Reactivos'!F260,'LP Reactivos'!I260,'LP Reactivos'!N260,'LP Reactivos'!S260,'LP Reactivos'!X260,'LP Reactivos'!AC260,'LP Reactivos'!AH260,'LP Reactivos'!AM260,'LP Reactivos'!AR260,'LP Reactivos'!AW260,'LP Reactivos'!BB260,'LP Reactivos'!BG260,'LP Reactivos'!BL260,'LP Reactivos'!BQ260,'LP Reactivos'!BV260,'LP Reactivos'!CA260,'LP Reactivos'!CF260,'LP Reactivos'!CK260,'LP Reactivos'!CP260,'LP Reactivos'!CU260,'LP Reactivos'!CZ260,'LP Reactivos'!DE260,'LP Reactivos'!DJ260,'LP Reactivos'!DO260,'LP Reactivos'!DT260,'LP Reactivos'!DY260,'LP Reactivos'!EB260)," ")</f>
        <v>1</v>
      </c>
    </row>
    <row r="261" spans="2:12" x14ac:dyDescent="0.25">
      <c r="B261" s="425">
        <v>259</v>
      </c>
      <c r="C261" s="427" t="s">
        <v>1529</v>
      </c>
      <c r="D261" s="429">
        <f>IFERROR(MIN('LP Reactivos'!F261,'LP Reactivos'!I261,'LP Reactivos'!N261,'LP Reactivos'!S261,'LP Reactivos'!X261,'LP Reactivos'!AC261,'LP Reactivos'!AH261,'LP Reactivos'!AM261,'LP Reactivos'!AR261,'LP Reactivos'!AW261,'LP Reactivos'!BB261,'LP Reactivos'!BG261,'LP Reactivos'!BL261,'LP Reactivos'!BQ261,'LP Reactivos'!BV261,'LP Reactivos'!CA261,'LP Reactivos'!CF261,'LP Reactivos'!CK261,'LP Reactivos'!CP261,'LP Reactivos'!CU261,'LP Reactivos'!CZ261,'LP Reactivos'!DE261,'LP Reactivos'!DJ261,'LP Reactivos'!DO261,'LP Reactivos'!DT261,'LP Reactivos'!DY261,'LP Reactivos'!EB261)," ")</f>
        <v>300848</v>
      </c>
      <c r="E261" s="429">
        <f>IFERROR(AVERAGE('LP Reactivos'!F261,'LP Reactivos'!I261,'LP Reactivos'!N261,'LP Reactivos'!S261,'LP Reactivos'!X261,'LP Reactivos'!AC261,'LP Reactivos'!AH261,'LP Reactivos'!AM261,'LP Reactivos'!AR261,'LP Reactivos'!AW261,'LP Reactivos'!BB261,'LP Reactivos'!BG261,'LP Reactivos'!BL261,'LP Reactivos'!BQ261,'LP Reactivos'!BV261,'LP Reactivos'!CA261,'LP Reactivos'!CF261,'LP Reactivos'!CK261,'LP Reactivos'!CP261,'LP Reactivos'!CU261,'LP Reactivos'!CZ261,'LP Reactivos'!DE261,'LP Reactivos'!DJ261,'LP Reactivos'!DO261,'LP Reactivos'!DT261,'LP Reactivos'!DY261,'LP Reactivos'!EB261)," ")</f>
        <v>432454</v>
      </c>
      <c r="F261" s="345">
        <f>IFERROR(MEDIAN('LP Reactivos'!F261,'LP Reactivos'!I261,'LP Reactivos'!N261,'LP Reactivos'!S261,'LP Reactivos'!X261,'LP Reactivos'!AC261,'LP Reactivos'!AH261,'LP Reactivos'!AM261,'LP Reactivos'!AR261,'LP Reactivos'!AW261,'LP Reactivos'!BB261,'LP Reactivos'!BG261,'LP Reactivos'!BL261,'LP Reactivos'!BQ261,'LP Reactivos'!BV261,'LP Reactivos'!CA261,'LP Reactivos'!CF261,'LP Reactivos'!CK261,'LP Reactivos'!CP261,'LP Reactivos'!CU261,'LP Reactivos'!CZ261,'LP Reactivos'!DE261,'LP Reactivos'!DJ261,'LP Reactivos'!DO261,'LP Reactivos'!DT261,'LP Reactivos'!DY261,'LP Reactivos'!EB261)," ")</f>
        <v>432454</v>
      </c>
      <c r="G261" s="345">
        <f>IFERROR(GEOMEAN('LP Reactivos'!F261,'LP Reactivos'!I261,'LP Reactivos'!N261,'LP Reactivos'!S261,'LP Reactivos'!X261,'LP Reactivos'!AC261,'LP Reactivos'!AH261,'LP Reactivos'!AM261,'LP Reactivos'!AR261,'LP Reactivos'!AW261,'LP Reactivos'!BB261,'LP Reactivos'!BG261,'LP Reactivos'!BL261,'LP Reactivos'!BQ261,'LP Reactivos'!BV261,'LP Reactivos'!CA261,'LP Reactivos'!CF261,'LP Reactivos'!CK261,'LP Reactivos'!CP261,'LP Reactivos'!CU261,'LP Reactivos'!CZ261,'LP Reactivos'!DE261,'LP Reactivos'!DJ261,'LP Reactivos'!DO261,'LP Reactivos'!DT261,'LP Reactivos'!DY261,'LP Reactivos'!EB261)," ")</f>
        <v>411942.1353539839</v>
      </c>
      <c r="H261" s="345">
        <f t="shared" si="16"/>
        <v>63129.27118524503</v>
      </c>
      <c r="I261" s="346">
        <f t="shared" si="17"/>
        <v>0.14597915890532873</v>
      </c>
      <c r="J261" s="345">
        <f t="shared" si="18"/>
        <v>432454</v>
      </c>
      <c r="K261" s="344" t="str">
        <f t="shared" si="19"/>
        <v>Promedio</v>
      </c>
      <c r="L261" s="326">
        <f>IFERROR(COUNTA('LP Reactivos'!F261,'LP Reactivos'!I261,'LP Reactivos'!N261,'LP Reactivos'!S261,'LP Reactivos'!X261,'LP Reactivos'!AC261,'LP Reactivos'!AH261,'LP Reactivos'!AM261,'LP Reactivos'!AR261,'LP Reactivos'!AW261,'LP Reactivos'!BB261,'LP Reactivos'!BG261,'LP Reactivos'!BL261,'LP Reactivos'!BQ261,'LP Reactivos'!BV261,'LP Reactivos'!CA261,'LP Reactivos'!CF261,'LP Reactivos'!CK261,'LP Reactivos'!CP261,'LP Reactivos'!CU261,'LP Reactivos'!CZ261,'LP Reactivos'!DE261,'LP Reactivos'!DJ261,'LP Reactivos'!DO261,'LP Reactivos'!DT261,'LP Reactivos'!DY261,'LP Reactivos'!EB261)," ")</f>
        <v>2</v>
      </c>
    </row>
    <row r="262" spans="2:12" ht="40.5" x14ac:dyDescent="0.25">
      <c r="B262" s="425">
        <v>260</v>
      </c>
      <c r="C262" s="426" t="s">
        <v>1533</v>
      </c>
      <c r="D262" s="429">
        <f>IFERROR(MIN('LP Reactivos'!F262,'LP Reactivos'!I262,'LP Reactivos'!N262,'LP Reactivos'!S262,'LP Reactivos'!X262,'LP Reactivos'!AC262,'LP Reactivos'!AH262,'LP Reactivos'!AM262,'LP Reactivos'!AR262,'LP Reactivos'!AW262,'LP Reactivos'!BB262,'LP Reactivos'!BG262,'LP Reactivos'!BL262,'LP Reactivos'!BQ262,'LP Reactivos'!BV262,'LP Reactivos'!CA262,'LP Reactivos'!CF262,'LP Reactivos'!CK262,'LP Reactivos'!CP262,'LP Reactivos'!CU262,'LP Reactivos'!CZ262,'LP Reactivos'!DE262,'LP Reactivos'!DJ262,'LP Reactivos'!DO262,'LP Reactivos'!DT262,'LP Reactivos'!DY262,'LP Reactivos'!EB262)," ")</f>
        <v>441645.8052</v>
      </c>
      <c r="E262" s="429">
        <f>IFERROR(AVERAGE('LP Reactivos'!F262,'LP Reactivos'!I262,'LP Reactivos'!N262,'LP Reactivos'!S262,'LP Reactivos'!X262,'LP Reactivos'!AC262,'LP Reactivos'!AH262,'LP Reactivos'!AM262,'LP Reactivos'!AR262,'LP Reactivos'!AW262,'LP Reactivos'!BB262,'LP Reactivos'!BG262,'LP Reactivos'!BL262,'LP Reactivos'!BQ262,'LP Reactivos'!BV262,'LP Reactivos'!CA262,'LP Reactivos'!CF262,'LP Reactivos'!CK262,'LP Reactivos'!CP262,'LP Reactivos'!CU262,'LP Reactivos'!CZ262,'LP Reactivos'!DE262,'LP Reactivos'!DJ262,'LP Reactivos'!DO262,'LP Reactivos'!DT262,'LP Reactivos'!DY262,'LP Reactivos'!EB262)," ")</f>
        <v>441645.8052</v>
      </c>
      <c r="F262" s="345">
        <f>IFERROR(MEDIAN('LP Reactivos'!F262,'LP Reactivos'!I262,'LP Reactivos'!N262,'LP Reactivos'!S262,'LP Reactivos'!X262,'LP Reactivos'!AC262,'LP Reactivos'!AH262,'LP Reactivos'!AM262,'LP Reactivos'!AR262,'LP Reactivos'!AW262,'LP Reactivos'!BB262,'LP Reactivos'!BG262,'LP Reactivos'!BL262,'LP Reactivos'!BQ262,'LP Reactivos'!BV262,'LP Reactivos'!CA262,'LP Reactivos'!CF262,'LP Reactivos'!CK262,'LP Reactivos'!CP262,'LP Reactivos'!CU262,'LP Reactivos'!CZ262,'LP Reactivos'!DE262,'LP Reactivos'!DJ262,'LP Reactivos'!DO262,'LP Reactivos'!DT262,'LP Reactivos'!DY262,'LP Reactivos'!EB262)," ")</f>
        <v>441645.8052</v>
      </c>
      <c r="G262" s="345">
        <f>IFERROR(GEOMEAN('LP Reactivos'!F262,'LP Reactivos'!I262,'LP Reactivos'!N262,'LP Reactivos'!S262,'LP Reactivos'!X262,'LP Reactivos'!AC262,'LP Reactivos'!AH262,'LP Reactivos'!AM262,'LP Reactivos'!AR262,'LP Reactivos'!AW262,'LP Reactivos'!BB262,'LP Reactivos'!BG262,'LP Reactivos'!BL262,'LP Reactivos'!BQ262,'LP Reactivos'!BV262,'LP Reactivos'!CA262,'LP Reactivos'!CF262,'LP Reactivos'!CK262,'LP Reactivos'!CP262,'LP Reactivos'!CU262,'LP Reactivos'!CZ262,'LP Reactivos'!DE262,'LP Reactivos'!DJ262,'LP Reactivos'!DO262,'LP Reactivos'!DT262,'LP Reactivos'!DY262,'LP Reactivos'!EB262)," ")</f>
        <v>441645.8052</v>
      </c>
      <c r="H262" s="345">
        <f t="shared" si="16"/>
        <v>0</v>
      </c>
      <c r="I262" s="346">
        <f t="shared" si="17"/>
        <v>0</v>
      </c>
      <c r="J262" s="345">
        <f t="shared" si="18"/>
        <v>441645.8052</v>
      </c>
      <c r="K262" s="344" t="str">
        <f t="shared" si="19"/>
        <v>Menor Valor</v>
      </c>
      <c r="L262" s="326">
        <f>IFERROR(COUNTA('LP Reactivos'!F262,'LP Reactivos'!I262,'LP Reactivos'!N262,'LP Reactivos'!S262,'LP Reactivos'!X262,'LP Reactivos'!AC262,'LP Reactivos'!AH262,'LP Reactivos'!AM262,'LP Reactivos'!AR262,'LP Reactivos'!AW262,'LP Reactivos'!BB262,'LP Reactivos'!BG262,'LP Reactivos'!BL262,'LP Reactivos'!BQ262,'LP Reactivos'!BV262,'LP Reactivos'!CA262,'LP Reactivos'!CF262,'LP Reactivos'!CK262,'LP Reactivos'!CP262,'LP Reactivos'!CU262,'LP Reactivos'!CZ262,'LP Reactivos'!DE262,'LP Reactivos'!DJ262,'LP Reactivos'!DO262,'LP Reactivos'!DT262,'LP Reactivos'!DY262,'LP Reactivos'!EB262)," ")</f>
        <v>1</v>
      </c>
    </row>
    <row r="263" spans="2:12" ht="54" x14ac:dyDescent="0.25">
      <c r="B263" s="425">
        <v>261</v>
      </c>
      <c r="C263" s="426" t="s">
        <v>1535</v>
      </c>
      <c r="D263" s="429">
        <f>IFERROR(MIN('LP Reactivos'!F263,'LP Reactivos'!I263,'LP Reactivos'!N263,'LP Reactivos'!S263,'LP Reactivos'!X263,'LP Reactivos'!AC263,'LP Reactivos'!AH263,'LP Reactivos'!AM263,'LP Reactivos'!AR263,'LP Reactivos'!AW263,'LP Reactivos'!BB263,'LP Reactivos'!BG263,'LP Reactivos'!BL263,'LP Reactivos'!BQ263,'LP Reactivos'!BV263,'LP Reactivos'!CA263,'LP Reactivos'!CF263,'LP Reactivos'!CK263,'LP Reactivos'!CP263,'LP Reactivos'!CU263,'LP Reactivos'!CZ263,'LP Reactivos'!DE263,'LP Reactivos'!DJ263,'LP Reactivos'!DO263,'LP Reactivos'!DT263,'LP Reactivos'!DY263,'LP Reactivos'!EB263)," ")</f>
        <v>1974666.1359999999</v>
      </c>
      <c r="E263" s="429">
        <f>IFERROR(AVERAGE('LP Reactivos'!F263,'LP Reactivos'!I263,'LP Reactivos'!N263,'LP Reactivos'!S263,'LP Reactivos'!X263,'LP Reactivos'!AC263,'LP Reactivos'!AH263,'LP Reactivos'!AM263,'LP Reactivos'!AR263,'LP Reactivos'!AW263,'LP Reactivos'!BB263,'LP Reactivos'!BG263,'LP Reactivos'!BL263,'LP Reactivos'!BQ263,'LP Reactivos'!BV263,'LP Reactivos'!CA263,'LP Reactivos'!CF263,'LP Reactivos'!CK263,'LP Reactivos'!CP263,'LP Reactivos'!CU263,'LP Reactivos'!CZ263,'LP Reactivos'!DE263,'LP Reactivos'!DJ263,'LP Reactivos'!DO263,'LP Reactivos'!DT263,'LP Reactivos'!DY263,'LP Reactivos'!EB263)," ")</f>
        <v>1974666.1359999999</v>
      </c>
      <c r="F263" s="345">
        <f>IFERROR(MEDIAN('LP Reactivos'!F263,'LP Reactivos'!I263,'LP Reactivos'!N263,'LP Reactivos'!S263,'LP Reactivos'!X263,'LP Reactivos'!AC263,'LP Reactivos'!AH263,'LP Reactivos'!AM263,'LP Reactivos'!AR263,'LP Reactivos'!AW263,'LP Reactivos'!BB263,'LP Reactivos'!BG263,'LP Reactivos'!BL263,'LP Reactivos'!BQ263,'LP Reactivos'!BV263,'LP Reactivos'!CA263,'LP Reactivos'!CF263,'LP Reactivos'!CK263,'LP Reactivos'!CP263,'LP Reactivos'!CU263,'LP Reactivos'!CZ263,'LP Reactivos'!DE263,'LP Reactivos'!DJ263,'LP Reactivos'!DO263,'LP Reactivos'!DT263,'LP Reactivos'!DY263,'LP Reactivos'!EB263)," ")</f>
        <v>1974666.1359999999</v>
      </c>
      <c r="G263" s="345">
        <f>IFERROR(GEOMEAN('LP Reactivos'!F263,'LP Reactivos'!I263,'LP Reactivos'!N263,'LP Reactivos'!S263,'LP Reactivos'!X263,'LP Reactivos'!AC263,'LP Reactivos'!AH263,'LP Reactivos'!AM263,'LP Reactivos'!AR263,'LP Reactivos'!AW263,'LP Reactivos'!BB263,'LP Reactivos'!BG263,'LP Reactivos'!BL263,'LP Reactivos'!BQ263,'LP Reactivos'!BV263,'LP Reactivos'!CA263,'LP Reactivos'!CF263,'LP Reactivos'!CK263,'LP Reactivos'!CP263,'LP Reactivos'!CU263,'LP Reactivos'!CZ263,'LP Reactivos'!DE263,'LP Reactivos'!DJ263,'LP Reactivos'!DO263,'LP Reactivos'!DT263,'LP Reactivos'!DY263,'LP Reactivos'!EB263)," ")</f>
        <v>1974666.1359999999</v>
      </c>
      <c r="H263" s="345">
        <f t="shared" si="16"/>
        <v>0</v>
      </c>
      <c r="I263" s="346">
        <f t="shared" si="17"/>
        <v>0</v>
      </c>
      <c r="J263" s="345">
        <f t="shared" si="18"/>
        <v>1974666.1359999999</v>
      </c>
      <c r="K263" s="344" t="str">
        <f t="shared" si="19"/>
        <v>Menor Valor</v>
      </c>
      <c r="L263" s="326">
        <f>IFERROR(COUNTA('LP Reactivos'!F263,'LP Reactivos'!I263,'LP Reactivos'!N263,'LP Reactivos'!S263,'LP Reactivos'!X263,'LP Reactivos'!AC263,'LP Reactivos'!AH263,'LP Reactivos'!AM263,'LP Reactivos'!AR263,'LP Reactivos'!AW263,'LP Reactivos'!BB263,'LP Reactivos'!BG263,'LP Reactivos'!BL263,'LP Reactivos'!BQ263,'LP Reactivos'!BV263,'LP Reactivos'!CA263,'LP Reactivos'!CF263,'LP Reactivos'!CK263,'LP Reactivos'!CP263,'LP Reactivos'!CU263,'LP Reactivos'!CZ263,'LP Reactivos'!DE263,'LP Reactivos'!DJ263,'LP Reactivos'!DO263,'LP Reactivos'!DT263,'LP Reactivos'!DY263,'LP Reactivos'!EB263)," ")</f>
        <v>1</v>
      </c>
    </row>
    <row r="264" spans="2:12" ht="40.5" x14ac:dyDescent="0.25">
      <c r="B264" s="425">
        <v>262</v>
      </c>
      <c r="C264" s="426" t="s">
        <v>1537</v>
      </c>
      <c r="D264" s="429">
        <f>IFERROR(MIN('LP Reactivos'!F264,'LP Reactivos'!I264,'LP Reactivos'!N264,'LP Reactivos'!S264,'LP Reactivos'!X264,'LP Reactivos'!AC264,'LP Reactivos'!AH264,'LP Reactivos'!AM264,'LP Reactivos'!AR264,'LP Reactivos'!AW264,'LP Reactivos'!BB264,'LP Reactivos'!BG264,'LP Reactivos'!BL264,'LP Reactivos'!BQ264,'LP Reactivos'!BV264,'LP Reactivos'!CA264,'LP Reactivos'!CF264,'LP Reactivos'!CK264,'LP Reactivos'!CP264,'LP Reactivos'!CU264,'LP Reactivos'!CZ264,'LP Reactivos'!DE264,'LP Reactivos'!DJ264,'LP Reactivos'!DO264,'LP Reactivos'!DT264,'LP Reactivos'!DY264,'LP Reactivos'!EB264)," ")</f>
        <v>5237190</v>
      </c>
      <c r="E264" s="429">
        <f>IFERROR(AVERAGE('LP Reactivos'!F264,'LP Reactivos'!I264,'LP Reactivos'!N264,'LP Reactivos'!S264,'LP Reactivos'!X264,'LP Reactivos'!AC264,'LP Reactivos'!AH264,'LP Reactivos'!AM264,'LP Reactivos'!AR264,'LP Reactivos'!AW264,'LP Reactivos'!BB264,'LP Reactivos'!BG264,'LP Reactivos'!BL264,'LP Reactivos'!BQ264,'LP Reactivos'!BV264,'LP Reactivos'!CA264,'LP Reactivos'!CF264,'LP Reactivos'!CK264,'LP Reactivos'!CP264,'LP Reactivos'!CU264,'LP Reactivos'!CZ264,'LP Reactivos'!DE264,'LP Reactivos'!DJ264,'LP Reactivos'!DO264,'LP Reactivos'!DT264,'LP Reactivos'!DY264,'LP Reactivos'!EB264)," ")</f>
        <v>5237190</v>
      </c>
      <c r="F264" s="345">
        <f>IFERROR(MEDIAN('LP Reactivos'!F264,'LP Reactivos'!I264,'LP Reactivos'!N264,'LP Reactivos'!S264,'LP Reactivos'!X264,'LP Reactivos'!AC264,'LP Reactivos'!AH264,'LP Reactivos'!AM264,'LP Reactivos'!AR264,'LP Reactivos'!AW264,'LP Reactivos'!BB264,'LP Reactivos'!BG264,'LP Reactivos'!BL264,'LP Reactivos'!BQ264,'LP Reactivos'!BV264,'LP Reactivos'!CA264,'LP Reactivos'!CF264,'LP Reactivos'!CK264,'LP Reactivos'!CP264,'LP Reactivos'!CU264,'LP Reactivos'!CZ264,'LP Reactivos'!DE264,'LP Reactivos'!DJ264,'LP Reactivos'!DO264,'LP Reactivos'!DT264,'LP Reactivos'!DY264,'LP Reactivos'!EB264)," ")</f>
        <v>5237190</v>
      </c>
      <c r="G264" s="345">
        <f>IFERROR(GEOMEAN('LP Reactivos'!F264,'LP Reactivos'!I264,'LP Reactivos'!N264,'LP Reactivos'!S264,'LP Reactivos'!X264,'LP Reactivos'!AC264,'LP Reactivos'!AH264,'LP Reactivos'!AM264,'LP Reactivos'!AR264,'LP Reactivos'!AW264,'LP Reactivos'!BB264,'LP Reactivos'!BG264,'LP Reactivos'!BL264,'LP Reactivos'!BQ264,'LP Reactivos'!BV264,'LP Reactivos'!CA264,'LP Reactivos'!CF264,'LP Reactivos'!CK264,'LP Reactivos'!CP264,'LP Reactivos'!CU264,'LP Reactivos'!CZ264,'LP Reactivos'!DE264,'LP Reactivos'!DJ264,'LP Reactivos'!DO264,'LP Reactivos'!DT264,'LP Reactivos'!DY264,'LP Reactivos'!EB264)," ")</f>
        <v>5237190</v>
      </c>
      <c r="H264" s="345">
        <f t="shared" si="16"/>
        <v>0</v>
      </c>
      <c r="I264" s="346">
        <f t="shared" si="17"/>
        <v>0</v>
      </c>
      <c r="J264" s="345">
        <f t="shared" si="18"/>
        <v>5237190</v>
      </c>
      <c r="K264" s="344" t="str">
        <f t="shared" si="19"/>
        <v>Menor Valor</v>
      </c>
      <c r="L264" s="326">
        <f>IFERROR(COUNTA('LP Reactivos'!F264,'LP Reactivos'!I264,'LP Reactivos'!N264,'LP Reactivos'!S264,'LP Reactivos'!X264,'LP Reactivos'!AC264,'LP Reactivos'!AH264,'LP Reactivos'!AM264,'LP Reactivos'!AR264,'LP Reactivos'!AW264,'LP Reactivos'!BB264,'LP Reactivos'!BG264,'LP Reactivos'!BL264,'LP Reactivos'!BQ264,'LP Reactivos'!BV264,'LP Reactivos'!CA264,'LP Reactivos'!CF264,'LP Reactivos'!CK264,'LP Reactivos'!CP264,'LP Reactivos'!CU264,'LP Reactivos'!CZ264,'LP Reactivos'!DE264,'LP Reactivos'!DJ264,'LP Reactivos'!DO264,'LP Reactivos'!DT264,'LP Reactivos'!DY264,'LP Reactivos'!EB264)," ")</f>
        <v>1</v>
      </c>
    </row>
    <row r="265" spans="2:12" ht="40.5" x14ac:dyDescent="0.25">
      <c r="B265" s="425">
        <v>263</v>
      </c>
      <c r="C265" s="426" t="s">
        <v>1539</v>
      </c>
      <c r="D265" s="429">
        <f>IFERROR(MIN('LP Reactivos'!F265,'LP Reactivos'!I265,'LP Reactivos'!N265,'LP Reactivos'!S265,'LP Reactivos'!X265,'LP Reactivos'!AC265,'LP Reactivos'!AH265,'LP Reactivos'!AM265,'LP Reactivos'!AR265,'LP Reactivos'!AW265,'LP Reactivos'!BB265,'LP Reactivos'!BG265,'LP Reactivos'!BL265,'LP Reactivos'!BQ265,'LP Reactivos'!BV265,'LP Reactivos'!CA265,'LP Reactivos'!CF265,'LP Reactivos'!CK265,'LP Reactivos'!CP265,'LP Reactivos'!CU265,'LP Reactivos'!CZ265,'LP Reactivos'!DE265,'LP Reactivos'!DJ265,'LP Reactivos'!DO265,'LP Reactivos'!DT265,'LP Reactivos'!DY265,'LP Reactivos'!EB265)," ")</f>
        <v>6105890</v>
      </c>
      <c r="E265" s="429">
        <f>IFERROR(AVERAGE('LP Reactivos'!F265,'LP Reactivos'!I265,'LP Reactivos'!N265,'LP Reactivos'!S265,'LP Reactivos'!X265,'LP Reactivos'!AC265,'LP Reactivos'!AH265,'LP Reactivos'!AM265,'LP Reactivos'!AR265,'LP Reactivos'!AW265,'LP Reactivos'!BB265,'LP Reactivos'!BG265,'LP Reactivos'!BL265,'LP Reactivos'!BQ265,'LP Reactivos'!BV265,'LP Reactivos'!CA265,'LP Reactivos'!CF265,'LP Reactivos'!CK265,'LP Reactivos'!CP265,'LP Reactivos'!CU265,'LP Reactivos'!CZ265,'LP Reactivos'!DE265,'LP Reactivos'!DJ265,'LP Reactivos'!DO265,'LP Reactivos'!DT265,'LP Reactivos'!DY265,'LP Reactivos'!EB265)," ")</f>
        <v>6105890</v>
      </c>
      <c r="F265" s="345">
        <f>IFERROR(MEDIAN('LP Reactivos'!F265,'LP Reactivos'!I265,'LP Reactivos'!N265,'LP Reactivos'!S265,'LP Reactivos'!X265,'LP Reactivos'!AC265,'LP Reactivos'!AH265,'LP Reactivos'!AM265,'LP Reactivos'!AR265,'LP Reactivos'!AW265,'LP Reactivos'!BB265,'LP Reactivos'!BG265,'LP Reactivos'!BL265,'LP Reactivos'!BQ265,'LP Reactivos'!BV265,'LP Reactivos'!CA265,'LP Reactivos'!CF265,'LP Reactivos'!CK265,'LP Reactivos'!CP265,'LP Reactivos'!CU265,'LP Reactivos'!CZ265,'LP Reactivos'!DE265,'LP Reactivos'!DJ265,'LP Reactivos'!DO265,'LP Reactivos'!DT265,'LP Reactivos'!DY265,'LP Reactivos'!EB265)," ")</f>
        <v>6105890</v>
      </c>
      <c r="G265" s="345">
        <f>IFERROR(GEOMEAN('LP Reactivos'!F265,'LP Reactivos'!I265,'LP Reactivos'!N265,'LP Reactivos'!S265,'LP Reactivos'!X265,'LP Reactivos'!AC265,'LP Reactivos'!AH265,'LP Reactivos'!AM265,'LP Reactivos'!AR265,'LP Reactivos'!AW265,'LP Reactivos'!BB265,'LP Reactivos'!BG265,'LP Reactivos'!BL265,'LP Reactivos'!BQ265,'LP Reactivos'!BV265,'LP Reactivos'!CA265,'LP Reactivos'!CF265,'LP Reactivos'!CK265,'LP Reactivos'!CP265,'LP Reactivos'!CU265,'LP Reactivos'!CZ265,'LP Reactivos'!DE265,'LP Reactivos'!DJ265,'LP Reactivos'!DO265,'LP Reactivos'!DT265,'LP Reactivos'!DY265,'LP Reactivos'!EB265)," ")</f>
        <v>6105890</v>
      </c>
      <c r="H265" s="345">
        <f t="shared" si="16"/>
        <v>0</v>
      </c>
      <c r="I265" s="346">
        <f t="shared" si="17"/>
        <v>0</v>
      </c>
      <c r="J265" s="345">
        <f t="shared" si="18"/>
        <v>6105890</v>
      </c>
      <c r="K265" s="344" t="str">
        <f t="shared" si="19"/>
        <v>Menor Valor</v>
      </c>
      <c r="L265" s="326">
        <f>IFERROR(COUNTA('LP Reactivos'!F265,'LP Reactivos'!I265,'LP Reactivos'!N265,'LP Reactivos'!S265,'LP Reactivos'!X265,'LP Reactivos'!AC265,'LP Reactivos'!AH265,'LP Reactivos'!AM265,'LP Reactivos'!AR265,'LP Reactivos'!AW265,'LP Reactivos'!BB265,'LP Reactivos'!BG265,'LP Reactivos'!BL265,'LP Reactivos'!BQ265,'LP Reactivos'!BV265,'LP Reactivos'!CA265,'LP Reactivos'!CF265,'LP Reactivos'!CK265,'LP Reactivos'!CP265,'LP Reactivos'!CU265,'LP Reactivos'!CZ265,'LP Reactivos'!DE265,'LP Reactivos'!DJ265,'LP Reactivos'!DO265,'LP Reactivos'!DT265,'LP Reactivos'!DY265,'LP Reactivos'!EB265)," ")</f>
        <v>1</v>
      </c>
    </row>
    <row r="266" spans="2:12" ht="40.5" x14ac:dyDescent="0.25">
      <c r="B266" s="425">
        <v>264</v>
      </c>
      <c r="C266" s="427" t="s">
        <v>1541</v>
      </c>
      <c r="D266" s="429">
        <f>IFERROR(MIN('LP Reactivos'!F266,'LP Reactivos'!I266,'LP Reactivos'!N266,'LP Reactivos'!S266,'LP Reactivos'!X266,'LP Reactivos'!AC266,'LP Reactivos'!AH266,'LP Reactivos'!AM266,'LP Reactivos'!AR266,'LP Reactivos'!AW266,'LP Reactivos'!BB266,'LP Reactivos'!BG266,'LP Reactivos'!BL266,'LP Reactivos'!BQ266,'LP Reactivos'!BV266,'LP Reactivos'!CA266,'LP Reactivos'!CF266,'LP Reactivos'!CK266,'LP Reactivos'!CP266,'LP Reactivos'!CU266,'LP Reactivos'!CZ266,'LP Reactivos'!DE266,'LP Reactivos'!DJ266,'LP Reactivos'!DO266,'LP Reactivos'!DT266,'LP Reactivos'!DY266,'LP Reactivos'!EB266)," ")</f>
        <v>130233.60000000001</v>
      </c>
      <c r="E266" s="429">
        <f>IFERROR(AVERAGE('LP Reactivos'!F266,'LP Reactivos'!I266,'LP Reactivos'!N266,'LP Reactivos'!S266,'LP Reactivos'!X266,'LP Reactivos'!AC266,'LP Reactivos'!AH266,'LP Reactivos'!AM266,'LP Reactivos'!AR266,'LP Reactivos'!AW266,'LP Reactivos'!BB266,'LP Reactivos'!BG266,'LP Reactivos'!BL266,'LP Reactivos'!BQ266,'LP Reactivos'!BV266,'LP Reactivos'!CA266,'LP Reactivos'!CF266,'LP Reactivos'!CK266,'LP Reactivos'!CP266,'LP Reactivos'!CU266,'LP Reactivos'!CZ266,'LP Reactivos'!DE266,'LP Reactivos'!DJ266,'LP Reactivos'!DO266,'LP Reactivos'!DT266,'LP Reactivos'!DY266,'LP Reactivos'!EB266)," ")</f>
        <v>218993.15</v>
      </c>
      <c r="F266" s="345">
        <f>IFERROR(MEDIAN('LP Reactivos'!F266,'LP Reactivos'!I266,'LP Reactivos'!N266,'LP Reactivos'!S266,'LP Reactivos'!X266,'LP Reactivos'!AC266,'LP Reactivos'!AH266,'LP Reactivos'!AM266,'LP Reactivos'!AR266,'LP Reactivos'!AW266,'LP Reactivos'!BB266,'LP Reactivos'!BG266,'LP Reactivos'!BL266,'LP Reactivos'!BQ266,'LP Reactivos'!BV266,'LP Reactivos'!CA266,'LP Reactivos'!CF266,'LP Reactivos'!CK266,'LP Reactivos'!CP266,'LP Reactivos'!CU266,'LP Reactivos'!CZ266,'LP Reactivos'!DE266,'LP Reactivos'!DJ266,'LP Reactivos'!DO266,'LP Reactivos'!DT266,'LP Reactivos'!DY266,'LP Reactivos'!EB266)," ")</f>
        <v>225607</v>
      </c>
      <c r="G266" s="345">
        <f>IFERROR(GEOMEAN('LP Reactivos'!F266,'LP Reactivos'!I266,'LP Reactivos'!N266,'LP Reactivos'!S266,'LP Reactivos'!X266,'LP Reactivos'!AC266,'LP Reactivos'!AH266,'LP Reactivos'!AM266,'LP Reactivos'!AR266,'LP Reactivos'!AW266,'LP Reactivos'!BB266,'LP Reactivos'!BG266,'LP Reactivos'!BL266,'LP Reactivos'!BQ266,'LP Reactivos'!BV266,'LP Reactivos'!CA266,'LP Reactivos'!CF266,'LP Reactivos'!CK266,'LP Reactivos'!CP266,'LP Reactivos'!CU266,'LP Reactivos'!CZ266,'LP Reactivos'!DE266,'LP Reactivos'!DJ266,'LP Reactivos'!DO266,'LP Reactivos'!DT266,'LP Reactivos'!DY266,'LP Reactivos'!EB266)," ")</f>
        <v>206383.56737546125</v>
      </c>
      <c r="H266" s="345">
        <f t="shared" si="16"/>
        <v>44107.29873719324</v>
      </c>
      <c r="I266" s="346">
        <f t="shared" si="17"/>
        <v>0.20140949037535302</v>
      </c>
      <c r="J266" s="345">
        <f t="shared" si="18"/>
        <v>206383.56737546125</v>
      </c>
      <c r="K266" s="344" t="str">
        <f t="shared" si="19"/>
        <v>Media Geométrica</v>
      </c>
      <c r="L266" s="326">
        <f>IFERROR(COUNTA('LP Reactivos'!F266,'LP Reactivos'!I266,'LP Reactivos'!N266,'LP Reactivos'!S266,'LP Reactivos'!X266,'LP Reactivos'!AC266,'LP Reactivos'!AH266,'LP Reactivos'!AM266,'LP Reactivos'!AR266,'LP Reactivos'!AW266,'LP Reactivos'!BB266,'LP Reactivos'!BG266,'LP Reactivos'!BL266,'LP Reactivos'!BQ266,'LP Reactivos'!BV266,'LP Reactivos'!CA266,'LP Reactivos'!CF266,'LP Reactivos'!CK266,'LP Reactivos'!CP266,'LP Reactivos'!CU266,'LP Reactivos'!CZ266,'LP Reactivos'!DE266,'LP Reactivos'!DJ266,'LP Reactivos'!DO266,'LP Reactivos'!DT266,'LP Reactivos'!DY266,'LP Reactivos'!EB266)," ")</f>
        <v>4</v>
      </c>
    </row>
    <row r="267" spans="2:12" ht="54" x14ac:dyDescent="0.25">
      <c r="B267" s="425">
        <v>265</v>
      </c>
      <c r="C267" s="427" t="s">
        <v>1544</v>
      </c>
      <c r="D267" s="429">
        <f>IFERROR(MIN('LP Reactivos'!F267,'LP Reactivos'!I267,'LP Reactivos'!N267,'LP Reactivos'!S267,'LP Reactivos'!X267,'LP Reactivos'!AC267,'LP Reactivos'!AH267,'LP Reactivos'!AM267,'LP Reactivos'!AR267,'LP Reactivos'!AW267,'LP Reactivos'!BB267,'LP Reactivos'!BG267,'LP Reactivos'!BL267,'LP Reactivos'!BQ267,'LP Reactivos'!BV267,'LP Reactivos'!CA267,'LP Reactivos'!CF267,'LP Reactivos'!CK267,'LP Reactivos'!CP267,'LP Reactivos'!CU267,'LP Reactivos'!CZ267,'LP Reactivos'!DE267,'LP Reactivos'!DJ267,'LP Reactivos'!DO267,'LP Reactivos'!DT267,'LP Reactivos'!DY267,'LP Reactivos'!EB267)," ")</f>
        <v>92380.532999999996</v>
      </c>
      <c r="E267" s="429">
        <f>IFERROR(AVERAGE('LP Reactivos'!F267,'LP Reactivos'!I267,'LP Reactivos'!N267,'LP Reactivos'!S267,'LP Reactivos'!X267,'LP Reactivos'!AC267,'LP Reactivos'!AH267,'LP Reactivos'!AM267,'LP Reactivos'!AR267,'LP Reactivos'!AW267,'LP Reactivos'!BB267,'LP Reactivos'!BG267,'LP Reactivos'!BL267,'LP Reactivos'!BQ267,'LP Reactivos'!BV267,'LP Reactivos'!CA267,'LP Reactivos'!CF267,'LP Reactivos'!CK267,'LP Reactivos'!CP267,'LP Reactivos'!CU267,'LP Reactivos'!CZ267,'LP Reactivos'!DE267,'LP Reactivos'!DJ267,'LP Reactivos'!DO267,'LP Reactivos'!DT267,'LP Reactivos'!DY267,'LP Reactivos'!EB267)," ")</f>
        <v>220866.52659999998</v>
      </c>
      <c r="F267" s="345">
        <f>IFERROR(MEDIAN('LP Reactivos'!F267,'LP Reactivos'!I267,'LP Reactivos'!N267,'LP Reactivos'!S267,'LP Reactivos'!X267,'LP Reactivos'!AC267,'LP Reactivos'!AH267,'LP Reactivos'!AM267,'LP Reactivos'!AR267,'LP Reactivos'!AW267,'LP Reactivos'!BB267,'LP Reactivos'!BG267,'LP Reactivos'!BL267,'LP Reactivos'!BQ267,'LP Reactivos'!BV267,'LP Reactivos'!CA267,'LP Reactivos'!CF267,'LP Reactivos'!CK267,'LP Reactivos'!CP267,'LP Reactivos'!CU267,'LP Reactivos'!CZ267,'LP Reactivos'!DE267,'LP Reactivos'!DJ267,'LP Reactivos'!DO267,'LP Reactivos'!DT267,'LP Reactivos'!DY267,'LP Reactivos'!EB267)," ")</f>
        <v>204430</v>
      </c>
      <c r="G267" s="345">
        <f>IFERROR(GEOMEAN('LP Reactivos'!F267,'LP Reactivos'!I267,'LP Reactivos'!N267,'LP Reactivos'!S267,'LP Reactivos'!X267,'LP Reactivos'!AC267,'LP Reactivos'!AH267,'LP Reactivos'!AM267,'LP Reactivos'!AR267,'LP Reactivos'!AW267,'LP Reactivos'!BB267,'LP Reactivos'!BG267,'LP Reactivos'!BL267,'LP Reactivos'!BQ267,'LP Reactivos'!BV267,'LP Reactivos'!CA267,'LP Reactivos'!CF267,'LP Reactivos'!CK267,'LP Reactivos'!CP267,'LP Reactivos'!CU267,'LP Reactivos'!CZ267,'LP Reactivos'!DE267,'LP Reactivos'!DJ267,'LP Reactivos'!DO267,'LP Reactivos'!DT267,'LP Reactivos'!DY267,'LP Reactivos'!EB267)," ")</f>
        <v>199366.0564860818</v>
      </c>
      <c r="H267" s="345">
        <f t="shared" si="16"/>
        <v>58642.780876860939</v>
      </c>
      <c r="I267" s="346">
        <f t="shared" si="17"/>
        <v>0.26551230636712037</v>
      </c>
      <c r="J267" s="345">
        <f t="shared" si="18"/>
        <v>199366.0564860818</v>
      </c>
      <c r="K267" s="344" t="str">
        <f t="shared" si="19"/>
        <v>Media Geométrica</v>
      </c>
      <c r="L267" s="326">
        <f>IFERROR(COUNTA('LP Reactivos'!F267,'LP Reactivos'!I267,'LP Reactivos'!N267,'LP Reactivos'!S267,'LP Reactivos'!X267,'LP Reactivos'!AC267,'LP Reactivos'!AH267,'LP Reactivos'!AM267,'LP Reactivos'!AR267,'LP Reactivos'!AW267,'LP Reactivos'!BB267,'LP Reactivos'!BG267,'LP Reactivos'!BL267,'LP Reactivos'!BQ267,'LP Reactivos'!BV267,'LP Reactivos'!CA267,'LP Reactivos'!CF267,'LP Reactivos'!CK267,'LP Reactivos'!CP267,'LP Reactivos'!CU267,'LP Reactivos'!CZ267,'LP Reactivos'!DE267,'LP Reactivos'!DJ267,'LP Reactivos'!DO267,'LP Reactivos'!DT267,'LP Reactivos'!DY267,'LP Reactivos'!EB267)," ")</f>
        <v>5</v>
      </c>
    </row>
    <row r="268" spans="2:12" ht="27" x14ac:dyDescent="0.25">
      <c r="B268" s="425">
        <v>266</v>
      </c>
      <c r="C268" s="589" t="s">
        <v>1547</v>
      </c>
      <c r="D268" s="429">
        <f>IFERROR(MIN('LP Reactivos'!F268,'LP Reactivos'!I268,'LP Reactivos'!N268,'LP Reactivos'!S268,'LP Reactivos'!X268,'LP Reactivos'!AC268,'LP Reactivos'!AH268,'LP Reactivos'!AM268,'LP Reactivos'!AR268,'LP Reactivos'!AW268,'LP Reactivos'!BB268,'LP Reactivos'!BG268,'LP Reactivos'!BL268,'LP Reactivos'!BQ268,'LP Reactivos'!BV268,'LP Reactivos'!CA268,'LP Reactivos'!CF268,'LP Reactivos'!CK268,'LP Reactivos'!CP268,'LP Reactivos'!CU268,'LP Reactivos'!CZ268,'LP Reactivos'!DE268,'LP Reactivos'!DJ268,'LP Reactivos'!DO268,'LP Reactivos'!DT268,'LP Reactivos'!DY268,'LP Reactivos'!EB268)," ")</f>
        <v>326053</v>
      </c>
      <c r="E268" s="429">
        <f>IFERROR(AVERAGE('LP Reactivos'!F268,'LP Reactivos'!I268,'LP Reactivos'!N268,'LP Reactivos'!S268,'LP Reactivos'!X268,'LP Reactivos'!AC268,'LP Reactivos'!AH268,'LP Reactivos'!AM268,'LP Reactivos'!AR268,'LP Reactivos'!AW268,'LP Reactivos'!BB268,'LP Reactivos'!BG268,'LP Reactivos'!BL268,'LP Reactivos'!BQ268,'LP Reactivos'!BV268,'LP Reactivos'!CA268,'LP Reactivos'!CF268,'LP Reactivos'!CK268,'LP Reactivos'!CP268,'LP Reactivos'!CU268,'LP Reactivos'!CZ268,'LP Reactivos'!DE268,'LP Reactivos'!DJ268,'LP Reactivos'!DO268,'LP Reactivos'!DT268,'LP Reactivos'!DY268,'LP Reactivos'!EB268)," ")</f>
        <v>821161.1333333333</v>
      </c>
      <c r="F268" s="345">
        <f>IFERROR(MEDIAN('LP Reactivos'!F268,'LP Reactivos'!I268,'LP Reactivos'!N268,'LP Reactivos'!S268,'LP Reactivos'!X268,'LP Reactivos'!AC268,'LP Reactivos'!AH268,'LP Reactivos'!AM268,'LP Reactivos'!AR268,'LP Reactivos'!AW268,'LP Reactivos'!BB268,'LP Reactivos'!BG268,'LP Reactivos'!BL268,'LP Reactivos'!BQ268,'LP Reactivos'!BV268,'LP Reactivos'!CA268,'LP Reactivos'!CF268,'LP Reactivos'!CK268,'LP Reactivos'!CP268,'LP Reactivos'!CU268,'LP Reactivos'!CZ268,'LP Reactivos'!DE268,'LP Reactivos'!DJ268,'LP Reactivos'!DO268,'LP Reactivos'!DT268,'LP Reactivos'!DY268,'LP Reactivos'!EB268)," ")</f>
        <v>370090</v>
      </c>
      <c r="G268" s="345">
        <f>IFERROR(GEOMEAN('LP Reactivos'!F268,'LP Reactivos'!I268,'LP Reactivos'!N268,'LP Reactivos'!S268,'LP Reactivos'!X268,'LP Reactivos'!AC268,'LP Reactivos'!AH268,'LP Reactivos'!AM268,'LP Reactivos'!AR268,'LP Reactivos'!AW268,'LP Reactivos'!BB268,'LP Reactivos'!BG268,'LP Reactivos'!BL268,'LP Reactivos'!BQ268,'LP Reactivos'!BV268,'LP Reactivos'!CA268,'LP Reactivos'!CF268,'LP Reactivos'!CK268,'LP Reactivos'!CP268,'LP Reactivos'!CU268,'LP Reactivos'!CZ268,'LP Reactivos'!DE268,'LP Reactivos'!DJ268,'LP Reactivos'!DO268,'LP Reactivos'!DT268,'LP Reactivos'!DY268,'LP Reactivos'!EB268)," ")</f>
        <v>597455.0715593046</v>
      </c>
      <c r="H268" s="345">
        <f t="shared" si="16"/>
        <v>228388.34811834761</v>
      </c>
      <c r="I268" s="346">
        <f t="shared" si="17"/>
        <v>0.27812854121730346</v>
      </c>
      <c r="J268" s="345">
        <f t="shared" si="18"/>
        <v>597455.0715593046</v>
      </c>
      <c r="K268" s="344" t="str">
        <f t="shared" si="19"/>
        <v>Media Geométrica</v>
      </c>
      <c r="L268" s="326">
        <f>IFERROR(COUNTA('LP Reactivos'!F268,'LP Reactivos'!I268,'LP Reactivos'!N268,'LP Reactivos'!S268,'LP Reactivos'!X268,'LP Reactivos'!AC268,'LP Reactivos'!AH268,'LP Reactivos'!AM268,'LP Reactivos'!AR268,'LP Reactivos'!AW268,'LP Reactivos'!BB268,'LP Reactivos'!BG268,'LP Reactivos'!BL268,'LP Reactivos'!BQ268,'LP Reactivos'!BV268,'LP Reactivos'!CA268,'LP Reactivos'!CF268,'LP Reactivos'!CK268,'LP Reactivos'!CP268,'LP Reactivos'!CU268,'LP Reactivos'!CZ268,'LP Reactivos'!DE268,'LP Reactivos'!DJ268,'LP Reactivos'!DO268,'LP Reactivos'!DT268,'LP Reactivos'!DY268,'LP Reactivos'!EB268)," ")</f>
        <v>3</v>
      </c>
    </row>
    <row r="269" spans="2:12" ht="27" x14ac:dyDescent="0.25">
      <c r="B269" s="425">
        <v>267</v>
      </c>
      <c r="C269" s="413" t="s">
        <v>1551</v>
      </c>
      <c r="D269" s="429">
        <f>IFERROR(MIN('LP Reactivos'!F269,'LP Reactivos'!I269,'LP Reactivos'!N269,'LP Reactivos'!S269,'LP Reactivos'!X269,'LP Reactivos'!AC269,'LP Reactivos'!AH269,'LP Reactivos'!AM269,'LP Reactivos'!AR269,'LP Reactivos'!AW269,'LP Reactivos'!BB269,'LP Reactivos'!BG269,'LP Reactivos'!BL269,'LP Reactivos'!BQ269,'LP Reactivos'!BV269,'LP Reactivos'!CA269,'LP Reactivos'!CF269,'LP Reactivos'!CK269,'LP Reactivos'!CP269,'LP Reactivos'!CU269,'LP Reactivos'!CZ269,'LP Reactivos'!DE269,'LP Reactivos'!DJ269,'LP Reactivos'!DO269,'LP Reactivos'!DT269,'LP Reactivos'!DY269,'LP Reactivos'!EB269)," ")</f>
        <v>416242</v>
      </c>
      <c r="E269" s="429">
        <f>IFERROR(AVERAGE('LP Reactivos'!F269,'LP Reactivos'!I269,'LP Reactivos'!N269,'LP Reactivos'!S269,'LP Reactivos'!X269,'LP Reactivos'!AC269,'LP Reactivos'!AH269,'LP Reactivos'!AM269,'LP Reactivos'!AR269,'LP Reactivos'!AW269,'LP Reactivos'!BB269,'LP Reactivos'!BG269,'LP Reactivos'!BL269,'LP Reactivos'!BQ269,'LP Reactivos'!BV269,'LP Reactivos'!CA269,'LP Reactivos'!CF269,'LP Reactivos'!CK269,'LP Reactivos'!CP269,'LP Reactivos'!CU269,'LP Reactivos'!CZ269,'LP Reactivos'!DE269,'LP Reactivos'!DJ269,'LP Reactivos'!DO269,'LP Reactivos'!DT269,'LP Reactivos'!DY269,'LP Reactivos'!EB269)," ")</f>
        <v>986976</v>
      </c>
      <c r="F269" s="345">
        <f>IFERROR(MEDIAN('LP Reactivos'!F269,'LP Reactivos'!I269,'LP Reactivos'!N269,'LP Reactivos'!S269,'LP Reactivos'!X269,'LP Reactivos'!AC269,'LP Reactivos'!AH269,'LP Reactivos'!AM269,'LP Reactivos'!AR269,'LP Reactivos'!AW269,'LP Reactivos'!BB269,'LP Reactivos'!BG269,'LP Reactivos'!BL269,'LP Reactivos'!BQ269,'LP Reactivos'!BV269,'LP Reactivos'!CA269,'LP Reactivos'!CF269,'LP Reactivos'!CK269,'LP Reactivos'!CP269,'LP Reactivos'!CU269,'LP Reactivos'!CZ269,'LP Reactivos'!DE269,'LP Reactivos'!DJ269,'LP Reactivos'!DO269,'LP Reactivos'!DT269,'LP Reactivos'!DY269,'LP Reactivos'!EB269)," ")</f>
        <v>986976</v>
      </c>
      <c r="G269" s="345">
        <f>IFERROR(GEOMEAN('LP Reactivos'!F269,'LP Reactivos'!I269,'LP Reactivos'!N269,'LP Reactivos'!S269,'LP Reactivos'!X269,'LP Reactivos'!AC269,'LP Reactivos'!AH269,'LP Reactivos'!AM269,'LP Reactivos'!AR269,'LP Reactivos'!AW269,'LP Reactivos'!BB269,'LP Reactivos'!BG269,'LP Reactivos'!BL269,'LP Reactivos'!BQ269,'LP Reactivos'!BV269,'LP Reactivos'!CA269,'LP Reactivos'!CF269,'LP Reactivos'!CK269,'LP Reactivos'!CP269,'LP Reactivos'!CU269,'LP Reactivos'!CZ269,'LP Reactivos'!DE269,'LP Reactivos'!DJ269,'LP Reactivos'!DO269,'LP Reactivos'!DT269,'LP Reactivos'!DY269,'LP Reactivos'!EB269)," ")</f>
        <v>805223.15280920733</v>
      </c>
      <c r="H269" s="345">
        <f t="shared" si="16"/>
        <v>269080.08870915166</v>
      </c>
      <c r="I269" s="346">
        <f t="shared" si="17"/>
        <v>0.27263083267389648</v>
      </c>
      <c r="J269" s="345">
        <f t="shared" si="18"/>
        <v>805223.15280920733</v>
      </c>
      <c r="K269" s="344" t="str">
        <f t="shared" si="19"/>
        <v>Media Geométrica</v>
      </c>
      <c r="L269" s="326">
        <f>IFERROR(COUNTA('LP Reactivos'!F269,'LP Reactivos'!I269,'LP Reactivos'!N269,'LP Reactivos'!S269,'LP Reactivos'!X269,'LP Reactivos'!AC269,'LP Reactivos'!AH269,'LP Reactivos'!AM269,'LP Reactivos'!AR269,'LP Reactivos'!AW269,'LP Reactivos'!BB269,'LP Reactivos'!BG269,'LP Reactivos'!BL269,'LP Reactivos'!BQ269,'LP Reactivos'!BV269,'LP Reactivos'!CA269,'LP Reactivos'!CF269,'LP Reactivos'!CK269,'LP Reactivos'!CP269,'LP Reactivos'!CU269,'LP Reactivos'!CZ269,'LP Reactivos'!DE269,'LP Reactivos'!DJ269,'LP Reactivos'!DO269,'LP Reactivos'!DT269,'LP Reactivos'!DY269,'LP Reactivos'!EB269)," ")</f>
        <v>2</v>
      </c>
    </row>
    <row r="270" spans="2:12" ht="54" x14ac:dyDescent="0.25">
      <c r="B270" s="425">
        <v>268</v>
      </c>
      <c r="C270" s="427" t="s">
        <v>1555</v>
      </c>
      <c r="D270" s="429">
        <f>IFERROR(MIN('LP Reactivos'!F270,'LP Reactivos'!I270,'LP Reactivos'!N270,'LP Reactivos'!S270,'LP Reactivos'!X270,'LP Reactivos'!AC270,'LP Reactivos'!AH270,'LP Reactivos'!AM270,'LP Reactivos'!AR270,'LP Reactivos'!AW270,'LP Reactivos'!BB270,'LP Reactivos'!BG270,'LP Reactivos'!BL270,'LP Reactivos'!BQ270,'LP Reactivos'!BV270,'LP Reactivos'!CA270,'LP Reactivos'!CF270,'LP Reactivos'!CK270,'LP Reactivos'!CP270,'LP Reactivos'!CU270,'LP Reactivos'!CZ270,'LP Reactivos'!DE270,'LP Reactivos'!DJ270,'LP Reactivos'!DO270,'LP Reactivos'!DT270,'LP Reactivos'!DY270,'LP Reactivos'!EB270)," ")</f>
        <v>425859</v>
      </c>
      <c r="E270" s="429">
        <f>IFERROR(AVERAGE('LP Reactivos'!F270,'LP Reactivos'!I270,'LP Reactivos'!N270,'LP Reactivos'!S270,'LP Reactivos'!X270,'LP Reactivos'!AC270,'LP Reactivos'!AH270,'LP Reactivos'!AM270,'LP Reactivos'!AR270,'LP Reactivos'!AW270,'LP Reactivos'!BB270,'LP Reactivos'!BG270,'LP Reactivos'!BL270,'LP Reactivos'!BQ270,'LP Reactivos'!BV270,'LP Reactivos'!CA270,'LP Reactivos'!CF270,'LP Reactivos'!CK270,'LP Reactivos'!CP270,'LP Reactivos'!CU270,'LP Reactivos'!CZ270,'LP Reactivos'!DE270,'LP Reactivos'!DJ270,'LP Reactivos'!DO270,'LP Reactivos'!DT270,'LP Reactivos'!DY270,'LP Reactivos'!EB270)," ")</f>
        <v>1589759.5</v>
      </c>
      <c r="F270" s="345">
        <f>IFERROR(MEDIAN('LP Reactivos'!F270,'LP Reactivos'!I270,'LP Reactivos'!N270,'LP Reactivos'!S270,'LP Reactivos'!X270,'LP Reactivos'!AC270,'LP Reactivos'!AH270,'LP Reactivos'!AM270,'LP Reactivos'!AR270,'LP Reactivos'!AW270,'LP Reactivos'!BB270,'LP Reactivos'!BG270,'LP Reactivos'!BL270,'LP Reactivos'!BQ270,'LP Reactivos'!BV270,'LP Reactivos'!CA270,'LP Reactivos'!CF270,'LP Reactivos'!CK270,'LP Reactivos'!CP270,'LP Reactivos'!CU270,'LP Reactivos'!CZ270,'LP Reactivos'!DE270,'LP Reactivos'!DJ270,'LP Reactivos'!DO270,'LP Reactivos'!DT270,'LP Reactivos'!DY270,'LP Reactivos'!EB270)," ")</f>
        <v>1589759.5</v>
      </c>
      <c r="G270" s="345">
        <f>IFERROR(GEOMEAN('LP Reactivos'!F270,'LP Reactivos'!I270,'LP Reactivos'!N270,'LP Reactivos'!S270,'LP Reactivos'!X270,'LP Reactivos'!AC270,'LP Reactivos'!AH270,'LP Reactivos'!AM270,'LP Reactivos'!AR270,'LP Reactivos'!AW270,'LP Reactivos'!BB270,'LP Reactivos'!BG270,'LP Reactivos'!BL270,'LP Reactivos'!BQ270,'LP Reactivos'!BV270,'LP Reactivos'!CA270,'LP Reactivos'!CF270,'LP Reactivos'!CK270,'LP Reactivos'!CP270,'LP Reactivos'!CU270,'LP Reactivos'!CZ270,'LP Reactivos'!DE270,'LP Reactivos'!DJ270,'LP Reactivos'!DO270,'LP Reactivos'!DT270,'LP Reactivos'!DY270,'LP Reactivos'!EB270)," ")</f>
        <v>1082899.2999997737</v>
      </c>
      <c r="H270" s="345">
        <f t="shared" si="16"/>
        <v>551879.00457685103</v>
      </c>
      <c r="I270" s="346">
        <f t="shared" si="17"/>
        <v>0.34714622216558605</v>
      </c>
      <c r="J270" s="345">
        <f>IF(I270&lt;=10%,F270,IF(AND(I270&gt;10%,I270&lt;=20%),E270,IF(AND(I270&gt;20%,I270&lt;=35%),G270,IF(I270&gt;35%,D270))))</f>
        <v>1082899.2999997737</v>
      </c>
      <c r="K270" s="344" t="str">
        <f t="shared" si="19"/>
        <v>Media Geométrica</v>
      </c>
      <c r="L270" s="326">
        <f>IFERROR(COUNTA('LP Reactivos'!F270,'LP Reactivos'!I270,'LP Reactivos'!N270,'LP Reactivos'!S270,'LP Reactivos'!X270,'LP Reactivos'!AC270,'LP Reactivos'!AH270,'LP Reactivos'!AM270,'LP Reactivos'!AR270,'LP Reactivos'!AW270,'LP Reactivos'!BB270,'LP Reactivos'!BG270,'LP Reactivos'!BL270,'LP Reactivos'!BQ270,'LP Reactivos'!BV270,'LP Reactivos'!CA270,'LP Reactivos'!CF270,'LP Reactivos'!CK270,'LP Reactivos'!CP270,'LP Reactivos'!CU270,'LP Reactivos'!CZ270,'LP Reactivos'!DE270,'LP Reactivos'!DJ270,'LP Reactivos'!DO270,'LP Reactivos'!DT270,'LP Reactivos'!DY270,'LP Reactivos'!EB270)," ")</f>
        <v>2</v>
      </c>
    </row>
    <row r="271" spans="2:12" ht="40.5" x14ac:dyDescent="0.25">
      <c r="B271" s="425">
        <v>269</v>
      </c>
      <c r="C271" s="426" t="s">
        <v>1559</v>
      </c>
      <c r="D271" s="429">
        <f>IFERROR(MIN('LP Reactivos'!F271,'LP Reactivos'!I271,'LP Reactivos'!N271,'LP Reactivos'!S271,'LP Reactivos'!X271,'LP Reactivos'!AC271,'LP Reactivos'!AH271,'LP Reactivos'!AM271,'LP Reactivos'!AR271,'LP Reactivos'!AW271,'LP Reactivos'!BB271,'LP Reactivos'!BG271,'LP Reactivos'!BL271,'LP Reactivos'!BQ271,'LP Reactivos'!BV271,'LP Reactivos'!CA271,'LP Reactivos'!CF271,'LP Reactivos'!CK271,'LP Reactivos'!CP271,'LP Reactivos'!CU271,'LP Reactivos'!CZ271,'LP Reactivos'!DE271,'LP Reactivos'!DJ271,'LP Reactivos'!DO271,'LP Reactivos'!DT271,'LP Reactivos'!DY271,'LP Reactivos'!EB271)," ")</f>
        <v>377778</v>
      </c>
      <c r="E271" s="429">
        <f>IFERROR(AVERAGE('LP Reactivos'!F271,'LP Reactivos'!I271,'LP Reactivos'!N271,'LP Reactivos'!S271,'LP Reactivos'!X271,'LP Reactivos'!AC271,'LP Reactivos'!AH271,'LP Reactivos'!AM271,'LP Reactivos'!AR271,'LP Reactivos'!AW271,'LP Reactivos'!BB271,'LP Reactivos'!BG271,'LP Reactivos'!BL271,'LP Reactivos'!BQ271,'LP Reactivos'!BV271,'LP Reactivos'!CA271,'LP Reactivos'!CF271,'LP Reactivos'!CK271,'LP Reactivos'!CP271,'LP Reactivos'!CU271,'LP Reactivos'!CZ271,'LP Reactivos'!DE271,'LP Reactivos'!DJ271,'LP Reactivos'!DO271,'LP Reactivos'!DT271,'LP Reactivos'!DY271,'LP Reactivos'!EB271)," ")</f>
        <v>459614</v>
      </c>
      <c r="F271" s="345">
        <f>IFERROR(MEDIAN('LP Reactivos'!F271,'LP Reactivos'!I271,'LP Reactivos'!N271,'LP Reactivos'!S271,'LP Reactivos'!X271,'LP Reactivos'!AC271,'LP Reactivos'!AH271,'LP Reactivos'!AM271,'LP Reactivos'!AR271,'LP Reactivos'!AW271,'LP Reactivos'!BB271,'LP Reactivos'!BG271,'LP Reactivos'!BL271,'LP Reactivos'!BQ271,'LP Reactivos'!BV271,'LP Reactivos'!CA271,'LP Reactivos'!CF271,'LP Reactivos'!CK271,'LP Reactivos'!CP271,'LP Reactivos'!CU271,'LP Reactivos'!CZ271,'LP Reactivos'!DE271,'LP Reactivos'!DJ271,'LP Reactivos'!DO271,'LP Reactivos'!DT271,'LP Reactivos'!DY271,'LP Reactivos'!EB271)," ")</f>
        <v>459614</v>
      </c>
      <c r="G271" s="345">
        <f>IFERROR(GEOMEAN('LP Reactivos'!F271,'LP Reactivos'!I271,'LP Reactivos'!N271,'LP Reactivos'!S271,'LP Reactivos'!X271,'LP Reactivos'!AC271,'LP Reactivos'!AH271,'LP Reactivos'!AM271,'LP Reactivos'!AR271,'LP Reactivos'!AW271,'LP Reactivos'!BB271,'LP Reactivos'!BG271,'LP Reactivos'!BL271,'LP Reactivos'!BQ271,'LP Reactivos'!BV271,'LP Reactivos'!CA271,'LP Reactivos'!CF271,'LP Reactivos'!CK271,'LP Reactivos'!CP271,'LP Reactivos'!CU271,'LP Reactivos'!CZ271,'LP Reactivos'!DE271,'LP Reactivos'!DJ271,'LP Reactivos'!DO271,'LP Reactivos'!DT271,'LP Reactivos'!DY271,'LP Reactivos'!EB271)," ")</f>
        <v>452269.71830977144</v>
      </c>
      <c r="H271" s="345">
        <f t="shared" si="16"/>
        <v>39844.651288716697</v>
      </c>
      <c r="I271" s="346">
        <f t="shared" si="17"/>
        <v>8.6691552669667798E-2</v>
      </c>
      <c r="J271" s="345">
        <f t="shared" si="18"/>
        <v>459614</v>
      </c>
      <c r="K271" s="344" t="str">
        <f t="shared" si="19"/>
        <v>Promedio</v>
      </c>
      <c r="L271" s="326">
        <f>IFERROR(COUNTA('LP Reactivos'!F271,'LP Reactivos'!I271,'LP Reactivos'!N271,'LP Reactivos'!S271,'LP Reactivos'!X271,'LP Reactivos'!AC271,'LP Reactivos'!AH271,'LP Reactivos'!AM271,'LP Reactivos'!AR271,'LP Reactivos'!AW271,'LP Reactivos'!BB271,'LP Reactivos'!BG271,'LP Reactivos'!BL271,'LP Reactivos'!BQ271,'LP Reactivos'!BV271,'LP Reactivos'!CA271,'LP Reactivos'!CF271,'LP Reactivos'!CK271,'LP Reactivos'!CP271,'LP Reactivos'!CU271,'LP Reactivos'!CZ271,'LP Reactivos'!DE271,'LP Reactivos'!DJ271,'LP Reactivos'!DO271,'LP Reactivos'!DT271,'LP Reactivos'!DY271,'LP Reactivos'!EB271)," ")</f>
        <v>2</v>
      </c>
    </row>
    <row r="272" spans="2:12" ht="40.5" x14ac:dyDescent="0.25">
      <c r="B272" s="425">
        <v>270</v>
      </c>
      <c r="C272" s="427" t="s">
        <v>1563</v>
      </c>
      <c r="D272" s="429">
        <f>IFERROR(MIN('LP Reactivos'!F272,'LP Reactivos'!I272,'LP Reactivos'!N272,'LP Reactivos'!S272,'LP Reactivos'!X272,'LP Reactivos'!AC272,'LP Reactivos'!AH272,'LP Reactivos'!AM272,'LP Reactivos'!AR272,'LP Reactivos'!AW272,'LP Reactivos'!BB272,'LP Reactivos'!BG272,'LP Reactivos'!BL272,'LP Reactivos'!BQ272,'LP Reactivos'!BV272,'LP Reactivos'!CA272,'LP Reactivos'!CF272,'LP Reactivos'!CK272,'LP Reactivos'!CP272,'LP Reactivos'!CU272,'LP Reactivos'!CZ272,'LP Reactivos'!DE272,'LP Reactivos'!DJ272,'LP Reactivos'!DO272,'LP Reactivos'!DT272,'LP Reactivos'!DY272,'LP Reactivos'!EB272)," ")</f>
        <v>152320</v>
      </c>
      <c r="E272" s="429">
        <f>IFERROR(AVERAGE('LP Reactivos'!F272,'LP Reactivos'!I272,'LP Reactivos'!N272,'LP Reactivos'!S272,'LP Reactivos'!X272,'LP Reactivos'!AC272,'LP Reactivos'!AH272,'LP Reactivos'!AM272,'LP Reactivos'!AR272,'LP Reactivos'!AW272,'LP Reactivos'!BB272,'LP Reactivos'!BG272,'LP Reactivos'!BL272,'LP Reactivos'!BQ272,'LP Reactivos'!BV272,'LP Reactivos'!CA272,'LP Reactivos'!CF272,'LP Reactivos'!CK272,'LP Reactivos'!CP272,'LP Reactivos'!CU272,'LP Reactivos'!CZ272,'LP Reactivos'!DE272,'LP Reactivos'!DJ272,'LP Reactivos'!DO272,'LP Reactivos'!DT272,'LP Reactivos'!DY272,'LP Reactivos'!EB272)," ")</f>
        <v>178375</v>
      </c>
      <c r="F272" s="345">
        <f>IFERROR(MEDIAN('LP Reactivos'!F272,'LP Reactivos'!I272,'LP Reactivos'!N272,'LP Reactivos'!S272,'LP Reactivos'!X272,'LP Reactivos'!AC272,'LP Reactivos'!AH272,'LP Reactivos'!AM272,'LP Reactivos'!AR272,'LP Reactivos'!AW272,'LP Reactivos'!BB272,'LP Reactivos'!BG272,'LP Reactivos'!BL272,'LP Reactivos'!BQ272,'LP Reactivos'!BV272,'LP Reactivos'!CA272,'LP Reactivos'!CF272,'LP Reactivos'!CK272,'LP Reactivos'!CP272,'LP Reactivos'!CU272,'LP Reactivos'!CZ272,'LP Reactivos'!DE272,'LP Reactivos'!DJ272,'LP Reactivos'!DO272,'LP Reactivos'!DT272,'LP Reactivos'!DY272,'LP Reactivos'!EB272)," ")</f>
        <v>178375</v>
      </c>
      <c r="G272" s="345">
        <f>IFERROR(GEOMEAN('LP Reactivos'!F272,'LP Reactivos'!I272,'LP Reactivos'!N272,'LP Reactivos'!S272,'LP Reactivos'!X272,'LP Reactivos'!AC272,'LP Reactivos'!AH272,'LP Reactivos'!AM272,'LP Reactivos'!AR272,'LP Reactivos'!AW272,'LP Reactivos'!BB272,'LP Reactivos'!BG272,'LP Reactivos'!BL272,'LP Reactivos'!BQ272,'LP Reactivos'!BV272,'LP Reactivos'!CA272,'LP Reactivos'!CF272,'LP Reactivos'!CK272,'LP Reactivos'!CP272,'LP Reactivos'!CU272,'LP Reactivos'!CZ272,'LP Reactivos'!DE272,'LP Reactivos'!DJ272,'LP Reactivos'!DO272,'LP Reactivos'!DT272,'LP Reactivos'!DY272,'LP Reactivos'!EB272)," ")</f>
        <v>176461.8304336663</v>
      </c>
      <c r="H272" s="345">
        <f t="shared" si="16"/>
        <v>12740.599352290388</v>
      </c>
      <c r="I272" s="346">
        <f t="shared" si="17"/>
        <v>7.1425924890205397E-2</v>
      </c>
      <c r="J272" s="345">
        <f t="shared" si="18"/>
        <v>178375</v>
      </c>
      <c r="K272" s="344" t="str">
        <f t="shared" si="19"/>
        <v>Promedio</v>
      </c>
      <c r="L272" s="326">
        <f>IFERROR(COUNTA('LP Reactivos'!F272,'LP Reactivos'!I272,'LP Reactivos'!N272,'LP Reactivos'!S272,'LP Reactivos'!X272,'LP Reactivos'!AC272,'LP Reactivos'!AH272,'LP Reactivos'!AM272,'LP Reactivos'!AR272,'LP Reactivos'!AW272,'LP Reactivos'!BB272,'LP Reactivos'!BG272,'LP Reactivos'!BL272,'LP Reactivos'!BQ272,'LP Reactivos'!BV272,'LP Reactivos'!CA272,'LP Reactivos'!CF272,'LP Reactivos'!CK272,'LP Reactivos'!CP272,'LP Reactivos'!CU272,'LP Reactivos'!CZ272,'LP Reactivos'!DE272,'LP Reactivos'!DJ272,'LP Reactivos'!DO272,'LP Reactivos'!DT272,'LP Reactivos'!DY272,'LP Reactivos'!EB272)," ")</f>
        <v>2</v>
      </c>
    </row>
    <row r="273" spans="2:12" ht="54" x14ac:dyDescent="0.25">
      <c r="B273" s="425">
        <v>271</v>
      </c>
      <c r="C273" s="427" t="s">
        <v>1565</v>
      </c>
      <c r="D273" s="429">
        <f>IFERROR(MIN('LP Reactivos'!F273,'LP Reactivos'!I273,'LP Reactivos'!N273,'LP Reactivos'!S273,'LP Reactivos'!X273,'LP Reactivos'!AC273,'LP Reactivos'!AH273,'LP Reactivos'!AM273,'LP Reactivos'!AR273,'LP Reactivos'!AW273,'LP Reactivos'!BB273,'LP Reactivos'!BG273,'LP Reactivos'!BL273,'LP Reactivos'!BQ273,'LP Reactivos'!BV273,'LP Reactivos'!CA273,'LP Reactivos'!CF273,'LP Reactivos'!CK273,'LP Reactivos'!CP273,'LP Reactivos'!CU273,'LP Reactivos'!CZ273,'LP Reactivos'!DE273,'LP Reactivos'!DJ273,'LP Reactivos'!DO273,'LP Reactivos'!DT273,'LP Reactivos'!DY273,'LP Reactivos'!EB273)," ")</f>
        <v>96779.606</v>
      </c>
      <c r="E273" s="429">
        <f>IFERROR(AVERAGE('LP Reactivos'!F273,'LP Reactivos'!I273,'LP Reactivos'!N273,'LP Reactivos'!S273,'LP Reactivos'!X273,'LP Reactivos'!AC273,'LP Reactivos'!AH273,'LP Reactivos'!AM273,'LP Reactivos'!AR273,'LP Reactivos'!AW273,'LP Reactivos'!BB273,'LP Reactivos'!BG273,'LP Reactivos'!BL273,'LP Reactivos'!BQ273,'LP Reactivos'!BV273,'LP Reactivos'!CA273,'LP Reactivos'!CF273,'LP Reactivos'!CK273,'LP Reactivos'!CP273,'LP Reactivos'!CU273,'LP Reactivos'!CZ273,'LP Reactivos'!DE273,'LP Reactivos'!DJ273,'LP Reactivos'!DO273,'LP Reactivos'!DT273,'LP Reactivos'!DY273,'LP Reactivos'!EB273)," ")</f>
        <v>193305.3412</v>
      </c>
      <c r="F273" s="345">
        <f>IFERROR(MEDIAN('LP Reactivos'!F273,'LP Reactivos'!I273,'LP Reactivos'!N273,'LP Reactivos'!S273,'LP Reactivos'!X273,'LP Reactivos'!AC273,'LP Reactivos'!AH273,'LP Reactivos'!AM273,'LP Reactivos'!AR273,'LP Reactivos'!AW273,'LP Reactivos'!BB273,'LP Reactivos'!BG273,'LP Reactivos'!BL273,'LP Reactivos'!BQ273,'LP Reactivos'!BV273,'LP Reactivos'!CA273,'LP Reactivos'!CF273,'LP Reactivos'!CK273,'LP Reactivos'!CP273,'LP Reactivos'!CU273,'LP Reactivos'!CZ273,'LP Reactivos'!DE273,'LP Reactivos'!DJ273,'LP Reactivos'!DO273,'LP Reactivos'!DT273,'LP Reactivos'!DY273,'LP Reactivos'!EB273)," ")</f>
        <v>160757.1</v>
      </c>
      <c r="G273" s="345">
        <f>IFERROR(GEOMEAN('LP Reactivos'!F273,'LP Reactivos'!I273,'LP Reactivos'!N273,'LP Reactivos'!S273,'LP Reactivos'!X273,'LP Reactivos'!AC273,'LP Reactivos'!AH273,'LP Reactivos'!AM273,'LP Reactivos'!AR273,'LP Reactivos'!AW273,'LP Reactivos'!BB273,'LP Reactivos'!BG273,'LP Reactivos'!BL273,'LP Reactivos'!BQ273,'LP Reactivos'!BV273,'LP Reactivos'!CA273,'LP Reactivos'!CF273,'LP Reactivos'!CK273,'LP Reactivos'!CP273,'LP Reactivos'!CU273,'LP Reactivos'!CZ273,'LP Reactivos'!DE273,'LP Reactivos'!DJ273,'LP Reactivos'!DO273,'LP Reactivos'!DT273,'LP Reactivos'!DY273,'LP Reactivos'!EB273)," ")</f>
        <v>176367.61782349844</v>
      </c>
      <c r="H273" s="345">
        <f t="shared" si="16"/>
        <v>42164.906088622098</v>
      </c>
      <c r="I273" s="346">
        <f t="shared" si="17"/>
        <v>0.21812592361323796</v>
      </c>
      <c r="J273" s="345">
        <f t="shared" si="18"/>
        <v>176367.61782349844</v>
      </c>
      <c r="K273" s="344" t="str">
        <f t="shared" si="19"/>
        <v>Media Geométrica</v>
      </c>
      <c r="L273" s="326">
        <f>IFERROR(COUNTA('LP Reactivos'!F273,'LP Reactivos'!I273,'LP Reactivos'!N273,'LP Reactivos'!S273,'LP Reactivos'!X273,'LP Reactivos'!AC273,'LP Reactivos'!AH273,'LP Reactivos'!AM273,'LP Reactivos'!AR273,'LP Reactivos'!AW273,'LP Reactivos'!BB273,'LP Reactivos'!BG273,'LP Reactivos'!BL273,'LP Reactivos'!BQ273,'LP Reactivos'!BV273,'LP Reactivos'!CA273,'LP Reactivos'!CF273,'LP Reactivos'!CK273,'LP Reactivos'!CP273,'LP Reactivos'!CU273,'LP Reactivos'!CZ273,'LP Reactivos'!DE273,'LP Reactivos'!DJ273,'LP Reactivos'!DO273,'LP Reactivos'!DT273,'LP Reactivos'!DY273,'LP Reactivos'!EB273)," ")</f>
        <v>5</v>
      </c>
    </row>
    <row r="274" spans="2:12" ht="40.5" x14ac:dyDescent="0.25">
      <c r="B274" s="425">
        <v>272</v>
      </c>
      <c r="C274" s="427" t="s">
        <v>1568</v>
      </c>
      <c r="D274" s="429">
        <f>IFERROR(MIN('LP Reactivos'!F274,'LP Reactivos'!I274,'LP Reactivos'!N274,'LP Reactivos'!S274,'LP Reactivos'!X274,'LP Reactivos'!AC274,'LP Reactivos'!AH274,'LP Reactivos'!AM274,'LP Reactivos'!AR274,'LP Reactivos'!AW274,'LP Reactivos'!BB274,'LP Reactivos'!BG274,'LP Reactivos'!BL274,'LP Reactivos'!BQ274,'LP Reactivos'!BV274,'LP Reactivos'!CA274,'LP Reactivos'!CF274,'LP Reactivos'!CK274,'LP Reactivos'!CP274,'LP Reactivos'!CU274,'LP Reactivos'!CZ274,'LP Reactivos'!DE274,'LP Reactivos'!DJ274,'LP Reactivos'!DO274,'LP Reactivos'!DT274,'LP Reactivos'!DY274,'LP Reactivos'!EB274)," ")</f>
        <v>744940</v>
      </c>
      <c r="E274" s="429">
        <f>IFERROR(AVERAGE('LP Reactivos'!F274,'LP Reactivos'!I274,'LP Reactivos'!N274,'LP Reactivos'!S274,'LP Reactivos'!X274,'LP Reactivos'!AC274,'LP Reactivos'!AH274,'LP Reactivos'!AM274,'LP Reactivos'!AR274,'LP Reactivos'!AW274,'LP Reactivos'!BB274,'LP Reactivos'!BG274,'LP Reactivos'!BL274,'LP Reactivos'!BQ274,'LP Reactivos'!BV274,'LP Reactivos'!CA274,'LP Reactivos'!CF274,'LP Reactivos'!CK274,'LP Reactivos'!CP274,'LP Reactivos'!CU274,'LP Reactivos'!CZ274,'LP Reactivos'!DE274,'LP Reactivos'!DJ274,'LP Reactivos'!DO274,'LP Reactivos'!DT274,'LP Reactivos'!DY274,'LP Reactivos'!EB274)," ")</f>
        <v>860833.5</v>
      </c>
      <c r="F274" s="345">
        <f>IFERROR(MEDIAN('LP Reactivos'!F274,'LP Reactivos'!I274,'LP Reactivos'!N274,'LP Reactivos'!S274,'LP Reactivos'!X274,'LP Reactivos'!AC274,'LP Reactivos'!AH274,'LP Reactivos'!AM274,'LP Reactivos'!AR274,'LP Reactivos'!AW274,'LP Reactivos'!BB274,'LP Reactivos'!BG274,'LP Reactivos'!BL274,'LP Reactivos'!BQ274,'LP Reactivos'!BV274,'LP Reactivos'!CA274,'LP Reactivos'!CF274,'LP Reactivos'!CK274,'LP Reactivos'!CP274,'LP Reactivos'!CU274,'LP Reactivos'!CZ274,'LP Reactivos'!DE274,'LP Reactivos'!DJ274,'LP Reactivos'!DO274,'LP Reactivos'!DT274,'LP Reactivos'!DY274,'LP Reactivos'!EB274)," ")</f>
        <v>860833.5</v>
      </c>
      <c r="G274" s="345">
        <f>IFERROR(GEOMEAN('LP Reactivos'!F274,'LP Reactivos'!I274,'LP Reactivos'!N274,'LP Reactivos'!S274,'LP Reactivos'!X274,'LP Reactivos'!AC274,'LP Reactivos'!AH274,'LP Reactivos'!AM274,'LP Reactivos'!AR274,'LP Reactivos'!AW274,'LP Reactivos'!BB274,'LP Reactivos'!BG274,'LP Reactivos'!BL274,'LP Reactivos'!BQ274,'LP Reactivos'!BV274,'LP Reactivos'!CA274,'LP Reactivos'!CF274,'LP Reactivos'!CK274,'LP Reactivos'!CP274,'LP Reactivos'!CU274,'LP Reactivos'!CZ274,'LP Reactivos'!DE274,'LP Reactivos'!DJ274,'LP Reactivos'!DO274,'LP Reactivos'!DT274,'LP Reactivos'!DY274,'LP Reactivos'!EB274)," ")</f>
        <v>852996.48966452375</v>
      </c>
      <c r="H274" s="345">
        <f t="shared" si="16"/>
        <v>56760.938083271707</v>
      </c>
      <c r="I274" s="346">
        <f t="shared" si="17"/>
        <v>6.5937185394471409E-2</v>
      </c>
      <c r="J274" s="345">
        <f t="shared" si="18"/>
        <v>860833.5</v>
      </c>
      <c r="K274" s="344" t="str">
        <f t="shared" si="19"/>
        <v>Promedio</v>
      </c>
      <c r="L274" s="326">
        <f>IFERROR(COUNTA('LP Reactivos'!F274,'LP Reactivos'!I274,'LP Reactivos'!N274,'LP Reactivos'!S274,'LP Reactivos'!X274,'LP Reactivos'!AC274,'LP Reactivos'!AH274,'LP Reactivos'!AM274,'LP Reactivos'!AR274,'LP Reactivos'!AW274,'LP Reactivos'!BB274,'LP Reactivos'!BG274,'LP Reactivos'!BL274,'LP Reactivos'!BQ274,'LP Reactivos'!BV274,'LP Reactivos'!CA274,'LP Reactivos'!CF274,'LP Reactivos'!CK274,'LP Reactivos'!CP274,'LP Reactivos'!CU274,'LP Reactivos'!CZ274,'LP Reactivos'!DE274,'LP Reactivos'!DJ274,'LP Reactivos'!DO274,'LP Reactivos'!DT274,'LP Reactivos'!DY274,'LP Reactivos'!EB274)," ")</f>
        <v>2</v>
      </c>
    </row>
    <row r="275" spans="2:12" ht="54" x14ac:dyDescent="0.25">
      <c r="B275" s="425">
        <v>273</v>
      </c>
      <c r="C275" s="427" t="s">
        <v>1573</v>
      </c>
      <c r="D275" s="429">
        <f>IFERROR(MIN('LP Reactivos'!F275,'LP Reactivos'!I275,'LP Reactivos'!N275,'LP Reactivos'!S275,'LP Reactivos'!X275,'LP Reactivos'!AC275,'LP Reactivos'!AH275,'LP Reactivos'!AM275,'LP Reactivos'!AR275,'LP Reactivos'!AW275,'LP Reactivos'!BB275,'LP Reactivos'!BG275,'LP Reactivos'!BL275,'LP Reactivos'!BQ275,'LP Reactivos'!BV275,'LP Reactivos'!CA275,'LP Reactivos'!CF275,'LP Reactivos'!CK275,'LP Reactivos'!CP275,'LP Reactivos'!CU275,'LP Reactivos'!CZ275,'LP Reactivos'!DE275,'LP Reactivos'!DJ275,'LP Reactivos'!DO275,'LP Reactivos'!DT275,'LP Reactivos'!DY275,'LP Reactivos'!EB275)," ")</f>
        <v>210594</v>
      </c>
      <c r="E275" s="429">
        <f>IFERROR(AVERAGE('LP Reactivos'!F275,'LP Reactivos'!I275,'LP Reactivos'!N275,'LP Reactivos'!S275,'LP Reactivos'!X275,'LP Reactivos'!AC275,'LP Reactivos'!AH275,'LP Reactivos'!AM275,'LP Reactivos'!AR275,'LP Reactivos'!AW275,'LP Reactivos'!BB275,'LP Reactivos'!BG275,'LP Reactivos'!BL275,'LP Reactivos'!BQ275,'LP Reactivos'!BV275,'LP Reactivos'!CA275,'LP Reactivos'!CF275,'LP Reactivos'!CK275,'LP Reactivos'!CP275,'LP Reactivos'!CU275,'LP Reactivos'!CZ275,'LP Reactivos'!DE275,'LP Reactivos'!DJ275,'LP Reactivos'!DO275,'LP Reactivos'!DT275,'LP Reactivos'!DY275,'LP Reactivos'!EB275)," ")</f>
        <v>680662</v>
      </c>
      <c r="F275" s="345">
        <f>IFERROR(MEDIAN('LP Reactivos'!F275,'LP Reactivos'!I275,'LP Reactivos'!N275,'LP Reactivos'!S275,'LP Reactivos'!X275,'LP Reactivos'!AC275,'LP Reactivos'!AH275,'LP Reactivos'!AM275,'LP Reactivos'!AR275,'LP Reactivos'!AW275,'LP Reactivos'!BB275,'LP Reactivos'!BG275,'LP Reactivos'!BL275,'LP Reactivos'!BQ275,'LP Reactivos'!BV275,'LP Reactivos'!CA275,'LP Reactivos'!CF275,'LP Reactivos'!CK275,'LP Reactivos'!CP275,'LP Reactivos'!CU275,'LP Reactivos'!CZ275,'LP Reactivos'!DE275,'LP Reactivos'!DJ275,'LP Reactivos'!DO275,'LP Reactivos'!DT275,'LP Reactivos'!DY275,'LP Reactivos'!EB275)," ")</f>
        <v>680662</v>
      </c>
      <c r="G275" s="345">
        <f>IFERROR(GEOMEAN('LP Reactivos'!F275,'LP Reactivos'!I275,'LP Reactivos'!N275,'LP Reactivos'!S275,'LP Reactivos'!X275,'LP Reactivos'!AC275,'LP Reactivos'!AH275,'LP Reactivos'!AM275,'LP Reactivos'!AR275,'LP Reactivos'!AW275,'LP Reactivos'!BB275,'LP Reactivos'!BG275,'LP Reactivos'!BL275,'LP Reactivos'!BQ275,'LP Reactivos'!BV275,'LP Reactivos'!CA275,'LP Reactivos'!CF275,'LP Reactivos'!CK275,'LP Reactivos'!CP275,'LP Reactivos'!CU275,'LP Reactivos'!CZ275,'LP Reactivos'!DE275,'LP Reactivos'!DJ275,'LP Reactivos'!DO275,'LP Reactivos'!DT275,'LP Reactivos'!DY275,'LP Reactivos'!EB275)," ")</f>
        <v>492277.19185434544</v>
      </c>
      <c r="H275" s="345">
        <f t="shared" si="16"/>
        <v>222158.15344430538</v>
      </c>
      <c r="I275" s="346">
        <f t="shared" si="17"/>
        <v>0.32638542102292384</v>
      </c>
      <c r="J275" s="345">
        <f>IF(I275&lt;=10%,F275,IF(AND(I275&gt;10%,I275&lt;=20%),E275,IF(AND(I275&gt;20%,I275&lt;=33%),G275,IF(I275&gt;33%,D275))))</f>
        <v>492277.19185434544</v>
      </c>
      <c r="K275" s="344" t="str">
        <f t="shared" si="19"/>
        <v>Media Geométrica</v>
      </c>
      <c r="L275" s="326">
        <f>IFERROR(COUNTA('LP Reactivos'!F275,'LP Reactivos'!I275,'LP Reactivos'!N275,'LP Reactivos'!S275,'LP Reactivos'!X275,'LP Reactivos'!AC275,'LP Reactivos'!AH275,'LP Reactivos'!AM275,'LP Reactivos'!AR275,'LP Reactivos'!AW275,'LP Reactivos'!BB275,'LP Reactivos'!BG275,'LP Reactivos'!BL275,'LP Reactivos'!BQ275,'LP Reactivos'!BV275,'LP Reactivos'!CA275,'LP Reactivos'!CF275,'LP Reactivos'!CK275,'LP Reactivos'!CP275,'LP Reactivos'!CU275,'LP Reactivos'!CZ275,'LP Reactivos'!DE275,'LP Reactivos'!DJ275,'LP Reactivos'!DO275,'LP Reactivos'!DT275,'LP Reactivos'!DY275,'LP Reactivos'!EB275)," ")</f>
        <v>2</v>
      </c>
    </row>
    <row r="276" spans="2:12" ht="40.5" x14ac:dyDescent="0.25">
      <c r="B276" s="425">
        <v>274</v>
      </c>
      <c r="C276" s="427" t="s">
        <v>1577</v>
      </c>
      <c r="D276" s="429">
        <f>IFERROR(MIN('LP Reactivos'!F276,'LP Reactivos'!I276,'LP Reactivos'!N276,'LP Reactivos'!S276,'LP Reactivos'!X276,'LP Reactivos'!AC276,'LP Reactivos'!AH276,'LP Reactivos'!AM276,'LP Reactivos'!AR276,'LP Reactivos'!AW276,'LP Reactivos'!BB276,'LP Reactivos'!BG276,'LP Reactivos'!BL276,'LP Reactivos'!BQ276,'LP Reactivos'!BV276,'LP Reactivos'!CA276,'LP Reactivos'!CF276,'LP Reactivos'!CK276,'LP Reactivos'!CP276,'LP Reactivos'!CU276,'LP Reactivos'!CZ276,'LP Reactivos'!DE276,'LP Reactivos'!DJ276,'LP Reactivos'!DO276,'LP Reactivos'!DT276,'LP Reactivos'!DY276,'LP Reactivos'!EB276)," ")</f>
        <v>274524</v>
      </c>
      <c r="E276" s="429">
        <f>IFERROR(AVERAGE('LP Reactivos'!F276,'LP Reactivos'!I276,'LP Reactivos'!N276,'LP Reactivos'!S276,'LP Reactivos'!X276,'LP Reactivos'!AC276,'LP Reactivos'!AH276,'LP Reactivos'!AM276,'LP Reactivos'!AR276,'LP Reactivos'!AW276,'LP Reactivos'!BB276,'LP Reactivos'!BG276,'LP Reactivos'!BL276,'LP Reactivos'!BQ276,'LP Reactivos'!BV276,'LP Reactivos'!CA276,'LP Reactivos'!CF276,'LP Reactivos'!CK276,'LP Reactivos'!CP276,'LP Reactivos'!CU276,'LP Reactivos'!CZ276,'LP Reactivos'!DE276,'LP Reactivos'!DJ276,'LP Reactivos'!DO276,'LP Reactivos'!DT276,'LP Reactivos'!DY276,'LP Reactivos'!EB276)," ")</f>
        <v>1367722</v>
      </c>
      <c r="F276" s="345">
        <f>IFERROR(MEDIAN('LP Reactivos'!F276,'LP Reactivos'!I276,'LP Reactivos'!N276,'LP Reactivos'!S276,'LP Reactivos'!X276,'LP Reactivos'!AC276,'LP Reactivos'!AH276,'LP Reactivos'!AM276,'LP Reactivos'!AR276,'LP Reactivos'!AW276,'LP Reactivos'!BB276,'LP Reactivos'!BG276,'LP Reactivos'!BL276,'LP Reactivos'!BQ276,'LP Reactivos'!BV276,'LP Reactivos'!CA276,'LP Reactivos'!CF276,'LP Reactivos'!CK276,'LP Reactivos'!CP276,'LP Reactivos'!CU276,'LP Reactivos'!CZ276,'LP Reactivos'!DE276,'LP Reactivos'!DJ276,'LP Reactivos'!DO276,'LP Reactivos'!DT276,'LP Reactivos'!DY276,'LP Reactivos'!EB276)," ")</f>
        <v>1367722</v>
      </c>
      <c r="G276" s="345">
        <f>IFERROR(GEOMEAN('LP Reactivos'!F276,'LP Reactivos'!I276,'LP Reactivos'!N276,'LP Reactivos'!S276,'LP Reactivos'!X276,'LP Reactivos'!AC276,'LP Reactivos'!AH276,'LP Reactivos'!AM276,'LP Reactivos'!AR276,'LP Reactivos'!AW276,'LP Reactivos'!BB276,'LP Reactivos'!BG276,'LP Reactivos'!BL276,'LP Reactivos'!BQ276,'LP Reactivos'!BV276,'LP Reactivos'!CA276,'LP Reactivos'!CF276,'LP Reactivos'!CK276,'LP Reactivos'!CP276,'LP Reactivos'!CU276,'LP Reactivos'!CZ276,'LP Reactivos'!DE276,'LP Reactivos'!DJ276,'LP Reactivos'!DO276,'LP Reactivos'!DT276,'LP Reactivos'!DY276,'LP Reactivos'!EB276)," ")</f>
        <v>821937.71180059621</v>
      </c>
      <c r="H276" s="345">
        <f t="shared" si="16"/>
        <v>523257.94187044806</v>
      </c>
      <c r="I276" s="346">
        <f t="shared" si="17"/>
        <v>0.38257624127596696</v>
      </c>
      <c r="J276" s="345">
        <f>IF(I276&lt;=10%,F276,IF(AND(I276&gt;10%,I276&lt;=20%),E276,IF(AND(I276&gt;20%,I276&lt;=39%),G276,IF(I276&gt;39%,D276))))</f>
        <v>821937.71180059621</v>
      </c>
      <c r="K276" s="344" t="str">
        <f t="shared" si="19"/>
        <v>Media Geométrica</v>
      </c>
      <c r="L276" s="326">
        <f>IFERROR(COUNTA('LP Reactivos'!F276,'LP Reactivos'!I276,'LP Reactivos'!N276,'LP Reactivos'!S276,'LP Reactivos'!X276,'LP Reactivos'!AC276,'LP Reactivos'!AH276,'LP Reactivos'!AM276,'LP Reactivos'!AR276,'LP Reactivos'!AW276,'LP Reactivos'!BB276,'LP Reactivos'!BG276,'LP Reactivos'!BL276,'LP Reactivos'!BQ276,'LP Reactivos'!BV276,'LP Reactivos'!CA276,'LP Reactivos'!CF276,'LP Reactivos'!CK276,'LP Reactivos'!CP276,'LP Reactivos'!CU276,'LP Reactivos'!CZ276,'LP Reactivos'!DE276,'LP Reactivos'!DJ276,'LP Reactivos'!DO276,'LP Reactivos'!DT276,'LP Reactivos'!DY276,'LP Reactivos'!EB276)," ")</f>
        <v>2</v>
      </c>
    </row>
    <row r="277" spans="2:12" ht="54" x14ac:dyDescent="0.25">
      <c r="B277" s="425">
        <v>275</v>
      </c>
      <c r="C277" s="427" t="s">
        <v>1581</v>
      </c>
      <c r="D277" s="429">
        <f>IFERROR(MIN('LP Reactivos'!F277,'LP Reactivos'!I277,'LP Reactivos'!N277,'LP Reactivos'!S277,'LP Reactivos'!X277,'LP Reactivos'!AC277,'LP Reactivos'!AH277,'LP Reactivos'!AM277,'LP Reactivos'!AR277,'LP Reactivos'!AW277,'LP Reactivos'!BB277,'LP Reactivos'!BG277,'LP Reactivos'!BL277,'LP Reactivos'!BQ277,'LP Reactivos'!BV277,'LP Reactivos'!CA277,'LP Reactivos'!CF277,'LP Reactivos'!CK277,'LP Reactivos'!CP277,'LP Reactivos'!CU277,'LP Reactivos'!CZ277,'LP Reactivos'!DE277,'LP Reactivos'!DJ277,'LP Reactivos'!DO277,'LP Reactivos'!DT277,'LP Reactivos'!DY277,'LP Reactivos'!EB277)," ")</f>
        <v>174203.29080000002</v>
      </c>
      <c r="E277" s="429">
        <f>IFERROR(AVERAGE('LP Reactivos'!F277,'LP Reactivos'!I277,'LP Reactivos'!N277,'LP Reactivos'!S277,'LP Reactivos'!X277,'LP Reactivos'!AC277,'LP Reactivos'!AH277,'LP Reactivos'!AM277,'LP Reactivos'!AR277,'LP Reactivos'!AW277,'LP Reactivos'!BB277,'LP Reactivos'!BG277,'LP Reactivos'!BL277,'LP Reactivos'!BQ277,'LP Reactivos'!BV277,'LP Reactivos'!CA277,'LP Reactivos'!CF277,'LP Reactivos'!CK277,'LP Reactivos'!CP277,'LP Reactivos'!CU277,'LP Reactivos'!CZ277,'LP Reactivos'!DE277,'LP Reactivos'!DJ277,'LP Reactivos'!DO277,'LP Reactivos'!DT277,'LP Reactivos'!DY277,'LP Reactivos'!EB277)," ")</f>
        <v>370244.38180000003</v>
      </c>
      <c r="F277" s="345">
        <f>IFERROR(MEDIAN('LP Reactivos'!F277,'LP Reactivos'!I277,'LP Reactivos'!N277,'LP Reactivos'!S277,'LP Reactivos'!X277,'LP Reactivos'!AC277,'LP Reactivos'!AH277,'LP Reactivos'!AM277,'LP Reactivos'!AR277,'LP Reactivos'!AW277,'LP Reactivos'!BB277,'LP Reactivos'!BG277,'LP Reactivos'!BL277,'LP Reactivos'!BQ277,'LP Reactivos'!BV277,'LP Reactivos'!CA277,'LP Reactivos'!CF277,'LP Reactivos'!CK277,'LP Reactivos'!CP277,'LP Reactivos'!CU277,'LP Reactivos'!CZ277,'LP Reactivos'!DE277,'LP Reactivos'!DJ277,'LP Reactivos'!DO277,'LP Reactivos'!DT277,'LP Reactivos'!DY277,'LP Reactivos'!EB277)," ")</f>
        <v>324090</v>
      </c>
      <c r="G277" s="345">
        <f>IFERROR(GEOMEAN('LP Reactivos'!F277,'LP Reactivos'!I277,'LP Reactivos'!N277,'LP Reactivos'!S277,'LP Reactivos'!X277,'LP Reactivos'!AC277,'LP Reactivos'!AH277,'LP Reactivos'!AM277,'LP Reactivos'!AR277,'LP Reactivos'!AW277,'LP Reactivos'!BB277,'LP Reactivos'!BG277,'LP Reactivos'!BL277,'LP Reactivos'!BQ277,'LP Reactivos'!BV277,'LP Reactivos'!CA277,'LP Reactivos'!CF277,'LP Reactivos'!CK277,'LP Reactivos'!CP277,'LP Reactivos'!CU277,'LP Reactivos'!CZ277,'LP Reactivos'!DE277,'LP Reactivos'!DJ277,'LP Reactivos'!DO277,'LP Reactivos'!DT277,'LP Reactivos'!DY277,'LP Reactivos'!EB277)," ")</f>
        <v>341013.911337225</v>
      </c>
      <c r="H277" s="345">
        <f t="shared" si="16"/>
        <v>87557.116699641381</v>
      </c>
      <c r="I277" s="346">
        <f t="shared" si="17"/>
        <v>0.23648465987240369</v>
      </c>
      <c r="J277" s="345">
        <f t="shared" si="18"/>
        <v>341013.911337225</v>
      </c>
      <c r="K277" s="344" t="str">
        <f t="shared" si="19"/>
        <v>Media Geométrica</v>
      </c>
      <c r="L277" s="326">
        <f>IFERROR(COUNTA('LP Reactivos'!F277,'LP Reactivos'!I277,'LP Reactivos'!N277,'LP Reactivos'!S277,'LP Reactivos'!X277,'LP Reactivos'!AC277,'LP Reactivos'!AH277,'LP Reactivos'!AM277,'LP Reactivos'!AR277,'LP Reactivos'!AW277,'LP Reactivos'!BB277,'LP Reactivos'!BG277,'LP Reactivos'!BL277,'LP Reactivos'!BQ277,'LP Reactivos'!BV277,'LP Reactivos'!CA277,'LP Reactivos'!CF277,'LP Reactivos'!CK277,'LP Reactivos'!CP277,'LP Reactivos'!CU277,'LP Reactivos'!CZ277,'LP Reactivos'!DE277,'LP Reactivos'!DJ277,'LP Reactivos'!DO277,'LP Reactivos'!DT277,'LP Reactivos'!DY277,'LP Reactivos'!EB277)," ")</f>
        <v>6</v>
      </c>
    </row>
    <row r="278" spans="2:12" ht="54" x14ac:dyDescent="0.25">
      <c r="B278" s="425">
        <v>276</v>
      </c>
      <c r="C278" s="427" t="s">
        <v>1585</v>
      </c>
      <c r="D278" s="429">
        <f>IFERROR(MIN('LP Reactivos'!F278,'LP Reactivos'!I278,'LP Reactivos'!N278,'LP Reactivos'!S278,'LP Reactivos'!X278,'LP Reactivos'!AC278,'LP Reactivos'!AH278,'LP Reactivos'!AM278,'LP Reactivos'!AR278,'LP Reactivos'!AW278,'LP Reactivos'!BB278,'LP Reactivos'!BG278,'LP Reactivos'!BL278,'LP Reactivos'!BQ278,'LP Reactivos'!BV278,'LP Reactivos'!CA278,'LP Reactivos'!CF278,'LP Reactivos'!CK278,'LP Reactivos'!CP278,'LP Reactivos'!CU278,'LP Reactivos'!CZ278,'LP Reactivos'!DE278,'LP Reactivos'!DJ278,'LP Reactivos'!DO278,'LP Reactivos'!DT278,'LP Reactivos'!DY278,'LP Reactivos'!EB278)," ")</f>
        <v>734230</v>
      </c>
      <c r="E278" s="429">
        <f>IFERROR(AVERAGE('LP Reactivos'!F278,'LP Reactivos'!I278,'LP Reactivos'!N278,'LP Reactivos'!S278,'LP Reactivos'!X278,'LP Reactivos'!AC278,'LP Reactivos'!AH278,'LP Reactivos'!AM278,'LP Reactivos'!AR278,'LP Reactivos'!AW278,'LP Reactivos'!BB278,'LP Reactivos'!BG278,'LP Reactivos'!BL278,'LP Reactivos'!BQ278,'LP Reactivos'!BV278,'LP Reactivos'!CA278,'LP Reactivos'!CF278,'LP Reactivos'!CK278,'LP Reactivos'!CP278,'LP Reactivos'!CU278,'LP Reactivos'!CZ278,'LP Reactivos'!DE278,'LP Reactivos'!DJ278,'LP Reactivos'!DO278,'LP Reactivos'!DT278,'LP Reactivos'!DY278,'LP Reactivos'!EB278)," ")</f>
        <v>898774.39399999997</v>
      </c>
      <c r="F278" s="345">
        <f>IFERROR(MEDIAN('LP Reactivos'!F278,'LP Reactivos'!I278,'LP Reactivos'!N278,'LP Reactivos'!S278,'LP Reactivos'!X278,'LP Reactivos'!AC278,'LP Reactivos'!AH278,'LP Reactivos'!AM278,'LP Reactivos'!AR278,'LP Reactivos'!AW278,'LP Reactivos'!BB278,'LP Reactivos'!BG278,'LP Reactivos'!BL278,'LP Reactivos'!BQ278,'LP Reactivos'!BV278,'LP Reactivos'!CA278,'LP Reactivos'!CF278,'LP Reactivos'!CK278,'LP Reactivos'!CP278,'LP Reactivos'!CU278,'LP Reactivos'!CZ278,'LP Reactivos'!DE278,'LP Reactivos'!DJ278,'LP Reactivos'!DO278,'LP Reactivos'!DT278,'LP Reactivos'!DY278,'LP Reactivos'!EB278)," ")</f>
        <v>898774.39399999997</v>
      </c>
      <c r="G278" s="345">
        <f>IFERROR(GEOMEAN('LP Reactivos'!F278,'LP Reactivos'!I278,'LP Reactivos'!N278,'LP Reactivos'!S278,'LP Reactivos'!X278,'LP Reactivos'!AC278,'LP Reactivos'!AH278,'LP Reactivos'!AM278,'LP Reactivos'!AR278,'LP Reactivos'!AW278,'LP Reactivos'!BB278,'LP Reactivos'!BG278,'LP Reactivos'!BL278,'LP Reactivos'!BQ278,'LP Reactivos'!BV278,'LP Reactivos'!CA278,'LP Reactivos'!CF278,'LP Reactivos'!CK278,'LP Reactivos'!CP278,'LP Reactivos'!CU278,'LP Reactivos'!CZ278,'LP Reactivos'!DE278,'LP Reactivos'!DJ278,'LP Reactivos'!DO278,'LP Reactivos'!DT278,'LP Reactivos'!DY278,'LP Reactivos'!EB278)," ")</f>
        <v>883583.92567612953</v>
      </c>
      <c r="H278" s="345">
        <f t="shared" si="16"/>
        <v>80061.336363816663</v>
      </c>
      <c r="I278" s="346">
        <f t="shared" si="17"/>
        <v>8.9078345910037868E-2</v>
      </c>
      <c r="J278" s="345">
        <f t="shared" si="18"/>
        <v>898774.39399999997</v>
      </c>
      <c r="K278" s="344" t="str">
        <f t="shared" si="19"/>
        <v>Promedio</v>
      </c>
      <c r="L278" s="326">
        <f>IFERROR(COUNTA('LP Reactivos'!F278,'LP Reactivos'!I278,'LP Reactivos'!N278,'LP Reactivos'!S278,'LP Reactivos'!X278,'LP Reactivos'!AC278,'LP Reactivos'!AH278,'LP Reactivos'!AM278,'LP Reactivos'!AR278,'LP Reactivos'!AW278,'LP Reactivos'!BB278,'LP Reactivos'!BG278,'LP Reactivos'!BL278,'LP Reactivos'!BQ278,'LP Reactivos'!BV278,'LP Reactivos'!CA278,'LP Reactivos'!CF278,'LP Reactivos'!CK278,'LP Reactivos'!CP278,'LP Reactivos'!CU278,'LP Reactivos'!CZ278,'LP Reactivos'!DE278,'LP Reactivos'!DJ278,'LP Reactivos'!DO278,'LP Reactivos'!DT278,'LP Reactivos'!DY278,'LP Reactivos'!EB278)," ")</f>
        <v>2</v>
      </c>
    </row>
    <row r="279" spans="2:12" ht="40.5" x14ac:dyDescent="0.25">
      <c r="B279" s="425">
        <v>277</v>
      </c>
      <c r="C279" s="427" t="s">
        <v>1588</v>
      </c>
      <c r="D279" s="429">
        <f>IFERROR(MIN('LP Reactivos'!F279,'LP Reactivos'!I279,'LP Reactivos'!N279,'LP Reactivos'!S279,'LP Reactivos'!X279,'LP Reactivos'!AC279,'LP Reactivos'!AH279,'LP Reactivos'!AM279,'LP Reactivos'!AR279,'LP Reactivos'!AW279,'LP Reactivos'!BB279,'LP Reactivos'!BG279,'LP Reactivos'!BL279,'LP Reactivos'!BQ279,'LP Reactivos'!BV279,'LP Reactivos'!CA279,'LP Reactivos'!CF279,'LP Reactivos'!CK279,'LP Reactivos'!CP279,'LP Reactivos'!CU279,'LP Reactivos'!CZ279,'LP Reactivos'!DE279,'LP Reactivos'!DJ279,'LP Reactivos'!DO279,'LP Reactivos'!DT279,'LP Reactivos'!DY279,'LP Reactivos'!EB279)," ")</f>
        <v>71400</v>
      </c>
      <c r="E279" s="429">
        <f>IFERROR(AVERAGE('LP Reactivos'!F279,'LP Reactivos'!I279,'LP Reactivos'!N279,'LP Reactivos'!S279,'LP Reactivos'!X279,'LP Reactivos'!AC279,'LP Reactivos'!AH279,'LP Reactivos'!AM279,'LP Reactivos'!AR279,'LP Reactivos'!AW279,'LP Reactivos'!BB279,'LP Reactivos'!BG279,'LP Reactivos'!BL279,'LP Reactivos'!BQ279,'LP Reactivos'!BV279,'LP Reactivos'!CA279,'LP Reactivos'!CF279,'LP Reactivos'!CK279,'LP Reactivos'!CP279,'LP Reactivos'!CU279,'LP Reactivos'!CZ279,'LP Reactivos'!DE279,'LP Reactivos'!DJ279,'LP Reactivos'!DO279,'LP Reactivos'!DT279,'LP Reactivos'!DY279,'LP Reactivos'!EB279)," ")</f>
        <v>205032.76</v>
      </c>
      <c r="F279" s="345">
        <f>IFERROR(MEDIAN('LP Reactivos'!F279,'LP Reactivos'!I279,'LP Reactivos'!N279,'LP Reactivos'!S279,'LP Reactivos'!X279,'LP Reactivos'!AC279,'LP Reactivos'!AH279,'LP Reactivos'!AM279,'LP Reactivos'!AR279,'LP Reactivos'!AW279,'LP Reactivos'!BB279,'LP Reactivos'!BG279,'LP Reactivos'!BL279,'LP Reactivos'!BQ279,'LP Reactivos'!BV279,'LP Reactivos'!CA279,'LP Reactivos'!CF279,'LP Reactivos'!CK279,'LP Reactivos'!CP279,'LP Reactivos'!CU279,'LP Reactivos'!CZ279,'LP Reactivos'!DE279,'LP Reactivos'!DJ279,'LP Reactivos'!DO279,'LP Reactivos'!DT279,'LP Reactivos'!DY279,'LP Reactivos'!EB279)," ")</f>
        <v>178500</v>
      </c>
      <c r="G279" s="345">
        <f>IFERROR(GEOMEAN('LP Reactivos'!F279,'LP Reactivos'!I279,'LP Reactivos'!N279,'LP Reactivos'!S279,'LP Reactivos'!X279,'LP Reactivos'!AC279,'LP Reactivos'!AH279,'LP Reactivos'!AM279,'LP Reactivos'!AR279,'LP Reactivos'!AW279,'LP Reactivos'!BB279,'LP Reactivos'!BG279,'LP Reactivos'!BL279,'LP Reactivos'!BQ279,'LP Reactivos'!BV279,'LP Reactivos'!CA279,'LP Reactivos'!CF279,'LP Reactivos'!CK279,'LP Reactivos'!CP279,'LP Reactivos'!CU279,'LP Reactivos'!CZ279,'LP Reactivos'!DE279,'LP Reactivos'!DJ279,'LP Reactivos'!DO279,'LP Reactivos'!DT279,'LP Reactivos'!DY279,'LP Reactivos'!EB279)," ")</f>
        <v>179451.18008105023</v>
      </c>
      <c r="H279" s="345">
        <f t="shared" si="16"/>
        <v>59415.55028640716</v>
      </c>
      <c r="I279" s="346">
        <f t="shared" si="17"/>
        <v>0.28978564345720731</v>
      </c>
      <c r="J279" s="345">
        <f t="shared" si="18"/>
        <v>179451.18008105023</v>
      </c>
      <c r="K279" s="344" t="str">
        <f t="shared" si="19"/>
        <v>Media Geométrica</v>
      </c>
      <c r="L279" s="326">
        <f>IFERROR(COUNTA('LP Reactivos'!F279,'LP Reactivos'!I279,'LP Reactivos'!N279,'LP Reactivos'!S279,'LP Reactivos'!X279,'LP Reactivos'!AC279,'LP Reactivos'!AH279,'LP Reactivos'!AM279,'LP Reactivos'!AR279,'LP Reactivos'!AW279,'LP Reactivos'!BB279,'LP Reactivos'!BG279,'LP Reactivos'!BL279,'LP Reactivos'!BQ279,'LP Reactivos'!BV279,'LP Reactivos'!CA279,'LP Reactivos'!CF279,'LP Reactivos'!CK279,'LP Reactivos'!CP279,'LP Reactivos'!CU279,'LP Reactivos'!CZ279,'LP Reactivos'!DE279,'LP Reactivos'!DJ279,'LP Reactivos'!DO279,'LP Reactivos'!DT279,'LP Reactivos'!DY279,'LP Reactivos'!EB279)," ")</f>
        <v>5</v>
      </c>
    </row>
    <row r="280" spans="2:12" ht="27" x14ac:dyDescent="0.25">
      <c r="B280" s="425">
        <v>278</v>
      </c>
      <c r="C280" s="427" t="s">
        <v>1592</v>
      </c>
      <c r="D280" s="429">
        <f>IFERROR(MIN('LP Reactivos'!F280,'LP Reactivos'!I280,'LP Reactivos'!N280,'LP Reactivos'!S280,'LP Reactivos'!X280,'LP Reactivos'!AC280,'LP Reactivos'!AH280,'LP Reactivos'!AM280,'LP Reactivos'!AR280,'LP Reactivos'!AW280,'LP Reactivos'!BB280,'LP Reactivos'!BG280,'LP Reactivos'!BL280,'LP Reactivos'!BQ280,'LP Reactivos'!BV280,'LP Reactivos'!CA280,'LP Reactivos'!CF280,'LP Reactivos'!CK280,'LP Reactivos'!CP280,'LP Reactivos'!CU280,'LP Reactivos'!CZ280,'LP Reactivos'!DE280,'LP Reactivos'!DJ280,'LP Reactivos'!DO280,'LP Reactivos'!DT280,'LP Reactivos'!DY280,'LP Reactivos'!EB280)," ")</f>
        <v>99710.1</v>
      </c>
      <c r="E280" s="429">
        <f>IFERROR(AVERAGE('LP Reactivos'!F280,'LP Reactivos'!I280,'LP Reactivos'!N280,'LP Reactivos'!S280,'LP Reactivos'!X280,'LP Reactivos'!AC280,'LP Reactivos'!AH280,'LP Reactivos'!AM280,'LP Reactivos'!AR280,'LP Reactivos'!AW280,'LP Reactivos'!BB280,'LP Reactivos'!BG280,'LP Reactivos'!BL280,'LP Reactivos'!BQ280,'LP Reactivos'!BV280,'LP Reactivos'!CA280,'LP Reactivos'!CF280,'LP Reactivos'!CK280,'LP Reactivos'!CP280,'LP Reactivos'!CU280,'LP Reactivos'!CZ280,'LP Reactivos'!DE280,'LP Reactivos'!DJ280,'LP Reactivos'!DO280,'LP Reactivos'!DT280,'LP Reactivos'!DY280,'LP Reactivos'!EB280)," ")</f>
        <v>146977.64199999999</v>
      </c>
      <c r="F280" s="345">
        <f>IFERROR(MEDIAN('LP Reactivos'!F280,'LP Reactivos'!I280,'LP Reactivos'!N280,'LP Reactivos'!S280,'LP Reactivos'!X280,'LP Reactivos'!AC280,'LP Reactivos'!AH280,'LP Reactivos'!AM280,'LP Reactivos'!AR280,'LP Reactivos'!AW280,'LP Reactivos'!BB280,'LP Reactivos'!BG280,'LP Reactivos'!BL280,'LP Reactivos'!BQ280,'LP Reactivos'!BV280,'LP Reactivos'!CA280,'LP Reactivos'!CF280,'LP Reactivos'!CK280,'LP Reactivos'!CP280,'LP Reactivos'!CU280,'LP Reactivos'!CZ280,'LP Reactivos'!DE280,'LP Reactivos'!DJ280,'LP Reactivos'!DO280,'LP Reactivos'!DT280,'LP Reactivos'!DY280,'LP Reactivos'!EB280)," ")</f>
        <v>139559</v>
      </c>
      <c r="G280" s="345">
        <f>IFERROR(GEOMEAN('LP Reactivos'!F280,'LP Reactivos'!I280,'LP Reactivos'!N280,'LP Reactivos'!S280,'LP Reactivos'!X280,'LP Reactivos'!AC280,'LP Reactivos'!AH280,'LP Reactivos'!AM280,'LP Reactivos'!AR280,'LP Reactivos'!AW280,'LP Reactivos'!BB280,'LP Reactivos'!BG280,'LP Reactivos'!BL280,'LP Reactivos'!BQ280,'LP Reactivos'!BV280,'LP Reactivos'!CA280,'LP Reactivos'!CF280,'LP Reactivos'!CK280,'LP Reactivos'!CP280,'LP Reactivos'!CU280,'LP Reactivos'!CZ280,'LP Reactivos'!DE280,'LP Reactivos'!DJ280,'LP Reactivos'!DO280,'LP Reactivos'!DT280,'LP Reactivos'!DY280,'LP Reactivos'!EB280)," ")</f>
        <v>141263.72378333256</v>
      </c>
      <c r="H280" s="345">
        <f t="shared" si="16"/>
        <v>21678.426682508911</v>
      </c>
      <c r="I280" s="346">
        <f t="shared" si="17"/>
        <v>0.14749472360230756</v>
      </c>
      <c r="J280" s="345">
        <f t="shared" si="18"/>
        <v>146977.64199999999</v>
      </c>
      <c r="K280" s="344" t="str">
        <f t="shared" si="19"/>
        <v>Promedio</v>
      </c>
      <c r="L280" s="326">
        <f>IFERROR(COUNTA('LP Reactivos'!F280,'LP Reactivos'!I280,'LP Reactivos'!N280,'LP Reactivos'!S280,'LP Reactivos'!X280,'LP Reactivos'!AC280,'LP Reactivos'!AH280,'LP Reactivos'!AM280,'LP Reactivos'!AR280,'LP Reactivos'!AW280,'LP Reactivos'!BB280,'LP Reactivos'!BG280,'LP Reactivos'!BL280,'LP Reactivos'!BQ280,'LP Reactivos'!BV280,'LP Reactivos'!CA280,'LP Reactivos'!CF280,'LP Reactivos'!CK280,'LP Reactivos'!CP280,'LP Reactivos'!CU280,'LP Reactivos'!CZ280,'LP Reactivos'!DE280,'LP Reactivos'!DJ280,'LP Reactivos'!DO280,'LP Reactivos'!DT280,'LP Reactivos'!DY280,'LP Reactivos'!EB280)," ")</f>
        <v>6</v>
      </c>
    </row>
    <row r="281" spans="2:12" x14ac:dyDescent="0.25">
      <c r="B281" s="425">
        <v>279</v>
      </c>
      <c r="C281" s="427" t="s">
        <v>1596</v>
      </c>
      <c r="D281" s="429">
        <f>IFERROR(MIN('LP Reactivos'!F281,'LP Reactivos'!I281,'LP Reactivos'!N281,'LP Reactivos'!S281,'LP Reactivos'!X281,'LP Reactivos'!AC281,'LP Reactivos'!AH281,'LP Reactivos'!AM281,'LP Reactivos'!AR281,'LP Reactivos'!AW281,'LP Reactivos'!BB281,'LP Reactivos'!BG281,'LP Reactivos'!BL281,'LP Reactivos'!BQ281,'LP Reactivos'!BV281,'LP Reactivos'!CA281,'LP Reactivos'!CF281,'LP Reactivos'!CK281,'LP Reactivos'!CP281,'LP Reactivos'!CU281,'LP Reactivos'!CZ281,'LP Reactivos'!DE281,'LP Reactivos'!DJ281,'LP Reactivos'!DO281,'LP Reactivos'!DT281,'LP Reactivos'!DY281,'LP Reactivos'!EB281)," ")</f>
        <v>322828</v>
      </c>
      <c r="E281" s="429">
        <f>IFERROR(AVERAGE('LP Reactivos'!F281,'LP Reactivos'!I281,'LP Reactivos'!N281,'LP Reactivos'!S281,'LP Reactivos'!X281,'LP Reactivos'!AC281,'LP Reactivos'!AH281,'LP Reactivos'!AM281,'LP Reactivos'!AR281,'LP Reactivos'!AW281,'LP Reactivos'!BB281,'LP Reactivos'!BG281,'LP Reactivos'!BL281,'LP Reactivos'!BQ281,'LP Reactivos'!BV281,'LP Reactivos'!CA281,'LP Reactivos'!CF281,'LP Reactivos'!CK281,'LP Reactivos'!CP281,'LP Reactivos'!CU281,'LP Reactivos'!CZ281,'LP Reactivos'!DE281,'LP Reactivos'!DJ281,'LP Reactivos'!DO281,'LP Reactivos'!DT281,'LP Reactivos'!DY281,'LP Reactivos'!EB281)," ")</f>
        <v>654845.90666666662</v>
      </c>
      <c r="F281" s="345">
        <f>IFERROR(MEDIAN('LP Reactivos'!F281,'LP Reactivos'!I281,'LP Reactivos'!N281,'LP Reactivos'!S281,'LP Reactivos'!X281,'LP Reactivos'!AC281,'LP Reactivos'!AH281,'LP Reactivos'!AM281,'LP Reactivos'!AR281,'LP Reactivos'!AW281,'LP Reactivos'!BB281,'LP Reactivos'!BG281,'LP Reactivos'!BL281,'LP Reactivos'!BQ281,'LP Reactivos'!BV281,'LP Reactivos'!CA281,'LP Reactivos'!CF281,'LP Reactivos'!CK281,'LP Reactivos'!CP281,'LP Reactivos'!CU281,'LP Reactivos'!CZ281,'LP Reactivos'!DE281,'LP Reactivos'!DJ281,'LP Reactivos'!DO281,'LP Reactivos'!DT281,'LP Reactivos'!DY281,'LP Reactivos'!EB281)," ")</f>
        <v>711620</v>
      </c>
      <c r="G281" s="345">
        <f>IFERROR(GEOMEAN('LP Reactivos'!F281,'LP Reactivos'!I281,'LP Reactivos'!N281,'LP Reactivos'!S281,'LP Reactivos'!X281,'LP Reactivos'!AC281,'LP Reactivos'!AH281,'LP Reactivos'!AM281,'LP Reactivos'!AR281,'LP Reactivos'!AW281,'LP Reactivos'!BB281,'LP Reactivos'!BG281,'LP Reactivos'!BL281,'LP Reactivos'!BQ281,'LP Reactivos'!BV281,'LP Reactivos'!CA281,'LP Reactivos'!CF281,'LP Reactivos'!CK281,'LP Reactivos'!CP281,'LP Reactivos'!CU281,'LP Reactivos'!CZ281,'LP Reactivos'!DE281,'LP Reactivos'!DJ281,'LP Reactivos'!DO281,'LP Reactivos'!DT281,'LP Reactivos'!DY281,'LP Reactivos'!EB281)," ")</f>
        <v>597835.07989079377</v>
      </c>
      <c r="H281" s="345">
        <f t="shared" si="16"/>
        <v>172347.64858881547</v>
      </c>
      <c r="I281" s="346">
        <f t="shared" si="17"/>
        <v>0.26318809789330311</v>
      </c>
      <c r="J281" s="345">
        <f t="shared" si="18"/>
        <v>597835.07989079377</v>
      </c>
      <c r="K281" s="344" t="str">
        <f t="shared" si="19"/>
        <v>Media Geométrica</v>
      </c>
      <c r="L281" s="326">
        <f>IFERROR(COUNTA('LP Reactivos'!F281,'LP Reactivos'!I281,'LP Reactivos'!N281,'LP Reactivos'!S281,'LP Reactivos'!X281,'LP Reactivos'!AC281,'LP Reactivos'!AH281,'LP Reactivos'!AM281,'LP Reactivos'!AR281,'LP Reactivos'!AW281,'LP Reactivos'!BB281,'LP Reactivos'!BG281,'LP Reactivos'!BL281,'LP Reactivos'!BQ281,'LP Reactivos'!BV281,'LP Reactivos'!CA281,'LP Reactivos'!CF281,'LP Reactivos'!CK281,'LP Reactivos'!CP281,'LP Reactivos'!CU281,'LP Reactivos'!CZ281,'LP Reactivos'!DE281,'LP Reactivos'!DJ281,'LP Reactivos'!DO281,'LP Reactivos'!DT281,'LP Reactivos'!DY281,'LP Reactivos'!EB281)," ")</f>
        <v>3</v>
      </c>
    </row>
    <row r="282" spans="2:12" ht="54" x14ac:dyDescent="0.25">
      <c r="B282" s="425">
        <v>280</v>
      </c>
      <c r="C282" s="427" t="s">
        <v>1600</v>
      </c>
      <c r="D282" s="429">
        <f>IFERROR(MIN('LP Reactivos'!F282,'LP Reactivos'!I282,'LP Reactivos'!N282,'LP Reactivos'!S282,'LP Reactivos'!X282,'LP Reactivos'!AC282,'LP Reactivos'!AH282,'LP Reactivos'!AM282,'LP Reactivos'!AR282,'LP Reactivos'!AW282,'LP Reactivos'!BB282,'LP Reactivos'!BG282,'LP Reactivos'!BL282,'LP Reactivos'!BQ282,'LP Reactivos'!BV282,'LP Reactivos'!CA282,'LP Reactivos'!CF282,'LP Reactivos'!CK282,'LP Reactivos'!CP282,'LP Reactivos'!CU282,'LP Reactivos'!CZ282,'LP Reactivos'!DE282,'LP Reactivos'!DJ282,'LP Reactivos'!DO282,'LP Reactivos'!DT282,'LP Reactivos'!DY282,'LP Reactivos'!EB282)," ")</f>
        <v>296727</v>
      </c>
      <c r="E282" s="429">
        <f>IFERROR(AVERAGE('LP Reactivos'!F282,'LP Reactivos'!I282,'LP Reactivos'!N282,'LP Reactivos'!S282,'LP Reactivos'!X282,'LP Reactivos'!AC282,'LP Reactivos'!AH282,'LP Reactivos'!AM282,'LP Reactivos'!AR282,'LP Reactivos'!AW282,'LP Reactivos'!BB282,'LP Reactivos'!BG282,'LP Reactivos'!BL282,'LP Reactivos'!BQ282,'LP Reactivos'!BV282,'LP Reactivos'!CA282,'LP Reactivos'!CF282,'LP Reactivos'!CK282,'LP Reactivos'!CP282,'LP Reactivos'!CU282,'LP Reactivos'!CZ282,'LP Reactivos'!DE282,'LP Reactivos'!DJ282,'LP Reactivos'!DO282,'LP Reactivos'!DT282,'LP Reactivos'!DY282,'LP Reactivos'!EB282)," ")</f>
        <v>881998.5</v>
      </c>
      <c r="F282" s="345">
        <f>IFERROR(MEDIAN('LP Reactivos'!F282,'LP Reactivos'!I282,'LP Reactivos'!N282,'LP Reactivos'!S282,'LP Reactivos'!X282,'LP Reactivos'!AC282,'LP Reactivos'!AH282,'LP Reactivos'!AM282,'LP Reactivos'!AR282,'LP Reactivos'!AW282,'LP Reactivos'!BB282,'LP Reactivos'!BG282,'LP Reactivos'!BL282,'LP Reactivos'!BQ282,'LP Reactivos'!BV282,'LP Reactivos'!CA282,'LP Reactivos'!CF282,'LP Reactivos'!CK282,'LP Reactivos'!CP282,'LP Reactivos'!CU282,'LP Reactivos'!CZ282,'LP Reactivos'!DE282,'LP Reactivos'!DJ282,'LP Reactivos'!DO282,'LP Reactivos'!DT282,'LP Reactivos'!DY282,'LP Reactivos'!EB282)," ")</f>
        <v>881998.5</v>
      </c>
      <c r="G282" s="345">
        <f>IFERROR(GEOMEAN('LP Reactivos'!F282,'LP Reactivos'!I282,'LP Reactivos'!N282,'LP Reactivos'!S282,'LP Reactivos'!X282,'LP Reactivos'!AC282,'LP Reactivos'!AH282,'LP Reactivos'!AM282,'LP Reactivos'!AR282,'LP Reactivos'!AW282,'LP Reactivos'!BB282,'LP Reactivos'!BG282,'LP Reactivos'!BL282,'LP Reactivos'!BQ282,'LP Reactivos'!BV282,'LP Reactivos'!CA282,'LP Reactivos'!CF282,'LP Reactivos'!CK282,'LP Reactivos'!CP282,'LP Reactivos'!CU282,'LP Reactivos'!CZ282,'LP Reactivos'!DE282,'LP Reactivos'!DJ282,'LP Reactivos'!DO282,'LP Reactivos'!DT282,'LP Reactivos'!DY282,'LP Reactivos'!EB282)," ")</f>
        <v>659832.27057336317</v>
      </c>
      <c r="H282" s="345">
        <f t="shared" si="16"/>
        <v>276231.56981325668</v>
      </c>
      <c r="I282" s="346">
        <f t="shared" si="17"/>
        <v>0.31318825350979246</v>
      </c>
      <c r="J282" s="345">
        <f>IF(I282&lt;=10%,F282,IF(AND(I282&gt;10%,I282&lt;=20%),E282,IF(AND(I282&gt;20%,I282&lt;=32%),G282,IF(I282&gt;32%,D282))))</f>
        <v>659832.27057336317</v>
      </c>
      <c r="K282" s="344" t="str">
        <f t="shared" si="19"/>
        <v>Media Geométrica</v>
      </c>
      <c r="L282" s="326">
        <f>IFERROR(COUNTA('LP Reactivos'!F282,'LP Reactivos'!I282,'LP Reactivos'!N282,'LP Reactivos'!S282,'LP Reactivos'!X282,'LP Reactivos'!AC282,'LP Reactivos'!AH282,'LP Reactivos'!AM282,'LP Reactivos'!AR282,'LP Reactivos'!AW282,'LP Reactivos'!BB282,'LP Reactivos'!BG282,'LP Reactivos'!BL282,'LP Reactivos'!BQ282,'LP Reactivos'!BV282,'LP Reactivos'!CA282,'LP Reactivos'!CF282,'LP Reactivos'!CK282,'LP Reactivos'!CP282,'LP Reactivos'!CU282,'LP Reactivos'!CZ282,'LP Reactivos'!DE282,'LP Reactivos'!DJ282,'LP Reactivos'!DO282,'LP Reactivos'!DT282,'LP Reactivos'!DY282,'LP Reactivos'!EB282)," ")</f>
        <v>2</v>
      </c>
    </row>
    <row r="283" spans="2:12" ht="54" x14ac:dyDescent="0.25">
      <c r="B283" s="425">
        <v>281</v>
      </c>
      <c r="C283" s="427" t="s">
        <v>1604</v>
      </c>
      <c r="D283" s="429">
        <f>IFERROR(MIN('LP Reactivos'!F283,'LP Reactivos'!I283,'LP Reactivos'!N283,'LP Reactivos'!S283,'LP Reactivos'!X283,'LP Reactivos'!AC283,'LP Reactivos'!AH283,'LP Reactivos'!AM283,'LP Reactivos'!AR283,'LP Reactivos'!AW283,'LP Reactivos'!BB283,'LP Reactivos'!BG283,'LP Reactivos'!BL283,'LP Reactivos'!BQ283,'LP Reactivos'!BV283,'LP Reactivos'!CA283,'LP Reactivos'!CF283,'LP Reactivos'!CK283,'LP Reactivos'!CP283,'LP Reactivos'!CU283,'LP Reactivos'!CZ283,'LP Reactivos'!DE283,'LP Reactivos'!DJ283,'LP Reactivos'!DO283,'LP Reactivos'!DT283,'LP Reactivos'!DY283,'LP Reactivos'!EB283)," ")</f>
        <v>398384</v>
      </c>
      <c r="E283" s="429">
        <f>IFERROR(AVERAGE('LP Reactivos'!F283,'LP Reactivos'!I283,'LP Reactivos'!N283,'LP Reactivos'!S283,'LP Reactivos'!X283,'LP Reactivos'!AC283,'LP Reactivos'!AH283,'LP Reactivos'!AM283,'LP Reactivos'!AR283,'LP Reactivos'!AW283,'LP Reactivos'!BB283,'LP Reactivos'!BG283,'LP Reactivos'!BL283,'LP Reactivos'!BQ283,'LP Reactivos'!BV283,'LP Reactivos'!CA283,'LP Reactivos'!CF283,'LP Reactivos'!CK283,'LP Reactivos'!CP283,'LP Reactivos'!CU283,'LP Reactivos'!CZ283,'LP Reactivos'!DE283,'LP Reactivos'!DJ283,'LP Reactivos'!DO283,'LP Reactivos'!DT283,'LP Reactivos'!DY283,'LP Reactivos'!EB283)," ")</f>
        <v>1875307</v>
      </c>
      <c r="F283" s="345">
        <f>IFERROR(MEDIAN('LP Reactivos'!F283,'LP Reactivos'!I283,'LP Reactivos'!N283,'LP Reactivos'!S283,'LP Reactivos'!X283,'LP Reactivos'!AC283,'LP Reactivos'!AH283,'LP Reactivos'!AM283,'LP Reactivos'!AR283,'LP Reactivos'!AW283,'LP Reactivos'!BB283,'LP Reactivos'!BG283,'LP Reactivos'!BL283,'LP Reactivos'!BQ283,'LP Reactivos'!BV283,'LP Reactivos'!CA283,'LP Reactivos'!CF283,'LP Reactivos'!CK283,'LP Reactivos'!CP283,'LP Reactivos'!CU283,'LP Reactivos'!CZ283,'LP Reactivos'!DE283,'LP Reactivos'!DJ283,'LP Reactivos'!DO283,'LP Reactivos'!DT283,'LP Reactivos'!DY283,'LP Reactivos'!EB283)," ")</f>
        <v>1875307</v>
      </c>
      <c r="G283" s="345">
        <f>IFERROR(GEOMEAN('LP Reactivos'!F283,'LP Reactivos'!I283,'LP Reactivos'!N283,'LP Reactivos'!S283,'LP Reactivos'!X283,'LP Reactivos'!AC283,'LP Reactivos'!AH283,'LP Reactivos'!AM283,'LP Reactivos'!AR283,'LP Reactivos'!AW283,'LP Reactivos'!BB283,'LP Reactivos'!BG283,'LP Reactivos'!BL283,'LP Reactivos'!BQ283,'LP Reactivos'!BV283,'LP Reactivos'!CA283,'LP Reactivos'!CF283,'LP Reactivos'!CK283,'LP Reactivos'!CP283,'LP Reactivos'!CU283,'LP Reactivos'!CZ283,'LP Reactivos'!DE283,'LP Reactivos'!DJ283,'LP Reactivos'!DO283,'LP Reactivos'!DT283,'LP Reactivos'!DY283,'LP Reactivos'!EB283)," ")</f>
        <v>1155627.4470260735</v>
      </c>
      <c r="H283" s="345">
        <f t="shared" si="16"/>
        <v>705448.91451350716</v>
      </c>
      <c r="I283" s="346">
        <f t="shared" si="17"/>
        <v>0.37617782822412926</v>
      </c>
      <c r="J283" s="345">
        <f>IF(I283&lt;=10%,F283,IF(AND(I283&gt;10%,I283&lt;=20%),E283,IF(AND(I283&gt;20%,I283&lt;=38%),G283,IF(I283&gt;38%,D283))))</f>
        <v>1155627.4470260735</v>
      </c>
      <c r="K283" s="344" t="str">
        <f t="shared" si="19"/>
        <v>Media Geométrica</v>
      </c>
      <c r="L283" s="326">
        <f>IFERROR(COUNTA('LP Reactivos'!F283,'LP Reactivos'!I283,'LP Reactivos'!N283,'LP Reactivos'!S283,'LP Reactivos'!X283,'LP Reactivos'!AC283,'LP Reactivos'!AH283,'LP Reactivos'!AM283,'LP Reactivos'!AR283,'LP Reactivos'!AW283,'LP Reactivos'!BB283,'LP Reactivos'!BG283,'LP Reactivos'!BL283,'LP Reactivos'!BQ283,'LP Reactivos'!BV283,'LP Reactivos'!CA283,'LP Reactivos'!CF283,'LP Reactivos'!CK283,'LP Reactivos'!CP283,'LP Reactivos'!CU283,'LP Reactivos'!CZ283,'LP Reactivos'!DE283,'LP Reactivos'!DJ283,'LP Reactivos'!DO283,'LP Reactivos'!DT283,'LP Reactivos'!DY283,'LP Reactivos'!EB283)," ")</f>
        <v>2</v>
      </c>
    </row>
    <row r="284" spans="2:12" ht="54" x14ac:dyDescent="0.25">
      <c r="B284" s="425">
        <v>282</v>
      </c>
      <c r="C284" s="426" t="s">
        <v>1608</v>
      </c>
      <c r="D284" s="429">
        <f>IFERROR(MIN('LP Reactivos'!F284,'LP Reactivos'!I284,'LP Reactivos'!N284,'LP Reactivos'!S284,'LP Reactivos'!X284,'LP Reactivos'!AC284,'LP Reactivos'!AH284,'LP Reactivos'!AM284,'LP Reactivos'!AR284,'LP Reactivos'!AW284,'LP Reactivos'!BB284,'LP Reactivos'!BG284,'LP Reactivos'!BL284,'LP Reactivos'!BQ284,'LP Reactivos'!BV284,'LP Reactivos'!CA284,'LP Reactivos'!CF284,'LP Reactivos'!CK284,'LP Reactivos'!CP284,'LP Reactivos'!CU284,'LP Reactivos'!CZ284,'LP Reactivos'!DE284,'LP Reactivos'!DJ284,'LP Reactivos'!DO284,'LP Reactivos'!DT284,'LP Reactivos'!DY284,'LP Reactivos'!EB284)," ")</f>
        <v>3133838</v>
      </c>
      <c r="E284" s="429">
        <f>IFERROR(AVERAGE('LP Reactivos'!F284,'LP Reactivos'!I284,'LP Reactivos'!N284,'LP Reactivos'!S284,'LP Reactivos'!X284,'LP Reactivos'!AC284,'LP Reactivos'!AH284,'LP Reactivos'!AM284,'LP Reactivos'!AR284,'LP Reactivos'!AW284,'LP Reactivos'!BB284,'LP Reactivos'!BG284,'LP Reactivos'!BL284,'LP Reactivos'!BQ284,'LP Reactivos'!BV284,'LP Reactivos'!CA284,'LP Reactivos'!CF284,'LP Reactivos'!CK284,'LP Reactivos'!CP284,'LP Reactivos'!CU284,'LP Reactivos'!CZ284,'LP Reactivos'!DE284,'LP Reactivos'!DJ284,'LP Reactivos'!DO284,'LP Reactivos'!DT284,'LP Reactivos'!DY284,'LP Reactivos'!EB284)," ")</f>
        <v>7063529</v>
      </c>
      <c r="F284" s="345">
        <f>IFERROR(MEDIAN('LP Reactivos'!F284,'LP Reactivos'!I284,'LP Reactivos'!N284,'LP Reactivos'!S284,'LP Reactivos'!X284,'LP Reactivos'!AC284,'LP Reactivos'!AH284,'LP Reactivos'!AM284,'LP Reactivos'!AR284,'LP Reactivos'!AW284,'LP Reactivos'!BB284,'LP Reactivos'!BG284,'LP Reactivos'!BL284,'LP Reactivos'!BQ284,'LP Reactivos'!BV284,'LP Reactivos'!CA284,'LP Reactivos'!CF284,'LP Reactivos'!CK284,'LP Reactivos'!CP284,'LP Reactivos'!CU284,'LP Reactivos'!CZ284,'LP Reactivos'!DE284,'LP Reactivos'!DJ284,'LP Reactivos'!DO284,'LP Reactivos'!DT284,'LP Reactivos'!DY284,'LP Reactivos'!EB284)," ")</f>
        <v>7063529</v>
      </c>
      <c r="G284" s="345">
        <f>IFERROR(GEOMEAN('LP Reactivos'!F284,'LP Reactivos'!I284,'LP Reactivos'!N284,'LP Reactivos'!S284,'LP Reactivos'!X284,'LP Reactivos'!AC284,'LP Reactivos'!AH284,'LP Reactivos'!AM284,'LP Reactivos'!AR284,'LP Reactivos'!AW284,'LP Reactivos'!BB284,'LP Reactivos'!BG284,'LP Reactivos'!BL284,'LP Reactivos'!BQ284,'LP Reactivos'!BV284,'LP Reactivos'!CA284,'LP Reactivos'!CF284,'LP Reactivos'!CK284,'LP Reactivos'!CP284,'LP Reactivos'!CU284,'LP Reactivos'!CZ284,'LP Reactivos'!DE284,'LP Reactivos'!DJ284,'LP Reactivos'!DO284,'LP Reactivos'!DT284,'LP Reactivos'!DY284,'LP Reactivos'!EB284)," ")</f>
        <v>5869494.9168016156</v>
      </c>
      <c r="H284" s="345">
        <f t="shared" si="16"/>
        <v>1853379.7115244458</v>
      </c>
      <c r="I284" s="346">
        <f t="shared" si="17"/>
        <v>0.26238721629435452</v>
      </c>
      <c r="J284" s="345">
        <f t="shared" si="18"/>
        <v>5869494.9168016156</v>
      </c>
      <c r="K284" s="344" t="str">
        <f t="shared" si="19"/>
        <v>Media Geométrica</v>
      </c>
      <c r="L284" s="326">
        <f>IFERROR(COUNTA('LP Reactivos'!F284,'LP Reactivos'!I284,'LP Reactivos'!N284,'LP Reactivos'!S284,'LP Reactivos'!X284,'LP Reactivos'!AC284,'LP Reactivos'!AH284,'LP Reactivos'!AM284,'LP Reactivos'!AR284,'LP Reactivos'!AW284,'LP Reactivos'!BB284,'LP Reactivos'!BG284,'LP Reactivos'!BL284,'LP Reactivos'!BQ284,'LP Reactivos'!BV284,'LP Reactivos'!CA284,'LP Reactivos'!CF284,'LP Reactivos'!CK284,'LP Reactivos'!CP284,'LP Reactivos'!CU284,'LP Reactivos'!CZ284,'LP Reactivos'!DE284,'LP Reactivos'!DJ284,'LP Reactivos'!DO284,'LP Reactivos'!DT284,'LP Reactivos'!DY284,'LP Reactivos'!EB284)," ")</f>
        <v>2</v>
      </c>
    </row>
    <row r="285" spans="2:12" ht="54" x14ac:dyDescent="0.25">
      <c r="B285" s="425">
        <v>283</v>
      </c>
      <c r="C285" s="427" t="s">
        <v>1611</v>
      </c>
      <c r="D285" s="429">
        <f>IFERROR(MIN('LP Reactivos'!F285,'LP Reactivos'!I285,'LP Reactivos'!N285,'LP Reactivos'!S285,'LP Reactivos'!X285,'LP Reactivos'!AC285,'LP Reactivos'!AH285,'LP Reactivos'!AM285,'LP Reactivos'!AR285,'LP Reactivos'!AW285,'LP Reactivos'!BB285,'LP Reactivos'!BG285,'LP Reactivos'!BL285,'LP Reactivos'!BQ285,'LP Reactivos'!BV285,'LP Reactivos'!CA285,'LP Reactivos'!CF285,'LP Reactivos'!CK285,'LP Reactivos'!CP285,'LP Reactivos'!CU285,'LP Reactivos'!CZ285,'LP Reactivos'!DE285,'LP Reactivos'!DJ285,'LP Reactivos'!DO285,'LP Reactivos'!DT285,'LP Reactivos'!DY285,'LP Reactivos'!EB285)," ")</f>
        <v>340687</v>
      </c>
      <c r="E285" s="429">
        <f>IFERROR(AVERAGE('LP Reactivos'!F285,'LP Reactivos'!I285,'LP Reactivos'!N285,'LP Reactivos'!S285,'LP Reactivos'!X285,'LP Reactivos'!AC285,'LP Reactivos'!AH285,'LP Reactivos'!AM285,'LP Reactivos'!AR285,'LP Reactivos'!AW285,'LP Reactivos'!BB285,'LP Reactivos'!BG285,'LP Reactivos'!BL285,'LP Reactivos'!BQ285,'LP Reactivos'!BV285,'LP Reactivos'!CA285,'LP Reactivos'!CF285,'LP Reactivos'!CK285,'LP Reactivos'!CP285,'LP Reactivos'!CU285,'LP Reactivos'!CZ285,'LP Reactivos'!DE285,'LP Reactivos'!DJ285,'LP Reactivos'!DO285,'LP Reactivos'!DT285,'LP Reactivos'!DY285,'LP Reactivos'!EB285)," ")</f>
        <v>604693.5</v>
      </c>
      <c r="F285" s="345">
        <f>IFERROR(MEDIAN('LP Reactivos'!F285,'LP Reactivos'!I285,'LP Reactivos'!N285,'LP Reactivos'!S285,'LP Reactivos'!X285,'LP Reactivos'!AC285,'LP Reactivos'!AH285,'LP Reactivos'!AM285,'LP Reactivos'!AR285,'LP Reactivos'!AW285,'LP Reactivos'!BB285,'LP Reactivos'!BG285,'LP Reactivos'!BL285,'LP Reactivos'!BQ285,'LP Reactivos'!BV285,'LP Reactivos'!CA285,'LP Reactivos'!CF285,'LP Reactivos'!CK285,'LP Reactivos'!CP285,'LP Reactivos'!CU285,'LP Reactivos'!CZ285,'LP Reactivos'!DE285,'LP Reactivos'!DJ285,'LP Reactivos'!DO285,'LP Reactivos'!DT285,'LP Reactivos'!DY285,'LP Reactivos'!EB285)," ")</f>
        <v>604693.5</v>
      </c>
      <c r="G285" s="345">
        <f>IFERROR(GEOMEAN('LP Reactivos'!F285,'LP Reactivos'!I285,'LP Reactivos'!N285,'LP Reactivos'!S285,'LP Reactivos'!X285,'LP Reactivos'!AC285,'LP Reactivos'!AH285,'LP Reactivos'!AM285,'LP Reactivos'!AR285,'LP Reactivos'!AW285,'LP Reactivos'!BB285,'LP Reactivos'!BG285,'LP Reactivos'!BL285,'LP Reactivos'!BQ285,'LP Reactivos'!BV285,'LP Reactivos'!CA285,'LP Reactivos'!CF285,'LP Reactivos'!CK285,'LP Reactivos'!CP285,'LP Reactivos'!CU285,'LP Reactivos'!CZ285,'LP Reactivos'!DE285,'LP Reactivos'!DJ285,'LP Reactivos'!DO285,'LP Reactivos'!DT285,'LP Reactivos'!DY285,'LP Reactivos'!EB285)," ")</f>
        <v>544017.27628817083</v>
      </c>
      <c r="H285" s="345">
        <f t="shared" si="16"/>
        <v>125201.59529993344</v>
      </c>
      <c r="I285" s="346">
        <f t="shared" si="17"/>
        <v>0.20704967938291621</v>
      </c>
      <c r="J285" s="345">
        <f t="shared" si="18"/>
        <v>544017.27628817083</v>
      </c>
      <c r="K285" s="344" t="str">
        <f t="shared" si="19"/>
        <v>Media Geométrica</v>
      </c>
      <c r="L285" s="326">
        <f>IFERROR(COUNTA('LP Reactivos'!F285,'LP Reactivos'!I285,'LP Reactivos'!N285,'LP Reactivos'!S285,'LP Reactivos'!X285,'LP Reactivos'!AC285,'LP Reactivos'!AH285,'LP Reactivos'!AM285,'LP Reactivos'!AR285,'LP Reactivos'!AW285,'LP Reactivos'!BB285,'LP Reactivos'!BG285,'LP Reactivos'!BL285,'LP Reactivos'!BQ285,'LP Reactivos'!BV285,'LP Reactivos'!CA285,'LP Reactivos'!CF285,'LP Reactivos'!CK285,'LP Reactivos'!CP285,'LP Reactivos'!CU285,'LP Reactivos'!CZ285,'LP Reactivos'!DE285,'LP Reactivos'!DJ285,'LP Reactivos'!DO285,'LP Reactivos'!DT285,'LP Reactivos'!DY285,'LP Reactivos'!EB285)," ")</f>
        <v>2</v>
      </c>
    </row>
    <row r="286" spans="2:12" ht="54" x14ac:dyDescent="0.25">
      <c r="B286" s="425">
        <v>284</v>
      </c>
      <c r="C286" s="427" t="s">
        <v>1615</v>
      </c>
      <c r="D286" s="429">
        <f>IFERROR(MIN('LP Reactivos'!F286,'LP Reactivos'!I286,'LP Reactivos'!N286,'LP Reactivos'!S286,'LP Reactivos'!X286,'LP Reactivos'!AC286,'LP Reactivos'!AH286,'LP Reactivos'!AM286,'LP Reactivos'!AR286,'LP Reactivos'!AW286,'LP Reactivos'!BB286,'LP Reactivos'!BG286,'LP Reactivos'!BL286,'LP Reactivos'!BQ286,'LP Reactivos'!BV286,'LP Reactivos'!CA286,'LP Reactivos'!CF286,'LP Reactivos'!CK286,'LP Reactivos'!CP286,'LP Reactivos'!CU286,'LP Reactivos'!CZ286,'LP Reactivos'!DE286,'LP Reactivos'!DJ286,'LP Reactivos'!DO286,'LP Reactivos'!DT286,'LP Reactivos'!DY286,'LP Reactivos'!EB286)," ")</f>
        <v>1485160</v>
      </c>
      <c r="E286" s="429">
        <f>IFERROR(AVERAGE('LP Reactivos'!F286,'LP Reactivos'!I286,'LP Reactivos'!N286,'LP Reactivos'!S286,'LP Reactivos'!X286,'LP Reactivos'!AC286,'LP Reactivos'!AH286,'LP Reactivos'!AM286,'LP Reactivos'!AR286,'LP Reactivos'!AW286,'LP Reactivos'!BB286,'LP Reactivos'!BG286,'LP Reactivos'!BL286,'LP Reactivos'!BQ286,'LP Reactivos'!BV286,'LP Reactivos'!CA286,'LP Reactivos'!CF286,'LP Reactivos'!CK286,'LP Reactivos'!CP286,'LP Reactivos'!CU286,'LP Reactivos'!CZ286,'LP Reactivos'!DE286,'LP Reactivos'!DJ286,'LP Reactivos'!DO286,'LP Reactivos'!DT286,'LP Reactivos'!DY286,'LP Reactivos'!EB286)," ")</f>
        <v>2129704.2705000001</v>
      </c>
      <c r="F286" s="345">
        <f>IFERROR(MEDIAN('LP Reactivos'!F286,'LP Reactivos'!I286,'LP Reactivos'!N286,'LP Reactivos'!S286,'LP Reactivos'!X286,'LP Reactivos'!AC286,'LP Reactivos'!AH286,'LP Reactivos'!AM286,'LP Reactivos'!AR286,'LP Reactivos'!AW286,'LP Reactivos'!BB286,'LP Reactivos'!BG286,'LP Reactivos'!BL286,'LP Reactivos'!BQ286,'LP Reactivos'!BV286,'LP Reactivos'!CA286,'LP Reactivos'!CF286,'LP Reactivos'!CK286,'LP Reactivos'!CP286,'LP Reactivos'!CU286,'LP Reactivos'!CZ286,'LP Reactivos'!DE286,'LP Reactivos'!DJ286,'LP Reactivos'!DO286,'LP Reactivos'!DT286,'LP Reactivos'!DY286,'LP Reactivos'!EB286)," ")</f>
        <v>2059478.5</v>
      </c>
      <c r="G286" s="345">
        <f>IFERROR(GEOMEAN('LP Reactivos'!F286,'LP Reactivos'!I286,'LP Reactivos'!N286,'LP Reactivos'!S286,'LP Reactivos'!X286,'LP Reactivos'!AC286,'LP Reactivos'!AH286,'LP Reactivos'!AM286,'LP Reactivos'!AR286,'LP Reactivos'!AW286,'LP Reactivos'!BB286,'LP Reactivos'!BG286,'LP Reactivos'!BL286,'LP Reactivos'!BQ286,'LP Reactivos'!BV286,'LP Reactivos'!CA286,'LP Reactivos'!CF286,'LP Reactivos'!CK286,'LP Reactivos'!CP286,'LP Reactivos'!CU286,'LP Reactivos'!CZ286,'LP Reactivos'!DE286,'LP Reactivos'!DJ286,'LP Reactivos'!DO286,'LP Reactivos'!DT286,'LP Reactivos'!DY286,'LP Reactivos'!EB286)," ")</f>
        <v>2067148.301725016</v>
      </c>
      <c r="H286" s="345">
        <f t="shared" si="16"/>
        <v>301785.40573167574</v>
      </c>
      <c r="I286" s="346">
        <f t="shared" si="17"/>
        <v>0.14170296313526395</v>
      </c>
      <c r="J286" s="345">
        <f t="shared" si="18"/>
        <v>2129704.2705000001</v>
      </c>
      <c r="K286" s="344" t="str">
        <f t="shared" si="19"/>
        <v>Promedio</v>
      </c>
      <c r="L286" s="326">
        <f>IFERROR(COUNTA('LP Reactivos'!F286,'LP Reactivos'!I286,'LP Reactivos'!N286,'LP Reactivos'!S286,'LP Reactivos'!X286,'LP Reactivos'!AC286,'LP Reactivos'!AH286,'LP Reactivos'!AM286,'LP Reactivos'!AR286,'LP Reactivos'!AW286,'LP Reactivos'!BB286,'LP Reactivos'!BG286,'LP Reactivos'!BL286,'LP Reactivos'!BQ286,'LP Reactivos'!BV286,'LP Reactivos'!CA286,'LP Reactivos'!CF286,'LP Reactivos'!CK286,'LP Reactivos'!CP286,'LP Reactivos'!CU286,'LP Reactivos'!CZ286,'LP Reactivos'!DE286,'LP Reactivos'!DJ286,'LP Reactivos'!DO286,'LP Reactivos'!DT286,'LP Reactivos'!DY286,'LP Reactivos'!EB286)," ")</f>
        <v>4</v>
      </c>
    </row>
    <row r="287" spans="2:12" ht="54" x14ac:dyDescent="0.25">
      <c r="B287" s="425">
        <v>285</v>
      </c>
      <c r="C287" s="427" t="s">
        <v>1620</v>
      </c>
      <c r="D287" s="429">
        <f>IFERROR(MIN('LP Reactivos'!F287,'LP Reactivos'!I287,'LP Reactivos'!N287,'LP Reactivos'!S287,'LP Reactivos'!X287,'LP Reactivos'!AC287,'LP Reactivos'!AH287,'LP Reactivos'!AM287,'LP Reactivos'!AR287,'LP Reactivos'!AW287,'LP Reactivos'!BB287,'LP Reactivos'!BG287,'LP Reactivos'!BL287,'LP Reactivos'!BQ287,'LP Reactivos'!BV287,'LP Reactivos'!CA287,'LP Reactivos'!CF287,'LP Reactivos'!CK287,'LP Reactivos'!CP287,'LP Reactivos'!CU287,'LP Reactivos'!CZ287,'LP Reactivos'!DE287,'LP Reactivos'!DJ287,'LP Reactivos'!DO287,'LP Reactivos'!DT287,'LP Reactivos'!DY287,'LP Reactivos'!EB287)," ")</f>
        <v>961511.67</v>
      </c>
      <c r="E287" s="429">
        <f>IFERROR(AVERAGE('LP Reactivos'!F287,'LP Reactivos'!I287,'LP Reactivos'!N287,'LP Reactivos'!S287,'LP Reactivos'!X287,'LP Reactivos'!AC287,'LP Reactivos'!AH287,'LP Reactivos'!AM287,'LP Reactivos'!AR287,'LP Reactivos'!AW287,'LP Reactivos'!BB287,'LP Reactivos'!BG287,'LP Reactivos'!BL287,'LP Reactivos'!BQ287,'LP Reactivos'!BV287,'LP Reactivos'!CA287,'LP Reactivos'!CF287,'LP Reactivos'!CK287,'LP Reactivos'!CP287,'LP Reactivos'!CU287,'LP Reactivos'!CZ287,'LP Reactivos'!DE287,'LP Reactivos'!DJ287,'LP Reactivos'!DO287,'LP Reactivos'!DT287,'LP Reactivos'!DY287,'LP Reactivos'!EB287)," ")</f>
        <v>1477782.1675</v>
      </c>
      <c r="F287" s="345">
        <f>IFERROR(MEDIAN('LP Reactivos'!F287,'LP Reactivos'!I287,'LP Reactivos'!N287,'LP Reactivos'!S287,'LP Reactivos'!X287,'LP Reactivos'!AC287,'LP Reactivos'!AH287,'LP Reactivos'!AM287,'LP Reactivos'!AR287,'LP Reactivos'!AW287,'LP Reactivos'!BB287,'LP Reactivos'!BG287,'LP Reactivos'!BL287,'LP Reactivos'!BQ287,'LP Reactivos'!BV287,'LP Reactivos'!CA287,'LP Reactivos'!CF287,'LP Reactivos'!CK287,'LP Reactivos'!CP287,'LP Reactivos'!CU287,'LP Reactivos'!CZ287,'LP Reactivos'!DE287,'LP Reactivos'!DJ287,'LP Reactivos'!DO287,'LP Reactivos'!DT287,'LP Reactivos'!DY287,'LP Reactivos'!EB287)," ")</f>
        <v>1521435</v>
      </c>
      <c r="G287" s="345">
        <f>IFERROR(GEOMEAN('LP Reactivos'!F287,'LP Reactivos'!I287,'LP Reactivos'!N287,'LP Reactivos'!S287,'LP Reactivos'!X287,'LP Reactivos'!AC287,'LP Reactivos'!AH287,'LP Reactivos'!AM287,'LP Reactivos'!AR287,'LP Reactivos'!AW287,'LP Reactivos'!BB287,'LP Reactivos'!BG287,'LP Reactivos'!BL287,'LP Reactivos'!BQ287,'LP Reactivos'!BV287,'LP Reactivos'!CA287,'LP Reactivos'!CF287,'LP Reactivos'!CK287,'LP Reactivos'!CP287,'LP Reactivos'!CU287,'LP Reactivos'!CZ287,'LP Reactivos'!DE287,'LP Reactivos'!DJ287,'LP Reactivos'!DO287,'LP Reactivos'!DT287,'LP Reactivos'!DY287,'LP Reactivos'!EB287)," ")</f>
        <v>1435082.5075982013</v>
      </c>
      <c r="H287" s="345">
        <f t="shared" si="16"/>
        <v>260688.87650090613</v>
      </c>
      <c r="I287" s="346">
        <f t="shared" si="17"/>
        <v>0.17640548264425185</v>
      </c>
      <c r="J287" s="345">
        <f t="shared" si="18"/>
        <v>1477782.1675</v>
      </c>
      <c r="K287" s="344" t="str">
        <f t="shared" si="19"/>
        <v>Promedio</v>
      </c>
      <c r="L287" s="326">
        <f>IFERROR(COUNTA('LP Reactivos'!F287,'LP Reactivos'!I287,'LP Reactivos'!N287,'LP Reactivos'!S287,'LP Reactivos'!X287,'LP Reactivos'!AC287,'LP Reactivos'!AH287,'LP Reactivos'!AM287,'LP Reactivos'!AR287,'LP Reactivos'!AW287,'LP Reactivos'!BB287,'LP Reactivos'!BG287,'LP Reactivos'!BL287,'LP Reactivos'!BQ287,'LP Reactivos'!BV287,'LP Reactivos'!CA287,'LP Reactivos'!CF287,'LP Reactivos'!CK287,'LP Reactivos'!CP287,'LP Reactivos'!CU287,'LP Reactivos'!CZ287,'LP Reactivos'!DE287,'LP Reactivos'!DJ287,'LP Reactivos'!DO287,'LP Reactivos'!DT287,'LP Reactivos'!DY287,'LP Reactivos'!EB287)," ")</f>
        <v>4</v>
      </c>
    </row>
    <row r="288" spans="2:12" ht="40.5" x14ac:dyDescent="0.25">
      <c r="B288" s="425">
        <v>286</v>
      </c>
      <c r="C288" s="426" t="s">
        <v>1624</v>
      </c>
      <c r="D288" s="429">
        <f>IFERROR(MIN('LP Reactivos'!F288,'LP Reactivos'!I288,'LP Reactivos'!N288,'LP Reactivos'!S288,'LP Reactivos'!X288,'LP Reactivos'!AC288,'LP Reactivos'!AH288,'LP Reactivos'!AM288,'LP Reactivos'!AR288,'LP Reactivos'!AW288,'LP Reactivos'!BB288,'LP Reactivos'!BG288,'LP Reactivos'!BL288,'LP Reactivos'!BQ288,'LP Reactivos'!BV288,'LP Reactivos'!CA288,'LP Reactivos'!CF288,'LP Reactivos'!CK288,'LP Reactivos'!CP288,'LP Reactivos'!CU288,'LP Reactivos'!CZ288,'LP Reactivos'!DE288,'LP Reactivos'!DJ288,'LP Reactivos'!DO288,'LP Reactivos'!DT288,'LP Reactivos'!DY288,'LP Reactivos'!EB288)," ")</f>
        <v>1654516.5</v>
      </c>
      <c r="E288" s="429">
        <f>IFERROR(AVERAGE('LP Reactivos'!F288,'LP Reactivos'!I288,'LP Reactivos'!N288,'LP Reactivos'!S288,'LP Reactivos'!X288,'LP Reactivos'!AC288,'LP Reactivos'!AH288,'LP Reactivos'!AM288,'LP Reactivos'!AR288,'LP Reactivos'!AW288,'LP Reactivos'!BB288,'LP Reactivos'!BG288,'LP Reactivos'!BL288,'LP Reactivos'!BQ288,'LP Reactivos'!BV288,'LP Reactivos'!CA288,'LP Reactivos'!CF288,'LP Reactivos'!CK288,'LP Reactivos'!CP288,'LP Reactivos'!CU288,'LP Reactivos'!CZ288,'LP Reactivos'!DE288,'LP Reactivos'!DJ288,'LP Reactivos'!DO288,'LP Reactivos'!DT288,'LP Reactivos'!DY288,'LP Reactivos'!EB288)," ")</f>
        <v>4523121.5</v>
      </c>
      <c r="F288" s="345">
        <f>IFERROR(MEDIAN('LP Reactivos'!F288,'LP Reactivos'!I288,'LP Reactivos'!N288,'LP Reactivos'!S288,'LP Reactivos'!X288,'LP Reactivos'!AC288,'LP Reactivos'!AH288,'LP Reactivos'!AM288,'LP Reactivos'!AR288,'LP Reactivos'!AW288,'LP Reactivos'!BB288,'LP Reactivos'!BG288,'LP Reactivos'!BL288,'LP Reactivos'!BQ288,'LP Reactivos'!BV288,'LP Reactivos'!CA288,'LP Reactivos'!CF288,'LP Reactivos'!CK288,'LP Reactivos'!CP288,'LP Reactivos'!CU288,'LP Reactivos'!CZ288,'LP Reactivos'!DE288,'LP Reactivos'!DJ288,'LP Reactivos'!DO288,'LP Reactivos'!DT288,'LP Reactivos'!DY288,'LP Reactivos'!EB288)," ")</f>
        <v>3133838</v>
      </c>
      <c r="G288" s="345">
        <f>IFERROR(GEOMEAN('LP Reactivos'!F288,'LP Reactivos'!I288,'LP Reactivos'!N288,'LP Reactivos'!S288,'LP Reactivos'!X288,'LP Reactivos'!AC288,'LP Reactivos'!AH288,'LP Reactivos'!AM288,'LP Reactivos'!AR288,'LP Reactivos'!AW288,'LP Reactivos'!BB288,'LP Reactivos'!BG288,'LP Reactivos'!BL288,'LP Reactivos'!BQ288,'LP Reactivos'!BV288,'LP Reactivos'!CA288,'LP Reactivos'!CF288,'LP Reactivos'!CK288,'LP Reactivos'!CP288,'LP Reactivos'!CU288,'LP Reactivos'!CZ288,'LP Reactivos'!DE288,'LP Reactivos'!DJ288,'LP Reactivos'!DO288,'LP Reactivos'!DT288,'LP Reactivos'!DY288,'LP Reactivos'!EB288)," ")</f>
        <v>3570787.7722090762</v>
      </c>
      <c r="H288" s="345">
        <f t="shared" si="16"/>
        <v>1194339.2737888955</v>
      </c>
      <c r="I288" s="346">
        <f t="shared" si="17"/>
        <v>0.26405199899867721</v>
      </c>
      <c r="J288" s="345">
        <f t="shared" si="18"/>
        <v>3570787.7722090762</v>
      </c>
      <c r="K288" s="344" t="str">
        <f t="shared" si="19"/>
        <v>Media Geométrica</v>
      </c>
      <c r="L288" s="326">
        <f>IFERROR(COUNTA('LP Reactivos'!F288,'LP Reactivos'!I288,'LP Reactivos'!N288,'LP Reactivos'!S288,'LP Reactivos'!X288,'LP Reactivos'!AC288,'LP Reactivos'!AH288,'LP Reactivos'!AM288,'LP Reactivos'!AR288,'LP Reactivos'!AW288,'LP Reactivos'!BB288,'LP Reactivos'!BG288,'LP Reactivos'!BL288,'LP Reactivos'!BQ288,'LP Reactivos'!BV288,'LP Reactivos'!CA288,'LP Reactivos'!CF288,'LP Reactivos'!CK288,'LP Reactivos'!CP288,'LP Reactivos'!CU288,'LP Reactivos'!CZ288,'LP Reactivos'!DE288,'LP Reactivos'!DJ288,'LP Reactivos'!DO288,'LP Reactivos'!DT288,'LP Reactivos'!DY288,'LP Reactivos'!EB288)," ")</f>
        <v>3</v>
      </c>
    </row>
    <row r="289" spans="2:12" ht="54" x14ac:dyDescent="0.25">
      <c r="B289" s="425">
        <v>287</v>
      </c>
      <c r="C289" s="427" t="s">
        <v>1628</v>
      </c>
      <c r="D289" s="429">
        <f>IFERROR(MIN('LP Reactivos'!F289,'LP Reactivos'!I289,'LP Reactivos'!N289,'LP Reactivos'!S289,'LP Reactivos'!X289,'LP Reactivos'!AC289,'LP Reactivos'!AH289,'LP Reactivos'!AM289,'LP Reactivos'!AR289,'LP Reactivos'!AW289,'LP Reactivos'!BB289,'LP Reactivos'!BG289,'LP Reactivos'!BL289,'LP Reactivos'!BQ289,'LP Reactivos'!BV289,'LP Reactivos'!CA289,'LP Reactivos'!CF289,'LP Reactivos'!CK289,'LP Reactivos'!CP289,'LP Reactivos'!CU289,'LP Reactivos'!CZ289,'LP Reactivos'!DE289,'LP Reactivos'!DJ289,'LP Reactivos'!DO289,'LP Reactivos'!DT289,'LP Reactivos'!DY289,'LP Reactivos'!EB289)," ")</f>
        <v>886061</v>
      </c>
      <c r="E289" s="429">
        <f>IFERROR(AVERAGE('LP Reactivos'!F289,'LP Reactivos'!I289,'LP Reactivos'!N289,'LP Reactivos'!S289,'LP Reactivos'!X289,'LP Reactivos'!AC289,'LP Reactivos'!AH289,'LP Reactivos'!AM289,'LP Reactivos'!AR289,'LP Reactivos'!AW289,'LP Reactivos'!BB289,'LP Reactivos'!BG289,'LP Reactivos'!BL289,'LP Reactivos'!BQ289,'LP Reactivos'!BV289,'LP Reactivos'!CA289,'LP Reactivos'!CF289,'LP Reactivos'!CK289,'LP Reactivos'!CP289,'LP Reactivos'!CU289,'LP Reactivos'!CZ289,'LP Reactivos'!DE289,'LP Reactivos'!DJ289,'LP Reactivos'!DO289,'LP Reactivos'!DT289,'LP Reactivos'!DY289,'LP Reactivos'!EB289)," ")</f>
        <v>1597611.5233333334</v>
      </c>
      <c r="F289" s="345">
        <f>IFERROR(MEDIAN('LP Reactivos'!F289,'LP Reactivos'!I289,'LP Reactivos'!N289,'LP Reactivos'!S289,'LP Reactivos'!X289,'LP Reactivos'!AC289,'LP Reactivos'!AH289,'LP Reactivos'!AM289,'LP Reactivos'!AR289,'LP Reactivos'!AW289,'LP Reactivos'!BB289,'LP Reactivos'!BG289,'LP Reactivos'!BL289,'LP Reactivos'!BQ289,'LP Reactivos'!BV289,'LP Reactivos'!CA289,'LP Reactivos'!CF289,'LP Reactivos'!CK289,'LP Reactivos'!CP289,'LP Reactivos'!CU289,'LP Reactivos'!CZ289,'LP Reactivos'!DE289,'LP Reactivos'!DJ289,'LP Reactivos'!DO289,'LP Reactivos'!DT289,'LP Reactivos'!DY289,'LP Reactivos'!EB289)," ")</f>
        <v>1625540</v>
      </c>
      <c r="G289" s="345">
        <f>IFERROR(GEOMEAN('LP Reactivos'!F289,'LP Reactivos'!I289,'LP Reactivos'!N289,'LP Reactivos'!S289,'LP Reactivos'!X289,'LP Reactivos'!AC289,'LP Reactivos'!AH289,'LP Reactivos'!AM289,'LP Reactivos'!AR289,'LP Reactivos'!AW289,'LP Reactivos'!BB289,'LP Reactivos'!BG289,'LP Reactivos'!BL289,'LP Reactivos'!BQ289,'LP Reactivos'!BV289,'LP Reactivos'!CA289,'LP Reactivos'!CF289,'LP Reactivos'!CK289,'LP Reactivos'!CP289,'LP Reactivos'!CU289,'LP Reactivos'!CZ289,'LP Reactivos'!DE289,'LP Reactivos'!DJ289,'LP Reactivos'!DO289,'LP Reactivos'!DT289,'LP Reactivos'!DY289,'LP Reactivos'!EB289)," ")</f>
        <v>1486655.5119129431</v>
      </c>
      <c r="H289" s="345">
        <f t="shared" si="16"/>
        <v>347158.37449058413</v>
      </c>
      <c r="I289" s="346">
        <f t="shared" si="17"/>
        <v>0.21729836660557894</v>
      </c>
      <c r="J289" s="345">
        <f t="shared" si="18"/>
        <v>1486655.5119129431</v>
      </c>
      <c r="K289" s="344" t="str">
        <f t="shared" si="19"/>
        <v>Media Geométrica</v>
      </c>
      <c r="L289" s="326">
        <f>IFERROR(COUNTA('LP Reactivos'!F289,'LP Reactivos'!I289,'LP Reactivos'!N289,'LP Reactivos'!S289,'LP Reactivos'!X289,'LP Reactivos'!AC289,'LP Reactivos'!AH289,'LP Reactivos'!AM289,'LP Reactivos'!AR289,'LP Reactivos'!AW289,'LP Reactivos'!BB289,'LP Reactivos'!BG289,'LP Reactivos'!BL289,'LP Reactivos'!BQ289,'LP Reactivos'!BV289,'LP Reactivos'!CA289,'LP Reactivos'!CF289,'LP Reactivos'!CK289,'LP Reactivos'!CP289,'LP Reactivos'!CU289,'LP Reactivos'!CZ289,'LP Reactivos'!DE289,'LP Reactivos'!DJ289,'LP Reactivos'!DO289,'LP Reactivos'!DT289,'LP Reactivos'!DY289,'LP Reactivos'!EB289)," ")</f>
        <v>3</v>
      </c>
    </row>
    <row r="290" spans="2:12" x14ac:dyDescent="0.25">
      <c r="B290" s="425">
        <v>288</v>
      </c>
      <c r="C290" s="426" t="s">
        <v>1632</v>
      </c>
      <c r="D290" s="429">
        <f>IFERROR(MIN('LP Reactivos'!F290,'LP Reactivos'!I290,'LP Reactivos'!N290,'LP Reactivos'!S290,'LP Reactivos'!X290,'LP Reactivos'!AC290,'LP Reactivos'!AH290,'LP Reactivos'!AM290,'LP Reactivos'!AR290,'LP Reactivos'!AW290,'LP Reactivos'!BB290,'LP Reactivos'!BG290,'LP Reactivos'!BL290,'LP Reactivos'!BQ290,'LP Reactivos'!BV290,'LP Reactivos'!CA290,'LP Reactivos'!CF290,'LP Reactivos'!CK290,'LP Reactivos'!CP290,'LP Reactivos'!CU290,'LP Reactivos'!CZ290,'LP Reactivos'!DE290,'LP Reactivos'!DJ290,'LP Reactivos'!DO290,'LP Reactivos'!DT290,'LP Reactivos'!DY290,'LP Reactivos'!EB290)," ")</f>
        <v>424830</v>
      </c>
      <c r="E290" s="429">
        <f>IFERROR(AVERAGE('LP Reactivos'!F290,'LP Reactivos'!I290,'LP Reactivos'!N290,'LP Reactivos'!S290,'LP Reactivos'!X290,'LP Reactivos'!AC290,'LP Reactivos'!AH290,'LP Reactivos'!AM290,'LP Reactivos'!AR290,'LP Reactivos'!AW290,'LP Reactivos'!BB290,'LP Reactivos'!BG290,'LP Reactivos'!BL290,'LP Reactivos'!BQ290,'LP Reactivos'!BV290,'LP Reactivos'!CA290,'LP Reactivos'!CF290,'LP Reactivos'!CK290,'LP Reactivos'!CP290,'LP Reactivos'!CU290,'LP Reactivos'!CZ290,'LP Reactivos'!DE290,'LP Reactivos'!DJ290,'LP Reactivos'!DO290,'LP Reactivos'!DT290,'LP Reactivos'!DY290,'LP Reactivos'!EB290)," ")</f>
        <v>1355167.25</v>
      </c>
      <c r="F290" s="345">
        <f>IFERROR(MEDIAN('LP Reactivos'!F290,'LP Reactivos'!I290,'LP Reactivos'!N290,'LP Reactivos'!S290,'LP Reactivos'!X290,'LP Reactivos'!AC290,'LP Reactivos'!AH290,'LP Reactivos'!AM290,'LP Reactivos'!AR290,'LP Reactivos'!AW290,'LP Reactivos'!BB290,'LP Reactivos'!BG290,'LP Reactivos'!BL290,'LP Reactivos'!BQ290,'LP Reactivos'!BV290,'LP Reactivos'!CA290,'LP Reactivos'!CF290,'LP Reactivos'!CK290,'LP Reactivos'!CP290,'LP Reactivos'!CU290,'LP Reactivos'!CZ290,'LP Reactivos'!DE290,'LP Reactivos'!DJ290,'LP Reactivos'!DO290,'LP Reactivos'!DT290,'LP Reactivos'!DY290,'LP Reactivos'!EB290)," ")</f>
        <v>717585.5</v>
      </c>
      <c r="G290" s="345">
        <f>IFERROR(GEOMEAN('LP Reactivos'!F290,'LP Reactivos'!I290,'LP Reactivos'!N290,'LP Reactivos'!S290,'LP Reactivos'!X290,'LP Reactivos'!AC290,'LP Reactivos'!AH290,'LP Reactivos'!AM290,'LP Reactivos'!AR290,'LP Reactivos'!AW290,'LP Reactivos'!BB290,'LP Reactivos'!BG290,'LP Reactivos'!BL290,'LP Reactivos'!BQ290,'LP Reactivos'!BV290,'LP Reactivos'!CA290,'LP Reactivos'!CF290,'LP Reactivos'!CK290,'LP Reactivos'!CP290,'LP Reactivos'!CU290,'LP Reactivos'!CZ290,'LP Reactivos'!DE290,'LP Reactivos'!DJ290,'LP Reactivos'!DO290,'LP Reactivos'!DT290,'LP Reactivos'!DY290,'LP Reactivos'!EB290)," ")</f>
        <v>945767.62166458101</v>
      </c>
      <c r="H290" s="345">
        <f t="shared" si="16"/>
        <v>392512.71863097581</v>
      </c>
      <c r="I290" s="346">
        <f t="shared" si="17"/>
        <v>0.28964153216584582</v>
      </c>
      <c r="J290" s="345">
        <f t="shared" si="18"/>
        <v>945767.62166458101</v>
      </c>
      <c r="K290" s="344" t="str">
        <f t="shared" si="19"/>
        <v>Media Geométrica</v>
      </c>
      <c r="L290" s="326">
        <f>IFERROR(COUNTA('LP Reactivos'!F290,'LP Reactivos'!I290,'LP Reactivos'!N290,'LP Reactivos'!S290,'LP Reactivos'!X290,'LP Reactivos'!AC290,'LP Reactivos'!AH290,'LP Reactivos'!AM290,'LP Reactivos'!AR290,'LP Reactivos'!AW290,'LP Reactivos'!BB290,'LP Reactivos'!BG290,'LP Reactivos'!BL290,'LP Reactivos'!BQ290,'LP Reactivos'!BV290,'LP Reactivos'!CA290,'LP Reactivos'!CF290,'LP Reactivos'!CK290,'LP Reactivos'!CP290,'LP Reactivos'!CU290,'LP Reactivos'!CZ290,'LP Reactivos'!DE290,'LP Reactivos'!DJ290,'LP Reactivos'!DO290,'LP Reactivos'!DT290,'LP Reactivos'!DY290,'LP Reactivos'!EB290)," ")</f>
        <v>6</v>
      </c>
    </row>
    <row r="291" spans="2:12" ht="40.5" x14ac:dyDescent="0.25">
      <c r="B291" s="425">
        <v>289</v>
      </c>
      <c r="C291" s="426" t="s">
        <v>1637</v>
      </c>
      <c r="D291" s="429">
        <f>IFERROR(MIN('LP Reactivos'!F291,'LP Reactivos'!I291,'LP Reactivos'!N291,'LP Reactivos'!S291,'LP Reactivos'!X291,'LP Reactivos'!AC291,'LP Reactivos'!AH291,'LP Reactivos'!AM291,'LP Reactivos'!AR291,'LP Reactivos'!AW291,'LP Reactivos'!BB291,'LP Reactivos'!BG291,'LP Reactivos'!BL291,'LP Reactivos'!BQ291,'LP Reactivos'!BV291,'LP Reactivos'!CA291,'LP Reactivos'!CF291,'LP Reactivos'!CK291,'LP Reactivos'!CP291,'LP Reactivos'!CU291,'LP Reactivos'!CZ291,'LP Reactivos'!DE291,'LP Reactivos'!DJ291,'LP Reactivos'!DO291,'LP Reactivos'!DT291,'LP Reactivos'!DY291,'LP Reactivos'!EB291)," ")</f>
        <v>485520</v>
      </c>
      <c r="E291" s="429">
        <f>IFERROR(AVERAGE('LP Reactivos'!F291,'LP Reactivos'!I291,'LP Reactivos'!N291,'LP Reactivos'!S291,'LP Reactivos'!X291,'LP Reactivos'!AC291,'LP Reactivos'!AH291,'LP Reactivos'!AM291,'LP Reactivos'!AR291,'LP Reactivos'!AW291,'LP Reactivos'!BB291,'LP Reactivos'!BG291,'LP Reactivos'!BL291,'LP Reactivos'!BQ291,'LP Reactivos'!BV291,'LP Reactivos'!CA291,'LP Reactivos'!CF291,'LP Reactivos'!CK291,'LP Reactivos'!CP291,'LP Reactivos'!CU291,'LP Reactivos'!CZ291,'LP Reactivos'!DE291,'LP Reactivos'!DJ291,'LP Reactivos'!DO291,'LP Reactivos'!DT291,'LP Reactivos'!DY291,'LP Reactivos'!EB291)," ")</f>
        <v>1005855.6666666666</v>
      </c>
      <c r="F291" s="345">
        <f>IFERROR(MEDIAN('LP Reactivos'!F291,'LP Reactivos'!I291,'LP Reactivos'!N291,'LP Reactivos'!S291,'LP Reactivos'!X291,'LP Reactivos'!AC291,'LP Reactivos'!AH291,'LP Reactivos'!AM291,'LP Reactivos'!AR291,'LP Reactivos'!AW291,'LP Reactivos'!BB291,'LP Reactivos'!BG291,'LP Reactivos'!BL291,'LP Reactivos'!BQ291,'LP Reactivos'!BV291,'LP Reactivos'!CA291,'LP Reactivos'!CF291,'LP Reactivos'!CK291,'LP Reactivos'!CP291,'LP Reactivos'!CU291,'LP Reactivos'!CZ291,'LP Reactivos'!DE291,'LP Reactivos'!DJ291,'LP Reactivos'!DO291,'LP Reactivos'!DT291,'LP Reactivos'!DY291,'LP Reactivos'!EB291)," ")</f>
        <v>823564</v>
      </c>
      <c r="G291" s="345">
        <f>IFERROR(GEOMEAN('LP Reactivos'!F291,'LP Reactivos'!I291,'LP Reactivos'!N291,'LP Reactivos'!S291,'LP Reactivos'!X291,'LP Reactivos'!AC291,'LP Reactivos'!AH291,'LP Reactivos'!AM291,'LP Reactivos'!AR291,'LP Reactivos'!AW291,'LP Reactivos'!BB291,'LP Reactivos'!BG291,'LP Reactivos'!BL291,'LP Reactivos'!BQ291,'LP Reactivos'!BV291,'LP Reactivos'!CA291,'LP Reactivos'!CF291,'LP Reactivos'!CK291,'LP Reactivos'!CP291,'LP Reactivos'!CU291,'LP Reactivos'!CZ291,'LP Reactivos'!DE291,'LP Reactivos'!DJ291,'LP Reactivos'!DO291,'LP Reactivos'!DT291,'LP Reactivos'!DY291,'LP Reactivos'!EB291)," ")</f>
        <v>877702.29843018355</v>
      </c>
      <c r="H291" s="345">
        <f t="shared" si="16"/>
        <v>222001.20120298309</v>
      </c>
      <c r="I291" s="346">
        <f t="shared" si="17"/>
        <v>0.22070880401626519</v>
      </c>
      <c r="J291" s="345">
        <f t="shared" si="18"/>
        <v>877702.29843018355</v>
      </c>
      <c r="K291" s="344" t="str">
        <f t="shared" si="19"/>
        <v>Media Geométrica</v>
      </c>
      <c r="L291" s="326">
        <f>IFERROR(COUNTA('LP Reactivos'!F291,'LP Reactivos'!I291,'LP Reactivos'!N291,'LP Reactivos'!S291,'LP Reactivos'!X291,'LP Reactivos'!AC291,'LP Reactivos'!AH291,'LP Reactivos'!AM291,'LP Reactivos'!AR291,'LP Reactivos'!AW291,'LP Reactivos'!BB291,'LP Reactivos'!BG291,'LP Reactivos'!BL291,'LP Reactivos'!BQ291,'LP Reactivos'!BV291,'LP Reactivos'!CA291,'LP Reactivos'!CF291,'LP Reactivos'!CK291,'LP Reactivos'!CP291,'LP Reactivos'!CU291,'LP Reactivos'!CZ291,'LP Reactivos'!DE291,'LP Reactivos'!DJ291,'LP Reactivos'!DO291,'LP Reactivos'!DT291,'LP Reactivos'!DY291,'LP Reactivos'!EB291)," ")</f>
        <v>6</v>
      </c>
    </row>
    <row r="292" spans="2:12" ht="27" x14ac:dyDescent="0.25">
      <c r="B292" s="425">
        <v>290</v>
      </c>
      <c r="C292" s="427" t="s">
        <v>1641</v>
      </c>
      <c r="D292" s="429">
        <f>IFERROR(MIN('LP Reactivos'!F292,'LP Reactivos'!I292,'LP Reactivos'!N292,'LP Reactivos'!S292,'LP Reactivos'!X292,'LP Reactivos'!AC292,'LP Reactivos'!AH292,'LP Reactivos'!AM292,'LP Reactivos'!AR292,'LP Reactivos'!AW292,'LP Reactivos'!BB292,'LP Reactivos'!BG292,'LP Reactivos'!BL292,'LP Reactivos'!BQ292,'LP Reactivos'!BV292,'LP Reactivos'!CA292,'LP Reactivos'!CF292,'LP Reactivos'!CK292,'LP Reactivos'!CP292,'LP Reactivos'!CU292,'LP Reactivos'!CZ292,'LP Reactivos'!DE292,'LP Reactivos'!DJ292,'LP Reactivos'!DO292,'LP Reactivos'!DT292,'LP Reactivos'!DY292,'LP Reactivos'!EB292)," ")</f>
        <v>252280</v>
      </c>
      <c r="E292" s="429">
        <f>IFERROR(AVERAGE('LP Reactivos'!F292,'LP Reactivos'!I292,'LP Reactivos'!N292,'LP Reactivos'!S292,'LP Reactivos'!X292,'LP Reactivos'!AC292,'LP Reactivos'!AH292,'LP Reactivos'!AM292,'LP Reactivos'!AR292,'LP Reactivos'!AW292,'LP Reactivos'!BB292,'LP Reactivos'!BG292,'LP Reactivos'!BL292,'LP Reactivos'!BQ292,'LP Reactivos'!BV292,'LP Reactivos'!CA292,'LP Reactivos'!CF292,'LP Reactivos'!CK292,'LP Reactivos'!CP292,'LP Reactivos'!CU292,'LP Reactivos'!CZ292,'LP Reactivos'!DE292,'LP Reactivos'!DJ292,'LP Reactivos'!DO292,'LP Reactivos'!DT292,'LP Reactivos'!DY292,'LP Reactivos'!EB292)," ")</f>
        <v>639156.33333333337</v>
      </c>
      <c r="F292" s="345">
        <f>IFERROR(MEDIAN('LP Reactivos'!F292,'LP Reactivos'!I292,'LP Reactivos'!N292,'LP Reactivos'!S292,'LP Reactivos'!X292,'LP Reactivos'!AC292,'LP Reactivos'!AH292,'LP Reactivos'!AM292,'LP Reactivos'!AR292,'LP Reactivos'!AW292,'LP Reactivos'!BB292,'LP Reactivos'!BG292,'LP Reactivos'!BL292,'LP Reactivos'!BQ292,'LP Reactivos'!BV292,'LP Reactivos'!CA292,'LP Reactivos'!CF292,'LP Reactivos'!CK292,'LP Reactivos'!CP292,'LP Reactivos'!CU292,'LP Reactivos'!CZ292,'LP Reactivos'!DE292,'LP Reactivos'!DJ292,'LP Reactivos'!DO292,'LP Reactivos'!DT292,'LP Reactivos'!DY292,'LP Reactivos'!EB292)," ")</f>
        <v>265749</v>
      </c>
      <c r="G292" s="345">
        <f>IFERROR(GEOMEAN('LP Reactivos'!F292,'LP Reactivos'!I292,'LP Reactivos'!N292,'LP Reactivos'!S292,'LP Reactivos'!X292,'LP Reactivos'!AC292,'LP Reactivos'!AH292,'LP Reactivos'!AM292,'LP Reactivos'!AR292,'LP Reactivos'!AW292,'LP Reactivos'!BB292,'LP Reactivos'!BG292,'LP Reactivos'!BL292,'LP Reactivos'!BQ292,'LP Reactivos'!BV292,'LP Reactivos'!CA292,'LP Reactivos'!CF292,'LP Reactivos'!CK292,'LP Reactivos'!CP292,'LP Reactivos'!CU292,'LP Reactivos'!CZ292,'LP Reactivos'!DE292,'LP Reactivos'!DJ292,'LP Reactivos'!DO292,'LP Reactivos'!DT292,'LP Reactivos'!DY292,'LP Reactivos'!EB292)," ")</f>
        <v>454397.82940250309</v>
      </c>
      <c r="H292" s="345">
        <f t="shared" si="16"/>
        <v>182543.02013809135</v>
      </c>
      <c r="I292" s="346">
        <f t="shared" si="17"/>
        <v>0.28559995515665393</v>
      </c>
      <c r="J292" s="345">
        <f t="shared" si="18"/>
        <v>454397.82940250309</v>
      </c>
      <c r="K292" s="344" t="str">
        <f t="shared" si="19"/>
        <v>Media Geométrica</v>
      </c>
      <c r="L292" s="326">
        <f>IFERROR(COUNTA('LP Reactivos'!F292,'LP Reactivos'!I292,'LP Reactivos'!N292,'LP Reactivos'!S292,'LP Reactivos'!X292,'LP Reactivos'!AC292,'LP Reactivos'!AH292,'LP Reactivos'!AM292,'LP Reactivos'!AR292,'LP Reactivos'!AW292,'LP Reactivos'!BB292,'LP Reactivos'!BG292,'LP Reactivos'!BL292,'LP Reactivos'!BQ292,'LP Reactivos'!BV292,'LP Reactivos'!CA292,'LP Reactivos'!CF292,'LP Reactivos'!CK292,'LP Reactivos'!CP292,'LP Reactivos'!CU292,'LP Reactivos'!CZ292,'LP Reactivos'!DE292,'LP Reactivos'!DJ292,'LP Reactivos'!DO292,'LP Reactivos'!DT292,'LP Reactivos'!DY292,'LP Reactivos'!EB292)," ")</f>
        <v>3</v>
      </c>
    </row>
    <row r="293" spans="2:12" ht="27" x14ac:dyDescent="0.25">
      <c r="B293" s="425">
        <v>291</v>
      </c>
      <c r="C293" s="427" t="s">
        <v>1644</v>
      </c>
      <c r="D293" s="429">
        <f>IFERROR(MIN('LP Reactivos'!F293,'LP Reactivos'!I293,'LP Reactivos'!N293,'LP Reactivos'!S293,'LP Reactivos'!X293,'LP Reactivos'!AC293,'LP Reactivos'!AH293,'LP Reactivos'!AM293,'LP Reactivos'!AR293,'LP Reactivos'!AW293,'LP Reactivos'!BB293,'LP Reactivos'!BG293,'LP Reactivos'!BL293,'LP Reactivos'!BQ293,'LP Reactivos'!BV293,'LP Reactivos'!CA293,'LP Reactivos'!CF293,'LP Reactivos'!CK293,'LP Reactivos'!CP293,'LP Reactivos'!CU293,'LP Reactivos'!CZ293,'LP Reactivos'!DE293,'LP Reactivos'!DJ293,'LP Reactivos'!DO293,'LP Reactivos'!DT293,'LP Reactivos'!DY293,'LP Reactivos'!EB293)," ")</f>
        <v>392700</v>
      </c>
      <c r="E293" s="429">
        <f>IFERROR(AVERAGE('LP Reactivos'!F293,'LP Reactivos'!I293,'LP Reactivos'!N293,'LP Reactivos'!S293,'LP Reactivos'!X293,'LP Reactivos'!AC293,'LP Reactivos'!AH293,'LP Reactivos'!AM293,'LP Reactivos'!AR293,'LP Reactivos'!AW293,'LP Reactivos'!BB293,'LP Reactivos'!BG293,'LP Reactivos'!BL293,'LP Reactivos'!BQ293,'LP Reactivos'!BV293,'LP Reactivos'!CA293,'LP Reactivos'!CF293,'LP Reactivos'!CK293,'LP Reactivos'!CP293,'LP Reactivos'!CU293,'LP Reactivos'!CZ293,'LP Reactivos'!DE293,'LP Reactivos'!DJ293,'LP Reactivos'!DO293,'LP Reactivos'!DT293,'LP Reactivos'!DY293,'LP Reactivos'!EB293)," ")</f>
        <v>848319</v>
      </c>
      <c r="F293" s="345">
        <f>IFERROR(MEDIAN('LP Reactivos'!F293,'LP Reactivos'!I293,'LP Reactivos'!N293,'LP Reactivos'!S293,'LP Reactivos'!X293,'LP Reactivos'!AC293,'LP Reactivos'!AH293,'LP Reactivos'!AM293,'LP Reactivos'!AR293,'LP Reactivos'!AW293,'LP Reactivos'!BB293,'LP Reactivos'!BG293,'LP Reactivos'!BL293,'LP Reactivos'!BQ293,'LP Reactivos'!BV293,'LP Reactivos'!CA293,'LP Reactivos'!CF293,'LP Reactivos'!CK293,'LP Reactivos'!CP293,'LP Reactivos'!CU293,'LP Reactivos'!CZ293,'LP Reactivos'!DE293,'LP Reactivos'!DJ293,'LP Reactivos'!DO293,'LP Reactivos'!DT293,'LP Reactivos'!DY293,'LP Reactivos'!EB293)," ")</f>
        <v>413667</v>
      </c>
      <c r="G293" s="345">
        <f>IFERROR(GEOMEAN('LP Reactivos'!F293,'LP Reactivos'!I293,'LP Reactivos'!N293,'LP Reactivos'!S293,'LP Reactivos'!X293,'LP Reactivos'!AC293,'LP Reactivos'!AH293,'LP Reactivos'!AM293,'LP Reactivos'!AR293,'LP Reactivos'!AW293,'LP Reactivos'!BB293,'LP Reactivos'!BG293,'LP Reactivos'!BL293,'LP Reactivos'!BQ293,'LP Reactivos'!BV293,'LP Reactivos'!CA293,'LP Reactivos'!CF293,'LP Reactivos'!CK293,'LP Reactivos'!CP293,'LP Reactivos'!CU293,'LP Reactivos'!CZ293,'LP Reactivos'!DE293,'LP Reactivos'!DJ293,'LP Reactivos'!DO293,'LP Reactivos'!DT293,'LP Reactivos'!DY293,'LP Reactivos'!EB293)," ")</f>
        <v>656099.4168899738</v>
      </c>
      <c r="H293" s="345">
        <f t="shared" si="16"/>
        <v>216420.06743485475</v>
      </c>
      <c r="I293" s="346">
        <f t="shared" si="17"/>
        <v>0.25511637418807637</v>
      </c>
      <c r="J293" s="345">
        <f t="shared" si="18"/>
        <v>656099.4168899738</v>
      </c>
      <c r="K293" s="344" t="str">
        <f t="shared" si="19"/>
        <v>Media Geométrica</v>
      </c>
      <c r="L293" s="326">
        <f>IFERROR(COUNTA('LP Reactivos'!F293,'LP Reactivos'!I293,'LP Reactivos'!N293,'LP Reactivos'!S293,'LP Reactivos'!X293,'LP Reactivos'!AC293,'LP Reactivos'!AH293,'LP Reactivos'!AM293,'LP Reactivos'!AR293,'LP Reactivos'!AW293,'LP Reactivos'!BB293,'LP Reactivos'!BG293,'LP Reactivos'!BL293,'LP Reactivos'!BQ293,'LP Reactivos'!BV293,'LP Reactivos'!CA293,'LP Reactivos'!CF293,'LP Reactivos'!CK293,'LP Reactivos'!CP293,'LP Reactivos'!CU293,'LP Reactivos'!CZ293,'LP Reactivos'!DE293,'LP Reactivos'!DJ293,'LP Reactivos'!DO293,'LP Reactivos'!DT293,'LP Reactivos'!DY293,'LP Reactivos'!EB293)," ")</f>
        <v>3</v>
      </c>
    </row>
    <row r="294" spans="2:12" ht="40.5" x14ac:dyDescent="0.25">
      <c r="B294" s="425">
        <v>292</v>
      </c>
      <c r="C294" s="426" t="s">
        <v>1647</v>
      </c>
      <c r="D294" s="429">
        <f>IFERROR(MIN('LP Reactivos'!F294,'LP Reactivos'!I294,'LP Reactivos'!N294,'LP Reactivos'!S294,'LP Reactivos'!X294,'LP Reactivos'!AC294,'LP Reactivos'!AH294,'LP Reactivos'!AM294,'LP Reactivos'!AR294,'LP Reactivos'!AW294,'LP Reactivos'!BB294,'LP Reactivos'!BG294,'LP Reactivos'!BL294,'LP Reactivos'!BQ294,'LP Reactivos'!BV294,'LP Reactivos'!CA294,'LP Reactivos'!CF294,'LP Reactivos'!CK294,'LP Reactivos'!CP294,'LP Reactivos'!CU294,'LP Reactivos'!CZ294,'LP Reactivos'!DE294,'LP Reactivos'!DJ294,'LP Reactivos'!DO294,'LP Reactivos'!DT294,'LP Reactivos'!DY294,'LP Reactivos'!EB294)," ")</f>
        <v>391510</v>
      </c>
      <c r="E294" s="429">
        <f>IFERROR(AVERAGE('LP Reactivos'!F294,'LP Reactivos'!I294,'LP Reactivos'!N294,'LP Reactivos'!S294,'LP Reactivos'!X294,'LP Reactivos'!AC294,'LP Reactivos'!AH294,'LP Reactivos'!AM294,'LP Reactivos'!AR294,'LP Reactivos'!AW294,'LP Reactivos'!BB294,'LP Reactivos'!BG294,'LP Reactivos'!BL294,'LP Reactivos'!BQ294,'LP Reactivos'!BV294,'LP Reactivos'!CA294,'LP Reactivos'!CF294,'LP Reactivos'!CK294,'LP Reactivos'!CP294,'LP Reactivos'!CU294,'LP Reactivos'!CZ294,'LP Reactivos'!DE294,'LP Reactivos'!DJ294,'LP Reactivos'!DO294,'LP Reactivos'!DT294,'LP Reactivos'!DY294,'LP Reactivos'!EB294)," ")</f>
        <v>1100278.942</v>
      </c>
      <c r="F294" s="345">
        <f>IFERROR(MEDIAN('LP Reactivos'!F294,'LP Reactivos'!I294,'LP Reactivos'!N294,'LP Reactivos'!S294,'LP Reactivos'!X294,'LP Reactivos'!AC294,'LP Reactivos'!AH294,'LP Reactivos'!AM294,'LP Reactivos'!AR294,'LP Reactivos'!AW294,'LP Reactivos'!BB294,'LP Reactivos'!BG294,'LP Reactivos'!BL294,'LP Reactivos'!BQ294,'LP Reactivos'!BV294,'LP Reactivos'!CA294,'LP Reactivos'!CF294,'LP Reactivos'!CK294,'LP Reactivos'!CP294,'LP Reactivos'!CU294,'LP Reactivos'!CZ294,'LP Reactivos'!DE294,'LP Reactivos'!DJ294,'LP Reactivos'!DO294,'LP Reactivos'!DT294,'LP Reactivos'!DY294,'LP Reactivos'!EB294)," ")</f>
        <v>589823.5</v>
      </c>
      <c r="G294" s="345">
        <f>IFERROR(GEOMEAN('LP Reactivos'!F294,'LP Reactivos'!I294,'LP Reactivos'!N294,'LP Reactivos'!S294,'LP Reactivos'!X294,'LP Reactivos'!AC294,'LP Reactivos'!AH294,'LP Reactivos'!AM294,'LP Reactivos'!AR294,'LP Reactivos'!AW294,'LP Reactivos'!BB294,'LP Reactivos'!BG294,'LP Reactivos'!BL294,'LP Reactivos'!BQ294,'LP Reactivos'!BV294,'LP Reactivos'!CA294,'LP Reactivos'!CF294,'LP Reactivos'!CK294,'LP Reactivos'!CP294,'LP Reactivos'!CU294,'LP Reactivos'!CZ294,'LP Reactivos'!DE294,'LP Reactivos'!DJ294,'LP Reactivos'!DO294,'LP Reactivos'!DT294,'LP Reactivos'!DY294,'LP Reactivos'!EB294)," ")</f>
        <v>784248.51014861767</v>
      </c>
      <c r="H294" s="345">
        <f t="shared" si="16"/>
        <v>301961.12766859599</v>
      </c>
      <c r="I294" s="346">
        <f t="shared" si="17"/>
        <v>0.27444052243671496</v>
      </c>
      <c r="J294" s="345">
        <f t="shared" si="18"/>
        <v>784248.51014861767</v>
      </c>
      <c r="K294" s="344" t="str">
        <f t="shared" si="19"/>
        <v>Media Geométrica</v>
      </c>
      <c r="L294" s="326">
        <f>IFERROR(COUNTA('LP Reactivos'!F294,'LP Reactivos'!I294,'LP Reactivos'!N294,'LP Reactivos'!S294,'LP Reactivos'!X294,'LP Reactivos'!AC294,'LP Reactivos'!AH294,'LP Reactivos'!AM294,'LP Reactivos'!AR294,'LP Reactivos'!AW294,'LP Reactivos'!BB294,'LP Reactivos'!BG294,'LP Reactivos'!BL294,'LP Reactivos'!BQ294,'LP Reactivos'!BV294,'LP Reactivos'!CA294,'LP Reactivos'!CF294,'LP Reactivos'!CK294,'LP Reactivos'!CP294,'LP Reactivos'!CU294,'LP Reactivos'!CZ294,'LP Reactivos'!DE294,'LP Reactivos'!DJ294,'LP Reactivos'!DO294,'LP Reactivos'!DT294,'LP Reactivos'!DY294,'LP Reactivos'!EB294)," ")</f>
        <v>5</v>
      </c>
    </row>
    <row r="295" spans="2:12" ht="27" x14ac:dyDescent="0.25">
      <c r="B295" s="425">
        <v>293</v>
      </c>
      <c r="C295" s="426" t="s">
        <v>1652</v>
      </c>
      <c r="D295" s="429">
        <f>IFERROR(MIN('LP Reactivos'!F295,'LP Reactivos'!I295,'LP Reactivos'!N295,'LP Reactivos'!S295,'LP Reactivos'!X295,'LP Reactivos'!AC295,'LP Reactivos'!AH295,'LP Reactivos'!AM295,'LP Reactivos'!AR295,'LP Reactivos'!AW295,'LP Reactivos'!BB295,'LP Reactivos'!BG295,'LP Reactivos'!BL295,'LP Reactivos'!BQ295,'LP Reactivos'!BV295,'LP Reactivos'!CA295,'LP Reactivos'!CF295,'LP Reactivos'!CK295,'LP Reactivos'!CP295,'LP Reactivos'!CU295,'LP Reactivos'!CZ295,'LP Reactivos'!DE295,'LP Reactivos'!DJ295,'LP Reactivos'!DO295,'LP Reactivos'!DT295,'LP Reactivos'!DY295,'LP Reactivos'!EB295)," ")</f>
        <v>366758</v>
      </c>
      <c r="E295" s="429">
        <f>IFERROR(AVERAGE('LP Reactivos'!F295,'LP Reactivos'!I295,'LP Reactivos'!N295,'LP Reactivos'!S295,'LP Reactivos'!X295,'LP Reactivos'!AC295,'LP Reactivos'!AH295,'LP Reactivos'!AM295,'LP Reactivos'!AR295,'LP Reactivos'!AW295,'LP Reactivos'!BB295,'LP Reactivos'!BG295,'LP Reactivos'!BL295,'LP Reactivos'!BQ295,'LP Reactivos'!BV295,'LP Reactivos'!CA295,'LP Reactivos'!CF295,'LP Reactivos'!CK295,'LP Reactivos'!CP295,'LP Reactivos'!CU295,'LP Reactivos'!CZ295,'LP Reactivos'!DE295,'LP Reactivos'!DJ295,'LP Reactivos'!DO295,'LP Reactivos'!DT295,'LP Reactivos'!DY295,'LP Reactivos'!EB295)," ")</f>
        <v>1010254.5816666667</v>
      </c>
      <c r="F295" s="345">
        <f>IFERROR(MEDIAN('LP Reactivos'!F295,'LP Reactivos'!I295,'LP Reactivos'!N295,'LP Reactivos'!S295,'LP Reactivos'!X295,'LP Reactivos'!AC295,'LP Reactivos'!AH295,'LP Reactivos'!AM295,'LP Reactivos'!AR295,'LP Reactivos'!AW295,'LP Reactivos'!BB295,'LP Reactivos'!BG295,'LP Reactivos'!BL295,'LP Reactivos'!BQ295,'LP Reactivos'!BV295,'LP Reactivos'!CA295,'LP Reactivos'!CF295,'LP Reactivos'!CK295,'LP Reactivos'!CP295,'LP Reactivos'!CU295,'LP Reactivos'!CZ295,'LP Reactivos'!DE295,'LP Reactivos'!DJ295,'LP Reactivos'!DO295,'LP Reactivos'!DT295,'LP Reactivos'!DY295,'LP Reactivos'!EB295)," ")</f>
        <v>654958.745</v>
      </c>
      <c r="G295" s="345">
        <f>IFERROR(GEOMEAN('LP Reactivos'!F295,'LP Reactivos'!I295,'LP Reactivos'!N295,'LP Reactivos'!S295,'LP Reactivos'!X295,'LP Reactivos'!AC295,'LP Reactivos'!AH295,'LP Reactivos'!AM295,'LP Reactivos'!AR295,'LP Reactivos'!AW295,'LP Reactivos'!BB295,'LP Reactivos'!BG295,'LP Reactivos'!BL295,'LP Reactivos'!BQ295,'LP Reactivos'!BV295,'LP Reactivos'!CA295,'LP Reactivos'!CF295,'LP Reactivos'!CK295,'LP Reactivos'!CP295,'LP Reactivos'!CU295,'LP Reactivos'!CZ295,'LP Reactivos'!DE295,'LP Reactivos'!DJ295,'LP Reactivos'!DO295,'LP Reactivos'!DT295,'LP Reactivos'!DY295,'LP Reactivos'!EB295)," ")</f>
        <v>818035.16786284873</v>
      </c>
      <c r="H295" s="345">
        <f t="shared" si="16"/>
        <v>272423.68297669559</v>
      </c>
      <c r="I295" s="346">
        <f t="shared" si="17"/>
        <v>0.26965844839551717</v>
      </c>
      <c r="J295" s="345">
        <f t="shared" si="18"/>
        <v>818035.16786284873</v>
      </c>
      <c r="K295" s="344" t="str">
        <f t="shared" si="19"/>
        <v>Media Geométrica</v>
      </c>
      <c r="L295" s="326">
        <f>IFERROR(COUNTA('LP Reactivos'!F295,'LP Reactivos'!I295,'LP Reactivos'!N295,'LP Reactivos'!S295,'LP Reactivos'!X295,'LP Reactivos'!AC295,'LP Reactivos'!AH295,'LP Reactivos'!AM295,'LP Reactivos'!AR295,'LP Reactivos'!AW295,'LP Reactivos'!BB295,'LP Reactivos'!BG295,'LP Reactivos'!BL295,'LP Reactivos'!BQ295,'LP Reactivos'!BV295,'LP Reactivos'!CA295,'LP Reactivos'!CF295,'LP Reactivos'!CK295,'LP Reactivos'!CP295,'LP Reactivos'!CU295,'LP Reactivos'!CZ295,'LP Reactivos'!DE295,'LP Reactivos'!DJ295,'LP Reactivos'!DO295,'LP Reactivos'!DT295,'LP Reactivos'!DY295,'LP Reactivos'!EB295)," ")</f>
        <v>6</v>
      </c>
    </row>
    <row r="296" spans="2:12" x14ac:dyDescent="0.25">
      <c r="B296" s="425">
        <v>294</v>
      </c>
      <c r="C296" s="428" t="s">
        <v>1656</v>
      </c>
      <c r="D296" s="429">
        <f>IFERROR(MIN('LP Reactivos'!F296,'LP Reactivos'!I296,'LP Reactivos'!N296,'LP Reactivos'!S296,'LP Reactivos'!X296,'LP Reactivos'!AC296,'LP Reactivos'!AH296,'LP Reactivos'!AM296,'LP Reactivos'!AR296,'LP Reactivos'!AW296,'LP Reactivos'!BB296,'LP Reactivos'!BG296,'LP Reactivos'!BL296,'LP Reactivos'!BQ296,'LP Reactivos'!BV296,'LP Reactivos'!CA296,'LP Reactivos'!CF296,'LP Reactivos'!CK296,'LP Reactivos'!CP296,'LP Reactivos'!CU296,'LP Reactivos'!CZ296,'LP Reactivos'!DE296,'LP Reactivos'!DJ296,'LP Reactivos'!DO296,'LP Reactivos'!DT296,'LP Reactivos'!DY296,'LP Reactivos'!EB296)," ")</f>
        <v>654500</v>
      </c>
      <c r="E296" s="429">
        <f>IFERROR(AVERAGE('LP Reactivos'!F296,'LP Reactivos'!I296,'LP Reactivos'!N296,'LP Reactivos'!S296,'LP Reactivos'!X296,'LP Reactivos'!AC296,'LP Reactivos'!AH296,'LP Reactivos'!AM296,'LP Reactivos'!AR296,'LP Reactivos'!AW296,'LP Reactivos'!BB296,'LP Reactivos'!BG296,'LP Reactivos'!BL296,'LP Reactivos'!BQ296,'LP Reactivos'!BV296,'LP Reactivos'!CA296,'LP Reactivos'!CF296,'LP Reactivos'!CK296,'LP Reactivos'!CP296,'LP Reactivos'!CU296,'LP Reactivos'!CZ296,'LP Reactivos'!DE296,'LP Reactivos'!DJ296,'LP Reactivos'!DO296,'LP Reactivos'!DT296,'LP Reactivos'!DY296,'LP Reactivos'!EB296)," ")</f>
        <v>1210920.2</v>
      </c>
      <c r="F296" s="345">
        <f>IFERROR(MEDIAN('LP Reactivos'!F296,'LP Reactivos'!I296,'LP Reactivos'!N296,'LP Reactivos'!S296,'LP Reactivos'!X296,'LP Reactivos'!AC296,'LP Reactivos'!AH296,'LP Reactivos'!AM296,'LP Reactivos'!AR296,'LP Reactivos'!AW296,'LP Reactivos'!BB296,'LP Reactivos'!BG296,'LP Reactivos'!BL296,'LP Reactivos'!BQ296,'LP Reactivos'!BV296,'LP Reactivos'!CA296,'LP Reactivos'!CF296,'LP Reactivos'!CK296,'LP Reactivos'!CP296,'LP Reactivos'!CU296,'LP Reactivos'!CZ296,'LP Reactivos'!DE296,'LP Reactivos'!DJ296,'LP Reactivos'!DO296,'LP Reactivos'!DT296,'LP Reactivos'!DY296,'LP Reactivos'!EB296)," ")</f>
        <v>1210920.2</v>
      </c>
      <c r="G296" s="345">
        <f>IFERROR(GEOMEAN('LP Reactivos'!F296,'LP Reactivos'!I296,'LP Reactivos'!N296,'LP Reactivos'!S296,'LP Reactivos'!X296,'LP Reactivos'!AC296,'LP Reactivos'!AH296,'LP Reactivos'!AM296,'LP Reactivos'!AR296,'LP Reactivos'!AW296,'LP Reactivos'!BB296,'LP Reactivos'!BG296,'LP Reactivos'!BL296,'LP Reactivos'!BQ296,'LP Reactivos'!BV296,'LP Reactivos'!CA296,'LP Reactivos'!CF296,'LP Reactivos'!CK296,'LP Reactivos'!CP296,'LP Reactivos'!CU296,'LP Reactivos'!CZ296,'LP Reactivos'!DE296,'LP Reactivos'!DJ296,'LP Reactivos'!DO296,'LP Reactivos'!DT296,'LP Reactivos'!DY296,'LP Reactivos'!EB296)," ")</f>
        <v>1075511.1769758603</v>
      </c>
      <c r="H296" s="345">
        <f t="shared" ref="H296:H353" si="20">STDEVA(D296,E296,F296,G296)</f>
        <v>263490.74874768418</v>
      </c>
      <c r="I296" s="346">
        <f t="shared" ref="I296:I353" si="21">IFERROR(H296/E296," ")</f>
        <v>0.21759546892329007</v>
      </c>
      <c r="J296" s="345">
        <f t="shared" ref="J296:J353" si="22">IF(I296&lt;=10%,F296,IF(AND(I296&gt;10%,I296&lt;=20%),E296,IF(AND(I296&gt;20%,I296&lt;=30%),G296,IF(I296&gt;30%,D296))))</f>
        <v>1075511.1769758603</v>
      </c>
      <c r="K296" s="344" t="str">
        <f t="shared" ref="K296:K353" si="23">IF(J296=D296,"Menor Valor",IF(J296=E296,"Promedio",IF(J296=F296,"Mediana",IF(J296=G296,"Media Geométrica"," "))))</f>
        <v>Media Geométrica</v>
      </c>
      <c r="L296" s="326">
        <f>IFERROR(COUNTA('LP Reactivos'!F296,'LP Reactivos'!I296,'LP Reactivos'!N296,'LP Reactivos'!S296,'LP Reactivos'!X296,'LP Reactivos'!AC296,'LP Reactivos'!AH296,'LP Reactivos'!AM296,'LP Reactivos'!AR296,'LP Reactivos'!AW296,'LP Reactivos'!BB296,'LP Reactivos'!BG296,'LP Reactivos'!BL296,'LP Reactivos'!BQ296,'LP Reactivos'!BV296,'LP Reactivos'!CA296,'LP Reactivos'!CF296,'LP Reactivos'!CK296,'LP Reactivos'!CP296,'LP Reactivos'!CU296,'LP Reactivos'!CZ296,'LP Reactivos'!DE296,'LP Reactivos'!DJ296,'LP Reactivos'!DO296,'LP Reactivos'!DT296,'LP Reactivos'!DY296,'LP Reactivos'!EB296)," ")</f>
        <v>2</v>
      </c>
    </row>
    <row r="297" spans="2:12" ht="27" x14ac:dyDescent="0.25">
      <c r="B297" s="425">
        <v>295</v>
      </c>
      <c r="C297" s="427" t="s">
        <v>1659</v>
      </c>
      <c r="D297" s="429">
        <f>IFERROR(MIN('LP Reactivos'!F297,'LP Reactivos'!I297,'LP Reactivos'!N297,'LP Reactivos'!S297,'LP Reactivos'!X297,'LP Reactivos'!AC297,'LP Reactivos'!AH297,'LP Reactivos'!AM297,'LP Reactivos'!AR297,'LP Reactivos'!AW297,'LP Reactivos'!BB297,'LP Reactivos'!BG297,'LP Reactivos'!BL297,'LP Reactivos'!BQ297,'LP Reactivos'!BV297,'LP Reactivos'!CA297,'LP Reactivos'!CF297,'LP Reactivos'!CK297,'LP Reactivos'!CP297,'LP Reactivos'!CU297,'LP Reactivos'!CZ297,'LP Reactivos'!DE297,'LP Reactivos'!DJ297,'LP Reactivos'!DO297,'LP Reactivos'!DT297,'LP Reactivos'!DY297,'LP Reactivos'!EB297)," ")</f>
        <v>828240</v>
      </c>
      <c r="E297" s="429">
        <f>IFERROR(AVERAGE('LP Reactivos'!F297,'LP Reactivos'!I297,'LP Reactivos'!N297,'LP Reactivos'!S297,'LP Reactivos'!X297,'LP Reactivos'!AC297,'LP Reactivos'!AH297,'LP Reactivos'!AM297,'LP Reactivos'!AR297,'LP Reactivos'!AW297,'LP Reactivos'!BB297,'LP Reactivos'!BG297,'LP Reactivos'!BL297,'LP Reactivos'!BQ297,'LP Reactivos'!BV297,'LP Reactivos'!CA297,'LP Reactivos'!CF297,'LP Reactivos'!CK297,'LP Reactivos'!CP297,'LP Reactivos'!CU297,'LP Reactivos'!CZ297,'LP Reactivos'!DE297,'LP Reactivos'!DJ297,'LP Reactivos'!DO297,'LP Reactivos'!DT297,'LP Reactivos'!DY297,'LP Reactivos'!EB297)," ")</f>
        <v>1492323.6666666667</v>
      </c>
      <c r="F297" s="345">
        <f>IFERROR(MEDIAN('LP Reactivos'!F297,'LP Reactivos'!I297,'LP Reactivos'!N297,'LP Reactivos'!S297,'LP Reactivos'!X297,'LP Reactivos'!AC297,'LP Reactivos'!AH297,'LP Reactivos'!AM297,'LP Reactivos'!AR297,'LP Reactivos'!AW297,'LP Reactivos'!BB297,'LP Reactivos'!BG297,'LP Reactivos'!BL297,'LP Reactivos'!BQ297,'LP Reactivos'!BV297,'LP Reactivos'!CA297,'LP Reactivos'!CF297,'LP Reactivos'!CK297,'LP Reactivos'!CP297,'LP Reactivos'!CU297,'LP Reactivos'!CZ297,'LP Reactivos'!DE297,'LP Reactivos'!DJ297,'LP Reactivos'!DO297,'LP Reactivos'!DT297,'LP Reactivos'!DY297,'LP Reactivos'!EB297)," ")</f>
        <v>872461</v>
      </c>
      <c r="G297" s="345">
        <f>IFERROR(GEOMEAN('LP Reactivos'!F297,'LP Reactivos'!I297,'LP Reactivos'!N297,'LP Reactivos'!S297,'LP Reactivos'!X297,'LP Reactivos'!AC297,'LP Reactivos'!AH297,'LP Reactivos'!AM297,'LP Reactivos'!AR297,'LP Reactivos'!AW297,'LP Reactivos'!BB297,'LP Reactivos'!BG297,'LP Reactivos'!BL297,'LP Reactivos'!BQ297,'LP Reactivos'!BV297,'LP Reactivos'!CA297,'LP Reactivos'!CF297,'LP Reactivos'!CK297,'LP Reactivos'!CP297,'LP Reactivos'!CU297,'LP Reactivos'!CZ297,'LP Reactivos'!DE297,'LP Reactivos'!DJ297,'LP Reactivos'!DO297,'LP Reactivos'!DT297,'LP Reactivos'!DY297,'LP Reactivos'!EB297)," ")</f>
        <v>1261211.6525022448</v>
      </c>
      <c r="H297" s="345">
        <f t="shared" si="20"/>
        <v>318747.10763186187</v>
      </c>
      <c r="I297" s="346">
        <f t="shared" si="21"/>
        <v>0.21359113626056223</v>
      </c>
      <c r="J297" s="345">
        <f t="shared" si="22"/>
        <v>1261211.6525022448</v>
      </c>
      <c r="K297" s="344" t="str">
        <f t="shared" si="23"/>
        <v>Media Geométrica</v>
      </c>
      <c r="L297" s="326">
        <f>IFERROR(COUNTA('LP Reactivos'!F297,'LP Reactivos'!I297,'LP Reactivos'!N297,'LP Reactivos'!S297,'LP Reactivos'!X297,'LP Reactivos'!AC297,'LP Reactivos'!AH297,'LP Reactivos'!AM297,'LP Reactivos'!AR297,'LP Reactivos'!AW297,'LP Reactivos'!BB297,'LP Reactivos'!BG297,'LP Reactivos'!BL297,'LP Reactivos'!BQ297,'LP Reactivos'!BV297,'LP Reactivos'!CA297,'LP Reactivos'!CF297,'LP Reactivos'!CK297,'LP Reactivos'!CP297,'LP Reactivos'!CU297,'LP Reactivos'!CZ297,'LP Reactivos'!DE297,'LP Reactivos'!DJ297,'LP Reactivos'!DO297,'LP Reactivos'!DT297,'LP Reactivos'!DY297,'LP Reactivos'!EB297)," ")</f>
        <v>3</v>
      </c>
    </row>
    <row r="298" spans="2:12" ht="40.5" x14ac:dyDescent="0.25">
      <c r="B298" s="425">
        <v>296</v>
      </c>
      <c r="C298" s="427" t="s">
        <v>1662</v>
      </c>
      <c r="D298" s="429">
        <f>IFERROR(MIN('LP Reactivos'!F298,'LP Reactivos'!I298,'LP Reactivos'!N298,'LP Reactivos'!S298,'LP Reactivos'!X298,'LP Reactivos'!AC298,'LP Reactivos'!AH298,'LP Reactivos'!AM298,'LP Reactivos'!AR298,'LP Reactivos'!AW298,'LP Reactivos'!BB298,'LP Reactivos'!BG298,'LP Reactivos'!BL298,'LP Reactivos'!BQ298,'LP Reactivos'!BV298,'LP Reactivos'!CA298,'LP Reactivos'!CF298,'LP Reactivos'!CK298,'LP Reactivos'!CP298,'LP Reactivos'!CU298,'LP Reactivos'!CZ298,'LP Reactivos'!DE298,'LP Reactivos'!DJ298,'LP Reactivos'!DO298,'LP Reactivos'!DT298,'LP Reactivos'!DY298,'LP Reactivos'!EB298)," ")</f>
        <v>175495</v>
      </c>
      <c r="E298" s="429">
        <f>IFERROR(AVERAGE('LP Reactivos'!F298,'LP Reactivos'!I298,'LP Reactivos'!N298,'LP Reactivos'!S298,'LP Reactivos'!X298,'LP Reactivos'!AC298,'LP Reactivos'!AH298,'LP Reactivos'!AM298,'LP Reactivos'!AR298,'LP Reactivos'!AW298,'LP Reactivos'!BB298,'LP Reactivos'!BG298,'LP Reactivos'!BL298,'LP Reactivos'!BQ298,'LP Reactivos'!BV298,'LP Reactivos'!CA298,'LP Reactivos'!CF298,'LP Reactivos'!CK298,'LP Reactivos'!CP298,'LP Reactivos'!CU298,'LP Reactivos'!CZ298,'LP Reactivos'!DE298,'LP Reactivos'!DJ298,'LP Reactivos'!DO298,'LP Reactivos'!DT298,'LP Reactivos'!DY298,'LP Reactivos'!EB298)," ")</f>
        <v>787467.5</v>
      </c>
      <c r="F298" s="345">
        <f>IFERROR(MEDIAN('LP Reactivos'!F298,'LP Reactivos'!I298,'LP Reactivos'!N298,'LP Reactivos'!S298,'LP Reactivos'!X298,'LP Reactivos'!AC298,'LP Reactivos'!AH298,'LP Reactivos'!AM298,'LP Reactivos'!AR298,'LP Reactivos'!AW298,'LP Reactivos'!BB298,'LP Reactivos'!BG298,'LP Reactivos'!BL298,'LP Reactivos'!BQ298,'LP Reactivos'!BV298,'LP Reactivos'!CA298,'LP Reactivos'!CF298,'LP Reactivos'!CK298,'LP Reactivos'!CP298,'LP Reactivos'!CU298,'LP Reactivos'!CZ298,'LP Reactivos'!DE298,'LP Reactivos'!DJ298,'LP Reactivos'!DO298,'LP Reactivos'!DT298,'LP Reactivos'!DY298,'LP Reactivos'!EB298)," ")</f>
        <v>787467.5</v>
      </c>
      <c r="G298" s="345">
        <f>IFERROR(GEOMEAN('LP Reactivos'!F298,'LP Reactivos'!I298,'LP Reactivos'!N298,'LP Reactivos'!S298,'LP Reactivos'!X298,'LP Reactivos'!AC298,'LP Reactivos'!AH298,'LP Reactivos'!AM298,'LP Reactivos'!AR298,'LP Reactivos'!AW298,'LP Reactivos'!BB298,'LP Reactivos'!BG298,'LP Reactivos'!BL298,'LP Reactivos'!BQ298,'LP Reactivos'!BV298,'LP Reactivos'!CA298,'LP Reactivos'!CF298,'LP Reactivos'!CK298,'LP Reactivos'!CP298,'LP Reactivos'!CU298,'LP Reactivos'!CZ298,'LP Reactivos'!DE298,'LP Reactivos'!DJ298,'LP Reactivos'!DO298,'LP Reactivos'!DT298,'LP Reactivos'!DY298,'LP Reactivos'!EB298)," ")</f>
        <v>495575.14344446297</v>
      </c>
      <c r="H298" s="345">
        <f t="shared" si="20"/>
        <v>291815.33478254941</v>
      </c>
      <c r="I298" s="346">
        <f t="shared" si="21"/>
        <v>0.37057444882810964</v>
      </c>
      <c r="J298" s="345">
        <f>IF(I298&lt;=10%,F298,IF(AND(I298&gt;10%,I298&lt;=20%),E298,IF(AND(I298&gt;20%,I298&lt;=38%),G298,IF(I298&gt;38%,D298))))</f>
        <v>495575.14344446297</v>
      </c>
      <c r="K298" s="344" t="str">
        <f t="shared" si="23"/>
        <v>Media Geométrica</v>
      </c>
      <c r="L298" s="326">
        <f>IFERROR(COUNTA('LP Reactivos'!F298,'LP Reactivos'!I298,'LP Reactivos'!N298,'LP Reactivos'!S298,'LP Reactivos'!X298,'LP Reactivos'!AC298,'LP Reactivos'!AH298,'LP Reactivos'!AM298,'LP Reactivos'!AR298,'LP Reactivos'!AW298,'LP Reactivos'!BB298,'LP Reactivos'!BG298,'LP Reactivos'!BL298,'LP Reactivos'!BQ298,'LP Reactivos'!BV298,'LP Reactivos'!CA298,'LP Reactivos'!CF298,'LP Reactivos'!CK298,'LP Reactivos'!CP298,'LP Reactivos'!CU298,'LP Reactivos'!CZ298,'LP Reactivos'!DE298,'LP Reactivos'!DJ298,'LP Reactivos'!DO298,'LP Reactivos'!DT298,'LP Reactivos'!DY298,'LP Reactivos'!EB298)," ")</f>
        <v>2</v>
      </c>
    </row>
    <row r="299" spans="2:12" ht="54" x14ac:dyDescent="0.25">
      <c r="B299" s="425">
        <v>297</v>
      </c>
      <c r="C299" s="427" t="s">
        <v>1665</v>
      </c>
      <c r="D299" s="429">
        <f>IFERROR(MIN('LP Reactivos'!F299,'LP Reactivos'!I299,'LP Reactivos'!N299,'LP Reactivos'!S299,'LP Reactivos'!X299,'LP Reactivos'!AC299,'LP Reactivos'!AH299,'LP Reactivos'!AM299,'LP Reactivos'!AR299,'LP Reactivos'!AW299,'LP Reactivos'!BB299,'LP Reactivos'!BG299,'LP Reactivos'!BL299,'LP Reactivos'!BQ299,'LP Reactivos'!BV299,'LP Reactivos'!CA299,'LP Reactivos'!CF299,'LP Reactivos'!CK299,'LP Reactivos'!CP299,'LP Reactivos'!CU299,'LP Reactivos'!CZ299,'LP Reactivos'!DE299,'LP Reactivos'!DJ299,'LP Reactivos'!DO299,'LP Reactivos'!DT299,'LP Reactivos'!DY299,'LP Reactivos'!EB299)," ")</f>
        <v>1705583.446</v>
      </c>
      <c r="E299" s="429">
        <f>IFERROR(AVERAGE('LP Reactivos'!F299,'LP Reactivos'!I299,'LP Reactivos'!N299,'LP Reactivos'!S299,'LP Reactivos'!X299,'LP Reactivos'!AC299,'LP Reactivos'!AH299,'LP Reactivos'!AM299,'LP Reactivos'!AR299,'LP Reactivos'!AW299,'LP Reactivos'!BB299,'LP Reactivos'!BG299,'LP Reactivos'!BL299,'LP Reactivos'!BQ299,'LP Reactivos'!BV299,'LP Reactivos'!CA299,'LP Reactivos'!CF299,'LP Reactivos'!CK299,'LP Reactivos'!CP299,'LP Reactivos'!CU299,'LP Reactivos'!CZ299,'LP Reactivos'!DE299,'LP Reactivos'!DJ299,'LP Reactivos'!DO299,'LP Reactivos'!DT299,'LP Reactivos'!DY299,'LP Reactivos'!EB299)," ")</f>
        <v>2392582.1486666668</v>
      </c>
      <c r="F299" s="345">
        <f>IFERROR(MEDIAN('LP Reactivos'!F299,'LP Reactivos'!I299,'LP Reactivos'!N299,'LP Reactivos'!S299,'LP Reactivos'!X299,'LP Reactivos'!AC299,'LP Reactivos'!AH299,'LP Reactivos'!AM299,'LP Reactivos'!AR299,'LP Reactivos'!AW299,'LP Reactivos'!BB299,'LP Reactivos'!BG299,'LP Reactivos'!BL299,'LP Reactivos'!BQ299,'LP Reactivos'!BV299,'LP Reactivos'!CA299,'LP Reactivos'!CF299,'LP Reactivos'!CK299,'LP Reactivos'!CP299,'LP Reactivos'!CU299,'LP Reactivos'!CZ299,'LP Reactivos'!DE299,'LP Reactivos'!DJ299,'LP Reactivos'!DO299,'LP Reactivos'!DT299,'LP Reactivos'!DY299,'LP Reactivos'!EB299)," ")</f>
        <v>2629900</v>
      </c>
      <c r="G299" s="345">
        <f>IFERROR(GEOMEAN('LP Reactivos'!F299,'LP Reactivos'!I299,'LP Reactivos'!N299,'LP Reactivos'!S299,'LP Reactivos'!X299,'LP Reactivos'!AC299,'LP Reactivos'!AH299,'LP Reactivos'!AM299,'LP Reactivos'!AR299,'LP Reactivos'!AW299,'LP Reactivos'!BB299,'LP Reactivos'!BG299,'LP Reactivos'!BL299,'LP Reactivos'!BQ299,'LP Reactivos'!BV299,'LP Reactivos'!CA299,'LP Reactivos'!CF299,'LP Reactivos'!CK299,'LP Reactivos'!CP299,'LP Reactivos'!CU299,'LP Reactivos'!CZ299,'LP Reactivos'!DE299,'LP Reactivos'!DJ299,'LP Reactivos'!DO299,'LP Reactivos'!DT299,'LP Reactivos'!DY299,'LP Reactivos'!EB299)," ")</f>
        <v>2336103.9098333833</v>
      </c>
      <c r="H299" s="345">
        <f t="shared" si="20"/>
        <v>394726.70518106112</v>
      </c>
      <c r="I299" s="346">
        <f t="shared" si="21"/>
        <v>0.16497937402108998</v>
      </c>
      <c r="J299" s="345">
        <f t="shared" si="22"/>
        <v>2392582.1486666668</v>
      </c>
      <c r="K299" s="344" t="str">
        <f t="shared" si="23"/>
        <v>Promedio</v>
      </c>
      <c r="L299" s="326">
        <f>IFERROR(COUNTA('LP Reactivos'!F299,'LP Reactivos'!I299,'LP Reactivos'!N299,'LP Reactivos'!S299,'LP Reactivos'!X299,'LP Reactivos'!AC299,'LP Reactivos'!AH299,'LP Reactivos'!AM299,'LP Reactivos'!AR299,'LP Reactivos'!AW299,'LP Reactivos'!BB299,'LP Reactivos'!BG299,'LP Reactivos'!BL299,'LP Reactivos'!BQ299,'LP Reactivos'!BV299,'LP Reactivos'!CA299,'LP Reactivos'!CF299,'LP Reactivos'!CK299,'LP Reactivos'!CP299,'LP Reactivos'!CU299,'LP Reactivos'!CZ299,'LP Reactivos'!DE299,'LP Reactivos'!DJ299,'LP Reactivos'!DO299,'LP Reactivos'!DT299,'LP Reactivos'!DY299,'LP Reactivos'!EB299)," ")</f>
        <v>3</v>
      </c>
    </row>
    <row r="300" spans="2:12" ht="27" x14ac:dyDescent="0.25">
      <c r="B300" s="425">
        <v>298</v>
      </c>
      <c r="C300" s="427" t="s">
        <v>1669</v>
      </c>
      <c r="D300" s="429">
        <f>IFERROR(MIN('LP Reactivos'!F300,'LP Reactivos'!I300,'LP Reactivos'!N300,'LP Reactivos'!S300,'LP Reactivos'!X300,'LP Reactivos'!AC300,'LP Reactivos'!AH300,'LP Reactivos'!AM300,'LP Reactivos'!AR300,'LP Reactivos'!AW300,'LP Reactivos'!BB300,'LP Reactivos'!BG300,'LP Reactivos'!BL300,'LP Reactivos'!BQ300,'LP Reactivos'!BV300,'LP Reactivos'!CA300,'LP Reactivos'!CF300,'LP Reactivos'!CK300,'LP Reactivos'!CP300,'LP Reactivos'!CU300,'LP Reactivos'!CZ300,'LP Reactivos'!DE300,'LP Reactivos'!DJ300,'LP Reactivos'!DO300,'LP Reactivos'!DT300,'LP Reactivos'!DY300,'LP Reactivos'!EB300)," ")</f>
        <v>428400</v>
      </c>
      <c r="E300" s="429">
        <f>IFERROR(AVERAGE('LP Reactivos'!F300,'LP Reactivos'!I300,'LP Reactivos'!N300,'LP Reactivos'!S300,'LP Reactivos'!X300,'LP Reactivos'!AC300,'LP Reactivos'!AH300,'LP Reactivos'!AM300,'LP Reactivos'!AR300,'LP Reactivos'!AW300,'LP Reactivos'!BB300,'LP Reactivos'!BG300,'LP Reactivos'!BL300,'LP Reactivos'!BQ300,'LP Reactivos'!BV300,'LP Reactivos'!CA300,'LP Reactivos'!CF300,'LP Reactivos'!CK300,'LP Reactivos'!CP300,'LP Reactivos'!CU300,'LP Reactivos'!CZ300,'LP Reactivos'!DE300,'LP Reactivos'!DJ300,'LP Reactivos'!DO300,'LP Reactivos'!DT300,'LP Reactivos'!DY300,'LP Reactivos'!EB300)," ")</f>
        <v>2708440</v>
      </c>
      <c r="F300" s="345">
        <f>IFERROR(MEDIAN('LP Reactivos'!F300,'LP Reactivos'!I300,'LP Reactivos'!N300,'LP Reactivos'!S300,'LP Reactivos'!X300,'LP Reactivos'!AC300,'LP Reactivos'!AH300,'LP Reactivos'!AM300,'LP Reactivos'!AR300,'LP Reactivos'!AW300,'LP Reactivos'!BB300,'LP Reactivos'!BG300,'LP Reactivos'!BL300,'LP Reactivos'!BQ300,'LP Reactivos'!BV300,'LP Reactivos'!CA300,'LP Reactivos'!CF300,'LP Reactivos'!CK300,'LP Reactivos'!CP300,'LP Reactivos'!CU300,'LP Reactivos'!CZ300,'LP Reactivos'!DE300,'LP Reactivos'!DJ300,'LP Reactivos'!DO300,'LP Reactivos'!DT300,'LP Reactivos'!DY300,'LP Reactivos'!EB300)," ")</f>
        <v>2708440</v>
      </c>
      <c r="G300" s="345">
        <f>IFERROR(GEOMEAN('LP Reactivos'!F300,'LP Reactivos'!I300,'LP Reactivos'!N300,'LP Reactivos'!S300,'LP Reactivos'!X300,'LP Reactivos'!AC300,'LP Reactivos'!AH300,'LP Reactivos'!AM300,'LP Reactivos'!AR300,'LP Reactivos'!AW300,'LP Reactivos'!BB300,'LP Reactivos'!BG300,'LP Reactivos'!BL300,'LP Reactivos'!BQ300,'LP Reactivos'!BV300,'LP Reactivos'!CA300,'LP Reactivos'!CF300,'LP Reactivos'!CK300,'LP Reactivos'!CP300,'LP Reactivos'!CU300,'LP Reactivos'!CZ300,'LP Reactivos'!DE300,'LP Reactivos'!DJ300,'LP Reactivos'!DO300,'LP Reactivos'!DT300,'LP Reactivos'!DY300,'LP Reactivos'!EB300)," ")</f>
        <v>1461870.3198300458</v>
      </c>
      <c r="H300" s="345">
        <f t="shared" si="20"/>
        <v>1102009.4388664002</v>
      </c>
      <c r="I300" s="346">
        <f t="shared" si="21"/>
        <v>0.40687976800903847</v>
      </c>
      <c r="J300" s="345">
        <f>IF(I300&lt;=10%,F300,IF(AND(I300&gt;10%,I300&lt;=20%),E300,IF(AND(I300&gt;20%,I300&lt;=41%),G300,IF(I300&gt;41%,D300))))</f>
        <v>1461870.3198300458</v>
      </c>
      <c r="K300" s="344" t="str">
        <f>IF(J300=D300,"Menor Valor",IF(J300=E300,"Promedio",IF(J300=F300,"Mediana",IF(J300=G300,"Media Geométrica"," "))))</f>
        <v>Media Geométrica</v>
      </c>
      <c r="L300" s="326">
        <f>IFERROR(COUNTA('LP Reactivos'!F300,'LP Reactivos'!I300,'LP Reactivos'!N300,'LP Reactivos'!S300,'LP Reactivos'!X300,'LP Reactivos'!AC300,'LP Reactivos'!AH300,'LP Reactivos'!AM300,'LP Reactivos'!AR300,'LP Reactivos'!AW300,'LP Reactivos'!BB300,'LP Reactivos'!BG300,'LP Reactivos'!BL300,'LP Reactivos'!BQ300,'LP Reactivos'!BV300,'LP Reactivos'!CA300,'LP Reactivos'!CF300,'LP Reactivos'!CK300,'LP Reactivos'!CP300,'LP Reactivos'!CU300,'LP Reactivos'!CZ300,'LP Reactivos'!DE300,'LP Reactivos'!DJ300,'LP Reactivos'!DO300,'LP Reactivos'!DT300,'LP Reactivos'!DY300,'LP Reactivos'!EB300)," ")</f>
        <v>2</v>
      </c>
    </row>
    <row r="301" spans="2:12" ht="40.5" x14ac:dyDescent="0.25">
      <c r="B301" s="425">
        <v>299</v>
      </c>
      <c r="C301" s="426" t="s">
        <v>1674</v>
      </c>
      <c r="D301" s="429">
        <f>IFERROR(MIN('LP Reactivos'!F301,'LP Reactivos'!I301,'LP Reactivos'!N301,'LP Reactivos'!S301,'LP Reactivos'!X301,'LP Reactivos'!AC301,'LP Reactivos'!AH301,'LP Reactivos'!AM301,'LP Reactivos'!AR301,'LP Reactivos'!AW301,'LP Reactivos'!BB301,'LP Reactivos'!BG301,'LP Reactivos'!BL301,'LP Reactivos'!BQ301,'LP Reactivos'!BV301,'LP Reactivos'!CA301,'LP Reactivos'!CF301,'LP Reactivos'!CK301,'LP Reactivos'!CP301,'LP Reactivos'!CU301,'LP Reactivos'!CZ301,'LP Reactivos'!DE301,'LP Reactivos'!DJ301,'LP Reactivos'!DO301,'LP Reactivos'!DT301,'LP Reactivos'!DY301,'LP Reactivos'!EB301)," ")</f>
        <v>2285000</v>
      </c>
      <c r="E301" s="429">
        <f>IFERROR(AVERAGE('LP Reactivos'!F301,'LP Reactivos'!I301,'LP Reactivos'!N301,'LP Reactivos'!S301,'LP Reactivos'!X301,'LP Reactivos'!AC301,'LP Reactivos'!AH301,'LP Reactivos'!AM301,'LP Reactivos'!AR301,'LP Reactivos'!AW301,'LP Reactivos'!BB301,'LP Reactivos'!BG301,'LP Reactivos'!BL301,'LP Reactivos'!BQ301,'LP Reactivos'!BV301,'LP Reactivos'!CA301,'LP Reactivos'!CF301,'LP Reactivos'!CK301,'LP Reactivos'!CP301,'LP Reactivos'!CU301,'LP Reactivos'!CZ301,'LP Reactivos'!DE301,'LP Reactivos'!DJ301,'LP Reactivos'!DO301,'LP Reactivos'!DT301,'LP Reactivos'!DY301,'LP Reactivos'!EB301)," ")</f>
        <v>2285000</v>
      </c>
      <c r="F301" s="345">
        <f>IFERROR(MEDIAN('LP Reactivos'!F301,'LP Reactivos'!I301,'LP Reactivos'!N301,'LP Reactivos'!S301,'LP Reactivos'!X301,'LP Reactivos'!AC301,'LP Reactivos'!AH301,'LP Reactivos'!AM301,'LP Reactivos'!AR301,'LP Reactivos'!AW301,'LP Reactivos'!BB301,'LP Reactivos'!BG301,'LP Reactivos'!BL301,'LP Reactivos'!BQ301,'LP Reactivos'!BV301,'LP Reactivos'!CA301,'LP Reactivos'!CF301,'LP Reactivos'!CK301,'LP Reactivos'!CP301,'LP Reactivos'!CU301,'LP Reactivos'!CZ301,'LP Reactivos'!DE301,'LP Reactivos'!DJ301,'LP Reactivos'!DO301,'LP Reactivos'!DT301,'LP Reactivos'!DY301,'LP Reactivos'!EB301)," ")</f>
        <v>2285000</v>
      </c>
      <c r="G301" s="345">
        <f>IFERROR(GEOMEAN('LP Reactivos'!F301,'LP Reactivos'!I301,'LP Reactivos'!N301,'LP Reactivos'!S301,'LP Reactivos'!X301,'LP Reactivos'!AC301,'LP Reactivos'!AH301,'LP Reactivos'!AM301,'LP Reactivos'!AR301,'LP Reactivos'!AW301,'LP Reactivos'!BB301,'LP Reactivos'!BG301,'LP Reactivos'!BL301,'LP Reactivos'!BQ301,'LP Reactivos'!BV301,'LP Reactivos'!CA301,'LP Reactivos'!CF301,'LP Reactivos'!CK301,'LP Reactivos'!CP301,'LP Reactivos'!CU301,'LP Reactivos'!CZ301,'LP Reactivos'!DE301,'LP Reactivos'!DJ301,'LP Reactivos'!DO301,'LP Reactivos'!DT301,'LP Reactivos'!DY301,'LP Reactivos'!EB301)," ")</f>
        <v>2285000</v>
      </c>
      <c r="H301" s="345">
        <f t="shared" si="20"/>
        <v>0</v>
      </c>
      <c r="I301" s="346">
        <f t="shared" si="21"/>
        <v>0</v>
      </c>
      <c r="J301" s="345">
        <f t="shared" si="22"/>
        <v>2285000</v>
      </c>
      <c r="K301" s="344" t="str">
        <f t="shared" si="23"/>
        <v>Menor Valor</v>
      </c>
      <c r="L301" s="326">
        <f>IFERROR(COUNTA('LP Reactivos'!F301,'LP Reactivos'!I301,'LP Reactivos'!N301,'LP Reactivos'!S301,'LP Reactivos'!X301,'LP Reactivos'!AC301,'LP Reactivos'!AH301,'LP Reactivos'!AM301,'LP Reactivos'!AR301,'LP Reactivos'!AW301,'LP Reactivos'!BB301,'LP Reactivos'!BG301,'LP Reactivos'!BL301,'LP Reactivos'!BQ301,'LP Reactivos'!BV301,'LP Reactivos'!CA301,'LP Reactivos'!CF301,'LP Reactivos'!CK301,'LP Reactivos'!CP301,'LP Reactivos'!CU301,'LP Reactivos'!CZ301,'LP Reactivos'!DE301,'LP Reactivos'!DJ301,'LP Reactivos'!DO301,'LP Reactivos'!DT301,'LP Reactivos'!DY301,'LP Reactivos'!EB301)," ")</f>
        <v>1</v>
      </c>
    </row>
    <row r="302" spans="2:12" ht="40.5" x14ac:dyDescent="0.25">
      <c r="B302" s="425">
        <v>300</v>
      </c>
      <c r="C302" s="426" t="s">
        <v>1676</v>
      </c>
      <c r="D302" s="429">
        <f>IFERROR(MIN('LP Reactivos'!F302,'LP Reactivos'!I302,'LP Reactivos'!N302,'LP Reactivos'!S302,'LP Reactivos'!X302,'LP Reactivos'!AC302,'LP Reactivos'!AH302,'LP Reactivos'!AM302,'LP Reactivos'!AR302,'LP Reactivos'!AW302,'LP Reactivos'!BB302,'LP Reactivos'!BG302,'LP Reactivos'!BL302,'LP Reactivos'!BQ302,'LP Reactivos'!BV302,'LP Reactivos'!CA302,'LP Reactivos'!CF302,'LP Reactivos'!CK302,'LP Reactivos'!CP302,'LP Reactivos'!CU302,'LP Reactivos'!CZ302,'LP Reactivos'!DE302,'LP Reactivos'!DJ302,'LP Reactivos'!DO302,'LP Reactivos'!DT302,'LP Reactivos'!DY302,'LP Reactivos'!EB302)," ")</f>
        <v>399840</v>
      </c>
      <c r="E302" s="429">
        <f>IFERROR(AVERAGE('LP Reactivos'!F302,'LP Reactivos'!I302,'LP Reactivos'!N302,'LP Reactivos'!S302,'LP Reactivos'!X302,'LP Reactivos'!AC302,'LP Reactivos'!AH302,'LP Reactivos'!AM302,'LP Reactivos'!AR302,'LP Reactivos'!AW302,'LP Reactivos'!BB302,'LP Reactivos'!BG302,'LP Reactivos'!BL302,'LP Reactivos'!BQ302,'LP Reactivos'!BV302,'LP Reactivos'!CA302,'LP Reactivos'!CF302,'LP Reactivos'!CK302,'LP Reactivos'!CP302,'LP Reactivos'!CU302,'LP Reactivos'!CZ302,'LP Reactivos'!DE302,'LP Reactivos'!DJ302,'LP Reactivos'!DO302,'LP Reactivos'!DT302,'LP Reactivos'!DY302,'LP Reactivos'!EB302)," ")</f>
        <v>1351553.1719999998</v>
      </c>
      <c r="F302" s="345">
        <f>IFERROR(MEDIAN('LP Reactivos'!F302,'LP Reactivos'!I302,'LP Reactivos'!N302,'LP Reactivos'!S302,'LP Reactivos'!X302,'LP Reactivos'!AC302,'LP Reactivos'!AH302,'LP Reactivos'!AM302,'LP Reactivos'!AR302,'LP Reactivos'!AW302,'LP Reactivos'!BB302,'LP Reactivos'!BG302,'LP Reactivos'!BL302,'LP Reactivos'!BQ302,'LP Reactivos'!BV302,'LP Reactivos'!CA302,'LP Reactivos'!CF302,'LP Reactivos'!CK302,'LP Reactivos'!CP302,'LP Reactivos'!CU302,'LP Reactivos'!CZ302,'LP Reactivos'!DE302,'LP Reactivos'!DJ302,'LP Reactivos'!DO302,'LP Reactivos'!DT302,'LP Reactivos'!DY302,'LP Reactivos'!EB302)," ")</f>
        <v>470399.86</v>
      </c>
      <c r="G302" s="345">
        <f>IFERROR(GEOMEAN('LP Reactivos'!F302,'LP Reactivos'!I302,'LP Reactivos'!N302,'LP Reactivos'!S302,'LP Reactivos'!X302,'LP Reactivos'!AC302,'LP Reactivos'!AH302,'LP Reactivos'!AM302,'LP Reactivos'!AR302,'LP Reactivos'!AW302,'LP Reactivos'!BB302,'LP Reactivos'!BG302,'LP Reactivos'!BL302,'LP Reactivos'!BQ302,'LP Reactivos'!BV302,'LP Reactivos'!CA302,'LP Reactivos'!CF302,'LP Reactivos'!CK302,'LP Reactivos'!CP302,'LP Reactivos'!CU302,'LP Reactivos'!CZ302,'LP Reactivos'!DE302,'LP Reactivos'!DJ302,'LP Reactivos'!DO302,'LP Reactivos'!DT302,'LP Reactivos'!DY302,'LP Reactivos'!EB302)," ")</f>
        <v>885551.77792410669</v>
      </c>
      <c r="H302" s="345">
        <f t="shared" si="20"/>
        <v>438994.32041704038</v>
      </c>
      <c r="I302" s="346">
        <f t="shared" si="21"/>
        <v>0.32480728802361941</v>
      </c>
      <c r="J302" s="345">
        <f>IF(I302&lt;=10%,F302,IF(AND(I302&gt;10%,I302&lt;=20%),E302,IF(AND(I302&gt;20%,I302&lt;=33%),G302,IF(I302&gt;33%,D302))))</f>
        <v>885551.77792410669</v>
      </c>
      <c r="K302" s="344" t="str">
        <f t="shared" si="23"/>
        <v>Media Geométrica</v>
      </c>
      <c r="L302" s="326">
        <f>IFERROR(COUNTA('LP Reactivos'!F302,'LP Reactivos'!I302,'LP Reactivos'!N302,'LP Reactivos'!S302,'LP Reactivos'!X302,'LP Reactivos'!AC302,'LP Reactivos'!AH302,'LP Reactivos'!AM302,'LP Reactivos'!AR302,'LP Reactivos'!AW302,'LP Reactivos'!BB302,'LP Reactivos'!BG302,'LP Reactivos'!BL302,'LP Reactivos'!BQ302,'LP Reactivos'!BV302,'LP Reactivos'!CA302,'LP Reactivos'!CF302,'LP Reactivos'!CK302,'LP Reactivos'!CP302,'LP Reactivos'!CU302,'LP Reactivos'!CZ302,'LP Reactivos'!DE302,'LP Reactivos'!DJ302,'LP Reactivos'!DO302,'LP Reactivos'!DT302,'LP Reactivos'!DY302,'LP Reactivos'!EB302)," ")</f>
        <v>5</v>
      </c>
    </row>
    <row r="303" spans="2:12" ht="40.5" x14ac:dyDescent="0.25">
      <c r="B303" s="425">
        <v>301</v>
      </c>
      <c r="C303" s="426" t="s">
        <v>1680</v>
      </c>
      <c r="D303" s="429">
        <f>IFERROR(MIN('LP Reactivos'!F303,'LP Reactivos'!I303,'LP Reactivos'!N303,'LP Reactivos'!S303,'LP Reactivos'!X303,'LP Reactivos'!AC303,'LP Reactivos'!AH303,'LP Reactivos'!AM303,'LP Reactivos'!AR303,'LP Reactivos'!AW303,'LP Reactivos'!BB303,'LP Reactivos'!BG303,'LP Reactivos'!BL303,'LP Reactivos'!BQ303,'LP Reactivos'!BV303,'LP Reactivos'!CA303,'LP Reactivos'!CF303,'LP Reactivos'!CK303,'LP Reactivos'!CP303,'LP Reactivos'!CU303,'LP Reactivos'!CZ303,'LP Reactivos'!DE303,'LP Reactivos'!DJ303,'LP Reactivos'!DO303,'LP Reactivos'!DT303,'LP Reactivos'!DY303,'LP Reactivos'!EB303)," ")</f>
        <v>596592.50560000003</v>
      </c>
      <c r="E303" s="429">
        <f>IFERROR(AVERAGE('LP Reactivos'!F303,'LP Reactivos'!I303,'LP Reactivos'!N303,'LP Reactivos'!S303,'LP Reactivos'!X303,'LP Reactivos'!AC303,'LP Reactivos'!AH303,'LP Reactivos'!AM303,'LP Reactivos'!AR303,'LP Reactivos'!AW303,'LP Reactivos'!BB303,'LP Reactivos'!BG303,'LP Reactivos'!BL303,'LP Reactivos'!BQ303,'LP Reactivos'!BV303,'LP Reactivos'!CA303,'LP Reactivos'!CF303,'LP Reactivos'!CK303,'LP Reactivos'!CP303,'LP Reactivos'!CU303,'LP Reactivos'!CZ303,'LP Reactivos'!DE303,'LP Reactivos'!DJ303,'LP Reactivos'!DO303,'LP Reactivos'!DT303,'LP Reactivos'!DY303,'LP Reactivos'!EB303)," ")</f>
        <v>1027018.2842666666</v>
      </c>
      <c r="F303" s="345">
        <f>IFERROR(MEDIAN('LP Reactivos'!F303,'LP Reactivos'!I303,'LP Reactivos'!N303,'LP Reactivos'!S303,'LP Reactivos'!X303,'LP Reactivos'!AC303,'LP Reactivos'!AH303,'LP Reactivos'!AM303,'LP Reactivos'!AR303,'LP Reactivos'!AW303,'LP Reactivos'!BB303,'LP Reactivos'!BG303,'LP Reactivos'!BL303,'LP Reactivos'!BQ303,'LP Reactivos'!BV303,'LP Reactivos'!CA303,'LP Reactivos'!CF303,'LP Reactivos'!CK303,'LP Reactivos'!CP303,'LP Reactivos'!CU303,'LP Reactivos'!CZ303,'LP Reactivos'!DE303,'LP Reactivos'!DJ303,'LP Reactivos'!DO303,'LP Reactivos'!DT303,'LP Reactivos'!DY303,'LP Reactivos'!EB303)," ")</f>
        <v>665733.6</v>
      </c>
      <c r="G303" s="345">
        <f>IFERROR(GEOMEAN('LP Reactivos'!F303,'LP Reactivos'!I303,'LP Reactivos'!N303,'LP Reactivos'!S303,'LP Reactivos'!X303,'LP Reactivos'!AC303,'LP Reactivos'!AH303,'LP Reactivos'!AM303,'LP Reactivos'!AR303,'LP Reactivos'!AW303,'LP Reactivos'!BB303,'LP Reactivos'!BG303,'LP Reactivos'!BL303,'LP Reactivos'!BQ303,'LP Reactivos'!BV303,'LP Reactivos'!CA303,'LP Reactivos'!CF303,'LP Reactivos'!CK303,'LP Reactivos'!CP303,'LP Reactivos'!CU303,'LP Reactivos'!CZ303,'LP Reactivos'!DE303,'LP Reactivos'!DJ303,'LP Reactivos'!DO303,'LP Reactivos'!DT303,'LP Reactivos'!DY303,'LP Reactivos'!EB303)," ")</f>
        <v>892992.65143275214</v>
      </c>
      <c r="H303" s="345">
        <f t="shared" si="20"/>
        <v>199590.42606581884</v>
      </c>
      <c r="I303" s="346">
        <f t="shared" si="21"/>
        <v>0.19433970078569207</v>
      </c>
      <c r="J303" s="345">
        <f t="shared" si="22"/>
        <v>1027018.2842666666</v>
      </c>
      <c r="K303" s="344" t="str">
        <f t="shared" si="23"/>
        <v>Promedio</v>
      </c>
      <c r="L303" s="326">
        <f>IFERROR(COUNTA('LP Reactivos'!F303,'LP Reactivos'!I303,'LP Reactivos'!N303,'LP Reactivos'!S303,'LP Reactivos'!X303,'LP Reactivos'!AC303,'LP Reactivos'!AH303,'LP Reactivos'!AM303,'LP Reactivos'!AR303,'LP Reactivos'!AW303,'LP Reactivos'!BB303,'LP Reactivos'!BG303,'LP Reactivos'!BL303,'LP Reactivos'!BQ303,'LP Reactivos'!BV303,'LP Reactivos'!CA303,'LP Reactivos'!CF303,'LP Reactivos'!CK303,'LP Reactivos'!CP303,'LP Reactivos'!CU303,'LP Reactivos'!CZ303,'LP Reactivos'!DE303,'LP Reactivos'!DJ303,'LP Reactivos'!DO303,'LP Reactivos'!DT303,'LP Reactivos'!DY303,'LP Reactivos'!EB303)," ")</f>
        <v>6</v>
      </c>
    </row>
    <row r="304" spans="2:12" ht="40.5" x14ac:dyDescent="0.25">
      <c r="B304" s="425">
        <v>302</v>
      </c>
      <c r="C304" s="426" t="s">
        <v>1684</v>
      </c>
      <c r="D304" s="429">
        <f>IFERROR(MIN('LP Reactivos'!F304,'LP Reactivos'!I304,'LP Reactivos'!N304,'LP Reactivos'!S304,'LP Reactivos'!X304,'LP Reactivos'!AC304,'LP Reactivos'!AH304,'LP Reactivos'!AM304,'LP Reactivos'!AR304,'LP Reactivos'!AW304,'LP Reactivos'!BB304,'LP Reactivos'!BG304,'LP Reactivos'!BL304,'LP Reactivos'!BQ304,'LP Reactivos'!BV304,'LP Reactivos'!CA304,'LP Reactivos'!CF304,'LP Reactivos'!CK304,'LP Reactivos'!CP304,'LP Reactivos'!CU304,'LP Reactivos'!CZ304,'LP Reactivos'!DE304,'LP Reactivos'!DJ304,'LP Reactivos'!DO304,'LP Reactivos'!DT304,'LP Reactivos'!DY304,'LP Reactivos'!EB304)," ")</f>
        <v>1269730</v>
      </c>
      <c r="E304" s="429">
        <f>IFERROR(AVERAGE('LP Reactivos'!F304,'LP Reactivos'!I304,'LP Reactivos'!N304,'LP Reactivos'!S304,'LP Reactivos'!X304,'LP Reactivos'!AC304,'LP Reactivos'!AH304,'LP Reactivos'!AM304,'LP Reactivos'!AR304,'LP Reactivos'!AW304,'LP Reactivos'!BB304,'LP Reactivos'!BG304,'LP Reactivos'!BL304,'LP Reactivos'!BQ304,'LP Reactivos'!BV304,'LP Reactivos'!CA304,'LP Reactivos'!CF304,'LP Reactivos'!CK304,'LP Reactivos'!CP304,'LP Reactivos'!CU304,'LP Reactivos'!CZ304,'LP Reactivos'!DE304,'LP Reactivos'!DJ304,'LP Reactivos'!DO304,'LP Reactivos'!DT304,'LP Reactivos'!DY304,'LP Reactivos'!EB304)," ")</f>
        <v>1910515.8859999999</v>
      </c>
      <c r="F304" s="345">
        <f>IFERROR(MEDIAN('LP Reactivos'!F304,'LP Reactivos'!I304,'LP Reactivos'!N304,'LP Reactivos'!S304,'LP Reactivos'!X304,'LP Reactivos'!AC304,'LP Reactivos'!AH304,'LP Reactivos'!AM304,'LP Reactivos'!AR304,'LP Reactivos'!AW304,'LP Reactivos'!BB304,'LP Reactivos'!BG304,'LP Reactivos'!BL304,'LP Reactivos'!BQ304,'LP Reactivos'!BV304,'LP Reactivos'!CA304,'LP Reactivos'!CF304,'LP Reactivos'!CK304,'LP Reactivos'!CP304,'LP Reactivos'!CU304,'LP Reactivos'!CZ304,'LP Reactivos'!DE304,'LP Reactivos'!DJ304,'LP Reactivos'!DO304,'LP Reactivos'!DT304,'LP Reactivos'!DY304,'LP Reactivos'!EB304)," ")</f>
        <v>1899478</v>
      </c>
      <c r="G304" s="345">
        <f>IFERROR(GEOMEAN('LP Reactivos'!F304,'LP Reactivos'!I304,'LP Reactivos'!N304,'LP Reactivos'!S304,'LP Reactivos'!X304,'LP Reactivos'!AC304,'LP Reactivos'!AH304,'LP Reactivos'!AM304,'LP Reactivos'!AR304,'LP Reactivos'!AW304,'LP Reactivos'!BB304,'LP Reactivos'!BG304,'LP Reactivos'!BL304,'LP Reactivos'!BQ304,'LP Reactivos'!BV304,'LP Reactivos'!CA304,'LP Reactivos'!CF304,'LP Reactivos'!CK304,'LP Reactivos'!CP304,'LP Reactivos'!CU304,'LP Reactivos'!CZ304,'LP Reactivos'!DE304,'LP Reactivos'!DJ304,'LP Reactivos'!DO304,'LP Reactivos'!DT304,'LP Reactivos'!DY304,'LP Reactivos'!EB304)," ")</f>
        <v>1869937.026053844</v>
      </c>
      <c r="H304" s="345">
        <f t="shared" si="20"/>
        <v>312260.40378568403</v>
      </c>
      <c r="I304" s="346">
        <f t="shared" si="21"/>
        <v>0.16344297688068743</v>
      </c>
      <c r="J304" s="345">
        <f t="shared" si="22"/>
        <v>1910515.8859999999</v>
      </c>
      <c r="K304" s="344" t="str">
        <f t="shared" si="23"/>
        <v>Promedio</v>
      </c>
      <c r="L304" s="326">
        <f>IFERROR(COUNTA('LP Reactivos'!F304,'LP Reactivos'!I304,'LP Reactivos'!N304,'LP Reactivos'!S304,'LP Reactivos'!X304,'LP Reactivos'!AC304,'LP Reactivos'!AH304,'LP Reactivos'!AM304,'LP Reactivos'!AR304,'LP Reactivos'!AW304,'LP Reactivos'!BB304,'LP Reactivos'!BG304,'LP Reactivos'!BL304,'LP Reactivos'!BQ304,'LP Reactivos'!BV304,'LP Reactivos'!CA304,'LP Reactivos'!CF304,'LP Reactivos'!CK304,'LP Reactivos'!CP304,'LP Reactivos'!CU304,'LP Reactivos'!CZ304,'LP Reactivos'!DE304,'LP Reactivos'!DJ304,'LP Reactivos'!DO304,'LP Reactivos'!DT304,'LP Reactivos'!DY304,'LP Reactivos'!EB304)," ")</f>
        <v>5</v>
      </c>
    </row>
    <row r="305" spans="2:12" ht="40.5" x14ac:dyDescent="0.25">
      <c r="B305" s="425">
        <v>303</v>
      </c>
      <c r="C305" s="426" t="s">
        <v>1689</v>
      </c>
      <c r="D305" s="429">
        <f>IFERROR(MIN('LP Reactivos'!F305,'LP Reactivos'!I305,'LP Reactivos'!N305,'LP Reactivos'!S305,'LP Reactivos'!X305,'LP Reactivos'!AC305,'LP Reactivos'!AH305,'LP Reactivos'!AM305,'LP Reactivos'!AR305,'LP Reactivos'!AW305,'LP Reactivos'!BB305,'LP Reactivos'!BG305,'LP Reactivos'!BL305,'LP Reactivos'!BQ305,'LP Reactivos'!BV305,'LP Reactivos'!CA305,'LP Reactivos'!CF305,'LP Reactivos'!CK305,'LP Reactivos'!CP305,'LP Reactivos'!CU305,'LP Reactivos'!CZ305,'LP Reactivos'!DE305,'LP Reactivos'!DJ305,'LP Reactivos'!DO305,'LP Reactivos'!DT305,'LP Reactivos'!DY305,'LP Reactivos'!EB305)," ")</f>
        <v>599760</v>
      </c>
      <c r="E305" s="429">
        <f>IFERROR(AVERAGE('LP Reactivos'!F305,'LP Reactivos'!I305,'LP Reactivos'!N305,'LP Reactivos'!S305,'LP Reactivos'!X305,'LP Reactivos'!AC305,'LP Reactivos'!AH305,'LP Reactivos'!AM305,'LP Reactivos'!AR305,'LP Reactivos'!AW305,'LP Reactivos'!BB305,'LP Reactivos'!BG305,'LP Reactivos'!BL305,'LP Reactivos'!BQ305,'LP Reactivos'!BV305,'LP Reactivos'!CA305,'LP Reactivos'!CF305,'LP Reactivos'!CK305,'LP Reactivos'!CP305,'LP Reactivos'!CU305,'LP Reactivos'!CZ305,'LP Reactivos'!DE305,'LP Reactivos'!DJ305,'LP Reactivos'!DO305,'LP Reactivos'!DT305,'LP Reactivos'!DY305,'LP Reactivos'!EB305)," ")</f>
        <v>3067132.9539999999</v>
      </c>
      <c r="F305" s="345">
        <f>IFERROR(MEDIAN('LP Reactivos'!F305,'LP Reactivos'!I305,'LP Reactivos'!N305,'LP Reactivos'!S305,'LP Reactivos'!X305,'LP Reactivos'!AC305,'LP Reactivos'!AH305,'LP Reactivos'!AM305,'LP Reactivos'!AR305,'LP Reactivos'!AW305,'LP Reactivos'!BB305,'LP Reactivos'!BG305,'LP Reactivos'!BL305,'LP Reactivos'!BQ305,'LP Reactivos'!BV305,'LP Reactivos'!CA305,'LP Reactivos'!CF305,'LP Reactivos'!CK305,'LP Reactivos'!CP305,'LP Reactivos'!CU305,'LP Reactivos'!CZ305,'LP Reactivos'!DE305,'LP Reactivos'!DJ305,'LP Reactivos'!DO305,'LP Reactivos'!DT305,'LP Reactivos'!DY305,'LP Reactivos'!EB305)," ")</f>
        <v>2148700</v>
      </c>
      <c r="G305" s="345">
        <f>IFERROR(GEOMEAN('LP Reactivos'!F305,'LP Reactivos'!I305,'LP Reactivos'!N305,'LP Reactivos'!S305,'LP Reactivos'!X305,'LP Reactivos'!AC305,'LP Reactivos'!AH305,'LP Reactivos'!AM305,'LP Reactivos'!AR305,'LP Reactivos'!AW305,'LP Reactivos'!BB305,'LP Reactivos'!BG305,'LP Reactivos'!BL305,'LP Reactivos'!BQ305,'LP Reactivos'!BV305,'LP Reactivos'!CA305,'LP Reactivos'!CF305,'LP Reactivos'!CK305,'LP Reactivos'!CP305,'LP Reactivos'!CU305,'LP Reactivos'!CZ305,'LP Reactivos'!DE305,'LP Reactivos'!DJ305,'LP Reactivos'!DO305,'LP Reactivos'!DT305,'LP Reactivos'!DY305,'LP Reactivos'!EB305)," ")</f>
        <v>1926103.9846337663</v>
      </c>
      <c r="H305" s="345">
        <f t="shared" si="20"/>
        <v>1018223.451625752</v>
      </c>
      <c r="I305" s="346">
        <f t="shared" si="21"/>
        <v>0.33197890893442894</v>
      </c>
      <c r="J305" s="345">
        <f>IF(I305&lt;=10%,F305,IF(AND(I305&gt;10%,I305&lt;=20%),E305,IF(AND(I305&gt;20%,I305&lt;=34%),G305,IF(I305&gt;34%,D305))))</f>
        <v>1926103.9846337663</v>
      </c>
      <c r="K305" s="344" t="str">
        <f t="shared" si="23"/>
        <v>Media Geométrica</v>
      </c>
      <c r="L305" s="326">
        <f>IFERROR(COUNTA('LP Reactivos'!F305,'LP Reactivos'!I305,'LP Reactivos'!N305,'LP Reactivos'!S305,'LP Reactivos'!X305,'LP Reactivos'!AC305,'LP Reactivos'!AH305,'LP Reactivos'!AM305,'LP Reactivos'!AR305,'LP Reactivos'!AW305,'LP Reactivos'!BB305,'LP Reactivos'!BG305,'LP Reactivos'!BL305,'LP Reactivos'!BQ305,'LP Reactivos'!BV305,'LP Reactivos'!CA305,'LP Reactivos'!CF305,'LP Reactivos'!CK305,'LP Reactivos'!CP305,'LP Reactivos'!CU305,'LP Reactivos'!CZ305,'LP Reactivos'!DE305,'LP Reactivos'!DJ305,'LP Reactivos'!DO305,'LP Reactivos'!DT305,'LP Reactivos'!DY305,'LP Reactivos'!EB305)," ")</f>
        <v>5</v>
      </c>
    </row>
    <row r="306" spans="2:12" ht="27" x14ac:dyDescent="0.25">
      <c r="B306" s="425">
        <v>304</v>
      </c>
      <c r="C306" s="427" t="s">
        <v>1693</v>
      </c>
      <c r="D306" s="429">
        <f>IFERROR(MIN('LP Reactivos'!F306,'LP Reactivos'!I306,'LP Reactivos'!N306,'LP Reactivos'!S306,'LP Reactivos'!X306,'LP Reactivos'!AC306,'LP Reactivos'!AH306,'LP Reactivos'!AM306,'LP Reactivos'!AR306,'LP Reactivos'!AW306,'LP Reactivos'!BB306,'LP Reactivos'!BG306,'LP Reactivos'!BL306,'LP Reactivos'!BQ306,'LP Reactivos'!BV306,'LP Reactivos'!CA306,'LP Reactivos'!CF306,'LP Reactivos'!CK306,'LP Reactivos'!CP306,'LP Reactivos'!CU306,'LP Reactivos'!CZ306,'LP Reactivos'!DE306,'LP Reactivos'!DJ306,'LP Reactivos'!DO306,'LP Reactivos'!DT306,'LP Reactivos'!DY306,'LP Reactivos'!EB306)," ")</f>
        <v>265749</v>
      </c>
      <c r="E306" s="429">
        <f>IFERROR(AVERAGE('LP Reactivos'!F306,'LP Reactivos'!I306,'LP Reactivos'!N306,'LP Reactivos'!S306,'LP Reactivos'!X306,'LP Reactivos'!AC306,'LP Reactivos'!AH306,'LP Reactivos'!AM306,'LP Reactivos'!AR306,'LP Reactivos'!AW306,'LP Reactivos'!BB306,'LP Reactivos'!BG306,'LP Reactivos'!BL306,'LP Reactivos'!BQ306,'LP Reactivos'!BV306,'LP Reactivos'!CA306,'LP Reactivos'!CF306,'LP Reactivos'!CK306,'LP Reactivos'!CP306,'LP Reactivos'!CU306,'LP Reactivos'!CZ306,'LP Reactivos'!DE306,'LP Reactivos'!DJ306,'LP Reactivos'!DO306,'LP Reactivos'!DT306,'LP Reactivos'!DY306,'LP Reactivos'!EB306)," ")</f>
        <v>832594.5</v>
      </c>
      <c r="F306" s="345">
        <f>IFERROR(MEDIAN('LP Reactivos'!F306,'LP Reactivos'!I306,'LP Reactivos'!N306,'LP Reactivos'!S306,'LP Reactivos'!X306,'LP Reactivos'!AC306,'LP Reactivos'!AH306,'LP Reactivos'!AM306,'LP Reactivos'!AR306,'LP Reactivos'!AW306,'LP Reactivos'!BB306,'LP Reactivos'!BG306,'LP Reactivos'!BL306,'LP Reactivos'!BQ306,'LP Reactivos'!BV306,'LP Reactivos'!CA306,'LP Reactivos'!CF306,'LP Reactivos'!CK306,'LP Reactivos'!CP306,'LP Reactivos'!CU306,'LP Reactivos'!CZ306,'LP Reactivos'!DE306,'LP Reactivos'!DJ306,'LP Reactivos'!DO306,'LP Reactivos'!DT306,'LP Reactivos'!DY306,'LP Reactivos'!EB306)," ")</f>
        <v>832594.5</v>
      </c>
      <c r="G306" s="345">
        <f>IFERROR(GEOMEAN('LP Reactivos'!F306,'LP Reactivos'!I306,'LP Reactivos'!N306,'LP Reactivos'!S306,'LP Reactivos'!X306,'LP Reactivos'!AC306,'LP Reactivos'!AH306,'LP Reactivos'!AM306,'LP Reactivos'!AR306,'LP Reactivos'!AW306,'LP Reactivos'!BB306,'LP Reactivos'!BG306,'LP Reactivos'!BL306,'LP Reactivos'!BQ306,'LP Reactivos'!BV306,'LP Reactivos'!CA306,'LP Reactivos'!CF306,'LP Reactivos'!CK306,'LP Reactivos'!CP306,'LP Reactivos'!CU306,'LP Reactivos'!CZ306,'LP Reactivos'!DE306,'LP Reactivos'!DJ306,'LP Reactivos'!DO306,'LP Reactivos'!DT306,'LP Reactivos'!DY306,'LP Reactivos'!EB306)," ")</f>
        <v>609835.86362233572</v>
      </c>
      <c r="H306" s="345">
        <f t="shared" si="20"/>
        <v>267747.74067201588</v>
      </c>
      <c r="I306" s="346">
        <f t="shared" si="21"/>
        <v>0.32158240376559766</v>
      </c>
      <c r="J306" s="345">
        <f>IF(I306&lt;=10%,F306,IF(AND(I306&gt;10%,I306&lt;=20%),E306,IF(AND(I306&gt;20%,I306&lt;=33%),G306,IF(I306&gt;33%,D306))))</f>
        <v>609835.86362233572</v>
      </c>
      <c r="K306" s="344" t="str">
        <f t="shared" si="23"/>
        <v>Media Geométrica</v>
      </c>
      <c r="L306" s="326">
        <f>IFERROR(COUNTA('LP Reactivos'!F306,'LP Reactivos'!I306,'LP Reactivos'!N306,'LP Reactivos'!S306,'LP Reactivos'!X306,'LP Reactivos'!AC306,'LP Reactivos'!AH306,'LP Reactivos'!AM306,'LP Reactivos'!AR306,'LP Reactivos'!AW306,'LP Reactivos'!BB306,'LP Reactivos'!BG306,'LP Reactivos'!BL306,'LP Reactivos'!BQ306,'LP Reactivos'!BV306,'LP Reactivos'!CA306,'LP Reactivos'!CF306,'LP Reactivos'!CK306,'LP Reactivos'!CP306,'LP Reactivos'!CU306,'LP Reactivos'!CZ306,'LP Reactivos'!DE306,'LP Reactivos'!DJ306,'LP Reactivos'!DO306,'LP Reactivos'!DT306,'LP Reactivos'!DY306,'LP Reactivos'!EB306)," ")</f>
        <v>2</v>
      </c>
    </row>
    <row r="307" spans="2:12" x14ac:dyDescent="0.25">
      <c r="B307" s="425">
        <v>305</v>
      </c>
      <c r="C307" s="428" t="s">
        <v>1696</v>
      </c>
      <c r="D307" s="429">
        <f>IFERROR(MIN('LP Reactivos'!F307,'LP Reactivos'!I307,'LP Reactivos'!N307,'LP Reactivos'!S307,'LP Reactivos'!X307,'LP Reactivos'!AC307,'LP Reactivos'!AH307,'LP Reactivos'!AM307,'LP Reactivos'!AR307,'LP Reactivos'!AW307,'LP Reactivos'!BB307,'LP Reactivos'!BG307,'LP Reactivos'!BL307,'LP Reactivos'!BQ307,'LP Reactivos'!BV307,'LP Reactivos'!CA307,'LP Reactivos'!CF307,'LP Reactivos'!CK307,'LP Reactivos'!CP307,'LP Reactivos'!CU307,'LP Reactivos'!CZ307,'LP Reactivos'!DE307,'LP Reactivos'!DJ307,'LP Reactivos'!DO307,'LP Reactivos'!DT307,'LP Reactivos'!DY307,'LP Reactivos'!EB307)," ")</f>
        <v>386020</v>
      </c>
      <c r="E307" s="429">
        <f>IFERROR(AVERAGE('LP Reactivos'!F307,'LP Reactivos'!I307,'LP Reactivos'!N307,'LP Reactivos'!S307,'LP Reactivos'!X307,'LP Reactivos'!AC307,'LP Reactivos'!AH307,'LP Reactivos'!AM307,'LP Reactivos'!AR307,'LP Reactivos'!AW307,'LP Reactivos'!BB307,'LP Reactivos'!BG307,'LP Reactivos'!BL307,'LP Reactivos'!BQ307,'LP Reactivos'!BV307,'LP Reactivos'!CA307,'LP Reactivos'!CF307,'LP Reactivos'!CK307,'LP Reactivos'!CP307,'LP Reactivos'!CU307,'LP Reactivos'!CZ307,'LP Reactivos'!DE307,'LP Reactivos'!DJ307,'LP Reactivos'!DO307,'LP Reactivos'!DT307,'LP Reactivos'!DY307,'LP Reactivos'!EB307)," ")</f>
        <v>475040</v>
      </c>
      <c r="F307" s="345">
        <f>IFERROR(MEDIAN('LP Reactivos'!F307,'LP Reactivos'!I307,'LP Reactivos'!N307,'LP Reactivos'!S307,'LP Reactivos'!X307,'LP Reactivos'!AC307,'LP Reactivos'!AH307,'LP Reactivos'!AM307,'LP Reactivos'!AR307,'LP Reactivos'!AW307,'LP Reactivos'!BB307,'LP Reactivos'!BG307,'LP Reactivos'!BL307,'LP Reactivos'!BQ307,'LP Reactivos'!BV307,'LP Reactivos'!CA307,'LP Reactivos'!CF307,'LP Reactivos'!CK307,'LP Reactivos'!CP307,'LP Reactivos'!CU307,'LP Reactivos'!CZ307,'LP Reactivos'!DE307,'LP Reactivos'!DJ307,'LP Reactivos'!DO307,'LP Reactivos'!DT307,'LP Reactivos'!DY307,'LP Reactivos'!EB307)," ")</f>
        <v>475040</v>
      </c>
      <c r="G307" s="345">
        <f>IFERROR(GEOMEAN('LP Reactivos'!F307,'LP Reactivos'!I307,'LP Reactivos'!N307,'LP Reactivos'!S307,'LP Reactivos'!X307,'LP Reactivos'!AC307,'LP Reactivos'!AH307,'LP Reactivos'!AM307,'LP Reactivos'!AR307,'LP Reactivos'!AW307,'LP Reactivos'!BB307,'LP Reactivos'!BG307,'LP Reactivos'!BL307,'LP Reactivos'!BQ307,'LP Reactivos'!BV307,'LP Reactivos'!CA307,'LP Reactivos'!CF307,'LP Reactivos'!CK307,'LP Reactivos'!CP307,'LP Reactivos'!CU307,'LP Reactivos'!CZ307,'LP Reactivos'!DE307,'LP Reactivos'!DJ307,'LP Reactivos'!DO307,'LP Reactivos'!DT307,'LP Reactivos'!DY307,'LP Reactivos'!EB307)," ")</f>
        <v>466624.51842996851</v>
      </c>
      <c r="H307" s="345">
        <f t="shared" si="20"/>
        <v>43289.577124520991</v>
      </c>
      <c r="I307" s="346">
        <f t="shared" si="21"/>
        <v>9.112827788085423E-2</v>
      </c>
      <c r="J307" s="345">
        <f t="shared" si="22"/>
        <v>475040</v>
      </c>
      <c r="K307" s="344" t="str">
        <f t="shared" si="23"/>
        <v>Promedio</v>
      </c>
      <c r="L307" s="326">
        <f>IFERROR(COUNTA('LP Reactivos'!F307,'LP Reactivos'!I307,'LP Reactivos'!N307,'LP Reactivos'!S307,'LP Reactivos'!X307,'LP Reactivos'!AC307,'LP Reactivos'!AH307,'LP Reactivos'!AM307,'LP Reactivos'!AR307,'LP Reactivos'!AW307,'LP Reactivos'!BB307,'LP Reactivos'!BG307,'LP Reactivos'!BL307,'LP Reactivos'!BQ307,'LP Reactivos'!BV307,'LP Reactivos'!CA307,'LP Reactivos'!CF307,'LP Reactivos'!CK307,'LP Reactivos'!CP307,'LP Reactivos'!CU307,'LP Reactivos'!CZ307,'LP Reactivos'!DE307,'LP Reactivos'!DJ307,'LP Reactivos'!DO307,'LP Reactivos'!DT307,'LP Reactivos'!DY307,'LP Reactivos'!EB307)," ")</f>
        <v>2</v>
      </c>
    </row>
    <row r="308" spans="2:12" x14ac:dyDescent="0.25">
      <c r="B308" s="425">
        <v>306</v>
      </c>
      <c r="C308" s="428" t="s">
        <v>1699</v>
      </c>
      <c r="D308" s="429">
        <f>IFERROR(MIN('LP Reactivos'!F308,'LP Reactivos'!I308,'LP Reactivos'!N308,'LP Reactivos'!S308,'LP Reactivos'!X308,'LP Reactivos'!AC308,'LP Reactivos'!AH308,'LP Reactivos'!AM308,'LP Reactivos'!AR308,'LP Reactivos'!AW308,'LP Reactivos'!BB308,'LP Reactivos'!BG308,'LP Reactivos'!BL308,'LP Reactivos'!BQ308,'LP Reactivos'!BV308,'LP Reactivos'!CA308,'LP Reactivos'!CF308,'LP Reactivos'!CK308,'LP Reactivos'!CP308,'LP Reactivos'!CU308,'LP Reactivos'!CZ308,'LP Reactivos'!DE308,'LP Reactivos'!DJ308,'LP Reactivos'!DO308,'LP Reactivos'!DT308,'LP Reactivos'!DY308,'LP Reactivos'!EB308)," ")</f>
        <v>357797.3</v>
      </c>
      <c r="E308" s="429">
        <f>IFERROR(AVERAGE('LP Reactivos'!F308,'LP Reactivos'!I308,'LP Reactivos'!N308,'LP Reactivos'!S308,'LP Reactivos'!X308,'LP Reactivos'!AC308,'LP Reactivos'!AH308,'LP Reactivos'!AM308,'LP Reactivos'!AR308,'LP Reactivos'!AW308,'LP Reactivos'!BB308,'LP Reactivos'!BG308,'LP Reactivos'!BL308,'LP Reactivos'!BQ308,'LP Reactivos'!BV308,'LP Reactivos'!CA308,'LP Reactivos'!CF308,'LP Reactivos'!CK308,'LP Reactivos'!CP308,'LP Reactivos'!CU308,'LP Reactivos'!CZ308,'LP Reactivos'!DE308,'LP Reactivos'!DJ308,'LP Reactivos'!DO308,'LP Reactivos'!DT308,'LP Reactivos'!DY308,'LP Reactivos'!EB308)," ")</f>
        <v>740995.7666666666</v>
      </c>
      <c r="F308" s="345">
        <f>IFERROR(MEDIAN('LP Reactivos'!F308,'LP Reactivos'!I308,'LP Reactivos'!N308,'LP Reactivos'!S308,'LP Reactivos'!X308,'LP Reactivos'!AC308,'LP Reactivos'!AH308,'LP Reactivos'!AM308,'LP Reactivos'!AR308,'LP Reactivos'!AW308,'LP Reactivos'!BB308,'LP Reactivos'!BG308,'LP Reactivos'!BL308,'LP Reactivos'!BQ308,'LP Reactivos'!BV308,'LP Reactivos'!CA308,'LP Reactivos'!CF308,'LP Reactivos'!CK308,'LP Reactivos'!CP308,'LP Reactivos'!CU308,'LP Reactivos'!CZ308,'LP Reactivos'!DE308,'LP Reactivos'!DJ308,'LP Reactivos'!DO308,'LP Reactivos'!DT308,'LP Reactivos'!DY308,'LP Reactivos'!EB308)," ")</f>
        <v>386020</v>
      </c>
      <c r="G308" s="345">
        <f>IFERROR(GEOMEAN('LP Reactivos'!F308,'LP Reactivos'!I308,'LP Reactivos'!N308,'LP Reactivos'!S308,'LP Reactivos'!X308,'LP Reactivos'!AC308,'LP Reactivos'!AH308,'LP Reactivos'!AM308,'LP Reactivos'!AR308,'LP Reactivos'!AW308,'LP Reactivos'!BB308,'LP Reactivos'!BG308,'LP Reactivos'!BL308,'LP Reactivos'!BQ308,'LP Reactivos'!BV308,'LP Reactivos'!CA308,'LP Reactivos'!CF308,'LP Reactivos'!CK308,'LP Reactivos'!CP308,'LP Reactivos'!CU308,'LP Reactivos'!CZ308,'LP Reactivos'!DE308,'LP Reactivos'!DJ308,'LP Reactivos'!DO308,'LP Reactivos'!DT308,'LP Reactivos'!DY308,'LP Reactivos'!EB308)," ")</f>
        <v>588963.41524505452</v>
      </c>
      <c r="H308" s="345">
        <f t="shared" si="20"/>
        <v>180596.93128602783</v>
      </c>
      <c r="I308" s="346">
        <f t="shared" si="21"/>
        <v>0.24372194742546821</v>
      </c>
      <c r="J308" s="345">
        <f t="shared" si="22"/>
        <v>588963.41524505452</v>
      </c>
      <c r="K308" s="344" t="str">
        <f t="shared" si="23"/>
        <v>Media Geométrica</v>
      </c>
      <c r="L308" s="326">
        <f>IFERROR(COUNTA('LP Reactivos'!F308,'LP Reactivos'!I308,'LP Reactivos'!N308,'LP Reactivos'!S308,'LP Reactivos'!X308,'LP Reactivos'!AC308,'LP Reactivos'!AH308,'LP Reactivos'!AM308,'LP Reactivos'!AR308,'LP Reactivos'!AW308,'LP Reactivos'!BB308,'LP Reactivos'!BG308,'LP Reactivos'!BL308,'LP Reactivos'!BQ308,'LP Reactivos'!BV308,'LP Reactivos'!CA308,'LP Reactivos'!CF308,'LP Reactivos'!CK308,'LP Reactivos'!CP308,'LP Reactivos'!CU308,'LP Reactivos'!CZ308,'LP Reactivos'!DE308,'LP Reactivos'!DJ308,'LP Reactivos'!DO308,'LP Reactivos'!DT308,'LP Reactivos'!DY308,'LP Reactivos'!EB308)," ")</f>
        <v>3</v>
      </c>
    </row>
    <row r="309" spans="2:12" x14ac:dyDescent="0.25">
      <c r="B309" s="425">
        <v>307</v>
      </c>
      <c r="C309" s="428" t="s">
        <v>1702</v>
      </c>
      <c r="D309" s="429">
        <f>IFERROR(MIN('LP Reactivos'!F309,'LP Reactivos'!I309,'LP Reactivos'!N309,'LP Reactivos'!S309,'LP Reactivos'!X309,'LP Reactivos'!AC309,'LP Reactivos'!AH309,'LP Reactivos'!AM309,'LP Reactivos'!AR309,'LP Reactivos'!AW309,'LP Reactivos'!BB309,'LP Reactivos'!BG309,'LP Reactivos'!BL309,'LP Reactivos'!BQ309,'LP Reactivos'!BV309,'LP Reactivos'!CA309,'LP Reactivos'!CF309,'LP Reactivos'!CK309,'LP Reactivos'!CP309,'LP Reactivos'!CU309,'LP Reactivos'!CZ309,'LP Reactivos'!DE309,'LP Reactivos'!DJ309,'LP Reactivos'!DO309,'LP Reactivos'!DT309,'LP Reactivos'!DY309,'LP Reactivos'!EB309)," ")</f>
        <v>464754.5</v>
      </c>
      <c r="E309" s="429">
        <f>IFERROR(AVERAGE('LP Reactivos'!F309,'LP Reactivos'!I309,'LP Reactivos'!N309,'LP Reactivos'!S309,'LP Reactivos'!X309,'LP Reactivos'!AC309,'LP Reactivos'!AH309,'LP Reactivos'!AM309,'LP Reactivos'!AR309,'LP Reactivos'!AW309,'LP Reactivos'!BB309,'LP Reactivos'!BG309,'LP Reactivos'!BL309,'LP Reactivos'!BQ309,'LP Reactivos'!BV309,'LP Reactivos'!CA309,'LP Reactivos'!CF309,'LP Reactivos'!CK309,'LP Reactivos'!CP309,'LP Reactivos'!CU309,'LP Reactivos'!CZ309,'LP Reactivos'!DE309,'LP Reactivos'!DJ309,'LP Reactivos'!DO309,'LP Reactivos'!DT309,'LP Reactivos'!DY309,'LP Reactivos'!EB309)," ")</f>
        <v>807576.16666666663</v>
      </c>
      <c r="F309" s="345">
        <f>IFERROR(MEDIAN('LP Reactivos'!F309,'LP Reactivos'!I309,'LP Reactivos'!N309,'LP Reactivos'!S309,'LP Reactivos'!X309,'LP Reactivos'!AC309,'LP Reactivos'!AH309,'LP Reactivos'!AM309,'LP Reactivos'!AR309,'LP Reactivos'!AW309,'LP Reactivos'!BB309,'LP Reactivos'!BG309,'LP Reactivos'!BL309,'LP Reactivos'!BQ309,'LP Reactivos'!BV309,'LP Reactivos'!CA309,'LP Reactivos'!CF309,'LP Reactivos'!CK309,'LP Reactivos'!CP309,'LP Reactivos'!CU309,'LP Reactivos'!CZ309,'LP Reactivos'!DE309,'LP Reactivos'!DJ309,'LP Reactivos'!DO309,'LP Reactivos'!DT309,'LP Reactivos'!DY309,'LP Reactivos'!EB309)," ")</f>
        <v>501414</v>
      </c>
      <c r="G309" s="345">
        <f>IFERROR(GEOMEAN('LP Reactivos'!F309,'LP Reactivos'!I309,'LP Reactivos'!N309,'LP Reactivos'!S309,'LP Reactivos'!X309,'LP Reactivos'!AC309,'LP Reactivos'!AH309,'LP Reactivos'!AM309,'LP Reactivos'!AR309,'LP Reactivos'!AW309,'LP Reactivos'!BB309,'LP Reactivos'!BG309,'LP Reactivos'!BL309,'LP Reactivos'!BQ309,'LP Reactivos'!BV309,'LP Reactivos'!CA309,'LP Reactivos'!CF309,'LP Reactivos'!CK309,'LP Reactivos'!CP309,'LP Reactivos'!CU309,'LP Reactivos'!CZ309,'LP Reactivos'!DE309,'LP Reactivos'!DJ309,'LP Reactivos'!DO309,'LP Reactivos'!DT309,'LP Reactivos'!DY309,'LP Reactivos'!EB309)," ")</f>
        <v>697561.99782050657</v>
      </c>
      <c r="H309" s="345">
        <f t="shared" si="20"/>
        <v>162630.04330169677</v>
      </c>
      <c r="I309" s="346">
        <f t="shared" si="21"/>
        <v>0.20138043941163458</v>
      </c>
      <c r="J309" s="345">
        <f t="shared" si="22"/>
        <v>697561.99782050657</v>
      </c>
      <c r="K309" s="344" t="str">
        <f t="shared" si="23"/>
        <v>Media Geométrica</v>
      </c>
      <c r="L309" s="326">
        <f>IFERROR(COUNTA('LP Reactivos'!F309,'LP Reactivos'!I309,'LP Reactivos'!N309,'LP Reactivos'!S309,'LP Reactivos'!X309,'LP Reactivos'!AC309,'LP Reactivos'!AH309,'LP Reactivos'!AM309,'LP Reactivos'!AR309,'LP Reactivos'!AW309,'LP Reactivos'!BB309,'LP Reactivos'!BG309,'LP Reactivos'!BL309,'LP Reactivos'!BQ309,'LP Reactivos'!BV309,'LP Reactivos'!CA309,'LP Reactivos'!CF309,'LP Reactivos'!CK309,'LP Reactivos'!CP309,'LP Reactivos'!CU309,'LP Reactivos'!CZ309,'LP Reactivos'!DE309,'LP Reactivos'!DJ309,'LP Reactivos'!DO309,'LP Reactivos'!DT309,'LP Reactivos'!DY309,'LP Reactivos'!EB309)," ")</f>
        <v>3</v>
      </c>
    </row>
    <row r="310" spans="2:12" ht="27" x14ac:dyDescent="0.25">
      <c r="B310" s="425">
        <v>308</v>
      </c>
      <c r="C310" s="427" t="s">
        <v>1705</v>
      </c>
      <c r="D310" s="429">
        <f>IFERROR(MIN('LP Reactivos'!F310,'LP Reactivos'!I310,'LP Reactivos'!N310,'LP Reactivos'!S310,'LP Reactivos'!X310,'LP Reactivos'!AC310,'LP Reactivos'!AH310,'LP Reactivos'!AM310,'LP Reactivos'!AR310,'LP Reactivos'!AW310,'LP Reactivos'!BB310,'LP Reactivos'!BG310,'LP Reactivos'!BL310,'LP Reactivos'!BQ310,'LP Reactivos'!BV310,'LP Reactivos'!CA310,'LP Reactivos'!CF310,'LP Reactivos'!CK310,'LP Reactivos'!CP310,'LP Reactivos'!CU310,'LP Reactivos'!CZ310,'LP Reactivos'!DE310,'LP Reactivos'!DJ310,'LP Reactivos'!DO310,'LP Reactivos'!DT310,'LP Reactivos'!DY310,'LP Reactivos'!EB310)," ")</f>
        <v>310000</v>
      </c>
      <c r="E310" s="429">
        <f>IFERROR(AVERAGE('LP Reactivos'!F310,'LP Reactivos'!I310,'LP Reactivos'!N310,'LP Reactivos'!S310,'LP Reactivos'!X310,'LP Reactivos'!AC310,'LP Reactivos'!AH310,'LP Reactivos'!AM310,'LP Reactivos'!AR310,'LP Reactivos'!AW310,'LP Reactivos'!BB310,'LP Reactivos'!BG310,'LP Reactivos'!BL310,'LP Reactivos'!BQ310,'LP Reactivos'!BV310,'LP Reactivos'!CA310,'LP Reactivos'!CF310,'LP Reactivos'!CK310,'LP Reactivos'!CP310,'LP Reactivos'!CU310,'LP Reactivos'!CZ310,'LP Reactivos'!DE310,'LP Reactivos'!DJ310,'LP Reactivos'!DO310,'LP Reactivos'!DT310,'LP Reactivos'!DY310,'LP Reactivos'!EB310)," ")</f>
        <v>1510160.7579999999</v>
      </c>
      <c r="F310" s="345">
        <f>IFERROR(MEDIAN('LP Reactivos'!F310,'LP Reactivos'!I310,'LP Reactivos'!N310,'LP Reactivos'!S310,'LP Reactivos'!X310,'LP Reactivos'!AC310,'LP Reactivos'!AH310,'LP Reactivos'!AM310,'LP Reactivos'!AR310,'LP Reactivos'!AW310,'LP Reactivos'!BB310,'LP Reactivos'!BG310,'LP Reactivos'!BL310,'LP Reactivos'!BQ310,'LP Reactivos'!BV310,'LP Reactivos'!CA310,'LP Reactivos'!CF310,'LP Reactivos'!CK310,'LP Reactivos'!CP310,'LP Reactivos'!CU310,'LP Reactivos'!CZ310,'LP Reactivos'!DE310,'LP Reactivos'!DJ310,'LP Reactivos'!DO310,'LP Reactivos'!DT310,'LP Reactivos'!DY310,'LP Reactivos'!EB310)," ")</f>
        <v>1485160</v>
      </c>
      <c r="G310" s="345">
        <f>IFERROR(GEOMEAN('LP Reactivos'!F310,'LP Reactivos'!I310,'LP Reactivos'!N310,'LP Reactivos'!S310,'LP Reactivos'!X310,'LP Reactivos'!AC310,'LP Reactivos'!AH310,'LP Reactivos'!AM310,'LP Reactivos'!AR310,'LP Reactivos'!AW310,'LP Reactivos'!BB310,'LP Reactivos'!BG310,'LP Reactivos'!BL310,'LP Reactivos'!BQ310,'LP Reactivos'!BV310,'LP Reactivos'!CA310,'LP Reactivos'!CF310,'LP Reactivos'!CK310,'LP Reactivos'!CP310,'LP Reactivos'!CU310,'LP Reactivos'!CZ310,'LP Reactivos'!DE310,'LP Reactivos'!DJ310,'LP Reactivos'!DO310,'LP Reactivos'!DT310,'LP Reactivos'!DY310,'LP Reactivos'!EB310)," ")</f>
        <v>1211362.1946307672</v>
      </c>
      <c r="H310" s="345">
        <f t="shared" si="20"/>
        <v>562636.0231201743</v>
      </c>
      <c r="I310" s="346">
        <f t="shared" si="21"/>
        <v>0.37256697350903772</v>
      </c>
      <c r="J310" s="345">
        <f>IF(I310&lt;=10%,F310,IF(AND(I310&gt;10%,I310&lt;=20%),E310,IF(AND(I310&gt;20%,I310&lt;=38%),G310,IF(I310&gt;38%,D310))))</f>
        <v>1211362.1946307672</v>
      </c>
      <c r="K310" s="344" t="str">
        <f t="shared" si="23"/>
        <v>Media Geométrica</v>
      </c>
      <c r="L310" s="326">
        <f>IFERROR(COUNTA('LP Reactivos'!F310,'LP Reactivos'!I310,'LP Reactivos'!N310,'LP Reactivos'!S310,'LP Reactivos'!X310,'LP Reactivos'!AC310,'LP Reactivos'!AH310,'LP Reactivos'!AM310,'LP Reactivos'!AR310,'LP Reactivos'!AW310,'LP Reactivos'!BB310,'LP Reactivos'!BG310,'LP Reactivos'!BL310,'LP Reactivos'!BQ310,'LP Reactivos'!BV310,'LP Reactivos'!CA310,'LP Reactivos'!CF310,'LP Reactivos'!CK310,'LP Reactivos'!CP310,'LP Reactivos'!CU310,'LP Reactivos'!CZ310,'LP Reactivos'!DE310,'LP Reactivos'!DJ310,'LP Reactivos'!DO310,'LP Reactivos'!DT310,'LP Reactivos'!DY310,'LP Reactivos'!EB310)," ")</f>
        <v>5</v>
      </c>
    </row>
    <row r="311" spans="2:12" ht="40.5" x14ac:dyDescent="0.25">
      <c r="B311" s="425">
        <v>309</v>
      </c>
      <c r="C311" s="426" t="s">
        <v>1711</v>
      </c>
      <c r="D311" s="429">
        <f>IFERROR(MIN('LP Reactivos'!F311,'LP Reactivos'!I311,'LP Reactivos'!N311,'LP Reactivos'!S311,'LP Reactivos'!X311,'LP Reactivos'!AC311,'LP Reactivos'!AH311,'LP Reactivos'!AM311,'LP Reactivos'!AR311,'LP Reactivos'!AW311,'LP Reactivos'!BB311,'LP Reactivos'!BG311,'LP Reactivos'!BL311,'LP Reactivos'!BQ311,'LP Reactivos'!BV311,'LP Reactivos'!CA311,'LP Reactivos'!CF311,'LP Reactivos'!CK311,'LP Reactivos'!CP311,'LP Reactivos'!CU311,'LP Reactivos'!CZ311,'LP Reactivos'!DE311,'LP Reactivos'!DJ311,'LP Reactivos'!DO311,'LP Reactivos'!DT311,'LP Reactivos'!DY311,'LP Reactivos'!EB311)," ")</f>
        <v>366642.49859999999</v>
      </c>
      <c r="E311" s="429">
        <f>IFERROR(AVERAGE('LP Reactivos'!F311,'LP Reactivos'!I311,'LP Reactivos'!N311,'LP Reactivos'!S311,'LP Reactivos'!X311,'LP Reactivos'!AC311,'LP Reactivos'!AH311,'LP Reactivos'!AM311,'LP Reactivos'!AR311,'LP Reactivos'!AW311,'LP Reactivos'!BB311,'LP Reactivos'!BG311,'LP Reactivos'!BL311,'LP Reactivos'!BQ311,'LP Reactivos'!BV311,'LP Reactivos'!CA311,'LP Reactivos'!CF311,'LP Reactivos'!CK311,'LP Reactivos'!CP311,'LP Reactivos'!CU311,'LP Reactivos'!CZ311,'LP Reactivos'!DE311,'LP Reactivos'!DJ311,'LP Reactivos'!DO311,'LP Reactivos'!DT311,'LP Reactivos'!DY311,'LP Reactivos'!EB311)," ")</f>
        <v>900508.92692000011</v>
      </c>
      <c r="F311" s="345">
        <f>IFERROR(MEDIAN('LP Reactivos'!F311,'LP Reactivos'!I311,'LP Reactivos'!N311,'LP Reactivos'!S311,'LP Reactivos'!X311,'LP Reactivos'!AC311,'LP Reactivos'!AH311,'LP Reactivos'!AM311,'LP Reactivos'!AR311,'LP Reactivos'!AW311,'LP Reactivos'!BB311,'LP Reactivos'!BG311,'LP Reactivos'!BL311,'LP Reactivos'!BQ311,'LP Reactivos'!BV311,'LP Reactivos'!CA311,'LP Reactivos'!CF311,'LP Reactivos'!CK311,'LP Reactivos'!CP311,'LP Reactivos'!CU311,'LP Reactivos'!CZ311,'LP Reactivos'!DE311,'LP Reactivos'!DJ311,'LP Reactivos'!DO311,'LP Reactivos'!DT311,'LP Reactivos'!DY311,'LP Reactivos'!EB311)," ")</f>
        <v>894897.13600000006</v>
      </c>
      <c r="G311" s="345">
        <f>IFERROR(GEOMEAN('LP Reactivos'!F311,'LP Reactivos'!I311,'LP Reactivos'!N311,'LP Reactivos'!S311,'LP Reactivos'!X311,'LP Reactivos'!AC311,'LP Reactivos'!AH311,'LP Reactivos'!AM311,'LP Reactivos'!AR311,'LP Reactivos'!AW311,'LP Reactivos'!BB311,'LP Reactivos'!BG311,'LP Reactivos'!BL311,'LP Reactivos'!BQ311,'LP Reactivos'!BV311,'LP Reactivos'!CA311,'LP Reactivos'!CF311,'LP Reactivos'!CK311,'LP Reactivos'!CP311,'LP Reactivos'!CU311,'LP Reactivos'!CZ311,'LP Reactivos'!DE311,'LP Reactivos'!DJ311,'LP Reactivos'!DO311,'LP Reactivos'!DT311,'LP Reactivos'!DY311,'LP Reactivos'!EB311)," ")</f>
        <v>772599.71192159283</v>
      </c>
      <c r="H311" s="345">
        <f t="shared" si="20"/>
        <v>251696.99105681392</v>
      </c>
      <c r="I311" s="346">
        <f t="shared" si="21"/>
        <v>0.27950527033384348</v>
      </c>
      <c r="J311" s="345">
        <f t="shared" si="22"/>
        <v>772599.71192159283</v>
      </c>
      <c r="K311" s="344" t="str">
        <f t="shared" si="23"/>
        <v>Media Geométrica</v>
      </c>
      <c r="L311" s="326">
        <f>IFERROR(COUNTA('LP Reactivos'!F311,'LP Reactivos'!I311,'LP Reactivos'!N311,'LP Reactivos'!S311,'LP Reactivos'!X311,'LP Reactivos'!AC311,'LP Reactivos'!AH311,'LP Reactivos'!AM311,'LP Reactivos'!AR311,'LP Reactivos'!AW311,'LP Reactivos'!BB311,'LP Reactivos'!BG311,'LP Reactivos'!BL311,'LP Reactivos'!BQ311,'LP Reactivos'!BV311,'LP Reactivos'!CA311,'LP Reactivos'!CF311,'LP Reactivos'!CK311,'LP Reactivos'!CP311,'LP Reactivos'!CU311,'LP Reactivos'!CZ311,'LP Reactivos'!DE311,'LP Reactivos'!DJ311,'LP Reactivos'!DO311,'LP Reactivos'!DT311,'LP Reactivos'!DY311,'LP Reactivos'!EB311)," ")</f>
        <v>5</v>
      </c>
    </row>
    <row r="312" spans="2:12" ht="27" x14ac:dyDescent="0.25">
      <c r="B312" s="425">
        <v>310</v>
      </c>
      <c r="C312" s="427" t="s">
        <v>1715</v>
      </c>
      <c r="D312" s="429">
        <f>IFERROR(MIN('LP Reactivos'!F312,'LP Reactivos'!I312,'LP Reactivos'!N312,'LP Reactivos'!S312,'LP Reactivos'!X312,'LP Reactivos'!AC312,'LP Reactivos'!AH312,'LP Reactivos'!AM312,'LP Reactivos'!AR312,'LP Reactivos'!AW312,'LP Reactivos'!BB312,'LP Reactivos'!BG312,'LP Reactivos'!BL312,'LP Reactivos'!BQ312,'LP Reactivos'!BV312,'LP Reactivos'!CA312,'LP Reactivos'!CF312,'LP Reactivos'!CK312,'LP Reactivos'!CP312,'LP Reactivos'!CU312,'LP Reactivos'!CZ312,'LP Reactivos'!DE312,'LP Reactivos'!DJ312,'LP Reactivos'!DO312,'LP Reactivos'!DT312,'LP Reactivos'!DY312,'LP Reactivos'!EB312)," ")</f>
        <v>793488</v>
      </c>
      <c r="E312" s="429">
        <f>IFERROR(AVERAGE('LP Reactivos'!F312,'LP Reactivos'!I312,'LP Reactivos'!N312,'LP Reactivos'!S312,'LP Reactivos'!X312,'LP Reactivos'!AC312,'LP Reactivos'!AH312,'LP Reactivos'!AM312,'LP Reactivos'!AR312,'LP Reactivos'!AW312,'LP Reactivos'!BB312,'LP Reactivos'!BG312,'LP Reactivos'!BL312,'LP Reactivos'!BQ312,'LP Reactivos'!BV312,'LP Reactivos'!CA312,'LP Reactivos'!CF312,'LP Reactivos'!CK312,'LP Reactivos'!CP312,'LP Reactivos'!CU312,'LP Reactivos'!CZ312,'LP Reactivos'!DE312,'LP Reactivos'!DJ312,'LP Reactivos'!DO312,'LP Reactivos'!DT312,'LP Reactivos'!DY312,'LP Reactivos'!EB312)," ")</f>
        <v>1113719</v>
      </c>
      <c r="F312" s="345">
        <f>IFERROR(MEDIAN('LP Reactivos'!F312,'LP Reactivos'!I312,'LP Reactivos'!N312,'LP Reactivos'!S312,'LP Reactivos'!X312,'LP Reactivos'!AC312,'LP Reactivos'!AH312,'LP Reactivos'!AM312,'LP Reactivos'!AR312,'LP Reactivos'!AW312,'LP Reactivos'!BB312,'LP Reactivos'!BG312,'LP Reactivos'!BL312,'LP Reactivos'!BQ312,'LP Reactivos'!BV312,'LP Reactivos'!CA312,'LP Reactivos'!CF312,'LP Reactivos'!CK312,'LP Reactivos'!CP312,'LP Reactivos'!CU312,'LP Reactivos'!CZ312,'LP Reactivos'!DE312,'LP Reactivos'!DJ312,'LP Reactivos'!DO312,'LP Reactivos'!DT312,'LP Reactivos'!DY312,'LP Reactivos'!EB312)," ")</f>
        <v>1113719</v>
      </c>
      <c r="G312" s="345">
        <f>IFERROR(GEOMEAN('LP Reactivos'!F312,'LP Reactivos'!I312,'LP Reactivos'!N312,'LP Reactivos'!S312,'LP Reactivos'!X312,'LP Reactivos'!AC312,'LP Reactivos'!AH312,'LP Reactivos'!AM312,'LP Reactivos'!AR312,'LP Reactivos'!AW312,'LP Reactivos'!BB312,'LP Reactivos'!BG312,'LP Reactivos'!BL312,'LP Reactivos'!BQ312,'LP Reactivos'!BV312,'LP Reactivos'!CA312,'LP Reactivos'!CF312,'LP Reactivos'!CK312,'LP Reactivos'!CP312,'LP Reactivos'!CU312,'LP Reactivos'!CZ312,'LP Reactivos'!DE312,'LP Reactivos'!DJ312,'LP Reactivos'!DO312,'LP Reactivos'!DT312,'LP Reactivos'!DY312,'LP Reactivos'!EB312)," ")</f>
        <v>1066687.4507558434</v>
      </c>
      <c r="H312" s="345">
        <f t="shared" si="20"/>
        <v>153882.43885726162</v>
      </c>
      <c r="I312" s="346">
        <f t="shared" si="21"/>
        <v>0.13816989640767699</v>
      </c>
      <c r="J312" s="345">
        <f t="shared" si="22"/>
        <v>1113719</v>
      </c>
      <c r="K312" s="344" t="str">
        <f t="shared" si="23"/>
        <v>Promedio</v>
      </c>
      <c r="L312" s="326">
        <f>IFERROR(COUNTA('LP Reactivos'!F312,'LP Reactivos'!I312,'LP Reactivos'!N312,'LP Reactivos'!S312,'LP Reactivos'!X312,'LP Reactivos'!AC312,'LP Reactivos'!AH312,'LP Reactivos'!AM312,'LP Reactivos'!AR312,'LP Reactivos'!AW312,'LP Reactivos'!BB312,'LP Reactivos'!BG312,'LP Reactivos'!BL312,'LP Reactivos'!BQ312,'LP Reactivos'!BV312,'LP Reactivos'!CA312,'LP Reactivos'!CF312,'LP Reactivos'!CK312,'LP Reactivos'!CP312,'LP Reactivos'!CU312,'LP Reactivos'!CZ312,'LP Reactivos'!DE312,'LP Reactivos'!DJ312,'LP Reactivos'!DO312,'LP Reactivos'!DT312,'LP Reactivos'!DY312,'LP Reactivos'!EB312)," ")</f>
        <v>2</v>
      </c>
    </row>
    <row r="313" spans="2:12" ht="27" x14ac:dyDescent="0.25">
      <c r="B313" s="425">
        <v>311</v>
      </c>
      <c r="C313" s="427" t="s">
        <v>1718</v>
      </c>
      <c r="D313" s="429">
        <f>IFERROR(MIN('LP Reactivos'!F313,'LP Reactivos'!I313,'LP Reactivos'!N313,'LP Reactivos'!S313,'LP Reactivos'!X313,'LP Reactivos'!AC313,'LP Reactivos'!AH313,'LP Reactivos'!AM313,'LP Reactivos'!AR313,'LP Reactivos'!AW313,'LP Reactivos'!BB313,'LP Reactivos'!BG313,'LP Reactivos'!BL313,'LP Reactivos'!BQ313,'LP Reactivos'!BV313,'LP Reactivos'!CA313,'LP Reactivos'!CF313,'LP Reactivos'!CK313,'LP Reactivos'!CP313,'LP Reactivos'!CU313,'LP Reactivos'!CZ313,'LP Reactivos'!DE313,'LP Reactivos'!DJ313,'LP Reactivos'!DO313,'LP Reactivos'!DT313,'LP Reactivos'!DY313,'LP Reactivos'!EB313)," ")</f>
        <v>754628</v>
      </c>
      <c r="E313" s="429">
        <f>IFERROR(AVERAGE('LP Reactivos'!F313,'LP Reactivos'!I313,'LP Reactivos'!N313,'LP Reactivos'!S313,'LP Reactivos'!X313,'LP Reactivos'!AC313,'LP Reactivos'!AH313,'LP Reactivos'!AM313,'LP Reactivos'!AR313,'LP Reactivos'!AW313,'LP Reactivos'!BB313,'LP Reactivos'!BG313,'LP Reactivos'!BL313,'LP Reactivos'!BQ313,'LP Reactivos'!BV313,'LP Reactivos'!CA313,'LP Reactivos'!CF313,'LP Reactivos'!CK313,'LP Reactivos'!CP313,'LP Reactivos'!CU313,'LP Reactivos'!CZ313,'LP Reactivos'!DE313,'LP Reactivos'!DJ313,'LP Reactivos'!DO313,'LP Reactivos'!DT313,'LP Reactivos'!DY313,'LP Reactivos'!EB313)," ")</f>
        <v>1274574</v>
      </c>
      <c r="F313" s="345">
        <f>IFERROR(MEDIAN('LP Reactivos'!F313,'LP Reactivos'!I313,'LP Reactivos'!N313,'LP Reactivos'!S313,'LP Reactivos'!X313,'LP Reactivos'!AC313,'LP Reactivos'!AH313,'LP Reactivos'!AM313,'LP Reactivos'!AR313,'LP Reactivos'!AW313,'LP Reactivos'!BB313,'LP Reactivos'!BG313,'LP Reactivos'!BL313,'LP Reactivos'!BQ313,'LP Reactivos'!BV313,'LP Reactivos'!CA313,'LP Reactivos'!CF313,'LP Reactivos'!CK313,'LP Reactivos'!CP313,'LP Reactivos'!CU313,'LP Reactivos'!CZ313,'LP Reactivos'!DE313,'LP Reactivos'!DJ313,'LP Reactivos'!DO313,'LP Reactivos'!DT313,'LP Reactivos'!DY313,'LP Reactivos'!EB313)," ")</f>
        <v>1274574</v>
      </c>
      <c r="G313" s="345">
        <f>IFERROR(GEOMEAN('LP Reactivos'!F313,'LP Reactivos'!I313,'LP Reactivos'!N313,'LP Reactivos'!S313,'LP Reactivos'!X313,'LP Reactivos'!AC313,'LP Reactivos'!AH313,'LP Reactivos'!AM313,'LP Reactivos'!AR313,'LP Reactivos'!AW313,'LP Reactivos'!BB313,'LP Reactivos'!BG313,'LP Reactivos'!BL313,'LP Reactivos'!BQ313,'LP Reactivos'!BV313,'LP Reactivos'!CA313,'LP Reactivos'!CF313,'LP Reactivos'!CK313,'LP Reactivos'!CP313,'LP Reactivos'!CU313,'LP Reactivos'!CZ313,'LP Reactivos'!DE313,'LP Reactivos'!DJ313,'LP Reactivos'!DO313,'LP Reactivos'!DT313,'LP Reactivos'!DY313,'LP Reactivos'!EB313)," ")</f>
        <v>1163698.8607711189</v>
      </c>
      <c r="H313" s="345">
        <f t="shared" si="20"/>
        <v>247085.21606287884</v>
      </c>
      <c r="I313" s="346">
        <f t="shared" si="21"/>
        <v>0.19385709740107585</v>
      </c>
      <c r="J313" s="345">
        <f t="shared" si="22"/>
        <v>1274574</v>
      </c>
      <c r="K313" s="344" t="str">
        <f t="shared" si="23"/>
        <v>Promedio</v>
      </c>
      <c r="L313" s="326">
        <f>IFERROR(COUNTA('LP Reactivos'!F313,'LP Reactivos'!I313,'LP Reactivos'!N313,'LP Reactivos'!S313,'LP Reactivos'!X313,'LP Reactivos'!AC313,'LP Reactivos'!AH313,'LP Reactivos'!AM313,'LP Reactivos'!AR313,'LP Reactivos'!AW313,'LP Reactivos'!BB313,'LP Reactivos'!BG313,'LP Reactivos'!BL313,'LP Reactivos'!BQ313,'LP Reactivos'!BV313,'LP Reactivos'!CA313,'LP Reactivos'!CF313,'LP Reactivos'!CK313,'LP Reactivos'!CP313,'LP Reactivos'!CU313,'LP Reactivos'!CZ313,'LP Reactivos'!DE313,'LP Reactivos'!DJ313,'LP Reactivos'!DO313,'LP Reactivos'!DT313,'LP Reactivos'!DY313,'LP Reactivos'!EB313)," ")</f>
        <v>2</v>
      </c>
    </row>
    <row r="314" spans="2:12" ht="27" x14ac:dyDescent="0.25">
      <c r="B314" s="425">
        <v>312</v>
      </c>
      <c r="C314" s="427" t="s">
        <v>1721</v>
      </c>
      <c r="D314" s="429">
        <f>IFERROR(MIN('LP Reactivos'!F314,'LP Reactivos'!I314,'LP Reactivos'!N314,'LP Reactivos'!S314,'LP Reactivos'!X314,'LP Reactivos'!AC314,'LP Reactivos'!AH314,'LP Reactivos'!AM314,'LP Reactivos'!AR314,'LP Reactivos'!AW314,'LP Reactivos'!BB314,'LP Reactivos'!BG314,'LP Reactivos'!BL314,'LP Reactivos'!BQ314,'LP Reactivos'!BV314,'LP Reactivos'!CA314,'LP Reactivos'!CF314,'LP Reactivos'!CK314,'LP Reactivos'!CP314,'LP Reactivos'!CU314,'LP Reactivos'!CZ314,'LP Reactivos'!DE314,'LP Reactivos'!DJ314,'LP Reactivos'!DO314,'LP Reactivos'!DT314,'LP Reactivos'!DY314,'LP Reactivos'!EB314)," ")</f>
        <v>1636250</v>
      </c>
      <c r="E314" s="429">
        <f>IFERROR(AVERAGE('LP Reactivos'!F314,'LP Reactivos'!I314,'LP Reactivos'!N314,'LP Reactivos'!S314,'LP Reactivos'!X314,'LP Reactivos'!AC314,'LP Reactivos'!AH314,'LP Reactivos'!AM314,'LP Reactivos'!AR314,'LP Reactivos'!AW314,'LP Reactivos'!BB314,'LP Reactivos'!BG314,'LP Reactivos'!BL314,'LP Reactivos'!BQ314,'LP Reactivos'!BV314,'LP Reactivos'!CA314,'LP Reactivos'!CF314,'LP Reactivos'!CK314,'LP Reactivos'!CP314,'LP Reactivos'!CU314,'LP Reactivos'!CZ314,'LP Reactivos'!DE314,'LP Reactivos'!DJ314,'LP Reactivos'!DO314,'LP Reactivos'!DT314,'LP Reactivos'!DY314,'LP Reactivos'!EB314)," ")</f>
        <v>1636250</v>
      </c>
      <c r="F314" s="345">
        <f>IFERROR(MEDIAN('LP Reactivos'!F314,'LP Reactivos'!I314,'LP Reactivos'!N314,'LP Reactivos'!S314,'LP Reactivos'!X314,'LP Reactivos'!AC314,'LP Reactivos'!AH314,'LP Reactivos'!AM314,'LP Reactivos'!AR314,'LP Reactivos'!AW314,'LP Reactivos'!BB314,'LP Reactivos'!BG314,'LP Reactivos'!BL314,'LP Reactivos'!BQ314,'LP Reactivos'!BV314,'LP Reactivos'!CA314,'LP Reactivos'!CF314,'LP Reactivos'!CK314,'LP Reactivos'!CP314,'LP Reactivos'!CU314,'LP Reactivos'!CZ314,'LP Reactivos'!DE314,'LP Reactivos'!DJ314,'LP Reactivos'!DO314,'LP Reactivos'!DT314,'LP Reactivos'!DY314,'LP Reactivos'!EB314)," ")</f>
        <v>1636250</v>
      </c>
      <c r="G314" s="345">
        <f>IFERROR(GEOMEAN('LP Reactivos'!F314,'LP Reactivos'!I314,'LP Reactivos'!N314,'LP Reactivos'!S314,'LP Reactivos'!X314,'LP Reactivos'!AC314,'LP Reactivos'!AH314,'LP Reactivos'!AM314,'LP Reactivos'!AR314,'LP Reactivos'!AW314,'LP Reactivos'!BB314,'LP Reactivos'!BG314,'LP Reactivos'!BL314,'LP Reactivos'!BQ314,'LP Reactivos'!BV314,'LP Reactivos'!CA314,'LP Reactivos'!CF314,'LP Reactivos'!CK314,'LP Reactivos'!CP314,'LP Reactivos'!CU314,'LP Reactivos'!CZ314,'LP Reactivos'!DE314,'LP Reactivos'!DJ314,'LP Reactivos'!DO314,'LP Reactivos'!DT314,'LP Reactivos'!DY314,'LP Reactivos'!EB314)," ")</f>
        <v>1636250</v>
      </c>
      <c r="H314" s="345">
        <f t="shared" si="20"/>
        <v>0</v>
      </c>
      <c r="I314" s="346">
        <f t="shared" si="21"/>
        <v>0</v>
      </c>
      <c r="J314" s="345">
        <f t="shared" si="22"/>
        <v>1636250</v>
      </c>
      <c r="K314" s="344" t="str">
        <f t="shared" si="23"/>
        <v>Menor Valor</v>
      </c>
      <c r="L314" s="326">
        <f>IFERROR(COUNTA('LP Reactivos'!F314,'LP Reactivos'!I314,'LP Reactivos'!N314,'LP Reactivos'!S314,'LP Reactivos'!X314,'LP Reactivos'!AC314,'LP Reactivos'!AH314,'LP Reactivos'!AM314,'LP Reactivos'!AR314,'LP Reactivos'!AW314,'LP Reactivos'!BB314,'LP Reactivos'!BG314,'LP Reactivos'!BL314,'LP Reactivos'!BQ314,'LP Reactivos'!BV314,'LP Reactivos'!CA314,'LP Reactivos'!CF314,'LP Reactivos'!CK314,'LP Reactivos'!CP314,'LP Reactivos'!CU314,'LP Reactivos'!CZ314,'LP Reactivos'!DE314,'LP Reactivos'!DJ314,'LP Reactivos'!DO314,'LP Reactivos'!DT314,'LP Reactivos'!DY314,'LP Reactivos'!EB314)," ")</f>
        <v>1</v>
      </c>
    </row>
    <row r="315" spans="2:12" ht="27" x14ac:dyDescent="0.25">
      <c r="B315" s="425">
        <v>313</v>
      </c>
      <c r="C315" s="427" t="s">
        <v>1723</v>
      </c>
      <c r="D315" s="429">
        <f>IFERROR(MIN('LP Reactivos'!F315,'LP Reactivos'!I315,'LP Reactivos'!N315,'LP Reactivos'!S315,'LP Reactivos'!X315,'LP Reactivos'!AC315,'LP Reactivos'!AH315,'LP Reactivos'!AM315,'LP Reactivos'!AR315,'LP Reactivos'!AW315,'LP Reactivos'!BB315,'LP Reactivos'!BG315,'LP Reactivos'!BL315,'LP Reactivos'!BQ315,'LP Reactivos'!BV315,'LP Reactivos'!CA315,'LP Reactivos'!CF315,'LP Reactivos'!CK315,'LP Reactivos'!CP315,'LP Reactivos'!CU315,'LP Reactivos'!CZ315,'LP Reactivos'!DE315,'LP Reactivos'!DJ315,'LP Reactivos'!DO315,'LP Reactivos'!DT315,'LP Reactivos'!DY315,'LP Reactivos'!EB315)," ")</f>
        <v>768417</v>
      </c>
      <c r="E315" s="429">
        <f>IFERROR(AVERAGE('LP Reactivos'!F315,'LP Reactivos'!I315,'LP Reactivos'!N315,'LP Reactivos'!S315,'LP Reactivos'!X315,'LP Reactivos'!AC315,'LP Reactivos'!AH315,'LP Reactivos'!AM315,'LP Reactivos'!AR315,'LP Reactivos'!AW315,'LP Reactivos'!BB315,'LP Reactivos'!BG315,'LP Reactivos'!BL315,'LP Reactivos'!BQ315,'LP Reactivos'!BV315,'LP Reactivos'!CA315,'LP Reactivos'!CF315,'LP Reactivos'!CK315,'LP Reactivos'!CP315,'LP Reactivos'!CU315,'LP Reactivos'!CZ315,'LP Reactivos'!DE315,'LP Reactivos'!DJ315,'LP Reactivos'!DO315,'LP Reactivos'!DT315,'LP Reactivos'!DY315,'LP Reactivos'!EB315)," ")</f>
        <v>2076983.5</v>
      </c>
      <c r="F315" s="345">
        <f>IFERROR(MEDIAN('LP Reactivos'!F315,'LP Reactivos'!I315,'LP Reactivos'!N315,'LP Reactivos'!S315,'LP Reactivos'!X315,'LP Reactivos'!AC315,'LP Reactivos'!AH315,'LP Reactivos'!AM315,'LP Reactivos'!AR315,'LP Reactivos'!AW315,'LP Reactivos'!BB315,'LP Reactivos'!BG315,'LP Reactivos'!BL315,'LP Reactivos'!BQ315,'LP Reactivos'!BV315,'LP Reactivos'!CA315,'LP Reactivos'!CF315,'LP Reactivos'!CK315,'LP Reactivos'!CP315,'LP Reactivos'!CU315,'LP Reactivos'!CZ315,'LP Reactivos'!DE315,'LP Reactivos'!DJ315,'LP Reactivos'!DO315,'LP Reactivos'!DT315,'LP Reactivos'!DY315,'LP Reactivos'!EB315)," ")</f>
        <v>2076983.5</v>
      </c>
      <c r="G315" s="345">
        <f>IFERROR(GEOMEAN('LP Reactivos'!F315,'LP Reactivos'!I315,'LP Reactivos'!N315,'LP Reactivos'!S315,'LP Reactivos'!X315,'LP Reactivos'!AC315,'LP Reactivos'!AH315,'LP Reactivos'!AM315,'LP Reactivos'!AR315,'LP Reactivos'!AW315,'LP Reactivos'!BB315,'LP Reactivos'!BG315,'LP Reactivos'!BL315,'LP Reactivos'!BQ315,'LP Reactivos'!BV315,'LP Reactivos'!CA315,'LP Reactivos'!CF315,'LP Reactivos'!CK315,'LP Reactivos'!CP315,'LP Reactivos'!CU315,'LP Reactivos'!CZ315,'LP Reactivos'!DE315,'LP Reactivos'!DJ315,'LP Reactivos'!DO315,'LP Reactivos'!DT315,'LP Reactivos'!DY315,'LP Reactivos'!EB315)," ")</f>
        <v>1612921.0068537144</v>
      </c>
      <c r="H315" s="345">
        <f t="shared" si="20"/>
        <v>617021.58137072576</v>
      </c>
      <c r="I315" s="346">
        <f t="shared" si="21"/>
        <v>0.29707582239855335</v>
      </c>
      <c r="J315" s="345">
        <f t="shared" si="22"/>
        <v>1612921.0068537144</v>
      </c>
      <c r="K315" s="344" t="str">
        <f t="shared" si="23"/>
        <v>Media Geométrica</v>
      </c>
      <c r="L315" s="326">
        <f>IFERROR(COUNTA('LP Reactivos'!F315,'LP Reactivos'!I315,'LP Reactivos'!N315,'LP Reactivos'!S315,'LP Reactivos'!X315,'LP Reactivos'!AC315,'LP Reactivos'!AH315,'LP Reactivos'!AM315,'LP Reactivos'!AR315,'LP Reactivos'!AW315,'LP Reactivos'!BB315,'LP Reactivos'!BG315,'LP Reactivos'!BL315,'LP Reactivos'!BQ315,'LP Reactivos'!BV315,'LP Reactivos'!CA315,'LP Reactivos'!CF315,'LP Reactivos'!CK315,'LP Reactivos'!CP315,'LP Reactivos'!CU315,'LP Reactivos'!CZ315,'LP Reactivos'!DE315,'LP Reactivos'!DJ315,'LP Reactivos'!DO315,'LP Reactivos'!DT315,'LP Reactivos'!DY315,'LP Reactivos'!EB315)," ")</f>
        <v>2</v>
      </c>
    </row>
    <row r="316" spans="2:12" ht="27" x14ac:dyDescent="0.25">
      <c r="B316" s="425">
        <v>314</v>
      </c>
      <c r="C316" s="427" t="s">
        <v>1727</v>
      </c>
      <c r="D316" s="429">
        <f>IFERROR(MIN('LP Reactivos'!F316,'LP Reactivos'!I316,'LP Reactivos'!N316,'LP Reactivos'!S316,'LP Reactivos'!X316,'LP Reactivos'!AC316,'LP Reactivos'!AH316,'LP Reactivos'!AM316,'LP Reactivos'!AR316,'LP Reactivos'!AW316,'LP Reactivos'!BB316,'LP Reactivos'!BG316,'LP Reactivos'!BL316,'LP Reactivos'!BQ316,'LP Reactivos'!BV316,'LP Reactivos'!CA316,'LP Reactivos'!CF316,'LP Reactivos'!CK316,'LP Reactivos'!CP316,'LP Reactivos'!CU316,'LP Reactivos'!CZ316,'LP Reactivos'!DE316,'LP Reactivos'!DJ316,'LP Reactivos'!DO316,'LP Reactivos'!DT316,'LP Reactivos'!DY316,'LP Reactivos'!EB316)," ")</f>
        <v>1089322</v>
      </c>
      <c r="E316" s="429">
        <f>IFERROR(AVERAGE('LP Reactivos'!F316,'LP Reactivos'!I316,'LP Reactivos'!N316,'LP Reactivos'!S316,'LP Reactivos'!X316,'LP Reactivos'!AC316,'LP Reactivos'!AH316,'LP Reactivos'!AM316,'LP Reactivos'!AR316,'LP Reactivos'!AW316,'LP Reactivos'!BB316,'LP Reactivos'!BG316,'LP Reactivos'!BL316,'LP Reactivos'!BQ316,'LP Reactivos'!BV316,'LP Reactivos'!CA316,'LP Reactivos'!CF316,'LP Reactivos'!CK316,'LP Reactivos'!CP316,'LP Reactivos'!CU316,'LP Reactivos'!CZ316,'LP Reactivos'!DE316,'LP Reactivos'!DJ316,'LP Reactivos'!DO316,'LP Reactivos'!DT316,'LP Reactivos'!DY316,'LP Reactivos'!EB316)," ")</f>
        <v>1441921</v>
      </c>
      <c r="F316" s="345">
        <f>IFERROR(MEDIAN('LP Reactivos'!F316,'LP Reactivos'!I316,'LP Reactivos'!N316,'LP Reactivos'!S316,'LP Reactivos'!X316,'LP Reactivos'!AC316,'LP Reactivos'!AH316,'LP Reactivos'!AM316,'LP Reactivos'!AR316,'LP Reactivos'!AW316,'LP Reactivos'!BB316,'LP Reactivos'!BG316,'LP Reactivos'!BL316,'LP Reactivos'!BQ316,'LP Reactivos'!BV316,'LP Reactivos'!CA316,'LP Reactivos'!CF316,'LP Reactivos'!CK316,'LP Reactivos'!CP316,'LP Reactivos'!CU316,'LP Reactivos'!CZ316,'LP Reactivos'!DE316,'LP Reactivos'!DJ316,'LP Reactivos'!DO316,'LP Reactivos'!DT316,'LP Reactivos'!DY316,'LP Reactivos'!EB316)," ")</f>
        <v>1441921</v>
      </c>
      <c r="G316" s="345">
        <f>IFERROR(GEOMEAN('LP Reactivos'!F316,'LP Reactivos'!I316,'LP Reactivos'!N316,'LP Reactivos'!S316,'LP Reactivos'!X316,'LP Reactivos'!AC316,'LP Reactivos'!AH316,'LP Reactivos'!AM316,'LP Reactivos'!AR316,'LP Reactivos'!AW316,'LP Reactivos'!BB316,'LP Reactivos'!BG316,'LP Reactivos'!BL316,'LP Reactivos'!BQ316,'LP Reactivos'!BV316,'LP Reactivos'!CA316,'LP Reactivos'!CF316,'LP Reactivos'!CK316,'LP Reactivos'!CP316,'LP Reactivos'!CU316,'LP Reactivos'!CZ316,'LP Reactivos'!DE316,'LP Reactivos'!DJ316,'LP Reactivos'!DO316,'LP Reactivos'!DT316,'LP Reactivos'!DY316,'LP Reactivos'!EB316)," ")</f>
        <v>1398145.2411820455</v>
      </c>
      <c r="H316" s="345">
        <f t="shared" si="20"/>
        <v>170258.75846691694</v>
      </c>
      <c r="I316" s="346">
        <f t="shared" si="21"/>
        <v>0.11807772996365054</v>
      </c>
      <c r="J316" s="345">
        <f t="shared" si="22"/>
        <v>1441921</v>
      </c>
      <c r="K316" s="344" t="str">
        <f t="shared" si="23"/>
        <v>Promedio</v>
      </c>
      <c r="L316" s="326">
        <f>IFERROR(COUNTA('LP Reactivos'!F316,'LP Reactivos'!I316,'LP Reactivos'!N316,'LP Reactivos'!S316,'LP Reactivos'!X316,'LP Reactivos'!AC316,'LP Reactivos'!AH316,'LP Reactivos'!AM316,'LP Reactivos'!AR316,'LP Reactivos'!AW316,'LP Reactivos'!BB316,'LP Reactivos'!BG316,'LP Reactivos'!BL316,'LP Reactivos'!BQ316,'LP Reactivos'!BV316,'LP Reactivos'!CA316,'LP Reactivos'!CF316,'LP Reactivos'!CK316,'LP Reactivos'!CP316,'LP Reactivos'!CU316,'LP Reactivos'!CZ316,'LP Reactivos'!DE316,'LP Reactivos'!DJ316,'LP Reactivos'!DO316,'LP Reactivos'!DT316,'LP Reactivos'!DY316,'LP Reactivos'!EB316)," ")</f>
        <v>2</v>
      </c>
    </row>
    <row r="317" spans="2:12" ht="40.5" x14ac:dyDescent="0.25">
      <c r="B317" s="425">
        <v>315</v>
      </c>
      <c r="C317" s="426" t="s">
        <v>1730</v>
      </c>
      <c r="D317" s="429">
        <f>IFERROR(MIN('LP Reactivos'!F317,'LP Reactivos'!I317,'LP Reactivos'!N317,'LP Reactivos'!S317,'LP Reactivos'!X317,'LP Reactivos'!AC317,'LP Reactivos'!AH317,'LP Reactivos'!AM317,'LP Reactivos'!AR317,'LP Reactivos'!AW317,'LP Reactivos'!BB317,'LP Reactivos'!BG317,'LP Reactivos'!BL317,'LP Reactivos'!BQ317,'LP Reactivos'!BV317,'LP Reactivos'!CA317,'LP Reactivos'!CF317,'LP Reactivos'!CK317,'LP Reactivos'!CP317,'LP Reactivos'!CU317,'LP Reactivos'!CZ317,'LP Reactivos'!DE317,'LP Reactivos'!DJ317,'LP Reactivos'!DO317,'LP Reactivos'!DT317,'LP Reactivos'!DY317,'LP Reactivos'!EB317)," ")</f>
        <v>323150</v>
      </c>
      <c r="E317" s="429">
        <f>IFERROR(AVERAGE('LP Reactivos'!F317,'LP Reactivos'!I317,'LP Reactivos'!N317,'LP Reactivos'!S317,'LP Reactivos'!X317,'LP Reactivos'!AC317,'LP Reactivos'!AH317,'LP Reactivos'!AM317,'LP Reactivos'!AR317,'LP Reactivos'!AW317,'LP Reactivos'!BB317,'LP Reactivos'!BG317,'LP Reactivos'!BL317,'LP Reactivos'!BQ317,'LP Reactivos'!BV317,'LP Reactivos'!CA317,'LP Reactivos'!CF317,'LP Reactivos'!CK317,'LP Reactivos'!CP317,'LP Reactivos'!CU317,'LP Reactivos'!CZ317,'LP Reactivos'!DE317,'LP Reactivos'!DJ317,'LP Reactivos'!DO317,'LP Reactivos'!DT317,'LP Reactivos'!DY317,'LP Reactivos'!EB317)," ")</f>
        <v>1133016.3999999999</v>
      </c>
      <c r="F317" s="345">
        <f>IFERROR(MEDIAN('LP Reactivos'!F317,'LP Reactivos'!I317,'LP Reactivos'!N317,'LP Reactivos'!S317,'LP Reactivos'!X317,'LP Reactivos'!AC317,'LP Reactivos'!AH317,'LP Reactivos'!AM317,'LP Reactivos'!AR317,'LP Reactivos'!AW317,'LP Reactivos'!BB317,'LP Reactivos'!BG317,'LP Reactivos'!BL317,'LP Reactivos'!BQ317,'LP Reactivos'!BV317,'LP Reactivos'!CA317,'LP Reactivos'!CF317,'LP Reactivos'!CK317,'LP Reactivos'!CP317,'LP Reactivos'!CU317,'LP Reactivos'!CZ317,'LP Reactivos'!DE317,'LP Reactivos'!DJ317,'LP Reactivos'!DO317,'LP Reactivos'!DT317,'LP Reactivos'!DY317,'LP Reactivos'!EB317)," ")</f>
        <v>734624</v>
      </c>
      <c r="G317" s="345">
        <f>IFERROR(GEOMEAN('LP Reactivos'!F317,'LP Reactivos'!I317,'LP Reactivos'!N317,'LP Reactivos'!S317,'LP Reactivos'!X317,'LP Reactivos'!AC317,'LP Reactivos'!AH317,'LP Reactivos'!AM317,'LP Reactivos'!AR317,'LP Reactivos'!AW317,'LP Reactivos'!BB317,'LP Reactivos'!BG317,'LP Reactivos'!BL317,'LP Reactivos'!BQ317,'LP Reactivos'!BV317,'LP Reactivos'!CA317,'LP Reactivos'!CF317,'LP Reactivos'!CK317,'LP Reactivos'!CP317,'LP Reactivos'!CU317,'LP Reactivos'!CZ317,'LP Reactivos'!DE317,'LP Reactivos'!DJ317,'LP Reactivos'!DO317,'LP Reactivos'!DT317,'LP Reactivos'!DY317,'LP Reactivos'!EB317)," ")</f>
        <v>832267.692561551</v>
      </c>
      <c r="H317" s="345">
        <f t="shared" si="20"/>
        <v>334551.42149661505</v>
      </c>
      <c r="I317" s="346">
        <f t="shared" si="21"/>
        <v>0.29527500351858549</v>
      </c>
      <c r="J317" s="345">
        <f t="shared" si="22"/>
        <v>832267.692561551</v>
      </c>
      <c r="K317" s="344" t="str">
        <f t="shared" si="23"/>
        <v>Media Geométrica</v>
      </c>
      <c r="L317" s="326">
        <f>IFERROR(COUNTA('LP Reactivos'!F317,'LP Reactivos'!I317,'LP Reactivos'!N317,'LP Reactivos'!S317,'LP Reactivos'!X317,'LP Reactivos'!AC317,'LP Reactivos'!AH317,'LP Reactivos'!AM317,'LP Reactivos'!AR317,'LP Reactivos'!AW317,'LP Reactivos'!BB317,'LP Reactivos'!BG317,'LP Reactivos'!BL317,'LP Reactivos'!BQ317,'LP Reactivos'!BV317,'LP Reactivos'!CA317,'LP Reactivos'!CF317,'LP Reactivos'!CK317,'LP Reactivos'!CP317,'LP Reactivos'!CU317,'LP Reactivos'!CZ317,'LP Reactivos'!DE317,'LP Reactivos'!DJ317,'LP Reactivos'!DO317,'LP Reactivos'!DT317,'LP Reactivos'!DY317,'LP Reactivos'!EB317)," ")</f>
        <v>5</v>
      </c>
    </row>
    <row r="318" spans="2:12" ht="40.5" x14ac:dyDescent="0.25">
      <c r="B318" s="425">
        <v>316</v>
      </c>
      <c r="C318" s="426" t="s">
        <v>1734</v>
      </c>
      <c r="D318" s="429">
        <f>IFERROR(MIN('LP Reactivos'!F318,'LP Reactivos'!I318,'LP Reactivos'!N318,'LP Reactivos'!S318,'LP Reactivos'!X318,'LP Reactivos'!AC318,'LP Reactivos'!AH318,'LP Reactivos'!AM318,'LP Reactivos'!AR318,'LP Reactivos'!AW318,'LP Reactivos'!BB318,'LP Reactivos'!BG318,'LP Reactivos'!BL318,'LP Reactivos'!BQ318,'LP Reactivos'!BV318,'LP Reactivos'!CA318,'LP Reactivos'!CF318,'LP Reactivos'!CK318,'LP Reactivos'!CP318,'LP Reactivos'!CU318,'LP Reactivos'!CZ318,'LP Reactivos'!DE318,'LP Reactivos'!DJ318,'LP Reactivos'!DO318,'LP Reactivos'!DT318,'LP Reactivos'!DY318,'LP Reactivos'!EB318)," ")</f>
        <v>364140</v>
      </c>
      <c r="E318" s="429">
        <f>IFERROR(AVERAGE('LP Reactivos'!F318,'LP Reactivos'!I318,'LP Reactivos'!N318,'LP Reactivos'!S318,'LP Reactivos'!X318,'LP Reactivos'!AC318,'LP Reactivos'!AH318,'LP Reactivos'!AM318,'LP Reactivos'!AR318,'LP Reactivos'!AW318,'LP Reactivos'!BB318,'LP Reactivos'!BG318,'LP Reactivos'!BL318,'LP Reactivos'!BQ318,'LP Reactivos'!BV318,'LP Reactivos'!CA318,'LP Reactivos'!CF318,'LP Reactivos'!CK318,'LP Reactivos'!CP318,'LP Reactivos'!CU318,'LP Reactivos'!CZ318,'LP Reactivos'!DE318,'LP Reactivos'!DJ318,'LP Reactivos'!DO318,'LP Reactivos'!DT318,'LP Reactivos'!DY318,'LP Reactivos'!EB318)," ")</f>
        <v>571541.80000000005</v>
      </c>
      <c r="F318" s="345">
        <f>IFERROR(MEDIAN('LP Reactivos'!F318,'LP Reactivos'!I318,'LP Reactivos'!N318,'LP Reactivos'!S318,'LP Reactivos'!X318,'LP Reactivos'!AC318,'LP Reactivos'!AH318,'LP Reactivos'!AM318,'LP Reactivos'!AR318,'LP Reactivos'!AW318,'LP Reactivos'!BB318,'LP Reactivos'!BG318,'LP Reactivos'!BL318,'LP Reactivos'!BQ318,'LP Reactivos'!BV318,'LP Reactivos'!CA318,'LP Reactivos'!CF318,'LP Reactivos'!CK318,'LP Reactivos'!CP318,'LP Reactivos'!CU318,'LP Reactivos'!CZ318,'LP Reactivos'!DE318,'LP Reactivos'!DJ318,'LP Reactivos'!DO318,'LP Reactivos'!DT318,'LP Reactivos'!DY318,'LP Reactivos'!EB318)," ")</f>
        <v>428400</v>
      </c>
      <c r="G318" s="345">
        <f>IFERROR(GEOMEAN('LP Reactivos'!F318,'LP Reactivos'!I318,'LP Reactivos'!N318,'LP Reactivos'!S318,'LP Reactivos'!X318,'LP Reactivos'!AC318,'LP Reactivos'!AH318,'LP Reactivos'!AM318,'LP Reactivos'!AR318,'LP Reactivos'!AW318,'LP Reactivos'!BB318,'LP Reactivos'!BG318,'LP Reactivos'!BL318,'LP Reactivos'!BQ318,'LP Reactivos'!BV318,'LP Reactivos'!CA318,'LP Reactivos'!CF318,'LP Reactivos'!CK318,'LP Reactivos'!CP318,'LP Reactivos'!CU318,'LP Reactivos'!CZ318,'LP Reactivos'!DE318,'LP Reactivos'!DJ318,'LP Reactivos'!DO318,'LP Reactivos'!DT318,'LP Reactivos'!DY318,'LP Reactivos'!EB318)," ")</f>
        <v>536059.17518290365</v>
      </c>
      <c r="H318" s="345">
        <f t="shared" si="20"/>
        <v>95760.180751632288</v>
      </c>
      <c r="I318" s="346">
        <f t="shared" si="21"/>
        <v>0.16754711685415183</v>
      </c>
      <c r="J318" s="345">
        <f t="shared" si="22"/>
        <v>571541.80000000005</v>
      </c>
      <c r="K318" s="344" t="str">
        <f t="shared" si="23"/>
        <v>Promedio</v>
      </c>
      <c r="L318" s="326">
        <f>IFERROR(COUNTA('LP Reactivos'!F318,'LP Reactivos'!I318,'LP Reactivos'!N318,'LP Reactivos'!S318,'LP Reactivos'!X318,'LP Reactivos'!AC318,'LP Reactivos'!AH318,'LP Reactivos'!AM318,'LP Reactivos'!AR318,'LP Reactivos'!AW318,'LP Reactivos'!BB318,'LP Reactivos'!BG318,'LP Reactivos'!BL318,'LP Reactivos'!BQ318,'LP Reactivos'!BV318,'LP Reactivos'!CA318,'LP Reactivos'!CF318,'LP Reactivos'!CK318,'LP Reactivos'!CP318,'LP Reactivos'!CU318,'LP Reactivos'!CZ318,'LP Reactivos'!DE318,'LP Reactivos'!DJ318,'LP Reactivos'!DO318,'LP Reactivos'!DT318,'LP Reactivos'!DY318,'LP Reactivos'!EB318)," ")</f>
        <v>5</v>
      </c>
    </row>
    <row r="319" spans="2:12" x14ac:dyDescent="0.25">
      <c r="B319" s="425">
        <v>317</v>
      </c>
      <c r="C319" s="426" t="s">
        <v>1738</v>
      </c>
      <c r="D319" s="429">
        <f>IFERROR(MIN('LP Reactivos'!F319,'LP Reactivos'!I319,'LP Reactivos'!N319,'LP Reactivos'!S319,'LP Reactivos'!X319,'LP Reactivos'!AC319,'LP Reactivos'!AH319,'LP Reactivos'!AM319,'LP Reactivos'!AR319,'LP Reactivos'!AW319,'LP Reactivos'!BB319,'LP Reactivos'!BG319,'LP Reactivos'!BL319,'LP Reactivos'!BQ319,'LP Reactivos'!BV319,'LP Reactivos'!CA319,'LP Reactivos'!CF319,'LP Reactivos'!CK319,'LP Reactivos'!CP319,'LP Reactivos'!CU319,'LP Reactivos'!CZ319,'LP Reactivos'!DE319,'LP Reactivos'!DJ319,'LP Reactivos'!DO319,'LP Reactivos'!DT319,'LP Reactivos'!DY319,'LP Reactivos'!EB319)," ")</f>
        <v>668780</v>
      </c>
      <c r="E319" s="429">
        <f>IFERROR(AVERAGE('LP Reactivos'!F319,'LP Reactivos'!I319,'LP Reactivos'!N319,'LP Reactivos'!S319,'LP Reactivos'!X319,'LP Reactivos'!AC319,'LP Reactivos'!AH319,'LP Reactivos'!AM319,'LP Reactivos'!AR319,'LP Reactivos'!AW319,'LP Reactivos'!BB319,'LP Reactivos'!BG319,'LP Reactivos'!BL319,'LP Reactivos'!BQ319,'LP Reactivos'!BV319,'LP Reactivos'!CA319,'LP Reactivos'!CF319,'LP Reactivos'!CK319,'LP Reactivos'!CP319,'LP Reactivos'!CU319,'LP Reactivos'!CZ319,'LP Reactivos'!DE319,'LP Reactivos'!DJ319,'LP Reactivos'!DO319,'LP Reactivos'!DT319,'LP Reactivos'!DY319,'LP Reactivos'!EB319)," ")</f>
        <v>976815.25</v>
      </c>
      <c r="F319" s="345">
        <f>IFERROR(MEDIAN('LP Reactivos'!F319,'LP Reactivos'!I319,'LP Reactivos'!N319,'LP Reactivos'!S319,'LP Reactivos'!X319,'LP Reactivos'!AC319,'LP Reactivos'!AH319,'LP Reactivos'!AM319,'LP Reactivos'!AR319,'LP Reactivos'!AW319,'LP Reactivos'!BB319,'LP Reactivos'!BG319,'LP Reactivos'!BL319,'LP Reactivos'!BQ319,'LP Reactivos'!BV319,'LP Reactivos'!CA319,'LP Reactivos'!CF319,'LP Reactivos'!CK319,'LP Reactivos'!CP319,'LP Reactivos'!CU319,'LP Reactivos'!CZ319,'LP Reactivos'!DE319,'LP Reactivos'!DJ319,'LP Reactivos'!DO319,'LP Reactivos'!DT319,'LP Reactivos'!DY319,'LP Reactivos'!EB319)," ")</f>
        <v>982345</v>
      </c>
      <c r="G319" s="345">
        <f>IFERROR(GEOMEAN('LP Reactivos'!F319,'LP Reactivos'!I319,'LP Reactivos'!N319,'LP Reactivos'!S319,'LP Reactivos'!X319,'LP Reactivos'!AC319,'LP Reactivos'!AH319,'LP Reactivos'!AM319,'LP Reactivos'!AR319,'LP Reactivos'!AW319,'LP Reactivos'!BB319,'LP Reactivos'!BG319,'LP Reactivos'!BL319,'LP Reactivos'!BQ319,'LP Reactivos'!BV319,'LP Reactivos'!CA319,'LP Reactivos'!CF319,'LP Reactivos'!CK319,'LP Reactivos'!CP319,'LP Reactivos'!CU319,'LP Reactivos'!CZ319,'LP Reactivos'!DE319,'LP Reactivos'!DJ319,'LP Reactivos'!DO319,'LP Reactivos'!DT319,'LP Reactivos'!DY319,'LP Reactivos'!EB319)," ")</f>
        <v>939259.72901738191</v>
      </c>
      <c r="H319" s="345">
        <f t="shared" si="20"/>
        <v>149907.01121691556</v>
      </c>
      <c r="I319" s="346">
        <f t="shared" si="21"/>
        <v>0.1534650602730819</v>
      </c>
      <c r="J319" s="345">
        <f t="shared" si="22"/>
        <v>976815.25</v>
      </c>
      <c r="K319" s="344" t="str">
        <f t="shared" si="23"/>
        <v>Promedio</v>
      </c>
      <c r="L319" s="326">
        <f>IFERROR(COUNTA('LP Reactivos'!F319,'LP Reactivos'!I319,'LP Reactivos'!N319,'LP Reactivos'!S319,'LP Reactivos'!X319,'LP Reactivos'!AC319,'LP Reactivos'!AH319,'LP Reactivos'!AM319,'LP Reactivos'!AR319,'LP Reactivos'!AW319,'LP Reactivos'!BB319,'LP Reactivos'!BG319,'LP Reactivos'!BL319,'LP Reactivos'!BQ319,'LP Reactivos'!BV319,'LP Reactivos'!CA319,'LP Reactivos'!CF319,'LP Reactivos'!CK319,'LP Reactivos'!CP319,'LP Reactivos'!CU319,'LP Reactivos'!CZ319,'LP Reactivos'!DE319,'LP Reactivos'!DJ319,'LP Reactivos'!DO319,'LP Reactivos'!DT319,'LP Reactivos'!DY319,'LP Reactivos'!EB319)," ")</f>
        <v>4</v>
      </c>
    </row>
    <row r="320" spans="2:12" x14ac:dyDescent="0.25">
      <c r="B320" s="425">
        <v>318</v>
      </c>
      <c r="C320" s="426" t="s">
        <v>1742</v>
      </c>
      <c r="D320" s="429">
        <f>IFERROR(MIN('LP Reactivos'!F320,'LP Reactivos'!I320,'LP Reactivos'!N320,'LP Reactivos'!S320,'LP Reactivos'!X320,'LP Reactivos'!AC320,'LP Reactivos'!AH320,'LP Reactivos'!AM320,'LP Reactivos'!AR320,'LP Reactivos'!AW320,'LP Reactivos'!BB320,'LP Reactivos'!BG320,'LP Reactivos'!BL320,'LP Reactivos'!BQ320,'LP Reactivos'!BV320,'LP Reactivos'!CA320,'LP Reactivos'!CF320,'LP Reactivos'!CK320,'LP Reactivos'!CP320,'LP Reactivos'!CU320,'LP Reactivos'!CZ320,'LP Reactivos'!DE320,'LP Reactivos'!DJ320,'LP Reactivos'!DO320,'LP Reactivos'!DT320,'LP Reactivos'!DY320,'LP Reactivos'!EB320)," ")</f>
        <v>385000</v>
      </c>
      <c r="E320" s="429">
        <f>IFERROR(AVERAGE('LP Reactivos'!F320,'LP Reactivos'!I320,'LP Reactivos'!N320,'LP Reactivos'!S320,'LP Reactivos'!X320,'LP Reactivos'!AC320,'LP Reactivos'!AH320,'LP Reactivos'!AM320,'LP Reactivos'!AR320,'LP Reactivos'!AW320,'LP Reactivos'!BB320,'LP Reactivos'!BG320,'LP Reactivos'!BL320,'LP Reactivos'!BQ320,'LP Reactivos'!BV320,'LP Reactivos'!CA320,'LP Reactivos'!CF320,'LP Reactivos'!CK320,'LP Reactivos'!CP320,'LP Reactivos'!CU320,'LP Reactivos'!CZ320,'LP Reactivos'!DE320,'LP Reactivos'!DJ320,'LP Reactivos'!DO320,'LP Reactivos'!DT320,'LP Reactivos'!DY320,'LP Reactivos'!EB320)," ")</f>
        <v>1140061.9300000002</v>
      </c>
      <c r="F320" s="345">
        <f>IFERROR(MEDIAN('LP Reactivos'!F320,'LP Reactivos'!I320,'LP Reactivos'!N320,'LP Reactivos'!S320,'LP Reactivos'!X320,'LP Reactivos'!AC320,'LP Reactivos'!AH320,'LP Reactivos'!AM320,'LP Reactivos'!AR320,'LP Reactivos'!AW320,'LP Reactivos'!BB320,'LP Reactivos'!BG320,'LP Reactivos'!BL320,'LP Reactivos'!BQ320,'LP Reactivos'!BV320,'LP Reactivos'!CA320,'LP Reactivos'!CF320,'LP Reactivos'!CK320,'LP Reactivos'!CP320,'LP Reactivos'!CU320,'LP Reactivos'!CZ320,'LP Reactivos'!DE320,'LP Reactivos'!DJ320,'LP Reactivos'!DO320,'LP Reactivos'!DT320,'LP Reactivos'!DY320,'LP Reactivos'!EB320)," ")</f>
        <v>842362</v>
      </c>
      <c r="G320" s="345">
        <f>IFERROR(GEOMEAN('LP Reactivos'!F320,'LP Reactivos'!I320,'LP Reactivos'!N320,'LP Reactivos'!S320,'LP Reactivos'!X320,'LP Reactivos'!AC320,'LP Reactivos'!AH320,'LP Reactivos'!AM320,'LP Reactivos'!AR320,'LP Reactivos'!AW320,'LP Reactivos'!BB320,'LP Reactivos'!BG320,'LP Reactivos'!BL320,'LP Reactivos'!BQ320,'LP Reactivos'!BV320,'LP Reactivos'!CA320,'LP Reactivos'!CF320,'LP Reactivos'!CK320,'LP Reactivos'!CP320,'LP Reactivos'!CU320,'LP Reactivos'!CZ320,'LP Reactivos'!DE320,'LP Reactivos'!DJ320,'LP Reactivos'!DO320,'LP Reactivos'!DT320,'LP Reactivos'!DY320,'LP Reactivos'!EB320)," ")</f>
        <v>957684.52711491997</v>
      </c>
      <c r="H320" s="345">
        <f t="shared" si="20"/>
        <v>321772.71163579752</v>
      </c>
      <c r="I320" s="346">
        <f t="shared" si="21"/>
        <v>0.2822414319508042</v>
      </c>
      <c r="J320" s="345">
        <f t="shared" si="22"/>
        <v>957684.52711491997</v>
      </c>
      <c r="K320" s="344" t="str">
        <f t="shared" si="23"/>
        <v>Media Geométrica</v>
      </c>
      <c r="L320" s="326">
        <f>IFERROR(COUNTA('LP Reactivos'!F320,'LP Reactivos'!I320,'LP Reactivos'!N320,'LP Reactivos'!S320,'LP Reactivos'!X320,'LP Reactivos'!AC320,'LP Reactivos'!AH320,'LP Reactivos'!AM320,'LP Reactivos'!AR320,'LP Reactivos'!AW320,'LP Reactivos'!BB320,'LP Reactivos'!BG320,'LP Reactivos'!BL320,'LP Reactivos'!BQ320,'LP Reactivos'!BV320,'LP Reactivos'!CA320,'LP Reactivos'!CF320,'LP Reactivos'!CK320,'LP Reactivos'!CP320,'LP Reactivos'!CU320,'LP Reactivos'!CZ320,'LP Reactivos'!DE320,'LP Reactivos'!DJ320,'LP Reactivos'!DO320,'LP Reactivos'!DT320,'LP Reactivos'!DY320,'LP Reactivos'!EB320)," ")</f>
        <v>5</v>
      </c>
    </row>
    <row r="321" spans="2:12" x14ac:dyDescent="0.25">
      <c r="B321" s="425">
        <v>319</v>
      </c>
      <c r="C321" s="426" t="s">
        <v>1747</v>
      </c>
      <c r="D321" s="429">
        <f>IFERROR(MIN('LP Reactivos'!F321,'LP Reactivos'!I321,'LP Reactivos'!N321,'LP Reactivos'!S321,'LP Reactivos'!X321,'LP Reactivos'!AC321,'LP Reactivos'!AH321,'LP Reactivos'!AM321,'LP Reactivos'!AR321,'LP Reactivos'!AW321,'LP Reactivos'!BB321,'LP Reactivos'!BG321,'LP Reactivos'!BL321,'LP Reactivos'!BQ321,'LP Reactivos'!BV321,'LP Reactivos'!CA321,'LP Reactivos'!CF321,'LP Reactivos'!CK321,'LP Reactivos'!CP321,'LP Reactivos'!CU321,'LP Reactivos'!CZ321,'LP Reactivos'!DE321,'LP Reactivos'!DJ321,'LP Reactivos'!DO321,'LP Reactivos'!DT321,'LP Reactivos'!DY321,'LP Reactivos'!EB321)," ")</f>
        <v>306000</v>
      </c>
      <c r="E321" s="429">
        <f>IFERROR(AVERAGE('LP Reactivos'!F321,'LP Reactivos'!I321,'LP Reactivos'!N321,'LP Reactivos'!S321,'LP Reactivos'!X321,'LP Reactivos'!AC321,'LP Reactivos'!AH321,'LP Reactivos'!AM321,'LP Reactivos'!AR321,'LP Reactivos'!AW321,'LP Reactivos'!BB321,'LP Reactivos'!BG321,'LP Reactivos'!BL321,'LP Reactivos'!BQ321,'LP Reactivos'!BV321,'LP Reactivos'!CA321,'LP Reactivos'!CF321,'LP Reactivos'!CK321,'LP Reactivos'!CP321,'LP Reactivos'!CU321,'LP Reactivos'!CZ321,'LP Reactivos'!DE321,'LP Reactivos'!DJ321,'LP Reactivos'!DO321,'LP Reactivos'!DT321,'LP Reactivos'!DY321,'LP Reactivos'!EB321)," ")</f>
        <v>1611570.858</v>
      </c>
      <c r="F321" s="345">
        <f>IFERROR(MEDIAN('LP Reactivos'!F321,'LP Reactivos'!I321,'LP Reactivos'!N321,'LP Reactivos'!S321,'LP Reactivos'!X321,'LP Reactivos'!AC321,'LP Reactivos'!AH321,'LP Reactivos'!AM321,'LP Reactivos'!AR321,'LP Reactivos'!AW321,'LP Reactivos'!BB321,'LP Reactivos'!BG321,'LP Reactivos'!BL321,'LP Reactivos'!BQ321,'LP Reactivos'!BV321,'LP Reactivos'!CA321,'LP Reactivos'!CF321,'LP Reactivos'!CK321,'LP Reactivos'!CP321,'LP Reactivos'!CU321,'LP Reactivos'!CZ321,'LP Reactivos'!DE321,'LP Reactivos'!DJ321,'LP Reactivos'!DO321,'LP Reactivos'!DT321,'LP Reactivos'!DY321,'LP Reactivos'!EB321)," ")</f>
        <v>857362</v>
      </c>
      <c r="G321" s="345">
        <f>IFERROR(GEOMEAN('LP Reactivos'!F321,'LP Reactivos'!I321,'LP Reactivos'!N321,'LP Reactivos'!S321,'LP Reactivos'!X321,'LP Reactivos'!AC321,'LP Reactivos'!AH321,'LP Reactivos'!AM321,'LP Reactivos'!AR321,'LP Reactivos'!AW321,'LP Reactivos'!BB321,'LP Reactivos'!BG321,'LP Reactivos'!BL321,'LP Reactivos'!BQ321,'LP Reactivos'!BV321,'LP Reactivos'!CA321,'LP Reactivos'!CF321,'LP Reactivos'!CK321,'LP Reactivos'!CP321,'LP Reactivos'!CU321,'LP Reactivos'!CZ321,'LP Reactivos'!DE321,'LP Reactivos'!DJ321,'LP Reactivos'!DO321,'LP Reactivos'!DT321,'LP Reactivos'!DY321,'LP Reactivos'!EB321)," ")</f>
        <v>1035125.4776352416</v>
      </c>
      <c r="H321" s="345">
        <f t="shared" si="20"/>
        <v>537963.70807349274</v>
      </c>
      <c r="I321" s="346">
        <f t="shared" si="21"/>
        <v>0.33381325146392832</v>
      </c>
      <c r="J321" s="345">
        <f>IF(I321&lt;=10%,F321,IF(AND(I321&gt;10%,I321&lt;=20%),E321,IF(AND(I321&gt;20%,I321&lt;=34%),G321,IF(I321&gt;34%,D321))))</f>
        <v>1035125.4776352416</v>
      </c>
      <c r="K321" s="344" t="str">
        <f t="shared" si="23"/>
        <v>Media Geométrica</v>
      </c>
      <c r="L321" s="326">
        <f>IFERROR(COUNTA('LP Reactivos'!F321,'LP Reactivos'!I321,'LP Reactivos'!N321,'LP Reactivos'!S321,'LP Reactivos'!X321,'LP Reactivos'!AC321,'LP Reactivos'!AH321,'LP Reactivos'!AM321,'LP Reactivos'!AR321,'LP Reactivos'!AW321,'LP Reactivos'!BB321,'LP Reactivos'!BG321,'LP Reactivos'!BL321,'LP Reactivos'!BQ321,'LP Reactivos'!BV321,'LP Reactivos'!CA321,'LP Reactivos'!CF321,'LP Reactivos'!CK321,'LP Reactivos'!CP321,'LP Reactivos'!CU321,'LP Reactivos'!CZ321,'LP Reactivos'!DE321,'LP Reactivos'!DJ321,'LP Reactivos'!DO321,'LP Reactivos'!DT321,'LP Reactivos'!DY321,'LP Reactivos'!EB321)," ")</f>
        <v>5</v>
      </c>
    </row>
    <row r="322" spans="2:12" ht="40.5" x14ac:dyDescent="0.25">
      <c r="B322" s="425">
        <v>320</v>
      </c>
      <c r="C322" s="426" t="s">
        <v>1750</v>
      </c>
      <c r="D322" s="429">
        <f>IFERROR(MIN('LP Reactivos'!F322,'LP Reactivos'!I322,'LP Reactivos'!N322,'LP Reactivos'!S322,'LP Reactivos'!X322,'LP Reactivos'!AC322,'LP Reactivos'!AH322,'LP Reactivos'!AM322,'LP Reactivos'!AR322,'LP Reactivos'!AW322,'LP Reactivos'!BB322,'LP Reactivos'!BG322,'LP Reactivos'!BL322,'LP Reactivos'!BQ322,'LP Reactivos'!BV322,'LP Reactivos'!CA322,'LP Reactivos'!CF322,'LP Reactivos'!CK322,'LP Reactivos'!CP322,'LP Reactivos'!CU322,'LP Reactivos'!CZ322,'LP Reactivos'!DE322,'LP Reactivos'!DJ322,'LP Reactivos'!DO322,'LP Reactivos'!DT322,'LP Reactivos'!DY322,'LP Reactivos'!EB322)," ")</f>
        <v>281000</v>
      </c>
      <c r="E322" s="429">
        <f>IFERROR(AVERAGE('LP Reactivos'!F322,'LP Reactivos'!I322,'LP Reactivos'!N322,'LP Reactivos'!S322,'LP Reactivos'!X322,'LP Reactivos'!AC322,'LP Reactivos'!AH322,'LP Reactivos'!AM322,'LP Reactivos'!AR322,'LP Reactivos'!AW322,'LP Reactivos'!BB322,'LP Reactivos'!BG322,'LP Reactivos'!BL322,'LP Reactivos'!BQ322,'LP Reactivos'!BV322,'LP Reactivos'!CA322,'LP Reactivos'!CF322,'LP Reactivos'!CK322,'LP Reactivos'!CP322,'LP Reactivos'!CU322,'LP Reactivos'!CZ322,'LP Reactivos'!DE322,'LP Reactivos'!DJ322,'LP Reactivos'!DO322,'LP Reactivos'!DT322,'LP Reactivos'!DY322,'LP Reactivos'!EB322)," ")</f>
        <v>1327356.0833333333</v>
      </c>
      <c r="F322" s="345">
        <f>IFERROR(MEDIAN('LP Reactivos'!F322,'LP Reactivos'!I322,'LP Reactivos'!N322,'LP Reactivos'!S322,'LP Reactivos'!X322,'LP Reactivos'!AC322,'LP Reactivos'!AH322,'LP Reactivos'!AM322,'LP Reactivos'!AR322,'LP Reactivos'!AW322,'LP Reactivos'!BB322,'LP Reactivos'!BG322,'LP Reactivos'!BL322,'LP Reactivos'!BQ322,'LP Reactivos'!BV322,'LP Reactivos'!CA322,'LP Reactivos'!CF322,'LP Reactivos'!CK322,'LP Reactivos'!CP322,'LP Reactivos'!CU322,'LP Reactivos'!CZ322,'LP Reactivos'!DE322,'LP Reactivos'!DJ322,'LP Reactivos'!DO322,'LP Reactivos'!DT322,'LP Reactivos'!DY322,'LP Reactivos'!EB322)," ")</f>
        <v>638248.25</v>
      </c>
      <c r="G322" s="345">
        <f>IFERROR(GEOMEAN('LP Reactivos'!F322,'LP Reactivos'!I322,'LP Reactivos'!N322,'LP Reactivos'!S322,'LP Reactivos'!X322,'LP Reactivos'!AC322,'LP Reactivos'!AH322,'LP Reactivos'!AM322,'LP Reactivos'!AR322,'LP Reactivos'!AW322,'LP Reactivos'!BB322,'LP Reactivos'!BG322,'LP Reactivos'!BL322,'LP Reactivos'!BQ322,'LP Reactivos'!BV322,'LP Reactivos'!CA322,'LP Reactivos'!CF322,'LP Reactivos'!CK322,'LP Reactivos'!CP322,'LP Reactivos'!CU322,'LP Reactivos'!CZ322,'LP Reactivos'!DE322,'LP Reactivos'!DJ322,'LP Reactivos'!DO322,'LP Reactivos'!DT322,'LP Reactivos'!DY322,'LP Reactivos'!EB322)," ")</f>
        <v>819347.49867779622</v>
      </c>
      <c r="H322" s="345">
        <f t="shared" si="20"/>
        <v>435702.9435775904</v>
      </c>
      <c r="I322" s="346">
        <f t="shared" si="21"/>
        <v>0.32824872620723444</v>
      </c>
      <c r="J322" s="345">
        <f>IF(I322&lt;=10%,F322,IF(AND(I322&gt;10%,I322&lt;=20%),E322,IF(AND(I322&gt;20%,I322&lt;=33%),G322,IF(I322&gt;33%,D322))))</f>
        <v>819347.49867779622</v>
      </c>
      <c r="K322" s="344" t="str">
        <f t="shared" si="23"/>
        <v>Media Geométrica</v>
      </c>
      <c r="L322" s="326">
        <f>IFERROR(COUNTA('LP Reactivos'!F322,'LP Reactivos'!I322,'LP Reactivos'!N322,'LP Reactivos'!S322,'LP Reactivos'!X322,'LP Reactivos'!AC322,'LP Reactivos'!AH322,'LP Reactivos'!AM322,'LP Reactivos'!AR322,'LP Reactivos'!AW322,'LP Reactivos'!BB322,'LP Reactivos'!BG322,'LP Reactivos'!BL322,'LP Reactivos'!BQ322,'LP Reactivos'!BV322,'LP Reactivos'!CA322,'LP Reactivos'!CF322,'LP Reactivos'!CK322,'LP Reactivos'!CP322,'LP Reactivos'!CU322,'LP Reactivos'!CZ322,'LP Reactivos'!DE322,'LP Reactivos'!DJ322,'LP Reactivos'!DO322,'LP Reactivos'!DT322,'LP Reactivos'!DY322,'LP Reactivos'!EB322)," ")</f>
        <v>6</v>
      </c>
    </row>
    <row r="323" spans="2:12" ht="40.5" x14ac:dyDescent="0.25">
      <c r="B323" s="425">
        <v>321</v>
      </c>
      <c r="C323" s="426" t="s">
        <v>1755</v>
      </c>
      <c r="D323" s="429">
        <f>IFERROR(MIN('LP Reactivos'!F323,'LP Reactivos'!I323,'LP Reactivos'!N323,'LP Reactivos'!S323,'LP Reactivos'!X323,'LP Reactivos'!AC323,'LP Reactivos'!AH323,'LP Reactivos'!AM323,'LP Reactivos'!AR323,'LP Reactivos'!AW323,'LP Reactivos'!BB323,'LP Reactivos'!BG323,'LP Reactivos'!BL323,'LP Reactivos'!BQ323,'LP Reactivos'!BV323,'LP Reactivos'!CA323,'LP Reactivos'!CF323,'LP Reactivos'!CK323,'LP Reactivos'!CP323,'LP Reactivos'!CU323,'LP Reactivos'!CZ323,'LP Reactivos'!DE323,'LP Reactivos'!DJ323,'LP Reactivos'!DO323,'LP Reactivos'!DT323,'LP Reactivos'!DY323,'LP Reactivos'!EB323)," ")</f>
        <v>2975000</v>
      </c>
      <c r="E323" s="429">
        <f>IFERROR(AVERAGE('LP Reactivos'!F323,'LP Reactivos'!I323,'LP Reactivos'!N323,'LP Reactivos'!S323,'LP Reactivos'!X323,'LP Reactivos'!AC323,'LP Reactivos'!AH323,'LP Reactivos'!AM323,'LP Reactivos'!AR323,'LP Reactivos'!AW323,'LP Reactivos'!BB323,'LP Reactivos'!BG323,'LP Reactivos'!BL323,'LP Reactivos'!BQ323,'LP Reactivos'!BV323,'LP Reactivos'!CA323,'LP Reactivos'!CF323,'LP Reactivos'!CK323,'LP Reactivos'!CP323,'LP Reactivos'!CU323,'LP Reactivos'!CZ323,'LP Reactivos'!DE323,'LP Reactivos'!DJ323,'LP Reactivos'!DO323,'LP Reactivos'!DT323,'LP Reactivos'!DY323,'LP Reactivos'!EB323)," ")</f>
        <v>3819244</v>
      </c>
      <c r="F323" s="345">
        <f>IFERROR(MEDIAN('LP Reactivos'!F323,'LP Reactivos'!I323,'LP Reactivos'!N323,'LP Reactivos'!S323,'LP Reactivos'!X323,'LP Reactivos'!AC323,'LP Reactivos'!AH323,'LP Reactivos'!AM323,'LP Reactivos'!AR323,'LP Reactivos'!AW323,'LP Reactivos'!BB323,'LP Reactivos'!BG323,'LP Reactivos'!BL323,'LP Reactivos'!BQ323,'LP Reactivos'!BV323,'LP Reactivos'!CA323,'LP Reactivos'!CF323,'LP Reactivos'!CK323,'LP Reactivos'!CP323,'LP Reactivos'!CU323,'LP Reactivos'!CZ323,'LP Reactivos'!DE323,'LP Reactivos'!DJ323,'LP Reactivos'!DO323,'LP Reactivos'!DT323,'LP Reactivos'!DY323,'LP Reactivos'!EB323)," ")</f>
        <v>3177712</v>
      </c>
      <c r="G323" s="345">
        <f>IFERROR(GEOMEAN('LP Reactivos'!F323,'LP Reactivos'!I323,'LP Reactivos'!N323,'LP Reactivos'!S323,'LP Reactivos'!X323,'LP Reactivos'!AC323,'LP Reactivos'!AH323,'LP Reactivos'!AM323,'LP Reactivos'!AR323,'LP Reactivos'!AW323,'LP Reactivos'!BB323,'LP Reactivos'!BG323,'LP Reactivos'!BL323,'LP Reactivos'!BQ323,'LP Reactivos'!BV323,'LP Reactivos'!CA323,'LP Reactivos'!CF323,'LP Reactivos'!CK323,'LP Reactivos'!CP323,'LP Reactivos'!CU323,'LP Reactivos'!CZ323,'LP Reactivos'!DE323,'LP Reactivos'!DJ323,'LP Reactivos'!DO323,'LP Reactivos'!DT323,'LP Reactivos'!DY323,'LP Reactivos'!EB323)," ")</f>
        <v>3687761.6460869126</v>
      </c>
      <c r="H323" s="345">
        <f t="shared" si="20"/>
        <v>403202.88611942803</v>
      </c>
      <c r="I323" s="346">
        <f t="shared" si="21"/>
        <v>0.10557138693401837</v>
      </c>
      <c r="J323" s="345">
        <f t="shared" si="22"/>
        <v>3819244</v>
      </c>
      <c r="K323" s="344" t="str">
        <f t="shared" si="23"/>
        <v>Promedio</v>
      </c>
      <c r="L323" s="326">
        <f>IFERROR(COUNTA('LP Reactivos'!F323,'LP Reactivos'!I323,'LP Reactivos'!N323,'LP Reactivos'!S323,'LP Reactivos'!X323,'LP Reactivos'!AC323,'LP Reactivos'!AH323,'LP Reactivos'!AM323,'LP Reactivos'!AR323,'LP Reactivos'!AW323,'LP Reactivos'!BB323,'LP Reactivos'!BG323,'LP Reactivos'!BL323,'LP Reactivos'!BQ323,'LP Reactivos'!BV323,'LP Reactivos'!CA323,'LP Reactivos'!CF323,'LP Reactivos'!CK323,'LP Reactivos'!CP323,'LP Reactivos'!CU323,'LP Reactivos'!CZ323,'LP Reactivos'!DE323,'LP Reactivos'!DJ323,'LP Reactivos'!DO323,'LP Reactivos'!DT323,'LP Reactivos'!DY323,'LP Reactivos'!EB323)," ")</f>
        <v>3</v>
      </c>
    </row>
    <row r="324" spans="2:12" x14ac:dyDescent="0.25">
      <c r="B324" s="425">
        <v>322</v>
      </c>
      <c r="C324" s="427" t="s">
        <v>1759</v>
      </c>
      <c r="D324" s="429">
        <f>IFERROR(MIN('LP Reactivos'!F324,'LP Reactivos'!I324,'LP Reactivos'!N324,'LP Reactivos'!S324,'LP Reactivos'!X324,'LP Reactivos'!AC324,'LP Reactivos'!AH324,'LP Reactivos'!AM324,'LP Reactivos'!AR324,'LP Reactivos'!AW324,'LP Reactivos'!BB324,'LP Reactivos'!BG324,'LP Reactivos'!BL324,'LP Reactivos'!BQ324,'LP Reactivos'!BV324,'LP Reactivos'!CA324,'LP Reactivos'!CF324,'LP Reactivos'!CK324,'LP Reactivos'!CP324,'LP Reactivos'!CU324,'LP Reactivos'!CZ324,'LP Reactivos'!DE324,'LP Reactivos'!DJ324,'LP Reactivos'!DO324,'LP Reactivos'!DT324,'LP Reactivos'!DY324,'LP Reactivos'!EB324)," ")</f>
        <v>137866.26</v>
      </c>
      <c r="E324" s="429">
        <f>IFERROR(AVERAGE('LP Reactivos'!F324,'LP Reactivos'!I324,'LP Reactivos'!N324,'LP Reactivos'!S324,'LP Reactivos'!X324,'LP Reactivos'!AC324,'LP Reactivos'!AH324,'LP Reactivos'!AM324,'LP Reactivos'!AR324,'LP Reactivos'!AW324,'LP Reactivos'!BB324,'LP Reactivos'!BG324,'LP Reactivos'!BL324,'LP Reactivos'!BQ324,'LP Reactivos'!BV324,'LP Reactivos'!CA324,'LP Reactivos'!CF324,'LP Reactivos'!CK324,'LP Reactivos'!CP324,'LP Reactivos'!CU324,'LP Reactivos'!CZ324,'LP Reactivos'!DE324,'LP Reactivos'!DJ324,'LP Reactivos'!DO324,'LP Reactivos'!DT324,'LP Reactivos'!DY324,'LP Reactivos'!EB324)," ")</f>
        <v>207406.87700000001</v>
      </c>
      <c r="F324" s="345">
        <f>IFERROR(MEDIAN('LP Reactivos'!F324,'LP Reactivos'!I324,'LP Reactivos'!N324,'LP Reactivos'!S324,'LP Reactivos'!X324,'LP Reactivos'!AC324,'LP Reactivos'!AH324,'LP Reactivos'!AM324,'LP Reactivos'!AR324,'LP Reactivos'!AW324,'LP Reactivos'!BB324,'LP Reactivos'!BG324,'LP Reactivos'!BL324,'LP Reactivos'!BQ324,'LP Reactivos'!BV324,'LP Reactivos'!CA324,'LP Reactivos'!CF324,'LP Reactivos'!CK324,'LP Reactivos'!CP324,'LP Reactivos'!CU324,'LP Reactivos'!CZ324,'LP Reactivos'!DE324,'LP Reactivos'!DJ324,'LP Reactivos'!DO324,'LP Reactivos'!DT324,'LP Reactivos'!DY324,'LP Reactivos'!EB324)," ")</f>
        <v>219406.25</v>
      </c>
      <c r="G324" s="345">
        <f>IFERROR(GEOMEAN('LP Reactivos'!F324,'LP Reactivos'!I324,'LP Reactivos'!N324,'LP Reactivos'!S324,'LP Reactivos'!X324,'LP Reactivos'!AC324,'LP Reactivos'!AH324,'LP Reactivos'!AM324,'LP Reactivos'!AR324,'LP Reactivos'!AW324,'LP Reactivos'!BB324,'LP Reactivos'!BG324,'LP Reactivos'!BL324,'LP Reactivos'!BQ324,'LP Reactivos'!BV324,'LP Reactivos'!CA324,'LP Reactivos'!CF324,'LP Reactivos'!CK324,'LP Reactivos'!CP324,'LP Reactivos'!CU324,'LP Reactivos'!CZ324,'LP Reactivos'!DE324,'LP Reactivos'!DJ324,'LP Reactivos'!DO324,'LP Reactivos'!DT324,'LP Reactivos'!DY324,'LP Reactivos'!EB324)," ")</f>
        <v>201107.86982229116</v>
      </c>
      <c r="H324" s="345">
        <f t="shared" si="20"/>
        <v>36517.874340065347</v>
      </c>
      <c r="I324" s="346">
        <f t="shared" si="21"/>
        <v>0.17606877297547538</v>
      </c>
      <c r="J324" s="345">
        <f t="shared" si="22"/>
        <v>207406.87700000001</v>
      </c>
      <c r="K324" s="344" t="str">
        <f t="shared" si="23"/>
        <v>Promedio</v>
      </c>
      <c r="L324" s="326">
        <f>IFERROR(COUNTA('LP Reactivos'!F324,'LP Reactivos'!I324,'LP Reactivos'!N324,'LP Reactivos'!S324,'LP Reactivos'!X324,'LP Reactivos'!AC324,'LP Reactivos'!AH324,'LP Reactivos'!AM324,'LP Reactivos'!AR324,'LP Reactivos'!AW324,'LP Reactivos'!BB324,'LP Reactivos'!BG324,'LP Reactivos'!BL324,'LP Reactivos'!BQ324,'LP Reactivos'!BV324,'LP Reactivos'!CA324,'LP Reactivos'!CF324,'LP Reactivos'!CK324,'LP Reactivos'!CP324,'LP Reactivos'!CU324,'LP Reactivos'!CZ324,'LP Reactivos'!DE324,'LP Reactivos'!DJ324,'LP Reactivos'!DO324,'LP Reactivos'!DT324,'LP Reactivos'!DY324,'LP Reactivos'!EB324)," ")</f>
        <v>6</v>
      </c>
    </row>
    <row r="325" spans="2:12" x14ac:dyDescent="0.25">
      <c r="B325" s="425">
        <v>323</v>
      </c>
      <c r="C325" s="427" t="s">
        <v>1764</v>
      </c>
      <c r="D325" s="429">
        <f>IFERROR(MIN('LP Reactivos'!F325,'LP Reactivos'!I325,'LP Reactivos'!N325,'LP Reactivos'!S325,'LP Reactivos'!X325,'LP Reactivos'!AC325,'LP Reactivos'!AH325,'LP Reactivos'!AM325,'LP Reactivos'!AR325,'LP Reactivos'!AW325,'LP Reactivos'!BB325,'LP Reactivos'!BG325,'LP Reactivos'!BL325,'LP Reactivos'!BQ325,'LP Reactivos'!BV325,'LP Reactivos'!CA325,'LP Reactivos'!CF325,'LP Reactivos'!CK325,'LP Reactivos'!CP325,'LP Reactivos'!CU325,'LP Reactivos'!CZ325,'LP Reactivos'!DE325,'LP Reactivos'!DJ325,'LP Reactivos'!DO325,'LP Reactivos'!DT325,'LP Reactivos'!DY325,'LP Reactivos'!EB325)," ")</f>
        <v>178500</v>
      </c>
      <c r="E325" s="429">
        <f>IFERROR(AVERAGE('LP Reactivos'!F325,'LP Reactivos'!I325,'LP Reactivos'!N325,'LP Reactivos'!S325,'LP Reactivos'!X325,'LP Reactivos'!AC325,'LP Reactivos'!AH325,'LP Reactivos'!AM325,'LP Reactivos'!AR325,'LP Reactivos'!AW325,'LP Reactivos'!BB325,'LP Reactivos'!BG325,'LP Reactivos'!BL325,'LP Reactivos'!BQ325,'LP Reactivos'!BV325,'LP Reactivos'!CA325,'LP Reactivos'!CF325,'LP Reactivos'!CK325,'LP Reactivos'!CP325,'LP Reactivos'!CU325,'LP Reactivos'!CZ325,'LP Reactivos'!DE325,'LP Reactivos'!DJ325,'LP Reactivos'!DO325,'LP Reactivos'!DT325,'LP Reactivos'!DY325,'LP Reactivos'!EB325)," ")</f>
        <v>259748.78700000001</v>
      </c>
      <c r="F325" s="345">
        <f>IFERROR(MEDIAN('LP Reactivos'!F325,'LP Reactivos'!I325,'LP Reactivos'!N325,'LP Reactivos'!S325,'LP Reactivos'!X325,'LP Reactivos'!AC325,'LP Reactivos'!AH325,'LP Reactivos'!AM325,'LP Reactivos'!AR325,'LP Reactivos'!AW325,'LP Reactivos'!BB325,'LP Reactivos'!BG325,'LP Reactivos'!BL325,'LP Reactivos'!BQ325,'LP Reactivos'!BV325,'LP Reactivos'!CA325,'LP Reactivos'!CF325,'LP Reactivos'!CK325,'LP Reactivos'!CP325,'LP Reactivos'!CU325,'LP Reactivos'!CZ325,'LP Reactivos'!DE325,'LP Reactivos'!DJ325,'LP Reactivos'!DO325,'LP Reactivos'!DT325,'LP Reactivos'!DY325,'LP Reactivos'!EB325)," ")</f>
        <v>241084.361</v>
      </c>
      <c r="G325" s="345">
        <f>IFERROR(GEOMEAN('LP Reactivos'!F325,'LP Reactivos'!I325,'LP Reactivos'!N325,'LP Reactivos'!S325,'LP Reactivos'!X325,'LP Reactivos'!AC325,'LP Reactivos'!AH325,'LP Reactivos'!AM325,'LP Reactivos'!AR325,'LP Reactivos'!AW325,'LP Reactivos'!BB325,'LP Reactivos'!BG325,'LP Reactivos'!BL325,'LP Reactivos'!BQ325,'LP Reactivos'!BV325,'LP Reactivos'!CA325,'LP Reactivos'!CF325,'LP Reactivos'!CK325,'LP Reactivos'!CP325,'LP Reactivos'!CU325,'LP Reactivos'!CZ325,'LP Reactivos'!DE325,'LP Reactivos'!DJ325,'LP Reactivos'!DO325,'LP Reactivos'!DT325,'LP Reactivos'!DY325,'LP Reactivos'!EB325)," ")</f>
        <v>249620.44110956151</v>
      </c>
      <c r="H325" s="345">
        <f t="shared" si="20"/>
        <v>36628.874796612523</v>
      </c>
      <c r="I325" s="346">
        <f t="shared" si="21"/>
        <v>0.14101653840105333</v>
      </c>
      <c r="J325" s="345">
        <f t="shared" si="22"/>
        <v>259748.78700000001</v>
      </c>
      <c r="K325" s="344" t="str">
        <f t="shared" si="23"/>
        <v>Promedio</v>
      </c>
      <c r="L325" s="326">
        <f>IFERROR(COUNTA('LP Reactivos'!F325,'LP Reactivos'!I325,'LP Reactivos'!N325,'LP Reactivos'!S325,'LP Reactivos'!X325,'LP Reactivos'!AC325,'LP Reactivos'!AH325,'LP Reactivos'!AM325,'LP Reactivos'!AR325,'LP Reactivos'!AW325,'LP Reactivos'!BB325,'LP Reactivos'!BG325,'LP Reactivos'!BL325,'LP Reactivos'!BQ325,'LP Reactivos'!BV325,'LP Reactivos'!CA325,'LP Reactivos'!CF325,'LP Reactivos'!CK325,'LP Reactivos'!CP325,'LP Reactivos'!CU325,'LP Reactivos'!CZ325,'LP Reactivos'!DE325,'LP Reactivos'!DJ325,'LP Reactivos'!DO325,'LP Reactivos'!DT325,'LP Reactivos'!DY325,'LP Reactivos'!EB325)," ")</f>
        <v>6</v>
      </c>
    </row>
    <row r="326" spans="2:12" x14ac:dyDescent="0.25">
      <c r="B326" s="425">
        <v>324</v>
      </c>
      <c r="C326" s="427" t="s">
        <v>1769</v>
      </c>
      <c r="D326" s="429">
        <f>IFERROR(MIN('LP Reactivos'!F326,'LP Reactivos'!I326,'LP Reactivos'!N326,'LP Reactivos'!S326,'LP Reactivos'!X326,'LP Reactivos'!AC326,'LP Reactivos'!AH326,'LP Reactivos'!AM326,'LP Reactivos'!AR326,'LP Reactivos'!AW326,'LP Reactivos'!BB326,'LP Reactivos'!BG326,'LP Reactivos'!BL326,'LP Reactivos'!BQ326,'LP Reactivos'!BV326,'LP Reactivos'!CA326,'LP Reactivos'!CF326,'LP Reactivos'!CK326,'LP Reactivos'!CP326,'LP Reactivos'!CU326,'LP Reactivos'!CZ326,'LP Reactivos'!DE326,'LP Reactivos'!DJ326,'LP Reactivos'!DO326,'LP Reactivos'!DT326,'LP Reactivos'!DY326,'LP Reactivos'!EB326)," ")</f>
        <v>81250</v>
      </c>
      <c r="E326" s="429">
        <f>IFERROR(AVERAGE('LP Reactivos'!F326,'LP Reactivos'!I326,'LP Reactivos'!N326,'LP Reactivos'!S326,'LP Reactivos'!X326,'LP Reactivos'!AC326,'LP Reactivos'!AH326,'LP Reactivos'!AM326,'LP Reactivos'!AR326,'LP Reactivos'!AW326,'LP Reactivos'!BB326,'LP Reactivos'!BG326,'LP Reactivos'!BL326,'LP Reactivos'!BQ326,'LP Reactivos'!BV326,'LP Reactivos'!CA326,'LP Reactivos'!CF326,'LP Reactivos'!CK326,'LP Reactivos'!CP326,'LP Reactivos'!CU326,'LP Reactivos'!CZ326,'LP Reactivos'!DE326,'LP Reactivos'!DJ326,'LP Reactivos'!DO326,'LP Reactivos'!DT326,'LP Reactivos'!DY326,'LP Reactivos'!EB326)," ")</f>
        <v>95570.85</v>
      </c>
      <c r="F326" s="345">
        <f>IFERROR(MEDIAN('LP Reactivos'!F326,'LP Reactivos'!I326,'LP Reactivos'!N326,'LP Reactivos'!S326,'LP Reactivos'!X326,'LP Reactivos'!AC326,'LP Reactivos'!AH326,'LP Reactivos'!AM326,'LP Reactivos'!AR326,'LP Reactivos'!AW326,'LP Reactivos'!BB326,'LP Reactivos'!BG326,'LP Reactivos'!BL326,'LP Reactivos'!BQ326,'LP Reactivos'!BV326,'LP Reactivos'!CA326,'LP Reactivos'!CF326,'LP Reactivos'!CK326,'LP Reactivos'!CP326,'LP Reactivos'!CU326,'LP Reactivos'!CZ326,'LP Reactivos'!DE326,'LP Reactivos'!DJ326,'LP Reactivos'!DO326,'LP Reactivos'!DT326,'LP Reactivos'!DY326,'LP Reactivos'!EB326)," ")</f>
        <v>94010</v>
      </c>
      <c r="G326" s="345">
        <f>IFERROR(GEOMEAN('LP Reactivos'!F326,'LP Reactivos'!I326,'LP Reactivos'!N326,'LP Reactivos'!S326,'LP Reactivos'!X326,'LP Reactivos'!AC326,'LP Reactivos'!AH326,'LP Reactivos'!AM326,'LP Reactivos'!AR326,'LP Reactivos'!AW326,'LP Reactivos'!BB326,'LP Reactivos'!BG326,'LP Reactivos'!BL326,'LP Reactivos'!BQ326,'LP Reactivos'!BV326,'LP Reactivos'!CA326,'LP Reactivos'!CF326,'LP Reactivos'!CK326,'LP Reactivos'!CP326,'LP Reactivos'!CU326,'LP Reactivos'!CZ326,'LP Reactivos'!DE326,'LP Reactivos'!DJ326,'LP Reactivos'!DO326,'LP Reactivos'!DT326,'LP Reactivos'!DY326,'LP Reactivos'!EB326)," ")</f>
        <v>94817.731301261883</v>
      </c>
      <c r="H326" s="345">
        <f t="shared" si="20"/>
        <v>6804.6769929320726</v>
      </c>
      <c r="I326" s="346">
        <f t="shared" si="21"/>
        <v>7.1200339778625721E-2</v>
      </c>
      <c r="J326" s="345">
        <f t="shared" si="22"/>
        <v>94010</v>
      </c>
      <c r="K326" s="344" t="str">
        <f t="shared" si="23"/>
        <v>Mediana</v>
      </c>
      <c r="L326" s="326">
        <f>IFERROR(COUNTA('LP Reactivos'!F326,'LP Reactivos'!I326,'LP Reactivos'!N326,'LP Reactivos'!S326,'LP Reactivos'!X326,'LP Reactivos'!AC326,'LP Reactivos'!AH326,'LP Reactivos'!AM326,'LP Reactivos'!AR326,'LP Reactivos'!AW326,'LP Reactivos'!BB326,'LP Reactivos'!BG326,'LP Reactivos'!BL326,'LP Reactivos'!BQ326,'LP Reactivos'!BV326,'LP Reactivos'!CA326,'LP Reactivos'!CF326,'LP Reactivos'!CK326,'LP Reactivos'!CP326,'LP Reactivos'!CU326,'LP Reactivos'!CZ326,'LP Reactivos'!DE326,'LP Reactivos'!DJ326,'LP Reactivos'!DO326,'LP Reactivos'!DT326,'LP Reactivos'!DY326,'LP Reactivos'!EB326)," ")</f>
        <v>4</v>
      </c>
    </row>
    <row r="327" spans="2:12" x14ac:dyDescent="0.25">
      <c r="B327" s="425">
        <v>325</v>
      </c>
      <c r="C327" s="427" t="s">
        <v>1773</v>
      </c>
      <c r="D327" s="429">
        <f>IFERROR(MIN('LP Reactivos'!F327,'LP Reactivos'!I327,'LP Reactivos'!N327,'LP Reactivos'!S327,'LP Reactivos'!X327,'LP Reactivos'!AC327,'LP Reactivos'!AH327,'LP Reactivos'!AM327,'LP Reactivos'!AR327,'LP Reactivos'!AW327,'LP Reactivos'!BB327,'LP Reactivos'!BG327,'LP Reactivos'!BL327,'LP Reactivos'!BQ327,'LP Reactivos'!BV327,'LP Reactivos'!CA327,'LP Reactivos'!CF327,'LP Reactivos'!CK327,'LP Reactivos'!CP327,'LP Reactivos'!CU327,'LP Reactivos'!CZ327,'LP Reactivos'!DE327,'LP Reactivos'!DJ327,'LP Reactivos'!DO327,'LP Reactivos'!DT327,'LP Reactivos'!DY327,'LP Reactivos'!EB327)," ")</f>
        <v>346290</v>
      </c>
      <c r="E327" s="429">
        <f>IFERROR(AVERAGE('LP Reactivos'!F327,'LP Reactivos'!I327,'LP Reactivos'!N327,'LP Reactivos'!S327,'LP Reactivos'!X327,'LP Reactivos'!AC327,'LP Reactivos'!AH327,'LP Reactivos'!AM327,'LP Reactivos'!AR327,'LP Reactivos'!AW327,'LP Reactivos'!BB327,'LP Reactivos'!BG327,'LP Reactivos'!BL327,'LP Reactivos'!BQ327,'LP Reactivos'!BV327,'LP Reactivos'!CA327,'LP Reactivos'!CF327,'LP Reactivos'!CK327,'LP Reactivos'!CP327,'LP Reactivos'!CU327,'LP Reactivos'!CZ327,'LP Reactivos'!DE327,'LP Reactivos'!DJ327,'LP Reactivos'!DO327,'LP Reactivos'!DT327,'LP Reactivos'!DY327,'LP Reactivos'!EB327)," ")</f>
        <v>494483.22279999999</v>
      </c>
      <c r="F327" s="345">
        <f>IFERROR(MEDIAN('LP Reactivos'!F327,'LP Reactivos'!I327,'LP Reactivos'!N327,'LP Reactivos'!S327,'LP Reactivos'!X327,'LP Reactivos'!AC327,'LP Reactivos'!AH327,'LP Reactivos'!AM327,'LP Reactivos'!AR327,'LP Reactivos'!AW327,'LP Reactivos'!BB327,'LP Reactivos'!BG327,'LP Reactivos'!BL327,'LP Reactivos'!BQ327,'LP Reactivos'!BV327,'LP Reactivos'!CA327,'LP Reactivos'!CF327,'LP Reactivos'!CK327,'LP Reactivos'!CP327,'LP Reactivos'!CU327,'LP Reactivos'!CZ327,'LP Reactivos'!DE327,'LP Reactivos'!DJ327,'LP Reactivos'!DO327,'LP Reactivos'!DT327,'LP Reactivos'!DY327,'LP Reactivos'!EB327)," ")</f>
        <v>500237.44400000002</v>
      </c>
      <c r="G327" s="345">
        <f>IFERROR(GEOMEAN('LP Reactivos'!F327,'LP Reactivos'!I327,'LP Reactivos'!N327,'LP Reactivos'!S327,'LP Reactivos'!X327,'LP Reactivos'!AC327,'LP Reactivos'!AH327,'LP Reactivos'!AM327,'LP Reactivos'!AR327,'LP Reactivos'!AW327,'LP Reactivos'!BB327,'LP Reactivos'!BG327,'LP Reactivos'!BL327,'LP Reactivos'!BQ327,'LP Reactivos'!BV327,'LP Reactivos'!CA327,'LP Reactivos'!CF327,'LP Reactivos'!CK327,'LP Reactivos'!CP327,'LP Reactivos'!CU327,'LP Reactivos'!CZ327,'LP Reactivos'!DE327,'LP Reactivos'!DJ327,'LP Reactivos'!DO327,'LP Reactivos'!DT327,'LP Reactivos'!DY327,'LP Reactivos'!EB327)," ")</f>
        <v>479882.85084079456</v>
      </c>
      <c r="H327" s="345">
        <f t="shared" si="20"/>
        <v>73125.854969016989</v>
      </c>
      <c r="I327" s="346">
        <f t="shared" si="21"/>
        <v>0.14788338935938716</v>
      </c>
      <c r="J327" s="345">
        <f t="shared" si="22"/>
        <v>494483.22279999999</v>
      </c>
      <c r="K327" s="344" t="str">
        <f t="shared" si="23"/>
        <v>Promedio</v>
      </c>
      <c r="L327" s="326">
        <f>IFERROR(COUNTA('LP Reactivos'!F327,'LP Reactivos'!I327,'LP Reactivos'!N327,'LP Reactivos'!S327,'LP Reactivos'!X327,'LP Reactivos'!AC327,'LP Reactivos'!AH327,'LP Reactivos'!AM327,'LP Reactivos'!AR327,'LP Reactivos'!AW327,'LP Reactivos'!BB327,'LP Reactivos'!BG327,'LP Reactivos'!BL327,'LP Reactivos'!BQ327,'LP Reactivos'!BV327,'LP Reactivos'!CA327,'LP Reactivos'!CF327,'LP Reactivos'!CK327,'LP Reactivos'!CP327,'LP Reactivos'!CU327,'LP Reactivos'!CZ327,'LP Reactivos'!DE327,'LP Reactivos'!DJ327,'LP Reactivos'!DO327,'LP Reactivos'!DT327,'LP Reactivos'!DY327,'LP Reactivos'!EB327)," ")</f>
        <v>5</v>
      </c>
    </row>
    <row r="328" spans="2:12" x14ac:dyDescent="0.25">
      <c r="B328" s="425">
        <v>326</v>
      </c>
      <c r="C328" s="427" t="s">
        <v>1778</v>
      </c>
      <c r="D328" s="429">
        <f>IFERROR(MIN('LP Reactivos'!F328,'LP Reactivos'!I328,'LP Reactivos'!N328,'LP Reactivos'!S328,'LP Reactivos'!X328,'LP Reactivos'!AC328,'LP Reactivos'!AH328,'LP Reactivos'!AM328,'LP Reactivos'!AR328,'LP Reactivos'!AW328,'LP Reactivos'!BB328,'LP Reactivos'!BG328,'LP Reactivos'!BL328,'LP Reactivos'!BQ328,'LP Reactivos'!BV328,'LP Reactivos'!CA328,'LP Reactivos'!CF328,'LP Reactivos'!CK328,'LP Reactivos'!CP328,'LP Reactivos'!CU328,'LP Reactivos'!CZ328,'LP Reactivos'!DE328,'LP Reactivos'!DJ328,'LP Reactivos'!DO328,'LP Reactivos'!DT328,'LP Reactivos'!DY328,'LP Reactivos'!EB328)," ")</f>
        <v>2152961.09</v>
      </c>
      <c r="E328" s="429">
        <f>IFERROR(AVERAGE('LP Reactivos'!F328,'LP Reactivos'!I328,'LP Reactivos'!N328,'LP Reactivos'!S328,'LP Reactivos'!X328,'LP Reactivos'!AC328,'LP Reactivos'!AH328,'LP Reactivos'!AM328,'LP Reactivos'!AR328,'LP Reactivos'!AW328,'LP Reactivos'!BB328,'LP Reactivos'!BG328,'LP Reactivos'!BL328,'LP Reactivos'!BQ328,'LP Reactivos'!BV328,'LP Reactivos'!CA328,'LP Reactivos'!CF328,'LP Reactivos'!CK328,'LP Reactivos'!CP328,'LP Reactivos'!CU328,'LP Reactivos'!CZ328,'LP Reactivos'!DE328,'LP Reactivos'!DJ328,'LP Reactivos'!DO328,'LP Reactivos'!DT328,'LP Reactivos'!DY328,'LP Reactivos'!EB328)," ")</f>
        <v>2152961.09</v>
      </c>
      <c r="F328" s="345">
        <f>IFERROR(MEDIAN('LP Reactivos'!F328,'LP Reactivos'!I328,'LP Reactivos'!N328,'LP Reactivos'!S328,'LP Reactivos'!X328,'LP Reactivos'!AC328,'LP Reactivos'!AH328,'LP Reactivos'!AM328,'LP Reactivos'!AR328,'LP Reactivos'!AW328,'LP Reactivos'!BB328,'LP Reactivos'!BG328,'LP Reactivos'!BL328,'LP Reactivos'!BQ328,'LP Reactivos'!BV328,'LP Reactivos'!CA328,'LP Reactivos'!CF328,'LP Reactivos'!CK328,'LP Reactivos'!CP328,'LP Reactivos'!CU328,'LP Reactivos'!CZ328,'LP Reactivos'!DE328,'LP Reactivos'!DJ328,'LP Reactivos'!DO328,'LP Reactivos'!DT328,'LP Reactivos'!DY328,'LP Reactivos'!EB328)," ")</f>
        <v>2152961.09</v>
      </c>
      <c r="G328" s="345">
        <f>IFERROR(GEOMEAN('LP Reactivos'!F328,'LP Reactivos'!I328,'LP Reactivos'!N328,'LP Reactivos'!S328,'LP Reactivos'!X328,'LP Reactivos'!AC328,'LP Reactivos'!AH328,'LP Reactivos'!AM328,'LP Reactivos'!AR328,'LP Reactivos'!AW328,'LP Reactivos'!BB328,'LP Reactivos'!BG328,'LP Reactivos'!BL328,'LP Reactivos'!BQ328,'LP Reactivos'!BV328,'LP Reactivos'!CA328,'LP Reactivos'!CF328,'LP Reactivos'!CK328,'LP Reactivos'!CP328,'LP Reactivos'!CU328,'LP Reactivos'!CZ328,'LP Reactivos'!DE328,'LP Reactivos'!DJ328,'LP Reactivos'!DO328,'LP Reactivos'!DT328,'LP Reactivos'!DY328,'LP Reactivos'!EB328)," ")</f>
        <v>2152961.09</v>
      </c>
      <c r="H328" s="345">
        <f t="shared" si="20"/>
        <v>0</v>
      </c>
      <c r="I328" s="346">
        <f t="shared" si="21"/>
        <v>0</v>
      </c>
      <c r="J328" s="345">
        <f t="shared" si="22"/>
        <v>2152961.09</v>
      </c>
      <c r="K328" s="344" t="str">
        <f t="shared" si="23"/>
        <v>Menor Valor</v>
      </c>
      <c r="L328" s="326">
        <f>IFERROR(COUNTA('LP Reactivos'!F328,'LP Reactivos'!I328,'LP Reactivos'!N328,'LP Reactivos'!S328,'LP Reactivos'!X328,'LP Reactivos'!AC328,'LP Reactivos'!AH328,'LP Reactivos'!AM328,'LP Reactivos'!AR328,'LP Reactivos'!AW328,'LP Reactivos'!BB328,'LP Reactivos'!BG328,'LP Reactivos'!BL328,'LP Reactivos'!BQ328,'LP Reactivos'!BV328,'LP Reactivos'!CA328,'LP Reactivos'!CF328,'LP Reactivos'!CK328,'LP Reactivos'!CP328,'LP Reactivos'!CU328,'LP Reactivos'!CZ328,'LP Reactivos'!DE328,'LP Reactivos'!DJ328,'LP Reactivos'!DO328,'LP Reactivos'!DT328,'LP Reactivos'!DY328,'LP Reactivos'!EB328)," ")</f>
        <v>1</v>
      </c>
    </row>
    <row r="329" spans="2:12" x14ac:dyDescent="0.25">
      <c r="B329" s="425">
        <v>327</v>
      </c>
      <c r="C329" s="427" t="s">
        <v>1781</v>
      </c>
      <c r="D329" s="429">
        <f>IFERROR(MIN('LP Reactivos'!F329,'LP Reactivos'!I329,'LP Reactivos'!N329,'LP Reactivos'!S329,'LP Reactivos'!X329,'LP Reactivos'!AC329,'LP Reactivos'!AH329,'LP Reactivos'!AM329,'LP Reactivos'!AR329,'LP Reactivos'!AW329,'LP Reactivos'!BB329,'LP Reactivos'!BG329,'LP Reactivos'!BL329,'LP Reactivos'!BQ329,'LP Reactivos'!BV329,'LP Reactivos'!CA329,'LP Reactivos'!CF329,'LP Reactivos'!CK329,'LP Reactivos'!CP329,'LP Reactivos'!CU329,'LP Reactivos'!CZ329,'LP Reactivos'!DE329,'LP Reactivos'!DJ329,'LP Reactivos'!DO329,'LP Reactivos'!DT329,'LP Reactivos'!DY329,'LP Reactivos'!EB329)," ")</f>
        <v>95200</v>
      </c>
      <c r="E329" s="429">
        <f>IFERROR(AVERAGE('LP Reactivos'!F329,'LP Reactivos'!I329,'LP Reactivos'!N329,'LP Reactivos'!S329,'LP Reactivos'!X329,'LP Reactivos'!AC329,'LP Reactivos'!AH329,'LP Reactivos'!AM329,'LP Reactivos'!AR329,'LP Reactivos'!AW329,'LP Reactivos'!BB329,'LP Reactivos'!BG329,'LP Reactivos'!BL329,'LP Reactivos'!BQ329,'LP Reactivos'!BV329,'LP Reactivos'!CA329,'LP Reactivos'!CF329,'LP Reactivos'!CK329,'LP Reactivos'!CP329,'LP Reactivos'!CU329,'LP Reactivos'!CZ329,'LP Reactivos'!DE329,'LP Reactivos'!DJ329,'LP Reactivos'!DO329,'LP Reactivos'!DT329,'LP Reactivos'!DY329,'LP Reactivos'!EB329)," ")</f>
        <v>251158.14079999999</v>
      </c>
      <c r="F329" s="345">
        <f>IFERROR(MEDIAN('LP Reactivos'!F329,'LP Reactivos'!I329,'LP Reactivos'!N329,'LP Reactivos'!S329,'LP Reactivos'!X329,'LP Reactivos'!AC329,'LP Reactivos'!AH329,'LP Reactivos'!AM329,'LP Reactivos'!AR329,'LP Reactivos'!AW329,'LP Reactivos'!BB329,'LP Reactivos'!BG329,'LP Reactivos'!BL329,'LP Reactivos'!BQ329,'LP Reactivos'!BV329,'LP Reactivos'!CA329,'LP Reactivos'!CF329,'LP Reactivos'!CK329,'LP Reactivos'!CP329,'LP Reactivos'!CU329,'LP Reactivos'!CZ329,'LP Reactivos'!DE329,'LP Reactivos'!DJ329,'LP Reactivos'!DO329,'LP Reactivos'!DT329,'LP Reactivos'!DY329,'LP Reactivos'!EB329)," ")</f>
        <v>274711.5</v>
      </c>
      <c r="G329" s="345">
        <f>IFERROR(GEOMEAN('LP Reactivos'!F329,'LP Reactivos'!I329,'LP Reactivos'!N329,'LP Reactivos'!S329,'LP Reactivos'!X329,'LP Reactivos'!AC329,'LP Reactivos'!AH329,'LP Reactivos'!AM329,'LP Reactivos'!AR329,'LP Reactivos'!AW329,'LP Reactivos'!BB329,'LP Reactivos'!BG329,'LP Reactivos'!BL329,'LP Reactivos'!BQ329,'LP Reactivos'!BV329,'LP Reactivos'!CA329,'LP Reactivos'!CF329,'LP Reactivos'!CK329,'LP Reactivos'!CP329,'LP Reactivos'!CU329,'LP Reactivos'!CZ329,'LP Reactivos'!DE329,'LP Reactivos'!DJ329,'LP Reactivos'!DO329,'LP Reactivos'!DT329,'LP Reactivos'!DY329,'LP Reactivos'!EB329)," ")</f>
        <v>218648.21058995841</v>
      </c>
      <c r="H329" s="345">
        <f t="shared" si="20"/>
        <v>79865.266607396145</v>
      </c>
      <c r="I329" s="346">
        <f t="shared" si="21"/>
        <v>0.31798796707526888</v>
      </c>
      <c r="J329" s="345">
        <f>IF(I329&lt;=10%,F329,IF(AND(I329&gt;10%,I329&lt;=20%),E329,IF(AND(I329&gt;20%,I329&lt;=32%),G329,IF(I329&gt;32%,D329))))</f>
        <v>218648.21058995841</v>
      </c>
      <c r="K329" s="344" t="str">
        <f t="shared" si="23"/>
        <v>Media Geométrica</v>
      </c>
      <c r="L329" s="326">
        <f>IFERROR(COUNTA('LP Reactivos'!F329,'LP Reactivos'!I329,'LP Reactivos'!N329,'LP Reactivos'!S329,'LP Reactivos'!X329,'LP Reactivos'!AC329,'LP Reactivos'!AH329,'LP Reactivos'!AM329,'LP Reactivos'!AR329,'LP Reactivos'!AW329,'LP Reactivos'!BB329,'LP Reactivos'!BG329,'LP Reactivos'!BL329,'LP Reactivos'!BQ329,'LP Reactivos'!BV329,'LP Reactivos'!CA329,'LP Reactivos'!CF329,'LP Reactivos'!CK329,'LP Reactivos'!CP329,'LP Reactivos'!CU329,'LP Reactivos'!CZ329,'LP Reactivos'!DE329,'LP Reactivos'!DJ329,'LP Reactivos'!DO329,'LP Reactivos'!DT329,'LP Reactivos'!DY329,'LP Reactivos'!EB329)," ")</f>
        <v>5</v>
      </c>
    </row>
    <row r="330" spans="2:12" x14ac:dyDescent="0.25">
      <c r="B330" s="425">
        <v>328</v>
      </c>
      <c r="C330" s="427" t="s">
        <v>1785</v>
      </c>
      <c r="D330" s="429">
        <f>IFERROR(MIN('LP Reactivos'!F330,'LP Reactivos'!I330,'LP Reactivos'!N330,'LP Reactivos'!S330,'LP Reactivos'!X330,'LP Reactivos'!AC330,'LP Reactivos'!AH330,'LP Reactivos'!AM330,'LP Reactivos'!AR330,'LP Reactivos'!AW330,'LP Reactivos'!BB330,'LP Reactivos'!BG330,'LP Reactivos'!BL330,'LP Reactivos'!BQ330,'LP Reactivos'!BV330,'LP Reactivos'!CA330,'LP Reactivos'!CF330,'LP Reactivos'!CK330,'LP Reactivos'!CP330,'LP Reactivos'!CU330,'LP Reactivos'!CZ330,'LP Reactivos'!DE330,'LP Reactivos'!DJ330,'LP Reactivos'!DO330,'LP Reactivos'!DT330,'LP Reactivos'!DY330,'LP Reactivos'!EB330)," ")</f>
        <v>95200</v>
      </c>
      <c r="E330" s="429">
        <f>IFERROR(AVERAGE('LP Reactivos'!F330,'LP Reactivos'!I330,'LP Reactivos'!N330,'LP Reactivos'!S330,'LP Reactivos'!X330,'LP Reactivos'!AC330,'LP Reactivos'!AH330,'LP Reactivos'!AM330,'LP Reactivos'!AR330,'LP Reactivos'!AW330,'LP Reactivos'!BB330,'LP Reactivos'!BG330,'LP Reactivos'!BL330,'LP Reactivos'!BQ330,'LP Reactivos'!BV330,'LP Reactivos'!CA330,'LP Reactivos'!CF330,'LP Reactivos'!CK330,'LP Reactivos'!CP330,'LP Reactivos'!CU330,'LP Reactivos'!CZ330,'LP Reactivos'!DE330,'LP Reactivos'!DJ330,'LP Reactivos'!DO330,'LP Reactivos'!DT330,'LP Reactivos'!DY330,'LP Reactivos'!EB330)," ")</f>
        <v>346808.16399999999</v>
      </c>
      <c r="F330" s="345">
        <f>IFERROR(MEDIAN('LP Reactivos'!F330,'LP Reactivos'!I330,'LP Reactivos'!N330,'LP Reactivos'!S330,'LP Reactivos'!X330,'LP Reactivos'!AC330,'LP Reactivos'!AH330,'LP Reactivos'!AM330,'LP Reactivos'!AR330,'LP Reactivos'!AW330,'LP Reactivos'!BB330,'LP Reactivos'!BG330,'LP Reactivos'!BL330,'LP Reactivos'!BQ330,'LP Reactivos'!BV330,'LP Reactivos'!CA330,'LP Reactivos'!CF330,'LP Reactivos'!CK330,'LP Reactivos'!CP330,'LP Reactivos'!CU330,'LP Reactivos'!CZ330,'LP Reactivos'!DE330,'LP Reactivos'!DJ330,'LP Reactivos'!DO330,'LP Reactivos'!DT330,'LP Reactivos'!DY330,'LP Reactivos'!EB330)," ")</f>
        <v>238070</v>
      </c>
      <c r="G330" s="345">
        <f>IFERROR(GEOMEAN('LP Reactivos'!F330,'LP Reactivos'!I330,'LP Reactivos'!N330,'LP Reactivos'!S330,'LP Reactivos'!X330,'LP Reactivos'!AC330,'LP Reactivos'!AH330,'LP Reactivos'!AM330,'LP Reactivos'!AR330,'LP Reactivos'!AW330,'LP Reactivos'!BB330,'LP Reactivos'!BG330,'LP Reactivos'!BL330,'LP Reactivos'!BQ330,'LP Reactivos'!BV330,'LP Reactivos'!CA330,'LP Reactivos'!CF330,'LP Reactivos'!CK330,'LP Reactivos'!CP330,'LP Reactivos'!CU330,'LP Reactivos'!CZ330,'LP Reactivos'!DE330,'LP Reactivos'!DJ330,'LP Reactivos'!DO330,'LP Reactivos'!DT330,'LP Reactivos'!DY330,'LP Reactivos'!EB330)," ")</f>
        <v>267872.58794330753</v>
      </c>
      <c r="H330" s="345">
        <f t="shared" si="20"/>
        <v>105070.34764230644</v>
      </c>
      <c r="I330" s="346">
        <f t="shared" si="21"/>
        <v>0.30296388190650103</v>
      </c>
      <c r="J330" s="345">
        <f>IF(I330&lt;=10%,F330,IF(AND(I330&gt;10%,I330&lt;=20%),E330,IF(AND(I330&gt;20%,I330&lt;=31%),G330,IF(I330&gt;31%,D330))))</f>
        <v>267872.58794330753</v>
      </c>
      <c r="K330" s="344" t="str">
        <f t="shared" si="23"/>
        <v>Media Geométrica</v>
      </c>
      <c r="L330" s="326">
        <f>IFERROR(COUNTA('LP Reactivos'!F330,'LP Reactivos'!I330,'LP Reactivos'!N330,'LP Reactivos'!S330,'LP Reactivos'!X330,'LP Reactivos'!AC330,'LP Reactivos'!AH330,'LP Reactivos'!AM330,'LP Reactivos'!AR330,'LP Reactivos'!AW330,'LP Reactivos'!BB330,'LP Reactivos'!BG330,'LP Reactivos'!BL330,'LP Reactivos'!BQ330,'LP Reactivos'!BV330,'LP Reactivos'!CA330,'LP Reactivos'!CF330,'LP Reactivos'!CK330,'LP Reactivos'!CP330,'LP Reactivos'!CU330,'LP Reactivos'!CZ330,'LP Reactivos'!DE330,'LP Reactivos'!DJ330,'LP Reactivos'!DO330,'LP Reactivos'!DT330,'LP Reactivos'!DY330,'LP Reactivos'!EB330)," ")</f>
        <v>7</v>
      </c>
    </row>
    <row r="331" spans="2:12" ht="27" x14ac:dyDescent="0.25">
      <c r="B331" s="425">
        <v>329</v>
      </c>
      <c r="C331" s="413" t="s">
        <v>1789</v>
      </c>
      <c r="D331" s="429">
        <f>IFERROR(MIN('LP Reactivos'!F331,'LP Reactivos'!I331,'LP Reactivos'!N331,'LP Reactivos'!S331,'LP Reactivos'!X331,'LP Reactivos'!AC331,'LP Reactivos'!AH331,'LP Reactivos'!AM331,'LP Reactivos'!AR331,'LP Reactivos'!AW331,'LP Reactivos'!BB331,'LP Reactivos'!BG331,'LP Reactivos'!BL331,'LP Reactivos'!BQ331,'LP Reactivos'!BV331,'LP Reactivos'!CA331,'LP Reactivos'!CF331,'LP Reactivos'!CK331,'LP Reactivos'!CP331,'LP Reactivos'!CU331,'LP Reactivos'!CZ331,'LP Reactivos'!DE331,'LP Reactivos'!DJ331,'LP Reactivos'!DO331,'LP Reactivos'!DT331,'LP Reactivos'!DY331,'LP Reactivos'!EB331)," ")</f>
        <v>477987.3</v>
      </c>
      <c r="E331" s="429">
        <f>IFERROR(AVERAGE('LP Reactivos'!F331,'LP Reactivos'!I331,'LP Reactivos'!N331,'LP Reactivos'!S331,'LP Reactivos'!X331,'LP Reactivos'!AC331,'LP Reactivos'!AH331,'LP Reactivos'!AM331,'LP Reactivos'!AR331,'LP Reactivos'!AW331,'LP Reactivos'!BB331,'LP Reactivos'!BG331,'LP Reactivos'!BL331,'LP Reactivos'!BQ331,'LP Reactivos'!BV331,'LP Reactivos'!CA331,'LP Reactivos'!CF331,'LP Reactivos'!CK331,'LP Reactivos'!CP331,'LP Reactivos'!CU331,'LP Reactivos'!CZ331,'LP Reactivos'!DE331,'LP Reactivos'!DJ331,'LP Reactivos'!DO331,'LP Reactivos'!DT331,'LP Reactivos'!DY331,'LP Reactivos'!EB331)," ")</f>
        <v>1841989.0999999999</v>
      </c>
      <c r="F331" s="345">
        <f>IFERROR(MEDIAN('LP Reactivos'!F331,'LP Reactivos'!I331,'LP Reactivos'!N331,'LP Reactivos'!S331,'LP Reactivos'!X331,'LP Reactivos'!AC331,'LP Reactivos'!AH331,'LP Reactivos'!AM331,'LP Reactivos'!AR331,'LP Reactivos'!AW331,'LP Reactivos'!BB331,'LP Reactivos'!BG331,'LP Reactivos'!BL331,'LP Reactivos'!BQ331,'LP Reactivos'!BV331,'LP Reactivos'!CA331,'LP Reactivos'!CF331,'LP Reactivos'!CK331,'LP Reactivos'!CP331,'LP Reactivos'!CU331,'LP Reactivos'!CZ331,'LP Reactivos'!DE331,'LP Reactivos'!DJ331,'LP Reactivos'!DO331,'LP Reactivos'!DT331,'LP Reactivos'!DY331,'LP Reactivos'!EB331)," ")</f>
        <v>1069810</v>
      </c>
      <c r="G331" s="345">
        <f>IFERROR(GEOMEAN('LP Reactivos'!F331,'LP Reactivos'!I331,'LP Reactivos'!N331,'LP Reactivos'!S331,'LP Reactivos'!X331,'LP Reactivos'!AC331,'LP Reactivos'!AH331,'LP Reactivos'!AM331,'LP Reactivos'!AR331,'LP Reactivos'!AW331,'LP Reactivos'!BB331,'LP Reactivos'!BG331,'LP Reactivos'!BL331,'LP Reactivos'!BQ331,'LP Reactivos'!BV331,'LP Reactivos'!CA331,'LP Reactivos'!CF331,'LP Reactivos'!CK331,'LP Reactivos'!CP331,'LP Reactivos'!CU331,'LP Reactivos'!CZ331,'LP Reactivos'!DE331,'LP Reactivos'!DJ331,'LP Reactivos'!DO331,'LP Reactivos'!DT331,'LP Reactivos'!DY331,'LP Reactivos'!EB331)," ")</f>
        <v>1267074.3992738773</v>
      </c>
      <c r="H331" s="345">
        <f t="shared" si="20"/>
        <v>562665.84130723123</v>
      </c>
      <c r="I331" s="346">
        <f t="shared" si="21"/>
        <v>0.30546643370866378</v>
      </c>
      <c r="J331" s="345">
        <f>IF(I331&lt;=10%,F331,IF(AND(I331&gt;10%,I331&lt;=20%),E331,IF(AND(I331&gt;20%,I331&lt;=31%),G331,IF(I331&gt;31%,D331))))</f>
        <v>1267074.3992738773</v>
      </c>
      <c r="K331" s="344" t="str">
        <f t="shared" si="23"/>
        <v>Media Geométrica</v>
      </c>
      <c r="L331" s="326">
        <f>IFERROR(COUNTA('LP Reactivos'!F331,'LP Reactivos'!I331,'LP Reactivos'!N331,'LP Reactivos'!S331,'LP Reactivos'!X331,'LP Reactivos'!AC331,'LP Reactivos'!AH331,'LP Reactivos'!AM331,'LP Reactivos'!AR331,'LP Reactivos'!AW331,'LP Reactivos'!BB331,'LP Reactivos'!BG331,'LP Reactivos'!BL331,'LP Reactivos'!BQ331,'LP Reactivos'!BV331,'LP Reactivos'!CA331,'LP Reactivos'!CF331,'LP Reactivos'!CK331,'LP Reactivos'!CP331,'LP Reactivos'!CU331,'LP Reactivos'!CZ331,'LP Reactivos'!DE331,'LP Reactivos'!DJ331,'LP Reactivos'!DO331,'LP Reactivos'!DT331,'LP Reactivos'!DY331,'LP Reactivos'!EB331)," ")</f>
        <v>3</v>
      </c>
    </row>
    <row r="332" spans="2:12" x14ac:dyDescent="0.25">
      <c r="B332" s="425">
        <v>330</v>
      </c>
      <c r="C332" s="427" t="s">
        <v>1795</v>
      </c>
      <c r="D332" s="429">
        <f>IFERROR(MIN('LP Reactivos'!F332,'LP Reactivos'!I332,'LP Reactivos'!N332,'LP Reactivos'!S332,'LP Reactivos'!X332,'LP Reactivos'!AC332,'LP Reactivos'!AH332,'LP Reactivos'!AM332,'LP Reactivos'!AR332,'LP Reactivos'!AW332,'LP Reactivos'!BB332,'LP Reactivos'!BG332,'LP Reactivos'!BL332,'LP Reactivos'!BQ332,'LP Reactivos'!BV332,'LP Reactivos'!CA332,'LP Reactivos'!CF332,'LP Reactivos'!CK332,'LP Reactivos'!CP332,'LP Reactivos'!CU332,'LP Reactivos'!CZ332,'LP Reactivos'!DE332,'LP Reactivos'!DJ332,'LP Reactivos'!DO332,'LP Reactivos'!DT332,'LP Reactivos'!DY332,'LP Reactivos'!EB332)," ")</f>
        <v>78540</v>
      </c>
      <c r="E332" s="429">
        <f>IFERROR(AVERAGE('LP Reactivos'!F332,'LP Reactivos'!I332,'LP Reactivos'!N332,'LP Reactivos'!S332,'LP Reactivos'!X332,'LP Reactivos'!AC332,'LP Reactivos'!AH332,'LP Reactivos'!AM332,'LP Reactivos'!AR332,'LP Reactivos'!AW332,'LP Reactivos'!BB332,'LP Reactivos'!BG332,'LP Reactivos'!BL332,'LP Reactivos'!BQ332,'LP Reactivos'!BV332,'LP Reactivos'!CA332,'LP Reactivos'!CF332,'LP Reactivos'!CK332,'LP Reactivos'!CP332,'LP Reactivos'!CU332,'LP Reactivos'!CZ332,'LP Reactivos'!DE332,'LP Reactivos'!DJ332,'LP Reactivos'!DO332,'LP Reactivos'!DT332,'LP Reactivos'!DY332,'LP Reactivos'!EB332)," ")</f>
        <v>185139.02</v>
      </c>
      <c r="F332" s="345">
        <f>IFERROR(MEDIAN('LP Reactivos'!F332,'LP Reactivos'!I332,'LP Reactivos'!N332,'LP Reactivos'!S332,'LP Reactivos'!X332,'LP Reactivos'!AC332,'LP Reactivos'!AH332,'LP Reactivos'!AM332,'LP Reactivos'!AR332,'LP Reactivos'!AW332,'LP Reactivos'!BB332,'LP Reactivos'!BG332,'LP Reactivos'!BL332,'LP Reactivos'!BQ332,'LP Reactivos'!BV332,'LP Reactivos'!CA332,'LP Reactivos'!CF332,'LP Reactivos'!CK332,'LP Reactivos'!CP332,'LP Reactivos'!CU332,'LP Reactivos'!CZ332,'LP Reactivos'!DE332,'LP Reactivos'!DJ332,'LP Reactivos'!DO332,'LP Reactivos'!DT332,'LP Reactivos'!DY332,'LP Reactivos'!EB332)," ")</f>
        <v>118173</v>
      </c>
      <c r="G332" s="345">
        <f>IFERROR(GEOMEAN('LP Reactivos'!F332,'LP Reactivos'!I332,'LP Reactivos'!N332,'LP Reactivos'!S332,'LP Reactivos'!X332,'LP Reactivos'!AC332,'LP Reactivos'!AH332,'LP Reactivos'!AM332,'LP Reactivos'!AR332,'LP Reactivos'!AW332,'LP Reactivos'!BB332,'LP Reactivos'!BG332,'LP Reactivos'!BL332,'LP Reactivos'!BQ332,'LP Reactivos'!BV332,'LP Reactivos'!CA332,'LP Reactivos'!CF332,'LP Reactivos'!CK332,'LP Reactivos'!CP332,'LP Reactivos'!CU332,'LP Reactivos'!CZ332,'LP Reactivos'!DE332,'LP Reactivos'!DJ332,'LP Reactivos'!DO332,'LP Reactivos'!DT332,'LP Reactivos'!DY332,'LP Reactivos'!EB332)," ")</f>
        <v>151726.15805635721</v>
      </c>
      <c r="H332" s="345">
        <f t="shared" si="20"/>
        <v>45659.081862639607</v>
      </c>
      <c r="I332" s="346">
        <f t="shared" si="21"/>
        <v>0.2466205225815693</v>
      </c>
      <c r="J332" s="345">
        <f t="shared" si="22"/>
        <v>151726.15805635721</v>
      </c>
      <c r="K332" s="344" t="str">
        <f t="shared" si="23"/>
        <v>Media Geométrica</v>
      </c>
      <c r="L332" s="326">
        <f>IFERROR(COUNTA('LP Reactivos'!F332,'LP Reactivos'!I332,'LP Reactivos'!N332,'LP Reactivos'!S332,'LP Reactivos'!X332,'LP Reactivos'!AC332,'LP Reactivos'!AH332,'LP Reactivos'!AM332,'LP Reactivos'!AR332,'LP Reactivos'!AW332,'LP Reactivos'!BB332,'LP Reactivos'!BG332,'LP Reactivos'!BL332,'LP Reactivos'!BQ332,'LP Reactivos'!BV332,'LP Reactivos'!CA332,'LP Reactivos'!CF332,'LP Reactivos'!CK332,'LP Reactivos'!CP332,'LP Reactivos'!CU332,'LP Reactivos'!CZ332,'LP Reactivos'!DE332,'LP Reactivos'!DJ332,'LP Reactivos'!DO332,'LP Reactivos'!DT332,'LP Reactivos'!DY332,'LP Reactivos'!EB332)," ")</f>
        <v>5</v>
      </c>
    </row>
    <row r="333" spans="2:12" ht="40.5" x14ac:dyDescent="0.25">
      <c r="B333" s="425">
        <v>331</v>
      </c>
      <c r="C333" s="427" t="s">
        <v>1800</v>
      </c>
      <c r="D333" s="429">
        <f>IFERROR(MIN('LP Reactivos'!F333,'LP Reactivos'!I333,'LP Reactivos'!N333,'LP Reactivos'!S333,'LP Reactivos'!X333,'LP Reactivos'!AC333,'LP Reactivos'!AH333,'LP Reactivos'!AM333,'LP Reactivos'!AR333,'LP Reactivos'!AW333,'LP Reactivos'!BB333,'LP Reactivos'!BG333,'LP Reactivos'!BL333,'LP Reactivos'!BQ333,'LP Reactivos'!BV333,'LP Reactivos'!CA333,'LP Reactivos'!CF333,'LP Reactivos'!CK333,'LP Reactivos'!CP333,'LP Reactivos'!CU333,'LP Reactivos'!CZ333,'LP Reactivos'!DE333,'LP Reactivos'!DJ333,'LP Reactivos'!DO333,'LP Reactivos'!DT333,'LP Reactivos'!DY333,'LP Reactivos'!EB333)," ")</f>
        <v>1722358</v>
      </c>
      <c r="E333" s="429">
        <f>IFERROR(AVERAGE('LP Reactivos'!F333,'LP Reactivos'!I333,'LP Reactivos'!N333,'LP Reactivos'!S333,'LP Reactivos'!X333,'LP Reactivos'!AC333,'LP Reactivos'!AH333,'LP Reactivos'!AM333,'LP Reactivos'!AR333,'LP Reactivos'!AW333,'LP Reactivos'!BB333,'LP Reactivos'!BG333,'LP Reactivos'!BL333,'LP Reactivos'!BQ333,'LP Reactivos'!BV333,'LP Reactivos'!CA333,'LP Reactivos'!CF333,'LP Reactivos'!CK333,'LP Reactivos'!CP333,'LP Reactivos'!CU333,'LP Reactivos'!CZ333,'LP Reactivos'!DE333,'LP Reactivos'!DJ333,'LP Reactivos'!DO333,'LP Reactivos'!DT333,'LP Reactivos'!DY333,'LP Reactivos'!EB333)," ")</f>
        <v>3705279</v>
      </c>
      <c r="F333" s="345">
        <f>IFERROR(MEDIAN('LP Reactivos'!F333,'LP Reactivos'!I333,'LP Reactivos'!N333,'LP Reactivos'!S333,'LP Reactivos'!X333,'LP Reactivos'!AC333,'LP Reactivos'!AH333,'LP Reactivos'!AM333,'LP Reactivos'!AR333,'LP Reactivos'!AW333,'LP Reactivos'!BB333,'LP Reactivos'!BG333,'LP Reactivos'!BL333,'LP Reactivos'!BQ333,'LP Reactivos'!BV333,'LP Reactivos'!CA333,'LP Reactivos'!CF333,'LP Reactivos'!CK333,'LP Reactivos'!CP333,'LP Reactivos'!CU333,'LP Reactivos'!CZ333,'LP Reactivos'!DE333,'LP Reactivos'!DJ333,'LP Reactivos'!DO333,'LP Reactivos'!DT333,'LP Reactivos'!DY333,'LP Reactivos'!EB333)," ")</f>
        <v>3705279</v>
      </c>
      <c r="G333" s="345">
        <f>IFERROR(GEOMEAN('LP Reactivos'!F333,'LP Reactivos'!I333,'LP Reactivos'!N333,'LP Reactivos'!S333,'LP Reactivos'!X333,'LP Reactivos'!AC333,'LP Reactivos'!AH333,'LP Reactivos'!AM333,'LP Reactivos'!AR333,'LP Reactivos'!AW333,'LP Reactivos'!BB333,'LP Reactivos'!BG333,'LP Reactivos'!BL333,'LP Reactivos'!BQ333,'LP Reactivos'!BV333,'LP Reactivos'!CA333,'LP Reactivos'!CF333,'LP Reactivos'!CK333,'LP Reactivos'!CP333,'LP Reactivos'!CU333,'LP Reactivos'!CZ333,'LP Reactivos'!DE333,'LP Reactivos'!DJ333,'LP Reactivos'!DO333,'LP Reactivos'!DT333,'LP Reactivos'!DY333,'LP Reactivos'!EB333)," ")</f>
        <v>3130034.6284985412</v>
      </c>
      <c r="H333" s="345">
        <f t="shared" si="20"/>
        <v>935740.217189544</v>
      </c>
      <c r="I333" s="346">
        <f t="shared" si="21"/>
        <v>0.25254244476314575</v>
      </c>
      <c r="J333" s="345">
        <f t="shared" si="22"/>
        <v>3130034.6284985412</v>
      </c>
      <c r="K333" s="344" t="str">
        <f t="shared" si="23"/>
        <v>Media Geométrica</v>
      </c>
      <c r="L333" s="326">
        <f>IFERROR(COUNTA('LP Reactivos'!F333,'LP Reactivos'!I333,'LP Reactivos'!N333,'LP Reactivos'!S333,'LP Reactivos'!X333,'LP Reactivos'!AC333,'LP Reactivos'!AH333,'LP Reactivos'!AM333,'LP Reactivos'!AR333,'LP Reactivos'!AW333,'LP Reactivos'!BB333,'LP Reactivos'!BG333,'LP Reactivos'!BL333,'LP Reactivos'!BQ333,'LP Reactivos'!BV333,'LP Reactivos'!CA333,'LP Reactivos'!CF333,'LP Reactivos'!CK333,'LP Reactivos'!CP333,'LP Reactivos'!CU333,'LP Reactivos'!CZ333,'LP Reactivos'!DE333,'LP Reactivos'!DJ333,'LP Reactivos'!DO333,'LP Reactivos'!DT333,'LP Reactivos'!DY333,'LP Reactivos'!EB333)," ")</f>
        <v>2</v>
      </c>
    </row>
    <row r="334" spans="2:12" x14ac:dyDescent="0.25">
      <c r="B334" s="425">
        <v>332</v>
      </c>
      <c r="C334" s="413" t="s">
        <v>1803</v>
      </c>
      <c r="D334" s="429">
        <f>IFERROR(MIN('LP Reactivos'!F334,'LP Reactivos'!I334,'LP Reactivos'!N334,'LP Reactivos'!S334,'LP Reactivos'!X334,'LP Reactivos'!AC334,'LP Reactivos'!AH334,'LP Reactivos'!AM334,'LP Reactivos'!AR334,'LP Reactivos'!AW334,'LP Reactivos'!BB334,'LP Reactivos'!BG334,'LP Reactivos'!BL334,'LP Reactivos'!BQ334,'LP Reactivos'!BV334,'LP Reactivos'!CA334,'LP Reactivos'!CF334,'LP Reactivos'!CK334,'LP Reactivos'!CP334,'LP Reactivos'!CU334,'LP Reactivos'!CZ334,'LP Reactivos'!DE334,'LP Reactivos'!DJ334,'LP Reactivos'!DO334,'LP Reactivos'!DT334,'LP Reactivos'!DY334,'LP Reactivos'!EB334)," ")</f>
        <v>223407</v>
      </c>
      <c r="E334" s="429">
        <f>IFERROR(AVERAGE('LP Reactivos'!F334,'LP Reactivos'!I334,'LP Reactivos'!N334,'LP Reactivos'!S334,'LP Reactivos'!X334,'LP Reactivos'!AC334,'LP Reactivos'!AH334,'LP Reactivos'!AM334,'LP Reactivos'!AR334,'LP Reactivos'!AW334,'LP Reactivos'!BB334,'LP Reactivos'!BG334,'LP Reactivos'!BL334,'LP Reactivos'!BQ334,'LP Reactivos'!BV334,'LP Reactivos'!CA334,'LP Reactivos'!CF334,'LP Reactivos'!CK334,'LP Reactivos'!CP334,'LP Reactivos'!CU334,'LP Reactivos'!CZ334,'LP Reactivos'!DE334,'LP Reactivos'!DJ334,'LP Reactivos'!DO334,'LP Reactivos'!DT334,'LP Reactivos'!DY334,'LP Reactivos'!EB334)," ")</f>
        <v>452351.6</v>
      </c>
      <c r="F334" s="345">
        <f>IFERROR(MEDIAN('LP Reactivos'!F334,'LP Reactivos'!I334,'LP Reactivos'!N334,'LP Reactivos'!S334,'LP Reactivos'!X334,'LP Reactivos'!AC334,'LP Reactivos'!AH334,'LP Reactivos'!AM334,'LP Reactivos'!AR334,'LP Reactivos'!AW334,'LP Reactivos'!BB334,'LP Reactivos'!BG334,'LP Reactivos'!BL334,'LP Reactivos'!BQ334,'LP Reactivos'!BV334,'LP Reactivos'!CA334,'LP Reactivos'!CF334,'LP Reactivos'!CK334,'LP Reactivos'!CP334,'LP Reactivos'!CU334,'LP Reactivos'!CZ334,'LP Reactivos'!DE334,'LP Reactivos'!DJ334,'LP Reactivos'!DO334,'LP Reactivos'!DT334,'LP Reactivos'!DY334,'LP Reactivos'!EB334)," ")</f>
        <v>437920</v>
      </c>
      <c r="G334" s="345">
        <f>IFERROR(GEOMEAN('LP Reactivos'!F334,'LP Reactivos'!I334,'LP Reactivos'!N334,'LP Reactivos'!S334,'LP Reactivos'!X334,'LP Reactivos'!AC334,'LP Reactivos'!AH334,'LP Reactivos'!AM334,'LP Reactivos'!AR334,'LP Reactivos'!AW334,'LP Reactivos'!BB334,'LP Reactivos'!BG334,'LP Reactivos'!BL334,'LP Reactivos'!BQ334,'LP Reactivos'!BV334,'LP Reactivos'!CA334,'LP Reactivos'!CF334,'LP Reactivos'!CK334,'LP Reactivos'!CP334,'LP Reactivos'!CU334,'LP Reactivos'!CZ334,'LP Reactivos'!DE334,'LP Reactivos'!DJ334,'LP Reactivos'!DO334,'LP Reactivos'!DT334,'LP Reactivos'!DY334,'LP Reactivos'!EB334)," ")</f>
        <v>423155.6139159922</v>
      </c>
      <c r="H334" s="345">
        <f t="shared" si="20"/>
        <v>107861.65119337464</v>
      </c>
      <c r="I334" s="346">
        <f t="shared" si="21"/>
        <v>0.23844648983970576</v>
      </c>
      <c r="J334" s="345">
        <f t="shared" si="22"/>
        <v>423155.6139159922</v>
      </c>
      <c r="K334" s="344" t="str">
        <f t="shared" si="23"/>
        <v>Media Geométrica</v>
      </c>
      <c r="L334" s="326">
        <f>IFERROR(COUNTA('LP Reactivos'!F334,'LP Reactivos'!I334,'LP Reactivos'!N334,'LP Reactivos'!S334,'LP Reactivos'!X334,'LP Reactivos'!AC334,'LP Reactivos'!AH334,'LP Reactivos'!AM334,'LP Reactivos'!AR334,'LP Reactivos'!AW334,'LP Reactivos'!BB334,'LP Reactivos'!BG334,'LP Reactivos'!BL334,'LP Reactivos'!BQ334,'LP Reactivos'!BV334,'LP Reactivos'!CA334,'LP Reactivos'!CF334,'LP Reactivos'!CK334,'LP Reactivos'!CP334,'LP Reactivos'!CU334,'LP Reactivos'!CZ334,'LP Reactivos'!DE334,'LP Reactivos'!DJ334,'LP Reactivos'!DO334,'LP Reactivos'!DT334,'LP Reactivos'!DY334,'LP Reactivos'!EB334)," ")</f>
        <v>5</v>
      </c>
    </row>
    <row r="335" spans="2:12" x14ac:dyDescent="0.25">
      <c r="B335" s="425">
        <v>333</v>
      </c>
      <c r="C335" s="427" t="s">
        <v>1809</v>
      </c>
      <c r="D335" s="429">
        <f>IFERROR(MIN('LP Reactivos'!F335,'LP Reactivos'!I335,'LP Reactivos'!N335,'LP Reactivos'!S335,'LP Reactivos'!X335,'LP Reactivos'!AC335,'LP Reactivos'!AH335,'LP Reactivos'!AM335,'LP Reactivos'!AR335,'LP Reactivos'!AW335,'LP Reactivos'!BB335,'LP Reactivos'!BG335,'LP Reactivos'!BL335,'LP Reactivos'!BQ335,'LP Reactivos'!BV335,'LP Reactivos'!CA335,'LP Reactivos'!CF335,'LP Reactivos'!CK335,'LP Reactivos'!CP335,'LP Reactivos'!CU335,'LP Reactivos'!CZ335,'LP Reactivos'!DE335,'LP Reactivos'!DJ335,'LP Reactivos'!DO335,'LP Reactivos'!DT335,'LP Reactivos'!DY335,'LP Reactivos'!EB335)," ")</f>
        <v>2192433</v>
      </c>
      <c r="E335" s="429">
        <f>IFERROR(AVERAGE('LP Reactivos'!F335,'LP Reactivos'!I335,'LP Reactivos'!N335,'LP Reactivos'!S335,'LP Reactivos'!X335,'LP Reactivos'!AC335,'LP Reactivos'!AH335,'LP Reactivos'!AM335,'LP Reactivos'!AR335,'LP Reactivos'!AW335,'LP Reactivos'!BB335,'LP Reactivos'!BG335,'LP Reactivos'!BL335,'LP Reactivos'!BQ335,'LP Reactivos'!BV335,'LP Reactivos'!CA335,'LP Reactivos'!CF335,'LP Reactivos'!CK335,'LP Reactivos'!CP335,'LP Reactivos'!CU335,'LP Reactivos'!CZ335,'LP Reactivos'!DE335,'LP Reactivos'!DJ335,'LP Reactivos'!DO335,'LP Reactivos'!DT335,'LP Reactivos'!DY335,'LP Reactivos'!EB335)," ")</f>
        <v>2192433</v>
      </c>
      <c r="F335" s="345">
        <f>IFERROR(MEDIAN('LP Reactivos'!F335,'LP Reactivos'!I335,'LP Reactivos'!N335,'LP Reactivos'!S335,'LP Reactivos'!X335,'LP Reactivos'!AC335,'LP Reactivos'!AH335,'LP Reactivos'!AM335,'LP Reactivos'!AR335,'LP Reactivos'!AW335,'LP Reactivos'!BB335,'LP Reactivos'!BG335,'LP Reactivos'!BL335,'LP Reactivos'!BQ335,'LP Reactivos'!BV335,'LP Reactivos'!CA335,'LP Reactivos'!CF335,'LP Reactivos'!CK335,'LP Reactivos'!CP335,'LP Reactivos'!CU335,'LP Reactivos'!CZ335,'LP Reactivos'!DE335,'LP Reactivos'!DJ335,'LP Reactivos'!DO335,'LP Reactivos'!DT335,'LP Reactivos'!DY335,'LP Reactivos'!EB335)," ")</f>
        <v>2192433</v>
      </c>
      <c r="G335" s="345">
        <f>IFERROR(GEOMEAN('LP Reactivos'!F335,'LP Reactivos'!I335,'LP Reactivos'!N335,'LP Reactivos'!S335,'LP Reactivos'!X335,'LP Reactivos'!AC335,'LP Reactivos'!AH335,'LP Reactivos'!AM335,'LP Reactivos'!AR335,'LP Reactivos'!AW335,'LP Reactivos'!BB335,'LP Reactivos'!BG335,'LP Reactivos'!BL335,'LP Reactivos'!BQ335,'LP Reactivos'!BV335,'LP Reactivos'!CA335,'LP Reactivos'!CF335,'LP Reactivos'!CK335,'LP Reactivos'!CP335,'LP Reactivos'!CU335,'LP Reactivos'!CZ335,'LP Reactivos'!DE335,'LP Reactivos'!DJ335,'LP Reactivos'!DO335,'LP Reactivos'!DT335,'LP Reactivos'!DY335,'LP Reactivos'!EB335)," ")</f>
        <v>2192433</v>
      </c>
      <c r="H335" s="345">
        <f t="shared" si="20"/>
        <v>0</v>
      </c>
      <c r="I335" s="346">
        <f t="shared" si="21"/>
        <v>0</v>
      </c>
      <c r="J335" s="345">
        <f t="shared" si="22"/>
        <v>2192433</v>
      </c>
      <c r="K335" s="344" t="str">
        <f t="shared" si="23"/>
        <v>Menor Valor</v>
      </c>
      <c r="L335" s="326">
        <f>IFERROR(COUNTA('LP Reactivos'!F335,'LP Reactivos'!I335,'LP Reactivos'!N335,'LP Reactivos'!S335,'LP Reactivos'!X335,'LP Reactivos'!AC335,'LP Reactivos'!AH335,'LP Reactivos'!AM335,'LP Reactivos'!AR335,'LP Reactivos'!AW335,'LP Reactivos'!BB335,'LP Reactivos'!BG335,'LP Reactivos'!BL335,'LP Reactivos'!BQ335,'LP Reactivos'!BV335,'LP Reactivos'!CA335,'LP Reactivos'!CF335,'LP Reactivos'!CK335,'LP Reactivos'!CP335,'LP Reactivos'!CU335,'LP Reactivos'!CZ335,'LP Reactivos'!DE335,'LP Reactivos'!DJ335,'LP Reactivos'!DO335,'LP Reactivos'!DT335,'LP Reactivos'!DY335,'LP Reactivos'!EB335)," ")</f>
        <v>1</v>
      </c>
    </row>
    <row r="336" spans="2:12" x14ac:dyDescent="0.25">
      <c r="B336" s="425">
        <v>334</v>
      </c>
      <c r="C336" s="413" t="s">
        <v>1813</v>
      </c>
      <c r="D336" s="429">
        <f>IFERROR(MIN('LP Reactivos'!F336,'LP Reactivos'!I336,'LP Reactivos'!N336,'LP Reactivos'!S336,'LP Reactivos'!X336,'LP Reactivos'!AC336,'LP Reactivos'!AH336,'LP Reactivos'!AM336,'LP Reactivos'!AR336,'LP Reactivos'!AW336,'LP Reactivos'!BB336,'LP Reactivos'!BG336,'LP Reactivos'!BL336,'LP Reactivos'!BQ336,'LP Reactivos'!BV336,'LP Reactivos'!CA336,'LP Reactivos'!CF336,'LP Reactivos'!CK336,'LP Reactivos'!CP336,'LP Reactivos'!CU336,'LP Reactivos'!CZ336,'LP Reactivos'!DE336,'LP Reactivos'!DJ336,'LP Reactivos'!DO336,'LP Reactivos'!DT336,'LP Reactivos'!DY336,'LP Reactivos'!EB336)," ")</f>
        <v>184270</v>
      </c>
      <c r="E336" s="429">
        <f>IFERROR(AVERAGE('LP Reactivos'!F336,'LP Reactivos'!I336,'LP Reactivos'!N336,'LP Reactivos'!S336,'LP Reactivos'!X336,'LP Reactivos'!AC336,'LP Reactivos'!AH336,'LP Reactivos'!AM336,'LP Reactivos'!AR336,'LP Reactivos'!AW336,'LP Reactivos'!BB336,'LP Reactivos'!BG336,'LP Reactivos'!BL336,'LP Reactivos'!BQ336,'LP Reactivos'!BV336,'LP Reactivos'!CA336,'LP Reactivos'!CF336,'LP Reactivos'!CK336,'LP Reactivos'!CP336,'LP Reactivos'!CU336,'LP Reactivos'!CZ336,'LP Reactivos'!DE336,'LP Reactivos'!DJ336,'LP Reactivos'!DO336,'LP Reactivos'!DT336,'LP Reactivos'!DY336,'LP Reactivos'!EB336)," ")</f>
        <v>697980.35466666671</v>
      </c>
      <c r="F336" s="345">
        <f>IFERROR(MEDIAN('LP Reactivos'!F336,'LP Reactivos'!I336,'LP Reactivos'!N336,'LP Reactivos'!S336,'LP Reactivos'!X336,'LP Reactivos'!AC336,'LP Reactivos'!AH336,'LP Reactivos'!AM336,'LP Reactivos'!AR336,'LP Reactivos'!AW336,'LP Reactivos'!BB336,'LP Reactivos'!BG336,'LP Reactivos'!BL336,'LP Reactivos'!BQ336,'LP Reactivos'!BV336,'LP Reactivos'!CA336,'LP Reactivos'!CF336,'LP Reactivos'!CK336,'LP Reactivos'!CP336,'LP Reactivos'!CU336,'LP Reactivos'!CZ336,'LP Reactivos'!DE336,'LP Reactivos'!DJ336,'LP Reactivos'!DO336,'LP Reactivos'!DT336,'LP Reactivos'!DY336,'LP Reactivos'!EB336)," ")</f>
        <v>416500</v>
      </c>
      <c r="G336" s="345">
        <f>IFERROR(GEOMEAN('LP Reactivos'!F336,'LP Reactivos'!I336,'LP Reactivos'!N336,'LP Reactivos'!S336,'LP Reactivos'!X336,'LP Reactivos'!AC336,'LP Reactivos'!AH336,'LP Reactivos'!AM336,'LP Reactivos'!AR336,'LP Reactivos'!AW336,'LP Reactivos'!BB336,'LP Reactivos'!BG336,'LP Reactivos'!BL336,'LP Reactivos'!BQ336,'LP Reactivos'!BV336,'LP Reactivos'!CA336,'LP Reactivos'!CF336,'LP Reactivos'!CK336,'LP Reactivos'!CP336,'LP Reactivos'!CU336,'LP Reactivos'!CZ336,'LP Reactivos'!DE336,'LP Reactivos'!DJ336,'LP Reactivos'!DO336,'LP Reactivos'!DT336,'LP Reactivos'!DY336,'LP Reactivos'!EB336)," ")</f>
        <v>485727.92130511551</v>
      </c>
      <c r="H336" s="345">
        <f t="shared" si="20"/>
        <v>211695.68770776314</v>
      </c>
      <c r="I336" s="346">
        <f t="shared" si="21"/>
        <v>0.30329748723209021</v>
      </c>
      <c r="J336" s="345">
        <f>IF(I336&lt;=10%,F336,IF(AND(I336&gt;10%,I336&lt;=20%),E336,IF(AND(I336&gt;20%,I336&lt;=31%),G336,IF(I336&gt;31%,D336))))</f>
        <v>485727.92130511551</v>
      </c>
      <c r="K336" s="344" t="str">
        <f t="shared" si="23"/>
        <v>Media Geométrica</v>
      </c>
      <c r="L336" s="326">
        <f>IFERROR(COUNTA('LP Reactivos'!F336,'LP Reactivos'!I336,'LP Reactivos'!N336,'LP Reactivos'!S336,'LP Reactivos'!X336,'LP Reactivos'!AC336,'LP Reactivos'!AH336,'LP Reactivos'!AM336,'LP Reactivos'!AR336,'LP Reactivos'!AW336,'LP Reactivos'!BB336,'LP Reactivos'!BG336,'LP Reactivos'!BL336,'LP Reactivos'!BQ336,'LP Reactivos'!BV336,'LP Reactivos'!CA336,'LP Reactivos'!CF336,'LP Reactivos'!CK336,'LP Reactivos'!CP336,'LP Reactivos'!CU336,'LP Reactivos'!CZ336,'LP Reactivos'!DE336,'LP Reactivos'!DJ336,'LP Reactivos'!DO336,'LP Reactivos'!DT336,'LP Reactivos'!DY336,'LP Reactivos'!EB336)," ")</f>
        <v>3</v>
      </c>
    </row>
    <row r="337" spans="2:12" x14ac:dyDescent="0.25">
      <c r="B337" s="425">
        <v>335</v>
      </c>
      <c r="C337" s="427" t="s">
        <v>1816</v>
      </c>
      <c r="D337" s="429">
        <f>IFERROR(MIN('LP Reactivos'!F337,'LP Reactivos'!I337,'LP Reactivos'!N337,'LP Reactivos'!S337,'LP Reactivos'!X337,'LP Reactivos'!AC337,'LP Reactivos'!AH337,'LP Reactivos'!AM337,'LP Reactivos'!AR337,'LP Reactivos'!AW337,'LP Reactivos'!BB337,'LP Reactivos'!BG337,'LP Reactivos'!BL337,'LP Reactivos'!BQ337,'LP Reactivos'!BV337,'LP Reactivos'!CA337,'LP Reactivos'!CF337,'LP Reactivos'!CK337,'LP Reactivos'!CP337,'LP Reactivos'!CU337,'LP Reactivos'!CZ337,'LP Reactivos'!DE337,'LP Reactivos'!DJ337,'LP Reactivos'!DO337,'LP Reactivos'!DT337,'LP Reactivos'!DY337,'LP Reactivos'!EB337)," ")</f>
        <v>164701.7156</v>
      </c>
      <c r="E337" s="429">
        <f>IFERROR(AVERAGE('LP Reactivos'!F337,'LP Reactivos'!I337,'LP Reactivos'!N337,'LP Reactivos'!S337,'LP Reactivos'!X337,'LP Reactivos'!AC337,'LP Reactivos'!AH337,'LP Reactivos'!AM337,'LP Reactivos'!AR337,'LP Reactivos'!AW337,'LP Reactivos'!BB337,'LP Reactivos'!BG337,'LP Reactivos'!BL337,'LP Reactivos'!BQ337,'LP Reactivos'!BV337,'LP Reactivos'!CA337,'LP Reactivos'!CF337,'LP Reactivos'!CK337,'LP Reactivos'!CP337,'LP Reactivos'!CU337,'LP Reactivos'!CZ337,'LP Reactivos'!DE337,'LP Reactivos'!DJ337,'LP Reactivos'!DO337,'LP Reactivos'!DT337,'LP Reactivos'!DY337,'LP Reactivos'!EB337)," ")</f>
        <v>271888.30312</v>
      </c>
      <c r="F337" s="345">
        <f>IFERROR(MEDIAN('LP Reactivos'!F337,'LP Reactivos'!I337,'LP Reactivos'!N337,'LP Reactivos'!S337,'LP Reactivos'!X337,'LP Reactivos'!AC337,'LP Reactivos'!AH337,'LP Reactivos'!AM337,'LP Reactivos'!AR337,'LP Reactivos'!AW337,'LP Reactivos'!BB337,'LP Reactivos'!BG337,'LP Reactivos'!BL337,'LP Reactivos'!BQ337,'LP Reactivos'!BV337,'LP Reactivos'!CA337,'LP Reactivos'!CF337,'LP Reactivos'!CK337,'LP Reactivos'!CP337,'LP Reactivos'!CU337,'LP Reactivos'!CZ337,'LP Reactivos'!DE337,'LP Reactivos'!DJ337,'LP Reactivos'!DO337,'LP Reactivos'!DT337,'LP Reactivos'!DY337,'LP Reactivos'!EB337)," ")</f>
        <v>271998.3</v>
      </c>
      <c r="G337" s="345">
        <f>IFERROR(GEOMEAN('LP Reactivos'!F337,'LP Reactivos'!I337,'LP Reactivos'!N337,'LP Reactivos'!S337,'LP Reactivos'!X337,'LP Reactivos'!AC337,'LP Reactivos'!AH337,'LP Reactivos'!AM337,'LP Reactivos'!AR337,'LP Reactivos'!AW337,'LP Reactivos'!BB337,'LP Reactivos'!BG337,'LP Reactivos'!BL337,'LP Reactivos'!BQ337,'LP Reactivos'!BV337,'LP Reactivos'!CA337,'LP Reactivos'!CF337,'LP Reactivos'!CK337,'LP Reactivos'!CP337,'LP Reactivos'!CU337,'LP Reactivos'!CZ337,'LP Reactivos'!DE337,'LP Reactivos'!DJ337,'LP Reactivos'!DO337,'LP Reactivos'!DT337,'LP Reactivos'!DY337,'LP Reactivos'!EB337)," ")</f>
        <v>258630.88278836859</v>
      </c>
      <c r="H337" s="345">
        <f t="shared" si="20"/>
        <v>51783.740331676949</v>
      </c>
      <c r="I337" s="346">
        <f t="shared" si="21"/>
        <v>0.19045961057332356</v>
      </c>
      <c r="J337" s="345">
        <f t="shared" si="22"/>
        <v>271888.30312</v>
      </c>
      <c r="K337" s="344" t="str">
        <f t="shared" si="23"/>
        <v>Promedio</v>
      </c>
      <c r="L337" s="326">
        <f>IFERROR(COUNTA('LP Reactivos'!F337,'LP Reactivos'!I337,'LP Reactivos'!N337,'LP Reactivos'!S337,'LP Reactivos'!X337,'LP Reactivos'!AC337,'LP Reactivos'!AH337,'LP Reactivos'!AM337,'LP Reactivos'!AR337,'LP Reactivos'!AW337,'LP Reactivos'!BB337,'LP Reactivos'!BG337,'LP Reactivos'!BL337,'LP Reactivos'!BQ337,'LP Reactivos'!BV337,'LP Reactivos'!CA337,'LP Reactivos'!CF337,'LP Reactivos'!CK337,'LP Reactivos'!CP337,'LP Reactivos'!CU337,'LP Reactivos'!CZ337,'LP Reactivos'!DE337,'LP Reactivos'!DJ337,'LP Reactivos'!DO337,'LP Reactivos'!DT337,'LP Reactivos'!DY337,'LP Reactivos'!EB337)," ")</f>
        <v>5</v>
      </c>
    </row>
    <row r="338" spans="2:12" ht="40.5" x14ac:dyDescent="0.25">
      <c r="B338" s="425">
        <v>336</v>
      </c>
      <c r="C338" s="413" t="s">
        <v>1818</v>
      </c>
      <c r="D338" s="429">
        <f>IFERROR(MIN('LP Reactivos'!F338,'LP Reactivos'!I338,'LP Reactivos'!N338,'LP Reactivos'!S338,'LP Reactivos'!X338,'LP Reactivos'!AC338,'LP Reactivos'!AH338,'LP Reactivos'!AM338,'LP Reactivos'!AR338,'LP Reactivos'!AW338,'LP Reactivos'!BB338,'LP Reactivos'!BG338,'LP Reactivos'!BL338,'LP Reactivos'!BQ338,'LP Reactivos'!BV338,'LP Reactivos'!CA338,'LP Reactivos'!CF338,'LP Reactivos'!CK338,'LP Reactivos'!CP338,'LP Reactivos'!CU338,'LP Reactivos'!CZ338,'LP Reactivos'!DE338,'LP Reactivos'!DJ338,'LP Reactivos'!DO338,'LP Reactivos'!DT338,'LP Reactivos'!DY338,'LP Reactivos'!EB338)," ")</f>
        <v>144210</v>
      </c>
      <c r="E338" s="429">
        <f>IFERROR(AVERAGE('LP Reactivos'!F338,'LP Reactivos'!I338,'LP Reactivos'!N338,'LP Reactivos'!S338,'LP Reactivos'!X338,'LP Reactivos'!AC338,'LP Reactivos'!AH338,'LP Reactivos'!AM338,'LP Reactivos'!AR338,'LP Reactivos'!AW338,'LP Reactivos'!BB338,'LP Reactivos'!BG338,'LP Reactivos'!BL338,'LP Reactivos'!BQ338,'LP Reactivos'!BV338,'LP Reactivos'!CA338,'LP Reactivos'!CF338,'LP Reactivos'!CK338,'LP Reactivos'!CP338,'LP Reactivos'!CU338,'LP Reactivos'!CZ338,'LP Reactivos'!DE338,'LP Reactivos'!DJ338,'LP Reactivos'!DO338,'LP Reactivos'!DT338,'LP Reactivos'!DY338,'LP Reactivos'!EB338)," ")</f>
        <v>301642.83200000005</v>
      </c>
      <c r="F338" s="345">
        <f>IFERROR(MEDIAN('LP Reactivos'!F338,'LP Reactivos'!I338,'LP Reactivos'!N338,'LP Reactivos'!S338,'LP Reactivos'!X338,'LP Reactivos'!AC338,'LP Reactivos'!AH338,'LP Reactivos'!AM338,'LP Reactivos'!AR338,'LP Reactivos'!AW338,'LP Reactivos'!BB338,'LP Reactivos'!BG338,'LP Reactivos'!BL338,'LP Reactivos'!BQ338,'LP Reactivos'!BV338,'LP Reactivos'!CA338,'LP Reactivos'!CF338,'LP Reactivos'!CK338,'LP Reactivos'!CP338,'LP Reactivos'!CU338,'LP Reactivos'!CZ338,'LP Reactivos'!DE338,'LP Reactivos'!DJ338,'LP Reactivos'!DO338,'LP Reactivos'!DT338,'LP Reactivos'!DY338,'LP Reactivos'!EB338)," ")</f>
        <v>276513.16000000003</v>
      </c>
      <c r="G338" s="345">
        <f>IFERROR(GEOMEAN('LP Reactivos'!F338,'LP Reactivos'!I338,'LP Reactivos'!N338,'LP Reactivos'!S338,'LP Reactivos'!X338,'LP Reactivos'!AC338,'LP Reactivos'!AH338,'LP Reactivos'!AM338,'LP Reactivos'!AR338,'LP Reactivos'!AW338,'LP Reactivos'!BB338,'LP Reactivos'!BG338,'LP Reactivos'!BL338,'LP Reactivos'!BQ338,'LP Reactivos'!BV338,'LP Reactivos'!CA338,'LP Reactivos'!CF338,'LP Reactivos'!CK338,'LP Reactivos'!CP338,'LP Reactivos'!CU338,'LP Reactivos'!CZ338,'LP Reactivos'!DE338,'LP Reactivos'!DJ338,'LP Reactivos'!DO338,'LP Reactivos'!DT338,'LP Reactivos'!DY338,'LP Reactivos'!EB338)," ")</f>
        <v>275865.1523598744</v>
      </c>
      <c r="H338" s="345">
        <f t="shared" si="20"/>
        <v>71249.977179403228</v>
      </c>
      <c r="I338" s="346">
        <f t="shared" si="21"/>
        <v>0.23620643231264721</v>
      </c>
      <c r="J338" s="345">
        <f t="shared" si="22"/>
        <v>275865.1523598744</v>
      </c>
      <c r="K338" s="344" t="str">
        <f t="shared" si="23"/>
        <v>Media Geométrica</v>
      </c>
      <c r="L338" s="326">
        <f>IFERROR(COUNTA('LP Reactivos'!F338,'LP Reactivos'!I338,'LP Reactivos'!N338,'LP Reactivos'!S338,'LP Reactivos'!X338,'LP Reactivos'!AC338,'LP Reactivos'!AH338,'LP Reactivos'!AM338,'LP Reactivos'!AR338,'LP Reactivos'!AW338,'LP Reactivos'!BB338,'LP Reactivos'!BG338,'LP Reactivos'!BL338,'LP Reactivos'!BQ338,'LP Reactivos'!BV338,'LP Reactivos'!CA338,'LP Reactivos'!CF338,'LP Reactivos'!CK338,'LP Reactivos'!CP338,'LP Reactivos'!CU338,'LP Reactivos'!CZ338,'LP Reactivos'!DE338,'LP Reactivos'!DJ338,'LP Reactivos'!DO338,'LP Reactivos'!DT338,'LP Reactivos'!DY338,'LP Reactivos'!EB338)," ")</f>
        <v>5</v>
      </c>
    </row>
    <row r="339" spans="2:12" ht="28.5" x14ac:dyDescent="0.25">
      <c r="B339" s="425">
        <v>337</v>
      </c>
      <c r="C339" s="427" t="s">
        <v>2859</v>
      </c>
      <c r="D339" s="429">
        <f>IFERROR(MIN('LP Reactivos'!F339,'LP Reactivos'!I339,'LP Reactivos'!N339,'LP Reactivos'!S339,'LP Reactivos'!X339,'LP Reactivos'!AC339,'LP Reactivos'!AH339,'LP Reactivos'!AM339,'LP Reactivos'!AR339,'LP Reactivos'!AW339,'LP Reactivos'!BB339,'LP Reactivos'!BG339,'LP Reactivos'!BL339,'LP Reactivos'!BQ339,'LP Reactivos'!BV339,'LP Reactivos'!CA339,'LP Reactivos'!CF339,'LP Reactivos'!CK339,'LP Reactivos'!CP339,'LP Reactivos'!CU339,'LP Reactivos'!CZ339,'LP Reactivos'!DE339,'LP Reactivos'!DJ339,'LP Reactivos'!DO339,'LP Reactivos'!DT339,'LP Reactivos'!DY339,'LP Reactivos'!EB339)," ")</f>
        <v>234311</v>
      </c>
      <c r="E339" s="429">
        <f>IFERROR(AVERAGE('LP Reactivos'!F339,'LP Reactivos'!I339,'LP Reactivos'!N339,'LP Reactivos'!S339,'LP Reactivos'!X339,'LP Reactivos'!AC339,'LP Reactivos'!AH339,'LP Reactivos'!AM339,'LP Reactivos'!AR339,'LP Reactivos'!AW339,'LP Reactivos'!BB339,'LP Reactivos'!BG339,'LP Reactivos'!BL339,'LP Reactivos'!BQ339,'LP Reactivos'!BV339,'LP Reactivos'!CA339,'LP Reactivos'!CF339,'LP Reactivos'!CK339,'LP Reactivos'!CP339,'LP Reactivos'!CU339,'LP Reactivos'!CZ339,'LP Reactivos'!DE339,'LP Reactivos'!DJ339,'LP Reactivos'!DO339,'LP Reactivos'!DT339,'LP Reactivos'!DY339,'LP Reactivos'!EB339)," ")</f>
        <v>314702.15766666667</v>
      </c>
      <c r="F339" s="345">
        <f>IFERROR(MEDIAN('LP Reactivos'!F339,'LP Reactivos'!I339,'LP Reactivos'!N339,'LP Reactivos'!S339,'LP Reactivos'!X339,'LP Reactivos'!AC339,'LP Reactivos'!AH339,'LP Reactivos'!AM339,'LP Reactivos'!AR339,'LP Reactivos'!AW339,'LP Reactivos'!BB339,'LP Reactivos'!BG339,'LP Reactivos'!BL339,'LP Reactivos'!BQ339,'LP Reactivos'!BV339,'LP Reactivos'!CA339,'LP Reactivos'!CF339,'LP Reactivos'!CK339,'LP Reactivos'!CP339,'LP Reactivos'!CU339,'LP Reactivos'!CZ339,'LP Reactivos'!DE339,'LP Reactivos'!DJ339,'LP Reactivos'!DO339,'LP Reactivos'!DT339,'LP Reactivos'!DY339,'LP Reactivos'!EB339)," ")</f>
        <v>321516.32299999997</v>
      </c>
      <c r="G339" s="345">
        <f>IFERROR(GEOMEAN('LP Reactivos'!F339,'LP Reactivos'!I339,'LP Reactivos'!N339,'LP Reactivos'!S339,'LP Reactivos'!X339,'LP Reactivos'!AC339,'LP Reactivos'!AH339,'LP Reactivos'!AM339,'LP Reactivos'!AR339,'LP Reactivos'!AW339,'LP Reactivos'!BB339,'LP Reactivos'!BG339,'LP Reactivos'!BL339,'LP Reactivos'!BQ339,'LP Reactivos'!BV339,'LP Reactivos'!CA339,'LP Reactivos'!CF339,'LP Reactivos'!CK339,'LP Reactivos'!CP339,'LP Reactivos'!CU339,'LP Reactivos'!CZ339,'LP Reactivos'!DE339,'LP Reactivos'!DJ339,'LP Reactivos'!DO339,'LP Reactivos'!DT339,'LP Reactivos'!DY339,'LP Reactivos'!EB339)," ")</f>
        <v>308606.00166814507</v>
      </c>
      <c r="H339" s="345">
        <f t="shared" si="20"/>
        <v>40658.666795890422</v>
      </c>
      <c r="I339" s="346">
        <f t="shared" si="21"/>
        <v>0.12919729275881287</v>
      </c>
      <c r="J339" s="345">
        <f t="shared" si="22"/>
        <v>314702.15766666667</v>
      </c>
      <c r="K339" s="344" t="str">
        <f t="shared" si="23"/>
        <v>Promedio</v>
      </c>
      <c r="L339" s="326">
        <f>IFERROR(COUNTA('LP Reactivos'!F339,'LP Reactivos'!I339,'LP Reactivos'!N339,'LP Reactivos'!S339,'LP Reactivos'!X339,'LP Reactivos'!AC339,'LP Reactivos'!AH339,'LP Reactivos'!AM339,'LP Reactivos'!AR339,'LP Reactivos'!AW339,'LP Reactivos'!BB339,'LP Reactivos'!BG339,'LP Reactivos'!BL339,'LP Reactivos'!BQ339,'LP Reactivos'!BV339,'LP Reactivos'!CA339,'LP Reactivos'!CF339,'LP Reactivos'!CK339,'LP Reactivos'!CP339,'LP Reactivos'!CU339,'LP Reactivos'!CZ339,'LP Reactivos'!DE339,'LP Reactivos'!DJ339,'LP Reactivos'!DO339,'LP Reactivos'!DT339,'LP Reactivos'!DY339,'LP Reactivos'!EB339)," ")</f>
        <v>6</v>
      </c>
    </row>
    <row r="340" spans="2:12" x14ac:dyDescent="0.25">
      <c r="B340" s="425">
        <v>338</v>
      </c>
      <c r="C340" s="413" t="s">
        <v>1825</v>
      </c>
      <c r="D340" s="429">
        <f>IFERROR(MIN('LP Reactivos'!F340,'LP Reactivos'!I340,'LP Reactivos'!N340,'LP Reactivos'!S340,'LP Reactivos'!X340,'LP Reactivos'!AC340,'LP Reactivos'!AH340,'LP Reactivos'!AM340,'LP Reactivos'!AR340,'LP Reactivos'!AW340,'LP Reactivos'!BB340,'LP Reactivos'!BG340,'LP Reactivos'!BL340,'LP Reactivos'!BQ340,'LP Reactivos'!BV340,'LP Reactivos'!CA340,'LP Reactivos'!CF340,'LP Reactivos'!CK340,'LP Reactivos'!CP340,'LP Reactivos'!CU340,'LP Reactivos'!CZ340,'LP Reactivos'!DE340,'LP Reactivos'!DJ340,'LP Reactivos'!DO340,'LP Reactivos'!DT340,'LP Reactivos'!DY340,'LP Reactivos'!EB340)," ")</f>
        <v>267750</v>
      </c>
      <c r="E340" s="429">
        <f>IFERROR(AVERAGE('LP Reactivos'!F340,'LP Reactivos'!I340,'LP Reactivos'!N340,'LP Reactivos'!S340,'LP Reactivos'!X340,'LP Reactivos'!AC340,'LP Reactivos'!AH340,'LP Reactivos'!AM340,'LP Reactivos'!AR340,'LP Reactivos'!AW340,'LP Reactivos'!BB340,'LP Reactivos'!BG340,'LP Reactivos'!BL340,'LP Reactivos'!BQ340,'LP Reactivos'!BV340,'LP Reactivos'!CA340,'LP Reactivos'!CF340,'LP Reactivos'!CK340,'LP Reactivos'!CP340,'LP Reactivos'!CU340,'LP Reactivos'!CZ340,'LP Reactivos'!DE340,'LP Reactivos'!DJ340,'LP Reactivos'!DO340,'LP Reactivos'!DT340,'LP Reactivos'!DY340,'LP Reactivos'!EB340)," ")</f>
        <v>327399.5</v>
      </c>
      <c r="F340" s="345">
        <f>IFERROR(MEDIAN('LP Reactivos'!F340,'LP Reactivos'!I340,'LP Reactivos'!N340,'LP Reactivos'!S340,'LP Reactivos'!X340,'LP Reactivos'!AC340,'LP Reactivos'!AH340,'LP Reactivos'!AM340,'LP Reactivos'!AR340,'LP Reactivos'!AW340,'LP Reactivos'!BB340,'LP Reactivos'!BG340,'LP Reactivos'!BL340,'LP Reactivos'!BQ340,'LP Reactivos'!BV340,'LP Reactivos'!CA340,'LP Reactivos'!CF340,'LP Reactivos'!CK340,'LP Reactivos'!CP340,'LP Reactivos'!CU340,'LP Reactivos'!CZ340,'LP Reactivos'!DE340,'LP Reactivos'!DJ340,'LP Reactivos'!DO340,'LP Reactivos'!DT340,'LP Reactivos'!DY340,'LP Reactivos'!EB340)," ")</f>
        <v>290062.5</v>
      </c>
      <c r="G340" s="345">
        <f>IFERROR(GEOMEAN('LP Reactivos'!F340,'LP Reactivos'!I340,'LP Reactivos'!N340,'LP Reactivos'!S340,'LP Reactivos'!X340,'LP Reactivos'!AC340,'LP Reactivos'!AH340,'LP Reactivos'!AM340,'LP Reactivos'!AR340,'LP Reactivos'!AW340,'LP Reactivos'!BB340,'LP Reactivos'!BG340,'LP Reactivos'!BL340,'LP Reactivos'!BQ340,'LP Reactivos'!BV340,'LP Reactivos'!CA340,'LP Reactivos'!CF340,'LP Reactivos'!CK340,'LP Reactivos'!CP340,'LP Reactivos'!CU340,'LP Reactivos'!CZ340,'LP Reactivos'!DE340,'LP Reactivos'!DJ340,'LP Reactivos'!DO340,'LP Reactivos'!DT340,'LP Reactivos'!DY340,'LP Reactivos'!EB340)," ")</f>
        <v>320622.53087664559</v>
      </c>
      <c r="H340" s="345">
        <f t="shared" si="20"/>
        <v>27726.80621480813</v>
      </c>
      <c r="I340" s="346">
        <f t="shared" si="21"/>
        <v>8.4687991932816425E-2</v>
      </c>
      <c r="J340" s="345">
        <f t="shared" si="22"/>
        <v>290062.5</v>
      </c>
      <c r="K340" s="344" t="str">
        <f t="shared" si="23"/>
        <v>Mediana</v>
      </c>
      <c r="L340" s="326">
        <f>IFERROR(COUNTA('LP Reactivos'!F340,'LP Reactivos'!I340,'LP Reactivos'!N340,'LP Reactivos'!S340,'LP Reactivos'!X340,'LP Reactivos'!AC340,'LP Reactivos'!AH340,'LP Reactivos'!AM340,'LP Reactivos'!AR340,'LP Reactivos'!AW340,'LP Reactivos'!BB340,'LP Reactivos'!BG340,'LP Reactivos'!BL340,'LP Reactivos'!BQ340,'LP Reactivos'!BV340,'LP Reactivos'!CA340,'LP Reactivos'!CF340,'LP Reactivos'!CK340,'LP Reactivos'!CP340,'LP Reactivos'!CU340,'LP Reactivos'!CZ340,'LP Reactivos'!DE340,'LP Reactivos'!DJ340,'LP Reactivos'!DO340,'LP Reactivos'!DT340,'LP Reactivos'!DY340,'LP Reactivos'!EB340)," ")</f>
        <v>3</v>
      </c>
    </row>
    <row r="341" spans="2:12" ht="27" x14ac:dyDescent="0.25">
      <c r="B341" s="425">
        <v>339</v>
      </c>
      <c r="C341" s="413" t="s">
        <v>1828</v>
      </c>
      <c r="D341" s="429">
        <f>IFERROR(MIN('LP Reactivos'!F341,'LP Reactivos'!I341,'LP Reactivos'!N341,'LP Reactivos'!S341,'LP Reactivos'!X341,'LP Reactivos'!AC341,'LP Reactivos'!AH341,'LP Reactivos'!AM341,'LP Reactivos'!AR341,'LP Reactivos'!AW341,'LP Reactivos'!BB341,'LP Reactivos'!BG341,'LP Reactivos'!BL341,'LP Reactivos'!BQ341,'LP Reactivos'!BV341,'LP Reactivos'!CA341,'LP Reactivos'!CF341,'LP Reactivos'!CK341,'LP Reactivos'!CP341,'LP Reactivos'!CU341,'LP Reactivos'!CZ341,'LP Reactivos'!DE341,'LP Reactivos'!DJ341,'LP Reactivos'!DO341,'LP Reactivos'!DT341,'LP Reactivos'!DY341,'LP Reactivos'!EB341)," ")</f>
        <v>72233</v>
      </c>
      <c r="E341" s="429">
        <f>IFERROR(AVERAGE('LP Reactivos'!F341,'LP Reactivos'!I341,'LP Reactivos'!N341,'LP Reactivos'!S341,'LP Reactivos'!X341,'LP Reactivos'!AC341,'LP Reactivos'!AH341,'LP Reactivos'!AM341,'LP Reactivos'!AR341,'LP Reactivos'!AW341,'LP Reactivos'!BB341,'LP Reactivos'!BG341,'LP Reactivos'!BL341,'LP Reactivos'!BQ341,'LP Reactivos'!BV341,'LP Reactivos'!CA341,'LP Reactivos'!CF341,'LP Reactivos'!CK341,'LP Reactivos'!CP341,'LP Reactivos'!CU341,'LP Reactivos'!CZ341,'LP Reactivos'!DE341,'LP Reactivos'!DJ341,'LP Reactivos'!DO341,'LP Reactivos'!DT341,'LP Reactivos'!DY341,'LP Reactivos'!EB341)," ")</f>
        <v>200474.83833333335</v>
      </c>
      <c r="F341" s="345">
        <f>IFERROR(MEDIAN('LP Reactivos'!F341,'LP Reactivos'!I341,'LP Reactivos'!N341,'LP Reactivos'!S341,'LP Reactivos'!X341,'LP Reactivos'!AC341,'LP Reactivos'!AH341,'LP Reactivos'!AM341,'LP Reactivos'!AR341,'LP Reactivos'!AW341,'LP Reactivos'!BB341,'LP Reactivos'!BG341,'LP Reactivos'!BL341,'LP Reactivos'!BQ341,'LP Reactivos'!BV341,'LP Reactivos'!CA341,'LP Reactivos'!CF341,'LP Reactivos'!CK341,'LP Reactivos'!CP341,'LP Reactivos'!CU341,'LP Reactivos'!CZ341,'LP Reactivos'!DE341,'LP Reactivos'!DJ341,'LP Reactivos'!DO341,'LP Reactivos'!DT341,'LP Reactivos'!DY341,'LP Reactivos'!EB341)," ")</f>
        <v>208004.26500000001</v>
      </c>
      <c r="G341" s="345">
        <f>IFERROR(GEOMEAN('LP Reactivos'!F341,'LP Reactivos'!I341,'LP Reactivos'!N341,'LP Reactivos'!S341,'LP Reactivos'!X341,'LP Reactivos'!AC341,'LP Reactivos'!AH341,'LP Reactivos'!AM341,'LP Reactivos'!AR341,'LP Reactivos'!AW341,'LP Reactivos'!BB341,'LP Reactivos'!BG341,'LP Reactivos'!BL341,'LP Reactivos'!BQ341,'LP Reactivos'!BV341,'LP Reactivos'!CA341,'LP Reactivos'!CF341,'LP Reactivos'!CK341,'LP Reactivos'!CP341,'LP Reactivos'!CU341,'LP Reactivos'!CZ341,'LP Reactivos'!DE341,'LP Reactivos'!DJ341,'LP Reactivos'!DO341,'LP Reactivos'!DT341,'LP Reactivos'!DY341,'LP Reactivos'!EB341)," ")</f>
        <v>171408.60366500562</v>
      </c>
      <c r="H341" s="345">
        <f t="shared" si="20"/>
        <v>62554.234171503689</v>
      </c>
      <c r="I341" s="346">
        <f t="shared" si="21"/>
        <v>0.31203035099843085</v>
      </c>
      <c r="J341" s="345">
        <f>IF(I341&lt;=10%,F341,IF(AND(I341&gt;10%,I341&lt;=20%),E341,IF(AND(I341&gt;20%,I341&lt;=32%),G341,IF(I341&gt;32%,D341))))</f>
        <v>171408.60366500562</v>
      </c>
      <c r="K341" s="344" t="str">
        <f t="shared" si="23"/>
        <v>Media Geométrica</v>
      </c>
      <c r="L341" s="326">
        <f>IFERROR(COUNTA('LP Reactivos'!F341,'LP Reactivos'!I341,'LP Reactivos'!N341,'LP Reactivos'!S341,'LP Reactivos'!X341,'LP Reactivos'!AC341,'LP Reactivos'!AH341,'LP Reactivos'!AM341,'LP Reactivos'!AR341,'LP Reactivos'!AW341,'LP Reactivos'!BB341,'LP Reactivos'!BG341,'LP Reactivos'!BL341,'LP Reactivos'!BQ341,'LP Reactivos'!BV341,'LP Reactivos'!CA341,'LP Reactivos'!CF341,'LP Reactivos'!CK341,'LP Reactivos'!CP341,'LP Reactivos'!CU341,'LP Reactivos'!CZ341,'LP Reactivos'!DE341,'LP Reactivos'!DJ341,'LP Reactivos'!DO341,'LP Reactivos'!DT341,'LP Reactivos'!DY341,'LP Reactivos'!EB341)," ")</f>
        <v>6</v>
      </c>
    </row>
    <row r="342" spans="2:12" ht="27" x14ac:dyDescent="0.25">
      <c r="B342" s="425">
        <v>340</v>
      </c>
      <c r="C342" s="427" t="s">
        <v>1834</v>
      </c>
      <c r="D342" s="429">
        <f>IFERROR(MIN('LP Reactivos'!F342,'LP Reactivos'!I342,'LP Reactivos'!N342,'LP Reactivos'!S342,'LP Reactivos'!X342,'LP Reactivos'!AC342,'LP Reactivos'!AH342,'LP Reactivos'!AM342,'LP Reactivos'!AR342,'LP Reactivos'!AW342,'LP Reactivos'!BB342,'LP Reactivos'!BG342,'LP Reactivos'!BL342,'LP Reactivos'!BQ342,'LP Reactivos'!BV342,'LP Reactivos'!CA342,'LP Reactivos'!CF342,'LP Reactivos'!CK342,'LP Reactivos'!CP342,'LP Reactivos'!CU342,'LP Reactivos'!CZ342,'LP Reactivos'!DE342,'LP Reactivos'!DJ342,'LP Reactivos'!DO342,'LP Reactivos'!DT342,'LP Reactivos'!DY342,'LP Reactivos'!EB342)," ")</f>
        <v>235036.18600000002</v>
      </c>
      <c r="E342" s="429">
        <f>IFERROR(AVERAGE('LP Reactivos'!F342,'LP Reactivos'!I342,'LP Reactivos'!N342,'LP Reactivos'!S342,'LP Reactivos'!X342,'LP Reactivos'!AC342,'LP Reactivos'!AH342,'LP Reactivos'!AM342,'LP Reactivos'!AR342,'LP Reactivos'!AW342,'LP Reactivos'!BB342,'LP Reactivos'!BG342,'LP Reactivos'!BL342,'LP Reactivos'!BQ342,'LP Reactivos'!BV342,'LP Reactivos'!CA342,'LP Reactivos'!CF342,'LP Reactivos'!CK342,'LP Reactivos'!CP342,'LP Reactivos'!CU342,'LP Reactivos'!CZ342,'LP Reactivos'!DE342,'LP Reactivos'!DJ342,'LP Reactivos'!DO342,'LP Reactivos'!DT342,'LP Reactivos'!DY342,'LP Reactivos'!EB342)," ")</f>
        <v>318500.78100000002</v>
      </c>
      <c r="F342" s="345">
        <f>IFERROR(MEDIAN('LP Reactivos'!F342,'LP Reactivos'!I342,'LP Reactivos'!N342,'LP Reactivos'!S342,'LP Reactivos'!X342,'LP Reactivos'!AC342,'LP Reactivos'!AH342,'LP Reactivos'!AM342,'LP Reactivos'!AR342,'LP Reactivos'!AW342,'LP Reactivos'!BB342,'LP Reactivos'!BG342,'LP Reactivos'!BL342,'LP Reactivos'!BQ342,'LP Reactivos'!BV342,'LP Reactivos'!CA342,'LP Reactivos'!CF342,'LP Reactivos'!CK342,'LP Reactivos'!CP342,'LP Reactivos'!CU342,'LP Reactivos'!CZ342,'LP Reactivos'!DE342,'LP Reactivos'!DJ342,'LP Reactivos'!DO342,'LP Reactivos'!DT342,'LP Reactivos'!DY342,'LP Reactivos'!EB342)," ")</f>
        <v>302111.25</v>
      </c>
      <c r="G342" s="345">
        <f>IFERROR(GEOMEAN('LP Reactivos'!F342,'LP Reactivos'!I342,'LP Reactivos'!N342,'LP Reactivos'!S342,'LP Reactivos'!X342,'LP Reactivos'!AC342,'LP Reactivos'!AH342,'LP Reactivos'!AM342,'LP Reactivos'!AR342,'LP Reactivos'!AW342,'LP Reactivos'!BB342,'LP Reactivos'!BG342,'LP Reactivos'!BL342,'LP Reactivos'!BQ342,'LP Reactivos'!BV342,'LP Reactivos'!CA342,'LP Reactivos'!CF342,'LP Reactivos'!CK342,'LP Reactivos'!CP342,'LP Reactivos'!CU342,'LP Reactivos'!CZ342,'LP Reactivos'!DE342,'LP Reactivos'!DJ342,'LP Reactivos'!DO342,'LP Reactivos'!DT342,'LP Reactivos'!DY342,'LP Reactivos'!EB342)," ")</f>
        <v>310884.91998200043</v>
      </c>
      <c r="H342" s="345">
        <f t="shared" si="20"/>
        <v>38321.043638133429</v>
      </c>
      <c r="I342" s="346">
        <f t="shared" si="21"/>
        <v>0.12031695343985177</v>
      </c>
      <c r="J342" s="345">
        <f t="shared" si="22"/>
        <v>318500.78100000002</v>
      </c>
      <c r="K342" s="344" t="str">
        <f t="shared" si="23"/>
        <v>Promedio</v>
      </c>
      <c r="L342" s="326">
        <f>IFERROR(COUNTA('LP Reactivos'!F342,'LP Reactivos'!I342,'LP Reactivos'!N342,'LP Reactivos'!S342,'LP Reactivos'!X342,'LP Reactivos'!AC342,'LP Reactivos'!AH342,'LP Reactivos'!AM342,'LP Reactivos'!AR342,'LP Reactivos'!AW342,'LP Reactivos'!BB342,'LP Reactivos'!BG342,'LP Reactivos'!BL342,'LP Reactivos'!BQ342,'LP Reactivos'!BV342,'LP Reactivos'!CA342,'LP Reactivos'!CF342,'LP Reactivos'!CK342,'LP Reactivos'!CP342,'LP Reactivos'!CU342,'LP Reactivos'!CZ342,'LP Reactivos'!DE342,'LP Reactivos'!DJ342,'LP Reactivos'!DO342,'LP Reactivos'!DT342,'LP Reactivos'!DY342,'LP Reactivos'!EB342)," ")</f>
        <v>6</v>
      </c>
    </row>
    <row r="343" spans="2:12" x14ac:dyDescent="0.25">
      <c r="B343" s="425">
        <v>341</v>
      </c>
      <c r="C343" s="427" t="s">
        <v>1838</v>
      </c>
      <c r="D343" s="429">
        <f>IFERROR(MIN('LP Reactivos'!F343,'LP Reactivos'!I343,'LP Reactivos'!N343,'LP Reactivos'!S343,'LP Reactivos'!X343,'LP Reactivos'!AC343,'LP Reactivos'!AH343,'LP Reactivos'!AM343,'LP Reactivos'!AR343,'LP Reactivos'!AW343,'LP Reactivos'!BB343,'LP Reactivos'!BG343,'LP Reactivos'!BL343,'LP Reactivos'!BQ343,'LP Reactivos'!BV343,'LP Reactivos'!CA343,'LP Reactivos'!CF343,'LP Reactivos'!CK343,'LP Reactivos'!CP343,'LP Reactivos'!CU343,'LP Reactivos'!CZ343,'LP Reactivos'!DE343,'LP Reactivos'!DJ343,'LP Reactivos'!DO343,'LP Reactivos'!DT343,'LP Reactivos'!DY343,'LP Reactivos'!EB343)," ")</f>
        <v>41600</v>
      </c>
      <c r="E343" s="429">
        <f>IFERROR(AVERAGE('LP Reactivos'!F343,'LP Reactivos'!I343,'LP Reactivos'!N343,'LP Reactivos'!S343,'LP Reactivos'!X343,'LP Reactivos'!AC343,'LP Reactivos'!AH343,'LP Reactivos'!AM343,'LP Reactivos'!AR343,'LP Reactivos'!AW343,'LP Reactivos'!BB343,'LP Reactivos'!BG343,'LP Reactivos'!BL343,'LP Reactivos'!BQ343,'LP Reactivos'!BV343,'LP Reactivos'!CA343,'LP Reactivos'!CF343,'LP Reactivos'!CK343,'LP Reactivos'!CP343,'LP Reactivos'!CU343,'LP Reactivos'!CZ343,'LP Reactivos'!DE343,'LP Reactivos'!DJ343,'LP Reactivos'!DO343,'LP Reactivos'!DT343,'LP Reactivos'!DY343,'LP Reactivos'!EB343)," ")</f>
        <v>57430.05</v>
      </c>
      <c r="F343" s="345">
        <f>IFERROR(MEDIAN('LP Reactivos'!F343,'LP Reactivos'!I343,'LP Reactivos'!N343,'LP Reactivos'!S343,'LP Reactivos'!X343,'LP Reactivos'!AC343,'LP Reactivos'!AH343,'LP Reactivos'!AM343,'LP Reactivos'!AR343,'LP Reactivos'!AW343,'LP Reactivos'!BB343,'LP Reactivos'!BG343,'LP Reactivos'!BL343,'LP Reactivos'!BQ343,'LP Reactivos'!BV343,'LP Reactivos'!CA343,'LP Reactivos'!CF343,'LP Reactivos'!CK343,'LP Reactivos'!CP343,'LP Reactivos'!CU343,'LP Reactivos'!CZ343,'LP Reactivos'!DE343,'LP Reactivos'!DJ343,'LP Reactivos'!DO343,'LP Reactivos'!DT343,'LP Reactivos'!DY343,'LP Reactivos'!EB343)," ")</f>
        <v>56565</v>
      </c>
      <c r="G343" s="345">
        <f>IFERROR(GEOMEAN('LP Reactivos'!F343,'LP Reactivos'!I343,'LP Reactivos'!N343,'LP Reactivos'!S343,'LP Reactivos'!X343,'LP Reactivos'!AC343,'LP Reactivos'!AH343,'LP Reactivos'!AM343,'LP Reactivos'!AR343,'LP Reactivos'!AW343,'LP Reactivos'!BB343,'LP Reactivos'!BG343,'LP Reactivos'!BL343,'LP Reactivos'!BQ343,'LP Reactivos'!BV343,'LP Reactivos'!CA343,'LP Reactivos'!CF343,'LP Reactivos'!CK343,'LP Reactivos'!CP343,'LP Reactivos'!CU343,'LP Reactivos'!CZ343,'LP Reactivos'!DE343,'LP Reactivos'!DJ343,'LP Reactivos'!DO343,'LP Reactivos'!DT343,'LP Reactivos'!DY343,'LP Reactivos'!EB343)," ")</f>
        <v>56083.551075835341</v>
      </c>
      <c r="H343" s="345">
        <f t="shared" si="20"/>
        <v>7566.9683696681368</v>
      </c>
      <c r="I343" s="346">
        <f t="shared" si="21"/>
        <v>0.1317597384934914</v>
      </c>
      <c r="J343" s="345">
        <f t="shared" si="22"/>
        <v>57430.05</v>
      </c>
      <c r="K343" s="344" t="str">
        <f t="shared" si="23"/>
        <v>Promedio</v>
      </c>
      <c r="L343" s="326">
        <f>IFERROR(COUNTA('LP Reactivos'!F343,'LP Reactivos'!I343,'LP Reactivos'!N343,'LP Reactivos'!S343,'LP Reactivos'!X343,'LP Reactivos'!AC343,'LP Reactivos'!AH343,'LP Reactivos'!AM343,'LP Reactivos'!AR343,'LP Reactivos'!AW343,'LP Reactivos'!BB343,'LP Reactivos'!BG343,'LP Reactivos'!BL343,'LP Reactivos'!BQ343,'LP Reactivos'!BV343,'LP Reactivos'!CA343,'LP Reactivos'!CF343,'LP Reactivos'!CK343,'LP Reactivos'!CP343,'LP Reactivos'!CU343,'LP Reactivos'!CZ343,'LP Reactivos'!DE343,'LP Reactivos'!DJ343,'LP Reactivos'!DO343,'LP Reactivos'!DT343,'LP Reactivos'!DY343,'LP Reactivos'!EB343)," ")</f>
        <v>4</v>
      </c>
    </row>
    <row r="344" spans="2:12" x14ac:dyDescent="0.25">
      <c r="B344" s="425">
        <v>342</v>
      </c>
      <c r="C344" s="427" t="s">
        <v>1842</v>
      </c>
      <c r="D344" s="429">
        <f>IFERROR(MIN('LP Reactivos'!F344,'LP Reactivos'!I344,'LP Reactivos'!N344,'LP Reactivos'!S344,'LP Reactivos'!X344,'LP Reactivos'!AC344,'LP Reactivos'!AH344,'LP Reactivos'!AM344,'LP Reactivos'!AR344,'LP Reactivos'!AW344,'LP Reactivos'!BB344,'LP Reactivos'!BG344,'LP Reactivos'!BL344,'LP Reactivos'!BQ344,'LP Reactivos'!BV344,'LP Reactivos'!CA344,'LP Reactivos'!CF344,'LP Reactivos'!CK344,'LP Reactivos'!CP344,'LP Reactivos'!CU344,'LP Reactivos'!CZ344,'LP Reactivos'!DE344,'LP Reactivos'!DJ344,'LP Reactivos'!DO344,'LP Reactivos'!DT344,'LP Reactivos'!DY344,'LP Reactivos'!EB344)," ")</f>
        <v>52360</v>
      </c>
      <c r="E344" s="429">
        <f>IFERROR(AVERAGE('LP Reactivos'!F344,'LP Reactivos'!I344,'LP Reactivos'!N344,'LP Reactivos'!S344,'LP Reactivos'!X344,'LP Reactivos'!AC344,'LP Reactivos'!AH344,'LP Reactivos'!AM344,'LP Reactivos'!AR344,'LP Reactivos'!AW344,'LP Reactivos'!BB344,'LP Reactivos'!BG344,'LP Reactivos'!BL344,'LP Reactivos'!BQ344,'LP Reactivos'!BV344,'LP Reactivos'!CA344,'LP Reactivos'!CF344,'LP Reactivos'!CK344,'LP Reactivos'!CP344,'LP Reactivos'!CU344,'LP Reactivos'!CZ344,'LP Reactivos'!DE344,'LP Reactivos'!DJ344,'LP Reactivos'!DO344,'LP Reactivos'!DT344,'LP Reactivos'!DY344,'LP Reactivos'!EB344)," ")</f>
        <v>90440.713999999993</v>
      </c>
      <c r="F344" s="345">
        <f>IFERROR(MEDIAN('LP Reactivos'!F344,'LP Reactivos'!I344,'LP Reactivos'!N344,'LP Reactivos'!S344,'LP Reactivos'!X344,'LP Reactivos'!AC344,'LP Reactivos'!AH344,'LP Reactivos'!AM344,'LP Reactivos'!AR344,'LP Reactivos'!AW344,'LP Reactivos'!BB344,'LP Reactivos'!BG344,'LP Reactivos'!BL344,'LP Reactivos'!BQ344,'LP Reactivos'!BV344,'LP Reactivos'!CA344,'LP Reactivos'!CF344,'LP Reactivos'!CK344,'LP Reactivos'!CP344,'LP Reactivos'!CU344,'LP Reactivos'!CZ344,'LP Reactivos'!DE344,'LP Reactivos'!DJ344,'LP Reactivos'!DO344,'LP Reactivos'!DT344,'LP Reactivos'!DY344,'LP Reactivos'!EB344)," ")</f>
        <v>107100</v>
      </c>
      <c r="G344" s="345">
        <f>IFERROR(GEOMEAN('LP Reactivos'!F344,'LP Reactivos'!I344,'LP Reactivos'!N344,'LP Reactivos'!S344,'LP Reactivos'!X344,'LP Reactivos'!AC344,'LP Reactivos'!AH344,'LP Reactivos'!AM344,'LP Reactivos'!AR344,'LP Reactivos'!AW344,'LP Reactivos'!BB344,'LP Reactivos'!BG344,'LP Reactivos'!BL344,'LP Reactivos'!BQ344,'LP Reactivos'!BV344,'LP Reactivos'!CA344,'LP Reactivos'!CF344,'LP Reactivos'!CK344,'LP Reactivos'!CP344,'LP Reactivos'!CU344,'LP Reactivos'!CZ344,'LP Reactivos'!DE344,'LP Reactivos'!DJ344,'LP Reactivos'!DO344,'LP Reactivos'!DT344,'LP Reactivos'!DY344,'LP Reactivos'!EB344)," ")</f>
        <v>85603.347230841624</v>
      </c>
      <c r="H344" s="345">
        <f t="shared" si="20"/>
        <v>22939.715417856678</v>
      </c>
      <c r="I344" s="346">
        <f t="shared" si="21"/>
        <v>0.25364367886189709</v>
      </c>
      <c r="J344" s="345">
        <f t="shared" si="22"/>
        <v>85603.347230841624</v>
      </c>
      <c r="K344" s="344" t="str">
        <f t="shared" si="23"/>
        <v>Media Geométrica</v>
      </c>
      <c r="L344" s="326">
        <f>IFERROR(COUNTA('LP Reactivos'!F344,'LP Reactivos'!I344,'LP Reactivos'!N344,'LP Reactivos'!S344,'LP Reactivos'!X344,'LP Reactivos'!AC344,'LP Reactivos'!AH344,'LP Reactivos'!AM344,'LP Reactivos'!AR344,'LP Reactivos'!AW344,'LP Reactivos'!BB344,'LP Reactivos'!BG344,'LP Reactivos'!BL344,'LP Reactivos'!BQ344,'LP Reactivos'!BV344,'LP Reactivos'!CA344,'LP Reactivos'!CF344,'LP Reactivos'!CK344,'LP Reactivos'!CP344,'LP Reactivos'!CU344,'LP Reactivos'!CZ344,'LP Reactivos'!DE344,'LP Reactivos'!DJ344,'LP Reactivos'!DO344,'LP Reactivos'!DT344,'LP Reactivos'!DY344,'LP Reactivos'!EB344)," ")</f>
        <v>3</v>
      </c>
    </row>
    <row r="345" spans="2:12" x14ac:dyDescent="0.25">
      <c r="B345" s="425">
        <v>343</v>
      </c>
      <c r="C345" s="427" t="s">
        <v>1844</v>
      </c>
      <c r="D345" s="429">
        <f>IFERROR(MIN('LP Reactivos'!F345,'LP Reactivos'!I345,'LP Reactivos'!N345,'LP Reactivos'!S345,'LP Reactivos'!X345,'LP Reactivos'!AC345,'LP Reactivos'!AH345,'LP Reactivos'!AM345,'LP Reactivos'!AR345,'LP Reactivos'!AW345,'LP Reactivos'!BB345,'LP Reactivos'!BG345,'LP Reactivos'!BL345,'LP Reactivos'!BQ345,'LP Reactivos'!BV345,'LP Reactivos'!CA345,'LP Reactivos'!CF345,'LP Reactivos'!CK345,'LP Reactivos'!CP345,'LP Reactivos'!CU345,'LP Reactivos'!CZ345,'LP Reactivos'!DE345,'LP Reactivos'!DJ345,'LP Reactivos'!DO345,'LP Reactivos'!DT345,'LP Reactivos'!DY345,'LP Reactivos'!EB345)," ")</f>
        <v>312375</v>
      </c>
      <c r="E345" s="429">
        <f>IFERROR(AVERAGE('LP Reactivos'!F345,'LP Reactivos'!I345,'LP Reactivos'!N345,'LP Reactivos'!S345,'LP Reactivos'!X345,'LP Reactivos'!AC345,'LP Reactivos'!AH345,'LP Reactivos'!AM345,'LP Reactivos'!AR345,'LP Reactivos'!AW345,'LP Reactivos'!BB345,'LP Reactivos'!BG345,'LP Reactivos'!BL345,'LP Reactivos'!BQ345,'LP Reactivos'!BV345,'LP Reactivos'!CA345,'LP Reactivos'!CF345,'LP Reactivos'!CK345,'LP Reactivos'!CP345,'LP Reactivos'!CU345,'LP Reactivos'!CZ345,'LP Reactivos'!DE345,'LP Reactivos'!DJ345,'LP Reactivos'!DO345,'LP Reactivos'!DT345,'LP Reactivos'!DY345,'LP Reactivos'!EB345)," ")</f>
        <v>445357.5</v>
      </c>
      <c r="F345" s="345">
        <f>IFERROR(MEDIAN('LP Reactivos'!F345,'LP Reactivos'!I345,'LP Reactivos'!N345,'LP Reactivos'!S345,'LP Reactivos'!X345,'LP Reactivos'!AC345,'LP Reactivos'!AH345,'LP Reactivos'!AM345,'LP Reactivos'!AR345,'LP Reactivos'!AW345,'LP Reactivos'!BB345,'LP Reactivos'!BG345,'LP Reactivos'!BL345,'LP Reactivos'!BQ345,'LP Reactivos'!BV345,'LP Reactivos'!CA345,'LP Reactivos'!CF345,'LP Reactivos'!CK345,'LP Reactivos'!CP345,'LP Reactivos'!CU345,'LP Reactivos'!CZ345,'LP Reactivos'!DE345,'LP Reactivos'!DJ345,'LP Reactivos'!DO345,'LP Reactivos'!DT345,'LP Reactivos'!DY345,'LP Reactivos'!EB345)," ")</f>
        <v>445357.5</v>
      </c>
      <c r="G345" s="345">
        <f>IFERROR(GEOMEAN('LP Reactivos'!F345,'LP Reactivos'!I345,'LP Reactivos'!N345,'LP Reactivos'!S345,'LP Reactivos'!X345,'LP Reactivos'!AC345,'LP Reactivos'!AH345,'LP Reactivos'!AM345,'LP Reactivos'!AR345,'LP Reactivos'!AW345,'LP Reactivos'!BB345,'LP Reactivos'!BG345,'LP Reactivos'!BL345,'LP Reactivos'!BQ345,'LP Reactivos'!BV345,'LP Reactivos'!CA345,'LP Reactivos'!CF345,'LP Reactivos'!CK345,'LP Reactivos'!CP345,'LP Reactivos'!CU345,'LP Reactivos'!CZ345,'LP Reactivos'!DE345,'LP Reactivos'!DJ345,'LP Reactivos'!DO345,'LP Reactivos'!DT345,'LP Reactivos'!DY345,'LP Reactivos'!EB345)," ")</f>
        <v>425039.94812252646</v>
      </c>
      <c r="H345" s="345">
        <f t="shared" si="20"/>
        <v>63827.689247783273</v>
      </c>
      <c r="I345" s="346">
        <f t="shared" si="21"/>
        <v>0.14331787215390618</v>
      </c>
      <c r="J345" s="345">
        <f t="shared" si="22"/>
        <v>445357.5</v>
      </c>
      <c r="K345" s="344" t="str">
        <f t="shared" si="23"/>
        <v>Promedio</v>
      </c>
      <c r="L345" s="326">
        <f>IFERROR(COUNTA('LP Reactivos'!F345,'LP Reactivos'!I345,'LP Reactivos'!N345,'LP Reactivos'!S345,'LP Reactivos'!X345,'LP Reactivos'!AC345,'LP Reactivos'!AH345,'LP Reactivos'!AM345,'LP Reactivos'!AR345,'LP Reactivos'!AW345,'LP Reactivos'!BB345,'LP Reactivos'!BG345,'LP Reactivos'!BL345,'LP Reactivos'!BQ345,'LP Reactivos'!BV345,'LP Reactivos'!CA345,'LP Reactivos'!CF345,'LP Reactivos'!CK345,'LP Reactivos'!CP345,'LP Reactivos'!CU345,'LP Reactivos'!CZ345,'LP Reactivos'!DE345,'LP Reactivos'!DJ345,'LP Reactivos'!DO345,'LP Reactivos'!DT345,'LP Reactivos'!DY345,'LP Reactivos'!EB345)," ")</f>
        <v>2</v>
      </c>
    </row>
    <row r="346" spans="2:12" x14ac:dyDescent="0.25">
      <c r="B346" s="425">
        <v>344</v>
      </c>
      <c r="C346" s="427" t="s">
        <v>1848</v>
      </c>
      <c r="D346" s="429">
        <f>IFERROR(MIN('LP Reactivos'!F346,'LP Reactivos'!I346,'LP Reactivos'!N346,'LP Reactivos'!S346,'LP Reactivos'!X346,'LP Reactivos'!AC346,'LP Reactivos'!AH346,'LP Reactivos'!AM346,'LP Reactivos'!AR346,'LP Reactivos'!AW346,'LP Reactivos'!BB346,'LP Reactivos'!BG346,'LP Reactivos'!BL346,'LP Reactivos'!BQ346,'LP Reactivos'!BV346,'LP Reactivos'!CA346,'LP Reactivos'!CF346,'LP Reactivos'!CK346,'LP Reactivos'!CP346,'LP Reactivos'!CU346,'LP Reactivos'!CZ346,'LP Reactivos'!DE346,'LP Reactivos'!DJ346,'LP Reactivos'!DO346,'LP Reactivos'!DT346,'LP Reactivos'!DY346,'LP Reactivos'!EB346)," ")</f>
        <v>228751.796</v>
      </c>
      <c r="E346" s="429">
        <f>IFERROR(AVERAGE('LP Reactivos'!F346,'LP Reactivos'!I346,'LP Reactivos'!N346,'LP Reactivos'!S346,'LP Reactivos'!X346,'LP Reactivos'!AC346,'LP Reactivos'!AH346,'LP Reactivos'!AM346,'LP Reactivos'!AR346,'LP Reactivos'!AW346,'LP Reactivos'!BB346,'LP Reactivos'!BG346,'LP Reactivos'!BL346,'LP Reactivos'!BQ346,'LP Reactivos'!BV346,'LP Reactivos'!CA346,'LP Reactivos'!CF346,'LP Reactivos'!CK346,'LP Reactivos'!CP346,'LP Reactivos'!CU346,'LP Reactivos'!CZ346,'LP Reactivos'!DE346,'LP Reactivos'!DJ346,'LP Reactivos'!DO346,'LP Reactivos'!DT346,'LP Reactivos'!DY346,'LP Reactivos'!EB346)," ")</f>
        <v>864482.25919999997</v>
      </c>
      <c r="F346" s="345">
        <f>IFERROR(MEDIAN('LP Reactivos'!F346,'LP Reactivos'!I346,'LP Reactivos'!N346,'LP Reactivos'!S346,'LP Reactivos'!X346,'LP Reactivos'!AC346,'LP Reactivos'!AH346,'LP Reactivos'!AM346,'LP Reactivos'!AR346,'LP Reactivos'!AW346,'LP Reactivos'!BB346,'LP Reactivos'!BG346,'LP Reactivos'!BL346,'LP Reactivos'!BQ346,'LP Reactivos'!BV346,'LP Reactivos'!CA346,'LP Reactivos'!CF346,'LP Reactivos'!CK346,'LP Reactivos'!CP346,'LP Reactivos'!CU346,'LP Reactivos'!CZ346,'LP Reactivos'!DE346,'LP Reactivos'!DJ346,'LP Reactivos'!DO346,'LP Reactivos'!DT346,'LP Reactivos'!DY346,'LP Reactivos'!EB346)," ")</f>
        <v>370090</v>
      </c>
      <c r="G346" s="345">
        <f>IFERROR(GEOMEAN('LP Reactivos'!F346,'LP Reactivos'!I346,'LP Reactivos'!N346,'LP Reactivos'!S346,'LP Reactivos'!X346,'LP Reactivos'!AC346,'LP Reactivos'!AH346,'LP Reactivos'!AM346,'LP Reactivos'!AR346,'LP Reactivos'!AW346,'LP Reactivos'!BB346,'LP Reactivos'!BG346,'LP Reactivos'!BL346,'LP Reactivos'!BQ346,'LP Reactivos'!BV346,'LP Reactivos'!CA346,'LP Reactivos'!CF346,'LP Reactivos'!CK346,'LP Reactivos'!CP346,'LP Reactivos'!CU346,'LP Reactivos'!CZ346,'LP Reactivos'!DE346,'LP Reactivos'!DJ346,'LP Reactivos'!DO346,'LP Reactivos'!DT346,'LP Reactivos'!DY346,'LP Reactivos'!EB346)," ")</f>
        <v>508501.00333255349</v>
      </c>
      <c r="H346" s="345">
        <f t="shared" si="20"/>
        <v>272747.33348574222</v>
      </c>
      <c r="I346" s="346">
        <f t="shared" si="21"/>
        <v>0.31550367932147638</v>
      </c>
      <c r="J346" s="345">
        <f>IF(I346&lt;=10%,F346,IF(AND(I346&gt;10%,I346&lt;=20%),E346,IF(AND(I346&gt;20%,I346&lt;=32%),G346,IF(I346&gt;32%,D346))))</f>
        <v>508501.00333255349</v>
      </c>
      <c r="K346" s="344" t="str">
        <f t="shared" si="23"/>
        <v>Media Geométrica</v>
      </c>
      <c r="L346" s="326">
        <f>IFERROR(COUNTA('LP Reactivos'!F346,'LP Reactivos'!I346,'LP Reactivos'!N346,'LP Reactivos'!S346,'LP Reactivos'!X346,'LP Reactivos'!AC346,'LP Reactivos'!AH346,'LP Reactivos'!AM346,'LP Reactivos'!AR346,'LP Reactivos'!AW346,'LP Reactivos'!BB346,'LP Reactivos'!BG346,'LP Reactivos'!BL346,'LP Reactivos'!BQ346,'LP Reactivos'!BV346,'LP Reactivos'!CA346,'LP Reactivos'!CF346,'LP Reactivos'!CK346,'LP Reactivos'!CP346,'LP Reactivos'!CU346,'LP Reactivos'!CZ346,'LP Reactivos'!DE346,'LP Reactivos'!DJ346,'LP Reactivos'!DO346,'LP Reactivos'!DT346,'LP Reactivos'!DY346,'LP Reactivos'!EB346)," ")</f>
        <v>5</v>
      </c>
    </row>
    <row r="347" spans="2:12" ht="27" x14ac:dyDescent="0.25">
      <c r="B347" s="425">
        <v>345</v>
      </c>
      <c r="C347" s="427" t="s">
        <v>1853</v>
      </c>
      <c r="D347" s="429">
        <f>IFERROR(MIN('LP Reactivos'!F347,'LP Reactivos'!I347,'LP Reactivos'!N347,'LP Reactivos'!S347,'LP Reactivos'!X347,'LP Reactivos'!AC347,'LP Reactivos'!AH347,'LP Reactivos'!AM347,'LP Reactivos'!AR347,'LP Reactivos'!AW347,'LP Reactivos'!BB347,'LP Reactivos'!BG347,'LP Reactivos'!BL347,'LP Reactivos'!BQ347,'LP Reactivos'!BV347,'LP Reactivos'!CA347,'LP Reactivos'!CF347,'LP Reactivos'!CK347,'LP Reactivos'!CP347,'LP Reactivos'!CU347,'LP Reactivos'!CZ347,'LP Reactivos'!DE347,'LP Reactivos'!DJ347,'LP Reactivos'!DO347,'LP Reactivos'!DT347,'LP Reactivos'!DY347,'LP Reactivos'!EB347)," ")</f>
        <v>916300</v>
      </c>
      <c r="E347" s="429">
        <f>IFERROR(AVERAGE('LP Reactivos'!F347,'LP Reactivos'!I347,'LP Reactivos'!N347,'LP Reactivos'!S347,'LP Reactivos'!X347,'LP Reactivos'!AC347,'LP Reactivos'!AH347,'LP Reactivos'!AM347,'LP Reactivos'!AR347,'LP Reactivos'!AW347,'LP Reactivos'!BB347,'LP Reactivos'!BG347,'LP Reactivos'!BL347,'LP Reactivos'!BQ347,'LP Reactivos'!BV347,'LP Reactivos'!CA347,'LP Reactivos'!CF347,'LP Reactivos'!CK347,'LP Reactivos'!CP347,'LP Reactivos'!CU347,'LP Reactivos'!CZ347,'LP Reactivos'!DE347,'LP Reactivos'!DJ347,'LP Reactivos'!DO347,'LP Reactivos'!DT347,'LP Reactivos'!DY347,'LP Reactivos'!EB347)," ")</f>
        <v>916300</v>
      </c>
      <c r="F347" s="345">
        <f>IFERROR(MEDIAN('LP Reactivos'!F347,'LP Reactivos'!I347,'LP Reactivos'!N347,'LP Reactivos'!S347,'LP Reactivos'!X347,'LP Reactivos'!AC347,'LP Reactivos'!AH347,'LP Reactivos'!AM347,'LP Reactivos'!AR347,'LP Reactivos'!AW347,'LP Reactivos'!BB347,'LP Reactivos'!BG347,'LP Reactivos'!BL347,'LP Reactivos'!BQ347,'LP Reactivos'!BV347,'LP Reactivos'!CA347,'LP Reactivos'!CF347,'LP Reactivos'!CK347,'LP Reactivos'!CP347,'LP Reactivos'!CU347,'LP Reactivos'!CZ347,'LP Reactivos'!DE347,'LP Reactivos'!DJ347,'LP Reactivos'!DO347,'LP Reactivos'!DT347,'LP Reactivos'!DY347,'LP Reactivos'!EB347)," ")</f>
        <v>916300</v>
      </c>
      <c r="G347" s="345">
        <f>IFERROR(GEOMEAN('LP Reactivos'!F347,'LP Reactivos'!I347,'LP Reactivos'!N347,'LP Reactivos'!S347,'LP Reactivos'!X347,'LP Reactivos'!AC347,'LP Reactivos'!AH347,'LP Reactivos'!AM347,'LP Reactivos'!AR347,'LP Reactivos'!AW347,'LP Reactivos'!BB347,'LP Reactivos'!BG347,'LP Reactivos'!BL347,'LP Reactivos'!BQ347,'LP Reactivos'!BV347,'LP Reactivos'!CA347,'LP Reactivos'!CF347,'LP Reactivos'!CK347,'LP Reactivos'!CP347,'LP Reactivos'!CU347,'LP Reactivos'!CZ347,'LP Reactivos'!DE347,'LP Reactivos'!DJ347,'LP Reactivos'!DO347,'LP Reactivos'!DT347,'LP Reactivos'!DY347,'LP Reactivos'!EB347)," ")</f>
        <v>916300</v>
      </c>
      <c r="H347" s="345">
        <f t="shared" si="20"/>
        <v>0</v>
      </c>
      <c r="I347" s="346">
        <f t="shared" si="21"/>
        <v>0</v>
      </c>
      <c r="J347" s="345">
        <f t="shared" si="22"/>
        <v>916300</v>
      </c>
      <c r="K347" s="344" t="str">
        <f t="shared" si="23"/>
        <v>Menor Valor</v>
      </c>
      <c r="L347" s="326">
        <f>IFERROR(COUNTA('LP Reactivos'!F347,'LP Reactivos'!I347,'LP Reactivos'!N347,'LP Reactivos'!S347,'LP Reactivos'!X347,'LP Reactivos'!AC347,'LP Reactivos'!AH347,'LP Reactivos'!AM347,'LP Reactivos'!AR347,'LP Reactivos'!AW347,'LP Reactivos'!BB347,'LP Reactivos'!BG347,'LP Reactivos'!BL347,'LP Reactivos'!BQ347,'LP Reactivos'!BV347,'LP Reactivos'!CA347,'LP Reactivos'!CF347,'LP Reactivos'!CK347,'LP Reactivos'!CP347,'LP Reactivos'!CU347,'LP Reactivos'!CZ347,'LP Reactivos'!DE347,'LP Reactivos'!DJ347,'LP Reactivos'!DO347,'LP Reactivos'!DT347,'LP Reactivos'!DY347,'LP Reactivos'!EB347)," ")</f>
        <v>1</v>
      </c>
    </row>
    <row r="348" spans="2:12" ht="27" x14ac:dyDescent="0.25">
      <c r="B348" s="425">
        <v>346</v>
      </c>
      <c r="C348" s="427" t="s">
        <v>1854</v>
      </c>
      <c r="D348" s="429">
        <f>IFERROR(MIN('LP Reactivos'!F348,'LP Reactivos'!I348,'LP Reactivos'!N348,'LP Reactivos'!S348,'LP Reactivos'!X348,'LP Reactivos'!AC348,'LP Reactivos'!AH348,'LP Reactivos'!AM348,'LP Reactivos'!AR348,'LP Reactivos'!AW348,'LP Reactivos'!BB348,'LP Reactivos'!BG348,'LP Reactivos'!BL348,'LP Reactivos'!BQ348,'LP Reactivos'!BV348,'LP Reactivos'!CA348,'LP Reactivos'!CF348,'LP Reactivos'!CK348,'LP Reactivos'!CP348,'LP Reactivos'!CU348,'LP Reactivos'!CZ348,'LP Reactivos'!DE348,'LP Reactivos'!DJ348,'LP Reactivos'!DO348,'LP Reactivos'!DT348,'LP Reactivos'!DY348,'LP Reactivos'!EB348)," ")</f>
        <v>1223869.2326</v>
      </c>
      <c r="E348" s="429">
        <f>IFERROR(AVERAGE('LP Reactivos'!F348,'LP Reactivos'!I348,'LP Reactivos'!N348,'LP Reactivos'!S348,'LP Reactivos'!X348,'LP Reactivos'!AC348,'LP Reactivos'!AH348,'LP Reactivos'!AM348,'LP Reactivos'!AR348,'LP Reactivos'!AW348,'LP Reactivos'!BB348,'LP Reactivos'!BG348,'LP Reactivos'!BL348,'LP Reactivos'!BQ348,'LP Reactivos'!BV348,'LP Reactivos'!CA348,'LP Reactivos'!CF348,'LP Reactivos'!CK348,'LP Reactivos'!CP348,'LP Reactivos'!CU348,'LP Reactivos'!CZ348,'LP Reactivos'!DE348,'LP Reactivos'!DJ348,'LP Reactivos'!DO348,'LP Reactivos'!DT348,'LP Reactivos'!DY348,'LP Reactivos'!EB348)," ")</f>
        <v>1223869.2326</v>
      </c>
      <c r="F348" s="345">
        <f>IFERROR(MEDIAN('LP Reactivos'!F348,'LP Reactivos'!I348,'LP Reactivos'!N348,'LP Reactivos'!S348,'LP Reactivos'!X348,'LP Reactivos'!AC348,'LP Reactivos'!AH348,'LP Reactivos'!AM348,'LP Reactivos'!AR348,'LP Reactivos'!AW348,'LP Reactivos'!BB348,'LP Reactivos'!BG348,'LP Reactivos'!BL348,'LP Reactivos'!BQ348,'LP Reactivos'!BV348,'LP Reactivos'!CA348,'LP Reactivos'!CF348,'LP Reactivos'!CK348,'LP Reactivos'!CP348,'LP Reactivos'!CU348,'LP Reactivos'!CZ348,'LP Reactivos'!DE348,'LP Reactivos'!DJ348,'LP Reactivos'!DO348,'LP Reactivos'!DT348,'LP Reactivos'!DY348,'LP Reactivos'!EB348)," ")</f>
        <v>1223869.2326</v>
      </c>
      <c r="G348" s="345">
        <f>IFERROR(GEOMEAN('LP Reactivos'!F348,'LP Reactivos'!I348,'LP Reactivos'!N348,'LP Reactivos'!S348,'LP Reactivos'!X348,'LP Reactivos'!AC348,'LP Reactivos'!AH348,'LP Reactivos'!AM348,'LP Reactivos'!AR348,'LP Reactivos'!AW348,'LP Reactivos'!BB348,'LP Reactivos'!BG348,'LP Reactivos'!BL348,'LP Reactivos'!BQ348,'LP Reactivos'!BV348,'LP Reactivos'!CA348,'LP Reactivos'!CF348,'LP Reactivos'!CK348,'LP Reactivos'!CP348,'LP Reactivos'!CU348,'LP Reactivos'!CZ348,'LP Reactivos'!DE348,'LP Reactivos'!DJ348,'LP Reactivos'!DO348,'LP Reactivos'!DT348,'LP Reactivos'!DY348,'LP Reactivos'!EB348)," ")</f>
        <v>1223869.2326</v>
      </c>
      <c r="H348" s="345">
        <f t="shared" si="20"/>
        <v>0</v>
      </c>
      <c r="I348" s="346">
        <f t="shared" si="21"/>
        <v>0</v>
      </c>
      <c r="J348" s="345">
        <f t="shared" si="22"/>
        <v>1223869.2326</v>
      </c>
      <c r="K348" s="344" t="str">
        <f t="shared" si="23"/>
        <v>Menor Valor</v>
      </c>
      <c r="L348" s="326">
        <f>IFERROR(COUNTA('LP Reactivos'!F348,'LP Reactivos'!I348,'LP Reactivos'!N348,'LP Reactivos'!S348,'LP Reactivos'!X348,'LP Reactivos'!AC348,'LP Reactivos'!AH348,'LP Reactivos'!AM348,'LP Reactivos'!AR348,'LP Reactivos'!AW348,'LP Reactivos'!BB348,'LP Reactivos'!BG348,'LP Reactivos'!BL348,'LP Reactivos'!BQ348,'LP Reactivos'!BV348,'LP Reactivos'!CA348,'LP Reactivos'!CF348,'LP Reactivos'!CK348,'LP Reactivos'!CP348,'LP Reactivos'!CU348,'LP Reactivos'!CZ348,'LP Reactivos'!DE348,'LP Reactivos'!DJ348,'LP Reactivos'!DO348,'LP Reactivos'!DT348,'LP Reactivos'!DY348,'LP Reactivos'!EB348)," ")</f>
        <v>1</v>
      </c>
    </row>
    <row r="349" spans="2:12" ht="27" x14ac:dyDescent="0.25">
      <c r="B349" s="425">
        <v>347</v>
      </c>
      <c r="C349" s="427" t="s">
        <v>1855</v>
      </c>
      <c r="D349" s="429">
        <f>IFERROR(MIN('LP Reactivos'!F349,'LP Reactivos'!I349,'LP Reactivos'!N349,'LP Reactivos'!S349,'LP Reactivos'!X349,'LP Reactivos'!AC349,'LP Reactivos'!AH349,'LP Reactivos'!AM349,'LP Reactivos'!AR349,'LP Reactivos'!AW349,'LP Reactivos'!BB349,'LP Reactivos'!BG349,'LP Reactivos'!BL349,'LP Reactivos'!BQ349,'LP Reactivos'!BV349,'LP Reactivos'!CA349,'LP Reactivos'!CF349,'LP Reactivos'!CK349,'LP Reactivos'!CP349,'LP Reactivos'!CU349,'LP Reactivos'!CZ349,'LP Reactivos'!DE349,'LP Reactivos'!DJ349,'LP Reactivos'!DO349,'LP Reactivos'!DT349,'LP Reactivos'!DY349,'LP Reactivos'!EB349)," ")</f>
        <v>233304.0815</v>
      </c>
      <c r="E349" s="429">
        <f>IFERROR(AVERAGE('LP Reactivos'!F349,'LP Reactivos'!I349,'LP Reactivos'!N349,'LP Reactivos'!S349,'LP Reactivos'!X349,'LP Reactivos'!AC349,'LP Reactivos'!AH349,'LP Reactivos'!AM349,'LP Reactivos'!AR349,'LP Reactivos'!AW349,'LP Reactivos'!BB349,'LP Reactivos'!BG349,'LP Reactivos'!BL349,'LP Reactivos'!BQ349,'LP Reactivos'!BV349,'LP Reactivos'!CA349,'LP Reactivos'!CF349,'LP Reactivos'!CK349,'LP Reactivos'!CP349,'LP Reactivos'!CU349,'LP Reactivos'!CZ349,'LP Reactivos'!DE349,'LP Reactivos'!DJ349,'LP Reactivos'!DO349,'LP Reactivos'!DT349,'LP Reactivos'!DY349,'LP Reactivos'!EB349)," ")</f>
        <v>233304.0815</v>
      </c>
      <c r="F349" s="345">
        <f>IFERROR(MEDIAN('LP Reactivos'!F349,'LP Reactivos'!I349,'LP Reactivos'!N349,'LP Reactivos'!S349,'LP Reactivos'!X349,'LP Reactivos'!AC349,'LP Reactivos'!AH349,'LP Reactivos'!AM349,'LP Reactivos'!AR349,'LP Reactivos'!AW349,'LP Reactivos'!BB349,'LP Reactivos'!BG349,'LP Reactivos'!BL349,'LP Reactivos'!BQ349,'LP Reactivos'!BV349,'LP Reactivos'!CA349,'LP Reactivos'!CF349,'LP Reactivos'!CK349,'LP Reactivos'!CP349,'LP Reactivos'!CU349,'LP Reactivos'!CZ349,'LP Reactivos'!DE349,'LP Reactivos'!DJ349,'LP Reactivos'!DO349,'LP Reactivos'!DT349,'LP Reactivos'!DY349,'LP Reactivos'!EB349)," ")</f>
        <v>233304.0815</v>
      </c>
      <c r="G349" s="345">
        <f>IFERROR(GEOMEAN('LP Reactivos'!F349,'LP Reactivos'!I349,'LP Reactivos'!N349,'LP Reactivos'!S349,'LP Reactivos'!X349,'LP Reactivos'!AC349,'LP Reactivos'!AH349,'LP Reactivos'!AM349,'LP Reactivos'!AR349,'LP Reactivos'!AW349,'LP Reactivos'!BB349,'LP Reactivos'!BG349,'LP Reactivos'!BL349,'LP Reactivos'!BQ349,'LP Reactivos'!BV349,'LP Reactivos'!CA349,'LP Reactivos'!CF349,'LP Reactivos'!CK349,'LP Reactivos'!CP349,'LP Reactivos'!CU349,'LP Reactivos'!CZ349,'LP Reactivos'!DE349,'LP Reactivos'!DJ349,'LP Reactivos'!DO349,'LP Reactivos'!DT349,'LP Reactivos'!DY349,'LP Reactivos'!EB349)," ")</f>
        <v>233304.0815</v>
      </c>
      <c r="H349" s="345">
        <f t="shared" si="20"/>
        <v>0</v>
      </c>
      <c r="I349" s="346">
        <f t="shared" si="21"/>
        <v>0</v>
      </c>
      <c r="J349" s="345">
        <f t="shared" si="22"/>
        <v>233304.0815</v>
      </c>
      <c r="K349" s="344" t="str">
        <f t="shared" si="23"/>
        <v>Menor Valor</v>
      </c>
      <c r="L349" s="326">
        <f>IFERROR(COUNTA('LP Reactivos'!F349,'LP Reactivos'!I349,'LP Reactivos'!N349,'LP Reactivos'!S349,'LP Reactivos'!X349,'LP Reactivos'!AC349,'LP Reactivos'!AH349,'LP Reactivos'!AM349,'LP Reactivos'!AR349,'LP Reactivos'!AW349,'LP Reactivos'!BB349,'LP Reactivos'!BG349,'LP Reactivos'!BL349,'LP Reactivos'!BQ349,'LP Reactivos'!BV349,'LP Reactivos'!CA349,'LP Reactivos'!CF349,'LP Reactivos'!CK349,'LP Reactivos'!CP349,'LP Reactivos'!CU349,'LP Reactivos'!CZ349,'LP Reactivos'!DE349,'LP Reactivos'!DJ349,'LP Reactivos'!DO349,'LP Reactivos'!DT349,'LP Reactivos'!DY349,'LP Reactivos'!EB349)," ")</f>
        <v>1</v>
      </c>
    </row>
    <row r="350" spans="2:12" ht="27" x14ac:dyDescent="0.25">
      <c r="B350" s="425">
        <v>348</v>
      </c>
      <c r="C350" s="427" t="s">
        <v>1856</v>
      </c>
      <c r="D350" s="429">
        <f>IFERROR(MIN('LP Reactivos'!F350,'LP Reactivos'!I350,'LP Reactivos'!N350,'LP Reactivos'!S350,'LP Reactivos'!X350,'LP Reactivos'!AC350,'LP Reactivos'!AH350,'LP Reactivos'!AM350,'LP Reactivos'!AR350,'LP Reactivos'!AW350,'LP Reactivos'!BB350,'LP Reactivos'!BG350,'LP Reactivos'!BL350,'LP Reactivos'!BQ350,'LP Reactivos'!BV350,'LP Reactivos'!CA350,'LP Reactivos'!CF350,'LP Reactivos'!CK350,'LP Reactivos'!CP350,'LP Reactivos'!CU350,'LP Reactivos'!CZ350,'LP Reactivos'!DE350,'LP Reactivos'!DJ350,'LP Reactivos'!DO350,'LP Reactivos'!DT350,'LP Reactivos'!DY350,'LP Reactivos'!EB350)," ")</f>
        <v>1589107.6978</v>
      </c>
      <c r="E350" s="429">
        <f>IFERROR(AVERAGE('LP Reactivos'!F350,'LP Reactivos'!I350,'LP Reactivos'!N350,'LP Reactivos'!S350,'LP Reactivos'!X350,'LP Reactivos'!AC350,'LP Reactivos'!AH350,'LP Reactivos'!AM350,'LP Reactivos'!AR350,'LP Reactivos'!AW350,'LP Reactivos'!BB350,'LP Reactivos'!BG350,'LP Reactivos'!BL350,'LP Reactivos'!BQ350,'LP Reactivos'!BV350,'LP Reactivos'!CA350,'LP Reactivos'!CF350,'LP Reactivos'!CK350,'LP Reactivos'!CP350,'LP Reactivos'!CU350,'LP Reactivos'!CZ350,'LP Reactivos'!DE350,'LP Reactivos'!DJ350,'LP Reactivos'!DO350,'LP Reactivos'!DT350,'LP Reactivos'!DY350,'LP Reactivos'!EB350)," ")</f>
        <v>1589107.6978</v>
      </c>
      <c r="F350" s="345">
        <f>IFERROR(MEDIAN('LP Reactivos'!F350,'LP Reactivos'!I350,'LP Reactivos'!N350,'LP Reactivos'!S350,'LP Reactivos'!X350,'LP Reactivos'!AC350,'LP Reactivos'!AH350,'LP Reactivos'!AM350,'LP Reactivos'!AR350,'LP Reactivos'!AW350,'LP Reactivos'!BB350,'LP Reactivos'!BG350,'LP Reactivos'!BL350,'LP Reactivos'!BQ350,'LP Reactivos'!BV350,'LP Reactivos'!CA350,'LP Reactivos'!CF350,'LP Reactivos'!CK350,'LP Reactivos'!CP350,'LP Reactivos'!CU350,'LP Reactivos'!CZ350,'LP Reactivos'!DE350,'LP Reactivos'!DJ350,'LP Reactivos'!DO350,'LP Reactivos'!DT350,'LP Reactivos'!DY350,'LP Reactivos'!EB350)," ")</f>
        <v>1589107.6978</v>
      </c>
      <c r="G350" s="345">
        <f>IFERROR(GEOMEAN('LP Reactivos'!F350,'LP Reactivos'!I350,'LP Reactivos'!N350,'LP Reactivos'!S350,'LP Reactivos'!X350,'LP Reactivos'!AC350,'LP Reactivos'!AH350,'LP Reactivos'!AM350,'LP Reactivos'!AR350,'LP Reactivos'!AW350,'LP Reactivos'!BB350,'LP Reactivos'!BG350,'LP Reactivos'!BL350,'LP Reactivos'!BQ350,'LP Reactivos'!BV350,'LP Reactivos'!CA350,'LP Reactivos'!CF350,'LP Reactivos'!CK350,'LP Reactivos'!CP350,'LP Reactivos'!CU350,'LP Reactivos'!CZ350,'LP Reactivos'!DE350,'LP Reactivos'!DJ350,'LP Reactivos'!DO350,'LP Reactivos'!DT350,'LP Reactivos'!DY350,'LP Reactivos'!EB350)," ")</f>
        <v>1589107.6978</v>
      </c>
      <c r="H350" s="345">
        <f t="shared" si="20"/>
        <v>0</v>
      </c>
      <c r="I350" s="346">
        <f t="shared" si="21"/>
        <v>0</v>
      </c>
      <c r="J350" s="345">
        <f t="shared" si="22"/>
        <v>1589107.6978</v>
      </c>
      <c r="K350" s="344" t="str">
        <f t="shared" si="23"/>
        <v>Menor Valor</v>
      </c>
      <c r="L350" s="326">
        <f>IFERROR(COUNTA('LP Reactivos'!F350,'LP Reactivos'!I350,'LP Reactivos'!N350,'LP Reactivos'!S350,'LP Reactivos'!X350,'LP Reactivos'!AC350,'LP Reactivos'!AH350,'LP Reactivos'!AM350,'LP Reactivos'!AR350,'LP Reactivos'!AW350,'LP Reactivos'!BB350,'LP Reactivos'!BG350,'LP Reactivos'!BL350,'LP Reactivos'!BQ350,'LP Reactivos'!BV350,'LP Reactivos'!CA350,'LP Reactivos'!CF350,'LP Reactivos'!CK350,'LP Reactivos'!CP350,'LP Reactivos'!CU350,'LP Reactivos'!CZ350,'LP Reactivos'!DE350,'LP Reactivos'!DJ350,'LP Reactivos'!DO350,'LP Reactivos'!DT350,'LP Reactivos'!DY350,'LP Reactivos'!EB350)," ")</f>
        <v>1</v>
      </c>
    </row>
    <row r="351" spans="2:12" x14ac:dyDescent="0.25">
      <c r="B351" s="425">
        <v>349</v>
      </c>
      <c r="C351" s="427" t="s">
        <v>1857</v>
      </c>
      <c r="D351" s="429">
        <f>IFERROR(MIN('LP Reactivos'!F351,'LP Reactivos'!I351,'LP Reactivos'!N351,'LP Reactivos'!S351,'LP Reactivos'!X351,'LP Reactivos'!AC351,'LP Reactivos'!AH351,'LP Reactivos'!AM351,'LP Reactivos'!AR351,'LP Reactivos'!AW351,'LP Reactivos'!BB351,'LP Reactivos'!BG351,'LP Reactivos'!BL351,'LP Reactivos'!BQ351,'LP Reactivos'!BV351,'LP Reactivos'!CA351,'LP Reactivos'!CF351,'LP Reactivos'!CK351,'LP Reactivos'!CP351,'LP Reactivos'!CU351,'LP Reactivos'!CZ351,'LP Reactivos'!DE351,'LP Reactivos'!DJ351,'LP Reactivos'!DO351,'LP Reactivos'!DT351,'LP Reactivos'!DY351,'LP Reactivos'!EB351)," ")</f>
        <v>31421.95</v>
      </c>
      <c r="E351" s="429">
        <f>IFERROR(AVERAGE('LP Reactivos'!F351,'LP Reactivos'!I351,'LP Reactivos'!N351,'LP Reactivos'!S351,'LP Reactivos'!X351,'LP Reactivos'!AC351,'LP Reactivos'!AH351,'LP Reactivos'!AM351,'LP Reactivos'!AR351,'LP Reactivos'!AW351,'LP Reactivos'!BB351,'LP Reactivos'!BG351,'LP Reactivos'!BL351,'LP Reactivos'!BQ351,'LP Reactivos'!BV351,'LP Reactivos'!CA351,'LP Reactivos'!CF351,'LP Reactivos'!CK351,'LP Reactivos'!CP351,'LP Reactivos'!CU351,'LP Reactivos'!CZ351,'LP Reactivos'!DE351,'LP Reactivos'!DJ351,'LP Reactivos'!DO351,'LP Reactivos'!DT351,'LP Reactivos'!DY351,'LP Reactivos'!EB351)," ")</f>
        <v>36535.974999999999</v>
      </c>
      <c r="F351" s="345">
        <f>IFERROR(MEDIAN('LP Reactivos'!F351,'LP Reactivos'!I351,'LP Reactivos'!N351,'LP Reactivos'!S351,'LP Reactivos'!X351,'LP Reactivos'!AC351,'LP Reactivos'!AH351,'LP Reactivos'!AM351,'LP Reactivos'!AR351,'LP Reactivos'!AW351,'LP Reactivos'!BB351,'LP Reactivos'!BG351,'LP Reactivos'!BL351,'LP Reactivos'!BQ351,'LP Reactivos'!BV351,'LP Reactivos'!CA351,'LP Reactivos'!CF351,'LP Reactivos'!CK351,'LP Reactivos'!CP351,'LP Reactivos'!CU351,'LP Reactivos'!CZ351,'LP Reactivos'!DE351,'LP Reactivos'!DJ351,'LP Reactivos'!DO351,'LP Reactivos'!DT351,'LP Reactivos'!DY351,'LP Reactivos'!EB351)," ")</f>
        <v>36535.974999999999</v>
      </c>
      <c r="G351" s="345">
        <f>IFERROR(GEOMEAN('LP Reactivos'!F351,'LP Reactivos'!I351,'LP Reactivos'!N351,'LP Reactivos'!S351,'LP Reactivos'!X351,'LP Reactivos'!AC351,'LP Reactivos'!AH351,'LP Reactivos'!AM351,'LP Reactivos'!AR351,'LP Reactivos'!AW351,'LP Reactivos'!BB351,'LP Reactivos'!BG351,'LP Reactivos'!BL351,'LP Reactivos'!BQ351,'LP Reactivos'!BV351,'LP Reactivos'!CA351,'LP Reactivos'!CF351,'LP Reactivos'!CK351,'LP Reactivos'!CP351,'LP Reactivos'!CU351,'LP Reactivos'!CZ351,'LP Reactivos'!DE351,'LP Reactivos'!DJ351,'LP Reactivos'!DO351,'LP Reactivos'!DT351,'LP Reactivos'!DY351,'LP Reactivos'!EB351)," ")</f>
        <v>36176.293584335035</v>
      </c>
      <c r="H351" s="345">
        <f t="shared" si="20"/>
        <v>2502.8155438876429</v>
      </c>
      <c r="I351" s="346">
        <f t="shared" si="21"/>
        <v>6.8502771416053432E-2</v>
      </c>
      <c r="J351" s="345">
        <f t="shared" si="22"/>
        <v>36535.974999999999</v>
      </c>
      <c r="K351" s="344" t="str">
        <f t="shared" si="23"/>
        <v>Promedio</v>
      </c>
      <c r="L351" s="326">
        <f>IFERROR(COUNTA('LP Reactivos'!F351,'LP Reactivos'!I351,'LP Reactivos'!N351,'LP Reactivos'!S351,'LP Reactivos'!X351,'LP Reactivos'!AC351,'LP Reactivos'!AH351,'LP Reactivos'!AM351,'LP Reactivos'!AR351,'LP Reactivos'!AW351,'LP Reactivos'!BB351,'LP Reactivos'!BG351,'LP Reactivos'!BL351,'LP Reactivos'!BQ351,'LP Reactivos'!BV351,'LP Reactivos'!CA351,'LP Reactivos'!CF351,'LP Reactivos'!CK351,'LP Reactivos'!CP351,'LP Reactivos'!CU351,'LP Reactivos'!CZ351,'LP Reactivos'!DE351,'LP Reactivos'!DJ351,'LP Reactivos'!DO351,'LP Reactivos'!DT351,'LP Reactivos'!DY351,'LP Reactivos'!EB351)," ")</f>
        <v>2</v>
      </c>
    </row>
    <row r="352" spans="2:12" x14ac:dyDescent="0.25">
      <c r="B352" s="425">
        <v>350</v>
      </c>
      <c r="C352" s="427" t="s">
        <v>1860</v>
      </c>
      <c r="D352" s="429">
        <f>IFERROR(MIN('LP Reactivos'!F352,'LP Reactivos'!I352,'LP Reactivos'!N352,'LP Reactivos'!S352,'LP Reactivos'!X352,'LP Reactivos'!AC352,'LP Reactivos'!AH352,'LP Reactivos'!AM352,'LP Reactivos'!AR352,'LP Reactivos'!AW352,'LP Reactivos'!BB352,'LP Reactivos'!BG352,'LP Reactivos'!BL352,'LP Reactivos'!BQ352,'LP Reactivos'!BV352,'LP Reactivos'!CA352,'LP Reactivos'!CF352,'LP Reactivos'!CK352,'LP Reactivos'!CP352,'LP Reactivos'!CU352,'LP Reactivos'!CZ352,'LP Reactivos'!DE352,'LP Reactivos'!DJ352,'LP Reactivos'!DO352,'LP Reactivos'!DT352,'LP Reactivos'!DY352,'LP Reactivos'!EB352)," ")</f>
        <v>196350</v>
      </c>
      <c r="E352" s="429">
        <f>IFERROR(AVERAGE('LP Reactivos'!F352,'LP Reactivos'!I352,'LP Reactivos'!N352,'LP Reactivos'!S352,'LP Reactivos'!X352,'LP Reactivos'!AC352,'LP Reactivos'!AH352,'LP Reactivos'!AM352,'LP Reactivos'!AR352,'LP Reactivos'!AW352,'LP Reactivos'!BB352,'LP Reactivos'!BG352,'LP Reactivos'!BL352,'LP Reactivos'!BQ352,'LP Reactivos'!BV352,'LP Reactivos'!CA352,'LP Reactivos'!CF352,'LP Reactivos'!CK352,'LP Reactivos'!CP352,'LP Reactivos'!CU352,'LP Reactivos'!CZ352,'LP Reactivos'!DE352,'LP Reactivos'!DJ352,'LP Reactivos'!DO352,'LP Reactivos'!DT352,'LP Reactivos'!DY352,'LP Reactivos'!EB352)," ")</f>
        <v>603212.90249999997</v>
      </c>
      <c r="F352" s="345">
        <f>IFERROR(MEDIAN('LP Reactivos'!F352,'LP Reactivos'!I352,'LP Reactivos'!N352,'LP Reactivos'!S352,'LP Reactivos'!X352,'LP Reactivos'!AC352,'LP Reactivos'!AH352,'LP Reactivos'!AM352,'LP Reactivos'!AR352,'LP Reactivos'!AW352,'LP Reactivos'!BB352,'LP Reactivos'!BG352,'LP Reactivos'!BL352,'LP Reactivos'!BQ352,'LP Reactivos'!BV352,'LP Reactivos'!CA352,'LP Reactivos'!CF352,'LP Reactivos'!CK352,'LP Reactivos'!CP352,'LP Reactivos'!CU352,'LP Reactivos'!CZ352,'LP Reactivos'!DE352,'LP Reactivos'!DJ352,'LP Reactivos'!DO352,'LP Reactivos'!DT352,'LP Reactivos'!DY352,'LP Reactivos'!EB352)," ")</f>
        <v>456130.80499999999</v>
      </c>
      <c r="G352" s="345">
        <f>IFERROR(GEOMEAN('LP Reactivos'!F352,'LP Reactivos'!I352,'LP Reactivos'!N352,'LP Reactivos'!S352,'LP Reactivos'!X352,'LP Reactivos'!AC352,'LP Reactivos'!AH352,'LP Reactivos'!AM352,'LP Reactivos'!AR352,'LP Reactivos'!AW352,'LP Reactivos'!BB352,'LP Reactivos'!BG352,'LP Reactivos'!BL352,'LP Reactivos'!BQ352,'LP Reactivos'!BV352,'LP Reactivos'!CA352,'LP Reactivos'!CF352,'LP Reactivos'!CK352,'LP Reactivos'!CP352,'LP Reactivos'!CU352,'LP Reactivos'!CZ352,'LP Reactivos'!DE352,'LP Reactivos'!DJ352,'LP Reactivos'!DO352,'LP Reactivos'!DT352,'LP Reactivos'!DY352,'LP Reactivos'!EB352)," ")</f>
        <v>463672.39229722746</v>
      </c>
      <c r="H352" s="345">
        <f t="shared" si="20"/>
        <v>169717.00033494408</v>
      </c>
      <c r="I352" s="346">
        <f t="shared" si="21"/>
        <v>0.2813550566169199</v>
      </c>
      <c r="J352" s="345">
        <f t="shared" si="22"/>
        <v>463672.39229722746</v>
      </c>
      <c r="K352" s="344" t="str">
        <f t="shared" si="23"/>
        <v>Media Geométrica</v>
      </c>
      <c r="L352" s="326">
        <f>IFERROR(COUNTA('LP Reactivos'!F352,'LP Reactivos'!I352,'LP Reactivos'!N352,'LP Reactivos'!S352,'LP Reactivos'!X352,'LP Reactivos'!AC352,'LP Reactivos'!AH352,'LP Reactivos'!AM352,'LP Reactivos'!AR352,'LP Reactivos'!AW352,'LP Reactivos'!BB352,'LP Reactivos'!BG352,'LP Reactivos'!BL352,'LP Reactivos'!BQ352,'LP Reactivos'!BV352,'LP Reactivos'!CA352,'LP Reactivos'!CF352,'LP Reactivos'!CK352,'LP Reactivos'!CP352,'LP Reactivos'!CU352,'LP Reactivos'!CZ352,'LP Reactivos'!DE352,'LP Reactivos'!DJ352,'LP Reactivos'!DO352,'LP Reactivos'!DT352,'LP Reactivos'!DY352,'LP Reactivos'!EB352)," ")</f>
        <v>4</v>
      </c>
    </row>
    <row r="353" spans="2:12" x14ac:dyDescent="0.25">
      <c r="B353" s="425">
        <v>351</v>
      </c>
      <c r="C353" s="427" t="s">
        <v>1863</v>
      </c>
      <c r="D353" s="429">
        <f>IFERROR(MIN('LP Reactivos'!F353,'LP Reactivos'!I353,'LP Reactivos'!N353,'LP Reactivos'!S353,'LP Reactivos'!X353,'LP Reactivos'!AC353,'LP Reactivos'!AH353,'LP Reactivos'!AM353,'LP Reactivos'!AR353,'LP Reactivos'!AW353,'LP Reactivos'!BB353,'LP Reactivos'!BG353,'LP Reactivos'!BL353,'LP Reactivos'!BQ353,'LP Reactivos'!BV353,'LP Reactivos'!CA353,'LP Reactivos'!CF353,'LP Reactivos'!CK353,'LP Reactivos'!CP353,'LP Reactivos'!CU353,'LP Reactivos'!CZ353,'LP Reactivos'!DE353,'LP Reactivos'!DJ353,'LP Reactivos'!DO353,'LP Reactivos'!DT353,'LP Reactivos'!DY353,'LP Reactivos'!EB353)," ")</f>
        <v>154700</v>
      </c>
      <c r="E353" s="429">
        <f>IFERROR(AVERAGE('LP Reactivos'!F353,'LP Reactivos'!I353,'LP Reactivos'!N353,'LP Reactivos'!S353,'LP Reactivos'!X353,'LP Reactivos'!AC353,'LP Reactivos'!AH353,'LP Reactivos'!AM353,'LP Reactivos'!AR353,'LP Reactivos'!AW353,'LP Reactivos'!BB353,'LP Reactivos'!BG353,'LP Reactivos'!BL353,'LP Reactivos'!BQ353,'LP Reactivos'!BV353,'LP Reactivos'!CA353,'LP Reactivos'!CF353,'LP Reactivos'!CK353,'LP Reactivos'!CP353,'LP Reactivos'!CU353,'LP Reactivos'!CZ353,'LP Reactivos'!DE353,'LP Reactivos'!DJ353,'LP Reactivos'!DO353,'LP Reactivos'!DT353,'LP Reactivos'!DY353,'LP Reactivos'!EB353)," ")</f>
        <v>344222.33333333331</v>
      </c>
      <c r="F353" s="345">
        <f>IFERROR(MEDIAN('LP Reactivos'!F353,'LP Reactivos'!I353,'LP Reactivos'!N353,'LP Reactivos'!S353,'LP Reactivos'!X353,'LP Reactivos'!AC353,'LP Reactivos'!AH353,'LP Reactivos'!AM353,'LP Reactivos'!AR353,'LP Reactivos'!AW353,'LP Reactivos'!BB353,'LP Reactivos'!BG353,'LP Reactivos'!BL353,'LP Reactivos'!BQ353,'LP Reactivos'!BV353,'LP Reactivos'!CA353,'LP Reactivos'!CF353,'LP Reactivos'!CK353,'LP Reactivos'!CP353,'LP Reactivos'!CU353,'LP Reactivos'!CZ353,'LP Reactivos'!DE353,'LP Reactivos'!DJ353,'LP Reactivos'!DO353,'LP Reactivos'!DT353,'LP Reactivos'!DY353,'LP Reactivos'!EB353)," ")</f>
        <v>290107</v>
      </c>
      <c r="G353" s="345">
        <f>IFERROR(GEOMEAN('LP Reactivos'!F353,'LP Reactivos'!I353,'LP Reactivos'!N353,'LP Reactivos'!S353,'LP Reactivos'!X353,'LP Reactivos'!AC353,'LP Reactivos'!AH353,'LP Reactivos'!AM353,'LP Reactivos'!AR353,'LP Reactivos'!AW353,'LP Reactivos'!BB353,'LP Reactivos'!BG353,'LP Reactivos'!BL353,'LP Reactivos'!BQ353,'LP Reactivos'!BV353,'LP Reactivos'!CA353,'LP Reactivos'!CF353,'LP Reactivos'!CK353,'LP Reactivos'!CP353,'LP Reactivos'!CU353,'LP Reactivos'!CZ353,'LP Reactivos'!DE353,'LP Reactivos'!DJ353,'LP Reactivos'!DO353,'LP Reactivos'!DT353,'LP Reactivos'!DY353,'LP Reactivos'!EB353)," ")</f>
        <v>297696.78468587971</v>
      </c>
      <c r="H353" s="345">
        <f t="shared" si="20"/>
        <v>81574.37900566234</v>
      </c>
      <c r="I353" s="346">
        <f t="shared" si="21"/>
        <v>0.23698165722056291</v>
      </c>
      <c r="J353" s="345">
        <f t="shared" si="22"/>
        <v>297696.78468587971</v>
      </c>
      <c r="K353" s="344" t="str">
        <f t="shared" si="23"/>
        <v>Media Geométrica</v>
      </c>
      <c r="L353" s="326">
        <f>IFERROR(COUNTA('LP Reactivos'!F353,'LP Reactivos'!I353,'LP Reactivos'!N353,'LP Reactivos'!S353,'LP Reactivos'!X353,'LP Reactivos'!AC353,'LP Reactivos'!AH353,'LP Reactivos'!AM353,'LP Reactivos'!AR353,'LP Reactivos'!AW353,'LP Reactivos'!BB353,'LP Reactivos'!BG353,'LP Reactivos'!BL353,'LP Reactivos'!BQ353,'LP Reactivos'!BV353,'LP Reactivos'!CA353,'LP Reactivos'!CF353,'LP Reactivos'!CK353,'LP Reactivos'!CP353,'LP Reactivos'!CU353,'LP Reactivos'!CZ353,'LP Reactivos'!DE353,'LP Reactivos'!DJ353,'LP Reactivos'!DO353,'LP Reactivos'!DT353,'LP Reactivos'!DY353,'LP Reactivos'!EB353)," ")</f>
        <v>3</v>
      </c>
    </row>
    <row r="354" spans="2:12" x14ac:dyDescent="0.25">
      <c r="B354" s="425">
        <v>352</v>
      </c>
      <c r="C354" s="428" t="s">
        <v>1867</v>
      </c>
      <c r="D354" s="429">
        <f>IFERROR(MIN('LP Reactivos'!F354,'LP Reactivos'!I354,'LP Reactivos'!N354,'LP Reactivos'!S354,'LP Reactivos'!X354,'LP Reactivos'!AC354,'LP Reactivos'!AH354,'LP Reactivos'!AM354,'LP Reactivos'!AR354,'LP Reactivos'!AW354,'LP Reactivos'!BB354,'LP Reactivos'!BG354,'LP Reactivos'!BL354,'LP Reactivos'!BQ354,'LP Reactivos'!BV354,'LP Reactivos'!CA354,'LP Reactivos'!CF354,'LP Reactivos'!CK354,'LP Reactivos'!CP354,'LP Reactivos'!CU354,'LP Reactivos'!CZ354,'LP Reactivos'!DE354,'LP Reactivos'!DJ354,'LP Reactivos'!DO354,'LP Reactivos'!DT354,'LP Reactivos'!DY354,'LP Reactivos'!EB354)," ")</f>
        <v>771120</v>
      </c>
      <c r="E354" s="429">
        <f>IFERROR(AVERAGE('LP Reactivos'!F354,'LP Reactivos'!I354,'LP Reactivos'!N354,'LP Reactivos'!S354,'LP Reactivos'!X354,'LP Reactivos'!AC354,'LP Reactivos'!AH354,'LP Reactivos'!AM354,'LP Reactivos'!AR354,'LP Reactivos'!AW354,'LP Reactivos'!BB354,'LP Reactivos'!BG354,'LP Reactivos'!BL354,'LP Reactivos'!BQ354,'LP Reactivos'!BV354,'LP Reactivos'!CA354,'LP Reactivos'!CF354,'LP Reactivos'!CK354,'LP Reactivos'!CP354,'LP Reactivos'!CU354,'LP Reactivos'!CZ354,'LP Reactivos'!DE354,'LP Reactivos'!DJ354,'LP Reactivos'!DO354,'LP Reactivos'!DT354,'LP Reactivos'!DY354,'LP Reactivos'!EB354)," ")</f>
        <v>1089445</v>
      </c>
      <c r="F354" s="345">
        <f>IFERROR(MEDIAN('LP Reactivos'!F354,'LP Reactivos'!I354,'LP Reactivos'!N354,'LP Reactivos'!S354,'LP Reactivos'!X354,'LP Reactivos'!AC354,'LP Reactivos'!AH354,'LP Reactivos'!AM354,'LP Reactivos'!AR354,'LP Reactivos'!AW354,'LP Reactivos'!BB354,'LP Reactivos'!BG354,'LP Reactivos'!BL354,'LP Reactivos'!BQ354,'LP Reactivos'!BV354,'LP Reactivos'!CA354,'LP Reactivos'!CF354,'LP Reactivos'!CK354,'LP Reactivos'!CP354,'LP Reactivos'!CU354,'LP Reactivos'!CZ354,'LP Reactivos'!DE354,'LP Reactivos'!DJ354,'LP Reactivos'!DO354,'LP Reactivos'!DT354,'LP Reactivos'!DY354,'LP Reactivos'!EB354)," ")</f>
        <v>1089445</v>
      </c>
      <c r="G354" s="345">
        <f>IFERROR(GEOMEAN('LP Reactivos'!F354,'LP Reactivos'!I354,'LP Reactivos'!N354,'LP Reactivos'!S354,'LP Reactivos'!X354,'LP Reactivos'!AC354,'LP Reactivos'!AH354,'LP Reactivos'!AM354,'LP Reactivos'!AR354,'LP Reactivos'!AW354,'LP Reactivos'!BB354,'LP Reactivos'!BG354,'LP Reactivos'!BL354,'LP Reactivos'!BQ354,'LP Reactivos'!BV354,'LP Reactivos'!CA354,'LP Reactivos'!CF354,'LP Reactivos'!CK354,'LP Reactivos'!CP354,'LP Reactivos'!CU354,'LP Reactivos'!CZ354,'LP Reactivos'!DE354,'LP Reactivos'!DJ354,'LP Reactivos'!DO354,'LP Reactivos'!DT354,'LP Reactivos'!DY354,'LP Reactivos'!EB354)," ")</f>
        <v>1041901.9159210717</v>
      </c>
      <c r="H354" s="345">
        <f t="shared" ref="H354:H408" si="24">STDEVA(D354,E354,F354,G354)</f>
        <v>152890.25119546792</v>
      </c>
      <c r="I354" s="346">
        <f t="shared" ref="I354:I408" si="25">IFERROR(H354/E354," ")</f>
        <v>0.14033774187358511</v>
      </c>
      <c r="J354" s="345">
        <f t="shared" ref="J354:J408" si="26">IF(I354&lt;=10%,F354,IF(AND(I354&gt;10%,I354&lt;=20%),E354,IF(AND(I354&gt;20%,I354&lt;=30%),G354,IF(I354&gt;30%,D354))))</f>
        <v>1089445</v>
      </c>
      <c r="K354" s="344" t="str">
        <f t="shared" ref="K354:K408" si="27">IF(J354=D354,"Menor Valor",IF(J354=E354,"Promedio",IF(J354=F354,"Mediana",IF(J354=G354,"Media Geométrica"," "))))</f>
        <v>Promedio</v>
      </c>
      <c r="L354" s="326">
        <f>IFERROR(COUNTA('LP Reactivos'!F354,'LP Reactivos'!I354,'LP Reactivos'!N354,'LP Reactivos'!S354,'LP Reactivos'!X354,'LP Reactivos'!AC354,'LP Reactivos'!AH354,'LP Reactivos'!AM354,'LP Reactivos'!AR354,'LP Reactivos'!AW354,'LP Reactivos'!BB354,'LP Reactivos'!BG354,'LP Reactivos'!BL354,'LP Reactivos'!BQ354,'LP Reactivos'!BV354,'LP Reactivos'!CA354,'LP Reactivos'!CF354,'LP Reactivos'!CK354,'LP Reactivos'!CP354,'LP Reactivos'!CU354,'LP Reactivos'!CZ354,'LP Reactivos'!DE354,'LP Reactivos'!DJ354,'LP Reactivos'!DO354,'LP Reactivos'!DT354,'LP Reactivos'!DY354,'LP Reactivos'!EB354)," ")</f>
        <v>2</v>
      </c>
    </row>
    <row r="355" spans="2:12" x14ac:dyDescent="0.25">
      <c r="B355" s="425">
        <v>353</v>
      </c>
      <c r="C355" s="427" t="s">
        <v>1870</v>
      </c>
      <c r="D355" s="429">
        <f>IFERROR(MIN('LP Reactivos'!F355,'LP Reactivos'!I355,'LP Reactivos'!N355,'LP Reactivos'!S355,'LP Reactivos'!X355,'LP Reactivos'!AC355,'LP Reactivos'!AH355,'LP Reactivos'!AM355,'LP Reactivos'!AR355,'LP Reactivos'!AW355,'LP Reactivos'!BB355,'LP Reactivos'!BG355,'LP Reactivos'!BL355,'LP Reactivos'!BQ355,'LP Reactivos'!BV355,'LP Reactivos'!CA355,'LP Reactivos'!CF355,'LP Reactivos'!CK355,'LP Reactivos'!CP355,'LP Reactivos'!CU355,'LP Reactivos'!CZ355,'LP Reactivos'!DE355,'LP Reactivos'!DJ355,'LP Reactivos'!DO355,'LP Reactivos'!DT355,'LP Reactivos'!DY355,'LP Reactivos'!EB355)," ")</f>
        <v>247000</v>
      </c>
      <c r="E355" s="429">
        <f>IFERROR(AVERAGE('LP Reactivos'!F355,'LP Reactivos'!I355,'LP Reactivos'!N355,'LP Reactivos'!S355,'LP Reactivos'!X355,'LP Reactivos'!AC355,'LP Reactivos'!AH355,'LP Reactivos'!AM355,'LP Reactivos'!AR355,'LP Reactivos'!AW355,'LP Reactivos'!BB355,'LP Reactivos'!BG355,'LP Reactivos'!BL355,'LP Reactivos'!BQ355,'LP Reactivos'!BV355,'LP Reactivos'!CA355,'LP Reactivos'!CF355,'LP Reactivos'!CK355,'LP Reactivos'!CP355,'LP Reactivos'!CU355,'LP Reactivos'!CZ355,'LP Reactivos'!DE355,'LP Reactivos'!DJ355,'LP Reactivos'!DO355,'LP Reactivos'!DT355,'LP Reactivos'!DY355,'LP Reactivos'!EB355)," ")</f>
        <v>373862.04266666668</v>
      </c>
      <c r="F355" s="345">
        <f>IFERROR(MEDIAN('LP Reactivos'!F355,'LP Reactivos'!I355,'LP Reactivos'!N355,'LP Reactivos'!S355,'LP Reactivos'!X355,'LP Reactivos'!AC355,'LP Reactivos'!AH355,'LP Reactivos'!AM355,'LP Reactivos'!AR355,'LP Reactivos'!AW355,'LP Reactivos'!BB355,'LP Reactivos'!BG355,'LP Reactivos'!BL355,'LP Reactivos'!BQ355,'LP Reactivos'!BV355,'LP Reactivos'!CA355,'LP Reactivos'!CF355,'LP Reactivos'!CK355,'LP Reactivos'!CP355,'LP Reactivos'!CU355,'LP Reactivos'!CZ355,'LP Reactivos'!DE355,'LP Reactivos'!DJ355,'LP Reactivos'!DO355,'LP Reactivos'!DT355,'LP Reactivos'!DY355,'LP Reactivos'!EB355)," ")</f>
        <v>402000</v>
      </c>
      <c r="G355" s="345">
        <f>IFERROR(GEOMEAN('LP Reactivos'!F355,'LP Reactivos'!I355,'LP Reactivos'!N355,'LP Reactivos'!S355,'LP Reactivos'!X355,'LP Reactivos'!AC355,'LP Reactivos'!AH355,'LP Reactivos'!AM355,'LP Reactivos'!AR355,'LP Reactivos'!AW355,'LP Reactivos'!BB355,'LP Reactivos'!BG355,'LP Reactivos'!BL355,'LP Reactivos'!BQ355,'LP Reactivos'!BV355,'LP Reactivos'!CA355,'LP Reactivos'!CF355,'LP Reactivos'!CK355,'LP Reactivos'!CP355,'LP Reactivos'!CU355,'LP Reactivos'!CZ355,'LP Reactivos'!DE355,'LP Reactivos'!DJ355,'LP Reactivos'!DO355,'LP Reactivos'!DT355,'LP Reactivos'!DY355,'LP Reactivos'!EB355)," ")</f>
        <v>360690.46241524554</v>
      </c>
      <c r="H355" s="345">
        <f t="shared" si="24"/>
        <v>68139.692408579358</v>
      </c>
      <c r="I355" s="346">
        <f t="shared" si="25"/>
        <v>0.18225892075738839</v>
      </c>
      <c r="J355" s="345">
        <f t="shared" si="26"/>
        <v>373862.04266666668</v>
      </c>
      <c r="K355" s="344" t="str">
        <f t="shared" si="27"/>
        <v>Promedio</v>
      </c>
      <c r="L355" s="326">
        <f>IFERROR(COUNTA('LP Reactivos'!F355,'LP Reactivos'!I355,'LP Reactivos'!N355,'LP Reactivos'!S355,'LP Reactivos'!X355,'LP Reactivos'!AC355,'LP Reactivos'!AH355,'LP Reactivos'!AM355,'LP Reactivos'!AR355,'LP Reactivos'!AW355,'LP Reactivos'!BB355,'LP Reactivos'!BG355,'LP Reactivos'!BL355,'LP Reactivos'!BQ355,'LP Reactivos'!BV355,'LP Reactivos'!CA355,'LP Reactivos'!CF355,'LP Reactivos'!CK355,'LP Reactivos'!CP355,'LP Reactivos'!CU355,'LP Reactivos'!CZ355,'LP Reactivos'!DE355,'LP Reactivos'!DJ355,'LP Reactivos'!DO355,'LP Reactivos'!DT355,'LP Reactivos'!DY355,'LP Reactivos'!EB355)," ")</f>
        <v>3</v>
      </c>
    </row>
    <row r="356" spans="2:12" ht="27" x14ac:dyDescent="0.25">
      <c r="B356" s="425">
        <v>354</v>
      </c>
      <c r="C356" s="427" t="s">
        <v>1874</v>
      </c>
      <c r="D356" s="429">
        <f>IFERROR(MIN('LP Reactivos'!F356,'LP Reactivos'!I356,'LP Reactivos'!N356,'LP Reactivos'!S356,'LP Reactivos'!X356,'LP Reactivos'!AC356,'LP Reactivos'!AH356,'LP Reactivos'!AM356,'LP Reactivos'!AR356,'LP Reactivos'!AW356,'LP Reactivos'!BB356,'LP Reactivos'!BG356,'LP Reactivos'!BL356,'LP Reactivos'!BQ356,'LP Reactivos'!BV356,'LP Reactivos'!CA356,'LP Reactivos'!CF356,'LP Reactivos'!CK356,'LP Reactivos'!CP356,'LP Reactivos'!CU356,'LP Reactivos'!CZ356,'LP Reactivos'!DE356,'LP Reactivos'!DJ356,'LP Reactivos'!DO356,'LP Reactivos'!DT356,'LP Reactivos'!DY356,'LP Reactivos'!EB356)," ")</f>
        <v>8150</v>
      </c>
      <c r="E356" s="429">
        <f>IFERROR(AVERAGE('LP Reactivos'!F356,'LP Reactivos'!I356,'LP Reactivos'!N356,'LP Reactivos'!S356,'LP Reactivos'!X356,'LP Reactivos'!AC356,'LP Reactivos'!AH356,'LP Reactivos'!AM356,'LP Reactivos'!AR356,'LP Reactivos'!AW356,'LP Reactivos'!BB356,'LP Reactivos'!BG356,'LP Reactivos'!BL356,'LP Reactivos'!BQ356,'LP Reactivos'!BV356,'LP Reactivos'!CA356,'LP Reactivos'!CF356,'LP Reactivos'!CK356,'LP Reactivos'!CP356,'LP Reactivos'!CU356,'LP Reactivos'!CZ356,'LP Reactivos'!DE356,'LP Reactivos'!DJ356,'LP Reactivos'!DO356,'LP Reactivos'!DT356,'LP Reactivos'!DY356,'LP Reactivos'!EB356)," ")</f>
        <v>8216.6666666666661</v>
      </c>
      <c r="F356" s="345">
        <f>IFERROR(MEDIAN('LP Reactivos'!F356,'LP Reactivos'!I356,'LP Reactivos'!N356,'LP Reactivos'!S356,'LP Reactivos'!X356,'LP Reactivos'!AC356,'LP Reactivos'!AH356,'LP Reactivos'!AM356,'LP Reactivos'!AR356,'LP Reactivos'!AW356,'LP Reactivos'!BB356,'LP Reactivos'!BG356,'LP Reactivos'!BL356,'LP Reactivos'!BQ356,'LP Reactivos'!BV356,'LP Reactivos'!CA356,'LP Reactivos'!CF356,'LP Reactivos'!CK356,'LP Reactivos'!CP356,'LP Reactivos'!CU356,'LP Reactivos'!CZ356,'LP Reactivos'!DE356,'LP Reactivos'!DJ356,'LP Reactivos'!DO356,'LP Reactivos'!DT356,'LP Reactivos'!DY356,'LP Reactivos'!EB356)," ")</f>
        <v>8200</v>
      </c>
      <c r="G356" s="345">
        <f>IFERROR(GEOMEAN('LP Reactivos'!F356,'LP Reactivos'!I356,'LP Reactivos'!N356,'LP Reactivos'!S356,'LP Reactivos'!X356,'LP Reactivos'!AC356,'LP Reactivos'!AH356,'LP Reactivos'!AM356,'LP Reactivos'!AR356,'LP Reactivos'!AW356,'LP Reactivos'!BB356,'LP Reactivos'!BG356,'LP Reactivos'!BL356,'LP Reactivos'!BQ356,'LP Reactivos'!BV356,'LP Reactivos'!CA356,'LP Reactivos'!CF356,'LP Reactivos'!CK356,'LP Reactivos'!CP356,'LP Reactivos'!CU356,'LP Reactivos'!CZ356,'LP Reactivos'!DE356,'LP Reactivos'!DJ356,'LP Reactivos'!DO356,'LP Reactivos'!DT356,'LP Reactivos'!DY356,'LP Reactivos'!EB356)," ")</f>
        <v>8216.4304706495459</v>
      </c>
      <c r="H356" s="345">
        <f t="shared" si="24"/>
        <v>31.49767955377347</v>
      </c>
      <c r="I356" s="346">
        <f t="shared" si="25"/>
        <v>3.8333889923456558E-3</v>
      </c>
      <c r="J356" s="345">
        <f t="shared" si="26"/>
        <v>8200</v>
      </c>
      <c r="K356" s="344" t="str">
        <f t="shared" si="27"/>
        <v>Mediana</v>
      </c>
      <c r="L356" s="326">
        <f>IFERROR(COUNTA('LP Reactivos'!F356,'LP Reactivos'!I356,'LP Reactivos'!N356,'LP Reactivos'!S356,'LP Reactivos'!X356,'LP Reactivos'!AC356,'LP Reactivos'!AH356,'LP Reactivos'!AM356,'LP Reactivos'!AR356,'LP Reactivos'!AW356,'LP Reactivos'!BB356,'LP Reactivos'!BG356,'LP Reactivos'!BL356,'LP Reactivos'!BQ356,'LP Reactivos'!BV356,'LP Reactivos'!CA356,'LP Reactivos'!CF356,'LP Reactivos'!CK356,'LP Reactivos'!CP356,'LP Reactivos'!CU356,'LP Reactivos'!CZ356,'LP Reactivos'!DE356,'LP Reactivos'!DJ356,'LP Reactivos'!DO356,'LP Reactivos'!DT356,'LP Reactivos'!DY356,'LP Reactivos'!EB356)," ")</f>
        <v>3</v>
      </c>
    </row>
    <row r="357" spans="2:12" x14ac:dyDescent="0.25">
      <c r="B357" s="425">
        <v>355</v>
      </c>
      <c r="C357" s="427" t="s">
        <v>1879</v>
      </c>
      <c r="D357" s="429">
        <f>IFERROR(MIN('LP Reactivos'!F357,'LP Reactivos'!I357,'LP Reactivos'!N357,'LP Reactivos'!S357,'LP Reactivos'!X357,'LP Reactivos'!AC357,'LP Reactivos'!AH357,'LP Reactivos'!AM357,'LP Reactivos'!AR357,'LP Reactivos'!AW357,'LP Reactivos'!BB357,'LP Reactivos'!BG357,'LP Reactivos'!BL357,'LP Reactivos'!BQ357,'LP Reactivos'!BV357,'LP Reactivos'!CA357,'LP Reactivos'!CF357,'LP Reactivos'!CK357,'LP Reactivos'!CP357,'LP Reactivos'!CU357,'LP Reactivos'!CZ357,'LP Reactivos'!DE357,'LP Reactivos'!DJ357,'LP Reactivos'!DO357,'LP Reactivos'!DT357,'LP Reactivos'!DY357,'LP Reactivos'!EB357)," ")</f>
        <v>253470</v>
      </c>
      <c r="E357" s="429">
        <f>IFERROR(AVERAGE('LP Reactivos'!F357,'LP Reactivos'!I357,'LP Reactivos'!N357,'LP Reactivos'!S357,'LP Reactivos'!X357,'LP Reactivos'!AC357,'LP Reactivos'!AH357,'LP Reactivos'!AM357,'LP Reactivos'!AR357,'LP Reactivos'!AW357,'LP Reactivos'!BB357,'LP Reactivos'!BG357,'LP Reactivos'!BL357,'LP Reactivos'!BQ357,'LP Reactivos'!BV357,'LP Reactivos'!CA357,'LP Reactivos'!CF357,'LP Reactivos'!CK357,'LP Reactivos'!CP357,'LP Reactivos'!CU357,'LP Reactivos'!CZ357,'LP Reactivos'!DE357,'LP Reactivos'!DJ357,'LP Reactivos'!DO357,'LP Reactivos'!DT357,'LP Reactivos'!DY357,'LP Reactivos'!EB357)," ")</f>
        <v>294078.75</v>
      </c>
      <c r="F357" s="345">
        <f>IFERROR(MEDIAN('LP Reactivos'!F357,'LP Reactivos'!I357,'LP Reactivos'!N357,'LP Reactivos'!S357,'LP Reactivos'!X357,'LP Reactivos'!AC357,'LP Reactivos'!AH357,'LP Reactivos'!AM357,'LP Reactivos'!AR357,'LP Reactivos'!AW357,'LP Reactivos'!BB357,'LP Reactivos'!BG357,'LP Reactivos'!BL357,'LP Reactivos'!BQ357,'LP Reactivos'!BV357,'LP Reactivos'!CA357,'LP Reactivos'!CF357,'LP Reactivos'!CK357,'LP Reactivos'!CP357,'LP Reactivos'!CU357,'LP Reactivos'!CZ357,'LP Reactivos'!DE357,'LP Reactivos'!DJ357,'LP Reactivos'!DO357,'LP Reactivos'!DT357,'LP Reactivos'!DY357,'LP Reactivos'!EB357)," ")</f>
        <v>294078.75</v>
      </c>
      <c r="G357" s="345">
        <f>IFERROR(GEOMEAN('LP Reactivos'!F357,'LP Reactivos'!I357,'LP Reactivos'!N357,'LP Reactivos'!S357,'LP Reactivos'!X357,'LP Reactivos'!AC357,'LP Reactivos'!AH357,'LP Reactivos'!AM357,'LP Reactivos'!AR357,'LP Reactivos'!AW357,'LP Reactivos'!BB357,'LP Reactivos'!BG357,'LP Reactivos'!BL357,'LP Reactivos'!BQ357,'LP Reactivos'!BV357,'LP Reactivos'!CA357,'LP Reactivos'!CF357,'LP Reactivos'!CK357,'LP Reactivos'!CP357,'LP Reactivos'!CU357,'LP Reactivos'!CZ357,'LP Reactivos'!DE357,'LP Reactivos'!DJ357,'LP Reactivos'!DO357,'LP Reactivos'!DT357,'LP Reactivos'!DY357,'LP Reactivos'!EB357)," ")</f>
        <v>291261.46436664084</v>
      </c>
      <c r="H357" s="345">
        <f t="shared" si="24"/>
        <v>19879.239859670917</v>
      </c>
      <c r="I357" s="346">
        <f t="shared" si="25"/>
        <v>6.7598355405383476E-2</v>
      </c>
      <c r="J357" s="345">
        <f t="shared" si="26"/>
        <v>294078.75</v>
      </c>
      <c r="K357" s="344" t="str">
        <f t="shared" si="27"/>
        <v>Promedio</v>
      </c>
      <c r="L357" s="326">
        <f>IFERROR(COUNTA('LP Reactivos'!F357,'LP Reactivos'!I357,'LP Reactivos'!N357,'LP Reactivos'!S357,'LP Reactivos'!X357,'LP Reactivos'!AC357,'LP Reactivos'!AH357,'LP Reactivos'!AM357,'LP Reactivos'!AR357,'LP Reactivos'!AW357,'LP Reactivos'!BB357,'LP Reactivos'!BG357,'LP Reactivos'!BL357,'LP Reactivos'!BQ357,'LP Reactivos'!BV357,'LP Reactivos'!CA357,'LP Reactivos'!CF357,'LP Reactivos'!CK357,'LP Reactivos'!CP357,'LP Reactivos'!CU357,'LP Reactivos'!CZ357,'LP Reactivos'!DE357,'LP Reactivos'!DJ357,'LP Reactivos'!DO357,'LP Reactivos'!DT357,'LP Reactivos'!DY357,'LP Reactivos'!EB357)," ")</f>
        <v>2</v>
      </c>
    </row>
    <row r="358" spans="2:12" x14ac:dyDescent="0.25">
      <c r="B358" s="425">
        <v>356</v>
      </c>
      <c r="C358" s="427" t="s">
        <v>1883</v>
      </c>
      <c r="D358" s="429">
        <f>IFERROR(MIN('LP Reactivos'!F358,'LP Reactivos'!I358,'LP Reactivos'!N358,'LP Reactivos'!S358,'LP Reactivos'!X358,'LP Reactivos'!AC358,'LP Reactivos'!AH358,'LP Reactivos'!AM358,'LP Reactivos'!AR358,'LP Reactivos'!AW358,'LP Reactivos'!BB358,'LP Reactivos'!BG358,'LP Reactivos'!BL358,'LP Reactivos'!BQ358,'LP Reactivos'!BV358,'LP Reactivos'!CA358,'LP Reactivos'!CF358,'LP Reactivos'!CK358,'LP Reactivos'!CP358,'LP Reactivos'!CU358,'LP Reactivos'!CZ358,'LP Reactivos'!DE358,'LP Reactivos'!DJ358,'LP Reactivos'!DO358,'LP Reactivos'!DT358,'LP Reactivos'!DY358,'LP Reactivos'!EB358)," ")</f>
        <v>126140</v>
      </c>
      <c r="E358" s="429">
        <f>IFERROR(AVERAGE('LP Reactivos'!F358,'LP Reactivos'!I358,'LP Reactivos'!N358,'LP Reactivos'!S358,'LP Reactivos'!X358,'LP Reactivos'!AC358,'LP Reactivos'!AH358,'LP Reactivos'!AM358,'LP Reactivos'!AR358,'LP Reactivos'!AW358,'LP Reactivos'!BB358,'LP Reactivos'!BG358,'LP Reactivos'!BL358,'LP Reactivos'!BQ358,'LP Reactivos'!BV358,'LP Reactivos'!CA358,'LP Reactivos'!CF358,'LP Reactivos'!CK358,'LP Reactivos'!CP358,'LP Reactivos'!CU358,'LP Reactivos'!CZ358,'LP Reactivos'!DE358,'LP Reactivos'!DJ358,'LP Reactivos'!DO358,'LP Reactivos'!DT358,'LP Reactivos'!DY358,'LP Reactivos'!EB358)," ")</f>
        <v>324940.49559999997</v>
      </c>
      <c r="F358" s="345">
        <f>IFERROR(MEDIAN('LP Reactivos'!F358,'LP Reactivos'!I358,'LP Reactivos'!N358,'LP Reactivos'!S358,'LP Reactivos'!X358,'LP Reactivos'!AC358,'LP Reactivos'!AH358,'LP Reactivos'!AM358,'LP Reactivos'!AR358,'LP Reactivos'!AW358,'LP Reactivos'!BB358,'LP Reactivos'!BG358,'LP Reactivos'!BL358,'LP Reactivos'!BQ358,'LP Reactivos'!BV358,'LP Reactivos'!CA358,'LP Reactivos'!CF358,'LP Reactivos'!CK358,'LP Reactivos'!CP358,'LP Reactivos'!CU358,'LP Reactivos'!CZ358,'LP Reactivos'!DE358,'LP Reactivos'!DJ358,'LP Reactivos'!DO358,'LP Reactivos'!DT358,'LP Reactivos'!DY358,'LP Reactivos'!EB358)," ")</f>
        <v>378320.27799999999</v>
      </c>
      <c r="G358" s="345">
        <f>IFERROR(GEOMEAN('LP Reactivos'!F358,'LP Reactivos'!I358,'LP Reactivos'!N358,'LP Reactivos'!S358,'LP Reactivos'!X358,'LP Reactivos'!AC358,'LP Reactivos'!AH358,'LP Reactivos'!AM358,'LP Reactivos'!AR358,'LP Reactivos'!AW358,'LP Reactivos'!BB358,'LP Reactivos'!BG358,'LP Reactivos'!BL358,'LP Reactivos'!BQ358,'LP Reactivos'!BV358,'LP Reactivos'!CA358,'LP Reactivos'!CF358,'LP Reactivos'!CK358,'LP Reactivos'!CP358,'LP Reactivos'!CU358,'LP Reactivos'!CZ358,'LP Reactivos'!DE358,'LP Reactivos'!DJ358,'LP Reactivos'!DO358,'LP Reactivos'!DT358,'LP Reactivos'!DY358,'LP Reactivos'!EB358)," ")</f>
        <v>295599.48625214619</v>
      </c>
      <c r="H358" s="345">
        <f t="shared" si="24"/>
        <v>108928.90362135979</v>
      </c>
      <c r="I358" s="346">
        <f t="shared" si="25"/>
        <v>0.33522723420552264</v>
      </c>
      <c r="J358" s="345">
        <f>IF(I358&lt;=10%,F358,IF(AND(I358&gt;10%,I358&lt;=20%),E358,IF(AND(I358&gt;20%,I358&lt;=34%),G358,IF(I358&gt;34%,D358))))</f>
        <v>295599.48625214619</v>
      </c>
      <c r="K358" s="344" t="str">
        <f t="shared" si="27"/>
        <v>Media Geométrica</v>
      </c>
      <c r="L358" s="326">
        <f>IFERROR(COUNTA('LP Reactivos'!F358,'LP Reactivos'!I358,'LP Reactivos'!N358,'LP Reactivos'!S358,'LP Reactivos'!X358,'LP Reactivos'!AC358,'LP Reactivos'!AH358,'LP Reactivos'!AM358,'LP Reactivos'!AR358,'LP Reactivos'!AW358,'LP Reactivos'!BB358,'LP Reactivos'!BG358,'LP Reactivos'!BL358,'LP Reactivos'!BQ358,'LP Reactivos'!BV358,'LP Reactivos'!CA358,'LP Reactivos'!CF358,'LP Reactivos'!CK358,'LP Reactivos'!CP358,'LP Reactivos'!CU358,'LP Reactivos'!CZ358,'LP Reactivos'!DE358,'LP Reactivos'!DJ358,'LP Reactivos'!DO358,'LP Reactivos'!DT358,'LP Reactivos'!DY358,'LP Reactivos'!EB358)," ")</f>
        <v>5</v>
      </c>
    </row>
    <row r="359" spans="2:12" x14ac:dyDescent="0.25">
      <c r="B359" s="425">
        <v>357</v>
      </c>
      <c r="C359" s="427" t="s">
        <v>1888</v>
      </c>
      <c r="D359" s="429">
        <f>IFERROR(MIN('LP Reactivos'!F359,'LP Reactivos'!I359,'LP Reactivos'!N359,'LP Reactivos'!S359,'LP Reactivos'!X359,'LP Reactivos'!AC359,'LP Reactivos'!AH359,'LP Reactivos'!AM359,'LP Reactivos'!AR359,'LP Reactivos'!AW359,'LP Reactivos'!BB359,'LP Reactivos'!BG359,'LP Reactivos'!BL359,'LP Reactivos'!BQ359,'LP Reactivos'!BV359,'LP Reactivos'!CA359,'LP Reactivos'!CF359,'LP Reactivos'!CK359,'LP Reactivos'!CP359,'LP Reactivos'!CU359,'LP Reactivos'!CZ359,'LP Reactivos'!DE359,'LP Reactivos'!DJ359,'LP Reactivos'!DO359,'LP Reactivos'!DT359,'LP Reactivos'!DY359,'LP Reactivos'!EB359)," ")</f>
        <v>1132970.9532000001</v>
      </c>
      <c r="E359" s="429">
        <f>IFERROR(AVERAGE('LP Reactivos'!F359,'LP Reactivos'!I359,'LP Reactivos'!N359,'LP Reactivos'!S359,'LP Reactivos'!X359,'LP Reactivos'!AC359,'LP Reactivos'!AH359,'LP Reactivos'!AM359,'LP Reactivos'!AR359,'LP Reactivos'!AW359,'LP Reactivos'!BB359,'LP Reactivos'!BG359,'LP Reactivos'!BL359,'LP Reactivos'!BQ359,'LP Reactivos'!BV359,'LP Reactivos'!CA359,'LP Reactivos'!CF359,'LP Reactivos'!CK359,'LP Reactivos'!CP359,'LP Reactivos'!CU359,'LP Reactivos'!CZ359,'LP Reactivos'!DE359,'LP Reactivos'!DJ359,'LP Reactivos'!DO359,'LP Reactivos'!DT359,'LP Reactivos'!DY359,'LP Reactivos'!EB359)," ")</f>
        <v>1132970.9532000001</v>
      </c>
      <c r="F359" s="345">
        <f>IFERROR(MEDIAN('LP Reactivos'!F359,'LP Reactivos'!I359,'LP Reactivos'!N359,'LP Reactivos'!S359,'LP Reactivos'!X359,'LP Reactivos'!AC359,'LP Reactivos'!AH359,'LP Reactivos'!AM359,'LP Reactivos'!AR359,'LP Reactivos'!AW359,'LP Reactivos'!BB359,'LP Reactivos'!BG359,'LP Reactivos'!BL359,'LP Reactivos'!BQ359,'LP Reactivos'!BV359,'LP Reactivos'!CA359,'LP Reactivos'!CF359,'LP Reactivos'!CK359,'LP Reactivos'!CP359,'LP Reactivos'!CU359,'LP Reactivos'!CZ359,'LP Reactivos'!DE359,'LP Reactivos'!DJ359,'LP Reactivos'!DO359,'LP Reactivos'!DT359,'LP Reactivos'!DY359,'LP Reactivos'!EB359)," ")</f>
        <v>1132970.9532000001</v>
      </c>
      <c r="G359" s="345">
        <f>IFERROR(GEOMEAN('LP Reactivos'!F359,'LP Reactivos'!I359,'LP Reactivos'!N359,'LP Reactivos'!S359,'LP Reactivos'!X359,'LP Reactivos'!AC359,'LP Reactivos'!AH359,'LP Reactivos'!AM359,'LP Reactivos'!AR359,'LP Reactivos'!AW359,'LP Reactivos'!BB359,'LP Reactivos'!BG359,'LP Reactivos'!BL359,'LP Reactivos'!BQ359,'LP Reactivos'!BV359,'LP Reactivos'!CA359,'LP Reactivos'!CF359,'LP Reactivos'!CK359,'LP Reactivos'!CP359,'LP Reactivos'!CU359,'LP Reactivos'!CZ359,'LP Reactivos'!DE359,'LP Reactivos'!DJ359,'LP Reactivos'!DO359,'LP Reactivos'!DT359,'LP Reactivos'!DY359,'LP Reactivos'!EB359)," ")</f>
        <v>1132970.9532000001</v>
      </c>
      <c r="H359" s="345">
        <f t="shared" si="24"/>
        <v>0</v>
      </c>
      <c r="I359" s="346">
        <f t="shared" si="25"/>
        <v>0</v>
      </c>
      <c r="J359" s="345">
        <f t="shared" si="26"/>
        <v>1132970.9532000001</v>
      </c>
      <c r="K359" s="344" t="str">
        <f t="shared" si="27"/>
        <v>Menor Valor</v>
      </c>
      <c r="L359" s="326">
        <f>IFERROR(COUNTA('LP Reactivos'!F359,'LP Reactivos'!I359,'LP Reactivos'!N359,'LP Reactivos'!S359,'LP Reactivos'!X359,'LP Reactivos'!AC359,'LP Reactivos'!AH359,'LP Reactivos'!AM359,'LP Reactivos'!AR359,'LP Reactivos'!AW359,'LP Reactivos'!BB359,'LP Reactivos'!BG359,'LP Reactivos'!BL359,'LP Reactivos'!BQ359,'LP Reactivos'!BV359,'LP Reactivos'!CA359,'LP Reactivos'!CF359,'LP Reactivos'!CK359,'LP Reactivos'!CP359,'LP Reactivos'!CU359,'LP Reactivos'!CZ359,'LP Reactivos'!DE359,'LP Reactivos'!DJ359,'LP Reactivos'!DO359,'LP Reactivos'!DT359,'LP Reactivos'!DY359,'LP Reactivos'!EB359)," ")</f>
        <v>1</v>
      </c>
    </row>
    <row r="360" spans="2:12" ht="27" x14ac:dyDescent="0.25">
      <c r="B360" s="425">
        <v>358</v>
      </c>
      <c r="C360" s="427" t="s">
        <v>1890</v>
      </c>
      <c r="D360" s="429">
        <f>IFERROR(MIN('LP Reactivos'!F360,'LP Reactivos'!I360,'LP Reactivos'!N360,'LP Reactivos'!S360,'LP Reactivos'!X360,'LP Reactivos'!AC360,'LP Reactivos'!AH360,'LP Reactivos'!AM360,'LP Reactivos'!AR360,'LP Reactivos'!AW360,'LP Reactivos'!BB360,'LP Reactivos'!BG360,'LP Reactivos'!BL360,'LP Reactivos'!BQ360,'LP Reactivos'!BV360,'LP Reactivos'!CA360,'LP Reactivos'!CF360,'LP Reactivos'!CK360,'LP Reactivos'!CP360,'LP Reactivos'!CU360,'LP Reactivos'!CZ360,'LP Reactivos'!DE360,'LP Reactivos'!DJ360,'LP Reactivos'!DO360,'LP Reactivos'!DT360,'LP Reactivos'!DY360,'LP Reactivos'!EB360)," ")</f>
        <v>907560</v>
      </c>
      <c r="E360" s="429">
        <f>IFERROR(AVERAGE('LP Reactivos'!F360,'LP Reactivos'!I360,'LP Reactivos'!N360,'LP Reactivos'!S360,'LP Reactivos'!X360,'LP Reactivos'!AC360,'LP Reactivos'!AH360,'LP Reactivos'!AM360,'LP Reactivos'!AR360,'LP Reactivos'!AW360,'LP Reactivos'!BB360,'LP Reactivos'!BG360,'LP Reactivos'!BL360,'LP Reactivos'!BQ360,'LP Reactivos'!BV360,'LP Reactivos'!CA360,'LP Reactivos'!CF360,'LP Reactivos'!CK360,'LP Reactivos'!CP360,'LP Reactivos'!CU360,'LP Reactivos'!CZ360,'LP Reactivos'!DE360,'LP Reactivos'!DJ360,'LP Reactivos'!DO360,'LP Reactivos'!DT360,'LP Reactivos'!DY360,'LP Reactivos'!EB360)," ")</f>
        <v>907560</v>
      </c>
      <c r="F360" s="345">
        <f>IFERROR(MEDIAN('LP Reactivos'!F360,'LP Reactivos'!I360,'LP Reactivos'!N360,'LP Reactivos'!S360,'LP Reactivos'!X360,'LP Reactivos'!AC360,'LP Reactivos'!AH360,'LP Reactivos'!AM360,'LP Reactivos'!AR360,'LP Reactivos'!AW360,'LP Reactivos'!BB360,'LP Reactivos'!BG360,'LP Reactivos'!BL360,'LP Reactivos'!BQ360,'LP Reactivos'!BV360,'LP Reactivos'!CA360,'LP Reactivos'!CF360,'LP Reactivos'!CK360,'LP Reactivos'!CP360,'LP Reactivos'!CU360,'LP Reactivos'!CZ360,'LP Reactivos'!DE360,'LP Reactivos'!DJ360,'LP Reactivos'!DO360,'LP Reactivos'!DT360,'LP Reactivos'!DY360,'LP Reactivos'!EB360)," ")</f>
        <v>907560</v>
      </c>
      <c r="G360" s="345">
        <f>IFERROR(GEOMEAN('LP Reactivos'!F360,'LP Reactivos'!I360,'LP Reactivos'!N360,'LP Reactivos'!S360,'LP Reactivos'!X360,'LP Reactivos'!AC360,'LP Reactivos'!AH360,'LP Reactivos'!AM360,'LP Reactivos'!AR360,'LP Reactivos'!AW360,'LP Reactivos'!BB360,'LP Reactivos'!BG360,'LP Reactivos'!BL360,'LP Reactivos'!BQ360,'LP Reactivos'!BV360,'LP Reactivos'!CA360,'LP Reactivos'!CF360,'LP Reactivos'!CK360,'LP Reactivos'!CP360,'LP Reactivos'!CU360,'LP Reactivos'!CZ360,'LP Reactivos'!DE360,'LP Reactivos'!DJ360,'LP Reactivos'!DO360,'LP Reactivos'!DT360,'LP Reactivos'!DY360,'LP Reactivos'!EB360)," ")</f>
        <v>907560</v>
      </c>
      <c r="H360" s="345">
        <f t="shared" si="24"/>
        <v>0</v>
      </c>
      <c r="I360" s="346">
        <f t="shared" si="25"/>
        <v>0</v>
      </c>
      <c r="J360" s="345">
        <f t="shared" si="26"/>
        <v>907560</v>
      </c>
      <c r="K360" s="344" t="str">
        <f t="shared" si="27"/>
        <v>Menor Valor</v>
      </c>
      <c r="L360" s="326">
        <f>IFERROR(COUNTA('LP Reactivos'!F360,'LP Reactivos'!I360,'LP Reactivos'!N360,'LP Reactivos'!S360,'LP Reactivos'!X360,'LP Reactivos'!AC360,'LP Reactivos'!AH360,'LP Reactivos'!AM360,'LP Reactivos'!AR360,'LP Reactivos'!AW360,'LP Reactivos'!BB360,'LP Reactivos'!BG360,'LP Reactivos'!BL360,'LP Reactivos'!BQ360,'LP Reactivos'!BV360,'LP Reactivos'!CA360,'LP Reactivos'!CF360,'LP Reactivos'!CK360,'LP Reactivos'!CP360,'LP Reactivos'!CU360,'LP Reactivos'!CZ360,'LP Reactivos'!DE360,'LP Reactivos'!DJ360,'LP Reactivos'!DO360,'LP Reactivos'!DT360,'LP Reactivos'!DY360,'LP Reactivos'!EB360)," ")</f>
        <v>1</v>
      </c>
    </row>
    <row r="361" spans="2:12" x14ac:dyDescent="0.25">
      <c r="B361" s="425">
        <v>359</v>
      </c>
      <c r="C361" s="427" t="s">
        <v>1893</v>
      </c>
      <c r="D361" s="429">
        <f>IFERROR(MIN('LP Reactivos'!F361,'LP Reactivos'!I361,'LP Reactivos'!N361,'LP Reactivos'!S361,'LP Reactivos'!X361,'LP Reactivos'!AC361,'LP Reactivos'!AH361,'LP Reactivos'!AM361,'LP Reactivos'!AR361,'LP Reactivos'!AW361,'LP Reactivos'!BB361,'LP Reactivos'!BG361,'LP Reactivos'!BL361,'LP Reactivos'!BQ361,'LP Reactivos'!BV361,'LP Reactivos'!CA361,'LP Reactivos'!CF361,'LP Reactivos'!CK361,'LP Reactivos'!CP361,'LP Reactivos'!CU361,'LP Reactivos'!CZ361,'LP Reactivos'!DE361,'LP Reactivos'!DJ361,'LP Reactivos'!DO361,'LP Reactivos'!DT361,'LP Reactivos'!DY361,'LP Reactivos'!EB361)," ")</f>
        <v>193375</v>
      </c>
      <c r="E361" s="429">
        <f>IFERROR(AVERAGE('LP Reactivos'!F361,'LP Reactivos'!I361,'LP Reactivos'!N361,'LP Reactivos'!S361,'LP Reactivos'!X361,'LP Reactivos'!AC361,'LP Reactivos'!AH361,'LP Reactivos'!AM361,'LP Reactivos'!AR361,'LP Reactivos'!AW361,'LP Reactivos'!BB361,'LP Reactivos'!BG361,'LP Reactivos'!BL361,'LP Reactivos'!BQ361,'LP Reactivos'!BV361,'LP Reactivos'!CA361,'LP Reactivos'!CF361,'LP Reactivos'!CK361,'LP Reactivos'!CP361,'LP Reactivos'!CU361,'LP Reactivos'!CZ361,'LP Reactivos'!DE361,'LP Reactivos'!DJ361,'LP Reactivos'!DO361,'LP Reactivos'!DT361,'LP Reactivos'!DY361,'LP Reactivos'!EB361)," ")</f>
        <v>193375</v>
      </c>
      <c r="F361" s="345">
        <f>IFERROR(MEDIAN('LP Reactivos'!F361,'LP Reactivos'!I361,'LP Reactivos'!N361,'LP Reactivos'!S361,'LP Reactivos'!X361,'LP Reactivos'!AC361,'LP Reactivos'!AH361,'LP Reactivos'!AM361,'LP Reactivos'!AR361,'LP Reactivos'!AW361,'LP Reactivos'!BB361,'LP Reactivos'!BG361,'LP Reactivos'!BL361,'LP Reactivos'!BQ361,'LP Reactivos'!BV361,'LP Reactivos'!CA361,'LP Reactivos'!CF361,'LP Reactivos'!CK361,'LP Reactivos'!CP361,'LP Reactivos'!CU361,'LP Reactivos'!CZ361,'LP Reactivos'!DE361,'LP Reactivos'!DJ361,'LP Reactivos'!DO361,'LP Reactivos'!DT361,'LP Reactivos'!DY361,'LP Reactivos'!EB361)," ")</f>
        <v>193375</v>
      </c>
      <c r="G361" s="345">
        <f>IFERROR(GEOMEAN('LP Reactivos'!F361,'LP Reactivos'!I361,'LP Reactivos'!N361,'LP Reactivos'!S361,'LP Reactivos'!X361,'LP Reactivos'!AC361,'LP Reactivos'!AH361,'LP Reactivos'!AM361,'LP Reactivos'!AR361,'LP Reactivos'!AW361,'LP Reactivos'!BB361,'LP Reactivos'!BG361,'LP Reactivos'!BL361,'LP Reactivos'!BQ361,'LP Reactivos'!BV361,'LP Reactivos'!CA361,'LP Reactivos'!CF361,'LP Reactivos'!CK361,'LP Reactivos'!CP361,'LP Reactivos'!CU361,'LP Reactivos'!CZ361,'LP Reactivos'!DE361,'LP Reactivos'!DJ361,'LP Reactivos'!DO361,'LP Reactivos'!DT361,'LP Reactivos'!DY361,'LP Reactivos'!EB361)," ")</f>
        <v>193375</v>
      </c>
      <c r="H361" s="345">
        <f t="shared" si="24"/>
        <v>0</v>
      </c>
      <c r="I361" s="346">
        <f t="shared" si="25"/>
        <v>0</v>
      </c>
      <c r="J361" s="345">
        <f t="shared" si="26"/>
        <v>193375</v>
      </c>
      <c r="K361" s="344" t="str">
        <f t="shared" si="27"/>
        <v>Menor Valor</v>
      </c>
      <c r="L361" s="326">
        <f>IFERROR(COUNTA('LP Reactivos'!F361,'LP Reactivos'!I361,'LP Reactivos'!N361,'LP Reactivos'!S361,'LP Reactivos'!X361,'LP Reactivos'!AC361,'LP Reactivos'!AH361,'LP Reactivos'!AM361,'LP Reactivos'!AR361,'LP Reactivos'!AW361,'LP Reactivos'!BB361,'LP Reactivos'!BG361,'LP Reactivos'!BL361,'LP Reactivos'!BQ361,'LP Reactivos'!BV361,'LP Reactivos'!CA361,'LP Reactivos'!CF361,'LP Reactivos'!CK361,'LP Reactivos'!CP361,'LP Reactivos'!CU361,'LP Reactivos'!CZ361,'LP Reactivos'!DE361,'LP Reactivos'!DJ361,'LP Reactivos'!DO361,'LP Reactivos'!DT361,'LP Reactivos'!DY361,'LP Reactivos'!EB361)," ")</f>
        <v>1</v>
      </c>
    </row>
    <row r="362" spans="2:12" x14ac:dyDescent="0.25">
      <c r="B362" s="425">
        <v>360</v>
      </c>
      <c r="C362" s="428" t="s">
        <v>1897</v>
      </c>
      <c r="D362" s="429">
        <f>IFERROR(MIN('LP Reactivos'!F362,'LP Reactivos'!I362,'LP Reactivos'!N362,'LP Reactivos'!S362,'LP Reactivos'!X362,'LP Reactivos'!AC362,'LP Reactivos'!AH362,'LP Reactivos'!AM362,'LP Reactivos'!AR362,'LP Reactivos'!AW362,'LP Reactivos'!BB362,'LP Reactivos'!BG362,'LP Reactivos'!BL362,'LP Reactivos'!BQ362,'LP Reactivos'!BV362,'LP Reactivos'!CA362,'LP Reactivos'!CF362,'LP Reactivos'!CK362,'LP Reactivos'!CP362,'LP Reactivos'!CU362,'LP Reactivos'!CZ362,'LP Reactivos'!DE362,'LP Reactivos'!DJ362,'LP Reactivos'!DO362,'LP Reactivos'!DT362,'LP Reactivos'!DY362,'LP Reactivos'!EB362)," ")</f>
        <v>267136.69779999997</v>
      </c>
      <c r="E362" s="429">
        <f>IFERROR(AVERAGE('LP Reactivos'!F362,'LP Reactivos'!I362,'LP Reactivos'!N362,'LP Reactivos'!S362,'LP Reactivos'!X362,'LP Reactivos'!AC362,'LP Reactivos'!AH362,'LP Reactivos'!AM362,'LP Reactivos'!AR362,'LP Reactivos'!AW362,'LP Reactivos'!BB362,'LP Reactivos'!BG362,'LP Reactivos'!BL362,'LP Reactivos'!BQ362,'LP Reactivos'!BV362,'LP Reactivos'!CA362,'LP Reactivos'!CF362,'LP Reactivos'!CK362,'LP Reactivos'!CP362,'LP Reactivos'!CU362,'LP Reactivos'!CZ362,'LP Reactivos'!DE362,'LP Reactivos'!DJ362,'LP Reactivos'!DO362,'LP Reactivos'!DT362,'LP Reactivos'!DY362,'LP Reactivos'!EB362)," ")</f>
        <v>312068.34889999998</v>
      </c>
      <c r="F362" s="345">
        <f>IFERROR(MEDIAN('LP Reactivos'!F362,'LP Reactivos'!I362,'LP Reactivos'!N362,'LP Reactivos'!S362,'LP Reactivos'!X362,'LP Reactivos'!AC362,'LP Reactivos'!AH362,'LP Reactivos'!AM362,'LP Reactivos'!AR362,'LP Reactivos'!AW362,'LP Reactivos'!BB362,'LP Reactivos'!BG362,'LP Reactivos'!BL362,'LP Reactivos'!BQ362,'LP Reactivos'!BV362,'LP Reactivos'!CA362,'LP Reactivos'!CF362,'LP Reactivos'!CK362,'LP Reactivos'!CP362,'LP Reactivos'!CU362,'LP Reactivos'!CZ362,'LP Reactivos'!DE362,'LP Reactivos'!DJ362,'LP Reactivos'!DO362,'LP Reactivos'!DT362,'LP Reactivos'!DY362,'LP Reactivos'!EB362)," ")</f>
        <v>312068.34889999998</v>
      </c>
      <c r="G362" s="345">
        <f>IFERROR(GEOMEAN('LP Reactivos'!F362,'LP Reactivos'!I362,'LP Reactivos'!N362,'LP Reactivos'!S362,'LP Reactivos'!X362,'LP Reactivos'!AC362,'LP Reactivos'!AH362,'LP Reactivos'!AM362,'LP Reactivos'!AR362,'LP Reactivos'!AW362,'LP Reactivos'!BB362,'LP Reactivos'!BG362,'LP Reactivos'!BL362,'LP Reactivos'!BQ362,'LP Reactivos'!BV362,'LP Reactivos'!CA362,'LP Reactivos'!CF362,'LP Reactivos'!CK362,'LP Reactivos'!CP362,'LP Reactivos'!CU362,'LP Reactivos'!CZ362,'LP Reactivos'!DE362,'LP Reactivos'!DJ362,'LP Reactivos'!DO362,'LP Reactivos'!DT362,'LP Reactivos'!DY362,'LP Reactivos'!EB362)," ")</f>
        <v>308816.775960439</v>
      </c>
      <c r="H362" s="345">
        <f t="shared" si="24"/>
        <v>21977.414372045569</v>
      </c>
      <c r="I362" s="346">
        <f t="shared" si="25"/>
        <v>7.0425002886428806E-2</v>
      </c>
      <c r="J362" s="345">
        <f t="shared" si="26"/>
        <v>312068.34889999998</v>
      </c>
      <c r="K362" s="344" t="str">
        <f t="shared" si="27"/>
        <v>Promedio</v>
      </c>
      <c r="L362" s="326">
        <f>IFERROR(COUNTA('LP Reactivos'!F362,'LP Reactivos'!I362,'LP Reactivos'!N362,'LP Reactivos'!S362,'LP Reactivos'!X362,'LP Reactivos'!AC362,'LP Reactivos'!AH362,'LP Reactivos'!AM362,'LP Reactivos'!AR362,'LP Reactivos'!AW362,'LP Reactivos'!BB362,'LP Reactivos'!BG362,'LP Reactivos'!BL362,'LP Reactivos'!BQ362,'LP Reactivos'!BV362,'LP Reactivos'!CA362,'LP Reactivos'!CF362,'LP Reactivos'!CK362,'LP Reactivos'!CP362,'LP Reactivos'!CU362,'LP Reactivos'!CZ362,'LP Reactivos'!DE362,'LP Reactivos'!DJ362,'LP Reactivos'!DO362,'LP Reactivos'!DT362,'LP Reactivos'!DY362,'LP Reactivos'!EB362)," ")</f>
        <v>2</v>
      </c>
    </row>
    <row r="363" spans="2:12" x14ac:dyDescent="0.25">
      <c r="B363" s="425">
        <v>361</v>
      </c>
      <c r="C363" s="427" t="s">
        <v>1901</v>
      </c>
      <c r="D363" s="429">
        <f>IFERROR(MIN('LP Reactivos'!F363,'LP Reactivos'!I363,'LP Reactivos'!N363,'LP Reactivos'!S363,'LP Reactivos'!X363,'LP Reactivos'!AC363,'LP Reactivos'!AH363,'LP Reactivos'!AM363,'LP Reactivos'!AR363,'LP Reactivos'!AW363,'LP Reactivos'!BB363,'LP Reactivos'!BG363,'LP Reactivos'!BL363,'LP Reactivos'!BQ363,'LP Reactivos'!BV363,'LP Reactivos'!CA363,'LP Reactivos'!CF363,'LP Reactivos'!CK363,'LP Reactivos'!CP363,'LP Reactivos'!CU363,'LP Reactivos'!CZ363,'LP Reactivos'!DE363,'LP Reactivos'!DJ363,'LP Reactivos'!DO363,'LP Reactivos'!DT363,'LP Reactivos'!DY363,'LP Reactivos'!EB363)," ")</f>
        <v>2152961.09</v>
      </c>
      <c r="E363" s="429">
        <f>IFERROR(AVERAGE('LP Reactivos'!F363,'LP Reactivos'!I363,'LP Reactivos'!N363,'LP Reactivos'!S363,'LP Reactivos'!X363,'LP Reactivos'!AC363,'LP Reactivos'!AH363,'LP Reactivos'!AM363,'LP Reactivos'!AR363,'LP Reactivos'!AW363,'LP Reactivos'!BB363,'LP Reactivos'!BG363,'LP Reactivos'!BL363,'LP Reactivos'!BQ363,'LP Reactivos'!BV363,'LP Reactivos'!CA363,'LP Reactivos'!CF363,'LP Reactivos'!CK363,'LP Reactivos'!CP363,'LP Reactivos'!CU363,'LP Reactivos'!CZ363,'LP Reactivos'!DE363,'LP Reactivos'!DJ363,'LP Reactivos'!DO363,'LP Reactivos'!DT363,'LP Reactivos'!DY363,'LP Reactivos'!EB363)," ")</f>
        <v>2152961.09</v>
      </c>
      <c r="F363" s="345">
        <f>IFERROR(MEDIAN('LP Reactivos'!F363,'LP Reactivos'!I363,'LP Reactivos'!N363,'LP Reactivos'!S363,'LP Reactivos'!X363,'LP Reactivos'!AC363,'LP Reactivos'!AH363,'LP Reactivos'!AM363,'LP Reactivos'!AR363,'LP Reactivos'!AW363,'LP Reactivos'!BB363,'LP Reactivos'!BG363,'LP Reactivos'!BL363,'LP Reactivos'!BQ363,'LP Reactivos'!BV363,'LP Reactivos'!CA363,'LP Reactivos'!CF363,'LP Reactivos'!CK363,'LP Reactivos'!CP363,'LP Reactivos'!CU363,'LP Reactivos'!CZ363,'LP Reactivos'!DE363,'LP Reactivos'!DJ363,'LP Reactivos'!DO363,'LP Reactivos'!DT363,'LP Reactivos'!DY363,'LP Reactivos'!EB363)," ")</f>
        <v>2152961.09</v>
      </c>
      <c r="G363" s="345">
        <f>IFERROR(GEOMEAN('LP Reactivos'!F363,'LP Reactivos'!I363,'LP Reactivos'!N363,'LP Reactivos'!S363,'LP Reactivos'!X363,'LP Reactivos'!AC363,'LP Reactivos'!AH363,'LP Reactivos'!AM363,'LP Reactivos'!AR363,'LP Reactivos'!AW363,'LP Reactivos'!BB363,'LP Reactivos'!BG363,'LP Reactivos'!BL363,'LP Reactivos'!BQ363,'LP Reactivos'!BV363,'LP Reactivos'!CA363,'LP Reactivos'!CF363,'LP Reactivos'!CK363,'LP Reactivos'!CP363,'LP Reactivos'!CU363,'LP Reactivos'!CZ363,'LP Reactivos'!DE363,'LP Reactivos'!DJ363,'LP Reactivos'!DO363,'LP Reactivos'!DT363,'LP Reactivos'!DY363,'LP Reactivos'!EB363)," ")</f>
        <v>2152961.09</v>
      </c>
      <c r="H363" s="345">
        <f t="shared" si="24"/>
        <v>0</v>
      </c>
      <c r="I363" s="346">
        <f t="shared" si="25"/>
        <v>0</v>
      </c>
      <c r="J363" s="345">
        <f t="shared" si="26"/>
        <v>2152961.09</v>
      </c>
      <c r="K363" s="344" t="str">
        <f t="shared" si="27"/>
        <v>Menor Valor</v>
      </c>
      <c r="L363" s="326">
        <f>IFERROR(COUNTA('LP Reactivos'!F363,'LP Reactivos'!I363,'LP Reactivos'!N363,'LP Reactivos'!S363,'LP Reactivos'!X363,'LP Reactivos'!AC363,'LP Reactivos'!AH363,'LP Reactivos'!AM363,'LP Reactivos'!AR363,'LP Reactivos'!AW363,'LP Reactivos'!BB363,'LP Reactivos'!BG363,'LP Reactivos'!BL363,'LP Reactivos'!BQ363,'LP Reactivos'!BV363,'LP Reactivos'!CA363,'LP Reactivos'!CF363,'LP Reactivos'!CK363,'LP Reactivos'!CP363,'LP Reactivos'!CU363,'LP Reactivos'!CZ363,'LP Reactivos'!DE363,'LP Reactivos'!DJ363,'LP Reactivos'!DO363,'LP Reactivos'!DT363,'LP Reactivos'!DY363,'LP Reactivos'!EB363)," ")</f>
        <v>1</v>
      </c>
    </row>
    <row r="364" spans="2:12" x14ac:dyDescent="0.25">
      <c r="B364" s="425">
        <v>362</v>
      </c>
      <c r="C364" s="427" t="s">
        <v>1903</v>
      </c>
      <c r="D364" s="429">
        <f>IFERROR(MIN('LP Reactivos'!F364,'LP Reactivos'!I364,'LP Reactivos'!N364,'LP Reactivos'!S364,'LP Reactivos'!X364,'LP Reactivos'!AC364,'LP Reactivos'!AH364,'LP Reactivos'!AM364,'LP Reactivos'!AR364,'LP Reactivos'!AW364,'LP Reactivos'!BB364,'LP Reactivos'!BG364,'LP Reactivos'!BL364,'LP Reactivos'!BQ364,'LP Reactivos'!BV364,'LP Reactivos'!CA364,'LP Reactivos'!CF364,'LP Reactivos'!CK364,'LP Reactivos'!CP364,'LP Reactivos'!CU364,'LP Reactivos'!CZ364,'LP Reactivos'!DE364,'LP Reactivos'!DJ364,'LP Reactivos'!DO364,'LP Reactivos'!DT364,'LP Reactivos'!DY364,'LP Reactivos'!EB364)," ")</f>
        <v>278876.5</v>
      </c>
      <c r="E364" s="429">
        <f>IFERROR(AVERAGE('LP Reactivos'!F364,'LP Reactivos'!I364,'LP Reactivos'!N364,'LP Reactivos'!S364,'LP Reactivos'!X364,'LP Reactivos'!AC364,'LP Reactivos'!AH364,'LP Reactivos'!AM364,'LP Reactivos'!AR364,'LP Reactivos'!AW364,'LP Reactivos'!BB364,'LP Reactivos'!BG364,'LP Reactivos'!BL364,'LP Reactivos'!BQ364,'LP Reactivos'!BV364,'LP Reactivos'!CA364,'LP Reactivos'!CF364,'LP Reactivos'!CK364,'LP Reactivos'!CP364,'LP Reactivos'!CU364,'LP Reactivos'!CZ364,'LP Reactivos'!DE364,'LP Reactivos'!DJ364,'LP Reactivos'!DO364,'LP Reactivos'!DT364,'LP Reactivos'!DY364,'LP Reactivos'!EB364)," ")</f>
        <v>278876.5</v>
      </c>
      <c r="F364" s="345">
        <f>IFERROR(MEDIAN('LP Reactivos'!F364,'LP Reactivos'!I364,'LP Reactivos'!N364,'LP Reactivos'!S364,'LP Reactivos'!X364,'LP Reactivos'!AC364,'LP Reactivos'!AH364,'LP Reactivos'!AM364,'LP Reactivos'!AR364,'LP Reactivos'!AW364,'LP Reactivos'!BB364,'LP Reactivos'!BG364,'LP Reactivos'!BL364,'LP Reactivos'!BQ364,'LP Reactivos'!BV364,'LP Reactivos'!CA364,'LP Reactivos'!CF364,'LP Reactivos'!CK364,'LP Reactivos'!CP364,'LP Reactivos'!CU364,'LP Reactivos'!CZ364,'LP Reactivos'!DE364,'LP Reactivos'!DJ364,'LP Reactivos'!DO364,'LP Reactivos'!DT364,'LP Reactivos'!DY364,'LP Reactivos'!EB364)," ")</f>
        <v>278876.5</v>
      </c>
      <c r="G364" s="345">
        <f>IFERROR(GEOMEAN('LP Reactivos'!F364,'LP Reactivos'!I364,'LP Reactivos'!N364,'LP Reactivos'!S364,'LP Reactivos'!X364,'LP Reactivos'!AC364,'LP Reactivos'!AH364,'LP Reactivos'!AM364,'LP Reactivos'!AR364,'LP Reactivos'!AW364,'LP Reactivos'!BB364,'LP Reactivos'!BG364,'LP Reactivos'!BL364,'LP Reactivos'!BQ364,'LP Reactivos'!BV364,'LP Reactivos'!CA364,'LP Reactivos'!CF364,'LP Reactivos'!CK364,'LP Reactivos'!CP364,'LP Reactivos'!CU364,'LP Reactivos'!CZ364,'LP Reactivos'!DE364,'LP Reactivos'!DJ364,'LP Reactivos'!DO364,'LP Reactivos'!DT364,'LP Reactivos'!DY364,'LP Reactivos'!EB364)," ")</f>
        <v>278876.5</v>
      </c>
      <c r="H364" s="345">
        <f t="shared" si="24"/>
        <v>0</v>
      </c>
      <c r="I364" s="346">
        <f t="shared" si="25"/>
        <v>0</v>
      </c>
      <c r="J364" s="345">
        <f t="shared" si="26"/>
        <v>278876.5</v>
      </c>
      <c r="K364" s="344" t="str">
        <f t="shared" si="27"/>
        <v>Menor Valor</v>
      </c>
      <c r="L364" s="326">
        <f>IFERROR(COUNTA('LP Reactivos'!F364,'LP Reactivos'!I364,'LP Reactivos'!N364,'LP Reactivos'!S364,'LP Reactivos'!X364,'LP Reactivos'!AC364,'LP Reactivos'!AH364,'LP Reactivos'!AM364,'LP Reactivos'!AR364,'LP Reactivos'!AW364,'LP Reactivos'!BB364,'LP Reactivos'!BG364,'LP Reactivos'!BL364,'LP Reactivos'!BQ364,'LP Reactivos'!BV364,'LP Reactivos'!CA364,'LP Reactivos'!CF364,'LP Reactivos'!CK364,'LP Reactivos'!CP364,'LP Reactivos'!CU364,'LP Reactivos'!CZ364,'LP Reactivos'!DE364,'LP Reactivos'!DJ364,'LP Reactivos'!DO364,'LP Reactivos'!DT364,'LP Reactivos'!DY364,'LP Reactivos'!EB364)," ")</f>
        <v>1</v>
      </c>
    </row>
    <row r="365" spans="2:12" x14ac:dyDescent="0.25">
      <c r="B365" s="425">
        <v>363</v>
      </c>
      <c r="C365" s="428" t="s">
        <v>1906</v>
      </c>
      <c r="D365" s="429">
        <f>IFERROR(MIN('LP Reactivos'!F365,'LP Reactivos'!I365,'LP Reactivos'!N365,'LP Reactivos'!S365,'LP Reactivos'!X365,'LP Reactivos'!AC365,'LP Reactivos'!AH365,'LP Reactivos'!AM365,'LP Reactivos'!AR365,'LP Reactivos'!AW365,'LP Reactivos'!BB365,'LP Reactivos'!BG365,'LP Reactivos'!BL365,'LP Reactivos'!BQ365,'LP Reactivos'!BV365,'LP Reactivos'!CA365,'LP Reactivos'!CF365,'LP Reactivos'!CK365,'LP Reactivos'!CP365,'LP Reactivos'!CU365,'LP Reactivos'!CZ365,'LP Reactivos'!DE365,'LP Reactivos'!DJ365,'LP Reactivos'!DO365,'LP Reactivos'!DT365,'LP Reactivos'!DY365,'LP Reactivos'!EB365)," ")</f>
        <v>495117</v>
      </c>
      <c r="E365" s="429">
        <f>IFERROR(AVERAGE('LP Reactivos'!F365,'LP Reactivos'!I365,'LP Reactivos'!N365,'LP Reactivos'!S365,'LP Reactivos'!X365,'LP Reactivos'!AC365,'LP Reactivos'!AH365,'LP Reactivos'!AM365,'LP Reactivos'!AR365,'LP Reactivos'!AW365,'LP Reactivos'!BB365,'LP Reactivos'!BG365,'LP Reactivos'!BL365,'LP Reactivos'!BQ365,'LP Reactivos'!BV365,'LP Reactivos'!CA365,'LP Reactivos'!CF365,'LP Reactivos'!CK365,'LP Reactivos'!CP365,'LP Reactivos'!CU365,'LP Reactivos'!CZ365,'LP Reactivos'!DE365,'LP Reactivos'!DJ365,'LP Reactivos'!DO365,'LP Reactivos'!DT365,'LP Reactivos'!DY365,'LP Reactivos'!EB365)," ")</f>
        <v>569608.5</v>
      </c>
      <c r="F365" s="345">
        <f>IFERROR(MEDIAN('LP Reactivos'!F365,'LP Reactivos'!I365,'LP Reactivos'!N365,'LP Reactivos'!S365,'LP Reactivos'!X365,'LP Reactivos'!AC365,'LP Reactivos'!AH365,'LP Reactivos'!AM365,'LP Reactivos'!AR365,'LP Reactivos'!AW365,'LP Reactivos'!BB365,'LP Reactivos'!BG365,'LP Reactivos'!BL365,'LP Reactivos'!BQ365,'LP Reactivos'!BV365,'LP Reactivos'!CA365,'LP Reactivos'!CF365,'LP Reactivos'!CK365,'LP Reactivos'!CP365,'LP Reactivos'!CU365,'LP Reactivos'!CZ365,'LP Reactivos'!DE365,'LP Reactivos'!DJ365,'LP Reactivos'!DO365,'LP Reactivos'!DT365,'LP Reactivos'!DY365,'LP Reactivos'!EB365)," ")</f>
        <v>569608.5</v>
      </c>
      <c r="G365" s="345">
        <f>IFERROR(GEOMEAN('LP Reactivos'!F365,'LP Reactivos'!I365,'LP Reactivos'!N365,'LP Reactivos'!S365,'LP Reactivos'!X365,'LP Reactivos'!AC365,'LP Reactivos'!AH365,'LP Reactivos'!AM365,'LP Reactivos'!AR365,'LP Reactivos'!AW365,'LP Reactivos'!BB365,'LP Reactivos'!BG365,'LP Reactivos'!BL365,'LP Reactivos'!BQ365,'LP Reactivos'!BV365,'LP Reactivos'!CA365,'LP Reactivos'!CF365,'LP Reactivos'!CK365,'LP Reactivos'!CP365,'LP Reactivos'!CU365,'LP Reactivos'!CZ365,'LP Reactivos'!DE365,'LP Reactivos'!DJ365,'LP Reactivos'!DO365,'LP Reactivos'!DT365,'LP Reactivos'!DY365,'LP Reactivos'!EB365)," ")</f>
        <v>564716.61893377989</v>
      </c>
      <c r="H365" s="345">
        <f t="shared" si="24"/>
        <v>36503.350418100272</v>
      </c>
      <c r="I365" s="346">
        <f t="shared" si="25"/>
        <v>6.4084981909680552E-2</v>
      </c>
      <c r="J365" s="345">
        <f t="shared" si="26"/>
        <v>569608.5</v>
      </c>
      <c r="K365" s="344" t="str">
        <f t="shared" si="27"/>
        <v>Promedio</v>
      </c>
      <c r="L365" s="326">
        <f>IFERROR(COUNTA('LP Reactivos'!F365,'LP Reactivos'!I365,'LP Reactivos'!N365,'LP Reactivos'!S365,'LP Reactivos'!X365,'LP Reactivos'!AC365,'LP Reactivos'!AH365,'LP Reactivos'!AM365,'LP Reactivos'!AR365,'LP Reactivos'!AW365,'LP Reactivos'!BB365,'LP Reactivos'!BG365,'LP Reactivos'!BL365,'LP Reactivos'!BQ365,'LP Reactivos'!BV365,'LP Reactivos'!CA365,'LP Reactivos'!CF365,'LP Reactivos'!CK365,'LP Reactivos'!CP365,'LP Reactivos'!CU365,'LP Reactivos'!CZ365,'LP Reactivos'!DE365,'LP Reactivos'!DJ365,'LP Reactivos'!DO365,'LP Reactivos'!DT365,'LP Reactivos'!DY365,'LP Reactivos'!EB365)," ")</f>
        <v>2</v>
      </c>
    </row>
    <row r="366" spans="2:12" x14ac:dyDescent="0.25">
      <c r="B366" s="425">
        <v>364</v>
      </c>
      <c r="C366" s="428" t="s">
        <v>1909</v>
      </c>
      <c r="D366" s="429">
        <f>IFERROR(MIN('LP Reactivos'!F366,'LP Reactivos'!I366,'LP Reactivos'!N366,'LP Reactivos'!S366,'LP Reactivos'!X366,'LP Reactivos'!AC366,'LP Reactivos'!AH366,'LP Reactivos'!AM366,'LP Reactivos'!AR366,'LP Reactivos'!AW366,'LP Reactivos'!BB366,'LP Reactivos'!BG366,'LP Reactivos'!BL366,'LP Reactivos'!BQ366,'LP Reactivos'!BV366,'LP Reactivos'!CA366,'LP Reactivos'!CF366,'LP Reactivos'!CK366,'LP Reactivos'!CP366,'LP Reactivos'!CU366,'LP Reactivos'!CZ366,'LP Reactivos'!DE366,'LP Reactivos'!DJ366,'LP Reactivos'!DO366,'LP Reactivos'!DT366,'LP Reactivos'!DY366,'LP Reactivos'!EB366)," ")</f>
        <v>1485439</v>
      </c>
      <c r="E366" s="429">
        <f>IFERROR(AVERAGE('LP Reactivos'!F366,'LP Reactivos'!I366,'LP Reactivos'!N366,'LP Reactivos'!S366,'LP Reactivos'!X366,'LP Reactivos'!AC366,'LP Reactivos'!AH366,'LP Reactivos'!AM366,'LP Reactivos'!AR366,'LP Reactivos'!AW366,'LP Reactivos'!BB366,'LP Reactivos'!BG366,'LP Reactivos'!BL366,'LP Reactivos'!BQ366,'LP Reactivos'!BV366,'LP Reactivos'!CA366,'LP Reactivos'!CF366,'LP Reactivos'!CK366,'LP Reactivos'!CP366,'LP Reactivos'!CU366,'LP Reactivos'!CZ366,'LP Reactivos'!DE366,'LP Reactivos'!DJ366,'LP Reactivos'!DO366,'LP Reactivos'!DT366,'LP Reactivos'!DY366,'LP Reactivos'!EB366)," ")</f>
        <v>1485439</v>
      </c>
      <c r="F366" s="345">
        <f>IFERROR(MEDIAN('LP Reactivos'!F366,'LP Reactivos'!I366,'LP Reactivos'!N366,'LP Reactivos'!S366,'LP Reactivos'!X366,'LP Reactivos'!AC366,'LP Reactivos'!AH366,'LP Reactivos'!AM366,'LP Reactivos'!AR366,'LP Reactivos'!AW366,'LP Reactivos'!BB366,'LP Reactivos'!BG366,'LP Reactivos'!BL366,'LP Reactivos'!BQ366,'LP Reactivos'!BV366,'LP Reactivos'!CA366,'LP Reactivos'!CF366,'LP Reactivos'!CK366,'LP Reactivos'!CP366,'LP Reactivos'!CU366,'LP Reactivos'!CZ366,'LP Reactivos'!DE366,'LP Reactivos'!DJ366,'LP Reactivos'!DO366,'LP Reactivos'!DT366,'LP Reactivos'!DY366,'LP Reactivos'!EB366)," ")</f>
        <v>1485439</v>
      </c>
      <c r="G366" s="345">
        <f>IFERROR(GEOMEAN('LP Reactivos'!F366,'LP Reactivos'!I366,'LP Reactivos'!N366,'LP Reactivos'!S366,'LP Reactivos'!X366,'LP Reactivos'!AC366,'LP Reactivos'!AH366,'LP Reactivos'!AM366,'LP Reactivos'!AR366,'LP Reactivos'!AW366,'LP Reactivos'!BB366,'LP Reactivos'!BG366,'LP Reactivos'!BL366,'LP Reactivos'!BQ366,'LP Reactivos'!BV366,'LP Reactivos'!CA366,'LP Reactivos'!CF366,'LP Reactivos'!CK366,'LP Reactivos'!CP366,'LP Reactivos'!CU366,'LP Reactivos'!CZ366,'LP Reactivos'!DE366,'LP Reactivos'!DJ366,'LP Reactivos'!DO366,'LP Reactivos'!DT366,'LP Reactivos'!DY366,'LP Reactivos'!EB366)," ")</f>
        <v>1485439</v>
      </c>
      <c r="H366" s="345">
        <f t="shared" si="24"/>
        <v>0</v>
      </c>
      <c r="I366" s="346">
        <f t="shared" si="25"/>
        <v>0</v>
      </c>
      <c r="J366" s="345">
        <f t="shared" si="26"/>
        <v>1485439</v>
      </c>
      <c r="K366" s="344" t="str">
        <f t="shared" si="27"/>
        <v>Menor Valor</v>
      </c>
      <c r="L366" s="326">
        <f>IFERROR(COUNTA('LP Reactivos'!F366,'LP Reactivos'!I366,'LP Reactivos'!N366,'LP Reactivos'!S366,'LP Reactivos'!X366,'LP Reactivos'!AC366,'LP Reactivos'!AH366,'LP Reactivos'!AM366,'LP Reactivos'!AR366,'LP Reactivos'!AW366,'LP Reactivos'!BB366,'LP Reactivos'!BG366,'LP Reactivos'!BL366,'LP Reactivos'!BQ366,'LP Reactivos'!BV366,'LP Reactivos'!CA366,'LP Reactivos'!CF366,'LP Reactivos'!CK366,'LP Reactivos'!CP366,'LP Reactivos'!CU366,'LP Reactivos'!CZ366,'LP Reactivos'!DE366,'LP Reactivos'!DJ366,'LP Reactivos'!DO366,'LP Reactivos'!DT366,'LP Reactivos'!DY366,'LP Reactivos'!EB366)," ")</f>
        <v>1</v>
      </c>
    </row>
    <row r="367" spans="2:12" x14ac:dyDescent="0.25">
      <c r="B367" s="425">
        <v>365</v>
      </c>
      <c r="C367" s="428" t="s">
        <v>1912</v>
      </c>
      <c r="D367" s="429">
        <f>IFERROR(MIN('LP Reactivos'!F367,'LP Reactivos'!I367,'LP Reactivos'!N367,'LP Reactivos'!S367,'LP Reactivos'!X367,'LP Reactivos'!AC367,'LP Reactivos'!AH367,'LP Reactivos'!AM367,'LP Reactivos'!AR367,'LP Reactivos'!AW367,'LP Reactivos'!BB367,'LP Reactivos'!BG367,'LP Reactivos'!BL367,'LP Reactivos'!BQ367,'LP Reactivos'!BV367,'LP Reactivos'!CA367,'LP Reactivos'!CF367,'LP Reactivos'!CK367,'LP Reactivos'!CP367,'LP Reactivos'!CU367,'LP Reactivos'!CZ367,'LP Reactivos'!DE367,'LP Reactivos'!DJ367,'LP Reactivos'!DO367,'LP Reactivos'!DT367,'LP Reactivos'!DY367,'LP Reactivos'!EB367)," ")</f>
        <v>3032302</v>
      </c>
      <c r="E367" s="429">
        <f>IFERROR(AVERAGE('LP Reactivos'!F367,'LP Reactivos'!I367,'LP Reactivos'!N367,'LP Reactivos'!S367,'LP Reactivos'!X367,'LP Reactivos'!AC367,'LP Reactivos'!AH367,'LP Reactivos'!AM367,'LP Reactivos'!AR367,'LP Reactivos'!AW367,'LP Reactivos'!BB367,'LP Reactivos'!BG367,'LP Reactivos'!BL367,'LP Reactivos'!BQ367,'LP Reactivos'!BV367,'LP Reactivos'!CA367,'LP Reactivos'!CF367,'LP Reactivos'!CK367,'LP Reactivos'!CP367,'LP Reactivos'!CU367,'LP Reactivos'!CZ367,'LP Reactivos'!DE367,'LP Reactivos'!DJ367,'LP Reactivos'!DO367,'LP Reactivos'!DT367,'LP Reactivos'!DY367,'LP Reactivos'!EB367)," ")</f>
        <v>3032302</v>
      </c>
      <c r="F367" s="345">
        <f>IFERROR(MEDIAN('LP Reactivos'!F367,'LP Reactivos'!I367,'LP Reactivos'!N367,'LP Reactivos'!S367,'LP Reactivos'!X367,'LP Reactivos'!AC367,'LP Reactivos'!AH367,'LP Reactivos'!AM367,'LP Reactivos'!AR367,'LP Reactivos'!AW367,'LP Reactivos'!BB367,'LP Reactivos'!BG367,'LP Reactivos'!BL367,'LP Reactivos'!BQ367,'LP Reactivos'!BV367,'LP Reactivos'!CA367,'LP Reactivos'!CF367,'LP Reactivos'!CK367,'LP Reactivos'!CP367,'LP Reactivos'!CU367,'LP Reactivos'!CZ367,'LP Reactivos'!DE367,'LP Reactivos'!DJ367,'LP Reactivos'!DO367,'LP Reactivos'!DT367,'LP Reactivos'!DY367,'LP Reactivos'!EB367)," ")</f>
        <v>3032302</v>
      </c>
      <c r="G367" s="345">
        <f>IFERROR(GEOMEAN('LP Reactivos'!F367,'LP Reactivos'!I367,'LP Reactivos'!N367,'LP Reactivos'!S367,'LP Reactivos'!X367,'LP Reactivos'!AC367,'LP Reactivos'!AH367,'LP Reactivos'!AM367,'LP Reactivos'!AR367,'LP Reactivos'!AW367,'LP Reactivos'!BB367,'LP Reactivos'!BG367,'LP Reactivos'!BL367,'LP Reactivos'!BQ367,'LP Reactivos'!BV367,'LP Reactivos'!CA367,'LP Reactivos'!CF367,'LP Reactivos'!CK367,'LP Reactivos'!CP367,'LP Reactivos'!CU367,'LP Reactivos'!CZ367,'LP Reactivos'!DE367,'LP Reactivos'!DJ367,'LP Reactivos'!DO367,'LP Reactivos'!DT367,'LP Reactivos'!DY367,'LP Reactivos'!EB367)," ")</f>
        <v>3032302</v>
      </c>
      <c r="H367" s="345">
        <f t="shared" si="24"/>
        <v>0</v>
      </c>
      <c r="I367" s="346">
        <f t="shared" si="25"/>
        <v>0</v>
      </c>
      <c r="J367" s="345">
        <f t="shared" si="26"/>
        <v>3032302</v>
      </c>
      <c r="K367" s="344" t="str">
        <f t="shared" si="27"/>
        <v>Menor Valor</v>
      </c>
      <c r="L367" s="326">
        <f>IFERROR(COUNTA('LP Reactivos'!F367,'LP Reactivos'!I367,'LP Reactivos'!N367,'LP Reactivos'!S367,'LP Reactivos'!X367,'LP Reactivos'!AC367,'LP Reactivos'!AH367,'LP Reactivos'!AM367,'LP Reactivos'!AR367,'LP Reactivos'!AW367,'LP Reactivos'!BB367,'LP Reactivos'!BG367,'LP Reactivos'!BL367,'LP Reactivos'!BQ367,'LP Reactivos'!BV367,'LP Reactivos'!CA367,'LP Reactivos'!CF367,'LP Reactivos'!CK367,'LP Reactivos'!CP367,'LP Reactivos'!CU367,'LP Reactivos'!CZ367,'LP Reactivos'!DE367,'LP Reactivos'!DJ367,'LP Reactivos'!DO367,'LP Reactivos'!DT367,'LP Reactivos'!DY367,'LP Reactivos'!EB367)," ")</f>
        <v>1</v>
      </c>
    </row>
    <row r="368" spans="2:12" x14ac:dyDescent="0.25">
      <c r="B368" s="425">
        <v>366</v>
      </c>
      <c r="C368" s="428" t="s">
        <v>1914</v>
      </c>
      <c r="D368" s="429">
        <f>IFERROR(MIN('LP Reactivos'!F368,'LP Reactivos'!I368,'LP Reactivos'!N368,'LP Reactivos'!S368,'LP Reactivos'!X368,'LP Reactivos'!AC368,'LP Reactivos'!AH368,'LP Reactivos'!AM368,'LP Reactivos'!AR368,'LP Reactivos'!AW368,'LP Reactivos'!BB368,'LP Reactivos'!BG368,'LP Reactivos'!BL368,'LP Reactivos'!BQ368,'LP Reactivos'!BV368,'LP Reactivos'!CA368,'LP Reactivos'!CF368,'LP Reactivos'!CK368,'LP Reactivos'!CP368,'LP Reactivos'!CU368,'LP Reactivos'!CZ368,'LP Reactivos'!DE368,'LP Reactivos'!DJ368,'LP Reactivos'!DO368,'LP Reactivos'!DT368,'LP Reactivos'!DY368,'LP Reactivos'!EB368)," ")</f>
        <v>417690</v>
      </c>
      <c r="E368" s="429">
        <f>IFERROR(AVERAGE('LP Reactivos'!F368,'LP Reactivos'!I368,'LP Reactivos'!N368,'LP Reactivos'!S368,'LP Reactivos'!X368,'LP Reactivos'!AC368,'LP Reactivos'!AH368,'LP Reactivos'!AM368,'LP Reactivos'!AR368,'LP Reactivos'!AW368,'LP Reactivos'!BB368,'LP Reactivos'!BG368,'LP Reactivos'!BL368,'LP Reactivos'!BQ368,'LP Reactivos'!BV368,'LP Reactivos'!CA368,'LP Reactivos'!CF368,'LP Reactivos'!CK368,'LP Reactivos'!CP368,'LP Reactivos'!CU368,'LP Reactivos'!CZ368,'LP Reactivos'!DE368,'LP Reactivos'!DJ368,'LP Reactivos'!DO368,'LP Reactivos'!DT368,'LP Reactivos'!DY368,'LP Reactivos'!EB368)," ")</f>
        <v>524075.95</v>
      </c>
      <c r="F368" s="345">
        <f>IFERROR(MEDIAN('LP Reactivos'!F368,'LP Reactivos'!I368,'LP Reactivos'!N368,'LP Reactivos'!S368,'LP Reactivos'!X368,'LP Reactivos'!AC368,'LP Reactivos'!AH368,'LP Reactivos'!AM368,'LP Reactivos'!AR368,'LP Reactivos'!AW368,'LP Reactivos'!BB368,'LP Reactivos'!BG368,'LP Reactivos'!BL368,'LP Reactivos'!BQ368,'LP Reactivos'!BV368,'LP Reactivos'!CA368,'LP Reactivos'!CF368,'LP Reactivos'!CK368,'LP Reactivos'!CP368,'LP Reactivos'!CU368,'LP Reactivos'!CZ368,'LP Reactivos'!DE368,'LP Reactivos'!DJ368,'LP Reactivos'!DO368,'LP Reactivos'!DT368,'LP Reactivos'!DY368,'LP Reactivos'!EB368)," ")</f>
        <v>530192.5</v>
      </c>
      <c r="G368" s="345">
        <f>IFERROR(GEOMEAN('LP Reactivos'!F368,'LP Reactivos'!I368,'LP Reactivos'!N368,'LP Reactivos'!S368,'LP Reactivos'!X368,'LP Reactivos'!AC368,'LP Reactivos'!AH368,'LP Reactivos'!AM368,'LP Reactivos'!AR368,'LP Reactivos'!AW368,'LP Reactivos'!BB368,'LP Reactivos'!BG368,'LP Reactivos'!BL368,'LP Reactivos'!BQ368,'LP Reactivos'!BV368,'LP Reactivos'!CA368,'LP Reactivos'!CF368,'LP Reactivos'!CK368,'LP Reactivos'!CP368,'LP Reactivos'!CU368,'LP Reactivos'!CZ368,'LP Reactivos'!DE368,'LP Reactivos'!DJ368,'LP Reactivos'!DO368,'LP Reactivos'!DT368,'LP Reactivos'!DY368,'LP Reactivos'!EB368)," ")</f>
        <v>518784.05390024616</v>
      </c>
      <c r="H368" s="345">
        <f t="shared" si="24"/>
        <v>53533.758498946605</v>
      </c>
      <c r="I368" s="346">
        <f t="shared" si="25"/>
        <v>0.10214885552169796</v>
      </c>
      <c r="J368" s="345">
        <f t="shared" si="26"/>
        <v>524075.95</v>
      </c>
      <c r="K368" s="344" t="str">
        <f t="shared" si="27"/>
        <v>Promedio</v>
      </c>
      <c r="L368" s="326">
        <f>IFERROR(COUNTA('LP Reactivos'!F368,'LP Reactivos'!I368,'LP Reactivos'!N368,'LP Reactivos'!S368,'LP Reactivos'!X368,'LP Reactivos'!AC368,'LP Reactivos'!AH368,'LP Reactivos'!AM368,'LP Reactivos'!AR368,'LP Reactivos'!AW368,'LP Reactivos'!BB368,'LP Reactivos'!BG368,'LP Reactivos'!BL368,'LP Reactivos'!BQ368,'LP Reactivos'!BV368,'LP Reactivos'!CA368,'LP Reactivos'!CF368,'LP Reactivos'!CK368,'LP Reactivos'!CP368,'LP Reactivos'!CU368,'LP Reactivos'!CZ368,'LP Reactivos'!DE368,'LP Reactivos'!DJ368,'LP Reactivos'!DO368,'LP Reactivos'!DT368,'LP Reactivos'!DY368,'LP Reactivos'!EB368)," ")</f>
        <v>4</v>
      </c>
    </row>
    <row r="369" spans="2:12" x14ac:dyDescent="0.25">
      <c r="B369" s="425">
        <v>367</v>
      </c>
      <c r="C369" s="427" t="s">
        <v>1917</v>
      </c>
      <c r="D369" s="429">
        <f>IFERROR(MIN('LP Reactivos'!F369,'LP Reactivos'!I369,'LP Reactivos'!N369,'LP Reactivos'!S369,'LP Reactivos'!X369,'LP Reactivos'!AC369,'LP Reactivos'!AH369,'LP Reactivos'!AM369,'LP Reactivos'!AR369,'LP Reactivos'!AW369,'LP Reactivos'!BB369,'LP Reactivos'!BG369,'LP Reactivos'!BL369,'LP Reactivos'!BQ369,'LP Reactivos'!BV369,'LP Reactivos'!CA369,'LP Reactivos'!CF369,'LP Reactivos'!CK369,'LP Reactivos'!CP369,'LP Reactivos'!CU369,'LP Reactivos'!CZ369,'LP Reactivos'!DE369,'LP Reactivos'!DJ369,'LP Reactivos'!DO369,'LP Reactivos'!DT369,'LP Reactivos'!DY369,'LP Reactivos'!EB369)," ")</f>
        <v>1204675.3149999999</v>
      </c>
      <c r="E369" s="429">
        <f>IFERROR(AVERAGE('LP Reactivos'!F369,'LP Reactivos'!I369,'LP Reactivos'!N369,'LP Reactivos'!S369,'LP Reactivos'!X369,'LP Reactivos'!AC369,'LP Reactivos'!AH369,'LP Reactivos'!AM369,'LP Reactivos'!AR369,'LP Reactivos'!AW369,'LP Reactivos'!BB369,'LP Reactivos'!BG369,'LP Reactivos'!BL369,'LP Reactivos'!BQ369,'LP Reactivos'!BV369,'LP Reactivos'!CA369,'LP Reactivos'!CF369,'LP Reactivos'!CK369,'LP Reactivos'!CP369,'LP Reactivos'!CU369,'LP Reactivos'!CZ369,'LP Reactivos'!DE369,'LP Reactivos'!DJ369,'LP Reactivos'!DO369,'LP Reactivos'!DT369,'LP Reactivos'!DY369,'LP Reactivos'!EB369)," ")</f>
        <v>1204675.3149999999</v>
      </c>
      <c r="F369" s="345">
        <f>IFERROR(MEDIAN('LP Reactivos'!F369,'LP Reactivos'!I369,'LP Reactivos'!N369,'LP Reactivos'!S369,'LP Reactivos'!X369,'LP Reactivos'!AC369,'LP Reactivos'!AH369,'LP Reactivos'!AM369,'LP Reactivos'!AR369,'LP Reactivos'!AW369,'LP Reactivos'!BB369,'LP Reactivos'!BG369,'LP Reactivos'!BL369,'LP Reactivos'!BQ369,'LP Reactivos'!BV369,'LP Reactivos'!CA369,'LP Reactivos'!CF369,'LP Reactivos'!CK369,'LP Reactivos'!CP369,'LP Reactivos'!CU369,'LP Reactivos'!CZ369,'LP Reactivos'!DE369,'LP Reactivos'!DJ369,'LP Reactivos'!DO369,'LP Reactivos'!DT369,'LP Reactivos'!DY369,'LP Reactivos'!EB369)," ")</f>
        <v>1204675.3149999999</v>
      </c>
      <c r="G369" s="345">
        <f>IFERROR(GEOMEAN('LP Reactivos'!F369,'LP Reactivos'!I369,'LP Reactivos'!N369,'LP Reactivos'!S369,'LP Reactivos'!X369,'LP Reactivos'!AC369,'LP Reactivos'!AH369,'LP Reactivos'!AM369,'LP Reactivos'!AR369,'LP Reactivos'!AW369,'LP Reactivos'!BB369,'LP Reactivos'!BG369,'LP Reactivos'!BL369,'LP Reactivos'!BQ369,'LP Reactivos'!BV369,'LP Reactivos'!CA369,'LP Reactivos'!CF369,'LP Reactivos'!CK369,'LP Reactivos'!CP369,'LP Reactivos'!CU369,'LP Reactivos'!CZ369,'LP Reactivos'!DE369,'LP Reactivos'!DJ369,'LP Reactivos'!DO369,'LP Reactivos'!DT369,'LP Reactivos'!DY369,'LP Reactivos'!EB369)," ")</f>
        <v>1204675.3149999999</v>
      </c>
      <c r="H369" s="345">
        <f t="shared" si="24"/>
        <v>0</v>
      </c>
      <c r="I369" s="346">
        <f t="shared" si="25"/>
        <v>0</v>
      </c>
      <c r="J369" s="345">
        <f t="shared" si="26"/>
        <v>1204675.3149999999</v>
      </c>
      <c r="K369" s="344" t="str">
        <f t="shared" si="27"/>
        <v>Menor Valor</v>
      </c>
      <c r="L369" s="326">
        <f>IFERROR(COUNTA('LP Reactivos'!F369,'LP Reactivos'!I369,'LP Reactivos'!N369,'LP Reactivos'!S369,'LP Reactivos'!X369,'LP Reactivos'!AC369,'LP Reactivos'!AH369,'LP Reactivos'!AM369,'LP Reactivos'!AR369,'LP Reactivos'!AW369,'LP Reactivos'!BB369,'LP Reactivos'!BG369,'LP Reactivos'!BL369,'LP Reactivos'!BQ369,'LP Reactivos'!BV369,'LP Reactivos'!CA369,'LP Reactivos'!CF369,'LP Reactivos'!CK369,'LP Reactivos'!CP369,'LP Reactivos'!CU369,'LP Reactivos'!CZ369,'LP Reactivos'!DE369,'LP Reactivos'!DJ369,'LP Reactivos'!DO369,'LP Reactivos'!DT369,'LP Reactivos'!DY369,'LP Reactivos'!EB369)," ")</f>
        <v>1</v>
      </c>
    </row>
    <row r="370" spans="2:12" x14ac:dyDescent="0.25">
      <c r="B370" s="425">
        <v>368</v>
      </c>
      <c r="C370" s="413" t="s">
        <v>1919</v>
      </c>
      <c r="D370" s="429">
        <f>IFERROR(MIN('LP Reactivos'!F370,'LP Reactivos'!I370,'LP Reactivos'!N370,'LP Reactivos'!S370,'LP Reactivos'!X370,'LP Reactivos'!AC370,'LP Reactivos'!AH370,'LP Reactivos'!AM370,'LP Reactivos'!AR370,'LP Reactivos'!AW370,'LP Reactivos'!BB370,'LP Reactivos'!BG370,'LP Reactivos'!BL370,'LP Reactivos'!BQ370,'LP Reactivos'!BV370,'LP Reactivos'!CA370,'LP Reactivos'!CF370,'LP Reactivos'!CK370,'LP Reactivos'!CP370,'LP Reactivos'!CU370,'LP Reactivos'!CZ370,'LP Reactivos'!DE370,'LP Reactivos'!DJ370,'LP Reactivos'!DO370,'LP Reactivos'!DT370,'LP Reactivos'!DY370,'LP Reactivos'!EB370)," ")</f>
        <v>367710</v>
      </c>
      <c r="E370" s="429">
        <f>IFERROR(AVERAGE('LP Reactivos'!F370,'LP Reactivos'!I370,'LP Reactivos'!N370,'LP Reactivos'!S370,'LP Reactivos'!X370,'LP Reactivos'!AC370,'LP Reactivos'!AH370,'LP Reactivos'!AM370,'LP Reactivos'!AR370,'LP Reactivos'!AW370,'LP Reactivos'!BB370,'LP Reactivos'!BG370,'LP Reactivos'!BL370,'LP Reactivos'!BQ370,'LP Reactivos'!BV370,'LP Reactivos'!CA370,'LP Reactivos'!CF370,'LP Reactivos'!CK370,'LP Reactivos'!CP370,'LP Reactivos'!CU370,'LP Reactivos'!CZ370,'LP Reactivos'!DE370,'LP Reactivos'!DJ370,'LP Reactivos'!DO370,'LP Reactivos'!DT370,'LP Reactivos'!DY370,'LP Reactivos'!EB370)," ")</f>
        <v>475404</v>
      </c>
      <c r="F370" s="345">
        <f>IFERROR(MEDIAN('LP Reactivos'!F370,'LP Reactivos'!I370,'LP Reactivos'!N370,'LP Reactivos'!S370,'LP Reactivos'!X370,'LP Reactivos'!AC370,'LP Reactivos'!AH370,'LP Reactivos'!AM370,'LP Reactivos'!AR370,'LP Reactivos'!AW370,'LP Reactivos'!BB370,'LP Reactivos'!BG370,'LP Reactivos'!BL370,'LP Reactivos'!BQ370,'LP Reactivos'!BV370,'LP Reactivos'!CA370,'LP Reactivos'!CF370,'LP Reactivos'!CK370,'LP Reactivos'!CP370,'LP Reactivos'!CU370,'LP Reactivos'!CZ370,'LP Reactivos'!DE370,'LP Reactivos'!DJ370,'LP Reactivos'!DO370,'LP Reactivos'!DT370,'LP Reactivos'!DY370,'LP Reactivos'!EB370)," ")</f>
        <v>387342</v>
      </c>
      <c r="G370" s="345">
        <f>IFERROR(GEOMEAN('LP Reactivos'!F370,'LP Reactivos'!I370,'LP Reactivos'!N370,'LP Reactivos'!S370,'LP Reactivos'!X370,'LP Reactivos'!AC370,'LP Reactivos'!AH370,'LP Reactivos'!AM370,'LP Reactivos'!AR370,'LP Reactivos'!AW370,'LP Reactivos'!BB370,'LP Reactivos'!BG370,'LP Reactivos'!BL370,'LP Reactivos'!BQ370,'LP Reactivos'!BV370,'LP Reactivos'!CA370,'LP Reactivos'!CF370,'LP Reactivos'!CK370,'LP Reactivos'!CP370,'LP Reactivos'!CU370,'LP Reactivos'!CZ370,'LP Reactivos'!DE370,'LP Reactivos'!DJ370,'LP Reactivos'!DO370,'LP Reactivos'!DT370,'LP Reactivos'!DY370,'LP Reactivos'!EB370)," ")</f>
        <v>457237.7008321319</v>
      </c>
      <c r="H370" s="345">
        <f t="shared" si="24"/>
        <v>52415.774931916225</v>
      </c>
      <c r="I370" s="346">
        <f t="shared" si="25"/>
        <v>0.11025522488644653</v>
      </c>
      <c r="J370" s="345">
        <f t="shared" si="26"/>
        <v>475404</v>
      </c>
      <c r="K370" s="344" t="str">
        <f t="shared" si="27"/>
        <v>Promedio</v>
      </c>
      <c r="L370" s="326">
        <f>IFERROR(COUNTA('LP Reactivos'!F370,'LP Reactivos'!I370,'LP Reactivos'!N370,'LP Reactivos'!S370,'LP Reactivos'!X370,'LP Reactivos'!AC370,'LP Reactivos'!AH370,'LP Reactivos'!AM370,'LP Reactivos'!AR370,'LP Reactivos'!AW370,'LP Reactivos'!BB370,'LP Reactivos'!BG370,'LP Reactivos'!BL370,'LP Reactivos'!BQ370,'LP Reactivos'!BV370,'LP Reactivos'!CA370,'LP Reactivos'!CF370,'LP Reactivos'!CK370,'LP Reactivos'!CP370,'LP Reactivos'!CU370,'LP Reactivos'!CZ370,'LP Reactivos'!DE370,'LP Reactivos'!DJ370,'LP Reactivos'!DO370,'LP Reactivos'!DT370,'LP Reactivos'!DY370,'LP Reactivos'!EB370)," ")</f>
        <v>3</v>
      </c>
    </row>
    <row r="371" spans="2:12" x14ac:dyDescent="0.25">
      <c r="B371" s="425">
        <v>369</v>
      </c>
      <c r="C371" s="427" t="s">
        <v>1922</v>
      </c>
      <c r="D371" s="429">
        <f>IFERROR(MIN('LP Reactivos'!F371,'LP Reactivos'!I371,'LP Reactivos'!N371,'LP Reactivos'!S371,'LP Reactivos'!X371,'LP Reactivos'!AC371,'LP Reactivos'!AH371,'LP Reactivos'!AM371,'LP Reactivos'!AR371,'LP Reactivos'!AW371,'LP Reactivos'!BB371,'LP Reactivos'!BG371,'LP Reactivos'!BL371,'LP Reactivos'!BQ371,'LP Reactivos'!BV371,'LP Reactivos'!CA371,'LP Reactivos'!CF371,'LP Reactivos'!CK371,'LP Reactivos'!CP371,'LP Reactivos'!CU371,'LP Reactivos'!CZ371,'LP Reactivos'!DE371,'LP Reactivos'!DJ371,'LP Reactivos'!DO371,'LP Reactivos'!DT371,'LP Reactivos'!DY371,'LP Reactivos'!EB371)," ")</f>
        <v>910350</v>
      </c>
      <c r="E371" s="429">
        <f>IFERROR(AVERAGE('LP Reactivos'!F371,'LP Reactivos'!I371,'LP Reactivos'!N371,'LP Reactivos'!S371,'LP Reactivos'!X371,'LP Reactivos'!AC371,'LP Reactivos'!AH371,'LP Reactivos'!AM371,'LP Reactivos'!AR371,'LP Reactivos'!AW371,'LP Reactivos'!BB371,'LP Reactivos'!BG371,'LP Reactivos'!BL371,'LP Reactivos'!BQ371,'LP Reactivos'!BV371,'LP Reactivos'!CA371,'LP Reactivos'!CF371,'LP Reactivos'!CK371,'LP Reactivos'!CP371,'LP Reactivos'!CU371,'LP Reactivos'!CZ371,'LP Reactivos'!DE371,'LP Reactivos'!DJ371,'LP Reactivos'!DO371,'LP Reactivos'!DT371,'LP Reactivos'!DY371,'LP Reactivos'!EB371)," ")</f>
        <v>910350</v>
      </c>
      <c r="F371" s="345">
        <f>IFERROR(MEDIAN('LP Reactivos'!F371,'LP Reactivos'!I371,'LP Reactivos'!N371,'LP Reactivos'!S371,'LP Reactivos'!X371,'LP Reactivos'!AC371,'LP Reactivos'!AH371,'LP Reactivos'!AM371,'LP Reactivos'!AR371,'LP Reactivos'!AW371,'LP Reactivos'!BB371,'LP Reactivos'!BG371,'LP Reactivos'!BL371,'LP Reactivos'!BQ371,'LP Reactivos'!BV371,'LP Reactivos'!CA371,'LP Reactivos'!CF371,'LP Reactivos'!CK371,'LP Reactivos'!CP371,'LP Reactivos'!CU371,'LP Reactivos'!CZ371,'LP Reactivos'!DE371,'LP Reactivos'!DJ371,'LP Reactivos'!DO371,'LP Reactivos'!DT371,'LP Reactivos'!DY371,'LP Reactivos'!EB371)," ")</f>
        <v>910350</v>
      </c>
      <c r="G371" s="345">
        <f>IFERROR(GEOMEAN('LP Reactivos'!F371,'LP Reactivos'!I371,'LP Reactivos'!N371,'LP Reactivos'!S371,'LP Reactivos'!X371,'LP Reactivos'!AC371,'LP Reactivos'!AH371,'LP Reactivos'!AM371,'LP Reactivos'!AR371,'LP Reactivos'!AW371,'LP Reactivos'!BB371,'LP Reactivos'!BG371,'LP Reactivos'!BL371,'LP Reactivos'!BQ371,'LP Reactivos'!BV371,'LP Reactivos'!CA371,'LP Reactivos'!CF371,'LP Reactivos'!CK371,'LP Reactivos'!CP371,'LP Reactivos'!CU371,'LP Reactivos'!CZ371,'LP Reactivos'!DE371,'LP Reactivos'!DJ371,'LP Reactivos'!DO371,'LP Reactivos'!DT371,'LP Reactivos'!DY371,'LP Reactivos'!EB371)," ")</f>
        <v>910350</v>
      </c>
      <c r="H371" s="345">
        <f t="shared" si="24"/>
        <v>0</v>
      </c>
      <c r="I371" s="346">
        <f t="shared" si="25"/>
        <v>0</v>
      </c>
      <c r="J371" s="345">
        <f t="shared" si="26"/>
        <v>910350</v>
      </c>
      <c r="K371" s="344" t="str">
        <f t="shared" si="27"/>
        <v>Menor Valor</v>
      </c>
      <c r="L371" s="326">
        <f>IFERROR(COUNTA('LP Reactivos'!F371,'LP Reactivos'!I371,'LP Reactivos'!N371,'LP Reactivos'!S371,'LP Reactivos'!X371,'LP Reactivos'!AC371,'LP Reactivos'!AH371,'LP Reactivos'!AM371,'LP Reactivos'!AR371,'LP Reactivos'!AW371,'LP Reactivos'!BB371,'LP Reactivos'!BG371,'LP Reactivos'!BL371,'LP Reactivos'!BQ371,'LP Reactivos'!BV371,'LP Reactivos'!CA371,'LP Reactivos'!CF371,'LP Reactivos'!CK371,'LP Reactivos'!CP371,'LP Reactivos'!CU371,'LP Reactivos'!CZ371,'LP Reactivos'!DE371,'LP Reactivos'!DJ371,'LP Reactivos'!DO371,'LP Reactivos'!DT371,'LP Reactivos'!DY371,'LP Reactivos'!EB371)," ")</f>
        <v>1</v>
      </c>
    </row>
    <row r="372" spans="2:12" ht="42.75" customHeight="1" x14ac:dyDescent="0.25">
      <c r="B372" s="425">
        <v>370</v>
      </c>
      <c r="C372" s="413" t="s">
        <v>1926</v>
      </c>
      <c r="D372" s="429">
        <f>IFERROR(MIN('LP Reactivos'!F372,'LP Reactivos'!I372,'LP Reactivos'!N372,'LP Reactivos'!S372,'LP Reactivos'!X372,'LP Reactivos'!AC372,'LP Reactivos'!AH372,'LP Reactivos'!AM372,'LP Reactivos'!AR372,'LP Reactivos'!AW372,'LP Reactivos'!BB372,'LP Reactivos'!BG372,'LP Reactivos'!BL372,'LP Reactivos'!BQ372,'LP Reactivos'!BV372,'LP Reactivos'!CA372,'LP Reactivos'!CF372,'LP Reactivos'!CK372,'LP Reactivos'!CP372,'LP Reactivos'!CU372,'LP Reactivos'!CZ372,'LP Reactivos'!DE372,'LP Reactivos'!DJ372,'LP Reactivos'!DO372,'LP Reactivos'!DT372,'LP Reactivos'!DY372,'LP Reactivos'!EB372)," ")</f>
        <v>102058.4936</v>
      </c>
      <c r="E372" s="429">
        <f>IFERROR(AVERAGE('LP Reactivos'!F372,'LP Reactivos'!I372,'LP Reactivos'!N372,'LP Reactivos'!S372,'LP Reactivos'!X372,'LP Reactivos'!AC372,'LP Reactivos'!AH372,'LP Reactivos'!AM372,'LP Reactivos'!AR372,'LP Reactivos'!AW372,'LP Reactivos'!BB372,'LP Reactivos'!BG372,'LP Reactivos'!BL372,'LP Reactivos'!BQ372,'LP Reactivos'!BV372,'LP Reactivos'!CA372,'LP Reactivos'!CF372,'LP Reactivos'!CK372,'LP Reactivos'!CP372,'LP Reactivos'!CU372,'LP Reactivos'!CZ372,'LP Reactivos'!DE372,'LP Reactivos'!DJ372,'LP Reactivos'!DO372,'LP Reactivos'!DT372,'LP Reactivos'!DY372,'LP Reactivos'!EB372)," ")</f>
        <v>639701.99872000003</v>
      </c>
      <c r="F372" s="345">
        <f>IFERROR(MEDIAN('LP Reactivos'!F372,'LP Reactivos'!I372,'LP Reactivos'!N372,'LP Reactivos'!S372,'LP Reactivos'!X372,'LP Reactivos'!AC372,'LP Reactivos'!AH372,'LP Reactivos'!AM372,'LP Reactivos'!AR372,'LP Reactivos'!AW372,'LP Reactivos'!BB372,'LP Reactivos'!BG372,'LP Reactivos'!BL372,'LP Reactivos'!BQ372,'LP Reactivos'!BV372,'LP Reactivos'!CA372,'LP Reactivos'!CF372,'LP Reactivos'!CK372,'LP Reactivos'!CP372,'LP Reactivos'!CU372,'LP Reactivos'!CZ372,'LP Reactivos'!DE372,'LP Reactivos'!DJ372,'LP Reactivos'!DO372,'LP Reactivos'!DT372,'LP Reactivos'!DY372,'LP Reactivos'!EB372)," ")</f>
        <v>188912.5</v>
      </c>
      <c r="G372" s="345">
        <f>IFERROR(GEOMEAN('LP Reactivos'!F372,'LP Reactivos'!I372,'LP Reactivos'!N372,'LP Reactivos'!S372,'LP Reactivos'!X372,'LP Reactivos'!AC372,'LP Reactivos'!AH372,'LP Reactivos'!AM372,'LP Reactivos'!AR372,'LP Reactivos'!AW372,'LP Reactivos'!BB372,'LP Reactivos'!BG372,'LP Reactivos'!BL372,'LP Reactivos'!BQ372,'LP Reactivos'!BV372,'LP Reactivos'!CA372,'LP Reactivos'!CF372,'LP Reactivos'!CK372,'LP Reactivos'!CP372,'LP Reactivos'!CU372,'LP Reactivos'!CZ372,'LP Reactivos'!DE372,'LP Reactivos'!DJ372,'LP Reactivos'!DO372,'LP Reactivos'!DT372,'LP Reactivos'!DY372,'LP Reactivos'!EB372)," ")</f>
        <v>349816.97589245852</v>
      </c>
      <c r="H372" s="345">
        <f t="shared" si="24"/>
        <v>236488.75441048868</v>
      </c>
      <c r="I372" s="346">
        <f t="shared" si="25"/>
        <v>0.36968581446311954</v>
      </c>
      <c r="J372" s="345">
        <f>IF(I372&lt;=10%,F372,IF(AND(I372&gt;10%,I372&lt;=20%),E372,IF(AND(I372&gt;20%,I372&lt;=38%),G372,IF(I372&gt;38%,D372))))</f>
        <v>349816.97589245852</v>
      </c>
      <c r="K372" s="344" t="str">
        <f t="shared" si="27"/>
        <v>Media Geométrica</v>
      </c>
      <c r="L372" s="326">
        <f>IFERROR(COUNTA('LP Reactivos'!F372,'LP Reactivos'!I372,'LP Reactivos'!N372,'LP Reactivos'!S372,'LP Reactivos'!X372,'LP Reactivos'!AC372,'LP Reactivos'!AH372,'LP Reactivos'!AM372,'LP Reactivos'!AR372,'LP Reactivos'!AW372,'LP Reactivos'!BB372,'LP Reactivos'!BG372,'LP Reactivos'!BL372,'LP Reactivos'!BQ372,'LP Reactivos'!BV372,'LP Reactivos'!CA372,'LP Reactivos'!CF372,'LP Reactivos'!CK372,'LP Reactivos'!CP372,'LP Reactivos'!CU372,'LP Reactivos'!CZ372,'LP Reactivos'!DE372,'LP Reactivos'!DJ372,'LP Reactivos'!DO372,'LP Reactivos'!DT372,'LP Reactivos'!DY372,'LP Reactivos'!EB372)," ")</f>
        <v>5</v>
      </c>
    </row>
    <row r="373" spans="2:12" x14ac:dyDescent="0.25">
      <c r="B373" s="425">
        <v>371</v>
      </c>
      <c r="C373" s="428" t="s">
        <v>1931</v>
      </c>
      <c r="D373" s="429">
        <f>IFERROR(MIN('LP Reactivos'!F373,'LP Reactivos'!I373,'LP Reactivos'!N373,'LP Reactivos'!S373,'LP Reactivos'!X373,'LP Reactivos'!AC373,'LP Reactivos'!AH373,'LP Reactivos'!AM373,'LP Reactivos'!AR373,'LP Reactivos'!AW373,'LP Reactivos'!BB373,'LP Reactivos'!BG373,'LP Reactivos'!BL373,'LP Reactivos'!BQ373,'LP Reactivos'!BV373,'LP Reactivos'!CA373,'LP Reactivos'!CF373,'LP Reactivos'!CK373,'LP Reactivos'!CP373,'LP Reactivos'!CU373,'LP Reactivos'!CZ373,'LP Reactivos'!DE373,'LP Reactivos'!DJ373,'LP Reactivos'!DO373,'LP Reactivos'!DT373,'LP Reactivos'!DY373,'LP Reactivos'!EB373)," ")</f>
        <v>69186.600000000006</v>
      </c>
      <c r="E373" s="429">
        <f>IFERROR(AVERAGE('LP Reactivos'!F373,'LP Reactivos'!I373,'LP Reactivos'!N373,'LP Reactivos'!S373,'LP Reactivos'!X373,'LP Reactivos'!AC373,'LP Reactivos'!AH373,'LP Reactivos'!AM373,'LP Reactivos'!AR373,'LP Reactivos'!AW373,'LP Reactivos'!BB373,'LP Reactivos'!BG373,'LP Reactivos'!BL373,'LP Reactivos'!BQ373,'LP Reactivos'!BV373,'LP Reactivos'!CA373,'LP Reactivos'!CF373,'LP Reactivos'!CK373,'LP Reactivos'!CP373,'LP Reactivos'!CU373,'LP Reactivos'!CZ373,'LP Reactivos'!DE373,'LP Reactivos'!DJ373,'LP Reactivos'!DO373,'LP Reactivos'!DT373,'LP Reactivos'!DY373,'LP Reactivos'!EB373)," ")</f>
        <v>144424.41999999998</v>
      </c>
      <c r="F373" s="345">
        <f>IFERROR(MEDIAN('LP Reactivos'!F373,'LP Reactivos'!I373,'LP Reactivos'!N373,'LP Reactivos'!S373,'LP Reactivos'!X373,'LP Reactivos'!AC373,'LP Reactivos'!AH373,'LP Reactivos'!AM373,'LP Reactivos'!AR373,'LP Reactivos'!AW373,'LP Reactivos'!BB373,'LP Reactivos'!BG373,'LP Reactivos'!BL373,'LP Reactivos'!BQ373,'LP Reactivos'!BV373,'LP Reactivos'!CA373,'LP Reactivos'!CF373,'LP Reactivos'!CK373,'LP Reactivos'!CP373,'LP Reactivos'!CU373,'LP Reactivos'!CZ373,'LP Reactivos'!DE373,'LP Reactivos'!DJ373,'LP Reactivos'!DO373,'LP Reactivos'!DT373,'LP Reactivos'!DY373,'LP Reactivos'!EB373)," ")</f>
        <v>143990</v>
      </c>
      <c r="G373" s="345">
        <f>IFERROR(GEOMEAN('LP Reactivos'!F373,'LP Reactivos'!I373,'LP Reactivos'!N373,'LP Reactivos'!S373,'LP Reactivos'!X373,'LP Reactivos'!AC373,'LP Reactivos'!AH373,'LP Reactivos'!AM373,'LP Reactivos'!AR373,'LP Reactivos'!AW373,'LP Reactivos'!BB373,'LP Reactivos'!BG373,'LP Reactivos'!BL373,'LP Reactivos'!BQ373,'LP Reactivos'!BV373,'LP Reactivos'!CA373,'LP Reactivos'!CF373,'LP Reactivos'!CK373,'LP Reactivos'!CP373,'LP Reactivos'!CU373,'LP Reactivos'!CZ373,'LP Reactivos'!DE373,'LP Reactivos'!DJ373,'LP Reactivos'!DO373,'LP Reactivos'!DT373,'LP Reactivos'!DY373,'LP Reactivos'!EB373)," ")</f>
        <v>130766.70147508255</v>
      </c>
      <c r="H373" s="345">
        <f t="shared" si="24"/>
        <v>35835.230253103306</v>
      </c>
      <c r="I373" s="346">
        <f t="shared" si="25"/>
        <v>0.24812445328223101</v>
      </c>
      <c r="J373" s="345">
        <f t="shared" si="26"/>
        <v>130766.70147508255</v>
      </c>
      <c r="K373" s="344" t="str">
        <f t="shared" si="27"/>
        <v>Media Geométrica</v>
      </c>
      <c r="L373" s="326">
        <f>IFERROR(COUNTA('LP Reactivos'!F373,'LP Reactivos'!I373,'LP Reactivos'!N373,'LP Reactivos'!S373,'LP Reactivos'!X373,'LP Reactivos'!AC373,'LP Reactivos'!AH373,'LP Reactivos'!AM373,'LP Reactivos'!AR373,'LP Reactivos'!AW373,'LP Reactivos'!BB373,'LP Reactivos'!BG373,'LP Reactivos'!BL373,'LP Reactivos'!BQ373,'LP Reactivos'!BV373,'LP Reactivos'!CA373,'LP Reactivos'!CF373,'LP Reactivos'!CK373,'LP Reactivos'!CP373,'LP Reactivos'!CU373,'LP Reactivos'!CZ373,'LP Reactivos'!DE373,'LP Reactivos'!DJ373,'LP Reactivos'!DO373,'LP Reactivos'!DT373,'LP Reactivos'!DY373,'LP Reactivos'!EB373)," ")</f>
        <v>5</v>
      </c>
    </row>
    <row r="374" spans="2:12" x14ac:dyDescent="0.25">
      <c r="B374" s="425">
        <v>372</v>
      </c>
      <c r="C374" s="427" t="s">
        <v>1936</v>
      </c>
      <c r="D374" s="429">
        <f>IFERROR(MIN('LP Reactivos'!F374,'LP Reactivos'!I374,'LP Reactivos'!N374,'LP Reactivos'!S374,'LP Reactivos'!X374,'LP Reactivos'!AC374,'LP Reactivos'!AH374,'LP Reactivos'!AM374,'LP Reactivos'!AR374,'LP Reactivos'!AW374,'LP Reactivos'!BB374,'LP Reactivos'!BG374,'LP Reactivos'!BL374,'LP Reactivos'!BQ374,'LP Reactivos'!BV374,'LP Reactivos'!CA374,'LP Reactivos'!CF374,'LP Reactivos'!CK374,'LP Reactivos'!CP374,'LP Reactivos'!CU374,'LP Reactivos'!CZ374,'LP Reactivos'!DE374,'LP Reactivos'!DJ374,'LP Reactivos'!DO374,'LP Reactivos'!DT374,'LP Reactivos'!DY374,'LP Reactivos'!EB374)," ")</f>
        <v>137149</v>
      </c>
      <c r="E374" s="429">
        <f>IFERROR(AVERAGE('LP Reactivos'!F374,'LP Reactivos'!I374,'LP Reactivos'!N374,'LP Reactivos'!S374,'LP Reactivos'!X374,'LP Reactivos'!AC374,'LP Reactivos'!AH374,'LP Reactivos'!AM374,'LP Reactivos'!AR374,'LP Reactivos'!AW374,'LP Reactivos'!BB374,'LP Reactivos'!BG374,'LP Reactivos'!BL374,'LP Reactivos'!BQ374,'LP Reactivos'!BV374,'LP Reactivos'!CA374,'LP Reactivos'!CF374,'LP Reactivos'!CK374,'LP Reactivos'!CP374,'LP Reactivos'!CU374,'LP Reactivos'!CZ374,'LP Reactivos'!DE374,'LP Reactivos'!DJ374,'LP Reactivos'!DO374,'LP Reactivos'!DT374,'LP Reactivos'!DY374,'LP Reactivos'!EB374)," ")</f>
        <v>195952.6496</v>
      </c>
      <c r="F374" s="345">
        <f>IFERROR(MEDIAN('LP Reactivos'!F374,'LP Reactivos'!I374,'LP Reactivos'!N374,'LP Reactivos'!S374,'LP Reactivos'!X374,'LP Reactivos'!AC374,'LP Reactivos'!AH374,'LP Reactivos'!AM374,'LP Reactivos'!AR374,'LP Reactivos'!AW374,'LP Reactivos'!BB374,'LP Reactivos'!BG374,'LP Reactivos'!BL374,'LP Reactivos'!BQ374,'LP Reactivos'!BV374,'LP Reactivos'!CA374,'LP Reactivos'!CF374,'LP Reactivos'!CK374,'LP Reactivos'!CP374,'LP Reactivos'!CU374,'LP Reactivos'!CZ374,'LP Reactivos'!DE374,'LP Reactivos'!DJ374,'LP Reactivos'!DO374,'LP Reactivos'!DT374,'LP Reactivos'!DY374,'LP Reactivos'!EB374)," ")</f>
        <v>208641.74799999999</v>
      </c>
      <c r="G374" s="345">
        <f>IFERROR(GEOMEAN('LP Reactivos'!F374,'LP Reactivos'!I374,'LP Reactivos'!N374,'LP Reactivos'!S374,'LP Reactivos'!X374,'LP Reactivos'!AC374,'LP Reactivos'!AH374,'LP Reactivos'!AM374,'LP Reactivos'!AR374,'LP Reactivos'!AW374,'LP Reactivos'!BB374,'LP Reactivos'!BG374,'LP Reactivos'!BL374,'LP Reactivos'!BQ374,'LP Reactivos'!BV374,'LP Reactivos'!CA374,'LP Reactivos'!CF374,'LP Reactivos'!CK374,'LP Reactivos'!CP374,'LP Reactivos'!CU374,'LP Reactivos'!CZ374,'LP Reactivos'!DE374,'LP Reactivos'!DJ374,'LP Reactivos'!DO374,'LP Reactivos'!DT374,'LP Reactivos'!DY374,'LP Reactivos'!EB374)," ")</f>
        <v>189907.17379639819</v>
      </c>
      <c r="H374" s="345">
        <f t="shared" si="24"/>
        <v>31492.13181056644</v>
      </c>
      <c r="I374" s="346">
        <f t="shared" si="25"/>
        <v>0.16071296751971267</v>
      </c>
      <c r="J374" s="345">
        <f t="shared" si="26"/>
        <v>195952.6496</v>
      </c>
      <c r="K374" s="344" t="str">
        <f t="shared" si="27"/>
        <v>Promedio</v>
      </c>
      <c r="L374" s="326">
        <f>IFERROR(COUNTA('LP Reactivos'!F374,'LP Reactivos'!I374,'LP Reactivos'!N374,'LP Reactivos'!S374,'LP Reactivos'!X374,'LP Reactivos'!AC374,'LP Reactivos'!AH374,'LP Reactivos'!AM374,'LP Reactivos'!AR374,'LP Reactivos'!AW374,'LP Reactivos'!BB374,'LP Reactivos'!BG374,'LP Reactivos'!BL374,'LP Reactivos'!BQ374,'LP Reactivos'!BV374,'LP Reactivos'!CA374,'LP Reactivos'!CF374,'LP Reactivos'!CK374,'LP Reactivos'!CP374,'LP Reactivos'!CU374,'LP Reactivos'!CZ374,'LP Reactivos'!DE374,'LP Reactivos'!DJ374,'LP Reactivos'!DO374,'LP Reactivos'!DT374,'LP Reactivos'!DY374,'LP Reactivos'!EB374)," ")</f>
        <v>5</v>
      </c>
    </row>
    <row r="375" spans="2:12" x14ac:dyDescent="0.25">
      <c r="B375" s="425">
        <v>373</v>
      </c>
      <c r="C375" s="427" t="s">
        <v>1938</v>
      </c>
      <c r="D375" s="429">
        <f>IFERROR(MIN('LP Reactivos'!F375,'LP Reactivos'!I375,'LP Reactivos'!N375,'LP Reactivos'!S375,'LP Reactivos'!X375,'LP Reactivos'!AC375,'LP Reactivos'!AH375,'LP Reactivos'!AM375,'LP Reactivos'!AR375,'LP Reactivos'!AW375,'LP Reactivos'!BB375,'LP Reactivos'!BG375,'LP Reactivos'!BL375,'LP Reactivos'!BQ375,'LP Reactivos'!BV375,'LP Reactivos'!CA375,'LP Reactivos'!CF375,'LP Reactivos'!CK375,'LP Reactivos'!CP375,'LP Reactivos'!CU375,'LP Reactivos'!CZ375,'LP Reactivos'!DE375,'LP Reactivos'!DJ375,'LP Reactivos'!DO375,'LP Reactivos'!DT375,'LP Reactivos'!DY375,'LP Reactivos'!EB375)," ")</f>
        <v>69020</v>
      </c>
      <c r="E375" s="429">
        <f>IFERROR(AVERAGE('LP Reactivos'!F375,'LP Reactivos'!I375,'LP Reactivos'!N375,'LP Reactivos'!S375,'LP Reactivos'!X375,'LP Reactivos'!AC375,'LP Reactivos'!AH375,'LP Reactivos'!AM375,'LP Reactivos'!AR375,'LP Reactivos'!AW375,'LP Reactivos'!BB375,'LP Reactivos'!BG375,'LP Reactivos'!BL375,'LP Reactivos'!BQ375,'LP Reactivos'!BV375,'LP Reactivos'!CA375,'LP Reactivos'!CF375,'LP Reactivos'!CK375,'LP Reactivos'!CP375,'LP Reactivos'!CU375,'LP Reactivos'!CZ375,'LP Reactivos'!DE375,'LP Reactivos'!DJ375,'LP Reactivos'!DO375,'LP Reactivos'!DT375,'LP Reactivos'!DY375,'LP Reactivos'!EB375)," ")</f>
        <v>130296.95</v>
      </c>
      <c r="F375" s="345">
        <f>IFERROR(MEDIAN('LP Reactivos'!F375,'LP Reactivos'!I375,'LP Reactivos'!N375,'LP Reactivos'!S375,'LP Reactivos'!X375,'LP Reactivos'!AC375,'LP Reactivos'!AH375,'LP Reactivos'!AM375,'LP Reactivos'!AR375,'LP Reactivos'!AW375,'LP Reactivos'!BB375,'LP Reactivos'!BG375,'LP Reactivos'!BL375,'LP Reactivos'!BQ375,'LP Reactivos'!BV375,'LP Reactivos'!CA375,'LP Reactivos'!CF375,'LP Reactivos'!CK375,'LP Reactivos'!CP375,'LP Reactivos'!CU375,'LP Reactivos'!CZ375,'LP Reactivos'!DE375,'LP Reactivos'!DJ375,'LP Reactivos'!DO375,'LP Reactivos'!DT375,'LP Reactivos'!DY375,'LP Reactivos'!EB375)," ")</f>
        <v>126735</v>
      </c>
      <c r="G375" s="345">
        <f>IFERROR(GEOMEAN('LP Reactivos'!F375,'LP Reactivos'!I375,'LP Reactivos'!N375,'LP Reactivos'!S375,'LP Reactivos'!X375,'LP Reactivos'!AC375,'LP Reactivos'!AH375,'LP Reactivos'!AM375,'LP Reactivos'!AR375,'LP Reactivos'!AW375,'LP Reactivos'!BB375,'LP Reactivos'!BG375,'LP Reactivos'!BL375,'LP Reactivos'!BQ375,'LP Reactivos'!BV375,'LP Reactivos'!CA375,'LP Reactivos'!CF375,'LP Reactivos'!CK375,'LP Reactivos'!CP375,'LP Reactivos'!CU375,'LP Reactivos'!CZ375,'LP Reactivos'!DE375,'LP Reactivos'!DJ375,'LP Reactivos'!DO375,'LP Reactivos'!DT375,'LP Reactivos'!DY375,'LP Reactivos'!EB375)," ")</f>
        <v>124769.22768641396</v>
      </c>
      <c r="H375" s="345">
        <f t="shared" si="24"/>
        <v>29213.25280944362</v>
      </c>
      <c r="I375" s="346">
        <f t="shared" si="25"/>
        <v>0.22420519290316174</v>
      </c>
      <c r="J375" s="345">
        <f t="shared" si="26"/>
        <v>124769.22768641396</v>
      </c>
      <c r="K375" s="344" t="str">
        <f t="shared" si="27"/>
        <v>Media Geométrica</v>
      </c>
      <c r="L375" s="326">
        <f>IFERROR(COUNTA('LP Reactivos'!F375,'LP Reactivos'!I375,'LP Reactivos'!N375,'LP Reactivos'!S375,'LP Reactivos'!X375,'LP Reactivos'!AC375,'LP Reactivos'!AH375,'LP Reactivos'!AM375,'LP Reactivos'!AR375,'LP Reactivos'!AW375,'LP Reactivos'!BB375,'LP Reactivos'!BG375,'LP Reactivos'!BL375,'LP Reactivos'!BQ375,'LP Reactivos'!BV375,'LP Reactivos'!CA375,'LP Reactivos'!CF375,'LP Reactivos'!CK375,'LP Reactivos'!CP375,'LP Reactivos'!CU375,'LP Reactivos'!CZ375,'LP Reactivos'!DE375,'LP Reactivos'!DJ375,'LP Reactivos'!DO375,'LP Reactivos'!DT375,'LP Reactivos'!DY375,'LP Reactivos'!EB375)," ")</f>
        <v>6</v>
      </c>
    </row>
    <row r="376" spans="2:12" ht="27" x14ac:dyDescent="0.25">
      <c r="B376" s="425">
        <v>374</v>
      </c>
      <c r="C376" s="427" t="s">
        <v>1942</v>
      </c>
      <c r="D376" s="429">
        <f>IFERROR(MIN('LP Reactivos'!F376,'LP Reactivos'!I376,'LP Reactivos'!N376,'LP Reactivos'!S376,'LP Reactivos'!X376,'LP Reactivos'!AC376,'LP Reactivos'!AH376,'LP Reactivos'!AM376,'LP Reactivos'!AR376,'LP Reactivos'!AW376,'LP Reactivos'!BB376,'LP Reactivos'!BG376,'LP Reactivos'!BL376,'LP Reactivos'!BQ376,'LP Reactivos'!BV376,'LP Reactivos'!CA376,'LP Reactivos'!CF376,'LP Reactivos'!CK376,'LP Reactivos'!CP376,'LP Reactivos'!CU376,'LP Reactivos'!CZ376,'LP Reactivos'!DE376,'LP Reactivos'!DJ376,'LP Reactivos'!DO376,'LP Reactivos'!DT376,'LP Reactivos'!DY376,'LP Reactivos'!EB376)," ")</f>
        <v>59500</v>
      </c>
      <c r="E376" s="429">
        <f>IFERROR(AVERAGE('LP Reactivos'!F376,'LP Reactivos'!I376,'LP Reactivos'!N376,'LP Reactivos'!S376,'LP Reactivos'!X376,'LP Reactivos'!AC376,'LP Reactivos'!AH376,'LP Reactivos'!AM376,'LP Reactivos'!AR376,'LP Reactivos'!AW376,'LP Reactivos'!BB376,'LP Reactivos'!BG376,'LP Reactivos'!BL376,'LP Reactivos'!BQ376,'LP Reactivos'!BV376,'LP Reactivos'!CA376,'LP Reactivos'!CF376,'LP Reactivos'!CK376,'LP Reactivos'!CP376,'LP Reactivos'!CU376,'LP Reactivos'!CZ376,'LP Reactivos'!DE376,'LP Reactivos'!DJ376,'LP Reactivos'!DO376,'LP Reactivos'!DT376,'LP Reactivos'!DY376,'LP Reactivos'!EB376)," ")</f>
        <v>64314.145000000004</v>
      </c>
      <c r="F376" s="345">
        <f>IFERROR(MEDIAN('LP Reactivos'!F376,'LP Reactivos'!I376,'LP Reactivos'!N376,'LP Reactivos'!S376,'LP Reactivos'!X376,'LP Reactivos'!AC376,'LP Reactivos'!AH376,'LP Reactivos'!AM376,'LP Reactivos'!AR376,'LP Reactivos'!AW376,'LP Reactivos'!BB376,'LP Reactivos'!BG376,'LP Reactivos'!BL376,'LP Reactivos'!BQ376,'LP Reactivos'!BV376,'LP Reactivos'!CA376,'LP Reactivos'!CF376,'LP Reactivos'!CK376,'LP Reactivos'!CP376,'LP Reactivos'!CU376,'LP Reactivos'!CZ376,'LP Reactivos'!DE376,'LP Reactivos'!DJ376,'LP Reactivos'!DO376,'LP Reactivos'!DT376,'LP Reactivos'!DY376,'LP Reactivos'!EB376)," ")</f>
        <v>64314.145000000004</v>
      </c>
      <c r="G376" s="345">
        <f>IFERROR(GEOMEAN('LP Reactivos'!F376,'LP Reactivos'!I376,'LP Reactivos'!N376,'LP Reactivos'!S376,'LP Reactivos'!X376,'LP Reactivos'!AC376,'LP Reactivos'!AH376,'LP Reactivos'!AM376,'LP Reactivos'!AR376,'LP Reactivos'!AW376,'LP Reactivos'!BB376,'LP Reactivos'!BG376,'LP Reactivos'!BL376,'LP Reactivos'!BQ376,'LP Reactivos'!BV376,'LP Reactivos'!CA376,'LP Reactivos'!CF376,'LP Reactivos'!CK376,'LP Reactivos'!CP376,'LP Reactivos'!CU376,'LP Reactivos'!CZ376,'LP Reactivos'!DE376,'LP Reactivos'!DJ376,'LP Reactivos'!DO376,'LP Reactivos'!DT376,'LP Reactivos'!DY376,'LP Reactivos'!EB376)," ")</f>
        <v>64133.713871878652</v>
      </c>
      <c r="H376" s="345">
        <f t="shared" si="24"/>
        <v>2378.5219358613067</v>
      </c>
      <c r="I376" s="346">
        <f t="shared" si="25"/>
        <v>3.6982874231808675E-2</v>
      </c>
      <c r="J376" s="345">
        <f t="shared" si="26"/>
        <v>64314.145000000004</v>
      </c>
      <c r="K376" s="344" t="str">
        <f t="shared" si="27"/>
        <v>Promedio</v>
      </c>
      <c r="L376" s="326">
        <f>IFERROR(COUNTA('LP Reactivos'!F376,'LP Reactivos'!I376,'LP Reactivos'!N376,'LP Reactivos'!S376,'LP Reactivos'!X376,'LP Reactivos'!AC376,'LP Reactivos'!AH376,'LP Reactivos'!AM376,'LP Reactivos'!AR376,'LP Reactivos'!AW376,'LP Reactivos'!BB376,'LP Reactivos'!BG376,'LP Reactivos'!BL376,'LP Reactivos'!BQ376,'LP Reactivos'!BV376,'LP Reactivos'!CA376,'LP Reactivos'!CF376,'LP Reactivos'!CK376,'LP Reactivos'!CP376,'LP Reactivos'!CU376,'LP Reactivos'!CZ376,'LP Reactivos'!DE376,'LP Reactivos'!DJ376,'LP Reactivos'!DO376,'LP Reactivos'!DT376,'LP Reactivos'!DY376,'LP Reactivos'!EB376)," ")</f>
        <v>2</v>
      </c>
    </row>
    <row r="377" spans="2:12" x14ac:dyDescent="0.25">
      <c r="B377" s="425">
        <v>375</v>
      </c>
      <c r="C377" s="428" t="s">
        <v>1945</v>
      </c>
      <c r="D377" s="429">
        <f>IFERROR(MIN('LP Reactivos'!F377,'LP Reactivos'!I377,'LP Reactivos'!N377,'LP Reactivos'!S377,'LP Reactivos'!X377,'LP Reactivos'!AC377,'LP Reactivos'!AH377,'LP Reactivos'!AM377,'LP Reactivos'!AR377,'LP Reactivos'!AW377,'LP Reactivos'!BB377,'LP Reactivos'!BG377,'LP Reactivos'!BL377,'LP Reactivos'!BQ377,'LP Reactivos'!BV377,'LP Reactivos'!CA377,'LP Reactivos'!CF377,'LP Reactivos'!CK377,'LP Reactivos'!CP377,'LP Reactivos'!CU377,'LP Reactivos'!CZ377,'LP Reactivos'!DE377,'LP Reactivos'!DJ377,'LP Reactivos'!DO377,'LP Reactivos'!DT377,'LP Reactivos'!DY377,'LP Reactivos'!EB377)," ")</f>
        <v>326262.3</v>
      </c>
      <c r="E377" s="429">
        <f>IFERROR(AVERAGE('LP Reactivos'!F377,'LP Reactivos'!I377,'LP Reactivos'!N377,'LP Reactivos'!S377,'LP Reactivos'!X377,'LP Reactivos'!AC377,'LP Reactivos'!AH377,'LP Reactivos'!AM377,'LP Reactivos'!AR377,'LP Reactivos'!AW377,'LP Reactivos'!BB377,'LP Reactivos'!BG377,'LP Reactivos'!BL377,'LP Reactivos'!BQ377,'LP Reactivos'!BV377,'LP Reactivos'!CA377,'LP Reactivos'!CF377,'LP Reactivos'!CK377,'LP Reactivos'!CP377,'LP Reactivos'!CU377,'LP Reactivos'!CZ377,'LP Reactivos'!DE377,'LP Reactivos'!DJ377,'LP Reactivos'!DO377,'LP Reactivos'!DT377,'LP Reactivos'!DY377,'LP Reactivos'!EB377)," ")</f>
        <v>326262.3</v>
      </c>
      <c r="F377" s="345">
        <f>IFERROR(MEDIAN('LP Reactivos'!F377,'LP Reactivos'!I377,'LP Reactivos'!N377,'LP Reactivos'!S377,'LP Reactivos'!X377,'LP Reactivos'!AC377,'LP Reactivos'!AH377,'LP Reactivos'!AM377,'LP Reactivos'!AR377,'LP Reactivos'!AW377,'LP Reactivos'!BB377,'LP Reactivos'!BG377,'LP Reactivos'!BL377,'LP Reactivos'!BQ377,'LP Reactivos'!BV377,'LP Reactivos'!CA377,'LP Reactivos'!CF377,'LP Reactivos'!CK377,'LP Reactivos'!CP377,'LP Reactivos'!CU377,'LP Reactivos'!CZ377,'LP Reactivos'!DE377,'LP Reactivos'!DJ377,'LP Reactivos'!DO377,'LP Reactivos'!DT377,'LP Reactivos'!DY377,'LP Reactivos'!EB377)," ")</f>
        <v>326262.3</v>
      </c>
      <c r="G377" s="345">
        <f>IFERROR(GEOMEAN('LP Reactivos'!F377,'LP Reactivos'!I377,'LP Reactivos'!N377,'LP Reactivos'!S377,'LP Reactivos'!X377,'LP Reactivos'!AC377,'LP Reactivos'!AH377,'LP Reactivos'!AM377,'LP Reactivos'!AR377,'LP Reactivos'!AW377,'LP Reactivos'!BB377,'LP Reactivos'!BG377,'LP Reactivos'!BL377,'LP Reactivos'!BQ377,'LP Reactivos'!BV377,'LP Reactivos'!CA377,'LP Reactivos'!CF377,'LP Reactivos'!CK377,'LP Reactivos'!CP377,'LP Reactivos'!CU377,'LP Reactivos'!CZ377,'LP Reactivos'!DE377,'LP Reactivos'!DJ377,'LP Reactivos'!DO377,'LP Reactivos'!DT377,'LP Reactivos'!DY377,'LP Reactivos'!EB377)," ")</f>
        <v>326262.3</v>
      </c>
      <c r="H377" s="345">
        <f t="shared" si="24"/>
        <v>0</v>
      </c>
      <c r="I377" s="346">
        <f t="shared" si="25"/>
        <v>0</v>
      </c>
      <c r="J377" s="345">
        <f t="shared" si="26"/>
        <v>326262.3</v>
      </c>
      <c r="K377" s="344" t="str">
        <f t="shared" si="27"/>
        <v>Menor Valor</v>
      </c>
      <c r="L377" s="326">
        <f>IFERROR(COUNTA('LP Reactivos'!F377,'LP Reactivos'!I377,'LP Reactivos'!N377,'LP Reactivos'!S377,'LP Reactivos'!X377,'LP Reactivos'!AC377,'LP Reactivos'!AH377,'LP Reactivos'!AM377,'LP Reactivos'!AR377,'LP Reactivos'!AW377,'LP Reactivos'!BB377,'LP Reactivos'!BG377,'LP Reactivos'!BL377,'LP Reactivos'!BQ377,'LP Reactivos'!BV377,'LP Reactivos'!CA377,'LP Reactivos'!CF377,'LP Reactivos'!CK377,'LP Reactivos'!CP377,'LP Reactivos'!CU377,'LP Reactivos'!CZ377,'LP Reactivos'!DE377,'LP Reactivos'!DJ377,'LP Reactivos'!DO377,'LP Reactivos'!DT377,'LP Reactivos'!DY377,'LP Reactivos'!EB377)," ")</f>
        <v>1</v>
      </c>
    </row>
    <row r="378" spans="2:12" x14ac:dyDescent="0.25">
      <c r="B378" s="425">
        <v>376</v>
      </c>
      <c r="C378" s="427" t="s">
        <v>1946</v>
      </c>
      <c r="D378" s="429">
        <f>IFERROR(MIN('LP Reactivos'!F378,'LP Reactivos'!I378,'LP Reactivos'!N378,'LP Reactivos'!S378,'LP Reactivos'!X378,'LP Reactivos'!AC378,'LP Reactivos'!AH378,'LP Reactivos'!AM378,'LP Reactivos'!AR378,'LP Reactivos'!AW378,'LP Reactivos'!BB378,'LP Reactivos'!BG378,'LP Reactivos'!BL378,'LP Reactivos'!BQ378,'LP Reactivos'!BV378,'LP Reactivos'!CA378,'LP Reactivos'!CF378,'LP Reactivos'!CK378,'LP Reactivos'!CP378,'LP Reactivos'!CU378,'LP Reactivos'!CZ378,'LP Reactivos'!DE378,'LP Reactivos'!DJ378,'LP Reactivos'!DO378,'LP Reactivos'!DT378,'LP Reactivos'!DY378,'LP Reactivos'!EB378)," ")</f>
        <v>546210</v>
      </c>
      <c r="E378" s="429">
        <f>IFERROR(AVERAGE('LP Reactivos'!F378,'LP Reactivos'!I378,'LP Reactivos'!N378,'LP Reactivos'!S378,'LP Reactivos'!X378,'LP Reactivos'!AC378,'LP Reactivos'!AH378,'LP Reactivos'!AM378,'LP Reactivos'!AR378,'LP Reactivos'!AW378,'LP Reactivos'!BB378,'LP Reactivos'!BG378,'LP Reactivos'!BL378,'LP Reactivos'!BQ378,'LP Reactivos'!BV378,'LP Reactivos'!CA378,'LP Reactivos'!CF378,'LP Reactivos'!CK378,'LP Reactivos'!CP378,'LP Reactivos'!CU378,'LP Reactivos'!CZ378,'LP Reactivos'!DE378,'LP Reactivos'!DJ378,'LP Reactivos'!DO378,'LP Reactivos'!DT378,'LP Reactivos'!DY378,'LP Reactivos'!EB378)," ")</f>
        <v>546210</v>
      </c>
      <c r="F378" s="345">
        <f>IFERROR(MEDIAN('LP Reactivos'!F378,'LP Reactivos'!I378,'LP Reactivos'!N378,'LP Reactivos'!S378,'LP Reactivos'!X378,'LP Reactivos'!AC378,'LP Reactivos'!AH378,'LP Reactivos'!AM378,'LP Reactivos'!AR378,'LP Reactivos'!AW378,'LP Reactivos'!BB378,'LP Reactivos'!BG378,'LP Reactivos'!BL378,'LP Reactivos'!BQ378,'LP Reactivos'!BV378,'LP Reactivos'!CA378,'LP Reactivos'!CF378,'LP Reactivos'!CK378,'LP Reactivos'!CP378,'LP Reactivos'!CU378,'LP Reactivos'!CZ378,'LP Reactivos'!DE378,'LP Reactivos'!DJ378,'LP Reactivos'!DO378,'LP Reactivos'!DT378,'LP Reactivos'!DY378,'LP Reactivos'!EB378)," ")</f>
        <v>546210</v>
      </c>
      <c r="G378" s="345">
        <f>IFERROR(GEOMEAN('LP Reactivos'!F378,'LP Reactivos'!I378,'LP Reactivos'!N378,'LP Reactivos'!S378,'LP Reactivos'!X378,'LP Reactivos'!AC378,'LP Reactivos'!AH378,'LP Reactivos'!AM378,'LP Reactivos'!AR378,'LP Reactivos'!AW378,'LP Reactivos'!BB378,'LP Reactivos'!BG378,'LP Reactivos'!BL378,'LP Reactivos'!BQ378,'LP Reactivos'!BV378,'LP Reactivos'!CA378,'LP Reactivos'!CF378,'LP Reactivos'!CK378,'LP Reactivos'!CP378,'LP Reactivos'!CU378,'LP Reactivos'!CZ378,'LP Reactivos'!DE378,'LP Reactivos'!DJ378,'LP Reactivos'!DO378,'LP Reactivos'!DT378,'LP Reactivos'!DY378,'LP Reactivos'!EB378)," ")</f>
        <v>546210</v>
      </c>
      <c r="H378" s="345">
        <f t="shared" si="24"/>
        <v>0</v>
      </c>
      <c r="I378" s="346">
        <f t="shared" si="25"/>
        <v>0</v>
      </c>
      <c r="J378" s="345">
        <f t="shared" si="26"/>
        <v>546210</v>
      </c>
      <c r="K378" s="344" t="str">
        <f t="shared" si="27"/>
        <v>Menor Valor</v>
      </c>
      <c r="L378" s="326">
        <f>IFERROR(COUNTA('LP Reactivos'!F378,'LP Reactivos'!I378,'LP Reactivos'!N378,'LP Reactivos'!S378,'LP Reactivos'!X378,'LP Reactivos'!AC378,'LP Reactivos'!AH378,'LP Reactivos'!AM378,'LP Reactivos'!AR378,'LP Reactivos'!AW378,'LP Reactivos'!BB378,'LP Reactivos'!BG378,'LP Reactivos'!BL378,'LP Reactivos'!BQ378,'LP Reactivos'!BV378,'LP Reactivos'!CA378,'LP Reactivos'!CF378,'LP Reactivos'!CK378,'LP Reactivos'!CP378,'LP Reactivos'!CU378,'LP Reactivos'!CZ378,'LP Reactivos'!DE378,'LP Reactivos'!DJ378,'LP Reactivos'!DO378,'LP Reactivos'!DT378,'LP Reactivos'!DY378,'LP Reactivos'!EB378)," ")</f>
        <v>1</v>
      </c>
    </row>
    <row r="379" spans="2:12" x14ac:dyDescent="0.25">
      <c r="B379" s="425">
        <v>377</v>
      </c>
      <c r="C379" s="427" t="s">
        <v>1948</v>
      </c>
      <c r="D379" s="429">
        <f>IFERROR(MIN('LP Reactivos'!F379,'LP Reactivos'!I379,'LP Reactivos'!N379,'LP Reactivos'!S379,'LP Reactivos'!X379,'LP Reactivos'!AC379,'LP Reactivos'!AH379,'LP Reactivos'!AM379,'LP Reactivos'!AR379,'LP Reactivos'!AW379,'LP Reactivos'!BB379,'LP Reactivos'!BG379,'LP Reactivos'!BL379,'LP Reactivos'!BQ379,'LP Reactivos'!BV379,'LP Reactivos'!CA379,'LP Reactivos'!CF379,'LP Reactivos'!CK379,'LP Reactivos'!CP379,'LP Reactivos'!CU379,'LP Reactivos'!CZ379,'LP Reactivos'!DE379,'LP Reactivos'!DJ379,'LP Reactivos'!DO379,'LP Reactivos'!DT379,'LP Reactivos'!DY379,'LP Reactivos'!EB379)," ")</f>
        <v>12385000</v>
      </c>
      <c r="E379" s="429">
        <f>IFERROR(AVERAGE('LP Reactivos'!F379,'LP Reactivos'!I379,'LP Reactivos'!N379,'LP Reactivos'!S379,'LP Reactivos'!X379,'LP Reactivos'!AC379,'LP Reactivos'!AH379,'LP Reactivos'!AM379,'LP Reactivos'!AR379,'LP Reactivos'!AW379,'LP Reactivos'!BB379,'LP Reactivos'!BG379,'LP Reactivos'!BL379,'LP Reactivos'!BQ379,'LP Reactivos'!BV379,'LP Reactivos'!CA379,'LP Reactivos'!CF379,'LP Reactivos'!CK379,'LP Reactivos'!CP379,'LP Reactivos'!CU379,'LP Reactivos'!CZ379,'LP Reactivos'!DE379,'LP Reactivos'!DJ379,'LP Reactivos'!DO379,'LP Reactivos'!DT379,'LP Reactivos'!DY379,'LP Reactivos'!EB379)," ")</f>
        <v>15437485.666666666</v>
      </c>
      <c r="F379" s="345">
        <f>IFERROR(MEDIAN('LP Reactivos'!F379,'LP Reactivos'!I379,'LP Reactivos'!N379,'LP Reactivos'!S379,'LP Reactivos'!X379,'LP Reactivos'!AC379,'LP Reactivos'!AH379,'LP Reactivos'!AM379,'LP Reactivos'!AR379,'LP Reactivos'!AW379,'LP Reactivos'!BB379,'LP Reactivos'!BG379,'LP Reactivos'!BL379,'LP Reactivos'!BQ379,'LP Reactivos'!BV379,'LP Reactivos'!CA379,'LP Reactivos'!CF379,'LP Reactivos'!CK379,'LP Reactivos'!CP379,'LP Reactivos'!CU379,'LP Reactivos'!CZ379,'LP Reactivos'!DE379,'LP Reactivos'!DJ379,'LP Reactivos'!DO379,'LP Reactivos'!DT379,'LP Reactivos'!DY379,'LP Reactivos'!EB379)," ")</f>
        <v>13081037</v>
      </c>
      <c r="G379" s="345">
        <f>IFERROR(GEOMEAN('LP Reactivos'!F379,'LP Reactivos'!I379,'LP Reactivos'!N379,'LP Reactivos'!S379,'LP Reactivos'!X379,'LP Reactivos'!AC379,'LP Reactivos'!AH379,'LP Reactivos'!AM379,'LP Reactivos'!AR379,'LP Reactivos'!AW379,'LP Reactivos'!BB379,'LP Reactivos'!BG379,'LP Reactivos'!BL379,'LP Reactivos'!BQ379,'LP Reactivos'!BV379,'LP Reactivos'!CA379,'LP Reactivos'!CF379,'LP Reactivos'!CK379,'LP Reactivos'!CP379,'LP Reactivos'!CU379,'LP Reactivos'!CZ379,'LP Reactivos'!DE379,'LP Reactivos'!DJ379,'LP Reactivos'!DO379,'LP Reactivos'!DT379,'LP Reactivos'!DY379,'LP Reactivos'!EB379)," ")</f>
        <v>15003406.960509319</v>
      </c>
      <c r="H379" s="345">
        <f t="shared" si="24"/>
        <v>1474646.0639834064</v>
      </c>
      <c r="I379" s="346">
        <f t="shared" si="25"/>
        <v>9.5523720366427964E-2</v>
      </c>
      <c r="J379" s="345">
        <f t="shared" si="26"/>
        <v>13081037</v>
      </c>
      <c r="K379" s="344" t="str">
        <f t="shared" si="27"/>
        <v>Mediana</v>
      </c>
      <c r="L379" s="326">
        <f>IFERROR(COUNTA('LP Reactivos'!F379,'LP Reactivos'!I379,'LP Reactivos'!N379,'LP Reactivos'!S379,'LP Reactivos'!X379,'LP Reactivos'!AC379,'LP Reactivos'!AH379,'LP Reactivos'!AM379,'LP Reactivos'!AR379,'LP Reactivos'!AW379,'LP Reactivos'!BB379,'LP Reactivos'!BG379,'LP Reactivos'!BL379,'LP Reactivos'!BQ379,'LP Reactivos'!BV379,'LP Reactivos'!CA379,'LP Reactivos'!CF379,'LP Reactivos'!CK379,'LP Reactivos'!CP379,'LP Reactivos'!CU379,'LP Reactivos'!CZ379,'LP Reactivos'!DE379,'LP Reactivos'!DJ379,'LP Reactivos'!DO379,'LP Reactivos'!DT379,'LP Reactivos'!DY379,'LP Reactivos'!EB379)," ")</f>
        <v>3</v>
      </c>
    </row>
    <row r="380" spans="2:12" x14ac:dyDescent="0.25">
      <c r="B380" s="425">
        <v>378</v>
      </c>
      <c r="C380" s="427" t="s">
        <v>1953</v>
      </c>
      <c r="D380" s="429">
        <f>IFERROR(MIN('LP Reactivos'!F380,'LP Reactivos'!I380,'LP Reactivos'!N380,'LP Reactivos'!S380,'LP Reactivos'!X380,'LP Reactivos'!AC380,'LP Reactivos'!AH380,'LP Reactivos'!AM380,'LP Reactivos'!AR380,'LP Reactivos'!AW380,'LP Reactivos'!BB380,'LP Reactivos'!BG380,'LP Reactivos'!BL380,'LP Reactivos'!BQ380,'LP Reactivos'!BV380,'LP Reactivos'!CA380,'LP Reactivos'!CF380,'LP Reactivos'!CK380,'LP Reactivos'!CP380,'LP Reactivos'!CU380,'LP Reactivos'!CZ380,'LP Reactivos'!DE380,'LP Reactivos'!DJ380,'LP Reactivos'!DO380,'LP Reactivos'!DT380,'LP Reactivos'!DY380,'LP Reactivos'!EB380)," ")</f>
        <v>12400000</v>
      </c>
      <c r="E380" s="429">
        <f>IFERROR(AVERAGE('LP Reactivos'!F380,'LP Reactivos'!I380,'LP Reactivos'!N380,'LP Reactivos'!S380,'LP Reactivos'!X380,'LP Reactivos'!AC380,'LP Reactivos'!AH380,'LP Reactivos'!AM380,'LP Reactivos'!AR380,'LP Reactivos'!AW380,'LP Reactivos'!BB380,'LP Reactivos'!BG380,'LP Reactivos'!BL380,'LP Reactivos'!BQ380,'LP Reactivos'!BV380,'LP Reactivos'!CA380,'LP Reactivos'!CF380,'LP Reactivos'!CK380,'LP Reactivos'!CP380,'LP Reactivos'!CU380,'LP Reactivos'!CZ380,'LP Reactivos'!DE380,'LP Reactivos'!DJ380,'LP Reactivos'!DO380,'LP Reactivos'!DT380,'LP Reactivos'!DY380,'LP Reactivos'!EB380)," ")</f>
        <v>16767200</v>
      </c>
      <c r="F380" s="345">
        <f>IFERROR(MEDIAN('LP Reactivos'!F380,'LP Reactivos'!I380,'LP Reactivos'!N380,'LP Reactivos'!S380,'LP Reactivos'!X380,'LP Reactivos'!AC380,'LP Reactivos'!AH380,'LP Reactivos'!AM380,'LP Reactivos'!AR380,'LP Reactivos'!AW380,'LP Reactivos'!BB380,'LP Reactivos'!BG380,'LP Reactivos'!BL380,'LP Reactivos'!BQ380,'LP Reactivos'!BV380,'LP Reactivos'!CA380,'LP Reactivos'!CF380,'LP Reactivos'!CK380,'LP Reactivos'!CP380,'LP Reactivos'!CU380,'LP Reactivos'!CZ380,'LP Reactivos'!DE380,'LP Reactivos'!DJ380,'LP Reactivos'!DO380,'LP Reactivos'!DT380,'LP Reactivos'!DY380,'LP Reactivos'!EB380)," ")</f>
        <v>16767200</v>
      </c>
      <c r="G380" s="345">
        <f>IFERROR(GEOMEAN('LP Reactivos'!F380,'LP Reactivos'!I380,'LP Reactivos'!N380,'LP Reactivos'!S380,'LP Reactivos'!X380,'LP Reactivos'!AC380,'LP Reactivos'!AH380,'LP Reactivos'!AM380,'LP Reactivos'!AR380,'LP Reactivos'!AW380,'LP Reactivos'!BB380,'LP Reactivos'!BG380,'LP Reactivos'!BL380,'LP Reactivos'!BQ380,'LP Reactivos'!BV380,'LP Reactivos'!CA380,'LP Reactivos'!CF380,'LP Reactivos'!CK380,'LP Reactivos'!CP380,'LP Reactivos'!CU380,'LP Reactivos'!CZ380,'LP Reactivos'!DE380,'LP Reactivos'!DJ380,'LP Reactivos'!DO380,'LP Reactivos'!DT380,'LP Reactivos'!DY380,'LP Reactivos'!EB380)," ")</f>
        <v>16188469.970939193</v>
      </c>
      <c r="H380" s="345">
        <f t="shared" si="24"/>
        <v>2104899.7065137886</v>
      </c>
      <c r="I380" s="346">
        <f t="shared" si="25"/>
        <v>0.12553674474651633</v>
      </c>
      <c r="J380" s="345">
        <f t="shared" si="26"/>
        <v>16767200</v>
      </c>
      <c r="K380" s="344" t="str">
        <f t="shared" si="27"/>
        <v>Promedio</v>
      </c>
      <c r="L380" s="326">
        <f>IFERROR(COUNTA('LP Reactivos'!F380,'LP Reactivos'!I380,'LP Reactivos'!N380,'LP Reactivos'!S380,'LP Reactivos'!X380,'LP Reactivos'!AC380,'LP Reactivos'!AH380,'LP Reactivos'!AM380,'LP Reactivos'!AR380,'LP Reactivos'!AW380,'LP Reactivos'!BB380,'LP Reactivos'!BG380,'LP Reactivos'!BL380,'LP Reactivos'!BQ380,'LP Reactivos'!BV380,'LP Reactivos'!CA380,'LP Reactivos'!CF380,'LP Reactivos'!CK380,'LP Reactivos'!CP380,'LP Reactivos'!CU380,'LP Reactivos'!CZ380,'LP Reactivos'!DE380,'LP Reactivos'!DJ380,'LP Reactivos'!DO380,'LP Reactivos'!DT380,'LP Reactivos'!DY380,'LP Reactivos'!EB380)," ")</f>
        <v>2</v>
      </c>
    </row>
    <row r="381" spans="2:12" ht="27" x14ac:dyDescent="0.25">
      <c r="B381" s="425">
        <v>379</v>
      </c>
      <c r="C381" s="427" t="s">
        <v>1956</v>
      </c>
      <c r="D381" s="429">
        <f>IFERROR(MIN('LP Reactivos'!F381,'LP Reactivos'!I381,'LP Reactivos'!N381,'LP Reactivos'!S381,'LP Reactivos'!X381,'LP Reactivos'!AC381,'LP Reactivos'!AH381,'LP Reactivos'!AM381,'LP Reactivos'!AR381,'LP Reactivos'!AW381,'LP Reactivos'!BB381,'LP Reactivos'!BG381,'LP Reactivos'!BL381,'LP Reactivos'!BQ381,'LP Reactivos'!BV381,'LP Reactivos'!CA381,'LP Reactivos'!CF381,'LP Reactivos'!CK381,'LP Reactivos'!CP381,'LP Reactivos'!CU381,'LP Reactivos'!CZ381,'LP Reactivos'!DE381,'LP Reactivos'!DJ381,'LP Reactivos'!DO381,'LP Reactivos'!DT381,'LP Reactivos'!DY381,'LP Reactivos'!EB381)," ")</f>
        <v>11571000</v>
      </c>
      <c r="E381" s="429">
        <f>IFERROR(AVERAGE('LP Reactivos'!F381,'LP Reactivos'!I381,'LP Reactivos'!N381,'LP Reactivos'!S381,'LP Reactivos'!X381,'LP Reactivos'!AC381,'LP Reactivos'!AH381,'LP Reactivos'!AM381,'LP Reactivos'!AR381,'LP Reactivos'!AW381,'LP Reactivos'!BB381,'LP Reactivos'!BG381,'LP Reactivos'!BL381,'LP Reactivos'!BQ381,'LP Reactivos'!BV381,'LP Reactivos'!CA381,'LP Reactivos'!CF381,'LP Reactivos'!CK381,'LP Reactivos'!CP381,'LP Reactivos'!CU381,'LP Reactivos'!CZ381,'LP Reactivos'!DE381,'LP Reactivos'!DJ381,'LP Reactivos'!DO381,'LP Reactivos'!DT381,'LP Reactivos'!DY381,'LP Reactivos'!EB381)," ")</f>
        <v>14141373.4</v>
      </c>
      <c r="F381" s="345">
        <f>IFERROR(MEDIAN('LP Reactivos'!F381,'LP Reactivos'!I381,'LP Reactivos'!N381,'LP Reactivos'!S381,'LP Reactivos'!X381,'LP Reactivos'!AC381,'LP Reactivos'!AH381,'LP Reactivos'!AM381,'LP Reactivos'!AR381,'LP Reactivos'!AW381,'LP Reactivos'!BB381,'LP Reactivos'!BG381,'LP Reactivos'!BL381,'LP Reactivos'!BQ381,'LP Reactivos'!BV381,'LP Reactivos'!CA381,'LP Reactivos'!CF381,'LP Reactivos'!CK381,'LP Reactivos'!CP381,'LP Reactivos'!CU381,'LP Reactivos'!CZ381,'LP Reactivos'!DE381,'LP Reactivos'!DJ381,'LP Reactivos'!DO381,'LP Reactivos'!DT381,'LP Reactivos'!DY381,'LP Reactivos'!EB381)," ")</f>
        <v>12221290.200000001</v>
      </c>
      <c r="G381" s="345">
        <f>IFERROR(GEOMEAN('LP Reactivos'!F381,'LP Reactivos'!I381,'LP Reactivos'!N381,'LP Reactivos'!S381,'LP Reactivos'!X381,'LP Reactivos'!AC381,'LP Reactivos'!AH381,'LP Reactivos'!AM381,'LP Reactivos'!AR381,'LP Reactivos'!AW381,'LP Reactivos'!BB381,'LP Reactivos'!BG381,'LP Reactivos'!BL381,'LP Reactivos'!BQ381,'LP Reactivos'!BV381,'LP Reactivos'!CA381,'LP Reactivos'!CF381,'LP Reactivos'!CK381,'LP Reactivos'!CP381,'LP Reactivos'!CU381,'LP Reactivos'!CZ381,'LP Reactivos'!DE381,'LP Reactivos'!DJ381,'LP Reactivos'!DO381,'LP Reactivos'!DT381,'LP Reactivos'!DY381,'LP Reactivos'!EB381)," ")</f>
        <v>13811721.769034136</v>
      </c>
      <c r="H381" s="345">
        <f t="shared" si="24"/>
        <v>1237450.1025081153</v>
      </c>
      <c r="I381" s="346">
        <f t="shared" si="25"/>
        <v>8.7505652209715026E-2</v>
      </c>
      <c r="J381" s="345">
        <f t="shared" si="26"/>
        <v>12221290.200000001</v>
      </c>
      <c r="K381" s="344" t="str">
        <f t="shared" si="27"/>
        <v>Mediana</v>
      </c>
      <c r="L381" s="326">
        <f>IFERROR(COUNTA('LP Reactivos'!F381,'LP Reactivos'!I381,'LP Reactivos'!N381,'LP Reactivos'!S381,'LP Reactivos'!X381,'LP Reactivos'!AC381,'LP Reactivos'!AH381,'LP Reactivos'!AM381,'LP Reactivos'!AR381,'LP Reactivos'!AW381,'LP Reactivos'!BB381,'LP Reactivos'!BG381,'LP Reactivos'!BL381,'LP Reactivos'!BQ381,'LP Reactivos'!BV381,'LP Reactivos'!CA381,'LP Reactivos'!CF381,'LP Reactivos'!CK381,'LP Reactivos'!CP381,'LP Reactivos'!CU381,'LP Reactivos'!CZ381,'LP Reactivos'!DE381,'LP Reactivos'!DJ381,'LP Reactivos'!DO381,'LP Reactivos'!DT381,'LP Reactivos'!DY381,'LP Reactivos'!EB381)," ")</f>
        <v>3</v>
      </c>
    </row>
    <row r="382" spans="2:12" x14ac:dyDescent="0.25">
      <c r="B382" s="425">
        <v>380</v>
      </c>
      <c r="C382" s="427" t="s">
        <v>1959</v>
      </c>
      <c r="D382" s="429">
        <f>IFERROR(MIN('LP Reactivos'!F382,'LP Reactivos'!I382,'LP Reactivos'!N382,'LP Reactivos'!S382,'LP Reactivos'!X382,'LP Reactivos'!AC382,'LP Reactivos'!AH382,'LP Reactivos'!AM382,'LP Reactivos'!AR382,'LP Reactivos'!AW382,'LP Reactivos'!BB382,'LP Reactivos'!BG382,'LP Reactivos'!BL382,'LP Reactivos'!BQ382,'LP Reactivos'!BV382,'LP Reactivos'!CA382,'LP Reactivos'!CF382,'LP Reactivos'!CK382,'LP Reactivos'!CP382,'LP Reactivos'!CU382,'LP Reactivos'!CZ382,'LP Reactivos'!DE382,'LP Reactivos'!DJ382,'LP Reactivos'!DO382,'LP Reactivos'!DT382,'LP Reactivos'!DY382,'LP Reactivos'!EB382)," ")</f>
        <v>11571000</v>
      </c>
      <c r="E382" s="429">
        <f>IFERROR(AVERAGE('LP Reactivos'!F382,'LP Reactivos'!I382,'LP Reactivos'!N382,'LP Reactivos'!S382,'LP Reactivos'!X382,'LP Reactivos'!AC382,'LP Reactivos'!AH382,'LP Reactivos'!AM382,'LP Reactivos'!AR382,'LP Reactivos'!AW382,'LP Reactivos'!BB382,'LP Reactivos'!BG382,'LP Reactivos'!BL382,'LP Reactivos'!BQ382,'LP Reactivos'!BV382,'LP Reactivos'!CA382,'LP Reactivos'!CF382,'LP Reactivos'!CK382,'LP Reactivos'!CP382,'LP Reactivos'!CU382,'LP Reactivos'!CZ382,'LP Reactivos'!DE382,'LP Reactivos'!DJ382,'LP Reactivos'!DO382,'LP Reactivos'!DT382,'LP Reactivos'!DY382,'LP Reactivos'!EB382)," ")</f>
        <v>15101415</v>
      </c>
      <c r="F382" s="345">
        <f>IFERROR(MEDIAN('LP Reactivos'!F382,'LP Reactivos'!I382,'LP Reactivos'!N382,'LP Reactivos'!S382,'LP Reactivos'!X382,'LP Reactivos'!AC382,'LP Reactivos'!AH382,'LP Reactivos'!AM382,'LP Reactivos'!AR382,'LP Reactivos'!AW382,'LP Reactivos'!BB382,'LP Reactivos'!BG382,'LP Reactivos'!BL382,'LP Reactivos'!BQ382,'LP Reactivos'!BV382,'LP Reactivos'!CA382,'LP Reactivos'!CF382,'LP Reactivos'!CK382,'LP Reactivos'!CP382,'LP Reactivos'!CU382,'LP Reactivos'!CZ382,'LP Reactivos'!DE382,'LP Reactivos'!DJ382,'LP Reactivos'!DO382,'LP Reactivos'!DT382,'LP Reactivos'!DY382,'LP Reactivos'!EB382)," ")</f>
        <v>15101415</v>
      </c>
      <c r="G382" s="345">
        <f>IFERROR(GEOMEAN('LP Reactivos'!F382,'LP Reactivos'!I382,'LP Reactivos'!N382,'LP Reactivos'!S382,'LP Reactivos'!X382,'LP Reactivos'!AC382,'LP Reactivos'!AH382,'LP Reactivos'!AM382,'LP Reactivos'!AR382,'LP Reactivos'!AW382,'LP Reactivos'!BB382,'LP Reactivos'!BG382,'LP Reactivos'!BL382,'LP Reactivos'!BQ382,'LP Reactivos'!BV382,'LP Reactivos'!CA382,'LP Reactivos'!CF382,'LP Reactivos'!CK382,'LP Reactivos'!CP382,'LP Reactivos'!CU382,'LP Reactivos'!CZ382,'LP Reactivos'!DE382,'LP Reactivos'!DJ382,'LP Reactivos'!DO382,'LP Reactivos'!DT382,'LP Reactivos'!DY382,'LP Reactivos'!EB382)," ")</f>
        <v>14682946.057586672</v>
      </c>
      <c r="H382" s="345">
        <f t="shared" si="24"/>
        <v>1706900.2343748861</v>
      </c>
      <c r="I382" s="346">
        <f t="shared" si="25"/>
        <v>0.11302915881557365</v>
      </c>
      <c r="J382" s="345">
        <f t="shared" si="26"/>
        <v>15101415</v>
      </c>
      <c r="K382" s="344" t="str">
        <f t="shared" si="27"/>
        <v>Promedio</v>
      </c>
      <c r="L382" s="326">
        <f>IFERROR(COUNTA('LP Reactivos'!F382,'LP Reactivos'!I382,'LP Reactivos'!N382,'LP Reactivos'!S382,'LP Reactivos'!X382,'LP Reactivos'!AC382,'LP Reactivos'!AH382,'LP Reactivos'!AM382,'LP Reactivos'!AR382,'LP Reactivos'!AW382,'LP Reactivos'!BB382,'LP Reactivos'!BG382,'LP Reactivos'!BL382,'LP Reactivos'!BQ382,'LP Reactivos'!BV382,'LP Reactivos'!CA382,'LP Reactivos'!CF382,'LP Reactivos'!CK382,'LP Reactivos'!CP382,'LP Reactivos'!CU382,'LP Reactivos'!CZ382,'LP Reactivos'!DE382,'LP Reactivos'!DJ382,'LP Reactivos'!DO382,'LP Reactivos'!DT382,'LP Reactivos'!DY382,'LP Reactivos'!EB382)," ")</f>
        <v>2</v>
      </c>
    </row>
    <row r="383" spans="2:12" x14ac:dyDescent="0.25">
      <c r="B383" s="425">
        <v>381</v>
      </c>
      <c r="C383" s="427" t="s">
        <v>1962</v>
      </c>
      <c r="D383" s="429">
        <f>IFERROR(MIN('LP Reactivos'!F383,'LP Reactivos'!I383,'LP Reactivos'!N383,'LP Reactivos'!S383,'LP Reactivos'!X383,'LP Reactivos'!AC383,'LP Reactivos'!AH383,'LP Reactivos'!AM383,'LP Reactivos'!AR383,'LP Reactivos'!AW383,'LP Reactivos'!BB383,'LP Reactivos'!BG383,'LP Reactivos'!BL383,'LP Reactivos'!BQ383,'LP Reactivos'!BV383,'LP Reactivos'!CA383,'LP Reactivos'!CF383,'LP Reactivos'!CK383,'LP Reactivos'!CP383,'LP Reactivos'!CU383,'LP Reactivos'!CZ383,'LP Reactivos'!DE383,'LP Reactivos'!DJ383,'LP Reactivos'!DO383,'LP Reactivos'!DT383,'LP Reactivos'!DY383,'LP Reactivos'!EB383)," ")</f>
        <v>793061</v>
      </c>
      <c r="E383" s="429">
        <f>IFERROR(AVERAGE('LP Reactivos'!F383,'LP Reactivos'!I383,'LP Reactivos'!N383,'LP Reactivos'!S383,'LP Reactivos'!X383,'LP Reactivos'!AC383,'LP Reactivos'!AH383,'LP Reactivos'!AM383,'LP Reactivos'!AR383,'LP Reactivos'!AW383,'LP Reactivos'!BB383,'LP Reactivos'!BG383,'LP Reactivos'!BL383,'LP Reactivos'!BQ383,'LP Reactivos'!BV383,'LP Reactivos'!CA383,'LP Reactivos'!CF383,'LP Reactivos'!CK383,'LP Reactivos'!CP383,'LP Reactivos'!CU383,'LP Reactivos'!CZ383,'LP Reactivos'!DE383,'LP Reactivos'!DJ383,'LP Reactivos'!DO383,'LP Reactivos'!DT383,'LP Reactivos'!DY383,'LP Reactivos'!EB383)," ")</f>
        <v>1121779.6666666667</v>
      </c>
      <c r="F383" s="345">
        <f>IFERROR(MEDIAN('LP Reactivos'!F383,'LP Reactivos'!I383,'LP Reactivos'!N383,'LP Reactivos'!S383,'LP Reactivos'!X383,'LP Reactivos'!AC383,'LP Reactivos'!AH383,'LP Reactivos'!AM383,'LP Reactivos'!AR383,'LP Reactivos'!AW383,'LP Reactivos'!BB383,'LP Reactivos'!BG383,'LP Reactivos'!BL383,'LP Reactivos'!BQ383,'LP Reactivos'!BV383,'LP Reactivos'!CA383,'LP Reactivos'!CF383,'LP Reactivos'!CK383,'LP Reactivos'!CP383,'LP Reactivos'!CU383,'LP Reactivos'!CZ383,'LP Reactivos'!DE383,'LP Reactivos'!DJ383,'LP Reactivos'!DO383,'LP Reactivos'!DT383,'LP Reactivos'!DY383,'LP Reactivos'!EB383)," ")</f>
        <v>1025278</v>
      </c>
      <c r="G383" s="345">
        <f>IFERROR(GEOMEAN('LP Reactivos'!F383,'LP Reactivos'!I383,'LP Reactivos'!N383,'LP Reactivos'!S383,'LP Reactivos'!X383,'LP Reactivos'!AC383,'LP Reactivos'!AH383,'LP Reactivos'!AM383,'LP Reactivos'!AR383,'LP Reactivos'!AW383,'LP Reactivos'!BB383,'LP Reactivos'!BG383,'LP Reactivos'!BL383,'LP Reactivos'!BQ383,'LP Reactivos'!BV383,'LP Reactivos'!CA383,'LP Reactivos'!CF383,'LP Reactivos'!CK383,'LP Reactivos'!CP383,'LP Reactivos'!CU383,'LP Reactivos'!CZ383,'LP Reactivos'!DE383,'LP Reactivos'!DJ383,'LP Reactivos'!DO383,'LP Reactivos'!DT383,'LP Reactivos'!DY383,'LP Reactivos'!EB383)," ")</f>
        <v>1079475.6455936085</v>
      </c>
      <c r="H383" s="345">
        <f t="shared" si="24"/>
        <v>146644.02271342449</v>
      </c>
      <c r="I383" s="346">
        <f t="shared" si="25"/>
        <v>0.13072444355242471</v>
      </c>
      <c r="J383" s="345">
        <f t="shared" si="26"/>
        <v>1121779.6666666667</v>
      </c>
      <c r="K383" s="344" t="str">
        <f t="shared" si="27"/>
        <v>Promedio</v>
      </c>
      <c r="L383" s="326">
        <f>IFERROR(COUNTA('LP Reactivos'!F383,'LP Reactivos'!I383,'LP Reactivos'!N383,'LP Reactivos'!S383,'LP Reactivos'!X383,'LP Reactivos'!AC383,'LP Reactivos'!AH383,'LP Reactivos'!AM383,'LP Reactivos'!AR383,'LP Reactivos'!AW383,'LP Reactivos'!BB383,'LP Reactivos'!BG383,'LP Reactivos'!BL383,'LP Reactivos'!BQ383,'LP Reactivos'!BV383,'LP Reactivos'!CA383,'LP Reactivos'!CF383,'LP Reactivos'!CK383,'LP Reactivos'!CP383,'LP Reactivos'!CU383,'LP Reactivos'!CZ383,'LP Reactivos'!DE383,'LP Reactivos'!DJ383,'LP Reactivos'!DO383,'LP Reactivos'!DT383,'LP Reactivos'!DY383,'LP Reactivos'!EB383)," ")</f>
        <v>3</v>
      </c>
    </row>
    <row r="384" spans="2:12" x14ac:dyDescent="0.25">
      <c r="B384" s="425">
        <v>382</v>
      </c>
      <c r="C384" s="428" t="s">
        <v>1964</v>
      </c>
      <c r="D384" s="429">
        <f>IFERROR(MIN('LP Reactivos'!F384,'LP Reactivos'!I384,'LP Reactivos'!N384,'LP Reactivos'!S384,'LP Reactivos'!X384,'LP Reactivos'!AC384,'LP Reactivos'!AH384,'LP Reactivos'!AM384,'LP Reactivos'!AR384,'LP Reactivos'!AW384,'LP Reactivos'!BB384,'LP Reactivos'!BG384,'LP Reactivos'!BL384,'LP Reactivos'!BQ384,'LP Reactivos'!BV384,'LP Reactivos'!CA384,'LP Reactivos'!CF384,'LP Reactivos'!CK384,'LP Reactivos'!CP384,'LP Reactivos'!CU384,'LP Reactivos'!CZ384,'LP Reactivos'!DE384,'LP Reactivos'!DJ384,'LP Reactivos'!DO384,'LP Reactivos'!DT384,'LP Reactivos'!DY384,'LP Reactivos'!EB384)," ")</f>
        <v>1115625</v>
      </c>
      <c r="E384" s="429">
        <f>IFERROR(AVERAGE('LP Reactivos'!F384,'LP Reactivos'!I384,'LP Reactivos'!N384,'LP Reactivos'!S384,'LP Reactivos'!X384,'LP Reactivos'!AC384,'LP Reactivos'!AH384,'LP Reactivos'!AM384,'LP Reactivos'!AR384,'LP Reactivos'!AW384,'LP Reactivos'!BB384,'LP Reactivos'!BG384,'LP Reactivos'!BL384,'LP Reactivos'!BQ384,'LP Reactivos'!BV384,'LP Reactivos'!CA384,'LP Reactivos'!CF384,'LP Reactivos'!CK384,'LP Reactivos'!CP384,'LP Reactivos'!CU384,'LP Reactivos'!CZ384,'LP Reactivos'!DE384,'LP Reactivos'!DJ384,'LP Reactivos'!DO384,'LP Reactivos'!DT384,'LP Reactivos'!DY384,'LP Reactivos'!EB384)," ")</f>
        <v>1115625</v>
      </c>
      <c r="F384" s="345">
        <f>IFERROR(MEDIAN('LP Reactivos'!F384,'LP Reactivos'!I384,'LP Reactivos'!N384,'LP Reactivos'!S384,'LP Reactivos'!X384,'LP Reactivos'!AC384,'LP Reactivos'!AH384,'LP Reactivos'!AM384,'LP Reactivos'!AR384,'LP Reactivos'!AW384,'LP Reactivos'!BB384,'LP Reactivos'!BG384,'LP Reactivos'!BL384,'LP Reactivos'!BQ384,'LP Reactivos'!BV384,'LP Reactivos'!CA384,'LP Reactivos'!CF384,'LP Reactivos'!CK384,'LP Reactivos'!CP384,'LP Reactivos'!CU384,'LP Reactivos'!CZ384,'LP Reactivos'!DE384,'LP Reactivos'!DJ384,'LP Reactivos'!DO384,'LP Reactivos'!DT384,'LP Reactivos'!DY384,'LP Reactivos'!EB384)," ")</f>
        <v>1115625</v>
      </c>
      <c r="G384" s="345">
        <f>IFERROR(GEOMEAN('LP Reactivos'!F384,'LP Reactivos'!I384,'LP Reactivos'!N384,'LP Reactivos'!S384,'LP Reactivos'!X384,'LP Reactivos'!AC384,'LP Reactivos'!AH384,'LP Reactivos'!AM384,'LP Reactivos'!AR384,'LP Reactivos'!AW384,'LP Reactivos'!BB384,'LP Reactivos'!BG384,'LP Reactivos'!BL384,'LP Reactivos'!BQ384,'LP Reactivos'!BV384,'LP Reactivos'!CA384,'LP Reactivos'!CF384,'LP Reactivos'!CK384,'LP Reactivos'!CP384,'LP Reactivos'!CU384,'LP Reactivos'!CZ384,'LP Reactivos'!DE384,'LP Reactivos'!DJ384,'LP Reactivos'!DO384,'LP Reactivos'!DT384,'LP Reactivos'!DY384,'LP Reactivos'!EB384)," ")</f>
        <v>1115625</v>
      </c>
      <c r="H384" s="345">
        <f t="shared" si="24"/>
        <v>0</v>
      </c>
      <c r="I384" s="346">
        <f t="shared" si="25"/>
        <v>0</v>
      </c>
      <c r="J384" s="345">
        <f t="shared" si="26"/>
        <v>1115625</v>
      </c>
      <c r="K384" s="344" t="str">
        <f t="shared" si="27"/>
        <v>Menor Valor</v>
      </c>
      <c r="L384" s="326">
        <f>IFERROR(COUNTA('LP Reactivos'!F384,'LP Reactivos'!I384,'LP Reactivos'!N384,'LP Reactivos'!S384,'LP Reactivos'!X384,'LP Reactivos'!AC384,'LP Reactivos'!AH384,'LP Reactivos'!AM384,'LP Reactivos'!AR384,'LP Reactivos'!AW384,'LP Reactivos'!BB384,'LP Reactivos'!BG384,'LP Reactivos'!BL384,'LP Reactivos'!BQ384,'LP Reactivos'!BV384,'LP Reactivos'!CA384,'LP Reactivos'!CF384,'LP Reactivos'!CK384,'LP Reactivos'!CP384,'LP Reactivos'!CU384,'LP Reactivos'!CZ384,'LP Reactivos'!DE384,'LP Reactivos'!DJ384,'LP Reactivos'!DO384,'LP Reactivos'!DT384,'LP Reactivos'!DY384,'LP Reactivos'!EB384)," ")</f>
        <v>1</v>
      </c>
    </row>
    <row r="385" spans="2:12" x14ac:dyDescent="0.25">
      <c r="B385" s="425">
        <v>383</v>
      </c>
      <c r="C385" s="428" t="s">
        <v>1966</v>
      </c>
      <c r="D385" s="429">
        <f>IFERROR(MIN('LP Reactivos'!F385,'LP Reactivos'!I385,'LP Reactivos'!N385,'LP Reactivos'!S385,'LP Reactivos'!X385,'LP Reactivos'!AC385,'LP Reactivos'!AH385,'LP Reactivos'!AM385,'LP Reactivos'!AR385,'LP Reactivos'!AW385,'LP Reactivos'!BB385,'LP Reactivos'!BG385,'LP Reactivos'!BL385,'LP Reactivos'!BQ385,'LP Reactivos'!BV385,'LP Reactivos'!CA385,'LP Reactivos'!CF385,'LP Reactivos'!CK385,'LP Reactivos'!CP385,'LP Reactivos'!CU385,'LP Reactivos'!CZ385,'LP Reactivos'!DE385,'LP Reactivos'!DJ385,'LP Reactivos'!DO385,'LP Reactivos'!DT385,'LP Reactivos'!DY385,'LP Reactivos'!EB385)," ")</f>
        <v>1800077</v>
      </c>
      <c r="E385" s="429">
        <f>IFERROR(AVERAGE('LP Reactivos'!F385,'LP Reactivos'!I385,'LP Reactivos'!N385,'LP Reactivos'!S385,'LP Reactivos'!X385,'LP Reactivos'!AC385,'LP Reactivos'!AH385,'LP Reactivos'!AM385,'LP Reactivos'!AR385,'LP Reactivos'!AW385,'LP Reactivos'!BB385,'LP Reactivos'!BG385,'LP Reactivos'!BL385,'LP Reactivos'!BQ385,'LP Reactivos'!BV385,'LP Reactivos'!CA385,'LP Reactivos'!CF385,'LP Reactivos'!CK385,'LP Reactivos'!CP385,'LP Reactivos'!CU385,'LP Reactivos'!CZ385,'LP Reactivos'!DE385,'LP Reactivos'!DJ385,'LP Reactivos'!DO385,'LP Reactivos'!DT385,'LP Reactivos'!DY385,'LP Reactivos'!EB385)," ")</f>
        <v>1800077</v>
      </c>
      <c r="F385" s="345">
        <f>IFERROR(MEDIAN('LP Reactivos'!F385,'LP Reactivos'!I385,'LP Reactivos'!N385,'LP Reactivos'!S385,'LP Reactivos'!X385,'LP Reactivos'!AC385,'LP Reactivos'!AH385,'LP Reactivos'!AM385,'LP Reactivos'!AR385,'LP Reactivos'!AW385,'LP Reactivos'!BB385,'LP Reactivos'!BG385,'LP Reactivos'!BL385,'LP Reactivos'!BQ385,'LP Reactivos'!BV385,'LP Reactivos'!CA385,'LP Reactivos'!CF385,'LP Reactivos'!CK385,'LP Reactivos'!CP385,'LP Reactivos'!CU385,'LP Reactivos'!CZ385,'LP Reactivos'!DE385,'LP Reactivos'!DJ385,'LP Reactivos'!DO385,'LP Reactivos'!DT385,'LP Reactivos'!DY385,'LP Reactivos'!EB385)," ")</f>
        <v>1800077</v>
      </c>
      <c r="G385" s="345">
        <f>IFERROR(GEOMEAN('LP Reactivos'!F385,'LP Reactivos'!I385,'LP Reactivos'!N385,'LP Reactivos'!S385,'LP Reactivos'!X385,'LP Reactivos'!AC385,'LP Reactivos'!AH385,'LP Reactivos'!AM385,'LP Reactivos'!AR385,'LP Reactivos'!AW385,'LP Reactivos'!BB385,'LP Reactivos'!BG385,'LP Reactivos'!BL385,'LP Reactivos'!BQ385,'LP Reactivos'!BV385,'LP Reactivos'!CA385,'LP Reactivos'!CF385,'LP Reactivos'!CK385,'LP Reactivos'!CP385,'LP Reactivos'!CU385,'LP Reactivos'!CZ385,'LP Reactivos'!DE385,'LP Reactivos'!DJ385,'LP Reactivos'!DO385,'LP Reactivos'!DT385,'LP Reactivos'!DY385,'LP Reactivos'!EB385)," ")</f>
        <v>1800077</v>
      </c>
      <c r="H385" s="345">
        <f t="shared" si="24"/>
        <v>0</v>
      </c>
      <c r="I385" s="346">
        <f t="shared" si="25"/>
        <v>0</v>
      </c>
      <c r="J385" s="345">
        <f t="shared" si="26"/>
        <v>1800077</v>
      </c>
      <c r="K385" s="344" t="str">
        <f t="shared" si="27"/>
        <v>Menor Valor</v>
      </c>
      <c r="L385" s="326">
        <f>IFERROR(COUNTA('LP Reactivos'!F385,'LP Reactivos'!I385,'LP Reactivos'!N385,'LP Reactivos'!S385,'LP Reactivos'!X385,'LP Reactivos'!AC385,'LP Reactivos'!AH385,'LP Reactivos'!AM385,'LP Reactivos'!AR385,'LP Reactivos'!AW385,'LP Reactivos'!BB385,'LP Reactivos'!BG385,'LP Reactivos'!BL385,'LP Reactivos'!BQ385,'LP Reactivos'!BV385,'LP Reactivos'!CA385,'LP Reactivos'!CF385,'LP Reactivos'!CK385,'LP Reactivos'!CP385,'LP Reactivos'!CU385,'LP Reactivos'!CZ385,'LP Reactivos'!DE385,'LP Reactivos'!DJ385,'LP Reactivos'!DO385,'LP Reactivos'!DT385,'LP Reactivos'!DY385,'LP Reactivos'!EB385)," ")</f>
        <v>1</v>
      </c>
    </row>
    <row r="386" spans="2:12" ht="40.5" x14ac:dyDescent="0.25">
      <c r="B386" s="425">
        <v>384</v>
      </c>
      <c r="C386" s="426" t="s">
        <v>1968</v>
      </c>
      <c r="D386" s="429">
        <f>IFERROR(MIN('LP Reactivos'!F386,'LP Reactivos'!I386,'LP Reactivos'!N386,'LP Reactivos'!S386,'LP Reactivos'!X386,'LP Reactivos'!AC386,'LP Reactivos'!AH386,'LP Reactivos'!AM386,'LP Reactivos'!AR386,'LP Reactivos'!AW386,'LP Reactivos'!BB386,'LP Reactivos'!BG386,'LP Reactivos'!BL386,'LP Reactivos'!BQ386,'LP Reactivos'!BV386,'LP Reactivos'!CA386,'LP Reactivos'!CF386,'LP Reactivos'!CK386,'LP Reactivos'!CP386,'LP Reactivos'!CU386,'LP Reactivos'!CZ386,'LP Reactivos'!DE386,'LP Reactivos'!DJ386,'LP Reactivos'!DO386,'LP Reactivos'!DT386,'LP Reactivos'!DY386,'LP Reactivos'!EB386)," ")</f>
        <v>4598219.5</v>
      </c>
      <c r="E386" s="429">
        <f>IFERROR(AVERAGE('LP Reactivos'!F386,'LP Reactivos'!I386,'LP Reactivos'!N386,'LP Reactivos'!S386,'LP Reactivos'!X386,'LP Reactivos'!AC386,'LP Reactivos'!AH386,'LP Reactivos'!AM386,'LP Reactivos'!AR386,'LP Reactivos'!AW386,'LP Reactivos'!BB386,'LP Reactivos'!BG386,'LP Reactivos'!BL386,'LP Reactivos'!BQ386,'LP Reactivos'!BV386,'LP Reactivos'!CA386,'LP Reactivos'!CF386,'LP Reactivos'!CK386,'LP Reactivos'!CP386,'LP Reactivos'!CU386,'LP Reactivos'!CZ386,'LP Reactivos'!DE386,'LP Reactivos'!DJ386,'LP Reactivos'!DO386,'LP Reactivos'!DT386,'LP Reactivos'!DY386,'LP Reactivos'!EB386)," ")</f>
        <v>4996748.2092500003</v>
      </c>
      <c r="F386" s="345">
        <f>IFERROR(MEDIAN('LP Reactivos'!F386,'LP Reactivos'!I386,'LP Reactivos'!N386,'LP Reactivos'!S386,'LP Reactivos'!X386,'LP Reactivos'!AC386,'LP Reactivos'!AH386,'LP Reactivos'!AM386,'LP Reactivos'!AR386,'LP Reactivos'!AW386,'LP Reactivos'!BB386,'LP Reactivos'!BG386,'LP Reactivos'!BL386,'LP Reactivos'!BQ386,'LP Reactivos'!BV386,'LP Reactivos'!CA386,'LP Reactivos'!CF386,'LP Reactivos'!CK386,'LP Reactivos'!CP386,'LP Reactivos'!CU386,'LP Reactivos'!CZ386,'LP Reactivos'!DE386,'LP Reactivos'!DJ386,'LP Reactivos'!DO386,'LP Reactivos'!DT386,'LP Reactivos'!DY386,'LP Reactivos'!EB386)," ")</f>
        <v>4996748.2092500003</v>
      </c>
      <c r="G386" s="345">
        <f>IFERROR(GEOMEAN('LP Reactivos'!F386,'LP Reactivos'!I386,'LP Reactivos'!N386,'LP Reactivos'!S386,'LP Reactivos'!X386,'LP Reactivos'!AC386,'LP Reactivos'!AH386,'LP Reactivos'!AM386,'LP Reactivos'!AR386,'LP Reactivos'!AW386,'LP Reactivos'!BB386,'LP Reactivos'!BG386,'LP Reactivos'!BL386,'LP Reactivos'!BQ386,'LP Reactivos'!BV386,'LP Reactivos'!CA386,'LP Reactivos'!CF386,'LP Reactivos'!CK386,'LP Reactivos'!CP386,'LP Reactivos'!CU386,'LP Reactivos'!CZ386,'LP Reactivos'!DE386,'LP Reactivos'!DJ386,'LP Reactivos'!DO386,'LP Reactivos'!DT386,'LP Reactivos'!DY386,'LP Reactivos'!EB386)," ")</f>
        <v>4980830.00458223</v>
      </c>
      <c r="H386" s="345">
        <f t="shared" si="24"/>
        <v>196754.46646546156</v>
      </c>
      <c r="I386" s="346">
        <f t="shared" si="25"/>
        <v>3.9376502122165952E-2</v>
      </c>
      <c r="J386" s="345">
        <f t="shared" si="26"/>
        <v>4996748.2092500003</v>
      </c>
      <c r="K386" s="344" t="str">
        <f t="shared" si="27"/>
        <v>Promedio</v>
      </c>
      <c r="L386" s="326">
        <f>IFERROR(COUNTA('LP Reactivos'!F386,'LP Reactivos'!I386,'LP Reactivos'!N386,'LP Reactivos'!S386,'LP Reactivos'!X386,'LP Reactivos'!AC386,'LP Reactivos'!AH386,'LP Reactivos'!AM386,'LP Reactivos'!AR386,'LP Reactivos'!AW386,'LP Reactivos'!BB386,'LP Reactivos'!BG386,'LP Reactivos'!BL386,'LP Reactivos'!BQ386,'LP Reactivos'!BV386,'LP Reactivos'!CA386,'LP Reactivos'!CF386,'LP Reactivos'!CK386,'LP Reactivos'!CP386,'LP Reactivos'!CU386,'LP Reactivos'!CZ386,'LP Reactivos'!DE386,'LP Reactivos'!DJ386,'LP Reactivos'!DO386,'LP Reactivos'!DT386,'LP Reactivos'!DY386,'LP Reactivos'!EB386)," ")</f>
        <v>2</v>
      </c>
    </row>
    <row r="387" spans="2:12" ht="40.5" x14ac:dyDescent="0.25">
      <c r="B387" s="425">
        <v>385</v>
      </c>
      <c r="C387" s="427" t="s">
        <v>1970</v>
      </c>
      <c r="D387" s="429">
        <f>IFERROR(MIN('LP Reactivos'!F387,'LP Reactivos'!I387,'LP Reactivos'!N387,'LP Reactivos'!S387,'LP Reactivos'!X387,'LP Reactivos'!AC387,'LP Reactivos'!AH387,'LP Reactivos'!AM387,'LP Reactivos'!AR387,'LP Reactivos'!AW387,'LP Reactivos'!BB387,'LP Reactivos'!BG387,'LP Reactivos'!BL387,'LP Reactivos'!BQ387,'LP Reactivos'!BV387,'LP Reactivos'!CA387,'LP Reactivos'!CF387,'LP Reactivos'!CK387,'LP Reactivos'!CP387,'LP Reactivos'!CU387,'LP Reactivos'!CZ387,'LP Reactivos'!DE387,'LP Reactivos'!DJ387,'LP Reactivos'!DO387,'LP Reactivos'!DT387,'LP Reactivos'!DY387,'LP Reactivos'!EB387)," ")</f>
        <v>398162.1</v>
      </c>
      <c r="E387" s="429">
        <f>IFERROR(AVERAGE('LP Reactivos'!F387,'LP Reactivos'!I387,'LP Reactivos'!N387,'LP Reactivos'!S387,'LP Reactivos'!X387,'LP Reactivos'!AC387,'LP Reactivos'!AH387,'LP Reactivos'!AM387,'LP Reactivos'!AR387,'LP Reactivos'!AW387,'LP Reactivos'!BB387,'LP Reactivos'!BG387,'LP Reactivos'!BL387,'LP Reactivos'!BQ387,'LP Reactivos'!BV387,'LP Reactivos'!CA387,'LP Reactivos'!CF387,'LP Reactivos'!CK387,'LP Reactivos'!CP387,'LP Reactivos'!CU387,'LP Reactivos'!CZ387,'LP Reactivos'!DE387,'LP Reactivos'!DJ387,'LP Reactivos'!DO387,'LP Reactivos'!DT387,'LP Reactivos'!DY387,'LP Reactivos'!EB387)," ")</f>
        <v>810261.31560000009</v>
      </c>
      <c r="F387" s="345">
        <f>IFERROR(MEDIAN('LP Reactivos'!F387,'LP Reactivos'!I387,'LP Reactivos'!N387,'LP Reactivos'!S387,'LP Reactivos'!X387,'LP Reactivos'!AC387,'LP Reactivos'!AH387,'LP Reactivos'!AM387,'LP Reactivos'!AR387,'LP Reactivos'!AW387,'LP Reactivos'!BB387,'LP Reactivos'!BG387,'LP Reactivos'!BL387,'LP Reactivos'!BQ387,'LP Reactivos'!BV387,'LP Reactivos'!CA387,'LP Reactivos'!CF387,'LP Reactivos'!CK387,'LP Reactivos'!CP387,'LP Reactivos'!CU387,'LP Reactivos'!CZ387,'LP Reactivos'!DE387,'LP Reactivos'!DJ387,'LP Reactivos'!DO387,'LP Reactivos'!DT387,'LP Reactivos'!DY387,'LP Reactivos'!EB387)," ")</f>
        <v>809200</v>
      </c>
      <c r="G387" s="345">
        <f>IFERROR(GEOMEAN('LP Reactivos'!F387,'LP Reactivos'!I387,'LP Reactivos'!N387,'LP Reactivos'!S387,'LP Reactivos'!X387,'LP Reactivos'!AC387,'LP Reactivos'!AH387,'LP Reactivos'!AM387,'LP Reactivos'!AR387,'LP Reactivos'!AW387,'LP Reactivos'!BB387,'LP Reactivos'!BG387,'LP Reactivos'!BL387,'LP Reactivos'!BQ387,'LP Reactivos'!BV387,'LP Reactivos'!CA387,'LP Reactivos'!CF387,'LP Reactivos'!CK387,'LP Reactivos'!CP387,'LP Reactivos'!CU387,'LP Reactivos'!CZ387,'LP Reactivos'!DE387,'LP Reactivos'!DJ387,'LP Reactivos'!DO387,'LP Reactivos'!DT387,'LP Reactivos'!DY387,'LP Reactivos'!EB387)," ")</f>
        <v>761854.15308602166</v>
      </c>
      <c r="H387" s="345">
        <f t="shared" si="24"/>
        <v>199088.72335509374</v>
      </c>
      <c r="I387" s="346">
        <f t="shared" si="25"/>
        <v>0.24570927862657266</v>
      </c>
      <c r="J387" s="345">
        <f t="shared" si="26"/>
        <v>761854.15308602166</v>
      </c>
      <c r="K387" s="344" t="str">
        <f t="shared" si="27"/>
        <v>Media Geométrica</v>
      </c>
      <c r="L387" s="326">
        <f>IFERROR(COUNTA('LP Reactivos'!F387,'LP Reactivos'!I387,'LP Reactivos'!N387,'LP Reactivos'!S387,'LP Reactivos'!X387,'LP Reactivos'!AC387,'LP Reactivos'!AH387,'LP Reactivos'!AM387,'LP Reactivos'!AR387,'LP Reactivos'!AW387,'LP Reactivos'!BB387,'LP Reactivos'!BG387,'LP Reactivos'!BL387,'LP Reactivos'!BQ387,'LP Reactivos'!BV387,'LP Reactivos'!CA387,'LP Reactivos'!CF387,'LP Reactivos'!CK387,'LP Reactivos'!CP387,'LP Reactivos'!CU387,'LP Reactivos'!CZ387,'LP Reactivos'!DE387,'LP Reactivos'!DJ387,'LP Reactivos'!DO387,'LP Reactivos'!DT387,'LP Reactivos'!DY387,'LP Reactivos'!EB387)," ")</f>
        <v>5</v>
      </c>
    </row>
    <row r="388" spans="2:12" x14ac:dyDescent="0.25">
      <c r="B388" s="425">
        <v>386</v>
      </c>
      <c r="C388" s="427" t="s">
        <v>1975</v>
      </c>
      <c r="D388" s="429">
        <f>IFERROR(MIN('LP Reactivos'!F388,'LP Reactivos'!I388,'LP Reactivos'!N388,'LP Reactivos'!S388,'LP Reactivos'!X388,'LP Reactivos'!AC388,'LP Reactivos'!AH388,'LP Reactivos'!AM388,'LP Reactivos'!AR388,'LP Reactivos'!AW388,'LP Reactivos'!BB388,'LP Reactivos'!BG388,'LP Reactivos'!BL388,'LP Reactivos'!BQ388,'LP Reactivos'!BV388,'LP Reactivos'!CA388,'LP Reactivos'!CF388,'LP Reactivos'!CK388,'LP Reactivos'!CP388,'LP Reactivos'!CU388,'LP Reactivos'!CZ388,'LP Reactivos'!DE388,'LP Reactivos'!DJ388,'LP Reactivos'!DO388,'LP Reactivos'!DT388,'LP Reactivos'!DY388,'LP Reactivos'!EB388)," ")</f>
        <v>293327</v>
      </c>
      <c r="E388" s="429">
        <f>IFERROR(AVERAGE('LP Reactivos'!F388,'LP Reactivos'!I388,'LP Reactivos'!N388,'LP Reactivos'!S388,'LP Reactivos'!X388,'LP Reactivos'!AC388,'LP Reactivos'!AH388,'LP Reactivos'!AM388,'LP Reactivos'!AR388,'LP Reactivos'!AW388,'LP Reactivos'!BB388,'LP Reactivos'!BG388,'LP Reactivos'!BL388,'LP Reactivos'!BQ388,'LP Reactivos'!BV388,'LP Reactivos'!CA388,'LP Reactivos'!CF388,'LP Reactivos'!CK388,'LP Reactivos'!CP388,'LP Reactivos'!CU388,'LP Reactivos'!CZ388,'LP Reactivos'!DE388,'LP Reactivos'!DJ388,'LP Reactivos'!DO388,'LP Reactivos'!DT388,'LP Reactivos'!DY388,'LP Reactivos'!EB388)," ")</f>
        <v>452427.81849999999</v>
      </c>
      <c r="F388" s="345">
        <f>IFERROR(MEDIAN('LP Reactivos'!F388,'LP Reactivos'!I388,'LP Reactivos'!N388,'LP Reactivos'!S388,'LP Reactivos'!X388,'LP Reactivos'!AC388,'LP Reactivos'!AH388,'LP Reactivos'!AM388,'LP Reactivos'!AR388,'LP Reactivos'!AW388,'LP Reactivos'!BB388,'LP Reactivos'!BG388,'LP Reactivos'!BL388,'LP Reactivos'!BQ388,'LP Reactivos'!BV388,'LP Reactivos'!CA388,'LP Reactivos'!CF388,'LP Reactivos'!CK388,'LP Reactivos'!CP388,'LP Reactivos'!CU388,'LP Reactivos'!CZ388,'LP Reactivos'!DE388,'LP Reactivos'!DJ388,'LP Reactivos'!DO388,'LP Reactivos'!DT388,'LP Reactivos'!DY388,'LP Reactivos'!EB388)," ")</f>
        <v>478692.13699999999</v>
      </c>
      <c r="G388" s="345">
        <f>IFERROR(GEOMEAN('LP Reactivos'!F388,'LP Reactivos'!I388,'LP Reactivos'!N388,'LP Reactivos'!S388,'LP Reactivos'!X388,'LP Reactivos'!AC388,'LP Reactivos'!AH388,'LP Reactivos'!AM388,'LP Reactivos'!AR388,'LP Reactivos'!AW388,'LP Reactivos'!BB388,'LP Reactivos'!BG388,'LP Reactivos'!BL388,'LP Reactivos'!BQ388,'LP Reactivos'!BV388,'LP Reactivos'!CA388,'LP Reactivos'!CF388,'LP Reactivos'!CK388,'LP Reactivos'!CP388,'LP Reactivos'!CU388,'LP Reactivos'!CZ388,'LP Reactivos'!DE388,'LP Reactivos'!DJ388,'LP Reactivos'!DO388,'LP Reactivos'!DT388,'LP Reactivos'!DY388,'LP Reactivos'!EB388)," ")</f>
        <v>440266.5342446026</v>
      </c>
      <c r="H388" s="345">
        <f t="shared" si="24"/>
        <v>83455.961138467581</v>
      </c>
      <c r="I388" s="346">
        <f t="shared" si="25"/>
        <v>0.18446248821560379</v>
      </c>
      <c r="J388" s="345">
        <f t="shared" si="26"/>
        <v>452427.81849999999</v>
      </c>
      <c r="K388" s="344" t="str">
        <f t="shared" si="27"/>
        <v>Promedio</v>
      </c>
      <c r="L388" s="326">
        <f>IFERROR(COUNTA('LP Reactivos'!F388,'LP Reactivos'!I388,'LP Reactivos'!N388,'LP Reactivos'!S388,'LP Reactivos'!X388,'LP Reactivos'!AC388,'LP Reactivos'!AH388,'LP Reactivos'!AM388,'LP Reactivos'!AR388,'LP Reactivos'!AW388,'LP Reactivos'!BB388,'LP Reactivos'!BG388,'LP Reactivos'!BL388,'LP Reactivos'!BQ388,'LP Reactivos'!BV388,'LP Reactivos'!CA388,'LP Reactivos'!CF388,'LP Reactivos'!CK388,'LP Reactivos'!CP388,'LP Reactivos'!CU388,'LP Reactivos'!CZ388,'LP Reactivos'!DE388,'LP Reactivos'!DJ388,'LP Reactivos'!DO388,'LP Reactivos'!DT388,'LP Reactivos'!DY388,'LP Reactivos'!EB388)," ")</f>
        <v>4</v>
      </c>
    </row>
    <row r="389" spans="2:12" ht="27" x14ac:dyDescent="0.25">
      <c r="B389" s="425">
        <v>387</v>
      </c>
      <c r="C389" s="427" t="s">
        <v>1980</v>
      </c>
      <c r="D389" s="429">
        <f>IFERROR(MIN('LP Reactivos'!F389,'LP Reactivos'!I389,'LP Reactivos'!N389,'LP Reactivos'!S389,'LP Reactivos'!X389,'LP Reactivos'!AC389,'LP Reactivos'!AH389,'LP Reactivos'!AM389,'LP Reactivos'!AR389,'LP Reactivos'!AW389,'LP Reactivos'!BB389,'LP Reactivos'!BG389,'LP Reactivos'!BL389,'LP Reactivos'!BQ389,'LP Reactivos'!BV389,'LP Reactivos'!CA389,'LP Reactivos'!CF389,'LP Reactivos'!CK389,'LP Reactivos'!CP389,'LP Reactivos'!CU389,'LP Reactivos'!CZ389,'LP Reactivos'!DE389,'LP Reactivos'!DJ389,'LP Reactivos'!DO389,'LP Reactivos'!DT389,'LP Reactivos'!DY389,'LP Reactivos'!EB389)," ")</f>
        <v>276080</v>
      </c>
      <c r="E389" s="429">
        <f>IFERROR(AVERAGE('LP Reactivos'!F389,'LP Reactivos'!I389,'LP Reactivos'!N389,'LP Reactivos'!S389,'LP Reactivos'!X389,'LP Reactivos'!AC389,'LP Reactivos'!AH389,'LP Reactivos'!AM389,'LP Reactivos'!AR389,'LP Reactivos'!AW389,'LP Reactivos'!BB389,'LP Reactivos'!BG389,'LP Reactivos'!BL389,'LP Reactivos'!BQ389,'LP Reactivos'!BV389,'LP Reactivos'!CA389,'LP Reactivos'!CF389,'LP Reactivos'!CK389,'LP Reactivos'!CP389,'LP Reactivos'!CU389,'LP Reactivos'!CZ389,'LP Reactivos'!DE389,'LP Reactivos'!DJ389,'LP Reactivos'!DO389,'LP Reactivos'!DT389,'LP Reactivos'!DY389,'LP Reactivos'!EB389)," ")</f>
        <v>509139.26666666666</v>
      </c>
      <c r="F389" s="345">
        <f>IFERROR(MEDIAN('LP Reactivos'!F389,'LP Reactivos'!I389,'LP Reactivos'!N389,'LP Reactivos'!S389,'LP Reactivos'!X389,'LP Reactivos'!AC389,'LP Reactivos'!AH389,'LP Reactivos'!AM389,'LP Reactivos'!AR389,'LP Reactivos'!AW389,'LP Reactivos'!BB389,'LP Reactivos'!BG389,'LP Reactivos'!BL389,'LP Reactivos'!BQ389,'LP Reactivos'!BV389,'LP Reactivos'!CA389,'LP Reactivos'!CF389,'LP Reactivos'!CK389,'LP Reactivos'!CP389,'LP Reactivos'!CU389,'LP Reactivos'!CZ389,'LP Reactivos'!DE389,'LP Reactivos'!DJ389,'LP Reactivos'!DO389,'LP Reactivos'!DT389,'LP Reactivos'!DY389,'LP Reactivos'!EB389)," ")</f>
        <v>616449</v>
      </c>
      <c r="G389" s="345">
        <f>IFERROR(GEOMEAN('LP Reactivos'!F389,'LP Reactivos'!I389,'LP Reactivos'!N389,'LP Reactivos'!S389,'LP Reactivos'!X389,'LP Reactivos'!AC389,'LP Reactivos'!AH389,'LP Reactivos'!AM389,'LP Reactivos'!AR389,'LP Reactivos'!AW389,'LP Reactivos'!BB389,'LP Reactivos'!BG389,'LP Reactivos'!BL389,'LP Reactivos'!BQ389,'LP Reactivos'!BV389,'LP Reactivos'!CA389,'LP Reactivos'!CF389,'LP Reactivos'!CK389,'LP Reactivos'!CP389,'LP Reactivos'!CU389,'LP Reactivos'!CZ389,'LP Reactivos'!DE389,'LP Reactivos'!DJ389,'LP Reactivos'!DO389,'LP Reactivos'!DT389,'LP Reactivos'!DY389,'LP Reactivos'!EB389)," ")</f>
        <v>476295.62043186428</v>
      </c>
      <c r="H389" s="345">
        <f t="shared" si="24"/>
        <v>142153.38733669554</v>
      </c>
      <c r="I389" s="346">
        <f t="shared" si="25"/>
        <v>0.27920334698868027</v>
      </c>
      <c r="J389" s="345">
        <f t="shared" si="26"/>
        <v>476295.62043186428</v>
      </c>
      <c r="K389" s="344" t="str">
        <f t="shared" si="27"/>
        <v>Media Geométrica</v>
      </c>
      <c r="L389" s="326">
        <f>IFERROR(COUNTA('LP Reactivos'!F389,'LP Reactivos'!I389,'LP Reactivos'!N389,'LP Reactivos'!S389,'LP Reactivos'!X389,'LP Reactivos'!AC389,'LP Reactivos'!AH389,'LP Reactivos'!AM389,'LP Reactivos'!AR389,'LP Reactivos'!AW389,'LP Reactivos'!BB389,'LP Reactivos'!BG389,'LP Reactivos'!BL389,'LP Reactivos'!BQ389,'LP Reactivos'!BV389,'LP Reactivos'!CA389,'LP Reactivos'!CF389,'LP Reactivos'!CK389,'LP Reactivos'!CP389,'LP Reactivos'!CU389,'LP Reactivos'!CZ389,'LP Reactivos'!DE389,'LP Reactivos'!DJ389,'LP Reactivos'!DO389,'LP Reactivos'!DT389,'LP Reactivos'!DY389,'LP Reactivos'!EB389)," ")</f>
        <v>3</v>
      </c>
    </row>
    <row r="390" spans="2:12" x14ac:dyDescent="0.25">
      <c r="B390" s="425">
        <v>388</v>
      </c>
      <c r="C390" s="427" t="s">
        <v>1983</v>
      </c>
      <c r="D390" s="429">
        <f>IFERROR(MIN('LP Reactivos'!F390,'LP Reactivos'!I390,'LP Reactivos'!N390,'LP Reactivos'!S390,'LP Reactivos'!X390,'LP Reactivos'!AC390,'LP Reactivos'!AH390,'LP Reactivos'!AM390,'LP Reactivos'!AR390,'LP Reactivos'!AW390,'LP Reactivos'!BB390,'LP Reactivos'!BG390,'LP Reactivos'!BL390,'LP Reactivos'!BQ390,'LP Reactivos'!BV390,'LP Reactivos'!CA390,'LP Reactivos'!CF390,'LP Reactivos'!CK390,'LP Reactivos'!CP390,'LP Reactivos'!CU390,'LP Reactivos'!CZ390,'LP Reactivos'!DE390,'LP Reactivos'!DJ390,'LP Reactivos'!DO390,'LP Reactivos'!DT390,'LP Reactivos'!DY390,'LP Reactivos'!EB390)," ")</f>
        <v>417690</v>
      </c>
      <c r="E390" s="429">
        <f>IFERROR(AVERAGE('LP Reactivos'!F390,'LP Reactivos'!I390,'LP Reactivos'!N390,'LP Reactivos'!S390,'LP Reactivos'!X390,'LP Reactivos'!AC390,'LP Reactivos'!AH390,'LP Reactivos'!AM390,'LP Reactivos'!AR390,'LP Reactivos'!AW390,'LP Reactivos'!BB390,'LP Reactivos'!BG390,'LP Reactivos'!BL390,'LP Reactivos'!BQ390,'LP Reactivos'!BV390,'LP Reactivos'!CA390,'LP Reactivos'!CF390,'LP Reactivos'!CK390,'LP Reactivos'!CP390,'LP Reactivos'!CU390,'LP Reactivos'!CZ390,'LP Reactivos'!DE390,'LP Reactivos'!DJ390,'LP Reactivos'!DO390,'LP Reactivos'!DT390,'LP Reactivos'!DY390,'LP Reactivos'!EB390)," ")</f>
        <v>667639.80000000005</v>
      </c>
      <c r="F390" s="345">
        <f>IFERROR(MEDIAN('LP Reactivos'!F390,'LP Reactivos'!I390,'LP Reactivos'!N390,'LP Reactivos'!S390,'LP Reactivos'!X390,'LP Reactivos'!AC390,'LP Reactivos'!AH390,'LP Reactivos'!AM390,'LP Reactivos'!AR390,'LP Reactivos'!AW390,'LP Reactivos'!BB390,'LP Reactivos'!BG390,'LP Reactivos'!BL390,'LP Reactivos'!BQ390,'LP Reactivos'!BV390,'LP Reactivos'!CA390,'LP Reactivos'!CF390,'LP Reactivos'!CK390,'LP Reactivos'!CP390,'LP Reactivos'!CU390,'LP Reactivos'!CZ390,'LP Reactivos'!DE390,'LP Reactivos'!DJ390,'LP Reactivos'!DO390,'LP Reactivos'!DT390,'LP Reactivos'!DY390,'LP Reactivos'!EB390)," ")</f>
        <v>547293.55000000005</v>
      </c>
      <c r="G390" s="345">
        <f>IFERROR(GEOMEAN('LP Reactivos'!F390,'LP Reactivos'!I390,'LP Reactivos'!N390,'LP Reactivos'!S390,'LP Reactivos'!X390,'LP Reactivos'!AC390,'LP Reactivos'!AH390,'LP Reactivos'!AM390,'LP Reactivos'!AR390,'LP Reactivos'!AW390,'LP Reactivos'!BB390,'LP Reactivos'!BG390,'LP Reactivos'!BL390,'LP Reactivos'!BQ390,'LP Reactivos'!BV390,'LP Reactivos'!CA390,'LP Reactivos'!CF390,'LP Reactivos'!CK390,'LP Reactivos'!CP390,'LP Reactivos'!CU390,'LP Reactivos'!CZ390,'LP Reactivos'!DE390,'LP Reactivos'!DJ390,'LP Reactivos'!DO390,'LP Reactivos'!DT390,'LP Reactivos'!DY390,'LP Reactivos'!EB390)," ")</f>
        <v>618588.04358573316</v>
      </c>
      <c r="H390" s="345">
        <f t="shared" si="24"/>
        <v>108629.4182535479</v>
      </c>
      <c r="I390" s="346">
        <f t="shared" si="25"/>
        <v>0.16270662452050927</v>
      </c>
      <c r="J390" s="345">
        <f t="shared" si="26"/>
        <v>667639.80000000005</v>
      </c>
      <c r="K390" s="344" t="str">
        <f t="shared" si="27"/>
        <v>Promedio</v>
      </c>
      <c r="L390" s="326">
        <f>IFERROR(COUNTA('LP Reactivos'!F390,'LP Reactivos'!I390,'LP Reactivos'!N390,'LP Reactivos'!S390,'LP Reactivos'!X390,'LP Reactivos'!AC390,'LP Reactivos'!AH390,'LP Reactivos'!AM390,'LP Reactivos'!AR390,'LP Reactivos'!AW390,'LP Reactivos'!BB390,'LP Reactivos'!BG390,'LP Reactivos'!BL390,'LP Reactivos'!BQ390,'LP Reactivos'!BV390,'LP Reactivos'!CA390,'LP Reactivos'!CF390,'LP Reactivos'!CK390,'LP Reactivos'!CP390,'LP Reactivos'!CU390,'LP Reactivos'!CZ390,'LP Reactivos'!DE390,'LP Reactivos'!DJ390,'LP Reactivos'!DO390,'LP Reactivos'!DT390,'LP Reactivos'!DY390,'LP Reactivos'!EB390)," ")</f>
        <v>6</v>
      </c>
    </row>
    <row r="391" spans="2:12" x14ac:dyDescent="0.25">
      <c r="B391" s="425">
        <v>389</v>
      </c>
      <c r="C391" s="427" t="s">
        <v>1989</v>
      </c>
      <c r="D391" s="429">
        <f>IFERROR(MIN('LP Reactivos'!F391,'LP Reactivos'!I391,'LP Reactivos'!N391,'LP Reactivos'!S391,'LP Reactivos'!X391,'LP Reactivos'!AC391,'LP Reactivos'!AH391,'LP Reactivos'!AM391,'LP Reactivos'!AR391,'LP Reactivos'!AW391,'LP Reactivos'!BB391,'LP Reactivos'!BG391,'LP Reactivos'!BL391,'LP Reactivos'!BQ391,'LP Reactivos'!BV391,'LP Reactivos'!CA391,'LP Reactivos'!CF391,'LP Reactivos'!CK391,'LP Reactivos'!CP391,'LP Reactivos'!CU391,'LP Reactivos'!CZ391,'LP Reactivos'!DE391,'LP Reactivos'!DJ391,'LP Reactivos'!DO391,'LP Reactivos'!DT391,'LP Reactivos'!DY391,'LP Reactivos'!EB391)," ")</f>
        <v>95522.728000000003</v>
      </c>
      <c r="E391" s="429">
        <f>IFERROR(AVERAGE('LP Reactivos'!F391,'LP Reactivos'!I391,'LP Reactivos'!N391,'LP Reactivos'!S391,'LP Reactivos'!X391,'LP Reactivos'!AC391,'LP Reactivos'!AH391,'LP Reactivos'!AM391,'LP Reactivos'!AR391,'LP Reactivos'!AW391,'LP Reactivos'!BB391,'LP Reactivos'!BG391,'LP Reactivos'!BL391,'LP Reactivos'!BQ391,'LP Reactivos'!BV391,'LP Reactivos'!CA391,'LP Reactivos'!CF391,'LP Reactivos'!CK391,'LP Reactivos'!CP391,'LP Reactivos'!CU391,'LP Reactivos'!CZ391,'LP Reactivos'!DE391,'LP Reactivos'!DJ391,'LP Reactivos'!DO391,'LP Reactivos'!DT391,'LP Reactivos'!DY391,'LP Reactivos'!EB391)," ")</f>
        <v>243968.20699999999</v>
      </c>
      <c r="F391" s="345">
        <f>IFERROR(MEDIAN('LP Reactivos'!F391,'LP Reactivos'!I391,'LP Reactivos'!N391,'LP Reactivos'!S391,'LP Reactivos'!X391,'LP Reactivos'!AC391,'LP Reactivos'!AH391,'LP Reactivos'!AM391,'LP Reactivos'!AR391,'LP Reactivos'!AW391,'LP Reactivos'!BB391,'LP Reactivos'!BG391,'LP Reactivos'!BL391,'LP Reactivos'!BQ391,'LP Reactivos'!BV391,'LP Reactivos'!CA391,'LP Reactivos'!CF391,'LP Reactivos'!CK391,'LP Reactivos'!CP391,'LP Reactivos'!CU391,'LP Reactivos'!CZ391,'LP Reactivos'!DE391,'LP Reactivos'!DJ391,'LP Reactivos'!DO391,'LP Reactivos'!DT391,'LP Reactivos'!DY391,'LP Reactivos'!EB391)," ")</f>
        <v>131965.04999999999</v>
      </c>
      <c r="G391" s="345">
        <f>IFERROR(GEOMEAN('LP Reactivos'!F391,'LP Reactivos'!I391,'LP Reactivos'!N391,'LP Reactivos'!S391,'LP Reactivos'!X391,'LP Reactivos'!AC391,'LP Reactivos'!AH391,'LP Reactivos'!AM391,'LP Reactivos'!AR391,'LP Reactivos'!AW391,'LP Reactivos'!BB391,'LP Reactivos'!BG391,'LP Reactivos'!BL391,'LP Reactivos'!BQ391,'LP Reactivos'!BV391,'LP Reactivos'!CA391,'LP Reactivos'!CF391,'LP Reactivos'!CK391,'LP Reactivos'!CP391,'LP Reactivos'!CU391,'LP Reactivos'!CZ391,'LP Reactivos'!DE391,'LP Reactivos'!DJ391,'LP Reactivos'!DO391,'LP Reactivos'!DT391,'LP Reactivos'!DY391,'LP Reactivos'!EB391)," ")</f>
        <v>178896.32881784605</v>
      </c>
      <c r="H391" s="345">
        <f t="shared" si="24"/>
        <v>64094.241694829623</v>
      </c>
      <c r="I391" s="346">
        <f t="shared" si="25"/>
        <v>0.26271555004226277</v>
      </c>
      <c r="J391" s="345">
        <f t="shared" si="26"/>
        <v>178896.32881784605</v>
      </c>
      <c r="K391" s="344" t="str">
        <f t="shared" si="27"/>
        <v>Media Geométrica</v>
      </c>
      <c r="L391" s="326">
        <f>IFERROR(COUNTA('LP Reactivos'!F391,'LP Reactivos'!I391,'LP Reactivos'!N391,'LP Reactivos'!S391,'LP Reactivos'!X391,'LP Reactivos'!AC391,'LP Reactivos'!AH391,'LP Reactivos'!AM391,'LP Reactivos'!AR391,'LP Reactivos'!AW391,'LP Reactivos'!BB391,'LP Reactivos'!BG391,'LP Reactivos'!BL391,'LP Reactivos'!BQ391,'LP Reactivos'!BV391,'LP Reactivos'!CA391,'LP Reactivos'!CF391,'LP Reactivos'!CK391,'LP Reactivos'!CP391,'LP Reactivos'!CU391,'LP Reactivos'!CZ391,'LP Reactivos'!DE391,'LP Reactivos'!DJ391,'LP Reactivos'!DO391,'LP Reactivos'!DT391,'LP Reactivos'!DY391,'LP Reactivos'!EB391)," ")</f>
        <v>4</v>
      </c>
    </row>
    <row r="392" spans="2:12" x14ac:dyDescent="0.25">
      <c r="B392" s="425">
        <v>390</v>
      </c>
      <c r="C392" s="427" t="s">
        <v>1994</v>
      </c>
      <c r="D392" s="429">
        <f>IFERROR(MIN('LP Reactivos'!F392,'LP Reactivos'!I392,'LP Reactivos'!N392,'LP Reactivos'!S392,'LP Reactivos'!X392,'LP Reactivos'!AC392,'LP Reactivos'!AH392,'LP Reactivos'!AM392,'LP Reactivos'!AR392,'LP Reactivos'!AW392,'LP Reactivos'!BB392,'LP Reactivos'!BG392,'LP Reactivos'!BL392,'LP Reactivos'!BQ392,'LP Reactivos'!BV392,'LP Reactivos'!CA392,'LP Reactivos'!CF392,'LP Reactivos'!CK392,'LP Reactivos'!CP392,'LP Reactivos'!CU392,'LP Reactivos'!CZ392,'LP Reactivos'!DE392,'LP Reactivos'!DJ392,'LP Reactivos'!DO392,'LP Reactivos'!DT392,'LP Reactivos'!DY392,'LP Reactivos'!EB392)," ")</f>
        <v>76160</v>
      </c>
      <c r="E392" s="429">
        <f>IFERROR(AVERAGE('LP Reactivos'!F392,'LP Reactivos'!I392,'LP Reactivos'!N392,'LP Reactivos'!S392,'LP Reactivos'!X392,'LP Reactivos'!AC392,'LP Reactivos'!AH392,'LP Reactivos'!AM392,'LP Reactivos'!AR392,'LP Reactivos'!AW392,'LP Reactivos'!BB392,'LP Reactivos'!BG392,'LP Reactivos'!BL392,'LP Reactivos'!BQ392,'LP Reactivos'!BV392,'LP Reactivos'!CA392,'LP Reactivos'!CF392,'LP Reactivos'!CK392,'LP Reactivos'!CP392,'LP Reactivos'!CU392,'LP Reactivos'!CZ392,'LP Reactivos'!DE392,'LP Reactivos'!DJ392,'LP Reactivos'!DO392,'LP Reactivos'!DT392,'LP Reactivos'!DY392,'LP Reactivos'!EB392)," ")</f>
        <v>97005.706000000006</v>
      </c>
      <c r="F392" s="345">
        <f>IFERROR(MEDIAN('LP Reactivos'!F392,'LP Reactivos'!I392,'LP Reactivos'!N392,'LP Reactivos'!S392,'LP Reactivos'!X392,'LP Reactivos'!AC392,'LP Reactivos'!AH392,'LP Reactivos'!AM392,'LP Reactivos'!AR392,'LP Reactivos'!AW392,'LP Reactivos'!BB392,'LP Reactivos'!BG392,'LP Reactivos'!BL392,'LP Reactivos'!BQ392,'LP Reactivos'!BV392,'LP Reactivos'!CA392,'LP Reactivos'!CF392,'LP Reactivos'!CK392,'LP Reactivos'!CP392,'LP Reactivos'!CU392,'LP Reactivos'!CZ392,'LP Reactivos'!DE392,'LP Reactivos'!DJ392,'LP Reactivos'!DO392,'LP Reactivos'!DT392,'LP Reactivos'!DY392,'LP Reactivos'!EB392)," ")</f>
        <v>101807.118</v>
      </c>
      <c r="G392" s="345">
        <f>IFERROR(GEOMEAN('LP Reactivos'!F392,'LP Reactivos'!I392,'LP Reactivos'!N392,'LP Reactivos'!S392,'LP Reactivos'!X392,'LP Reactivos'!AC392,'LP Reactivos'!AH392,'LP Reactivos'!AM392,'LP Reactivos'!AR392,'LP Reactivos'!AW392,'LP Reactivos'!BB392,'LP Reactivos'!BG392,'LP Reactivos'!BL392,'LP Reactivos'!BQ392,'LP Reactivos'!BV392,'LP Reactivos'!CA392,'LP Reactivos'!CF392,'LP Reactivos'!CK392,'LP Reactivos'!CP392,'LP Reactivos'!CU392,'LP Reactivos'!CZ392,'LP Reactivos'!DE392,'LP Reactivos'!DJ392,'LP Reactivos'!DO392,'LP Reactivos'!DT392,'LP Reactivos'!DY392,'LP Reactivos'!EB392)," ")</f>
        <v>95702.925814374452</v>
      </c>
      <c r="H392" s="345">
        <f t="shared" si="24"/>
        <v>11314.651362191675</v>
      </c>
      <c r="I392" s="346">
        <f t="shared" si="25"/>
        <v>0.11663902907104944</v>
      </c>
      <c r="J392" s="345">
        <f t="shared" si="26"/>
        <v>97005.706000000006</v>
      </c>
      <c r="K392" s="344" t="str">
        <f t="shared" si="27"/>
        <v>Promedio</v>
      </c>
      <c r="L392" s="326">
        <f>IFERROR(COUNTA('LP Reactivos'!F392,'LP Reactivos'!I392,'LP Reactivos'!N392,'LP Reactivos'!S392,'LP Reactivos'!X392,'LP Reactivos'!AC392,'LP Reactivos'!AH392,'LP Reactivos'!AM392,'LP Reactivos'!AR392,'LP Reactivos'!AW392,'LP Reactivos'!BB392,'LP Reactivos'!BG392,'LP Reactivos'!BL392,'LP Reactivos'!BQ392,'LP Reactivos'!BV392,'LP Reactivos'!CA392,'LP Reactivos'!CF392,'LP Reactivos'!CK392,'LP Reactivos'!CP392,'LP Reactivos'!CU392,'LP Reactivos'!CZ392,'LP Reactivos'!DE392,'LP Reactivos'!DJ392,'LP Reactivos'!DO392,'LP Reactivos'!DT392,'LP Reactivos'!DY392,'LP Reactivos'!EB392)," ")</f>
        <v>3</v>
      </c>
    </row>
    <row r="393" spans="2:12" x14ac:dyDescent="0.25">
      <c r="B393" s="425">
        <v>391</v>
      </c>
      <c r="C393" s="427" t="s">
        <v>1997</v>
      </c>
      <c r="D393" s="429">
        <f>IFERROR(MIN('LP Reactivos'!F393,'LP Reactivos'!I393,'LP Reactivos'!N393,'LP Reactivos'!S393,'LP Reactivos'!X393,'LP Reactivos'!AC393,'LP Reactivos'!AH393,'LP Reactivos'!AM393,'LP Reactivos'!AR393,'LP Reactivos'!AW393,'LP Reactivos'!BB393,'LP Reactivos'!BG393,'LP Reactivos'!BL393,'LP Reactivos'!BQ393,'LP Reactivos'!BV393,'LP Reactivos'!CA393,'LP Reactivos'!CF393,'LP Reactivos'!CK393,'LP Reactivos'!CP393,'LP Reactivos'!CU393,'LP Reactivos'!CZ393,'LP Reactivos'!DE393,'LP Reactivos'!DJ393,'LP Reactivos'!DO393,'LP Reactivos'!DT393,'LP Reactivos'!DY393,'LP Reactivos'!EB393)," ")</f>
        <v>261800</v>
      </c>
      <c r="E393" s="429">
        <f>IFERROR(AVERAGE('LP Reactivos'!F393,'LP Reactivos'!I393,'LP Reactivos'!N393,'LP Reactivos'!S393,'LP Reactivos'!X393,'LP Reactivos'!AC393,'LP Reactivos'!AH393,'LP Reactivos'!AM393,'LP Reactivos'!AR393,'LP Reactivos'!AW393,'LP Reactivos'!BB393,'LP Reactivos'!BG393,'LP Reactivos'!BL393,'LP Reactivos'!BQ393,'LP Reactivos'!BV393,'LP Reactivos'!CA393,'LP Reactivos'!CF393,'LP Reactivos'!CK393,'LP Reactivos'!CP393,'LP Reactivos'!CU393,'LP Reactivos'!CZ393,'LP Reactivos'!DE393,'LP Reactivos'!DJ393,'LP Reactivos'!DO393,'LP Reactivos'!DT393,'LP Reactivos'!DY393,'LP Reactivos'!EB393)," ")</f>
        <v>261800</v>
      </c>
      <c r="F393" s="345">
        <f>IFERROR(MEDIAN('LP Reactivos'!F393,'LP Reactivos'!I393,'LP Reactivos'!N393,'LP Reactivos'!S393,'LP Reactivos'!X393,'LP Reactivos'!AC393,'LP Reactivos'!AH393,'LP Reactivos'!AM393,'LP Reactivos'!AR393,'LP Reactivos'!AW393,'LP Reactivos'!BB393,'LP Reactivos'!BG393,'LP Reactivos'!BL393,'LP Reactivos'!BQ393,'LP Reactivos'!BV393,'LP Reactivos'!CA393,'LP Reactivos'!CF393,'LP Reactivos'!CK393,'LP Reactivos'!CP393,'LP Reactivos'!CU393,'LP Reactivos'!CZ393,'LP Reactivos'!DE393,'LP Reactivos'!DJ393,'LP Reactivos'!DO393,'LP Reactivos'!DT393,'LP Reactivos'!DY393,'LP Reactivos'!EB393)," ")</f>
        <v>261800</v>
      </c>
      <c r="G393" s="345">
        <f>IFERROR(GEOMEAN('LP Reactivos'!F393,'LP Reactivos'!I393,'LP Reactivos'!N393,'LP Reactivos'!S393,'LP Reactivos'!X393,'LP Reactivos'!AC393,'LP Reactivos'!AH393,'LP Reactivos'!AM393,'LP Reactivos'!AR393,'LP Reactivos'!AW393,'LP Reactivos'!BB393,'LP Reactivos'!BG393,'LP Reactivos'!BL393,'LP Reactivos'!BQ393,'LP Reactivos'!BV393,'LP Reactivos'!CA393,'LP Reactivos'!CF393,'LP Reactivos'!CK393,'LP Reactivos'!CP393,'LP Reactivos'!CU393,'LP Reactivos'!CZ393,'LP Reactivos'!DE393,'LP Reactivos'!DJ393,'LP Reactivos'!DO393,'LP Reactivos'!DT393,'LP Reactivos'!DY393,'LP Reactivos'!EB393)," ")</f>
        <v>261800</v>
      </c>
      <c r="H393" s="345">
        <f t="shared" si="24"/>
        <v>0</v>
      </c>
      <c r="I393" s="346">
        <f t="shared" si="25"/>
        <v>0</v>
      </c>
      <c r="J393" s="345">
        <f t="shared" si="26"/>
        <v>261800</v>
      </c>
      <c r="K393" s="344" t="str">
        <f t="shared" si="27"/>
        <v>Menor Valor</v>
      </c>
      <c r="L393" s="326">
        <f>IFERROR(COUNTA('LP Reactivos'!F393,'LP Reactivos'!I393,'LP Reactivos'!N393,'LP Reactivos'!S393,'LP Reactivos'!X393,'LP Reactivos'!AC393,'LP Reactivos'!AH393,'LP Reactivos'!AM393,'LP Reactivos'!AR393,'LP Reactivos'!AW393,'LP Reactivos'!BB393,'LP Reactivos'!BG393,'LP Reactivos'!BL393,'LP Reactivos'!BQ393,'LP Reactivos'!BV393,'LP Reactivos'!CA393,'LP Reactivos'!CF393,'LP Reactivos'!CK393,'LP Reactivos'!CP393,'LP Reactivos'!CU393,'LP Reactivos'!CZ393,'LP Reactivos'!DE393,'LP Reactivos'!DJ393,'LP Reactivos'!DO393,'LP Reactivos'!DT393,'LP Reactivos'!DY393,'LP Reactivos'!EB393)," ")</f>
        <v>1</v>
      </c>
    </row>
    <row r="394" spans="2:12" x14ac:dyDescent="0.25">
      <c r="B394" s="425">
        <v>392</v>
      </c>
      <c r="C394" s="427" t="s">
        <v>2000</v>
      </c>
      <c r="D394" s="429">
        <f>IFERROR(MIN('LP Reactivos'!F394,'LP Reactivos'!I394,'LP Reactivos'!N394,'LP Reactivos'!S394,'LP Reactivos'!X394,'LP Reactivos'!AC394,'LP Reactivos'!AH394,'LP Reactivos'!AM394,'LP Reactivos'!AR394,'LP Reactivos'!AW394,'LP Reactivos'!BB394,'LP Reactivos'!BG394,'LP Reactivos'!BL394,'LP Reactivos'!BQ394,'LP Reactivos'!BV394,'LP Reactivos'!CA394,'LP Reactivos'!CF394,'LP Reactivos'!CK394,'LP Reactivos'!CP394,'LP Reactivos'!CU394,'LP Reactivos'!CZ394,'LP Reactivos'!DE394,'LP Reactivos'!DJ394,'LP Reactivos'!DO394,'LP Reactivos'!DT394,'LP Reactivos'!DY394,'LP Reactivos'!EB394)," ")</f>
        <v>4760</v>
      </c>
      <c r="E394" s="429">
        <f>IFERROR(AVERAGE('LP Reactivos'!F394,'LP Reactivos'!I394,'LP Reactivos'!N394,'LP Reactivos'!S394,'LP Reactivos'!X394,'LP Reactivos'!AC394,'LP Reactivos'!AH394,'LP Reactivos'!AM394,'LP Reactivos'!AR394,'LP Reactivos'!AW394,'LP Reactivos'!BB394,'LP Reactivos'!BG394,'LP Reactivos'!BL394,'LP Reactivos'!BQ394,'LP Reactivos'!BV394,'LP Reactivos'!CA394,'LP Reactivos'!CF394,'LP Reactivos'!CK394,'LP Reactivos'!CP394,'LP Reactivos'!CU394,'LP Reactivos'!CZ394,'LP Reactivos'!DE394,'LP Reactivos'!DJ394,'LP Reactivos'!DO394,'LP Reactivos'!DT394,'LP Reactivos'!DY394,'LP Reactivos'!EB394)," ")</f>
        <v>4760</v>
      </c>
      <c r="F394" s="345">
        <f>IFERROR(MEDIAN('LP Reactivos'!F394,'LP Reactivos'!I394,'LP Reactivos'!N394,'LP Reactivos'!S394,'LP Reactivos'!X394,'LP Reactivos'!AC394,'LP Reactivos'!AH394,'LP Reactivos'!AM394,'LP Reactivos'!AR394,'LP Reactivos'!AW394,'LP Reactivos'!BB394,'LP Reactivos'!BG394,'LP Reactivos'!BL394,'LP Reactivos'!BQ394,'LP Reactivos'!BV394,'LP Reactivos'!CA394,'LP Reactivos'!CF394,'LP Reactivos'!CK394,'LP Reactivos'!CP394,'LP Reactivos'!CU394,'LP Reactivos'!CZ394,'LP Reactivos'!DE394,'LP Reactivos'!DJ394,'LP Reactivos'!DO394,'LP Reactivos'!DT394,'LP Reactivos'!DY394,'LP Reactivos'!EB394)," ")</f>
        <v>4760</v>
      </c>
      <c r="G394" s="345">
        <f>IFERROR(GEOMEAN('LP Reactivos'!F394,'LP Reactivos'!I394,'LP Reactivos'!N394,'LP Reactivos'!S394,'LP Reactivos'!X394,'LP Reactivos'!AC394,'LP Reactivos'!AH394,'LP Reactivos'!AM394,'LP Reactivos'!AR394,'LP Reactivos'!AW394,'LP Reactivos'!BB394,'LP Reactivos'!BG394,'LP Reactivos'!BL394,'LP Reactivos'!BQ394,'LP Reactivos'!BV394,'LP Reactivos'!CA394,'LP Reactivos'!CF394,'LP Reactivos'!CK394,'LP Reactivos'!CP394,'LP Reactivos'!CU394,'LP Reactivos'!CZ394,'LP Reactivos'!DE394,'LP Reactivos'!DJ394,'LP Reactivos'!DO394,'LP Reactivos'!DT394,'LP Reactivos'!DY394,'LP Reactivos'!EB394)," ")</f>
        <v>4760</v>
      </c>
      <c r="H394" s="345">
        <f t="shared" si="24"/>
        <v>0</v>
      </c>
      <c r="I394" s="346">
        <f t="shared" si="25"/>
        <v>0</v>
      </c>
      <c r="J394" s="345">
        <f t="shared" si="26"/>
        <v>4760</v>
      </c>
      <c r="K394" s="344" t="str">
        <f t="shared" si="27"/>
        <v>Menor Valor</v>
      </c>
      <c r="L394" s="326">
        <f>IFERROR(COUNTA('LP Reactivos'!F394,'LP Reactivos'!I394,'LP Reactivos'!N394,'LP Reactivos'!S394,'LP Reactivos'!X394,'LP Reactivos'!AC394,'LP Reactivos'!AH394,'LP Reactivos'!AM394,'LP Reactivos'!AR394,'LP Reactivos'!AW394,'LP Reactivos'!BB394,'LP Reactivos'!BG394,'LP Reactivos'!BL394,'LP Reactivos'!BQ394,'LP Reactivos'!BV394,'LP Reactivos'!CA394,'LP Reactivos'!CF394,'LP Reactivos'!CK394,'LP Reactivos'!CP394,'LP Reactivos'!CU394,'LP Reactivos'!CZ394,'LP Reactivos'!DE394,'LP Reactivos'!DJ394,'LP Reactivos'!DO394,'LP Reactivos'!DT394,'LP Reactivos'!DY394,'LP Reactivos'!EB394)," ")</f>
        <v>1</v>
      </c>
    </row>
    <row r="395" spans="2:12" x14ac:dyDescent="0.25">
      <c r="B395" s="425">
        <v>393</v>
      </c>
      <c r="C395" s="427" t="s">
        <v>2004</v>
      </c>
      <c r="D395" s="429">
        <f>IFERROR(MIN('LP Reactivos'!F395,'LP Reactivos'!I395,'LP Reactivos'!N395,'LP Reactivos'!S395,'LP Reactivos'!X395,'LP Reactivos'!AC395,'LP Reactivos'!AH395,'LP Reactivos'!AM395,'LP Reactivos'!AR395,'LP Reactivos'!AW395,'LP Reactivos'!BB395,'LP Reactivos'!BG395,'LP Reactivos'!BL395,'LP Reactivos'!BQ395,'LP Reactivos'!BV395,'LP Reactivos'!CA395,'LP Reactivos'!CF395,'LP Reactivos'!CK395,'LP Reactivos'!CP395,'LP Reactivos'!CU395,'LP Reactivos'!CZ395,'LP Reactivos'!DE395,'LP Reactivos'!DJ395,'LP Reactivos'!DO395,'LP Reactivos'!DT395,'LP Reactivos'!DY395,'LP Reactivos'!EB395)," ")</f>
        <v>2556489.852</v>
      </c>
      <c r="E395" s="429">
        <f>IFERROR(AVERAGE('LP Reactivos'!F395,'LP Reactivos'!I395,'LP Reactivos'!N395,'LP Reactivos'!S395,'LP Reactivos'!X395,'LP Reactivos'!AC395,'LP Reactivos'!AH395,'LP Reactivos'!AM395,'LP Reactivos'!AR395,'LP Reactivos'!AW395,'LP Reactivos'!BB395,'LP Reactivos'!BG395,'LP Reactivos'!BL395,'LP Reactivos'!BQ395,'LP Reactivos'!BV395,'LP Reactivos'!CA395,'LP Reactivos'!CF395,'LP Reactivos'!CK395,'LP Reactivos'!CP395,'LP Reactivos'!CU395,'LP Reactivos'!CZ395,'LP Reactivos'!DE395,'LP Reactivos'!DJ395,'LP Reactivos'!DO395,'LP Reactivos'!DT395,'LP Reactivos'!DY395,'LP Reactivos'!EB395)," ")</f>
        <v>2556489.852</v>
      </c>
      <c r="F395" s="345">
        <f>IFERROR(MEDIAN('LP Reactivos'!F395,'LP Reactivos'!I395,'LP Reactivos'!N395,'LP Reactivos'!S395,'LP Reactivos'!X395,'LP Reactivos'!AC395,'LP Reactivos'!AH395,'LP Reactivos'!AM395,'LP Reactivos'!AR395,'LP Reactivos'!AW395,'LP Reactivos'!BB395,'LP Reactivos'!BG395,'LP Reactivos'!BL395,'LP Reactivos'!BQ395,'LP Reactivos'!BV395,'LP Reactivos'!CA395,'LP Reactivos'!CF395,'LP Reactivos'!CK395,'LP Reactivos'!CP395,'LP Reactivos'!CU395,'LP Reactivos'!CZ395,'LP Reactivos'!DE395,'LP Reactivos'!DJ395,'LP Reactivos'!DO395,'LP Reactivos'!DT395,'LP Reactivos'!DY395,'LP Reactivos'!EB395)," ")</f>
        <v>2556489.852</v>
      </c>
      <c r="G395" s="345">
        <f>IFERROR(GEOMEAN('LP Reactivos'!F395,'LP Reactivos'!I395,'LP Reactivos'!N395,'LP Reactivos'!S395,'LP Reactivos'!X395,'LP Reactivos'!AC395,'LP Reactivos'!AH395,'LP Reactivos'!AM395,'LP Reactivos'!AR395,'LP Reactivos'!AW395,'LP Reactivos'!BB395,'LP Reactivos'!BG395,'LP Reactivos'!BL395,'LP Reactivos'!BQ395,'LP Reactivos'!BV395,'LP Reactivos'!CA395,'LP Reactivos'!CF395,'LP Reactivos'!CK395,'LP Reactivos'!CP395,'LP Reactivos'!CU395,'LP Reactivos'!CZ395,'LP Reactivos'!DE395,'LP Reactivos'!DJ395,'LP Reactivos'!DO395,'LP Reactivos'!DT395,'LP Reactivos'!DY395,'LP Reactivos'!EB395)," ")</f>
        <v>2556489.852</v>
      </c>
      <c r="H395" s="345">
        <f t="shared" si="24"/>
        <v>0</v>
      </c>
      <c r="I395" s="346">
        <f t="shared" si="25"/>
        <v>0</v>
      </c>
      <c r="J395" s="345">
        <f t="shared" si="26"/>
        <v>2556489.852</v>
      </c>
      <c r="K395" s="344" t="str">
        <f t="shared" si="27"/>
        <v>Menor Valor</v>
      </c>
      <c r="L395" s="326">
        <f>IFERROR(COUNTA('LP Reactivos'!F395,'LP Reactivos'!I395,'LP Reactivos'!N395,'LP Reactivos'!S395,'LP Reactivos'!X395,'LP Reactivos'!AC395,'LP Reactivos'!AH395,'LP Reactivos'!AM395,'LP Reactivos'!AR395,'LP Reactivos'!AW395,'LP Reactivos'!BB395,'LP Reactivos'!BG395,'LP Reactivos'!BL395,'LP Reactivos'!BQ395,'LP Reactivos'!BV395,'LP Reactivos'!CA395,'LP Reactivos'!CF395,'LP Reactivos'!CK395,'LP Reactivos'!CP395,'LP Reactivos'!CU395,'LP Reactivos'!CZ395,'LP Reactivos'!DE395,'LP Reactivos'!DJ395,'LP Reactivos'!DO395,'LP Reactivos'!DT395,'LP Reactivos'!DY395,'LP Reactivos'!EB395)," ")</f>
        <v>1</v>
      </c>
    </row>
    <row r="396" spans="2:12" x14ac:dyDescent="0.25">
      <c r="B396" s="425">
        <v>394</v>
      </c>
      <c r="C396" s="427" t="s">
        <v>2006</v>
      </c>
      <c r="D396" s="429">
        <f>IFERROR(MIN('LP Reactivos'!F396,'LP Reactivos'!I396,'LP Reactivos'!N396,'LP Reactivos'!S396,'LP Reactivos'!X396,'LP Reactivos'!AC396,'LP Reactivos'!AH396,'LP Reactivos'!AM396,'LP Reactivos'!AR396,'LP Reactivos'!AW396,'LP Reactivos'!BB396,'LP Reactivos'!BG396,'LP Reactivos'!BL396,'LP Reactivos'!BQ396,'LP Reactivos'!BV396,'LP Reactivos'!CA396,'LP Reactivos'!CF396,'LP Reactivos'!CK396,'LP Reactivos'!CP396,'LP Reactivos'!CU396,'LP Reactivos'!CZ396,'LP Reactivos'!DE396,'LP Reactivos'!DJ396,'LP Reactivos'!DO396,'LP Reactivos'!DT396,'LP Reactivos'!DY396,'LP Reactivos'!EB396)," ")</f>
        <v>221340</v>
      </c>
      <c r="E396" s="429">
        <f>IFERROR(AVERAGE('LP Reactivos'!F396,'LP Reactivos'!I396,'LP Reactivos'!N396,'LP Reactivos'!S396,'LP Reactivos'!X396,'LP Reactivos'!AC396,'LP Reactivos'!AH396,'LP Reactivos'!AM396,'LP Reactivos'!AR396,'LP Reactivos'!AW396,'LP Reactivos'!BB396,'LP Reactivos'!BG396,'LP Reactivos'!BL396,'LP Reactivos'!BQ396,'LP Reactivos'!BV396,'LP Reactivos'!CA396,'LP Reactivos'!CF396,'LP Reactivos'!CK396,'LP Reactivos'!CP396,'LP Reactivos'!CU396,'LP Reactivos'!CZ396,'LP Reactivos'!DE396,'LP Reactivos'!DJ396,'LP Reactivos'!DO396,'LP Reactivos'!DT396,'LP Reactivos'!DY396,'LP Reactivos'!EB396)," ")</f>
        <v>616563.39500000002</v>
      </c>
      <c r="F396" s="345">
        <f>IFERROR(MEDIAN('LP Reactivos'!F396,'LP Reactivos'!I396,'LP Reactivos'!N396,'LP Reactivos'!S396,'LP Reactivos'!X396,'LP Reactivos'!AC396,'LP Reactivos'!AH396,'LP Reactivos'!AM396,'LP Reactivos'!AR396,'LP Reactivos'!AW396,'LP Reactivos'!BB396,'LP Reactivos'!BG396,'LP Reactivos'!BL396,'LP Reactivos'!BQ396,'LP Reactivos'!BV396,'LP Reactivos'!CA396,'LP Reactivos'!CF396,'LP Reactivos'!CK396,'LP Reactivos'!CP396,'LP Reactivos'!CU396,'LP Reactivos'!CZ396,'LP Reactivos'!DE396,'LP Reactivos'!DJ396,'LP Reactivos'!DO396,'LP Reactivos'!DT396,'LP Reactivos'!DY396,'LP Reactivos'!EB396)," ")</f>
        <v>616563.39500000002</v>
      </c>
      <c r="G396" s="345">
        <f>IFERROR(GEOMEAN('LP Reactivos'!F396,'LP Reactivos'!I396,'LP Reactivos'!N396,'LP Reactivos'!S396,'LP Reactivos'!X396,'LP Reactivos'!AC396,'LP Reactivos'!AH396,'LP Reactivos'!AM396,'LP Reactivos'!AR396,'LP Reactivos'!AW396,'LP Reactivos'!BB396,'LP Reactivos'!BG396,'LP Reactivos'!BL396,'LP Reactivos'!BQ396,'LP Reactivos'!BV396,'LP Reactivos'!CA396,'LP Reactivos'!CF396,'LP Reactivos'!CK396,'LP Reactivos'!CP396,'LP Reactivos'!CU396,'LP Reactivos'!CZ396,'LP Reactivos'!DE396,'LP Reactivos'!DJ396,'LP Reactivos'!DO396,'LP Reactivos'!DT396,'LP Reactivos'!DY396,'LP Reactivos'!EB396)," ")</f>
        <v>473232.38276622619</v>
      </c>
      <c r="H396" s="345">
        <f t="shared" si="24"/>
        <v>186400.19548948415</v>
      </c>
      <c r="I396" s="346">
        <f t="shared" si="25"/>
        <v>0.30232121627895886</v>
      </c>
      <c r="J396" s="345">
        <f>IF(I396&lt;=10%,F396,IF(AND(I396&gt;10%,I396&lt;=20%),E396,IF(AND(I396&gt;20%,I396&lt;=31%),G396,IF(I396&gt;31%,D396))))</f>
        <v>473232.38276622619</v>
      </c>
      <c r="K396" s="344" t="str">
        <f t="shared" si="27"/>
        <v>Media Geométrica</v>
      </c>
      <c r="L396" s="326">
        <f>IFERROR(COUNTA('LP Reactivos'!F396,'LP Reactivos'!I396,'LP Reactivos'!N396,'LP Reactivos'!S396,'LP Reactivos'!X396,'LP Reactivos'!AC396,'LP Reactivos'!AH396,'LP Reactivos'!AM396,'LP Reactivos'!AR396,'LP Reactivos'!AW396,'LP Reactivos'!BB396,'LP Reactivos'!BG396,'LP Reactivos'!BL396,'LP Reactivos'!BQ396,'LP Reactivos'!BV396,'LP Reactivos'!CA396,'LP Reactivos'!CF396,'LP Reactivos'!CK396,'LP Reactivos'!CP396,'LP Reactivos'!CU396,'LP Reactivos'!CZ396,'LP Reactivos'!DE396,'LP Reactivos'!DJ396,'LP Reactivos'!DO396,'LP Reactivos'!DT396,'LP Reactivos'!DY396,'LP Reactivos'!EB396)," ")</f>
        <v>2</v>
      </c>
    </row>
    <row r="397" spans="2:12" ht="67.5" x14ac:dyDescent="0.25">
      <c r="B397" s="425">
        <v>395</v>
      </c>
      <c r="C397" s="427" t="s">
        <v>2009</v>
      </c>
      <c r="D397" s="429">
        <f>IFERROR(MIN('LP Reactivos'!F397,'LP Reactivos'!I397,'LP Reactivos'!N397,'LP Reactivos'!S397,'LP Reactivos'!X397,'LP Reactivos'!AC397,'LP Reactivos'!AH397,'LP Reactivos'!AM397,'LP Reactivos'!AR397,'LP Reactivos'!AW397,'LP Reactivos'!BB397,'LP Reactivos'!BG397,'LP Reactivos'!BL397,'LP Reactivos'!BQ397,'LP Reactivos'!BV397,'LP Reactivos'!CA397,'LP Reactivos'!CF397,'LP Reactivos'!CK397,'LP Reactivos'!CP397,'LP Reactivos'!CU397,'LP Reactivos'!CZ397,'LP Reactivos'!DE397,'LP Reactivos'!DJ397,'LP Reactivos'!DO397,'LP Reactivos'!DT397,'LP Reactivos'!DY397,'LP Reactivos'!EB397)," ")</f>
        <v>173264</v>
      </c>
      <c r="E397" s="429">
        <f>IFERROR(AVERAGE('LP Reactivos'!F397,'LP Reactivos'!I397,'LP Reactivos'!N397,'LP Reactivos'!S397,'LP Reactivos'!X397,'LP Reactivos'!AC397,'LP Reactivos'!AH397,'LP Reactivos'!AM397,'LP Reactivos'!AR397,'LP Reactivos'!AW397,'LP Reactivos'!BB397,'LP Reactivos'!BG397,'LP Reactivos'!BL397,'LP Reactivos'!BQ397,'LP Reactivos'!BV397,'LP Reactivos'!CA397,'LP Reactivos'!CF397,'LP Reactivos'!CK397,'LP Reactivos'!CP397,'LP Reactivos'!CU397,'LP Reactivos'!CZ397,'LP Reactivos'!DE397,'LP Reactivos'!DJ397,'LP Reactivos'!DO397,'LP Reactivos'!DT397,'LP Reactivos'!DY397,'LP Reactivos'!EB397)," ")</f>
        <v>1261731.9237249999</v>
      </c>
      <c r="F397" s="345">
        <f>IFERROR(MEDIAN('LP Reactivos'!F397,'LP Reactivos'!I397,'LP Reactivos'!N397,'LP Reactivos'!S397,'LP Reactivos'!X397,'LP Reactivos'!AC397,'LP Reactivos'!AH397,'LP Reactivos'!AM397,'LP Reactivos'!AR397,'LP Reactivos'!AW397,'LP Reactivos'!BB397,'LP Reactivos'!BG397,'LP Reactivos'!BL397,'LP Reactivos'!BQ397,'LP Reactivos'!BV397,'LP Reactivos'!CA397,'LP Reactivos'!CF397,'LP Reactivos'!CK397,'LP Reactivos'!CP397,'LP Reactivos'!CU397,'LP Reactivos'!CZ397,'LP Reactivos'!DE397,'LP Reactivos'!DJ397,'LP Reactivos'!DO397,'LP Reactivos'!DT397,'LP Reactivos'!DY397,'LP Reactivos'!EB397)," ")</f>
        <v>206954.92300000001</v>
      </c>
      <c r="G397" s="345">
        <f>IFERROR(GEOMEAN('LP Reactivos'!F397,'LP Reactivos'!I397,'LP Reactivos'!N397,'LP Reactivos'!S397,'LP Reactivos'!X397,'LP Reactivos'!AC397,'LP Reactivos'!AH397,'LP Reactivos'!AM397,'LP Reactivos'!AR397,'LP Reactivos'!AW397,'LP Reactivos'!BB397,'LP Reactivos'!BG397,'LP Reactivos'!BL397,'LP Reactivos'!BQ397,'LP Reactivos'!BV397,'LP Reactivos'!CA397,'LP Reactivos'!CF397,'LP Reactivos'!CK397,'LP Reactivos'!CP397,'LP Reactivos'!CU397,'LP Reactivos'!CZ397,'LP Reactivos'!DE397,'LP Reactivos'!DJ397,'LP Reactivos'!DO397,'LP Reactivos'!DT397,'LP Reactivos'!DY397,'LP Reactivos'!EB397)," ")</f>
        <v>426292.39790522982</v>
      </c>
      <c r="H397" s="345">
        <f t="shared" si="24"/>
        <v>508964.92347013159</v>
      </c>
      <c r="I397" s="346">
        <f t="shared" si="25"/>
        <v>0.40338594427215491</v>
      </c>
      <c r="J397" s="345">
        <f>IF(I397&lt;=10%,F397,IF(AND(I397&gt;10%,I397&lt;=20%),E397,IF(AND(I397&gt;20%,I397&lt;=41%),G397,IF(I397&gt;41%,D397))))</f>
        <v>426292.39790522982</v>
      </c>
      <c r="K397" s="344" t="str">
        <f t="shared" si="27"/>
        <v>Media Geométrica</v>
      </c>
      <c r="L397" s="326">
        <f>IFERROR(COUNTA('LP Reactivos'!F397,'LP Reactivos'!I397,'LP Reactivos'!N397,'LP Reactivos'!S397,'LP Reactivos'!X397,'LP Reactivos'!AC397,'LP Reactivos'!AH397,'LP Reactivos'!AM397,'LP Reactivos'!AR397,'LP Reactivos'!AW397,'LP Reactivos'!BB397,'LP Reactivos'!BG397,'LP Reactivos'!BL397,'LP Reactivos'!BQ397,'LP Reactivos'!BV397,'LP Reactivos'!CA397,'LP Reactivos'!CF397,'LP Reactivos'!CK397,'LP Reactivos'!CP397,'LP Reactivos'!CU397,'LP Reactivos'!CZ397,'LP Reactivos'!DE397,'LP Reactivos'!DJ397,'LP Reactivos'!DO397,'LP Reactivos'!DT397,'LP Reactivos'!DY397,'LP Reactivos'!EB397)," ")</f>
        <v>4</v>
      </c>
    </row>
    <row r="398" spans="2:12" ht="27" x14ac:dyDescent="0.25">
      <c r="B398" s="425">
        <v>396</v>
      </c>
      <c r="C398" s="426" t="s">
        <v>2014</v>
      </c>
      <c r="D398" s="429">
        <f>IFERROR(MIN('LP Reactivos'!F398,'LP Reactivos'!I398,'LP Reactivos'!N398,'LP Reactivos'!S398,'LP Reactivos'!X398,'LP Reactivos'!AC398,'LP Reactivos'!AH398,'LP Reactivos'!AM398,'LP Reactivos'!AR398,'LP Reactivos'!AW398,'LP Reactivos'!BB398,'LP Reactivos'!BG398,'LP Reactivos'!BL398,'LP Reactivos'!BQ398,'LP Reactivos'!BV398,'LP Reactivos'!CA398,'LP Reactivos'!CF398,'LP Reactivos'!CK398,'LP Reactivos'!CP398,'LP Reactivos'!CU398,'LP Reactivos'!CZ398,'LP Reactivos'!DE398,'LP Reactivos'!DJ398,'LP Reactivos'!DO398,'LP Reactivos'!DT398,'LP Reactivos'!DY398,'LP Reactivos'!EB398)," ")</f>
        <v>4493278.6466000006</v>
      </c>
      <c r="E398" s="429">
        <f>IFERROR(AVERAGE('LP Reactivos'!F398,'LP Reactivos'!I398,'LP Reactivos'!N398,'LP Reactivos'!S398,'LP Reactivos'!X398,'LP Reactivos'!AC398,'LP Reactivos'!AH398,'LP Reactivos'!AM398,'LP Reactivos'!AR398,'LP Reactivos'!AW398,'LP Reactivos'!BB398,'LP Reactivos'!BG398,'LP Reactivos'!BL398,'LP Reactivos'!BQ398,'LP Reactivos'!BV398,'LP Reactivos'!CA398,'LP Reactivos'!CF398,'LP Reactivos'!CK398,'LP Reactivos'!CP398,'LP Reactivos'!CU398,'LP Reactivos'!CZ398,'LP Reactivos'!DE398,'LP Reactivos'!DJ398,'LP Reactivos'!DO398,'LP Reactivos'!DT398,'LP Reactivos'!DY398,'LP Reactivos'!EB398)," ")</f>
        <v>4493278.6466000006</v>
      </c>
      <c r="F398" s="345">
        <f>IFERROR(MEDIAN('LP Reactivos'!F398,'LP Reactivos'!I398,'LP Reactivos'!N398,'LP Reactivos'!S398,'LP Reactivos'!X398,'LP Reactivos'!AC398,'LP Reactivos'!AH398,'LP Reactivos'!AM398,'LP Reactivos'!AR398,'LP Reactivos'!AW398,'LP Reactivos'!BB398,'LP Reactivos'!BG398,'LP Reactivos'!BL398,'LP Reactivos'!BQ398,'LP Reactivos'!BV398,'LP Reactivos'!CA398,'LP Reactivos'!CF398,'LP Reactivos'!CK398,'LP Reactivos'!CP398,'LP Reactivos'!CU398,'LP Reactivos'!CZ398,'LP Reactivos'!DE398,'LP Reactivos'!DJ398,'LP Reactivos'!DO398,'LP Reactivos'!DT398,'LP Reactivos'!DY398,'LP Reactivos'!EB398)," ")</f>
        <v>4493278.6466000006</v>
      </c>
      <c r="G398" s="345">
        <f>IFERROR(GEOMEAN('LP Reactivos'!F398,'LP Reactivos'!I398,'LP Reactivos'!N398,'LP Reactivos'!S398,'LP Reactivos'!X398,'LP Reactivos'!AC398,'LP Reactivos'!AH398,'LP Reactivos'!AM398,'LP Reactivos'!AR398,'LP Reactivos'!AW398,'LP Reactivos'!BB398,'LP Reactivos'!BG398,'LP Reactivos'!BL398,'LP Reactivos'!BQ398,'LP Reactivos'!BV398,'LP Reactivos'!CA398,'LP Reactivos'!CF398,'LP Reactivos'!CK398,'LP Reactivos'!CP398,'LP Reactivos'!CU398,'LP Reactivos'!CZ398,'LP Reactivos'!DE398,'LP Reactivos'!DJ398,'LP Reactivos'!DO398,'LP Reactivos'!DT398,'LP Reactivos'!DY398,'LP Reactivos'!EB398)," ")</f>
        <v>4493278.6466000006</v>
      </c>
      <c r="H398" s="345">
        <f t="shared" si="24"/>
        <v>0</v>
      </c>
      <c r="I398" s="346">
        <f t="shared" si="25"/>
        <v>0</v>
      </c>
      <c r="J398" s="345">
        <f t="shared" si="26"/>
        <v>4493278.6466000006</v>
      </c>
      <c r="K398" s="344" t="str">
        <f t="shared" si="27"/>
        <v>Menor Valor</v>
      </c>
      <c r="L398" s="326">
        <f>IFERROR(COUNTA('LP Reactivos'!F398,'LP Reactivos'!I398,'LP Reactivos'!N398,'LP Reactivos'!S398,'LP Reactivos'!X398,'LP Reactivos'!AC398,'LP Reactivos'!AH398,'LP Reactivos'!AM398,'LP Reactivos'!AR398,'LP Reactivos'!AW398,'LP Reactivos'!BB398,'LP Reactivos'!BG398,'LP Reactivos'!BL398,'LP Reactivos'!BQ398,'LP Reactivos'!BV398,'LP Reactivos'!CA398,'LP Reactivos'!CF398,'LP Reactivos'!CK398,'LP Reactivos'!CP398,'LP Reactivos'!CU398,'LP Reactivos'!CZ398,'LP Reactivos'!DE398,'LP Reactivos'!DJ398,'LP Reactivos'!DO398,'LP Reactivos'!DT398,'LP Reactivos'!DY398,'LP Reactivos'!EB398)," ")</f>
        <v>1</v>
      </c>
    </row>
    <row r="399" spans="2:12" x14ac:dyDescent="0.25">
      <c r="B399" s="425">
        <v>397</v>
      </c>
      <c r="C399" s="428" t="s">
        <v>2015</v>
      </c>
      <c r="D399" s="429">
        <f>IFERROR(MIN('LP Reactivos'!F399,'LP Reactivos'!I399,'LP Reactivos'!N399,'LP Reactivos'!S399,'LP Reactivos'!X399,'LP Reactivos'!AC399,'LP Reactivos'!AH399,'LP Reactivos'!AM399,'LP Reactivos'!AR399,'LP Reactivos'!AW399,'LP Reactivos'!BB399,'LP Reactivos'!BG399,'LP Reactivos'!BL399,'LP Reactivos'!BQ399,'LP Reactivos'!BV399,'LP Reactivos'!CA399,'LP Reactivos'!CF399,'LP Reactivos'!CK399,'LP Reactivos'!CP399,'LP Reactivos'!CU399,'LP Reactivos'!CZ399,'LP Reactivos'!DE399,'LP Reactivos'!DJ399,'LP Reactivos'!DO399,'LP Reactivos'!DT399,'LP Reactivos'!DY399,'LP Reactivos'!EB399)," ")</f>
        <v>614074.68000000005</v>
      </c>
      <c r="E399" s="429">
        <f>IFERROR(AVERAGE('LP Reactivos'!F399,'LP Reactivos'!I399,'LP Reactivos'!N399,'LP Reactivos'!S399,'LP Reactivos'!X399,'LP Reactivos'!AC399,'LP Reactivos'!AH399,'LP Reactivos'!AM399,'LP Reactivos'!AR399,'LP Reactivos'!AW399,'LP Reactivos'!BB399,'LP Reactivos'!BG399,'LP Reactivos'!BL399,'LP Reactivos'!BQ399,'LP Reactivos'!BV399,'LP Reactivos'!CA399,'LP Reactivos'!CF399,'LP Reactivos'!CK399,'LP Reactivos'!CP399,'LP Reactivos'!CU399,'LP Reactivos'!CZ399,'LP Reactivos'!DE399,'LP Reactivos'!DJ399,'LP Reactivos'!DO399,'LP Reactivos'!DT399,'LP Reactivos'!DY399,'LP Reactivos'!EB399)," ")</f>
        <v>614074.68000000005</v>
      </c>
      <c r="F399" s="345">
        <f>IFERROR(MEDIAN('LP Reactivos'!F399,'LP Reactivos'!I399,'LP Reactivos'!N399,'LP Reactivos'!S399,'LP Reactivos'!X399,'LP Reactivos'!AC399,'LP Reactivos'!AH399,'LP Reactivos'!AM399,'LP Reactivos'!AR399,'LP Reactivos'!AW399,'LP Reactivos'!BB399,'LP Reactivos'!BG399,'LP Reactivos'!BL399,'LP Reactivos'!BQ399,'LP Reactivos'!BV399,'LP Reactivos'!CA399,'LP Reactivos'!CF399,'LP Reactivos'!CK399,'LP Reactivos'!CP399,'LP Reactivos'!CU399,'LP Reactivos'!CZ399,'LP Reactivos'!DE399,'LP Reactivos'!DJ399,'LP Reactivos'!DO399,'LP Reactivos'!DT399,'LP Reactivos'!DY399,'LP Reactivos'!EB399)," ")</f>
        <v>614074.68000000005</v>
      </c>
      <c r="G399" s="345">
        <f>IFERROR(GEOMEAN('LP Reactivos'!F399,'LP Reactivos'!I399,'LP Reactivos'!N399,'LP Reactivos'!S399,'LP Reactivos'!X399,'LP Reactivos'!AC399,'LP Reactivos'!AH399,'LP Reactivos'!AM399,'LP Reactivos'!AR399,'LP Reactivos'!AW399,'LP Reactivos'!BB399,'LP Reactivos'!BG399,'LP Reactivos'!BL399,'LP Reactivos'!BQ399,'LP Reactivos'!BV399,'LP Reactivos'!CA399,'LP Reactivos'!CF399,'LP Reactivos'!CK399,'LP Reactivos'!CP399,'LP Reactivos'!CU399,'LP Reactivos'!CZ399,'LP Reactivos'!DE399,'LP Reactivos'!DJ399,'LP Reactivos'!DO399,'LP Reactivos'!DT399,'LP Reactivos'!DY399,'LP Reactivos'!EB399)," ")</f>
        <v>614074.68000000005</v>
      </c>
      <c r="H399" s="345">
        <f t="shared" si="24"/>
        <v>0</v>
      </c>
      <c r="I399" s="346">
        <f t="shared" si="25"/>
        <v>0</v>
      </c>
      <c r="J399" s="345">
        <f t="shared" si="26"/>
        <v>614074.68000000005</v>
      </c>
      <c r="K399" s="344" t="str">
        <f t="shared" si="27"/>
        <v>Menor Valor</v>
      </c>
      <c r="L399" s="326">
        <f>IFERROR(COUNTA('LP Reactivos'!F399,'LP Reactivos'!I399,'LP Reactivos'!N399,'LP Reactivos'!S399,'LP Reactivos'!X399,'LP Reactivos'!AC399,'LP Reactivos'!AH399,'LP Reactivos'!AM399,'LP Reactivos'!AR399,'LP Reactivos'!AW399,'LP Reactivos'!BB399,'LP Reactivos'!BG399,'LP Reactivos'!BL399,'LP Reactivos'!BQ399,'LP Reactivos'!BV399,'LP Reactivos'!CA399,'LP Reactivos'!CF399,'LP Reactivos'!CK399,'LP Reactivos'!CP399,'LP Reactivos'!CU399,'LP Reactivos'!CZ399,'LP Reactivos'!DE399,'LP Reactivos'!DJ399,'LP Reactivos'!DO399,'LP Reactivos'!DT399,'LP Reactivos'!DY399,'LP Reactivos'!EB399)," ")</f>
        <v>1</v>
      </c>
    </row>
    <row r="400" spans="2:12" ht="27" x14ac:dyDescent="0.25">
      <c r="B400" s="425">
        <v>398</v>
      </c>
      <c r="C400" s="427" t="s">
        <v>2018</v>
      </c>
      <c r="D400" s="429">
        <f>IFERROR(MIN('LP Reactivos'!F400,'LP Reactivos'!I400,'LP Reactivos'!N400,'LP Reactivos'!S400,'LP Reactivos'!X400,'LP Reactivos'!AC400,'LP Reactivos'!AH400,'LP Reactivos'!AM400,'LP Reactivos'!AR400,'LP Reactivos'!AW400,'LP Reactivos'!BB400,'LP Reactivos'!BG400,'LP Reactivos'!BL400,'LP Reactivos'!BQ400,'LP Reactivos'!BV400,'LP Reactivos'!CA400,'LP Reactivos'!CF400,'LP Reactivos'!CK400,'LP Reactivos'!CP400,'LP Reactivos'!CU400,'LP Reactivos'!CZ400,'LP Reactivos'!DE400,'LP Reactivos'!DJ400,'LP Reactivos'!DO400,'LP Reactivos'!DT400,'LP Reactivos'!DY400,'LP Reactivos'!EB400)," ")</f>
        <v>3210319.9</v>
      </c>
      <c r="E400" s="429">
        <f>IFERROR(AVERAGE('LP Reactivos'!F400,'LP Reactivos'!I400,'LP Reactivos'!N400,'LP Reactivos'!S400,'LP Reactivos'!X400,'LP Reactivos'!AC400,'LP Reactivos'!AH400,'LP Reactivos'!AM400,'LP Reactivos'!AR400,'LP Reactivos'!AW400,'LP Reactivos'!BB400,'LP Reactivos'!BG400,'LP Reactivos'!BL400,'LP Reactivos'!BQ400,'LP Reactivos'!BV400,'LP Reactivos'!CA400,'LP Reactivos'!CF400,'LP Reactivos'!CK400,'LP Reactivos'!CP400,'LP Reactivos'!CU400,'LP Reactivos'!CZ400,'LP Reactivos'!DE400,'LP Reactivos'!DJ400,'LP Reactivos'!DO400,'LP Reactivos'!DT400,'LP Reactivos'!DY400,'LP Reactivos'!EB400)," ")</f>
        <v>3210319.9</v>
      </c>
      <c r="F400" s="345">
        <f>IFERROR(MEDIAN('LP Reactivos'!F400,'LP Reactivos'!I400,'LP Reactivos'!N400,'LP Reactivos'!S400,'LP Reactivos'!X400,'LP Reactivos'!AC400,'LP Reactivos'!AH400,'LP Reactivos'!AM400,'LP Reactivos'!AR400,'LP Reactivos'!AW400,'LP Reactivos'!BB400,'LP Reactivos'!BG400,'LP Reactivos'!BL400,'LP Reactivos'!BQ400,'LP Reactivos'!BV400,'LP Reactivos'!CA400,'LP Reactivos'!CF400,'LP Reactivos'!CK400,'LP Reactivos'!CP400,'LP Reactivos'!CU400,'LP Reactivos'!CZ400,'LP Reactivos'!DE400,'LP Reactivos'!DJ400,'LP Reactivos'!DO400,'LP Reactivos'!DT400,'LP Reactivos'!DY400,'LP Reactivos'!EB400)," ")</f>
        <v>3210319.9</v>
      </c>
      <c r="G400" s="345">
        <f>IFERROR(GEOMEAN('LP Reactivos'!F400,'LP Reactivos'!I400,'LP Reactivos'!N400,'LP Reactivos'!S400,'LP Reactivos'!X400,'LP Reactivos'!AC400,'LP Reactivos'!AH400,'LP Reactivos'!AM400,'LP Reactivos'!AR400,'LP Reactivos'!AW400,'LP Reactivos'!BB400,'LP Reactivos'!BG400,'LP Reactivos'!BL400,'LP Reactivos'!BQ400,'LP Reactivos'!BV400,'LP Reactivos'!CA400,'LP Reactivos'!CF400,'LP Reactivos'!CK400,'LP Reactivos'!CP400,'LP Reactivos'!CU400,'LP Reactivos'!CZ400,'LP Reactivos'!DE400,'LP Reactivos'!DJ400,'LP Reactivos'!DO400,'LP Reactivos'!DT400,'LP Reactivos'!DY400,'LP Reactivos'!EB400)," ")</f>
        <v>3210319.9</v>
      </c>
      <c r="H400" s="345">
        <f t="shared" si="24"/>
        <v>0</v>
      </c>
      <c r="I400" s="346">
        <f t="shared" si="25"/>
        <v>0</v>
      </c>
      <c r="J400" s="345">
        <f t="shared" si="26"/>
        <v>3210319.9</v>
      </c>
      <c r="K400" s="344" t="str">
        <f t="shared" si="27"/>
        <v>Menor Valor</v>
      </c>
      <c r="L400" s="326">
        <f>IFERROR(COUNTA('LP Reactivos'!F400,'LP Reactivos'!I400,'LP Reactivos'!N400,'LP Reactivos'!S400,'LP Reactivos'!X400,'LP Reactivos'!AC400,'LP Reactivos'!AH400,'LP Reactivos'!AM400,'LP Reactivos'!AR400,'LP Reactivos'!AW400,'LP Reactivos'!BB400,'LP Reactivos'!BG400,'LP Reactivos'!BL400,'LP Reactivos'!BQ400,'LP Reactivos'!BV400,'LP Reactivos'!CA400,'LP Reactivos'!CF400,'LP Reactivos'!CK400,'LP Reactivos'!CP400,'LP Reactivos'!CU400,'LP Reactivos'!CZ400,'LP Reactivos'!DE400,'LP Reactivos'!DJ400,'LP Reactivos'!DO400,'LP Reactivos'!DT400,'LP Reactivos'!DY400,'LP Reactivos'!EB400)," ")</f>
        <v>1</v>
      </c>
    </row>
    <row r="401" spans="2:12" x14ac:dyDescent="0.25">
      <c r="B401" s="425">
        <v>399</v>
      </c>
      <c r="C401" s="427" t="s">
        <v>2021</v>
      </c>
      <c r="D401" s="429">
        <f>IFERROR(MIN('LP Reactivos'!F401,'LP Reactivos'!I401,'LP Reactivos'!N401,'LP Reactivos'!S401,'LP Reactivos'!X401,'LP Reactivos'!AC401,'LP Reactivos'!AH401,'LP Reactivos'!AM401,'LP Reactivos'!AR401,'LP Reactivos'!AW401,'LP Reactivos'!BB401,'LP Reactivos'!BG401,'LP Reactivos'!BL401,'LP Reactivos'!BQ401,'LP Reactivos'!BV401,'LP Reactivos'!CA401,'LP Reactivos'!CF401,'LP Reactivos'!CK401,'LP Reactivos'!CP401,'LP Reactivos'!CU401,'LP Reactivos'!CZ401,'LP Reactivos'!DE401,'LP Reactivos'!DJ401,'LP Reactivos'!DO401,'LP Reactivos'!DT401,'LP Reactivos'!DY401,'LP Reactivos'!EB401)," ")</f>
        <v>628439</v>
      </c>
      <c r="E401" s="429">
        <f>IFERROR(AVERAGE('LP Reactivos'!F401,'LP Reactivos'!I401,'LP Reactivos'!N401,'LP Reactivos'!S401,'LP Reactivos'!X401,'LP Reactivos'!AC401,'LP Reactivos'!AH401,'LP Reactivos'!AM401,'LP Reactivos'!AR401,'LP Reactivos'!AW401,'LP Reactivos'!BB401,'LP Reactivos'!BG401,'LP Reactivos'!BL401,'LP Reactivos'!BQ401,'LP Reactivos'!BV401,'LP Reactivos'!CA401,'LP Reactivos'!CF401,'LP Reactivos'!CK401,'LP Reactivos'!CP401,'LP Reactivos'!CU401,'LP Reactivos'!CZ401,'LP Reactivos'!DE401,'LP Reactivos'!DJ401,'LP Reactivos'!DO401,'LP Reactivos'!DT401,'LP Reactivos'!DY401,'LP Reactivos'!EB401)," ")</f>
        <v>628439</v>
      </c>
      <c r="F401" s="345">
        <f>IFERROR(MEDIAN('LP Reactivos'!F401,'LP Reactivos'!I401,'LP Reactivos'!N401,'LP Reactivos'!S401,'LP Reactivos'!X401,'LP Reactivos'!AC401,'LP Reactivos'!AH401,'LP Reactivos'!AM401,'LP Reactivos'!AR401,'LP Reactivos'!AW401,'LP Reactivos'!BB401,'LP Reactivos'!BG401,'LP Reactivos'!BL401,'LP Reactivos'!BQ401,'LP Reactivos'!BV401,'LP Reactivos'!CA401,'LP Reactivos'!CF401,'LP Reactivos'!CK401,'LP Reactivos'!CP401,'LP Reactivos'!CU401,'LP Reactivos'!CZ401,'LP Reactivos'!DE401,'LP Reactivos'!DJ401,'LP Reactivos'!DO401,'LP Reactivos'!DT401,'LP Reactivos'!DY401,'LP Reactivos'!EB401)," ")</f>
        <v>628439</v>
      </c>
      <c r="G401" s="345">
        <f>IFERROR(GEOMEAN('LP Reactivos'!F401,'LP Reactivos'!I401,'LP Reactivos'!N401,'LP Reactivos'!S401,'LP Reactivos'!X401,'LP Reactivos'!AC401,'LP Reactivos'!AH401,'LP Reactivos'!AM401,'LP Reactivos'!AR401,'LP Reactivos'!AW401,'LP Reactivos'!BB401,'LP Reactivos'!BG401,'LP Reactivos'!BL401,'LP Reactivos'!BQ401,'LP Reactivos'!BV401,'LP Reactivos'!CA401,'LP Reactivos'!CF401,'LP Reactivos'!CK401,'LP Reactivos'!CP401,'LP Reactivos'!CU401,'LP Reactivos'!CZ401,'LP Reactivos'!DE401,'LP Reactivos'!DJ401,'LP Reactivos'!DO401,'LP Reactivos'!DT401,'LP Reactivos'!DY401,'LP Reactivos'!EB401)," ")</f>
        <v>628439</v>
      </c>
      <c r="H401" s="345">
        <f t="shared" si="24"/>
        <v>0</v>
      </c>
      <c r="I401" s="346">
        <f t="shared" si="25"/>
        <v>0</v>
      </c>
      <c r="J401" s="345">
        <f t="shared" si="26"/>
        <v>628439</v>
      </c>
      <c r="K401" s="344" t="str">
        <f t="shared" si="27"/>
        <v>Menor Valor</v>
      </c>
      <c r="L401" s="326">
        <f>IFERROR(COUNTA('LP Reactivos'!F401,'LP Reactivos'!I401,'LP Reactivos'!N401,'LP Reactivos'!S401,'LP Reactivos'!X401,'LP Reactivos'!AC401,'LP Reactivos'!AH401,'LP Reactivos'!AM401,'LP Reactivos'!AR401,'LP Reactivos'!AW401,'LP Reactivos'!BB401,'LP Reactivos'!BG401,'LP Reactivos'!BL401,'LP Reactivos'!BQ401,'LP Reactivos'!BV401,'LP Reactivos'!CA401,'LP Reactivos'!CF401,'LP Reactivos'!CK401,'LP Reactivos'!CP401,'LP Reactivos'!CU401,'LP Reactivos'!CZ401,'LP Reactivos'!DE401,'LP Reactivos'!DJ401,'LP Reactivos'!DO401,'LP Reactivos'!DT401,'LP Reactivos'!DY401,'LP Reactivos'!EB401)," ")</f>
        <v>1</v>
      </c>
    </row>
    <row r="402" spans="2:12" ht="40.5" x14ac:dyDescent="0.25">
      <c r="B402" s="425">
        <v>400</v>
      </c>
      <c r="C402" s="427" t="s">
        <v>2024</v>
      </c>
      <c r="D402" s="429">
        <f>IFERROR(MIN('LP Reactivos'!F402,'LP Reactivos'!I402,'LP Reactivos'!N402,'LP Reactivos'!S402,'LP Reactivos'!X402,'LP Reactivos'!AC402,'LP Reactivos'!AH402,'LP Reactivos'!AM402,'LP Reactivos'!AR402,'LP Reactivos'!AW402,'LP Reactivos'!BB402,'LP Reactivos'!BG402,'LP Reactivos'!BL402,'LP Reactivos'!BQ402,'LP Reactivos'!BV402,'LP Reactivos'!CA402,'LP Reactivos'!CF402,'LP Reactivos'!CK402,'LP Reactivos'!CP402,'LP Reactivos'!CU402,'LP Reactivos'!CZ402,'LP Reactivos'!DE402,'LP Reactivos'!DJ402,'LP Reactivos'!DO402,'LP Reactivos'!DT402,'LP Reactivos'!DY402,'LP Reactivos'!EB402)," ")</f>
        <v>2460296.4369999999</v>
      </c>
      <c r="E402" s="429">
        <f>IFERROR(AVERAGE('LP Reactivos'!F402,'LP Reactivos'!I402,'LP Reactivos'!N402,'LP Reactivos'!S402,'LP Reactivos'!X402,'LP Reactivos'!AC402,'LP Reactivos'!AH402,'LP Reactivos'!AM402,'LP Reactivos'!AR402,'LP Reactivos'!AW402,'LP Reactivos'!BB402,'LP Reactivos'!BG402,'LP Reactivos'!BL402,'LP Reactivos'!BQ402,'LP Reactivos'!BV402,'LP Reactivos'!CA402,'LP Reactivos'!CF402,'LP Reactivos'!CK402,'LP Reactivos'!CP402,'LP Reactivos'!CU402,'LP Reactivos'!CZ402,'LP Reactivos'!DE402,'LP Reactivos'!DJ402,'LP Reactivos'!DO402,'LP Reactivos'!DT402,'LP Reactivos'!DY402,'LP Reactivos'!EB402)," ")</f>
        <v>2460296.4369999999</v>
      </c>
      <c r="F402" s="345">
        <f>IFERROR(MEDIAN('LP Reactivos'!F402,'LP Reactivos'!I402,'LP Reactivos'!N402,'LP Reactivos'!S402,'LP Reactivos'!X402,'LP Reactivos'!AC402,'LP Reactivos'!AH402,'LP Reactivos'!AM402,'LP Reactivos'!AR402,'LP Reactivos'!AW402,'LP Reactivos'!BB402,'LP Reactivos'!BG402,'LP Reactivos'!BL402,'LP Reactivos'!BQ402,'LP Reactivos'!BV402,'LP Reactivos'!CA402,'LP Reactivos'!CF402,'LP Reactivos'!CK402,'LP Reactivos'!CP402,'LP Reactivos'!CU402,'LP Reactivos'!CZ402,'LP Reactivos'!DE402,'LP Reactivos'!DJ402,'LP Reactivos'!DO402,'LP Reactivos'!DT402,'LP Reactivos'!DY402,'LP Reactivos'!EB402)," ")</f>
        <v>2460296.4369999999</v>
      </c>
      <c r="G402" s="345">
        <f>IFERROR(GEOMEAN('LP Reactivos'!F402,'LP Reactivos'!I402,'LP Reactivos'!N402,'LP Reactivos'!S402,'LP Reactivos'!X402,'LP Reactivos'!AC402,'LP Reactivos'!AH402,'LP Reactivos'!AM402,'LP Reactivos'!AR402,'LP Reactivos'!AW402,'LP Reactivos'!BB402,'LP Reactivos'!BG402,'LP Reactivos'!BL402,'LP Reactivos'!BQ402,'LP Reactivos'!BV402,'LP Reactivos'!CA402,'LP Reactivos'!CF402,'LP Reactivos'!CK402,'LP Reactivos'!CP402,'LP Reactivos'!CU402,'LP Reactivos'!CZ402,'LP Reactivos'!DE402,'LP Reactivos'!DJ402,'LP Reactivos'!DO402,'LP Reactivos'!DT402,'LP Reactivos'!DY402,'LP Reactivos'!EB402)," ")</f>
        <v>2460296.4369999999</v>
      </c>
      <c r="H402" s="345">
        <f t="shared" si="24"/>
        <v>0</v>
      </c>
      <c r="I402" s="346">
        <f t="shared" si="25"/>
        <v>0</v>
      </c>
      <c r="J402" s="345">
        <f t="shared" si="26"/>
        <v>2460296.4369999999</v>
      </c>
      <c r="K402" s="344" t="str">
        <f t="shared" si="27"/>
        <v>Menor Valor</v>
      </c>
      <c r="L402" s="326">
        <f>IFERROR(COUNTA('LP Reactivos'!F402,'LP Reactivos'!I402,'LP Reactivos'!N402,'LP Reactivos'!S402,'LP Reactivos'!X402,'LP Reactivos'!AC402,'LP Reactivos'!AH402,'LP Reactivos'!AM402,'LP Reactivos'!AR402,'LP Reactivos'!AW402,'LP Reactivos'!BB402,'LP Reactivos'!BG402,'LP Reactivos'!BL402,'LP Reactivos'!BQ402,'LP Reactivos'!BV402,'LP Reactivos'!CA402,'LP Reactivos'!CF402,'LP Reactivos'!CK402,'LP Reactivos'!CP402,'LP Reactivos'!CU402,'LP Reactivos'!CZ402,'LP Reactivos'!DE402,'LP Reactivos'!DJ402,'LP Reactivos'!DO402,'LP Reactivos'!DT402,'LP Reactivos'!DY402,'LP Reactivos'!EB402)," ")</f>
        <v>1</v>
      </c>
    </row>
    <row r="403" spans="2:12" ht="67.5" customHeight="1" x14ac:dyDescent="0.25">
      <c r="B403" s="425">
        <v>401</v>
      </c>
      <c r="C403" s="426" t="s">
        <v>2027</v>
      </c>
      <c r="D403" s="429">
        <f>IFERROR(MIN('LP Reactivos'!F403,'LP Reactivos'!I403,'LP Reactivos'!N403,'LP Reactivos'!S403,'LP Reactivos'!X403,'LP Reactivos'!AC403,'LP Reactivos'!AH403,'LP Reactivos'!AM403,'LP Reactivos'!AR403,'LP Reactivos'!AW403,'LP Reactivos'!BB403,'LP Reactivos'!BG403,'LP Reactivos'!BL403,'LP Reactivos'!BQ403,'LP Reactivos'!BV403,'LP Reactivos'!CA403,'LP Reactivos'!CF403,'LP Reactivos'!CK403,'LP Reactivos'!CP403,'LP Reactivos'!CU403,'LP Reactivos'!CZ403,'LP Reactivos'!DE403,'LP Reactivos'!DJ403,'LP Reactivos'!DO403,'LP Reactivos'!DT403,'LP Reactivos'!DY403,'LP Reactivos'!EB403)," ")</f>
        <v>3796600</v>
      </c>
      <c r="E403" s="429">
        <f>IFERROR(AVERAGE('LP Reactivos'!F403,'LP Reactivos'!I403,'LP Reactivos'!N403,'LP Reactivos'!S403,'LP Reactivos'!X403,'LP Reactivos'!AC403,'LP Reactivos'!AH403,'LP Reactivos'!AM403,'LP Reactivos'!AR403,'LP Reactivos'!AW403,'LP Reactivos'!BB403,'LP Reactivos'!BG403,'LP Reactivos'!BL403,'LP Reactivos'!BQ403,'LP Reactivos'!BV403,'LP Reactivos'!CA403,'LP Reactivos'!CF403,'LP Reactivos'!CK403,'LP Reactivos'!CP403,'LP Reactivos'!CU403,'LP Reactivos'!CZ403,'LP Reactivos'!DE403,'LP Reactivos'!DJ403,'LP Reactivos'!DO403,'LP Reactivos'!DT403,'LP Reactivos'!DY403,'LP Reactivos'!EB403)," ")</f>
        <v>7133705</v>
      </c>
      <c r="F403" s="345">
        <f>IFERROR(MEDIAN('LP Reactivos'!F403,'LP Reactivos'!I403,'LP Reactivos'!N403,'LP Reactivos'!S403,'LP Reactivos'!X403,'LP Reactivos'!AC403,'LP Reactivos'!AH403,'LP Reactivos'!AM403,'LP Reactivos'!AR403,'LP Reactivos'!AW403,'LP Reactivos'!BB403,'LP Reactivos'!BG403,'LP Reactivos'!BL403,'LP Reactivos'!BQ403,'LP Reactivos'!BV403,'LP Reactivos'!CA403,'LP Reactivos'!CF403,'LP Reactivos'!CK403,'LP Reactivos'!CP403,'LP Reactivos'!CU403,'LP Reactivos'!CZ403,'LP Reactivos'!DE403,'LP Reactivos'!DJ403,'LP Reactivos'!DO403,'LP Reactivos'!DT403,'LP Reactivos'!DY403,'LP Reactivos'!EB403)," ")</f>
        <v>7133705</v>
      </c>
      <c r="G403" s="345">
        <f>IFERROR(GEOMEAN('LP Reactivos'!F403,'LP Reactivos'!I403,'LP Reactivos'!N403,'LP Reactivos'!S403,'LP Reactivos'!X403,'LP Reactivos'!AC403,'LP Reactivos'!AH403,'LP Reactivos'!AM403,'LP Reactivos'!AR403,'LP Reactivos'!AW403,'LP Reactivos'!BB403,'LP Reactivos'!BG403,'LP Reactivos'!BL403,'LP Reactivos'!BQ403,'LP Reactivos'!BV403,'LP Reactivos'!CA403,'LP Reactivos'!CF403,'LP Reactivos'!CK403,'LP Reactivos'!CP403,'LP Reactivos'!CU403,'LP Reactivos'!CZ403,'LP Reactivos'!DE403,'LP Reactivos'!DJ403,'LP Reactivos'!DO403,'LP Reactivos'!DT403,'LP Reactivos'!DY403,'LP Reactivos'!EB403)," ")</f>
        <v>6305035.8639741298</v>
      </c>
      <c r="H403" s="345">
        <f t="shared" si="24"/>
        <v>1579508.7611798078</v>
      </c>
      <c r="I403" s="346">
        <f t="shared" si="25"/>
        <v>0.22141492550922806</v>
      </c>
      <c r="J403" s="345">
        <f t="shared" si="26"/>
        <v>6305035.8639741298</v>
      </c>
      <c r="K403" s="344" t="str">
        <f t="shared" si="27"/>
        <v>Media Geométrica</v>
      </c>
      <c r="L403" s="326">
        <f>IFERROR(COUNTA('LP Reactivos'!F403,'LP Reactivos'!I403,'LP Reactivos'!N403,'LP Reactivos'!S403,'LP Reactivos'!X403,'LP Reactivos'!AC403,'LP Reactivos'!AH403,'LP Reactivos'!AM403,'LP Reactivos'!AR403,'LP Reactivos'!AW403,'LP Reactivos'!BB403,'LP Reactivos'!BG403,'LP Reactivos'!BL403,'LP Reactivos'!BQ403,'LP Reactivos'!BV403,'LP Reactivos'!CA403,'LP Reactivos'!CF403,'LP Reactivos'!CK403,'LP Reactivos'!CP403,'LP Reactivos'!CU403,'LP Reactivos'!CZ403,'LP Reactivos'!DE403,'LP Reactivos'!DJ403,'LP Reactivos'!DO403,'LP Reactivos'!DT403,'LP Reactivos'!DY403,'LP Reactivos'!EB403)," ")</f>
        <v>2</v>
      </c>
    </row>
    <row r="404" spans="2:12" ht="39" customHeight="1" x14ac:dyDescent="0.25">
      <c r="B404" s="425">
        <v>402</v>
      </c>
      <c r="C404" s="413" t="s">
        <v>2031</v>
      </c>
      <c r="D404" s="429">
        <f>IFERROR(MIN('LP Reactivos'!F404,'LP Reactivos'!I404,'LP Reactivos'!N404,'LP Reactivos'!S404,'LP Reactivos'!X404,'LP Reactivos'!AC404,'LP Reactivos'!AH404,'LP Reactivos'!AM404,'LP Reactivos'!AR404,'LP Reactivos'!AW404,'LP Reactivos'!BB404,'LP Reactivos'!BG404,'LP Reactivos'!BL404,'LP Reactivos'!BQ404,'LP Reactivos'!BV404,'LP Reactivos'!CA404,'LP Reactivos'!CF404,'LP Reactivos'!CK404,'LP Reactivos'!CP404,'LP Reactivos'!CU404,'LP Reactivos'!CZ404,'LP Reactivos'!DE404,'LP Reactivos'!DJ404,'LP Reactivos'!DO404,'LP Reactivos'!DT404,'LP Reactivos'!DY404,'LP Reactivos'!EB404)," ")</f>
        <v>584100</v>
      </c>
      <c r="E404" s="429">
        <f>IFERROR(AVERAGE('LP Reactivos'!F404,'LP Reactivos'!I404,'LP Reactivos'!N404,'LP Reactivos'!S404,'LP Reactivos'!X404,'LP Reactivos'!AC404,'LP Reactivos'!AH404,'LP Reactivos'!AM404,'LP Reactivos'!AR404,'LP Reactivos'!AW404,'LP Reactivos'!BB404,'LP Reactivos'!BG404,'LP Reactivos'!BL404,'LP Reactivos'!BQ404,'LP Reactivos'!BV404,'LP Reactivos'!CA404,'LP Reactivos'!CF404,'LP Reactivos'!CK404,'LP Reactivos'!CP404,'LP Reactivos'!CU404,'LP Reactivos'!CZ404,'LP Reactivos'!DE404,'LP Reactivos'!DJ404,'LP Reactivos'!DO404,'LP Reactivos'!DT404,'LP Reactivos'!DY404,'LP Reactivos'!EB404)," ")</f>
        <v>584100</v>
      </c>
      <c r="F404" s="345">
        <f>IFERROR(MEDIAN('LP Reactivos'!F404,'LP Reactivos'!I404,'LP Reactivos'!N404,'LP Reactivos'!S404,'LP Reactivos'!X404,'LP Reactivos'!AC404,'LP Reactivos'!AH404,'LP Reactivos'!AM404,'LP Reactivos'!AR404,'LP Reactivos'!AW404,'LP Reactivos'!BB404,'LP Reactivos'!BG404,'LP Reactivos'!BL404,'LP Reactivos'!BQ404,'LP Reactivos'!BV404,'LP Reactivos'!CA404,'LP Reactivos'!CF404,'LP Reactivos'!CK404,'LP Reactivos'!CP404,'LP Reactivos'!CU404,'LP Reactivos'!CZ404,'LP Reactivos'!DE404,'LP Reactivos'!DJ404,'LP Reactivos'!DO404,'LP Reactivos'!DT404,'LP Reactivos'!DY404,'LP Reactivos'!EB404)," ")</f>
        <v>584100</v>
      </c>
      <c r="G404" s="345">
        <f>IFERROR(GEOMEAN('LP Reactivos'!F404,'LP Reactivos'!I404,'LP Reactivos'!N404,'LP Reactivos'!S404,'LP Reactivos'!X404,'LP Reactivos'!AC404,'LP Reactivos'!AH404,'LP Reactivos'!AM404,'LP Reactivos'!AR404,'LP Reactivos'!AW404,'LP Reactivos'!BB404,'LP Reactivos'!BG404,'LP Reactivos'!BL404,'LP Reactivos'!BQ404,'LP Reactivos'!BV404,'LP Reactivos'!CA404,'LP Reactivos'!CF404,'LP Reactivos'!CK404,'LP Reactivos'!CP404,'LP Reactivos'!CU404,'LP Reactivos'!CZ404,'LP Reactivos'!DE404,'LP Reactivos'!DJ404,'LP Reactivos'!DO404,'LP Reactivos'!DT404,'LP Reactivos'!DY404,'LP Reactivos'!EB404)," ")</f>
        <v>584100</v>
      </c>
      <c r="H404" s="345">
        <f t="shared" si="24"/>
        <v>0</v>
      </c>
      <c r="I404" s="346">
        <f t="shared" si="25"/>
        <v>0</v>
      </c>
      <c r="J404" s="345">
        <f t="shared" si="26"/>
        <v>584100</v>
      </c>
      <c r="K404" s="344" t="str">
        <f t="shared" si="27"/>
        <v>Menor Valor</v>
      </c>
      <c r="L404" s="326">
        <f>IFERROR(COUNTA('LP Reactivos'!F404,'LP Reactivos'!I404,'LP Reactivos'!N404,'LP Reactivos'!S404,'LP Reactivos'!X404,'LP Reactivos'!AC404,'LP Reactivos'!AH404,'LP Reactivos'!AM404,'LP Reactivos'!AR404,'LP Reactivos'!AW404,'LP Reactivos'!BB404,'LP Reactivos'!BG404,'LP Reactivos'!BL404,'LP Reactivos'!BQ404,'LP Reactivos'!BV404,'LP Reactivos'!CA404,'LP Reactivos'!CF404,'LP Reactivos'!CK404,'LP Reactivos'!CP404,'LP Reactivos'!CU404,'LP Reactivos'!CZ404,'LP Reactivos'!DE404,'LP Reactivos'!DJ404,'LP Reactivos'!DO404,'LP Reactivos'!DT404,'LP Reactivos'!DY404,'LP Reactivos'!EB404)," ")</f>
        <v>1</v>
      </c>
    </row>
    <row r="405" spans="2:12" ht="27" x14ac:dyDescent="0.25">
      <c r="B405" s="425">
        <v>403</v>
      </c>
      <c r="C405" s="426" t="s">
        <v>2035</v>
      </c>
      <c r="D405" s="429">
        <f>IFERROR(MIN('LP Reactivos'!F405,'LP Reactivos'!I405,'LP Reactivos'!N405,'LP Reactivos'!S405,'LP Reactivos'!X405,'LP Reactivos'!AC405,'LP Reactivos'!AH405,'LP Reactivos'!AM405,'LP Reactivos'!AR405,'LP Reactivos'!AW405,'LP Reactivos'!BB405,'LP Reactivos'!BG405,'LP Reactivos'!BL405,'LP Reactivos'!BQ405,'LP Reactivos'!BV405,'LP Reactivos'!CA405,'LP Reactivos'!CF405,'LP Reactivos'!CK405,'LP Reactivos'!CP405,'LP Reactivos'!CU405,'LP Reactivos'!CZ405,'LP Reactivos'!DE405,'LP Reactivos'!DJ405,'LP Reactivos'!DO405,'LP Reactivos'!DT405,'LP Reactivos'!DY405,'LP Reactivos'!EB405)," ")</f>
        <v>880600</v>
      </c>
      <c r="E405" s="429">
        <f>IFERROR(AVERAGE('LP Reactivos'!F405,'LP Reactivos'!I405,'LP Reactivos'!N405,'LP Reactivos'!S405,'LP Reactivos'!X405,'LP Reactivos'!AC405,'LP Reactivos'!AH405,'LP Reactivos'!AM405,'LP Reactivos'!AR405,'LP Reactivos'!AW405,'LP Reactivos'!BB405,'LP Reactivos'!BG405,'LP Reactivos'!BL405,'LP Reactivos'!BQ405,'LP Reactivos'!BV405,'LP Reactivos'!CA405,'LP Reactivos'!CF405,'LP Reactivos'!CK405,'LP Reactivos'!CP405,'LP Reactivos'!CU405,'LP Reactivos'!CZ405,'LP Reactivos'!DE405,'LP Reactivos'!DJ405,'LP Reactivos'!DO405,'LP Reactivos'!DT405,'LP Reactivos'!DY405,'LP Reactivos'!EB405)," ")</f>
        <v>1718373.0305000001</v>
      </c>
      <c r="F405" s="345">
        <f>IFERROR(MEDIAN('LP Reactivos'!F405,'LP Reactivos'!I405,'LP Reactivos'!N405,'LP Reactivos'!S405,'LP Reactivos'!X405,'LP Reactivos'!AC405,'LP Reactivos'!AH405,'LP Reactivos'!AM405,'LP Reactivos'!AR405,'LP Reactivos'!AW405,'LP Reactivos'!BB405,'LP Reactivos'!BG405,'LP Reactivos'!BL405,'LP Reactivos'!BQ405,'LP Reactivos'!BV405,'LP Reactivos'!CA405,'LP Reactivos'!CF405,'LP Reactivos'!CK405,'LP Reactivos'!CP405,'LP Reactivos'!CU405,'LP Reactivos'!CZ405,'LP Reactivos'!DE405,'LP Reactivos'!DJ405,'LP Reactivos'!DO405,'LP Reactivos'!DT405,'LP Reactivos'!DY405,'LP Reactivos'!EB405)," ")</f>
        <v>2018423.0815000001</v>
      </c>
      <c r="G405" s="345">
        <f>IFERROR(GEOMEAN('LP Reactivos'!F405,'LP Reactivos'!I405,'LP Reactivos'!N405,'LP Reactivos'!S405,'LP Reactivos'!X405,'LP Reactivos'!AC405,'LP Reactivos'!AH405,'LP Reactivos'!AM405,'LP Reactivos'!AR405,'LP Reactivos'!AW405,'LP Reactivos'!BB405,'LP Reactivos'!BG405,'LP Reactivos'!BL405,'LP Reactivos'!BQ405,'LP Reactivos'!BV405,'LP Reactivos'!CA405,'LP Reactivos'!CF405,'LP Reactivos'!CK405,'LP Reactivos'!CP405,'LP Reactivos'!CU405,'LP Reactivos'!CZ405,'LP Reactivos'!DE405,'LP Reactivos'!DJ405,'LP Reactivos'!DO405,'LP Reactivos'!DT405,'LP Reactivos'!DY405,'LP Reactivos'!EB405)," ")</f>
        <v>1588727.7724582134</v>
      </c>
      <c r="H405" s="345">
        <f t="shared" si="24"/>
        <v>482132.929647371</v>
      </c>
      <c r="I405" s="346">
        <f t="shared" si="25"/>
        <v>0.28057524244726034</v>
      </c>
      <c r="J405" s="345">
        <f t="shared" si="26"/>
        <v>1588727.7724582134</v>
      </c>
      <c r="K405" s="344" t="str">
        <f t="shared" si="27"/>
        <v>Media Geométrica</v>
      </c>
      <c r="L405" s="326">
        <f>IFERROR(COUNTA('LP Reactivos'!F405,'LP Reactivos'!I405,'LP Reactivos'!N405,'LP Reactivos'!S405,'LP Reactivos'!X405,'LP Reactivos'!AC405,'LP Reactivos'!AH405,'LP Reactivos'!AM405,'LP Reactivos'!AR405,'LP Reactivos'!AW405,'LP Reactivos'!BB405,'LP Reactivos'!BG405,'LP Reactivos'!BL405,'LP Reactivos'!BQ405,'LP Reactivos'!BV405,'LP Reactivos'!CA405,'LP Reactivos'!CF405,'LP Reactivos'!CK405,'LP Reactivos'!CP405,'LP Reactivos'!CU405,'LP Reactivos'!CZ405,'LP Reactivos'!DE405,'LP Reactivos'!DJ405,'LP Reactivos'!DO405,'LP Reactivos'!DT405,'LP Reactivos'!DY405,'LP Reactivos'!EB405)," ")</f>
        <v>3</v>
      </c>
    </row>
    <row r="406" spans="2:12" x14ac:dyDescent="0.25">
      <c r="B406" s="425">
        <v>404</v>
      </c>
      <c r="C406" s="427" t="s">
        <v>2037</v>
      </c>
      <c r="D406" s="429">
        <f>IFERROR(MIN('LP Reactivos'!F406,'LP Reactivos'!I406,'LP Reactivos'!N406,'LP Reactivos'!S406,'LP Reactivos'!X406,'LP Reactivos'!AC406,'LP Reactivos'!AH406,'LP Reactivos'!AM406,'LP Reactivos'!AR406,'LP Reactivos'!AW406,'LP Reactivos'!BB406,'LP Reactivos'!BG406,'LP Reactivos'!BL406,'LP Reactivos'!BQ406,'LP Reactivos'!BV406,'LP Reactivos'!CA406,'LP Reactivos'!CF406,'LP Reactivos'!CK406,'LP Reactivos'!CP406,'LP Reactivos'!CU406,'LP Reactivos'!CZ406,'LP Reactivos'!DE406,'LP Reactivos'!DJ406,'LP Reactivos'!DO406,'LP Reactivos'!DT406,'LP Reactivos'!DY406,'LP Reactivos'!EB406)," ")</f>
        <v>294525</v>
      </c>
      <c r="E406" s="429">
        <f>IFERROR(AVERAGE('LP Reactivos'!F406,'LP Reactivos'!I406,'LP Reactivos'!N406,'LP Reactivos'!S406,'LP Reactivos'!X406,'LP Reactivos'!AC406,'LP Reactivos'!AH406,'LP Reactivos'!AM406,'LP Reactivos'!AR406,'LP Reactivos'!AW406,'LP Reactivos'!BB406,'LP Reactivos'!BG406,'LP Reactivos'!BL406,'LP Reactivos'!BQ406,'LP Reactivos'!BV406,'LP Reactivos'!CA406,'LP Reactivos'!CF406,'LP Reactivos'!CK406,'LP Reactivos'!CP406,'LP Reactivos'!CU406,'LP Reactivos'!CZ406,'LP Reactivos'!DE406,'LP Reactivos'!DJ406,'LP Reactivos'!DO406,'LP Reactivos'!DT406,'LP Reactivos'!DY406,'LP Reactivos'!EB406)," ")</f>
        <v>752972.2</v>
      </c>
      <c r="F406" s="345">
        <f>IFERROR(MEDIAN('LP Reactivos'!F406,'LP Reactivos'!I406,'LP Reactivos'!N406,'LP Reactivos'!S406,'LP Reactivos'!X406,'LP Reactivos'!AC406,'LP Reactivos'!AH406,'LP Reactivos'!AM406,'LP Reactivos'!AR406,'LP Reactivos'!AW406,'LP Reactivos'!BB406,'LP Reactivos'!BG406,'LP Reactivos'!BL406,'LP Reactivos'!BQ406,'LP Reactivos'!BV406,'LP Reactivos'!CA406,'LP Reactivos'!CF406,'LP Reactivos'!CK406,'LP Reactivos'!CP406,'LP Reactivos'!CU406,'LP Reactivos'!CZ406,'LP Reactivos'!DE406,'LP Reactivos'!DJ406,'LP Reactivos'!DO406,'LP Reactivos'!DT406,'LP Reactivos'!DY406,'LP Reactivos'!EB406)," ")</f>
        <v>736610</v>
      </c>
      <c r="G406" s="345">
        <f>IFERROR(GEOMEAN('LP Reactivos'!F406,'LP Reactivos'!I406,'LP Reactivos'!N406,'LP Reactivos'!S406,'LP Reactivos'!X406,'LP Reactivos'!AC406,'LP Reactivos'!AH406,'LP Reactivos'!AM406,'LP Reactivos'!AR406,'LP Reactivos'!AW406,'LP Reactivos'!BB406,'LP Reactivos'!BG406,'LP Reactivos'!BL406,'LP Reactivos'!BQ406,'LP Reactivos'!BV406,'LP Reactivos'!CA406,'LP Reactivos'!CF406,'LP Reactivos'!CK406,'LP Reactivos'!CP406,'LP Reactivos'!CU406,'LP Reactivos'!CZ406,'LP Reactivos'!DE406,'LP Reactivos'!DJ406,'LP Reactivos'!DO406,'LP Reactivos'!DT406,'LP Reactivos'!DY406,'LP Reactivos'!EB406)," ")</f>
        <v>673700.70737656299</v>
      </c>
      <c r="H406" s="345">
        <f t="shared" si="24"/>
        <v>216004.72018517792</v>
      </c>
      <c r="I406" s="346">
        <f t="shared" si="25"/>
        <v>0.28686944907817041</v>
      </c>
      <c r="J406" s="345">
        <f t="shared" si="26"/>
        <v>673700.70737656299</v>
      </c>
      <c r="K406" s="344" t="str">
        <f t="shared" si="27"/>
        <v>Media Geométrica</v>
      </c>
      <c r="L406" s="326">
        <f>IFERROR(COUNTA('LP Reactivos'!F406,'LP Reactivos'!I406,'LP Reactivos'!N406,'LP Reactivos'!S406,'LP Reactivos'!X406,'LP Reactivos'!AC406,'LP Reactivos'!AH406,'LP Reactivos'!AM406,'LP Reactivos'!AR406,'LP Reactivos'!AW406,'LP Reactivos'!BB406,'LP Reactivos'!BG406,'LP Reactivos'!BL406,'LP Reactivos'!BQ406,'LP Reactivos'!BV406,'LP Reactivos'!CA406,'LP Reactivos'!CF406,'LP Reactivos'!CK406,'LP Reactivos'!CP406,'LP Reactivos'!CU406,'LP Reactivos'!CZ406,'LP Reactivos'!DE406,'LP Reactivos'!DJ406,'LP Reactivos'!DO406,'LP Reactivos'!DT406,'LP Reactivos'!DY406,'LP Reactivos'!EB406)," ")</f>
        <v>5</v>
      </c>
    </row>
    <row r="407" spans="2:12" x14ac:dyDescent="0.25">
      <c r="B407" s="425">
        <v>405</v>
      </c>
      <c r="C407" s="427" t="s">
        <v>2043</v>
      </c>
      <c r="D407" s="429">
        <f>IFERROR(MIN('LP Reactivos'!F407,'LP Reactivos'!I407,'LP Reactivos'!N407,'LP Reactivos'!S407,'LP Reactivos'!X407,'LP Reactivos'!AC407,'LP Reactivos'!AH407,'LP Reactivos'!AM407,'LP Reactivos'!AR407,'LP Reactivos'!AW407,'LP Reactivos'!BB407,'LP Reactivos'!BG407,'LP Reactivos'!BL407,'LP Reactivos'!BQ407,'LP Reactivos'!BV407,'LP Reactivos'!CA407,'LP Reactivos'!CF407,'LP Reactivos'!CK407,'LP Reactivos'!CP407,'LP Reactivos'!CU407,'LP Reactivos'!CZ407,'LP Reactivos'!DE407,'LP Reactivos'!DJ407,'LP Reactivos'!DO407,'LP Reactivos'!DT407,'LP Reactivos'!DY407,'LP Reactivos'!EB407)," ")</f>
        <v>794920</v>
      </c>
      <c r="E407" s="429">
        <f>IFERROR(AVERAGE('LP Reactivos'!F407,'LP Reactivos'!I407,'LP Reactivos'!N407,'LP Reactivos'!S407,'LP Reactivos'!X407,'LP Reactivos'!AC407,'LP Reactivos'!AH407,'LP Reactivos'!AM407,'LP Reactivos'!AR407,'LP Reactivos'!AW407,'LP Reactivos'!BB407,'LP Reactivos'!BG407,'LP Reactivos'!BL407,'LP Reactivos'!BQ407,'LP Reactivos'!BV407,'LP Reactivos'!CA407,'LP Reactivos'!CF407,'LP Reactivos'!CK407,'LP Reactivos'!CP407,'LP Reactivos'!CU407,'LP Reactivos'!CZ407,'LP Reactivos'!DE407,'LP Reactivos'!DJ407,'LP Reactivos'!DO407,'LP Reactivos'!DT407,'LP Reactivos'!DY407,'LP Reactivos'!EB407)," ")</f>
        <v>1127616.8</v>
      </c>
      <c r="F407" s="345">
        <f>IFERROR(MEDIAN('LP Reactivos'!F407,'LP Reactivos'!I407,'LP Reactivos'!N407,'LP Reactivos'!S407,'LP Reactivos'!X407,'LP Reactivos'!AC407,'LP Reactivos'!AH407,'LP Reactivos'!AM407,'LP Reactivos'!AR407,'LP Reactivos'!AW407,'LP Reactivos'!BB407,'LP Reactivos'!BG407,'LP Reactivos'!BL407,'LP Reactivos'!BQ407,'LP Reactivos'!BV407,'LP Reactivos'!CA407,'LP Reactivos'!CF407,'LP Reactivos'!CK407,'LP Reactivos'!CP407,'LP Reactivos'!CU407,'LP Reactivos'!CZ407,'LP Reactivos'!DE407,'LP Reactivos'!DJ407,'LP Reactivos'!DO407,'LP Reactivos'!DT407,'LP Reactivos'!DY407,'LP Reactivos'!EB407)," ")</f>
        <v>992800</v>
      </c>
      <c r="G407" s="345">
        <f>IFERROR(GEOMEAN('LP Reactivos'!F407,'LP Reactivos'!I407,'LP Reactivos'!N407,'LP Reactivos'!S407,'LP Reactivos'!X407,'LP Reactivos'!AC407,'LP Reactivos'!AH407,'LP Reactivos'!AM407,'LP Reactivos'!AR407,'LP Reactivos'!AW407,'LP Reactivos'!BB407,'LP Reactivos'!BG407,'LP Reactivos'!BL407,'LP Reactivos'!BQ407,'LP Reactivos'!BV407,'LP Reactivos'!CA407,'LP Reactivos'!CF407,'LP Reactivos'!CK407,'LP Reactivos'!CP407,'LP Reactivos'!CU407,'LP Reactivos'!CZ407,'LP Reactivos'!DE407,'LP Reactivos'!DJ407,'LP Reactivos'!DO407,'LP Reactivos'!DT407,'LP Reactivos'!DY407,'LP Reactivos'!EB407)," ")</f>
        <v>1086673.2767514021</v>
      </c>
      <c r="H407" s="345">
        <f t="shared" si="24"/>
        <v>148219.36540471492</v>
      </c>
      <c r="I407" s="346">
        <f t="shared" si="25"/>
        <v>0.13144480057827704</v>
      </c>
      <c r="J407" s="345">
        <f t="shared" si="26"/>
        <v>1127616.8</v>
      </c>
      <c r="K407" s="344" t="str">
        <f t="shared" si="27"/>
        <v>Promedio</v>
      </c>
      <c r="L407" s="326">
        <f>IFERROR(COUNTA('LP Reactivos'!F407,'LP Reactivos'!I407,'LP Reactivos'!N407,'LP Reactivos'!S407,'LP Reactivos'!X407,'LP Reactivos'!AC407,'LP Reactivos'!AH407,'LP Reactivos'!AM407,'LP Reactivos'!AR407,'LP Reactivos'!AW407,'LP Reactivos'!BB407,'LP Reactivos'!BG407,'LP Reactivos'!BL407,'LP Reactivos'!BQ407,'LP Reactivos'!BV407,'LP Reactivos'!CA407,'LP Reactivos'!CF407,'LP Reactivos'!CK407,'LP Reactivos'!CP407,'LP Reactivos'!CU407,'LP Reactivos'!CZ407,'LP Reactivos'!DE407,'LP Reactivos'!DJ407,'LP Reactivos'!DO407,'LP Reactivos'!DT407,'LP Reactivos'!DY407,'LP Reactivos'!EB407)," ")</f>
        <v>5</v>
      </c>
    </row>
    <row r="408" spans="2:12" x14ac:dyDescent="0.25">
      <c r="B408" s="425">
        <v>406</v>
      </c>
      <c r="C408" s="427" t="s">
        <v>2049</v>
      </c>
      <c r="D408" s="429">
        <f>IFERROR(MIN('LP Reactivos'!F408,'LP Reactivos'!I408,'LP Reactivos'!N408,'LP Reactivos'!S408,'LP Reactivos'!X408,'LP Reactivos'!AC408,'LP Reactivos'!AH408,'LP Reactivos'!AM408,'LP Reactivos'!AR408,'LP Reactivos'!AW408,'LP Reactivos'!BB408,'LP Reactivos'!BG408,'LP Reactivos'!BL408,'LP Reactivos'!BQ408,'LP Reactivos'!BV408,'LP Reactivos'!CA408,'LP Reactivos'!CF408,'LP Reactivos'!CK408,'LP Reactivos'!CP408,'LP Reactivos'!CU408,'LP Reactivos'!CZ408,'LP Reactivos'!DE408,'LP Reactivos'!DJ408,'LP Reactivos'!DO408,'LP Reactivos'!DT408,'LP Reactivos'!DY408,'LP Reactivos'!EB408)," ")</f>
        <v>2634660</v>
      </c>
      <c r="E408" s="429">
        <f>IFERROR(AVERAGE('LP Reactivos'!F408,'LP Reactivos'!I408,'LP Reactivos'!N408,'LP Reactivos'!S408,'LP Reactivos'!X408,'LP Reactivos'!AC408,'LP Reactivos'!AH408,'LP Reactivos'!AM408,'LP Reactivos'!AR408,'LP Reactivos'!AW408,'LP Reactivos'!BB408,'LP Reactivos'!BG408,'LP Reactivos'!BL408,'LP Reactivos'!BQ408,'LP Reactivos'!BV408,'LP Reactivos'!CA408,'LP Reactivos'!CF408,'LP Reactivos'!CK408,'LP Reactivos'!CP408,'LP Reactivos'!CU408,'LP Reactivos'!CZ408,'LP Reactivos'!DE408,'LP Reactivos'!DJ408,'LP Reactivos'!DO408,'LP Reactivos'!DT408,'LP Reactivos'!DY408,'LP Reactivos'!EB408)," ")</f>
        <v>2704993.5</v>
      </c>
      <c r="F408" s="345">
        <f>IFERROR(MEDIAN('LP Reactivos'!F408,'LP Reactivos'!I408,'LP Reactivos'!N408,'LP Reactivos'!S408,'LP Reactivos'!X408,'LP Reactivos'!AC408,'LP Reactivos'!AH408,'LP Reactivos'!AM408,'LP Reactivos'!AR408,'LP Reactivos'!AW408,'LP Reactivos'!BB408,'LP Reactivos'!BG408,'LP Reactivos'!BL408,'LP Reactivos'!BQ408,'LP Reactivos'!BV408,'LP Reactivos'!CA408,'LP Reactivos'!CF408,'LP Reactivos'!CK408,'LP Reactivos'!CP408,'LP Reactivos'!CU408,'LP Reactivos'!CZ408,'LP Reactivos'!DE408,'LP Reactivos'!DJ408,'LP Reactivos'!DO408,'LP Reactivos'!DT408,'LP Reactivos'!DY408,'LP Reactivos'!EB408)," ")</f>
        <v>2704993.5</v>
      </c>
      <c r="G408" s="345">
        <f>IFERROR(GEOMEAN('LP Reactivos'!F408,'LP Reactivos'!I408,'LP Reactivos'!N408,'LP Reactivos'!S408,'LP Reactivos'!X408,'LP Reactivos'!AC408,'LP Reactivos'!AH408,'LP Reactivos'!AM408,'LP Reactivos'!AR408,'LP Reactivos'!AW408,'LP Reactivos'!BB408,'LP Reactivos'!BG408,'LP Reactivos'!BL408,'LP Reactivos'!BQ408,'LP Reactivos'!BV408,'LP Reactivos'!CA408,'LP Reactivos'!CF408,'LP Reactivos'!CK408,'LP Reactivos'!CP408,'LP Reactivos'!CU408,'LP Reactivos'!CZ408,'LP Reactivos'!DE408,'LP Reactivos'!DJ408,'LP Reactivos'!DO408,'LP Reactivos'!DT408,'LP Reactivos'!DY408,'LP Reactivos'!EB408)," ")</f>
        <v>2704078.9622013629</v>
      </c>
      <c r="H408" s="345">
        <f t="shared" si="24"/>
        <v>35016.981019195686</v>
      </c>
      <c r="I408" s="346">
        <f t="shared" si="25"/>
        <v>1.2945310596567306E-2</v>
      </c>
      <c r="J408" s="345">
        <f t="shared" si="26"/>
        <v>2704993.5</v>
      </c>
      <c r="K408" s="344" t="str">
        <f t="shared" si="27"/>
        <v>Promedio</v>
      </c>
      <c r="L408" s="326">
        <f>IFERROR(COUNTA('LP Reactivos'!F408,'LP Reactivos'!I408,'LP Reactivos'!N408,'LP Reactivos'!S408,'LP Reactivos'!X408,'LP Reactivos'!AC408,'LP Reactivos'!AH408,'LP Reactivos'!AM408,'LP Reactivos'!AR408,'LP Reactivos'!AW408,'LP Reactivos'!BB408,'LP Reactivos'!BG408,'LP Reactivos'!BL408,'LP Reactivos'!BQ408,'LP Reactivos'!BV408,'LP Reactivos'!CA408,'LP Reactivos'!CF408,'LP Reactivos'!CK408,'LP Reactivos'!CP408,'LP Reactivos'!CU408,'LP Reactivos'!CZ408,'LP Reactivos'!DE408,'LP Reactivos'!DJ408,'LP Reactivos'!DO408,'LP Reactivos'!DT408,'LP Reactivos'!DY408,'LP Reactivos'!EB408)," ")</f>
        <v>2</v>
      </c>
    </row>
    <row r="409" spans="2:12" x14ac:dyDescent="0.25">
      <c r="B409" s="425">
        <v>407</v>
      </c>
      <c r="C409" s="427" t="s">
        <v>2051</v>
      </c>
      <c r="D409" s="429">
        <f>IFERROR(MIN('LP Reactivos'!F409,'LP Reactivos'!I409,'LP Reactivos'!N409,'LP Reactivos'!S409,'LP Reactivos'!X409,'LP Reactivos'!AC409,'LP Reactivos'!AH409,'LP Reactivos'!AM409,'LP Reactivos'!AR409,'LP Reactivos'!AW409,'LP Reactivos'!BB409,'LP Reactivos'!BG409,'LP Reactivos'!BL409,'LP Reactivos'!BQ409,'LP Reactivos'!BV409,'LP Reactivos'!CA409,'LP Reactivos'!CF409,'LP Reactivos'!CK409,'LP Reactivos'!CP409,'LP Reactivos'!CU409,'LP Reactivos'!CZ409,'LP Reactivos'!DE409,'LP Reactivos'!DJ409,'LP Reactivos'!DO409,'LP Reactivos'!DT409,'LP Reactivos'!DY409,'LP Reactivos'!EB409)," ")</f>
        <v>220150</v>
      </c>
      <c r="E409" s="429">
        <f>IFERROR(AVERAGE('LP Reactivos'!F409,'LP Reactivos'!I409,'LP Reactivos'!N409,'LP Reactivos'!S409,'LP Reactivos'!X409,'LP Reactivos'!AC409,'LP Reactivos'!AH409,'LP Reactivos'!AM409,'LP Reactivos'!AR409,'LP Reactivos'!AW409,'LP Reactivos'!BB409,'LP Reactivos'!BG409,'LP Reactivos'!BL409,'LP Reactivos'!BQ409,'LP Reactivos'!BV409,'LP Reactivos'!CA409,'LP Reactivos'!CF409,'LP Reactivos'!CK409,'LP Reactivos'!CP409,'LP Reactivos'!CU409,'LP Reactivos'!CZ409,'LP Reactivos'!DE409,'LP Reactivos'!DJ409,'LP Reactivos'!DO409,'LP Reactivos'!DT409,'LP Reactivos'!DY409,'LP Reactivos'!EB409)," ")</f>
        <v>254596</v>
      </c>
      <c r="F409" s="345">
        <f>IFERROR(MEDIAN('LP Reactivos'!F409,'LP Reactivos'!I409,'LP Reactivos'!N409,'LP Reactivos'!S409,'LP Reactivos'!X409,'LP Reactivos'!AC409,'LP Reactivos'!AH409,'LP Reactivos'!AM409,'LP Reactivos'!AR409,'LP Reactivos'!AW409,'LP Reactivos'!BB409,'LP Reactivos'!BG409,'LP Reactivos'!BL409,'LP Reactivos'!BQ409,'LP Reactivos'!BV409,'LP Reactivos'!CA409,'LP Reactivos'!CF409,'LP Reactivos'!CK409,'LP Reactivos'!CP409,'LP Reactivos'!CU409,'LP Reactivos'!CZ409,'LP Reactivos'!DE409,'LP Reactivos'!DJ409,'LP Reactivos'!DO409,'LP Reactivos'!DT409,'LP Reactivos'!DY409,'LP Reactivos'!EB409)," ")</f>
        <v>254468</v>
      </c>
      <c r="G409" s="345">
        <f>IFERROR(GEOMEAN('LP Reactivos'!F409,'LP Reactivos'!I409,'LP Reactivos'!N409,'LP Reactivos'!S409,'LP Reactivos'!X409,'LP Reactivos'!AC409,'LP Reactivos'!AH409,'LP Reactivos'!AM409,'LP Reactivos'!AR409,'LP Reactivos'!AW409,'LP Reactivos'!BB409,'LP Reactivos'!BG409,'LP Reactivos'!BL409,'LP Reactivos'!BQ409,'LP Reactivos'!BV409,'LP Reactivos'!CA409,'LP Reactivos'!CF409,'LP Reactivos'!CK409,'LP Reactivos'!CP409,'LP Reactivos'!CU409,'LP Reactivos'!CZ409,'LP Reactivos'!DE409,'LP Reactivos'!DJ409,'LP Reactivos'!DO409,'LP Reactivos'!DT409,'LP Reactivos'!DY409,'LP Reactivos'!EB409)," ")</f>
        <v>253027.87436237856</v>
      </c>
      <c r="H409" s="345">
        <f t="shared" ref="H409:H460" si="28">STDEVA(D409,E409,F409,G409)</f>
        <v>16955.22541493686</v>
      </c>
      <c r="I409" s="346">
        <f t="shared" ref="I409:I460" si="29">IFERROR(H409/E409," ")</f>
        <v>6.6596589950104715E-2</v>
      </c>
      <c r="J409" s="345">
        <f t="shared" ref="J409:J460" si="30">IF(I409&lt;=10%,F409,IF(AND(I409&gt;10%,I409&lt;=20%),E409,IF(AND(I409&gt;20%,I409&lt;=30%),G409,IF(I409&gt;30%,D409))))</f>
        <v>254468</v>
      </c>
      <c r="K409" s="344" t="str">
        <f t="shared" ref="K409:K460" si="31">IF(J409=D409,"Menor Valor",IF(J409=E409,"Promedio",IF(J409=F409,"Mediana",IF(J409=G409,"Media Geométrica"," "))))</f>
        <v>Mediana</v>
      </c>
      <c r="L409" s="326">
        <f>IFERROR(COUNTA('LP Reactivos'!F409,'LP Reactivos'!I409,'LP Reactivos'!N409,'LP Reactivos'!S409,'LP Reactivos'!X409,'LP Reactivos'!AC409,'LP Reactivos'!AH409,'LP Reactivos'!AM409,'LP Reactivos'!AR409,'LP Reactivos'!AW409,'LP Reactivos'!BB409,'LP Reactivos'!BG409,'LP Reactivos'!BL409,'LP Reactivos'!BQ409,'LP Reactivos'!BV409,'LP Reactivos'!CA409,'LP Reactivos'!CF409,'LP Reactivos'!CK409,'LP Reactivos'!CP409,'LP Reactivos'!CU409,'LP Reactivos'!CZ409,'LP Reactivos'!DE409,'LP Reactivos'!DJ409,'LP Reactivos'!DO409,'LP Reactivos'!DT409,'LP Reactivos'!DY409,'LP Reactivos'!EB409)," ")</f>
        <v>3</v>
      </c>
    </row>
    <row r="410" spans="2:12" x14ac:dyDescent="0.25">
      <c r="B410" s="425">
        <v>408</v>
      </c>
      <c r="C410" s="427" t="s">
        <v>2054</v>
      </c>
      <c r="D410" s="429">
        <f>IFERROR(MIN('LP Reactivos'!F410,'LP Reactivos'!I410,'LP Reactivos'!N410,'LP Reactivos'!S410,'LP Reactivos'!X410,'LP Reactivos'!AC410,'LP Reactivos'!AH410,'LP Reactivos'!AM410,'LP Reactivos'!AR410,'LP Reactivos'!AW410,'LP Reactivos'!BB410,'LP Reactivos'!BG410,'LP Reactivos'!BL410,'LP Reactivos'!BQ410,'LP Reactivos'!BV410,'LP Reactivos'!CA410,'LP Reactivos'!CF410,'LP Reactivos'!CK410,'LP Reactivos'!CP410,'LP Reactivos'!CU410,'LP Reactivos'!CZ410,'LP Reactivos'!DE410,'LP Reactivos'!DJ410,'LP Reactivos'!DO410,'LP Reactivos'!DT410,'LP Reactivos'!DY410,'LP Reactivos'!EB410)," ")</f>
        <v>408170</v>
      </c>
      <c r="E410" s="429">
        <f>IFERROR(AVERAGE('LP Reactivos'!F410,'LP Reactivos'!I410,'LP Reactivos'!N410,'LP Reactivos'!S410,'LP Reactivos'!X410,'LP Reactivos'!AC410,'LP Reactivos'!AH410,'LP Reactivos'!AM410,'LP Reactivos'!AR410,'LP Reactivos'!AW410,'LP Reactivos'!BB410,'LP Reactivos'!BG410,'LP Reactivos'!BL410,'LP Reactivos'!BQ410,'LP Reactivos'!BV410,'LP Reactivos'!CA410,'LP Reactivos'!CF410,'LP Reactivos'!CK410,'LP Reactivos'!CP410,'LP Reactivos'!CU410,'LP Reactivos'!CZ410,'LP Reactivos'!DE410,'LP Reactivos'!DJ410,'LP Reactivos'!DO410,'LP Reactivos'!DT410,'LP Reactivos'!DY410,'LP Reactivos'!EB410)," ")</f>
        <v>499534.58666666667</v>
      </c>
      <c r="F410" s="345">
        <f>IFERROR(MEDIAN('LP Reactivos'!F410,'LP Reactivos'!I410,'LP Reactivos'!N410,'LP Reactivos'!S410,'LP Reactivos'!X410,'LP Reactivos'!AC410,'LP Reactivos'!AH410,'LP Reactivos'!AM410,'LP Reactivos'!AR410,'LP Reactivos'!AW410,'LP Reactivos'!BB410,'LP Reactivos'!BG410,'LP Reactivos'!BL410,'LP Reactivos'!BQ410,'LP Reactivos'!BV410,'LP Reactivos'!CA410,'LP Reactivos'!CF410,'LP Reactivos'!CK410,'LP Reactivos'!CP410,'LP Reactivos'!CU410,'LP Reactivos'!CZ410,'LP Reactivos'!DE410,'LP Reactivos'!DJ410,'LP Reactivos'!DO410,'LP Reactivos'!DT410,'LP Reactivos'!DY410,'LP Reactivos'!EB410)," ")</f>
        <v>527888.76</v>
      </c>
      <c r="G410" s="345">
        <f>IFERROR(GEOMEAN('LP Reactivos'!F410,'LP Reactivos'!I410,'LP Reactivos'!N410,'LP Reactivos'!S410,'LP Reactivos'!X410,'LP Reactivos'!AC410,'LP Reactivos'!AH410,'LP Reactivos'!AM410,'LP Reactivos'!AR410,'LP Reactivos'!AW410,'LP Reactivos'!BB410,'LP Reactivos'!BG410,'LP Reactivos'!BL410,'LP Reactivos'!BQ410,'LP Reactivos'!BV410,'LP Reactivos'!CA410,'LP Reactivos'!CF410,'LP Reactivos'!CK410,'LP Reactivos'!CP410,'LP Reactivos'!CU410,'LP Reactivos'!CZ410,'LP Reactivos'!DE410,'LP Reactivos'!DJ410,'LP Reactivos'!DO410,'LP Reactivos'!DT410,'LP Reactivos'!DY410,'LP Reactivos'!EB410)," ")</f>
        <v>494895.59524235054</v>
      </c>
      <c r="H410" s="345">
        <f t="shared" si="28"/>
        <v>51732.828367186616</v>
      </c>
      <c r="I410" s="346">
        <f t="shared" si="29"/>
        <v>0.10356205505687498</v>
      </c>
      <c r="J410" s="345">
        <f t="shared" si="30"/>
        <v>499534.58666666667</v>
      </c>
      <c r="K410" s="344" t="str">
        <f t="shared" si="31"/>
        <v>Promedio</v>
      </c>
      <c r="L410" s="326">
        <f>IFERROR(COUNTA('LP Reactivos'!F410,'LP Reactivos'!I410,'LP Reactivos'!N410,'LP Reactivos'!S410,'LP Reactivos'!X410,'LP Reactivos'!AC410,'LP Reactivos'!AH410,'LP Reactivos'!AM410,'LP Reactivos'!AR410,'LP Reactivos'!AW410,'LP Reactivos'!BB410,'LP Reactivos'!BG410,'LP Reactivos'!BL410,'LP Reactivos'!BQ410,'LP Reactivos'!BV410,'LP Reactivos'!CA410,'LP Reactivos'!CF410,'LP Reactivos'!CK410,'LP Reactivos'!CP410,'LP Reactivos'!CU410,'LP Reactivos'!CZ410,'LP Reactivos'!DE410,'LP Reactivos'!DJ410,'LP Reactivos'!DO410,'LP Reactivos'!DT410,'LP Reactivos'!DY410,'LP Reactivos'!EB410)," ")</f>
        <v>3</v>
      </c>
    </row>
    <row r="411" spans="2:12" x14ac:dyDescent="0.25">
      <c r="B411" s="425">
        <v>409</v>
      </c>
      <c r="C411" s="427" t="s">
        <v>2057</v>
      </c>
      <c r="D411" s="429">
        <f>IFERROR(MIN('LP Reactivos'!F411,'LP Reactivos'!I411,'LP Reactivos'!N411,'LP Reactivos'!S411,'LP Reactivos'!X411,'LP Reactivos'!AC411,'LP Reactivos'!AH411,'LP Reactivos'!AM411,'LP Reactivos'!AR411,'LP Reactivos'!AW411,'LP Reactivos'!BB411,'LP Reactivos'!BG411,'LP Reactivos'!BL411,'LP Reactivos'!BQ411,'LP Reactivos'!BV411,'LP Reactivos'!CA411,'LP Reactivos'!CF411,'LP Reactivos'!CK411,'LP Reactivos'!CP411,'LP Reactivos'!CU411,'LP Reactivos'!CZ411,'LP Reactivos'!DE411,'LP Reactivos'!DJ411,'LP Reactivos'!DO411,'LP Reactivos'!DT411,'LP Reactivos'!DY411,'LP Reactivos'!EB411)," ")</f>
        <v>444762.5</v>
      </c>
      <c r="E411" s="429">
        <f>IFERROR(AVERAGE('LP Reactivos'!F411,'LP Reactivos'!I411,'LP Reactivos'!N411,'LP Reactivos'!S411,'LP Reactivos'!X411,'LP Reactivos'!AC411,'LP Reactivos'!AH411,'LP Reactivos'!AM411,'LP Reactivos'!AR411,'LP Reactivos'!AW411,'LP Reactivos'!BB411,'LP Reactivos'!BG411,'LP Reactivos'!BL411,'LP Reactivos'!BQ411,'LP Reactivos'!BV411,'LP Reactivos'!CA411,'LP Reactivos'!CF411,'LP Reactivos'!CK411,'LP Reactivos'!CP411,'LP Reactivos'!CU411,'LP Reactivos'!CZ411,'LP Reactivos'!DE411,'LP Reactivos'!DJ411,'LP Reactivos'!DO411,'LP Reactivos'!DT411,'LP Reactivos'!DY411,'LP Reactivos'!EB411)," ")</f>
        <v>759778.5</v>
      </c>
      <c r="F411" s="345">
        <f>IFERROR(MEDIAN('LP Reactivos'!F411,'LP Reactivos'!I411,'LP Reactivos'!N411,'LP Reactivos'!S411,'LP Reactivos'!X411,'LP Reactivos'!AC411,'LP Reactivos'!AH411,'LP Reactivos'!AM411,'LP Reactivos'!AR411,'LP Reactivos'!AW411,'LP Reactivos'!BB411,'LP Reactivos'!BG411,'LP Reactivos'!BL411,'LP Reactivos'!BQ411,'LP Reactivos'!BV411,'LP Reactivos'!CA411,'LP Reactivos'!CF411,'LP Reactivos'!CK411,'LP Reactivos'!CP411,'LP Reactivos'!CU411,'LP Reactivos'!CZ411,'LP Reactivos'!DE411,'LP Reactivos'!DJ411,'LP Reactivos'!DO411,'LP Reactivos'!DT411,'LP Reactivos'!DY411,'LP Reactivos'!EB411)," ")</f>
        <v>574770</v>
      </c>
      <c r="G411" s="345">
        <f>IFERROR(GEOMEAN('LP Reactivos'!F411,'LP Reactivos'!I411,'LP Reactivos'!N411,'LP Reactivos'!S411,'LP Reactivos'!X411,'LP Reactivos'!AC411,'LP Reactivos'!AH411,'LP Reactivos'!AM411,'LP Reactivos'!AR411,'LP Reactivos'!AW411,'LP Reactivos'!BB411,'LP Reactivos'!BG411,'LP Reactivos'!BL411,'LP Reactivos'!BQ411,'LP Reactivos'!BV411,'LP Reactivos'!CA411,'LP Reactivos'!CF411,'LP Reactivos'!CK411,'LP Reactivos'!CP411,'LP Reactivos'!CU411,'LP Reactivos'!CZ411,'LP Reactivos'!DE411,'LP Reactivos'!DJ411,'LP Reactivos'!DO411,'LP Reactivos'!DT411,'LP Reactivos'!DY411,'LP Reactivos'!EB411)," ")</f>
        <v>685448.71146350773</v>
      </c>
      <c r="H411" s="345">
        <f t="shared" si="28"/>
        <v>137255.75956593431</v>
      </c>
      <c r="I411" s="346">
        <f t="shared" si="29"/>
        <v>0.18065233428681426</v>
      </c>
      <c r="J411" s="345">
        <f t="shared" si="30"/>
        <v>759778.5</v>
      </c>
      <c r="K411" s="344" t="str">
        <f t="shared" si="31"/>
        <v>Promedio</v>
      </c>
      <c r="L411" s="326">
        <f>IFERROR(COUNTA('LP Reactivos'!F411,'LP Reactivos'!I411,'LP Reactivos'!N411,'LP Reactivos'!S411,'LP Reactivos'!X411,'LP Reactivos'!AC411,'LP Reactivos'!AH411,'LP Reactivos'!AM411,'LP Reactivos'!AR411,'LP Reactivos'!AW411,'LP Reactivos'!BB411,'LP Reactivos'!BG411,'LP Reactivos'!BL411,'LP Reactivos'!BQ411,'LP Reactivos'!BV411,'LP Reactivos'!CA411,'LP Reactivos'!CF411,'LP Reactivos'!CK411,'LP Reactivos'!CP411,'LP Reactivos'!CU411,'LP Reactivos'!CZ411,'LP Reactivos'!DE411,'LP Reactivos'!DJ411,'LP Reactivos'!DO411,'LP Reactivos'!DT411,'LP Reactivos'!DY411,'LP Reactivos'!EB411)," ")</f>
        <v>3</v>
      </c>
    </row>
    <row r="412" spans="2:12" x14ac:dyDescent="0.25">
      <c r="B412" s="425">
        <v>410</v>
      </c>
      <c r="C412" s="428" t="s">
        <v>2060</v>
      </c>
      <c r="D412" s="429">
        <f>IFERROR(MIN('LP Reactivos'!F412,'LP Reactivos'!I412,'LP Reactivos'!N412,'LP Reactivos'!S412,'LP Reactivos'!X412,'LP Reactivos'!AC412,'LP Reactivos'!AH412,'LP Reactivos'!AM412,'LP Reactivos'!AR412,'LP Reactivos'!AW412,'LP Reactivos'!BB412,'LP Reactivos'!BG412,'LP Reactivos'!BL412,'LP Reactivos'!BQ412,'LP Reactivos'!BV412,'LP Reactivos'!CA412,'LP Reactivos'!CF412,'LP Reactivos'!CK412,'LP Reactivos'!CP412,'LP Reactivos'!CU412,'LP Reactivos'!CZ412,'LP Reactivos'!DE412,'LP Reactivos'!DJ412,'LP Reactivos'!DO412,'LP Reactivos'!DT412,'LP Reactivos'!DY412,'LP Reactivos'!EB412)," ")</f>
        <v>71189.465200000006</v>
      </c>
      <c r="E412" s="429">
        <f>IFERROR(AVERAGE('LP Reactivos'!F412,'LP Reactivos'!I412,'LP Reactivos'!N412,'LP Reactivos'!S412,'LP Reactivos'!X412,'LP Reactivos'!AC412,'LP Reactivos'!AH412,'LP Reactivos'!AM412,'LP Reactivos'!AR412,'LP Reactivos'!AW412,'LP Reactivos'!BB412,'LP Reactivos'!BG412,'LP Reactivos'!BL412,'LP Reactivos'!BQ412,'LP Reactivos'!BV412,'LP Reactivos'!CA412,'LP Reactivos'!CF412,'LP Reactivos'!CK412,'LP Reactivos'!CP412,'LP Reactivos'!CU412,'LP Reactivos'!CZ412,'LP Reactivos'!DE412,'LP Reactivos'!DJ412,'LP Reactivos'!DO412,'LP Reactivos'!DT412,'LP Reactivos'!DY412,'LP Reactivos'!EB412)," ")</f>
        <v>189610.36629999999</v>
      </c>
      <c r="F412" s="345">
        <f>IFERROR(MEDIAN('LP Reactivos'!F412,'LP Reactivos'!I412,'LP Reactivos'!N412,'LP Reactivos'!S412,'LP Reactivos'!X412,'LP Reactivos'!AC412,'LP Reactivos'!AH412,'LP Reactivos'!AM412,'LP Reactivos'!AR412,'LP Reactivos'!AW412,'LP Reactivos'!BB412,'LP Reactivos'!BG412,'LP Reactivos'!BL412,'LP Reactivos'!BQ412,'LP Reactivos'!BV412,'LP Reactivos'!CA412,'LP Reactivos'!CF412,'LP Reactivos'!CK412,'LP Reactivos'!CP412,'LP Reactivos'!CU412,'LP Reactivos'!CZ412,'LP Reactivos'!DE412,'LP Reactivos'!DJ412,'LP Reactivos'!DO412,'LP Reactivos'!DT412,'LP Reactivos'!DY412,'LP Reactivos'!EB412)," ")</f>
        <v>173145</v>
      </c>
      <c r="G412" s="345">
        <f>IFERROR(GEOMEAN('LP Reactivos'!F412,'LP Reactivos'!I412,'LP Reactivos'!N412,'LP Reactivos'!S412,'LP Reactivos'!X412,'LP Reactivos'!AC412,'LP Reactivos'!AH412,'LP Reactivos'!AM412,'LP Reactivos'!AR412,'LP Reactivos'!AW412,'LP Reactivos'!BB412,'LP Reactivos'!BG412,'LP Reactivos'!BL412,'LP Reactivos'!BQ412,'LP Reactivos'!BV412,'LP Reactivos'!CA412,'LP Reactivos'!CF412,'LP Reactivos'!CK412,'LP Reactivos'!CP412,'LP Reactivos'!CU412,'LP Reactivos'!CZ412,'LP Reactivos'!DE412,'LP Reactivos'!DJ412,'LP Reactivos'!DO412,'LP Reactivos'!DT412,'LP Reactivos'!DY412,'LP Reactivos'!EB412)," ")</f>
        <v>160621.12993296902</v>
      </c>
      <c r="H412" s="345">
        <f t="shared" si="28"/>
        <v>52981.75392261066</v>
      </c>
      <c r="I412" s="346">
        <f t="shared" si="29"/>
        <v>0.27942435298491725</v>
      </c>
      <c r="J412" s="345">
        <f t="shared" si="30"/>
        <v>160621.12993296902</v>
      </c>
      <c r="K412" s="344" t="str">
        <f t="shared" si="31"/>
        <v>Media Geométrica</v>
      </c>
      <c r="L412" s="326">
        <f>IFERROR(COUNTA('LP Reactivos'!F412,'LP Reactivos'!I412,'LP Reactivos'!N412,'LP Reactivos'!S412,'LP Reactivos'!X412,'LP Reactivos'!AC412,'LP Reactivos'!AH412,'LP Reactivos'!AM412,'LP Reactivos'!AR412,'LP Reactivos'!AW412,'LP Reactivos'!BB412,'LP Reactivos'!BG412,'LP Reactivos'!BL412,'LP Reactivos'!BQ412,'LP Reactivos'!BV412,'LP Reactivos'!CA412,'LP Reactivos'!CF412,'LP Reactivos'!CK412,'LP Reactivos'!CP412,'LP Reactivos'!CU412,'LP Reactivos'!CZ412,'LP Reactivos'!DE412,'LP Reactivos'!DJ412,'LP Reactivos'!DO412,'LP Reactivos'!DT412,'LP Reactivos'!DY412,'LP Reactivos'!EB412)," ")</f>
        <v>4</v>
      </c>
    </row>
    <row r="413" spans="2:12" x14ac:dyDescent="0.25">
      <c r="B413" s="425">
        <v>411</v>
      </c>
      <c r="C413" s="427" t="s">
        <v>2063</v>
      </c>
      <c r="D413" s="429">
        <f>IFERROR(MIN('LP Reactivos'!F413,'LP Reactivos'!I413,'LP Reactivos'!N413,'LP Reactivos'!S413,'LP Reactivos'!X413,'LP Reactivos'!AC413,'LP Reactivos'!AH413,'LP Reactivos'!AM413,'LP Reactivos'!AR413,'LP Reactivos'!AW413,'LP Reactivos'!BB413,'LP Reactivos'!BG413,'LP Reactivos'!BL413,'LP Reactivos'!BQ413,'LP Reactivos'!BV413,'LP Reactivos'!CA413,'LP Reactivos'!CF413,'LP Reactivos'!CK413,'LP Reactivos'!CP413,'LP Reactivos'!CU413,'LP Reactivos'!CZ413,'LP Reactivos'!DE413,'LP Reactivos'!DJ413,'LP Reactivos'!DO413,'LP Reactivos'!DT413,'LP Reactivos'!DY413,'LP Reactivos'!EB413)," ")</f>
        <v>499800</v>
      </c>
      <c r="E413" s="429">
        <f>IFERROR(AVERAGE('LP Reactivos'!F413,'LP Reactivos'!I413,'LP Reactivos'!N413,'LP Reactivos'!S413,'LP Reactivos'!X413,'LP Reactivos'!AC413,'LP Reactivos'!AH413,'LP Reactivos'!AM413,'LP Reactivos'!AR413,'LP Reactivos'!AW413,'LP Reactivos'!BB413,'LP Reactivos'!BG413,'LP Reactivos'!BL413,'LP Reactivos'!BQ413,'LP Reactivos'!BV413,'LP Reactivos'!CA413,'LP Reactivos'!CF413,'LP Reactivos'!CK413,'LP Reactivos'!CP413,'LP Reactivos'!CU413,'LP Reactivos'!CZ413,'LP Reactivos'!DE413,'LP Reactivos'!DJ413,'LP Reactivos'!DO413,'LP Reactivos'!DT413,'LP Reactivos'!DY413,'LP Reactivos'!EB413)," ")</f>
        <v>785159.78949999996</v>
      </c>
      <c r="F413" s="345">
        <f>IFERROR(MEDIAN('LP Reactivos'!F413,'LP Reactivos'!I413,'LP Reactivos'!N413,'LP Reactivos'!S413,'LP Reactivos'!X413,'LP Reactivos'!AC413,'LP Reactivos'!AH413,'LP Reactivos'!AM413,'LP Reactivos'!AR413,'LP Reactivos'!AW413,'LP Reactivos'!BB413,'LP Reactivos'!BG413,'LP Reactivos'!BL413,'LP Reactivos'!BQ413,'LP Reactivos'!BV413,'LP Reactivos'!CA413,'LP Reactivos'!CF413,'LP Reactivos'!CK413,'LP Reactivos'!CP413,'LP Reactivos'!CU413,'LP Reactivos'!CZ413,'LP Reactivos'!DE413,'LP Reactivos'!DJ413,'LP Reactivos'!DO413,'LP Reactivos'!DT413,'LP Reactivos'!DY413,'LP Reactivos'!EB413)," ")</f>
        <v>741484.57900000003</v>
      </c>
      <c r="G413" s="345">
        <f>IFERROR(GEOMEAN('LP Reactivos'!F413,'LP Reactivos'!I413,'LP Reactivos'!N413,'LP Reactivos'!S413,'LP Reactivos'!X413,'LP Reactivos'!AC413,'LP Reactivos'!AH413,'LP Reactivos'!AM413,'LP Reactivos'!AR413,'LP Reactivos'!AW413,'LP Reactivos'!BB413,'LP Reactivos'!BG413,'LP Reactivos'!BL413,'LP Reactivos'!BQ413,'LP Reactivos'!BV413,'LP Reactivos'!CA413,'LP Reactivos'!CF413,'LP Reactivos'!CK413,'LP Reactivos'!CP413,'LP Reactivos'!CU413,'LP Reactivos'!CZ413,'LP Reactivos'!DE413,'LP Reactivos'!DJ413,'LP Reactivos'!DO413,'LP Reactivos'!DT413,'LP Reactivos'!DY413,'LP Reactivos'!EB413)," ")</f>
        <v>734733.69863704755</v>
      </c>
      <c r="H413" s="345">
        <f t="shared" si="28"/>
        <v>128948.10874365515</v>
      </c>
      <c r="I413" s="346">
        <f t="shared" si="29"/>
        <v>0.16423167674667979</v>
      </c>
      <c r="J413" s="345">
        <f t="shared" si="30"/>
        <v>785159.78949999996</v>
      </c>
      <c r="K413" s="344" t="str">
        <f t="shared" si="31"/>
        <v>Promedio</v>
      </c>
      <c r="L413" s="326">
        <f>IFERROR(COUNTA('LP Reactivos'!F413,'LP Reactivos'!I413,'LP Reactivos'!N413,'LP Reactivos'!S413,'LP Reactivos'!X413,'LP Reactivos'!AC413,'LP Reactivos'!AH413,'LP Reactivos'!AM413,'LP Reactivos'!AR413,'LP Reactivos'!AW413,'LP Reactivos'!BB413,'LP Reactivos'!BG413,'LP Reactivos'!BL413,'LP Reactivos'!BQ413,'LP Reactivos'!BV413,'LP Reactivos'!CA413,'LP Reactivos'!CF413,'LP Reactivos'!CK413,'LP Reactivos'!CP413,'LP Reactivos'!CU413,'LP Reactivos'!CZ413,'LP Reactivos'!DE413,'LP Reactivos'!DJ413,'LP Reactivos'!DO413,'LP Reactivos'!DT413,'LP Reactivos'!DY413,'LP Reactivos'!EB413)," ")</f>
        <v>4</v>
      </c>
    </row>
    <row r="414" spans="2:12" ht="27" x14ac:dyDescent="0.25">
      <c r="B414" s="425">
        <v>412</v>
      </c>
      <c r="C414" s="413" t="s">
        <v>2066</v>
      </c>
      <c r="D414" s="429">
        <f>IFERROR(MIN('LP Reactivos'!F414,'LP Reactivos'!I414,'LP Reactivos'!N414,'LP Reactivos'!S414,'LP Reactivos'!X414,'LP Reactivos'!AC414,'LP Reactivos'!AH414,'LP Reactivos'!AM414,'LP Reactivos'!AR414,'LP Reactivos'!AW414,'LP Reactivos'!BB414,'LP Reactivos'!BG414,'LP Reactivos'!BL414,'LP Reactivos'!BQ414,'LP Reactivos'!BV414,'LP Reactivos'!CA414,'LP Reactivos'!CF414,'LP Reactivos'!CK414,'LP Reactivos'!CP414,'LP Reactivos'!CU414,'LP Reactivos'!CZ414,'LP Reactivos'!DE414,'LP Reactivos'!DJ414,'LP Reactivos'!DO414,'LP Reactivos'!DT414,'LP Reactivos'!DY414,'LP Reactivos'!EB414)," ")</f>
        <v>785400</v>
      </c>
      <c r="E414" s="429">
        <f>IFERROR(AVERAGE('LP Reactivos'!F414,'LP Reactivos'!I414,'LP Reactivos'!N414,'LP Reactivos'!S414,'LP Reactivos'!X414,'LP Reactivos'!AC414,'LP Reactivos'!AH414,'LP Reactivos'!AM414,'LP Reactivos'!AR414,'LP Reactivos'!AW414,'LP Reactivos'!BB414,'LP Reactivos'!BG414,'LP Reactivos'!BL414,'LP Reactivos'!BQ414,'LP Reactivos'!BV414,'LP Reactivos'!CA414,'LP Reactivos'!CF414,'LP Reactivos'!CK414,'LP Reactivos'!CP414,'LP Reactivos'!CU414,'LP Reactivos'!CZ414,'LP Reactivos'!DE414,'LP Reactivos'!DJ414,'LP Reactivos'!DO414,'LP Reactivos'!DT414,'LP Reactivos'!DY414,'LP Reactivos'!EB414)," ")</f>
        <v>785400</v>
      </c>
      <c r="F414" s="345">
        <f>IFERROR(MEDIAN('LP Reactivos'!F414,'LP Reactivos'!I414,'LP Reactivos'!N414,'LP Reactivos'!S414,'LP Reactivos'!X414,'LP Reactivos'!AC414,'LP Reactivos'!AH414,'LP Reactivos'!AM414,'LP Reactivos'!AR414,'LP Reactivos'!AW414,'LP Reactivos'!BB414,'LP Reactivos'!BG414,'LP Reactivos'!BL414,'LP Reactivos'!BQ414,'LP Reactivos'!BV414,'LP Reactivos'!CA414,'LP Reactivos'!CF414,'LP Reactivos'!CK414,'LP Reactivos'!CP414,'LP Reactivos'!CU414,'LP Reactivos'!CZ414,'LP Reactivos'!DE414,'LP Reactivos'!DJ414,'LP Reactivos'!DO414,'LP Reactivos'!DT414,'LP Reactivos'!DY414,'LP Reactivos'!EB414)," ")</f>
        <v>785400</v>
      </c>
      <c r="G414" s="345">
        <f>IFERROR(GEOMEAN('LP Reactivos'!F414,'LP Reactivos'!I414,'LP Reactivos'!N414,'LP Reactivos'!S414,'LP Reactivos'!X414,'LP Reactivos'!AC414,'LP Reactivos'!AH414,'LP Reactivos'!AM414,'LP Reactivos'!AR414,'LP Reactivos'!AW414,'LP Reactivos'!BB414,'LP Reactivos'!BG414,'LP Reactivos'!BL414,'LP Reactivos'!BQ414,'LP Reactivos'!BV414,'LP Reactivos'!CA414,'LP Reactivos'!CF414,'LP Reactivos'!CK414,'LP Reactivos'!CP414,'LP Reactivos'!CU414,'LP Reactivos'!CZ414,'LP Reactivos'!DE414,'LP Reactivos'!DJ414,'LP Reactivos'!DO414,'LP Reactivos'!DT414,'LP Reactivos'!DY414,'LP Reactivos'!EB414)," ")</f>
        <v>785400</v>
      </c>
      <c r="H414" s="345">
        <f t="shared" si="28"/>
        <v>0</v>
      </c>
      <c r="I414" s="346">
        <f t="shared" si="29"/>
        <v>0</v>
      </c>
      <c r="J414" s="345">
        <f t="shared" si="30"/>
        <v>785400</v>
      </c>
      <c r="K414" s="344" t="str">
        <f t="shared" si="31"/>
        <v>Menor Valor</v>
      </c>
      <c r="L414" s="326">
        <f>IFERROR(COUNTA('LP Reactivos'!F414,'LP Reactivos'!I414,'LP Reactivos'!N414,'LP Reactivos'!S414,'LP Reactivos'!X414,'LP Reactivos'!AC414,'LP Reactivos'!AH414,'LP Reactivos'!AM414,'LP Reactivos'!AR414,'LP Reactivos'!AW414,'LP Reactivos'!BB414,'LP Reactivos'!BG414,'LP Reactivos'!BL414,'LP Reactivos'!BQ414,'LP Reactivos'!BV414,'LP Reactivos'!CA414,'LP Reactivos'!CF414,'LP Reactivos'!CK414,'LP Reactivos'!CP414,'LP Reactivos'!CU414,'LP Reactivos'!CZ414,'LP Reactivos'!DE414,'LP Reactivos'!DJ414,'LP Reactivos'!DO414,'LP Reactivos'!DT414,'LP Reactivos'!DY414,'LP Reactivos'!EB414)," ")</f>
        <v>1</v>
      </c>
    </row>
    <row r="415" spans="2:12" ht="27" x14ac:dyDescent="0.25">
      <c r="B415" s="425">
        <v>413</v>
      </c>
      <c r="C415" s="413" t="s">
        <v>2068</v>
      </c>
      <c r="D415" s="429">
        <f>IFERROR(MIN('LP Reactivos'!F415,'LP Reactivos'!I415,'LP Reactivos'!N415,'LP Reactivos'!S415,'LP Reactivos'!X415,'LP Reactivos'!AC415,'LP Reactivos'!AH415,'LP Reactivos'!AM415,'LP Reactivos'!AR415,'LP Reactivos'!AW415,'LP Reactivos'!BB415,'LP Reactivos'!BG415,'LP Reactivos'!BL415,'LP Reactivos'!BQ415,'LP Reactivos'!BV415,'LP Reactivos'!CA415,'LP Reactivos'!CF415,'LP Reactivos'!CK415,'LP Reactivos'!CP415,'LP Reactivos'!CU415,'LP Reactivos'!CZ415,'LP Reactivos'!DE415,'LP Reactivos'!DJ415,'LP Reactivos'!DO415,'LP Reactivos'!DT415,'LP Reactivos'!DY415,'LP Reactivos'!EB415)," ")</f>
        <v>785400</v>
      </c>
      <c r="E415" s="429">
        <f>IFERROR(AVERAGE('LP Reactivos'!F415,'LP Reactivos'!I415,'LP Reactivos'!N415,'LP Reactivos'!S415,'LP Reactivos'!X415,'LP Reactivos'!AC415,'LP Reactivos'!AH415,'LP Reactivos'!AM415,'LP Reactivos'!AR415,'LP Reactivos'!AW415,'LP Reactivos'!BB415,'LP Reactivos'!BG415,'LP Reactivos'!BL415,'LP Reactivos'!BQ415,'LP Reactivos'!BV415,'LP Reactivos'!CA415,'LP Reactivos'!CF415,'LP Reactivos'!CK415,'LP Reactivos'!CP415,'LP Reactivos'!CU415,'LP Reactivos'!CZ415,'LP Reactivos'!DE415,'LP Reactivos'!DJ415,'LP Reactivos'!DO415,'LP Reactivos'!DT415,'LP Reactivos'!DY415,'LP Reactivos'!EB415)," ")</f>
        <v>785400</v>
      </c>
      <c r="F415" s="345">
        <f>IFERROR(MEDIAN('LP Reactivos'!F415,'LP Reactivos'!I415,'LP Reactivos'!N415,'LP Reactivos'!S415,'LP Reactivos'!X415,'LP Reactivos'!AC415,'LP Reactivos'!AH415,'LP Reactivos'!AM415,'LP Reactivos'!AR415,'LP Reactivos'!AW415,'LP Reactivos'!BB415,'LP Reactivos'!BG415,'LP Reactivos'!BL415,'LP Reactivos'!BQ415,'LP Reactivos'!BV415,'LP Reactivos'!CA415,'LP Reactivos'!CF415,'LP Reactivos'!CK415,'LP Reactivos'!CP415,'LP Reactivos'!CU415,'LP Reactivos'!CZ415,'LP Reactivos'!DE415,'LP Reactivos'!DJ415,'LP Reactivos'!DO415,'LP Reactivos'!DT415,'LP Reactivos'!DY415,'LP Reactivos'!EB415)," ")</f>
        <v>785400</v>
      </c>
      <c r="G415" s="345">
        <f>IFERROR(GEOMEAN('LP Reactivos'!F415,'LP Reactivos'!I415,'LP Reactivos'!N415,'LP Reactivos'!S415,'LP Reactivos'!X415,'LP Reactivos'!AC415,'LP Reactivos'!AH415,'LP Reactivos'!AM415,'LP Reactivos'!AR415,'LP Reactivos'!AW415,'LP Reactivos'!BB415,'LP Reactivos'!BG415,'LP Reactivos'!BL415,'LP Reactivos'!BQ415,'LP Reactivos'!BV415,'LP Reactivos'!CA415,'LP Reactivos'!CF415,'LP Reactivos'!CK415,'LP Reactivos'!CP415,'LP Reactivos'!CU415,'LP Reactivos'!CZ415,'LP Reactivos'!DE415,'LP Reactivos'!DJ415,'LP Reactivos'!DO415,'LP Reactivos'!DT415,'LP Reactivos'!DY415,'LP Reactivos'!EB415)," ")</f>
        <v>785400</v>
      </c>
      <c r="H415" s="345">
        <f t="shared" si="28"/>
        <v>0</v>
      </c>
      <c r="I415" s="346">
        <f t="shared" si="29"/>
        <v>0</v>
      </c>
      <c r="J415" s="345">
        <f t="shared" si="30"/>
        <v>785400</v>
      </c>
      <c r="K415" s="344" t="str">
        <f t="shared" si="31"/>
        <v>Menor Valor</v>
      </c>
      <c r="L415" s="326">
        <f>IFERROR(COUNTA('LP Reactivos'!F415,'LP Reactivos'!I415,'LP Reactivos'!N415,'LP Reactivos'!S415,'LP Reactivos'!X415,'LP Reactivos'!AC415,'LP Reactivos'!AH415,'LP Reactivos'!AM415,'LP Reactivos'!AR415,'LP Reactivos'!AW415,'LP Reactivos'!BB415,'LP Reactivos'!BG415,'LP Reactivos'!BL415,'LP Reactivos'!BQ415,'LP Reactivos'!BV415,'LP Reactivos'!CA415,'LP Reactivos'!CF415,'LP Reactivos'!CK415,'LP Reactivos'!CP415,'LP Reactivos'!CU415,'LP Reactivos'!CZ415,'LP Reactivos'!DE415,'LP Reactivos'!DJ415,'LP Reactivos'!DO415,'LP Reactivos'!DT415,'LP Reactivos'!DY415,'LP Reactivos'!EB415)," ")</f>
        <v>1</v>
      </c>
    </row>
    <row r="416" spans="2:12" ht="40.5" x14ac:dyDescent="0.25">
      <c r="B416" s="425">
        <v>414</v>
      </c>
      <c r="C416" s="413" t="s">
        <v>2069</v>
      </c>
      <c r="D416" s="429">
        <f>IFERROR(MIN('LP Reactivos'!F416,'LP Reactivos'!I416,'LP Reactivos'!N416,'LP Reactivos'!S416,'LP Reactivos'!X416,'LP Reactivos'!AC416,'LP Reactivos'!AH416,'LP Reactivos'!AM416,'LP Reactivos'!AR416,'LP Reactivos'!AW416,'LP Reactivos'!BB416,'LP Reactivos'!BG416,'LP Reactivos'!BL416,'LP Reactivos'!BQ416,'LP Reactivos'!BV416,'LP Reactivos'!CA416,'LP Reactivos'!CF416,'LP Reactivos'!CK416,'LP Reactivos'!CP416,'LP Reactivos'!CU416,'LP Reactivos'!CZ416,'LP Reactivos'!DE416,'LP Reactivos'!DJ416,'LP Reactivos'!DO416,'LP Reactivos'!DT416,'LP Reactivos'!DY416,'LP Reactivos'!EB416)," ")</f>
        <v>785400</v>
      </c>
      <c r="E416" s="429">
        <f>IFERROR(AVERAGE('LP Reactivos'!F416,'LP Reactivos'!I416,'LP Reactivos'!N416,'LP Reactivos'!S416,'LP Reactivos'!X416,'LP Reactivos'!AC416,'LP Reactivos'!AH416,'LP Reactivos'!AM416,'LP Reactivos'!AR416,'LP Reactivos'!AW416,'LP Reactivos'!BB416,'LP Reactivos'!BG416,'LP Reactivos'!BL416,'LP Reactivos'!BQ416,'LP Reactivos'!BV416,'LP Reactivos'!CA416,'LP Reactivos'!CF416,'LP Reactivos'!CK416,'LP Reactivos'!CP416,'LP Reactivos'!CU416,'LP Reactivos'!CZ416,'LP Reactivos'!DE416,'LP Reactivos'!DJ416,'LP Reactivos'!DO416,'LP Reactivos'!DT416,'LP Reactivos'!DY416,'LP Reactivos'!EB416)," ")</f>
        <v>785400</v>
      </c>
      <c r="F416" s="345">
        <f>IFERROR(MEDIAN('LP Reactivos'!F416,'LP Reactivos'!I416,'LP Reactivos'!N416,'LP Reactivos'!S416,'LP Reactivos'!X416,'LP Reactivos'!AC416,'LP Reactivos'!AH416,'LP Reactivos'!AM416,'LP Reactivos'!AR416,'LP Reactivos'!AW416,'LP Reactivos'!BB416,'LP Reactivos'!BG416,'LP Reactivos'!BL416,'LP Reactivos'!BQ416,'LP Reactivos'!BV416,'LP Reactivos'!CA416,'LP Reactivos'!CF416,'LP Reactivos'!CK416,'LP Reactivos'!CP416,'LP Reactivos'!CU416,'LP Reactivos'!CZ416,'LP Reactivos'!DE416,'LP Reactivos'!DJ416,'LP Reactivos'!DO416,'LP Reactivos'!DT416,'LP Reactivos'!DY416,'LP Reactivos'!EB416)," ")</f>
        <v>785400</v>
      </c>
      <c r="G416" s="345">
        <f>IFERROR(GEOMEAN('LP Reactivos'!F416,'LP Reactivos'!I416,'LP Reactivos'!N416,'LP Reactivos'!S416,'LP Reactivos'!X416,'LP Reactivos'!AC416,'LP Reactivos'!AH416,'LP Reactivos'!AM416,'LP Reactivos'!AR416,'LP Reactivos'!AW416,'LP Reactivos'!BB416,'LP Reactivos'!BG416,'LP Reactivos'!BL416,'LP Reactivos'!BQ416,'LP Reactivos'!BV416,'LP Reactivos'!CA416,'LP Reactivos'!CF416,'LP Reactivos'!CK416,'LP Reactivos'!CP416,'LP Reactivos'!CU416,'LP Reactivos'!CZ416,'LP Reactivos'!DE416,'LP Reactivos'!DJ416,'LP Reactivos'!DO416,'LP Reactivos'!DT416,'LP Reactivos'!DY416,'LP Reactivos'!EB416)," ")</f>
        <v>785400</v>
      </c>
      <c r="H416" s="345">
        <f t="shared" si="28"/>
        <v>0</v>
      </c>
      <c r="I416" s="346">
        <f t="shared" si="29"/>
        <v>0</v>
      </c>
      <c r="J416" s="345">
        <f t="shared" si="30"/>
        <v>785400</v>
      </c>
      <c r="K416" s="344" t="str">
        <f t="shared" si="31"/>
        <v>Menor Valor</v>
      </c>
      <c r="L416" s="326">
        <f>IFERROR(COUNTA('LP Reactivos'!F416,'LP Reactivos'!I416,'LP Reactivos'!N416,'LP Reactivos'!S416,'LP Reactivos'!X416,'LP Reactivos'!AC416,'LP Reactivos'!AH416,'LP Reactivos'!AM416,'LP Reactivos'!AR416,'LP Reactivos'!AW416,'LP Reactivos'!BB416,'LP Reactivos'!BG416,'LP Reactivos'!BL416,'LP Reactivos'!BQ416,'LP Reactivos'!BV416,'LP Reactivos'!CA416,'LP Reactivos'!CF416,'LP Reactivos'!CK416,'LP Reactivos'!CP416,'LP Reactivos'!CU416,'LP Reactivos'!CZ416,'LP Reactivos'!DE416,'LP Reactivos'!DJ416,'LP Reactivos'!DO416,'LP Reactivos'!DT416,'LP Reactivos'!DY416,'LP Reactivos'!EB416)," ")</f>
        <v>1</v>
      </c>
    </row>
    <row r="417" spans="2:12" x14ac:dyDescent="0.25">
      <c r="B417" s="425">
        <v>415</v>
      </c>
      <c r="C417" s="427" t="s">
        <v>2070</v>
      </c>
      <c r="D417" s="429">
        <f>IFERROR(MIN('LP Reactivos'!F417,'LP Reactivos'!I417,'LP Reactivos'!N417,'LP Reactivos'!S417,'LP Reactivos'!X417,'LP Reactivos'!AC417,'LP Reactivos'!AH417,'LP Reactivos'!AM417,'LP Reactivos'!AR417,'LP Reactivos'!AW417,'LP Reactivos'!BB417,'LP Reactivos'!BG417,'LP Reactivos'!BL417,'LP Reactivos'!BQ417,'LP Reactivos'!BV417,'LP Reactivos'!CA417,'LP Reactivos'!CF417,'LP Reactivos'!CK417,'LP Reactivos'!CP417,'LP Reactivos'!CU417,'LP Reactivos'!CZ417,'LP Reactivos'!DE417,'LP Reactivos'!DJ417,'LP Reactivos'!DO417,'LP Reactivos'!DT417,'LP Reactivos'!DY417,'LP Reactivos'!EB417)," ")</f>
        <v>48750</v>
      </c>
      <c r="E417" s="429">
        <f>IFERROR(AVERAGE('LP Reactivos'!F417,'LP Reactivos'!I417,'LP Reactivos'!N417,'LP Reactivos'!S417,'LP Reactivos'!X417,'LP Reactivos'!AC417,'LP Reactivos'!AH417,'LP Reactivos'!AM417,'LP Reactivos'!AR417,'LP Reactivos'!AW417,'LP Reactivos'!BB417,'LP Reactivos'!BG417,'LP Reactivos'!BL417,'LP Reactivos'!BQ417,'LP Reactivos'!BV417,'LP Reactivos'!CA417,'LP Reactivos'!CF417,'LP Reactivos'!CK417,'LP Reactivos'!CP417,'LP Reactivos'!CU417,'LP Reactivos'!CZ417,'LP Reactivos'!DE417,'LP Reactivos'!DJ417,'LP Reactivos'!DO417,'LP Reactivos'!DT417,'LP Reactivos'!DY417,'LP Reactivos'!EB417)," ")</f>
        <v>196953.88</v>
      </c>
      <c r="F417" s="345">
        <f>IFERROR(MEDIAN('LP Reactivos'!F417,'LP Reactivos'!I417,'LP Reactivos'!N417,'LP Reactivos'!S417,'LP Reactivos'!X417,'LP Reactivos'!AC417,'LP Reactivos'!AH417,'LP Reactivos'!AM417,'LP Reactivos'!AR417,'LP Reactivos'!AW417,'LP Reactivos'!BB417,'LP Reactivos'!BG417,'LP Reactivos'!BL417,'LP Reactivos'!BQ417,'LP Reactivos'!BV417,'LP Reactivos'!CA417,'LP Reactivos'!CF417,'LP Reactivos'!CK417,'LP Reactivos'!CP417,'LP Reactivos'!CU417,'LP Reactivos'!CZ417,'LP Reactivos'!DE417,'LP Reactivos'!DJ417,'LP Reactivos'!DO417,'LP Reactivos'!DT417,'LP Reactivos'!DY417,'LP Reactivos'!EB417)," ")</f>
        <v>91889.400000000009</v>
      </c>
      <c r="G417" s="345">
        <f>IFERROR(GEOMEAN('LP Reactivos'!F417,'LP Reactivos'!I417,'LP Reactivos'!N417,'LP Reactivos'!S417,'LP Reactivos'!X417,'LP Reactivos'!AC417,'LP Reactivos'!AH417,'LP Reactivos'!AM417,'LP Reactivos'!AR417,'LP Reactivos'!AW417,'LP Reactivos'!BB417,'LP Reactivos'!BG417,'LP Reactivos'!BL417,'LP Reactivos'!BQ417,'LP Reactivos'!BV417,'LP Reactivos'!CA417,'LP Reactivos'!CF417,'LP Reactivos'!CK417,'LP Reactivos'!CP417,'LP Reactivos'!CU417,'LP Reactivos'!CZ417,'LP Reactivos'!DE417,'LP Reactivos'!DJ417,'LP Reactivos'!DO417,'LP Reactivos'!DT417,'LP Reactivos'!DY417,'LP Reactivos'!EB417)," ")</f>
        <v>127014.15826807087</v>
      </c>
      <c r="H417" s="345">
        <f t="shared" si="28"/>
        <v>62659.486263603438</v>
      </c>
      <c r="I417" s="346">
        <f t="shared" si="29"/>
        <v>0.31814293916729863</v>
      </c>
      <c r="J417" s="345">
        <f>IF(I417&lt;=10%,F417,IF(AND(I417&gt;10%,I417&lt;=20%),E417,IF(AND(I417&gt;20%,I417&lt;=32%),G417,IF(I417&gt;32%,D417))))</f>
        <v>127014.15826807087</v>
      </c>
      <c r="K417" s="344" t="str">
        <f t="shared" si="31"/>
        <v>Media Geométrica</v>
      </c>
      <c r="L417" s="326">
        <f>IFERROR(COUNTA('LP Reactivos'!F417,'LP Reactivos'!I417,'LP Reactivos'!N417,'LP Reactivos'!S417,'LP Reactivos'!X417,'LP Reactivos'!AC417,'LP Reactivos'!AH417,'LP Reactivos'!AM417,'LP Reactivos'!AR417,'LP Reactivos'!AW417,'LP Reactivos'!BB417,'LP Reactivos'!BG417,'LP Reactivos'!BL417,'LP Reactivos'!BQ417,'LP Reactivos'!BV417,'LP Reactivos'!CA417,'LP Reactivos'!CF417,'LP Reactivos'!CK417,'LP Reactivos'!CP417,'LP Reactivos'!CU417,'LP Reactivos'!CZ417,'LP Reactivos'!DE417,'LP Reactivos'!DJ417,'LP Reactivos'!DO417,'LP Reactivos'!DT417,'LP Reactivos'!DY417,'LP Reactivos'!EB417)," ")</f>
        <v>5</v>
      </c>
    </row>
    <row r="418" spans="2:12" x14ac:dyDescent="0.25">
      <c r="B418" s="425">
        <v>416</v>
      </c>
      <c r="C418" s="413" t="s">
        <v>2074</v>
      </c>
      <c r="D418" s="429">
        <f>IFERROR(MIN('LP Reactivos'!F418,'LP Reactivos'!I418,'LP Reactivos'!N418,'LP Reactivos'!S418,'LP Reactivos'!X418,'LP Reactivos'!AC418,'LP Reactivos'!AH418,'LP Reactivos'!AM418,'LP Reactivos'!AR418,'LP Reactivos'!AW418,'LP Reactivos'!BB418,'LP Reactivos'!BG418,'LP Reactivos'!BL418,'LP Reactivos'!BQ418,'LP Reactivos'!BV418,'LP Reactivos'!CA418,'LP Reactivos'!CF418,'LP Reactivos'!CK418,'LP Reactivos'!CP418,'LP Reactivos'!CU418,'LP Reactivos'!CZ418,'LP Reactivos'!DE418,'LP Reactivos'!DJ418,'LP Reactivos'!DO418,'LP Reactivos'!DT418,'LP Reactivos'!DY418,'LP Reactivos'!EB418)," ")</f>
        <v>360570</v>
      </c>
      <c r="E418" s="429">
        <f>IFERROR(AVERAGE('LP Reactivos'!F418,'LP Reactivos'!I418,'LP Reactivos'!N418,'LP Reactivos'!S418,'LP Reactivos'!X418,'LP Reactivos'!AC418,'LP Reactivos'!AH418,'LP Reactivos'!AM418,'LP Reactivos'!AR418,'LP Reactivos'!AW418,'LP Reactivos'!BB418,'LP Reactivos'!BG418,'LP Reactivos'!BL418,'LP Reactivos'!BQ418,'LP Reactivos'!BV418,'LP Reactivos'!CA418,'LP Reactivos'!CF418,'LP Reactivos'!CK418,'LP Reactivos'!CP418,'LP Reactivos'!CU418,'LP Reactivos'!CZ418,'LP Reactivos'!DE418,'LP Reactivos'!DJ418,'LP Reactivos'!DO418,'LP Reactivos'!DT418,'LP Reactivos'!DY418,'LP Reactivos'!EB418)," ")</f>
        <v>360570</v>
      </c>
      <c r="F418" s="345">
        <f>IFERROR(MEDIAN('LP Reactivos'!F418,'LP Reactivos'!I418,'LP Reactivos'!N418,'LP Reactivos'!S418,'LP Reactivos'!X418,'LP Reactivos'!AC418,'LP Reactivos'!AH418,'LP Reactivos'!AM418,'LP Reactivos'!AR418,'LP Reactivos'!AW418,'LP Reactivos'!BB418,'LP Reactivos'!BG418,'LP Reactivos'!BL418,'LP Reactivos'!BQ418,'LP Reactivos'!BV418,'LP Reactivos'!CA418,'LP Reactivos'!CF418,'LP Reactivos'!CK418,'LP Reactivos'!CP418,'LP Reactivos'!CU418,'LP Reactivos'!CZ418,'LP Reactivos'!DE418,'LP Reactivos'!DJ418,'LP Reactivos'!DO418,'LP Reactivos'!DT418,'LP Reactivos'!DY418,'LP Reactivos'!EB418)," ")</f>
        <v>360570</v>
      </c>
      <c r="G418" s="345">
        <f>IFERROR(GEOMEAN('LP Reactivos'!F418,'LP Reactivos'!I418,'LP Reactivos'!N418,'LP Reactivos'!S418,'LP Reactivos'!X418,'LP Reactivos'!AC418,'LP Reactivos'!AH418,'LP Reactivos'!AM418,'LP Reactivos'!AR418,'LP Reactivos'!AW418,'LP Reactivos'!BB418,'LP Reactivos'!BG418,'LP Reactivos'!BL418,'LP Reactivos'!BQ418,'LP Reactivos'!BV418,'LP Reactivos'!CA418,'LP Reactivos'!CF418,'LP Reactivos'!CK418,'LP Reactivos'!CP418,'LP Reactivos'!CU418,'LP Reactivos'!CZ418,'LP Reactivos'!DE418,'LP Reactivos'!DJ418,'LP Reactivos'!DO418,'LP Reactivos'!DT418,'LP Reactivos'!DY418,'LP Reactivos'!EB418)," ")</f>
        <v>360570</v>
      </c>
      <c r="H418" s="345">
        <f t="shared" si="28"/>
        <v>0</v>
      </c>
      <c r="I418" s="346">
        <f t="shared" si="29"/>
        <v>0</v>
      </c>
      <c r="J418" s="345">
        <f t="shared" si="30"/>
        <v>360570</v>
      </c>
      <c r="K418" s="344" t="str">
        <f t="shared" si="31"/>
        <v>Menor Valor</v>
      </c>
      <c r="L418" s="326">
        <f>IFERROR(COUNTA('LP Reactivos'!F418,'LP Reactivos'!I418,'LP Reactivos'!N418,'LP Reactivos'!S418,'LP Reactivos'!X418,'LP Reactivos'!AC418,'LP Reactivos'!AH418,'LP Reactivos'!AM418,'LP Reactivos'!AR418,'LP Reactivos'!AW418,'LP Reactivos'!BB418,'LP Reactivos'!BG418,'LP Reactivos'!BL418,'LP Reactivos'!BQ418,'LP Reactivos'!BV418,'LP Reactivos'!CA418,'LP Reactivos'!CF418,'LP Reactivos'!CK418,'LP Reactivos'!CP418,'LP Reactivos'!CU418,'LP Reactivos'!CZ418,'LP Reactivos'!DE418,'LP Reactivos'!DJ418,'LP Reactivos'!DO418,'LP Reactivos'!DT418,'LP Reactivos'!DY418,'LP Reactivos'!EB418)," ")</f>
        <v>1</v>
      </c>
    </row>
    <row r="419" spans="2:12" ht="27" x14ac:dyDescent="0.25">
      <c r="B419" s="425">
        <v>417</v>
      </c>
      <c r="C419" s="427" t="s">
        <v>2078</v>
      </c>
      <c r="D419" s="429">
        <f>IFERROR(MIN('LP Reactivos'!F419,'LP Reactivos'!I419,'LP Reactivos'!N419,'LP Reactivos'!S419,'LP Reactivos'!X419,'LP Reactivos'!AC419,'LP Reactivos'!AH419,'LP Reactivos'!AM419,'LP Reactivos'!AR419,'LP Reactivos'!AW419,'LP Reactivos'!BB419,'LP Reactivos'!BG419,'LP Reactivos'!BL419,'LP Reactivos'!BQ419,'LP Reactivos'!BV419,'LP Reactivos'!CA419,'LP Reactivos'!CF419,'LP Reactivos'!CK419,'LP Reactivos'!CP419,'LP Reactivos'!CU419,'LP Reactivos'!CZ419,'LP Reactivos'!DE419,'LP Reactivos'!DJ419,'LP Reactivos'!DO419,'LP Reactivos'!DT419,'LP Reactivos'!DY419,'LP Reactivos'!EB419)," ")</f>
        <v>6617804.2000000002</v>
      </c>
      <c r="E419" s="429">
        <f>IFERROR(AVERAGE('LP Reactivos'!F419,'LP Reactivos'!I419,'LP Reactivos'!N419,'LP Reactivos'!S419,'LP Reactivos'!X419,'LP Reactivos'!AC419,'LP Reactivos'!AH419,'LP Reactivos'!AM419,'LP Reactivos'!AR419,'LP Reactivos'!AW419,'LP Reactivos'!BB419,'LP Reactivos'!BG419,'LP Reactivos'!BL419,'LP Reactivos'!BQ419,'LP Reactivos'!BV419,'LP Reactivos'!CA419,'LP Reactivos'!CF419,'LP Reactivos'!CK419,'LP Reactivos'!CP419,'LP Reactivos'!CU419,'LP Reactivos'!CZ419,'LP Reactivos'!DE419,'LP Reactivos'!DJ419,'LP Reactivos'!DO419,'LP Reactivos'!DT419,'LP Reactivos'!DY419,'LP Reactivos'!EB419)," ")</f>
        <v>7499226.1477000006</v>
      </c>
      <c r="F419" s="345">
        <f>IFERROR(MEDIAN('LP Reactivos'!F419,'LP Reactivos'!I419,'LP Reactivos'!N419,'LP Reactivos'!S419,'LP Reactivos'!X419,'LP Reactivos'!AC419,'LP Reactivos'!AH419,'LP Reactivos'!AM419,'LP Reactivos'!AR419,'LP Reactivos'!AW419,'LP Reactivos'!BB419,'LP Reactivos'!BG419,'LP Reactivos'!BL419,'LP Reactivos'!BQ419,'LP Reactivos'!BV419,'LP Reactivos'!CA419,'LP Reactivos'!CF419,'LP Reactivos'!CK419,'LP Reactivos'!CP419,'LP Reactivos'!CU419,'LP Reactivos'!CZ419,'LP Reactivos'!DE419,'LP Reactivos'!DJ419,'LP Reactivos'!DO419,'LP Reactivos'!DT419,'LP Reactivos'!DY419,'LP Reactivos'!EB419)," ")</f>
        <v>7499226.1477000006</v>
      </c>
      <c r="G419" s="345">
        <f>IFERROR(GEOMEAN('LP Reactivos'!F419,'LP Reactivos'!I419,'LP Reactivos'!N419,'LP Reactivos'!S419,'LP Reactivos'!X419,'LP Reactivos'!AC419,'LP Reactivos'!AH419,'LP Reactivos'!AM419,'LP Reactivos'!AR419,'LP Reactivos'!AW419,'LP Reactivos'!BB419,'LP Reactivos'!BG419,'LP Reactivos'!BL419,'LP Reactivos'!BQ419,'LP Reactivos'!BV419,'LP Reactivos'!CA419,'LP Reactivos'!CF419,'LP Reactivos'!CK419,'LP Reactivos'!CP419,'LP Reactivos'!CU419,'LP Reactivos'!CZ419,'LP Reactivos'!DE419,'LP Reactivos'!DJ419,'LP Reactivos'!DO419,'LP Reactivos'!DT419,'LP Reactivos'!DY419,'LP Reactivos'!EB419)," ")</f>
        <v>7447247.0191648751</v>
      </c>
      <c r="H419" s="345">
        <f t="shared" si="28"/>
        <v>432742.06613613397</v>
      </c>
      <c r="I419" s="346">
        <f t="shared" si="29"/>
        <v>5.7704896160366517E-2</v>
      </c>
      <c r="J419" s="345">
        <f t="shared" si="30"/>
        <v>7499226.1477000006</v>
      </c>
      <c r="K419" s="344" t="str">
        <f t="shared" si="31"/>
        <v>Promedio</v>
      </c>
      <c r="L419" s="326">
        <f>IFERROR(COUNTA('LP Reactivos'!F419,'LP Reactivos'!I419,'LP Reactivos'!N419,'LP Reactivos'!S419,'LP Reactivos'!X419,'LP Reactivos'!AC419,'LP Reactivos'!AH419,'LP Reactivos'!AM419,'LP Reactivos'!AR419,'LP Reactivos'!AW419,'LP Reactivos'!BB419,'LP Reactivos'!BG419,'LP Reactivos'!BL419,'LP Reactivos'!BQ419,'LP Reactivos'!BV419,'LP Reactivos'!CA419,'LP Reactivos'!CF419,'LP Reactivos'!CK419,'LP Reactivos'!CP419,'LP Reactivos'!CU419,'LP Reactivos'!CZ419,'LP Reactivos'!DE419,'LP Reactivos'!DJ419,'LP Reactivos'!DO419,'LP Reactivos'!DT419,'LP Reactivos'!DY419,'LP Reactivos'!EB419)," ")</f>
        <v>2</v>
      </c>
    </row>
    <row r="420" spans="2:12" ht="27" x14ac:dyDescent="0.25">
      <c r="B420" s="425">
        <v>418</v>
      </c>
      <c r="C420" s="427" t="s">
        <v>2082</v>
      </c>
      <c r="D420" s="429">
        <f>IFERROR(MIN('LP Reactivos'!F420,'LP Reactivos'!I420,'LP Reactivos'!N420,'LP Reactivos'!S420,'LP Reactivos'!X420,'LP Reactivos'!AC420,'LP Reactivos'!AH420,'LP Reactivos'!AM420,'LP Reactivos'!AR420,'LP Reactivos'!AW420,'LP Reactivos'!BB420,'LP Reactivos'!BG420,'LP Reactivos'!BL420,'LP Reactivos'!BQ420,'LP Reactivos'!BV420,'LP Reactivos'!CA420,'LP Reactivos'!CF420,'LP Reactivos'!CK420,'LP Reactivos'!CP420,'LP Reactivos'!CU420,'LP Reactivos'!CZ420,'LP Reactivos'!DE420,'LP Reactivos'!DJ420,'LP Reactivos'!DO420,'LP Reactivos'!DT420,'LP Reactivos'!DY420,'LP Reactivos'!EB420)," ")</f>
        <v>12876097.5</v>
      </c>
      <c r="E420" s="429">
        <f>IFERROR(AVERAGE('LP Reactivos'!F420,'LP Reactivos'!I420,'LP Reactivos'!N420,'LP Reactivos'!S420,'LP Reactivos'!X420,'LP Reactivos'!AC420,'LP Reactivos'!AH420,'LP Reactivos'!AM420,'LP Reactivos'!AR420,'LP Reactivos'!AW420,'LP Reactivos'!BB420,'LP Reactivos'!BG420,'LP Reactivos'!BL420,'LP Reactivos'!BQ420,'LP Reactivos'!BV420,'LP Reactivos'!CA420,'LP Reactivos'!CF420,'LP Reactivos'!CK420,'LP Reactivos'!CP420,'LP Reactivos'!CU420,'LP Reactivos'!CZ420,'LP Reactivos'!DE420,'LP Reactivos'!DJ420,'LP Reactivos'!DO420,'LP Reactivos'!DT420,'LP Reactivos'!DY420,'LP Reactivos'!EB420)," ")</f>
        <v>12876097.5</v>
      </c>
      <c r="F420" s="345">
        <f>IFERROR(MEDIAN('LP Reactivos'!F420,'LP Reactivos'!I420,'LP Reactivos'!N420,'LP Reactivos'!S420,'LP Reactivos'!X420,'LP Reactivos'!AC420,'LP Reactivos'!AH420,'LP Reactivos'!AM420,'LP Reactivos'!AR420,'LP Reactivos'!AW420,'LP Reactivos'!BB420,'LP Reactivos'!BG420,'LP Reactivos'!BL420,'LP Reactivos'!BQ420,'LP Reactivos'!BV420,'LP Reactivos'!CA420,'LP Reactivos'!CF420,'LP Reactivos'!CK420,'LP Reactivos'!CP420,'LP Reactivos'!CU420,'LP Reactivos'!CZ420,'LP Reactivos'!DE420,'LP Reactivos'!DJ420,'LP Reactivos'!DO420,'LP Reactivos'!DT420,'LP Reactivos'!DY420,'LP Reactivos'!EB420)," ")</f>
        <v>12876097.5</v>
      </c>
      <c r="G420" s="345">
        <f>IFERROR(GEOMEAN('LP Reactivos'!F420,'LP Reactivos'!I420,'LP Reactivos'!N420,'LP Reactivos'!S420,'LP Reactivos'!X420,'LP Reactivos'!AC420,'LP Reactivos'!AH420,'LP Reactivos'!AM420,'LP Reactivos'!AR420,'LP Reactivos'!AW420,'LP Reactivos'!BB420,'LP Reactivos'!BG420,'LP Reactivos'!BL420,'LP Reactivos'!BQ420,'LP Reactivos'!BV420,'LP Reactivos'!CA420,'LP Reactivos'!CF420,'LP Reactivos'!CK420,'LP Reactivos'!CP420,'LP Reactivos'!CU420,'LP Reactivos'!CZ420,'LP Reactivos'!DE420,'LP Reactivos'!DJ420,'LP Reactivos'!DO420,'LP Reactivos'!DT420,'LP Reactivos'!DY420,'LP Reactivos'!EB420)," ")</f>
        <v>12876097.5</v>
      </c>
      <c r="H420" s="345">
        <f t="shared" si="28"/>
        <v>0</v>
      </c>
      <c r="I420" s="346">
        <f t="shared" si="29"/>
        <v>0</v>
      </c>
      <c r="J420" s="345">
        <f t="shared" si="30"/>
        <v>12876097.5</v>
      </c>
      <c r="K420" s="344" t="str">
        <f t="shared" si="31"/>
        <v>Menor Valor</v>
      </c>
      <c r="L420" s="326">
        <f>IFERROR(COUNTA('LP Reactivos'!F420,'LP Reactivos'!I420,'LP Reactivos'!N420,'LP Reactivos'!S420,'LP Reactivos'!X420,'LP Reactivos'!AC420,'LP Reactivos'!AH420,'LP Reactivos'!AM420,'LP Reactivos'!AR420,'LP Reactivos'!AW420,'LP Reactivos'!BB420,'LP Reactivos'!BG420,'LP Reactivos'!BL420,'LP Reactivos'!BQ420,'LP Reactivos'!BV420,'LP Reactivos'!CA420,'LP Reactivos'!CF420,'LP Reactivos'!CK420,'LP Reactivos'!CP420,'LP Reactivos'!CU420,'LP Reactivos'!CZ420,'LP Reactivos'!DE420,'LP Reactivos'!DJ420,'LP Reactivos'!DO420,'LP Reactivos'!DT420,'LP Reactivos'!DY420,'LP Reactivos'!EB420)," ")</f>
        <v>1</v>
      </c>
    </row>
    <row r="421" spans="2:12" ht="27" x14ac:dyDescent="0.25">
      <c r="B421" s="425">
        <v>419</v>
      </c>
      <c r="C421" s="427" t="s">
        <v>2085</v>
      </c>
      <c r="D421" s="429">
        <f>IFERROR(MIN('LP Reactivos'!F421,'LP Reactivos'!I421,'LP Reactivos'!N421,'LP Reactivos'!S421,'LP Reactivos'!X421,'LP Reactivos'!AC421,'LP Reactivos'!AH421,'LP Reactivos'!AM421,'LP Reactivos'!AR421,'LP Reactivos'!AW421,'LP Reactivos'!BB421,'LP Reactivos'!BG421,'LP Reactivos'!BL421,'LP Reactivos'!BQ421,'LP Reactivos'!BV421,'LP Reactivos'!CA421,'LP Reactivos'!CF421,'LP Reactivos'!CK421,'LP Reactivos'!CP421,'LP Reactivos'!CU421,'LP Reactivos'!CZ421,'LP Reactivos'!DE421,'LP Reactivos'!DJ421,'LP Reactivos'!DO421,'LP Reactivos'!DT421,'LP Reactivos'!DY421,'LP Reactivos'!EB421)," ")</f>
        <v>9389992.5</v>
      </c>
      <c r="E421" s="429">
        <f>IFERROR(AVERAGE('LP Reactivos'!F421,'LP Reactivos'!I421,'LP Reactivos'!N421,'LP Reactivos'!S421,'LP Reactivos'!X421,'LP Reactivos'!AC421,'LP Reactivos'!AH421,'LP Reactivos'!AM421,'LP Reactivos'!AR421,'LP Reactivos'!AW421,'LP Reactivos'!BB421,'LP Reactivos'!BG421,'LP Reactivos'!BL421,'LP Reactivos'!BQ421,'LP Reactivos'!BV421,'LP Reactivos'!CA421,'LP Reactivos'!CF421,'LP Reactivos'!CK421,'LP Reactivos'!CP421,'LP Reactivos'!CU421,'LP Reactivos'!CZ421,'LP Reactivos'!DE421,'LP Reactivos'!DJ421,'LP Reactivos'!DO421,'LP Reactivos'!DT421,'LP Reactivos'!DY421,'LP Reactivos'!EB421)," ")</f>
        <v>9389992.5</v>
      </c>
      <c r="F421" s="345">
        <f>IFERROR(MEDIAN('LP Reactivos'!F421,'LP Reactivos'!I421,'LP Reactivos'!N421,'LP Reactivos'!S421,'LP Reactivos'!X421,'LP Reactivos'!AC421,'LP Reactivos'!AH421,'LP Reactivos'!AM421,'LP Reactivos'!AR421,'LP Reactivos'!AW421,'LP Reactivos'!BB421,'LP Reactivos'!BG421,'LP Reactivos'!BL421,'LP Reactivos'!BQ421,'LP Reactivos'!BV421,'LP Reactivos'!CA421,'LP Reactivos'!CF421,'LP Reactivos'!CK421,'LP Reactivos'!CP421,'LP Reactivos'!CU421,'LP Reactivos'!CZ421,'LP Reactivos'!DE421,'LP Reactivos'!DJ421,'LP Reactivos'!DO421,'LP Reactivos'!DT421,'LP Reactivos'!DY421,'LP Reactivos'!EB421)," ")</f>
        <v>9389992.5</v>
      </c>
      <c r="G421" s="345">
        <f>IFERROR(GEOMEAN('LP Reactivos'!F421,'LP Reactivos'!I421,'LP Reactivos'!N421,'LP Reactivos'!S421,'LP Reactivos'!X421,'LP Reactivos'!AC421,'LP Reactivos'!AH421,'LP Reactivos'!AM421,'LP Reactivos'!AR421,'LP Reactivos'!AW421,'LP Reactivos'!BB421,'LP Reactivos'!BG421,'LP Reactivos'!BL421,'LP Reactivos'!BQ421,'LP Reactivos'!BV421,'LP Reactivos'!CA421,'LP Reactivos'!CF421,'LP Reactivos'!CK421,'LP Reactivos'!CP421,'LP Reactivos'!CU421,'LP Reactivos'!CZ421,'LP Reactivos'!DE421,'LP Reactivos'!DJ421,'LP Reactivos'!DO421,'LP Reactivos'!DT421,'LP Reactivos'!DY421,'LP Reactivos'!EB421)," ")</f>
        <v>9389992.5</v>
      </c>
      <c r="H421" s="345">
        <f t="shared" si="28"/>
        <v>0</v>
      </c>
      <c r="I421" s="346">
        <f t="shared" si="29"/>
        <v>0</v>
      </c>
      <c r="J421" s="345">
        <f t="shared" si="30"/>
        <v>9389992.5</v>
      </c>
      <c r="K421" s="344" t="str">
        <f t="shared" si="31"/>
        <v>Menor Valor</v>
      </c>
      <c r="L421" s="326">
        <f>IFERROR(COUNTA('LP Reactivos'!F421,'LP Reactivos'!I421,'LP Reactivos'!N421,'LP Reactivos'!S421,'LP Reactivos'!X421,'LP Reactivos'!AC421,'LP Reactivos'!AH421,'LP Reactivos'!AM421,'LP Reactivos'!AR421,'LP Reactivos'!AW421,'LP Reactivos'!BB421,'LP Reactivos'!BG421,'LP Reactivos'!BL421,'LP Reactivos'!BQ421,'LP Reactivos'!BV421,'LP Reactivos'!CA421,'LP Reactivos'!CF421,'LP Reactivos'!CK421,'LP Reactivos'!CP421,'LP Reactivos'!CU421,'LP Reactivos'!CZ421,'LP Reactivos'!DE421,'LP Reactivos'!DJ421,'LP Reactivos'!DO421,'LP Reactivos'!DT421,'LP Reactivos'!DY421,'LP Reactivos'!EB421)," ")</f>
        <v>1</v>
      </c>
    </row>
    <row r="422" spans="2:12" x14ac:dyDescent="0.25">
      <c r="B422" s="425">
        <v>420</v>
      </c>
      <c r="C422" s="428" t="s">
        <v>2086</v>
      </c>
      <c r="D422" s="429">
        <f>IFERROR(MIN('LP Reactivos'!F422,'LP Reactivos'!I422,'LP Reactivos'!N422,'LP Reactivos'!S422,'LP Reactivos'!X422,'LP Reactivos'!AC422,'LP Reactivos'!AH422,'LP Reactivos'!AM422,'LP Reactivos'!AR422,'LP Reactivos'!AW422,'LP Reactivos'!BB422,'LP Reactivos'!BG422,'LP Reactivos'!BL422,'LP Reactivos'!BQ422,'LP Reactivos'!BV422,'LP Reactivos'!CA422,'LP Reactivos'!CF422,'LP Reactivos'!CK422,'LP Reactivos'!CP422,'LP Reactivos'!CU422,'LP Reactivos'!CZ422,'LP Reactivos'!DE422,'LP Reactivos'!DJ422,'LP Reactivos'!DO422,'LP Reactivos'!DT422,'LP Reactivos'!DY422,'LP Reactivos'!EB422)," ")</f>
        <v>337201</v>
      </c>
      <c r="E422" s="429">
        <f>IFERROR(AVERAGE('LP Reactivos'!F422,'LP Reactivos'!I422,'LP Reactivos'!N422,'LP Reactivos'!S422,'LP Reactivos'!X422,'LP Reactivos'!AC422,'LP Reactivos'!AH422,'LP Reactivos'!AM422,'LP Reactivos'!AR422,'LP Reactivos'!AW422,'LP Reactivos'!BB422,'LP Reactivos'!BG422,'LP Reactivos'!BL422,'LP Reactivos'!BQ422,'LP Reactivos'!BV422,'LP Reactivos'!CA422,'LP Reactivos'!CF422,'LP Reactivos'!CK422,'LP Reactivos'!CP422,'LP Reactivos'!CU422,'LP Reactivos'!CZ422,'LP Reactivos'!DE422,'LP Reactivos'!DJ422,'LP Reactivos'!DO422,'LP Reactivos'!DT422,'LP Reactivos'!DY422,'LP Reactivos'!EB422)," ")</f>
        <v>402435.5</v>
      </c>
      <c r="F422" s="345">
        <f>IFERROR(MEDIAN('LP Reactivos'!F422,'LP Reactivos'!I422,'LP Reactivos'!N422,'LP Reactivos'!S422,'LP Reactivos'!X422,'LP Reactivos'!AC422,'LP Reactivos'!AH422,'LP Reactivos'!AM422,'LP Reactivos'!AR422,'LP Reactivos'!AW422,'LP Reactivos'!BB422,'LP Reactivos'!BG422,'LP Reactivos'!BL422,'LP Reactivos'!BQ422,'LP Reactivos'!BV422,'LP Reactivos'!CA422,'LP Reactivos'!CF422,'LP Reactivos'!CK422,'LP Reactivos'!CP422,'LP Reactivos'!CU422,'LP Reactivos'!CZ422,'LP Reactivos'!DE422,'LP Reactivos'!DJ422,'LP Reactivos'!DO422,'LP Reactivos'!DT422,'LP Reactivos'!DY422,'LP Reactivos'!EB422)," ")</f>
        <v>402435.5</v>
      </c>
      <c r="G422" s="345">
        <f>IFERROR(GEOMEAN('LP Reactivos'!F422,'LP Reactivos'!I422,'LP Reactivos'!N422,'LP Reactivos'!S422,'LP Reactivos'!X422,'LP Reactivos'!AC422,'LP Reactivos'!AH422,'LP Reactivos'!AM422,'LP Reactivos'!AR422,'LP Reactivos'!AW422,'LP Reactivos'!BB422,'LP Reactivos'!BG422,'LP Reactivos'!BL422,'LP Reactivos'!BQ422,'LP Reactivos'!BV422,'LP Reactivos'!CA422,'LP Reactivos'!CF422,'LP Reactivos'!CK422,'LP Reactivos'!CP422,'LP Reactivos'!CU422,'LP Reactivos'!CZ422,'LP Reactivos'!DE422,'LP Reactivos'!DJ422,'LP Reactivos'!DO422,'LP Reactivos'!DT422,'LP Reactivos'!DY422,'LP Reactivos'!EB422)," ")</f>
        <v>397113.07164332934</v>
      </c>
      <c r="H422" s="345">
        <f t="shared" si="28"/>
        <v>31829.222417352074</v>
      </c>
      <c r="I422" s="346">
        <f t="shared" si="29"/>
        <v>7.9091487747358455E-2</v>
      </c>
      <c r="J422" s="345">
        <f t="shared" si="30"/>
        <v>402435.5</v>
      </c>
      <c r="K422" s="344" t="str">
        <f t="shared" si="31"/>
        <v>Promedio</v>
      </c>
      <c r="L422" s="326">
        <f>IFERROR(COUNTA('LP Reactivos'!F422,'LP Reactivos'!I422,'LP Reactivos'!N422,'LP Reactivos'!S422,'LP Reactivos'!X422,'LP Reactivos'!AC422,'LP Reactivos'!AH422,'LP Reactivos'!AM422,'LP Reactivos'!AR422,'LP Reactivos'!AW422,'LP Reactivos'!BB422,'LP Reactivos'!BG422,'LP Reactivos'!BL422,'LP Reactivos'!BQ422,'LP Reactivos'!BV422,'LP Reactivos'!CA422,'LP Reactivos'!CF422,'LP Reactivos'!CK422,'LP Reactivos'!CP422,'LP Reactivos'!CU422,'LP Reactivos'!CZ422,'LP Reactivos'!DE422,'LP Reactivos'!DJ422,'LP Reactivos'!DO422,'LP Reactivos'!DT422,'LP Reactivos'!DY422,'LP Reactivos'!EB422)," ")</f>
        <v>2</v>
      </c>
    </row>
    <row r="423" spans="2:12" x14ac:dyDescent="0.25">
      <c r="B423" s="425">
        <v>421</v>
      </c>
      <c r="C423" s="427" t="s">
        <v>2089</v>
      </c>
      <c r="D423" s="429">
        <f>IFERROR(MIN('LP Reactivos'!F423,'LP Reactivos'!I423,'LP Reactivos'!N423,'LP Reactivos'!S423,'LP Reactivos'!X423,'LP Reactivos'!AC423,'LP Reactivos'!AH423,'LP Reactivos'!AM423,'LP Reactivos'!AR423,'LP Reactivos'!AW423,'LP Reactivos'!BB423,'LP Reactivos'!BG423,'LP Reactivos'!BL423,'LP Reactivos'!BQ423,'LP Reactivos'!BV423,'LP Reactivos'!CA423,'LP Reactivos'!CF423,'LP Reactivos'!CK423,'LP Reactivos'!CP423,'LP Reactivos'!CU423,'LP Reactivos'!CZ423,'LP Reactivos'!DE423,'LP Reactivos'!DJ423,'LP Reactivos'!DO423,'LP Reactivos'!DT423,'LP Reactivos'!DY423,'LP Reactivos'!EB423)," ")</f>
        <v>827677</v>
      </c>
      <c r="E423" s="429">
        <f>IFERROR(AVERAGE('LP Reactivos'!F423,'LP Reactivos'!I423,'LP Reactivos'!N423,'LP Reactivos'!S423,'LP Reactivos'!X423,'LP Reactivos'!AC423,'LP Reactivos'!AH423,'LP Reactivos'!AM423,'LP Reactivos'!AR423,'LP Reactivos'!AW423,'LP Reactivos'!BB423,'LP Reactivos'!BG423,'LP Reactivos'!BL423,'LP Reactivos'!BQ423,'LP Reactivos'!BV423,'LP Reactivos'!CA423,'LP Reactivos'!CF423,'LP Reactivos'!CK423,'LP Reactivos'!CP423,'LP Reactivos'!CU423,'LP Reactivos'!CZ423,'LP Reactivos'!DE423,'LP Reactivos'!DJ423,'LP Reactivos'!DO423,'LP Reactivos'!DT423,'LP Reactivos'!DY423,'LP Reactivos'!EB423)," ")</f>
        <v>1898211.4180000001</v>
      </c>
      <c r="F423" s="345">
        <f>IFERROR(MEDIAN('LP Reactivos'!F423,'LP Reactivos'!I423,'LP Reactivos'!N423,'LP Reactivos'!S423,'LP Reactivos'!X423,'LP Reactivos'!AC423,'LP Reactivos'!AH423,'LP Reactivos'!AM423,'LP Reactivos'!AR423,'LP Reactivos'!AW423,'LP Reactivos'!BB423,'LP Reactivos'!BG423,'LP Reactivos'!BL423,'LP Reactivos'!BQ423,'LP Reactivos'!BV423,'LP Reactivos'!CA423,'LP Reactivos'!CF423,'LP Reactivos'!CK423,'LP Reactivos'!CP423,'LP Reactivos'!CU423,'LP Reactivos'!CZ423,'LP Reactivos'!DE423,'LP Reactivos'!DJ423,'LP Reactivos'!DO423,'LP Reactivos'!DT423,'LP Reactivos'!DY423,'LP Reactivos'!EB423)," ")</f>
        <v>1898211.4180000001</v>
      </c>
      <c r="G423" s="345">
        <f>IFERROR(GEOMEAN('LP Reactivos'!F423,'LP Reactivos'!I423,'LP Reactivos'!N423,'LP Reactivos'!S423,'LP Reactivos'!X423,'LP Reactivos'!AC423,'LP Reactivos'!AH423,'LP Reactivos'!AM423,'LP Reactivos'!AR423,'LP Reactivos'!AW423,'LP Reactivos'!BB423,'LP Reactivos'!BG423,'LP Reactivos'!BL423,'LP Reactivos'!BQ423,'LP Reactivos'!BV423,'LP Reactivos'!CA423,'LP Reactivos'!CF423,'LP Reactivos'!CK423,'LP Reactivos'!CP423,'LP Reactivos'!CU423,'LP Reactivos'!CZ423,'LP Reactivos'!DE423,'LP Reactivos'!DJ423,'LP Reactivos'!DO423,'LP Reactivos'!DT423,'LP Reactivos'!DY423,'LP Reactivos'!EB423)," ")</f>
        <v>1567533.9381662433</v>
      </c>
      <c r="H423" s="345">
        <f t="shared" si="28"/>
        <v>504824.33912998688</v>
      </c>
      <c r="I423" s="346">
        <f t="shared" si="29"/>
        <v>0.26594737253339334</v>
      </c>
      <c r="J423" s="345">
        <f t="shared" si="30"/>
        <v>1567533.9381662433</v>
      </c>
      <c r="K423" s="344" t="str">
        <f t="shared" si="31"/>
        <v>Media Geométrica</v>
      </c>
      <c r="L423" s="326">
        <f>IFERROR(COUNTA('LP Reactivos'!F423,'LP Reactivos'!I423,'LP Reactivos'!N423,'LP Reactivos'!S423,'LP Reactivos'!X423,'LP Reactivos'!AC423,'LP Reactivos'!AH423,'LP Reactivos'!AM423,'LP Reactivos'!AR423,'LP Reactivos'!AW423,'LP Reactivos'!BB423,'LP Reactivos'!BG423,'LP Reactivos'!BL423,'LP Reactivos'!BQ423,'LP Reactivos'!BV423,'LP Reactivos'!CA423,'LP Reactivos'!CF423,'LP Reactivos'!CK423,'LP Reactivos'!CP423,'LP Reactivos'!CU423,'LP Reactivos'!CZ423,'LP Reactivos'!DE423,'LP Reactivos'!DJ423,'LP Reactivos'!DO423,'LP Reactivos'!DT423,'LP Reactivos'!DY423,'LP Reactivos'!EB423)," ")</f>
        <v>2</v>
      </c>
    </row>
    <row r="424" spans="2:12" ht="40.5" x14ac:dyDescent="0.25">
      <c r="B424" s="425">
        <v>422</v>
      </c>
      <c r="C424" s="427" t="s">
        <v>2092</v>
      </c>
      <c r="D424" s="429">
        <f>IFERROR(MIN('LP Reactivos'!F424,'LP Reactivos'!I424,'LP Reactivos'!N424,'LP Reactivos'!S424,'LP Reactivos'!X424,'LP Reactivos'!AC424,'LP Reactivos'!AH424,'LP Reactivos'!AM424,'LP Reactivos'!AR424,'LP Reactivos'!AW424,'LP Reactivos'!BB424,'LP Reactivos'!BG424,'LP Reactivos'!BL424,'LP Reactivos'!BQ424,'LP Reactivos'!BV424,'LP Reactivos'!CA424,'LP Reactivos'!CF424,'LP Reactivos'!CK424,'LP Reactivos'!CP424,'LP Reactivos'!CU424,'LP Reactivos'!CZ424,'LP Reactivos'!DE424,'LP Reactivos'!DJ424,'LP Reactivos'!DO424,'LP Reactivos'!DT424,'LP Reactivos'!DY424,'LP Reactivos'!EB424)," ")</f>
        <v>1163139.1938</v>
      </c>
      <c r="E424" s="429">
        <f>IFERROR(AVERAGE('LP Reactivos'!F424,'LP Reactivos'!I424,'LP Reactivos'!N424,'LP Reactivos'!S424,'LP Reactivos'!X424,'LP Reactivos'!AC424,'LP Reactivos'!AH424,'LP Reactivos'!AM424,'LP Reactivos'!AR424,'LP Reactivos'!AW424,'LP Reactivos'!BB424,'LP Reactivos'!BG424,'LP Reactivos'!BL424,'LP Reactivos'!BQ424,'LP Reactivos'!BV424,'LP Reactivos'!CA424,'LP Reactivos'!CF424,'LP Reactivos'!CK424,'LP Reactivos'!CP424,'LP Reactivos'!CU424,'LP Reactivos'!CZ424,'LP Reactivos'!DE424,'LP Reactivos'!DJ424,'LP Reactivos'!DO424,'LP Reactivos'!DT424,'LP Reactivos'!DY424,'LP Reactivos'!EB424)," ")</f>
        <v>1163139.1938</v>
      </c>
      <c r="F424" s="345">
        <f>IFERROR(MEDIAN('LP Reactivos'!F424,'LP Reactivos'!I424,'LP Reactivos'!N424,'LP Reactivos'!S424,'LP Reactivos'!X424,'LP Reactivos'!AC424,'LP Reactivos'!AH424,'LP Reactivos'!AM424,'LP Reactivos'!AR424,'LP Reactivos'!AW424,'LP Reactivos'!BB424,'LP Reactivos'!BG424,'LP Reactivos'!BL424,'LP Reactivos'!BQ424,'LP Reactivos'!BV424,'LP Reactivos'!CA424,'LP Reactivos'!CF424,'LP Reactivos'!CK424,'LP Reactivos'!CP424,'LP Reactivos'!CU424,'LP Reactivos'!CZ424,'LP Reactivos'!DE424,'LP Reactivos'!DJ424,'LP Reactivos'!DO424,'LP Reactivos'!DT424,'LP Reactivos'!DY424,'LP Reactivos'!EB424)," ")</f>
        <v>1163139.1938</v>
      </c>
      <c r="G424" s="345">
        <f>IFERROR(GEOMEAN('LP Reactivos'!F424,'LP Reactivos'!I424,'LP Reactivos'!N424,'LP Reactivos'!S424,'LP Reactivos'!X424,'LP Reactivos'!AC424,'LP Reactivos'!AH424,'LP Reactivos'!AM424,'LP Reactivos'!AR424,'LP Reactivos'!AW424,'LP Reactivos'!BB424,'LP Reactivos'!BG424,'LP Reactivos'!BL424,'LP Reactivos'!BQ424,'LP Reactivos'!BV424,'LP Reactivos'!CA424,'LP Reactivos'!CF424,'LP Reactivos'!CK424,'LP Reactivos'!CP424,'LP Reactivos'!CU424,'LP Reactivos'!CZ424,'LP Reactivos'!DE424,'LP Reactivos'!DJ424,'LP Reactivos'!DO424,'LP Reactivos'!DT424,'LP Reactivos'!DY424,'LP Reactivos'!EB424)," ")</f>
        <v>1163139.1938</v>
      </c>
      <c r="H424" s="345">
        <f t="shared" si="28"/>
        <v>0</v>
      </c>
      <c r="I424" s="346">
        <f t="shared" si="29"/>
        <v>0</v>
      </c>
      <c r="J424" s="345">
        <f t="shared" si="30"/>
        <v>1163139.1938</v>
      </c>
      <c r="K424" s="344" t="str">
        <f t="shared" si="31"/>
        <v>Menor Valor</v>
      </c>
      <c r="L424" s="326">
        <f>IFERROR(COUNTA('LP Reactivos'!F424,'LP Reactivos'!I424,'LP Reactivos'!N424,'LP Reactivos'!S424,'LP Reactivos'!X424,'LP Reactivos'!AC424,'LP Reactivos'!AH424,'LP Reactivos'!AM424,'LP Reactivos'!AR424,'LP Reactivos'!AW424,'LP Reactivos'!BB424,'LP Reactivos'!BG424,'LP Reactivos'!BL424,'LP Reactivos'!BQ424,'LP Reactivos'!BV424,'LP Reactivos'!CA424,'LP Reactivos'!CF424,'LP Reactivos'!CK424,'LP Reactivos'!CP424,'LP Reactivos'!CU424,'LP Reactivos'!CZ424,'LP Reactivos'!DE424,'LP Reactivos'!DJ424,'LP Reactivos'!DO424,'LP Reactivos'!DT424,'LP Reactivos'!DY424,'LP Reactivos'!EB424)," ")</f>
        <v>1</v>
      </c>
    </row>
    <row r="425" spans="2:12" ht="54" x14ac:dyDescent="0.25">
      <c r="B425" s="425">
        <v>423</v>
      </c>
      <c r="C425" s="413" t="s">
        <v>2093</v>
      </c>
      <c r="D425" s="429">
        <f>IFERROR(MIN('LP Reactivos'!F425,'LP Reactivos'!I425,'LP Reactivos'!N425,'LP Reactivos'!S425,'LP Reactivos'!X425,'LP Reactivos'!AC425,'LP Reactivos'!AH425,'LP Reactivos'!AM425,'LP Reactivos'!AR425,'LP Reactivos'!AW425,'LP Reactivos'!BB425,'LP Reactivos'!BG425,'LP Reactivos'!BL425,'LP Reactivos'!BQ425,'LP Reactivos'!BV425,'LP Reactivos'!CA425,'LP Reactivos'!CF425,'LP Reactivos'!CK425,'LP Reactivos'!CP425,'LP Reactivos'!CU425,'LP Reactivos'!CZ425,'LP Reactivos'!DE425,'LP Reactivos'!DJ425,'LP Reactivos'!DO425,'LP Reactivos'!DT425,'LP Reactivos'!DY425,'LP Reactivos'!EB425)," ")</f>
        <v>1605707.46</v>
      </c>
      <c r="E425" s="429">
        <f>IFERROR(AVERAGE('LP Reactivos'!F425,'LP Reactivos'!I425,'LP Reactivos'!N425,'LP Reactivos'!S425,'LP Reactivos'!X425,'LP Reactivos'!AC425,'LP Reactivos'!AH425,'LP Reactivos'!AM425,'LP Reactivos'!AR425,'LP Reactivos'!AW425,'LP Reactivos'!BB425,'LP Reactivos'!BG425,'LP Reactivos'!BL425,'LP Reactivos'!BQ425,'LP Reactivos'!BV425,'LP Reactivos'!CA425,'LP Reactivos'!CF425,'LP Reactivos'!CK425,'LP Reactivos'!CP425,'LP Reactivos'!CU425,'LP Reactivos'!CZ425,'LP Reactivos'!DE425,'LP Reactivos'!DJ425,'LP Reactivos'!DO425,'LP Reactivos'!DT425,'LP Reactivos'!DY425,'LP Reactivos'!EB425)," ")</f>
        <v>1605707.46</v>
      </c>
      <c r="F425" s="345">
        <f>IFERROR(MEDIAN('LP Reactivos'!F425,'LP Reactivos'!I425,'LP Reactivos'!N425,'LP Reactivos'!S425,'LP Reactivos'!X425,'LP Reactivos'!AC425,'LP Reactivos'!AH425,'LP Reactivos'!AM425,'LP Reactivos'!AR425,'LP Reactivos'!AW425,'LP Reactivos'!BB425,'LP Reactivos'!BG425,'LP Reactivos'!BL425,'LP Reactivos'!BQ425,'LP Reactivos'!BV425,'LP Reactivos'!CA425,'LP Reactivos'!CF425,'LP Reactivos'!CK425,'LP Reactivos'!CP425,'LP Reactivos'!CU425,'LP Reactivos'!CZ425,'LP Reactivos'!DE425,'LP Reactivos'!DJ425,'LP Reactivos'!DO425,'LP Reactivos'!DT425,'LP Reactivos'!DY425,'LP Reactivos'!EB425)," ")</f>
        <v>1605707.46</v>
      </c>
      <c r="G425" s="345">
        <f>IFERROR(GEOMEAN('LP Reactivos'!F425,'LP Reactivos'!I425,'LP Reactivos'!N425,'LP Reactivos'!S425,'LP Reactivos'!X425,'LP Reactivos'!AC425,'LP Reactivos'!AH425,'LP Reactivos'!AM425,'LP Reactivos'!AR425,'LP Reactivos'!AW425,'LP Reactivos'!BB425,'LP Reactivos'!BG425,'LP Reactivos'!BL425,'LP Reactivos'!BQ425,'LP Reactivos'!BV425,'LP Reactivos'!CA425,'LP Reactivos'!CF425,'LP Reactivos'!CK425,'LP Reactivos'!CP425,'LP Reactivos'!CU425,'LP Reactivos'!CZ425,'LP Reactivos'!DE425,'LP Reactivos'!DJ425,'LP Reactivos'!DO425,'LP Reactivos'!DT425,'LP Reactivos'!DY425,'LP Reactivos'!EB425)," ")</f>
        <v>1605707.46</v>
      </c>
      <c r="H425" s="345">
        <f t="shared" si="28"/>
        <v>0</v>
      </c>
      <c r="I425" s="346">
        <f t="shared" si="29"/>
        <v>0</v>
      </c>
      <c r="J425" s="345">
        <f t="shared" si="30"/>
        <v>1605707.46</v>
      </c>
      <c r="K425" s="344" t="str">
        <f t="shared" si="31"/>
        <v>Menor Valor</v>
      </c>
      <c r="L425" s="326">
        <f>IFERROR(COUNTA('LP Reactivos'!F425,'LP Reactivos'!I425,'LP Reactivos'!N425,'LP Reactivos'!S425,'LP Reactivos'!X425,'LP Reactivos'!AC425,'LP Reactivos'!AH425,'LP Reactivos'!AM425,'LP Reactivos'!AR425,'LP Reactivos'!AW425,'LP Reactivos'!BB425,'LP Reactivos'!BG425,'LP Reactivos'!BL425,'LP Reactivos'!BQ425,'LP Reactivos'!BV425,'LP Reactivos'!CA425,'LP Reactivos'!CF425,'LP Reactivos'!CK425,'LP Reactivos'!CP425,'LP Reactivos'!CU425,'LP Reactivos'!CZ425,'LP Reactivos'!DE425,'LP Reactivos'!DJ425,'LP Reactivos'!DO425,'LP Reactivos'!DT425,'LP Reactivos'!DY425,'LP Reactivos'!EB425)," ")</f>
        <v>1</v>
      </c>
    </row>
    <row r="426" spans="2:12" ht="54" x14ac:dyDescent="0.25">
      <c r="B426" s="425">
        <v>424</v>
      </c>
      <c r="C426" s="413" t="s">
        <v>2097</v>
      </c>
      <c r="D426" s="429">
        <f>IFERROR(MIN('LP Reactivos'!F426,'LP Reactivos'!I426,'LP Reactivos'!N426,'LP Reactivos'!S426,'LP Reactivos'!X426,'LP Reactivos'!AC426,'LP Reactivos'!AH426,'LP Reactivos'!AM426,'LP Reactivos'!AR426,'LP Reactivos'!AW426,'LP Reactivos'!BB426,'LP Reactivos'!BG426,'LP Reactivos'!BL426,'LP Reactivos'!BQ426,'LP Reactivos'!BV426,'LP Reactivos'!CA426,'LP Reactivos'!CF426,'LP Reactivos'!CK426,'LP Reactivos'!CP426,'LP Reactivos'!CU426,'LP Reactivos'!CZ426,'LP Reactivos'!DE426,'LP Reactivos'!DJ426,'LP Reactivos'!DO426,'LP Reactivos'!DT426,'LP Reactivos'!DY426,'LP Reactivos'!EB426)," ")</f>
        <v>1605707.46</v>
      </c>
      <c r="E426" s="429">
        <f>IFERROR(AVERAGE('LP Reactivos'!F426,'LP Reactivos'!I426,'LP Reactivos'!N426,'LP Reactivos'!S426,'LP Reactivos'!X426,'LP Reactivos'!AC426,'LP Reactivos'!AH426,'LP Reactivos'!AM426,'LP Reactivos'!AR426,'LP Reactivos'!AW426,'LP Reactivos'!BB426,'LP Reactivos'!BG426,'LP Reactivos'!BL426,'LP Reactivos'!BQ426,'LP Reactivos'!BV426,'LP Reactivos'!CA426,'LP Reactivos'!CF426,'LP Reactivos'!CK426,'LP Reactivos'!CP426,'LP Reactivos'!CU426,'LP Reactivos'!CZ426,'LP Reactivos'!DE426,'LP Reactivos'!DJ426,'LP Reactivos'!DO426,'LP Reactivos'!DT426,'LP Reactivos'!DY426,'LP Reactivos'!EB426)," ")</f>
        <v>1605707.46</v>
      </c>
      <c r="F426" s="345">
        <f>IFERROR(MEDIAN('LP Reactivos'!F426,'LP Reactivos'!I426,'LP Reactivos'!N426,'LP Reactivos'!S426,'LP Reactivos'!X426,'LP Reactivos'!AC426,'LP Reactivos'!AH426,'LP Reactivos'!AM426,'LP Reactivos'!AR426,'LP Reactivos'!AW426,'LP Reactivos'!BB426,'LP Reactivos'!BG426,'LP Reactivos'!BL426,'LP Reactivos'!BQ426,'LP Reactivos'!BV426,'LP Reactivos'!CA426,'LP Reactivos'!CF426,'LP Reactivos'!CK426,'LP Reactivos'!CP426,'LP Reactivos'!CU426,'LP Reactivos'!CZ426,'LP Reactivos'!DE426,'LP Reactivos'!DJ426,'LP Reactivos'!DO426,'LP Reactivos'!DT426,'LP Reactivos'!DY426,'LP Reactivos'!EB426)," ")</f>
        <v>1605707.46</v>
      </c>
      <c r="G426" s="345">
        <f>IFERROR(GEOMEAN('LP Reactivos'!F426,'LP Reactivos'!I426,'LP Reactivos'!N426,'LP Reactivos'!S426,'LP Reactivos'!X426,'LP Reactivos'!AC426,'LP Reactivos'!AH426,'LP Reactivos'!AM426,'LP Reactivos'!AR426,'LP Reactivos'!AW426,'LP Reactivos'!BB426,'LP Reactivos'!BG426,'LP Reactivos'!BL426,'LP Reactivos'!BQ426,'LP Reactivos'!BV426,'LP Reactivos'!CA426,'LP Reactivos'!CF426,'LP Reactivos'!CK426,'LP Reactivos'!CP426,'LP Reactivos'!CU426,'LP Reactivos'!CZ426,'LP Reactivos'!DE426,'LP Reactivos'!DJ426,'LP Reactivos'!DO426,'LP Reactivos'!DT426,'LP Reactivos'!DY426,'LP Reactivos'!EB426)," ")</f>
        <v>1605707.46</v>
      </c>
      <c r="H426" s="345">
        <f t="shared" si="28"/>
        <v>0</v>
      </c>
      <c r="I426" s="346">
        <f t="shared" si="29"/>
        <v>0</v>
      </c>
      <c r="J426" s="345">
        <f t="shared" si="30"/>
        <v>1605707.46</v>
      </c>
      <c r="K426" s="344" t="str">
        <f t="shared" si="31"/>
        <v>Menor Valor</v>
      </c>
      <c r="L426" s="326">
        <f>IFERROR(COUNTA('LP Reactivos'!F426,'LP Reactivos'!I426,'LP Reactivos'!N426,'LP Reactivos'!S426,'LP Reactivos'!X426,'LP Reactivos'!AC426,'LP Reactivos'!AH426,'LP Reactivos'!AM426,'LP Reactivos'!AR426,'LP Reactivos'!AW426,'LP Reactivos'!BB426,'LP Reactivos'!BG426,'LP Reactivos'!BL426,'LP Reactivos'!BQ426,'LP Reactivos'!BV426,'LP Reactivos'!CA426,'LP Reactivos'!CF426,'LP Reactivos'!CK426,'LP Reactivos'!CP426,'LP Reactivos'!CU426,'LP Reactivos'!CZ426,'LP Reactivos'!DE426,'LP Reactivos'!DJ426,'LP Reactivos'!DO426,'LP Reactivos'!DT426,'LP Reactivos'!DY426,'LP Reactivos'!EB426)," ")</f>
        <v>1</v>
      </c>
    </row>
    <row r="427" spans="2:12" ht="81" x14ac:dyDescent="0.25">
      <c r="B427" s="425">
        <v>425</v>
      </c>
      <c r="C427" s="413" t="s">
        <v>2099</v>
      </c>
      <c r="D427" s="429">
        <f>IFERROR(MIN('LP Reactivos'!F427,'LP Reactivos'!I427,'LP Reactivos'!N427,'LP Reactivos'!S427,'LP Reactivos'!X427,'LP Reactivos'!AC427,'LP Reactivos'!AH427,'LP Reactivos'!AM427,'LP Reactivos'!AR427,'LP Reactivos'!AW427,'LP Reactivos'!BB427,'LP Reactivos'!BG427,'LP Reactivos'!BL427,'LP Reactivos'!BQ427,'LP Reactivos'!BV427,'LP Reactivos'!CA427,'LP Reactivos'!CF427,'LP Reactivos'!CK427,'LP Reactivos'!CP427,'LP Reactivos'!CU427,'LP Reactivos'!CZ427,'LP Reactivos'!DE427,'LP Reactivos'!DJ427,'LP Reactivos'!DO427,'LP Reactivos'!DT427,'LP Reactivos'!DY427,'LP Reactivos'!EB427)," ")</f>
        <v>6604929</v>
      </c>
      <c r="E427" s="429">
        <f>IFERROR(AVERAGE('LP Reactivos'!F427,'LP Reactivos'!I427,'LP Reactivos'!N427,'LP Reactivos'!S427,'LP Reactivos'!X427,'LP Reactivos'!AC427,'LP Reactivos'!AH427,'LP Reactivos'!AM427,'LP Reactivos'!AR427,'LP Reactivos'!AW427,'LP Reactivos'!BB427,'LP Reactivos'!BG427,'LP Reactivos'!BL427,'LP Reactivos'!BQ427,'LP Reactivos'!BV427,'LP Reactivos'!CA427,'LP Reactivos'!CF427,'LP Reactivos'!CK427,'LP Reactivos'!CP427,'LP Reactivos'!CU427,'LP Reactivos'!CZ427,'LP Reactivos'!DE427,'LP Reactivos'!DJ427,'LP Reactivos'!DO427,'LP Reactivos'!DT427,'LP Reactivos'!DY427,'LP Reactivos'!EB427)," ")</f>
        <v>6604929</v>
      </c>
      <c r="F427" s="345">
        <f>IFERROR(MEDIAN('LP Reactivos'!F427,'LP Reactivos'!I427,'LP Reactivos'!N427,'LP Reactivos'!S427,'LP Reactivos'!X427,'LP Reactivos'!AC427,'LP Reactivos'!AH427,'LP Reactivos'!AM427,'LP Reactivos'!AR427,'LP Reactivos'!AW427,'LP Reactivos'!BB427,'LP Reactivos'!BG427,'LP Reactivos'!BL427,'LP Reactivos'!BQ427,'LP Reactivos'!BV427,'LP Reactivos'!CA427,'LP Reactivos'!CF427,'LP Reactivos'!CK427,'LP Reactivos'!CP427,'LP Reactivos'!CU427,'LP Reactivos'!CZ427,'LP Reactivos'!DE427,'LP Reactivos'!DJ427,'LP Reactivos'!DO427,'LP Reactivos'!DT427,'LP Reactivos'!DY427,'LP Reactivos'!EB427)," ")</f>
        <v>6604929</v>
      </c>
      <c r="G427" s="345">
        <f>IFERROR(GEOMEAN('LP Reactivos'!F427,'LP Reactivos'!I427,'LP Reactivos'!N427,'LP Reactivos'!S427,'LP Reactivos'!X427,'LP Reactivos'!AC427,'LP Reactivos'!AH427,'LP Reactivos'!AM427,'LP Reactivos'!AR427,'LP Reactivos'!AW427,'LP Reactivos'!BB427,'LP Reactivos'!BG427,'LP Reactivos'!BL427,'LP Reactivos'!BQ427,'LP Reactivos'!BV427,'LP Reactivos'!CA427,'LP Reactivos'!CF427,'LP Reactivos'!CK427,'LP Reactivos'!CP427,'LP Reactivos'!CU427,'LP Reactivos'!CZ427,'LP Reactivos'!DE427,'LP Reactivos'!DJ427,'LP Reactivos'!DO427,'LP Reactivos'!DT427,'LP Reactivos'!DY427,'LP Reactivos'!EB427)," ")</f>
        <v>6604929</v>
      </c>
      <c r="H427" s="345">
        <f t="shared" si="28"/>
        <v>0</v>
      </c>
      <c r="I427" s="346">
        <f t="shared" si="29"/>
        <v>0</v>
      </c>
      <c r="J427" s="345">
        <f t="shared" si="30"/>
        <v>6604929</v>
      </c>
      <c r="K427" s="344" t="str">
        <f t="shared" si="31"/>
        <v>Menor Valor</v>
      </c>
      <c r="L427" s="326">
        <f>IFERROR(COUNTA('LP Reactivos'!F427,'LP Reactivos'!I427,'LP Reactivos'!N427,'LP Reactivos'!S427,'LP Reactivos'!X427,'LP Reactivos'!AC427,'LP Reactivos'!AH427,'LP Reactivos'!AM427,'LP Reactivos'!AR427,'LP Reactivos'!AW427,'LP Reactivos'!BB427,'LP Reactivos'!BG427,'LP Reactivos'!BL427,'LP Reactivos'!BQ427,'LP Reactivos'!BV427,'LP Reactivos'!CA427,'LP Reactivos'!CF427,'LP Reactivos'!CK427,'LP Reactivos'!CP427,'LP Reactivos'!CU427,'LP Reactivos'!CZ427,'LP Reactivos'!DE427,'LP Reactivos'!DJ427,'LP Reactivos'!DO427,'LP Reactivos'!DT427,'LP Reactivos'!DY427,'LP Reactivos'!EB427)," ")</f>
        <v>1</v>
      </c>
    </row>
    <row r="428" spans="2:12" ht="27" x14ac:dyDescent="0.25">
      <c r="B428" s="425">
        <v>426</v>
      </c>
      <c r="C428" s="427" t="s">
        <v>2103</v>
      </c>
      <c r="D428" s="429">
        <f>IFERROR(MIN('LP Reactivos'!F428,'LP Reactivos'!I428,'LP Reactivos'!N428,'LP Reactivos'!S428,'LP Reactivos'!X428,'LP Reactivos'!AC428,'LP Reactivos'!AH428,'LP Reactivos'!AM428,'LP Reactivos'!AR428,'LP Reactivos'!AW428,'LP Reactivos'!BB428,'LP Reactivos'!BG428,'LP Reactivos'!BL428,'LP Reactivos'!BQ428,'LP Reactivos'!BV428,'LP Reactivos'!CA428,'LP Reactivos'!CF428,'LP Reactivos'!CK428,'LP Reactivos'!CP428,'LP Reactivos'!CU428,'LP Reactivos'!CZ428,'LP Reactivos'!DE428,'LP Reactivos'!DJ428,'LP Reactivos'!DO428,'LP Reactivos'!DT428,'LP Reactivos'!DY428,'LP Reactivos'!EB428)," ")</f>
        <v>5187135.5060000001</v>
      </c>
      <c r="E428" s="429">
        <f>IFERROR(AVERAGE('LP Reactivos'!F428,'LP Reactivos'!I428,'LP Reactivos'!N428,'LP Reactivos'!S428,'LP Reactivos'!X428,'LP Reactivos'!AC428,'LP Reactivos'!AH428,'LP Reactivos'!AM428,'LP Reactivos'!AR428,'LP Reactivos'!AW428,'LP Reactivos'!BB428,'LP Reactivos'!BG428,'LP Reactivos'!BL428,'LP Reactivos'!BQ428,'LP Reactivos'!BV428,'LP Reactivos'!CA428,'LP Reactivos'!CF428,'LP Reactivos'!CK428,'LP Reactivos'!CP428,'LP Reactivos'!CU428,'LP Reactivos'!CZ428,'LP Reactivos'!DE428,'LP Reactivos'!DJ428,'LP Reactivos'!DO428,'LP Reactivos'!DT428,'LP Reactivos'!DY428,'LP Reactivos'!EB428)," ")</f>
        <v>5246077.7530000005</v>
      </c>
      <c r="F428" s="345">
        <f>IFERROR(MEDIAN('LP Reactivos'!F428,'LP Reactivos'!I428,'LP Reactivos'!N428,'LP Reactivos'!S428,'LP Reactivos'!X428,'LP Reactivos'!AC428,'LP Reactivos'!AH428,'LP Reactivos'!AM428,'LP Reactivos'!AR428,'LP Reactivos'!AW428,'LP Reactivos'!BB428,'LP Reactivos'!BG428,'LP Reactivos'!BL428,'LP Reactivos'!BQ428,'LP Reactivos'!BV428,'LP Reactivos'!CA428,'LP Reactivos'!CF428,'LP Reactivos'!CK428,'LP Reactivos'!CP428,'LP Reactivos'!CU428,'LP Reactivos'!CZ428,'LP Reactivos'!DE428,'LP Reactivos'!DJ428,'LP Reactivos'!DO428,'LP Reactivos'!DT428,'LP Reactivos'!DY428,'LP Reactivos'!EB428)," ")</f>
        <v>5246077.7530000005</v>
      </c>
      <c r="G428" s="345">
        <f>IFERROR(GEOMEAN('LP Reactivos'!F428,'LP Reactivos'!I428,'LP Reactivos'!N428,'LP Reactivos'!S428,'LP Reactivos'!X428,'LP Reactivos'!AC428,'LP Reactivos'!AH428,'LP Reactivos'!AM428,'LP Reactivos'!AR428,'LP Reactivos'!AW428,'LP Reactivos'!BB428,'LP Reactivos'!BG428,'LP Reactivos'!BL428,'LP Reactivos'!BQ428,'LP Reactivos'!BV428,'LP Reactivos'!CA428,'LP Reactivos'!CF428,'LP Reactivos'!CK428,'LP Reactivos'!CP428,'LP Reactivos'!CU428,'LP Reactivos'!CZ428,'LP Reactivos'!DE428,'LP Reactivos'!DJ428,'LP Reactivos'!DO428,'LP Reactivos'!DT428,'LP Reactivos'!DY428,'LP Reactivos'!EB428)," ")</f>
        <v>5245746.6200761283</v>
      </c>
      <c r="H428" s="345">
        <f t="shared" si="28"/>
        <v>29416.34884732409</v>
      </c>
      <c r="I428" s="346">
        <f t="shared" si="29"/>
        <v>5.6073032525113028E-3</v>
      </c>
      <c r="J428" s="345">
        <f t="shared" si="30"/>
        <v>5246077.7530000005</v>
      </c>
      <c r="K428" s="344" t="str">
        <f t="shared" si="31"/>
        <v>Promedio</v>
      </c>
      <c r="L428" s="326">
        <f>IFERROR(COUNTA('LP Reactivos'!F428,'LP Reactivos'!I428,'LP Reactivos'!N428,'LP Reactivos'!S428,'LP Reactivos'!X428,'LP Reactivos'!AC428,'LP Reactivos'!AH428,'LP Reactivos'!AM428,'LP Reactivos'!AR428,'LP Reactivos'!AW428,'LP Reactivos'!BB428,'LP Reactivos'!BG428,'LP Reactivos'!BL428,'LP Reactivos'!BQ428,'LP Reactivos'!BV428,'LP Reactivos'!CA428,'LP Reactivos'!CF428,'LP Reactivos'!CK428,'LP Reactivos'!CP428,'LP Reactivos'!CU428,'LP Reactivos'!CZ428,'LP Reactivos'!DE428,'LP Reactivos'!DJ428,'LP Reactivos'!DO428,'LP Reactivos'!DT428,'LP Reactivos'!DY428,'LP Reactivos'!EB428)," ")</f>
        <v>2</v>
      </c>
    </row>
    <row r="429" spans="2:12" x14ac:dyDescent="0.25">
      <c r="B429" s="425">
        <v>427</v>
      </c>
      <c r="C429" s="427" t="s">
        <v>2107</v>
      </c>
      <c r="D429" s="429">
        <f>IFERROR(MIN('LP Reactivos'!F429,'LP Reactivos'!I429,'LP Reactivos'!N429,'LP Reactivos'!S429,'LP Reactivos'!X429,'LP Reactivos'!AC429,'LP Reactivos'!AH429,'LP Reactivos'!AM429,'LP Reactivos'!AR429,'LP Reactivos'!AW429,'LP Reactivos'!BB429,'LP Reactivos'!BG429,'LP Reactivos'!BL429,'LP Reactivos'!BQ429,'LP Reactivos'!BV429,'LP Reactivos'!CA429,'LP Reactivos'!CF429,'LP Reactivos'!CK429,'LP Reactivos'!CP429,'LP Reactivos'!CU429,'LP Reactivos'!CZ429,'LP Reactivos'!DE429,'LP Reactivos'!DJ429,'LP Reactivos'!DO429,'LP Reactivos'!DT429,'LP Reactivos'!DY429,'LP Reactivos'!EB429)," ")</f>
        <v>427210</v>
      </c>
      <c r="E429" s="429">
        <f>IFERROR(AVERAGE('LP Reactivos'!F429,'LP Reactivos'!I429,'LP Reactivos'!N429,'LP Reactivos'!S429,'LP Reactivos'!X429,'LP Reactivos'!AC429,'LP Reactivos'!AH429,'LP Reactivos'!AM429,'LP Reactivos'!AR429,'LP Reactivos'!AW429,'LP Reactivos'!BB429,'LP Reactivos'!BG429,'LP Reactivos'!BL429,'LP Reactivos'!BQ429,'LP Reactivos'!BV429,'LP Reactivos'!CA429,'LP Reactivos'!CF429,'LP Reactivos'!CK429,'LP Reactivos'!CP429,'LP Reactivos'!CU429,'LP Reactivos'!CZ429,'LP Reactivos'!DE429,'LP Reactivos'!DJ429,'LP Reactivos'!DO429,'LP Reactivos'!DT429,'LP Reactivos'!DY429,'LP Reactivos'!EB429)," ")</f>
        <v>438614.5</v>
      </c>
      <c r="F429" s="345">
        <f>IFERROR(MEDIAN('LP Reactivos'!F429,'LP Reactivos'!I429,'LP Reactivos'!N429,'LP Reactivos'!S429,'LP Reactivos'!X429,'LP Reactivos'!AC429,'LP Reactivos'!AH429,'LP Reactivos'!AM429,'LP Reactivos'!AR429,'LP Reactivos'!AW429,'LP Reactivos'!BB429,'LP Reactivos'!BG429,'LP Reactivos'!BL429,'LP Reactivos'!BQ429,'LP Reactivos'!BV429,'LP Reactivos'!CA429,'LP Reactivos'!CF429,'LP Reactivos'!CK429,'LP Reactivos'!CP429,'LP Reactivos'!CU429,'LP Reactivos'!CZ429,'LP Reactivos'!DE429,'LP Reactivos'!DJ429,'LP Reactivos'!DO429,'LP Reactivos'!DT429,'LP Reactivos'!DY429,'LP Reactivos'!EB429)," ")</f>
        <v>438614.5</v>
      </c>
      <c r="G429" s="345">
        <f>IFERROR(GEOMEAN('LP Reactivos'!F429,'LP Reactivos'!I429,'LP Reactivos'!N429,'LP Reactivos'!S429,'LP Reactivos'!X429,'LP Reactivos'!AC429,'LP Reactivos'!AH429,'LP Reactivos'!AM429,'LP Reactivos'!AR429,'LP Reactivos'!AW429,'LP Reactivos'!BB429,'LP Reactivos'!BG429,'LP Reactivos'!BL429,'LP Reactivos'!BQ429,'LP Reactivos'!BV429,'LP Reactivos'!CA429,'LP Reactivos'!CF429,'LP Reactivos'!CK429,'LP Reactivos'!CP429,'LP Reactivos'!CU429,'LP Reactivos'!CZ429,'LP Reactivos'!DE429,'LP Reactivos'!DJ429,'LP Reactivos'!DO429,'LP Reactivos'!DT429,'LP Reactivos'!DY429,'LP Reactivos'!EB429)," ")</f>
        <v>438466.20963307994</v>
      </c>
      <c r="H429" s="345">
        <f t="shared" si="28"/>
        <v>5677.9652742692087</v>
      </c>
      <c r="I429" s="346">
        <f t="shared" si="29"/>
        <v>1.2945229294218975E-2</v>
      </c>
      <c r="J429" s="345">
        <f t="shared" si="30"/>
        <v>438614.5</v>
      </c>
      <c r="K429" s="344" t="str">
        <f t="shared" si="31"/>
        <v>Promedio</v>
      </c>
      <c r="L429" s="326">
        <f>IFERROR(COUNTA('LP Reactivos'!F429,'LP Reactivos'!I429,'LP Reactivos'!N429,'LP Reactivos'!S429,'LP Reactivos'!X429,'LP Reactivos'!AC429,'LP Reactivos'!AH429,'LP Reactivos'!AM429,'LP Reactivos'!AR429,'LP Reactivos'!AW429,'LP Reactivos'!BB429,'LP Reactivos'!BG429,'LP Reactivos'!BL429,'LP Reactivos'!BQ429,'LP Reactivos'!BV429,'LP Reactivos'!CA429,'LP Reactivos'!CF429,'LP Reactivos'!CK429,'LP Reactivos'!CP429,'LP Reactivos'!CU429,'LP Reactivos'!CZ429,'LP Reactivos'!DE429,'LP Reactivos'!DJ429,'LP Reactivos'!DO429,'LP Reactivos'!DT429,'LP Reactivos'!DY429,'LP Reactivos'!EB429)," ")</f>
        <v>2</v>
      </c>
    </row>
    <row r="430" spans="2:12" x14ac:dyDescent="0.25">
      <c r="B430" s="425">
        <v>428</v>
      </c>
      <c r="C430" s="427" t="s">
        <v>2109</v>
      </c>
      <c r="D430" s="429">
        <f>IFERROR(MIN('LP Reactivos'!F430,'LP Reactivos'!I430,'LP Reactivos'!N430,'LP Reactivos'!S430,'LP Reactivos'!X430,'LP Reactivos'!AC430,'LP Reactivos'!AH430,'LP Reactivos'!AM430,'LP Reactivos'!AR430,'LP Reactivos'!AW430,'LP Reactivos'!BB430,'LP Reactivos'!BG430,'LP Reactivos'!BL430,'LP Reactivos'!BQ430,'LP Reactivos'!BV430,'LP Reactivos'!CA430,'LP Reactivos'!CF430,'LP Reactivos'!CK430,'LP Reactivos'!CP430,'LP Reactivos'!CU430,'LP Reactivos'!CZ430,'LP Reactivos'!DE430,'LP Reactivos'!DJ430,'LP Reactivos'!DO430,'LP Reactivos'!DT430,'LP Reactivos'!DY430,'LP Reactivos'!EB430)," ")</f>
        <v>269827.91849999997</v>
      </c>
      <c r="E430" s="429">
        <f>IFERROR(AVERAGE('LP Reactivos'!F430,'LP Reactivos'!I430,'LP Reactivos'!N430,'LP Reactivos'!S430,'LP Reactivos'!X430,'LP Reactivos'!AC430,'LP Reactivos'!AH430,'LP Reactivos'!AM430,'LP Reactivos'!AR430,'LP Reactivos'!AW430,'LP Reactivos'!BB430,'LP Reactivos'!BG430,'LP Reactivos'!BL430,'LP Reactivos'!BQ430,'LP Reactivos'!BV430,'LP Reactivos'!CA430,'LP Reactivos'!CF430,'LP Reactivos'!CK430,'LP Reactivos'!CP430,'LP Reactivos'!CU430,'LP Reactivos'!CZ430,'LP Reactivos'!DE430,'LP Reactivos'!DJ430,'LP Reactivos'!DO430,'LP Reactivos'!DT430,'LP Reactivos'!DY430,'LP Reactivos'!EB430)," ")</f>
        <v>269827.91849999997</v>
      </c>
      <c r="F430" s="345">
        <f>IFERROR(MEDIAN('LP Reactivos'!F430,'LP Reactivos'!I430,'LP Reactivos'!N430,'LP Reactivos'!S430,'LP Reactivos'!X430,'LP Reactivos'!AC430,'LP Reactivos'!AH430,'LP Reactivos'!AM430,'LP Reactivos'!AR430,'LP Reactivos'!AW430,'LP Reactivos'!BB430,'LP Reactivos'!BG430,'LP Reactivos'!BL430,'LP Reactivos'!BQ430,'LP Reactivos'!BV430,'LP Reactivos'!CA430,'LP Reactivos'!CF430,'LP Reactivos'!CK430,'LP Reactivos'!CP430,'LP Reactivos'!CU430,'LP Reactivos'!CZ430,'LP Reactivos'!DE430,'LP Reactivos'!DJ430,'LP Reactivos'!DO430,'LP Reactivos'!DT430,'LP Reactivos'!DY430,'LP Reactivos'!EB430)," ")</f>
        <v>269827.91849999997</v>
      </c>
      <c r="G430" s="345">
        <f>IFERROR(GEOMEAN('LP Reactivos'!F430,'LP Reactivos'!I430,'LP Reactivos'!N430,'LP Reactivos'!S430,'LP Reactivos'!X430,'LP Reactivos'!AC430,'LP Reactivos'!AH430,'LP Reactivos'!AM430,'LP Reactivos'!AR430,'LP Reactivos'!AW430,'LP Reactivos'!BB430,'LP Reactivos'!BG430,'LP Reactivos'!BL430,'LP Reactivos'!BQ430,'LP Reactivos'!BV430,'LP Reactivos'!CA430,'LP Reactivos'!CF430,'LP Reactivos'!CK430,'LP Reactivos'!CP430,'LP Reactivos'!CU430,'LP Reactivos'!CZ430,'LP Reactivos'!DE430,'LP Reactivos'!DJ430,'LP Reactivos'!DO430,'LP Reactivos'!DT430,'LP Reactivos'!DY430,'LP Reactivos'!EB430)," ")</f>
        <v>269827.91849999997</v>
      </c>
      <c r="H430" s="345">
        <f t="shared" si="28"/>
        <v>0</v>
      </c>
      <c r="I430" s="346">
        <f t="shared" si="29"/>
        <v>0</v>
      </c>
      <c r="J430" s="345">
        <f t="shared" si="30"/>
        <v>269827.91849999997</v>
      </c>
      <c r="K430" s="344" t="str">
        <f t="shared" si="31"/>
        <v>Menor Valor</v>
      </c>
      <c r="L430" s="326">
        <f>IFERROR(COUNTA('LP Reactivos'!F430,'LP Reactivos'!I430,'LP Reactivos'!N430,'LP Reactivos'!S430,'LP Reactivos'!X430,'LP Reactivos'!AC430,'LP Reactivos'!AH430,'LP Reactivos'!AM430,'LP Reactivos'!AR430,'LP Reactivos'!AW430,'LP Reactivos'!BB430,'LP Reactivos'!BG430,'LP Reactivos'!BL430,'LP Reactivos'!BQ430,'LP Reactivos'!BV430,'LP Reactivos'!CA430,'LP Reactivos'!CF430,'LP Reactivos'!CK430,'LP Reactivos'!CP430,'LP Reactivos'!CU430,'LP Reactivos'!CZ430,'LP Reactivos'!DE430,'LP Reactivos'!DJ430,'LP Reactivos'!DO430,'LP Reactivos'!DT430,'LP Reactivos'!DY430,'LP Reactivos'!EB430)," ")</f>
        <v>1</v>
      </c>
    </row>
    <row r="431" spans="2:12" ht="27" x14ac:dyDescent="0.25">
      <c r="B431" s="425">
        <v>429</v>
      </c>
      <c r="C431" s="426" t="s">
        <v>2112</v>
      </c>
      <c r="D431" s="429">
        <f>IFERROR(MIN('LP Reactivos'!F431,'LP Reactivos'!I431,'LP Reactivos'!N431,'LP Reactivos'!S431,'LP Reactivos'!X431,'LP Reactivos'!AC431,'LP Reactivos'!AH431,'LP Reactivos'!AM431,'LP Reactivos'!AR431,'LP Reactivos'!AW431,'LP Reactivos'!BB431,'LP Reactivos'!BG431,'LP Reactivos'!BL431,'LP Reactivos'!BQ431,'LP Reactivos'!BV431,'LP Reactivos'!CA431,'LP Reactivos'!CF431,'LP Reactivos'!CK431,'LP Reactivos'!CP431,'LP Reactivos'!CU431,'LP Reactivos'!CZ431,'LP Reactivos'!DE431,'LP Reactivos'!DJ431,'LP Reactivos'!DO431,'LP Reactivos'!DT431,'LP Reactivos'!DY431,'LP Reactivos'!EB431)," ")</f>
        <v>195552</v>
      </c>
      <c r="E431" s="429">
        <f>IFERROR(AVERAGE('LP Reactivos'!F431,'LP Reactivos'!I431,'LP Reactivos'!N431,'LP Reactivos'!S431,'LP Reactivos'!X431,'LP Reactivos'!AC431,'LP Reactivos'!AH431,'LP Reactivos'!AM431,'LP Reactivos'!AR431,'LP Reactivos'!AW431,'LP Reactivos'!BB431,'LP Reactivos'!BG431,'LP Reactivos'!BL431,'LP Reactivos'!BQ431,'LP Reactivos'!BV431,'LP Reactivos'!CA431,'LP Reactivos'!CF431,'LP Reactivos'!CK431,'LP Reactivos'!CP431,'LP Reactivos'!CU431,'LP Reactivos'!CZ431,'LP Reactivos'!DE431,'LP Reactivos'!DJ431,'LP Reactivos'!DO431,'LP Reactivos'!DT431,'LP Reactivos'!DY431,'LP Reactivos'!EB431)," ")</f>
        <v>381704.68839999998</v>
      </c>
      <c r="F431" s="345">
        <f>IFERROR(MEDIAN('LP Reactivos'!F431,'LP Reactivos'!I431,'LP Reactivos'!N431,'LP Reactivos'!S431,'LP Reactivos'!X431,'LP Reactivos'!AC431,'LP Reactivos'!AH431,'LP Reactivos'!AM431,'LP Reactivos'!AR431,'LP Reactivos'!AW431,'LP Reactivos'!BB431,'LP Reactivos'!BG431,'LP Reactivos'!BL431,'LP Reactivos'!BQ431,'LP Reactivos'!BV431,'LP Reactivos'!CA431,'LP Reactivos'!CF431,'LP Reactivos'!CK431,'LP Reactivos'!CP431,'LP Reactivos'!CU431,'LP Reactivos'!CZ431,'LP Reactivos'!DE431,'LP Reactivos'!DJ431,'LP Reactivos'!DO431,'LP Reactivos'!DT431,'LP Reactivos'!DY431,'LP Reactivos'!EB431)," ")</f>
        <v>345100</v>
      </c>
      <c r="G431" s="345">
        <f>IFERROR(GEOMEAN('LP Reactivos'!F431,'LP Reactivos'!I431,'LP Reactivos'!N431,'LP Reactivos'!S431,'LP Reactivos'!X431,'LP Reactivos'!AC431,'LP Reactivos'!AH431,'LP Reactivos'!AM431,'LP Reactivos'!AR431,'LP Reactivos'!AW431,'LP Reactivos'!BB431,'LP Reactivos'!BG431,'LP Reactivos'!BL431,'LP Reactivos'!BQ431,'LP Reactivos'!BV431,'LP Reactivos'!CA431,'LP Reactivos'!CF431,'LP Reactivos'!CK431,'LP Reactivos'!CP431,'LP Reactivos'!CU431,'LP Reactivos'!CZ431,'LP Reactivos'!DE431,'LP Reactivos'!DJ431,'LP Reactivos'!DO431,'LP Reactivos'!DT431,'LP Reactivos'!DY431,'LP Reactivos'!EB431)," ")</f>
        <v>347056.93426389078</v>
      </c>
      <c r="H431" s="345">
        <f t="shared" si="28"/>
        <v>82923.344360973933</v>
      </c>
      <c r="I431" s="346">
        <f t="shared" si="29"/>
        <v>0.21724476245907681</v>
      </c>
      <c r="J431" s="345">
        <f t="shared" si="30"/>
        <v>347056.93426389078</v>
      </c>
      <c r="K431" s="344" t="str">
        <f t="shared" si="31"/>
        <v>Media Geométrica</v>
      </c>
      <c r="L431" s="326">
        <f>IFERROR(COUNTA('LP Reactivos'!F431,'LP Reactivos'!I431,'LP Reactivos'!N431,'LP Reactivos'!S431,'LP Reactivos'!X431,'LP Reactivos'!AC431,'LP Reactivos'!AH431,'LP Reactivos'!AM431,'LP Reactivos'!AR431,'LP Reactivos'!AW431,'LP Reactivos'!BB431,'LP Reactivos'!BG431,'LP Reactivos'!BL431,'LP Reactivos'!BQ431,'LP Reactivos'!BV431,'LP Reactivos'!CA431,'LP Reactivos'!CF431,'LP Reactivos'!CK431,'LP Reactivos'!CP431,'LP Reactivos'!CU431,'LP Reactivos'!CZ431,'LP Reactivos'!DE431,'LP Reactivos'!DJ431,'LP Reactivos'!DO431,'LP Reactivos'!DT431,'LP Reactivos'!DY431,'LP Reactivos'!EB431)," ")</f>
        <v>5</v>
      </c>
    </row>
    <row r="432" spans="2:12" x14ac:dyDescent="0.25">
      <c r="B432" s="425">
        <v>430</v>
      </c>
      <c r="C432" s="427" t="s">
        <v>2116</v>
      </c>
      <c r="D432" s="429">
        <f>IFERROR(MIN('LP Reactivos'!F432,'LP Reactivos'!I432,'LP Reactivos'!N432,'LP Reactivos'!S432,'LP Reactivos'!X432,'LP Reactivos'!AC432,'LP Reactivos'!AH432,'LP Reactivos'!AM432,'LP Reactivos'!AR432,'LP Reactivos'!AW432,'LP Reactivos'!BB432,'LP Reactivos'!BG432,'LP Reactivos'!BL432,'LP Reactivos'!BQ432,'LP Reactivos'!BV432,'LP Reactivos'!CA432,'LP Reactivos'!CF432,'LP Reactivos'!CK432,'LP Reactivos'!CP432,'LP Reactivos'!CU432,'LP Reactivos'!CZ432,'LP Reactivos'!DE432,'LP Reactivos'!DJ432,'LP Reactivos'!DO432,'LP Reactivos'!DT432,'LP Reactivos'!DY432,'LP Reactivos'!EB432)," ")</f>
        <v>829539.48</v>
      </c>
      <c r="E432" s="429">
        <f>IFERROR(AVERAGE('LP Reactivos'!F432,'LP Reactivos'!I432,'LP Reactivos'!N432,'LP Reactivos'!S432,'LP Reactivos'!X432,'LP Reactivos'!AC432,'LP Reactivos'!AH432,'LP Reactivos'!AM432,'LP Reactivos'!AR432,'LP Reactivos'!AW432,'LP Reactivos'!BB432,'LP Reactivos'!BG432,'LP Reactivos'!BL432,'LP Reactivos'!BQ432,'LP Reactivos'!BV432,'LP Reactivos'!CA432,'LP Reactivos'!CF432,'LP Reactivos'!CK432,'LP Reactivos'!CP432,'LP Reactivos'!CU432,'LP Reactivos'!CZ432,'LP Reactivos'!DE432,'LP Reactivos'!DJ432,'LP Reactivos'!DO432,'LP Reactivos'!DT432,'LP Reactivos'!DY432,'LP Reactivos'!EB432)," ")</f>
        <v>875299.74</v>
      </c>
      <c r="F432" s="345">
        <f>IFERROR(MEDIAN('LP Reactivos'!F432,'LP Reactivos'!I432,'LP Reactivos'!N432,'LP Reactivos'!S432,'LP Reactivos'!X432,'LP Reactivos'!AC432,'LP Reactivos'!AH432,'LP Reactivos'!AM432,'LP Reactivos'!AR432,'LP Reactivos'!AW432,'LP Reactivos'!BB432,'LP Reactivos'!BG432,'LP Reactivos'!BL432,'LP Reactivos'!BQ432,'LP Reactivos'!BV432,'LP Reactivos'!CA432,'LP Reactivos'!CF432,'LP Reactivos'!CK432,'LP Reactivos'!CP432,'LP Reactivos'!CU432,'LP Reactivos'!CZ432,'LP Reactivos'!DE432,'LP Reactivos'!DJ432,'LP Reactivos'!DO432,'LP Reactivos'!DT432,'LP Reactivos'!DY432,'LP Reactivos'!EB432)," ")</f>
        <v>875299.74</v>
      </c>
      <c r="G432" s="345">
        <f>IFERROR(GEOMEAN('LP Reactivos'!F432,'LP Reactivos'!I432,'LP Reactivos'!N432,'LP Reactivos'!S432,'LP Reactivos'!X432,'LP Reactivos'!AC432,'LP Reactivos'!AH432,'LP Reactivos'!AM432,'LP Reactivos'!AR432,'LP Reactivos'!AW432,'LP Reactivos'!BB432,'LP Reactivos'!BG432,'LP Reactivos'!BL432,'LP Reactivos'!BQ432,'LP Reactivos'!BV432,'LP Reactivos'!CA432,'LP Reactivos'!CF432,'LP Reactivos'!CK432,'LP Reactivos'!CP432,'LP Reactivos'!CU432,'LP Reactivos'!CZ432,'LP Reactivos'!DE432,'LP Reactivos'!DJ432,'LP Reactivos'!DO432,'LP Reactivos'!DT432,'LP Reactivos'!DY432,'LP Reactivos'!EB432)," ")</f>
        <v>874102.75909002824</v>
      </c>
      <c r="H432" s="345">
        <f t="shared" si="28"/>
        <v>22687.65112050427</v>
      </c>
      <c r="I432" s="346">
        <f t="shared" si="29"/>
        <v>2.5919865028754915E-2</v>
      </c>
      <c r="J432" s="345">
        <f t="shared" si="30"/>
        <v>875299.74</v>
      </c>
      <c r="K432" s="344" t="str">
        <f t="shared" si="31"/>
        <v>Promedio</v>
      </c>
      <c r="L432" s="326">
        <f>IFERROR(COUNTA('LP Reactivos'!F432,'LP Reactivos'!I432,'LP Reactivos'!N432,'LP Reactivos'!S432,'LP Reactivos'!X432,'LP Reactivos'!AC432,'LP Reactivos'!AH432,'LP Reactivos'!AM432,'LP Reactivos'!AR432,'LP Reactivos'!AW432,'LP Reactivos'!BB432,'LP Reactivos'!BG432,'LP Reactivos'!BL432,'LP Reactivos'!BQ432,'LP Reactivos'!BV432,'LP Reactivos'!CA432,'LP Reactivos'!CF432,'LP Reactivos'!CK432,'LP Reactivos'!CP432,'LP Reactivos'!CU432,'LP Reactivos'!CZ432,'LP Reactivos'!DE432,'LP Reactivos'!DJ432,'LP Reactivos'!DO432,'LP Reactivos'!DT432,'LP Reactivos'!DY432,'LP Reactivos'!EB432)," ")</f>
        <v>2</v>
      </c>
    </row>
    <row r="433" spans="2:12" x14ac:dyDescent="0.25">
      <c r="B433" s="425">
        <v>431</v>
      </c>
      <c r="C433" s="427" t="s">
        <v>2119</v>
      </c>
      <c r="D433" s="429">
        <f>IFERROR(MIN('LP Reactivos'!F433,'LP Reactivos'!I433,'LP Reactivos'!N433,'LP Reactivos'!S433,'LP Reactivos'!X433,'LP Reactivos'!AC433,'LP Reactivos'!AH433,'LP Reactivos'!AM433,'LP Reactivos'!AR433,'LP Reactivos'!AW433,'LP Reactivos'!BB433,'LP Reactivos'!BG433,'LP Reactivos'!BL433,'LP Reactivos'!BQ433,'LP Reactivos'!BV433,'LP Reactivos'!CA433,'LP Reactivos'!CF433,'LP Reactivos'!CK433,'LP Reactivos'!CP433,'LP Reactivos'!CU433,'LP Reactivos'!CZ433,'LP Reactivos'!DE433,'LP Reactivos'!DJ433,'LP Reactivos'!DO433,'LP Reactivos'!DT433,'LP Reactivos'!DY433,'LP Reactivos'!EB433)," ")</f>
        <v>126140</v>
      </c>
      <c r="E433" s="429">
        <f>IFERROR(AVERAGE('LP Reactivos'!F433,'LP Reactivos'!I433,'LP Reactivos'!N433,'LP Reactivos'!S433,'LP Reactivos'!X433,'LP Reactivos'!AC433,'LP Reactivos'!AH433,'LP Reactivos'!AM433,'LP Reactivos'!AR433,'LP Reactivos'!AW433,'LP Reactivos'!BB433,'LP Reactivos'!BG433,'LP Reactivos'!BL433,'LP Reactivos'!BQ433,'LP Reactivos'!BV433,'LP Reactivos'!CA433,'LP Reactivos'!CF433,'LP Reactivos'!CK433,'LP Reactivos'!CP433,'LP Reactivos'!CU433,'LP Reactivos'!CZ433,'LP Reactivos'!DE433,'LP Reactivos'!DJ433,'LP Reactivos'!DO433,'LP Reactivos'!DT433,'LP Reactivos'!DY433,'LP Reactivos'!EB433)," ")</f>
        <v>170170</v>
      </c>
      <c r="F433" s="345">
        <f>IFERROR(MEDIAN('LP Reactivos'!F433,'LP Reactivos'!I433,'LP Reactivos'!N433,'LP Reactivos'!S433,'LP Reactivos'!X433,'LP Reactivos'!AC433,'LP Reactivos'!AH433,'LP Reactivos'!AM433,'LP Reactivos'!AR433,'LP Reactivos'!AW433,'LP Reactivos'!BB433,'LP Reactivos'!BG433,'LP Reactivos'!BL433,'LP Reactivos'!BQ433,'LP Reactivos'!BV433,'LP Reactivos'!CA433,'LP Reactivos'!CF433,'LP Reactivos'!CK433,'LP Reactivos'!CP433,'LP Reactivos'!CU433,'LP Reactivos'!CZ433,'LP Reactivos'!DE433,'LP Reactivos'!DJ433,'LP Reactivos'!DO433,'LP Reactivos'!DT433,'LP Reactivos'!DY433,'LP Reactivos'!EB433)," ")</f>
        <v>170170</v>
      </c>
      <c r="G433" s="345">
        <f>IFERROR(GEOMEAN('LP Reactivos'!F433,'LP Reactivos'!I433,'LP Reactivos'!N433,'LP Reactivos'!S433,'LP Reactivos'!X433,'LP Reactivos'!AC433,'LP Reactivos'!AH433,'LP Reactivos'!AM433,'LP Reactivos'!AR433,'LP Reactivos'!AW433,'LP Reactivos'!BB433,'LP Reactivos'!BG433,'LP Reactivos'!BL433,'LP Reactivos'!BQ433,'LP Reactivos'!BV433,'LP Reactivos'!CA433,'LP Reactivos'!CF433,'LP Reactivos'!CK433,'LP Reactivos'!CP433,'LP Reactivos'!CU433,'LP Reactivos'!CZ433,'LP Reactivos'!DE433,'LP Reactivos'!DJ433,'LP Reactivos'!DO433,'LP Reactivos'!DT433,'LP Reactivos'!DY433,'LP Reactivos'!EB433)," ")</f>
        <v>164375.14410640072</v>
      </c>
      <c r="H433" s="345">
        <f t="shared" si="28"/>
        <v>21225.709164620057</v>
      </c>
      <c r="I433" s="346">
        <f t="shared" si="29"/>
        <v>0.12473238035270645</v>
      </c>
      <c r="J433" s="345">
        <f t="shared" si="30"/>
        <v>170170</v>
      </c>
      <c r="K433" s="344" t="str">
        <f t="shared" si="31"/>
        <v>Promedio</v>
      </c>
      <c r="L433" s="326">
        <f>IFERROR(COUNTA('LP Reactivos'!F433,'LP Reactivos'!I433,'LP Reactivos'!N433,'LP Reactivos'!S433,'LP Reactivos'!X433,'LP Reactivos'!AC433,'LP Reactivos'!AH433,'LP Reactivos'!AM433,'LP Reactivos'!AR433,'LP Reactivos'!AW433,'LP Reactivos'!BB433,'LP Reactivos'!BG433,'LP Reactivos'!BL433,'LP Reactivos'!BQ433,'LP Reactivos'!BV433,'LP Reactivos'!CA433,'LP Reactivos'!CF433,'LP Reactivos'!CK433,'LP Reactivos'!CP433,'LP Reactivos'!CU433,'LP Reactivos'!CZ433,'LP Reactivos'!DE433,'LP Reactivos'!DJ433,'LP Reactivos'!DO433,'LP Reactivos'!DT433,'LP Reactivos'!DY433,'LP Reactivos'!EB433)," ")</f>
        <v>2</v>
      </c>
    </row>
    <row r="434" spans="2:12" x14ac:dyDescent="0.25">
      <c r="B434" s="425">
        <v>432</v>
      </c>
      <c r="C434" s="427" t="s">
        <v>2123</v>
      </c>
      <c r="D434" s="429">
        <f>IFERROR(MIN('LP Reactivos'!F434,'LP Reactivos'!I434,'LP Reactivos'!N434,'LP Reactivos'!S434,'LP Reactivos'!X434,'LP Reactivos'!AC434,'LP Reactivos'!AH434,'LP Reactivos'!AM434,'LP Reactivos'!AR434,'LP Reactivos'!AW434,'LP Reactivos'!BB434,'LP Reactivos'!BG434,'LP Reactivos'!BL434,'LP Reactivos'!BQ434,'LP Reactivos'!BV434,'LP Reactivos'!CA434,'LP Reactivos'!CF434,'LP Reactivos'!CK434,'LP Reactivos'!CP434,'LP Reactivos'!CU434,'LP Reactivos'!CZ434,'LP Reactivos'!DE434,'LP Reactivos'!DJ434,'LP Reactivos'!DO434,'LP Reactivos'!DT434,'LP Reactivos'!DY434,'LP Reactivos'!EB434)," ")</f>
        <v>127330</v>
      </c>
      <c r="E434" s="429">
        <f>IFERROR(AVERAGE('LP Reactivos'!F434,'LP Reactivos'!I434,'LP Reactivos'!N434,'LP Reactivos'!S434,'LP Reactivos'!X434,'LP Reactivos'!AC434,'LP Reactivos'!AH434,'LP Reactivos'!AM434,'LP Reactivos'!AR434,'LP Reactivos'!AW434,'LP Reactivos'!BB434,'LP Reactivos'!BG434,'LP Reactivos'!BL434,'LP Reactivos'!BQ434,'LP Reactivos'!BV434,'LP Reactivos'!CA434,'LP Reactivos'!CF434,'LP Reactivos'!CK434,'LP Reactivos'!CP434,'LP Reactivos'!CU434,'LP Reactivos'!CZ434,'LP Reactivos'!DE434,'LP Reactivos'!DJ434,'LP Reactivos'!DO434,'LP Reactivos'!DT434,'LP Reactivos'!DY434,'LP Reactivos'!EB434)," ")</f>
        <v>185858.86629999999</v>
      </c>
      <c r="F434" s="345">
        <f>IFERROR(MEDIAN('LP Reactivos'!F434,'LP Reactivos'!I434,'LP Reactivos'!N434,'LP Reactivos'!S434,'LP Reactivos'!X434,'LP Reactivos'!AC434,'LP Reactivos'!AH434,'LP Reactivos'!AM434,'LP Reactivos'!AR434,'LP Reactivos'!AW434,'LP Reactivos'!BB434,'LP Reactivos'!BG434,'LP Reactivos'!BL434,'LP Reactivos'!BQ434,'LP Reactivos'!BV434,'LP Reactivos'!CA434,'LP Reactivos'!CF434,'LP Reactivos'!CK434,'LP Reactivos'!CP434,'LP Reactivos'!CU434,'LP Reactivos'!CZ434,'LP Reactivos'!DE434,'LP Reactivos'!DJ434,'LP Reactivos'!DO434,'LP Reactivos'!DT434,'LP Reactivos'!DY434,'LP Reactivos'!EB434)," ")</f>
        <v>159302.73259999999</v>
      </c>
      <c r="G434" s="345">
        <f>IFERROR(GEOMEAN('LP Reactivos'!F434,'LP Reactivos'!I434,'LP Reactivos'!N434,'LP Reactivos'!S434,'LP Reactivos'!X434,'LP Reactivos'!AC434,'LP Reactivos'!AH434,'LP Reactivos'!AM434,'LP Reactivos'!AR434,'LP Reactivos'!AW434,'LP Reactivos'!BB434,'LP Reactivos'!BG434,'LP Reactivos'!BL434,'LP Reactivos'!BQ434,'LP Reactivos'!BV434,'LP Reactivos'!CA434,'LP Reactivos'!CF434,'LP Reactivos'!CK434,'LP Reactivos'!CP434,'LP Reactivos'!CU434,'LP Reactivos'!CZ434,'LP Reactivos'!DE434,'LP Reactivos'!DJ434,'LP Reactivos'!DO434,'LP Reactivos'!DT434,'LP Reactivos'!DY434,'LP Reactivos'!EB434)," ")</f>
        <v>174972.63016985473</v>
      </c>
      <c r="H434" s="345">
        <f t="shared" si="28"/>
        <v>25473.823318914481</v>
      </c>
      <c r="I434" s="346">
        <f t="shared" si="29"/>
        <v>0.13706003822167123</v>
      </c>
      <c r="J434" s="345">
        <f t="shared" si="30"/>
        <v>185858.86629999999</v>
      </c>
      <c r="K434" s="344" t="str">
        <f t="shared" si="31"/>
        <v>Promedio</v>
      </c>
      <c r="L434" s="326">
        <f>IFERROR(COUNTA('LP Reactivos'!F434,'LP Reactivos'!I434,'LP Reactivos'!N434,'LP Reactivos'!S434,'LP Reactivos'!X434,'LP Reactivos'!AC434,'LP Reactivos'!AH434,'LP Reactivos'!AM434,'LP Reactivos'!AR434,'LP Reactivos'!AW434,'LP Reactivos'!BB434,'LP Reactivos'!BG434,'LP Reactivos'!BL434,'LP Reactivos'!BQ434,'LP Reactivos'!BV434,'LP Reactivos'!CA434,'LP Reactivos'!CF434,'LP Reactivos'!CK434,'LP Reactivos'!CP434,'LP Reactivos'!CU434,'LP Reactivos'!CZ434,'LP Reactivos'!DE434,'LP Reactivos'!DJ434,'LP Reactivos'!DO434,'LP Reactivos'!DT434,'LP Reactivos'!DY434,'LP Reactivos'!EB434)," ")</f>
        <v>4</v>
      </c>
    </row>
    <row r="435" spans="2:12" ht="27" x14ac:dyDescent="0.25">
      <c r="B435" s="425">
        <v>433</v>
      </c>
      <c r="C435" s="426" t="s">
        <v>2127</v>
      </c>
      <c r="D435" s="429">
        <f>IFERROR(MIN('LP Reactivos'!F435,'LP Reactivos'!I435,'LP Reactivos'!N435,'LP Reactivos'!S435,'LP Reactivos'!X435,'LP Reactivos'!AC435,'LP Reactivos'!AH435,'LP Reactivos'!AM435,'LP Reactivos'!AR435,'LP Reactivos'!AW435,'LP Reactivos'!BB435,'LP Reactivos'!BG435,'LP Reactivos'!BL435,'LP Reactivos'!BQ435,'LP Reactivos'!BV435,'LP Reactivos'!CA435,'LP Reactivos'!CF435,'LP Reactivos'!CK435,'LP Reactivos'!CP435,'LP Reactivos'!CU435,'LP Reactivos'!CZ435,'LP Reactivos'!DE435,'LP Reactivos'!DJ435,'LP Reactivos'!DO435,'LP Reactivos'!DT435,'LP Reactivos'!DY435,'LP Reactivos'!EB435)," ")</f>
        <v>285600</v>
      </c>
      <c r="E435" s="429">
        <f>IFERROR(AVERAGE('LP Reactivos'!F435,'LP Reactivos'!I435,'LP Reactivos'!N435,'LP Reactivos'!S435,'LP Reactivos'!X435,'LP Reactivos'!AC435,'LP Reactivos'!AH435,'LP Reactivos'!AM435,'LP Reactivos'!AR435,'LP Reactivos'!AW435,'LP Reactivos'!BB435,'LP Reactivos'!BG435,'LP Reactivos'!BL435,'LP Reactivos'!BQ435,'LP Reactivos'!BV435,'LP Reactivos'!CA435,'LP Reactivos'!CF435,'LP Reactivos'!CK435,'LP Reactivos'!CP435,'LP Reactivos'!CU435,'LP Reactivos'!CZ435,'LP Reactivos'!DE435,'LP Reactivos'!DJ435,'LP Reactivos'!DO435,'LP Reactivos'!DT435,'LP Reactivos'!DY435,'LP Reactivos'!EB435)," ")</f>
        <v>1699137.5134999999</v>
      </c>
      <c r="F435" s="345">
        <f>IFERROR(MEDIAN('LP Reactivos'!F435,'LP Reactivos'!I435,'LP Reactivos'!N435,'LP Reactivos'!S435,'LP Reactivos'!X435,'LP Reactivos'!AC435,'LP Reactivos'!AH435,'LP Reactivos'!AM435,'LP Reactivos'!AR435,'LP Reactivos'!AW435,'LP Reactivos'!BB435,'LP Reactivos'!BG435,'LP Reactivos'!BL435,'LP Reactivos'!BQ435,'LP Reactivos'!BV435,'LP Reactivos'!CA435,'LP Reactivos'!CF435,'LP Reactivos'!CK435,'LP Reactivos'!CP435,'LP Reactivos'!CU435,'LP Reactivos'!CZ435,'LP Reactivos'!DE435,'LP Reactivos'!DJ435,'LP Reactivos'!DO435,'LP Reactivos'!DT435,'LP Reactivos'!DY435,'LP Reactivos'!EB435)," ")</f>
        <v>1842744.155</v>
      </c>
      <c r="G435" s="345">
        <f>IFERROR(GEOMEAN('LP Reactivos'!F435,'LP Reactivos'!I435,'LP Reactivos'!N435,'LP Reactivos'!S435,'LP Reactivos'!X435,'LP Reactivos'!AC435,'LP Reactivos'!AH435,'LP Reactivos'!AM435,'LP Reactivos'!AR435,'LP Reactivos'!AW435,'LP Reactivos'!BB435,'LP Reactivos'!BG435,'LP Reactivos'!BL435,'LP Reactivos'!BQ435,'LP Reactivos'!BV435,'LP Reactivos'!CA435,'LP Reactivos'!CF435,'LP Reactivos'!CK435,'LP Reactivos'!CP435,'LP Reactivos'!CU435,'LP Reactivos'!CZ435,'LP Reactivos'!DE435,'LP Reactivos'!DJ435,'LP Reactivos'!DO435,'LP Reactivos'!DT435,'LP Reactivos'!DY435,'LP Reactivos'!EB435)," ")</f>
        <v>1281836.4977842604</v>
      </c>
      <c r="H435" s="345">
        <f t="shared" si="28"/>
        <v>702652.93626864755</v>
      </c>
      <c r="I435" s="346">
        <f t="shared" si="29"/>
        <v>0.41353506157443071</v>
      </c>
      <c r="J435" s="345">
        <f>IF(I435&lt;=10%,F435,IF(AND(I435&gt;10%,I435&lt;=20%),E435,IF(AND(I435&gt;20%,I435&lt;=42%),G435,IF(I435&gt;42%,D435))))</f>
        <v>1281836.4977842604</v>
      </c>
      <c r="K435" s="344" t="str">
        <f t="shared" si="31"/>
        <v>Media Geométrica</v>
      </c>
      <c r="L435" s="326">
        <f>IFERROR(COUNTA('LP Reactivos'!F435,'LP Reactivos'!I435,'LP Reactivos'!N435,'LP Reactivos'!S435,'LP Reactivos'!X435,'LP Reactivos'!AC435,'LP Reactivos'!AH435,'LP Reactivos'!AM435,'LP Reactivos'!AR435,'LP Reactivos'!AW435,'LP Reactivos'!BB435,'LP Reactivos'!BG435,'LP Reactivos'!BL435,'LP Reactivos'!BQ435,'LP Reactivos'!BV435,'LP Reactivos'!CA435,'LP Reactivos'!CF435,'LP Reactivos'!CK435,'LP Reactivos'!CP435,'LP Reactivos'!CU435,'LP Reactivos'!CZ435,'LP Reactivos'!DE435,'LP Reactivos'!DJ435,'LP Reactivos'!DO435,'LP Reactivos'!DT435,'LP Reactivos'!DY435,'LP Reactivos'!EB435)," ")</f>
        <v>4</v>
      </c>
    </row>
    <row r="436" spans="2:12" x14ac:dyDescent="0.25">
      <c r="B436" s="425">
        <v>434</v>
      </c>
      <c r="C436" s="426" t="s">
        <v>2130</v>
      </c>
      <c r="D436" s="429">
        <f>IFERROR(MIN('LP Reactivos'!F436,'LP Reactivos'!I436,'LP Reactivos'!N436,'LP Reactivos'!S436,'LP Reactivos'!X436,'LP Reactivos'!AC436,'LP Reactivos'!AH436,'LP Reactivos'!AM436,'LP Reactivos'!AR436,'LP Reactivos'!AW436,'LP Reactivos'!BB436,'LP Reactivos'!BG436,'LP Reactivos'!BL436,'LP Reactivos'!BQ436,'LP Reactivos'!BV436,'LP Reactivos'!CA436,'LP Reactivos'!CF436,'LP Reactivos'!CK436,'LP Reactivos'!CP436,'LP Reactivos'!CU436,'LP Reactivos'!CZ436,'LP Reactivos'!DE436,'LP Reactivos'!DJ436,'LP Reactivos'!DO436,'LP Reactivos'!DT436,'LP Reactivos'!DY436,'LP Reactivos'!EB436)," ")</f>
        <v>285600</v>
      </c>
      <c r="E436" s="429">
        <f>IFERROR(AVERAGE('LP Reactivos'!F436,'LP Reactivos'!I436,'LP Reactivos'!N436,'LP Reactivos'!S436,'LP Reactivos'!X436,'LP Reactivos'!AC436,'LP Reactivos'!AH436,'LP Reactivos'!AM436,'LP Reactivos'!AR436,'LP Reactivos'!AW436,'LP Reactivos'!BB436,'LP Reactivos'!BG436,'LP Reactivos'!BL436,'LP Reactivos'!BQ436,'LP Reactivos'!BV436,'LP Reactivos'!CA436,'LP Reactivos'!CF436,'LP Reactivos'!CK436,'LP Reactivos'!CP436,'LP Reactivos'!CU436,'LP Reactivos'!CZ436,'LP Reactivos'!DE436,'LP Reactivos'!DJ436,'LP Reactivos'!DO436,'LP Reactivos'!DT436,'LP Reactivos'!DY436,'LP Reactivos'!EB436)," ")</f>
        <v>1741985.1623999998</v>
      </c>
      <c r="F436" s="345">
        <f>IFERROR(MEDIAN('LP Reactivos'!F436,'LP Reactivos'!I436,'LP Reactivos'!N436,'LP Reactivos'!S436,'LP Reactivos'!X436,'LP Reactivos'!AC436,'LP Reactivos'!AH436,'LP Reactivos'!AM436,'LP Reactivos'!AR436,'LP Reactivos'!AW436,'LP Reactivos'!BB436,'LP Reactivos'!BG436,'LP Reactivos'!BL436,'LP Reactivos'!BQ436,'LP Reactivos'!BV436,'LP Reactivos'!CA436,'LP Reactivos'!CF436,'LP Reactivos'!CK436,'LP Reactivos'!CP436,'LP Reactivos'!CU436,'LP Reactivos'!CZ436,'LP Reactivos'!DE436,'LP Reactivos'!DJ436,'LP Reactivos'!DO436,'LP Reactivos'!DT436,'LP Reactivos'!DY436,'LP Reactivos'!EB436)," ")</f>
        <v>2205142.59</v>
      </c>
      <c r="G436" s="345">
        <f>IFERROR(GEOMEAN('LP Reactivos'!F436,'LP Reactivos'!I436,'LP Reactivos'!N436,'LP Reactivos'!S436,'LP Reactivos'!X436,'LP Reactivos'!AC436,'LP Reactivos'!AH436,'LP Reactivos'!AM436,'LP Reactivos'!AR436,'LP Reactivos'!AW436,'LP Reactivos'!BB436,'LP Reactivos'!BG436,'LP Reactivos'!BL436,'LP Reactivos'!BQ436,'LP Reactivos'!BV436,'LP Reactivos'!CA436,'LP Reactivos'!CF436,'LP Reactivos'!CK436,'LP Reactivos'!CP436,'LP Reactivos'!CU436,'LP Reactivos'!CZ436,'LP Reactivos'!DE436,'LP Reactivos'!DJ436,'LP Reactivos'!DO436,'LP Reactivos'!DT436,'LP Reactivos'!DY436,'LP Reactivos'!EB436)," ")</f>
        <v>1268418.3660046603</v>
      </c>
      <c r="H436" s="345">
        <f t="shared" si="28"/>
        <v>820968.23029516567</v>
      </c>
      <c r="I436" s="346">
        <f t="shared" si="29"/>
        <v>0.47128313605386069</v>
      </c>
      <c r="J436" s="345">
        <f>IF(I436&lt;=10%,F436,IF(AND(I436&gt;10%,I436&lt;=20%),E436,IF(AND(I436&gt;20%,I436&lt;=48%),G436,IF(I436&gt;48%,D436))))</f>
        <v>1268418.3660046603</v>
      </c>
      <c r="K436" s="344" t="str">
        <f t="shared" si="31"/>
        <v>Media Geométrica</v>
      </c>
      <c r="L436" s="326">
        <f>IFERROR(COUNTA('LP Reactivos'!F436,'LP Reactivos'!I436,'LP Reactivos'!N436,'LP Reactivos'!S436,'LP Reactivos'!X436,'LP Reactivos'!AC436,'LP Reactivos'!AH436,'LP Reactivos'!AM436,'LP Reactivos'!AR436,'LP Reactivos'!AW436,'LP Reactivos'!BB436,'LP Reactivos'!BG436,'LP Reactivos'!BL436,'LP Reactivos'!BQ436,'LP Reactivos'!BV436,'LP Reactivos'!CA436,'LP Reactivos'!CF436,'LP Reactivos'!CK436,'LP Reactivos'!CP436,'LP Reactivos'!CU436,'LP Reactivos'!CZ436,'LP Reactivos'!DE436,'LP Reactivos'!DJ436,'LP Reactivos'!DO436,'LP Reactivos'!DT436,'LP Reactivos'!DY436,'LP Reactivos'!EB436)," ")</f>
        <v>5</v>
      </c>
    </row>
    <row r="437" spans="2:12" x14ac:dyDescent="0.25">
      <c r="B437" s="425">
        <v>435</v>
      </c>
      <c r="C437" s="427" t="s">
        <v>2134</v>
      </c>
      <c r="D437" s="429">
        <f>IFERROR(MIN('LP Reactivos'!F437,'LP Reactivos'!I437,'LP Reactivos'!N437,'LP Reactivos'!S437,'LP Reactivos'!X437,'LP Reactivos'!AC437,'LP Reactivos'!AH437,'LP Reactivos'!AM437,'LP Reactivos'!AR437,'LP Reactivos'!AW437,'LP Reactivos'!BB437,'LP Reactivos'!BG437,'LP Reactivos'!BL437,'LP Reactivos'!BQ437,'LP Reactivos'!BV437,'LP Reactivos'!CA437,'LP Reactivos'!CF437,'LP Reactivos'!CK437,'LP Reactivos'!CP437,'LP Reactivos'!CU437,'LP Reactivos'!CZ437,'LP Reactivos'!DE437,'LP Reactivos'!DJ437,'LP Reactivos'!DO437,'LP Reactivos'!DT437,'LP Reactivos'!DY437,'LP Reactivos'!EB437)," ")</f>
        <v>350821.15109999996</v>
      </c>
      <c r="E437" s="429">
        <f>IFERROR(AVERAGE('LP Reactivos'!F437,'LP Reactivos'!I437,'LP Reactivos'!N437,'LP Reactivos'!S437,'LP Reactivos'!X437,'LP Reactivos'!AC437,'LP Reactivos'!AH437,'LP Reactivos'!AM437,'LP Reactivos'!AR437,'LP Reactivos'!AW437,'LP Reactivos'!BB437,'LP Reactivos'!BG437,'LP Reactivos'!BL437,'LP Reactivos'!BQ437,'LP Reactivos'!BV437,'LP Reactivos'!CA437,'LP Reactivos'!CF437,'LP Reactivos'!CK437,'LP Reactivos'!CP437,'LP Reactivos'!CU437,'LP Reactivos'!CZ437,'LP Reactivos'!DE437,'LP Reactivos'!DJ437,'LP Reactivos'!DO437,'LP Reactivos'!DT437,'LP Reactivos'!DY437,'LP Reactivos'!EB437)," ")</f>
        <v>350821.15109999996</v>
      </c>
      <c r="F437" s="345">
        <f>IFERROR(MEDIAN('LP Reactivos'!F437,'LP Reactivos'!I437,'LP Reactivos'!N437,'LP Reactivos'!S437,'LP Reactivos'!X437,'LP Reactivos'!AC437,'LP Reactivos'!AH437,'LP Reactivos'!AM437,'LP Reactivos'!AR437,'LP Reactivos'!AW437,'LP Reactivos'!BB437,'LP Reactivos'!BG437,'LP Reactivos'!BL437,'LP Reactivos'!BQ437,'LP Reactivos'!BV437,'LP Reactivos'!CA437,'LP Reactivos'!CF437,'LP Reactivos'!CK437,'LP Reactivos'!CP437,'LP Reactivos'!CU437,'LP Reactivos'!CZ437,'LP Reactivos'!DE437,'LP Reactivos'!DJ437,'LP Reactivos'!DO437,'LP Reactivos'!DT437,'LP Reactivos'!DY437,'LP Reactivos'!EB437)," ")</f>
        <v>350821.15109999996</v>
      </c>
      <c r="G437" s="345">
        <f>IFERROR(GEOMEAN('LP Reactivos'!F437,'LP Reactivos'!I437,'LP Reactivos'!N437,'LP Reactivos'!S437,'LP Reactivos'!X437,'LP Reactivos'!AC437,'LP Reactivos'!AH437,'LP Reactivos'!AM437,'LP Reactivos'!AR437,'LP Reactivos'!AW437,'LP Reactivos'!BB437,'LP Reactivos'!BG437,'LP Reactivos'!BL437,'LP Reactivos'!BQ437,'LP Reactivos'!BV437,'LP Reactivos'!CA437,'LP Reactivos'!CF437,'LP Reactivos'!CK437,'LP Reactivos'!CP437,'LP Reactivos'!CU437,'LP Reactivos'!CZ437,'LP Reactivos'!DE437,'LP Reactivos'!DJ437,'LP Reactivos'!DO437,'LP Reactivos'!DT437,'LP Reactivos'!DY437,'LP Reactivos'!EB437)," ")</f>
        <v>350821.15109999996</v>
      </c>
      <c r="H437" s="345">
        <f t="shared" si="28"/>
        <v>0</v>
      </c>
      <c r="I437" s="346">
        <f t="shared" si="29"/>
        <v>0</v>
      </c>
      <c r="J437" s="345">
        <f t="shared" si="30"/>
        <v>350821.15109999996</v>
      </c>
      <c r="K437" s="344" t="str">
        <f t="shared" si="31"/>
        <v>Menor Valor</v>
      </c>
      <c r="L437" s="326">
        <f>IFERROR(COUNTA('LP Reactivos'!F437,'LP Reactivos'!I437,'LP Reactivos'!N437,'LP Reactivos'!S437,'LP Reactivos'!X437,'LP Reactivos'!AC437,'LP Reactivos'!AH437,'LP Reactivos'!AM437,'LP Reactivos'!AR437,'LP Reactivos'!AW437,'LP Reactivos'!BB437,'LP Reactivos'!BG437,'LP Reactivos'!BL437,'LP Reactivos'!BQ437,'LP Reactivos'!BV437,'LP Reactivos'!CA437,'LP Reactivos'!CF437,'LP Reactivos'!CK437,'LP Reactivos'!CP437,'LP Reactivos'!CU437,'LP Reactivos'!CZ437,'LP Reactivos'!DE437,'LP Reactivos'!DJ437,'LP Reactivos'!DO437,'LP Reactivos'!DT437,'LP Reactivos'!DY437,'LP Reactivos'!EB437)," ")</f>
        <v>1</v>
      </c>
    </row>
    <row r="438" spans="2:12" ht="27" x14ac:dyDescent="0.25">
      <c r="B438" s="425">
        <v>436</v>
      </c>
      <c r="C438" s="427" t="s">
        <v>2137</v>
      </c>
      <c r="D438" s="429">
        <f>IFERROR(MIN('LP Reactivos'!F438,'LP Reactivos'!I438,'LP Reactivos'!N438,'LP Reactivos'!S438,'LP Reactivos'!X438,'LP Reactivos'!AC438,'LP Reactivos'!AH438,'LP Reactivos'!AM438,'LP Reactivos'!AR438,'LP Reactivos'!AW438,'LP Reactivos'!BB438,'LP Reactivos'!BG438,'LP Reactivos'!BL438,'LP Reactivos'!BQ438,'LP Reactivos'!BV438,'LP Reactivos'!CA438,'LP Reactivos'!CF438,'LP Reactivos'!CK438,'LP Reactivos'!CP438,'LP Reactivos'!CU438,'LP Reactivos'!CZ438,'LP Reactivos'!DE438,'LP Reactivos'!DJ438,'LP Reactivos'!DO438,'LP Reactivos'!DT438,'LP Reactivos'!DY438,'LP Reactivos'!EB438)," ")</f>
        <v>310590</v>
      </c>
      <c r="E438" s="429">
        <f>IFERROR(AVERAGE('LP Reactivos'!F438,'LP Reactivos'!I438,'LP Reactivos'!N438,'LP Reactivos'!S438,'LP Reactivos'!X438,'LP Reactivos'!AC438,'LP Reactivos'!AH438,'LP Reactivos'!AM438,'LP Reactivos'!AR438,'LP Reactivos'!AW438,'LP Reactivos'!BB438,'LP Reactivos'!BG438,'LP Reactivos'!BL438,'LP Reactivos'!BQ438,'LP Reactivos'!BV438,'LP Reactivos'!CA438,'LP Reactivos'!CF438,'LP Reactivos'!CK438,'LP Reactivos'!CP438,'LP Reactivos'!CU438,'LP Reactivos'!CZ438,'LP Reactivos'!DE438,'LP Reactivos'!DJ438,'LP Reactivos'!DO438,'LP Reactivos'!DT438,'LP Reactivos'!DY438,'LP Reactivos'!EB438)," ")</f>
        <v>910902</v>
      </c>
      <c r="F438" s="345">
        <f>IFERROR(MEDIAN('LP Reactivos'!F438,'LP Reactivos'!I438,'LP Reactivos'!N438,'LP Reactivos'!S438,'LP Reactivos'!X438,'LP Reactivos'!AC438,'LP Reactivos'!AH438,'LP Reactivos'!AM438,'LP Reactivos'!AR438,'LP Reactivos'!AW438,'LP Reactivos'!BB438,'LP Reactivos'!BG438,'LP Reactivos'!BL438,'LP Reactivos'!BQ438,'LP Reactivos'!BV438,'LP Reactivos'!CA438,'LP Reactivos'!CF438,'LP Reactivos'!CK438,'LP Reactivos'!CP438,'LP Reactivos'!CU438,'LP Reactivos'!CZ438,'LP Reactivos'!DE438,'LP Reactivos'!DJ438,'LP Reactivos'!DO438,'LP Reactivos'!DT438,'LP Reactivos'!DY438,'LP Reactivos'!EB438)," ")</f>
        <v>910902</v>
      </c>
      <c r="G438" s="345">
        <f>IFERROR(GEOMEAN('LP Reactivos'!F438,'LP Reactivos'!I438,'LP Reactivos'!N438,'LP Reactivos'!S438,'LP Reactivos'!X438,'LP Reactivos'!AC438,'LP Reactivos'!AH438,'LP Reactivos'!AM438,'LP Reactivos'!AR438,'LP Reactivos'!AW438,'LP Reactivos'!BB438,'LP Reactivos'!BG438,'LP Reactivos'!BL438,'LP Reactivos'!BQ438,'LP Reactivos'!BV438,'LP Reactivos'!CA438,'LP Reactivos'!CF438,'LP Reactivos'!CK438,'LP Reactivos'!CP438,'LP Reactivos'!CU438,'LP Reactivos'!CZ438,'LP Reactivos'!DE438,'LP Reactivos'!DJ438,'LP Reactivos'!DO438,'LP Reactivos'!DT438,'LP Reactivos'!DY438,'LP Reactivos'!EB438)," ")</f>
        <v>685104.33968848863</v>
      </c>
      <c r="H438" s="345">
        <f t="shared" si="28"/>
        <v>283281.24307311769</v>
      </c>
      <c r="I438" s="346">
        <f t="shared" si="29"/>
        <v>0.31098981347402649</v>
      </c>
      <c r="J438" s="345">
        <f>IF(I438&lt;=10%,F438,IF(AND(I438&gt;10%,I438&lt;=20%),E438,IF(AND(I438&gt;20%,I438&lt;=32%),G438,IF(I438&gt;32%,D438))))</f>
        <v>685104.33968848863</v>
      </c>
      <c r="K438" s="344" t="str">
        <f t="shared" si="31"/>
        <v>Media Geométrica</v>
      </c>
      <c r="L438" s="326">
        <f>IFERROR(COUNTA('LP Reactivos'!F438,'LP Reactivos'!I438,'LP Reactivos'!N438,'LP Reactivos'!S438,'LP Reactivos'!X438,'LP Reactivos'!AC438,'LP Reactivos'!AH438,'LP Reactivos'!AM438,'LP Reactivos'!AR438,'LP Reactivos'!AW438,'LP Reactivos'!BB438,'LP Reactivos'!BG438,'LP Reactivos'!BL438,'LP Reactivos'!BQ438,'LP Reactivos'!BV438,'LP Reactivos'!CA438,'LP Reactivos'!CF438,'LP Reactivos'!CK438,'LP Reactivos'!CP438,'LP Reactivos'!CU438,'LP Reactivos'!CZ438,'LP Reactivos'!DE438,'LP Reactivos'!DJ438,'LP Reactivos'!DO438,'LP Reactivos'!DT438,'LP Reactivos'!DY438,'LP Reactivos'!EB438)," ")</f>
        <v>2</v>
      </c>
    </row>
    <row r="439" spans="2:12" x14ac:dyDescent="0.25">
      <c r="B439" s="425">
        <v>437</v>
      </c>
      <c r="C439" s="428" t="s">
        <v>2140</v>
      </c>
      <c r="D439" s="429">
        <f>IFERROR(MIN('LP Reactivos'!F439,'LP Reactivos'!I439,'LP Reactivos'!N439,'LP Reactivos'!S439,'LP Reactivos'!X439,'LP Reactivos'!AC439,'LP Reactivos'!AH439,'LP Reactivos'!AM439,'LP Reactivos'!AR439,'LP Reactivos'!AW439,'LP Reactivos'!BB439,'LP Reactivos'!BG439,'LP Reactivos'!BL439,'LP Reactivos'!BQ439,'LP Reactivos'!BV439,'LP Reactivos'!CA439,'LP Reactivos'!CF439,'LP Reactivos'!CK439,'LP Reactivos'!CP439,'LP Reactivos'!CU439,'LP Reactivos'!CZ439,'LP Reactivos'!DE439,'LP Reactivos'!DJ439,'LP Reactivos'!DO439,'LP Reactivos'!DT439,'LP Reactivos'!DY439,'LP Reactivos'!EB439)," ")</f>
        <v>184157.0815</v>
      </c>
      <c r="E439" s="429">
        <f>IFERROR(AVERAGE('LP Reactivos'!F439,'LP Reactivos'!I439,'LP Reactivos'!N439,'LP Reactivos'!S439,'LP Reactivos'!X439,'LP Reactivos'!AC439,'LP Reactivos'!AH439,'LP Reactivos'!AM439,'LP Reactivos'!AR439,'LP Reactivos'!AW439,'LP Reactivos'!BB439,'LP Reactivos'!BG439,'LP Reactivos'!BL439,'LP Reactivos'!BQ439,'LP Reactivos'!BV439,'LP Reactivos'!CA439,'LP Reactivos'!CF439,'LP Reactivos'!CK439,'LP Reactivos'!CP439,'LP Reactivos'!CU439,'LP Reactivos'!CZ439,'LP Reactivos'!DE439,'LP Reactivos'!DJ439,'LP Reactivos'!DO439,'LP Reactivos'!DT439,'LP Reactivos'!DY439,'LP Reactivos'!EB439)," ")</f>
        <v>316048.4705</v>
      </c>
      <c r="F439" s="345">
        <f>IFERROR(MEDIAN('LP Reactivos'!F439,'LP Reactivos'!I439,'LP Reactivos'!N439,'LP Reactivos'!S439,'LP Reactivos'!X439,'LP Reactivos'!AC439,'LP Reactivos'!AH439,'LP Reactivos'!AM439,'LP Reactivos'!AR439,'LP Reactivos'!AW439,'LP Reactivos'!BB439,'LP Reactivos'!BG439,'LP Reactivos'!BL439,'LP Reactivos'!BQ439,'LP Reactivos'!BV439,'LP Reactivos'!CA439,'LP Reactivos'!CF439,'LP Reactivos'!CK439,'LP Reactivos'!CP439,'LP Reactivos'!CU439,'LP Reactivos'!CZ439,'LP Reactivos'!DE439,'LP Reactivos'!DJ439,'LP Reactivos'!DO439,'LP Reactivos'!DT439,'LP Reactivos'!DY439,'LP Reactivos'!EB439)," ")</f>
        <v>285600</v>
      </c>
      <c r="G439" s="345">
        <f>IFERROR(GEOMEAN('LP Reactivos'!F439,'LP Reactivos'!I439,'LP Reactivos'!N439,'LP Reactivos'!S439,'LP Reactivos'!X439,'LP Reactivos'!AC439,'LP Reactivos'!AH439,'LP Reactivos'!AM439,'LP Reactivos'!AR439,'LP Reactivos'!AW439,'LP Reactivos'!BB439,'LP Reactivos'!BG439,'LP Reactivos'!BL439,'LP Reactivos'!BQ439,'LP Reactivos'!BV439,'LP Reactivos'!CA439,'LP Reactivos'!CF439,'LP Reactivos'!CK439,'LP Reactivos'!CP439,'LP Reactivos'!CU439,'LP Reactivos'!CZ439,'LP Reactivos'!DE439,'LP Reactivos'!DJ439,'LP Reactivos'!DO439,'LP Reactivos'!DT439,'LP Reactivos'!DY439,'LP Reactivos'!EB439)," ")</f>
        <v>293027.96419527358</v>
      </c>
      <c r="H439" s="345">
        <f t="shared" si="28"/>
        <v>58488.674846358772</v>
      </c>
      <c r="I439" s="346">
        <f t="shared" si="29"/>
        <v>0.18506235690312817</v>
      </c>
      <c r="J439" s="345">
        <f t="shared" si="30"/>
        <v>316048.4705</v>
      </c>
      <c r="K439" s="344" t="str">
        <f t="shared" si="31"/>
        <v>Promedio</v>
      </c>
      <c r="L439" s="326">
        <f>IFERROR(COUNTA('LP Reactivos'!F439,'LP Reactivos'!I439,'LP Reactivos'!N439,'LP Reactivos'!S439,'LP Reactivos'!X439,'LP Reactivos'!AC439,'LP Reactivos'!AH439,'LP Reactivos'!AM439,'LP Reactivos'!AR439,'LP Reactivos'!AW439,'LP Reactivos'!BB439,'LP Reactivos'!BG439,'LP Reactivos'!BL439,'LP Reactivos'!BQ439,'LP Reactivos'!BV439,'LP Reactivos'!CA439,'LP Reactivos'!CF439,'LP Reactivos'!CK439,'LP Reactivos'!CP439,'LP Reactivos'!CU439,'LP Reactivos'!CZ439,'LP Reactivos'!DE439,'LP Reactivos'!DJ439,'LP Reactivos'!DO439,'LP Reactivos'!DT439,'LP Reactivos'!DY439,'LP Reactivos'!EB439)," ")</f>
        <v>3</v>
      </c>
    </row>
    <row r="440" spans="2:12" x14ac:dyDescent="0.25">
      <c r="B440" s="425">
        <v>438</v>
      </c>
      <c r="C440" s="426" t="s">
        <v>2145</v>
      </c>
      <c r="D440" s="429">
        <f>IFERROR(MIN('LP Reactivos'!F440,'LP Reactivos'!I440,'LP Reactivos'!N440,'LP Reactivos'!S440,'LP Reactivos'!X440,'LP Reactivos'!AC440,'LP Reactivos'!AH440,'LP Reactivos'!AM440,'LP Reactivos'!AR440,'LP Reactivos'!AW440,'LP Reactivos'!BB440,'LP Reactivos'!BG440,'LP Reactivos'!BL440,'LP Reactivos'!BQ440,'LP Reactivos'!BV440,'LP Reactivos'!CA440,'LP Reactivos'!CF440,'LP Reactivos'!CK440,'LP Reactivos'!CP440,'LP Reactivos'!CU440,'LP Reactivos'!CZ440,'LP Reactivos'!DE440,'LP Reactivos'!DJ440,'LP Reactivos'!DO440,'LP Reactivos'!DT440,'LP Reactivos'!DY440,'LP Reactivos'!EB440)," ")</f>
        <v>383180</v>
      </c>
      <c r="E440" s="429">
        <f>IFERROR(AVERAGE('LP Reactivos'!F440,'LP Reactivos'!I440,'LP Reactivos'!N440,'LP Reactivos'!S440,'LP Reactivos'!X440,'LP Reactivos'!AC440,'LP Reactivos'!AH440,'LP Reactivos'!AM440,'LP Reactivos'!AR440,'LP Reactivos'!AW440,'LP Reactivos'!BB440,'LP Reactivos'!BG440,'LP Reactivos'!BL440,'LP Reactivos'!BQ440,'LP Reactivos'!BV440,'LP Reactivos'!CA440,'LP Reactivos'!CF440,'LP Reactivos'!CK440,'LP Reactivos'!CP440,'LP Reactivos'!CU440,'LP Reactivos'!CZ440,'LP Reactivos'!DE440,'LP Reactivos'!DJ440,'LP Reactivos'!DO440,'LP Reactivos'!DT440,'LP Reactivos'!DY440,'LP Reactivos'!EB440)," ")</f>
        <v>882316.5</v>
      </c>
      <c r="F440" s="345">
        <f>IFERROR(MEDIAN('LP Reactivos'!F440,'LP Reactivos'!I440,'LP Reactivos'!N440,'LP Reactivos'!S440,'LP Reactivos'!X440,'LP Reactivos'!AC440,'LP Reactivos'!AH440,'LP Reactivos'!AM440,'LP Reactivos'!AR440,'LP Reactivos'!AW440,'LP Reactivos'!BB440,'LP Reactivos'!BG440,'LP Reactivos'!BL440,'LP Reactivos'!BQ440,'LP Reactivos'!BV440,'LP Reactivos'!CA440,'LP Reactivos'!CF440,'LP Reactivos'!CK440,'LP Reactivos'!CP440,'LP Reactivos'!CU440,'LP Reactivos'!CZ440,'LP Reactivos'!DE440,'LP Reactivos'!DJ440,'LP Reactivos'!DO440,'LP Reactivos'!DT440,'LP Reactivos'!DY440,'LP Reactivos'!EB440)," ")</f>
        <v>792221.08</v>
      </c>
      <c r="G440" s="345">
        <f>IFERROR(GEOMEAN('LP Reactivos'!F440,'LP Reactivos'!I440,'LP Reactivos'!N440,'LP Reactivos'!S440,'LP Reactivos'!X440,'LP Reactivos'!AC440,'LP Reactivos'!AH440,'LP Reactivos'!AM440,'LP Reactivos'!AR440,'LP Reactivos'!AW440,'LP Reactivos'!BB440,'LP Reactivos'!BG440,'LP Reactivos'!BL440,'LP Reactivos'!BQ440,'LP Reactivos'!BV440,'LP Reactivos'!CA440,'LP Reactivos'!CF440,'LP Reactivos'!CK440,'LP Reactivos'!CP440,'LP Reactivos'!CU440,'LP Reactivos'!CZ440,'LP Reactivos'!DE440,'LP Reactivos'!DJ440,'LP Reactivos'!DO440,'LP Reactivos'!DT440,'LP Reactivos'!DY440,'LP Reactivos'!EB440)," ")</f>
        <v>761297.15908134473</v>
      </c>
      <c r="H440" s="345">
        <f t="shared" si="28"/>
        <v>220443.41511634912</v>
      </c>
      <c r="I440" s="346">
        <f t="shared" si="29"/>
        <v>0.24984618911280604</v>
      </c>
      <c r="J440" s="345">
        <f t="shared" si="30"/>
        <v>761297.15908134473</v>
      </c>
      <c r="K440" s="344" t="str">
        <f t="shared" si="31"/>
        <v>Media Geométrica</v>
      </c>
      <c r="L440" s="326">
        <f>IFERROR(COUNTA('LP Reactivos'!F440,'LP Reactivos'!I440,'LP Reactivos'!N440,'LP Reactivos'!S440,'LP Reactivos'!X440,'LP Reactivos'!AC440,'LP Reactivos'!AH440,'LP Reactivos'!AM440,'LP Reactivos'!AR440,'LP Reactivos'!AW440,'LP Reactivos'!BB440,'LP Reactivos'!BG440,'LP Reactivos'!BL440,'LP Reactivos'!BQ440,'LP Reactivos'!BV440,'LP Reactivos'!CA440,'LP Reactivos'!CF440,'LP Reactivos'!CK440,'LP Reactivos'!CP440,'LP Reactivos'!CU440,'LP Reactivos'!CZ440,'LP Reactivos'!DE440,'LP Reactivos'!DJ440,'LP Reactivos'!DO440,'LP Reactivos'!DT440,'LP Reactivos'!DY440,'LP Reactivos'!EB440)," ")</f>
        <v>5</v>
      </c>
    </row>
    <row r="441" spans="2:12" x14ac:dyDescent="0.25">
      <c r="B441" s="425">
        <v>439</v>
      </c>
      <c r="C441" s="426" t="s">
        <v>2148</v>
      </c>
      <c r="D441" s="429">
        <f>IFERROR(MIN('LP Reactivos'!F441,'LP Reactivos'!I441,'LP Reactivos'!N441,'LP Reactivos'!S441,'LP Reactivos'!X441,'LP Reactivos'!AC441,'LP Reactivos'!AH441,'LP Reactivos'!AM441,'LP Reactivos'!AR441,'LP Reactivos'!AW441,'LP Reactivos'!BB441,'LP Reactivos'!BG441,'LP Reactivos'!BL441,'LP Reactivos'!BQ441,'LP Reactivos'!BV441,'LP Reactivos'!CA441,'LP Reactivos'!CF441,'LP Reactivos'!CK441,'LP Reactivos'!CP441,'LP Reactivos'!CU441,'LP Reactivos'!CZ441,'LP Reactivos'!DE441,'LP Reactivos'!DJ441,'LP Reactivos'!DO441,'LP Reactivos'!DT441,'LP Reactivos'!DY441,'LP Reactivos'!EB441)," ")</f>
        <v>214200</v>
      </c>
      <c r="E441" s="429">
        <f>IFERROR(AVERAGE('LP Reactivos'!F441,'LP Reactivos'!I441,'LP Reactivos'!N441,'LP Reactivos'!S441,'LP Reactivos'!X441,'LP Reactivos'!AC441,'LP Reactivos'!AH441,'LP Reactivos'!AM441,'LP Reactivos'!AR441,'LP Reactivos'!AW441,'LP Reactivos'!BB441,'LP Reactivos'!BG441,'LP Reactivos'!BL441,'LP Reactivos'!BQ441,'LP Reactivos'!BV441,'LP Reactivos'!CA441,'LP Reactivos'!CF441,'LP Reactivos'!CK441,'LP Reactivos'!CP441,'LP Reactivos'!CU441,'LP Reactivos'!CZ441,'LP Reactivos'!DE441,'LP Reactivos'!DJ441,'LP Reactivos'!DO441,'LP Reactivos'!DT441,'LP Reactivos'!DY441,'LP Reactivos'!EB441)," ")</f>
        <v>407593.7</v>
      </c>
      <c r="F441" s="345">
        <f>IFERROR(MEDIAN('LP Reactivos'!F441,'LP Reactivos'!I441,'LP Reactivos'!N441,'LP Reactivos'!S441,'LP Reactivos'!X441,'LP Reactivos'!AC441,'LP Reactivos'!AH441,'LP Reactivos'!AM441,'LP Reactivos'!AR441,'LP Reactivos'!AW441,'LP Reactivos'!BB441,'LP Reactivos'!BG441,'LP Reactivos'!BL441,'LP Reactivos'!BQ441,'LP Reactivos'!BV441,'LP Reactivos'!CA441,'LP Reactivos'!CF441,'LP Reactivos'!CK441,'LP Reactivos'!CP441,'LP Reactivos'!CU441,'LP Reactivos'!CZ441,'LP Reactivos'!DE441,'LP Reactivos'!DJ441,'LP Reactivos'!DO441,'LP Reactivos'!DT441,'LP Reactivos'!DY441,'LP Reactivos'!EB441)," ")</f>
        <v>435766.1</v>
      </c>
      <c r="G441" s="345">
        <f>IFERROR(GEOMEAN('LP Reactivos'!F441,'LP Reactivos'!I441,'LP Reactivos'!N441,'LP Reactivos'!S441,'LP Reactivos'!X441,'LP Reactivos'!AC441,'LP Reactivos'!AH441,'LP Reactivos'!AM441,'LP Reactivos'!AR441,'LP Reactivos'!AW441,'LP Reactivos'!BB441,'LP Reactivos'!BG441,'LP Reactivos'!BL441,'LP Reactivos'!BQ441,'LP Reactivos'!BV441,'LP Reactivos'!CA441,'LP Reactivos'!CF441,'LP Reactivos'!CK441,'LP Reactivos'!CP441,'LP Reactivos'!CU441,'LP Reactivos'!CZ441,'LP Reactivos'!DE441,'LP Reactivos'!DJ441,'LP Reactivos'!DO441,'LP Reactivos'!DT441,'LP Reactivos'!DY441,'LP Reactivos'!EB441)," ")</f>
        <v>376729.03814497089</v>
      </c>
      <c r="H441" s="345">
        <f t="shared" si="28"/>
        <v>99221.987757624462</v>
      </c>
      <c r="I441" s="346">
        <f t="shared" si="29"/>
        <v>0.24343356572396593</v>
      </c>
      <c r="J441" s="345">
        <f t="shared" si="30"/>
        <v>376729.03814497089</v>
      </c>
      <c r="K441" s="344" t="str">
        <f t="shared" si="31"/>
        <v>Media Geométrica</v>
      </c>
      <c r="L441" s="326">
        <f>IFERROR(COUNTA('LP Reactivos'!F441,'LP Reactivos'!I441,'LP Reactivos'!N441,'LP Reactivos'!S441,'LP Reactivos'!X441,'LP Reactivos'!AC441,'LP Reactivos'!AH441,'LP Reactivos'!AM441,'LP Reactivos'!AR441,'LP Reactivos'!AW441,'LP Reactivos'!BB441,'LP Reactivos'!BG441,'LP Reactivos'!BL441,'LP Reactivos'!BQ441,'LP Reactivos'!BV441,'LP Reactivos'!CA441,'LP Reactivos'!CF441,'LP Reactivos'!CK441,'LP Reactivos'!CP441,'LP Reactivos'!CU441,'LP Reactivos'!CZ441,'LP Reactivos'!DE441,'LP Reactivos'!DJ441,'LP Reactivos'!DO441,'LP Reactivos'!DT441,'LP Reactivos'!DY441,'LP Reactivos'!EB441)," ")</f>
        <v>3</v>
      </c>
    </row>
    <row r="442" spans="2:12" ht="27" x14ac:dyDescent="0.25">
      <c r="B442" s="425">
        <v>440</v>
      </c>
      <c r="C442" s="427" t="s">
        <v>2149</v>
      </c>
      <c r="D442" s="429">
        <f>IFERROR(MIN('LP Reactivos'!F442,'LP Reactivos'!I442,'LP Reactivos'!N442,'LP Reactivos'!S442,'LP Reactivos'!X442,'LP Reactivos'!AC442,'LP Reactivos'!AH442,'LP Reactivos'!AM442,'LP Reactivos'!AR442,'LP Reactivos'!AW442,'LP Reactivos'!BB442,'LP Reactivos'!BG442,'LP Reactivos'!BL442,'LP Reactivos'!BQ442,'LP Reactivos'!BV442,'LP Reactivos'!CA442,'LP Reactivos'!CF442,'LP Reactivos'!CK442,'LP Reactivos'!CP442,'LP Reactivos'!CU442,'LP Reactivos'!CZ442,'LP Reactivos'!DE442,'LP Reactivos'!DJ442,'LP Reactivos'!DO442,'LP Reactivos'!DT442,'LP Reactivos'!DY442,'LP Reactivos'!EB442)," ")</f>
        <v>333200</v>
      </c>
      <c r="E442" s="429">
        <f>IFERROR(AVERAGE('LP Reactivos'!F442,'LP Reactivos'!I442,'LP Reactivos'!N442,'LP Reactivos'!S442,'LP Reactivos'!X442,'LP Reactivos'!AC442,'LP Reactivos'!AH442,'LP Reactivos'!AM442,'LP Reactivos'!AR442,'LP Reactivos'!AW442,'LP Reactivos'!BB442,'LP Reactivos'!BG442,'LP Reactivos'!BL442,'LP Reactivos'!BQ442,'LP Reactivos'!BV442,'LP Reactivos'!CA442,'LP Reactivos'!CF442,'LP Reactivos'!CK442,'LP Reactivos'!CP442,'LP Reactivos'!CU442,'LP Reactivos'!CZ442,'LP Reactivos'!DE442,'LP Reactivos'!DJ442,'LP Reactivos'!DO442,'LP Reactivos'!DT442,'LP Reactivos'!DY442,'LP Reactivos'!EB442)," ")</f>
        <v>1432119.2326</v>
      </c>
      <c r="F442" s="345">
        <f>IFERROR(MEDIAN('LP Reactivos'!F442,'LP Reactivos'!I442,'LP Reactivos'!N442,'LP Reactivos'!S442,'LP Reactivos'!X442,'LP Reactivos'!AC442,'LP Reactivos'!AH442,'LP Reactivos'!AM442,'LP Reactivos'!AR442,'LP Reactivos'!AW442,'LP Reactivos'!BB442,'LP Reactivos'!BG442,'LP Reactivos'!BL442,'LP Reactivos'!BQ442,'LP Reactivos'!BV442,'LP Reactivos'!CA442,'LP Reactivos'!CF442,'LP Reactivos'!CK442,'LP Reactivos'!CP442,'LP Reactivos'!CU442,'LP Reactivos'!CZ442,'LP Reactivos'!DE442,'LP Reactivos'!DJ442,'LP Reactivos'!DO442,'LP Reactivos'!DT442,'LP Reactivos'!DY442,'LP Reactivos'!EB442)," ")</f>
        <v>1432119.2326</v>
      </c>
      <c r="G442" s="345">
        <f>IFERROR(GEOMEAN('LP Reactivos'!F442,'LP Reactivos'!I442,'LP Reactivos'!N442,'LP Reactivos'!S442,'LP Reactivos'!X442,'LP Reactivos'!AC442,'LP Reactivos'!AH442,'LP Reactivos'!AM442,'LP Reactivos'!AR442,'LP Reactivos'!AW442,'LP Reactivos'!BB442,'LP Reactivos'!BG442,'LP Reactivos'!BL442,'LP Reactivos'!BQ442,'LP Reactivos'!BV442,'LP Reactivos'!CA442,'LP Reactivos'!CF442,'LP Reactivos'!CK442,'LP Reactivos'!CP442,'LP Reactivos'!CU442,'LP Reactivos'!CZ442,'LP Reactivos'!DE442,'LP Reactivos'!DJ442,'LP Reactivos'!DO442,'LP Reactivos'!DT442,'LP Reactivos'!DY442,'LP Reactivos'!EB442)," ")</f>
        <v>918336.54865993443</v>
      </c>
      <c r="H442" s="345">
        <f t="shared" si="28"/>
        <v>523257.18921381613</v>
      </c>
      <c r="I442" s="346">
        <f t="shared" si="29"/>
        <v>0.36537264307514905</v>
      </c>
      <c r="J442" s="345">
        <f>IF(I442&lt;=10%,F442,IF(AND(I442&gt;10%,I442&lt;=20%),E442,IF(AND(I442&gt;20%,I442&lt;=37%),G442,IF(I442&gt;37%,D442))))</f>
        <v>918336.54865993443</v>
      </c>
      <c r="K442" s="344" t="str">
        <f t="shared" si="31"/>
        <v>Media Geométrica</v>
      </c>
      <c r="L442" s="326">
        <f>IFERROR(COUNTA('LP Reactivos'!F442,'LP Reactivos'!I442,'LP Reactivos'!N442,'LP Reactivos'!S442,'LP Reactivos'!X442,'LP Reactivos'!AC442,'LP Reactivos'!AH442,'LP Reactivos'!AM442,'LP Reactivos'!AR442,'LP Reactivos'!AW442,'LP Reactivos'!BB442,'LP Reactivos'!BG442,'LP Reactivos'!BL442,'LP Reactivos'!BQ442,'LP Reactivos'!BV442,'LP Reactivos'!CA442,'LP Reactivos'!CF442,'LP Reactivos'!CK442,'LP Reactivos'!CP442,'LP Reactivos'!CU442,'LP Reactivos'!CZ442,'LP Reactivos'!DE442,'LP Reactivos'!DJ442,'LP Reactivos'!DO442,'LP Reactivos'!DT442,'LP Reactivos'!DY442,'LP Reactivos'!EB442)," ")</f>
        <v>2</v>
      </c>
    </row>
    <row r="443" spans="2:12" x14ac:dyDescent="0.25">
      <c r="B443" s="425">
        <v>441</v>
      </c>
      <c r="C443" s="428" t="s">
        <v>2151</v>
      </c>
      <c r="D443" s="429">
        <f>IFERROR(MIN('LP Reactivos'!F443,'LP Reactivos'!I443,'LP Reactivos'!N443,'LP Reactivos'!S443,'LP Reactivos'!X443,'LP Reactivos'!AC443,'LP Reactivos'!AH443,'LP Reactivos'!AM443,'LP Reactivos'!AR443,'LP Reactivos'!AW443,'LP Reactivos'!BB443,'LP Reactivos'!BG443,'LP Reactivos'!BL443,'LP Reactivos'!BQ443,'LP Reactivos'!BV443,'LP Reactivos'!CA443,'LP Reactivos'!CF443,'LP Reactivos'!CK443,'LP Reactivos'!CP443,'LP Reactivos'!CU443,'LP Reactivos'!CZ443,'LP Reactivos'!DE443,'LP Reactivos'!DJ443,'LP Reactivos'!DO443,'LP Reactivos'!DT443,'LP Reactivos'!DY443,'LP Reactivos'!EB443)," ")</f>
        <v>182070</v>
      </c>
      <c r="E443" s="429">
        <f>IFERROR(AVERAGE('LP Reactivos'!F443,'LP Reactivos'!I443,'LP Reactivos'!N443,'LP Reactivos'!S443,'LP Reactivos'!X443,'LP Reactivos'!AC443,'LP Reactivos'!AH443,'LP Reactivos'!AM443,'LP Reactivos'!AR443,'LP Reactivos'!AW443,'LP Reactivos'!BB443,'LP Reactivos'!BG443,'LP Reactivos'!BL443,'LP Reactivos'!BQ443,'LP Reactivos'!BV443,'LP Reactivos'!CA443,'LP Reactivos'!CF443,'LP Reactivos'!CK443,'LP Reactivos'!CP443,'LP Reactivos'!CU443,'LP Reactivos'!CZ443,'LP Reactivos'!DE443,'LP Reactivos'!DJ443,'LP Reactivos'!DO443,'LP Reactivos'!DT443,'LP Reactivos'!DY443,'LP Reactivos'!EB443)," ")</f>
        <v>328186.09999999998</v>
      </c>
      <c r="F443" s="345">
        <f>IFERROR(MEDIAN('LP Reactivos'!F443,'LP Reactivos'!I443,'LP Reactivos'!N443,'LP Reactivos'!S443,'LP Reactivos'!X443,'LP Reactivos'!AC443,'LP Reactivos'!AH443,'LP Reactivos'!AM443,'LP Reactivos'!AR443,'LP Reactivos'!AW443,'LP Reactivos'!BB443,'LP Reactivos'!BG443,'LP Reactivos'!BL443,'LP Reactivos'!BQ443,'LP Reactivos'!BV443,'LP Reactivos'!CA443,'LP Reactivos'!CF443,'LP Reactivos'!CK443,'LP Reactivos'!CP443,'LP Reactivos'!CU443,'LP Reactivos'!CZ443,'LP Reactivos'!DE443,'LP Reactivos'!DJ443,'LP Reactivos'!DO443,'LP Reactivos'!DT443,'LP Reactivos'!DY443,'LP Reactivos'!EB443)," ")</f>
        <v>304132.2</v>
      </c>
      <c r="G443" s="345">
        <f>IFERROR(GEOMEAN('LP Reactivos'!F443,'LP Reactivos'!I443,'LP Reactivos'!N443,'LP Reactivos'!S443,'LP Reactivos'!X443,'LP Reactivos'!AC443,'LP Reactivos'!AH443,'LP Reactivos'!AM443,'LP Reactivos'!AR443,'LP Reactivos'!AW443,'LP Reactivos'!BB443,'LP Reactivos'!BG443,'LP Reactivos'!BL443,'LP Reactivos'!BQ443,'LP Reactivos'!BV443,'LP Reactivos'!CA443,'LP Reactivos'!CF443,'LP Reactivos'!CK443,'LP Reactivos'!CP443,'LP Reactivos'!CU443,'LP Reactivos'!CZ443,'LP Reactivos'!DE443,'LP Reactivos'!DJ443,'LP Reactivos'!DO443,'LP Reactivos'!DT443,'LP Reactivos'!DY443,'LP Reactivos'!EB443)," ")</f>
        <v>306115.59381087561</v>
      </c>
      <c r="H443" s="345">
        <f t="shared" si="28"/>
        <v>66273.446097466585</v>
      </c>
      <c r="I443" s="346">
        <f t="shared" si="29"/>
        <v>0.20193861378488179</v>
      </c>
      <c r="J443" s="345">
        <f t="shared" si="30"/>
        <v>306115.59381087561</v>
      </c>
      <c r="K443" s="344" t="str">
        <f t="shared" si="31"/>
        <v>Media Geométrica</v>
      </c>
      <c r="L443" s="326">
        <f>IFERROR(COUNTA('LP Reactivos'!F443,'LP Reactivos'!I443,'LP Reactivos'!N443,'LP Reactivos'!S443,'LP Reactivos'!X443,'LP Reactivos'!AC443,'LP Reactivos'!AH443,'LP Reactivos'!AM443,'LP Reactivos'!AR443,'LP Reactivos'!AW443,'LP Reactivos'!BB443,'LP Reactivos'!BG443,'LP Reactivos'!BL443,'LP Reactivos'!BQ443,'LP Reactivos'!BV443,'LP Reactivos'!CA443,'LP Reactivos'!CF443,'LP Reactivos'!CK443,'LP Reactivos'!CP443,'LP Reactivos'!CU443,'LP Reactivos'!CZ443,'LP Reactivos'!DE443,'LP Reactivos'!DJ443,'LP Reactivos'!DO443,'LP Reactivos'!DT443,'LP Reactivos'!DY443,'LP Reactivos'!EB443)," ")</f>
        <v>4</v>
      </c>
    </row>
    <row r="444" spans="2:12" x14ac:dyDescent="0.25">
      <c r="B444" s="425">
        <v>442</v>
      </c>
      <c r="C444" s="427" t="s">
        <v>2156</v>
      </c>
      <c r="D444" s="429">
        <f>IFERROR(MIN('LP Reactivos'!F444,'LP Reactivos'!I444,'LP Reactivos'!N444,'LP Reactivos'!S444,'LP Reactivos'!X444,'LP Reactivos'!AC444,'LP Reactivos'!AH444,'LP Reactivos'!AM444,'LP Reactivos'!AR444,'LP Reactivos'!AW444,'LP Reactivos'!BB444,'LP Reactivos'!BG444,'LP Reactivos'!BL444,'LP Reactivos'!BQ444,'LP Reactivos'!BV444,'LP Reactivos'!CA444,'LP Reactivos'!CF444,'LP Reactivos'!CK444,'LP Reactivos'!CP444,'LP Reactivos'!CU444,'LP Reactivos'!CZ444,'LP Reactivos'!DE444,'LP Reactivos'!DJ444,'LP Reactivos'!DO444,'LP Reactivos'!DT444,'LP Reactivos'!DY444,'LP Reactivos'!EB444)," ")</f>
        <v>80272</v>
      </c>
      <c r="E444" s="429">
        <f>IFERROR(AVERAGE('LP Reactivos'!F444,'LP Reactivos'!I444,'LP Reactivos'!N444,'LP Reactivos'!S444,'LP Reactivos'!X444,'LP Reactivos'!AC444,'LP Reactivos'!AH444,'LP Reactivos'!AM444,'LP Reactivos'!AR444,'LP Reactivos'!AW444,'LP Reactivos'!BB444,'LP Reactivos'!BG444,'LP Reactivos'!BL444,'LP Reactivos'!BQ444,'LP Reactivos'!BV444,'LP Reactivos'!CA444,'LP Reactivos'!CF444,'LP Reactivos'!CK444,'LP Reactivos'!CP444,'LP Reactivos'!CU444,'LP Reactivos'!CZ444,'LP Reactivos'!DE444,'LP Reactivos'!DJ444,'LP Reactivos'!DO444,'LP Reactivos'!DT444,'LP Reactivos'!DY444,'LP Reactivos'!EB444)," ")</f>
        <v>218770.9</v>
      </c>
      <c r="F444" s="345">
        <f>IFERROR(MEDIAN('LP Reactivos'!F444,'LP Reactivos'!I444,'LP Reactivos'!N444,'LP Reactivos'!S444,'LP Reactivos'!X444,'LP Reactivos'!AC444,'LP Reactivos'!AH444,'LP Reactivos'!AM444,'LP Reactivos'!AR444,'LP Reactivos'!AW444,'LP Reactivos'!BB444,'LP Reactivos'!BG444,'LP Reactivos'!BL444,'LP Reactivos'!BQ444,'LP Reactivos'!BV444,'LP Reactivos'!CA444,'LP Reactivos'!CF444,'LP Reactivos'!CK444,'LP Reactivos'!CP444,'LP Reactivos'!CU444,'LP Reactivos'!CZ444,'LP Reactivos'!DE444,'LP Reactivos'!DJ444,'LP Reactivos'!DO444,'LP Reactivos'!DT444,'LP Reactivos'!DY444,'LP Reactivos'!EB444)," ")</f>
        <v>160650</v>
      </c>
      <c r="G444" s="345">
        <f>IFERROR(GEOMEAN('LP Reactivos'!F444,'LP Reactivos'!I444,'LP Reactivos'!N444,'LP Reactivos'!S444,'LP Reactivos'!X444,'LP Reactivos'!AC444,'LP Reactivos'!AH444,'LP Reactivos'!AM444,'LP Reactivos'!AR444,'LP Reactivos'!AW444,'LP Reactivos'!BB444,'LP Reactivos'!BG444,'LP Reactivos'!BL444,'LP Reactivos'!BQ444,'LP Reactivos'!BV444,'LP Reactivos'!CA444,'LP Reactivos'!CF444,'LP Reactivos'!CK444,'LP Reactivos'!CP444,'LP Reactivos'!CU444,'LP Reactivos'!CZ444,'LP Reactivos'!DE444,'LP Reactivos'!DJ444,'LP Reactivos'!DO444,'LP Reactivos'!DT444,'LP Reactivos'!DY444,'LP Reactivos'!EB444)," ")</f>
        <v>173451.99516801789</v>
      </c>
      <c r="H444" s="345">
        <f t="shared" si="28"/>
        <v>57677.850252490018</v>
      </c>
      <c r="I444" s="346">
        <f t="shared" si="29"/>
        <v>0.26364498318784635</v>
      </c>
      <c r="J444" s="345">
        <f t="shared" si="30"/>
        <v>173451.99516801789</v>
      </c>
      <c r="K444" s="344" t="str">
        <f t="shared" si="31"/>
        <v>Media Geométrica</v>
      </c>
      <c r="L444" s="326">
        <f>IFERROR(COUNTA('LP Reactivos'!F444,'LP Reactivos'!I444,'LP Reactivos'!N444,'LP Reactivos'!S444,'LP Reactivos'!X444,'LP Reactivos'!AC444,'LP Reactivos'!AH444,'LP Reactivos'!AM444,'LP Reactivos'!AR444,'LP Reactivos'!AW444,'LP Reactivos'!BB444,'LP Reactivos'!BG444,'LP Reactivos'!BL444,'LP Reactivos'!BQ444,'LP Reactivos'!BV444,'LP Reactivos'!CA444,'LP Reactivos'!CF444,'LP Reactivos'!CK444,'LP Reactivos'!CP444,'LP Reactivos'!CU444,'LP Reactivos'!CZ444,'LP Reactivos'!DE444,'LP Reactivos'!DJ444,'LP Reactivos'!DO444,'LP Reactivos'!DT444,'LP Reactivos'!DY444,'LP Reactivos'!EB444)," ")</f>
        <v>5</v>
      </c>
    </row>
    <row r="445" spans="2:12" ht="40.5" x14ac:dyDescent="0.25">
      <c r="B445" s="425">
        <v>443</v>
      </c>
      <c r="C445" s="427" t="s">
        <v>2161</v>
      </c>
      <c r="D445" s="429">
        <f>IFERROR(MIN('LP Reactivos'!F445,'LP Reactivos'!I445,'LP Reactivos'!N445,'LP Reactivos'!S445,'LP Reactivos'!X445,'LP Reactivos'!AC445,'LP Reactivos'!AH445,'LP Reactivos'!AM445,'LP Reactivos'!AR445,'LP Reactivos'!AW445,'LP Reactivos'!BB445,'LP Reactivos'!BG445,'LP Reactivos'!BL445,'LP Reactivos'!BQ445,'LP Reactivos'!BV445,'LP Reactivos'!CA445,'LP Reactivos'!CF445,'LP Reactivos'!CK445,'LP Reactivos'!CP445,'LP Reactivos'!CU445,'LP Reactivos'!CZ445,'LP Reactivos'!DE445,'LP Reactivos'!DJ445,'LP Reactivos'!DO445,'LP Reactivos'!DT445,'LP Reactivos'!DY445,'LP Reactivos'!EB445)," ")</f>
        <v>288955.8</v>
      </c>
      <c r="E445" s="429">
        <f>IFERROR(AVERAGE('LP Reactivos'!F445,'LP Reactivos'!I445,'LP Reactivos'!N445,'LP Reactivos'!S445,'LP Reactivos'!X445,'LP Reactivos'!AC445,'LP Reactivos'!AH445,'LP Reactivos'!AM445,'LP Reactivos'!AR445,'LP Reactivos'!AW445,'LP Reactivos'!BB445,'LP Reactivos'!BG445,'LP Reactivos'!BL445,'LP Reactivos'!BQ445,'LP Reactivos'!BV445,'LP Reactivos'!CA445,'LP Reactivos'!CF445,'LP Reactivos'!CK445,'LP Reactivos'!CP445,'LP Reactivos'!CU445,'LP Reactivos'!CZ445,'LP Reactivos'!DE445,'LP Reactivos'!DJ445,'LP Reactivos'!DO445,'LP Reactivos'!DT445,'LP Reactivos'!DY445,'LP Reactivos'!EB445)," ")</f>
        <v>430145.96800000005</v>
      </c>
      <c r="F445" s="345">
        <f>IFERROR(MEDIAN('LP Reactivos'!F445,'LP Reactivos'!I445,'LP Reactivos'!N445,'LP Reactivos'!S445,'LP Reactivos'!X445,'LP Reactivos'!AC445,'LP Reactivos'!AH445,'LP Reactivos'!AM445,'LP Reactivos'!AR445,'LP Reactivos'!AW445,'LP Reactivos'!BB445,'LP Reactivos'!BG445,'LP Reactivos'!BL445,'LP Reactivos'!BQ445,'LP Reactivos'!BV445,'LP Reactivos'!CA445,'LP Reactivos'!CF445,'LP Reactivos'!CK445,'LP Reactivos'!CP445,'LP Reactivos'!CU445,'LP Reactivos'!CZ445,'LP Reactivos'!DE445,'LP Reactivos'!DJ445,'LP Reactivos'!DO445,'LP Reactivos'!DT445,'LP Reactivos'!DY445,'LP Reactivos'!EB445)," ")</f>
        <v>452476.08</v>
      </c>
      <c r="G445" s="345">
        <f>IFERROR(GEOMEAN('LP Reactivos'!F445,'LP Reactivos'!I445,'LP Reactivos'!N445,'LP Reactivos'!S445,'LP Reactivos'!X445,'LP Reactivos'!AC445,'LP Reactivos'!AH445,'LP Reactivos'!AM445,'LP Reactivos'!AR445,'LP Reactivos'!AW445,'LP Reactivos'!BB445,'LP Reactivos'!BG445,'LP Reactivos'!BL445,'LP Reactivos'!BQ445,'LP Reactivos'!BV445,'LP Reactivos'!CA445,'LP Reactivos'!CF445,'LP Reactivos'!CK445,'LP Reactivos'!CP445,'LP Reactivos'!CU445,'LP Reactivos'!CZ445,'LP Reactivos'!DE445,'LP Reactivos'!DJ445,'LP Reactivos'!DO445,'LP Reactivos'!DT445,'LP Reactivos'!DY445,'LP Reactivos'!EB445)," ")</f>
        <v>421741.00847641646</v>
      </c>
      <c r="H445" s="345">
        <f t="shared" si="28"/>
        <v>74060.436451903879</v>
      </c>
      <c r="I445" s="346">
        <f t="shared" si="29"/>
        <v>0.17217512649544089</v>
      </c>
      <c r="J445" s="345">
        <f t="shared" si="30"/>
        <v>430145.96800000005</v>
      </c>
      <c r="K445" s="344" t="str">
        <f t="shared" si="31"/>
        <v>Promedio</v>
      </c>
      <c r="L445" s="326">
        <f>IFERROR(COUNTA('LP Reactivos'!F445,'LP Reactivos'!I445,'LP Reactivos'!N445,'LP Reactivos'!S445,'LP Reactivos'!X445,'LP Reactivos'!AC445,'LP Reactivos'!AH445,'LP Reactivos'!AM445,'LP Reactivos'!AR445,'LP Reactivos'!AW445,'LP Reactivos'!BB445,'LP Reactivos'!BG445,'LP Reactivos'!BL445,'LP Reactivos'!BQ445,'LP Reactivos'!BV445,'LP Reactivos'!CA445,'LP Reactivos'!CF445,'LP Reactivos'!CK445,'LP Reactivos'!CP445,'LP Reactivos'!CU445,'LP Reactivos'!CZ445,'LP Reactivos'!DE445,'LP Reactivos'!DJ445,'LP Reactivos'!DO445,'LP Reactivos'!DT445,'LP Reactivos'!DY445,'LP Reactivos'!EB445)," ")</f>
        <v>5</v>
      </c>
    </row>
    <row r="446" spans="2:12" ht="27" x14ac:dyDescent="0.25">
      <c r="B446" s="425">
        <v>444</v>
      </c>
      <c r="C446" s="427" t="s">
        <v>2166</v>
      </c>
      <c r="D446" s="429">
        <f>IFERROR(MIN('LP Reactivos'!F446,'LP Reactivos'!I446,'LP Reactivos'!N446,'LP Reactivos'!S446,'LP Reactivos'!X446,'LP Reactivos'!AC446,'LP Reactivos'!AH446,'LP Reactivos'!AM446,'LP Reactivos'!AR446,'LP Reactivos'!AW446,'LP Reactivos'!BB446,'LP Reactivos'!BG446,'LP Reactivos'!BL446,'LP Reactivos'!BQ446,'LP Reactivos'!BV446,'LP Reactivos'!CA446,'LP Reactivos'!CF446,'LP Reactivos'!CK446,'LP Reactivos'!CP446,'LP Reactivos'!CU446,'LP Reactivos'!CZ446,'LP Reactivos'!DE446,'LP Reactivos'!DJ446,'LP Reactivos'!DO446,'LP Reactivos'!DT446,'LP Reactivos'!DY446,'LP Reactivos'!EB446)," ")</f>
        <v>122570</v>
      </c>
      <c r="E446" s="429">
        <f>IFERROR(AVERAGE('LP Reactivos'!F446,'LP Reactivos'!I446,'LP Reactivos'!N446,'LP Reactivos'!S446,'LP Reactivos'!X446,'LP Reactivos'!AC446,'LP Reactivos'!AH446,'LP Reactivos'!AM446,'LP Reactivos'!AR446,'LP Reactivos'!AW446,'LP Reactivos'!BB446,'LP Reactivos'!BG446,'LP Reactivos'!BL446,'LP Reactivos'!BQ446,'LP Reactivos'!BV446,'LP Reactivos'!CA446,'LP Reactivos'!CF446,'LP Reactivos'!CK446,'LP Reactivos'!CP446,'LP Reactivos'!CU446,'LP Reactivos'!CZ446,'LP Reactivos'!DE446,'LP Reactivos'!DJ446,'LP Reactivos'!DO446,'LP Reactivos'!DT446,'LP Reactivos'!DY446,'LP Reactivos'!EB446)," ")</f>
        <v>215517.87400000001</v>
      </c>
      <c r="F446" s="345">
        <f>IFERROR(MEDIAN('LP Reactivos'!F446,'LP Reactivos'!I446,'LP Reactivos'!N446,'LP Reactivos'!S446,'LP Reactivos'!X446,'LP Reactivos'!AC446,'LP Reactivos'!AH446,'LP Reactivos'!AM446,'LP Reactivos'!AR446,'LP Reactivos'!AW446,'LP Reactivos'!BB446,'LP Reactivos'!BG446,'LP Reactivos'!BL446,'LP Reactivos'!BQ446,'LP Reactivos'!BV446,'LP Reactivos'!CA446,'LP Reactivos'!CF446,'LP Reactivos'!CK446,'LP Reactivos'!CP446,'LP Reactivos'!CU446,'LP Reactivos'!CZ446,'LP Reactivos'!DE446,'LP Reactivos'!DJ446,'LP Reactivos'!DO446,'LP Reactivos'!DT446,'LP Reactivos'!DY446,'LP Reactivos'!EB446)," ")</f>
        <v>214926.13800000001</v>
      </c>
      <c r="G446" s="345">
        <f>IFERROR(GEOMEAN('LP Reactivos'!F446,'LP Reactivos'!I446,'LP Reactivos'!N446,'LP Reactivos'!S446,'LP Reactivos'!X446,'LP Reactivos'!AC446,'LP Reactivos'!AH446,'LP Reactivos'!AM446,'LP Reactivos'!AR446,'LP Reactivos'!AW446,'LP Reactivos'!BB446,'LP Reactivos'!BG446,'LP Reactivos'!BL446,'LP Reactivos'!BQ446,'LP Reactivos'!BV446,'LP Reactivos'!CA446,'LP Reactivos'!CF446,'LP Reactivos'!CK446,'LP Reactivos'!CP446,'LP Reactivos'!CU446,'LP Reactivos'!CZ446,'LP Reactivos'!DE446,'LP Reactivos'!DJ446,'LP Reactivos'!DO446,'LP Reactivos'!DT446,'LP Reactivos'!DY446,'LP Reactivos'!EB446)," ")</f>
        <v>200772.84294448356</v>
      </c>
      <c r="H446" s="345">
        <f t="shared" si="28"/>
        <v>44443.531592764572</v>
      </c>
      <c r="I446" s="346">
        <f t="shared" si="29"/>
        <v>0.20621738126817532</v>
      </c>
      <c r="J446" s="345">
        <f t="shared" si="30"/>
        <v>200772.84294448356</v>
      </c>
      <c r="K446" s="344" t="str">
        <f t="shared" si="31"/>
        <v>Media Geométrica</v>
      </c>
      <c r="L446" s="326">
        <f>IFERROR(COUNTA('LP Reactivos'!F446,'LP Reactivos'!I446,'LP Reactivos'!N446,'LP Reactivos'!S446,'LP Reactivos'!X446,'LP Reactivos'!AC446,'LP Reactivos'!AH446,'LP Reactivos'!AM446,'LP Reactivos'!AR446,'LP Reactivos'!AW446,'LP Reactivos'!BB446,'LP Reactivos'!BG446,'LP Reactivos'!BL446,'LP Reactivos'!BQ446,'LP Reactivos'!BV446,'LP Reactivos'!CA446,'LP Reactivos'!CF446,'LP Reactivos'!CK446,'LP Reactivos'!CP446,'LP Reactivos'!CU446,'LP Reactivos'!CZ446,'LP Reactivos'!DE446,'LP Reactivos'!DJ446,'LP Reactivos'!DO446,'LP Reactivos'!DT446,'LP Reactivos'!DY446,'LP Reactivos'!EB446)," ")</f>
        <v>7</v>
      </c>
    </row>
    <row r="447" spans="2:12" x14ac:dyDescent="0.25">
      <c r="B447" s="425">
        <v>445</v>
      </c>
      <c r="C447" s="427" t="s">
        <v>2170</v>
      </c>
      <c r="D447" s="429">
        <f>IFERROR(MIN('LP Reactivos'!F447,'LP Reactivos'!I447,'LP Reactivos'!N447,'LP Reactivos'!S447,'LP Reactivos'!X447,'LP Reactivos'!AC447,'LP Reactivos'!AH447,'LP Reactivos'!AM447,'LP Reactivos'!AR447,'LP Reactivos'!AW447,'LP Reactivos'!BB447,'LP Reactivos'!BG447,'LP Reactivos'!BL447,'LP Reactivos'!BQ447,'LP Reactivos'!BV447,'LP Reactivos'!CA447,'LP Reactivos'!CF447,'LP Reactivos'!CK447,'LP Reactivos'!CP447,'LP Reactivos'!CU447,'LP Reactivos'!CZ447,'LP Reactivos'!DE447,'LP Reactivos'!DJ447,'LP Reactivos'!DO447,'LP Reactivos'!DT447,'LP Reactivos'!DY447,'LP Reactivos'!EB447)," ")</f>
        <v>273629.734</v>
      </c>
      <c r="E447" s="429">
        <f>IFERROR(AVERAGE('LP Reactivos'!F447,'LP Reactivos'!I447,'LP Reactivos'!N447,'LP Reactivos'!S447,'LP Reactivos'!X447,'LP Reactivos'!AC447,'LP Reactivos'!AH447,'LP Reactivos'!AM447,'LP Reactivos'!AR447,'LP Reactivos'!AW447,'LP Reactivos'!BB447,'LP Reactivos'!BG447,'LP Reactivos'!BL447,'LP Reactivos'!BQ447,'LP Reactivos'!BV447,'LP Reactivos'!CA447,'LP Reactivos'!CF447,'LP Reactivos'!CK447,'LP Reactivos'!CP447,'LP Reactivos'!CU447,'LP Reactivos'!CZ447,'LP Reactivos'!DE447,'LP Reactivos'!DJ447,'LP Reactivos'!DO447,'LP Reactivos'!DT447,'LP Reactivos'!DY447,'LP Reactivos'!EB447)," ")</f>
        <v>273629.734</v>
      </c>
      <c r="F447" s="345">
        <f>IFERROR(MEDIAN('LP Reactivos'!F447,'LP Reactivos'!I447,'LP Reactivos'!N447,'LP Reactivos'!S447,'LP Reactivos'!X447,'LP Reactivos'!AC447,'LP Reactivos'!AH447,'LP Reactivos'!AM447,'LP Reactivos'!AR447,'LP Reactivos'!AW447,'LP Reactivos'!BB447,'LP Reactivos'!BG447,'LP Reactivos'!BL447,'LP Reactivos'!BQ447,'LP Reactivos'!BV447,'LP Reactivos'!CA447,'LP Reactivos'!CF447,'LP Reactivos'!CK447,'LP Reactivos'!CP447,'LP Reactivos'!CU447,'LP Reactivos'!CZ447,'LP Reactivos'!DE447,'LP Reactivos'!DJ447,'LP Reactivos'!DO447,'LP Reactivos'!DT447,'LP Reactivos'!DY447,'LP Reactivos'!EB447)," ")</f>
        <v>273629.734</v>
      </c>
      <c r="G447" s="345">
        <f>IFERROR(GEOMEAN('LP Reactivos'!F447,'LP Reactivos'!I447,'LP Reactivos'!N447,'LP Reactivos'!S447,'LP Reactivos'!X447,'LP Reactivos'!AC447,'LP Reactivos'!AH447,'LP Reactivos'!AM447,'LP Reactivos'!AR447,'LP Reactivos'!AW447,'LP Reactivos'!BB447,'LP Reactivos'!BG447,'LP Reactivos'!BL447,'LP Reactivos'!BQ447,'LP Reactivos'!BV447,'LP Reactivos'!CA447,'LP Reactivos'!CF447,'LP Reactivos'!CK447,'LP Reactivos'!CP447,'LP Reactivos'!CU447,'LP Reactivos'!CZ447,'LP Reactivos'!DE447,'LP Reactivos'!DJ447,'LP Reactivos'!DO447,'LP Reactivos'!DT447,'LP Reactivos'!DY447,'LP Reactivos'!EB447)," ")</f>
        <v>273629.734</v>
      </c>
      <c r="H447" s="345">
        <f t="shared" si="28"/>
        <v>0</v>
      </c>
      <c r="I447" s="346">
        <f t="shared" si="29"/>
        <v>0</v>
      </c>
      <c r="J447" s="345">
        <f t="shared" si="30"/>
        <v>273629.734</v>
      </c>
      <c r="K447" s="344" t="str">
        <f t="shared" si="31"/>
        <v>Menor Valor</v>
      </c>
      <c r="L447" s="326">
        <f>IFERROR(COUNTA('LP Reactivos'!F447,'LP Reactivos'!I447,'LP Reactivos'!N447,'LP Reactivos'!S447,'LP Reactivos'!X447,'LP Reactivos'!AC447,'LP Reactivos'!AH447,'LP Reactivos'!AM447,'LP Reactivos'!AR447,'LP Reactivos'!AW447,'LP Reactivos'!BB447,'LP Reactivos'!BG447,'LP Reactivos'!BL447,'LP Reactivos'!BQ447,'LP Reactivos'!BV447,'LP Reactivos'!CA447,'LP Reactivos'!CF447,'LP Reactivos'!CK447,'LP Reactivos'!CP447,'LP Reactivos'!CU447,'LP Reactivos'!CZ447,'LP Reactivos'!DE447,'LP Reactivos'!DJ447,'LP Reactivos'!DO447,'LP Reactivos'!DT447,'LP Reactivos'!DY447,'LP Reactivos'!EB447)," ")</f>
        <v>1</v>
      </c>
    </row>
    <row r="448" spans="2:12" ht="27" x14ac:dyDescent="0.25">
      <c r="B448" s="425">
        <v>446</v>
      </c>
      <c r="C448" s="427" t="s">
        <v>2172</v>
      </c>
      <c r="D448" s="429">
        <f>IFERROR(MIN('LP Reactivos'!F448,'LP Reactivos'!I448,'LP Reactivos'!N448,'LP Reactivos'!S448,'LP Reactivos'!X448,'LP Reactivos'!AC448,'LP Reactivos'!AH448,'LP Reactivos'!AM448,'LP Reactivos'!AR448,'LP Reactivos'!AW448,'LP Reactivos'!BB448,'LP Reactivos'!BG448,'LP Reactivos'!BL448,'LP Reactivos'!BQ448,'LP Reactivos'!BV448,'LP Reactivos'!CA448,'LP Reactivos'!CF448,'LP Reactivos'!CK448,'LP Reactivos'!CP448,'LP Reactivos'!CU448,'LP Reactivos'!CZ448,'LP Reactivos'!DE448,'LP Reactivos'!DJ448,'LP Reactivos'!DO448,'LP Reactivos'!DT448,'LP Reactivos'!DY448,'LP Reactivos'!EB448)," ")</f>
        <v>595000</v>
      </c>
      <c r="E448" s="429">
        <f>IFERROR(AVERAGE('LP Reactivos'!F448,'LP Reactivos'!I448,'LP Reactivos'!N448,'LP Reactivos'!S448,'LP Reactivos'!X448,'LP Reactivos'!AC448,'LP Reactivos'!AH448,'LP Reactivos'!AM448,'LP Reactivos'!AR448,'LP Reactivos'!AW448,'LP Reactivos'!BB448,'LP Reactivos'!BG448,'LP Reactivos'!BL448,'LP Reactivos'!BQ448,'LP Reactivos'!BV448,'LP Reactivos'!CA448,'LP Reactivos'!CF448,'LP Reactivos'!CK448,'LP Reactivos'!CP448,'LP Reactivos'!CU448,'LP Reactivos'!CZ448,'LP Reactivos'!DE448,'LP Reactivos'!DJ448,'LP Reactivos'!DO448,'LP Reactivos'!DT448,'LP Reactivos'!DY448,'LP Reactivos'!EB448)," ")</f>
        <v>1220779</v>
      </c>
      <c r="F448" s="345">
        <f>IFERROR(MEDIAN('LP Reactivos'!F448,'LP Reactivos'!I448,'LP Reactivos'!N448,'LP Reactivos'!S448,'LP Reactivos'!X448,'LP Reactivos'!AC448,'LP Reactivos'!AH448,'LP Reactivos'!AM448,'LP Reactivos'!AR448,'LP Reactivos'!AW448,'LP Reactivos'!BB448,'LP Reactivos'!BG448,'LP Reactivos'!BL448,'LP Reactivos'!BQ448,'LP Reactivos'!BV448,'LP Reactivos'!CA448,'LP Reactivos'!CF448,'LP Reactivos'!CK448,'LP Reactivos'!CP448,'LP Reactivos'!CU448,'LP Reactivos'!CZ448,'LP Reactivos'!DE448,'LP Reactivos'!DJ448,'LP Reactivos'!DO448,'LP Reactivos'!DT448,'LP Reactivos'!DY448,'LP Reactivos'!EB448)," ")</f>
        <v>1251558</v>
      </c>
      <c r="G448" s="345">
        <f>IFERROR(GEOMEAN('LP Reactivos'!F448,'LP Reactivos'!I448,'LP Reactivos'!N448,'LP Reactivos'!S448,'LP Reactivos'!X448,'LP Reactivos'!AC448,'LP Reactivos'!AH448,'LP Reactivos'!AM448,'LP Reactivos'!AR448,'LP Reactivos'!AW448,'LP Reactivos'!BB448,'LP Reactivos'!BG448,'LP Reactivos'!BL448,'LP Reactivos'!BQ448,'LP Reactivos'!BV448,'LP Reactivos'!CA448,'LP Reactivos'!CF448,'LP Reactivos'!CK448,'LP Reactivos'!CP448,'LP Reactivos'!CU448,'LP Reactivos'!CZ448,'LP Reactivos'!DE448,'LP Reactivos'!DJ448,'LP Reactivos'!DO448,'LP Reactivos'!DT448,'LP Reactivos'!DY448,'LP Reactivos'!EB448)," ")</f>
        <v>1118803.4439570389</v>
      </c>
      <c r="H448" s="345">
        <f t="shared" si="28"/>
        <v>306323.35109701857</v>
      </c>
      <c r="I448" s="346">
        <f t="shared" si="29"/>
        <v>0.25092449255517874</v>
      </c>
      <c r="J448" s="345">
        <f t="shared" si="30"/>
        <v>1118803.4439570389</v>
      </c>
      <c r="K448" s="344" t="str">
        <f t="shared" si="31"/>
        <v>Media Geométrica</v>
      </c>
      <c r="L448" s="326">
        <f>IFERROR(COUNTA('LP Reactivos'!F448,'LP Reactivos'!I448,'LP Reactivos'!N448,'LP Reactivos'!S448,'LP Reactivos'!X448,'LP Reactivos'!AC448,'LP Reactivos'!AH448,'LP Reactivos'!AM448,'LP Reactivos'!AR448,'LP Reactivos'!AW448,'LP Reactivos'!BB448,'LP Reactivos'!BG448,'LP Reactivos'!BL448,'LP Reactivos'!BQ448,'LP Reactivos'!BV448,'LP Reactivos'!CA448,'LP Reactivos'!CF448,'LP Reactivos'!CK448,'LP Reactivos'!CP448,'LP Reactivos'!CU448,'LP Reactivos'!CZ448,'LP Reactivos'!DE448,'LP Reactivos'!DJ448,'LP Reactivos'!DO448,'LP Reactivos'!DT448,'LP Reactivos'!DY448,'LP Reactivos'!EB448)," ")</f>
        <v>4</v>
      </c>
    </row>
    <row r="449" spans="2:12" ht="40.5" x14ac:dyDescent="0.25">
      <c r="B449" s="425">
        <v>447</v>
      </c>
      <c r="C449" s="427" t="s">
        <v>2177</v>
      </c>
      <c r="D449" s="429">
        <f>IFERROR(MIN('LP Reactivos'!F449,'LP Reactivos'!I449,'LP Reactivos'!N449,'LP Reactivos'!S449,'LP Reactivos'!X449,'LP Reactivos'!AC449,'LP Reactivos'!AH449,'LP Reactivos'!AM449,'LP Reactivos'!AR449,'LP Reactivos'!AW449,'LP Reactivos'!BB449,'LP Reactivos'!BG449,'LP Reactivos'!BL449,'LP Reactivos'!BQ449,'LP Reactivos'!BV449,'LP Reactivos'!CA449,'LP Reactivos'!CF449,'LP Reactivos'!CK449,'LP Reactivos'!CP449,'LP Reactivos'!CU449,'LP Reactivos'!CZ449,'LP Reactivos'!DE449,'LP Reactivos'!DJ449,'LP Reactivos'!DO449,'LP Reactivos'!DT449,'LP Reactivos'!DY449,'LP Reactivos'!EB449)," ")</f>
        <v>22610</v>
      </c>
      <c r="E449" s="429">
        <f>IFERROR(AVERAGE('LP Reactivos'!F449,'LP Reactivos'!I449,'LP Reactivos'!N449,'LP Reactivos'!S449,'LP Reactivos'!X449,'LP Reactivos'!AC449,'LP Reactivos'!AH449,'LP Reactivos'!AM449,'LP Reactivos'!AR449,'LP Reactivos'!AW449,'LP Reactivos'!BB449,'LP Reactivos'!BG449,'LP Reactivos'!BL449,'LP Reactivos'!BQ449,'LP Reactivos'!BV449,'LP Reactivos'!CA449,'LP Reactivos'!CF449,'LP Reactivos'!CK449,'LP Reactivos'!CP449,'LP Reactivos'!CU449,'LP Reactivos'!CZ449,'LP Reactivos'!DE449,'LP Reactivos'!DJ449,'LP Reactivos'!DO449,'LP Reactivos'!DT449,'LP Reactivos'!DY449,'LP Reactivos'!EB449)," ")</f>
        <v>25759.097000000002</v>
      </c>
      <c r="F449" s="345">
        <f>IFERROR(MEDIAN('LP Reactivos'!F449,'LP Reactivos'!I449,'LP Reactivos'!N449,'LP Reactivos'!S449,'LP Reactivos'!X449,'LP Reactivos'!AC449,'LP Reactivos'!AH449,'LP Reactivos'!AM449,'LP Reactivos'!AR449,'LP Reactivos'!AW449,'LP Reactivos'!BB449,'LP Reactivos'!BG449,'LP Reactivos'!BL449,'LP Reactivos'!BQ449,'LP Reactivos'!BV449,'LP Reactivos'!CA449,'LP Reactivos'!CF449,'LP Reactivos'!CK449,'LP Reactivos'!CP449,'LP Reactivos'!CU449,'LP Reactivos'!CZ449,'LP Reactivos'!DE449,'LP Reactivos'!DJ449,'LP Reactivos'!DO449,'LP Reactivos'!DT449,'LP Reactivos'!DY449,'LP Reactivos'!EB449)," ")</f>
        <v>25759.097000000002</v>
      </c>
      <c r="G449" s="345">
        <f>IFERROR(GEOMEAN('LP Reactivos'!F449,'LP Reactivos'!I449,'LP Reactivos'!N449,'LP Reactivos'!S449,'LP Reactivos'!X449,'LP Reactivos'!AC449,'LP Reactivos'!AH449,'LP Reactivos'!AM449,'LP Reactivos'!AR449,'LP Reactivos'!AW449,'LP Reactivos'!BB449,'LP Reactivos'!BG449,'LP Reactivos'!BL449,'LP Reactivos'!BQ449,'LP Reactivos'!BV449,'LP Reactivos'!CA449,'LP Reactivos'!CF449,'LP Reactivos'!CK449,'LP Reactivos'!CP449,'LP Reactivos'!CU449,'LP Reactivos'!CZ449,'LP Reactivos'!DE449,'LP Reactivos'!DJ449,'LP Reactivos'!DO449,'LP Reactivos'!DT449,'LP Reactivos'!DY449,'LP Reactivos'!EB449)," ")</f>
        <v>25565.880902875222</v>
      </c>
      <c r="H449" s="345">
        <f t="shared" si="28"/>
        <v>1545.0329193681905</v>
      </c>
      <c r="I449" s="346">
        <f t="shared" si="29"/>
        <v>5.9980088563205088E-2</v>
      </c>
      <c r="J449" s="345">
        <f t="shared" si="30"/>
        <v>25759.097000000002</v>
      </c>
      <c r="K449" s="344" t="str">
        <f t="shared" si="31"/>
        <v>Promedio</v>
      </c>
      <c r="L449" s="326">
        <f>IFERROR(COUNTA('LP Reactivos'!F449,'LP Reactivos'!I449,'LP Reactivos'!N449,'LP Reactivos'!S449,'LP Reactivos'!X449,'LP Reactivos'!AC449,'LP Reactivos'!AH449,'LP Reactivos'!AM449,'LP Reactivos'!AR449,'LP Reactivos'!AW449,'LP Reactivos'!BB449,'LP Reactivos'!BG449,'LP Reactivos'!BL449,'LP Reactivos'!BQ449,'LP Reactivos'!BV449,'LP Reactivos'!CA449,'LP Reactivos'!CF449,'LP Reactivos'!CK449,'LP Reactivos'!CP449,'LP Reactivos'!CU449,'LP Reactivos'!CZ449,'LP Reactivos'!DE449,'LP Reactivos'!DJ449,'LP Reactivos'!DO449,'LP Reactivos'!DT449,'LP Reactivos'!DY449,'LP Reactivos'!EB449)," ")</f>
        <v>2</v>
      </c>
    </row>
    <row r="450" spans="2:12" ht="40.5" x14ac:dyDescent="0.25">
      <c r="B450" s="425">
        <v>448</v>
      </c>
      <c r="C450" s="427" t="s">
        <v>2181</v>
      </c>
      <c r="D450" s="429">
        <f>IFERROR(MIN('LP Reactivos'!F450,'LP Reactivos'!I450,'LP Reactivos'!N450,'LP Reactivos'!S450,'LP Reactivos'!X450,'LP Reactivos'!AC450,'LP Reactivos'!AH450,'LP Reactivos'!AM450,'LP Reactivos'!AR450,'LP Reactivos'!AW450,'LP Reactivos'!BB450,'LP Reactivos'!BG450,'LP Reactivos'!BL450,'LP Reactivos'!BQ450,'LP Reactivos'!BV450,'LP Reactivos'!CA450,'LP Reactivos'!CF450,'LP Reactivos'!CK450,'LP Reactivos'!CP450,'LP Reactivos'!CU450,'LP Reactivos'!CZ450,'LP Reactivos'!DE450,'LP Reactivos'!DJ450,'LP Reactivos'!DO450,'LP Reactivos'!DT450,'LP Reactivos'!DY450,'LP Reactivos'!EB450)," ")</f>
        <v>352954.57880000002</v>
      </c>
      <c r="E450" s="429">
        <f>IFERROR(AVERAGE('LP Reactivos'!F450,'LP Reactivos'!I450,'LP Reactivos'!N450,'LP Reactivos'!S450,'LP Reactivos'!X450,'LP Reactivos'!AC450,'LP Reactivos'!AH450,'LP Reactivos'!AM450,'LP Reactivos'!AR450,'LP Reactivos'!AW450,'LP Reactivos'!BB450,'LP Reactivos'!BG450,'LP Reactivos'!BL450,'LP Reactivos'!BQ450,'LP Reactivos'!BV450,'LP Reactivos'!CA450,'LP Reactivos'!CF450,'LP Reactivos'!CK450,'LP Reactivos'!CP450,'LP Reactivos'!CU450,'LP Reactivos'!CZ450,'LP Reactivos'!DE450,'LP Reactivos'!DJ450,'LP Reactivos'!DO450,'LP Reactivos'!DT450,'LP Reactivos'!DY450,'LP Reactivos'!EB450)," ")</f>
        <v>352954.57880000002</v>
      </c>
      <c r="F450" s="345">
        <f>IFERROR(MEDIAN('LP Reactivos'!F450,'LP Reactivos'!I450,'LP Reactivos'!N450,'LP Reactivos'!S450,'LP Reactivos'!X450,'LP Reactivos'!AC450,'LP Reactivos'!AH450,'LP Reactivos'!AM450,'LP Reactivos'!AR450,'LP Reactivos'!AW450,'LP Reactivos'!BB450,'LP Reactivos'!BG450,'LP Reactivos'!BL450,'LP Reactivos'!BQ450,'LP Reactivos'!BV450,'LP Reactivos'!CA450,'LP Reactivos'!CF450,'LP Reactivos'!CK450,'LP Reactivos'!CP450,'LP Reactivos'!CU450,'LP Reactivos'!CZ450,'LP Reactivos'!DE450,'LP Reactivos'!DJ450,'LP Reactivos'!DO450,'LP Reactivos'!DT450,'LP Reactivos'!DY450,'LP Reactivos'!EB450)," ")</f>
        <v>352954.57880000002</v>
      </c>
      <c r="G450" s="345">
        <f>IFERROR(GEOMEAN('LP Reactivos'!F450,'LP Reactivos'!I450,'LP Reactivos'!N450,'LP Reactivos'!S450,'LP Reactivos'!X450,'LP Reactivos'!AC450,'LP Reactivos'!AH450,'LP Reactivos'!AM450,'LP Reactivos'!AR450,'LP Reactivos'!AW450,'LP Reactivos'!BB450,'LP Reactivos'!BG450,'LP Reactivos'!BL450,'LP Reactivos'!BQ450,'LP Reactivos'!BV450,'LP Reactivos'!CA450,'LP Reactivos'!CF450,'LP Reactivos'!CK450,'LP Reactivos'!CP450,'LP Reactivos'!CU450,'LP Reactivos'!CZ450,'LP Reactivos'!DE450,'LP Reactivos'!DJ450,'LP Reactivos'!DO450,'LP Reactivos'!DT450,'LP Reactivos'!DY450,'LP Reactivos'!EB450)," ")</f>
        <v>352954.57880000002</v>
      </c>
      <c r="H450" s="345">
        <f t="shared" si="28"/>
        <v>0</v>
      </c>
      <c r="I450" s="346">
        <f t="shared" si="29"/>
        <v>0</v>
      </c>
      <c r="J450" s="345">
        <f t="shared" si="30"/>
        <v>352954.57880000002</v>
      </c>
      <c r="K450" s="344" t="str">
        <f t="shared" si="31"/>
        <v>Menor Valor</v>
      </c>
      <c r="L450" s="326">
        <f>IFERROR(COUNTA('LP Reactivos'!F450,'LP Reactivos'!I450,'LP Reactivos'!N450,'LP Reactivos'!S450,'LP Reactivos'!X450,'LP Reactivos'!AC450,'LP Reactivos'!AH450,'LP Reactivos'!AM450,'LP Reactivos'!AR450,'LP Reactivos'!AW450,'LP Reactivos'!BB450,'LP Reactivos'!BG450,'LP Reactivos'!BL450,'LP Reactivos'!BQ450,'LP Reactivos'!BV450,'LP Reactivos'!CA450,'LP Reactivos'!CF450,'LP Reactivos'!CK450,'LP Reactivos'!CP450,'LP Reactivos'!CU450,'LP Reactivos'!CZ450,'LP Reactivos'!DE450,'LP Reactivos'!DJ450,'LP Reactivos'!DO450,'LP Reactivos'!DT450,'LP Reactivos'!DY450,'LP Reactivos'!EB450)," ")</f>
        <v>1</v>
      </c>
    </row>
    <row r="451" spans="2:12" ht="40.5" x14ac:dyDescent="0.25">
      <c r="B451" s="425">
        <v>449</v>
      </c>
      <c r="C451" s="427" t="s">
        <v>2184</v>
      </c>
      <c r="D451" s="429">
        <f>IFERROR(MIN('LP Reactivos'!F451,'LP Reactivos'!I451,'LP Reactivos'!N451,'LP Reactivos'!S451,'LP Reactivos'!X451,'LP Reactivos'!AC451,'LP Reactivos'!AH451,'LP Reactivos'!AM451,'LP Reactivos'!AR451,'LP Reactivos'!AW451,'LP Reactivos'!BB451,'LP Reactivos'!BG451,'LP Reactivos'!BL451,'LP Reactivos'!BQ451,'LP Reactivos'!BV451,'LP Reactivos'!CA451,'LP Reactivos'!CF451,'LP Reactivos'!CK451,'LP Reactivos'!CP451,'LP Reactivos'!CU451,'LP Reactivos'!CZ451,'LP Reactivos'!DE451,'LP Reactivos'!DJ451,'LP Reactivos'!DO451,'LP Reactivos'!DT451,'LP Reactivos'!DY451,'LP Reactivos'!EB451)," ")</f>
        <v>631890</v>
      </c>
      <c r="E451" s="429">
        <f>IFERROR(AVERAGE('LP Reactivos'!F451,'LP Reactivos'!I451,'LP Reactivos'!N451,'LP Reactivos'!S451,'LP Reactivos'!X451,'LP Reactivos'!AC451,'LP Reactivos'!AH451,'LP Reactivos'!AM451,'LP Reactivos'!AR451,'LP Reactivos'!AW451,'LP Reactivos'!BB451,'LP Reactivos'!BG451,'LP Reactivos'!BL451,'LP Reactivos'!BQ451,'LP Reactivos'!BV451,'LP Reactivos'!CA451,'LP Reactivos'!CF451,'LP Reactivos'!CK451,'LP Reactivos'!CP451,'LP Reactivos'!CU451,'LP Reactivos'!CZ451,'LP Reactivos'!DE451,'LP Reactivos'!DJ451,'LP Reactivos'!DO451,'LP Reactivos'!DT451,'LP Reactivos'!DY451,'LP Reactivos'!EB451)," ")</f>
        <v>728829.42299999995</v>
      </c>
      <c r="F451" s="345">
        <f>IFERROR(MEDIAN('LP Reactivos'!F451,'LP Reactivos'!I451,'LP Reactivos'!N451,'LP Reactivos'!S451,'LP Reactivos'!X451,'LP Reactivos'!AC451,'LP Reactivos'!AH451,'LP Reactivos'!AM451,'LP Reactivos'!AR451,'LP Reactivos'!AW451,'LP Reactivos'!BB451,'LP Reactivos'!BG451,'LP Reactivos'!BL451,'LP Reactivos'!BQ451,'LP Reactivos'!BV451,'LP Reactivos'!CA451,'LP Reactivos'!CF451,'LP Reactivos'!CK451,'LP Reactivos'!CP451,'LP Reactivos'!CU451,'LP Reactivos'!CZ451,'LP Reactivos'!DE451,'LP Reactivos'!DJ451,'LP Reactivos'!DO451,'LP Reactivos'!DT451,'LP Reactivos'!DY451,'LP Reactivos'!EB451)," ")</f>
        <v>728829.42299999995</v>
      </c>
      <c r="G451" s="345">
        <f>IFERROR(GEOMEAN('LP Reactivos'!F451,'LP Reactivos'!I451,'LP Reactivos'!N451,'LP Reactivos'!S451,'LP Reactivos'!X451,'LP Reactivos'!AC451,'LP Reactivos'!AH451,'LP Reactivos'!AM451,'LP Reactivos'!AR451,'LP Reactivos'!AW451,'LP Reactivos'!BB451,'LP Reactivos'!BG451,'LP Reactivos'!BL451,'LP Reactivos'!BQ451,'LP Reactivos'!BV451,'LP Reactivos'!CA451,'LP Reactivos'!CF451,'LP Reactivos'!CK451,'LP Reactivos'!CP451,'LP Reactivos'!CU451,'LP Reactivos'!CZ451,'LP Reactivos'!DE451,'LP Reactivos'!DJ451,'LP Reactivos'!DO451,'LP Reactivos'!DT451,'LP Reactivos'!DY451,'LP Reactivos'!EB451)," ")</f>
        <v>722353.84410892427</v>
      </c>
      <c r="H451" s="345">
        <f t="shared" si="28"/>
        <v>47488.662504906264</v>
      </c>
      <c r="I451" s="346">
        <f t="shared" si="29"/>
        <v>6.515744426100957E-2</v>
      </c>
      <c r="J451" s="345">
        <f t="shared" si="30"/>
        <v>728829.42299999995</v>
      </c>
      <c r="K451" s="344" t="str">
        <f t="shared" si="31"/>
        <v>Promedio</v>
      </c>
      <c r="L451" s="326">
        <f>IFERROR(COUNTA('LP Reactivos'!F451,'LP Reactivos'!I451,'LP Reactivos'!N451,'LP Reactivos'!S451,'LP Reactivos'!X451,'LP Reactivos'!AC451,'LP Reactivos'!AH451,'LP Reactivos'!AM451,'LP Reactivos'!AR451,'LP Reactivos'!AW451,'LP Reactivos'!BB451,'LP Reactivos'!BG451,'LP Reactivos'!BL451,'LP Reactivos'!BQ451,'LP Reactivos'!BV451,'LP Reactivos'!CA451,'LP Reactivos'!CF451,'LP Reactivos'!CK451,'LP Reactivos'!CP451,'LP Reactivos'!CU451,'LP Reactivos'!CZ451,'LP Reactivos'!DE451,'LP Reactivos'!DJ451,'LP Reactivos'!DO451,'LP Reactivos'!DT451,'LP Reactivos'!DY451,'LP Reactivos'!EB451)," ")</f>
        <v>2</v>
      </c>
    </row>
    <row r="452" spans="2:12" ht="40.5" x14ac:dyDescent="0.25">
      <c r="B452" s="425">
        <v>450</v>
      </c>
      <c r="C452" s="427" t="s">
        <v>2188</v>
      </c>
      <c r="D452" s="429">
        <f>IFERROR(MIN('LP Reactivos'!F452,'LP Reactivos'!I452,'LP Reactivos'!N452,'LP Reactivos'!S452,'LP Reactivos'!X452,'LP Reactivos'!AC452,'LP Reactivos'!AH452,'LP Reactivos'!AM452,'LP Reactivos'!AR452,'LP Reactivos'!AW452,'LP Reactivos'!BB452,'LP Reactivos'!BG452,'LP Reactivos'!BL452,'LP Reactivos'!BQ452,'LP Reactivos'!BV452,'LP Reactivos'!CA452,'LP Reactivos'!CF452,'LP Reactivos'!CK452,'LP Reactivos'!CP452,'LP Reactivos'!CU452,'LP Reactivos'!CZ452,'LP Reactivos'!DE452,'LP Reactivos'!DJ452,'LP Reactivos'!DO452,'LP Reactivos'!DT452,'LP Reactivos'!DY452,'LP Reactivos'!EB452)," ")</f>
        <v>631890</v>
      </c>
      <c r="E452" s="429">
        <f>IFERROR(AVERAGE('LP Reactivos'!F452,'LP Reactivos'!I452,'LP Reactivos'!N452,'LP Reactivos'!S452,'LP Reactivos'!X452,'LP Reactivos'!AC452,'LP Reactivos'!AH452,'LP Reactivos'!AM452,'LP Reactivos'!AR452,'LP Reactivos'!AW452,'LP Reactivos'!BB452,'LP Reactivos'!BG452,'LP Reactivos'!BL452,'LP Reactivos'!BQ452,'LP Reactivos'!BV452,'LP Reactivos'!CA452,'LP Reactivos'!CF452,'LP Reactivos'!CK452,'LP Reactivos'!CP452,'LP Reactivos'!CU452,'LP Reactivos'!CZ452,'LP Reactivos'!DE452,'LP Reactivos'!DJ452,'LP Reactivos'!DO452,'LP Reactivos'!DT452,'LP Reactivos'!DY452,'LP Reactivos'!EB452)," ")</f>
        <v>731343.179</v>
      </c>
      <c r="F452" s="345">
        <f>IFERROR(MEDIAN('LP Reactivos'!F452,'LP Reactivos'!I452,'LP Reactivos'!N452,'LP Reactivos'!S452,'LP Reactivos'!X452,'LP Reactivos'!AC452,'LP Reactivos'!AH452,'LP Reactivos'!AM452,'LP Reactivos'!AR452,'LP Reactivos'!AW452,'LP Reactivos'!BB452,'LP Reactivos'!BG452,'LP Reactivos'!BL452,'LP Reactivos'!BQ452,'LP Reactivos'!BV452,'LP Reactivos'!CA452,'LP Reactivos'!CF452,'LP Reactivos'!CK452,'LP Reactivos'!CP452,'LP Reactivos'!CU452,'LP Reactivos'!CZ452,'LP Reactivos'!DE452,'LP Reactivos'!DJ452,'LP Reactivos'!DO452,'LP Reactivos'!DT452,'LP Reactivos'!DY452,'LP Reactivos'!EB452)," ")</f>
        <v>731343.179</v>
      </c>
      <c r="G452" s="345">
        <f>IFERROR(GEOMEAN('LP Reactivos'!F452,'LP Reactivos'!I452,'LP Reactivos'!N452,'LP Reactivos'!S452,'LP Reactivos'!X452,'LP Reactivos'!AC452,'LP Reactivos'!AH452,'LP Reactivos'!AM452,'LP Reactivos'!AR452,'LP Reactivos'!AW452,'LP Reactivos'!BB452,'LP Reactivos'!BG452,'LP Reactivos'!BL452,'LP Reactivos'!BQ452,'LP Reactivos'!BV452,'LP Reactivos'!CA452,'LP Reactivos'!CF452,'LP Reactivos'!CK452,'LP Reactivos'!CP452,'LP Reactivos'!CU452,'LP Reactivos'!CZ452,'LP Reactivos'!DE452,'LP Reactivos'!DJ452,'LP Reactivos'!DO452,'LP Reactivos'!DT452,'LP Reactivos'!DY452,'LP Reactivos'!EB452)," ")</f>
        <v>724549.45356174267</v>
      </c>
      <c r="H452" s="345">
        <f t="shared" si="28"/>
        <v>48699.720542861505</v>
      </c>
      <c r="I452" s="346">
        <f t="shared" si="29"/>
        <v>6.6589423325792041E-2</v>
      </c>
      <c r="J452" s="345">
        <f t="shared" si="30"/>
        <v>731343.179</v>
      </c>
      <c r="K452" s="344" t="str">
        <f t="shared" si="31"/>
        <v>Promedio</v>
      </c>
      <c r="L452" s="326">
        <f>IFERROR(COUNTA('LP Reactivos'!F452,'LP Reactivos'!I452,'LP Reactivos'!N452,'LP Reactivos'!S452,'LP Reactivos'!X452,'LP Reactivos'!AC452,'LP Reactivos'!AH452,'LP Reactivos'!AM452,'LP Reactivos'!AR452,'LP Reactivos'!AW452,'LP Reactivos'!BB452,'LP Reactivos'!BG452,'LP Reactivos'!BL452,'LP Reactivos'!BQ452,'LP Reactivos'!BV452,'LP Reactivos'!CA452,'LP Reactivos'!CF452,'LP Reactivos'!CK452,'LP Reactivos'!CP452,'LP Reactivos'!CU452,'LP Reactivos'!CZ452,'LP Reactivos'!DE452,'LP Reactivos'!DJ452,'LP Reactivos'!DO452,'LP Reactivos'!DT452,'LP Reactivos'!DY452,'LP Reactivos'!EB452)," ")</f>
        <v>2</v>
      </c>
    </row>
    <row r="453" spans="2:12" x14ac:dyDescent="0.25">
      <c r="B453" s="425">
        <v>451</v>
      </c>
      <c r="C453" s="427" t="s">
        <v>2191</v>
      </c>
      <c r="D453" s="429">
        <f>IFERROR(MIN('LP Reactivos'!F453,'LP Reactivos'!I453,'LP Reactivos'!N453,'LP Reactivos'!S453,'LP Reactivos'!X453,'LP Reactivos'!AC453,'LP Reactivos'!AH453,'LP Reactivos'!AM453,'LP Reactivos'!AR453,'LP Reactivos'!AW453,'LP Reactivos'!BB453,'LP Reactivos'!BG453,'LP Reactivos'!BL453,'LP Reactivos'!BQ453,'LP Reactivos'!BV453,'LP Reactivos'!CA453,'LP Reactivos'!CF453,'LP Reactivos'!CK453,'LP Reactivos'!CP453,'LP Reactivos'!CU453,'LP Reactivos'!CZ453,'LP Reactivos'!DE453,'LP Reactivos'!DJ453,'LP Reactivos'!DO453,'LP Reactivos'!DT453,'LP Reactivos'!DY453,'LP Reactivos'!EB453)," ")</f>
        <v>1580320</v>
      </c>
      <c r="E453" s="429">
        <f>IFERROR(AVERAGE('LP Reactivos'!F453,'LP Reactivos'!I453,'LP Reactivos'!N453,'LP Reactivos'!S453,'LP Reactivos'!X453,'LP Reactivos'!AC453,'LP Reactivos'!AH453,'LP Reactivos'!AM453,'LP Reactivos'!AR453,'LP Reactivos'!AW453,'LP Reactivos'!BB453,'LP Reactivos'!BG453,'LP Reactivos'!BL453,'LP Reactivos'!BQ453,'LP Reactivos'!BV453,'LP Reactivos'!CA453,'LP Reactivos'!CF453,'LP Reactivos'!CK453,'LP Reactivos'!CP453,'LP Reactivos'!CU453,'LP Reactivos'!CZ453,'LP Reactivos'!DE453,'LP Reactivos'!DJ453,'LP Reactivos'!DO453,'LP Reactivos'!DT453,'LP Reactivos'!DY453,'LP Reactivos'!EB453)," ")</f>
        <v>1824570.594</v>
      </c>
      <c r="F453" s="345">
        <f>IFERROR(MEDIAN('LP Reactivos'!F453,'LP Reactivos'!I453,'LP Reactivos'!N453,'LP Reactivos'!S453,'LP Reactivos'!X453,'LP Reactivos'!AC453,'LP Reactivos'!AH453,'LP Reactivos'!AM453,'LP Reactivos'!AR453,'LP Reactivos'!AW453,'LP Reactivos'!BB453,'LP Reactivos'!BG453,'LP Reactivos'!BL453,'LP Reactivos'!BQ453,'LP Reactivos'!BV453,'LP Reactivos'!CA453,'LP Reactivos'!CF453,'LP Reactivos'!CK453,'LP Reactivos'!CP453,'LP Reactivos'!CU453,'LP Reactivos'!CZ453,'LP Reactivos'!DE453,'LP Reactivos'!DJ453,'LP Reactivos'!DO453,'LP Reactivos'!DT453,'LP Reactivos'!DY453,'LP Reactivos'!EB453)," ")</f>
        <v>1824570.594</v>
      </c>
      <c r="G453" s="345">
        <f>IFERROR(GEOMEAN('LP Reactivos'!F453,'LP Reactivos'!I453,'LP Reactivos'!N453,'LP Reactivos'!S453,'LP Reactivos'!X453,'LP Reactivos'!AC453,'LP Reactivos'!AH453,'LP Reactivos'!AM453,'LP Reactivos'!AR453,'LP Reactivos'!AW453,'LP Reactivos'!BB453,'LP Reactivos'!BG453,'LP Reactivos'!BL453,'LP Reactivos'!BQ453,'LP Reactivos'!BV453,'LP Reactivos'!CA453,'LP Reactivos'!CF453,'LP Reactivos'!CK453,'LP Reactivos'!CP453,'LP Reactivos'!CU453,'LP Reactivos'!CZ453,'LP Reactivos'!DE453,'LP Reactivos'!DJ453,'LP Reactivos'!DO453,'LP Reactivos'!DT453,'LP Reactivos'!DY453,'LP Reactivos'!EB453)," ")</f>
        <v>1808148.0856998854</v>
      </c>
      <c r="H453" s="345">
        <f t="shared" si="28"/>
        <v>119638.94973701594</v>
      </c>
      <c r="I453" s="346">
        <f t="shared" si="29"/>
        <v>6.5571017164499992E-2</v>
      </c>
      <c r="J453" s="345">
        <f t="shared" si="30"/>
        <v>1824570.594</v>
      </c>
      <c r="K453" s="344" t="str">
        <f t="shared" si="31"/>
        <v>Promedio</v>
      </c>
      <c r="L453" s="326">
        <f>IFERROR(COUNTA('LP Reactivos'!F453,'LP Reactivos'!I453,'LP Reactivos'!N453,'LP Reactivos'!S453,'LP Reactivos'!X453,'LP Reactivos'!AC453,'LP Reactivos'!AH453,'LP Reactivos'!AM453,'LP Reactivos'!AR453,'LP Reactivos'!AW453,'LP Reactivos'!BB453,'LP Reactivos'!BG453,'LP Reactivos'!BL453,'LP Reactivos'!BQ453,'LP Reactivos'!BV453,'LP Reactivos'!CA453,'LP Reactivos'!CF453,'LP Reactivos'!CK453,'LP Reactivos'!CP453,'LP Reactivos'!CU453,'LP Reactivos'!CZ453,'LP Reactivos'!DE453,'LP Reactivos'!DJ453,'LP Reactivos'!DO453,'LP Reactivos'!DT453,'LP Reactivos'!DY453,'LP Reactivos'!EB453)," ")</f>
        <v>2</v>
      </c>
    </row>
    <row r="454" spans="2:12" ht="40.5" x14ac:dyDescent="0.25">
      <c r="B454" s="425">
        <v>452</v>
      </c>
      <c r="C454" s="427" t="s">
        <v>2195</v>
      </c>
      <c r="D454" s="429">
        <f>IFERROR(MIN('LP Reactivos'!F454,'LP Reactivos'!I454,'LP Reactivos'!N454,'LP Reactivos'!S454,'LP Reactivos'!X454,'LP Reactivos'!AC454,'LP Reactivos'!AH454,'LP Reactivos'!AM454,'LP Reactivos'!AR454,'LP Reactivos'!AW454,'LP Reactivos'!BB454,'LP Reactivos'!BG454,'LP Reactivos'!BL454,'LP Reactivos'!BQ454,'LP Reactivos'!BV454,'LP Reactivos'!CA454,'LP Reactivos'!CF454,'LP Reactivos'!CK454,'LP Reactivos'!CP454,'LP Reactivos'!CU454,'LP Reactivos'!CZ454,'LP Reactivos'!DE454,'LP Reactivos'!DJ454,'LP Reactivos'!DO454,'LP Reactivos'!DT454,'LP Reactivos'!DY454,'LP Reactivos'!EB454)," ")</f>
        <v>219250.22080000001</v>
      </c>
      <c r="E454" s="429">
        <f>IFERROR(AVERAGE('LP Reactivos'!F454,'LP Reactivos'!I454,'LP Reactivos'!N454,'LP Reactivos'!S454,'LP Reactivos'!X454,'LP Reactivos'!AC454,'LP Reactivos'!AH454,'LP Reactivos'!AM454,'LP Reactivos'!AR454,'LP Reactivos'!AW454,'LP Reactivos'!BB454,'LP Reactivos'!BG454,'LP Reactivos'!BL454,'LP Reactivos'!BQ454,'LP Reactivos'!BV454,'LP Reactivos'!CA454,'LP Reactivos'!CF454,'LP Reactivos'!CK454,'LP Reactivos'!CP454,'LP Reactivos'!CU454,'LP Reactivos'!CZ454,'LP Reactivos'!DE454,'LP Reactivos'!DJ454,'LP Reactivos'!DO454,'LP Reactivos'!DT454,'LP Reactivos'!DY454,'LP Reactivos'!EB454)," ")</f>
        <v>219250.22080000001</v>
      </c>
      <c r="F454" s="345">
        <f>IFERROR(MEDIAN('LP Reactivos'!F454,'LP Reactivos'!I454,'LP Reactivos'!N454,'LP Reactivos'!S454,'LP Reactivos'!X454,'LP Reactivos'!AC454,'LP Reactivos'!AH454,'LP Reactivos'!AM454,'LP Reactivos'!AR454,'LP Reactivos'!AW454,'LP Reactivos'!BB454,'LP Reactivos'!BG454,'LP Reactivos'!BL454,'LP Reactivos'!BQ454,'LP Reactivos'!BV454,'LP Reactivos'!CA454,'LP Reactivos'!CF454,'LP Reactivos'!CK454,'LP Reactivos'!CP454,'LP Reactivos'!CU454,'LP Reactivos'!CZ454,'LP Reactivos'!DE454,'LP Reactivos'!DJ454,'LP Reactivos'!DO454,'LP Reactivos'!DT454,'LP Reactivos'!DY454,'LP Reactivos'!EB454)," ")</f>
        <v>219250.22080000001</v>
      </c>
      <c r="G454" s="345">
        <f>IFERROR(GEOMEAN('LP Reactivos'!F454,'LP Reactivos'!I454,'LP Reactivos'!N454,'LP Reactivos'!S454,'LP Reactivos'!X454,'LP Reactivos'!AC454,'LP Reactivos'!AH454,'LP Reactivos'!AM454,'LP Reactivos'!AR454,'LP Reactivos'!AW454,'LP Reactivos'!BB454,'LP Reactivos'!BG454,'LP Reactivos'!BL454,'LP Reactivos'!BQ454,'LP Reactivos'!BV454,'LP Reactivos'!CA454,'LP Reactivos'!CF454,'LP Reactivos'!CK454,'LP Reactivos'!CP454,'LP Reactivos'!CU454,'LP Reactivos'!CZ454,'LP Reactivos'!DE454,'LP Reactivos'!DJ454,'LP Reactivos'!DO454,'LP Reactivos'!DT454,'LP Reactivos'!DY454,'LP Reactivos'!EB454)," ")</f>
        <v>219250.22080000001</v>
      </c>
      <c r="H454" s="345">
        <f t="shared" si="28"/>
        <v>0</v>
      </c>
      <c r="I454" s="346">
        <f t="shared" si="29"/>
        <v>0</v>
      </c>
      <c r="J454" s="345">
        <f t="shared" si="30"/>
        <v>219250.22080000001</v>
      </c>
      <c r="K454" s="344" t="str">
        <f t="shared" si="31"/>
        <v>Menor Valor</v>
      </c>
      <c r="L454" s="326">
        <f>IFERROR(COUNTA('LP Reactivos'!F454,'LP Reactivos'!I454,'LP Reactivos'!N454,'LP Reactivos'!S454,'LP Reactivos'!X454,'LP Reactivos'!AC454,'LP Reactivos'!AH454,'LP Reactivos'!AM454,'LP Reactivos'!AR454,'LP Reactivos'!AW454,'LP Reactivos'!BB454,'LP Reactivos'!BG454,'LP Reactivos'!BL454,'LP Reactivos'!BQ454,'LP Reactivos'!BV454,'LP Reactivos'!CA454,'LP Reactivos'!CF454,'LP Reactivos'!CK454,'LP Reactivos'!CP454,'LP Reactivos'!CU454,'LP Reactivos'!CZ454,'LP Reactivos'!DE454,'LP Reactivos'!DJ454,'LP Reactivos'!DO454,'LP Reactivos'!DT454,'LP Reactivos'!DY454,'LP Reactivos'!EB454)," ")</f>
        <v>1</v>
      </c>
    </row>
    <row r="455" spans="2:12" ht="27" x14ac:dyDescent="0.25">
      <c r="B455" s="425">
        <v>453</v>
      </c>
      <c r="C455" s="427" t="s">
        <v>2198</v>
      </c>
      <c r="D455" s="429">
        <f>IFERROR(MIN('LP Reactivos'!F455,'LP Reactivos'!I455,'LP Reactivos'!N455,'LP Reactivos'!S455,'LP Reactivos'!X455,'LP Reactivos'!AC455,'LP Reactivos'!AH455,'LP Reactivos'!AM455,'LP Reactivos'!AR455,'LP Reactivos'!AW455,'LP Reactivos'!BB455,'LP Reactivos'!BG455,'LP Reactivos'!BL455,'LP Reactivos'!BQ455,'LP Reactivos'!BV455,'LP Reactivos'!CA455,'LP Reactivos'!CF455,'LP Reactivos'!CK455,'LP Reactivos'!CP455,'LP Reactivos'!CU455,'LP Reactivos'!CZ455,'LP Reactivos'!DE455,'LP Reactivos'!DJ455,'LP Reactivos'!DO455,'LP Reactivos'!DT455,'LP Reactivos'!DY455,'LP Reactivos'!EB455)," ")</f>
        <v>259392.158</v>
      </c>
      <c r="E455" s="429">
        <f>IFERROR(AVERAGE('LP Reactivos'!F455,'LP Reactivos'!I455,'LP Reactivos'!N455,'LP Reactivos'!S455,'LP Reactivos'!X455,'LP Reactivos'!AC455,'LP Reactivos'!AH455,'LP Reactivos'!AM455,'LP Reactivos'!AR455,'LP Reactivos'!AW455,'LP Reactivos'!BB455,'LP Reactivos'!BG455,'LP Reactivos'!BL455,'LP Reactivos'!BQ455,'LP Reactivos'!BV455,'LP Reactivos'!CA455,'LP Reactivos'!CF455,'LP Reactivos'!CK455,'LP Reactivos'!CP455,'LP Reactivos'!CU455,'LP Reactivos'!CZ455,'LP Reactivos'!DE455,'LP Reactivos'!DJ455,'LP Reactivos'!DO455,'LP Reactivos'!DT455,'LP Reactivos'!DY455,'LP Reactivos'!EB455)," ")</f>
        <v>259392.158</v>
      </c>
      <c r="F455" s="345">
        <f>IFERROR(MEDIAN('LP Reactivos'!F455,'LP Reactivos'!I455,'LP Reactivos'!N455,'LP Reactivos'!S455,'LP Reactivos'!X455,'LP Reactivos'!AC455,'LP Reactivos'!AH455,'LP Reactivos'!AM455,'LP Reactivos'!AR455,'LP Reactivos'!AW455,'LP Reactivos'!BB455,'LP Reactivos'!BG455,'LP Reactivos'!BL455,'LP Reactivos'!BQ455,'LP Reactivos'!BV455,'LP Reactivos'!CA455,'LP Reactivos'!CF455,'LP Reactivos'!CK455,'LP Reactivos'!CP455,'LP Reactivos'!CU455,'LP Reactivos'!CZ455,'LP Reactivos'!DE455,'LP Reactivos'!DJ455,'LP Reactivos'!DO455,'LP Reactivos'!DT455,'LP Reactivos'!DY455,'LP Reactivos'!EB455)," ")</f>
        <v>259392.158</v>
      </c>
      <c r="G455" s="345">
        <f>IFERROR(GEOMEAN('LP Reactivos'!F455,'LP Reactivos'!I455,'LP Reactivos'!N455,'LP Reactivos'!S455,'LP Reactivos'!X455,'LP Reactivos'!AC455,'LP Reactivos'!AH455,'LP Reactivos'!AM455,'LP Reactivos'!AR455,'LP Reactivos'!AW455,'LP Reactivos'!BB455,'LP Reactivos'!BG455,'LP Reactivos'!BL455,'LP Reactivos'!BQ455,'LP Reactivos'!BV455,'LP Reactivos'!CA455,'LP Reactivos'!CF455,'LP Reactivos'!CK455,'LP Reactivos'!CP455,'LP Reactivos'!CU455,'LP Reactivos'!CZ455,'LP Reactivos'!DE455,'LP Reactivos'!DJ455,'LP Reactivos'!DO455,'LP Reactivos'!DT455,'LP Reactivos'!DY455,'LP Reactivos'!EB455)," ")</f>
        <v>259392.158</v>
      </c>
      <c r="H455" s="345">
        <f t="shared" si="28"/>
        <v>0</v>
      </c>
      <c r="I455" s="346">
        <f t="shared" si="29"/>
        <v>0</v>
      </c>
      <c r="J455" s="345">
        <f t="shared" si="30"/>
        <v>259392.158</v>
      </c>
      <c r="K455" s="344" t="str">
        <f t="shared" si="31"/>
        <v>Menor Valor</v>
      </c>
      <c r="L455" s="326">
        <f>IFERROR(COUNTA('LP Reactivos'!F455,'LP Reactivos'!I455,'LP Reactivos'!N455,'LP Reactivos'!S455,'LP Reactivos'!X455,'LP Reactivos'!AC455,'LP Reactivos'!AH455,'LP Reactivos'!AM455,'LP Reactivos'!AR455,'LP Reactivos'!AW455,'LP Reactivos'!BB455,'LP Reactivos'!BG455,'LP Reactivos'!BL455,'LP Reactivos'!BQ455,'LP Reactivos'!BV455,'LP Reactivos'!CA455,'LP Reactivos'!CF455,'LP Reactivos'!CK455,'LP Reactivos'!CP455,'LP Reactivos'!CU455,'LP Reactivos'!CZ455,'LP Reactivos'!DE455,'LP Reactivos'!DJ455,'LP Reactivos'!DO455,'LP Reactivos'!DT455,'LP Reactivos'!DY455,'LP Reactivos'!EB455)," ")</f>
        <v>1</v>
      </c>
    </row>
    <row r="456" spans="2:12" ht="27" x14ac:dyDescent="0.25">
      <c r="B456" s="425">
        <v>454</v>
      </c>
      <c r="C456" s="427" t="s">
        <v>2199</v>
      </c>
      <c r="D456" s="429">
        <f>IFERROR(MIN('LP Reactivos'!F456,'LP Reactivos'!I456,'LP Reactivos'!N456,'LP Reactivos'!S456,'LP Reactivos'!X456,'LP Reactivos'!AC456,'LP Reactivos'!AH456,'LP Reactivos'!AM456,'LP Reactivos'!AR456,'LP Reactivos'!AW456,'LP Reactivos'!BB456,'LP Reactivos'!BG456,'LP Reactivos'!BL456,'LP Reactivos'!BQ456,'LP Reactivos'!BV456,'LP Reactivos'!CA456,'LP Reactivos'!CF456,'LP Reactivos'!CK456,'LP Reactivos'!CP456,'LP Reactivos'!CU456,'LP Reactivos'!CZ456,'LP Reactivos'!DE456,'LP Reactivos'!DJ456,'LP Reactivos'!DO456,'LP Reactivos'!DT456,'LP Reactivos'!DY456,'LP Reactivos'!EB456)," ")</f>
        <v>1385734.4000000001</v>
      </c>
      <c r="E456" s="429">
        <f>IFERROR(AVERAGE('LP Reactivos'!F456,'LP Reactivos'!I456,'LP Reactivos'!N456,'LP Reactivos'!S456,'LP Reactivos'!X456,'LP Reactivos'!AC456,'LP Reactivos'!AH456,'LP Reactivos'!AM456,'LP Reactivos'!AR456,'LP Reactivos'!AW456,'LP Reactivos'!BB456,'LP Reactivos'!BG456,'LP Reactivos'!BL456,'LP Reactivos'!BQ456,'LP Reactivos'!BV456,'LP Reactivos'!CA456,'LP Reactivos'!CF456,'LP Reactivos'!CK456,'LP Reactivos'!CP456,'LP Reactivos'!CU456,'LP Reactivos'!CZ456,'LP Reactivos'!DE456,'LP Reactivos'!DJ456,'LP Reactivos'!DO456,'LP Reactivos'!DT456,'LP Reactivos'!DY456,'LP Reactivos'!EB456)," ")</f>
        <v>1385734.4000000001</v>
      </c>
      <c r="F456" s="345">
        <f>IFERROR(MEDIAN('LP Reactivos'!F456,'LP Reactivos'!I456,'LP Reactivos'!N456,'LP Reactivos'!S456,'LP Reactivos'!X456,'LP Reactivos'!AC456,'LP Reactivos'!AH456,'LP Reactivos'!AM456,'LP Reactivos'!AR456,'LP Reactivos'!AW456,'LP Reactivos'!BB456,'LP Reactivos'!BG456,'LP Reactivos'!BL456,'LP Reactivos'!BQ456,'LP Reactivos'!BV456,'LP Reactivos'!CA456,'LP Reactivos'!CF456,'LP Reactivos'!CK456,'LP Reactivos'!CP456,'LP Reactivos'!CU456,'LP Reactivos'!CZ456,'LP Reactivos'!DE456,'LP Reactivos'!DJ456,'LP Reactivos'!DO456,'LP Reactivos'!DT456,'LP Reactivos'!DY456,'LP Reactivos'!EB456)," ")</f>
        <v>1385734.4000000001</v>
      </c>
      <c r="G456" s="345">
        <f>IFERROR(GEOMEAN('LP Reactivos'!F456,'LP Reactivos'!I456,'LP Reactivos'!N456,'LP Reactivos'!S456,'LP Reactivos'!X456,'LP Reactivos'!AC456,'LP Reactivos'!AH456,'LP Reactivos'!AM456,'LP Reactivos'!AR456,'LP Reactivos'!AW456,'LP Reactivos'!BB456,'LP Reactivos'!BG456,'LP Reactivos'!BL456,'LP Reactivos'!BQ456,'LP Reactivos'!BV456,'LP Reactivos'!CA456,'LP Reactivos'!CF456,'LP Reactivos'!CK456,'LP Reactivos'!CP456,'LP Reactivos'!CU456,'LP Reactivos'!CZ456,'LP Reactivos'!DE456,'LP Reactivos'!DJ456,'LP Reactivos'!DO456,'LP Reactivos'!DT456,'LP Reactivos'!DY456,'LP Reactivos'!EB456)," ")</f>
        <v>1385734.4000000001</v>
      </c>
      <c r="H456" s="345">
        <f t="shared" si="28"/>
        <v>0</v>
      </c>
      <c r="I456" s="346">
        <f t="shared" si="29"/>
        <v>0</v>
      </c>
      <c r="J456" s="345">
        <f t="shared" si="30"/>
        <v>1385734.4000000001</v>
      </c>
      <c r="K456" s="344" t="str">
        <f t="shared" si="31"/>
        <v>Menor Valor</v>
      </c>
      <c r="L456" s="326">
        <f>IFERROR(COUNTA('LP Reactivos'!F456,'LP Reactivos'!I456,'LP Reactivos'!N456,'LP Reactivos'!S456,'LP Reactivos'!X456,'LP Reactivos'!AC456,'LP Reactivos'!AH456,'LP Reactivos'!AM456,'LP Reactivos'!AR456,'LP Reactivos'!AW456,'LP Reactivos'!BB456,'LP Reactivos'!BG456,'LP Reactivos'!BL456,'LP Reactivos'!BQ456,'LP Reactivos'!BV456,'LP Reactivos'!CA456,'LP Reactivos'!CF456,'LP Reactivos'!CK456,'LP Reactivos'!CP456,'LP Reactivos'!CU456,'LP Reactivos'!CZ456,'LP Reactivos'!DE456,'LP Reactivos'!DJ456,'LP Reactivos'!DO456,'LP Reactivos'!DT456,'LP Reactivos'!DY456,'LP Reactivos'!EB456)," ")</f>
        <v>1</v>
      </c>
    </row>
    <row r="457" spans="2:12" ht="40.5" x14ac:dyDescent="0.25">
      <c r="B457" s="425">
        <v>455</v>
      </c>
      <c r="C457" s="427" t="s">
        <v>2200</v>
      </c>
      <c r="D457" s="429">
        <f>IFERROR(MIN('LP Reactivos'!F457,'LP Reactivos'!I457,'LP Reactivos'!N457,'LP Reactivos'!S457,'LP Reactivos'!X457,'LP Reactivos'!AC457,'LP Reactivos'!AH457,'LP Reactivos'!AM457,'LP Reactivos'!AR457,'LP Reactivos'!AW457,'LP Reactivos'!BB457,'LP Reactivos'!BG457,'LP Reactivos'!BL457,'LP Reactivos'!BQ457,'LP Reactivos'!BV457,'LP Reactivos'!CA457,'LP Reactivos'!CF457,'LP Reactivos'!CK457,'LP Reactivos'!CP457,'LP Reactivos'!CU457,'LP Reactivos'!CZ457,'LP Reactivos'!DE457,'LP Reactivos'!DJ457,'LP Reactivos'!DO457,'LP Reactivos'!DT457,'LP Reactivos'!DY457,'LP Reactivos'!EB457)," ")</f>
        <v>2020510.6</v>
      </c>
      <c r="E457" s="429">
        <f>IFERROR(AVERAGE('LP Reactivos'!F457,'LP Reactivos'!I457,'LP Reactivos'!N457,'LP Reactivos'!S457,'LP Reactivos'!X457,'LP Reactivos'!AC457,'LP Reactivos'!AH457,'LP Reactivos'!AM457,'LP Reactivos'!AR457,'LP Reactivos'!AW457,'LP Reactivos'!BB457,'LP Reactivos'!BG457,'LP Reactivos'!BL457,'LP Reactivos'!BQ457,'LP Reactivos'!BV457,'LP Reactivos'!CA457,'LP Reactivos'!CF457,'LP Reactivos'!CK457,'LP Reactivos'!CP457,'LP Reactivos'!CU457,'LP Reactivos'!CZ457,'LP Reactivos'!DE457,'LP Reactivos'!DJ457,'LP Reactivos'!DO457,'LP Reactivos'!DT457,'LP Reactivos'!DY457,'LP Reactivos'!EB457)," ")</f>
        <v>2020510.6</v>
      </c>
      <c r="F457" s="345">
        <f>IFERROR(MEDIAN('LP Reactivos'!F457,'LP Reactivos'!I457,'LP Reactivos'!N457,'LP Reactivos'!S457,'LP Reactivos'!X457,'LP Reactivos'!AC457,'LP Reactivos'!AH457,'LP Reactivos'!AM457,'LP Reactivos'!AR457,'LP Reactivos'!AW457,'LP Reactivos'!BB457,'LP Reactivos'!BG457,'LP Reactivos'!BL457,'LP Reactivos'!BQ457,'LP Reactivos'!BV457,'LP Reactivos'!CA457,'LP Reactivos'!CF457,'LP Reactivos'!CK457,'LP Reactivos'!CP457,'LP Reactivos'!CU457,'LP Reactivos'!CZ457,'LP Reactivos'!DE457,'LP Reactivos'!DJ457,'LP Reactivos'!DO457,'LP Reactivos'!DT457,'LP Reactivos'!DY457,'LP Reactivos'!EB457)," ")</f>
        <v>2020510.6</v>
      </c>
      <c r="G457" s="345">
        <f>IFERROR(GEOMEAN('LP Reactivos'!F457,'LP Reactivos'!I457,'LP Reactivos'!N457,'LP Reactivos'!S457,'LP Reactivos'!X457,'LP Reactivos'!AC457,'LP Reactivos'!AH457,'LP Reactivos'!AM457,'LP Reactivos'!AR457,'LP Reactivos'!AW457,'LP Reactivos'!BB457,'LP Reactivos'!BG457,'LP Reactivos'!BL457,'LP Reactivos'!BQ457,'LP Reactivos'!BV457,'LP Reactivos'!CA457,'LP Reactivos'!CF457,'LP Reactivos'!CK457,'LP Reactivos'!CP457,'LP Reactivos'!CU457,'LP Reactivos'!CZ457,'LP Reactivos'!DE457,'LP Reactivos'!DJ457,'LP Reactivos'!DO457,'LP Reactivos'!DT457,'LP Reactivos'!DY457,'LP Reactivos'!EB457)," ")</f>
        <v>2020510.6</v>
      </c>
      <c r="H457" s="345">
        <f t="shared" si="28"/>
        <v>0</v>
      </c>
      <c r="I457" s="346">
        <f t="shared" si="29"/>
        <v>0</v>
      </c>
      <c r="J457" s="345">
        <f t="shared" si="30"/>
        <v>2020510.6</v>
      </c>
      <c r="K457" s="344" t="str">
        <f t="shared" si="31"/>
        <v>Menor Valor</v>
      </c>
      <c r="L457" s="326">
        <f>IFERROR(COUNTA('LP Reactivos'!F457,'LP Reactivos'!I457,'LP Reactivos'!N457,'LP Reactivos'!S457,'LP Reactivos'!X457,'LP Reactivos'!AC457,'LP Reactivos'!AH457,'LP Reactivos'!AM457,'LP Reactivos'!AR457,'LP Reactivos'!AW457,'LP Reactivos'!BB457,'LP Reactivos'!BG457,'LP Reactivos'!BL457,'LP Reactivos'!BQ457,'LP Reactivos'!BV457,'LP Reactivos'!CA457,'LP Reactivos'!CF457,'LP Reactivos'!CK457,'LP Reactivos'!CP457,'LP Reactivos'!CU457,'LP Reactivos'!CZ457,'LP Reactivos'!DE457,'LP Reactivos'!DJ457,'LP Reactivos'!DO457,'LP Reactivos'!DT457,'LP Reactivos'!DY457,'LP Reactivos'!EB457)," ")</f>
        <v>1</v>
      </c>
    </row>
    <row r="458" spans="2:12" x14ac:dyDescent="0.25">
      <c r="B458" s="425">
        <v>456</v>
      </c>
      <c r="C458" s="428" t="s">
        <v>2201</v>
      </c>
      <c r="D458" s="429">
        <f>IFERROR(MIN('LP Reactivos'!F458,'LP Reactivos'!I458,'LP Reactivos'!N458,'LP Reactivos'!S458,'LP Reactivos'!X458,'LP Reactivos'!AC458,'LP Reactivos'!AH458,'LP Reactivos'!AM458,'LP Reactivos'!AR458,'LP Reactivos'!AW458,'LP Reactivos'!BB458,'LP Reactivos'!BG458,'LP Reactivos'!BL458,'LP Reactivos'!BQ458,'LP Reactivos'!BV458,'LP Reactivos'!CA458,'LP Reactivos'!CF458,'LP Reactivos'!CK458,'LP Reactivos'!CP458,'LP Reactivos'!CU458,'LP Reactivos'!CZ458,'LP Reactivos'!DE458,'LP Reactivos'!DJ458,'LP Reactivos'!DO458,'LP Reactivos'!DT458,'LP Reactivos'!DY458,'LP Reactivos'!EB458)," ")</f>
        <v>320015</v>
      </c>
      <c r="E458" s="429">
        <f>IFERROR(AVERAGE('LP Reactivos'!F458,'LP Reactivos'!I458,'LP Reactivos'!N458,'LP Reactivos'!S458,'LP Reactivos'!X458,'LP Reactivos'!AC458,'LP Reactivos'!AH458,'LP Reactivos'!AM458,'LP Reactivos'!AR458,'LP Reactivos'!AW458,'LP Reactivos'!BB458,'LP Reactivos'!BG458,'LP Reactivos'!BL458,'LP Reactivos'!BQ458,'LP Reactivos'!BV458,'LP Reactivos'!CA458,'LP Reactivos'!CF458,'LP Reactivos'!CK458,'LP Reactivos'!CP458,'LP Reactivos'!CU458,'LP Reactivos'!CZ458,'LP Reactivos'!DE458,'LP Reactivos'!DJ458,'LP Reactivos'!DO458,'LP Reactivos'!DT458,'LP Reactivos'!DY458,'LP Reactivos'!EB458)," ")</f>
        <v>325417.5</v>
      </c>
      <c r="F458" s="345">
        <f>IFERROR(MEDIAN('LP Reactivos'!F458,'LP Reactivos'!I458,'LP Reactivos'!N458,'LP Reactivos'!S458,'LP Reactivos'!X458,'LP Reactivos'!AC458,'LP Reactivos'!AH458,'LP Reactivos'!AM458,'LP Reactivos'!AR458,'LP Reactivos'!AW458,'LP Reactivos'!BB458,'LP Reactivos'!BG458,'LP Reactivos'!BL458,'LP Reactivos'!BQ458,'LP Reactivos'!BV458,'LP Reactivos'!CA458,'LP Reactivos'!CF458,'LP Reactivos'!CK458,'LP Reactivos'!CP458,'LP Reactivos'!CU458,'LP Reactivos'!CZ458,'LP Reactivos'!DE458,'LP Reactivos'!DJ458,'LP Reactivos'!DO458,'LP Reactivos'!DT458,'LP Reactivos'!DY458,'LP Reactivos'!EB458)," ")</f>
        <v>325417.5</v>
      </c>
      <c r="G458" s="345">
        <f>IFERROR(GEOMEAN('LP Reactivos'!F458,'LP Reactivos'!I458,'LP Reactivos'!N458,'LP Reactivos'!S458,'LP Reactivos'!X458,'LP Reactivos'!AC458,'LP Reactivos'!AH458,'LP Reactivos'!AM458,'LP Reactivos'!AR458,'LP Reactivos'!AW458,'LP Reactivos'!BB458,'LP Reactivos'!BG458,'LP Reactivos'!BL458,'LP Reactivos'!BQ458,'LP Reactivos'!BV458,'LP Reactivos'!CA458,'LP Reactivos'!CF458,'LP Reactivos'!CK458,'LP Reactivos'!CP458,'LP Reactivos'!CU458,'LP Reactivos'!CZ458,'LP Reactivos'!DE458,'LP Reactivos'!DJ458,'LP Reactivos'!DO458,'LP Reactivos'!DT458,'LP Reactivos'!DY458,'LP Reactivos'!EB458)," ")</f>
        <v>325372.65143216937</v>
      </c>
      <c r="H458" s="345">
        <f t="shared" si="28"/>
        <v>2693.8582021068373</v>
      </c>
      <c r="I458" s="346">
        <f t="shared" si="29"/>
        <v>8.278160216051187E-3</v>
      </c>
      <c r="J458" s="345">
        <f t="shared" si="30"/>
        <v>325417.5</v>
      </c>
      <c r="K458" s="344" t="str">
        <f t="shared" si="31"/>
        <v>Promedio</v>
      </c>
      <c r="L458" s="326">
        <f>IFERROR(COUNTA('LP Reactivos'!F458,'LP Reactivos'!I458,'LP Reactivos'!N458,'LP Reactivos'!S458,'LP Reactivos'!X458,'LP Reactivos'!AC458,'LP Reactivos'!AH458,'LP Reactivos'!AM458,'LP Reactivos'!AR458,'LP Reactivos'!AW458,'LP Reactivos'!BB458,'LP Reactivos'!BG458,'LP Reactivos'!BL458,'LP Reactivos'!BQ458,'LP Reactivos'!BV458,'LP Reactivos'!CA458,'LP Reactivos'!CF458,'LP Reactivos'!CK458,'LP Reactivos'!CP458,'LP Reactivos'!CU458,'LP Reactivos'!CZ458,'LP Reactivos'!DE458,'LP Reactivos'!DJ458,'LP Reactivos'!DO458,'LP Reactivos'!DT458,'LP Reactivos'!DY458,'LP Reactivos'!EB458)," ")</f>
        <v>2</v>
      </c>
    </row>
    <row r="459" spans="2:12" ht="54" x14ac:dyDescent="0.25">
      <c r="B459" s="425">
        <v>457</v>
      </c>
      <c r="C459" s="413" t="s">
        <v>2204</v>
      </c>
      <c r="D459" s="429">
        <f>IFERROR(MIN('LP Reactivos'!F459,'LP Reactivos'!I459,'LP Reactivos'!N459,'LP Reactivos'!S459,'LP Reactivos'!X459,'LP Reactivos'!AC459,'LP Reactivos'!AH459,'LP Reactivos'!AM459,'LP Reactivos'!AR459,'LP Reactivos'!AW459,'LP Reactivos'!BB459,'LP Reactivos'!BG459,'LP Reactivos'!BL459,'LP Reactivos'!BQ459,'LP Reactivos'!BV459,'LP Reactivos'!CA459,'LP Reactivos'!CF459,'LP Reactivos'!CK459,'LP Reactivos'!CP459,'LP Reactivos'!CU459,'LP Reactivos'!CZ459,'LP Reactivos'!DE459,'LP Reactivos'!DJ459,'LP Reactivos'!DO459,'LP Reactivos'!DT459,'LP Reactivos'!DY459,'LP Reactivos'!EB459)," ")</f>
        <v>9807661</v>
      </c>
      <c r="E459" s="429">
        <f>IFERROR(AVERAGE('LP Reactivos'!F459,'LP Reactivos'!I459,'LP Reactivos'!N459,'LP Reactivos'!S459,'LP Reactivos'!X459,'LP Reactivos'!AC459,'LP Reactivos'!AH459,'LP Reactivos'!AM459,'LP Reactivos'!AR459,'LP Reactivos'!AW459,'LP Reactivos'!BB459,'LP Reactivos'!BG459,'LP Reactivos'!BL459,'LP Reactivos'!BQ459,'LP Reactivos'!BV459,'LP Reactivos'!CA459,'LP Reactivos'!CF459,'LP Reactivos'!CK459,'LP Reactivos'!CP459,'LP Reactivos'!CU459,'LP Reactivos'!CZ459,'LP Reactivos'!DE459,'LP Reactivos'!DJ459,'LP Reactivos'!DO459,'LP Reactivos'!DT459,'LP Reactivos'!DY459,'LP Reactivos'!EB459)," ")</f>
        <v>9807661</v>
      </c>
      <c r="F459" s="345">
        <f>IFERROR(MEDIAN('LP Reactivos'!F459,'LP Reactivos'!I459,'LP Reactivos'!N459,'LP Reactivos'!S459,'LP Reactivos'!X459,'LP Reactivos'!AC459,'LP Reactivos'!AH459,'LP Reactivos'!AM459,'LP Reactivos'!AR459,'LP Reactivos'!AW459,'LP Reactivos'!BB459,'LP Reactivos'!BG459,'LP Reactivos'!BL459,'LP Reactivos'!BQ459,'LP Reactivos'!BV459,'LP Reactivos'!CA459,'LP Reactivos'!CF459,'LP Reactivos'!CK459,'LP Reactivos'!CP459,'LP Reactivos'!CU459,'LP Reactivos'!CZ459,'LP Reactivos'!DE459,'LP Reactivos'!DJ459,'LP Reactivos'!DO459,'LP Reactivos'!DT459,'LP Reactivos'!DY459,'LP Reactivos'!EB459)," ")</f>
        <v>9807661</v>
      </c>
      <c r="G459" s="345">
        <f>IFERROR(GEOMEAN('LP Reactivos'!F459,'LP Reactivos'!I459,'LP Reactivos'!N459,'LP Reactivos'!S459,'LP Reactivos'!X459,'LP Reactivos'!AC459,'LP Reactivos'!AH459,'LP Reactivos'!AM459,'LP Reactivos'!AR459,'LP Reactivos'!AW459,'LP Reactivos'!BB459,'LP Reactivos'!BG459,'LP Reactivos'!BL459,'LP Reactivos'!BQ459,'LP Reactivos'!BV459,'LP Reactivos'!CA459,'LP Reactivos'!CF459,'LP Reactivos'!CK459,'LP Reactivos'!CP459,'LP Reactivos'!CU459,'LP Reactivos'!CZ459,'LP Reactivos'!DE459,'LP Reactivos'!DJ459,'LP Reactivos'!DO459,'LP Reactivos'!DT459,'LP Reactivos'!DY459,'LP Reactivos'!EB459)," ")</f>
        <v>9807661</v>
      </c>
      <c r="H459" s="345">
        <f t="shared" si="28"/>
        <v>0</v>
      </c>
      <c r="I459" s="346">
        <f t="shared" si="29"/>
        <v>0</v>
      </c>
      <c r="J459" s="345">
        <f t="shared" si="30"/>
        <v>9807661</v>
      </c>
      <c r="K459" s="344" t="str">
        <f t="shared" si="31"/>
        <v>Menor Valor</v>
      </c>
      <c r="L459" s="326">
        <f>IFERROR(COUNTA('LP Reactivos'!F459,'LP Reactivos'!I459,'LP Reactivos'!N459,'LP Reactivos'!S459,'LP Reactivos'!X459,'LP Reactivos'!AC459,'LP Reactivos'!AH459,'LP Reactivos'!AM459,'LP Reactivos'!AR459,'LP Reactivos'!AW459,'LP Reactivos'!BB459,'LP Reactivos'!BG459,'LP Reactivos'!BL459,'LP Reactivos'!BQ459,'LP Reactivos'!BV459,'LP Reactivos'!CA459,'LP Reactivos'!CF459,'LP Reactivos'!CK459,'LP Reactivos'!CP459,'LP Reactivos'!CU459,'LP Reactivos'!CZ459,'LP Reactivos'!DE459,'LP Reactivos'!DJ459,'LP Reactivos'!DO459,'LP Reactivos'!DT459,'LP Reactivos'!DY459,'LP Reactivos'!EB459)," ")</f>
        <v>1</v>
      </c>
    </row>
    <row r="460" spans="2:12" x14ac:dyDescent="0.25">
      <c r="B460" s="425">
        <v>458</v>
      </c>
      <c r="C460" s="427" t="s">
        <v>2207</v>
      </c>
      <c r="D460" s="429">
        <f>IFERROR(MIN('LP Reactivos'!F460,'LP Reactivos'!I460,'LP Reactivos'!N460,'LP Reactivos'!S460,'LP Reactivos'!X460,'LP Reactivos'!AC460,'LP Reactivos'!AH460,'LP Reactivos'!AM460,'LP Reactivos'!AR460,'LP Reactivos'!AW460,'LP Reactivos'!BB460,'LP Reactivos'!BG460,'LP Reactivos'!BL460,'LP Reactivos'!BQ460,'LP Reactivos'!BV460,'LP Reactivos'!CA460,'LP Reactivos'!CF460,'LP Reactivos'!CK460,'LP Reactivos'!CP460,'LP Reactivos'!CU460,'LP Reactivos'!CZ460,'LP Reactivos'!DE460,'LP Reactivos'!DJ460,'LP Reactivos'!DO460,'LP Reactivos'!DT460,'LP Reactivos'!DY460,'LP Reactivos'!EB460)," ")</f>
        <v>566598</v>
      </c>
      <c r="E460" s="429">
        <f>IFERROR(AVERAGE('LP Reactivos'!F460,'LP Reactivos'!I460,'LP Reactivos'!N460,'LP Reactivos'!S460,'LP Reactivos'!X460,'LP Reactivos'!AC460,'LP Reactivos'!AH460,'LP Reactivos'!AM460,'LP Reactivos'!AR460,'LP Reactivos'!AW460,'LP Reactivos'!BB460,'LP Reactivos'!BG460,'LP Reactivos'!BL460,'LP Reactivos'!BQ460,'LP Reactivos'!BV460,'LP Reactivos'!CA460,'LP Reactivos'!CF460,'LP Reactivos'!CK460,'LP Reactivos'!CP460,'LP Reactivos'!CU460,'LP Reactivos'!CZ460,'LP Reactivos'!DE460,'LP Reactivos'!DJ460,'LP Reactivos'!DO460,'LP Reactivos'!DT460,'LP Reactivos'!DY460,'LP Reactivos'!EB460)," ")</f>
        <v>566598</v>
      </c>
      <c r="F460" s="345">
        <f>IFERROR(MEDIAN('LP Reactivos'!F460,'LP Reactivos'!I460,'LP Reactivos'!N460,'LP Reactivos'!S460,'LP Reactivos'!X460,'LP Reactivos'!AC460,'LP Reactivos'!AH460,'LP Reactivos'!AM460,'LP Reactivos'!AR460,'LP Reactivos'!AW460,'LP Reactivos'!BB460,'LP Reactivos'!BG460,'LP Reactivos'!BL460,'LP Reactivos'!BQ460,'LP Reactivos'!BV460,'LP Reactivos'!CA460,'LP Reactivos'!CF460,'LP Reactivos'!CK460,'LP Reactivos'!CP460,'LP Reactivos'!CU460,'LP Reactivos'!CZ460,'LP Reactivos'!DE460,'LP Reactivos'!DJ460,'LP Reactivos'!DO460,'LP Reactivos'!DT460,'LP Reactivos'!DY460,'LP Reactivos'!EB460)," ")</f>
        <v>566598</v>
      </c>
      <c r="G460" s="345">
        <f>IFERROR(GEOMEAN('LP Reactivos'!F460,'LP Reactivos'!I460,'LP Reactivos'!N460,'LP Reactivos'!S460,'LP Reactivos'!X460,'LP Reactivos'!AC460,'LP Reactivos'!AH460,'LP Reactivos'!AM460,'LP Reactivos'!AR460,'LP Reactivos'!AW460,'LP Reactivos'!BB460,'LP Reactivos'!BG460,'LP Reactivos'!BL460,'LP Reactivos'!BQ460,'LP Reactivos'!BV460,'LP Reactivos'!CA460,'LP Reactivos'!CF460,'LP Reactivos'!CK460,'LP Reactivos'!CP460,'LP Reactivos'!CU460,'LP Reactivos'!CZ460,'LP Reactivos'!DE460,'LP Reactivos'!DJ460,'LP Reactivos'!DO460,'LP Reactivos'!DT460,'LP Reactivos'!DY460,'LP Reactivos'!EB460)," ")</f>
        <v>566598</v>
      </c>
      <c r="H460" s="345">
        <f t="shared" si="28"/>
        <v>0</v>
      </c>
      <c r="I460" s="346">
        <f t="shared" si="29"/>
        <v>0</v>
      </c>
      <c r="J460" s="345">
        <f t="shared" si="30"/>
        <v>566598</v>
      </c>
      <c r="K460" s="344" t="str">
        <f t="shared" si="31"/>
        <v>Menor Valor</v>
      </c>
      <c r="L460" s="326">
        <f>IFERROR(COUNTA('LP Reactivos'!F460,'LP Reactivos'!I460,'LP Reactivos'!N460,'LP Reactivos'!S460,'LP Reactivos'!X460,'LP Reactivos'!AC460,'LP Reactivos'!AH460,'LP Reactivos'!AM460,'LP Reactivos'!AR460,'LP Reactivos'!AW460,'LP Reactivos'!BB460,'LP Reactivos'!BG460,'LP Reactivos'!BL460,'LP Reactivos'!BQ460,'LP Reactivos'!BV460,'LP Reactivos'!CA460,'LP Reactivos'!CF460,'LP Reactivos'!CK460,'LP Reactivos'!CP460,'LP Reactivos'!CU460,'LP Reactivos'!CZ460,'LP Reactivos'!DE460,'LP Reactivos'!DJ460,'LP Reactivos'!DO460,'LP Reactivos'!DT460,'LP Reactivos'!DY460,'LP Reactivos'!EB460)," ")</f>
        <v>1</v>
      </c>
    </row>
    <row r="461" spans="2:12" x14ac:dyDescent="0.25">
      <c r="B461" s="425">
        <v>459</v>
      </c>
      <c r="C461" s="427" t="s">
        <v>2209</v>
      </c>
      <c r="D461" s="429">
        <f>IFERROR(MIN('LP Reactivos'!F461,'LP Reactivos'!I461,'LP Reactivos'!N461,'LP Reactivos'!S461,'LP Reactivos'!X461,'LP Reactivos'!AC461,'LP Reactivos'!AH461,'LP Reactivos'!AM461,'LP Reactivos'!AR461,'LP Reactivos'!AW461,'LP Reactivos'!BB461,'LP Reactivos'!BG461,'LP Reactivos'!BL461,'LP Reactivos'!BQ461,'LP Reactivos'!BV461,'LP Reactivos'!CA461,'LP Reactivos'!CF461,'LP Reactivos'!CK461,'LP Reactivos'!CP461,'LP Reactivos'!CU461,'LP Reactivos'!CZ461,'LP Reactivos'!DE461,'LP Reactivos'!DJ461,'LP Reactivos'!DO461,'LP Reactivos'!DT461,'LP Reactivos'!DY461,'LP Reactivos'!EB461)," ")</f>
        <v>122570</v>
      </c>
      <c r="E461" s="429">
        <f>IFERROR(AVERAGE('LP Reactivos'!F461,'LP Reactivos'!I461,'LP Reactivos'!N461,'LP Reactivos'!S461,'LP Reactivos'!X461,'LP Reactivos'!AC461,'LP Reactivos'!AH461,'LP Reactivos'!AM461,'LP Reactivos'!AR461,'LP Reactivos'!AW461,'LP Reactivos'!BB461,'LP Reactivos'!BG461,'LP Reactivos'!BL461,'LP Reactivos'!BQ461,'LP Reactivos'!BV461,'LP Reactivos'!CA461,'LP Reactivos'!CF461,'LP Reactivos'!CK461,'LP Reactivos'!CP461,'LP Reactivos'!CU461,'LP Reactivos'!CZ461,'LP Reactivos'!DE461,'LP Reactivos'!DJ461,'LP Reactivos'!DO461,'LP Reactivos'!DT461,'LP Reactivos'!DY461,'LP Reactivos'!EB461)," ")</f>
        <v>182444.13975999999</v>
      </c>
      <c r="F461" s="345">
        <f>IFERROR(MEDIAN('LP Reactivos'!F461,'LP Reactivos'!I461,'LP Reactivos'!N461,'LP Reactivos'!S461,'LP Reactivos'!X461,'LP Reactivos'!AC461,'LP Reactivos'!AH461,'LP Reactivos'!AM461,'LP Reactivos'!AR461,'LP Reactivos'!AW461,'LP Reactivos'!BB461,'LP Reactivos'!BG461,'LP Reactivos'!BL461,'LP Reactivos'!BQ461,'LP Reactivos'!BV461,'LP Reactivos'!CA461,'LP Reactivos'!CF461,'LP Reactivos'!CK461,'LP Reactivos'!CP461,'LP Reactivos'!CU461,'LP Reactivos'!CZ461,'LP Reactivos'!DE461,'LP Reactivos'!DJ461,'LP Reactivos'!DO461,'LP Reactivos'!DT461,'LP Reactivos'!DY461,'LP Reactivos'!EB461)," ")</f>
        <v>162113.70000000001</v>
      </c>
      <c r="G461" s="345">
        <f>IFERROR(GEOMEAN('LP Reactivos'!F461,'LP Reactivos'!I461,'LP Reactivos'!N461,'LP Reactivos'!S461,'LP Reactivos'!X461,'LP Reactivos'!AC461,'LP Reactivos'!AH461,'LP Reactivos'!AM461,'LP Reactivos'!AR461,'LP Reactivos'!AW461,'LP Reactivos'!BB461,'LP Reactivos'!BG461,'LP Reactivos'!BL461,'LP Reactivos'!BQ461,'LP Reactivos'!BV461,'LP Reactivos'!CA461,'LP Reactivos'!CF461,'LP Reactivos'!CK461,'LP Reactivos'!CP461,'LP Reactivos'!CU461,'LP Reactivos'!CZ461,'LP Reactivos'!DE461,'LP Reactivos'!DJ461,'LP Reactivos'!DO461,'LP Reactivos'!DT461,'LP Reactivos'!DY461,'LP Reactivos'!EB461)," ")</f>
        <v>176204.57651203853</v>
      </c>
      <c r="H461" s="345">
        <f t="shared" ref="H461:H512" si="32">STDEVA(D461,E461,F461,G461)</f>
        <v>26888.808623901299</v>
      </c>
      <c r="I461" s="346">
        <f t="shared" ref="I461:I512" si="33">IFERROR(H461/E461," ")</f>
        <v>0.14738104857340309</v>
      </c>
      <c r="J461" s="345">
        <f t="shared" ref="J461:J511" si="34">IF(I461&lt;=10%,F461,IF(AND(I461&gt;10%,I461&lt;=20%),E461,IF(AND(I461&gt;20%,I461&lt;=30%),G461,IF(I461&gt;30%,D461))))</f>
        <v>182444.13975999999</v>
      </c>
      <c r="K461" s="344" t="str">
        <f t="shared" ref="K461:K512" si="35">IF(J461=D461,"Menor Valor",IF(J461=E461,"Promedio",IF(J461=F461,"Mediana",IF(J461=G461,"Media Geométrica"," "))))</f>
        <v>Promedio</v>
      </c>
      <c r="L461" s="326">
        <f>IFERROR(COUNTA('LP Reactivos'!F461,'LP Reactivos'!I461,'LP Reactivos'!N461,'LP Reactivos'!S461,'LP Reactivos'!X461,'LP Reactivos'!AC461,'LP Reactivos'!AH461,'LP Reactivos'!AM461,'LP Reactivos'!AR461,'LP Reactivos'!AW461,'LP Reactivos'!BB461,'LP Reactivos'!BG461,'LP Reactivos'!BL461,'LP Reactivos'!BQ461,'LP Reactivos'!BV461,'LP Reactivos'!CA461,'LP Reactivos'!CF461,'LP Reactivos'!CK461,'LP Reactivos'!CP461,'LP Reactivos'!CU461,'LP Reactivos'!CZ461,'LP Reactivos'!DE461,'LP Reactivos'!DJ461,'LP Reactivos'!DO461,'LP Reactivos'!DT461,'LP Reactivos'!DY461,'LP Reactivos'!EB461)," ")</f>
        <v>5</v>
      </c>
    </row>
    <row r="462" spans="2:12" x14ac:dyDescent="0.25">
      <c r="B462" s="425">
        <v>460</v>
      </c>
      <c r="C462" s="427" t="s">
        <v>2213</v>
      </c>
      <c r="D462" s="429">
        <f>IFERROR(MIN('LP Reactivos'!F462,'LP Reactivos'!I462,'LP Reactivos'!N462,'LP Reactivos'!S462,'LP Reactivos'!X462,'LP Reactivos'!AC462,'LP Reactivos'!AH462,'LP Reactivos'!AM462,'LP Reactivos'!AR462,'LP Reactivos'!AW462,'LP Reactivos'!BB462,'LP Reactivos'!BG462,'LP Reactivos'!BL462,'LP Reactivos'!BQ462,'LP Reactivos'!BV462,'LP Reactivos'!CA462,'LP Reactivos'!CF462,'LP Reactivos'!CK462,'LP Reactivos'!CP462,'LP Reactivos'!CU462,'LP Reactivos'!CZ462,'LP Reactivos'!DE462,'LP Reactivos'!DJ462,'LP Reactivos'!DO462,'LP Reactivos'!DT462,'LP Reactivos'!DY462,'LP Reactivos'!EB462)," ")</f>
        <v>277270</v>
      </c>
      <c r="E462" s="429">
        <f>IFERROR(AVERAGE('LP Reactivos'!F462,'LP Reactivos'!I462,'LP Reactivos'!N462,'LP Reactivos'!S462,'LP Reactivos'!X462,'LP Reactivos'!AC462,'LP Reactivos'!AH462,'LP Reactivos'!AM462,'LP Reactivos'!AR462,'LP Reactivos'!AW462,'LP Reactivos'!BB462,'LP Reactivos'!BG462,'LP Reactivos'!BL462,'LP Reactivos'!BQ462,'LP Reactivos'!BV462,'LP Reactivos'!CA462,'LP Reactivos'!CF462,'LP Reactivos'!CK462,'LP Reactivos'!CP462,'LP Reactivos'!CU462,'LP Reactivos'!CZ462,'LP Reactivos'!DE462,'LP Reactivos'!DJ462,'LP Reactivos'!DO462,'LP Reactivos'!DT462,'LP Reactivos'!DY462,'LP Reactivos'!EB462)," ")</f>
        <v>432706.66666666669</v>
      </c>
      <c r="F462" s="345">
        <f>IFERROR(MEDIAN('LP Reactivos'!F462,'LP Reactivos'!I462,'LP Reactivos'!N462,'LP Reactivos'!S462,'LP Reactivos'!X462,'LP Reactivos'!AC462,'LP Reactivos'!AH462,'LP Reactivos'!AM462,'LP Reactivos'!AR462,'LP Reactivos'!AW462,'LP Reactivos'!BB462,'LP Reactivos'!BG462,'LP Reactivos'!BL462,'LP Reactivos'!BQ462,'LP Reactivos'!BV462,'LP Reactivos'!CA462,'LP Reactivos'!CF462,'LP Reactivos'!CK462,'LP Reactivos'!CP462,'LP Reactivos'!CU462,'LP Reactivos'!CZ462,'LP Reactivos'!DE462,'LP Reactivos'!DJ462,'LP Reactivos'!DO462,'LP Reactivos'!DT462,'LP Reactivos'!DY462,'LP Reactivos'!EB462)," ")</f>
        <v>372300</v>
      </c>
      <c r="G462" s="345">
        <f>IFERROR(GEOMEAN('LP Reactivos'!F462,'LP Reactivos'!I462,'LP Reactivos'!N462,'LP Reactivos'!S462,'LP Reactivos'!X462,'LP Reactivos'!AC462,'LP Reactivos'!AH462,'LP Reactivos'!AM462,'LP Reactivos'!AR462,'LP Reactivos'!AW462,'LP Reactivos'!BB462,'LP Reactivos'!BG462,'LP Reactivos'!BL462,'LP Reactivos'!BQ462,'LP Reactivos'!BV462,'LP Reactivos'!CA462,'LP Reactivos'!CF462,'LP Reactivos'!CK462,'LP Reactivos'!CP462,'LP Reactivos'!CU462,'LP Reactivos'!CZ462,'LP Reactivos'!DE462,'LP Reactivos'!DJ462,'LP Reactivos'!DO462,'LP Reactivos'!DT462,'LP Reactivos'!DY462,'LP Reactivos'!EB462)," ")</f>
        <v>406050.26111313951</v>
      </c>
      <c r="H462" s="345">
        <f t="shared" si="32"/>
        <v>67868.883000502072</v>
      </c>
      <c r="I462" s="346">
        <f t="shared" si="33"/>
        <v>0.15684732459364789</v>
      </c>
      <c r="J462" s="345">
        <f t="shared" si="34"/>
        <v>432706.66666666669</v>
      </c>
      <c r="K462" s="344" t="str">
        <f t="shared" si="35"/>
        <v>Promedio</v>
      </c>
      <c r="L462" s="326">
        <f>IFERROR(COUNTA('LP Reactivos'!F462,'LP Reactivos'!I462,'LP Reactivos'!N462,'LP Reactivos'!S462,'LP Reactivos'!X462,'LP Reactivos'!AC462,'LP Reactivos'!AH462,'LP Reactivos'!AM462,'LP Reactivos'!AR462,'LP Reactivos'!AW462,'LP Reactivos'!BB462,'LP Reactivos'!BG462,'LP Reactivos'!BL462,'LP Reactivos'!BQ462,'LP Reactivos'!BV462,'LP Reactivos'!CA462,'LP Reactivos'!CF462,'LP Reactivos'!CK462,'LP Reactivos'!CP462,'LP Reactivos'!CU462,'LP Reactivos'!CZ462,'LP Reactivos'!DE462,'LP Reactivos'!DJ462,'LP Reactivos'!DO462,'LP Reactivos'!DT462,'LP Reactivos'!DY462,'LP Reactivos'!EB462)," ")</f>
        <v>3</v>
      </c>
    </row>
    <row r="463" spans="2:12" x14ac:dyDescent="0.25">
      <c r="B463" s="425">
        <v>461</v>
      </c>
      <c r="C463" s="427" t="s">
        <v>2218</v>
      </c>
      <c r="D463" s="429">
        <f>IFERROR(MIN('LP Reactivos'!F463,'LP Reactivos'!I463,'LP Reactivos'!N463,'LP Reactivos'!S463,'LP Reactivos'!X463,'LP Reactivos'!AC463,'LP Reactivos'!AH463,'LP Reactivos'!AM463,'LP Reactivos'!AR463,'LP Reactivos'!AW463,'LP Reactivos'!BB463,'LP Reactivos'!BG463,'LP Reactivos'!BL463,'LP Reactivos'!BQ463,'LP Reactivos'!BV463,'LP Reactivos'!CA463,'LP Reactivos'!CF463,'LP Reactivos'!CK463,'LP Reactivos'!CP463,'LP Reactivos'!CU463,'LP Reactivos'!CZ463,'LP Reactivos'!DE463,'LP Reactivos'!DJ463,'LP Reactivos'!DO463,'LP Reactivos'!DT463,'LP Reactivos'!DY463,'LP Reactivos'!EB463)," ")</f>
        <v>272510</v>
      </c>
      <c r="E463" s="429">
        <f>IFERROR(AVERAGE('LP Reactivos'!F463,'LP Reactivos'!I463,'LP Reactivos'!N463,'LP Reactivos'!S463,'LP Reactivos'!X463,'LP Reactivos'!AC463,'LP Reactivos'!AH463,'LP Reactivos'!AM463,'LP Reactivos'!AR463,'LP Reactivos'!AW463,'LP Reactivos'!BB463,'LP Reactivos'!BG463,'LP Reactivos'!BL463,'LP Reactivos'!BQ463,'LP Reactivos'!BV463,'LP Reactivos'!CA463,'LP Reactivos'!CF463,'LP Reactivos'!CK463,'LP Reactivos'!CP463,'LP Reactivos'!CU463,'LP Reactivos'!CZ463,'LP Reactivos'!DE463,'LP Reactivos'!DJ463,'LP Reactivos'!DO463,'LP Reactivos'!DT463,'LP Reactivos'!DY463,'LP Reactivos'!EB463)," ")</f>
        <v>395751.1116</v>
      </c>
      <c r="F463" s="345">
        <f>IFERROR(MEDIAN('LP Reactivos'!F463,'LP Reactivos'!I463,'LP Reactivos'!N463,'LP Reactivos'!S463,'LP Reactivos'!X463,'LP Reactivos'!AC463,'LP Reactivos'!AH463,'LP Reactivos'!AM463,'LP Reactivos'!AR463,'LP Reactivos'!AW463,'LP Reactivos'!BB463,'LP Reactivos'!BG463,'LP Reactivos'!BL463,'LP Reactivos'!BQ463,'LP Reactivos'!BV463,'LP Reactivos'!CA463,'LP Reactivos'!CF463,'LP Reactivos'!CK463,'LP Reactivos'!CP463,'LP Reactivos'!CU463,'LP Reactivos'!CZ463,'LP Reactivos'!DE463,'LP Reactivos'!DJ463,'LP Reactivos'!DO463,'LP Reactivos'!DT463,'LP Reactivos'!DY463,'LP Reactivos'!EB463)," ")</f>
        <v>390889.05800000002</v>
      </c>
      <c r="G463" s="345">
        <f>IFERROR(GEOMEAN('LP Reactivos'!F463,'LP Reactivos'!I463,'LP Reactivos'!N463,'LP Reactivos'!S463,'LP Reactivos'!X463,'LP Reactivos'!AC463,'LP Reactivos'!AH463,'LP Reactivos'!AM463,'LP Reactivos'!AR463,'LP Reactivos'!AW463,'LP Reactivos'!BB463,'LP Reactivos'!BG463,'LP Reactivos'!BL463,'LP Reactivos'!BQ463,'LP Reactivos'!BV463,'LP Reactivos'!CA463,'LP Reactivos'!CF463,'LP Reactivos'!CK463,'LP Reactivos'!CP463,'LP Reactivos'!CU463,'LP Reactivos'!CZ463,'LP Reactivos'!DE463,'LP Reactivos'!DJ463,'LP Reactivos'!DO463,'LP Reactivos'!DT463,'LP Reactivos'!DY463,'LP Reactivos'!EB463)," ")</f>
        <v>384781.4550826546</v>
      </c>
      <c r="H463" s="345">
        <f t="shared" si="32"/>
        <v>59152.436080055893</v>
      </c>
      <c r="I463" s="346">
        <f t="shared" si="33"/>
        <v>0.1494687806204911</v>
      </c>
      <c r="J463" s="345">
        <f t="shared" si="34"/>
        <v>395751.1116</v>
      </c>
      <c r="K463" s="344" t="str">
        <f t="shared" si="35"/>
        <v>Promedio</v>
      </c>
      <c r="L463" s="326">
        <f>IFERROR(COUNTA('LP Reactivos'!F463,'LP Reactivos'!I463,'LP Reactivos'!N463,'LP Reactivos'!S463,'LP Reactivos'!X463,'LP Reactivos'!AC463,'LP Reactivos'!AH463,'LP Reactivos'!AM463,'LP Reactivos'!AR463,'LP Reactivos'!AW463,'LP Reactivos'!BB463,'LP Reactivos'!BG463,'LP Reactivos'!BL463,'LP Reactivos'!BQ463,'LP Reactivos'!BV463,'LP Reactivos'!CA463,'LP Reactivos'!CF463,'LP Reactivos'!CK463,'LP Reactivos'!CP463,'LP Reactivos'!CU463,'LP Reactivos'!CZ463,'LP Reactivos'!DE463,'LP Reactivos'!DJ463,'LP Reactivos'!DO463,'LP Reactivos'!DT463,'LP Reactivos'!DY463,'LP Reactivos'!EB463)," ")</f>
        <v>5</v>
      </c>
    </row>
    <row r="464" spans="2:12" x14ac:dyDescent="0.25">
      <c r="B464" s="425">
        <v>462</v>
      </c>
      <c r="C464" s="427" t="s">
        <v>2222</v>
      </c>
      <c r="D464" s="429">
        <f>IFERROR(MIN('LP Reactivos'!F464,'LP Reactivos'!I464,'LP Reactivos'!N464,'LP Reactivos'!S464,'LP Reactivos'!X464,'LP Reactivos'!AC464,'LP Reactivos'!AH464,'LP Reactivos'!AM464,'LP Reactivos'!AR464,'LP Reactivos'!AW464,'LP Reactivos'!BB464,'LP Reactivos'!BG464,'LP Reactivos'!BL464,'LP Reactivos'!BQ464,'LP Reactivos'!BV464,'LP Reactivos'!CA464,'LP Reactivos'!CF464,'LP Reactivos'!CK464,'LP Reactivos'!CP464,'LP Reactivos'!CU464,'LP Reactivos'!CZ464,'LP Reactivos'!DE464,'LP Reactivos'!DJ464,'LP Reactivos'!DO464,'LP Reactivos'!DT464,'LP Reactivos'!DY464,'LP Reactivos'!EB464)," ")</f>
        <v>242000</v>
      </c>
      <c r="E464" s="429">
        <f>IFERROR(AVERAGE('LP Reactivos'!F464,'LP Reactivos'!I464,'LP Reactivos'!N464,'LP Reactivos'!S464,'LP Reactivos'!X464,'LP Reactivos'!AC464,'LP Reactivos'!AH464,'LP Reactivos'!AM464,'LP Reactivos'!AR464,'LP Reactivos'!AW464,'LP Reactivos'!BB464,'LP Reactivos'!BG464,'LP Reactivos'!BL464,'LP Reactivos'!BQ464,'LP Reactivos'!BV464,'LP Reactivos'!CA464,'LP Reactivos'!CF464,'LP Reactivos'!CK464,'LP Reactivos'!CP464,'LP Reactivos'!CU464,'LP Reactivos'!CZ464,'LP Reactivos'!DE464,'LP Reactivos'!DJ464,'LP Reactivos'!DO464,'LP Reactivos'!DT464,'LP Reactivos'!DY464,'LP Reactivos'!EB464)," ")</f>
        <v>636203</v>
      </c>
      <c r="F464" s="345">
        <f>IFERROR(MEDIAN('LP Reactivos'!F464,'LP Reactivos'!I464,'LP Reactivos'!N464,'LP Reactivos'!S464,'LP Reactivos'!X464,'LP Reactivos'!AC464,'LP Reactivos'!AH464,'LP Reactivos'!AM464,'LP Reactivos'!AR464,'LP Reactivos'!AW464,'LP Reactivos'!BB464,'LP Reactivos'!BG464,'LP Reactivos'!BL464,'LP Reactivos'!BQ464,'LP Reactivos'!BV464,'LP Reactivos'!CA464,'LP Reactivos'!CF464,'LP Reactivos'!CK464,'LP Reactivos'!CP464,'LP Reactivos'!CU464,'LP Reactivos'!CZ464,'LP Reactivos'!DE464,'LP Reactivos'!DJ464,'LP Reactivos'!DO464,'LP Reactivos'!DT464,'LP Reactivos'!DY464,'LP Reactivos'!EB464)," ")</f>
        <v>636203</v>
      </c>
      <c r="G464" s="345">
        <f>IFERROR(GEOMEAN('LP Reactivos'!F464,'LP Reactivos'!I464,'LP Reactivos'!N464,'LP Reactivos'!S464,'LP Reactivos'!X464,'LP Reactivos'!AC464,'LP Reactivos'!AH464,'LP Reactivos'!AM464,'LP Reactivos'!AR464,'LP Reactivos'!AW464,'LP Reactivos'!BB464,'LP Reactivos'!BG464,'LP Reactivos'!BL464,'LP Reactivos'!BQ464,'LP Reactivos'!BV464,'LP Reactivos'!CA464,'LP Reactivos'!CF464,'LP Reactivos'!CK464,'LP Reactivos'!CP464,'LP Reactivos'!CU464,'LP Reactivos'!CZ464,'LP Reactivos'!DE464,'LP Reactivos'!DJ464,'LP Reactivos'!DO464,'LP Reactivos'!DT464,'LP Reactivos'!DY464,'LP Reactivos'!EB464)," ")</f>
        <v>499357.83963005926</v>
      </c>
      <c r="H464" s="345">
        <f t="shared" si="32"/>
        <v>185849.01216453491</v>
      </c>
      <c r="I464" s="346">
        <f t="shared" si="33"/>
        <v>0.29212218767364334</v>
      </c>
      <c r="J464" s="345">
        <f t="shared" si="34"/>
        <v>499357.83963005926</v>
      </c>
      <c r="K464" s="344" t="str">
        <f t="shared" si="35"/>
        <v>Media Geométrica</v>
      </c>
      <c r="L464" s="326">
        <f>IFERROR(COUNTA('LP Reactivos'!F464,'LP Reactivos'!I464,'LP Reactivos'!N464,'LP Reactivos'!S464,'LP Reactivos'!X464,'LP Reactivos'!AC464,'LP Reactivos'!AH464,'LP Reactivos'!AM464,'LP Reactivos'!AR464,'LP Reactivos'!AW464,'LP Reactivos'!BB464,'LP Reactivos'!BG464,'LP Reactivos'!BL464,'LP Reactivos'!BQ464,'LP Reactivos'!BV464,'LP Reactivos'!CA464,'LP Reactivos'!CF464,'LP Reactivos'!CK464,'LP Reactivos'!CP464,'LP Reactivos'!CU464,'LP Reactivos'!CZ464,'LP Reactivos'!DE464,'LP Reactivos'!DJ464,'LP Reactivos'!DO464,'LP Reactivos'!DT464,'LP Reactivos'!DY464,'LP Reactivos'!EB464)," ")</f>
        <v>2</v>
      </c>
    </row>
    <row r="465" spans="2:12" x14ac:dyDescent="0.25">
      <c r="B465" s="425">
        <v>463</v>
      </c>
      <c r="C465" s="427" t="s">
        <v>2225</v>
      </c>
      <c r="D465" s="429">
        <f>IFERROR(MIN('LP Reactivos'!F465,'LP Reactivos'!I465,'LP Reactivos'!N465,'LP Reactivos'!S465,'LP Reactivos'!X465,'LP Reactivos'!AC465,'LP Reactivos'!AH465,'LP Reactivos'!AM465,'LP Reactivos'!AR465,'LP Reactivos'!AW465,'LP Reactivos'!BB465,'LP Reactivos'!BG465,'LP Reactivos'!BL465,'LP Reactivos'!BQ465,'LP Reactivos'!BV465,'LP Reactivos'!CA465,'LP Reactivos'!CF465,'LP Reactivos'!CK465,'LP Reactivos'!CP465,'LP Reactivos'!CU465,'LP Reactivos'!CZ465,'LP Reactivos'!DE465,'LP Reactivos'!DJ465,'LP Reactivos'!DO465,'LP Reactivos'!DT465,'LP Reactivos'!DY465,'LP Reactivos'!EB465)," ")</f>
        <v>581303.1</v>
      </c>
      <c r="E465" s="429">
        <f>IFERROR(AVERAGE('LP Reactivos'!F465,'LP Reactivos'!I465,'LP Reactivos'!N465,'LP Reactivos'!S465,'LP Reactivos'!X465,'LP Reactivos'!AC465,'LP Reactivos'!AH465,'LP Reactivos'!AM465,'LP Reactivos'!AR465,'LP Reactivos'!AW465,'LP Reactivos'!BB465,'LP Reactivos'!BG465,'LP Reactivos'!BL465,'LP Reactivos'!BQ465,'LP Reactivos'!BV465,'LP Reactivos'!CA465,'LP Reactivos'!CF465,'LP Reactivos'!CK465,'LP Reactivos'!CP465,'LP Reactivos'!CU465,'LP Reactivos'!CZ465,'LP Reactivos'!DE465,'LP Reactivos'!DJ465,'LP Reactivos'!DO465,'LP Reactivos'!DT465,'LP Reactivos'!DY465,'LP Reactivos'!EB465)," ")</f>
        <v>749393.51933333336</v>
      </c>
      <c r="F465" s="345">
        <f>IFERROR(MEDIAN('LP Reactivos'!F465,'LP Reactivos'!I465,'LP Reactivos'!N465,'LP Reactivos'!S465,'LP Reactivos'!X465,'LP Reactivos'!AC465,'LP Reactivos'!AH465,'LP Reactivos'!AM465,'LP Reactivos'!AR465,'LP Reactivos'!AW465,'LP Reactivos'!BB465,'LP Reactivos'!BG465,'LP Reactivos'!BL465,'LP Reactivos'!BQ465,'LP Reactivos'!BV465,'LP Reactivos'!CA465,'LP Reactivos'!CF465,'LP Reactivos'!CK465,'LP Reactivos'!CP465,'LP Reactivos'!CU465,'LP Reactivos'!CZ465,'LP Reactivos'!DE465,'LP Reactivos'!DJ465,'LP Reactivos'!DO465,'LP Reactivos'!DT465,'LP Reactivos'!DY465,'LP Reactivos'!EB465)," ")</f>
        <v>780163</v>
      </c>
      <c r="G465" s="345">
        <f>IFERROR(GEOMEAN('LP Reactivos'!F465,'LP Reactivos'!I465,'LP Reactivos'!N465,'LP Reactivos'!S465,'LP Reactivos'!X465,'LP Reactivos'!AC465,'LP Reactivos'!AH465,'LP Reactivos'!AM465,'LP Reactivos'!AR465,'LP Reactivos'!AW465,'LP Reactivos'!BB465,'LP Reactivos'!BG465,'LP Reactivos'!BL465,'LP Reactivos'!BQ465,'LP Reactivos'!BV465,'LP Reactivos'!CA465,'LP Reactivos'!CF465,'LP Reactivos'!CK465,'LP Reactivos'!CP465,'LP Reactivos'!CU465,'LP Reactivos'!CZ465,'LP Reactivos'!DE465,'LP Reactivos'!DJ465,'LP Reactivos'!DO465,'LP Reactivos'!DT465,'LP Reactivos'!DY465,'LP Reactivos'!EB465)," ")</f>
        <v>742449.7526990663</v>
      </c>
      <c r="H465" s="345">
        <f t="shared" si="32"/>
        <v>89528.933141437636</v>
      </c>
      <c r="I465" s="346">
        <f t="shared" si="33"/>
        <v>0.11946851798382686</v>
      </c>
      <c r="J465" s="345">
        <f t="shared" si="34"/>
        <v>749393.51933333336</v>
      </c>
      <c r="K465" s="344" t="str">
        <f t="shared" si="35"/>
        <v>Promedio</v>
      </c>
      <c r="L465" s="326">
        <f>IFERROR(COUNTA('LP Reactivos'!F465,'LP Reactivos'!I465,'LP Reactivos'!N465,'LP Reactivos'!S465,'LP Reactivos'!X465,'LP Reactivos'!AC465,'LP Reactivos'!AH465,'LP Reactivos'!AM465,'LP Reactivos'!AR465,'LP Reactivos'!AW465,'LP Reactivos'!BB465,'LP Reactivos'!BG465,'LP Reactivos'!BL465,'LP Reactivos'!BQ465,'LP Reactivos'!BV465,'LP Reactivos'!CA465,'LP Reactivos'!CF465,'LP Reactivos'!CK465,'LP Reactivos'!CP465,'LP Reactivos'!CU465,'LP Reactivos'!CZ465,'LP Reactivos'!DE465,'LP Reactivos'!DJ465,'LP Reactivos'!DO465,'LP Reactivos'!DT465,'LP Reactivos'!DY465,'LP Reactivos'!EB465)," ")</f>
        <v>6</v>
      </c>
    </row>
    <row r="466" spans="2:12" x14ac:dyDescent="0.25">
      <c r="B466" s="425">
        <v>464</v>
      </c>
      <c r="C466" s="427" t="s">
        <v>2229</v>
      </c>
      <c r="D466" s="429">
        <f>IFERROR(MIN('LP Reactivos'!F466,'LP Reactivos'!I466,'LP Reactivos'!N466,'LP Reactivos'!S466,'LP Reactivos'!X466,'LP Reactivos'!AC466,'LP Reactivos'!AH466,'LP Reactivos'!AM466,'LP Reactivos'!AR466,'LP Reactivos'!AW466,'LP Reactivos'!BB466,'LP Reactivos'!BG466,'LP Reactivos'!BL466,'LP Reactivos'!BQ466,'LP Reactivos'!BV466,'LP Reactivos'!CA466,'LP Reactivos'!CF466,'LP Reactivos'!CK466,'LP Reactivos'!CP466,'LP Reactivos'!CU466,'LP Reactivos'!CZ466,'LP Reactivos'!DE466,'LP Reactivos'!DJ466,'LP Reactivos'!DO466,'LP Reactivos'!DT466,'LP Reactivos'!DY466,'LP Reactivos'!EB466)," ")</f>
        <v>337115.1</v>
      </c>
      <c r="E466" s="429">
        <f>IFERROR(AVERAGE('LP Reactivos'!F466,'LP Reactivos'!I466,'LP Reactivos'!N466,'LP Reactivos'!S466,'LP Reactivos'!X466,'LP Reactivos'!AC466,'LP Reactivos'!AH466,'LP Reactivos'!AM466,'LP Reactivos'!AR466,'LP Reactivos'!AW466,'LP Reactivos'!BB466,'LP Reactivos'!BG466,'LP Reactivos'!BL466,'LP Reactivos'!BQ466,'LP Reactivos'!BV466,'LP Reactivos'!CA466,'LP Reactivos'!CF466,'LP Reactivos'!CK466,'LP Reactivos'!CP466,'LP Reactivos'!CU466,'LP Reactivos'!CZ466,'LP Reactivos'!DE466,'LP Reactivos'!DJ466,'LP Reactivos'!DO466,'LP Reactivos'!DT466,'LP Reactivos'!DY466,'LP Reactivos'!EB466)," ")</f>
        <v>513422.9</v>
      </c>
      <c r="F466" s="345">
        <f>IFERROR(MEDIAN('LP Reactivos'!F466,'LP Reactivos'!I466,'LP Reactivos'!N466,'LP Reactivos'!S466,'LP Reactivos'!X466,'LP Reactivos'!AC466,'LP Reactivos'!AH466,'LP Reactivos'!AM466,'LP Reactivos'!AR466,'LP Reactivos'!AW466,'LP Reactivos'!BB466,'LP Reactivos'!BG466,'LP Reactivos'!BL466,'LP Reactivos'!BQ466,'LP Reactivos'!BV466,'LP Reactivos'!CA466,'LP Reactivos'!CF466,'LP Reactivos'!CK466,'LP Reactivos'!CP466,'LP Reactivos'!CU466,'LP Reactivos'!CZ466,'LP Reactivos'!DE466,'LP Reactivos'!DJ466,'LP Reactivos'!DO466,'LP Reactivos'!DT466,'LP Reactivos'!DY466,'LP Reactivos'!EB466)," ")</f>
        <v>488793.25</v>
      </c>
      <c r="G466" s="345">
        <f>IFERROR(GEOMEAN('LP Reactivos'!F466,'LP Reactivos'!I466,'LP Reactivos'!N466,'LP Reactivos'!S466,'LP Reactivos'!X466,'LP Reactivos'!AC466,'LP Reactivos'!AH466,'LP Reactivos'!AM466,'LP Reactivos'!AR466,'LP Reactivos'!AW466,'LP Reactivos'!BB466,'LP Reactivos'!BG466,'LP Reactivos'!BL466,'LP Reactivos'!BQ466,'LP Reactivos'!BV466,'LP Reactivos'!CA466,'LP Reactivos'!CF466,'LP Reactivos'!CK466,'LP Reactivos'!CP466,'LP Reactivos'!CU466,'LP Reactivos'!CZ466,'LP Reactivos'!DE466,'LP Reactivos'!DJ466,'LP Reactivos'!DO466,'LP Reactivos'!DT466,'LP Reactivos'!DY466,'LP Reactivos'!EB466)," ")</f>
        <v>492054.42824718816</v>
      </c>
      <c r="H466" s="345">
        <f t="shared" si="32"/>
        <v>81225.387807469378</v>
      </c>
      <c r="I466" s="346">
        <f t="shared" si="33"/>
        <v>0.15820367149083023</v>
      </c>
      <c r="J466" s="345">
        <f t="shared" si="34"/>
        <v>513422.9</v>
      </c>
      <c r="K466" s="344" t="str">
        <f t="shared" si="35"/>
        <v>Promedio</v>
      </c>
      <c r="L466" s="326">
        <f>IFERROR(COUNTA('LP Reactivos'!F466,'LP Reactivos'!I466,'LP Reactivos'!N466,'LP Reactivos'!S466,'LP Reactivos'!X466,'LP Reactivos'!AC466,'LP Reactivos'!AH466,'LP Reactivos'!AM466,'LP Reactivos'!AR466,'LP Reactivos'!AW466,'LP Reactivos'!BB466,'LP Reactivos'!BG466,'LP Reactivos'!BL466,'LP Reactivos'!BQ466,'LP Reactivos'!BV466,'LP Reactivos'!CA466,'LP Reactivos'!CF466,'LP Reactivos'!CK466,'LP Reactivos'!CP466,'LP Reactivos'!CU466,'LP Reactivos'!CZ466,'LP Reactivos'!DE466,'LP Reactivos'!DJ466,'LP Reactivos'!DO466,'LP Reactivos'!DT466,'LP Reactivos'!DY466,'LP Reactivos'!EB466)," ")</f>
        <v>4</v>
      </c>
    </row>
    <row r="467" spans="2:12" ht="15" x14ac:dyDescent="0.25">
      <c r="B467" s="425">
        <v>465</v>
      </c>
      <c r="C467" s="427" t="s">
        <v>2860</v>
      </c>
      <c r="D467" s="429">
        <f>IFERROR(MIN('LP Reactivos'!F467,'LP Reactivos'!I467,'LP Reactivos'!N467,'LP Reactivos'!S467,'LP Reactivos'!X467,'LP Reactivos'!AC467,'LP Reactivos'!AH467,'LP Reactivos'!AM467,'LP Reactivos'!AR467,'LP Reactivos'!AW467,'LP Reactivos'!BB467,'LP Reactivos'!BG467,'LP Reactivos'!BL467,'LP Reactivos'!BQ467,'LP Reactivos'!BV467,'LP Reactivos'!CA467,'LP Reactivos'!CF467,'LP Reactivos'!CK467,'LP Reactivos'!CP467,'LP Reactivos'!CU467,'LP Reactivos'!CZ467,'LP Reactivos'!DE467,'LP Reactivos'!DJ467,'LP Reactivos'!DO467,'LP Reactivos'!DT467,'LP Reactivos'!DY467,'LP Reactivos'!EB467)," ")</f>
        <v>254332.96000000002</v>
      </c>
      <c r="E467" s="429">
        <f>IFERROR(AVERAGE('LP Reactivos'!F467,'LP Reactivos'!I467,'LP Reactivos'!N467,'LP Reactivos'!S467,'LP Reactivos'!X467,'LP Reactivos'!AC467,'LP Reactivos'!AH467,'LP Reactivos'!AM467,'LP Reactivos'!AR467,'LP Reactivos'!AW467,'LP Reactivos'!BB467,'LP Reactivos'!BG467,'LP Reactivos'!BL467,'LP Reactivos'!BQ467,'LP Reactivos'!BV467,'LP Reactivos'!CA467,'LP Reactivos'!CF467,'LP Reactivos'!CK467,'LP Reactivos'!CP467,'LP Reactivos'!CU467,'LP Reactivos'!CZ467,'LP Reactivos'!DE467,'LP Reactivos'!DJ467,'LP Reactivos'!DO467,'LP Reactivos'!DT467,'LP Reactivos'!DY467,'LP Reactivos'!EB467)," ")</f>
        <v>389975.99</v>
      </c>
      <c r="F467" s="345">
        <f>IFERROR(MEDIAN('LP Reactivos'!F467,'LP Reactivos'!I467,'LP Reactivos'!N467,'LP Reactivos'!S467,'LP Reactivos'!X467,'LP Reactivos'!AC467,'LP Reactivos'!AH467,'LP Reactivos'!AM467,'LP Reactivos'!AR467,'LP Reactivos'!AW467,'LP Reactivos'!BB467,'LP Reactivos'!BG467,'LP Reactivos'!BL467,'LP Reactivos'!BQ467,'LP Reactivos'!BV467,'LP Reactivos'!CA467,'LP Reactivos'!CF467,'LP Reactivos'!CK467,'LP Reactivos'!CP467,'LP Reactivos'!CU467,'LP Reactivos'!CZ467,'LP Reactivos'!DE467,'LP Reactivos'!DJ467,'LP Reactivos'!DO467,'LP Reactivos'!DT467,'LP Reactivos'!DY467,'LP Reactivos'!EB467)," ")</f>
        <v>320180.5</v>
      </c>
      <c r="G467" s="345">
        <f>IFERROR(GEOMEAN('LP Reactivos'!F467,'LP Reactivos'!I467,'LP Reactivos'!N467,'LP Reactivos'!S467,'LP Reactivos'!X467,'LP Reactivos'!AC467,'LP Reactivos'!AH467,'LP Reactivos'!AM467,'LP Reactivos'!AR467,'LP Reactivos'!AW467,'LP Reactivos'!BB467,'LP Reactivos'!BG467,'LP Reactivos'!BL467,'LP Reactivos'!BQ467,'LP Reactivos'!BV467,'LP Reactivos'!CA467,'LP Reactivos'!CF467,'LP Reactivos'!CK467,'LP Reactivos'!CP467,'LP Reactivos'!CU467,'LP Reactivos'!CZ467,'LP Reactivos'!DE467,'LP Reactivos'!DJ467,'LP Reactivos'!DO467,'LP Reactivos'!DT467,'LP Reactivos'!DY467,'LP Reactivos'!EB467)," ")</f>
        <v>359055.87641100097</v>
      </c>
      <c r="H467" s="345">
        <f t="shared" si="32"/>
        <v>58481.177935762316</v>
      </c>
      <c r="I467" s="346">
        <f t="shared" si="33"/>
        <v>0.1499609705093955</v>
      </c>
      <c r="J467" s="345">
        <f t="shared" si="34"/>
        <v>389975.99</v>
      </c>
      <c r="K467" s="344" t="str">
        <f t="shared" si="35"/>
        <v>Promedio</v>
      </c>
      <c r="L467" s="326">
        <f>IFERROR(COUNTA('LP Reactivos'!F467,'LP Reactivos'!I467,'LP Reactivos'!N467,'LP Reactivos'!S467,'LP Reactivos'!X467,'LP Reactivos'!AC467,'LP Reactivos'!AH467,'LP Reactivos'!AM467,'LP Reactivos'!AR467,'LP Reactivos'!AW467,'LP Reactivos'!BB467,'LP Reactivos'!BG467,'LP Reactivos'!BL467,'LP Reactivos'!BQ467,'LP Reactivos'!BV467,'LP Reactivos'!CA467,'LP Reactivos'!CF467,'LP Reactivos'!CK467,'LP Reactivos'!CP467,'LP Reactivos'!CU467,'LP Reactivos'!CZ467,'LP Reactivos'!DE467,'LP Reactivos'!DJ467,'LP Reactivos'!DO467,'LP Reactivos'!DT467,'LP Reactivos'!DY467,'LP Reactivos'!EB467)," ")</f>
        <v>4</v>
      </c>
    </row>
    <row r="468" spans="2:12" x14ac:dyDescent="0.25">
      <c r="B468" s="425">
        <v>466</v>
      </c>
      <c r="C468" s="428" t="s">
        <v>2234</v>
      </c>
      <c r="D468" s="429">
        <f>IFERROR(MIN('LP Reactivos'!F468,'LP Reactivos'!I468,'LP Reactivos'!N468,'LP Reactivos'!S468,'LP Reactivos'!X468,'LP Reactivos'!AC468,'LP Reactivos'!AH468,'LP Reactivos'!AM468,'LP Reactivos'!AR468,'LP Reactivos'!AW468,'LP Reactivos'!BB468,'LP Reactivos'!BG468,'LP Reactivos'!BL468,'LP Reactivos'!BQ468,'LP Reactivos'!BV468,'LP Reactivos'!CA468,'LP Reactivos'!CF468,'LP Reactivos'!CK468,'LP Reactivos'!CP468,'LP Reactivos'!CU468,'LP Reactivos'!CZ468,'LP Reactivos'!DE468,'LP Reactivos'!DJ468,'LP Reactivos'!DO468,'LP Reactivos'!DT468,'LP Reactivos'!DY468,'LP Reactivos'!EB468)," ")</f>
        <v>1652160</v>
      </c>
      <c r="E468" s="429">
        <f>IFERROR(AVERAGE('LP Reactivos'!F468,'LP Reactivos'!I468,'LP Reactivos'!N468,'LP Reactivos'!S468,'LP Reactivos'!X468,'LP Reactivos'!AC468,'LP Reactivos'!AH468,'LP Reactivos'!AM468,'LP Reactivos'!AR468,'LP Reactivos'!AW468,'LP Reactivos'!BB468,'LP Reactivos'!BG468,'LP Reactivos'!BL468,'LP Reactivos'!BQ468,'LP Reactivos'!BV468,'LP Reactivos'!CA468,'LP Reactivos'!CF468,'LP Reactivos'!CK468,'LP Reactivos'!CP468,'LP Reactivos'!CU468,'LP Reactivos'!CZ468,'LP Reactivos'!DE468,'LP Reactivos'!DJ468,'LP Reactivos'!DO468,'LP Reactivos'!DT468,'LP Reactivos'!DY468,'LP Reactivos'!EB468)," ")</f>
        <v>1652160</v>
      </c>
      <c r="F468" s="345">
        <f>IFERROR(MEDIAN('LP Reactivos'!F468,'LP Reactivos'!I468,'LP Reactivos'!N468,'LP Reactivos'!S468,'LP Reactivos'!X468,'LP Reactivos'!AC468,'LP Reactivos'!AH468,'LP Reactivos'!AM468,'LP Reactivos'!AR468,'LP Reactivos'!AW468,'LP Reactivos'!BB468,'LP Reactivos'!BG468,'LP Reactivos'!BL468,'LP Reactivos'!BQ468,'LP Reactivos'!BV468,'LP Reactivos'!CA468,'LP Reactivos'!CF468,'LP Reactivos'!CK468,'LP Reactivos'!CP468,'LP Reactivos'!CU468,'LP Reactivos'!CZ468,'LP Reactivos'!DE468,'LP Reactivos'!DJ468,'LP Reactivos'!DO468,'LP Reactivos'!DT468,'LP Reactivos'!DY468,'LP Reactivos'!EB468)," ")</f>
        <v>1652160</v>
      </c>
      <c r="G468" s="345">
        <f>IFERROR(GEOMEAN('LP Reactivos'!F468,'LP Reactivos'!I468,'LP Reactivos'!N468,'LP Reactivos'!S468,'LP Reactivos'!X468,'LP Reactivos'!AC468,'LP Reactivos'!AH468,'LP Reactivos'!AM468,'LP Reactivos'!AR468,'LP Reactivos'!AW468,'LP Reactivos'!BB468,'LP Reactivos'!BG468,'LP Reactivos'!BL468,'LP Reactivos'!BQ468,'LP Reactivos'!BV468,'LP Reactivos'!CA468,'LP Reactivos'!CF468,'LP Reactivos'!CK468,'LP Reactivos'!CP468,'LP Reactivos'!CU468,'LP Reactivos'!CZ468,'LP Reactivos'!DE468,'LP Reactivos'!DJ468,'LP Reactivos'!DO468,'LP Reactivos'!DT468,'LP Reactivos'!DY468,'LP Reactivos'!EB468)," ")</f>
        <v>1652160</v>
      </c>
      <c r="H468" s="345">
        <f t="shared" si="32"/>
        <v>0</v>
      </c>
      <c r="I468" s="346">
        <f t="shared" si="33"/>
        <v>0</v>
      </c>
      <c r="J468" s="345">
        <f t="shared" si="34"/>
        <v>1652160</v>
      </c>
      <c r="K468" s="344" t="str">
        <f t="shared" si="35"/>
        <v>Menor Valor</v>
      </c>
      <c r="L468" s="326">
        <f>IFERROR(COUNTA('LP Reactivos'!F468,'LP Reactivos'!I468,'LP Reactivos'!N468,'LP Reactivos'!S468,'LP Reactivos'!X468,'LP Reactivos'!AC468,'LP Reactivos'!AH468,'LP Reactivos'!AM468,'LP Reactivos'!AR468,'LP Reactivos'!AW468,'LP Reactivos'!BB468,'LP Reactivos'!BG468,'LP Reactivos'!BL468,'LP Reactivos'!BQ468,'LP Reactivos'!BV468,'LP Reactivos'!CA468,'LP Reactivos'!CF468,'LP Reactivos'!CK468,'LP Reactivos'!CP468,'LP Reactivos'!CU468,'LP Reactivos'!CZ468,'LP Reactivos'!DE468,'LP Reactivos'!DJ468,'LP Reactivos'!DO468,'LP Reactivos'!DT468,'LP Reactivos'!DY468,'LP Reactivos'!EB468)," ")</f>
        <v>1</v>
      </c>
    </row>
    <row r="469" spans="2:12" ht="27" x14ac:dyDescent="0.25">
      <c r="B469" s="425">
        <v>467</v>
      </c>
      <c r="C469" s="427" t="s">
        <v>2236</v>
      </c>
      <c r="D469" s="429">
        <f>IFERROR(MIN('LP Reactivos'!F469,'LP Reactivos'!I469,'LP Reactivos'!N469,'LP Reactivos'!S469,'LP Reactivos'!X469,'LP Reactivos'!AC469,'LP Reactivos'!AH469,'LP Reactivos'!AM469,'LP Reactivos'!AR469,'LP Reactivos'!AW469,'LP Reactivos'!BB469,'LP Reactivos'!BG469,'LP Reactivos'!BL469,'LP Reactivos'!BQ469,'LP Reactivos'!BV469,'LP Reactivos'!CA469,'LP Reactivos'!CF469,'LP Reactivos'!CK469,'LP Reactivos'!CP469,'LP Reactivos'!CU469,'LP Reactivos'!CZ469,'LP Reactivos'!DE469,'LP Reactivos'!DJ469,'LP Reactivos'!DO469,'LP Reactivos'!DT469,'LP Reactivos'!DY469,'LP Reactivos'!EB469)," ")</f>
        <v>1128120</v>
      </c>
      <c r="E469" s="429">
        <f>IFERROR(AVERAGE('LP Reactivos'!F469,'LP Reactivos'!I469,'LP Reactivos'!N469,'LP Reactivos'!S469,'LP Reactivos'!X469,'LP Reactivos'!AC469,'LP Reactivos'!AH469,'LP Reactivos'!AM469,'LP Reactivos'!AR469,'LP Reactivos'!AW469,'LP Reactivos'!BB469,'LP Reactivos'!BG469,'LP Reactivos'!BL469,'LP Reactivos'!BQ469,'LP Reactivos'!BV469,'LP Reactivos'!CA469,'LP Reactivos'!CF469,'LP Reactivos'!CK469,'LP Reactivos'!CP469,'LP Reactivos'!CU469,'LP Reactivos'!CZ469,'LP Reactivos'!DE469,'LP Reactivos'!DJ469,'LP Reactivos'!DO469,'LP Reactivos'!DT469,'LP Reactivos'!DY469,'LP Reactivos'!EB469)," ")</f>
        <v>1128120</v>
      </c>
      <c r="F469" s="345">
        <f>IFERROR(MEDIAN('LP Reactivos'!F469,'LP Reactivos'!I469,'LP Reactivos'!N469,'LP Reactivos'!S469,'LP Reactivos'!X469,'LP Reactivos'!AC469,'LP Reactivos'!AH469,'LP Reactivos'!AM469,'LP Reactivos'!AR469,'LP Reactivos'!AW469,'LP Reactivos'!BB469,'LP Reactivos'!BG469,'LP Reactivos'!BL469,'LP Reactivos'!BQ469,'LP Reactivos'!BV469,'LP Reactivos'!CA469,'LP Reactivos'!CF469,'LP Reactivos'!CK469,'LP Reactivos'!CP469,'LP Reactivos'!CU469,'LP Reactivos'!CZ469,'LP Reactivos'!DE469,'LP Reactivos'!DJ469,'LP Reactivos'!DO469,'LP Reactivos'!DT469,'LP Reactivos'!DY469,'LP Reactivos'!EB469)," ")</f>
        <v>1128120</v>
      </c>
      <c r="G469" s="345">
        <f>IFERROR(GEOMEAN('LP Reactivos'!F469,'LP Reactivos'!I469,'LP Reactivos'!N469,'LP Reactivos'!S469,'LP Reactivos'!X469,'LP Reactivos'!AC469,'LP Reactivos'!AH469,'LP Reactivos'!AM469,'LP Reactivos'!AR469,'LP Reactivos'!AW469,'LP Reactivos'!BB469,'LP Reactivos'!BG469,'LP Reactivos'!BL469,'LP Reactivos'!BQ469,'LP Reactivos'!BV469,'LP Reactivos'!CA469,'LP Reactivos'!CF469,'LP Reactivos'!CK469,'LP Reactivos'!CP469,'LP Reactivos'!CU469,'LP Reactivos'!CZ469,'LP Reactivos'!DE469,'LP Reactivos'!DJ469,'LP Reactivos'!DO469,'LP Reactivos'!DT469,'LP Reactivos'!DY469,'LP Reactivos'!EB469)," ")</f>
        <v>1128120</v>
      </c>
      <c r="H469" s="345">
        <f t="shared" si="32"/>
        <v>0</v>
      </c>
      <c r="I469" s="346">
        <f t="shared" si="33"/>
        <v>0</v>
      </c>
      <c r="J469" s="345">
        <f t="shared" si="34"/>
        <v>1128120</v>
      </c>
      <c r="K469" s="344" t="str">
        <f t="shared" si="35"/>
        <v>Menor Valor</v>
      </c>
      <c r="L469" s="326">
        <f>IFERROR(COUNTA('LP Reactivos'!F469,'LP Reactivos'!I469,'LP Reactivos'!N469,'LP Reactivos'!S469,'LP Reactivos'!X469,'LP Reactivos'!AC469,'LP Reactivos'!AH469,'LP Reactivos'!AM469,'LP Reactivos'!AR469,'LP Reactivos'!AW469,'LP Reactivos'!BB469,'LP Reactivos'!BG469,'LP Reactivos'!BL469,'LP Reactivos'!BQ469,'LP Reactivos'!BV469,'LP Reactivos'!CA469,'LP Reactivos'!CF469,'LP Reactivos'!CK469,'LP Reactivos'!CP469,'LP Reactivos'!CU469,'LP Reactivos'!CZ469,'LP Reactivos'!DE469,'LP Reactivos'!DJ469,'LP Reactivos'!DO469,'LP Reactivos'!DT469,'LP Reactivos'!DY469,'LP Reactivos'!EB469)," ")</f>
        <v>1</v>
      </c>
    </row>
    <row r="470" spans="2:12" ht="40.5" x14ac:dyDescent="0.25">
      <c r="B470" s="425">
        <v>468</v>
      </c>
      <c r="C470" s="427" t="s">
        <v>2239</v>
      </c>
      <c r="D470" s="429">
        <f>IFERROR(MIN('LP Reactivos'!F470,'LP Reactivos'!I470,'LP Reactivos'!N470,'LP Reactivos'!S470,'LP Reactivos'!X470,'LP Reactivos'!AC470,'LP Reactivos'!AH470,'LP Reactivos'!AM470,'LP Reactivos'!AR470,'LP Reactivos'!AW470,'LP Reactivos'!BB470,'LP Reactivos'!BG470,'LP Reactivos'!BL470,'LP Reactivos'!BQ470,'LP Reactivos'!BV470,'LP Reactivos'!CA470,'LP Reactivos'!CF470,'LP Reactivos'!CK470,'LP Reactivos'!CP470,'LP Reactivos'!CU470,'LP Reactivos'!CZ470,'LP Reactivos'!DE470,'LP Reactivos'!DJ470,'LP Reactivos'!DO470,'LP Reactivos'!DT470,'LP Reactivos'!DY470,'LP Reactivos'!EB470)," ")</f>
        <v>190000</v>
      </c>
      <c r="E470" s="429">
        <f>IFERROR(AVERAGE('LP Reactivos'!F470,'LP Reactivos'!I470,'LP Reactivos'!N470,'LP Reactivos'!S470,'LP Reactivos'!X470,'LP Reactivos'!AC470,'LP Reactivos'!AH470,'LP Reactivos'!AM470,'LP Reactivos'!AR470,'LP Reactivos'!AW470,'LP Reactivos'!BB470,'LP Reactivos'!BG470,'LP Reactivos'!BL470,'LP Reactivos'!BQ470,'LP Reactivos'!BV470,'LP Reactivos'!CA470,'LP Reactivos'!CF470,'LP Reactivos'!CK470,'LP Reactivos'!CP470,'LP Reactivos'!CU470,'LP Reactivos'!CZ470,'LP Reactivos'!DE470,'LP Reactivos'!DJ470,'LP Reactivos'!DO470,'LP Reactivos'!DT470,'LP Reactivos'!DY470,'LP Reactivos'!EB470)," ")</f>
        <v>214086</v>
      </c>
      <c r="F470" s="345">
        <f>IFERROR(MEDIAN('LP Reactivos'!F470,'LP Reactivos'!I470,'LP Reactivos'!N470,'LP Reactivos'!S470,'LP Reactivos'!X470,'LP Reactivos'!AC470,'LP Reactivos'!AH470,'LP Reactivos'!AM470,'LP Reactivos'!AR470,'LP Reactivos'!AW470,'LP Reactivos'!BB470,'LP Reactivos'!BG470,'LP Reactivos'!BL470,'LP Reactivos'!BQ470,'LP Reactivos'!BV470,'LP Reactivos'!CA470,'LP Reactivos'!CF470,'LP Reactivos'!CK470,'LP Reactivos'!CP470,'LP Reactivos'!CU470,'LP Reactivos'!CZ470,'LP Reactivos'!DE470,'LP Reactivos'!DJ470,'LP Reactivos'!DO470,'LP Reactivos'!DT470,'LP Reactivos'!DY470,'LP Reactivos'!EB470)," ")</f>
        <v>214086</v>
      </c>
      <c r="G470" s="345">
        <f>IFERROR(GEOMEAN('LP Reactivos'!F470,'LP Reactivos'!I470,'LP Reactivos'!N470,'LP Reactivos'!S470,'LP Reactivos'!X470,'LP Reactivos'!AC470,'LP Reactivos'!AH470,'LP Reactivos'!AM470,'LP Reactivos'!AR470,'LP Reactivos'!AW470,'LP Reactivos'!BB470,'LP Reactivos'!BG470,'LP Reactivos'!BL470,'LP Reactivos'!BQ470,'LP Reactivos'!BV470,'LP Reactivos'!CA470,'LP Reactivos'!CF470,'LP Reactivos'!CK470,'LP Reactivos'!CP470,'LP Reactivos'!CU470,'LP Reactivos'!CZ470,'LP Reactivos'!DE470,'LP Reactivos'!DJ470,'LP Reactivos'!DO470,'LP Reactivos'!DT470,'LP Reactivos'!DY470,'LP Reactivos'!EB470)," ")</f>
        <v>212726.77311518643</v>
      </c>
      <c r="H470" s="345">
        <f t="shared" si="32"/>
        <v>11833.821599121311</v>
      </c>
      <c r="I470" s="346">
        <f t="shared" si="33"/>
        <v>5.5276018044717129E-2</v>
      </c>
      <c r="J470" s="345">
        <f t="shared" si="34"/>
        <v>214086</v>
      </c>
      <c r="K470" s="344" t="str">
        <f t="shared" si="35"/>
        <v>Promedio</v>
      </c>
      <c r="L470" s="326">
        <f>IFERROR(COUNTA('LP Reactivos'!F470,'LP Reactivos'!I470,'LP Reactivos'!N470,'LP Reactivos'!S470,'LP Reactivos'!X470,'LP Reactivos'!AC470,'LP Reactivos'!AH470,'LP Reactivos'!AM470,'LP Reactivos'!AR470,'LP Reactivos'!AW470,'LP Reactivos'!BB470,'LP Reactivos'!BG470,'LP Reactivos'!BL470,'LP Reactivos'!BQ470,'LP Reactivos'!BV470,'LP Reactivos'!CA470,'LP Reactivos'!CF470,'LP Reactivos'!CK470,'LP Reactivos'!CP470,'LP Reactivos'!CU470,'LP Reactivos'!CZ470,'LP Reactivos'!DE470,'LP Reactivos'!DJ470,'LP Reactivos'!DO470,'LP Reactivos'!DT470,'LP Reactivos'!DY470,'LP Reactivos'!EB470)," ")</f>
        <v>2</v>
      </c>
    </row>
    <row r="471" spans="2:12" x14ac:dyDescent="0.25">
      <c r="B471" s="425">
        <v>469</v>
      </c>
      <c r="C471" s="427" t="s">
        <v>2242</v>
      </c>
      <c r="D471" s="429">
        <f>IFERROR(MIN('LP Reactivos'!F471,'LP Reactivos'!I471,'LP Reactivos'!N471,'LP Reactivos'!S471,'LP Reactivos'!X471,'LP Reactivos'!AC471,'LP Reactivos'!AH471,'LP Reactivos'!AM471,'LP Reactivos'!AR471,'LP Reactivos'!AW471,'LP Reactivos'!BB471,'LP Reactivos'!BG471,'LP Reactivos'!BL471,'LP Reactivos'!BQ471,'LP Reactivos'!BV471,'LP Reactivos'!CA471,'LP Reactivos'!CF471,'LP Reactivos'!CK471,'LP Reactivos'!CP471,'LP Reactivos'!CU471,'LP Reactivos'!CZ471,'LP Reactivos'!DE471,'LP Reactivos'!DJ471,'LP Reactivos'!DO471,'LP Reactivos'!DT471,'LP Reactivos'!DY471,'LP Reactivos'!EB471)," ")</f>
        <v>2434394.1882000002</v>
      </c>
      <c r="E471" s="429">
        <f>IFERROR(AVERAGE('LP Reactivos'!F471,'LP Reactivos'!I471,'LP Reactivos'!N471,'LP Reactivos'!S471,'LP Reactivos'!X471,'LP Reactivos'!AC471,'LP Reactivos'!AH471,'LP Reactivos'!AM471,'LP Reactivos'!AR471,'LP Reactivos'!AW471,'LP Reactivos'!BB471,'LP Reactivos'!BG471,'LP Reactivos'!BL471,'LP Reactivos'!BQ471,'LP Reactivos'!BV471,'LP Reactivos'!CA471,'LP Reactivos'!CF471,'LP Reactivos'!CK471,'LP Reactivos'!CP471,'LP Reactivos'!CU471,'LP Reactivos'!CZ471,'LP Reactivos'!DE471,'LP Reactivos'!DJ471,'LP Reactivos'!DO471,'LP Reactivos'!DT471,'LP Reactivos'!DY471,'LP Reactivos'!EB471)," ")</f>
        <v>2434394.1882000002</v>
      </c>
      <c r="F471" s="345">
        <f>IFERROR(MEDIAN('LP Reactivos'!F471,'LP Reactivos'!I471,'LP Reactivos'!N471,'LP Reactivos'!S471,'LP Reactivos'!X471,'LP Reactivos'!AC471,'LP Reactivos'!AH471,'LP Reactivos'!AM471,'LP Reactivos'!AR471,'LP Reactivos'!AW471,'LP Reactivos'!BB471,'LP Reactivos'!BG471,'LP Reactivos'!BL471,'LP Reactivos'!BQ471,'LP Reactivos'!BV471,'LP Reactivos'!CA471,'LP Reactivos'!CF471,'LP Reactivos'!CK471,'LP Reactivos'!CP471,'LP Reactivos'!CU471,'LP Reactivos'!CZ471,'LP Reactivos'!DE471,'LP Reactivos'!DJ471,'LP Reactivos'!DO471,'LP Reactivos'!DT471,'LP Reactivos'!DY471,'LP Reactivos'!EB471)," ")</f>
        <v>2434394.1882000002</v>
      </c>
      <c r="G471" s="345">
        <f>IFERROR(GEOMEAN('LP Reactivos'!F471,'LP Reactivos'!I471,'LP Reactivos'!N471,'LP Reactivos'!S471,'LP Reactivos'!X471,'LP Reactivos'!AC471,'LP Reactivos'!AH471,'LP Reactivos'!AM471,'LP Reactivos'!AR471,'LP Reactivos'!AW471,'LP Reactivos'!BB471,'LP Reactivos'!BG471,'LP Reactivos'!BL471,'LP Reactivos'!BQ471,'LP Reactivos'!BV471,'LP Reactivos'!CA471,'LP Reactivos'!CF471,'LP Reactivos'!CK471,'LP Reactivos'!CP471,'LP Reactivos'!CU471,'LP Reactivos'!CZ471,'LP Reactivos'!DE471,'LP Reactivos'!DJ471,'LP Reactivos'!DO471,'LP Reactivos'!DT471,'LP Reactivos'!DY471,'LP Reactivos'!EB471)," ")</f>
        <v>2434394.1882000002</v>
      </c>
      <c r="H471" s="345">
        <f t="shared" si="32"/>
        <v>0</v>
      </c>
      <c r="I471" s="346">
        <f t="shared" si="33"/>
        <v>0</v>
      </c>
      <c r="J471" s="345">
        <f t="shared" si="34"/>
        <v>2434394.1882000002</v>
      </c>
      <c r="K471" s="344" t="str">
        <f t="shared" si="35"/>
        <v>Menor Valor</v>
      </c>
      <c r="L471" s="326">
        <f>IFERROR(COUNTA('LP Reactivos'!F471,'LP Reactivos'!I471,'LP Reactivos'!N471,'LP Reactivos'!S471,'LP Reactivos'!X471,'LP Reactivos'!AC471,'LP Reactivos'!AH471,'LP Reactivos'!AM471,'LP Reactivos'!AR471,'LP Reactivos'!AW471,'LP Reactivos'!BB471,'LP Reactivos'!BG471,'LP Reactivos'!BL471,'LP Reactivos'!BQ471,'LP Reactivos'!BV471,'LP Reactivos'!CA471,'LP Reactivos'!CF471,'LP Reactivos'!CK471,'LP Reactivos'!CP471,'LP Reactivos'!CU471,'LP Reactivos'!CZ471,'LP Reactivos'!DE471,'LP Reactivos'!DJ471,'LP Reactivos'!DO471,'LP Reactivos'!DT471,'LP Reactivos'!DY471,'LP Reactivos'!EB471)," ")</f>
        <v>1</v>
      </c>
    </row>
    <row r="472" spans="2:12" x14ac:dyDescent="0.25">
      <c r="B472" s="425">
        <v>470</v>
      </c>
      <c r="C472" s="427" t="s">
        <v>2244</v>
      </c>
      <c r="D472" s="429">
        <f>IFERROR(MIN('LP Reactivos'!F472,'LP Reactivos'!I472,'LP Reactivos'!N472,'LP Reactivos'!S472,'LP Reactivos'!X472,'LP Reactivos'!AC472,'LP Reactivos'!AH472,'LP Reactivos'!AM472,'LP Reactivos'!AR472,'LP Reactivos'!AW472,'LP Reactivos'!BB472,'LP Reactivos'!BG472,'LP Reactivos'!BL472,'LP Reactivos'!BQ472,'LP Reactivos'!BV472,'LP Reactivos'!CA472,'LP Reactivos'!CF472,'LP Reactivos'!CK472,'LP Reactivos'!CP472,'LP Reactivos'!CU472,'LP Reactivos'!CZ472,'LP Reactivos'!DE472,'LP Reactivos'!DJ472,'LP Reactivos'!DO472,'LP Reactivos'!DT472,'LP Reactivos'!DY472,'LP Reactivos'!EB472)," ")</f>
        <v>2236679.8854</v>
      </c>
      <c r="E472" s="429">
        <f>IFERROR(AVERAGE('LP Reactivos'!F472,'LP Reactivos'!I472,'LP Reactivos'!N472,'LP Reactivos'!S472,'LP Reactivos'!X472,'LP Reactivos'!AC472,'LP Reactivos'!AH472,'LP Reactivos'!AM472,'LP Reactivos'!AR472,'LP Reactivos'!AW472,'LP Reactivos'!BB472,'LP Reactivos'!BG472,'LP Reactivos'!BL472,'LP Reactivos'!BQ472,'LP Reactivos'!BV472,'LP Reactivos'!CA472,'LP Reactivos'!CF472,'LP Reactivos'!CK472,'LP Reactivos'!CP472,'LP Reactivos'!CU472,'LP Reactivos'!CZ472,'LP Reactivos'!DE472,'LP Reactivos'!DJ472,'LP Reactivos'!DO472,'LP Reactivos'!DT472,'LP Reactivos'!DY472,'LP Reactivos'!EB472)," ")</f>
        <v>2236679.8854</v>
      </c>
      <c r="F472" s="345">
        <f>IFERROR(MEDIAN('LP Reactivos'!F472,'LP Reactivos'!I472,'LP Reactivos'!N472,'LP Reactivos'!S472,'LP Reactivos'!X472,'LP Reactivos'!AC472,'LP Reactivos'!AH472,'LP Reactivos'!AM472,'LP Reactivos'!AR472,'LP Reactivos'!AW472,'LP Reactivos'!BB472,'LP Reactivos'!BG472,'LP Reactivos'!BL472,'LP Reactivos'!BQ472,'LP Reactivos'!BV472,'LP Reactivos'!CA472,'LP Reactivos'!CF472,'LP Reactivos'!CK472,'LP Reactivos'!CP472,'LP Reactivos'!CU472,'LP Reactivos'!CZ472,'LP Reactivos'!DE472,'LP Reactivos'!DJ472,'LP Reactivos'!DO472,'LP Reactivos'!DT472,'LP Reactivos'!DY472,'LP Reactivos'!EB472)," ")</f>
        <v>2236679.8854</v>
      </c>
      <c r="G472" s="345">
        <f>IFERROR(GEOMEAN('LP Reactivos'!F472,'LP Reactivos'!I472,'LP Reactivos'!N472,'LP Reactivos'!S472,'LP Reactivos'!X472,'LP Reactivos'!AC472,'LP Reactivos'!AH472,'LP Reactivos'!AM472,'LP Reactivos'!AR472,'LP Reactivos'!AW472,'LP Reactivos'!BB472,'LP Reactivos'!BG472,'LP Reactivos'!BL472,'LP Reactivos'!BQ472,'LP Reactivos'!BV472,'LP Reactivos'!CA472,'LP Reactivos'!CF472,'LP Reactivos'!CK472,'LP Reactivos'!CP472,'LP Reactivos'!CU472,'LP Reactivos'!CZ472,'LP Reactivos'!DE472,'LP Reactivos'!DJ472,'LP Reactivos'!DO472,'LP Reactivos'!DT472,'LP Reactivos'!DY472,'LP Reactivos'!EB472)," ")</f>
        <v>2236679.8854</v>
      </c>
      <c r="H472" s="345">
        <f t="shared" si="32"/>
        <v>0</v>
      </c>
      <c r="I472" s="346">
        <f t="shared" si="33"/>
        <v>0</v>
      </c>
      <c r="J472" s="345">
        <f t="shared" si="34"/>
        <v>2236679.8854</v>
      </c>
      <c r="K472" s="344" t="str">
        <f t="shared" si="35"/>
        <v>Menor Valor</v>
      </c>
      <c r="L472" s="326">
        <f>IFERROR(COUNTA('LP Reactivos'!F472,'LP Reactivos'!I472,'LP Reactivos'!N472,'LP Reactivos'!S472,'LP Reactivos'!X472,'LP Reactivos'!AC472,'LP Reactivos'!AH472,'LP Reactivos'!AM472,'LP Reactivos'!AR472,'LP Reactivos'!AW472,'LP Reactivos'!BB472,'LP Reactivos'!BG472,'LP Reactivos'!BL472,'LP Reactivos'!BQ472,'LP Reactivos'!BV472,'LP Reactivos'!CA472,'LP Reactivos'!CF472,'LP Reactivos'!CK472,'LP Reactivos'!CP472,'LP Reactivos'!CU472,'LP Reactivos'!CZ472,'LP Reactivos'!DE472,'LP Reactivos'!DJ472,'LP Reactivos'!DO472,'LP Reactivos'!DT472,'LP Reactivos'!DY472,'LP Reactivos'!EB472)," ")</f>
        <v>1</v>
      </c>
    </row>
    <row r="473" spans="2:12" ht="54" x14ac:dyDescent="0.25">
      <c r="B473" s="425">
        <v>471</v>
      </c>
      <c r="C473" s="426" t="s">
        <v>2245</v>
      </c>
      <c r="D473" s="429">
        <f>IFERROR(MIN('LP Reactivos'!F473,'LP Reactivos'!I473,'LP Reactivos'!N473,'LP Reactivos'!S473,'LP Reactivos'!X473,'LP Reactivos'!AC473,'LP Reactivos'!AH473,'LP Reactivos'!AM473,'LP Reactivos'!AR473,'LP Reactivos'!AW473,'LP Reactivos'!BB473,'LP Reactivos'!BG473,'LP Reactivos'!BL473,'LP Reactivos'!BQ473,'LP Reactivos'!BV473,'LP Reactivos'!CA473,'LP Reactivos'!CF473,'LP Reactivos'!CK473,'LP Reactivos'!CP473,'LP Reactivos'!CU473,'LP Reactivos'!CZ473,'LP Reactivos'!DE473,'LP Reactivos'!DJ473,'LP Reactivos'!DO473,'LP Reactivos'!DT473,'LP Reactivos'!DY473,'LP Reactivos'!EB473)," ")</f>
        <v>583100</v>
      </c>
      <c r="E473" s="429">
        <f>IFERROR(AVERAGE('LP Reactivos'!F473,'LP Reactivos'!I473,'LP Reactivos'!N473,'LP Reactivos'!S473,'LP Reactivos'!X473,'LP Reactivos'!AC473,'LP Reactivos'!AH473,'LP Reactivos'!AM473,'LP Reactivos'!AR473,'LP Reactivos'!AW473,'LP Reactivos'!BB473,'LP Reactivos'!BG473,'LP Reactivos'!BL473,'LP Reactivos'!BQ473,'LP Reactivos'!BV473,'LP Reactivos'!CA473,'LP Reactivos'!CF473,'LP Reactivos'!CK473,'LP Reactivos'!CP473,'LP Reactivos'!CU473,'LP Reactivos'!CZ473,'LP Reactivos'!DE473,'LP Reactivos'!DJ473,'LP Reactivos'!DO473,'LP Reactivos'!DT473,'LP Reactivos'!DY473,'LP Reactivos'!EB473)," ")</f>
        <v>692372.12286666664</v>
      </c>
      <c r="F473" s="345">
        <f>IFERROR(MEDIAN('LP Reactivos'!F473,'LP Reactivos'!I473,'LP Reactivos'!N473,'LP Reactivos'!S473,'LP Reactivos'!X473,'LP Reactivos'!AC473,'LP Reactivos'!AH473,'LP Reactivos'!AM473,'LP Reactivos'!AR473,'LP Reactivos'!AW473,'LP Reactivos'!BB473,'LP Reactivos'!BG473,'LP Reactivos'!BL473,'LP Reactivos'!BQ473,'LP Reactivos'!BV473,'LP Reactivos'!CA473,'LP Reactivos'!CF473,'LP Reactivos'!CK473,'LP Reactivos'!CP473,'LP Reactivos'!CU473,'LP Reactivos'!CZ473,'LP Reactivos'!DE473,'LP Reactivos'!DJ473,'LP Reactivos'!DO473,'LP Reactivos'!DT473,'LP Reactivos'!DY473,'LP Reactivos'!EB473)," ")</f>
        <v>599119.23259999999</v>
      </c>
      <c r="G473" s="345">
        <f>IFERROR(GEOMEAN('LP Reactivos'!F473,'LP Reactivos'!I473,'LP Reactivos'!N473,'LP Reactivos'!S473,'LP Reactivos'!X473,'LP Reactivos'!AC473,'LP Reactivos'!AH473,'LP Reactivos'!AM473,'LP Reactivos'!AR473,'LP Reactivos'!AW473,'LP Reactivos'!BB473,'LP Reactivos'!BG473,'LP Reactivos'!BL473,'LP Reactivos'!BQ473,'LP Reactivos'!BV473,'LP Reactivos'!CA473,'LP Reactivos'!CF473,'LP Reactivos'!CK473,'LP Reactivos'!CP473,'LP Reactivos'!CU473,'LP Reactivos'!CZ473,'LP Reactivos'!DE473,'LP Reactivos'!DJ473,'LP Reactivos'!DO473,'LP Reactivos'!DT473,'LP Reactivos'!DY473,'LP Reactivos'!EB473)," ")</f>
        <v>678697.85033127374</v>
      </c>
      <c r="H473" s="345">
        <f t="shared" si="32"/>
        <v>55190.431922360709</v>
      </c>
      <c r="I473" s="346">
        <f t="shared" si="33"/>
        <v>7.9712094262046118E-2</v>
      </c>
      <c r="J473" s="345">
        <f t="shared" si="34"/>
        <v>599119.23259999999</v>
      </c>
      <c r="K473" s="344" t="str">
        <f t="shared" si="35"/>
        <v>Mediana</v>
      </c>
      <c r="L473" s="326">
        <f>IFERROR(COUNTA('LP Reactivos'!F473,'LP Reactivos'!I473,'LP Reactivos'!N473,'LP Reactivos'!S473,'LP Reactivos'!X473,'LP Reactivos'!AC473,'LP Reactivos'!AH473,'LP Reactivos'!AM473,'LP Reactivos'!AR473,'LP Reactivos'!AW473,'LP Reactivos'!BB473,'LP Reactivos'!BG473,'LP Reactivos'!BL473,'LP Reactivos'!BQ473,'LP Reactivos'!BV473,'LP Reactivos'!CA473,'LP Reactivos'!CF473,'LP Reactivos'!CK473,'LP Reactivos'!CP473,'LP Reactivos'!CU473,'LP Reactivos'!CZ473,'LP Reactivos'!DE473,'LP Reactivos'!DJ473,'LP Reactivos'!DO473,'LP Reactivos'!DT473,'LP Reactivos'!DY473,'LP Reactivos'!EB473)," ")</f>
        <v>3</v>
      </c>
    </row>
    <row r="474" spans="2:12" x14ac:dyDescent="0.25">
      <c r="B474" s="425">
        <v>472</v>
      </c>
      <c r="C474" s="427" t="s">
        <v>2247</v>
      </c>
      <c r="D474" s="429">
        <f>IFERROR(MIN('LP Reactivos'!F474,'LP Reactivos'!I474,'LP Reactivos'!N474,'LP Reactivos'!S474,'LP Reactivos'!X474,'LP Reactivos'!AC474,'LP Reactivos'!AH474,'LP Reactivos'!AM474,'LP Reactivos'!AR474,'LP Reactivos'!AW474,'LP Reactivos'!BB474,'LP Reactivos'!BG474,'LP Reactivos'!BL474,'LP Reactivos'!BQ474,'LP Reactivos'!BV474,'LP Reactivos'!CA474,'LP Reactivos'!CF474,'LP Reactivos'!CK474,'LP Reactivos'!CP474,'LP Reactivos'!CU474,'LP Reactivos'!CZ474,'LP Reactivos'!DE474,'LP Reactivos'!DJ474,'LP Reactivos'!DO474,'LP Reactivos'!DT474,'LP Reactivos'!DY474,'LP Reactivos'!EB474)," ")</f>
        <v>1343510</v>
      </c>
      <c r="E474" s="429">
        <f>IFERROR(AVERAGE('LP Reactivos'!F474,'LP Reactivos'!I474,'LP Reactivos'!N474,'LP Reactivos'!S474,'LP Reactivos'!X474,'LP Reactivos'!AC474,'LP Reactivos'!AH474,'LP Reactivos'!AM474,'LP Reactivos'!AR474,'LP Reactivos'!AW474,'LP Reactivos'!BB474,'LP Reactivos'!BG474,'LP Reactivos'!BL474,'LP Reactivos'!BQ474,'LP Reactivos'!BV474,'LP Reactivos'!CA474,'LP Reactivos'!CF474,'LP Reactivos'!CK474,'LP Reactivos'!CP474,'LP Reactivos'!CU474,'LP Reactivos'!CZ474,'LP Reactivos'!DE474,'LP Reactivos'!DJ474,'LP Reactivos'!DO474,'LP Reactivos'!DT474,'LP Reactivos'!DY474,'LP Reactivos'!EB474)," ")</f>
        <v>1871275.0449999999</v>
      </c>
      <c r="F474" s="345">
        <f>IFERROR(MEDIAN('LP Reactivos'!F474,'LP Reactivos'!I474,'LP Reactivos'!N474,'LP Reactivos'!S474,'LP Reactivos'!X474,'LP Reactivos'!AC474,'LP Reactivos'!AH474,'LP Reactivos'!AM474,'LP Reactivos'!AR474,'LP Reactivos'!AW474,'LP Reactivos'!BB474,'LP Reactivos'!BG474,'LP Reactivos'!BL474,'LP Reactivos'!BQ474,'LP Reactivos'!BV474,'LP Reactivos'!CA474,'LP Reactivos'!CF474,'LP Reactivos'!CK474,'LP Reactivos'!CP474,'LP Reactivos'!CU474,'LP Reactivos'!CZ474,'LP Reactivos'!DE474,'LP Reactivos'!DJ474,'LP Reactivos'!DO474,'LP Reactivos'!DT474,'LP Reactivos'!DY474,'LP Reactivos'!EB474)," ")</f>
        <v>1845095.09</v>
      </c>
      <c r="G474" s="345">
        <f>IFERROR(GEOMEAN('LP Reactivos'!F474,'LP Reactivos'!I474,'LP Reactivos'!N474,'LP Reactivos'!S474,'LP Reactivos'!X474,'LP Reactivos'!AC474,'LP Reactivos'!AH474,'LP Reactivos'!AM474,'LP Reactivos'!AR474,'LP Reactivos'!AW474,'LP Reactivos'!BB474,'LP Reactivos'!BG474,'LP Reactivos'!BL474,'LP Reactivos'!BQ474,'LP Reactivos'!BV474,'LP Reactivos'!CA474,'LP Reactivos'!CF474,'LP Reactivos'!CK474,'LP Reactivos'!CP474,'LP Reactivos'!CU474,'LP Reactivos'!CZ474,'LP Reactivos'!DE474,'LP Reactivos'!DJ474,'LP Reactivos'!DO474,'LP Reactivos'!DT474,'LP Reactivos'!DY474,'LP Reactivos'!EB474)," ")</f>
        <v>1804530.7895975483</v>
      </c>
      <c r="H474" s="345">
        <f t="shared" si="32"/>
        <v>249908.21011848139</v>
      </c>
      <c r="I474" s="346">
        <f t="shared" si="33"/>
        <v>0.13354969425057522</v>
      </c>
      <c r="J474" s="345">
        <f t="shared" si="34"/>
        <v>1871275.0449999999</v>
      </c>
      <c r="K474" s="344" t="str">
        <f t="shared" si="35"/>
        <v>Promedio</v>
      </c>
      <c r="L474" s="326">
        <f>IFERROR(COUNTA('LP Reactivos'!F474,'LP Reactivos'!I474,'LP Reactivos'!N474,'LP Reactivos'!S474,'LP Reactivos'!X474,'LP Reactivos'!AC474,'LP Reactivos'!AH474,'LP Reactivos'!AM474,'LP Reactivos'!AR474,'LP Reactivos'!AW474,'LP Reactivos'!BB474,'LP Reactivos'!BG474,'LP Reactivos'!BL474,'LP Reactivos'!BQ474,'LP Reactivos'!BV474,'LP Reactivos'!CA474,'LP Reactivos'!CF474,'LP Reactivos'!CK474,'LP Reactivos'!CP474,'LP Reactivos'!CU474,'LP Reactivos'!CZ474,'LP Reactivos'!DE474,'LP Reactivos'!DJ474,'LP Reactivos'!DO474,'LP Reactivos'!DT474,'LP Reactivos'!DY474,'LP Reactivos'!EB474)," ")</f>
        <v>4</v>
      </c>
    </row>
    <row r="475" spans="2:12" ht="27" x14ac:dyDescent="0.25">
      <c r="B475" s="425">
        <v>473</v>
      </c>
      <c r="C475" s="427" t="s">
        <v>2252</v>
      </c>
      <c r="D475" s="429">
        <f>IFERROR(MIN('LP Reactivos'!F475,'LP Reactivos'!I475,'LP Reactivos'!N475,'LP Reactivos'!S475,'LP Reactivos'!X475,'LP Reactivos'!AC475,'LP Reactivos'!AH475,'LP Reactivos'!AM475,'LP Reactivos'!AR475,'LP Reactivos'!AW475,'LP Reactivos'!BB475,'LP Reactivos'!BG475,'LP Reactivos'!BL475,'LP Reactivos'!BQ475,'LP Reactivos'!BV475,'LP Reactivos'!CA475,'LP Reactivos'!CF475,'LP Reactivos'!CK475,'LP Reactivos'!CP475,'LP Reactivos'!CU475,'LP Reactivos'!CZ475,'LP Reactivos'!DE475,'LP Reactivos'!DJ475,'LP Reactivos'!DO475,'LP Reactivos'!DT475,'LP Reactivos'!DY475,'LP Reactivos'!EB475)," ")</f>
        <v>1545810</v>
      </c>
      <c r="E475" s="429">
        <f>IFERROR(AVERAGE('LP Reactivos'!F475,'LP Reactivos'!I475,'LP Reactivos'!N475,'LP Reactivos'!S475,'LP Reactivos'!X475,'LP Reactivos'!AC475,'LP Reactivos'!AH475,'LP Reactivos'!AM475,'LP Reactivos'!AR475,'LP Reactivos'!AW475,'LP Reactivos'!BB475,'LP Reactivos'!BG475,'LP Reactivos'!BL475,'LP Reactivos'!BQ475,'LP Reactivos'!BV475,'LP Reactivos'!CA475,'LP Reactivos'!CF475,'LP Reactivos'!CK475,'LP Reactivos'!CP475,'LP Reactivos'!CU475,'LP Reactivos'!CZ475,'LP Reactivos'!DE475,'LP Reactivos'!DJ475,'LP Reactivos'!DO475,'LP Reactivos'!DT475,'LP Reactivos'!DY475,'LP Reactivos'!EB475)," ")</f>
        <v>2095927.55</v>
      </c>
      <c r="F475" s="345">
        <f>IFERROR(MEDIAN('LP Reactivos'!F475,'LP Reactivos'!I475,'LP Reactivos'!N475,'LP Reactivos'!S475,'LP Reactivos'!X475,'LP Reactivos'!AC475,'LP Reactivos'!AH475,'LP Reactivos'!AM475,'LP Reactivos'!AR475,'LP Reactivos'!AW475,'LP Reactivos'!BB475,'LP Reactivos'!BG475,'LP Reactivos'!BL475,'LP Reactivos'!BQ475,'LP Reactivos'!BV475,'LP Reactivos'!CA475,'LP Reactivos'!CF475,'LP Reactivos'!CK475,'LP Reactivos'!CP475,'LP Reactivos'!CU475,'LP Reactivos'!CZ475,'LP Reactivos'!DE475,'LP Reactivos'!DJ475,'LP Reactivos'!DO475,'LP Reactivos'!DT475,'LP Reactivos'!DY475,'LP Reactivos'!EB475)," ")</f>
        <v>2008205.1</v>
      </c>
      <c r="G475" s="345">
        <f>IFERROR(GEOMEAN('LP Reactivos'!F475,'LP Reactivos'!I475,'LP Reactivos'!N475,'LP Reactivos'!S475,'LP Reactivos'!X475,'LP Reactivos'!AC475,'LP Reactivos'!AH475,'LP Reactivos'!AM475,'LP Reactivos'!AR475,'LP Reactivos'!AW475,'LP Reactivos'!BB475,'LP Reactivos'!BG475,'LP Reactivos'!BL475,'LP Reactivos'!BQ475,'LP Reactivos'!BV475,'LP Reactivos'!CA475,'LP Reactivos'!CF475,'LP Reactivos'!CK475,'LP Reactivos'!CP475,'LP Reactivos'!CU475,'LP Reactivos'!CZ475,'LP Reactivos'!DE475,'LP Reactivos'!DJ475,'LP Reactivos'!DO475,'LP Reactivos'!DT475,'LP Reactivos'!DY475,'LP Reactivos'!EB475)," ")</f>
        <v>2029349.0126665705</v>
      </c>
      <c r="H475" s="345">
        <f t="shared" si="32"/>
        <v>252128.1947414348</v>
      </c>
      <c r="I475" s="346">
        <f t="shared" si="33"/>
        <v>0.1202943273213021</v>
      </c>
      <c r="J475" s="345">
        <f t="shared" si="34"/>
        <v>2095927.55</v>
      </c>
      <c r="K475" s="344" t="str">
        <f t="shared" si="35"/>
        <v>Promedio</v>
      </c>
      <c r="L475" s="326">
        <f>IFERROR(COUNTA('LP Reactivos'!F475,'LP Reactivos'!I475,'LP Reactivos'!N475,'LP Reactivos'!S475,'LP Reactivos'!X475,'LP Reactivos'!AC475,'LP Reactivos'!AH475,'LP Reactivos'!AM475,'LP Reactivos'!AR475,'LP Reactivos'!AW475,'LP Reactivos'!BB475,'LP Reactivos'!BG475,'LP Reactivos'!BL475,'LP Reactivos'!BQ475,'LP Reactivos'!BV475,'LP Reactivos'!CA475,'LP Reactivos'!CF475,'LP Reactivos'!CK475,'LP Reactivos'!CP475,'LP Reactivos'!CU475,'LP Reactivos'!CZ475,'LP Reactivos'!DE475,'LP Reactivos'!DJ475,'LP Reactivos'!DO475,'LP Reactivos'!DT475,'LP Reactivos'!DY475,'LP Reactivos'!EB475)," ")</f>
        <v>4</v>
      </c>
    </row>
    <row r="476" spans="2:12" x14ac:dyDescent="0.25">
      <c r="B476" s="425">
        <v>474</v>
      </c>
      <c r="C476" s="428" t="s">
        <v>2256</v>
      </c>
      <c r="D476" s="429">
        <f>IFERROR(MIN('LP Reactivos'!F476,'LP Reactivos'!I476,'LP Reactivos'!N476,'LP Reactivos'!S476,'LP Reactivos'!X476,'LP Reactivos'!AC476,'LP Reactivos'!AH476,'LP Reactivos'!AM476,'LP Reactivos'!AR476,'LP Reactivos'!AW476,'LP Reactivos'!BB476,'LP Reactivos'!BG476,'LP Reactivos'!BL476,'LP Reactivos'!BQ476,'LP Reactivos'!BV476,'LP Reactivos'!CA476,'LP Reactivos'!CF476,'LP Reactivos'!CK476,'LP Reactivos'!CP476,'LP Reactivos'!CU476,'LP Reactivos'!CZ476,'LP Reactivos'!DE476,'LP Reactivos'!DJ476,'LP Reactivos'!DO476,'LP Reactivos'!DT476,'LP Reactivos'!DY476,'LP Reactivos'!EB476)," ")</f>
        <v>496400</v>
      </c>
      <c r="E476" s="429">
        <f>IFERROR(AVERAGE('LP Reactivos'!F476,'LP Reactivos'!I476,'LP Reactivos'!N476,'LP Reactivos'!S476,'LP Reactivos'!X476,'LP Reactivos'!AC476,'LP Reactivos'!AH476,'LP Reactivos'!AM476,'LP Reactivos'!AR476,'LP Reactivos'!AW476,'LP Reactivos'!BB476,'LP Reactivos'!BG476,'LP Reactivos'!BL476,'LP Reactivos'!BQ476,'LP Reactivos'!BV476,'LP Reactivos'!CA476,'LP Reactivos'!CF476,'LP Reactivos'!CK476,'LP Reactivos'!CP476,'LP Reactivos'!CU476,'LP Reactivos'!CZ476,'LP Reactivos'!DE476,'LP Reactivos'!DJ476,'LP Reactivos'!DO476,'LP Reactivos'!DT476,'LP Reactivos'!DY476,'LP Reactivos'!EB476)," ")</f>
        <v>496400</v>
      </c>
      <c r="F476" s="345">
        <f>IFERROR(MEDIAN('LP Reactivos'!F476,'LP Reactivos'!I476,'LP Reactivos'!N476,'LP Reactivos'!S476,'LP Reactivos'!X476,'LP Reactivos'!AC476,'LP Reactivos'!AH476,'LP Reactivos'!AM476,'LP Reactivos'!AR476,'LP Reactivos'!AW476,'LP Reactivos'!BB476,'LP Reactivos'!BG476,'LP Reactivos'!BL476,'LP Reactivos'!BQ476,'LP Reactivos'!BV476,'LP Reactivos'!CA476,'LP Reactivos'!CF476,'LP Reactivos'!CK476,'LP Reactivos'!CP476,'LP Reactivos'!CU476,'LP Reactivos'!CZ476,'LP Reactivos'!DE476,'LP Reactivos'!DJ476,'LP Reactivos'!DO476,'LP Reactivos'!DT476,'LP Reactivos'!DY476,'LP Reactivos'!EB476)," ")</f>
        <v>496400</v>
      </c>
      <c r="G476" s="345">
        <f>IFERROR(GEOMEAN('LP Reactivos'!F476,'LP Reactivos'!I476,'LP Reactivos'!N476,'LP Reactivos'!S476,'LP Reactivos'!X476,'LP Reactivos'!AC476,'LP Reactivos'!AH476,'LP Reactivos'!AM476,'LP Reactivos'!AR476,'LP Reactivos'!AW476,'LP Reactivos'!BB476,'LP Reactivos'!BG476,'LP Reactivos'!BL476,'LP Reactivos'!BQ476,'LP Reactivos'!BV476,'LP Reactivos'!CA476,'LP Reactivos'!CF476,'LP Reactivos'!CK476,'LP Reactivos'!CP476,'LP Reactivos'!CU476,'LP Reactivos'!CZ476,'LP Reactivos'!DE476,'LP Reactivos'!DJ476,'LP Reactivos'!DO476,'LP Reactivos'!DT476,'LP Reactivos'!DY476,'LP Reactivos'!EB476)," ")</f>
        <v>496400</v>
      </c>
      <c r="H476" s="345">
        <f t="shared" si="32"/>
        <v>0</v>
      </c>
      <c r="I476" s="346">
        <f t="shared" si="33"/>
        <v>0</v>
      </c>
      <c r="J476" s="345">
        <f t="shared" si="34"/>
        <v>496400</v>
      </c>
      <c r="K476" s="344" t="str">
        <f t="shared" si="35"/>
        <v>Menor Valor</v>
      </c>
      <c r="L476" s="326">
        <f>IFERROR(COUNTA('LP Reactivos'!F476,'LP Reactivos'!I476,'LP Reactivos'!N476,'LP Reactivos'!S476,'LP Reactivos'!X476,'LP Reactivos'!AC476,'LP Reactivos'!AH476,'LP Reactivos'!AM476,'LP Reactivos'!AR476,'LP Reactivos'!AW476,'LP Reactivos'!BB476,'LP Reactivos'!BG476,'LP Reactivos'!BL476,'LP Reactivos'!BQ476,'LP Reactivos'!BV476,'LP Reactivos'!CA476,'LP Reactivos'!CF476,'LP Reactivos'!CK476,'LP Reactivos'!CP476,'LP Reactivos'!CU476,'LP Reactivos'!CZ476,'LP Reactivos'!DE476,'LP Reactivos'!DJ476,'LP Reactivos'!DO476,'LP Reactivos'!DT476,'LP Reactivos'!DY476,'LP Reactivos'!EB476)," ")</f>
        <v>1</v>
      </c>
    </row>
    <row r="477" spans="2:12" x14ac:dyDescent="0.25">
      <c r="B477" s="425">
        <v>475</v>
      </c>
      <c r="C477" s="427" t="s">
        <v>2258</v>
      </c>
      <c r="D477" s="429">
        <f>IFERROR(MIN('LP Reactivos'!F477,'LP Reactivos'!I477,'LP Reactivos'!N477,'LP Reactivos'!S477,'LP Reactivos'!X477,'LP Reactivos'!AC477,'LP Reactivos'!AH477,'LP Reactivos'!AM477,'LP Reactivos'!AR477,'LP Reactivos'!AW477,'LP Reactivos'!BB477,'LP Reactivos'!BG477,'LP Reactivos'!BL477,'LP Reactivos'!BQ477,'LP Reactivos'!BV477,'LP Reactivos'!CA477,'LP Reactivos'!CF477,'LP Reactivos'!CK477,'LP Reactivos'!CP477,'LP Reactivos'!CU477,'LP Reactivos'!CZ477,'LP Reactivos'!DE477,'LP Reactivos'!DJ477,'LP Reactivos'!DO477,'LP Reactivos'!DT477,'LP Reactivos'!DY477,'LP Reactivos'!EB477)," ")</f>
        <v>223720</v>
      </c>
      <c r="E477" s="429">
        <f>IFERROR(AVERAGE('LP Reactivos'!F477,'LP Reactivos'!I477,'LP Reactivos'!N477,'LP Reactivos'!S477,'LP Reactivos'!X477,'LP Reactivos'!AC477,'LP Reactivos'!AH477,'LP Reactivos'!AM477,'LP Reactivos'!AR477,'LP Reactivos'!AW477,'LP Reactivos'!BB477,'LP Reactivos'!BG477,'LP Reactivos'!BL477,'LP Reactivos'!BQ477,'LP Reactivos'!BV477,'LP Reactivos'!CA477,'LP Reactivos'!CF477,'LP Reactivos'!CK477,'LP Reactivos'!CP477,'LP Reactivos'!CU477,'LP Reactivos'!CZ477,'LP Reactivos'!DE477,'LP Reactivos'!DJ477,'LP Reactivos'!DO477,'LP Reactivos'!DT477,'LP Reactivos'!DY477,'LP Reactivos'!EB477)," ")</f>
        <v>551734.46050000004</v>
      </c>
      <c r="F477" s="345">
        <f>IFERROR(MEDIAN('LP Reactivos'!F477,'LP Reactivos'!I477,'LP Reactivos'!N477,'LP Reactivos'!S477,'LP Reactivos'!X477,'LP Reactivos'!AC477,'LP Reactivos'!AH477,'LP Reactivos'!AM477,'LP Reactivos'!AR477,'LP Reactivos'!AW477,'LP Reactivos'!BB477,'LP Reactivos'!BG477,'LP Reactivos'!BL477,'LP Reactivos'!BQ477,'LP Reactivos'!BV477,'LP Reactivos'!CA477,'LP Reactivos'!CF477,'LP Reactivos'!CK477,'LP Reactivos'!CP477,'LP Reactivos'!CU477,'LP Reactivos'!CZ477,'LP Reactivos'!DE477,'LP Reactivos'!DJ477,'LP Reactivos'!DO477,'LP Reactivos'!DT477,'LP Reactivos'!DY477,'LP Reactivos'!EB477)," ")</f>
        <v>527192.5</v>
      </c>
      <c r="G477" s="345">
        <f>IFERROR(GEOMEAN('LP Reactivos'!F477,'LP Reactivos'!I477,'LP Reactivos'!N477,'LP Reactivos'!S477,'LP Reactivos'!X477,'LP Reactivos'!AC477,'LP Reactivos'!AH477,'LP Reactivos'!AM477,'LP Reactivos'!AR477,'LP Reactivos'!AW477,'LP Reactivos'!BB477,'LP Reactivos'!BG477,'LP Reactivos'!BL477,'LP Reactivos'!BQ477,'LP Reactivos'!BV477,'LP Reactivos'!CA477,'LP Reactivos'!CF477,'LP Reactivos'!CK477,'LP Reactivos'!CP477,'LP Reactivos'!CU477,'LP Reactivos'!CZ477,'LP Reactivos'!DE477,'LP Reactivos'!DJ477,'LP Reactivos'!DO477,'LP Reactivos'!DT477,'LP Reactivos'!DY477,'LP Reactivos'!EB477)," ")</f>
        <v>447474.42147224315</v>
      </c>
      <c r="H477" s="345">
        <f t="shared" si="32"/>
        <v>149326.96822999549</v>
      </c>
      <c r="I477" s="346">
        <f t="shared" si="33"/>
        <v>0.27065006614716514</v>
      </c>
      <c r="J477" s="345">
        <f t="shared" si="34"/>
        <v>447474.42147224315</v>
      </c>
      <c r="K477" s="344" t="str">
        <f t="shared" si="35"/>
        <v>Media Geométrica</v>
      </c>
      <c r="L477" s="326">
        <f>IFERROR(COUNTA('LP Reactivos'!F477,'LP Reactivos'!I477,'LP Reactivos'!N477,'LP Reactivos'!S477,'LP Reactivos'!X477,'LP Reactivos'!AC477,'LP Reactivos'!AH477,'LP Reactivos'!AM477,'LP Reactivos'!AR477,'LP Reactivos'!AW477,'LP Reactivos'!BB477,'LP Reactivos'!BG477,'LP Reactivos'!BL477,'LP Reactivos'!BQ477,'LP Reactivos'!BV477,'LP Reactivos'!CA477,'LP Reactivos'!CF477,'LP Reactivos'!CK477,'LP Reactivos'!CP477,'LP Reactivos'!CU477,'LP Reactivos'!CZ477,'LP Reactivos'!DE477,'LP Reactivos'!DJ477,'LP Reactivos'!DO477,'LP Reactivos'!DT477,'LP Reactivos'!DY477,'LP Reactivos'!EB477)," ")</f>
        <v>4</v>
      </c>
    </row>
    <row r="478" spans="2:12" x14ac:dyDescent="0.25">
      <c r="B478" s="425">
        <v>476</v>
      </c>
      <c r="C478" s="427" t="s">
        <v>2261</v>
      </c>
      <c r="D478" s="429">
        <f>IFERROR(MIN('LP Reactivos'!F478,'LP Reactivos'!I478,'LP Reactivos'!N478,'LP Reactivos'!S478,'LP Reactivos'!X478,'LP Reactivos'!AC478,'LP Reactivos'!AH478,'LP Reactivos'!AM478,'LP Reactivos'!AR478,'LP Reactivos'!AW478,'LP Reactivos'!BB478,'LP Reactivos'!BG478,'LP Reactivos'!BL478,'LP Reactivos'!BQ478,'LP Reactivos'!BV478,'LP Reactivos'!CA478,'LP Reactivos'!CF478,'LP Reactivos'!CK478,'LP Reactivos'!CP478,'LP Reactivos'!CU478,'LP Reactivos'!CZ478,'LP Reactivos'!DE478,'LP Reactivos'!DJ478,'LP Reactivos'!DO478,'LP Reactivos'!DT478,'LP Reactivos'!DY478,'LP Reactivos'!EB478)," ")</f>
        <v>718593.4</v>
      </c>
      <c r="E478" s="429">
        <f>IFERROR(AVERAGE('LP Reactivos'!F478,'LP Reactivos'!I478,'LP Reactivos'!N478,'LP Reactivos'!S478,'LP Reactivos'!X478,'LP Reactivos'!AC478,'LP Reactivos'!AH478,'LP Reactivos'!AM478,'LP Reactivos'!AR478,'LP Reactivos'!AW478,'LP Reactivos'!BB478,'LP Reactivos'!BG478,'LP Reactivos'!BL478,'LP Reactivos'!BQ478,'LP Reactivos'!BV478,'LP Reactivos'!CA478,'LP Reactivos'!CF478,'LP Reactivos'!CK478,'LP Reactivos'!CP478,'LP Reactivos'!CU478,'LP Reactivos'!CZ478,'LP Reactivos'!DE478,'LP Reactivos'!DJ478,'LP Reactivos'!DO478,'LP Reactivos'!DT478,'LP Reactivos'!DY478,'LP Reactivos'!EB478)," ")</f>
        <v>6342010.6783999996</v>
      </c>
      <c r="F478" s="345">
        <f>IFERROR(MEDIAN('LP Reactivos'!F478,'LP Reactivos'!I478,'LP Reactivos'!N478,'LP Reactivos'!S478,'LP Reactivos'!X478,'LP Reactivos'!AC478,'LP Reactivos'!AH478,'LP Reactivos'!AM478,'LP Reactivos'!AR478,'LP Reactivos'!AW478,'LP Reactivos'!BB478,'LP Reactivos'!BG478,'LP Reactivos'!BL478,'LP Reactivos'!BQ478,'LP Reactivos'!BV478,'LP Reactivos'!CA478,'LP Reactivos'!CF478,'LP Reactivos'!CK478,'LP Reactivos'!CP478,'LP Reactivos'!CU478,'LP Reactivos'!CZ478,'LP Reactivos'!DE478,'LP Reactivos'!DJ478,'LP Reactivos'!DO478,'LP Reactivos'!DT478,'LP Reactivos'!DY478,'LP Reactivos'!EB478)," ")</f>
        <v>6238845</v>
      </c>
      <c r="G478" s="345">
        <f>IFERROR(GEOMEAN('LP Reactivos'!F478,'LP Reactivos'!I478,'LP Reactivos'!N478,'LP Reactivos'!S478,'LP Reactivos'!X478,'LP Reactivos'!AC478,'LP Reactivos'!AH478,'LP Reactivos'!AM478,'LP Reactivos'!AR478,'LP Reactivos'!AW478,'LP Reactivos'!BB478,'LP Reactivos'!BG478,'LP Reactivos'!BL478,'LP Reactivos'!BQ478,'LP Reactivos'!BV478,'LP Reactivos'!CA478,'LP Reactivos'!CF478,'LP Reactivos'!CK478,'LP Reactivos'!CP478,'LP Reactivos'!CU478,'LP Reactivos'!CZ478,'LP Reactivos'!DE478,'LP Reactivos'!DJ478,'LP Reactivos'!DO478,'LP Reactivos'!DT478,'LP Reactivos'!DY478,'LP Reactivos'!EB478)," ")</f>
        <v>4686173.4917959413</v>
      </c>
      <c r="H478" s="345">
        <f t="shared" si="32"/>
        <v>2629970.2177853473</v>
      </c>
      <c r="I478" s="346">
        <f t="shared" si="33"/>
        <v>0.41469028532901364</v>
      </c>
      <c r="J478" s="345">
        <f>IF(I478&lt;=10%,F478,IF(AND(I478&gt;10%,I478&lt;=20%),E478,IF(AND(I478&gt;20%,I478&lt;=42%),G478,IF(I478&gt;42%,D478))))</f>
        <v>4686173.4917959413</v>
      </c>
      <c r="K478" s="344" t="str">
        <f t="shared" si="35"/>
        <v>Media Geométrica</v>
      </c>
      <c r="L478" s="326">
        <f>IFERROR(COUNTA('LP Reactivos'!F478,'LP Reactivos'!I478,'LP Reactivos'!N478,'LP Reactivos'!S478,'LP Reactivos'!X478,'LP Reactivos'!AC478,'LP Reactivos'!AH478,'LP Reactivos'!AM478,'LP Reactivos'!AR478,'LP Reactivos'!AW478,'LP Reactivos'!BB478,'LP Reactivos'!BG478,'LP Reactivos'!BL478,'LP Reactivos'!BQ478,'LP Reactivos'!BV478,'LP Reactivos'!CA478,'LP Reactivos'!CF478,'LP Reactivos'!CK478,'LP Reactivos'!CP478,'LP Reactivos'!CU478,'LP Reactivos'!CZ478,'LP Reactivos'!DE478,'LP Reactivos'!DJ478,'LP Reactivos'!DO478,'LP Reactivos'!DT478,'LP Reactivos'!DY478,'LP Reactivos'!EB478)," ")</f>
        <v>5</v>
      </c>
    </row>
    <row r="479" spans="2:12" x14ac:dyDescent="0.25">
      <c r="B479" s="425">
        <v>477</v>
      </c>
      <c r="C479" s="428" t="s">
        <v>2266</v>
      </c>
      <c r="D479" s="429">
        <f>IFERROR(MIN('LP Reactivos'!F479,'LP Reactivos'!I479,'LP Reactivos'!N479,'LP Reactivos'!S479,'LP Reactivos'!X479,'LP Reactivos'!AC479,'LP Reactivos'!AH479,'LP Reactivos'!AM479,'LP Reactivos'!AR479,'LP Reactivos'!AW479,'LP Reactivos'!BB479,'LP Reactivos'!BG479,'LP Reactivos'!BL479,'LP Reactivos'!BQ479,'LP Reactivos'!BV479,'LP Reactivos'!CA479,'LP Reactivos'!CF479,'LP Reactivos'!CK479,'LP Reactivos'!CP479,'LP Reactivos'!CU479,'LP Reactivos'!CZ479,'LP Reactivos'!DE479,'LP Reactivos'!DJ479,'LP Reactivos'!DO479,'LP Reactivos'!DT479,'LP Reactivos'!DY479,'LP Reactivos'!EB479)," ")</f>
        <v>255719.1</v>
      </c>
      <c r="E479" s="429">
        <f>IFERROR(AVERAGE('LP Reactivos'!F479,'LP Reactivos'!I479,'LP Reactivos'!N479,'LP Reactivos'!S479,'LP Reactivos'!X479,'LP Reactivos'!AC479,'LP Reactivos'!AH479,'LP Reactivos'!AM479,'LP Reactivos'!AR479,'LP Reactivos'!AW479,'LP Reactivos'!BB479,'LP Reactivos'!BG479,'LP Reactivos'!BL479,'LP Reactivos'!BQ479,'LP Reactivos'!BV479,'LP Reactivos'!CA479,'LP Reactivos'!CF479,'LP Reactivos'!CK479,'LP Reactivos'!CP479,'LP Reactivos'!CU479,'LP Reactivos'!CZ479,'LP Reactivos'!DE479,'LP Reactivos'!DJ479,'LP Reactivos'!DO479,'LP Reactivos'!DT479,'LP Reactivos'!DY479,'LP Reactivos'!EB479)," ")</f>
        <v>621391.77500000002</v>
      </c>
      <c r="F479" s="345">
        <f>IFERROR(MEDIAN('LP Reactivos'!F479,'LP Reactivos'!I479,'LP Reactivos'!N479,'LP Reactivos'!S479,'LP Reactivos'!X479,'LP Reactivos'!AC479,'LP Reactivos'!AH479,'LP Reactivos'!AM479,'LP Reactivos'!AR479,'LP Reactivos'!AW479,'LP Reactivos'!BB479,'LP Reactivos'!BG479,'LP Reactivos'!BL479,'LP Reactivos'!BQ479,'LP Reactivos'!BV479,'LP Reactivos'!CA479,'LP Reactivos'!CF479,'LP Reactivos'!CK479,'LP Reactivos'!CP479,'LP Reactivos'!CU479,'LP Reactivos'!CZ479,'LP Reactivos'!DE479,'LP Reactivos'!DJ479,'LP Reactivos'!DO479,'LP Reactivos'!DT479,'LP Reactivos'!DY479,'LP Reactivos'!EB479)," ")</f>
        <v>577936.5</v>
      </c>
      <c r="G479" s="345">
        <f>IFERROR(GEOMEAN('LP Reactivos'!F479,'LP Reactivos'!I479,'LP Reactivos'!N479,'LP Reactivos'!S479,'LP Reactivos'!X479,'LP Reactivos'!AC479,'LP Reactivos'!AH479,'LP Reactivos'!AM479,'LP Reactivos'!AR479,'LP Reactivos'!AW479,'LP Reactivos'!BB479,'LP Reactivos'!BG479,'LP Reactivos'!BL479,'LP Reactivos'!BQ479,'LP Reactivos'!BV479,'LP Reactivos'!CA479,'LP Reactivos'!CF479,'LP Reactivos'!CK479,'LP Reactivos'!CP479,'LP Reactivos'!CU479,'LP Reactivos'!CZ479,'LP Reactivos'!DE479,'LP Reactivos'!DJ479,'LP Reactivos'!DO479,'LP Reactivos'!DT479,'LP Reactivos'!DY479,'LP Reactivos'!EB479)," ")</f>
        <v>549675.7438917117</v>
      </c>
      <c r="H479" s="345">
        <f t="shared" si="32"/>
        <v>166278.20236267606</v>
      </c>
      <c r="I479" s="346">
        <f t="shared" si="33"/>
        <v>0.26758996345369401</v>
      </c>
      <c r="J479" s="345">
        <f t="shared" si="34"/>
        <v>549675.7438917117</v>
      </c>
      <c r="K479" s="344" t="str">
        <f t="shared" si="35"/>
        <v>Media Geométrica</v>
      </c>
      <c r="L479" s="326">
        <f>IFERROR(COUNTA('LP Reactivos'!F479,'LP Reactivos'!I479,'LP Reactivos'!N479,'LP Reactivos'!S479,'LP Reactivos'!X479,'LP Reactivos'!AC479,'LP Reactivos'!AH479,'LP Reactivos'!AM479,'LP Reactivos'!AR479,'LP Reactivos'!AW479,'LP Reactivos'!BB479,'LP Reactivos'!BG479,'LP Reactivos'!BL479,'LP Reactivos'!BQ479,'LP Reactivos'!BV479,'LP Reactivos'!CA479,'LP Reactivos'!CF479,'LP Reactivos'!CK479,'LP Reactivos'!CP479,'LP Reactivos'!CU479,'LP Reactivos'!CZ479,'LP Reactivos'!DE479,'LP Reactivos'!DJ479,'LP Reactivos'!DO479,'LP Reactivos'!DT479,'LP Reactivos'!DY479,'LP Reactivos'!EB479)," ")</f>
        <v>4</v>
      </c>
    </row>
    <row r="480" spans="2:12" x14ac:dyDescent="0.25">
      <c r="B480" s="425">
        <v>478</v>
      </c>
      <c r="C480" s="413" t="s">
        <v>2270</v>
      </c>
      <c r="D480" s="429">
        <f>IFERROR(MIN('LP Reactivos'!F480,'LP Reactivos'!I480,'LP Reactivos'!N480,'LP Reactivos'!S480,'LP Reactivos'!X480,'LP Reactivos'!AC480,'LP Reactivos'!AH480,'LP Reactivos'!AM480,'LP Reactivos'!AR480,'LP Reactivos'!AW480,'LP Reactivos'!BB480,'LP Reactivos'!BG480,'LP Reactivos'!BL480,'LP Reactivos'!BQ480,'LP Reactivos'!BV480,'LP Reactivos'!CA480,'LP Reactivos'!CF480,'LP Reactivos'!CK480,'LP Reactivos'!CP480,'LP Reactivos'!CU480,'LP Reactivos'!CZ480,'LP Reactivos'!DE480,'LP Reactivos'!DJ480,'LP Reactivos'!DO480,'LP Reactivos'!DT480,'LP Reactivos'!DY480,'LP Reactivos'!EB480)," ")</f>
        <v>1764258.3</v>
      </c>
      <c r="E480" s="429">
        <f>IFERROR(AVERAGE('LP Reactivos'!F480,'LP Reactivos'!I480,'LP Reactivos'!N480,'LP Reactivos'!S480,'LP Reactivos'!X480,'LP Reactivos'!AC480,'LP Reactivos'!AH480,'LP Reactivos'!AM480,'LP Reactivos'!AR480,'LP Reactivos'!AW480,'LP Reactivos'!BB480,'LP Reactivos'!BG480,'LP Reactivos'!BL480,'LP Reactivos'!BQ480,'LP Reactivos'!BV480,'LP Reactivos'!CA480,'LP Reactivos'!CF480,'LP Reactivos'!CK480,'LP Reactivos'!CP480,'LP Reactivos'!CU480,'LP Reactivos'!CZ480,'LP Reactivos'!DE480,'LP Reactivos'!DJ480,'LP Reactivos'!DO480,'LP Reactivos'!DT480,'LP Reactivos'!DY480,'LP Reactivos'!EB480)," ")</f>
        <v>2020187.7666666666</v>
      </c>
      <c r="F480" s="345">
        <f>IFERROR(MEDIAN('LP Reactivos'!F480,'LP Reactivos'!I480,'LP Reactivos'!N480,'LP Reactivos'!S480,'LP Reactivos'!X480,'LP Reactivos'!AC480,'LP Reactivos'!AH480,'LP Reactivos'!AM480,'LP Reactivos'!AR480,'LP Reactivos'!AW480,'LP Reactivos'!BB480,'LP Reactivos'!BG480,'LP Reactivos'!BL480,'LP Reactivos'!BQ480,'LP Reactivos'!BV480,'LP Reactivos'!CA480,'LP Reactivos'!CF480,'LP Reactivos'!CK480,'LP Reactivos'!CP480,'LP Reactivos'!CU480,'LP Reactivos'!CZ480,'LP Reactivos'!DE480,'LP Reactivos'!DJ480,'LP Reactivos'!DO480,'LP Reactivos'!DT480,'LP Reactivos'!DY480,'LP Reactivos'!EB480)," ")</f>
        <v>2052750</v>
      </c>
      <c r="G480" s="345">
        <f>IFERROR(GEOMEAN('LP Reactivos'!F480,'LP Reactivos'!I480,'LP Reactivos'!N480,'LP Reactivos'!S480,'LP Reactivos'!X480,'LP Reactivos'!AC480,'LP Reactivos'!AH480,'LP Reactivos'!AM480,'LP Reactivos'!AR480,'LP Reactivos'!AW480,'LP Reactivos'!BB480,'LP Reactivos'!BG480,'LP Reactivos'!BL480,'LP Reactivos'!BQ480,'LP Reactivos'!BV480,'LP Reactivos'!CA480,'LP Reactivos'!CF480,'LP Reactivos'!CK480,'LP Reactivos'!CP480,'LP Reactivos'!CU480,'LP Reactivos'!CZ480,'LP Reactivos'!DE480,'LP Reactivos'!DJ480,'LP Reactivos'!DO480,'LP Reactivos'!DT480,'LP Reactivos'!DY480,'LP Reactivos'!EB480)," ")</f>
        <v>2010380.7489716478</v>
      </c>
      <c r="H480" s="345">
        <f t="shared" si="32"/>
        <v>132996.00333387344</v>
      </c>
      <c r="I480" s="346">
        <f t="shared" si="33"/>
        <v>6.5833486138428807E-2</v>
      </c>
      <c r="J480" s="345">
        <f t="shared" si="34"/>
        <v>2052750</v>
      </c>
      <c r="K480" s="344" t="str">
        <f t="shared" si="35"/>
        <v>Mediana</v>
      </c>
      <c r="L480" s="326">
        <f>IFERROR(COUNTA('LP Reactivos'!F480,'LP Reactivos'!I480,'LP Reactivos'!N480,'LP Reactivos'!S480,'LP Reactivos'!X480,'LP Reactivos'!AC480,'LP Reactivos'!AH480,'LP Reactivos'!AM480,'LP Reactivos'!AR480,'LP Reactivos'!AW480,'LP Reactivos'!BB480,'LP Reactivos'!BG480,'LP Reactivos'!BL480,'LP Reactivos'!BQ480,'LP Reactivos'!BV480,'LP Reactivos'!CA480,'LP Reactivos'!CF480,'LP Reactivos'!CK480,'LP Reactivos'!CP480,'LP Reactivos'!CU480,'LP Reactivos'!CZ480,'LP Reactivos'!DE480,'LP Reactivos'!DJ480,'LP Reactivos'!DO480,'LP Reactivos'!DT480,'LP Reactivos'!DY480,'LP Reactivos'!EB480)," ")</f>
        <v>3</v>
      </c>
    </row>
    <row r="481" spans="2:12" x14ac:dyDescent="0.25">
      <c r="B481" s="425">
        <v>479</v>
      </c>
      <c r="C481" s="427" t="s">
        <v>2274</v>
      </c>
      <c r="D481" s="429">
        <f>IFERROR(MIN('LP Reactivos'!F481,'LP Reactivos'!I481,'LP Reactivos'!N481,'LP Reactivos'!S481,'LP Reactivos'!X481,'LP Reactivos'!AC481,'LP Reactivos'!AH481,'LP Reactivos'!AM481,'LP Reactivos'!AR481,'LP Reactivos'!AW481,'LP Reactivos'!BB481,'LP Reactivos'!BG481,'LP Reactivos'!BL481,'LP Reactivos'!BQ481,'LP Reactivos'!BV481,'LP Reactivos'!CA481,'LP Reactivos'!CF481,'LP Reactivos'!CK481,'LP Reactivos'!CP481,'LP Reactivos'!CU481,'LP Reactivos'!CZ481,'LP Reactivos'!DE481,'LP Reactivos'!DJ481,'LP Reactivos'!DO481,'LP Reactivos'!DT481,'LP Reactivos'!DY481,'LP Reactivos'!EB481)," ")</f>
        <v>276068.09999999998</v>
      </c>
      <c r="E481" s="429">
        <f>IFERROR(AVERAGE('LP Reactivos'!F481,'LP Reactivos'!I481,'LP Reactivos'!N481,'LP Reactivos'!S481,'LP Reactivos'!X481,'LP Reactivos'!AC481,'LP Reactivos'!AH481,'LP Reactivos'!AM481,'LP Reactivos'!AR481,'LP Reactivos'!AW481,'LP Reactivos'!BB481,'LP Reactivos'!BG481,'LP Reactivos'!BL481,'LP Reactivos'!BQ481,'LP Reactivos'!BV481,'LP Reactivos'!CA481,'LP Reactivos'!CF481,'LP Reactivos'!CK481,'LP Reactivos'!CP481,'LP Reactivos'!CU481,'LP Reactivos'!CZ481,'LP Reactivos'!DE481,'LP Reactivos'!DJ481,'LP Reactivos'!DO481,'LP Reactivos'!DT481,'LP Reactivos'!DY481,'LP Reactivos'!EB481)," ")</f>
        <v>312972.03333333333</v>
      </c>
      <c r="F481" s="345">
        <f>IFERROR(MEDIAN('LP Reactivos'!F481,'LP Reactivos'!I481,'LP Reactivos'!N481,'LP Reactivos'!S481,'LP Reactivos'!X481,'LP Reactivos'!AC481,'LP Reactivos'!AH481,'LP Reactivos'!AM481,'LP Reactivos'!AR481,'LP Reactivos'!AW481,'LP Reactivos'!BB481,'LP Reactivos'!BG481,'LP Reactivos'!BL481,'LP Reactivos'!BQ481,'LP Reactivos'!BV481,'LP Reactivos'!CA481,'LP Reactivos'!CF481,'LP Reactivos'!CK481,'LP Reactivos'!CP481,'LP Reactivos'!CU481,'LP Reactivos'!CZ481,'LP Reactivos'!DE481,'LP Reactivos'!DJ481,'LP Reactivos'!DO481,'LP Reactivos'!DT481,'LP Reactivos'!DY481,'LP Reactivos'!EB481)," ")</f>
        <v>311780</v>
      </c>
      <c r="G481" s="345">
        <f>IFERROR(GEOMEAN('LP Reactivos'!F481,'LP Reactivos'!I481,'LP Reactivos'!N481,'LP Reactivos'!S481,'LP Reactivos'!X481,'LP Reactivos'!AC481,'LP Reactivos'!AH481,'LP Reactivos'!AM481,'LP Reactivos'!AR481,'LP Reactivos'!AW481,'LP Reactivos'!BB481,'LP Reactivos'!BG481,'LP Reactivos'!BL481,'LP Reactivos'!BQ481,'LP Reactivos'!BV481,'LP Reactivos'!CA481,'LP Reactivos'!CF481,'LP Reactivos'!CK481,'LP Reactivos'!CP481,'LP Reactivos'!CU481,'LP Reactivos'!CZ481,'LP Reactivos'!DE481,'LP Reactivos'!DJ481,'LP Reactivos'!DO481,'LP Reactivos'!DT481,'LP Reactivos'!DY481,'LP Reactivos'!EB481)," ")</f>
        <v>311471.68671665713</v>
      </c>
      <c r="H481" s="345">
        <f t="shared" si="32"/>
        <v>18014.857502451534</v>
      </c>
      <c r="I481" s="346">
        <f t="shared" si="33"/>
        <v>5.7560598340314545E-2</v>
      </c>
      <c r="J481" s="345">
        <f t="shared" si="34"/>
        <v>311780</v>
      </c>
      <c r="K481" s="344" t="str">
        <f t="shared" si="35"/>
        <v>Mediana</v>
      </c>
      <c r="L481" s="326">
        <f>IFERROR(COUNTA('LP Reactivos'!F481,'LP Reactivos'!I481,'LP Reactivos'!N481,'LP Reactivos'!S481,'LP Reactivos'!X481,'LP Reactivos'!AC481,'LP Reactivos'!AH481,'LP Reactivos'!AM481,'LP Reactivos'!AR481,'LP Reactivos'!AW481,'LP Reactivos'!BB481,'LP Reactivos'!BG481,'LP Reactivos'!BL481,'LP Reactivos'!BQ481,'LP Reactivos'!BV481,'LP Reactivos'!CA481,'LP Reactivos'!CF481,'LP Reactivos'!CK481,'LP Reactivos'!CP481,'LP Reactivos'!CU481,'LP Reactivos'!CZ481,'LP Reactivos'!DE481,'LP Reactivos'!DJ481,'LP Reactivos'!DO481,'LP Reactivos'!DT481,'LP Reactivos'!DY481,'LP Reactivos'!EB481)," ")</f>
        <v>3</v>
      </c>
    </row>
    <row r="482" spans="2:12" x14ac:dyDescent="0.25">
      <c r="B482" s="425">
        <v>480</v>
      </c>
      <c r="C482" s="427" t="s">
        <v>2277</v>
      </c>
      <c r="D482" s="429">
        <f>IFERROR(MIN('LP Reactivos'!F482,'LP Reactivos'!I482,'LP Reactivos'!N482,'LP Reactivos'!S482,'LP Reactivos'!X482,'LP Reactivos'!AC482,'LP Reactivos'!AH482,'LP Reactivos'!AM482,'LP Reactivos'!AR482,'LP Reactivos'!AW482,'LP Reactivos'!BB482,'LP Reactivos'!BG482,'LP Reactivos'!BL482,'LP Reactivos'!BQ482,'LP Reactivos'!BV482,'LP Reactivos'!CA482,'LP Reactivos'!CF482,'LP Reactivos'!CK482,'LP Reactivos'!CP482,'LP Reactivos'!CU482,'LP Reactivos'!CZ482,'LP Reactivos'!DE482,'LP Reactivos'!DJ482,'LP Reactivos'!DO482,'LP Reactivos'!DT482,'LP Reactivos'!DY482,'LP Reactivos'!EB482)," ")</f>
        <v>45815</v>
      </c>
      <c r="E482" s="429">
        <f>IFERROR(AVERAGE('LP Reactivos'!F482,'LP Reactivos'!I482,'LP Reactivos'!N482,'LP Reactivos'!S482,'LP Reactivos'!X482,'LP Reactivos'!AC482,'LP Reactivos'!AH482,'LP Reactivos'!AM482,'LP Reactivos'!AR482,'LP Reactivos'!AW482,'LP Reactivos'!BB482,'LP Reactivos'!BG482,'LP Reactivos'!BL482,'LP Reactivos'!BQ482,'LP Reactivos'!BV482,'LP Reactivos'!CA482,'LP Reactivos'!CF482,'LP Reactivos'!CK482,'LP Reactivos'!CP482,'LP Reactivos'!CU482,'LP Reactivos'!CZ482,'LP Reactivos'!DE482,'LP Reactivos'!DJ482,'LP Reactivos'!DO482,'LP Reactivos'!DT482,'LP Reactivos'!DY482,'LP Reactivos'!EB482)," ")</f>
        <v>351067.5626</v>
      </c>
      <c r="F482" s="345">
        <f>IFERROR(MEDIAN('LP Reactivos'!F482,'LP Reactivos'!I482,'LP Reactivos'!N482,'LP Reactivos'!S482,'LP Reactivos'!X482,'LP Reactivos'!AC482,'LP Reactivos'!AH482,'LP Reactivos'!AM482,'LP Reactivos'!AR482,'LP Reactivos'!AW482,'LP Reactivos'!BB482,'LP Reactivos'!BG482,'LP Reactivos'!BL482,'LP Reactivos'!BQ482,'LP Reactivos'!BV482,'LP Reactivos'!CA482,'LP Reactivos'!CF482,'LP Reactivos'!CK482,'LP Reactivos'!CP482,'LP Reactivos'!CU482,'LP Reactivos'!CZ482,'LP Reactivos'!DE482,'LP Reactivos'!DJ482,'LP Reactivos'!DO482,'LP Reactivos'!DT482,'LP Reactivos'!DY482,'LP Reactivos'!EB482)," ")</f>
        <v>342823.62520000001</v>
      </c>
      <c r="G482" s="345">
        <f>IFERROR(GEOMEAN('LP Reactivos'!F482,'LP Reactivos'!I482,'LP Reactivos'!N482,'LP Reactivos'!S482,'LP Reactivos'!X482,'LP Reactivos'!AC482,'LP Reactivos'!AH482,'LP Reactivos'!AM482,'LP Reactivos'!AR482,'LP Reactivos'!AW482,'LP Reactivos'!BB482,'LP Reactivos'!BG482,'LP Reactivos'!BL482,'LP Reactivos'!BQ482,'LP Reactivos'!BV482,'LP Reactivos'!CA482,'LP Reactivos'!CF482,'LP Reactivos'!CK482,'LP Reactivos'!CP482,'LP Reactivos'!CU482,'LP Reactivos'!CZ482,'LP Reactivos'!DE482,'LP Reactivos'!DJ482,'LP Reactivos'!DO482,'LP Reactivos'!DT482,'LP Reactivos'!DY482,'LP Reactivos'!EB482)," ")</f>
        <v>235504.24529997079</v>
      </c>
      <c r="H482" s="345">
        <f t="shared" si="32"/>
        <v>142101.94471778086</v>
      </c>
      <c r="I482" s="346">
        <f t="shared" si="33"/>
        <v>0.40477093259592667</v>
      </c>
      <c r="J482" s="345">
        <f>IF(I482&lt;=10%,F482,IF(AND(I482&gt;10%,I482&lt;=20%),E482,IF(AND(I482&gt;20%,I482&lt;=41%),G482,IF(I482&gt;41%,D482))))</f>
        <v>235504.24529997079</v>
      </c>
      <c r="K482" s="344" t="str">
        <f t="shared" si="35"/>
        <v>Media Geométrica</v>
      </c>
      <c r="L482" s="326">
        <f>IFERROR(COUNTA('LP Reactivos'!F482,'LP Reactivos'!I482,'LP Reactivos'!N482,'LP Reactivos'!S482,'LP Reactivos'!X482,'LP Reactivos'!AC482,'LP Reactivos'!AH482,'LP Reactivos'!AM482,'LP Reactivos'!AR482,'LP Reactivos'!AW482,'LP Reactivos'!BB482,'LP Reactivos'!BG482,'LP Reactivos'!BL482,'LP Reactivos'!BQ482,'LP Reactivos'!BV482,'LP Reactivos'!CA482,'LP Reactivos'!CF482,'LP Reactivos'!CK482,'LP Reactivos'!CP482,'LP Reactivos'!CU482,'LP Reactivos'!CZ482,'LP Reactivos'!DE482,'LP Reactivos'!DJ482,'LP Reactivos'!DO482,'LP Reactivos'!DT482,'LP Reactivos'!DY482,'LP Reactivos'!EB482)," ")</f>
        <v>4</v>
      </c>
    </row>
    <row r="483" spans="2:12" ht="27" x14ac:dyDescent="0.25">
      <c r="B483" s="425">
        <v>481</v>
      </c>
      <c r="C483" s="427" t="s">
        <v>2280</v>
      </c>
      <c r="D483" s="429">
        <f>IFERROR(MIN('LP Reactivos'!F483,'LP Reactivos'!I483,'LP Reactivos'!N483,'LP Reactivos'!S483,'LP Reactivos'!X483,'LP Reactivos'!AC483,'LP Reactivos'!AH483,'LP Reactivos'!AM483,'LP Reactivos'!AR483,'LP Reactivos'!AW483,'LP Reactivos'!BB483,'LP Reactivos'!BG483,'LP Reactivos'!BL483,'LP Reactivos'!BQ483,'LP Reactivos'!BV483,'LP Reactivos'!CA483,'LP Reactivos'!CF483,'LP Reactivos'!CK483,'LP Reactivos'!CP483,'LP Reactivos'!CU483,'LP Reactivos'!CZ483,'LP Reactivos'!DE483,'LP Reactivos'!DJ483,'LP Reactivos'!DO483,'LP Reactivos'!DT483,'LP Reactivos'!DY483,'LP Reactivos'!EB483)," ")</f>
        <v>113050</v>
      </c>
      <c r="E483" s="429">
        <f>IFERROR(AVERAGE('LP Reactivos'!F483,'LP Reactivos'!I483,'LP Reactivos'!N483,'LP Reactivos'!S483,'LP Reactivos'!X483,'LP Reactivos'!AC483,'LP Reactivos'!AH483,'LP Reactivos'!AM483,'LP Reactivos'!AR483,'LP Reactivos'!AW483,'LP Reactivos'!BB483,'LP Reactivos'!BG483,'LP Reactivos'!BL483,'LP Reactivos'!BQ483,'LP Reactivos'!BV483,'LP Reactivos'!CA483,'LP Reactivos'!CF483,'LP Reactivos'!CK483,'LP Reactivos'!CP483,'LP Reactivos'!CU483,'LP Reactivos'!CZ483,'LP Reactivos'!DE483,'LP Reactivos'!DJ483,'LP Reactivos'!DO483,'LP Reactivos'!DT483,'LP Reactivos'!DY483,'LP Reactivos'!EB483)," ")</f>
        <v>127230.83333333333</v>
      </c>
      <c r="F483" s="345">
        <f>IFERROR(MEDIAN('LP Reactivos'!F483,'LP Reactivos'!I483,'LP Reactivos'!N483,'LP Reactivos'!S483,'LP Reactivos'!X483,'LP Reactivos'!AC483,'LP Reactivos'!AH483,'LP Reactivos'!AM483,'LP Reactivos'!AR483,'LP Reactivos'!AW483,'LP Reactivos'!BB483,'LP Reactivos'!BG483,'LP Reactivos'!BL483,'LP Reactivos'!BQ483,'LP Reactivos'!BV483,'LP Reactivos'!CA483,'LP Reactivos'!CF483,'LP Reactivos'!CK483,'LP Reactivos'!CP483,'LP Reactivos'!CU483,'LP Reactivos'!CZ483,'LP Reactivos'!DE483,'LP Reactivos'!DJ483,'LP Reactivos'!DO483,'LP Reactivos'!DT483,'LP Reactivos'!DY483,'LP Reactivos'!EB483)," ")</f>
        <v>127330</v>
      </c>
      <c r="G483" s="345">
        <f>IFERROR(GEOMEAN('LP Reactivos'!F483,'LP Reactivos'!I483,'LP Reactivos'!N483,'LP Reactivos'!S483,'LP Reactivos'!X483,'LP Reactivos'!AC483,'LP Reactivos'!AH483,'LP Reactivos'!AM483,'LP Reactivos'!AR483,'LP Reactivos'!AW483,'LP Reactivos'!BB483,'LP Reactivos'!BG483,'LP Reactivos'!BL483,'LP Reactivos'!BQ483,'LP Reactivos'!BV483,'LP Reactivos'!CA483,'LP Reactivos'!CF483,'LP Reactivos'!CK483,'LP Reactivos'!CP483,'LP Reactivos'!CU483,'LP Reactivos'!CZ483,'LP Reactivos'!DE483,'LP Reactivos'!DJ483,'LP Reactivos'!DO483,'LP Reactivos'!DT483,'LP Reactivos'!DY483,'LP Reactivos'!EB483)," ")</f>
        <v>126705.06085240544</v>
      </c>
      <c r="H483" s="345">
        <f t="shared" si="32"/>
        <v>7024.6704583343762</v>
      </c>
      <c r="I483" s="346">
        <f t="shared" si="33"/>
        <v>5.5212013269852381E-2</v>
      </c>
      <c r="J483" s="345">
        <f t="shared" si="34"/>
        <v>127330</v>
      </c>
      <c r="K483" s="344" t="str">
        <f t="shared" si="35"/>
        <v>Mediana</v>
      </c>
      <c r="L483" s="326">
        <f>IFERROR(COUNTA('LP Reactivos'!F483,'LP Reactivos'!I483,'LP Reactivos'!N483,'LP Reactivos'!S483,'LP Reactivos'!X483,'LP Reactivos'!AC483,'LP Reactivos'!AH483,'LP Reactivos'!AM483,'LP Reactivos'!AR483,'LP Reactivos'!AW483,'LP Reactivos'!BB483,'LP Reactivos'!BG483,'LP Reactivos'!BL483,'LP Reactivos'!BQ483,'LP Reactivos'!BV483,'LP Reactivos'!CA483,'LP Reactivos'!CF483,'LP Reactivos'!CK483,'LP Reactivos'!CP483,'LP Reactivos'!CU483,'LP Reactivos'!CZ483,'LP Reactivos'!DE483,'LP Reactivos'!DJ483,'LP Reactivos'!DO483,'LP Reactivos'!DT483,'LP Reactivos'!DY483,'LP Reactivos'!EB483)," ")</f>
        <v>3</v>
      </c>
    </row>
    <row r="484" spans="2:12" x14ac:dyDescent="0.25">
      <c r="B484" s="425">
        <v>482</v>
      </c>
      <c r="C484" s="428" t="s">
        <v>2283</v>
      </c>
      <c r="D484" s="429">
        <f>IFERROR(MIN('LP Reactivos'!F484,'LP Reactivos'!I484,'LP Reactivos'!N484,'LP Reactivos'!S484,'LP Reactivos'!X484,'LP Reactivos'!AC484,'LP Reactivos'!AH484,'LP Reactivos'!AM484,'LP Reactivos'!AR484,'LP Reactivos'!AW484,'LP Reactivos'!BB484,'LP Reactivos'!BG484,'LP Reactivos'!BL484,'LP Reactivos'!BQ484,'LP Reactivos'!BV484,'LP Reactivos'!CA484,'LP Reactivos'!CF484,'LP Reactivos'!CK484,'LP Reactivos'!CP484,'LP Reactivos'!CU484,'LP Reactivos'!CZ484,'LP Reactivos'!DE484,'LP Reactivos'!DJ484,'LP Reactivos'!DO484,'LP Reactivos'!DT484,'LP Reactivos'!DY484,'LP Reactivos'!EB484)," ")</f>
        <v>892500</v>
      </c>
      <c r="E484" s="429">
        <f>IFERROR(AVERAGE('LP Reactivos'!F484,'LP Reactivos'!I484,'LP Reactivos'!N484,'LP Reactivos'!S484,'LP Reactivos'!X484,'LP Reactivos'!AC484,'LP Reactivos'!AH484,'LP Reactivos'!AM484,'LP Reactivos'!AR484,'LP Reactivos'!AW484,'LP Reactivos'!BB484,'LP Reactivos'!BG484,'LP Reactivos'!BL484,'LP Reactivos'!BQ484,'LP Reactivos'!BV484,'LP Reactivos'!CA484,'LP Reactivos'!CF484,'LP Reactivos'!CK484,'LP Reactivos'!CP484,'LP Reactivos'!CU484,'LP Reactivos'!CZ484,'LP Reactivos'!DE484,'LP Reactivos'!DJ484,'LP Reactivos'!DO484,'LP Reactivos'!DT484,'LP Reactivos'!DY484,'LP Reactivos'!EB484)," ")</f>
        <v>892500</v>
      </c>
      <c r="F484" s="345">
        <f>IFERROR(MEDIAN('LP Reactivos'!F484,'LP Reactivos'!I484,'LP Reactivos'!N484,'LP Reactivos'!S484,'LP Reactivos'!X484,'LP Reactivos'!AC484,'LP Reactivos'!AH484,'LP Reactivos'!AM484,'LP Reactivos'!AR484,'LP Reactivos'!AW484,'LP Reactivos'!BB484,'LP Reactivos'!BG484,'LP Reactivos'!BL484,'LP Reactivos'!BQ484,'LP Reactivos'!BV484,'LP Reactivos'!CA484,'LP Reactivos'!CF484,'LP Reactivos'!CK484,'LP Reactivos'!CP484,'LP Reactivos'!CU484,'LP Reactivos'!CZ484,'LP Reactivos'!DE484,'LP Reactivos'!DJ484,'LP Reactivos'!DO484,'LP Reactivos'!DT484,'LP Reactivos'!DY484,'LP Reactivos'!EB484)," ")</f>
        <v>892500</v>
      </c>
      <c r="G484" s="345">
        <f>IFERROR(GEOMEAN('LP Reactivos'!F484,'LP Reactivos'!I484,'LP Reactivos'!N484,'LP Reactivos'!S484,'LP Reactivos'!X484,'LP Reactivos'!AC484,'LP Reactivos'!AH484,'LP Reactivos'!AM484,'LP Reactivos'!AR484,'LP Reactivos'!AW484,'LP Reactivos'!BB484,'LP Reactivos'!BG484,'LP Reactivos'!BL484,'LP Reactivos'!BQ484,'LP Reactivos'!BV484,'LP Reactivos'!CA484,'LP Reactivos'!CF484,'LP Reactivos'!CK484,'LP Reactivos'!CP484,'LP Reactivos'!CU484,'LP Reactivos'!CZ484,'LP Reactivos'!DE484,'LP Reactivos'!DJ484,'LP Reactivos'!DO484,'LP Reactivos'!DT484,'LP Reactivos'!DY484,'LP Reactivos'!EB484)," ")</f>
        <v>892500</v>
      </c>
      <c r="H484" s="345">
        <f t="shared" si="32"/>
        <v>0</v>
      </c>
      <c r="I484" s="346">
        <f t="shared" si="33"/>
        <v>0</v>
      </c>
      <c r="J484" s="345">
        <f t="shared" si="34"/>
        <v>892500</v>
      </c>
      <c r="K484" s="344" t="str">
        <f t="shared" si="35"/>
        <v>Menor Valor</v>
      </c>
      <c r="L484" s="326">
        <f>IFERROR(COUNTA('LP Reactivos'!F484,'LP Reactivos'!I484,'LP Reactivos'!N484,'LP Reactivos'!S484,'LP Reactivos'!X484,'LP Reactivos'!AC484,'LP Reactivos'!AH484,'LP Reactivos'!AM484,'LP Reactivos'!AR484,'LP Reactivos'!AW484,'LP Reactivos'!BB484,'LP Reactivos'!BG484,'LP Reactivos'!BL484,'LP Reactivos'!BQ484,'LP Reactivos'!BV484,'LP Reactivos'!CA484,'LP Reactivos'!CF484,'LP Reactivos'!CK484,'LP Reactivos'!CP484,'LP Reactivos'!CU484,'LP Reactivos'!CZ484,'LP Reactivos'!DE484,'LP Reactivos'!DJ484,'LP Reactivos'!DO484,'LP Reactivos'!DT484,'LP Reactivos'!DY484,'LP Reactivos'!EB484)," ")</f>
        <v>1</v>
      </c>
    </row>
    <row r="485" spans="2:12" x14ac:dyDescent="0.25">
      <c r="B485" s="425">
        <v>483</v>
      </c>
      <c r="C485" s="427" t="s">
        <v>2286</v>
      </c>
      <c r="D485" s="429">
        <f>IFERROR(MIN('LP Reactivos'!F485,'LP Reactivos'!I485,'LP Reactivos'!N485,'LP Reactivos'!S485,'LP Reactivos'!X485,'LP Reactivos'!AC485,'LP Reactivos'!AH485,'LP Reactivos'!AM485,'LP Reactivos'!AR485,'LP Reactivos'!AW485,'LP Reactivos'!BB485,'LP Reactivos'!BG485,'LP Reactivos'!BL485,'LP Reactivos'!BQ485,'LP Reactivos'!BV485,'LP Reactivos'!CA485,'LP Reactivos'!CF485,'LP Reactivos'!CK485,'LP Reactivos'!CP485,'LP Reactivos'!CU485,'LP Reactivos'!CZ485,'LP Reactivos'!DE485,'LP Reactivos'!DJ485,'LP Reactivos'!DO485,'LP Reactivos'!DT485,'LP Reactivos'!DY485,'LP Reactivos'!EB485)," ")</f>
        <v>297500</v>
      </c>
      <c r="E485" s="429">
        <f>IFERROR(AVERAGE('LP Reactivos'!F485,'LP Reactivos'!I485,'LP Reactivos'!N485,'LP Reactivos'!S485,'LP Reactivos'!X485,'LP Reactivos'!AC485,'LP Reactivos'!AH485,'LP Reactivos'!AM485,'LP Reactivos'!AR485,'LP Reactivos'!AW485,'LP Reactivos'!BB485,'LP Reactivos'!BG485,'LP Reactivos'!BL485,'LP Reactivos'!BQ485,'LP Reactivos'!BV485,'LP Reactivos'!CA485,'LP Reactivos'!CF485,'LP Reactivos'!CK485,'LP Reactivos'!CP485,'LP Reactivos'!CU485,'LP Reactivos'!CZ485,'LP Reactivos'!DE485,'LP Reactivos'!DJ485,'LP Reactivos'!DO485,'LP Reactivos'!DT485,'LP Reactivos'!DY485,'LP Reactivos'!EB485)," ")</f>
        <v>580445.11</v>
      </c>
      <c r="F485" s="345">
        <f>IFERROR(MEDIAN('LP Reactivos'!F485,'LP Reactivos'!I485,'LP Reactivos'!N485,'LP Reactivos'!S485,'LP Reactivos'!X485,'LP Reactivos'!AC485,'LP Reactivos'!AH485,'LP Reactivos'!AM485,'LP Reactivos'!AR485,'LP Reactivos'!AW485,'LP Reactivos'!BB485,'LP Reactivos'!BG485,'LP Reactivos'!BL485,'LP Reactivos'!BQ485,'LP Reactivos'!BV485,'LP Reactivos'!CA485,'LP Reactivos'!CF485,'LP Reactivos'!CK485,'LP Reactivos'!CP485,'LP Reactivos'!CU485,'LP Reactivos'!CZ485,'LP Reactivos'!DE485,'LP Reactivos'!DJ485,'LP Reactivos'!DO485,'LP Reactivos'!DT485,'LP Reactivos'!DY485,'LP Reactivos'!EB485)," ")</f>
        <v>478388.33</v>
      </c>
      <c r="G485" s="345">
        <f>IFERROR(GEOMEAN('LP Reactivos'!F485,'LP Reactivos'!I485,'LP Reactivos'!N485,'LP Reactivos'!S485,'LP Reactivos'!X485,'LP Reactivos'!AC485,'LP Reactivos'!AH485,'LP Reactivos'!AM485,'LP Reactivos'!AR485,'LP Reactivos'!AW485,'LP Reactivos'!BB485,'LP Reactivos'!BG485,'LP Reactivos'!BL485,'LP Reactivos'!BQ485,'LP Reactivos'!BV485,'LP Reactivos'!CA485,'LP Reactivos'!CF485,'LP Reactivos'!CK485,'LP Reactivos'!CP485,'LP Reactivos'!CU485,'LP Reactivos'!CZ485,'LP Reactivos'!DE485,'LP Reactivos'!DJ485,'LP Reactivos'!DO485,'LP Reactivos'!DT485,'LP Reactivos'!DY485,'LP Reactivos'!EB485)," ")</f>
        <v>516018.56663178356</v>
      </c>
      <c r="H485" s="345">
        <f t="shared" si="32"/>
        <v>121281.79573113333</v>
      </c>
      <c r="I485" s="346">
        <f t="shared" si="33"/>
        <v>0.20894619257130675</v>
      </c>
      <c r="J485" s="345">
        <f t="shared" si="34"/>
        <v>516018.56663178356</v>
      </c>
      <c r="K485" s="344" t="str">
        <f t="shared" si="35"/>
        <v>Media Geométrica</v>
      </c>
      <c r="L485" s="326">
        <f>IFERROR(COUNTA('LP Reactivos'!F485,'LP Reactivos'!I485,'LP Reactivos'!N485,'LP Reactivos'!S485,'LP Reactivos'!X485,'LP Reactivos'!AC485,'LP Reactivos'!AH485,'LP Reactivos'!AM485,'LP Reactivos'!AR485,'LP Reactivos'!AW485,'LP Reactivos'!BB485,'LP Reactivos'!BG485,'LP Reactivos'!BL485,'LP Reactivos'!BQ485,'LP Reactivos'!BV485,'LP Reactivos'!CA485,'LP Reactivos'!CF485,'LP Reactivos'!CK485,'LP Reactivos'!CP485,'LP Reactivos'!CU485,'LP Reactivos'!CZ485,'LP Reactivos'!DE485,'LP Reactivos'!DJ485,'LP Reactivos'!DO485,'LP Reactivos'!DT485,'LP Reactivos'!DY485,'LP Reactivos'!EB485)," ")</f>
        <v>3</v>
      </c>
    </row>
    <row r="486" spans="2:12" x14ac:dyDescent="0.25">
      <c r="B486" s="425">
        <v>484</v>
      </c>
      <c r="C486" s="427" t="s">
        <v>2291</v>
      </c>
      <c r="D486" s="429">
        <f>IFERROR(MIN('LP Reactivos'!F486,'LP Reactivos'!I486,'LP Reactivos'!N486,'LP Reactivos'!S486,'LP Reactivos'!X486,'LP Reactivos'!AC486,'LP Reactivos'!AH486,'LP Reactivos'!AM486,'LP Reactivos'!AR486,'LP Reactivos'!AW486,'LP Reactivos'!BB486,'LP Reactivos'!BG486,'LP Reactivos'!BL486,'LP Reactivos'!BQ486,'LP Reactivos'!BV486,'LP Reactivos'!CA486,'LP Reactivos'!CF486,'LP Reactivos'!CK486,'LP Reactivos'!CP486,'LP Reactivos'!CU486,'LP Reactivos'!CZ486,'LP Reactivos'!DE486,'LP Reactivos'!DJ486,'LP Reactivos'!DO486,'LP Reactivos'!DT486,'LP Reactivos'!DY486,'LP Reactivos'!EB486)," ")</f>
        <v>1829030</v>
      </c>
      <c r="E486" s="429">
        <f>IFERROR(AVERAGE('LP Reactivos'!F486,'LP Reactivos'!I486,'LP Reactivos'!N486,'LP Reactivos'!S486,'LP Reactivos'!X486,'LP Reactivos'!AC486,'LP Reactivos'!AH486,'LP Reactivos'!AM486,'LP Reactivos'!AR486,'LP Reactivos'!AW486,'LP Reactivos'!BB486,'LP Reactivos'!BG486,'LP Reactivos'!BL486,'LP Reactivos'!BQ486,'LP Reactivos'!BV486,'LP Reactivos'!CA486,'LP Reactivos'!CF486,'LP Reactivos'!CK486,'LP Reactivos'!CP486,'LP Reactivos'!CU486,'LP Reactivos'!CZ486,'LP Reactivos'!DE486,'LP Reactivos'!DJ486,'LP Reactivos'!DO486,'LP Reactivos'!DT486,'LP Reactivos'!DY486,'LP Reactivos'!EB486)," ")</f>
        <v>1909333.9369999999</v>
      </c>
      <c r="F486" s="345">
        <f>IFERROR(MEDIAN('LP Reactivos'!F486,'LP Reactivos'!I486,'LP Reactivos'!N486,'LP Reactivos'!S486,'LP Reactivos'!X486,'LP Reactivos'!AC486,'LP Reactivos'!AH486,'LP Reactivos'!AM486,'LP Reactivos'!AR486,'LP Reactivos'!AW486,'LP Reactivos'!BB486,'LP Reactivos'!BG486,'LP Reactivos'!BL486,'LP Reactivos'!BQ486,'LP Reactivos'!BV486,'LP Reactivos'!CA486,'LP Reactivos'!CF486,'LP Reactivos'!CK486,'LP Reactivos'!CP486,'LP Reactivos'!CU486,'LP Reactivos'!CZ486,'LP Reactivos'!DE486,'LP Reactivos'!DJ486,'LP Reactivos'!DO486,'LP Reactivos'!DT486,'LP Reactivos'!DY486,'LP Reactivos'!EB486)," ")</f>
        <v>1909333.9369999999</v>
      </c>
      <c r="G486" s="345">
        <f>IFERROR(GEOMEAN('LP Reactivos'!F486,'LP Reactivos'!I486,'LP Reactivos'!N486,'LP Reactivos'!S486,'LP Reactivos'!X486,'LP Reactivos'!AC486,'LP Reactivos'!AH486,'LP Reactivos'!AM486,'LP Reactivos'!AR486,'LP Reactivos'!AW486,'LP Reactivos'!BB486,'LP Reactivos'!BG486,'LP Reactivos'!BL486,'LP Reactivos'!BQ486,'LP Reactivos'!BV486,'LP Reactivos'!CA486,'LP Reactivos'!CF486,'LP Reactivos'!CK486,'LP Reactivos'!CP486,'LP Reactivos'!CU486,'LP Reactivos'!CZ486,'LP Reactivos'!DE486,'LP Reactivos'!DJ486,'LP Reactivos'!DO486,'LP Reactivos'!DT486,'LP Reactivos'!DY486,'LP Reactivos'!EB486)," ")</f>
        <v>1907644.4534247518</v>
      </c>
      <c r="H486" s="345">
        <f t="shared" si="32"/>
        <v>39878.341649085705</v>
      </c>
      <c r="I486" s="346">
        <f t="shared" si="33"/>
        <v>2.0885996355223067E-2</v>
      </c>
      <c r="J486" s="345">
        <f t="shared" si="34"/>
        <v>1909333.9369999999</v>
      </c>
      <c r="K486" s="344" t="str">
        <f t="shared" si="35"/>
        <v>Promedio</v>
      </c>
      <c r="L486" s="326">
        <f>IFERROR(COUNTA('LP Reactivos'!F486,'LP Reactivos'!I486,'LP Reactivos'!N486,'LP Reactivos'!S486,'LP Reactivos'!X486,'LP Reactivos'!AC486,'LP Reactivos'!AH486,'LP Reactivos'!AM486,'LP Reactivos'!AR486,'LP Reactivos'!AW486,'LP Reactivos'!BB486,'LP Reactivos'!BG486,'LP Reactivos'!BL486,'LP Reactivos'!BQ486,'LP Reactivos'!BV486,'LP Reactivos'!CA486,'LP Reactivos'!CF486,'LP Reactivos'!CK486,'LP Reactivos'!CP486,'LP Reactivos'!CU486,'LP Reactivos'!CZ486,'LP Reactivos'!DE486,'LP Reactivos'!DJ486,'LP Reactivos'!DO486,'LP Reactivos'!DT486,'LP Reactivos'!DY486,'LP Reactivos'!EB486)," ")</f>
        <v>2</v>
      </c>
    </row>
    <row r="487" spans="2:12" x14ac:dyDescent="0.25">
      <c r="B487" s="425">
        <v>485</v>
      </c>
      <c r="C487" s="427" t="s">
        <v>2294</v>
      </c>
      <c r="D487" s="429">
        <f>IFERROR(MIN('LP Reactivos'!F487,'LP Reactivos'!I487,'LP Reactivos'!N487,'LP Reactivos'!S487,'LP Reactivos'!X487,'LP Reactivos'!AC487,'LP Reactivos'!AH487,'LP Reactivos'!AM487,'LP Reactivos'!AR487,'LP Reactivos'!AW487,'LP Reactivos'!BB487,'LP Reactivos'!BG487,'LP Reactivos'!BL487,'LP Reactivos'!BQ487,'LP Reactivos'!BV487,'LP Reactivos'!CA487,'LP Reactivos'!CF487,'LP Reactivos'!CK487,'LP Reactivos'!CP487,'LP Reactivos'!CU487,'LP Reactivos'!CZ487,'LP Reactivos'!DE487,'LP Reactivos'!DJ487,'LP Reactivos'!DO487,'LP Reactivos'!DT487,'LP Reactivos'!DY487,'LP Reactivos'!EB487)," ")</f>
        <v>1218560</v>
      </c>
      <c r="E487" s="429">
        <f>IFERROR(AVERAGE('LP Reactivos'!F487,'LP Reactivos'!I487,'LP Reactivos'!N487,'LP Reactivos'!S487,'LP Reactivos'!X487,'LP Reactivos'!AC487,'LP Reactivos'!AH487,'LP Reactivos'!AM487,'LP Reactivos'!AR487,'LP Reactivos'!AW487,'LP Reactivos'!BB487,'LP Reactivos'!BG487,'LP Reactivos'!BL487,'LP Reactivos'!BQ487,'LP Reactivos'!BV487,'LP Reactivos'!CA487,'LP Reactivos'!CF487,'LP Reactivos'!CK487,'LP Reactivos'!CP487,'LP Reactivos'!CU487,'LP Reactivos'!CZ487,'LP Reactivos'!DE487,'LP Reactivos'!DJ487,'LP Reactivos'!DO487,'LP Reactivos'!DT487,'LP Reactivos'!DY487,'LP Reactivos'!EB487)," ")</f>
        <v>1407397.53</v>
      </c>
      <c r="F487" s="345">
        <f>IFERROR(MEDIAN('LP Reactivos'!F487,'LP Reactivos'!I487,'LP Reactivos'!N487,'LP Reactivos'!S487,'LP Reactivos'!X487,'LP Reactivos'!AC487,'LP Reactivos'!AH487,'LP Reactivos'!AM487,'LP Reactivos'!AR487,'LP Reactivos'!AW487,'LP Reactivos'!BB487,'LP Reactivos'!BG487,'LP Reactivos'!BL487,'LP Reactivos'!BQ487,'LP Reactivos'!BV487,'LP Reactivos'!CA487,'LP Reactivos'!CF487,'LP Reactivos'!CK487,'LP Reactivos'!CP487,'LP Reactivos'!CU487,'LP Reactivos'!CZ487,'LP Reactivos'!DE487,'LP Reactivos'!DJ487,'LP Reactivos'!DO487,'LP Reactivos'!DT487,'LP Reactivos'!DY487,'LP Reactivos'!EB487)," ")</f>
        <v>1407397.53</v>
      </c>
      <c r="G487" s="345">
        <f>IFERROR(GEOMEAN('LP Reactivos'!F487,'LP Reactivos'!I487,'LP Reactivos'!N487,'LP Reactivos'!S487,'LP Reactivos'!X487,'LP Reactivos'!AC487,'LP Reactivos'!AH487,'LP Reactivos'!AM487,'LP Reactivos'!AR487,'LP Reactivos'!AW487,'LP Reactivos'!BB487,'LP Reactivos'!BG487,'LP Reactivos'!BL487,'LP Reactivos'!BQ487,'LP Reactivos'!BV487,'LP Reactivos'!CA487,'LP Reactivos'!CF487,'LP Reactivos'!CK487,'LP Reactivos'!CP487,'LP Reactivos'!CU487,'LP Reactivos'!CZ487,'LP Reactivos'!DE487,'LP Reactivos'!DJ487,'LP Reactivos'!DO487,'LP Reactivos'!DT487,'LP Reactivos'!DY487,'LP Reactivos'!EB487)," ")</f>
        <v>1394671.3572428452</v>
      </c>
      <c r="H487" s="345">
        <f t="shared" si="32"/>
        <v>92492.498150304411</v>
      </c>
      <c r="I487" s="346">
        <f t="shared" si="33"/>
        <v>6.5718815173922043E-2</v>
      </c>
      <c r="J487" s="345">
        <f t="shared" si="34"/>
        <v>1407397.53</v>
      </c>
      <c r="K487" s="344" t="str">
        <f t="shared" si="35"/>
        <v>Promedio</v>
      </c>
      <c r="L487" s="326">
        <f>IFERROR(COUNTA('LP Reactivos'!F487,'LP Reactivos'!I487,'LP Reactivos'!N487,'LP Reactivos'!S487,'LP Reactivos'!X487,'LP Reactivos'!AC487,'LP Reactivos'!AH487,'LP Reactivos'!AM487,'LP Reactivos'!AR487,'LP Reactivos'!AW487,'LP Reactivos'!BB487,'LP Reactivos'!BG487,'LP Reactivos'!BL487,'LP Reactivos'!BQ487,'LP Reactivos'!BV487,'LP Reactivos'!CA487,'LP Reactivos'!CF487,'LP Reactivos'!CK487,'LP Reactivos'!CP487,'LP Reactivos'!CU487,'LP Reactivos'!CZ487,'LP Reactivos'!DE487,'LP Reactivos'!DJ487,'LP Reactivos'!DO487,'LP Reactivos'!DT487,'LP Reactivos'!DY487,'LP Reactivos'!EB487)," ")</f>
        <v>2</v>
      </c>
    </row>
    <row r="488" spans="2:12" x14ac:dyDescent="0.25">
      <c r="B488" s="425">
        <v>486</v>
      </c>
      <c r="C488" s="427" t="s">
        <v>2296</v>
      </c>
      <c r="D488" s="429">
        <f>IFERROR(MIN('LP Reactivos'!F488,'LP Reactivos'!I488,'LP Reactivos'!N488,'LP Reactivos'!S488,'LP Reactivos'!X488,'LP Reactivos'!AC488,'LP Reactivos'!AH488,'LP Reactivos'!AM488,'LP Reactivos'!AR488,'LP Reactivos'!AW488,'LP Reactivos'!BB488,'LP Reactivos'!BG488,'LP Reactivos'!BL488,'LP Reactivos'!BQ488,'LP Reactivos'!BV488,'LP Reactivos'!CA488,'LP Reactivos'!CF488,'LP Reactivos'!CK488,'LP Reactivos'!CP488,'LP Reactivos'!CU488,'LP Reactivos'!CZ488,'LP Reactivos'!DE488,'LP Reactivos'!DJ488,'LP Reactivos'!DO488,'LP Reactivos'!DT488,'LP Reactivos'!DY488,'LP Reactivos'!EB488)," ")</f>
        <v>22415.732599999999</v>
      </c>
      <c r="E488" s="429">
        <f>IFERROR(AVERAGE('LP Reactivos'!F488,'LP Reactivos'!I488,'LP Reactivos'!N488,'LP Reactivos'!S488,'LP Reactivos'!X488,'LP Reactivos'!AC488,'LP Reactivos'!AH488,'LP Reactivos'!AM488,'LP Reactivos'!AR488,'LP Reactivos'!AW488,'LP Reactivos'!BB488,'LP Reactivos'!BG488,'LP Reactivos'!BL488,'LP Reactivos'!BQ488,'LP Reactivos'!BV488,'LP Reactivos'!CA488,'LP Reactivos'!CF488,'LP Reactivos'!CK488,'LP Reactivos'!CP488,'LP Reactivos'!CU488,'LP Reactivos'!CZ488,'LP Reactivos'!DE488,'LP Reactivos'!DJ488,'LP Reactivos'!DO488,'LP Reactivos'!DT488,'LP Reactivos'!DY488,'LP Reactivos'!EB488)," ")</f>
        <v>22415.732599999999</v>
      </c>
      <c r="F488" s="345">
        <f>IFERROR(MEDIAN('LP Reactivos'!F488,'LP Reactivos'!I488,'LP Reactivos'!N488,'LP Reactivos'!S488,'LP Reactivos'!X488,'LP Reactivos'!AC488,'LP Reactivos'!AH488,'LP Reactivos'!AM488,'LP Reactivos'!AR488,'LP Reactivos'!AW488,'LP Reactivos'!BB488,'LP Reactivos'!BG488,'LP Reactivos'!BL488,'LP Reactivos'!BQ488,'LP Reactivos'!BV488,'LP Reactivos'!CA488,'LP Reactivos'!CF488,'LP Reactivos'!CK488,'LP Reactivos'!CP488,'LP Reactivos'!CU488,'LP Reactivos'!CZ488,'LP Reactivos'!DE488,'LP Reactivos'!DJ488,'LP Reactivos'!DO488,'LP Reactivos'!DT488,'LP Reactivos'!DY488,'LP Reactivos'!EB488)," ")</f>
        <v>22415.732599999999</v>
      </c>
      <c r="G488" s="345">
        <f>IFERROR(GEOMEAN('LP Reactivos'!F488,'LP Reactivos'!I488,'LP Reactivos'!N488,'LP Reactivos'!S488,'LP Reactivos'!X488,'LP Reactivos'!AC488,'LP Reactivos'!AH488,'LP Reactivos'!AM488,'LP Reactivos'!AR488,'LP Reactivos'!AW488,'LP Reactivos'!BB488,'LP Reactivos'!BG488,'LP Reactivos'!BL488,'LP Reactivos'!BQ488,'LP Reactivos'!BV488,'LP Reactivos'!CA488,'LP Reactivos'!CF488,'LP Reactivos'!CK488,'LP Reactivos'!CP488,'LP Reactivos'!CU488,'LP Reactivos'!CZ488,'LP Reactivos'!DE488,'LP Reactivos'!DJ488,'LP Reactivos'!DO488,'LP Reactivos'!DT488,'LP Reactivos'!DY488,'LP Reactivos'!EB488)," ")</f>
        <v>22415.732599999999</v>
      </c>
      <c r="H488" s="345">
        <f t="shared" si="32"/>
        <v>0</v>
      </c>
      <c r="I488" s="346">
        <f t="shared" si="33"/>
        <v>0</v>
      </c>
      <c r="J488" s="345">
        <f t="shared" si="34"/>
        <v>22415.732599999999</v>
      </c>
      <c r="K488" s="344" t="str">
        <f t="shared" si="35"/>
        <v>Menor Valor</v>
      </c>
      <c r="L488" s="326">
        <f>IFERROR(COUNTA('LP Reactivos'!F488,'LP Reactivos'!I488,'LP Reactivos'!N488,'LP Reactivos'!S488,'LP Reactivos'!X488,'LP Reactivos'!AC488,'LP Reactivos'!AH488,'LP Reactivos'!AM488,'LP Reactivos'!AR488,'LP Reactivos'!AW488,'LP Reactivos'!BB488,'LP Reactivos'!BG488,'LP Reactivos'!BL488,'LP Reactivos'!BQ488,'LP Reactivos'!BV488,'LP Reactivos'!CA488,'LP Reactivos'!CF488,'LP Reactivos'!CK488,'LP Reactivos'!CP488,'LP Reactivos'!CU488,'LP Reactivos'!CZ488,'LP Reactivos'!DE488,'LP Reactivos'!DJ488,'LP Reactivos'!DO488,'LP Reactivos'!DT488,'LP Reactivos'!DY488,'LP Reactivos'!EB488)," ")</f>
        <v>1</v>
      </c>
    </row>
    <row r="489" spans="2:12" x14ac:dyDescent="0.25">
      <c r="B489" s="425">
        <v>487</v>
      </c>
      <c r="C489" s="428" t="s">
        <v>2298</v>
      </c>
      <c r="D489" s="429">
        <f>IFERROR(MIN('LP Reactivos'!F489,'LP Reactivos'!I489,'LP Reactivos'!N489,'LP Reactivos'!S489,'LP Reactivos'!X489,'LP Reactivos'!AC489,'LP Reactivos'!AH489,'LP Reactivos'!AM489,'LP Reactivos'!AR489,'LP Reactivos'!AW489,'LP Reactivos'!BB489,'LP Reactivos'!BG489,'LP Reactivos'!BL489,'LP Reactivos'!BQ489,'LP Reactivos'!BV489,'LP Reactivos'!CA489,'LP Reactivos'!CF489,'LP Reactivos'!CK489,'LP Reactivos'!CP489,'LP Reactivos'!CU489,'LP Reactivos'!CZ489,'LP Reactivos'!DE489,'LP Reactivos'!DJ489,'LP Reactivos'!DO489,'LP Reactivos'!DT489,'LP Reactivos'!DY489,'LP Reactivos'!EB489)," ")</f>
        <v>64855</v>
      </c>
      <c r="E489" s="429">
        <f>IFERROR(AVERAGE('LP Reactivos'!F489,'LP Reactivos'!I489,'LP Reactivos'!N489,'LP Reactivos'!S489,'LP Reactivos'!X489,'LP Reactivos'!AC489,'LP Reactivos'!AH489,'LP Reactivos'!AM489,'LP Reactivos'!AR489,'LP Reactivos'!AW489,'LP Reactivos'!BB489,'LP Reactivos'!BG489,'LP Reactivos'!BL489,'LP Reactivos'!BQ489,'LP Reactivos'!BV489,'LP Reactivos'!CA489,'LP Reactivos'!CF489,'LP Reactivos'!CK489,'LP Reactivos'!CP489,'LP Reactivos'!CU489,'LP Reactivos'!CZ489,'LP Reactivos'!DE489,'LP Reactivos'!DJ489,'LP Reactivos'!DO489,'LP Reactivos'!DT489,'LP Reactivos'!DY489,'LP Reactivos'!EB489)," ")</f>
        <v>212051.66666666666</v>
      </c>
      <c r="F489" s="345">
        <f>IFERROR(MEDIAN('LP Reactivos'!F489,'LP Reactivos'!I489,'LP Reactivos'!N489,'LP Reactivos'!S489,'LP Reactivos'!X489,'LP Reactivos'!AC489,'LP Reactivos'!AH489,'LP Reactivos'!AM489,'LP Reactivos'!AR489,'LP Reactivos'!AW489,'LP Reactivos'!BB489,'LP Reactivos'!BG489,'LP Reactivos'!BL489,'LP Reactivos'!BQ489,'LP Reactivos'!BV489,'LP Reactivos'!CA489,'LP Reactivos'!CF489,'LP Reactivos'!CK489,'LP Reactivos'!CP489,'LP Reactivos'!CU489,'LP Reactivos'!CZ489,'LP Reactivos'!DE489,'LP Reactivos'!DJ489,'LP Reactivos'!DO489,'LP Reactivos'!DT489,'LP Reactivos'!DY489,'LP Reactivos'!EB489)," ")</f>
        <v>250000</v>
      </c>
      <c r="G489" s="345">
        <f>IFERROR(GEOMEAN('LP Reactivos'!F489,'LP Reactivos'!I489,'LP Reactivos'!N489,'LP Reactivos'!S489,'LP Reactivos'!X489,'LP Reactivos'!AC489,'LP Reactivos'!AH489,'LP Reactivos'!AM489,'LP Reactivos'!AR489,'LP Reactivos'!AW489,'LP Reactivos'!BB489,'LP Reactivos'!BG489,'LP Reactivos'!BL489,'LP Reactivos'!BQ489,'LP Reactivos'!BV489,'LP Reactivos'!CA489,'LP Reactivos'!CF489,'LP Reactivos'!CK489,'LP Reactivos'!CP489,'LP Reactivos'!CU489,'LP Reactivos'!CZ489,'LP Reactivos'!DE489,'LP Reactivos'!DJ489,'LP Reactivos'!DO489,'LP Reactivos'!DT489,'LP Reactivos'!DY489,'LP Reactivos'!EB489)," ")</f>
        <v>173353.01495158373</v>
      </c>
      <c r="H489" s="345">
        <f t="shared" si="32"/>
        <v>79859.131660885221</v>
      </c>
      <c r="I489" s="346">
        <f t="shared" si="33"/>
        <v>0.37660223527702474</v>
      </c>
      <c r="J489" s="345">
        <f>IF(I489&lt;=10%,F489,IF(AND(I489&gt;10%,I489&lt;=20%),E489,IF(AND(I489&gt;20%,I489&lt;=38%),G489,IF(I489&gt;38%,D489))))</f>
        <v>173353.01495158373</v>
      </c>
      <c r="K489" s="344" t="str">
        <f t="shared" si="35"/>
        <v>Media Geométrica</v>
      </c>
      <c r="L489" s="326">
        <f>IFERROR(COUNTA('LP Reactivos'!F489,'LP Reactivos'!I489,'LP Reactivos'!N489,'LP Reactivos'!S489,'LP Reactivos'!X489,'LP Reactivos'!AC489,'LP Reactivos'!AH489,'LP Reactivos'!AM489,'LP Reactivos'!AR489,'LP Reactivos'!AW489,'LP Reactivos'!BB489,'LP Reactivos'!BG489,'LP Reactivos'!BL489,'LP Reactivos'!BQ489,'LP Reactivos'!BV489,'LP Reactivos'!CA489,'LP Reactivos'!CF489,'LP Reactivos'!CK489,'LP Reactivos'!CP489,'LP Reactivos'!CU489,'LP Reactivos'!CZ489,'LP Reactivos'!DE489,'LP Reactivos'!DJ489,'LP Reactivos'!DO489,'LP Reactivos'!DT489,'LP Reactivos'!DY489,'LP Reactivos'!EB489)," ")</f>
        <v>3</v>
      </c>
    </row>
    <row r="490" spans="2:12" x14ac:dyDescent="0.25">
      <c r="B490" s="425">
        <v>488</v>
      </c>
      <c r="C490" s="427" t="s">
        <v>2304</v>
      </c>
      <c r="D490" s="429">
        <f>IFERROR(MIN('LP Reactivos'!F490,'LP Reactivos'!I490,'LP Reactivos'!N490,'LP Reactivos'!S490,'LP Reactivos'!X490,'LP Reactivos'!AC490,'LP Reactivos'!AH490,'LP Reactivos'!AM490,'LP Reactivos'!AR490,'LP Reactivos'!AW490,'LP Reactivos'!BB490,'LP Reactivos'!BG490,'LP Reactivos'!BL490,'LP Reactivos'!BQ490,'LP Reactivos'!BV490,'LP Reactivos'!CA490,'LP Reactivos'!CF490,'LP Reactivos'!CK490,'LP Reactivos'!CP490,'LP Reactivos'!CU490,'LP Reactivos'!CZ490,'LP Reactivos'!DE490,'LP Reactivos'!DJ490,'LP Reactivos'!DO490,'LP Reactivos'!DT490,'LP Reactivos'!DY490,'LP Reactivos'!EB490)," ")</f>
        <v>223720</v>
      </c>
      <c r="E490" s="429">
        <f>IFERROR(AVERAGE('LP Reactivos'!F490,'LP Reactivos'!I490,'LP Reactivos'!N490,'LP Reactivos'!S490,'LP Reactivos'!X490,'LP Reactivos'!AC490,'LP Reactivos'!AH490,'LP Reactivos'!AM490,'LP Reactivos'!AR490,'LP Reactivos'!AW490,'LP Reactivos'!BB490,'LP Reactivos'!BG490,'LP Reactivos'!BL490,'LP Reactivos'!BQ490,'LP Reactivos'!BV490,'LP Reactivos'!CA490,'LP Reactivos'!CF490,'LP Reactivos'!CK490,'LP Reactivos'!CP490,'LP Reactivos'!CU490,'LP Reactivos'!CZ490,'LP Reactivos'!DE490,'LP Reactivos'!DJ490,'LP Reactivos'!DO490,'LP Reactivos'!DT490,'LP Reactivos'!DY490,'LP Reactivos'!EB490)," ")</f>
        <v>950131.7</v>
      </c>
      <c r="F490" s="345">
        <f>IFERROR(MEDIAN('LP Reactivos'!F490,'LP Reactivos'!I490,'LP Reactivos'!N490,'LP Reactivos'!S490,'LP Reactivos'!X490,'LP Reactivos'!AC490,'LP Reactivos'!AH490,'LP Reactivos'!AM490,'LP Reactivos'!AR490,'LP Reactivos'!AW490,'LP Reactivos'!BB490,'LP Reactivos'!BG490,'LP Reactivos'!BL490,'LP Reactivos'!BQ490,'LP Reactivos'!BV490,'LP Reactivos'!CA490,'LP Reactivos'!CF490,'LP Reactivos'!CK490,'LP Reactivos'!CP490,'LP Reactivos'!CU490,'LP Reactivos'!CZ490,'LP Reactivos'!DE490,'LP Reactivos'!DJ490,'LP Reactivos'!DO490,'LP Reactivos'!DT490,'LP Reactivos'!DY490,'LP Reactivos'!EB490)," ")</f>
        <v>896962.5</v>
      </c>
      <c r="G490" s="345">
        <f>IFERROR(GEOMEAN('LP Reactivos'!F490,'LP Reactivos'!I490,'LP Reactivos'!N490,'LP Reactivos'!S490,'LP Reactivos'!X490,'LP Reactivos'!AC490,'LP Reactivos'!AH490,'LP Reactivos'!AM490,'LP Reactivos'!AR490,'LP Reactivos'!AW490,'LP Reactivos'!BB490,'LP Reactivos'!BG490,'LP Reactivos'!BL490,'LP Reactivos'!BQ490,'LP Reactivos'!BV490,'LP Reactivos'!CA490,'LP Reactivos'!CF490,'LP Reactivos'!CK490,'LP Reactivos'!CP490,'LP Reactivos'!CU490,'LP Reactivos'!CZ490,'LP Reactivos'!DE490,'LP Reactivos'!DJ490,'LP Reactivos'!DO490,'LP Reactivos'!DT490,'LP Reactivos'!DY490,'LP Reactivos'!EB490)," ")</f>
        <v>748703.78016882751</v>
      </c>
      <c r="H490" s="345">
        <f t="shared" si="32"/>
        <v>331903.37573175621</v>
      </c>
      <c r="I490" s="346">
        <f t="shared" si="33"/>
        <v>0.34932354717957126</v>
      </c>
      <c r="J490" s="345">
        <f>IF(I490&lt;=10%,F490,IF(AND(I490&gt;10%,I490&lt;=20%),E490,IF(AND(I490&gt;20%,I490&lt;=35%),G490,IF(I490&gt;35%,D490))))</f>
        <v>748703.78016882751</v>
      </c>
      <c r="K490" s="344" t="str">
        <f t="shared" si="35"/>
        <v>Media Geométrica</v>
      </c>
      <c r="L490" s="326">
        <f>IFERROR(COUNTA('LP Reactivos'!F490,'LP Reactivos'!I490,'LP Reactivos'!N490,'LP Reactivos'!S490,'LP Reactivos'!X490,'LP Reactivos'!AC490,'LP Reactivos'!AH490,'LP Reactivos'!AM490,'LP Reactivos'!AR490,'LP Reactivos'!AW490,'LP Reactivos'!BB490,'LP Reactivos'!BG490,'LP Reactivos'!BL490,'LP Reactivos'!BQ490,'LP Reactivos'!BV490,'LP Reactivos'!CA490,'LP Reactivos'!CF490,'LP Reactivos'!CK490,'LP Reactivos'!CP490,'LP Reactivos'!CU490,'LP Reactivos'!CZ490,'LP Reactivos'!DE490,'LP Reactivos'!DJ490,'LP Reactivos'!DO490,'LP Reactivos'!DT490,'LP Reactivos'!DY490,'LP Reactivos'!EB490)," ")</f>
        <v>4</v>
      </c>
    </row>
    <row r="491" spans="2:12" x14ac:dyDescent="0.25">
      <c r="B491" s="425">
        <v>489</v>
      </c>
      <c r="C491" s="428" t="s">
        <v>2309</v>
      </c>
      <c r="D491" s="429">
        <f>IFERROR(MIN('LP Reactivos'!F491,'LP Reactivos'!I491,'LP Reactivos'!N491,'LP Reactivos'!S491,'LP Reactivos'!X491,'LP Reactivos'!AC491,'LP Reactivos'!AH491,'LP Reactivos'!AM491,'LP Reactivos'!AR491,'LP Reactivos'!AW491,'LP Reactivos'!BB491,'LP Reactivos'!BG491,'LP Reactivos'!BL491,'LP Reactivos'!BQ491,'LP Reactivos'!BV491,'LP Reactivos'!CA491,'LP Reactivos'!CF491,'LP Reactivos'!CK491,'LP Reactivos'!CP491,'LP Reactivos'!CU491,'LP Reactivos'!CZ491,'LP Reactivos'!DE491,'LP Reactivos'!DJ491,'LP Reactivos'!DO491,'LP Reactivos'!DT491,'LP Reactivos'!DY491,'LP Reactivos'!EB491)," ")</f>
        <v>254660</v>
      </c>
      <c r="E491" s="429">
        <f>IFERROR(AVERAGE('LP Reactivos'!F491,'LP Reactivos'!I491,'LP Reactivos'!N491,'LP Reactivos'!S491,'LP Reactivos'!X491,'LP Reactivos'!AC491,'LP Reactivos'!AH491,'LP Reactivos'!AM491,'LP Reactivos'!AR491,'LP Reactivos'!AW491,'LP Reactivos'!BB491,'LP Reactivos'!BG491,'LP Reactivos'!BL491,'LP Reactivos'!BQ491,'LP Reactivos'!BV491,'LP Reactivos'!CA491,'LP Reactivos'!CF491,'LP Reactivos'!CK491,'LP Reactivos'!CP491,'LP Reactivos'!CU491,'LP Reactivos'!CZ491,'LP Reactivos'!DE491,'LP Reactivos'!DJ491,'LP Reactivos'!DO491,'LP Reactivos'!DT491,'LP Reactivos'!DY491,'LP Reactivos'!EB491)," ")</f>
        <v>711833.29999999993</v>
      </c>
      <c r="F491" s="345">
        <f>IFERROR(MEDIAN('LP Reactivos'!F491,'LP Reactivos'!I491,'LP Reactivos'!N491,'LP Reactivos'!S491,'LP Reactivos'!X491,'LP Reactivos'!AC491,'LP Reactivos'!AH491,'LP Reactivos'!AM491,'LP Reactivos'!AR491,'LP Reactivos'!AW491,'LP Reactivos'!BB491,'LP Reactivos'!BG491,'LP Reactivos'!BL491,'LP Reactivos'!BQ491,'LP Reactivos'!BV491,'LP Reactivos'!CA491,'LP Reactivos'!CF491,'LP Reactivos'!CK491,'LP Reactivos'!CP491,'LP Reactivos'!CU491,'LP Reactivos'!CZ491,'LP Reactivos'!DE491,'LP Reactivos'!DJ491,'LP Reactivos'!DO491,'LP Reactivos'!DT491,'LP Reactivos'!DY491,'LP Reactivos'!EB491)," ")</f>
        <v>891440.9</v>
      </c>
      <c r="G491" s="345">
        <f>IFERROR(GEOMEAN('LP Reactivos'!F491,'LP Reactivos'!I491,'LP Reactivos'!N491,'LP Reactivos'!S491,'LP Reactivos'!X491,'LP Reactivos'!AC491,'LP Reactivos'!AH491,'LP Reactivos'!AM491,'LP Reactivos'!AR491,'LP Reactivos'!AW491,'LP Reactivos'!BB491,'LP Reactivos'!BG491,'LP Reactivos'!BL491,'LP Reactivos'!BQ491,'LP Reactivos'!BV491,'LP Reactivos'!CA491,'LP Reactivos'!CF491,'LP Reactivos'!CK491,'LP Reactivos'!CP491,'LP Reactivos'!CU491,'LP Reactivos'!CZ491,'LP Reactivos'!DE491,'LP Reactivos'!DJ491,'LP Reactivos'!DO491,'LP Reactivos'!DT491,'LP Reactivos'!DY491,'LP Reactivos'!EB491)," ")</f>
        <v>607866.55999661703</v>
      </c>
      <c r="H491" s="345">
        <f t="shared" si="32"/>
        <v>268131.58992296236</v>
      </c>
      <c r="I491" s="346">
        <f t="shared" si="33"/>
        <v>0.37667750289704399</v>
      </c>
      <c r="J491" s="345">
        <f>IF(I491&lt;=10%,F491,IF(AND(I491&gt;10%,I491&lt;=20%),E491,IF(AND(I491&gt;20%,I491&lt;=38%),G491,IF(I491&gt;38%,D491))))</f>
        <v>607866.55999661703</v>
      </c>
      <c r="K491" s="344" t="str">
        <f t="shared" si="35"/>
        <v>Media Geométrica</v>
      </c>
      <c r="L491" s="326">
        <f>IFERROR(COUNTA('LP Reactivos'!F491,'LP Reactivos'!I491,'LP Reactivos'!N491,'LP Reactivos'!S491,'LP Reactivos'!X491,'LP Reactivos'!AC491,'LP Reactivos'!AH491,'LP Reactivos'!AM491,'LP Reactivos'!AR491,'LP Reactivos'!AW491,'LP Reactivos'!BB491,'LP Reactivos'!BG491,'LP Reactivos'!BL491,'LP Reactivos'!BQ491,'LP Reactivos'!BV491,'LP Reactivos'!CA491,'LP Reactivos'!CF491,'LP Reactivos'!CK491,'LP Reactivos'!CP491,'LP Reactivos'!CU491,'LP Reactivos'!CZ491,'LP Reactivos'!DE491,'LP Reactivos'!DJ491,'LP Reactivos'!DO491,'LP Reactivos'!DT491,'LP Reactivos'!DY491,'LP Reactivos'!EB491)," ")</f>
        <v>3</v>
      </c>
    </row>
    <row r="492" spans="2:12" x14ac:dyDescent="0.25">
      <c r="B492" s="425">
        <v>490</v>
      </c>
      <c r="C492" s="413" t="s">
        <v>2312</v>
      </c>
      <c r="D492" s="429">
        <f>IFERROR(MIN('LP Reactivos'!F492,'LP Reactivos'!I492,'LP Reactivos'!N492,'LP Reactivos'!S492,'LP Reactivos'!X492,'LP Reactivos'!AC492,'LP Reactivos'!AH492,'LP Reactivos'!AM492,'LP Reactivos'!AR492,'LP Reactivos'!AW492,'LP Reactivos'!BB492,'LP Reactivos'!BG492,'LP Reactivos'!BL492,'LP Reactivos'!BQ492,'LP Reactivos'!BV492,'LP Reactivos'!CA492,'LP Reactivos'!CF492,'LP Reactivos'!CK492,'LP Reactivos'!CP492,'LP Reactivos'!CU492,'LP Reactivos'!CZ492,'LP Reactivos'!DE492,'LP Reactivos'!DJ492,'LP Reactivos'!DO492,'LP Reactivos'!DT492,'LP Reactivos'!DY492,'LP Reactivos'!EB492)," ")</f>
        <v>185640</v>
      </c>
      <c r="E492" s="429">
        <f>IFERROR(AVERAGE('LP Reactivos'!F492,'LP Reactivos'!I492,'LP Reactivos'!N492,'LP Reactivos'!S492,'LP Reactivos'!X492,'LP Reactivos'!AC492,'LP Reactivos'!AH492,'LP Reactivos'!AM492,'LP Reactivos'!AR492,'LP Reactivos'!AW492,'LP Reactivos'!BB492,'LP Reactivos'!BG492,'LP Reactivos'!BL492,'LP Reactivos'!BQ492,'LP Reactivos'!BV492,'LP Reactivos'!CA492,'LP Reactivos'!CF492,'LP Reactivos'!CK492,'LP Reactivos'!CP492,'LP Reactivos'!CU492,'LP Reactivos'!CZ492,'LP Reactivos'!DE492,'LP Reactivos'!DJ492,'LP Reactivos'!DO492,'LP Reactivos'!DT492,'LP Reactivos'!DY492,'LP Reactivos'!EB492)," ")</f>
        <v>372852.82366666663</v>
      </c>
      <c r="F492" s="345">
        <f>IFERROR(MEDIAN('LP Reactivos'!F492,'LP Reactivos'!I492,'LP Reactivos'!N492,'LP Reactivos'!S492,'LP Reactivos'!X492,'LP Reactivos'!AC492,'LP Reactivos'!AH492,'LP Reactivos'!AM492,'LP Reactivos'!AR492,'LP Reactivos'!AW492,'LP Reactivos'!BB492,'LP Reactivos'!BG492,'LP Reactivos'!BL492,'LP Reactivos'!BQ492,'LP Reactivos'!BV492,'LP Reactivos'!CA492,'LP Reactivos'!CF492,'LP Reactivos'!CK492,'LP Reactivos'!CP492,'LP Reactivos'!CU492,'LP Reactivos'!CZ492,'LP Reactivos'!DE492,'LP Reactivos'!DJ492,'LP Reactivos'!DO492,'LP Reactivos'!DT492,'LP Reactivos'!DY492,'LP Reactivos'!EB492)," ")</f>
        <v>381335.5</v>
      </c>
      <c r="G492" s="345">
        <f>IFERROR(GEOMEAN('LP Reactivos'!F492,'LP Reactivos'!I492,'LP Reactivos'!N492,'LP Reactivos'!S492,'LP Reactivos'!X492,'LP Reactivos'!AC492,'LP Reactivos'!AH492,'LP Reactivos'!AM492,'LP Reactivos'!AR492,'LP Reactivos'!AW492,'LP Reactivos'!BB492,'LP Reactivos'!BG492,'LP Reactivos'!BL492,'LP Reactivos'!BQ492,'LP Reactivos'!BV492,'LP Reactivos'!CA492,'LP Reactivos'!CF492,'LP Reactivos'!CK492,'LP Reactivos'!CP492,'LP Reactivos'!CU492,'LP Reactivos'!CZ492,'LP Reactivos'!DE492,'LP Reactivos'!DJ492,'LP Reactivos'!DO492,'LP Reactivos'!DT492,'LP Reactivos'!DY492,'LP Reactivos'!EB492)," ")</f>
        <v>347222.83160950639</v>
      </c>
      <c r="H492" s="345">
        <f t="shared" si="32"/>
        <v>91899.81318977593</v>
      </c>
      <c r="I492" s="346">
        <f t="shared" si="33"/>
        <v>0.24647744996544557</v>
      </c>
      <c r="J492" s="345">
        <f t="shared" si="34"/>
        <v>347222.83160950639</v>
      </c>
      <c r="K492" s="344" t="str">
        <f t="shared" si="35"/>
        <v>Media Geométrica</v>
      </c>
      <c r="L492" s="326">
        <f>IFERROR(COUNTA('LP Reactivos'!F492,'LP Reactivos'!I492,'LP Reactivos'!N492,'LP Reactivos'!S492,'LP Reactivos'!X492,'LP Reactivos'!AC492,'LP Reactivos'!AH492,'LP Reactivos'!AM492,'LP Reactivos'!AR492,'LP Reactivos'!AW492,'LP Reactivos'!BB492,'LP Reactivos'!BG492,'LP Reactivos'!BL492,'LP Reactivos'!BQ492,'LP Reactivos'!BV492,'LP Reactivos'!CA492,'LP Reactivos'!CF492,'LP Reactivos'!CK492,'LP Reactivos'!CP492,'LP Reactivos'!CU492,'LP Reactivos'!CZ492,'LP Reactivos'!DE492,'LP Reactivos'!DJ492,'LP Reactivos'!DO492,'LP Reactivos'!DT492,'LP Reactivos'!DY492,'LP Reactivos'!EB492)," ")</f>
        <v>6</v>
      </c>
    </row>
    <row r="493" spans="2:12" x14ac:dyDescent="0.25">
      <c r="B493" s="425">
        <v>491</v>
      </c>
      <c r="C493" s="427" t="s">
        <v>2317</v>
      </c>
      <c r="D493" s="429">
        <f>IFERROR(MIN('LP Reactivos'!F493,'LP Reactivos'!I493,'LP Reactivos'!N493,'LP Reactivos'!S493,'LP Reactivos'!X493,'LP Reactivos'!AC493,'LP Reactivos'!AH493,'LP Reactivos'!AM493,'LP Reactivos'!AR493,'LP Reactivos'!AW493,'LP Reactivos'!BB493,'LP Reactivos'!BG493,'LP Reactivos'!BL493,'LP Reactivos'!BQ493,'LP Reactivos'!BV493,'LP Reactivos'!CA493,'LP Reactivos'!CF493,'LP Reactivos'!CK493,'LP Reactivos'!CP493,'LP Reactivos'!CU493,'LP Reactivos'!CZ493,'LP Reactivos'!DE493,'LP Reactivos'!DJ493,'LP Reactivos'!DO493,'LP Reactivos'!DT493,'LP Reactivos'!DY493,'LP Reactivos'!EB493)," ")</f>
        <v>676909</v>
      </c>
      <c r="E493" s="429">
        <f>IFERROR(AVERAGE('LP Reactivos'!F493,'LP Reactivos'!I493,'LP Reactivos'!N493,'LP Reactivos'!S493,'LP Reactivos'!X493,'LP Reactivos'!AC493,'LP Reactivos'!AH493,'LP Reactivos'!AM493,'LP Reactivos'!AR493,'LP Reactivos'!AW493,'LP Reactivos'!BB493,'LP Reactivos'!BG493,'LP Reactivos'!BL493,'LP Reactivos'!BQ493,'LP Reactivos'!BV493,'LP Reactivos'!CA493,'LP Reactivos'!CF493,'LP Reactivos'!CK493,'LP Reactivos'!CP493,'LP Reactivos'!CU493,'LP Reactivos'!CZ493,'LP Reactivos'!DE493,'LP Reactivos'!DJ493,'LP Reactivos'!DO493,'LP Reactivos'!DT493,'LP Reactivos'!DY493,'LP Reactivos'!EB493)," ")</f>
        <v>721634.5</v>
      </c>
      <c r="F493" s="345">
        <f>IFERROR(MEDIAN('LP Reactivos'!F493,'LP Reactivos'!I493,'LP Reactivos'!N493,'LP Reactivos'!S493,'LP Reactivos'!X493,'LP Reactivos'!AC493,'LP Reactivos'!AH493,'LP Reactivos'!AM493,'LP Reactivos'!AR493,'LP Reactivos'!AW493,'LP Reactivos'!BB493,'LP Reactivos'!BG493,'LP Reactivos'!BL493,'LP Reactivos'!BQ493,'LP Reactivos'!BV493,'LP Reactivos'!CA493,'LP Reactivos'!CF493,'LP Reactivos'!CK493,'LP Reactivos'!CP493,'LP Reactivos'!CU493,'LP Reactivos'!CZ493,'LP Reactivos'!DE493,'LP Reactivos'!DJ493,'LP Reactivos'!DO493,'LP Reactivos'!DT493,'LP Reactivos'!DY493,'LP Reactivos'!EB493)," ")</f>
        <v>721634.5</v>
      </c>
      <c r="G493" s="345">
        <f>IFERROR(GEOMEAN('LP Reactivos'!F493,'LP Reactivos'!I493,'LP Reactivos'!N493,'LP Reactivos'!S493,'LP Reactivos'!X493,'LP Reactivos'!AC493,'LP Reactivos'!AH493,'LP Reactivos'!AM493,'LP Reactivos'!AR493,'LP Reactivos'!AW493,'LP Reactivos'!BB493,'LP Reactivos'!BG493,'LP Reactivos'!BL493,'LP Reactivos'!BQ493,'LP Reactivos'!BV493,'LP Reactivos'!CA493,'LP Reactivos'!CF493,'LP Reactivos'!CK493,'LP Reactivos'!CP493,'LP Reactivos'!CU493,'LP Reactivos'!CZ493,'LP Reactivos'!DE493,'LP Reactivos'!DJ493,'LP Reactivos'!DO493,'LP Reactivos'!DT493,'LP Reactivos'!DY493,'LP Reactivos'!EB493)," ")</f>
        <v>720247.16676985263</v>
      </c>
      <c r="H493" s="345">
        <f t="shared" si="32"/>
        <v>22141.188590600592</v>
      </c>
      <c r="I493" s="346">
        <f t="shared" si="33"/>
        <v>3.0681998422470921E-2</v>
      </c>
      <c r="J493" s="345">
        <f t="shared" si="34"/>
        <v>721634.5</v>
      </c>
      <c r="K493" s="344" t="str">
        <f t="shared" si="35"/>
        <v>Promedio</v>
      </c>
      <c r="L493" s="326">
        <f>IFERROR(COUNTA('LP Reactivos'!F493,'LP Reactivos'!I493,'LP Reactivos'!N493,'LP Reactivos'!S493,'LP Reactivos'!X493,'LP Reactivos'!AC493,'LP Reactivos'!AH493,'LP Reactivos'!AM493,'LP Reactivos'!AR493,'LP Reactivos'!AW493,'LP Reactivos'!BB493,'LP Reactivos'!BG493,'LP Reactivos'!BL493,'LP Reactivos'!BQ493,'LP Reactivos'!BV493,'LP Reactivos'!CA493,'LP Reactivos'!CF493,'LP Reactivos'!CK493,'LP Reactivos'!CP493,'LP Reactivos'!CU493,'LP Reactivos'!CZ493,'LP Reactivos'!DE493,'LP Reactivos'!DJ493,'LP Reactivos'!DO493,'LP Reactivos'!DT493,'LP Reactivos'!DY493,'LP Reactivos'!EB493)," ")</f>
        <v>2</v>
      </c>
    </row>
    <row r="494" spans="2:12" x14ac:dyDescent="0.25">
      <c r="B494" s="425">
        <v>492</v>
      </c>
      <c r="C494" s="427" t="s">
        <v>2320</v>
      </c>
      <c r="D494" s="429">
        <f>IFERROR(MIN('LP Reactivos'!F494,'LP Reactivos'!I494,'LP Reactivos'!N494,'LP Reactivos'!S494,'LP Reactivos'!X494,'LP Reactivos'!AC494,'LP Reactivos'!AH494,'LP Reactivos'!AM494,'LP Reactivos'!AR494,'LP Reactivos'!AW494,'LP Reactivos'!BB494,'LP Reactivos'!BG494,'LP Reactivos'!BL494,'LP Reactivos'!BQ494,'LP Reactivos'!BV494,'LP Reactivos'!CA494,'LP Reactivos'!CF494,'LP Reactivos'!CK494,'LP Reactivos'!CP494,'LP Reactivos'!CU494,'LP Reactivos'!CZ494,'LP Reactivos'!DE494,'LP Reactivos'!DJ494,'LP Reactivos'!DO494,'LP Reactivos'!DT494,'LP Reactivos'!DY494,'LP Reactivos'!EB494)," ")</f>
        <v>518730.52</v>
      </c>
      <c r="E494" s="429">
        <f>IFERROR(AVERAGE('LP Reactivos'!F494,'LP Reactivos'!I494,'LP Reactivos'!N494,'LP Reactivos'!S494,'LP Reactivos'!X494,'LP Reactivos'!AC494,'LP Reactivos'!AH494,'LP Reactivos'!AM494,'LP Reactivos'!AR494,'LP Reactivos'!AW494,'LP Reactivos'!BB494,'LP Reactivos'!BG494,'LP Reactivos'!BL494,'LP Reactivos'!BQ494,'LP Reactivos'!BV494,'LP Reactivos'!CA494,'LP Reactivos'!CF494,'LP Reactivos'!CK494,'LP Reactivos'!CP494,'LP Reactivos'!CU494,'LP Reactivos'!CZ494,'LP Reactivos'!DE494,'LP Reactivos'!DJ494,'LP Reactivos'!DO494,'LP Reactivos'!DT494,'LP Reactivos'!DY494,'LP Reactivos'!EB494)," ")</f>
        <v>2185422.2599999998</v>
      </c>
      <c r="F494" s="345">
        <f>IFERROR(MEDIAN('LP Reactivos'!F494,'LP Reactivos'!I494,'LP Reactivos'!N494,'LP Reactivos'!S494,'LP Reactivos'!X494,'LP Reactivos'!AC494,'LP Reactivos'!AH494,'LP Reactivos'!AM494,'LP Reactivos'!AR494,'LP Reactivos'!AW494,'LP Reactivos'!BB494,'LP Reactivos'!BG494,'LP Reactivos'!BL494,'LP Reactivos'!BQ494,'LP Reactivos'!BV494,'LP Reactivos'!CA494,'LP Reactivos'!CF494,'LP Reactivos'!CK494,'LP Reactivos'!CP494,'LP Reactivos'!CU494,'LP Reactivos'!CZ494,'LP Reactivos'!DE494,'LP Reactivos'!DJ494,'LP Reactivos'!DO494,'LP Reactivos'!DT494,'LP Reactivos'!DY494,'LP Reactivos'!EB494)," ")</f>
        <v>2185422.2599999998</v>
      </c>
      <c r="G494" s="345">
        <f>IFERROR(GEOMEAN('LP Reactivos'!F494,'LP Reactivos'!I494,'LP Reactivos'!N494,'LP Reactivos'!S494,'LP Reactivos'!X494,'LP Reactivos'!AC494,'LP Reactivos'!AH494,'LP Reactivos'!AM494,'LP Reactivos'!AR494,'LP Reactivos'!AW494,'LP Reactivos'!BB494,'LP Reactivos'!BG494,'LP Reactivos'!BL494,'LP Reactivos'!BQ494,'LP Reactivos'!BV494,'LP Reactivos'!CA494,'LP Reactivos'!CF494,'LP Reactivos'!CK494,'LP Reactivos'!CP494,'LP Reactivos'!CU494,'LP Reactivos'!CZ494,'LP Reactivos'!DE494,'LP Reactivos'!DJ494,'LP Reactivos'!DO494,'LP Reactivos'!DT494,'LP Reactivos'!DY494,'LP Reactivos'!EB494)," ")</f>
        <v>1413580.2412029109</v>
      </c>
      <c r="H494" s="345">
        <f t="shared" si="32"/>
        <v>793093.04518589925</v>
      </c>
      <c r="I494" s="346">
        <f t="shared" si="33"/>
        <v>0.36290151322330694</v>
      </c>
      <c r="J494" s="345">
        <f>IF(I494&lt;=10%,F494,IF(AND(I494&gt;10%,I494&lt;=20%),E494,IF(AND(I494&gt;20%,I494&lt;=37%),G494,IF(I494&gt;37%,D494))))</f>
        <v>1413580.2412029109</v>
      </c>
      <c r="K494" s="344" t="str">
        <f t="shared" si="35"/>
        <v>Media Geométrica</v>
      </c>
      <c r="L494" s="326">
        <f>IFERROR(COUNTA('LP Reactivos'!F494,'LP Reactivos'!I494,'LP Reactivos'!N494,'LP Reactivos'!S494,'LP Reactivos'!X494,'LP Reactivos'!AC494,'LP Reactivos'!AH494,'LP Reactivos'!AM494,'LP Reactivos'!AR494,'LP Reactivos'!AW494,'LP Reactivos'!BB494,'LP Reactivos'!BG494,'LP Reactivos'!BL494,'LP Reactivos'!BQ494,'LP Reactivos'!BV494,'LP Reactivos'!CA494,'LP Reactivos'!CF494,'LP Reactivos'!CK494,'LP Reactivos'!CP494,'LP Reactivos'!CU494,'LP Reactivos'!CZ494,'LP Reactivos'!DE494,'LP Reactivos'!DJ494,'LP Reactivos'!DO494,'LP Reactivos'!DT494,'LP Reactivos'!DY494,'LP Reactivos'!EB494)," ")</f>
        <v>2</v>
      </c>
    </row>
    <row r="495" spans="2:12" ht="28.5" x14ac:dyDescent="0.25">
      <c r="B495" s="425">
        <v>493</v>
      </c>
      <c r="C495" s="427" t="s">
        <v>2861</v>
      </c>
      <c r="D495" s="429">
        <f>IFERROR(MIN('LP Reactivos'!F495,'LP Reactivos'!I495,'LP Reactivos'!N495,'LP Reactivos'!S495,'LP Reactivos'!X495,'LP Reactivos'!AC495,'LP Reactivos'!AH495,'LP Reactivos'!AM495,'LP Reactivos'!AR495,'LP Reactivos'!AW495,'LP Reactivos'!BB495,'LP Reactivos'!BG495,'LP Reactivos'!BL495,'LP Reactivos'!BQ495,'LP Reactivos'!BV495,'LP Reactivos'!CA495,'LP Reactivos'!CF495,'LP Reactivos'!CK495,'LP Reactivos'!CP495,'LP Reactivos'!CU495,'LP Reactivos'!CZ495,'LP Reactivos'!DE495,'LP Reactivos'!DJ495,'LP Reactivos'!DO495,'LP Reactivos'!DT495,'LP Reactivos'!DY495,'LP Reactivos'!EB495)," ")</f>
        <v>333200</v>
      </c>
      <c r="E495" s="429">
        <f>IFERROR(AVERAGE('LP Reactivos'!F495,'LP Reactivos'!I495,'LP Reactivos'!N495,'LP Reactivos'!S495,'LP Reactivos'!X495,'LP Reactivos'!AC495,'LP Reactivos'!AH495,'LP Reactivos'!AM495,'LP Reactivos'!AR495,'LP Reactivos'!AW495,'LP Reactivos'!BB495,'LP Reactivos'!BG495,'LP Reactivos'!BL495,'LP Reactivos'!BQ495,'LP Reactivos'!BV495,'LP Reactivos'!CA495,'LP Reactivos'!CF495,'LP Reactivos'!CK495,'LP Reactivos'!CP495,'LP Reactivos'!CU495,'LP Reactivos'!CZ495,'LP Reactivos'!DE495,'LP Reactivos'!DJ495,'LP Reactivos'!DO495,'LP Reactivos'!DT495,'LP Reactivos'!DY495,'LP Reactivos'!EB495)," ")</f>
        <v>654938.65600000008</v>
      </c>
      <c r="F495" s="345">
        <f>IFERROR(MEDIAN('LP Reactivos'!F495,'LP Reactivos'!I495,'LP Reactivos'!N495,'LP Reactivos'!S495,'LP Reactivos'!X495,'LP Reactivos'!AC495,'LP Reactivos'!AH495,'LP Reactivos'!AM495,'LP Reactivos'!AR495,'LP Reactivos'!AW495,'LP Reactivos'!BB495,'LP Reactivos'!BG495,'LP Reactivos'!BL495,'LP Reactivos'!BQ495,'LP Reactivos'!BV495,'LP Reactivos'!CA495,'LP Reactivos'!CF495,'LP Reactivos'!CK495,'LP Reactivos'!CP495,'LP Reactivos'!CU495,'LP Reactivos'!CZ495,'LP Reactivos'!DE495,'LP Reactivos'!DJ495,'LP Reactivos'!DO495,'LP Reactivos'!DT495,'LP Reactivos'!DY495,'LP Reactivos'!EB495)," ")</f>
        <v>641007.78</v>
      </c>
      <c r="G495" s="345">
        <f>IFERROR(GEOMEAN('LP Reactivos'!F495,'LP Reactivos'!I495,'LP Reactivos'!N495,'LP Reactivos'!S495,'LP Reactivos'!X495,'LP Reactivos'!AC495,'LP Reactivos'!AH495,'LP Reactivos'!AM495,'LP Reactivos'!AR495,'LP Reactivos'!AW495,'LP Reactivos'!BB495,'LP Reactivos'!BG495,'LP Reactivos'!BL495,'LP Reactivos'!BQ495,'LP Reactivos'!BV495,'LP Reactivos'!CA495,'LP Reactivos'!CF495,'LP Reactivos'!CK495,'LP Reactivos'!CP495,'LP Reactivos'!CU495,'LP Reactivos'!CZ495,'LP Reactivos'!DE495,'LP Reactivos'!DJ495,'LP Reactivos'!DO495,'LP Reactivos'!DT495,'LP Reactivos'!DY495,'LP Reactivos'!EB495)," ")</f>
        <v>614959.23770056944</v>
      </c>
      <c r="H495" s="345">
        <f t="shared" si="32"/>
        <v>152785.41869029735</v>
      </c>
      <c r="I495" s="346">
        <f t="shared" si="33"/>
        <v>0.23328202922610408</v>
      </c>
      <c r="J495" s="345">
        <f t="shared" si="34"/>
        <v>614959.23770056944</v>
      </c>
      <c r="K495" s="344" t="str">
        <f t="shared" si="35"/>
        <v>Media Geométrica</v>
      </c>
      <c r="L495" s="326">
        <f>IFERROR(COUNTA('LP Reactivos'!F495,'LP Reactivos'!I495,'LP Reactivos'!N495,'LP Reactivos'!S495,'LP Reactivos'!X495,'LP Reactivos'!AC495,'LP Reactivos'!AH495,'LP Reactivos'!AM495,'LP Reactivos'!AR495,'LP Reactivos'!AW495,'LP Reactivos'!BB495,'LP Reactivos'!BG495,'LP Reactivos'!BL495,'LP Reactivos'!BQ495,'LP Reactivos'!BV495,'LP Reactivos'!CA495,'LP Reactivos'!CF495,'LP Reactivos'!CK495,'LP Reactivos'!CP495,'LP Reactivos'!CU495,'LP Reactivos'!CZ495,'LP Reactivos'!DE495,'LP Reactivos'!DJ495,'LP Reactivos'!DO495,'LP Reactivos'!DT495,'LP Reactivos'!DY495,'LP Reactivos'!EB495)," ")</f>
        <v>5</v>
      </c>
    </row>
    <row r="496" spans="2:12" x14ac:dyDescent="0.25">
      <c r="B496" s="425">
        <v>494</v>
      </c>
      <c r="C496" s="413" t="s">
        <v>2329</v>
      </c>
      <c r="D496" s="429">
        <f>IFERROR(MIN('LP Reactivos'!F496,'LP Reactivos'!I496,'LP Reactivos'!N496,'LP Reactivos'!S496,'LP Reactivos'!X496,'LP Reactivos'!AC496,'LP Reactivos'!AH496,'LP Reactivos'!AM496,'LP Reactivos'!AR496,'LP Reactivos'!AW496,'LP Reactivos'!BB496,'LP Reactivos'!BG496,'LP Reactivos'!BL496,'LP Reactivos'!BQ496,'LP Reactivos'!BV496,'LP Reactivos'!CA496,'LP Reactivos'!CF496,'LP Reactivos'!CK496,'LP Reactivos'!CP496,'LP Reactivos'!CU496,'LP Reactivos'!CZ496,'LP Reactivos'!DE496,'LP Reactivos'!DJ496,'LP Reactivos'!DO496,'LP Reactivos'!DT496,'LP Reactivos'!DY496,'LP Reactivos'!EB496)," ")</f>
        <v>328790</v>
      </c>
      <c r="E496" s="429">
        <f>IFERROR(AVERAGE('LP Reactivos'!F496,'LP Reactivos'!I496,'LP Reactivos'!N496,'LP Reactivos'!S496,'LP Reactivos'!X496,'LP Reactivos'!AC496,'LP Reactivos'!AH496,'LP Reactivos'!AM496,'LP Reactivos'!AR496,'LP Reactivos'!AW496,'LP Reactivos'!BB496,'LP Reactivos'!BG496,'LP Reactivos'!BL496,'LP Reactivos'!BQ496,'LP Reactivos'!BV496,'LP Reactivos'!CA496,'LP Reactivos'!CF496,'LP Reactivos'!CK496,'LP Reactivos'!CP496,'LP Reactivos'!CU496,'LP Reactivos'!CZ496,'LP Reactivos'!DE496,'LP Reactivos'!DJ496,'LP Reactivos'!DO496,'LP Reactivos'!DT496,'LP Reactivos'!DY496,'LP Reactivos'!EB496)," ")</f>
        <v>328790</v>
      </c>
      <c r="F496" s="345">
        <f>IFERROR(MEDIAN('LP Reactivos'!F496,'LP Reactivos'!I496,'LP Reactivos'!N496,'LP Reactivos'!S496,'LP Reactivos'!X496,'LP Reactivos'!AC496,'LP Reactivos'!AH496,'LP Reactivos'!AM496,'LP Reactivos'!AR496,'LP Reactivos'!AW496,'LP Reactivos'!BB496,'LP Reactivos'!BG496,'LP Reactivos'!BL496,'LP Reactivos'!BQ496,'LP Reactivos'!BV496,'LP Reactivos'!CA496,'LP Reactivos'!CF496,'LP Reactivos'!CK496,'LP Reactivos'!CP496,'LP Reactivos'!CU496,'LP Reactivos'!CZ496,'LP Reactivos'!DE496,'LP Reactivos'!DJ496,'LP Reactivos'!DO496,'LP Reactivos'!DT496,'LP Reactivos'!DY496,'LP Reactivos'!EB496)," ")</f>
        <v>328790</v>
      </c>
      <c r="G496" s="345">
        <f>IFERROR(GEOMEAN('LP Reactivos'!F496,'LP Reactivos'!I496,'LP Reactivos'!N496,'LP Reactivos'!S496,'LP Reactivos'!X496,'LP Reactivos'!AC496,'LP Reactivos'!AH496,'LP Reactivos'!AM496,'LP Reactivos'!AR496,'LP Reactivos'!AW496,'LP Reactivos'!BB496,'LP Reactivos'!BG496,'LP Reactivos'!BL496,'LP Reactivos'!BQ496,'LP Reactivos'!BV496,'LP Reactivos'!CA496,'LP Reactivos'!CF496,'LP Reactivos'!CK496,'LP Reactivos'!CP496,'LP Reactivos'!CU496,'LP Reactivos'!CZ496,'LP Reactivos'!DE496,'LP Reactivos'!DJ496,'LP Reactivos'!DO496,'LP Reactivos'!DT496,'LP Reactivos'!DY496,'LP Reactivos'!EB496)," ")</f>
        <v>328790</v>
      </c>
      <c r="H496" s="345">
        <f t="shared" si="32"/>
        <v>0</v>
      </c>
      <c r="I496" s="346">
        <f t="shared" si="33"/>
        <v>0</v>
      </c>
      <c r="J496" s="345">
        <f t="shared" si="34"/>
        <v>328790</v>
      </c>
      <c r="K496" s="344" t="str">
        <f t="shared" si="35"/>
        <v>Menor Valor</v>
      </c>
      <c r="L496" s="326">
        <f>IFERROR(COUNTA('LP Reactivos'!F496,'LP Reactivos'!I496,'LP Reactivos'!N496,'LP Reactivos'!S496,'LP Reactivos'!X496,'LP Reactivos'!AC496,'LP Reactivos'!AH496,'LP Reactivos'!AM496,'LP Reactivos'!AR496,'LP Reactivos'!AW496,'LP Reactivos'!BB496,'LP Reactivos'!BG496,'LP Reactivos'!BL496,'LP Reactivos'!BQ496,'LP Reactivos'!BV496,'LP Reactivos'!CA496,'LP Reactivos'!CF496,'LP Reactivos'!CK496,'LP Reactivos'!CP496,'LP Reactivos'!CU496,'LP Reactivos'!CZ496,'LP Reactivos'!DE496,'LP Reactivos'!DJ496,'LP Reactivos'!DO496,'LP Reactivos'!DT496,'LP Reactivos'!DY496,'LP Reactivos'!EB496)," ")</f>
        <v>1</v>
      </c>
    </row>
    <row r="497" spans="2:12" x14ac:dyDescent="0.25">
      <c r="B497" s="425">
        <v>495</v>
      </c>
      <c r="C497" s="428" t="s">
        <v>2333</v>
      </c>
      <c r="D497" s="429">
        <f>IFERROR(MIN('LP Reactivos'!F497,'LP Reactivos'!I497,'LP Reactivos'!N497,'LP Reactivos'!S497,'LP Reactivos'!X497,'LP Reactivos'!AC497,'LP Reactivos'!AH497,'LP Reactivos'!AM497,'LP Reactivos'!AR497,'LP Reactivos'!AW497,'LP Reactivos'!BB497,'LP Reactivos'!BG497,'LP Reactivos'!BL497,'LP Reactivos'!BQ497,'LP Reactivos'!BV497,'LP Reactivos'!CA497,'LP Reactivos'!CF497,'LP Reactivos'!CK497,'LP Reactivos'!CP497,'LP Reactivos'!CU497,'LP Reactivos'!CZ497,'LP Reactivos'!DE497,'LP Reactivos'!DJ497,'LP Reactivos'!DO497,'LP Reactivos'!DT497,'LP Reactivos'!DY497,'LP Reactivos'!EB497)," ")</f>
        <v>3153500</v>
      </c>
      <c r="E497" s="429">
        <f>IFERROR(AVERAGE('LP Reactivos'!F497,'LP Reactivos'!I497,'LP Reactivos'!N497,'LP Reactivos'!S497,'LP Reactivos'!X497,'LP Reactivos'!AC497,'LP Reactivos'!AH497,'LP Reactivos'!AM497,'LP Reactivos'!AR497,'LP Reactivos'!AW497,'LP Reactivos'!BB497,'LP Reactivos'!BG497,'LP Reactivos'!BL497,'LP Reactivos'!BQ497,'LP Reactivos'!BV497,'LP Reactivos'!CA497,'LP Reactivos'!CF497,'LP Reactivos'!CK497,'LP Reactivos'!CP497,'LP Reactivos'!CU497,'LP Reactivos'!CZ497,'LP Reactivos'!DE497,'LP Reactivos'!DJ497,'LP Reactivos'!DO497,'LP Reactivos'!DT497,'LP Reactivos'!DY497,'LP Reactivos'!EB497)," ")</f>
        <v>3153500</v>
      </c>
      <c r="F497" s="345">
        <f>IFERROR(MEDIAN('LP Reactivos'!F497,'LP Reactivos'!I497,'LP Reactivos'!N497,'LP Reactivos'!S497,'LP Reactivos'!X497,'LP Reactivos'!AC497,'LP Reactivos'!AH497,'LP Reactivos'!AM497,'LP Reactivos'!AR497,'LP Reactivos'!AW497,'LP Reactivos'!BB497,'LP Reactivos'!BG497,'LP Reactivos'!BL497,'LP Reactivos'!BQ497,'LP Reactivos'!BV497,'LP Reactivos'!CA497,'LP Reactivos'!CF497,'LP Reactivos'!CK497,'LP Reactivos'!CP497,'LP Reactivos'!CU497,'LP Reactivos'!CZ497,'LP Reactivos'!DE497,'LP Reactivos'!DJ497,'LP Reactivos'!DO497,'LP Reactivos'!DT497,'LP Reactivos'!DY497,'LP Reactivos'!EB497)," ")</f>
        <v>3153500</v>
      </c>
      <c r="G497" s="345">
        <f>IFERROR(GEOMEAN('LP Reactivos'!F497,'LP Reactivos'!I497,'LP Reactivos'!N497,'LP Reactivos'!S497,'LP Reactivos'!X497,'LP Reactivos'!AC497,'LP Reactivos'!AH497,'LP Reactivos'!AM497,'LP Reactivos'!AR497,'LP Reactivos'!AW497,'LP Reactivos'!BB497,'LP Reactivos'!BG497,'LP Reactivos'!BL497,'LP Reactivos'!BQ497,'LP Reactivos'!BV497,'LP Reactivos'!CA497,'LP Reactivos'!CF497,'LP Reactivos'!CK497,'LP Reactivos'!CP497,'LP Reactivos'!CU497,'LP Reactivos'!CZ497,'LP Reactivos'!DE497,'LP Reactivos'!DJ497,'LP Reactivos'!DO497,'LP Reactivos'!DT497,'LP Reactivos'!DY497,'LP Reactivos'!EB497)," ")</f>
        <v>3153500</v>
      </c>
      <c r="H497" s="345">
        <f t="shared" si="32"/>
        <v>0</v>
      </c>
      <c r="I497" s="346">
        <f t="shared" si="33"/>
        <v>0</v>
      </c>
      <c r="J497" s="345">
        <f t="shared" si="34"/>
        <v>3153500</v>
      </c>
      <c r="K497" s="344" t="str">
        <f t="shared" si="35"/>
        <v>Menor Valor</v>
      </c>
      <c r="L497" s="326">
        <f>IFERROR(COUNTA('LP Reactivos'!F497,'LP Reactivos'!I497,'LP Reactivos'!N497,'LP Reactivos'!S497,'LP Reactivos'!X497,'LP Reactivos'!AC497,'LP Reactivos'!AH497,'LP Reactivos'!AM497,'LP Reactivos'!AR497,'LP Reactivos'!AW497,'LP Reactivos'!BB497,'LP Reactivos'!BG497,'LP Reactivos'!BL497,'LP Reactivos'!BQ497,'LP Reactivos'!BV497,'LP Reactivos'!CA497,'LP Reactivos'!CF497,'LP Reactivos'!CK497,'LP Reactivos'!CP497,'LP Reactivos'!CU497,'LP Reactivos'!CZ497,'LP Reactivos'!DE497,'LP Reactivos'!DJ497,'LP Reactivos'!DO497,'LP Reactivos'!DT497,'LP Reactivos'!DY497,'LP Reactivos'!EB497)," ")</f>
        <v>1</v>
      </c>
    </row>
    <row r="498" spans="2:12" x14ac:dyDescent="0.25">
      <c r="B498" s="425">
        <v>496</v>
      </c>
      <c r="C498" s="427" t="s">
        <v>2338</v>
      </c>
      <c r="D498" s="429">
        <f>IFERROR(MIN('LP Reactivos'!F498,'LP Reactivos'!I498,'LP Reactivos'!N498,'LP Reactivos'!S498,'LP Reactivos'!X498,'LP Reactivos'!AC498,'LP Reactivos'!AH498,'LP Reactivos'!AM498,'LP Reactivos'!AR498,'LP Reactivos'!AW498,'LP Reactivos'!BB498,'LP Reactivos'!BG498,'LP Reactivos'!BL498,'LP Reactivos'!BQ498,'LP Reactivos'!BV498,'LP Reactivos'!CA498,'LP Reactivos'!CF498,'LP Reactivos'!CK498,'LP Reactivos'!CP498,'LP Reactivos'!CU498,'LP Reactivos'!CZ498,'LP Reactivos'!DE498,'LP Reactivos'!DJ498,'LP Reactivos'!DO498,'LP Reactivos'!DT498,'LP Reactivos'!DY498,'LP Reactivos'!EB498)," ")</f>
        <v>234430</v>
      </c>
      <c r="E498" s="429">
        <f>IFERROR(AVERAGE('LP Reactivos'!F498,'LP Reactivos'!I498,'LP Reactivos'!N498,'LP Reactivos'!S498,'LP Reactivos'!X498,'LP Reactivos'!AC498,'LP Reactivos'!AH498,'LP Reactivos'!AM498,'LP Reactivos'!AR498,'LP Reactivos'!AW498,'LP Reactivos'!BB498,'LP Reactivos'!BG498,'LP Reactivos'!BL498,'LP Reactivos'!BQ498,'LP Reactivos'!BV498,'LP Reactivos'!CA498,'LP Reactivos'!CF498,'LP Reactivos'!CK498,'LP Reactivos'!CP498,'LP Reactivos'!CU498,'LP Reactivos'!CZ498,'LP Reactivos'!DE498,'LP Reactivos'!DJ498,'LP Reactivos'!DO498,'LP Reactivos'!DT498,'LP Reactivos'!DY498,'LP Reactivos'!EB498)," ")</f>
        <v>365097.23810000002</v>
      </c>
      <c r="F498" s="345">
        <f>IFERROR(MEDIAN('LP Reactivos'!F498,'LP Reactivos'!I498,'LP Reactivos'!N498,'LP Reactivos'!S498,'LP Reactivos'!X498,'LP Reactivos'!AC498,'LP Reactivos'!AH498,'LP Reactivos'!AM498,'LP Reactivos'!AR498,'LP Reactivos'!AW498,'LP Reactivos'!BB498,'LP Reactivos'!BG498,'LP Reactivos'!BL498,'LP Reactivos'!BQ498,'LP Reactivos'!BV498,'LP Reactivos'!CA498,'LP Reactivos'!CF498,'LP Reactivos'!CK498,'LP Reactivos'!CP498,'LP Reactivos'!CU498,'LP Reactivos'!CZ498,'LP Reactivos'!DE498,'LP Reactivos'!DJ498,'LP Reactivos'!DO498,'LP Reactivos'!DT498,'LP Reactivos'!DY498,'LP Reactivos'!EB498)," ")</f>
        <v>300296.47620000003</v>
      </c>
      <c r="G498" s="345">
        <f>IFERROR(GEOMEAN('LP Reactivos'!F498,'LP Reactivos'!I498,'LP Reactivos'!N498,'LP Reactivos'!S498,'LP Reactivos'!X498,'LP Reactivos'!AC498,'LP Reactivos'!AH498,'LP Reactivos'!AM498,'LP Reactivos'!AR498,'LP Reactivos'!AW498,'LP Reactivos'!BB498,'LP Reactivos'!BG498,'LP Reactivos'!BL498,'LP Reactivos'!BQ498,'LP Reactivos'!BV498,'LP Reactivos'!CA498,'LP Reactivos'!CF498,'LP Reactivos'!CK498,'LP Reactivos'!CP498,'LP Reactivos'!CU498,'LP Reactivos'!CZ498,'LP Reactivos'!DE498,'LP Reactivos'!DJ498,'LP Reactivos'!DO498,'LP Reactivos'!DT498,'LP Reactivos'!DY498,'LP Reactivos'!EB498)," ")</f>
        <v>337049.78468980646</v>
      </c>
      <c r="H498" s="345">
        <f t="shared" si="32"/>
        <v>56479.896187370607</v>
      </c>
      <c r="I498" s="346">
        <f t="shared" si="33"/>
        <v>0.15469822911095477</v>
      </c>
      <c r="J498" s="345">
        <f t="shared" si="34"/>
        <v>365097.23810000002</v>
      </c>
      <c r="K498" s="344" t="str">
        <f t="shared" si="35"/>
        <v>Promedio</v>
      </c>
      <c r="L498" s="326">
        <f>IFERROR(COUNTA('LP Reactivos'!F498,'LP Reactivos'!I498,'LP Reactivos'!N498,'LP Reactivos'!S498,'LP Reactivos'!X498,'LP Reactivos'!AC498,'LP Reactivos'!AH498,'LP Reactivos'!AM498,'LP Reactivos'!AR498,'LP Reactivos'!AW498,'LP Reactivos'!BB498,'LP Reactivos'!BG498,'LP Reactivos'!BL498,'LP Reactivos'!BQ498,'LP Reactivos'!BV498,'LP Reactivos'!CA498,'LP Reactivos'!CF498,'LP Reactivos'!CK498,'LP Reactivos'!CP498,'LP Reactivos'!CU498,'LP Reactivos'!CZ498,'LP Reactivos'!DE498,'LP Reactivos'!DJ498,'LP Reactivos'!DO498,'LP Reactivos'!DT498,'LP Reactivos'!DY498,'LP Reactivos'!EB498)," ")</f>
        <v>4</v>
      </c>
    </row>
    <row r="499" spans="2:12" ht="27" x14ac:dyDescent="0.25">
      <c r="B499" s="425">
        <v>497</v>
      </c>
      <c r="C499" s="413" t="s">
        <v>2341</v>
      </c>
      <c r="D499" s="429">
        <f>IFERROR(MIN('LP Reactivos'!F499,'LP Reactivos'!I499,'LP Reactivos'!N499,'LP Reactivos'!S499,'LP Reactivos'!X499,'LP Reactivos'!AC499,'LP Reactivos'!AH499,'LP Reactivos'!AM499,'LP Reactivos'!AR499,'LP Reactivos'!AW499,'LP Reactivos'!BB499,'LP Reactivos'!BG499,'LP Reactivos'!BL499,'LP Reactivos'!BQ499,'LP Reactivos'!BV499,'LP Reactivos'!CA499,'LP Reactivos'!CF499,'LP Reactivos'!CK499,'LP Reactivos'!CP499,'LP Reactivos'!CU499,'LP Reactivos'!CZ499,'LP Reactivos'!DE499,'LP Reactivos'!DJ499,'LP Reactivos'!DO499,'LP Reactivos'!DT499,'LP Reactivos'!DY499,'LP Reactivos'!EB499)," ")</f>
        <v>2281</v>
      </c>
      <c r="E499" s="429">
        <f>IFERROR(AVERAGE('LP Reactivos'!F499,'LP Reactivos'!I499,'LP Reactivos'!N499,'LP Reactivos'!S499,'LP Reactivos'!X499,'LP Reactivos'!AC499,'LP Reactivos'!AH499,'LP Reactivos'!AM499,'LP Reactivos'!AR499,'LP Reactivos'!AW499,'LP Reactivos'!BB499,'LP Reactivos'!BG499,'LP Reactivos'!BL499,'LP Reactivos'!BQ499,'LP Reactivos'!BV499,'LP Reactivos'!CA499,'LP Reactivos'!CF499,'LP Reactivos'!CK499,'LP Reactivos'!CP499,'LP Reactivos'!CU499,'LP Reactivos'!CZ499,'LP Reactivos'!DE499,'LP Reactivos'!DJ499,'LP Reactivos'!DO499,'LP Reactivos'!DT499,'LP Reactivos'!DY499,'LP Reactivos'!EB499)," ")</f>
        <v>3292.02</v>
      </c>
      <c r="F499" s="345">
        <f>IFERROR(MEDIAN('LP Reactivos'!F499,'LP Reactivos'!I499,'LP Reactivos'!N499,'LP Reactivos'!S499,'LP Reactivos'!X499,'LP Reactivos'!AC499,'LP Reactivos'!AH499,'LP Reactivos'!AM499,'LP Reactivos'!AR499,'LP Reactivos'!AW499,'LP Reactivos'!BB499,'LP Reactivos'!BG499,'LP Reactivos'!BL499,'LP Reactivos'!BQ499,'LP Reactivos'!BV499,'LP Reactivos'!CA499,'LP Reactivos'!CF499,'LP Reactivos'!CK499,'LP Reactivos'!CP499,'LP Reactivos'!CU499,'LP Reactivos'!CZ499,'LP Reactivos'!DE499,'LP Reactivos'!DJ499,'LP Reactivos'!DO499,'LP Reactivos'!DT499,'LP Reactivos'!DY499,'LP Reactivos'!EB499)," ")</f>
        <v>3292.02</v>
      </c>
      <c r="G499" s="345">
        <f>IFERROR(GEOMEAN('LP Reactivos'!F499,'LP Reactivos'!I499,'LP Reactivos'!N499,'LP Reactivos'!S499,'LP Reactivos'!X499,'LP Reactivos'!AC499,'LP Reactivos'!AH499,'LP Reactivos'!AM499,'LP Reactivos'!AR499,'LP Reactivos'!AW499,'LP Reactivos'!BB499,'LP Reactivos'!BG499,'LP Reactivos'!BL499,'LP Reactivos'!BQ499,'LP Reactivos'!BV499,'LP Reactivos'!CA499,'LP Reactivos'!CF499,'LP Reactivos'!CK499,'LP Reactivos'!CP499,'LP Reactivos'!CU499,'LP Reactivos'!CZ499,'LP Reactivos'!DE499,'LP Reactivos'!DJ499,'LP Reactivos'!DO499,'LP Reactivos'!DT499,'LP Reactivos'!DY499,'LP Reactivos'!EB499)," ")</f>
        <v>3132.9274233534361</v>
      </c>
      <c r="H499" s="345">
        <f t="shared" si="32"/>
        <v>484.83022039934264</v>
      </c>
      <c r="I499" s="346">
        <f t="shared" si="33"/>
        <v>0.14727438484557889</v>
      </c>
      <c r="J499" s="345">
        <f t="shared" si="34"/>
        <v>3292.02</v>
      </c>
      <c r="K499" s="344" t="str">
        <f t="shared" si="35"/>
        <v>Promedio</v>
      </c>
      <c r="L499" s="326">
        <f>IFERROR(COUNTA('LP Reactivos'!F499,'LP Reactivos'!I499,'LP Reactivos'!N499,'LP Reactivos'!S499,'LP Reactivos'!X499,'LP Reactivos'!AC499,'LP Reactivos'!AH499,'LP Reactivos'!AM499,'LP Reactivos'!AR499,'LP Reactivos'!AW499,'LP Reactivos'!BB499,'LP Reactivos'!BG499,'LP Reactivos'!BL499,'LP Reactivos'!BQ499,'LP Reactivos'!BV499,'LP Reactivos'!CA499,'LP Reactivos'!CF499,'LP Reactivos'!CK499,'LP Reactivos'!CP499,'LP Reactivos'!CU499,'LP Reactivos'!CZ499,'LP Reactivos'!DE499,'LP Reactivos'!DJ499,'LP Reactivos'!DO499,'LP Reactivos'!DT499,'LP Reactivos'!DY499,'LP Reactivos'!EB499)," ")</f>
        <v>2</v>
      </c>
    </row>
    <row r="500" spans="2:12" x14ac:dyDescent="0.25">
      <c r="B500" s="425">
        <v>498</v>
      </c>
      <c r="C500" s="427" t="s">
        <v>2345</v>
      </c>
      <c r="D500" s="429">
        <f>IFERROR(MIN('LP Reactivos'!F500,'LP Reactivos'!I500,'LP Reactivos'!N500,'LP Reactivos'!S500,'LP Reactivos'!X500,'LP Reactivos'!AC500,'LP Reactivos'!AH500,'LP Reactivos'!AM500,'LP Reactivos'!AR500,'LP Reactivos'!AW500,'LP Reactivos'!BB500,'LP Reactivos'!BG500,'LP Reactivos'!BL500,'LP Reactivos'!BQ500,'LP Reactivos'!BV500,'LP Reactivos'!CA500,'LP Reactivos'!CF500,'LP Reactivos'!CK500,'LP Reactivos'!CP500,'LP Reactivos'!CU500,'LP Reactivos'!CZ500,'LP Reactivos'!DE500,'LP Reactivos'!DJ500,'LP Reactivos'!DO500,'LP Reactivos'!DT500,'LP Reactivos'!DY500,'LP Reactivos'!EB500)," ")</f>
        <v>609875</v>
      </c>
      <c r="E500" s="429">
        <f>IFERROR(AVERAGE('LP Reactivos'!F500,'LP Reactivos'!I500,'LP Reactivos'!N500,'LP Reactivos'!S500,'LP Reactivos'!X500,'LP Reactivos'!AC500,'LP Reactivos'!AH500,'LP Reactivos'!AM500,'LP Reactivos'!AR500,'LP Reactivos'!AW500,'LP Reactivos'!BB500,'LP Reactivos'!BG500,'LP Reactivos'!BL500,'LP Reactivos'!BQ500,'LP Reactivos'!BV500,'LP Reactivos'!CA500,'LP Reactivos'!CF500,'LP Reactivos'!CK500,'LP Reactivos'!CP500,'LP Reactivos'!CU500,'LP Reactivos'!CZ500,'LP Reactivos'!DE500,'LP Reactivos'!DJ500,'LP Reactivos'!DO500,'LP Reactivos'!DT500,'LP Reactivos'!DY500,'LP Reactivos'!EB500)," ")</f>
        <v>975937.36866666668</v>
      </c>
      <c r="F500" s="345">
        <f>IFERROR(MEDIAN('LP Reactivos'!F500,'LP Reactivos'!I500,'LP Reactivos'!N500,'LP Reactivos'!S500,'LP Reactivos'!X500,'LP Reactivos'!AC500,'LP Reactivos'!AH500,'LP Reactivos'!AM500,'LP Reactivos'!AR500,'LP Reactivos'!AW500,'LP Reactivos'!BB500,'LP Reactivos'!BG500,'LP Reactivos'!BL500,'LP Reactivos'!BQ500,'LP Reactivos'!BV500,'LP Reactivos'!CA500,'LP Reactivos'!CF500,'LP Reactivos'!CK500,'LP Reactivos'!CP500,'LP Reactivos'!CU500,'LP Reactivos'!CZ500,'LP Reactivos'!DE500,'LP Reactivos'!DJ500,'LP Reactivos'!DO500,'LP Reactivos'!DT500,'LP Reactivos'!DY500,'LP Reactivos'!EB500)," ")</f>
        <v>987105</v>
      </c>
      <c r="G500" s="345">
        <f>IFERROR(GEOMEAN('LP Reactivos'!F500,'LP Reactivos'!I500,'LP Reactivos'!N500,'LP Reactivos'!S500,'LP Reactivos'!X500,'LP Reactivos'!AC500,'LP Reactivos'!AH500,'LP Reactivos'!AM500,'LP Reactivos'!AR500,'LP Reactivos'!AW500,'LP Reactivos'!BB500,'LP Reactivos'!BG500,'LP Reactivos'!BL500,'LP Reactivos'!BQ500,'LP Reactivos'!BV500,'LP Reactivos'!CA500,'LP Reactivos'!CF500,'LP Reactivos'!CK500,'LP Reactivos'!CP500,'LP Reactivos'!CU500,'LP Reactivos'!CZ500,'LP Reactivos'!DE500,'LP Reactivos'!DJ500,'LP Reactivos'!DO500,'LP Reactivos'!DT500,'LP Reactivos'!DY500,'LP Reactivos'!EB500)," ")</f>
        <v>945498.77610901464</v>
      </c>
      <c r="H500" s="345">
        <f t="shared" si="32"/>
        <v>180676.91042218579</v>
      </c>
      <c r="I500" s="346">
        <f t="shared" si="33"/>
        <v>0.18513166543569082</v>
      </c>
      <c r="J500" s="345">
        <f t="shared" si="34"/>
        <v>975937.36866666668</v>
      </c>
      <c r="K500" s="344" t="str">
        <f t="shared" si="35"/>
        <v>Promedio</v>
      </c>
      <c r="L500" s="326">
        <f>IFERROR(COUNTA('LP Reactivos'!F500,'LP Reactivos'!I500,'LP Reactivos'!N500,'LP Reactivos'!S500,'LP Reactivos'!X500,'LP Reactivos'!AC500,'LP Reactivos'!AH500,'LP Reactivos'!AM500,'LP Reactivos'!AR500,'LP Reactivos'!AW500,'LP Reactivos'!BB500,'LP Reactivos'!BG500,'LP Reactivos'!BL500,'LP Reactivos'!BQ500,'LP Reactivos'!BV500,'LP Reactivos'!CA500,'LP Reactivos'!CF500,'LP Reactivos'!CK500,'LP Reactivos'!CP500,'LP Reactivos'!CU500,'LP Reactivos'!CZ500,'LP Reactivos'!DE500,'LP Reactivos'!DJ500,'LP Reactivos'!DO500,'LP Reactivos'!DT500,'LP Reactivos'!DY500,'LP Reactivos'!EB500)," ")</f>
        <v>6</v>
      </c>
    </row>
    <row r="501" spans="2:12" ht="40.5" x14ac:dyDescent="0.25">
      <c r="B501" s="425">
        <v>499</v>
      </c>
      <c r="C501" s="413" t="s">
        <v>2350</v>
      </c>
      <c r="D501" s="429">
        <f>IFERROR(MIN('LP Reactivos'!F501,'LP Reactivos'!I501,'LP Reactivos'!N501,'LP Reactivos'!S501,'LP Reactivos'!X501,'LP Reactivos'!AC501,'LP Reactivos'!AH501,'LP Reactivos'!AM501,'LP Reactivos'!AR501,'LP Reactivos'!AW501,'LP Reactivos'!BB501,'LP Reactivos'!BG501,'LP Reactivos'!BL501,'LP Reactivos'!BQ501,'LP Reactivos'!BV501,'LP Reactivos'!CA501,'LP Reactivos'!CF501,'LP Reactivos'!CK501,'LP Reactivos'!CP501,'LP Reactivos'!CU501,'LP Reactivos'!CZ501,'LP Reactivos'!DE501,'LP Reactivos'!DJ501,'LP Reactivos'!DO501,'LP Reactivos'!DT501,'LP Reactivos'!DY501,'LP Reactivos'!EB501)," ")</f>
        <v>353000</v>
      </c>
      <c r="E501" s="429">
        <f>IFERROR(AVERAGE('LP Reactivos'!F501,'LP Reactivos'!I501,'LP Reactivos'!N501,'LP Reactivos'!S501,'LP Reactivos'!X501,'LP Reactivos'!AC501,'LP Reactivos'!AH501,'LP Reactivos'!AM501,'LP Reactivos'!AR501,'LP Reactivos'!AW501,'LP Reactivos'!BB501,'LP Reactivos'!BG501,'LP Reactivos'!BL501,'LP Reactivos'!BQ501,'LP Reactivos'!BV501,'LP Reactivos'!CA501,'LP Reactivos'!CF501,'LP Reactivos'!CK501,'LP Reactivos'!CP501,'LP Reactivos'!CU501,'LP Reactivos'!CZ501,'LP Reactivos'!DE501,'LP Reactivos'!DJ501,'LP Reactivos'!DO501,'LP Reactivos'!DT501,'LP Reactivos'!DY501,'LP Reactivos'!EB501)," ")</f>
        <v>353000</v>
      </c>
      <c r="F501" s="345">
        <f>IFERROR(MEDIAN('LP Reactivos'!F501,'LP Reactivos'!I501,'LP Reactivos'!N501,'LP Reactivos'!S501,'LP Reactivos'!X501,'LP Reactivos'!AC501,'LP Reactivos'!AH501,'LP Reactivos'!AM501,'LP Reactivos'!AR501,'LP Reactivos'!AW501,'LP Reactivos'!BB501,'LP Reactivos'!BG501,'LP Reactivos'!BL501,'LP Reactivos'!BQ501,'LP Reactivos'!BV501,'LP Reactivos'!CA501,'LP Reactivos'!CF501,'LP Reactivos'!CK501,'LP Reactivos'!CP501,'LP Reactivos'!CU501,'LP Reactivos'!CZ501,'LP Reactivos'!DE501,'LP Reactivos'!DJ501,'LP Reactivos'!DO501,'LP Reactivos'!DT501,'LP Reactivos'!DY501,'LP Reactivos'!EB501)," ")</f>
        <v>353000</v>
      </c>
      <c r="G501" s="345">
        <f>IFERROR(GEOMEAN('LP Reactivos'!F501,'LP Reactivos'!I501,'LP Reactivos'!N501,'LP Reactivos'!S501,'LP Reactivos'!X501,'LP Reactivos'!AC501,'LP Reactivos'!AH501,'LP Reactivos'!AM501,'LP Reactivos'!AR501,'LP Reactivos'!AW501,'LP Reactivos'!BB501,'LP Reactivos'!BG501,'LP Reactivos'!BL501,'LP Reactivos'!BQ501,'LP Reactivos'!BV501,'LP Reactivos'!CA501,'LP Reactivos'!CF501,'LP Reactivos'!CK501,'LP Reactivos'!CP501,'LP Reactivos'!CU501,'LP Reactivos'!CZ501,'LP Reactivos'!DE501,'LP Reactivos'!DJ501,'LP Reactivos'!DO501,'LP Reactivos'!DT501,'LP Reactivos'!DY501,'LP Reactivos'!EB501)," ")</f>
        <v>353000</v>
      </c>
      <c r="H501" s="345">
        <f t="shared" si="32"/>
        <v>0</v>
      </c>
      <c r="I501" s="346">
        <f t="shared" si="33"/>
        <v>0</v>
      </c>
      <c r="J501" s="345">
        <f t="shared" si="34"/>
        <v>353000</v>
      </c>
      <c r="K501" s="344" t="str">
        <f t="shared" si="35"/>
        <v>Menor Valor</v>
      </c>
      <c r="L501" s="326">
        <f>IFERROR(COUNTA('LP Reactivos'!F501,'LP Reactivos'!I501,'LP Reactivos'!N501,'LP Reactivos'!S501,'LP Reactivos'!X501,'LP Reactivos'!AC501,'LP Reactivos'!AH501,'LP Reactivos'!AM501,'LP Reactivos'!AR501,'LP Reactivos'!AW501,'LP Reactivos'!BB501,'LP Reactivos'!BG501,'LP Reactivos'!BL501,'LP Reactivos'!BQ501,'LP Reactivos'!BV501,'LP Reactivos'!CA501,'LP Reactivos'!CF501,'LP Reactivos'!CK501,'LP Reactivos'!CP501,'LP Reactivos'!CU501,'LP Reactivos'!CZ501,'LP Reactivos'!DE501,'LP Reactivos'!DJ501,'LP Reactivos'!DO501,'LP Reactivos'!DT501,'LP Reactivos'!DY501,'LP Reactivos'!EB501)," ")</f>
        <v>1</v>
      </c>
    </row>
    <row r="502" spans="2:12" ht="67.5" x14ac:dyDescent="0.25">
      <c r="B502" s="425">
        <v>500</v>
      </c>
      <c r="C502" s="427" t="s">
        <v>2354</v>
      </c>
      <c r="D502" s="429">
        <f>IFERROR(MIN('LP Reactivos'!F502,'LP Reactivos'!I502,'LP Reactivos'!N502,'LP Reactivos'!S502,'LP Reactivos'!X502,'LP Reactivos'!AC502,'LP Reactivos'!AH502,'LP Reactivos'!AM502,'LP Reactivos'!AR502,'LP Reactivos'!AW502,'LP Reactivos'!BB502,'LP Reactivos'!BG502,'LP Reactivos'!BL502,'LP Reactivos'!BQ502,'LP Reactivos'!BV502,'LP Reactivos'!CA502,'LP Reactivos'!CF502,'LP Reactivos'!CK502,'LP Reactivos'!CP502,'LP Reactivos'!CU502,'LP Reactivos'!CZ502,'LP Reactivos'!DE502,'LP Reactivos'!DJ502,'LP Reactivos'!DO502,'LP Reactivos'!DT502,'LP Reactivos'!DY502,'LP Reactivos'!EB502)," ")</f>
        <v>1516963.0252</v>
      </c>
      <c r="E502" s="429">
        <f>IFERROR(AVERAGE('LP Reactivos'!F502,'LP Reactivos'!I502,'LP Reactivos'!N502,'LP Reactivos'!S502,'LP Reactivos'!X502,'LP Reactivos'!AC502,'LP Reactivos'!AH502,'LP Reactivos'!AM502,'LP Reactivos'!AR502,'LP Reactivos'!AW502,'LP Reactivos'!BB502,'LP Reactivos'!BG502,'LP Reactivos'!BL502,'LP Reactivos'!BQ502,'LP Reactivos'!BV502,'LP Reactivos'!CA502,'LP Reactivos'!CF502,'LP Reactivos'!CK502,'LP Reactivos'!CP502,'LP Reactivos'!CU502,'LP Reactivos'!CZ502,'LP Reactivos'!DE502,'LP Reactivos'!DJ502,'LP Reactivos'!DO502,'LP Reactivos'!DT502,'LP Reactivos'!DY502,'LP Reactivos'!EB502)," ")</f>
        <v>1516963.0252</v>
      </c>
      <c r="F502" s="345">
        <f>IFERROR(MEDIAN('LP Reactivos'!F502,'LP Reactivos'!I502,'LP Reactivos'!N502,'LP Reactivos'!S502,'LP Reactivos'!X502,'LP Reactivos'!AC502,'LP Reactivos'!AH502,'LP Reactivos'!AM502,'LP Reactivos'!AR502,'LP Reactivos'!AW502,'LP Reactivos'!BB502,'LP Reactivos'!BG502,'LP Reactivos'!BL502,'LP Reactivos'!BQ502,'LP Reactivos'!BV502,'LP Reactivos'!CA502,'LP Reactivos'!CF502,'LP Reactivos'!CK502,'LP Reactivos'!CP502,'LP Reactivos'!CU502,'LP Reactivos'!CZ502,'LP Reactivos'!DE502,'LP Reactivos'!DJ502,'LP Reactivos'!DO502,'LP Reactivos'!DT502,'LP Reactivos'!DY502,'LP Reactivos'!EB502)," ")</f>
        <v>1516963.0252</v>
      </c>
      <c r="G502" s="345">
        <f>IFERROR(GEOMEAN('LP Reactivos'!F502,'LP Reactivos'!I502,'LP Reactivos'!N502,'LP Reactivos'!S502,'LP Reactivos'!X502,'LP Reactivos'!AC502,'LP Reactivos'!AH502,'LP Reactivos'!AM502,'LP Reactivos'!AR502,'LP Reactivos'!AW502,'LP Reactivos'!BB502,'LP Reactivos'!BG502,'LP Reactivos'!BL502,'LP Reactivos'!BQ502,'LP Reactivos'!BV502,'LP Reactivos'!CA502,'LP Reactivos'!CF502,'LP Reactivos'!CK502,'LP Reactivos'!CP502,'LP Reactivos'!CU502,'LP Reactivos'!CZ502,'LP Reactivos'!DE502,'LP Reactivos'!DJ502,'LP Reactivos'!DO502,'LP Reactivos'!DT502,'LP Reactivos'!DY502,'LP Reactivos'!EB502)," ")</f>
        <v>1516963.0252</v>
      </c>
      <c r="H502" s="345">
        <f t="shared" si="32"/>
        <v>0</v>
      </c>
      <c r="I502" s="346">
        <f t="shared" si="33"/>
        <v>0</v>
      </c>
      <c r="J502" s="345">
        <f t="shared" si="34"/>
        <v>1516963.0252</v>
      </c>
      <c r="K502" s="344" t="str">
        <f t="shared" si="35"/>
        <v>Menor Valor</v>
      </c>
      <c r="L502" s="326">
        <f>IFERROR(COUNTA('LP Reactivos'!F502,'LP Reactivos'!I502,'LP Reactivos'!N502,'LP Reactivos'!S502,'LP Reactivos'!X502,'LP Reactivos'!AC502,'LP Reactivos'!AH502,'LP Reactivos'!AM502,'LP Reactivos'!AR502,'LP Reactivos'!AW502,'LP Reactivos'!BB502,'LP Reactivos'!BG502,'LP Reactivos'!BL502,'LP Reactivos'!BQ502,'LP Reactivos'!BV502,'LP Reactivos'!CA502,'LP Reactivos'!CF502,'LP Reactivos'!CK502,'LP Reactivos'!CP502,'LP Reactivos'!CU502,'LP Reactivos'!CZ502,'LP Reactivos'!DE502,'LP Reactivos'!DJ502,'LP Reactivos'!DO502,'LP Reactivos'!DT502,'LP Reactivos'!DY502,'LP Reactivos'!EB502)," ")</f>
        <v>1</v>
      </c>
    </row>
    <row r="503" spans="2:12" ht="27" x14ac:dyDescent="0.25">
      <c r="B503" s="425">
        <v>501</v>
      </c>
      <c r="C503" s="427" t="s">
        <v>2357</v>
      </c>
      <c r="D503" s="429">
        <f>IFERROR(MIN('LP Reactivos'!F503,'LP Reactivos'!I503,'LP Reactivos'!N503,'LP Reactivos'!S503,'LP Reactivos'!X503,'LP Reactivos'!AC503,'LP Reactivos'!AH503,'LP Reactivos'!AM503,'LP Reactivos'!AR503,'LP Reactivos'!AW503,'LP Reactivos'!BB503,'LP Reactivos'!BG503,'LP Reactivos'!BL503,'LP Reactivos'!BQ503,'LP Reactivos'!BV503,'LP Reactivos'!CA503,'LP Reactivos'!CF503,'LP Reactivos'!CK503,'LP Reactivos'!CP503,'LP Reactivos'!CU503,'LP Reactivos'!CZ503,'LP Reactivos'!DE503,'LP Reactivos'!DJ503,'LP Reactivos'!DO503,'LP Reactivos'!DT503,'LP Reactivos'!DY503,'LP Reactivos'!EB503)," ")</f>
        <v>1676675.2520000001</v>
      </c>
      <c r="E503" s="429">
        <f>IFERROR(AVERAGE('LP Reactivos'!F503,'LP Reactivos'!I503,'LP Reactivos'!N503,'LP Reactivos'!S503,'LP Reactivos'!X503,'LP Reactivos'!AC503,'LP Reactivos'!AH503,'LP Reactivos'!AM503,'LP Reactivos'!AR503,'LP Reactivos'!AW503,'LP Reactivos'!BB503,'LP Reactivos'!BG503,'LP Reactivos'!BL503,'LP Reactivos'!BQ503,'LP Reactivos'!BV503,'LP Reactivos'!CA503,'LP Reactivos'!CF503,'LP Reactivos'!CK503,'LP Reactivos'!CP503,'LP Reactivos'!CU503,'LP Reactivos'!CZ503,'LP Reactivos'!DE503,'LP Reactivos'!DJ503,'LP Reactivos'!DO503,'LP Reactivos'!DT503,'LP Reactivos'!DY503,'LP Reactivos'!EB503)," ")</f>
        <v>1887917.6260000002</v>
      </c>
      <c r="F503" s="345">
        <f>IFERROR(MEDIAN('LP Reactivos'!F503,'LP Reactivos'!I503,'LP Reactivos'!N503,'LP Reactivos'!S503,'LP Reactivos'!X503,'LP Reactivos'!AC503,'LP Reactivos'!AH503,'LP Reactivos'!AM503,'LP Reactivos'!AR503,'LP Reactivos'!AW503,'LP Reactivos'!BB503,'LP Reactivos'!BG503,'LP Reactivos'!BL503,'LP Reactivos'!BQ503,'LP Reactivos'!BV503,'LP Reactivos'!CA503,'LP Reactivos'!CF503,'LP Reactivos'!CK503,'LP Reactivos'!CP503,'LP Reactivos'!CU503,'LP Reactivos'!CZ503,'LP Reactivos'!DE503,'LP Reactivos'!DJ503,'LP Reactivos'!DO503,'LP Reactivos'!DT503,'LP Reactivos'!DY503,'LP Reactivos'!EB503)," ")</f>
        <v>1887917.6260000002</v>
      </c>
      <c r="G503" s="345">
        <f>IFERROR(GEOMEAN('LP Reactivos'!F503,'LP Reactivos'!I503,'LP Reactivos'!N503,'LP Reactivos'!S503,'LP Reactivos'!X503,'LP Reactivos'!AC503,'LP Reactivos'!AH503,'LP Reactivos'!AM503,'LP Reactivos'!AR503,'LP Reactivos'!AW503,'LP Reactivos'!BB503,'LP Reactivos'!BG503,'LP Reactivos'!BL503,'LP Reactivos'!BQ503,'LP Reactivos'!BV503,'LP Reactivos'!CA503,'LP Reactivos'!CF503,'LP Reactivos'!CK503,'LP Reactivos'!CP503,'LP Reactivos'!CU503,'LP Reactivos'!CZ503,'LP Reactivos'!DE503,'LP Reactivos'!DJ503,'LP Reactivos'!DO503,'LP Reactivos'!DT503,'LP Reactivos'!DY503,'LP Reactivos'!EB503)," ")</f>
        <v>1876062.2649550629</v>
      </c>
      <c r="H503" s="345">
        <f t="shared" si="32"/>
        <v>103795.85783822085</v>
      </c>
      <c r="I503" s="346">
        <f t="shared" si="33"/>
        <v>5.4979018368580476E-2</v>
      </c>
      <c r="J503" s="345">
        <f t="shared" si="34"/>
        <v>1887917.6260000002</v>
      </c>
      <c r="K503" s="344" t="str">
        <f t="shared" si="35"/>
        <v>Promedio</v>
      </c>
      <c r="L503" s="326">
        <f>IFERROR(COUNTA('LP Reactivos'!F503,'LP Reactivos'!I503,'LP Reactivos'!N503,'LP Reactivos'!S503,'LP Reactivos'!X503,'LP Reactivos'!AC503,'LP Reactivos'!AH503,'LP Reactivos'!AM503,'LP Reactivos'!AR503,'LP Reactivos'!AW503,'LP Reactivos'!BB503,'LP Reactivos'!BG503,'LP Reactivos'!BL503,'LP Reactivos'!BQ503,'LP Reactivos'!BV503,'LP Reactivos'!CA503,'LP Reactivos'!CF503,'LP Reactivos'!CK503,'LP Reactivos'!CP503,'LP Reactivos'!CU503,'LP Reactivos'!CZ503,'LP Reactivos'!DE503,'LP Reactivos'!DJ503,'LP Reactivos'!DO503,'LP Reactivos'!DT503,'LP Reactivos'!DY503,'LP Reactivos'!EB503)," ")</f>
        <v>2</v>
      </c>
    </row>
    <row r="504" spans="2:12" ht="27" x14ac:dyDescent="0.25">
      <c r="B504" s="425">
        <v>502</v>
      </c>
      <c r="C504" s="426" t="s">
        <v>2361</v>
      </c>
      <c r="D504" s="429">
        <f>IFERROR(MIN('LP Reactivos'!F504,'LP Reactivos'!I504,'LP Reactivos'!N504,'LP Reactivos'!S504,'LP Reactivos'!X504,'LP Reactivos'!AC504,'LP Reactivos'!AH504,'LP Reactivos'!AM504,'LP Reactivos'!AR504,'LP Reactivos'!AW504,'LP Reactivos'!BB504,'LP Reactivos'!BG504,'LP Reactivos'!BL504,'LP Reactivos'!BQ504,'LP Reactivos'!BV504,'LP Reactivos'!CA504,'LP Reactivos'!CF504,'LP Reactivos'!CK504,'LP Reactivos'!CP504,'LP Reactivos'!CU504,'LP Reactivos'!CZ504,'LP Reactivos'!DE504,'LP Reactivos'!DJ504,'LP Reactivos'!DO504,'LP Reactivos'!DT504,'LP Reactivos'!DY504,'LP Reactivos'!EB504)," ")</f>
        <v>2261915.3836999997</v>
      </c>
      <c r="E504" s="429">
        <f>IFERROR(AVERAGE('LP Reactivos'!F504,'LP Reactivos'!I504,'LP Reactivos'!N504,'LP Reactivos'!S504,'LP Reactivos'!X504,'LP Reactivos'!AC504,'LP Reactivos'!AH504,'LP Reactivos'!AM504,'LP Reactivos'!AR504,'LP Reactivos'!AW504,'LP Reactivos'!BB504,'LP Reactivos'!BG504,'LP Reactivos'!BL504,'LP Reactivos'!BQ504,'LP Reactivos'!BV504,'LP Reactivos'!CA504,'LP Reactivos'!CF504,'LP Reactivos'!CK504,'LP Reactivos'!CP504,'LP Reactivos'!CU504,'LP Reactivos'!CZ504,'LP Reactivos'!DE504,'LP Reactivos'!DJ504,'LP Reactivos'!DO504,'LP Reactivos'!DT504,'LP Reactivos'!DY504,'LP Reactivos'!EB504)," ")</f>
        <v>2276945.5418499997</v>
      </c>
      <c r="F504" s="345">
        <f>IFERROR(MEDIAN('LP Reactivos'!F504,'LP Reactivos'!I504,'LP Reactivos'!N504,'LP Reactivos'!S504,'LP Reactivos'!X504,'LP Reactivos'!AC504,'LP Reactivos'!AH504,'LP Reactivos'!AM504,'LP Reactivos'!AR504,'LP Reactivos'!AW504,'LP Reactivos'!BB504,'LP Reactivos'!BG504,'LP Reactivos'!BL504,'LP Reactivos'!BQ504,'LP Reactivos'!BV504,'LP Reactivos'!CA504,'LP Reactivos'!CF504,'LP Reactivos'!CK504,'LP Reactivos'!CP504,'LP Reactivos'!CU504,'LP Reactivos'!CZ504,'LP Reactivos'!DE504,'LP Reactivos'!DJ504,'LP Reactivos'!DO504,'LP Reactivos'!DT504,'LP Reactivos'!DY504,'LP Reactivos'!EB504)," ")</f>
        <v>2276945.5418499997</v>
      </c>
      <c r="G504" s="345">
        <f>IFERROR(GEOMEAN('LP Reactivos'!F504,'LP Reactivos'!I504,'LP Reactivos'!N504,'LP Reactivos'!S504,'LP Reactivos'!X504,'LP Reactivos'!AC504,'LP Reactivos'!AH504,'LP Reactivos'!AM504,'LP Reactivos'!AR504,'LP Reactivos'!AW504,'LP Reactivos'!BB504,'LP Reactivos'!BG504,'LP Reactivos'!BL504,'LP Reactivos'!BQ504,'LP Reactivos'!BV504,'LP Reactivos'!CA504,'LP Reactivos'!CF504,'LP Reactivos'!CK504,'LP Reactivos'!CP504,'LP Reactivos'!CU504,'LP Reactivos'!CZ504,'LP Reactivos'!DE504,'LP Reactivos'!DJ504,'LP Reactivos'!DO504,'LP Reactivos'!DT504,'LP Reactivos'!DY504,'LP Reactivos'!EB504)," ")</f>
        <v>2276895.9341385313</v>
      </c>
      <c r="H504" s="345">
        <f t="shared" si="32"/>
        <v>7506.8475480695324</v>
      </c>
      <c r="I504" s="346">
        <f t="shared" si="33"/>
        <v>3.2968937596857409E-3</v>
      </c>
      <c r="J504" s="345">
        <f t="shared" si="34"/>
        <v>2276945.5418499997</v>
      </c>
      <c r="K504" s="344" t="str">
        <f t="shared" si="35"/>
        <v>Promedio</v>
      </c>
      <c r="L504" s="326">
        <f>IFERROR(COUNTA('LP Reactivos'!F504,'LP Reactivos'!I504,'LP Reactivos'!N504,'LP Reactivos'!S504,'LP Reactivos'!X504,'LP Reactivos'!AC504,'LP Reactivos'!AH504,'LP Reactivos'!AM504,'LP Reactivos'!AR504,'LP Reactivos'!AW504,'LP Reactivos'!BB504,'LP Reactivos'!BG504,'LP Reactivos'!BL504,'LP Reactivos'!BQ504,'LP Reactivos'!BV504,'LP Reactivos'!CA504,'LP Reactivos'!CF504,'LP Reactivos'!CK504,'LP Reactivos'!CP504,'LP Reactivos'!CU504,'LP Reactivos'!CZ504,'LP Reactivos'!DE504,'LP Reactivos'!DJ504,'LP Reactivos'!DO504,'LP Reactivos'!DT504,'LP Reactivos'!DY504,'LP Reactivos'!EB504)," ")</f>
        <v>2</v>
      </c>
    </row>
    <row r="505" spans="2:12" ht="40.5" x14ac:dyDescent="0.25">
      <c r="B505" s="425">
        <v>503</v>
      </c>
      <c r="C505" s="426" t="s">
        <v>2364</v>
      </c>
      <c r="D505" s="429">
        <f>IFERROR(MIN('LP Reactivos'!F505,'LP Reactivos'!I505,'LP Reactivos'!N505,'LP Reactivos'!S505,'LP Reactivos'!X505,'LP Reactivos'!AC505,'LP Reactivos'!AH505,'LP Reactivos'!AM505,'LP Reactivos'!AR505,'LP Reactivos'!AW505,'LP Reactivos'!BB505,'LP Reactivos'!BG505,'LP Reactivos'!BL505,'LP Reactivos'!BQ505,'LP Reactivos'!BV505,'LP Reactivos'!CA505,'LP Reactivos'!CF505,'LP Reactivos'!CK505,'LP Reactivos'!CP505,'LP Reactivos'!CU505,'LP Reactivos'!CZ505,'LP Reactivos'!DE505,'LP Reactivos'!DJ505,'LP Reactivos'!DO505,'LP Reactivos'!DT505,'LP Reactivos'!DY505,'LP Reactivos'!EB505)," ")</f>
        <v>635963.46519999998</v>
      </c>
      <c r="E505" s="429">
        <f>IFERROR(AVERAGE('LP Reactivos'!F505,'LP Reactivos'!I505,'LP Reactivos'!N505,'LP Reactivos'!S505,'LP Reactivos'!X505,'LP Reactivos'!AC505,'LP Reactivos'!AH505,'LP Reactivos'!AM505,'LP Reactivos'!AR505,'LP Reactivos'!AW505,'LP Reactivos'!BB505,'LP Reactivos'!BG505,'LP Reactivos'!BL505,'LP Reactivos'!BQ505,'LP Reactivos'!BV505,'LP Reactivos'!CA505,'LP Reactivos'!CF505,'LP Reactivos'!CK505,'LP Reactivos'!CP505,'LP Reactivos'!CU505,'LP Reactivos'!CZ505,'LP Reactivos'!DE505,'LP Reactivos'!DJ505,'LP Reactivos'!DO505,'LP Reactivos'!DT505,'LP Reactivos'!DY505,'LP Reactivos'!EB505)," ")</f>
        <v>635963.46519999998</v>
      </c>
      <c r="F505" s="345">
        <f>IFERROR(MEDIAN('LP Reactivos'!F505,'LP Reactivos'!I505,'LP Reactivos'!N505,'LP Reactivos'!S505,'LP Reactivos'!X505,'LP Reactivos'!AC505,'LP Reactivos'!AH505,'LP Reactivos'!AM505,'LP Reactivos'!AR505,'LP Reactivos'!AW505,'LP Reactivos'!BB505,'LP Reactivos'!BG505,'LP Reactivos'!BL505,'LP Reactivos'!BQ505,'LP Reactivos'!BV505,'LP Reactivos'!CA505,'LP Reactivos'!CF505,'LP Reactivos'!CK505,'LP Reactivos'!CP505,'LP Reactivos'!CU505,'LP Reactivos'!CZ505,'LP Reactivos'!DE505,'LP Reactivos'!DJ505,'LP Reactivos'!DO505,'LP Reactivos'!DT505,'LP Reactivos'!DY505,'LP Reactivos'!EB505)," ")</f>
        <v>635963.46519999998</v>
      </c>
      <c r="G505" s="345">
        <f>IFERROR(GEOMEAN('LP Reactivos'!F505,'LP Reactivos'!I505,'LP Reactivos'!N505,'LP Reactivos'!S505,'LP Reactivos'!X505,'LP Reactivos'!AC505,'LP Reactivos'!AH505,'LP Reactivos'!AM505,'LP Reactivos'!AR505,'LP Reactivos'!AW505,'LP Reactivos'!BB505,'LP Reactivos'!BG505,'LP Reactivos'!BL505,'LP Reactivos'!BQ505,'LP Reactivos'!BV505,'LP Reactivos'!CA505,'LP Reactivos'!CF505,'LP Reactivos'!CK505,'LP Reactivos'!CP505,'LP Reactivos'!CU505,'LP Reactivos'!CZ505,'LP Reactivos'!DE505,'LP Reactivos'!DJ505,'LP Reactivos'!DO505,'LP Reactivos'!DT505,'LP Reactivos'!DY505,'LP Reactivos'!EB505)," ")</f>
        <v>635963.46519999998</v>
      </c>
      <c r="H505" s="345">
        <f t="shared" si="32"/>
        <v>0</v>
      </c>
      <c r="I505" s="346">
        <f t="shared" si="33"/>
        <v>0</v>
      </c>
      <c r="J505" s="345">
        <f t="shared" si="34"/>
        <v>635963.46519999998</v>
      </c>
      <c r="K505" s="344" t="str">
        <f t="shared" si="35"/>
        <v>Menor Valor</v>
      </c>
      <c r="L505" s="326">
        <f>IFERROR(COUNTA('LP Reactivos'!F505,'LP Reactivos'!I505,'LP Reactivos'!N505,'LP Reactivos'!S505,'LP Reactivos'!X505,'LP Reactivos'!AC505,'LP Reactivos'!AH505,'LP Reactivos'!AM505,'LP Reactivos'!AR505,'LP Reactivos'!AW505,'LP Reactivos'!BB505,'LP Reactivos'!BG505,'LP Reactivos'!BL505,'LP Reactivos'!BQ505,'LP Reactivos'!BV505,'LP Reactivos'!CA505,'LP Reactivos'!CF505,'LP Reactivos'!CK505,'LP Reactivos'!CP505,'LP Reactivos'!CU505,'LP Reactivos'!CZ505,'LP Reactivos'!DE505,'LP Reactivos'!DJ505,'LP Reactivos'!DO505,'LP Reactivos'!DT505,'LP Reactivos'!DY505,'LP Reactivos'!EB505)," ")</f>
        <v>1</v>
      </c>
    </row>
    <row r="506" spans="2:12" x14ac:dyDescent="0.25">
      <c r="B506" s="425">
        <v>504</v>
      </c>
      <c r="C506" s="428" t="s">
        <v>2366</v>
      </c>
      <c r="D506" s="429">
        <f>IFERROR(MIN('LP Reactivos'!F506,'LP Reactivos'!I506,'LP Reactivos'!N506,'LP Reactivos'!S506,'LP Reactivos'!X506,'LP Reactivos'!AC506,'LP Reactivos'!AH506,'LP Reactivos'!AM506,'LP Reactivos'!AR506,'LP Reactivos'!AW506,'LP Reactivos'!BB506,'LP Reactivos'!BG506,'LP Reactivos'!BL506,'LP Reactivos'!BQ506,'LP Reactivos'!BV506,'LP Reactivos'!CA506,'LP Reactivos'!CF506,'LP Reactivos'!CK506,'LP Reactivos'!CP506,'LP Reactivos'!CU506,'LP Reactivos'!CZ506,'LP Reactivos'!DE506,'LP Reactivos'!DJ506,'LP Reactivos'!DO506,'LP Reactivos'!DT506,'LP Reactivos'!DY506,'LP Reactivos'!EB506)," ")</f>
        <v>350990</v>
      </c>
      <c r="E506" s="429">
        <f>IFERROR(AVERAGE('LP Reactivos'!F506,'LP Reactivos'!I506,'LP Reactivos'!N506,'LP Reactivos'!S506,'LP Reactivos'!X506,'LP Reactivos'!AC506,'LP Reactivos'!AH506,'LP Reactivos'!AM506,'LP Reactivos'!AR506,'LP Reactivos'!AW506,'LP Reactivos'!BB506,'LP Reactivos'!BG506,'LP Reactivos'!BL506,'LP Reactivos'!BQ506,'LP Reactivos'!BV506,'LP Reactivos'!CA506,'LP Reactivos'!CF506,'LP Reactivos'!CK506,'LP Reactivos'!CP506,'LP Reactivos'!CU506,'LP Reactivos'!CZ506,'LP Reactivos'!DE506,'LP Reactivos'!DJ506,'LP Reactivos'!DO506,'LP Reactivos'!DT506,'LP Reactivos'!DY506,'LP Reactivos'!EB506)," ")</f>
        <v>350990</v>
      </c>
      <c r="F506" s="345">
        <f>IFERROR(MEDIAN('LP Reactivos'!F506,'LP Reactivos'!I506,'LP Reactivos'!N506,'LP Reactivos'!S506,'LP Reactivos'!X506,'LP Reactivos'!AC506,'LP Reactivos'!AH506,'LP Reactivos'!AM506,'LP Reactivos'!AR506,'LP Reactivos'!AW506,'LP Reactivos'!BB506,'LP Reactivos'!BG506,'LP Reactivos'!BL506,'LP Reactivos'!BQ506,'LP Reactivos'!BV506,'LP Reactivos'!CA506,'LP Reactivos'!CF506,'LP Reactivos'!CK506,'LP Reactivos'!CP506,'LP Reactivos'!CU506,'LP Reactivos'!CZ506,'LP Reactivos'!DE506,'LP Reactivos'!DJ506,'LP Reactivos'!DO506,'LP Reactivos'!DT506,'LP Reactivos'!DY506,'LP Reactivos'!EB506)," ")</f>
        <v>350990</v>
      </c>
      <c r="G506" s="345">
        <f>IFERROR(GEOMEAN('LP Reactivos'!F506,'LP Reactivos'!I506,'LP Reactivos'!N506,'LP Reactivos'!S506,'LP Reactivos'!X506,'LP Reactivos'!AC506,'LP Reactivos'!AH506,'LP Reactivos'!AM506,'LP Reactivos'!AR506,'LP Reactivos'!AW506,'LP Reactivos'!BB506,'LP Reactivos'!BG506,'LP Reactivos'!BL506,'LP Reactivos'!BQ506,'LP Reactivos'!BV506,'LP Reactivos'!CA506,'LP Reactivos'!CF506,'LP Reactivos'!CK506,'LP Reactivos'!CP506,'LP Reactivos'!CU506,'LP Reactivos'!CZ506,'LP Reactivos'!DE506,'LP Reactivos'!DJ506,'LP Reactivos'!DO506,'LP Reactivos'!DT506,'LP Reactivos'!DY506,'LP Reactivos'!EB506)," ")</f>
        <v>350990</v>
      </c>
      <c r="H506" s="345">
        <f t="shared" si="32"/>
        <v>0</v>
      </c>
      <c r="I506" s="346">
        <f t="shared" si="33"/>
        <v>0</v>
      </c>
      <c r="J506" s="345">
        <f t="shared" si="34"/>
        <v>350990</v>
      </c>
      <c r="K506" s="344" t="str">
        <f t="shared" si="35"/>
        <v>Menor Valor</v>
      </c>
      <c r="L506" s="326">
        <f>IFERROR(COUNTA('LP Reactivos'!F506,'LP Reactivos'!I506,'LP Reactivos'!N506,'LP Reactivos'!S506,'LP Reactivos'!X506,'LP Reactivos'!AC506,'LP Reactivos'!AH506,'LP Reactivos'!AM506,'LP Reactivos'!AR506,'LP Reactivos'!AW506,'LP Reactivos'!BB506,'LP Reactivos'!BG506,'LP Reactivos'!BL506,'LP Reactivos'!BQ506,'LP Reactivos'!BV506,'LP Reactivos'!CA506,'LP Reactivos'!CF506,'LP Reactivos'!CK506,'LP Reactivos'!CP506,'LP Reactivos'!CU506,'LP Reactivos'!CZ506,'LP Reactivos'!DE506,'LP Reactivos'!DJ506,'LP Reactivos'!DO506,'LP Reactivos'!DT506,'LP Reactivos'!DY506,'LP Reactivos'!EB506)," ")</f>
        <v>1</v>
      </c>
    </row>
    <row r="507" spans="2:12" ht="27" x14ac:dyDescent="0.25">
      <c r="B507" s="425">
        <v>505</v>
      </c>
      <c r="C507" s="426" t="s">
        <v>2368</v>
      </c>
      <c r="D507" s="429">
        <f>IFERROR(MIN('LP Reactivos'!F507,'LP Reactivos'!I507,'LP Reactivos'!N507,'LP Reactivos'!S507,'LP Reactivos'!X507,'LP Reactivos'!AC507,'LP Reactivos'!AH507,'LP Reactivos'!AM507,'LP Reactivos'!AR507,'LP Reactivos'!AW507,'LP Reactivos'!BB507,'LP Reactivos'!BG507,'LP Reactivos'!BL507,'LP Reactivos'!BQ507,'LP Reactivos'!BV507,'LP Reactivos'!CA507,'LP Reactivos'!CF507,'LP Reactivos'!CK507,'LP Reactivos'!CP507,'LP Reactivos'!CU507,'LP Reactivos'!CZ507,'LP Reactivos'!DE507,'LP Reactivos'!DJ507,'LP Reactivos'!DO507,'LP Reactivos'!DT507,'LP Reactivos'!DY507,'LP Reactivos'!EB507)," ")</f>
        <v>242557.7</v>
      </c>
      <c r="E507" s="429">
        <f>IFERROR(AVERAGE('LP Reactivos'!F507,'LP Reactivos'!I507,'LP Reactivos'!N507,'LP Reactivos'!S507,'LP Reactivos'!X507,'LP Reactivos'!AC507,'LP Reactivos'!AH507,'LP Reactivos'!AM507,'LP Reactivos'!AR507,'LP Reactivos'!AW507,'LP Reactivos'!BB507,'LP Reactivos'!BG507,'LP Reactivos'!BL507,'LP Reactivos'!BQ507,'LP Reactivos'!BV507,'LP Reactivos'!CA507,'LP Reactivos'!CF507,'LP Reactivos'!CK507,'LP Reactivos'!CP507,'LP Reactivos'!CU507,'LP Reactivos'!CZ507,'LP Reactivos'!DE507,'LP Reactivos'!DJ507,'LP Reactivos'!DO507,'LP Reactivos'!DT507,'LP Reactivos'!DY507,'LP Reactivos'!EB507)," ")</f>
        <v>575712.22772000008</v>
      </c>
      <c r="F507" s="345">
        <f>IFERROR(MEDIAN('LP Reactivos'!F507,'LP Reactivos'!I507,'LP Reactivos'!N507,'LP Reactivos'!S507,'LP Reactivos'!X507,'LP Reactivos'!AC507,'LP Reactivos'!AH507,'LP Reactivos'!AM507,'LP Reactivos'!AR507,'LP Reactivos'!AW507,'LP Reactivos'!BB507,'LP Reactivos'!BG507,'LP Reactivos'!BL507,'LP Reactivos'!BQ507,'LP Reactivos'!BV507,'LP Reactivos'!CA507,'LP Reactivos'!CF507,'LP Reactivos'!CK507,'LP Reactivos'!CP507,'LP Reactivos'!CU507,'LP Reactivos'!CZ507,'LP Reactivos'!DE507,'LP Reactivos'!DJ507,'LP Reactivos'!DO507,'LP Reactivos'!DT507,'LP Reactivos'!DY507,'LP Reactivos'!EB507)," ")</f>
        <v>546210</v>
      </c>
      <c r="G507" s="345">
        <f>IFERROR(GEOMEAN('LP Reactivos'!F507,'LP Reactivos'!I507,'LP Reactivos'!N507,'LP Reactivos'!S507,'LP Reactivos'!X507,'LP Reactivos'!AC507,'LP Reactivos'!AH507,'LP Reactivos'!AM507,'LP Reactivos'!AR507,'LP Reactivos'!AW507,'LP Reactivos'!BB507,'LP Reactivos'!BG507,'LP Reactivos'!BL507,'LP Reactivos'!BQ507,'LP Reactivos'!BV507,'LP Reactivos'!CA507,'LP Reactivos'!CF507,'LP Reactivos'!CK507,'LP Reactivos'!CP507,'LP Reactivos'!CU507,'LP Reactivos'!CZ507,'LP Reactivos'!DE507,'LP Reactivos'!DJ507,'LP Reactivos'!DO507,'LP Reactivos'!DT507,'LP Reactivos'!DY507,'LP Reactivos'!EB507)," ")</f>
        <v>524912.07717700326</v>
      </c>
      <c r="H507" s="345">
        <f t="shared" si="32"/>
        <v>154603.06465236712</v>
      </c>
      <c r="I507" s="346">
        <f t="shared" si="33"/>
        <v>0.26854226331902564</v>
      </c>
      <c r="J507" s="345">
        <f t="shared" si="34"/>
        <v>524912.07717700326</v>
      </c>
      <c r="K507" s="344" t="str">
        <f t="shared" si="35"/>
        <v>Media Geométrica</v>
      </c>
      <c r="L507" s="326">
        <f>IFERROR(COUNTA('LP Reactivos'!F507,'LP Reactivos'!I507,'LP Reactivos'!N507,'LP Reactivos'!S507,'LP Reactivos'!X507,'LP Reactivos'!AC507,'LP Reactivos'!AH507,'LP Reactivos'!AM507,'LP Reactivos'!AR507,'LP Reactivos'!AW507,'LP Reactivos'!BB507,'LP Reactivos'!BG507,'LP Reactivos'!BL507,'LP Reactivos'!BQ507,'LP Reactivos'!BV507,'LP Reactivos'!CA507,'LP Reactivos'!CF507,'LP Reactivos'!CK507,'LP Reactivos'!CP507,'LP Reactivos'!CU507,'LP Reactivos'!CZ507,'LP Reactivos'!DE507,'LP Reactivos'!DJ507,'LP Reactivos'!DO507,'LP Reactivos'!DT507,'LP Reactivos'!DY507,'LP Reactivos'!EB507)," ")</f>
        <v>5</v>
      </c>
    </row>
    <row r="508" spans="2:12" ht="27" x14ac:dyDescent="0.25">
      <c r="B508" s="425">
        <v>506</v>
      </c>
      <c r="C508" s="427" t="s">
        <v>2371</v>
      </c>
      <c r="D508" s="429">
        <f>IFERROR(MIN('LP Reactivos'!F508,'LP Reactivos'!I508,'LP Reactivos'!N508,'LP Reactivos'!S508,'LP Reactivos'!X508,'LP Reactivos'!AC508,'LP Reactivos'!AH508,'LP Reactivos'!AM508,'LP Reactivos'!AR508,'LP Reactivos'!AW508,'LP Reactivos'!BB508,'LP Reactivos'!BG508,'LP Reactivos'!BL508,'LP Reactivos'!BQ508,'LP Reactivos'!BV508,'LP Reactivos'!CA508,'LP Reactivos'!CF508,'LP Reactivos'!CK508,'LP Reactivos'!CP508,'LP Reactivos'!CU508,'LP Reactivos'!CZ508,'LP Reactivos'!DE508,'LP Reactivos'!DJ508,'LP Reactivos'!DO508,'LP Reactivos'!DT508,'LP Reactivos'!DY508,'LP Reactivos'!EB508)," ")</f>
        <v>532000</v>
      </c>
      <c r="E508" s="429">
        <f>IFERROR(AVERAGE('LP Reactivos'!F508,'LP Reactivos'!I508,'LP Reactivos'!N508,'LP Reactivos'!S508,'LP Reactivos'!X508,'LP Reactivos'!AC508,'LP Reactivos'!AH508,'LP Reactivos'!AM508,'LP Reactivos'!AR508,'LP Reactivos'!AW508,'LP Reactivos'!BB508,'LP Reactivos'!BG508,'LP Reactivos'!BL508,'LP Reactivos'!BQ508,'LP Reactivos'!BV508,'LP Reactivos'!CA508,'LP Reactivos'!CF508,'LP Reactivos'!CK508,'LP Reactivos'!CP508,'LP Reactivos'!CU508,'LP Reactivos'!CZ508,'LP Reactivos'!DE508,'LP Reactivos'!DJ508,'LP Reactivos'!DO508,'LP Reactivos'!DT508,'LP Reactivos'!DY508,'LP Reactivos'!EB508)," ")</f>
        <v>784790.33333333337</v>
      </c>
      <c r="F508" s="345">
        <f>IFERROR(MEDIAN('LP Reactivos'!F508,'LP Reactivos'!I508,'LP Reactivos'!N508,'LP Reactivos'!S508,'LP Reactivos'!X508,'LP Reactivos'!AC508,'LP Reactivos'!AH508,'LP Reactivos'!AM508,'LP Reactivos'!AR508,'LP Reactivos'!AW508,'LP Reactivos'!BB508,'LP Reactivos'!BG508,'LP Reactivos'!BL508,'LP Reactivos'!BQ508,'LP Reactivos'!BV508,'LP Reactivos'!CA508,'LP Reactivos'!CF508,'LP Reactivos'!CK508,'LP Reactivos'!CP508,'LP Reactivos'!CU508,'LP Reactivos'!CZ508,'LP Reactivos'!DE508,'LP Reactivos'!DJ508,'LP Reactivos'!DO508,'LP Reactivos'!DT508,'LP Reactivos'!DY508,'LP Reactivos'!EB508)," ")</f>
        <v>666881</v>
      </c>
      <c r="G508" s="345">
        <f>IFERROR(GEOMEAN('LP Reactivos'!F508,'LP Reactivos'!I508,'LP Reactivos'!N508,'LP Reactivos'!S508,'LP Reactivos'!X508,'LP Reactivos'!AC508,'LP Reactivos'!AH508,'LP Reactivos'!AM508,'LP Reactivos'!AR508,'LP Reactivos'!AW508,'LP Reactivos'!BB508,'LP Reactivos'!BG508,'LP Reactivos'!BL508,'LP Reactivos'!BQ508,'LP Reactivos'!BV508,'LP Reactivos'!CA508,'LP Reactivos'!CF508,'LP Reactivos'!CK508,'LP Reactivos'!CP508,'LP Reactivos'!CU508,'LP Reactivos'!CZ508,'LP Reactivos'!DE508,'LP Reactivos'!DJ508,'LP Reactivos'!DO508,'LP Reactivos'!DT508,'LP Reactivos'!DY508,'LP Reactivos'!EB508)," ")</f>
        <v>742862.99100264383</v>
      </c>
      <c r="H508" s="345">
        <f t="shared" si="32"/>
        <v>111052.84539394913</v>
      </c>
      <c r="I508" s="346">
        <f t="shared" si="33"/>
        <v>0.14150638798296758</v>
      </c>
      <c r="J508" s="345">
        <f t="shared" si="34"/>
        <v>784790.33333333337</v>
      </c>
      <c r="K508" s="344" t="str">
        <f t="shared" si="35"/>
        <v>Promedio</v>
      </c>
      <c r="L508" s="326">
        <f>IFERROR(COUNTA('LP Reactivos'!F508,'LP Reactivos'!I508,'LP Reactivos'!N508,'LP Reactivos'!S508,'LP Reactivos'!X508,'LP Reactivos'!AC508,'LP Reactivos'!AH508,'LP Reactivos'!AM508,'LP Reactivos'!AR508,'LP Reactivos'!AW508,'LP Reactivos'!BB508,'LP Reactivos'!BG508,'LP Reactivos'!BL508,'LP Reactivos'!BQ508,'LP Reactivos'!BV508,'LP Reactivos'!CA508,'LP Reactivos'!CF508,'LP Reactivos'!CK508,'LP Reactivos'!CP508,'LP Reactivos'!CU508,'LP Reactivos'!CZ508,'LP Reactivos'!DE508,'LP Reactivos'!DJ508,'LP Reactivos'!DO508,'LP Reactivos'!DT508,'LP Reactivos'!DY508,'LP Reactivos'!EB508)," ")</f>
        <v>3</v>
      </c>
    </row>
    <row r="509" spans="2:12" x14ac:dyDescent="0.25">
      <c r="B509" s="425">
        <v>507</v>
      </c>
      <c r="C509" s="427" t="s">
        <v>2374</v>
      </c>
      <c r="D509" s="429">
        <f>IFERROR(MIN('LP Reactivos'!F509,'LP Reactivos'!I509,'LP Reactivos'!N509,'LP Reactivos'!S509,'LP Reactivos'!X509,'LP Reactivos'!AC509,'LP Reactivos'!AH509,'LP Reactivos'!AM509,'LP Reactivos'!AR509,'LP Reactivos'!AW509,'LP Reactivos'!BB509,'LP Reactivos'!BG509,'LP Reactivos'!BL509,'LP Reactivos'!BQ509,'LP Reactivos'!BV509,'LP Reactivos'!CA509,'LP Reactivos'!CF509,'LP Reactivos'!CK509,'LP Reactivos'!CP509,'LP Reactivos'!CU509,'LP Reactivos'!CZ509,'LP Reactivos'!DE509,'LP Reactivos'!DJ509,'LP Reactivos'!DO509,'LP Reactivos'!DT509,'LP Reactivos'!DY509,'LP Reactivos'!EB509)," ")</f>
        <v>126140</v>
      </c>
      <c r="E509" s="429">
        <f>IFERROR(AVERAGE('LP Reactivos'!F509,'LP Reactivos'!I509,'LP Reactivos'!N509,'LP Reactivos'!S509,'LP Reactivos'!X509,'LP Reactivos'!AC509,'LP Reactivos'!AH509,'LP Reactivos'!AM509,'LP Reactivos'!AR509,'LP Reactivos'!AW509,'LP Reactivos'!BB509,'LP Reactivos'!BG509,'LP Reactivos'!BL509,'LP Reactivos'!BQ509,'LP Reactivos'!BV509,'LP Reactivos'!CA509,'LP Reactivos'!CF509,'LP Reactivos'!CK509,'LP Reactivos'!CP509,'LP Reactivos'!CU509,'LP Reactivos'!CZ509,'LP Reactivos'!DE509,'LP Reactivos'!DJ509,'LP Reactivos'!DO509,'LP Reactivos'!DT509,'LP Reactivos'!DY509,'LP Reactivos'!EB509)," ")</f>
        <v>212104.38571428572</v>
      </c>
      <c r="F509" s="345">
        <f>IFERROR(MEDIAN('LP Reactivos'!F509,'LP Reactivos'!I509,'LP Reactivos'!N509,'LP Reactivos'!S509,'LP Reactivos'!X509,'LP Reactivos'!AC509,'LP Reactivos'!AH509,'LP Reactivos'!AM509,'LP Reactivos'!AR509,'LP Reactivos'!AW509,'LP Reactivos'!BB509,'LP Reactivos'!BG509,'LP Reactivos'!BL509,'LP Reactivos'!BQ509,'LP Reactivos'!BV509,'LP Reactivos'!CA509,'LP Reactivos'!CF509,'LP Reactivos'!CK509,'LP Reactivos'!CP509,'LP Reactivos'!CU509,'LP Reactivos'!CZ509,'LP Reactivos'!DE509,'LP Reactivos'!DJ509,'LP Reactivos'!DO509,'LP Reactivos'!DT509,'LP Reactivos'!DY509,'LP Reactivos'!EB509)," ")</f>
        <v>193545</v>
      </c>
      <c r="G509" s="345">
        <f>IFERROR(GEOMEAN('LP Reactivos'!F509,'LP Reactivos'!I509,'LP Reactivos'!N509,'LP Reactivos'!S509,'LP Reactivos'!X509,'LP Reactivos'!AC509,'LP Reactivos'!AH509,'LP Reactivos'!AM509,'LP Reactivos'!AR509,'LP Reactivos'!AW509,'LP Reactivos'!BB509,'LP Reactivos'!BG509,'LP Reactivos'!BL509,'LP Reactivos'!BQ509,'LP Reactivos'!BV509,'LP Reactivos'!CA509,'LP Reactivos'!CF509,'LP Reactivos'!CK509,'LP Reactivos'!CP509,'LP Reactivos'!CU509,'LP Reactivos'!CZ509,'LP Reactivos'!DE509,'LP Reactivos'!DJ509,'LP Reactivos'!DO509,'LP Reactivos'!DT509,'LP Reactivos'!DY509,'LP Reactivos'!EB509)," ")</f>
        <v>202567.7626184223</v>
      </c>
      <c r="H509" s="345">
        <f t="shared" si="32"/>
        <v>39041.986756274076</v>
      </c>
      <c r="I509" s="346">
        <f t="shared" si="33"/>
        <v>0.1840696816560192</v>
      </c>
      <c r="J509" s="345">
        <f t="shared" si="34"/>
        <v>212104.38571428572</v>
      </c>
      <c r="K509" s="344" t="str">
        <f t="shared" si="35"/>
        <v>Promedio</v>
      </c>
      <c r="L509" s="326">
        <f>IFERROR(COUNTA('LP Reactivos'!F509,'LP Reactivos'!I509,'LP Reactivos'!N509,'LP Reactivos'!S509,'LP Reactivos'!X509,'LP Reactivos'!AC509,'LP Reactivos'!AH509,'LP Reactivos'!AM509,'LP Reactivos'!AR509,'LP Reactivos'!AW509,'LP Reactivos'!BB509,'LP Reactivos'!BG509,'LP Reactivos'!BL509,'LP Reactivos'!BQ509,'LP Reactivos'!BV509,'LP Reactivos'!CA509,'LP Reactivos'!CF509,'LP Reactivos'!CK509,'LP Reactivos'!CP509,'LP Reactivos'!CU509,'LP Reactivos'!CZ509,'LP Reactivos'!DE509,'LP Reactivos'!DJ509,'LP Reactivos'!DO509,'LP Reactivos'!DT509,'LP Reactivos'!DY509,'LP Reactivos'!EB509)," ")</f>
        <v>7</v>
      </c>
    </row>
    <row r="510" spans="2:12" x14ac:dyDescent="0.25">
      <c r="B510" s="425">
        <v>508</v>
      </c>
      <c r="C510" s="428" t="s">
        <v>2378</v>
      </c>
      <c r="D510" s="429">
        <f>IFERROR(MIN('LP Reactivos'!F510,'LP Reactivos'!I510,'LP Reactivos'!N510,'LP Reactivos'!S510,'LP Reactivos'!X510,'LP Reactivos'!AC510,'LP Reactivos'!AH510,'LP Reactivos'!AM510,'LP Reactivos'!AR510,'LP Reactivos'!AW510,'LP Reactivos'!BB510,'LP Reactivos'!BG510,'LP Reactivos'!BL510,'LP Reactivos'!BQ510,'LP Reactivos'!BV510,'LP Reactivos'!CA510,'LP Reactivos'!CF510,'LP Reactivos'!CK510,'LP Reactivos'!CP510,'LP Reactivos'!CU510,'LP Reactivos'!CZ510,'LP Reactivos'!DE510,'LP Reactivos'!DJ510,'LP Reactivos'!DO510,'LP Reactivos'!DT510,'LP Reactivos'!DY510,'LP Reactivos'!EB510)," ")</f>
        <v>232050</v>
      </c>
      <c r="E510" s="429">
        <f>IFERROR(AVERAGE('LP Reactivos'!F510,'LP Reactivos'!I510,'LP Reactivos'!N510,'LP Reactivos'!S510,'LP Reactivos'!X510,'LP Reactivos'!AC510,'LP Reactivos'!AH510,'LP Reactivos'!AM510,'LP Reactivos'!AR510,'LP Reactivos'!AW510,'LP Reactivos'!BB510,'LP Reactivos'!BG510,'LP Reactivos'!BL510,'LP Reactivos'!BQ510,'LP Reactivos'!BV510,'LP Reactivos'!CA510,'LP Reactivos'!CF510,'LP Reactivos'!CK510,'LP Reactivos'!CP510,'LP Reactivos'!CU510,'LP Reactivos'!CZ510,'LP Reactivos'!DE510,'LP Reactivos'!DJ510,'LP Reactivos'!DO510,'LP Reactivos'!DT510,'LP Reactivos'!DY510,'LP Reactivos'!EB510)," ")</f>
        <v>232050</v>
      </c>
      <c r="F510" s="345">
        <f>IFERROR(MEDIAN('LP Reactivos'!F510,'LP Reactivos'!I510,'LP Reactivos'!N510,'LP Reactivos'!S510,'LP Reactivos'!X510,'LP Reactivos'!AC510,'LP Reactivos'!AH510,'LP Reactivos'!AM510,'LP Reactivos'!AR510,'LP Reactivos'!AW510,'LP Reactivos'!BB510,'LP Reactivos'!BG510,'LP Reactivos'!BL510,'LP Reactivos'!BQ510,'LP Reactivos'!BV510,'LP Reactivos'!CA510,'LP Reactivos'!CF510,'LP Reactivos'!CK510,'LP Reactivos'!CP510,'LP Reactivos'!CU510,'LP Reactivos'!CZ510,'LP Reactivos'!DE510,'LP Reactivos'!DJ510,'LP Reactivos'!DO510,'LP Reactivos'!DT510,'LP Reactivos'!DY510,'LP Reactivos'!EB510)," ")</f>
        <v>232050</v>
      </c>
      <c r="G510" s="345">
        <f>IFERROR(GEOMEAN('LP Reactivos'!F510,'LP Reactivos'!I510,'LP Reactivos'!N510,'LP Reactivos'!S510,'LP Reactivos'!X510,'LP Reactivos'!AC510,'LP Reactivos'!AH510,'LP Reactivos'!AM510,'LP Reactivos'!AR510,'LP Reactivos'!AW510,'LP Reactivos'!BB510,'LP Reactivos'!BG510,'LP Reactivos'!BL510,'LP Reactivos'!BQ510,'LP Reactivos'!BV510,'LP Reactivos'!CA510,'LP Reactivos'!CF510,'LP Reactivos'!CK510,'LP Reactivos'!CP510,'LP Reactivos'!CU510,'LP Reactivos'!CZ510,'LP Reactivos'!DE510,'LP Reactivos'!DJ510,'LP Reactivos'!DO510,'LP Reactivos'!DT510,'LP Reactivos'!DY510,'LP Reactivos'!EB510)," ")</f>
        <v>232050</v>
      </c>
      <c r="H510" s="345">
        <f t="shared" si="32"/>
        <v>0</v>
      </c>
      <c r="I510" s="346">
        <f t="shared" si="33"/>
        <v>0</v>
      </c>
      <c r="J510" s="345">
        <f t="shared" si="34"/>
        <v>232050</v>
      </c>
      <c r="K510" s="344" t="str">
        <f t="shared" si="35"/>
        <v>Menor Valor</v>
      </c>
      <c r="L510" s="326">
        <f>IFERROR(COUNTA('LP Reactivos'!F510,'LP Reactivos'!I510,'LP Reactivos'!N510,'LP Reactivos'!S510,'LP Reactivos'!X510,'LP Reactivos'!AC510,'LP Reactivos'!AH510,'LP Reactivos'!AM510,'LP Reactivos'!AR510,'LP Reactivos'!AW510,'LP Reactivos'!BB510,'LP Reactivos'!BG510,'LP Reactivos'!BL510,'LP Reactivos'!BQ510,'LP Reactivos'!BV510,'LP Reactivos'!CA510,'LP Reactivos'!CF510,'LP Reactivos'!CK510,'LP Reactivos'!CP510,'LP Reactivos'!CU510,'LP Reactivos'!CZ510,'LP Reactivos'!DE510,'LP Reactivos'!DJ510,'LP Reactivos'!DO510,'LP Reactivos'!DT510,'LP Reactivos'!DY510,'LP Reactivos'!EB510)," ")</f>
        <v>1</v>
      </c>
    </row>
    <row r="511" spans="2:12" ht="27" x14ac:dyDescent="0.25">
      <c r="B511" s="425">
        <v>509</v>
      </c>
      <c r="C511" s="413" t="s">
        <v>2380</v>
      </c>
      <c r="D511" s="429">
        <f>IFERROR(MIN('LP Reactivos'!F511,'LP Reactivos'!I511,'LP Reactivos'!N511,'LP Reactivos'!S511,'LP Reactivos'!X511,'LP Reactivos'!AC511,'LP Reactivos'!AH511,'LP Reactivos'!AM511,'LP Reactivos'!AR511,'LP Reactivos'!AW511,'LP Reactivos'!BB511,'LP Reactivos'!BG511,'LP Reactivos'!BL511,'LP Reactivos'!BQ511,'LP Reactivos'!BV511,'LP Reactivos'!CA511,'LP Reactivos'!CF511,'LP Reactivos'!CK511,'LP Reactivos'!CP511,'LP Reactivos'!CU511,'LP Reactivos'!CZ511,'LP Reactivos'!DE511,'LP Reactivos'!DJ511,'LP Reactivos'!DO511,'LP Reactivos'!DT511,'LP Reactivos'!DY511,'LP Reactivos'!EB511)," ")</f>
        <v>471240</v>
      </c>
      <c r="E511" s="429">
        <f>IFERROR(AVERAGE('LP Reactivos'!F511,'LP Reactivos'!I511,'LP Reactivos'!N511,'LP Reactivos'!S511,'LP Reactivos'!X511,'LP Reactivos'!AC511,'LP Reactivos'!AH511,'LP Reactivos'!AM511,'LP Reactivos'!AR511,'LP Reactivos'!AW511,'LP Reactivos'!BB511,'LP Reactivos'!BG511,'LP Reactivos'!BL511,'LP Reactivos'!BQ511,'LP Reactivos'!BV511,'LP Reactivos'!CA511,'LP Reactivos'!CF511,'LP Reactivos'!CK511,'LP Reactivos'!CP511,'LP Reactivos'!CU511,'LP Reactivos'!CZ511,'LP Reactivos'!DE511,'LP Reactivos'!DJ511,'LP Reactivos'!DO511,'LP Reactivos'!DT511,'LP Reactivos'!DY511,'LP Reactivos'!EB511)," ")</f>
        <v>471240</v>
      </c>
      <c r="F511" s="345">
        <f>IFERROR(MEDIAN('LP Reactivos'!F511,'LP Reactivos'!I511,'LP Reactivos'!N511,'LP Reactivos'!S511,'LP Reactivos'!X511,'LP Reactivos'!AC511,'LP Reactivos'!AH511,'LP Reactivos'!AM511,'LP Reactivos'!AR511,'LP Reactivos'!AW511,'LP Reactivos'!BB511,'LP Reactivos'!BG511,'LP Reactivos'!BL511,'LP Reactivos'!BQ511,'LP Reactivos'!BV511,'LP Reactivos'!CA511,'LP Reactivos'!CF511,'LP Reactivos'!CK511,'LP Reactivos'!CP511,'LP Reactivos'!CU511,'LP Reactivos'!CZ511,'LP Reactivos'!DE511,'LP Reactivos'!DJ511,'LP Reactivos'!DO511,'LP Reactivos'!DT511,'LP Reactivos'!DY511,'LP Reactivos'!EB511)," ")</f>
        <v>471240</v>
      </c>
      <c r="G511" s="345">
        <f>IFERROR(GEOMEAN('LP Reactivos'!F511,'LP Reactivos'!I511,'LP Reactivos'!N511,'LP Reactivos'!S511,'LP Reactivos'!X511,'LP Reactivos'!AC511,'LP Reactivos'!AH511,'LP Reactivos'!AM511,'LP Reactivos'!AR511,'LP Reactivos'!AW511,'LP Reactivos'!BB511,'LP Reactivos'!BG511,'LP Reactivos'!BL511,'LP Reactivos'!BQ511,'LP Reactivos'!BV511,'LP Reactivos'!CA511,'LP Reactivos'!CF511,'LP Reactivos'!CK511,'LP Reactivos'!CP511,'LP Reactivos'!CU511,'LP Reactivos'!CZ511,'LP Reactivos'!DE511,'LP Reactivos'!DJ511,'LP Reactivos'!DO511,'LP Reactivos'!DT511,'LP Reactivos'!DY511,'LP Reactivos'!EB511)," ")</f>
        <v>471240</v>
      </c>
      <c r="H511" s="345">
        <f t="shared" si="32"/>
        <v>0</v>
      </c>
      <c r="I511" s="346">
        <f t="shared" si="33"/>
        <v>0</v>
      </c>
      <c r="J511" s="345">
        <f t="shared" si="34"/>
        <v>471240</v>
      </c>
      <c r="K511" s="344" t="str">
        <f t="shared" si="35"/>
        <v>Menor Valor</v>
      </c>
      <c r="L511" s="326">
        <f>IFERROR(COUNTA('LP Reactivos'!F511,'LP Reactivos'!I511,'LP Reactivos'!N511,'LP Reactivos'!S511,'LP Reactivos'!X511,'LP Reactivos'!AC511,'LP Reactivos'!AH511,'LP Reactivos'!AM511,'LP Reactivos'!AR511,'LP Reactivos'!AW511,'LP Reactivos'!BB511,'LP Reactivos'!BG511,'LP Reactivos'!BL511,'LP Reactivos'!BQ511,'LP Reactivos'!BV511,'LP Reactivos'!CA511,'LP Reactivos'!CF511,'LP Reactivos'!CK511,'LP Reactivos'!CP511,'LP Reactivos'!CU511,'LP Reactivos'!CZ511,'LP Reactivos'!DE511,'LP Reactivos'!DJ511,'LP Reactivos'!DO511,'LP Reactivos'!DT511,'LP Reactivos'!DY511,'LP Reactivos'!EB511)," ")</f>
        <v>1</v>
      </c>
    </row>
    <row r="512" spans="2:12" x14ac:dyDescent="0.25">
      <c r="B512" s="425">
        <v>510</v>
      </c>
      <c r="C512" s="427" t="s">
        <v>2382</v>
      </c>
      <c r="D512" s="429">
        <f>IFERROR(MIN('LP Reactivos'!F512,'LP Reactivos'!I512,'LP Reactivos'!N512,'LP Reactivos'!S512,'LP Reactivos'!X512,'LP Reactivos'!AC512,'LP Reactivos'!AH512,'LP Reactivos'!AM512,'LP Reactivos'!AR512,'LP Reactivos'!AW512,'LP Reactivos'!BB512,'LP Reactivos'!BG512,'LP Reactivos'!BL512,'LP Reactivos'!BQ512,'LP Reactivos'!BV512,'LP Reactivos'!CA512,'LP Reactivos'!CF512,'LP Reactivos'!CK512,'LP Reactivos'!CP512,'LP Reactivos'!CU512,'LP Reactivos'!CZ512,'LP Reactivos'!DE512,'LP Reactivos'!DJ512,'LP Reactivos'!DO512,'LP Reactivos'!DT512,'LP Reactivos'!DY512,'LP Reactivos'!EB512)," ")</f>
        <v>240975</v>
      </c>
      <c r="E512" s="429">
        <f>IFERROR(AVERAGE('LP Reactivos'!F512,'LP Reactivos'!I512,'LP Reactivos'!N512,'LP Reactivos'!S512,'LP Reactivos'!X512,'LP Reactivos'!AC512,'LP Reactivos'!AH512,'LP Reactivos'!AM512,'LP Reactivos'!AR512,'LP Reactivos'!AW512,'LP Reactivos'!BB512,'LP Reactivos'!BG512,'LP Reactivos'!BL512,'LP Reactivos'!BQ512,'LP Reactivos'!BV512,'LP Reactivos'!CA512,'LP Reactivos'!CF512,'LP Reactivos'!CK512,'LP Reactivos'!CP512,'LP Reactivos'!CU512,'LP Reactivos'!CZ512,'LP Reactivos'!DE512,'LP Reactivos'!DJ512,'LP Reactivos'!DO512,'LP Reactivos'!DT512,'LP Reactivos'!DY512,'LP Reactivos'!EB512)," ")</f>
        <v>918635.375</v>
      </c>
      <c r="F512" s="345">
        <f>IFERROR(MEDIAN('LP Reactivos'!F512,'LP Reactivos'!I512,'LP Reactivos'!N512,'LP Reactivos'!S512,'LP Reactivos'!X512,'LP Reactivos'!AC512,'LP Reactivos'!AH512,'LP Reactivos'!AM512,'LP Reactivos'!AR512,'LP Reactivos'!AW512,'LP Reactivos'!BB512,'LP Reactivos'!BG512,'LP Reactivos'!BL512,'LP Reactivos'!BQ512,'LP Reactivos'!BV512,'LP Reactivos'!CA512,'LP Reactivos'!CF512,'LP Reactivos'!CK512,'LP Reactivos'!CP512,'LP Reactivos'!CU512,'LP Reactivos'!CZ512,'LP Reactivos'!DE512,'LP Reactivos'!DJ512,'LP Reactivos'!DO512,'LP Reactivos'!DT512,'LP Reactivos'!DY512,'LP Reactivos'!EB512)," ")</f>
        <v>456573.25</v>
      </c>
      <c r="G512" s="345">
        <f>IFERROR(GEOMEAN('LP Reactivos'!F512,'LP Reactivos'!I512,'LP Reactivos'!N512,'LP Reactivos'!S512,'LP Reactivos'!X512,'LP Reactivos'!AC512,'LP Reactivos'!AH512,'LP Reactivos'!AM512,'LP Reactivos'!AR512,'LP Reactivos'!AW512,'LP Reactivos'!BB512,'LP Reactivos'!BG512,'LP Reactivos'!BL512,'LP Reactivos'!BQ512,'LP Reactivos'!BV512,'LP Reactivos'!CA512,'LP Reactivos'!CF512,'LP Reactivos'!CK512,'LP Reactivos'!CP512,'LP Reactivos'!CU512,'LP Reactivos'!CZ512,'LP Reactivos'!DE512,'LP Reactivos'!DJ512,'LP Reactivos'!DO512,'LP Reactivos'!DT512,'LP Reactivos'!DY512,'LP Reactivos'!EB512)," ")</f>
        <v>591671.96854641172</v>
      </c>
      <c r="H512" s="345">
        <f t="shared" si="32"/>
        <v>283923.80040954321</v>
      </c>
      <c r="I512" s="346">
        <f t="shared" si="33"/>
        <v>0.30907126824888842</v>
      </c>
      <c r="J512" s="345">
        <f>IF(I512&lt;=10%,F512,IF(AND(I512&gt;10%,I512&lt;=20%),E512,IF(AND(I512&gt;20%,I512&lt;=31%),G512,IF(I512&gt;31%,D512))))</f>
        <v>591671.96854641172</v>
      </c>
      <c r="K512" s="344" t="str">
        <f t="shared" si="35"/>
        <v>Media Geométrica</v>
      </c>
      <c r="L512" s="326">
        <f>IFERROR(COUNTA('LP Reactivos'!F512,'LP Reactivos'!I512,'LP Reactivos'!N512,'LP Reactivos'!S512,'LP Reactivos'!X512,'LP Reactivos'!AC512,'LP Reactivos'!AH512,'LP Reactivos'!AM512,'LP Reactivos'!AR512,'LP Reactivos'!AW512,'LP Reactivos'!BB512,'LP Reactivos'!BG512,'LP Reactivos'!BL512,'LP Reactivos'!BQ512,'LP Reactivos'!BV512,'LP Reactivos'!CA512,'LP Reactivos'!CF512,'LP Reactivos'!CK512,'LP Reactivos'!CP512,'LP Reactivos'!CU512,'LP Reactivos'!CZ512,'LP Reactivos'!DE512,'LP Reactivos'!DJ512,'LP Reactivos'!DO512,'LP Reactivos'!DT512,'LP Reactivos'!DY512,'LP Reactivos'!EB512)," ")</f>
        <v>4</v>
      </c>
    </row>
    <row r="513" spans="2:12" ht="27" x14ac:dyDescent="0.25">
      <c r="B513" s="425">
        <v>511</v>
      </c>
      <c r="C513" s="413" t="s">
        <v>2388</v>
      </c>
      <c r="D513" s="429">
        <f>IFERROR(MIN('LP Reactivos'!F513,'LP Reactivos'!I513,'LP Reactivos'!N513,'LP Reactivos'!S513,'LP Reactivos'!X513,'LP Reactivos'!AC513,'LP Reactivos'!AH513,'LP Reactivos'!AM513,'LP Reactivos'!AR513,'LP Reactivos'!AW513,'LP Reactivos'!BB513,'LP Reactivos'!BG513,'LP Reactivos'!BL513,'LP Reactivos'!BQ513,'LP Reactivos'!BV513,'LP Reactivos'!CA513,'LP Reactivos'!CF513,'LP Reactivos'!CK513,'LP Reactivos'!CP513,'LP Reactivos'!CU513,'LP Reactivos'!CZ513,'LP Reactivos'!DE513,'LP Reactivos'!DJ513,'LP Reactivos'!DO513,'LP Reactivos'!DT513,'LP Reactivos'!DY513,'LP Reactivos'!EB513)," ")</f>
        <v>353000</v>
      </c>
      <c r="E513" s="429">
        <f>IFERROR(AVERAGE('LP Reactivos'!F513,'LP Reactivos'!I513,'LP Reactivos'!N513,'LP Reactivos'!S513,'LP Reactivos'!X513,'LP Reactivos'!AC513,'LP Reactivos'!AH513,'LP Reactivos'!AM513,'LP Reactivos'!AR513,'LP Reactivos'!AW513,'LP Reactivos'!BB513,'LP Reactivos'!BG513,'LP Reactivos'!BL513,'LP Reactivos'!BQ513,'LP Reactivos'!BV513,'LP Reactivos'!CA513,'LP Reactivos'!CF513,'LP Reactivos'!CK513,'LP Reactivos'!CP513,'LP Reactivos'!CU513,'LP Reactivos'!CZ513,'LP Reactivos'!DE513,'LP Reactivos'!DJ513,'LP Reactivos'!DO513,'LP Reactivos'!DT513,'LP Reactivos'!DY513,'LP Reactivos'!EB513)," ")</f>
        <v>353000</v>
      </c>
      <c r="F513" s="345">
        <f>IFERROR(MEDIAN('LP Reactivos'!F513,'LP Reactivos'!I513,'LP Reactivos'!N513,'LP Reactivos'!S513,'LP Reactivos'!X513,'LP Reactivos'!AC513,'LP Reactivos'!AH513,'LP Reactivos'!AM513,'LP Reactivos'!AR513,'LP Reactivos'!AW513,'LP Reactivos'!BB513,'LP Reactivos'!BG513,'LP Reactivos'!BL513,'LP Reactivos'!BQ513,'LP Reactivos'!BV513,'LP Reactivos'!CA513,'LP Reactivos'!CF513,'LP Reactivos'!CK513,'LP Reactivos'!CP513,'LP Reactivos'!CU513,'LP Reactivos'!CZ513,'LP Reactivos'!DE513,'LP Reactivos'!DJ513,'LP Reactivos'!DO513,'LP Reactivos'!DT513,'LP Reactivos'!DY513,'LP Reactivos'!EB513)," ")</f>
        <v>353000</v>
      </c>
      <c r="G513" s="345">
        <f>IFERROR(GEOMEAN('LP Reactivos'!F513,'LP Reactivos'!I513,'LP Reactivos'!N513,'LP Reactivos'!S513,'LP Reactivos'!X513,'LP Reactivos'!AC513,'LP Reactivos'!AH513,'LP Reactivos'!AM513,'LP Reactivos'!AR513,'LP Reactivos'!AW513,'LP Reactivos'!BB513,'LP Reactivos'!BG513,'LP Reactivos'!BL513,'LP Reactivos'!BQ513,'LP Reactivos'!BV513,'LP Reactivos'!CA513,'LP Reactivos'!CF513,'LP Reactivos'!CK513,'LP Reactivos'!CP513,'LP Reactivos'!CU513,'LP Reactivos'!CZ513,'LP Reactivos'!DE513,'LP Reactivos'!DJ513,'LP Reactivos'!DO513,'LP Reactivos'!DT513,'LP Reactivos'!DY513,'LP Reactivos'!EB513)," ")</f>
        <v>353000</v>
      </c>
      <c r="H513" s="345">
        <f t="shared" ref="H513:H574" si="36">STDEVA(D513,E513,F513,G513)</f>
        <v>0</v>
      </c>
      <c r="I513" s="346">
        <f t="shared" ref="I513:I574" si="37">IFERROR(H513/E513," ")</f>
        <v>0</v>
      </c>
      <c r="J513" s="345">
        <f t="shared" ref="J513:J574" si="38">IF(I513&lt;=10%,F513,IF(AND(I513&gt;10%,I513&lt;=20%),E513,IF(AND(I513&gt;20%,I513&lt;=30%),G513,IF(I513&gt;30%,D513))))</f>
        <v>353000</v>
      </c>
      <c r="K513" s="344" t="str">
        <f t="shared" ref="K513:K574" si="39">IF(J513=D513,"Menor Valor",IF(J513=E513,"Promedio",IF(J513=F513,"Mediana",IF(J513=G513,"Media Geométrica"," "))))</f>
        <v>Menor Valor</v>
      </c>
      <c r="L513" s="326">
        <f>IFERROR(COUNTA('LP Reactivos'!F513,'LP Reactivos'!I513,'LP Reactivos'!N513,'LP Reactivos'!S513,'LP Reactivos'!X513,'LP Reactivos'!AC513,'LP Reactivos'!AH513,'LP Reactivos'!AM513,'LP Reactivos'!AR513,'LP Reactivos'!AW513,'LP Reactivos'!BB513,'LP Reactivos'!BG513,'LP Reactivos'!BL513,'LP Reactivos'!BQ513,'LP Reactivos'!BV513,'LP Reactivos'!CA513,'LP Reactivos'!CF513,'LP Reactivos'!CK513,'LP Reactivos'!CP513,'LP Reactivos'!CU513,'LP Reactivos'!CZ513,'LP Reactivos'!DE513,'LP Reactivos'!DJ513,'LP Reactivos'!DO513,'LP Reactivos'!DT513,'LP Reactivos'!DY513,'LP Reactivos'!EB513)," ")</f>
        <v>1</v>
      </c>
    </row>
    <row r="514" spans="2:12" ht="27" x14ac:dyDescent="0.25">
      <c r="B514" s="425">
        <v>512</v>
      </c>
      <c r="C514" s="426" t="s">
        <v>2390</v>
      </c>
      <c r="D514" s="429">
        <f>IFERROR(MIN('LP Reactivos'!F514,'LP Reactivos'!I514,'LP Reactivos'!N514,'LP Reactivos'!S514,'LP Reactivos'!X514,'LP Reactivos'!AC514,'LP Reactivos'!AH514,'LP Reactivos'!AM514,'LP Reactivos'!AR514,'LP Reactivos'!AW514,'LP Reactivos'!BB514,'LP Reactivos'!BG514,'LP Reactivos'!BL514,'LP Reactivos'!BQ514,'LP Reactivos'!BV514,'LP Reactivos'!CA514,'LP Reactivos'!CF514,'LP Reactivos'!CK514,'LP Reactivos'!CP514,'LP Reactivos'!CU514,'LP Reactivos'!CZ514,'LP Reactivos'!DE514,'LP Reactivos'!DJ514,'LP Reactivos'!DO514,'LP Reactivos'!DT514,'LP Reactivos'!DY514,'LP Reactivos'!EB514)," ")</f>
        <v>3216661.5347999996</v>
      </c>
      <c r="E514" s="429">
        <f>IFERROR(AVERAGE('LP Reactivos'!F514,'LP Reactivos'!I514,'LP Reactivos'!N514,'LP Reactivos'!S514,'LP Reactivos'!X514,'LP Reactivos'!AC514,'LP Reactivos'!AH514,'LP Reactivos'!AM514,'LP Reactivos'!AR514,'LP Reactivos'!AW514,'LP Reactivos'!BB514,'LP Reactivos'!BG514,'LP Reactivos'!BL514,'LP Reactivos'!BQ514,'LP Reactivos'!BV514,'LP Reactivos'!CA514,'LP Reactivos'!CF514,'LP Reactivos'!CK514,'LP Reactivos'!CP514,'LP Reactivos'!CU514,'LP Reactivos'!CZ514,'LP Reactivos'!DE514,'LP Reactivos'!DJ514,'LP Reactivos'!DO514,'LP Reactivos'!DT514,'LP Reactivos'!DY514,'LP Reactivos'!EB514)," ")</f>
        <v>3311815.7673999998</v>
      </c>
      <c r="F514" s="345">
        <f>IFERROR(MEDIAN('LP Reactivos'!F514,'LP Reactivos'!I514,'LP Reactivos'!N514,'LP Reactivos'!S514,'LP Reactivos'!X514,'LP Reactivos'!AC514,'LP Reactivos'!AH514,'LP Reactivos'!AM514,'LP Reactivos'!AR514,'LP Reactivos'!AW514,'LP Reactivos'!BB514,'LP Reactivos'!BG514,'LP Reactivos'!BL514,'LP Reactivos'!BQ514,'LP Reactivos'!BV514,'LP Reactivos'!CA514,'LP Reactivos'!CF514,'LP Reactivos'!CK514,'LP Reactivos'!CP514,'LP Reactivos'!CU514,'LP Reactivos'!CZ514,'LP Reactivos'!DE514,'LP Reactivos'!DJ514,'LP Reactivos'!DO514,'LP Reactivos'!DT514,'LP Reactivos'!DY514,'LP Reactivos'!EB514)," ")</f>
        <v>3311815.7673999998</v>
      </c>
      <c r="G514" s="345">
        <f>IFERROR(GEOMEAN('LP Reactivos'!F514,'LP Reactivos'!I514,'LP Reactivos'!N514,'LP Reactivos'!S514,'LP Reactivos'!X514,'LP Reactivos'!AC514,'LP Reactivos'!AH514,'LP Reactivos'!AM514,'LP Reactivos'!AR514,'LP Reactivos'!AW514,'LP Reactivos'!BB514,'LP Reactivos'!BG514,'LP Reactivos'!BL514,'LP Reactivos'!BQ514,'LP Reactivos'!BV514,'LP Reactivos'!CA514,'LP Reactivos'!CF514,'LP Reactivos'!CK514,'LP Reactivos'!CP514,'LP Reactivos'!CU514,'LP Reactivos'!CZ514,'LP Reactivos'!DE514,'LP Reactivos'!DJ514,'LP Reactivos'!DO514,'LP Reactivos'!DT514,'LP Reactivos'!DY514,'LP Reactivos'!EB514)," ")</f>
        <v>3310448.5117907445</v>
      </c>
      <c r="H514" s="345">
        <f t="shared" si="36"/>
        <v>47353.626922210242</v>
      </c>
      <c r="I514" s="346">
        <f t="shared" si="37"/>
        <v>1.4298388028808152E-2</v>
      </c>
      <c r="J514" s="345">
        <f t="shared" si="38"/>
        <v>3311815.7673999998</v>
      </c>
      <c r="K514" s="344" t="str">
        <f t="shared" si="39"/>
        <v>Promedio</v>
      </c>
      <c r="L514" s="326">
        <f>IFERROR(COUNTA('LP Reactivos'!F514,'LP Reactivos'!I514,'LP Reactivos'!N514,'LP Reactivos'!S514,'LP Reactivos'!X514,'LP Reactivos'!AC514,'LP Reactivos'!AH514,'LP Reactivos'!AM514,'LP Reactivos'!AR514,'LP Reactivos'!AW514,'LP Reactivos'!BB514,'LP Reactivos'!BG514,'LP Reactivos'!BL514,'LP Reactivos'!BQ514,'LP Reactivos'!BV514,'LP Reactivos'!CA514,'LP Reactivos'!CF514,'LP Reactivos'!CK514,'LP Reactivos'!CP514,'LP Reactivos'!CU514,'LP Reactivos'!CZ514,'LP Reactivos'!DE514,'LP Reactivos'!DJ514,'LP Reactivos'!DO514,'LP Reactivos'!DT514,'LP Reactivos'!DY514,'LP Reactivos'!EB514)," ")</f>
        <v>2</v>
      </c>
    </row>
    <row r="515" spans="2:12" ht="40.5" x14ac:dyDescent="0.25">
      <c r="B515" s="425">
        <v>513</v>
      </c>
      <c r="C515" s="427" t="s">
        <v>2394</v>
      </c>
      <c r="D515" s="429">
        <f>IFERROR(MIN('LP Reactivos'!F515,'LP Reactivos'!I515,'LP Reactivos'!N515,'LP Reactivos'!S515,'LP Reactivos'!X515,'LP Reactivos'!AC515,'LP Reactivos'!AH515,'LP Reactivos'!AM515,'LP Reactivos'!AR515,'LP Reactivos'!AW515,'LP Reactivos'!BB515,'LP Reactivos'!BG515,'LP Reactivos'!BL515,'LP Reactivos'!BQ515,'LP Reactivos'!BV515,'LP Reactivos'!CA515,'LP Reactivos'!CF515,'LP Reactivos'!CK515,'LP Reactivos'!CP515,'LP Reactivos'!CU515,'LP Reactivos'!CZ515,'LP Reactivos'!DE515,'LP Reactivos'!DJ515,'LP Reactivos'!DO515,'LP Reactivos'!DT515,'LP Reactivos'!DY515,'LP Reactivos'!EB515)," ")</f>
        <v>568820</v>
      </c>
      <c r="E515" s="429">
        <f>IFERROR(AVERAGE('LP Reactivos'!F515,'LP Reactivos'!I515,'LP Reactivos'!N515,'LP Reactivos'!S515,'LP Reactivos'!X515,'LP Reactivos'!AC515,'LP Reactivos'!AH515,'LP Reactivos'!AM515,'LP Reactivos'!AR515,'LP Reactivos'!AW515,'LP Reactivos'!BB515,'LP Reactivos'!BG515,'LP Reactivos'!BL515,'LP Reactivos'!BQ515,'LP Reactivos'!BV515,'LP Reactivos'!CA515,'LP Reactivos'!CF515,'LP Reactivos'!CK515,'LP Reactivos'!CP515,'LP Reactivos'!CU515,'LP Reactivos'!CZ515,'LP Reactivos'!DE515,'LP Reactivos'!DJ515,'LP Reactivos'!DO515,'LP Reactivos'!DT515,'LP Reactivos'!DY515,'LP Reactivos'!EB515)," ")</f>
        <v>1285259.5</v>
      </c>
      <c r="F515" s="345">
        <f>IFERROR(MEDIAN('LP Reactivos'!F515,'LP Reactivos'!I515,'LP Reactivos'!N515,'LP Reactivos'!S515,'LP Reactivos'!X515,'LP Reactivos'!AC515,'LP Reactivos'!AH515,'LP Reactivos'!AM515,'LP Reactivos'!AR515,'LP Reactivos'!AW515,'LP Reactivos'!BB515,'LP Reactivos'!BG515,'LP Reactivos'!BL515,'LP Reactivos'!BQ515,'LP Reactivos'!BV515,'LP Reactivos'!CA515,'LP Reactivos'!CF515,'LP Reactivos'!CK515,'LP Reactivos'!CP515,'LP Reactivos'!CU515,'LP Reactivos'!CZ515,'LP Reactivos'!DE515,'LP Reactivos'!DJ515,'LP Reactivos'!DO515,'LP Reactivos'!DT515,'LP Reactivos'!DY515,'LP Reactivos'!EB515)," ")</f>
        <v>1285259.5</v>
      </c>
      <c r="G515" s="345">
        <f>IFERROR(GEOMEAN('LP Reactivos'!F515,'LP Reactivos'!I515,'LP Reactivos'!N515,'LP Reactivos'!S515,'LP Reactivos'!X515,'LP Reactivos'!AC515,'LP Reactivos'!AH515,'LP Reactivos'!AM515,'LP Reactivos'!AR515,'LP Reactivos'!AW515,'LP Reactivos'!BB515,'LP Reactivos'!BG515,'LP Reactivos'!BL515,'LP Reactivos'!BQ515,'LP Reactivos'!BV515,'LP Reactivos'!CA515,'LP Reactivos'!CF515,'LP Reactivos'!CK515,'LP Reactivos'!CP515,'LP Reactivos'!CU515,'LP Reactivos'!CZ515,'LP Reactivos'!DE515,'LP Reactivos'!DJ515,'LP Reactivos'!DO515,'LP Reactivos'!DT515,'LP Reactivos'!DY515,'LP Reactivos'!EB515)," ")</f>
        <v>1067055.0244387588</v>
      </c>
      <c r="H515" s="345">
        <f t="shared" si="36"/>
        <v>337889.97718782892</v>
      </c>
      <c r="I515" s="346">
        <f t="shared" si="37"/>
        <v>0.26289630785676271</v>
      </c>
      <c r="J515" s="345">
        <f t="shared" si="38"/>
        <v>1067055.0244387588</v>
      </c>
      <c r="K515" s="344" t="str">
        <f t="shared" si="39"/>
        <v>Media Geométrica</v>
      </c>
      <c r="L515" s="326">
        <f>IFERROR(COUNTA('LP Reactivos'!F515,'LP Reactivos'!I515,'LP Reactivos'!N515,'LP Reactivos'!S515,'LP Reactivos'!X515,'LP Reactivos'!AC515,'LP Reactivos'!AH515,'LP Reactivos'!AM515,'LP Reactivos'!AR515,'LP Reactivos'!AW515,'LP Reactivos'!BB515,'LP Reactivos'!BG515,'LP Reactivos'!BL515,'LP Reactivos'!BQ515,'LP Reactivos'!BV515,'LP Reactivos'!CA515,'LP Reactivos'!CF515,'LP Reactivos'!CK515,'LP Reactivos'!CP515,'LP Reactivos'!CU515,'LP Reactivos'!CZ515,'LP Reactivos'!DE515,'LP Reactivos'!DJ515,'LP Reactivos'!DO515,'LP Reactivos'!DT515,'LP Reactivos'!DY515,'LP Reactivos'!EB515)," ")</f>
        <v>2</v>
      </c>
    </row>
    <row r="516" spans="2:12" ht="27" x14ac:dyDescent="0.25">
      <c r="B516" s="425">
        <v>514</v>
      </c>
      <c r="C516" s="427" t="s">
        <v>2398</v>
      </c>
      <c r="D516" s="429">
        <f>IFERROR(MIN('LP Reactivos'!F516,'LP Reactivos'!I516,'LP Reactivos'!N516,'LP Reactivos'!S516,'LP Reactivos'!X516,'LP Reactivos'!AC516,'LP Reactivos'!AH516,'LP Reactivos'!AM516,'LP Reactivos'!AR516,'LP Reactivos'!AW516,'LP Reactivos'!BB516,'LP Reactivos'!BG516,'LP Reactivos'!BL516,'LP Reactivos'!BQ516,'LP Reactivos'!BV516,'LP Reactivos'!CA516,'LP Reactivos'!CF516,'LP Reactivos'!CK516,'LP Reactivos'!CP516,'LP Reactivos'!CU516,'LP Reactivos'!CZ516,'LP Reactivos'!DE516,'LP Reactivos'!DJ516,'LP Reactivos'!DO516,'LP Reactivos'!DT516,'LP Reactivos'!DY516,'LP Reactivos'!EB516)," ")</f>
        <v>571200</v>
      </c>
      <c r="E516" s="429">
        <f>IFERROR(AVERAGE('LP Reactivos'!F516,'LP Reactivos'!I516,'LP Reactivos'!N516,'LP Reactivos'!S516,'LP Reactivos'!X516,'LP Reactivos'!AC516,'LP Reactivos'!AH516,'LP Reactivos'!AM516,'LP Reactivos'!AR516,'LP Reactivos'!AW516,'LP Reactivos'!BB516,'LP Reactivos'!BG516,'LP Reactivos'!BL516,'LP Reactivos'!BQ516,'LP Reactivos'!BV516,'LP Reactivos'!CA516,'LP Reactivos'!CF516,'LP Reactivos'!CK516,'LP Reactivos'!CP516,'LP Reactivos'!CU516,'LP Reactivos'!CZ516,'LP Reactivos'!DE516,'LP Reactivos'!DJ516,'LP Reactivos'!DO516,'LP Reactivos'!DT516,'LP Reactivos'!DY516,'LP Reactivos'!EB516)," ")</f>
        <v>1267417.96685</v>
      </c>
      <c r="F516" s="345">
        <f>IFERROR(MEDIAN('LP Reactivos'!F516,'LP Reactivos'!I516,'LP Reactivos'!N516,'LP Reactivos'!S516,'LP Reactivos'!X516,'LP Reactivos'!AC516,'LP Reactivos'!AH516,'LP Reactivos'!AM516,'LP Reactivos'!AR516,'LP Reactivos'!AW516,'LP Reactivos'!BB516,'LP Reactivos'!BG516,'LP Reactivos'!BL516,'LP Reactivos'!BQ516,'LP Reactivos'!BV516,'LP Reactivos'!CA516,'LP Reactivos'!CF516,'LP Reactivos'!CK516,'LP Reactivos'!CP516,'LP Reactivos'!CU516,'LP Reactivos'!CZ516,'LP Reactivos'!DE516,'LP Reactivos'!DJ516,'LP Reactivos'!DO516,'LP Reactivos'!DT516,'LP Reactivos'!DY516,'LP Reactivos'!EB516)," ")</f>
        <v>737020.55</v>
      </c>
      <c r="G516" s="345">
        <f>IFERROR(GEOMEAN('LP Reactivos'!F516,'LP Reactivos'!I516,'LP Reactivos'!N516,'LP Reactivos'!S516,'LP Reactivos'!X516,'LP Reactivos'!AC516,'LP Reactivos'!AH516,'LP Reactivos'!AM516,'LP Reactivos'!AR516,'LP Reactivos'!AW516,'LP Reactivos'!BB516,'LP Reactivos'!BG516,'LP Reactivos'!BL516,'LP Reactivos'!BQ516,'LP Reactivos'!BV516,'LP Reactivos'!CA516,'LP Reactivos'!CF516,'LP Reactivos'!CK516,'LP Reactivos'!CP516,'LP Reactivos'!CU516,'LP Reactivos'!CZ516,'LP Reactivos'!DE516,'LP Reactivos'!DJ516,'LP Reactivos'!DO516,'LP Reactivos'!DT516,'LP Reactivos'!DY516,'LP Reactivos'!EB516)," ")</f>
        <v>980169.11555639596</v>
      </c>
      <c r="H516" s="345">
        <f t="shared" si="36"/>
        <v>303098.74586631672</v>
      </c>
      <c r="I516" s="346">
        <f t="shared" si="37"/>
        <v>0.2391466381209891</v>
      </c>
      <c r="J516" s="345">
        <f t="shared" si="38"/>
        <v>980169.11555639596</v>
      </c>
      <c r="K516" s="344" t="str">
        <f t="shared" si="39"/>
        <v>Media Geométrica</v>
      </c>
      <c r="L516" s="326">
        <f>IFERROR(COUNTA('LP Reactivos'!F516,'LP Reactivos'!I516,'LP Reactivos'!N516,'LP Reactivos'!S516,'LP Reactivos'!X516,'LP Reactivos'!AC516,'LP Reactivos'!AH516,'LP Reactivos'!AM516,'LP Reactivos'!AR516,'LP Reactivos'!AW516,'LP Reactivos'!BB516,'LP Reactivos'!BG516,'LP Reactivos'!BL516,'LP Reactivos'!BQ516,'LP Reactivos'!BV516,'LP Reactivos'!CA516,'LP Reactivos'!CF516,'LP Reactivos'!CK516,'LP Reactivos'!CP516,'LP Reactivos'!CU516,'LP Reactivos'!CZ516,'LP Reactivos'!DE516,'LP Reactivos'!DJ516,'LP Reactivos'!DO516,'LP Reactivos'!DT516,'LP Reactivos'!DY516,'LP Reactivos'!EB516)," ")</f>
        <v>4</v>
      </c>
    </row>
    <row r="517" spans="2:12" ht="67.5" x14ac:dyDescent="0.25">
      <c r="B517" s="425">
        <v>515</v>
      </c>
      <c r="C517" s="426" t="s">
        <v>2403</v>
      </c>
      <c r="D517" s="429">
        <f>IFERROR(MIN('LP Reactivos'!F517,'LP Reactivos'!I517,'LP Reactivos'!N517,'LP Reactivos'!S517,'LP Reactivos'!X517,'LP Reactivos'!AC517,'LP Reactivos'!AH517,'LP Reactivos'!AM517,'LP Reactivos'!AR517,'LP Reactivos'!AW517,'LP Reactivos'!BB517,'LP Reactivos'!BG517,'LP Reactivos'!BL517,'LP Reactivos'!BQ517,'LP Reactivos'!BV517,'LP Reactivos'!CA517,'LP Reactivos'!CF517,'LP Reactivos'!CK517,'LP Reactivos'!CP517,'LP Reactivos'!CU517,'LP Reactivos'!CZ517,'LP Reactivos'!DE517,'LP Reactivos'!DJ517,'LP Reactivos'!DO517,'LP Reactivos'!DT517,'LP Reactivos'!DY517,'LP Reactivos'!EB517)," ")</f>
        <v>571200</v>
      </c>
      <c r="E517" s="429">
        <f>IFERROR(AVERAGE('LP Reactivos'!F517,'LP Reactivos'!I517,'LP Reactivos'!N517,'LP Reactivos'!S517,'LP Reactivos'!X517,'LP Reactivos'!AC517,'LP Reactivos'!AH517,'LP Reactivos'!AM517,'LP Reactivos'!AR517,'LP Reactivos'!AW517,'LP Reactivos'!BB517,'LP Reactivos'!BG517,'LP Reactivos'!BL517,'LP Reactivos'!BQ517,'LP Reactivos'!BV517,'LP Reactivos'!CA517,'LP Reactivos'!CF517,'LP Reactivos'!CK517,'LP Reactivos'!CP517,'LP Reactivos'!CU517,'LP Reactivos'!CZ517,'LP Reactivos'!DE517,'LP Reactivos'!DJ517,'LP Reactivos'!DO517,'LP Reactivos'!DT517,'LP Reactivos'!DY517,'LP Reactivos'!EB517)," ")</f>
        <v>939184.61629999999</v>
      </c>
      <c r="F517" s="345">
        <f>IFERROR(MEDIAN('LP Reactivos'!F517,'LP Reactivos'!I517,'LP Reactivos'!N517,'LP Reactivos'!S517,'LP Reactivos'!X517,'LP Reactivos'!AC517,'LP Reactivos'!AH517,'LP Reactivos'!AM517,'LP Reactivos'!AR517,'LP Reactivos'!AW517,'LP Reactivos'!BB517,'LP Reactivos'!BG517,'LP Reactivos'!BL517,'LP Reactivos'!BQ517,'LP Reactivos'!BV517,'LP Reactivos'!CA517,'LP Reactivos'!CF517,'LP Reactivos'!CK517,'LP Reactivos'!CP517,'LP Reactivos'!CU517,'LP Reactivos'!CZ517,'LP Reactivos'!DE517,'LP Reactivos'!DJ517,'LP Reactivos'!DO517,'LP Reactivos'!DT517,'LP Reactivos'!DY517,'LP Reactivos'!EB517)," ")</f>
        <v>939184.61629999999</v>
      </c>
      <c r="G517" s="345">
        <f>IFERROR(GEOMEAN('LP Reactivos'!F517,'LP Reactivos'!I517,'LP Reactivos'!N517,'LP Reactivos'!S517,'LP Reactivos'!X517,'LP Reactivos'!AC517,'LP Reactivos'!AH517,'LP Reactivos'!AM517,'LP Reactivos'!AR517,'LP Reactivos'!AW517,'LP Reactivos'!BB517,'LP Reactivos'!BG517,'LP Reactivos'!BL517,'LP Reactivos'!BQ517,'LP Reactivos'!BV517,'LP Reactivos'!CA517,'LP Reactivos'!CF517,'LP Reactivos'!CK517,'LP Reactivos'!CP517,'LP Reactivos'!CU517,'LP Reactivos'!CZ517,'LP Reactivos'!DE517,'LP Reactivos'!DJ517,'LP Reactivos'!DO517,'LP Reactivos'!DT517,'LP Reactivos'!DY517,'LP Reactivos'!EB517)," ")</f>
        <v>864092.04698406986</v>
      </c>
      <c r="H517" s="345">
        <f t="shared" si="36"/>
        <v>175092.56951356976</v>
      </c>
      <c r="I517" s="346">
        <f t="shared" si="37"/>
        <v>0.18643040619996765</v>
      </c>
      <c r="J517" s="345">
        <f t="shared" si="38"/>
        <v>939184.61629999999</v>
      </c>
      <c r="K517" s="344" t="str">
        <f t="shared" si="39"/>
        <v>Promedio</v>
      </c>
      <c r="L517" s="326">
        <f>IFERROR(COUNTA('LP Reactivos'!F517,'LP Reactivos'!I517,'LP Reactivos'!N517,'LP Reactivos'!S517,'LP Reactivos'!X517,'LP Reactivos'!AC517,'LP Reactivos'!AH517,'LP Reactivos'!AM517,'LP Reactivos'!AR517,'LP Reactivos'!AW517,'LP Reactivos'!BB517,'LP Reactivos'!BG517,'LP Reactivos'!BL517,'LP Reactivos'!BQ517,'LP Reactivos'!BV517,'LP Reactivos'!CA517,'LP Reactivos'!CF517,'LP Reactivos'!CK517,'LP Reactivos'!CP517,'LP Reactivos'!CU517,'LP Reactivos'!CZ517,'LP Reactivos'!DE517,'LP Reactivos'!DJ517,'LP Reactivos'!DO517,'LP Reactivos'!DT517,'LP Reactivos'!DY517,'LP Reactivos'!EB517)," ")</f>
        <v>2</v>
      </c>
    </row>
    <row r="518" spans="2:12" ht="27" x14ac:dyDescent="0.25">
      <c r="B518" s="425">
        <v>516</v>
      </c>
      <c r="C518" s="427" t="s">
        <v>2404</v>
      </c>
      <c r="D518" s="429">
        <f>IFERROR(MIN('LP Reactivos'!F518,'LP Reactivos'!I518,'LP Reactivos'!N518,'LP Reactivos'!S518,'LP Reactivos'!X518,'LP Reactivos'!AC518,'LP Reactivos'!AH518,'LP Reactivos'!AM518,'LP Reactivos'!AR518,'LP Reactivos'!AW518,'LP Reactivos'!BB518,'LP Reactivos'!BG518,'LP Reactivos'!BL518,'LP Reactivos'!BQ518,'LP Reactivos'!BV518,'LP Reactivos'!CA518,'LP Reactivos'!CF518,'LP Reactivos'!CK518,'LP Reactivos'!CP518,'LP Reactivos'!CU518,'LP Reactivos'!CZ518,'LP Reactivos'!DE518,'LP Reactivos'!DJ518,'LP Reactivos'!DO518,'LP Reactivos'!DT518,'LP Reactivos'!DY518,'LP Reactivos'!EB518)," ")</f>
        <v>139142</v>
      </c>
      <c r="E518" s="429">
        <f>IFERROR(AVERAGE('LP Reactivos'!F518,'LP Reactivos'!I518,'LP Reactivos'!N518,'LP Reactivos'!S518,'LP Reactivos'!X518,'LP Reactivos'!AC518,'LP Reactivos'!AH518,'LP Reactivos'!AM518,'LP Reactivos'!AR518,'LP Reactivos'!AW518,'LP Reactivos'!BB518,'LP Reactivos'!BG518,'LP Reactivos'!BL518,'LP Reactivos'!BQ518,'LP Reactivos'!BV518,'LP Reactivos'!CA518,'LP Reactivos'!CF518,'LP Reactivos'!CK518,'LP Reactivos'!CP518,'LP Reactivos'!CU518,'LP Reactivos'!CZ518,'LP Reactivos'!DE518,'LP Reactivos'!DJ518,'LP Reactivos'!DO518,'LP Reactivos'!DT518,'LP Reactivos'!DY518,'LP Reactivos'!EB518)," ")</f>
        <v>1125104.4587666665</v>
      </c>
      <c r="F518" s="345">
        <f>IFERROR(MEDIAN('LP Reactivos'!F518,'LP Reactivos'!I518,'LP Reactivos'!N518,'LP Reactivos'!S518,'LP Reactivos'!X518,'LP Reactivos'!AC518,'LP Reactivos'!AH518,'LP Reactivos'!AM518,'LP Reactivos'!AR518,'LP Reactivos'!AW518,'LP Reactivos'!BB518,'LP Reactivos'!BG518,'LP Reactivos'!BL518,'LP Reactivos'!BQ518,'LP Reactivos'!BV518,'LP Reactivos'!CA518,'LP Reactivos'!CF518,'LP Reactivos'!CK518,'LP Reactivos'!CP518,'LP Reactivos'!CU518,'LP Reactivos'!CZ518,'LP Reactivos'!DE518,'LP Reactivos'!DJ518,'LP Reactivos'!DO518,'LP Reactivos'!DT518,'LP Reactivos'!DY518,'LP Reactivos'!EB518)," ")</f>
        <v>854389.06</v>
      </c>
      <c r="G518" s="345">
        <f>IFERROR(GEOMEAN('LP Reactivos'!F518,'LP Reactivos'!I518,'LP Reactivos'!N518,'LP Reactivos'!S518,'LP Reactivos'!X518,'LP Reactivos'!AC518,'LP Reactivos'!AH518,'LP Reactivos'!AM518,'LP Reactivos'!AR518,'LP Reactivos'!AW518,'LP Reactivos'!BB518,'LP Reactivos'!BG518,'LP Reactivos'!BL518,'LP Reactivos'!BQ518,'LP Reactivos'!BV518,'LP Reactivos'!CA518,'LP Reactivos'!CF518,'LP Reactivos'!CK518,'LP Reactivos'!CP518,'LP Reactivos'!CU518,'LP Reactivos'!CZ518,'LP Reactivos'!DE518,'LP Reactivos'!DJ518,'LP Reactivos'!DO518,'LP Reactivos'!DT518,'LP Reactivos'!DY518,'LP Reactivos'!EB518)," ")</f>
        <v>673251.26781731343</v>
      </c>
      <c r="H518" s="345">
        <f t="shared" si="36"/>
        <v>416257.33927078563</v>
      </c>
      <c r="I518" s="346">
        <f t="shared" si="37"/>
        <v>0.36997217105253027</v>
      </c>
      <c r="J518" s="345">
        <f>IF(I518&lt;=10%,F518,IF(AND(I518&gt;10%,I518&lt;=20%),E518,IF(AND(I518&gt;20%,I518&lt;=38%),G518,IF(I518&gt;38%,D518))))</f>
        <v>673251.26781731343</v>
      </c>
      <c r="K518" s="344" t="str">
        <f t="shared" si="39"/>
        <v>Media Geométrica</v>
      </c>
      <c r="L518" s="326">
        <f>IFERROR(COUNTA('LP Reactivos'!F518,'LP Reactivos'!I518,'LP Reactivos'!N518,'LP Reactivos'!S518,'LP Reactivos'!X518,'LP Reactivos'!AC518,'LP Reactivos'!AH518,'LP Reactivos'!AM518,'LP Reactivos'!AR518,'LP Reactivos'!AW518,'LP Reactivos'!BB518,'LP Reactivos'!BG518,'LP Reactivos'!BL518,'LP Reactivos'!BQ518,'LP Reactivos'!BV518,'LP Reactivos'!CA518,'LP Reactivos'!CF518,'LP Reactivos'!CK518,'LP Reactivos'!CP518,'LP Reactivos'!CU518,'LP Reactivos'!CZ518,'LP Reactivos'!DE518,'LP Reactivos'!DJ518,'LP Reactivos'!DO518,'LP Reactivos'!DT518,'LP Reactivos'!DY518,'LP Reactivos'!EB518)," ")</f>
        <v>6</v>
      </c>
    </row>
    <row r="519" spans="2:12" x14ac:dyDescent="0.25">
      <c r="B519" s="425">
        <v>517</v>
      </c>
      <c r="C519" s="427" t="s">
        <v>2411</v>
      </c>
      <c r="D519" s="429">
        <f>IFERROR(MIN('LP Reactivos'!F519,'LP Reactivos'!I519,'LP Reactivos'!N519,'LP Reactivos'!S519,'LP Reactivos'!X519,'LP Reactivos'!AC519,'LP Reactivos'!AH519,'LP Reactivos'!AM519,'LP Reactivos'!AR519,'LP Reactivos'!AW519,'LP Reactivos'!BB519,'LP Reactivos'!BG519,'LP Reactivos'!BL519,'LP Reactivos'!BQ519,'LP Reactivos'!BV519,'LP Reactivos'!CA519,'LP Reactivos'!CF519,'LP Reactivos'!CK519,'LP Reactivos'!CP519,'LP Reactivos'!CU519,'LP Reactivos'!CZ519,'LP Reactivos'!DE519,'LP Reactivos'!DJ519,'LP Reactivos'!DO519,'LP Reactivos'!DT519,'LP Reactivos'!DY519,'LP Reactivos'!EB519)," ")</f>
        <v>233150.86900000001</v>
      </c>
      <c r="E519" s="429">
        <f>IFERROR(AVERAGE('LP Reactivos'!F519,'LP Reactivos'!I519,'LP Reactivos'!N519,'LP Reactivos'!S519,'LP Reactivos'!X519,'LP Reactivos'!AC519,'LP Reactivos'!AH519,'LP Reactivos'!AM519,'LP Reactivos'!AR519,'LP Reactivos'!AW519,'LP Reactivos'!BB519,'LP Reactivos'!BG519,'LP Reactivos'!BL519,'LP Reactivos'!BQ519,'LP Reactivos'!BV519,'LP Reactivos'!CA519,'LP Reactivos'!CF519,'LP Reactivos'!CK519,'LP Reactivos'!CP519,'LP Reactivos'!CU519,'LP Reactivos'!CZ519,'LP Reactivos'!DE519,'LP Reactivos'!DJ519,'LP Reactivos'!DO519,'LP Reactivos'!DT519,'LP Reactivos'!DY519,'LP Reactivos'!EB519)," ")</f>
        <v>572728.06149999995</v>
      </c>
      <c r="F519" s="345">
        <f>IFERROR(MEDIAN('LP Reactivos'!F519,'LP Reactivos'!I519,'LP Reactivos'!N519,'LP Reactivos'!S519,'LP Reactivos'!X519,'LP Reactivos'!AC519,'LP Reactivos'!AH519,'LP Reactivos'!AM519,'LP Reactivos'!AR519,'LP Reactivos'!AW519,'LP Reactivos'!BB519,'LP Reactivos'!BG519,'LP Reactivos'!BL519,'LP Reactivos'!BQ519,'LP Reactivos'!BV519,'LP Reactivos'!CA519,'LP Reactivos'!CF519,'LP Reactivos'!CK519,'LP Reactivos'!CP519,'LP Reactivos'!CU519,'LP Reactivos'!CZ519,'LP Reactivos'!DE519,'LP Reactivos'!DJ519,'LP Reactivos'!DO519,'LP Reactivos'!DT519,'LP Reactivos'!DY519,'LP Reactivos'!EB519)," ")</f>
        <v>404111.75</v>
      </c>
      <c r="G519" s="345">
        <f>IFERROR(GEOMEAN('LP Reactivos'!F519,'LP Reactivos'!I519,'LP Reactivos'!N519,'LP Reactivos'!S519,'LP Reactivos'!X519,'LP Reactivos'!AC519,'LP Reactivos'!AH519,'LP Reactivos'!AM519,'LP Reactivos'!AR519,'LP Reactivos'!AW519,'LP Reactivos'!BB519,'LP Reactivos'!BG519,'LP Reactivos'!BL519,'LP Reactivos'!BQ519,'LP Reactivos'!BV519,'LP Reactivos'!CA519,'LP Reactivos'!CF519,'LP Reactivos'!CK519,'LP Reactivos'!CP519,'LP Reactivos'!CU519,'LP Reactivos'!CZ519,'LP Reactivos'!DE519,'LP Reactivos'!DJ519,'LP Reactivos'!DO519,'LP Reactivos'!DT519,'LP Reactivos'!DY519,'LP Reactivos'!EB519)," ")</f>
        <v>485262.14467942837</v>
      </c>
      <c r="H519" s="345">
        <f t="shared" si="36"/>
        <v>144558.96187165921</v>
      </c>
      <c r="I519" s="346">
        <f t="shared" si="37"/>
        <v>0.25240418898465172</v>
      </c>
      <c r="J519" s="345">
        <f t="shared" si="38"/>
        <v>485262.14467942837</v>
      </c>
      <c r="K519" s="344" t="str">
        <f t="shared" si="39"/>
        <v>Media Geométrica</v>
      </c>
      <c r="L519" s="326">
        <f>IFERROR(COUNTA('LP Reactivos'!F519,'LP Reactivos'!I519,'LP Reactivos'!N519,'LP Reactivos'!S519,'LP Reactivos'!X519,'LP Reactivos'!AC519,'LP Reactivos'!AH519,'LP Reactivos'!AM519,'LP Reactivos'!AR519,'LP Reactivos'!AW519,'LP Reactivos'!BB519,'LP Reactivos'!BG519,'LP Reactivos'!BL519,'LP Reactivos'!BQ519,'LP Reactivos'!BV519,'LP Reactivos'!CA519,'LP Reactivos'!CF519,'LP Reactivos'!CK519,'LP Reactivos'!CP519,'LP Reactivos'!CU519,'LP Reactivos'!CZ519,'LP Reactivos'!DE519,'LP Reactivos'!DJ519,'LP Reactivos'!DO519,'LP Reactivos'!DT519,'LP Reactivos'!DY519,'LP Reactivos'!EB519)," ")</f>
        <v>6</v>
      </c>
    </row>
    <row r="520" spans="2:12" x14ac:dyDescent="0.25">
      <c r="B520" s="425">
        <v>518</v>
      </c>
      <c r="C520" s="427" t="s">
        <v>2416</v>
      </c>
      <c r="D520" s="429">
        <f>IFERROR(MIN('LP Reactivos'!F520,'LP Reactivos'!I520,'LP Reactivos'!N520,'LP Reactivos'!S520,'LP Reactivos'!X520,'LP Reactivos'!AC520,'LP Reactivos'!AH520,'LP Reactivos'!AM520,'LP Reactivos'!AR520,'LP Reactivos'!AW520,'LP Reactivos'!BB520,'LP Reactivos'!BG520,'LP Reactivos'!BL520,'LP Reactivos'!BQ520,'LP Reactivos'!BV520,'LP Reactivos'!CA520,'LP Reactivos'!CF520,'LP Reactivos'!CK520,'LP Reactivos'!CP520,'LP Reactivos'!CU520,'LP Reactivos'!CZ520,'LP Reactivos'!DE520,'LP Reactivos'!DJ520,'LP Reactivos'!DO520,'LP Reactivos'!DT520,'LP Reactivos'!DY520,'LP Reactivos'!EB520)," ")</f>
        <v>114240</v>
      </c>
      <c r="E520" s="429">
        <f>IFERROR(AVERAGE('LP Reactivos'!F520,'LP Reactivos'!I520,'LP Reactivos'!N520,'LP Reactivos'!S520,'LP Reactivos'!X520,'LP Reactivos'!AC520,'LP Reactivos'!AH520,'LP Reactivos'!AM520,'LP Reactivos'!AR520,'LP Reactivos'!AW520,'LP Reactivos'!BB520,'LP Reactivos'!BG520,'LP Reactivos'!BL520,'LP Reactivos'!BQ520,'LP Reactivos'!BV520,'LP Reactivos'!CA520,'LP Reactivos'!CF520,'LP Reactivos'!CK520,'LP Reactivos'!CP520,'LP Reactivos'!CU520,'LP Reactivos'!CZ520,'LP Reactivos'!DE520,'LP Reactivos'!DJ520,'LP Reactivos'!DO520,'LP Reactivos'!DT520,'LP Reactivos'!DY520,'LP Reactivos'!EB520)," ")</f>
        <v>369292.59599999996</v>
      </c>
      <c r="F520" s="345">
        <f>IFERROR(MEDIAN('LP Reactivos'!F520,'LP Reactivos'!I520,'LP Reactivos'!N520,'LP Reactivos'!S520,'LP Reactivos'!X520,'LP Reactivos'!AC520,'LP Reactivos'!AH520,'LP Reactivos'!AM520,'LP Reactivos'!AR520,'LP Reactivos'!AW520,'LP Reactivos'!BB520,'LP Reactivos'!BG520,'LP Reactivos'!BL520,'LP Reactivos'!BQ520,'LP Reactivos'!BV520,'LP Reactivos'!CA520,'LP Reactivos'!CF520,'LP Reactivos'!CK520,'LP Reactivos'!CP520,'LP Reactivos'!CU520,'LP Reactivos'!CZ520,'LP Reactivos'!DE520,'LP Reactivos'!DJ520,'LP Reactivos'!DO520,'LP Reactivos'!DT520,'LP Reactivos'!DY520,'LP Reactivos'!EB520)," ")</f>
        <v>362057.18799999997</v>
      </c>
      <c r="G520" s="345">
        <f>IFERROR(GEOMEAN('LP Reactivos'!F520,'LP Reactivos'!I520,'LP Reactivos'!N520,'LP Reactivos'!S520,'LP Reactivos'!X520,'LP Reactivos'!AC520,'LP Reactivos'!AH520,'LP Reactivos'!AM520,'LP Reactivos'!AR520,'LP Reactivos'!AW520,'LP Reactivos'!BB520,'LP Reactivos'!BG520,'LP Reactivos'!BL520,'LP Reactivos'!BQ520,'LP Reactivos'!BV520,'LP Reactivos'!CA520,'LP Reactivos'!CF520,'LP Reactivos'!CK520,'LP Reactivos'!CP520,'LP Reactivos'!CU520,'LP Reactivos'!CZ520,'LP Reactivos'!DE520,'LP Reactivos'!DJ520,'LP Reactivos'!DO520,'LP Reactivos'!DT520,'LP Reactivos'!DY520,'LP Reactivos'!EB520)," ")</f>
        <v>327418.63509733329</v>
      </c>
      <c r="H520" s="345">
        <f t="shared" si="36"/>
        <v>120732.46074631425</v>
      </c>
      <c r="I520" s="346">
        <f t="shared" si="37"/>
        <v>0.32692900441013517</v>
      </c>
      <c r="J520" s="345">
        <f>IF(I520&lt;=10%,F520,IF(AND(I520&gt;10%,I520&lt;=20%),E520,IF(AND(I520&gt;20%,I520&lt;=33%),G520,IF(I520&gt;33%,D520))))</f>
        <v>327418.63509733329</v>
      </c>
      <c r="K520" s="344" t="str">
        <f t="shared" si="39"/>
        <v>Media Geométrica</v>
      </c>
      <c r="L520" s="326">
        <f>IFERROR(COUNTA('LP Reactivos'!F520,'LP Reactivos'!I520,'LP Reactivos'!N520,'LP Reactivos'!S520,'LP Reactivos'!X520,'LP Reactivos'!AC520,'LP Reactivos'!AH520,'LP Reactivos'!AM520,'LP Reactivos'!AR520,'LP Reactivos'!AW520,'LP Reactivos'!BB520,'LP Reactivos'!BG520,'LP Reactivos'!BL520,'LP Reactivos'!BQ520,'LP Reactivos'!BV520,'LP Reactivos'!CA520,'LP Reactivos'!CF520,'LP Reactivos'!CK520,'LP Reactivos'!CP520,'LP Reactivos'!CU520,'LP Reactivos'!CZ520,'LP Reactivos'!DE520,'LP Reactivos'!DJ520,'LP Reactivos'!DO520,'LP Reactivos'!DT520,'LP Reactivos'!DY520,'LP Reactivos'!EB520)," ")</f>
        <v>6</v>
      </c>
    </row>
    <row r="521" spans="2:12" x14ac:dyDescent="0.25">
      <c r="B521" s="425">
        <v>519</v>
      </c>
      <c r="C521" s="427" t="s">
        <v>2421</v>
      </c>
      <c r="D521" s="429">
        <f>IFERROR(MIN('LP Reactivos'!F521,'LP Reactivos'!I521,'LP Reactivos'!N521,'LP Reactivos'!S521,'LP Reactivos'!X521,'LP Reactivos'!AC521,'LP Reactivos'!AH521,'LP Reactivos'!AM521,'LP Reactivos'!AR521,'LP Reactivos'!AW521,'LP Reactivos'!BB521,'LP Reactivos'!BG521,'LP Reactivos'!BL521,'LP Reactivos'!BQ521,'LP Reactivos'!BV521,'LP Reactivos'!CA521,'LP Reactivos'!CF521,'LP Reactivos'!CK521,'LP Reactivos'!CP521,'LP Reactivos'!CU521,'LP Reactivos'!CZ521,'LP Reactivos'!DE521,'LP Reactivos'!DJ521,'LP Reactivos'!DO521,'LP Reactivos'!DT521,'LP Reactivos'!DY521,'LP Reactivos'!EB521)," ")</f>
        <v>470740.2</v>
      </c>
      <c r="E521" s="429">
        <f>IFERROR(AVERAGE('LP Reactivos'!F521,'LP Reactivos'!I521,'LP Reactivos'!N521,'LP Reactivos'!S521,'LP Reactivos'!X521,'LP Reactivos'!AC521,'LP Reactivos'!AH521,'LP Reactivos'!AM521,'LP Reactivos'!AR521,'LP Reactivos'!AW521,'LP Reactivos'!BB521,'LP Reactivos'!BG521,'LP Reactivos'!BL521,'LP Reactivos'!BQ521,'LP Reactivos'!BV521,'LP Reactivos'!CA521,'LP Reactivos'!CF521,'LP Reactivos'!CK521,'LP Reactivos'!CP521,'LP Reactivos'!CU521,'LP Reactivos'!CZ521,'LP Reactivos'!DE521,'LP Reactivos'!DJ521,'LP Reactivos'!DO521,'LP Reactivos'!DT521,'LP Reactivos'!DY521,'LP Reactivos'!EB521)," ")</f>
        <v>734368.05166666675</v>
      </c>
      <c r="F521" s="345">
        <f>IFERROR(MEDIAN('LP Reactivos'!F521,'LP Reactivos'!I521,'LP Reactivos'!N521,'LP Reactivos'!S521,'LP Reactivos'!X521,'LP Reactivos'!AC521,'LP Reactivos'!AH521,'LP Reactivos'!AM521,'LP Reactivos'!AR521,'LP Reactivos'!AW521,'LP Reactivos'!BB521,'LP Reactivos'!BG521,'LP Reactivos'!BL521,'LP Reactivos'!BQ521,'LP Reactivos'!BV521,'LP Reactivos'!CA521,'LP Reactivos'!CF521,'LP Reactivos'!CK521,'LP Reactivos'!CP521,'LP Reactivos'!CU521,'LP Reactivos'!CZ521,'LP Reactivos'!DE521,'LP Reactivos'!DJ521,'LP Reactivos'!DO521,'LP Reactivos'!DT521,'LP Reactivos'!DY521,'LP Reactivos'!EB521)," ")</f>
        <v>731296.05499999993</v>
      </c>
      <c r="G521" s="345">
        <f>IFERROR(GEOMEAN('LP Reactivos'!F521,'LP Reactivos'!I521,'LP Reactivos'!N521,'LP Reactivos'!S521,'LP Reactivos'!X521,'LP Reactivos'!AC521,'LP Reactivos'!AH521,'LP Reactivos'!AM521,'LP Reactivos'!AR521,'LP Reactivos'!AW521,'LP Reactivos'!BB521,'LP Reactivos'!BG521,'LP Reactivos'!BL521,'LP Reactivos'!BQ521,'LP Reactivos'!BV521,'LP Reactivos'!CA521,'LP Reactivos'!CF521,'LP Reactivos'!CK521,'LP Reactivos'!CP521,'LP Reactivos'!CU521,'LP Reactivos'!CZ521,'LP Reactivos'!DE521,'LP Reactivos'!DJ521,'LP Reactivos'!DO521,'LP Reactivos'!DT521,'LP Reactivos'!DY521,'LP Reactivos'!EB521)," ")</f>
        <v>711099.15777400706</v>
      </c>
      <c r="H521" s="345">
        <f t="shared" si="36"/>
        <v>127841.11870320243</v>
      </c>
      <c r="I521" s="346">
        <f t="shared" si="37"/>
        <v>0.17408317043894245</v>
      </c>
      <c r="J521" s="345">
        <f t="shared" si="38"/>
        <v>734368.05166666675</v>
      </c>
      <c r="K521" s="344" t="str">
        <f t="shared" si="39"/>
        <v>Promedio</v>
      </c>
      <c r="L521" s="326">
        <f>IFERROR(COUNTA('LP Reactivos'!F521,'LP Reactivos'!I521,'LP Reactivos'!N521,'LP Reactivos'!S521,'LP Reactivos'!X521,'LP Reactivos'!AC521,'LP Reactivos'!AH521,'LP Reactivos'!AM521,'LP Reactivos'!AR521,'LP Reactivos'!AW521,'LP Reactivos'!BB521,'LP Reactivos'!BG521,'LP Reactivos'!BL521,'LP Reactivos'!BQ521,'LP Reactivos'!BV521,'LP Reactivos'!CA521,'LP Reactivos'!CF521,'LP Reactivos'!CK521,'LP Reactivos'!CP521,'LP Reactivos'!CU521,'LP Reactivos'!CZ521,'LP Reactivos'!DE521,'LP Reactivos'!DJ521,'LP Reactivos'!DO521,'LP Reactivos'!DT521,'LP Reactivos'!DY521,'LP Reactivos'!EB521)," ")</f>
        <v>6</v>
      </c>
    </row>
    <row r="522" spans="2:12" ht="40.5" x14ac:dyDescent="0.25">
      <c r="B522" s="425">
        <v>520</v>
      </c>
      <c r="C522" s="427" t="s">
        <v>2426</v>
      </c>
      <c r="D522" s="429">
        <f>IFERROR(MIN('LP Reactivos'!F522,'LP Reactivos'!I522,'LP Reactivos'!N522,'LP Reactivos'!S522,'LP Reactivos'!X522,'LP Reactivos'!AC522,'LP Reactivos'!AH522,'LP Reactivos'!AM522,'LP Reactivos'!AR522,'LP Reactivos'!AW522,'LP Reactivos'!BB522,'LP Reactivos'!BG522,'LP Reactivos'!BL522,'LP Reactivos'!BQ522,'LP Reactivos'!BV522,'LP Reactivos'!CA522,'LP Reactivos'!CF522,'LP Reactivos'!CK522,'LP Reactivos'!CP522,'LP Reactivos'!CU522,'LP Reactivos'!CZ522,'LP Reactivos'!DE522,'LP Reactivos'!DJ522,'LP Reactivos'!DO522,'LP Reactivos'!DT522,'LP Reactivos'!DY522,'LP Reactivos'!EB522)," ")</f>
        <v>3541882.2039999999</v>
      </c>
      <c r="E522" s="429">
        <f>IFERROR(AVERAGE('LP Reactivos'!F522,'LP Reactivos'!I522,'LP Reactivos'!N522,'LP Reactivos'!S522,'LP Reactivos'!X522,'LP Reactivos'!AC522,'LP Reactivos'!AH522,'LP Reactivos'!AM522,'LP Reactivos'!AR522,'LP Reactivos'!AW522,'LP Reactivos'!BB522,'LP Reactivos'!BG522,'LP Reactivos'!BL522,'LP Reactivos'!BQ522,'LP Reactivos'!BV522,'LP Reactivos'!CA522,'LP Reactivos'!CF522,'LP Reactivos'!CK522,'LP Reactivos'!CP522,'LP Reactivos'!CU522,'LP Reactivos'!CZ522,'LP Reactivos'!DE522,'LP Reactivos'!DJ522,'LP Reactivos'!DO522,'LP Reactivos'!DT522,'LP Reactivos'!DY522,'LP Reactivos'!EB522)," ")</f>
        <v>4282436.102</v>
      </c>
      <c r="F522" s="345">
        <f>IFERROR(MEDIAN('LP Reactivos'!F522,'LP Reactivos'!I522,'LP Reactivos'!N522,'LP Reactivos'!S522,'LP Reactivos'!X522,'LP Reactivos'!AC522,'LP Reactivos'!AH522,'LP Reactivos'!AM522,'LP Reactivos'!AR522,'LP Reactivos'!AW522,'LP Reactivos'!BB522,'LP Reactivos'!BG522,'LP Reactivos'!BL522,'LP Reactivos'!BQ522,'LP Reactivos'!BV522,'LP Reactivos'!CA522,'LP Reactivos'!CF522,'LP Reactivos'!CK522,'LP Reactivos'!CP522,'LP Reactivos'!CU522,'LP Reactivos'!CZ522,'LP Reactivos'!DE522,'LP Reactivos'!DJ522,'LP Reactivos'!DO522,'LP Reactivos'!DT522,'LP Reactivos'!DY522,'LP Reactivos'!EB522)," ")</f>
        <v>4282436.102</v>
      </c>
      <c r="G522" s="345">
        <f>IFERROR(GEOMEAN('LP Reactivos'!F522,'LP Reactivos'!I522,'LP Reactivos'!N522,'LP Reactivos'!S522,'LP Reactivos'!X522,'LP Reactivos'!AC522,'LP Reactivos'!AH522,'LP Reactivos'!AM522,'LP Reactivos'!AR522,'LP Reactivos'!AW522,'LP Reactivos'!BB522,'LP Reactivos'!BG522,'LP Reactivos'!BL522,'LP Reactivos'!BQ522,'LP Reactivos'!BV522,'LP Reactivos'!CA522,'LP Reactivos'!CF522,'LP Reactivos'!CK522,'LP Reactivos'!CP522,'LP Reactivos'!CU522,'LP Reactivos'!CZ522,'LP Reactivos'!DE522,'LP Reactivos'!DJ522,'LP Reactivos'!DO522,'LP Reactivos'!DT522,'LP Reactivos'!DY522,'LP Reactivos'!EB522)," ")</f>
        <v>4217918.7867797976</v>
      </c>
      <c r="H522" s="345">
        <f t="shared" si="36"/>
        <v>360808.18783080817</v>
      </c>
      <c r="I522" s="346">
        <f t="shared" si="37"/>
        <v>8.4253023101104094E-2</v>
      </c>
      <c r="J522" s="345">
        <f t="shared" si="38"/>
        <v>4282436.102</v>
      </c>
      <c r="K522" s="344" t="str">
        <f t="shared" si="39"/>
        <v>Promedio</v>
      </c>
      <c r="L522" s="326">
        <f>IFERROR(COUNTA('LP Reactivos'!F522,'LP Reactivos'!I522,'LP Reactivos'!N522,'LP Reactivos'!S522,'LP Reactivos'!X522,'LP Reactivos'!AC522,'LP Reactivos'!AH522,'LP Reactivos'!AM522,'LP Reactivos'!AR522,'LP Reactivos'!AW522,'LP Reactivos'!BB522,'LP Reactivos'!BG522,'LP Reactivos'!BL522,'LP Reactivos'!BQ522,'LP Reactivos'!BV522,'LP Reactivos'!CA522,'LP Reactivos'!CF522,'LP Reactivos'!CK522,'LP Reactivos'!CP522,'LP Reactivos'!CU522,'LP Reactivos'!CZ522,'LP Reactivos'!DE522,'LP Reactivos'!DJ522,'LP Reactivos'!DO522,'LP Reactivos'!DT522,'LP Reactivos'!DY522,'LP Reactivos'!EB522)," ")</f>
        <v>2</v>
      </c>
    </row>
    <row r="523" spans="2:12" x14ac:dyDescent="0.25">
      <c r="B523" s="425">
        <v>521</v>
      </c>
      <c r="C523" s="428" t="s">
        <v>2429</v>
      </c>
      <c r="D523" s="429">
        <f>IFERROR(MIN('LP Reactivos'!F523,'LP Reactivos'!I523,'LP Reactivos'!N523,'LP Reactivos'!S523,'LP Reactivos'!X523,'LP Reactivos'!AC523,'LP Reactivos'!AH523,'LP Reactivos'!AM523,'LP Reactivos'!AR523,'LP Reactivos'!AW523,'LP Reactivos'!BB523,'LP Reactivos'!BG523,'LP Reactivos'!BL523,'LP Reactivos'!BQ523,'LP Reactivos'!BV523,'LP Reactivos'!CA523,'LP Reactivos'!CF523,'LP Reactivos'!CK523,'LP Reactivos'!CP523,'LP Reactivos'!CU523,'LP Reactivos'!CZ523,'LP Reactivos'!DE523,'LP Reactivos'!DJ523,'LP Reactivos'!DO523,'LP Reactivos'!DT523,'LP Reactivos'!DY523,'LP Reactivos'!EB523)," ")</f>
        <v>2289560</v>
      </c>
      <c r="E523" s="429">
        <f>IFERROR(AVERAGE('LP Reactivos'!F523,'LP Reactivos'!I523,'LP Reactivos'!N523,'LP Reactivos'!S523,'LP Reactivos'!X523,'LP Reactivos'!AC523,'LP Reactivos'!AH523,'LP Reactivos'!AM523,'LP Reactivos'!AR523,'LP Reactivos'!AW523,'LP Reactivos'!BB523,'LP Reactivos'!BG523,'LP Reactivos'!BL523,'LP Reactivos'!BQ523,'LP Reactivos'!BV523,'LP Reactivos'!CA523,'LP Reactivos'!CF523,'LP Reactivos'!CK523,'LP Reactivos'!CP523,'LP Reactivos'!CU523,'LP Reactivos'!CZ523,'LP Reactivos'!DE523,'LP Reactivos'!DJ523,'LP Reactivos'!DO523,'LP Reactivos'!DT523,'LP Reactivos'!DY523,'LP Reactivos'!EB523)," ")</f>
        <v>2289560</v>
      </c>
      <c r="F523" s="345">
        <f>IFERROR(MEDIAN('LP Reactivos'!F523,'LP Reactivos'!I523,'LP Reactivos'!N523,'LP Reactivos'!S523,'LP Reactivos'!X523,'LP Reactivos'!AC523,'LP Reactivos'!AH523,'LP Reactivos'!AM523,'LP Reactivos'!AR523,'LP Reactivos'!AW523,'LP Reactivos'!BB523,'LP Reactivos'!BG523,'LP Reactivos'!BL523,'LP Reactivos'!BQ523,'LP Reactivos'!BV523,'LP Reactivos'!CA523,'LP Reactivos'!CF523,'LP Reactivos'!CK523,'LP Reactivos'!CP523,'LP Reactivos'!CU523,'LP Reactivos'!CZ523,'LP Reactivos'!DE523,'LP Reactivos'!DJ523,'LP Reactivos'!DO523,'LP Reactivos'!DT523,'LP Reactivos'!DY523,'LP Reactivos'!EB523)," ")</f>
        <v>2289560</v>
      </c>
      <c r="G523" s="345">
        <f>IFERROR(GEOMEAN('LP Reactivos'!F523,'LP Reactivos'!I523,'LP Reactivos'!N523,'LP Reactivos'!S523,'LP Reactivos'!X523,'LP Reactivos'!AC523,'LP Reactivos'!AH523,'LP Reactivos'!AM523,'LP Reactivos'!AR523,'LP Reactivos'!AW523,'LP Reactivos'!BB523,'LP Reactivos'!BG523,'LP Reactivos'!BL523,'LP Reactivos'!BQ523,'LP Reactivos'!BV523,'LP Reactivos'!CA523,'LP Reactivos'!CF523,'LP Reactivos'!CK523,'LP Reactivos'!CP523,'LP Reactivos'!CU523,'LP Reactivos'!CZ523,'LP Reactivos'!DE523,'LP Reactivos'!DJ523,'LP Reactivos'!DO523,'LP Reactivos'!DT523,'LP Reactivos'!DY523,'LP Reactivos'!EB523)," ")</f>
        <v>2289560</v>
      </c>
      <c r="H523" s="345">
        <f t="shared" si="36"/>
        <v>0</v>
      </c>
      <c r="I523" s="346">
        <f t="shared" si="37"/>
        <v>0</v>
      </c>
      <c r="J523" s="345">
        <f t="shared" si="38"/>
        <v>2289560</v>
      </c>
      <c r="K523" s="344" t="str">
        <f t="shared" si="39"/>
        <v>Menor Valor</v>
      </c>
      <c r="L523" s="326">
        <f>IFERROR(COUNTA('LP Reactivos'!F523,'LP Reactivos'!I523,'LP Reactivos'!N523,'LP Reactivos'!S523,'LP Reactivos'!X523,'LP Reactivos'!AC523,'LP Reactivos'!AH523,'LP Reactivos'!AM523,'LP Reactivos'!AR523,'LP Reactivos'!AW523,'LP Reactivos'!BB523,'LP Reactivos'!BG523,'LP Reactivos'!BL523,'LP Reactivos'!BQ523,'LP Reactivos'!BV523,'LP Reactivos'!CA523,'LP Reactivos'!CF523,'LP Reactivos'!CK523,'LP Reactivos'!CP523,'LP Reactivos'!CU523,'LP Reactivos'!CZ523,'LP Reactivos'!DE523,'LP Reactivos'!DJ523,'LP Reactivos'!DO523,'LP Reactivos'!DT523,'LP Reactivos'!DY523,'LP Reactivos'!EB523)," ")</f>
        <v>1</v>
      </c>
    </row>
    <row r="524" spans="2:12" x14ac:dyDescent="0.25">
      <c r="B524" s="425">
        <v>522</v>
      </c>
      <c r="C524" s="427" t="s">
        <v>2431</v>
      </c>
      <c r="D524" s="429">
        <f>IFERROR(MIN('LP Reactivos'!F524,'LP Reactivos'!I524,'LP Reactivos'!N524,'LP Reactivos'!S524,'LP Reactivos'!X524,'LP Reactivos'!AC524,'LP Reactivos'!AH524,'LP Reactivos'!AM524,'LP Reactivos'!AR524,'LP Reactivos'!AW524,'LP Reactivos'!BB524,'LP Reactivos'!BG524,'LP Reactivos'!BL524,'LP Reactivos'!BQ524,'LP Reactivos'!BV524,'LP Reactivos'!CA524,'LP Reactivos'!CF524,'LP Reactivos'!CK524,'LP Reactivos'!CP524,'LP Reactivos'!CU524,'LP Reactivos'!CZ524,'LP Reactivos'!DE524,'LP Reactivos'!DJ524,'LP Reactivos'!DO524,'LP Reactivos'!DT524,'LP Reactivos'!DY524,'LP Reactivos'!EB524)," ")</f>
        <v>3600793.8714000001</v>
      </c>
      <c r="E524" s="429">
        <f>IFERROR(AVERAGE('LP Reactivos'!F524,'LP Reactivos'!I524,'LP Reactivos'!N524,'LP Reactivos'!S524,'LP Reactivos'!X524,'LP Reactivos'!AC524,'LP Reactivos'!AH524,'LP Reactivos'!AM524,'LP Reactivos'!AR524,'LP Reactivos'!AW524,'LP Reactivos'!BB524,'LP Reactivos'!BG524,'LP Reactivos'!BL524,'LP Reactivos'!BQ524,'LP Reactivos'!BV524,'LP Reactivos'!CA524,'LP Reactivos'!CF524,'LP Reactivos'!CK524,'LP Reactivos'!CP524,'LP Reactivos'!CU524,'LP Reactivos'!CZ524,'LP Reactivos'!DE524,'LP Reactivos'!DJ524,'LP Reactivos'!DO524,'LP Reactivos'!DT524,'LP Reactivos'!DY524,'LP Reactivos'!EB524)," ")</f>
        <v>3600793.8714000001</v>
      </c>
      <c r="F524" s="345">
        <f>IFERROR(MEDIAN('LP Reactivos'!F524,'LP Reactivos'!I524,'LP Reactivos'!N524,'LP Reactivos'!S524,'LP Reactivos'!X524,'LP Reactivos'!AC524,'LP Reactivos'!AH524,'LP Reactivos'!AM524,'LP Reactivos'!AR524,'LP Reactivos'!AW524,'LP Reactivos'!BB524,'LP Reactivos'!BG524,'LP Reactivos'!BL524,'LP Reactivos'!BQ524,'LP Reactivos'!BV524,'LP Reactivos'!CA524,'LP Reactivos'!CF524,'LP Reactivos'!CK524,'LP Reactivos'!CP524,'LP Reactivos'!CU524,'LP Reactivos'!CZ524,'LP Reactivos'!DE524,'LP Reactivos'!DJ524,'LP Reactivos'!DO524,'LP Reactivos'!DT524,'LP Reactivos'!DY524,'LP Reactivos'!EB524)," ")</f>
        <v>3600793.8714000001</v>
      </c>
      <c r="G524" s="345">
        <f>IFERROR(GEOMEAN('LP Reactivos'!F524,'LP Reactivos'!I524,'LP Reactivos'!N524,'LP Reactivos'!S524,'LP Reactivos'!X524,'LP Reactivos'!AC524,'LP Reactivos'!AH524,'LP Reactivos'!AM524,'LP Reactivos'!AR524,'LP Reactivos'!AW524,'LP Reactivos'!BB524,'LP Reactivos'!BG524,'LP Reactivos'!BL524,'LP Reactivos'!BQ524,'LP Reactivos'!BV524,'LP Reactivos'!CA524,'LP Reactivos'!CF524,'LP Reactivos'!CK524,'LP Reactivos'!CP524,'LP Reactivos'!CU524,'LP Reactivos'!CZ524,'LP Reactivos'!DE524,'LP Reactivos'!DJ524,'LP Reactivos'!DO524,'LP Reactivos'!DT524,'LP Reactivos'!DY524,'LP Reactivos'!EB524)," ")</f>
        <v>3600793.8714000001</v>
      </c>
      <c r="H524" s="345">
        <f t="shared" si="36"/>
        <v>0</v>
      </c>
      <c r="I524" s="346">
        <f t="shared" si="37"/>
        <v>0</v>
      </c>
      <c r="J524" s="345">
        <f t="shared" si="38"/>
        <v>3600793.8714000001</v>
      </c>
      <c r="K524" s="344" t="str">
        <f t="shared" si="39"/>
        <v>Menor Valor</v>
      </c>
      <c r="L524" s="326">
        <f>IFERROR(COUNTA('LP Reactivos'!F524,'LP Reactivos'!I524,'LP Reactivos'!N524,'LP Reactivos'!S524,'LP Reactivos'!X524,'LP Reactivos'!AC524,'LP Reactivos'!AH524,'LP Reactivos'!AM524,'LP Reactivos'!AR524,'LP Reactivos'!AW524,'LP Reactivos'!BB524,'LP Reactivos'!BG524,'LP Reactivos'!BL524,'LP Reactivos'!BQ524,'LP Reactivos'!BV524,'LP Reactivos'!CA524,'LP Reactivos'!CF524,'LP Reactivos'!CK524,'LP Reactivos'!CP524,'LP Reactivos'!CU524,'LP Reactivos'!CZ524,'LP Reactivos'!DE524,'LP Reactivos'!DJ524,'LP Reactivos'!DO524,'LP Reactivos'!DT524,'LP Reactivos'!DY524,'LP Reactivos'!EB524)," ")</f>
        <v>1</v>
      </c>
    </row>
    <row r="525" spans="2:12" ht="40.5" x14ac:dyDescent="0.25">
      <c r="B525" s="425">
        <v>523</v>
      </c>
      <c r="C525" s="427" t="s">
        <v>2432</v>
      </c>
      <c r="D525" s="429">
        <f>IFERROR(MIN('LP Reactivos'!F525,'LP Reactivos'!I525,'LP Reactivos'!N525,'LP Reactivos'!S525,'LP Reactivos'!X525,'LP Reactivos'!AC525,'LP Reactivos'!AH525,'LP Reactivos'!AM525,'LP Reactivos'!AR525,'LP Reactivos'!AW525,'LP Reactivos'!BB525,'LP Reactivos'!BG525,'LP Reactivos'!BL525,'LP Reactivos'!BQ525,'LP Reactivos'!BV525,'LP Reactivos'!CA525,'LP Reactivos'!CF525,'LP Reactivos'!CK525,'LP Reactivos'!CP525,'LP Reactivos'!CU525,'LP Reactivos'!CZ525,'LP Reactivos'!DE525,'LP Reactivos'!DJ525,'LP Reactivos'!DO525,'LP Reactivos'!DT525,'LP Reactivos'!DY525,'LP Reactivos'!EB525)," ")</f>
        <v>353000</v>
      </c>
      <c r="E525" s="429">
        <f>IFERROR(AVERAGE('LP Reactivos'!F525,'LP Reactivos'!I525,'LP Reactivos'!N525,'LP Reactivos'!S525,'LP Reactivos'!X525,'LP Reactivos'!AC525,'LP Reactivos'!AH525,'LP Reactivos'!AM525,'LP Reactivos'!AR525,'LP Reactivos'!AW525,'LP Reactivos'!BB525,'LP Reactivos'!BG525,'LP Reactivos'!BL525,'LP Reactivos'!BQ525,'LP Reactivos'!BV525,'LP Reactivos'!CA525,'LP Reactivos'!CF525,'LP Reactivos'!CK525,'LP Reactivos'!CP525,'LP Reactivos'!CU525,'LP Reactivos'!CZ525,'LP Reactivos'!DE525,'LP Reactivos'!DJ525,'LP Reactivos'!DO525,'LP Reactivos'!DT525,'LP Reactivos'!DY525,'LP Reactivos'!EB525)," ")</f>
        <v>353000</v>
      </c>
      <c r="F525" s="345">
        <f>IFERROR(MEDIAN('LP Reactivos'!F525,'LP Reactivos'!I525,'LP Reactivos'!N525,'LP Reactivos'!S525,'LP Reactivos'!X525,'LP Reactivos'!AC525,'LP Reactivos'!AH525,'LP Reactivos'!AM525,'LP Reactivos'!AR525,'LP Reactivos'!AW525,'LP Reactivos'!BB525,'LP Reactivos'!BG525,'LP Reactivos'!BL525,'LP Reactivos'!BQ525,'LP Reactivos'!BV525,'LP Reactivos'!CA525,'LP Reactivos'!CF525,'LP Reactivos'!CK525,'LP Reactivos'!CP525,'LP Reactivos'!CU525,'LP Reactivos'!CZ525,'LP Reactivos'!DE525,'LP Reactivos'!DJ525,'LP Reactivos'!DO525,'LP Reactivos'!DT525,'LP Reactivos'!DY525,'LP Reactivos'!EB525)," ")</f>
        <v>353000</v>
      </c>
      <c r="G525" s="345">
        <f>IFERROR(GEOMEAN('LP Reactivos'!F525,'LP Reactivos'!I525,'LP Reactivos'!N525,'LP Reactivos'!S525,'LP Reactivos'!X525,'LP Reactivos'!AC525,'LP Reactivos'!AH525,'LP Reactivos'!AM525,'LP Reactivos'!AR525,'LP Reactivos'!AW525,'LP Reactivos'!BB525,'LP Reactivos'!BG525,'LP Reactivos'!BL525,'LP Reactivos'!BQ525,'LP Reactivos'!BV525,'LP Reactivos'!CA525,'LP Reactivos'!CF525,'LP Reactivos'!CK525,'LP Reactivos'!CP525,'LP Reactivos'!CU525,'LP Reactivos'!CZ525,'LP Reactivos'!DE525,'LP Reactivos'!DJ525,'LP Reactivos'!DO525,'LP Reactivos'!DT525,'LP Reactivos'!DY525,'LP Reactivos'!EB525)," ")</f>
        <v>353000</v>
      </c>
      <c r="H525" s="345">
        <f t="shared" si="36"/>
        <v>0</v>
      </c>
      <c r="I525" s="346">
        <f t="shared" si="37"/>
        <v>0</v>
      </c>
      <c r="J525" s="345">
        <f t="shared" si="38"/>
        <v>353000</v>
      </c>
      <c r="K525" s="344" t="str">
        <f t="shared" si="39"/>
        <v>Menor Valor</v>
      </c>
      <c r="L525" s="326">
        <f>IFERROR(COUNTA('LP Reactivos'!F525,'LP Reactivos'!I525,'LP Reactivos'!N525,'LP Reactivos'!S525,'LP Reactivos'!X525,'LP Reactivos'!AC525,'LP Reactivos'!AH525,'LP Reactivos'!AM525,'LP Reactivos'!AR525,'LP Reactivos'!AW525,'LP Reactivos'!BB525,'LP Reactivos'!BG525,'LP Reactivos'!BL525,'LP Reactivos'!BQ525,'LP Reactivos'!BV525,'LP Reactivos'!CA525,'LP Reactivos'!CF525,'LP Reactivos'!CK525,'LP Reactivos'!CP525,'LP Reactivos'!CU525,'LP Reactivos'!CZ525,'LP Reactivos'!DE525,'LP Reactivos'!DJ525,'LP Reactivos'!DO525,'LP Reactivos'!DT525,'LP Reactivos'!DY525,'LP Reactivos'!EB525)," ")</f>
        <v>1</v>
      </c>
    </row>
    <row r="526" spans="2:12" ht="54" x14ac:dyDescent="0.25">
      <c r="B526" s="425">
        <v>524</v>
      </c>
      <c r="C526" s="427" t="s">
        <v>2436</v>
      </c>
      <c r="D526" s="429">
        <f>IFERROR(MIN('LP Reactivos'!F526,'LP Reactivos'!I526,'LP Reactivos'!N526,'LP Reactivos'!S526,'LP Reactivos'!X526,'LP Reactivos'!AC526,'LP Reactivos'!AH526,'LP Reactivos'!AM526,'LP Reactivos'!AR526,'LP Reactivos'!AW526,'LP Reactivos'!BB526,'LP Reactivos'!BG526,'LP Reactivos'!BL526,'LP Reactivos'!BQ526,'LP Reactivos'!BV526,'LP Reactivos'!CA526,'LP Reactivos'!CF526,'LP Reactivos'!CK526,'LP Reactivos'!CP526,'LP Reactivos'!CU526,'LP Reactivos'!CZ526,'LP Reactivos'!DE526,'LP Reactivos'!DJ526,'LP Reactivos'!DO526,'LP Reactivos'!DT526,'LP Reactivos'!DY526,'LP Reactivos'!EB526)," ")</f>
        <v>366045.12160000001</v>
      </c>
      <c r="E526" s="429">
        <f>IFERROR(AVERAGE('LP Reactivos'!F526,'LP Reactivos'!I526,'LP Reactivos'!N526,'LP Reactivos'!S526,'LP Reactivos'!X526,'LP Reactivos'!AC526,'LP Reactivos'!AH526,'LP Reactivos'!AM526,'LP Reactivos'!AR526,'LP Reactivos'!AW526,'LP Reactivos'!BB526,'LP Reactivos'!BG526,'LP Reactivos'!BL526,'LP Reactivos'!BQ526,'LP Reactivos'!BV526,'LP Reactivos'!CA526,'LP Reactivos'!CF526,'LP Reactivos'!CK526,'LP Reactivos'!CP526,'LP Reactivos'!CU526,'LP Reactivos'!CZ526,'LP Reactivos'!DE526,'LP Reactivos'!DJ526,'LP Reactivos'!DO526,'LP Reactivos'!DT526,'LP Reactivos'!DY526,'LP Reactivos'!EB526)," ")</f>
        <v>366045.12160000001</v>
      </c>
      <c r="F526" s="345">
        <f>IFERROR(MEDIAN('LP Reactivos'!F526,'LP Reactivos'!I526,'LP Reactivos'!N526,'LP Reactivos'!S526,'LP Reactivos'!X526,'LP Reactivos'!AC526,'LP Reactivos'!AH526,'LP Reactivos'!AM526,'LP Reactivos'!AR526,'LP Reactivos'!AW526,'LP Reactivos'!BB526,'LP Reactivos'!BG526,'LP Reactivos'!BL526,'LP Reactivos'!BQ526,'LP Reactivos'!BV526,'LP Reactivos'!CA526,'LP Reactivos'!CF526,'LP Reactivos'!CK526,'LP Reactivos'!CP526,'LP Reactivos'!CU526,'LP Reactivos'!CZ526,'LP Reactivos'!DE526,'LP Reactivos'!DJ526,'LP Reactivos'!DO526,'LP Reactivos'!DT526,'LP Reactivos'!DY526,'LP Reactivos'!EB526)," ")</f>
        <v>366045.12160000001</v>
      </c>
      <c r="G526" s="345">
        <f>IFERROR(GEOMEAN('LP Reactivos'!F526,'LP Reactivos'!I526,'LP Reactivos'!N526,'LP Reactivos'!S526,'LP Reactivos'!X526,'LP Reactivos'!AC526,'LP Reactivos'!AH526,'LP Reactivos'!AM526,'LP Reactivos'!AR526,'LP Reactivos'!AW526,'LP Reactivos'!BB526,'LP Reactivos'!BG526,'LP Reactivos'!BL526,'LP Reactivos'!BQ526,'LP Reactivos'!BV526,'LP Reactivos'!CA526,'LP Reactivos'!CF526,'LP Reactivos'!CK526,'LP Reactivos'!CP526,'LP Reactivos'!CU526,'LP Reactivos'!CZ526,'LP Reactivos'!DE526,'LP Reactivos'!DJ526,'LP Reactivos'!DO526,'LP Reactivos'!DT526,'LP Reactivos'!DY526,'LP Reactivos'!EB526)," ")</f>
        <v>366045.12160000001</v>
      </c>
      <c r="H526" s="345">
        <f t="shared" si="36"/>
        <v>0</v>
      </c>
      <c r="I526" s="346">
        <f t="shared" si="37"/>
        <v>0</v>
      </c>
      <c r="J526" s="345">
        <f t="shared" si="38"/>
        <v>366045.12160000001</v>
      </c>
      <c r="K526" s="344" t="str">
        <f t="shared" si="39"/>
        <v>Menor Valor</v>
      </c>
      <c r="L526" s="326">
        <f>IFERROR(COUNTA('LP Reactivos'!F526,'LP Reactivos'!I526,'LP Reactivos'!N526,'LP Reactivos'!S526,'LP Reactivos'!X526,'LP Reactivos'!AC526,'LP Reactivos'!AH526,'LP Reactivos'!AM526,'LP Reactivos'!AR526,'LP Reactivos'!AW526,'LP Reactivos'!BB526,'LP Reactivos'!BG526,'LP Reactivos'!BL526,'LP Reactivos'!BQ526,'LP Reactivos'!BV526,'LP Reactivos'!CA526,'LP Reactivos'!CF526,'LP Reactivos'!CK526,'LP Reactivos'!CP526,'LP Reactivos'!CU526,'LP Reactivos'!CZ526,'LP Reactivos'!DE526,'LP Reactivos'!DJ526,'LP Reactivos'!DO526,'LP Reactivos'!DT526,'LP Reactivos'!DY526,'LP Reactivos'!EB526)," ")</f>
        <v>1</v>
      </c>
    </row>
    <row r="527" spans="2:12" ht="54" x14ac:dyDescent="0.25">
      <c r="B527" s="425">
        <v>525</v>
      </c>
      <c r="C527" s="427" t="s">
        <v>2437</v>
      </c>
      <c r="D527" s="429">
        <f>IFERROR(MIN('LP Reactivos'!F527,'LP Reactivos'!I527,'LP Reactivos'!N527,'LP Reactivos'!S527,'LP Reactivos'!X527,'LP Reactivos'!AC527,'LP Reactivos'!AH527,'LP Reactivos'!AM527,'LP Reactivos'!AR527,'LP Reactivos'!AW527,'LP Reactivos'!BB527,'LP Reactivos'!BG527,'LP Reactivos'!BL527,'LP Reactivos'!BQ527,'LP Reactivos'!BV527,'LP Reactivos'!CA527,'LP Reactivos'!CF527,'LP Reactivos'!CK527,'LP Reactivos'!CP527,'LP Reactivos'!CU527,'LP Reactivos'!CZ527,'LP Reactivos'!DE527,'LP Reactivos'!DJ527,'LP Reactivos'!DO527,'LP Reactivos'!DT527,'LP Reactivos'!DY527,'LP Reactivos'!EB527)," ")</f>
        <v>819675.62820000004</v>
      </c>
      <c r="E527" s="429">
        <f>IFERROR(AVERAGE('LP Reactivos'!F527,'LP Reactivos'!I527,'LP Reactivos'!N527,'LP Reactivos'!S527,'LP Reactivos'!X527,'LP Reactivos'!AC527,'LP Reactivos'!AH527,'LP Reactivos'!AM527,'LP Reactivos'!AR527,'LP Reactivos'!AW527,'LP Reactivos'!BB527,'LP Reactivos'!BG527,'LP Reactivos'!BL527,'LP Reactivos'!BQ527,'LP Reactivos'!BV527,'LP Reactivos'!CA527,'LP Reactivos'!CF527,'LP Reactivos'!CK527,'LP Reactivos'!CP527,'LP Reactivos'!CU527,'LP Reactivos'!CZ527,'LP Reactivos'!DE527,'LP Reactivos'!DJ527,'LP Reactivos'!DO527,'LP Reactivos'!DT527,'LP Reactivos'!DY527,'LP Reactivos'!EB527)," ")</f>
        <v>819675.62820000004</v>
      </c>
      <c r="F527" s="345">
        <f>IFERROR(MEDIAN('LP Reactivos'!F527,'LP Reactivos'!I527,'LP Reactivos'!N527,'LP Reactivos'!S527,'LP Reactivos'!X527,'LP Reactivos'!AC527,'LP Reactivos'!AH527,'LP Reactivos'!AM527,'LP Reactivos'!AR527,'LP Reactivos'!AW527,'LP Reactivos'!BB527,'LP Reactivos'!BG527,'LP Reactivos'!BL527,'LP Reactivos'!BQ527,'LP Reactivos'!BV527,'LP Reactivos'!CA527,'LP Reactivos'!CF527,'LP Reactivos'!CK527,'LP Reactivos'!CP527,'LP Reactivos'!CU527,'LP Reactivos'!CZ527,'LP Reactivos'!DE527,'LP Reactivos'!DJ527,'LP Reactivos'!DO527,'LP Reactivos'!DT527,'LP Reactivos'!DY527,'LP Reactivos'!EB527)," ")</f>
        <v>819675.62820000004</v>
      </c>
      <c r="G527" s="345">
        <f>IFERROR(GEOMEAN('LP Reactivos'!F527,'LP Reactivos'!I527,'LP Reactivos'!N527,'LP Reactivos'!S527,'LP Reactivos'!X527,'LP Reactivos'!AC527,'LP Reactivos'!AH527,'LP Reactivos'!AM527,'LP Reactivos'!AR527,'LP Reactivos'!AW527,'LP Reactivos'!BB527,'LP Reactivos'!BG527,'LP Reactivos'!BL527,'LP Reactivos'!BQ527,'LP Reactivos'!BV527,'LP Reactivos'!CA527,'LP Reactivos'!CF527,'LP Reactivos'!CK527,'LP Reactivos'!CP527,'LP Reactivos'!CU527,'LP Reactivos'!CZ527,'LP Reactivos'!DE527,'LP Reactivos'!DJ527,'LP Reactivos'!DO527,'LP Reactivos'!DT527,'LP Reactivos'!DY527,'LP Reactivos'!EB527)," ")</f>
        <v>819675.62820000004</v>
      </c>
      <c r="H527" s="345">
        <f t="shared" si="36"/>
        <v>0</v>
      </c>
      <c r="I527" s="346">
        <f t="shared" si="37"/>
        <v>0</v>
      </c>
      <c r="J527" s="345">
        <f t="shared" si="38"/>
        <v>819675.62820000004</v>
      </c>
      <c r="K527" s="344" t="str">
        <f t="shared" si="39"/>
        <v>Menor Valor</v>
      </c>
      <c r="L527" s="326">
        <f>IFERROR(COUNTA('LP Reactivos'!F527,'LP Reactivos'!I527,'LP Reactivos'!N527,'LP Reactivos'!S527,'LP Reactivos'!X527,'LP Reactivos'!AC527,'LP Reactivos'!AH527,'LP Reactivos'!AM527,'LP Reactivos'!AR527,'LP Reactivos'!AW527,'LP Reactivos'!BB527,'LP Reactivos'!BG527,'LP Reactivos'!BL527,'LP Reactivos'!BQ527,'LP Reactivos'!BV527,'LP Reactivos'!CA527,'LP Reactivos'!CF527,'LP Reactivos'!CK527,'LP Reactivos'!CP527,'LP Reactivos'!CU527,'LP Reactivos'!CZ527,'LP Reactivos'!DE527,'LP Reactivos'!DJ527,'LP Reactivos'!DO527,'LP Reactivos'!DT527,'LP Reactivos'!DY527,'LP Reactivos'!EB527)," ")</f>
        <v>1</v>
      </c>
    </row>
    <row r="528" spans="2:12" ht="40.5" x14ac:dyDescent="0.25">
      <c r="B528" s="425">
        <v>526</v>
      </c>
      <c r="C528" s="427" t="s">
        <v>2438</v>
      </c>
      <c r="D528" s="429">
        <f>IFERROR(MIN('LP Reactivos'!F528,'LP Reactivos'!I528,'LP Reactivos'!N528,'LP Reactivos'!S528,'LP Reactivos'!X528,'LP Reactivos'!AC528,'LP Reactivos'!AH528,'LP Reactivos'!AM528,'LP Reactivos'!AR528,'LP Reactivos'!AW528,'LP Reactivos'!BB528,'LP Reactivos'!BG528,'LP Reactivos'!BL528,'LP Reactivos'!BQ528,'LP Reactivos'!BV528,'LP Reactivos'!CA528,'LP Reactivos'!CF528,'LP Reactivos'!CK528,'LP Reactivos'!CP528,'LP Reactivos'!CU528,'LP Reactivos'!CZ528,'LP Reactivos'!DE528,'LP Reactivos'!DJ528,'LP Reactivos'!DO528,'LP Reactivos'!DT528,'LP Reactivos'!DY528,'LP Reactivos'!EB528)," ")</f>
        <v>353000</v>
      </c>
      <c r="E528" s="429">
        <f>IFERROR(AVERAGE('LP Reactivos'!F528,'LP Reactivos'!I528,'LP Reactivos'!N528,'LP Reactivos'!S528,'LP Reactivos'!X528,'LP Reactivos'!AC528,'LP Reactivos'!AH528,'LP Reactivos'!AM528,'LP Reactivos'!AR528,'LP Reactivos'!AW528,'LP Reactivos'!BB528,'LP Reactivos'!BG528,'LP Reactivos'!BL528,'LP Reactivos'!BQ528,'LP Reactivos'!BV528,'LP Reactivos'!CA528,'LP Reactivos'!CF528,'LP Reactivos'!CK528,'LP Reactivos'!CP528,'LP Reactivos'!CU528,'LP Reactivos'!CZ528,'LP Reactivos'!DE528,'LP Reactivos'!DJ528,'LP Reactivos'!DO528,'LP Reactivos'!DT528,'LP Reactivos'!DY528,'LP Reactivos'!EB528)," ")</f>
        <v>353000</v>
      </c>
      <c r="F528" s="345">
        <f>IFERROR(MEDIAN('LP Reactivos'!F528,'LP Reactivos'!I528,'LP Reactivos'!N528,'LP Reactivos'!S528,'LP Reactivos'!X528,'LP Reactivos'!AC528,'LP Reactivos'!AH528,'LP Reactivos'!AM528,'LP Reactivos'!AR528,'LP Reactivos'!AW528,'LP Reactivos'!BB528,'LP Reactivos'!BG528,'LP Reactivos'!BL528,'LP Reactivos'!BQ528,'LP Reactivos'!BV528,'LP Reactivos'!CA528,'LP Reactivos'!CF528,'LP Reactivos'!CK528,'LP Reactivos'!CP528,'LP Reactivos'!CU528,'LP Reactivos'!CZ528,'LP Reactivos'!DE528,'LP Reactivos'!DJ528,'LP Reactivos'!DO528,'LP Reactivos'!DT528,'LP Reactivos'!DY528,'LP Reactivos'!EB528)," ")</f>
        <v>353000</v>
      </c>
      <c r="G528" s="345">
        <f>IFERROR(GEOMEAN('LP Reactivos'!F528,'LP Reactivos'!I528,'LP Reactivos'!N528,'LP Reactivos'!S528,'LP Reactivos'!X528,'LP Reactivos'!AC528,'LP Reactivos'!AH528,'LP Reactivos'!AM528,'LP Reactivos'!AR528,'LP Reactivos'!AW528,'LP Reactivos'!BB528,'LP Reactivos'!BG528,'LP Reactivos'!BL528,'LP Reactivos'!BQ528,'LP Reactivos'!BV528,'LP Reactivos'!CA528,'LP Reactivos'!CF528,'LP Reactivos'!CK528,'LP Reactivos'!CP528,'LP Reactivos'!CU528,'LP Reactivos'!CZ528,'LP Reactivos'!DE528,'LP Reactivos'!DJ528,'LP Reactivos'!DO528,'LP Reactivos'!DT528,'LP Reactivos'!DY528,'LP Reactivos'!EB528)," ")</f>
        <v>353000</v>
      </c>
      <c r="H528" s="345">
        <f t="shared" si="36"/>
        <v>0</v>
      </c>
      <c r="I528" s="346">
        <f t="shared" si="37"/>
        <v>0</v>
      </c>
      <c r="J528" s="345">
        <f t="shared" si="38"/>
        <v>353000</v>
      </c>
      <c r="K528" s="344" t="str">
        <f t="shared" si="39"/>
        <v>Menor Valor</v>
      </c>
      <c r="L528" s="326">
        <f>IFERROR(COUNTA('LP Reactivos'!F528,'LP Reactivos'!I528,'LP Reactivos'!N528,'LP Reactivos'!S528,'LP Reactivos'!X528,'LP Reactivos'!AC528,'LP Reactivos'!AH528,'LP Reactivos'!AM528,'LP Reactivos'!AR528,'LP Reactivos'!AW528,'LP Reactivos'!BB528,'LP Reactivos'!BG528,'LP Reactivos'!BL528,'LP Reactivos'!BQ528,'LP Reactivos'!BV528,'LP Reactivos'!CA528,'LP Reactivos'!CF528,'LP Reactivos'!CK528,'LP Reactivos'!CP528,'LP Reactivos'!CU528,'LP Reactivos'!CZ528,'LP Reactivos'!DE528,'LP Reactivos'!DJ528,'LP Reactivos'!DO528,'LP Reactivos'!DT528,'LP Reactivos'!DY528,'LP Reactivos'!EB528)," ")</f>
        <v>1</v>
      </c>
    </row>
    <row r="529" spans="2:12" ht="54" x14ac:dyDescent="0.25">
      <c r="B529" s="425">
        <v>527</v>
      </c>
      <c r="C529" s="427" t="s">
        <v>2440</v>
      </c>
      <c r="D529" s="429">
        <f>IFERROR(MIN('LP Reactivos'!F529,'LP Reactivos'!I529,'LP Reactivos'!N529,'LP Reactivos'!S529,'LP Reactivos'!X529,'LP Reactivos'!AC529,'LP Reactivos'!AH529,'LP Reactivos'!AM529,'LP Reactivos'!AR529,'LP Reactivos'!AW529,'LP Reactivos'!BB529,'LP Reactivos'!BG529,'LP Reactivos'!BL529,'LP Reactivos'!BQ529,'LP Reactivos'!BV529,'LP Reactivos'!CA529,'LP Reactivos'!CF529,'LP Reactivos'!CK529,'LP Reactivos'!CP529,'LP Reactivos'!CU529,'LP Reactivos'!CZ529,'LP Reactivos'!DE529,'LP Reactivos'!DJ529,'LP Reactivos'!DO529,'LP Reactivos'!DT529,'LP Reactivos'!DY529,'LP Reactivos'!EB529)," ")</f>
        <v>353000</v>
      </c>
      <c r="E529" s="429">
        <f>IFERROR(AVERAGE('LP Reactivos'!F529,'LP Reactivos'!I529,'LP Reactivos'!N529,'LP Reactivos'!S529,'LP Reactivos'!X529,'LP Reactivos'!AC529,'LP Reactivos'!AH529,'LP Reactivos'!AM529,'LP Reactivos'!AR529,'LP Reactivos'!AW529,'LP Reactivos'!BB529,'LP Reactivos'!BG529,'LP Reactivos'!BL529,'LP Reactivos'!BQ529,'LP Reactivos'!BV529,'LP Reactivos'!CA529,'LP Reactivos'!CF529,'LP Reactivos'!CK529,'LP Reactivos'!CP529,'LP Reactivos'!CU529,'LP Reactivos'!CZ529,'LP Reactivos'!DE529,'LP Reactivos'!DJ529,'LP Reactivos'!DO529,'LP Reactivos'!DT529,'LP Reactivos'!DY529,'LP Reactivos'!EB529)," ")</f>
        <v>353000</v>
      </c>
      <c r="F529" s="345">
        <f>IFERROR(MEDIAN('LP Reactivos'!F529,'LP Reactivos'!I529,'LP Reactivos'!N529,'LP Reactivos'!S529,'LP Reactivos'!X529,'LP Reactivos'!AC529,'LP Reactivos'!AH529,'LP Reactivos'!AM529,'LP Reactivos'!AR529,'LP Reactivos'!AW529,'LP Reactivos'!BB529,'LP Reactivos'!BG529,'LP Reactivos'!BL529,'LP Reactivos'!BQ529,'LP Reactivos'!BV529,'LP Reactivos'!CA529,'LP Reactivos'!CF529,'LP Reactivos'!CK529,'LP Reactivos'!CP529,'LP Reactivos'!CU529,'LP Reactivos'!CZ529,'LP Reactivos'!DE529,'LP Reactivos'!DJ529,'LP Reactivos'!DO529,'LP Reactivos'!DT529,'LP Reactivos'!DY529,'LP Reactivos'!EB529)," ")</f>
        <v>353000</v>
      </c>
      <c r="G529" s="345">
        <f>IFERROR(GEOMEAN('LP Reactivos'!F529,'LP Reactivos'!I529,'LP Reactivos'!N529,'LP Reactivos'!S529,'LP Reactivos'!X529,'LP Reactivos'!AC529,'LP Reactivos'!AH529,'LP Reactivos'!AM529,'LP Reactivos'!AR529,'LP Reactivos'!AW529,'LP Reactivos'!BB529,'LP Reactivos'!BG529,'LP Reactivos'!BL529,'LP Reactivos'!BQ529,'LP Reactivos'!BV529,'LP Reactivos'!CA529,'LP Reactivos'!CF529,'LP Reactivos'!CK529,'LP Reactivos'!CP529,'LP Reactivos'!CU529,'LP Reactivos'!CZ529,'LP Reactivos'!DE529,'LP Reactivos'!DJ529,'LP Reactivos'!DO529,'LP Reactivos'!DT529,'LP Reactivos'!DY529,'LP Reactivos'!EB529)," ")</f>
        <v>353000</v>
      </c>
      <c r="H529" s="345">
        <f t="shared" si="36"/>
        <v>0</v>
      </c>
      <c r="I529" s="346">
        <f t="shared" si="37"/>
        <v>0</v>
      </c>
      <c r="J529" s="345">
        <f t="shared" si="38"/>
        <v>353000</v>
      </c>
      <c r="K529" s="344" t="str">
        <f t="shared" si="39"/>
        <v>Menor Valor</v>
      </c>
      <c r="L529" s="326">
        <f>IFERROR(COUNTA('LP Reactivos'!F529,'LP Reactivos'!I529,'LP Reactivos'!N529,'LP Reactivos'!S529,'LP Reactivos'!X529,'LP Reactivos'!AC529,'LP Reactivos'!AH529,'LP Reactivos'!AM529,'LP Reactivos'!AR529,'LP Reactivos'!AW529,'LP Reactivos'!BB529,'LP Reactivos'!BG529,'LP Reactivos'!BL529,'LP Reactivos'!BQ529,'LP Reactivos'!BV529,'LP Reactivos'!CA529,'LP Reactivos'!CF529,'LP Reactivos'!CK529,'LP Reactivos'!CP529,'LP Reactivos'!CU529,'LP Reactivos'!CZ529,'LP Reactivos'!DE529,'LP Reactivos'!DJ529,'LP Reactivos'!DO529,'LP Reactivos'!DT529,'LP Reactivos'!DY529,'LP Reactivos'!EB529)," ")</f>
        <v>1</v>
      </c>
    </row>
    <row r="530" spans="2:12" ht="54" x14ac:dyDescent="0.25">
      <c r="B530" s="425">
        <v>528</v>
      </c>
      <c r="C530" s="427" t="s">
        <v>2442</v>
      </c>
      <c r="D530" s="429">
        <f>IFERROR(MIN('LP Reactivos'!F530,'LP Reactivos'!I530,'LP Reactivos'!N530,'LP Reactivos'!S530,'LP Reactivos'!X530,'LP Reactivos'!AC530,'LP Reactivos'!AH530,'LP Reactivos'!AM530,'LP Reactivos'!AR530,'LP Reactivos'!AW530,'LP Reactivos'!BB530,'LP Reactivos'!BG530,'LP Reactivos'!BL530,'LP Reactivos'!BQ530,'LP Reactivos'!BV530,'LP Reactivos'!CA530,'LP Reactivos'!CF530,'LP Reactivos'!CK530,'LP Reactivos'!CP530,'LP Reactivos'!CU530,'LP Reactivos'!CZ530,'LP Reactivos'!DE530,'LP Reactivos'!DJ530,'LP Reactivos'!DO530,'LP Reactivos'!DT530,'LP Reactivos'!DY530,'LP Reactivos'!EB530)," ")</f>
        <v>353000</v>
      </c>
      <c r="E530" s="429">
        <f>IFERROR(AVERAGE('LP Reactivos'!F530,'LP Reactivos'!I530,'LP Reactivos'!N530,'LP Reactivos'!S530,'LP Reactivos'!X530,'LP Reactivos'!AC530,'LP Reactivos'!AH530,'LP Reactivos'!AM530,'LP Reactivos'!AR530,'LP Reactivos'!AW530,'LP Reactivos'!BB530,'LP Reactivos'!BG530,'LP Reactivos'!BL530,'LP Reactivos'!BQ530,'LP Reactivos'!BV530,'LP Reactivos'!CA530,'LP Reactivos'!CF530,'LP Reactivos'!CK530,'LP Reactivos'!CP530,'LP Reactivos'!CU530,'LP Reactivos'!CZ530,'LP Reactivos'!DE530,'LP Reactivos'!DJ530,'LP Reactivos'!DO530,'LP Reactivos'!DT530,'LP Reactivos'!DY530,'LP Reactivos'!EB530)," ")</f>
        <v>353000</v>
      </c>
      <c r="F530" s="345">
        <f>IFERROR(MEDIAN('LP Reactivos'!F530,'LP Reactivos'!I530,'LP Reactivos'!N530,'LP Reactivos'!S530,'LP Reactivos'!X530,'LP Reactivos'!AC530,'LP Reactivos'!AH530,'LP Reactivos'!AM530,'LP Reactivos'!AR530,'LP Reactivos'!AW530,'LP Reactivos'!BB530,'LP Reactivos'!BG530,'LP Reactivos'!BL530,'LP Reactivos'!BQ530,'LP Reactivos'!BV530,'LP Reactivos'!CA530,'LP Reactivos'!CF530,'LP Reactivos'!CK530,'LP Reactivos'!CP530,'LP Reactivos'!CU530,'LP Reactivos'!CZ530,'LP Reactivos'!DE530,'LP Reactivos'!DJ530,'LP Reactivos'!DO530,'LP Reactivos'!DT530,'LP Reactivos'!DY530,'LP Reactivos'!EB530)," ")</f>
        <v>353000</v>
      </c>
      <c r="G530" s="345">
        <f>IFERROR(GEOMEAN('LP Reactivos'!F530,'LP Reactivos'!I530,'LP Reactivos'!N530,'LP Reactivos'!S530,'LP Reactivos'!X530,'LP Reactivos'!AC530,'LP Reactivos'!AH530,'LP Reactivos'!AM530,'LP Reactivos'!AR530,'LP Reactivos'!AW530,'LP Reactivos'!BB530,'LP Reactivos'!BG530,'LP Reactivos'!BL530,'LP Reactivos'!BQ530,'LP Reactivos'!BV530,'LP Reactivos'!CA530,'LP Reactivos'!CF530,'LP Reactivos'!CK530,'LP Reactivos'!CP530,'LP Reactivos'!CU530,'LP Reactivos'!CZ530,'LP Reactivos'!DE530,'LP Reactivos'!DJ530,'LP Reactivos'!DO530,'LP Reactivos'!DT530,'LP Reactivos'!DY530,'LP Reactivos'!EB530)," ")</f>
        <v>353000</v>
      </c>
      <c r="H530" s="345">
        <f t="shared" si="36"/>
        <v>0</v>
      </c>
      <c r="I530" s="346">
        <f t="shared" si="37"/>
        <v>0</v>
      </c>
      <c r="J530" s="345">
        <f t="shared" si="38"/>
        <v>353000</v>
      </c>
      <c r="K530" s="344" t="str">
        <f t="shared" si="39"/>
        <v>Menor Valor</v>
      </c>
      <c r="L530" s="326">
        <f>IFERROR(COUNTA('LP Reactivos'!F530,'LP Reactivos'!I530,'LP Reactivos'!N530,'LP Reactivos'!S530,'LP Reactivos'!X530,'LP Reactivos'!AC530,'LP Reactivos'!AH530,'LP Reactivos'!AM530,'LP Reactivos'!AR530,'LP Reactivos'!AW530,'LP Reactivos'!BB530,'LP Reactivos'!BG530,'LP Reactivos'!BL530,'LP Reactivos'!BQ530,'LP Reactivos'!BV530,'LP Reactivos'!CA530,'LP Reactivos'!CF530,'LP Reactivos'!CK530,'LP Reactivos'!CP530,'LP Reactivos'!CU530,'LP Reactivos'!CZ530,'LP Reactivos'!DE530,'LP Reactivos'!DJ530,'LP Reactivos'!DO530,'LP Reactivos'!DT530,'LP Reactivos'!DY530,'LP Reactivos'!EB530)," ")</f>
        <v>1</v>
      </c>
    </row>
    <row r="531" spans="2:12" x14ac:dyDescent="0.25">
      <c r="B531" s="425">
        <v>529</v>
      </c>
      <c r="C531" s="427" t="s">
        <v>5104</v>
      </c>
      <c r="D531" s="429">
        <f>IFERROR(MIN('LP Reactivos'!F531,'LP Reactivos'!I531,'LP Reactivos'!N531,'LP Reactivos'!S531,'LP Reactivos'!X531,'LP Reactivos'!AC531,'LP Reactivos'!AH531,'LP Reactivos'!AM531,'LP Reactivos'!AR531,'LP Reactivos'!AW531,'LP Reactivos'!BB531,'LP Reactivos'!BG531,'LP Reactivos'!BL531,'LP Reactivos'!BQ531,'LP Reactivos'!BV531,'LP Reactivos'!CA531,'LP Reactivos'!CF531,'LP Reactivos'!CK531,'LP Reactivos'!CP531,'LP Reactivos'!CU531,'LP Reactivos'!CZ531,'LP Reactivos'!DE531,'LP Reactivos'!DJ531,'LP Reactivos'!DO531,'LP Reactivos'!DT531,'LP Reactivos'!DY531,'LP Reactivos'!EB531)," ")</f>
        <v>2396121.7250000001</v>
      </c>
      <c r="E531" s="429">
        <f>IFERROR(AVERAGE('LP Reactivos'!F531,'LP Reactivos'!I531,'LP Reactivos'!N531,'LP Reactivos'!S531,'LP Reactivos'!X531,'LP Reactivos'!AC531,'LP Reactivos'!AH531,'LP Reactivos'!AM531,'LP Reactivos'!AR531,'LP Reactivos'!AW531,'LP Reactivos'!BB531,'LP Reactivos'!BG531,'LP Reactivos'!BL531,'LP Reactivos'!BQ531,'LP Reactivos'!BV531,'LP Reactivos'!CA531,'LP Reactivos'!CF531,'LP Reactivos'!CK531,'LP Reactivos'!CP531,'LP Reactivos'!CU531,'LP Reactivos'!CZ531,'LP Reactivos'!DE531,'LP Reactivos'!DJ531,'LP Reactivos'!DO531,'LP Reactivos'!DT531,'LP Reactivos'!DY531,'LP Reactivos'!EB531)," ")</f>
        <v>2396121.7250000001</v>
      </c>
      <c r="F531" s="345">
        <f>IFERROR(MEDIAN('LP Reactivos'!F531,'LP Reactivos'!I531,'LP Reactivos'!N531,'LP Reactivos'!S531,'LP Reactivos'!X531,'LP Reactivos'!AC531,'LP Reactivos'!AH531,'LP Reactivos'!AM531,'LP Reactivos'!AR531,'LP Reactivos'!AW531,'LP Reactivos'!BB531,'LP Reactivos'!BG531,'LP Reactivos'!BL531,'LP Reactivos'!BQ531,'LP Reactivos'!BV531,'LP Reactivos'!CA531,'LP Reactivos'!CF531,'LP Reactivos'!CK531,'LP Reactivos'!CP531,'LP Reactivos'!CU531,'LP Reactivos'!CZ531,'LP Reactivos'!DE531,'LP Reactivos'!DJ531,'LP Reactivos'!DO531,'LP Reactivos'!DT531,'LP Reactivos'!DY531,'LP Reactivos'!EB531)," ")</f>
        <v>2396121.7250000001</v>
      </c>
      <c r="G531" s="345">
        <f>IFERROR(GEOMEAN('LP Reactivos'!F531,'LP Reactivos'!I531,'LP Reactivos'!N531,'LP Reactivos'!S531,'LP Reactivos'!X531,'LP Reactivos'!AC531,'LP Reactivos'!AH531,'LP Reactivos'!AM531,'LP Reactivos'!AR531,'LP Reactivos'!AW531,'LP Reactivos'!BB531,'LP Reactivos'!BG531,'LP Reactivos'!BL531,'LP Reactivos'!BQ531,'LP Reactivos'!BV531,'LP Reactivos'!CA531,'LP Reactivos'!CF531,'LP Reactivos'!CK531,'LP Reactivos'!CP531,'LP Reactivos'!CU531,'LP Reactivos'!CZ531,'LP Reactivos'!DE531,'LP Reactivos'!DJ531,'LP Reactivos'!DO531,'LP Reactivos'!DT531,'LP Reactivos'!DY531,'LP Reactivos'!EB531)," ")</f>
        <v>2396121.7250000001</v>
      </c>
      <c r="H531" s="345">
        <f t="shared" si="36"/>
        <v>0</v>
      </c>
      <c r="I531" s="346">
        <f t="shared" si="37"/>
        <v>0</v>
      </c>
      <c r="J531" s="345">
        <f t="shared" si="38"/>
        <v>2396121.7250000001</v>
      </c>
      <c r="K531" s="344" t="str">
        <f t="shared" si="39"/>
        <v>Menor Valor</v>
      </c>
      <c r="L531" s="326">
        <f>IFERROR(COUNTA('LP Reactivos'!F531,'LP Reactivos'!I531,'LP Reactivos'!N531,'LP Reactivos'!S531,'LP Reactivos'!X531,'LP Reactivos'!AC531,'LP Reactivos'!AH531,'LP Reactivos'!AM531,'LP Reactivos'!AR531,'LP Reactivos'!AW531,'LP Reactivos'!BB531,'LP Reactivos'!BG531,'LP Reactivos'!BL531,'LP Reactivos'!BQ531,'LP Reactivos'!BV531,'LP Reactivos'!CA531,'LP Reactivos'!CF531,'LP Reactivos'!CK531,'LP Reactivos'!CP531,'LP Reactivos'!CU531,'LP Reactivos'!CZ531,'LP Reactivos'!DE531,'LP Reactivos'!DJ531,'LP Reactivos'!DO531,'LP Reactivos'!DT531,'LP Reactivos'!DY531,'LP Reactivos'!EB531)," ")</f>
        <v>1</v>
      </c>
    </row>
    <row r="532" spans="2:12" x14ac:dyDescent="0.25">
      <c r="B532" s="425">
        <v>530</v>
      </c>
      <c r="C532" s="427" t="s">
        <v>2444</v>
      </c>
      <c r="D532" s="429">
        <f>IFERROR(MIN('LP Reactivos'!F532,'LP Reactivos'!I532,'LP Reactivos'!N532,'LP Reactivos'!S532,'LP Reactivos'!X532,'LP Reactivos'!AC532,'LP Reactivos'!AH532,'LP Reactivos'!AM532,'LP Reactivos'!AR532,'LP Reactivos'!AW532,'LP Reactivos'!BB532,'LP Reactivos'!BG532,'LP Reactivos'!BL532,'LP Reactivos'!BQ532,'LP Reactivos'!BV532,'LP Reactivos'!CA532,'LP Reactivos'!CF532,'LP Reactivos'!CK532,'LP Reactivos'!CP532,'LP Reactivos'!CU532,'LP Reactivos'!CZ532,'LP Reactivos'!DE532,'LP Reactivos'!DJ532,'LP Reactivos'!DO532,'LP Reactivos'!DT532,'LP Reactivos'!DY532,'LP Reactivos'!EB532)," ")</f>
        <v>552128.55000000005</v>
      </c>
      <c r="E532" s="429">
        <f>IFERROR(AVERAGE('LP Reactivos'!F532,'LP Reactivos'!I532,'LP Reactivos'!N532,'LP Reactivos'!S532,'LP Reactivos'!X532,'LP Reactivos'!AC532,'LP Reactivos'!AH532,'LP Reactivos'!AM532,'LP Reactivos'!AR532,'LP Reactivos'!AW532,'LP Reactivos'!BB532,'LP Reactivos'!BG532,'LP Reactivos'!BL532,'LP Reactivos'!BQ532,'LP Reactivos'!BV532,'LP Reactivos'!CA532,'LP Reactivos'!CF532,'LP Reactivos'!CK532,'LP Reactivos'!CP532,'LP Reactivos'!CU532,'LP Reactivos'!CZ532,'LP Reactivos'!DE532,'LP Reactivos'!DJ532,'LP Reactivos'!DO532,'LP Reactivos'!DT532,'LP Reactivos'!DY532,'LP Reactivos'!EB532)," ")</f>
        <v>552128.55000000005</v>
      </c>
      <c r="F532" s="345">
        <f>IFERROR(MEDIAN('LP Reactivos'!F532,'LP Reactivos'!I532,'LP Reactivos'!N532,'LP Reactivos'!S532,'LP Reactivos'!X532,'LP Reactivos'!AC532,'LP Reactivos'!AH532,'LP Reactivos'!AM532,'LP Reactivos'!AR532,'LP Reactivos'!AW532,'LP Reactivos'!BB532,'LP Reactivos'!BG532,'LP Reactivos'!BL532,'LP Reactivos'!BQ532,'LP Reactivos'!BV532,'LP Reactivos'!CA532,'LP Reactivos'!CF532,'LP Reactivos'!CK532,'LP Reactivos'!CP532,'LP Reactivos'!CU532,'LP Reactivos'!CZ532,'LP Reactivos'!DE532,'LP Reactivos'!DJ532,'LP Reactivos'!DO532,'LP Reactivos'!DT532,'LP Reactivos'!DY532,'LP Reactivos'!EB532)," ")</f>
        <v>552128.55000000005</v>
      </c>
      <c r="G532" s="345">
        <f>IFERROR(GEOMEAN('LP Reactivos'!F532,'LP Reactivos'!I532,'LP Reactivos'!N532,'LP Reactivos'!S532,'LP Reactivos'!X532,'LP Reactivos'!AC532,'LP Reactivos'!AH532,'LP Reactivos'!AM532,'LP Reactivos'!AR532,'LP Reactivos'!AW532,'LP Reactivos'!BB532,'LP Reactivos'!BG532,'LP Reactivos'!BL532,'LP Reactivos'!BQ532,'LP Reactivos'!BV532,'LP Reactivos'!CA532,'LP Reactivos'!CF532,'LP Reactivos'!CK532,'LP Reactivos'!CP532,'LP Reactivos'!CU532,'LP Reactivos'!CZ532,'LP Reactivos'!DE532,'LP Reactivos'!DJ532,'LP Reactivos'!DO532,'LP Reactivos'!DT532,'LP Reactivos'!DY532,'LP Reactivos'!EB532)," ")</f>
        <v>552128.55000000005</v>
      </c>
      <c r="H532" s="345">
        <f t="shared" si="36"/>
        <v>0</v>
      </c>
      <c r="I532" s="346">
        <f t="shared" si="37"/>
        <v>0</v>
      </c>
      <c r="J532" s="345">
        <f t="shared" si="38"/>
        <v>552128.55000000005</v>
      </c>
      <c r="K532" s="344" t="str">
        <f t="shared" si="39"/>
        <v>Menor Valor</v>
      </c>
      <c r="L532" s="326">
        <f>IFERROR(COUNTA('LP Reactivos'!F532,'LP Reactivos'!I532,'LP Reactivos'!N532,'LP Reactivos'!S532,'LP Reactivos'!X532,'LP Reactivos'!AC532,'LP Reactivos'!AH532,'LP Reactivos'!AM532,'LP Reactivos'!AR532,'LP Reactivos'!AW532,'LP Reactivos'!BB532,'LP Reactivos'!BG532,'LP Reactivos'!BL532,'LP Reactivos'!BQ532,'LP Reactivos'!BV532,'LP Reactivos'!CA532,'LP Reactivos'!CF532,'LP Reactivos'!CK532,'LP Reactivos'!CP532,'LP Reactivos'!CU532,'LP Reactivos'!CZ532,'LP Reactivos'!DE532,'LP Reactivos'!DJ532,'LP Reactivos'!DO532,'LP Reactivos'!DT532,'LP Reactivos'!DY532,'LP Reactivos'!EB532)," ")</f>
        <v>1</v>
      </c>
    </row>
    <row r="533" spans="2:12" x14ac:dyDescent="0.25">
      <c r="B533" s="425">
        <v>531</v>
      </c>
      <c r="C533" s="427" t="s">
        <v>2447</v>
      </c>
      <c r="D533" s="429">
        <f>IFERROR(MIN('LP Reactivos'!F533,'LP Reactivos'!I533,'LP Reactivos'!N533,'LP Reactivos'!S533,'LP Reactivos'!X533,'LP Reactivos'!AC533,'LP Reactivos'!AH533,'LP Reactivos'!AM533,'LP Reactivos'!AR533,'LP Reactivos'!AW533,'LP Reactivos'!BB533,'LP Reactivos'!BG533,'LP Reactivos'!BL533,'LP Reactivos'!BQ533,'LP Reactivos'!BV533,'LP Reactivos'!CA533,'LP Reactivos'!CF533,'LP Reactivos'!CK533,'LP Reactivos'!CP533,'LP Reactivos'!CU533,'LP Reactivos'!CZ533,'LP Reactivos'!DE533,'LP Reactivos'!DJ533,'LP Reactivos'!DO533,'LP Reactivos'!DT533,'LP Reactivos'!DY533,'LP Reactivos'!EB533)," ")</f>
        <v>73000</v>
      </c>
      <c r="E533" s="429">
        <f>IFERROR(AVERAGE('LP Reactivos'!F533,'LP Reactivos'!I533,'LP Reactivos'!N533,'LP Reactivos'!S533,'LP Reactivos'!X533,'LP Reactivos'!AC533,'LP Reactivos'!AH533,'LP Reactivos'!AM533,'LP Reactivos'!AR533,'LP Reactivos'!AW533,'LP Reactivos'!BB533,'LP Reactivos'!BG533,'LP Reactivos'!BL533,'LP Reactivos'!BQ533,'LP Reactivos'!BV533,'LP Reactivos'!CA533,'LP Reactivos'!CF533,'LP Reactivos'!CK533,'LP Reactivos'!CP533,'LP Reactivos'!CU533,'LP Reactivos'!CZ533,'LP Reactivos'!DE533,'LP Reactivos'!DJ533,'LP Reactivos'!DO533,'LP Reactivos'!DT533,'LP Reactivos'!DY533,'LP Reactivos'!EB533)," ")</f>
        <v>73000</v>
      </c>
      <c r="F533" s="345">
        <f>IFERROR(MEDIAN('LP Reactivos'!F533,'LP Reactivos'!I533,'LP Reactivos'!N533,'LP Reactivos'!S533,'LP Reactivos'!X533,'LP Reactivos'!AC533,'LP Reactivos'!AH533,'LP Reactivos'!AM533,'LP Reactivos'!AR533,'LP Reactivos'!AW533,'LP Reactivos'!BB533,'LP Reactivos'!BG533,'LP Reactivos'!BL533,'LP Reactivos'!BQ533,'LP Reactivos'!BV533,'LP Reactivos'!CA533,'LP Reactivos'!CF533,'LP Reactivos'!CK533,'LP Reactivos'!CP533,'LP Reactivos'!CU533,'LP Reactivos'!CZ533,'LP Reactivos'!DE533,'LP Reactivos'!DJ533,'LP Reactivos'!DO533,'LP Reactivos'!DT533,'LP Reactivos'!DY533,'LP Reactivos'!EB533)," ")</f>
        <v>73000</v>
      </c>
      <c r="G533" s="345">
        <f>IFERROR(GEOMEAN('LP Reactivos'!F533,'LP Reactivos'!I533,'LP Reactivos'!N533,'LP Reactivos'!S533,'LP Reactivos'!X533,'LP Reactivos'!AC533,'LP Reactivos'!AH533,'LP Reactivos'!AM533,'LP Reactivos'!AR533,'LP Reactivos'!AW533,'LP Reactivos'!BB533,'LP Reactivos'!BG533,'LP Reactivos'!BL533,'LP Reactivos'!BQ533,'LP Reactivos'!BV533,'LP Reactivos'!CA533,'LP Reactivos'!CF533,'LP Reactivos'!CK533,'LP Reactivos'!CP533,'LP Reactivos'!CU533,'LP Reactivos'!CZ533,'LP Reactivos'!DE533,'LP Reactivos'!DJ533,'LP Reactivos'!DO533,'LP Reactivos'!DT533,'LP Reactivos'!DY533,'LP Reactivos'!EB533)," ")</f>
        <v>73000</v>
      </c>
      <c r="H533" s="345">
        <f t="shared" si="36"/>
        <v>0</v>
      </c>
      <c r="I533" s="346">
        <f t="shared" si="37"/>
        <v>0</v>
      </c>
      <c r="J533" s="345">
        <f t="shared" si="38"/>
        <v>73000</v>
      </c>
      <c r="K533" s="344" t="str">
        <f t="shared" si="39"/>
        <v>Menor Valor</v>
      </c>
      <c r="L533" s="326">
        <f>IFERROR(COUNTA('LP Reactivos'!F533,'LP Reactivos'!I533,'LP Reactivos'!N533,'LP Reactivos'!S533,'LP Reactivos'!X533,'LP Reactivos'!AC533,'LP Reactivos'!AH533,'LP Reactivos'!AM533,'LP Reactivos'!AR533,'LP Reactivos'!AW533,'LP Reactivos'!BB533,'LP Reactivos'!BG533,'LP Reactivos'!BL533,'LP Reactivos'!BQ533,'LP Reactivos'!BV533,'LP Reactivos'!CA533,'LP Reactivos'!CF533,'LP Reactivos'!CK533,'LP Reactivos'!CP533,'LP Reactivos'!CU533,'LP Reactivos'!CZ533,'LP Reactivos'!DE533,'LP Reactivos'!DJ533,'LP Reactivos'!DO533,'LP Reactivos'!DT533,'LP Reactivos'!DY533,'LP Reactivos'!EB533)," ")</f>
        <v>1</v>
      </c>
    </row>
    <row r="534" spans="2:12" x14ac:dyDescent="0.25">
      <c r="B534" s="425">
        <v>532</v>
      </c>
      <c r="C534" s="427" t="s">
        <v>2449</v>
      </c>
      <c r="D534" s="429">
        <f>IFERROR(MIN('LP Reactivos'!F534,'LP Reactivos'!I534,'LP Reactivos'!N534,'LP Reactivos'!S534,'LP Reactivos'!X534,'LP Reactivos'!AC534,'LP Reactivos'!AH534,'LP Reactivos'!AM534,'LP Reactivos'!AR534,'LP Reactivos'!AW534,'LP Reactivos'!BB534,'LP Reactivos'!BG534,'LP Reactivos'!BL534,'LP Reactivos'!BQ534,'LP Reactivos'!BV534,'LP Reactivos'!CA534,'LP Reactivos'!CF534,'LP Reactivos'!CK534,'LP Reactivos'!CP534,'LP Reactivos'!CU534,'LP Reactivos'!CZ534,'LP Reactivos'!DE534,'LP Reactivos'!DJ534,'LP Reactivos'!DO534,'LP Reactivos'!DT534,'LP Reactivos'!DY534,'LP Reactivos'!EB534)," ")</f>
        <v>73000</v>
      </c>
      <c r="E534" s="429">
        <f>IFERROR(AVERAGE('LP Reactivos'!F534,'LP Reactivos'!I534,'LP Reactivos'!N534,'LP Reactivos'!S534,'LP Reactivos'!X534,'LP Reactivos'!AC534,'LP Reactivos'!AH534,'LP Reactivos'!AM534,'LP Reactivos'!AR534,'LP Reactivos'!AW534,'LP Reactivos'!BB534,'LP Reactivos'!BG534,'LP Reactivos'!BL534,'LP Reactivos'!BQ534,'LP Reactivos'!BV534,'LP Reactivos'!CA534,'LP Reactivos'!CF534,'LP Reactivos'!CK534,'LP Reactivos'!CP534,'LP Reactivos'!CU534,'LP Reactivos'!CZ534,'LP Reactivos'!DE534,'LP Reactivos'!DJ534,'LP Reactivos'!DO534,'LP Reactivos'!DT534,'LP Reactivos'!DY534,'LP Reactivos'!EB534)," ")</f>
        <v>73000</v>
      </c>
      <c r="F534" s="345">
        <f>IFERROR(MEDIAN('LP Reactivos'!F534,'LP Reactivos'!I534,'LP Reactivos'!N534,'LP Reactivos'!S534,'LP Reactivos'!X534,'LP Reactivos'!AC534,'LP Reactivos'!AH534,'LP Reactivos'!AM534,'LP Reactivos'!AR534,'LP Reactivos'!AW534,'LP Reactivos'!BB534,'LP Reactivos'!BG534,'LP Reactivos'!BL534,'LP Reactivos'!BQ534,'LP Reactivos'!BV534,'LP Reactivos'!CA534,'LP Reactivos'!CF534,'LP Reactivos'!CK534,'LP Reactivos'!CP534,'LP Reactivos'!CU534,'LP Reactivos'!CZ534,'LP Reactivos'!DE534,'LP Reactivos'!DJ534,'LP Reactivos'!DO534,'LP Reactivos'!DT534,'LP Reactivos'!DY534,'LP Reactivos'!EB534)," ")</f>
        <v>73000</v>
      </c>
      <c r="G534" s="345">
        <f>IFERROR(GEOMEAN('LP Reactivos'!F534,'LP Reactivos'!I534,'LP Reactivos'!N534,'LP Reactivos'!S534,'LP Reactivos'!X534,'LP Reactivos'!AC534,'LP Reactivos'!AH534,'LP Reactivos'!AM534,'LP Reactivos'!AR534,'LP Reactivos'!AW534,'LP Reactivos'!BB534,'LP Reactivos'!BG534,'LP Reactivos'!BL534,'LP Reactivos'!BQ534,'LP Reactivos'!BV534,'LP Reactivos'!CA534,'LP Reactivos'!CF534,'LP Reactivos'!CK534,'LP Reactivos'!CP534,'LP Reactivos'!CU534,'LP Reactivos'!CZ534,'LP Reactivos'!DE534,'LP Reactivos'!DJ534,'LP Reactivos'!DO534,'LP Reactivos'!DT534,'LP Reactivos'!DY534,'LP Reactivos'!EB534)," ")</f>
        <v>73000</v>
      </c>
      <c r="H534" s="345">
        <f t="shared" si="36"/>
        <v>0</v>
      </c>
      <c r="I534" s="346">
        <f t="shared" si="37"/>
        <v>0</v>
      </c>
      <c r="J534" s="345">
        <f t="shared" si="38"/>
        <v>73000</v>
      </c>
      <c r="K534" s="344" t="str">
        <f t="shared" si="39"/>
        <v>Menor Valor</v>
      </c>
      <c r="L534" s="326">
        <f>IFERROR(COUNTA('LP Reactivos'!F534,'LP Reactivos'!I534,'LP Reactivos'!N534,'LP Reactivos'!S534,'LP Reactivos'!X534,'LP Reactivos'!AC534,'LP Reactivos'!AH534,'LP Reactivos'!AM534,'LP Reactivos'!AR534,'LP Reactivos'!AW534,'LP Reactivos'!BB534,'LP Reactivos'!BG534,'LP Reactivos'!BL534,'LP Reactivos'!BQ534,'LP Reactivos'!BV534,'LP Reactivos'!CA534,'LP Reactivos'!CF534,'LP Reactivos'!CK534,'LP Reactivos'!CP534,'LP Reactivos'!CU534,'LP Reactivos'!CZ534,'LP Reactivos'!DE534,'LP Reactivos'!DJ534,'LP Reactivos'!DO534,'LP Reactivos'!DT534,'LP Reactivos'!DY534,'LP Reactivos'!EB534)," ")</f>
        <v>1</v>
      </c>
    </row>
    <row r="535" spans="2:12" x14ac:dyDescent="0.25">
      <c r="B535" s="425">
        <v>533</v>
      </c>
      <c r="C535" s="427" t="s">
        <v>2450</v>
      </c>
      <c r="D535" s="429">
        <f>IFERROR(MIN('LP Reactivos'!F535,'LP Reactivos'!I535,'LP Reactivos'!N535,'LP Reactivos'!S535,'LP Reactivos'!X535,'LP Reactivos'!AC535,'LP Reactivos'!AH535,'LP Reactivos'!AM535,'LP Reactivos'!AR535,'LP Reactivos'!AW535,'LP Reactivos'!BB535,'LP Reactivos'!BG535,'LP Reactivos'!BL535,'LP Reactivos'!BQ535,'LP Reactivos'!BV535,'LP Reactivos'!CA535,'LP Reactivos'!CF535,'LP Reactivos'!CK535,'LP Reactivos'!CP535,'LP Reactivos'!CU535,'LP Reactivos'!CZ535,'LP Reactivos'!DE535,'LP Reactivos'!DJ535,'LP Reactivos'!DO535,'LP Reactivos'!DT535,'LP Reactivos'!DY535,'LP Reactivos'!EB535)," ")</f>
        <v>73000</v>
      </c>
      <c r="E535" s="429">
        <f>IFERROR(AVERAGE('LP Reactivos'!F535,'LP Reactivos'!I535,'LP Reactivos'!N535,'LP Reactivos'!S535,'LP Reactivos'!X535,'LP Reactivos'!AC535,'LP Reactivos'!AH535,'LP Reactivos'!AM535,'LP Reactivos'!AR535,'LP Reactivos'!AW535,'LP Reactivos'!BB535,'LP Reactivos'!BG535,'LP Reactivos'!BL535,'LP Reactivos'!BQ535,'LP Reactivos'!BV535,'LP Reactivos'!CA535,'LP Reactivos'!CF535,'LP Reactivos'!CK535,'LP Reactivos'!CP535,'LP Reactivos'!CU535,'LP Reactivos'!CZ535,'LP Reactivos'!DE535,'LP Reactivos'!DJ535,'LP Reactivos'!DO535,'LP Reactivos'!DT535,'LP Reactivos'!DY535,'LP Reactivos'!EB535)," ")</f>
        <v>73000</v>
      </c>
      <c r="F535" s="345">
        <f>IFERROR(MEDIAN('LP Reactivos'!F535,'LP Reactivos'!I535,'LP Reactivos'!N535,'LP Reactivos'!S535,'LP Reactivos'!X535,'LP Reactivos'!AC535,'LP Reactivos'!AH535,'LP Reactivos'!AM535,'LP Reactivos'!AR535,'LP Reactivos'!AW535,'LP Reactivos'!BB535,'LP Reactivos'!BG535,'LP Reactivos'!BL535,'LP Reactivos'!BQ535,'LP Reactivos'!BV535,'LP Reactivos'!CA535,'LP Reactivos'!CF535,'LP Reactivos'!CK535,'LP Reactivos'!CP535,'LP Reactivos'!CU535,'LP Reactivos'!CZ535,'LP Reactivos'!DE535,'LP Reactivos'!DJ535,'LP Reactivos'!DO535,'LP Reactivos'!DT535,'LP Reactivos'!DY535,'LP Reactivos'!EB535)," ")</f>
        <v>73000</v>
      </c>
      <c r="G535" s="345">
        <f>IFERROR(GEOMEAN('LP Reactivos'!F535,'LP Reactivos'!I535,'LP Reactivos'!N535,'LP Reactivos'!S535,'LP Reactivos'!X535,'LP Reactivos'!AC535,'LP Reactivos'!AH535,'LP Reactivos'!AM535,'LP Reactivos'!AR535,'LP Reactivos'!AW535,'LP Reactivos'!BB535,'LP Reactivos'!BG535,'LP Reactivos'!BL535,'LP Reactivos'!BQ535,'LP Reactivos'!BV535,'LP Reactivos'!CA535,'LP Reactivos'!CF535,'LP Reactivos'!CK535,'LP Reactivos'!CP535,'LP Reactivos'!CU535,'LP Reactivos'!CZ535,'LP Reactivos'!DE535,'LP Reactivos'!DJ535,'LP Reactivos'!DO535,'LP Reactivos'!DT535,'LP Reactivos'!DY535,'LP Reactivos'!EB535)," ")</f>
        <v>73000</v>
      </c>
      <c r="H535" s="345">
        <f t="shared" si="36"/>
        <v>0</v>
      </c>
      <c r="I535" s="346">
        <f t="shared" si="37"/>
        <v>0</v>
      </c>
      <c r="J535" s="345">
        <f t="shared" si="38"/>
        <v>73000</v>
      </c>
      <c r="K535" s="344" t="str">
        <f t="shared" si="39"/>
        <v>Menor Valor</v>
      </c>
      <c r="L535" s="326">
        <f>IFERROR(COUNTA('LP Reactivos'!F535,'LP Reactivos'!I535,'LP Reactivos'!N535,'LP Reactivos'!S535,'LP Reactivos'!X535,'LP Reactivos'!AC535,'LP Reactivos'!AH535,'LP Reactivos'!AM535,'LP Reactivos'!AR535,'LP Reactivos'!AW535,'LP Reactivos'!BB535,'LP Reactivos'!BG535,'LP Reactivos'!BL535,'LP Reactivos'!BQ535,'LP Reactivos'!BV535,'LP Reactivos'!CA535,'LP Reactivos'!CF535,'LP Reactivos'!CK535,'LP Reactivos'!CP535,'LP Reactivos'!CU535,'LP Reactivos'!CZ535,'LP Reactivos'!DE535,'LP Reactivos'!DJ535,'LP Reactivos'!DO535,'LP Reactivos'!DT535,'LP Reactivos'!DY535,'LP Reactivos'!EB535)," ")</f>
        <v>1</v>
      </c>
    </row>
    <row r="536" spans="2:12" x14ac:dyDescent="0.25">
      <c r="B536" s="425">
        <v>534</v>
      </c>
      <c r="C536" s="427" t="s">
        <v>2451</v>
      </c>
      <c r="D536" s="429">
        <f>IFERROR(MIN('LP Reactivos'!F536,'LP Reactivos'!I536,'LP Reactivos'!N536,'LP Reactivos'!S536,'LP Reactivos'!X536,'LP Reactivos'!AC536,'LP Reactivos'!AH536,'LP Reactivos'!AM536,'LP Reactivos'!AR536,'LP Reactivos'!AW536,'LP Reactivos'!BB536,'LP Reactivos'!BG536,'LP Reactivos'!BL536,'LP Reactivos'!BQ536,'LP Reactivos'!BV536,'LP Reactivos'!CA536,'LP Reactivos'!CF536,'LP Reactivos'!CK536,'LP Reactivos'!CP536,'LP Reactivos'!CU536,'LP Reactivos'!CZ536,'LP Reactivos'!DE536,'LP Reactivos'!DJ536,'LP Reactivos'!DO536,'LP Reactivos'!DT536,'LP Reactivos'!DY536,'LP Reactivos'!EB536)," ")</f>
        <v>73000</v>
      </c>
      <c r="E536" s="429">
        <f>IFERROR(AVERAGE('LP Reactivos'!F536,'LP Reactivos'!I536,'LP Reactivos'!N536,'LP Reactivos'!S536,'LP Reactivos'!X536,'LP Reactivos'!AC536,'LP Reactivos'!AH536,'LP Reactivos'!AM536,'LP Reactivos'!AR536,'LP Reactivos'!AW536,'LP Reactivos'!BB536,'LP Reactivos'!BG536,'LP Reactivos'!BL536,'LP Reactivos'!BQ536,'LP Reactivos'!BV536,'LP Reactivos'!CA536,'LP Reactivos'!CF536,'LP Reactivos'!CK536,'LP Reactivos'!CP536,'LP Reactivos'!CU536,'LP Reactivos'!CZ536,'LP Reactivos'!DE536,'LP Reactivos'!DJ536,'LP Reactivos'!DO536,'LP Reactivos'!DT536,'LP Reactivos'!DY536,'LP Reactivos'!EB536)," ")</f>
        <v>73000</v>
      </c>
      <c r="F536" s="345">
        <f>IFERROR(MEDIAN('LP Reactivos'!F536,'LP Reactivos'!I536,'LP Reactivos'!N536,'LP Reactivos'!S536,'LP Reactivos'!X536,'LP Reactivos'!AC536,'LP Reactivos'!AH536,'LP Reactivos'!AM536,'LP Reactivos'!AR536,'LP Reactivos'!AW536,'LP Reactivos'!BB536,'LP Reactivos'!BG536,'LP Reactivos'!BL536,'LP Reactivos'!BQ536,'LP Reactivos'!BV536,'LP Reactivos'!CA536,'LP Reactivos'!CF536,'LP Reactivos'!CK536,'LP Reactivos'!CP536,'LP Reactivos'!CU536,'LP Reactivos'!CZ536,'LP Reactivos'!DE536,'LP Reactivos'!DJ536,'LP Reactivos'!DO536,'LP Reactivos'!DT536,'LP Reactivos'!DY536,'LP Reactivos'!EB536)," ")</f>
        <v>73000</v>
      </c>
      <c r="G536" s="345">
        <f>IFERROR(GEOMEAN('LP Reactivos'!F536,'LP Reactivos'!I536,'LP Reactivos'!N536,'LP Reactivos'!S536,'LP Reactivos'!X536,'LP Reactivos'!AC536,'LP Reactivos'!AH536,'LP Reactivos'!AM536,'LP Reactivos'!AR536,'LP Reactivos'!AW536,'LP Reactivos'!BB536,'LP Reactivos'!BG536,'LP Reactivos'!BL536,'LP Reactivos'!BQ536,'LP Reactivos'!BV536,'LP Reactivos'!CA536,'LP Reactivos'!CF536,'LP Reactivos'!CK536,'LP Reactivos'!CP536,'LP Reactivos'!CU536,'LP Reactivos'!CZ536,'LP Reactivos'!DE536,'LP Reactivos'!DJ536,'LP Reactivos'!DO536,'LP Reactivos'!DT536,'LP Reactivos'!DY536,'LP Reactivos'!EB536)," ")</f>
        <v>73000</v>
      </c>
      <c r="H536" s="345">
        <f t="shared" si="36"/>
        <v>0</v>
      </c>
      <c r="I536" s="346">
        <f t="shared" si="37"/>
        <v>0</v>
      </c>
      <c r="J536" s="345">
        <f t="shared" si="38"/>
        <v>73000</v>
      </c>
      <c r="K536" s="344" t="str">
        <f t="shared" si="39"/>
        <v>Menor Valor</v>
      </c>
      <c r="L536" s="326">
        <f>IFERROR(COUNTA('LP Reactivos'!F536,'LP Reactivos'!I536,'LP Reactivos'!N536,'LP Reactivos'!S536,'LP Reactivos'!X536,'LP Reactivos'!AC536,'LP Reactivos'!AH536,'LP Reactivos'!AM536,'LP Reactivos'!AR536,'LP Reactivos'!AW536,'LP Reactivos'!BB536,'LP Reactivos'!BG536,'LP Reactivos'!BL536,'LP Reactivos'!BQ536,'LP Reactivos'!BV536,'LP Reactivos'!CA536,'LP Reactivos'!CF536,'LP Reactivos'!CK536,'LP Reactivos'!CP536,'LP Reactivos'!CU536,'LP Reactivos'!CZ536,'LP Reactivos'!DE536,'LP Reactivos'!DJ536,'LP Reactivos'!DO536,'LP Reactivos'!DT536,'LP Reactivos'!DY536,'LP Reactivos'!EB536)," ")</f>
        <v>1</v>
      </c>
    </row>
    <row r="537" spans="2:12" x14ac:dyDescent="0.25">
      <c r="B537" s="425">
        <v>535</v>
      </c>
      <c r="C537" s="427" t="s">
        <v>2452</v>
      </c>
      <c r="D537" s="429">
        <f>IFERROR(MIN('LP Reactivos'!F537,'LP Reactivos'!I537,'LP Reactivos'!N537,'LP Reactivos'!S537,'LP Reactivos'!X537,'LP Reactivos'!AC537,'LP Reactivos'!AH537,'LP Reactivos'!AM537,'LP Reactivos'!AR537,'LP Reactivos'!AW537,'LP Reactivos'!BB537,'LP Reactivos'!BG537,'LP Reactivos'!BL537,'LP Reactivos'!BQ537,'LP Reactivos'!BV537,'LP Reactivos'!CA537,'LP Reactivos'!CF537,'LP Reactivos'!CK537,'LP Reactivos'!CP537,'LP Reactivos'!CU537,'LP Reactivos'!CZ537,'LP Reactivos'!DE537,'LP Reactivos'!DJ537,'LP Reactivos'!DO537,'LP Reactivos'!DT537,'LP Reactivos'!DY537,'LP Reactivos'!EB537)," ")</f>
        <v>73000</v>
      </c>
      <c r="E537" s="429">
        <f>IFERROR(AVERAGE('LP Reactivos'!F537,'LP Reactivos'!I537,'LP Reactivos'!N537,'LP Reactivos'!S537,'LP Reactivos'!X537,'LP Reactivos'!AC537,'LP Reactivos'!AH537,'LP Reactivos'!AM537,'LP Reactivos'!AR537,'LP Reactivos'!AW537,'LP Reactivos'!BB537,'LP Reactivos'!BG537,'LP Reactivos'!BL537,'LP Reactivos'!BQ537,'LP Reactivos'!BV537,'LP Reactivos'!CA537,'LP Reactivos'!CF537,'LP Reactivos'!CK537,'LP Reactivos'!CP537,'LP Reactivos'!CU537,'LP Reactivos'!CZ537,'LP Reactivos'!DE537,'LP Reactivos'!DJ537,'LP Reactivos'!DO537,'LP Reactivos'!DT537,'LP Reactivos'!DY537,'LP Reactivos'!EB537)," ")</f>
        <v>73000</v>
      </c>
      <c r="F537" s="345">
        <f>IFERROR(MEDIAN('LP Reactivos'!F537,'LP Reactivos'!I537,'LP Reactivos'!N537,'LP Reactivos'!S537,'LP Reactivos'!X537,'LP Reactivos'!AC537,'LP Reactivos'!AH537,'LP Reactivos'!AM537,'LP Reactivos'!AR537,'LP Reactivos'!AW537,'LP Reactivos'!BB537,'LP Reactivos'!BG537,'LP Reactivos'!BL537,'LP Reactivos'!BQ537,'LP Reactivos'!BV537,'LP Reactivos'!CA537,'LP Reactivos'!CF537,'LP Reactivos'!CK537,'LP Reactivos'!CP537,'LP Reactivos'!CU537,'LP Reactivos'!CZ537,'LP Reactivos'!DE537,'LP Reactivos'!DJ537,'LP Reactivos'!DO537,'LP Reactivos'!DT537,'LP Reactivos'!DY537,'LP Reactivos'!EB537)," ")</f>
        <v>73000</v>
      </c>
      <c r="G537" s="345">
        <f>IFERROR(GEOMEAN('LP Reactivos'!F537,'LP Reactivos'!I537,'LP Reactivos'!N537,'LP Reactivos'!S537,'LP Reactivos'!X537,'LP Reactivos'!AC537,'LP Reactivos'!AH537,'LP Reactivos'!AM537,'LP Reactivos'!AR537,'LP Reactivos'!AW537,'LP Reactivos'!BB537,'LP Reactivos'!BG537,'LP Reactivos'!BL537,'LP Reactivos'!BQ537,'LP Reactivos'!BV537,'LP Reactivos'!CA537,'LP Reactivos'!CF537,'LP Reactivos'!CK537,'LP Reactivos'!CP537,'LP Reactivos'!CU537,'LP Reactivos'!CZ537,'LP Reactivos'!DE537,'LP Reactivos'!DJ537,'LP Reactivos'!DO537,'LP Reactivos'!DT537,'LP Reactivos'!DY537,'LP Reactivos'!EB537)," ")</f>
        <v>73000</v>
      </c>
      <c r="H537" s="345">
        <f t="shared" si="36"/>
        <v>0</v>
      </c>
      <c r="I537" s="346">
        <f t="shared" si="37"/>
        <v>0</v>
      </c>
      <c r="J537" s="345">
        <f t="shared" si="38"/>
        <v>73000</v>
      </c>
      <c r="K537" s="344" t="str">
        <f t="shared" si="39"/>
        <v>Menor Valor</v>
      </c>
      <c r="L537" s="326">
        <f>IFERROR(COUNTA('LP Reactivos'!F537,'LP Reactivos'!I537,'LP Reactivos'!N537,'LP Reactivos'!S537,'LP Reactivos'!X537,'LP Reactivos'!AC537,'LP Reactivos'!AH537,'LP Reactivos'!AM537,'LP Reactivos'!AR537,'LP Reactivos'!AW537,'LP Reactivos'!BB537,'LP Reactivos'!BG537,'LP Reactivos'!BL537,'LP Reactivos'!BQ537,'LP Reactivos'!BV537,'LP Reactivos'!CA537,'LP Reactivos'!CF537,'LP Reactivos'!CK537,'LP Reactivos'!CP537,'LP Reactivos'!CU537,'LP Reactivos'!CZ537,'LP Reactivos'!DE537,'LP Reactivos'!DJ537,'LP Reactivos'!DO537,'LP Reactivos'!DT537,'LP Reactivos'!DY537,'LP Reactivos'!EB537)," ")</f>
        <v>1</v>
      </c>
    </row>
    <row r="538" spans="2:12" x14ac:dyDescent="0.25">
      <c r="B538" s="425">
        <v>536</v>
      </c>
      <c r="C538" s="427" t="s">
        <v>2453</v>
      </c>
      <c r="D538" s="429">
        <f>IFERROR(MIN('LP Reactivos'!F538,'LP Reactivos'!I538,'LP Reactivos'!N538,'LP Reactivos'!S538,'LP Reactivos'!X538,'LP Reactivos'!AC538,'LP Reactivos'!AH538,'LP Reactivos'!AM538,'LP Reactivos'!AR538,'LP Reactivos'!AW538,'LP Reactivos'!BB538,'LP Reactivos'!BG538,'LP Reactivos'!BL538,'LP Reactivos'!BQ538,'LP Reactivos'!BV538,'LP Reactivos'!CA538,'LP Reactivos'!CF538,'LP Reactivos'!CK538,'LP Reactivos'!CP538,'LP Reactivos'!CU538,'LP Reactivos'!CZ538,'LP Reactivos'!DE538,'LP Reactivos'!DJ538,'LP Reactivos'!DO538,'LP Reactivos'!DT538,'LP Reactivos'!DY538,'LP Reactivos'!EB538)," ")</f>
        <v>73000</v>
      </c>
      <c r="E538" s="429">
        <f>IFERROR(AVERAGE('LP Reactivos'!F538,'LP Reactivos'!I538,'LP Reactivos'!N538,'LP Reactivos'!S538,'LP Reactivos'!X538,'LP Reactivos'!AC538,'LP Reactivos'!AH538,'LP Reactivos'!AM538,'LP Reactivos'!AR538,'LP Reactivos'!AW538,'LP Reactivos'!BB538,'LP Reactivos'!BG538,'LP Reactivos'!BL538,'LP Reactivos'!BQ538,'LP Reactivos'!BV538,'LP Reactivos'!CA538,'LP Reactivos'!CF538,'LP Reactivos'!CK538,'LP Reactivos'!CP538,'LP Reactivos'!CU538,'LP Reactivos'!CZ538,'LP Reactivos'!DE538,'LP Reactivos'!DJ538,'LP Reactivos'!DO538,'LP Reactivos'!DT538,'LP Reactivos'!DY538,'LP Reactivos'!EB538)," ")</f>
        <v>73000</v>
      </c>
      <c r="F538" s="345">
        <f>IFERROR(MEDIAN('LP Reactivos'!F538,'LP Reactivos'!I538,'LP Reactivos'!N538,'LP Reactivos'!S538,'LP Reactivos'!X538,'LP Reactivos'!AC538,'LP Reactivos'!AH538,'LP Reactivos'!AM538,'LP Reactivos'!AR538,'LP Reactivos'!AW538,'LP Reactivos'!BB538,'LP Reactivos'!BG538,'LP Reactivos'!BL538,'LP Reactivos'!BQ538,'LP Reactivos'!BV538,'LP Reactivos'!CA538,'LP Reactivos'!CF538,'LP Reactivos'!CK538,'LP Reactivos'!CP538,'LP Reactivos'!CU538,'LP Reactivos'!CZ538,'LP Reactivos'!DE538,'LP Reactivos'!DJ538,'LP Reactivos'!DO538,'LP Reactivos'!DT538,'LP Reactivos'!DY538,'LP Reactivos'!EB538)," ")</f>
        <v>73000</v>
      </c>
      <c r="G538" s="345">
        <f>IFERROR(GEOMEAN('LP Reactivos'!F538,'LP Reactivos'!I538,'LP Reactivos'!N538,'LP Reactivos'!S538,'LP Reactivos'!X538,'LP Reactivos'!AC538,'LP Reactivos'!AH538,'LP Reactivos'!AM538,'LP Reactivos'!AR538,'LP Reactivos'!AW538,'LP Reactivos'!BB538,'LP Reactivos'!BG538,'LP Reactivos'!BL538,'LP Reactivos'!BQ538,'LP Reactivos'!BV538,'LP Reactivos'!CA538,'LP Reactivos'!CF538,'LP Reactivos'!CK538,'LP Reactivos'!CP538,'LP Reactivos'!CU538,'LP Reactivos'!CZ538,'LP Reactivos'!DE538,'LP Reactivos'!DJ538,'LP Reactivos'!DO538,'LP Reactivos'!DT538,'LP Reactivos'!DY538,'LP Reactivos'!EB538)," ")</f>
        <v>73000</v>
      </c>
      <c r="H538" s="345">
        <f t="shared" si="36"/>
        <v>0</v>
      </c>
      <c r="I538" s="346">
        <f t="shared" si="37"/>
        <v>0</v>
      </c>
      <c r="J538" s="345">
        <f t="shared" si="38"/>
        <v>73000</v>
      </c>
      <c r="K538" s="344" t="str">
        <f t="shared" si="39"/>
        <v>Menor Valor</v>
      </c>
      <c r="L538" s="326">
        <f>IFERROR(COUNTA('LP Reactivos'!F538,'LP Reactivos'!I538,'LP Reactivos'!N538,'LP Reactivos'!S538,'LP Reactivos'!X538,'LP Reactivos'!AC538,'LP Reactivos'!AH538,'LP Reactivos'!AM538,'LP Reactivos'!AR538,'LP Reactivos'!AW538,'LP Reactivos'!BB538,'LP Reactivos'!BG538,'LP Reactivos'!BL538,'LP Reactivos'!BQ538,'LP Reactivos'!BV538,'LP Reactivos'!CA538,'LP Reactivos'!CF538,'LP Reactivos'!CK538,'LP Reactivos'!CP538,'LP Reactivos'!CU538,'LP Reactivos'!CZ538,'LP Reactivos'!DE538,'LP Reactivos'!DJ538,'LP Reactivos'!DO538,'LP Reactivos'!DT538,'LP Reactivos'!DY538,'LP Reactivos'!EB538)," ")</f>
        <v>1</v>
      </c>
    </row>
    <row r="539" spans="2:12" x14ac:dyDescent="0.25">
      <c r="B539" s="425">
        <v>537</v>
      </c>
      <c r="C539" s="427" t="s">
        <v>2455</v>
      </c>
      <c r="D539" s="429">
        <f>IFERROR(MIN('LP Reactivos'!F539,'LP Reactivos'!I539,'LP Reactivos'!N539,'LP Reactivos'!S539,'LP Reactivos'!X539,'LP Reactivos'!AC539,'LP Reactivos'!AH539,'LP Reactivos'!AM539,'LP Reactivos'!AR539,'LP Reactivos'!AW539,'LP Reactivos'!BB539,'LP Reactivos'!BG539,'LP Reactivos'!BL539,'LP Reactivos'!BQ539,'LP Reactivos'!BV539,'LP Reactivos'!CA539,'LP Reactivos'!CF539,'LP Reactivos'!CK539,'LP Reactivos'!CP539,'LP Reactivos'!CU539,'LP Reactivos'!CZ539,'LP Reactivos'!DE539,'LP Reactivos'!DJ539,'LP Reactivos'!DO539,'LP Reactivos'!DT539,'LP Reactivos'!DY539,'LP Reactivos'!EB539)," ")</f>
        <v>73000</v>
      </c>
      <c r="E539" s="429">
        <f>IFERROR(AVERAGE('LP Reactivos'!F539,'LP Reactivos'!I539,'LP Reactivos'!N539,'LP Reactivos'!S539,'LP Reactivos'!X539,'LP Reactivos'!AC539,'LP Reactivos'!AH539,'LP Reactivos'!AM539,'LP Reactivos'!AR539,'LP Reactivos'!AW539,'LP Reactivos'!BB539,'LP Reactivos'!BG539,'LP Reactivos'!BL539,'LP Reactivos'!BQ539,'LP Reactivos'!BV539,'LP Reactivos'!CA539,'LP Reactivos'!CF539,'LP Reactivos'!CK539,'LP Reactivos'!CP539,'LP Reactivos'!CU539,'LP Reactivos'!CZ539,'LP Reactivos'!DE539,'LP Reactivos'!DJ539,'LP Reactivos'!DO539,'LP Reactivos'!DT539,'LP Reactivos'!DY539,'LP Reactivos'!EB539)," ")</f>
        <v>73000</v>
      </c>
      <c r="F539" s="345">
        <f>IFERROR(MEDIAN('LP Reactivos'!F539,'LP Reactivos'!I539,'LP Reactivos'!N539,'LP Reactivos'!S539,'LP Reactivos'!X539,'LP Reactivos'!AC539,'LP Reactivos'!AH539,'LP Reactivos'!AM539,'LP Reactivos'!AR539,'LP Reactivos'!AW539,'LP Reactivos'!BB539,'LP Reactivos'!BG539,'LP Reactivos'!BL539,'LP Reactivos'!BQ539,'LP Reactivos'!BV539,'LP Reactivos'!CA539,'LP Reactivos'!CF539,'LP Reactivos'!CK539,'LP Reactivos'!CP539,'LP Reactivos'!CU539,'LP Reactivos'!CZ539,'LP Reactivos'!DE539,'LP Reactivos'!DJ539,'LP Reactivos'!DO539,'LP Reactivos'!DT539,'LP Reactivos'!DY539,'LP Reactivos'!EB539)," ")</f>
        <v>73000</v>
      </c>
      <c r="G539" s="345">
        <f>IFERROR(GEOMEAN('LP Reactivos'!F539,'LP Reactivos'!I539,'LP Reactivos'!N539,'LP Reactivos'!S539,'LP Reactivos'!X539,'LP Reactivos'!AC539,'LP Reactivos'!AH539,'LP Reactivos'!AM539,'LP Reactivos'!AR539,'LP Reactivos'!AW539,'LP Reactivos'!BB539,'LP Reactivos'!BG539,'LP Reactivos'!BL539,'LP Reactivos'!BQ539,'LP Reactivos'!BV539,'LP Reactivos'!CA539,'LP Reactivos'!CF539,'LP Reactivos'!CK539,'LP Reactivos'!CP539,'LP Reactivos'!CU539,'LP Reactivos'!CZ539,'LP Reactivos'!DE539,'LP Reactivos'!DJ539,'LP Reactivos'!DO539,'LP Reactivos'!DT539,'LP Reactivos'!DY539,'LP Reactivos'!EB539)," ")</f>
        <v>73000</v>
      </c>
      <c r="H539" s="345">
        <f t="shared" si="36"/>
        <v>0</v>
      </c>
      <c r="I539" s="346">
        <f t="shared" si="37"/>
        <v>0</v>
      </c>
      <c r="J539" s="345">
        <f t="shared" si="38"/>
        <v>73000</v>
      </c>
      <c r="K539" s="344" t="str">
        <f t="shared" si="39"/>
        <v>Menor Valor</v>
      </c>
      <c r="L539" s="326">
        <f>IFERROR(COUNTA('LP Reactivos'!F539,'LP Reactivos'!I539,'LP Reactivos'!N539,'LP Reactivos'!S539,'LP Reactivos'!X539,'LP Reactivos'!AC539,'LP Reactivos'!AH539,'LP Reactivos'!AM539,'LP Reactivos'!AR539,'LP Reactivos'!AW539,'LP Reactivos'!BB539,'LP Reactivos'!BG539,'LP Reactivos'!BL539,'LP Reactivos'!BQ539,'LP Reactivos'!BV539,'LP Reactivos'!CA539,'LP Reactivos'!CF539,'LP Reactivos'!CK539,'LP Reactivos'!CP539,'LP Reactivos'!CU539,'LP Reactivos'!CZ539,'LP Reactivos'!DE539,'LP Reactivos'!DJ539,'LP Reactivos'!DO539,'LP Reactivos'!DT539,'LP Reactivos'!DY539,'LP Reactivos'!EB539)," ")</f>
        <v>1</v>
      </c>
    </row>
    <row r="540" spans="2:12" x14ac:dyDescent="0.25">
      <c r="B540" s="425">
        <v>538</v>
      </c>
      <c r="C540" s="427" t="s">
        <v>2456</v>
      </c>
      <c r="D540" s="429">
        <f>IFERROR(MIN('LP Reactivos'!F540,'LP Reactivos'!I540,'LP Reactivos'!N540,'LP Reactivos'!S540,'LP Reactivos'!X540,'LP Reactivos'!AC540,'LP Reactivos'!AH540,'LP Reactivos'!AM540,'LP Reactivos'!AR540,'LP Reactivos'!AW540,'LP Reactivos'!BB540,'LP Reactivos'!BG540,'LP Reactivos'!BL540,'LP Reactivos'!BQ540,'LP Reactivos'!BV540,'LP Reactivos'!CA540,'LP Reactivos'!CF540,'LP Reactivos'!CK540,'LP Reactivos'!CP540,'LP Reactivos'!CU540,'LP Reactivos'!CZ540,'LP Reactivos'!DE540,'LP Reactivos'!DJ540,'LP Reactivos'!DO540,'LP Reactivos'!DT540,'LP Reactivos'!DY540,'LP Reactivos'!EB540)," ")</f>
        <v>131817.98480000001</v>
      </c>
      <c r="E540" s="429">
        <f>IFERROR(AVERAGE('LP Reactivos'!F540,'LP Reactivos'!I540,'LP Reactivos'!N540,'LP Reactivos'!S540,'LP Reactivos'!X540,'LP Reactivos'!AC540,'LP Reactivos'!AH540,'LP Reactivos'!AM540,'LP Reactivos'!AR540,'LP Reactivos'!AW540,'LP Reactivos'!BB540,'LP Reactivos'!BG540,'LP Reactivos'!BL540,'LP Reactivos'!BQ540,'LP Reactivos'!BV540,'LP Reactivos'!CA540,'LP Reactivos'!CF540,'LP Reactivos'!CK540,'LP Reactivos'!CP540,'LP Reactivos'!CU540,'LP Reactivos'!CZ540,'LP Reactivos'!DE540,'LP Reactivos'!DJ540,'LP Reactivos'!DO540,'LP Reactivos'!DT540,'LP Reactivos'!DY540,'LP Reactivos'!EB540)," ")</f>
        <v>131817.98480000001</v>
      </c>
      <c r="F540" s="345">
        <f>IFERROR(MEDIAN('LP Reactivos'!F540,'LP Reactivos'!I540,'LP Reactivos'!N540,'LP Reactivos'!S540,'LP Reactivos'!X540,'LP Reactivos'!AC540,'LP Reactivos'!AH540,'LP Reactivos'!AM540,'LP Reactivos'!AR540,'LP Reactivos'!AW540,'LP Reactivos'!BB540,'LP Reactivos'!BG540,'LP Reactivos'!BL540,'LP Reactivos'!BQ540,'LP Reactivos'!BV540,'LP Reactivos'!CA540,'LP Reactivos'!CF540,'LP Reactivos'!CK540,'LP Reactivos'!CP540,'LP Reactivos'!CU540,'LP Reactivos'!CZ540,'LP Reactivos'!DE540,'LP Reactivos'!DJ540,'LP Reactivos'!DO540,'LP Reactivos'!DT540,'LP Reactivos'!DY540,'LP Reactivos'!EB540)," ")</f>
        <v>131817.98480000001</v>
      </c>
      <c r="G540" s="345">
        <f>IFERROR(GEOMEAN('LP Reactivos'!F540,'LP Reactivos'!I540,'LP Reactivos'!N540,'LP Reactivos'!S540,'LP Reactivos'!X540,'LP Reactivos'!AC540,'LP Reactivos'!AH540,'LP Reactivos'!AM540,'LP Reactivos'!AR540,'LP Reactivos'!AW540,'LP Reactivos'!BB540,'LP Reactivos'!BG540,'LP Reactivos'!BL540,'LP Reactivos'!BQ540,'LP Reactivos'!BV540,'LP Reactivos'!CA540,'LP Reactivos'!CF540,'LP Reactivos'!CK540,'LP Reactivos'!CP540,'LP Reactivos'!CU540,'LP Reactivos'!CZ540,'LP Reactivos'!DE540,'LP Reactivos'!DJ540,'LP Reactivos'!DO540,'LP Reactivos'!DT540,'LP Reactivos'!DY540,'LP Reactivos'!EB540)," ")</f>
        <v>131817.98480000001</v>
      </c>
      <c r="H540" s="345">
        <f t="shared" si="36"/>
        <v>0</v>
      </c>
      <c r="I540" s="346">
        <f t="shared" si="37"/>
        <v>0</v>
      </c>
      <c r="J540" s="345">
        <f t="shared" si="38"/>
        <v>131817.98480000001</v>
      </c>
      <c r="K540" s="344" t="str">
        <f t="shared" si="39"/>
        <v>Menor Valor</v>
      </c>
      <c r="L540" s="326">
        <f>IFERROR(COUNTA('LP Reactivos'!F540,'LP Reactivos'!I540,'LP Reactivos'!N540,'LP Reactivos'!S540,'LP Reactivos'!X540,'LP Reactivos'!AC540,'LP Reactivos'!AH540,'LP Reactivos'!AM540,'LP Reactivos'!AR540,'LP Reactivos'!AW540,'LP Reactivos'!BB540,'LP Reactivos'!BG540,'LP Reactivos'!BL540,'LP Reactivos'!BQ540,'LP Reactivos'!BV540,'LP Reactivos'!CA540,'LP Reactivos'!CF540,'LP Reactivos'!CK540,'LP Reactivos'!CP540,'LP Reactivos'!CU540,'LP Reactivos'!CZ540,'LP Reactivos'!DE540,'LP Reactivos'!DJ540,'LP Reactivos'!DO540,'LP Reactivos'!DT540,'LP Reactivos'!DY540,'LP Reactivos'!EB540)," ")</f>
        <v>1</v>
      </c>
    </row>
    <row r="541" spans="2:12" x14ac:dyDescent="0.25">
      <c r="B541" s="425">
        <v>539</v>
      </c>
      <c r="C541" s="427" t="s">
        <v>2457</v>
      </c>
      <c r="D541" s="429">
        <f>IFERROR(MIN('LP Reactivos'!F541,'LP Reactivos'!I541,'LP Reactivos'!N541,'LP Reactivos'!S541,'LP Reactivos'!X541,'LP Reactivos'!AC541,'LP Reactivos'!AH541,'LP Reactivos'!AM541,'LP Reactivos'!AR541,'LP Reactivos'!AW541,'LP Reactivos'!BB541,'LP Reactivos'!BG541,'LP Reactivos'!BL541,'LP Reactivos'!BQ541,'LP Reactivos'!BV541,'LP Reactivos'!CA541,'LP Reactivos'!CF541,'LP Reactivos'!CK541,'LP Reactivos'!CP541,'LP Reactivos'!CU541,'LP Reactivos'!CZ541,'LP Reactivos'!DE541,'LP Reactivos'!DJ541,'LP Reactivos'!DO541,'LP Reactivos'!DT541,'LP Reactivos'!DY541,'LP Reactivos'!EB541)," ")</f>
        <v>131817.98480000001</v>
      </c>
      <c r="E541" s="429">
        <f>IFERROR(AVERAGE('LP Reactivos'!F541,'LP Reactivos'!I541,'LP Reactivos'!N541,'LP Reactivos'!S541,'LP Reactivos'!X541,'LP Reactivos'!AC541,'LP Reactivos'!AH541,'LP Reactivos'!AM541,'LP Reactivos'!AR541,'LP Reactivos'!AW541,'LP Reactivos'!BB541,'LP Reactivos'!BG541,'LP Reactivos'!BL541,'LP Reactivos'!BQ541,'LP Reactivos'!BV541,'LP Reactivos'!CA541,'LP Reactivos'!CF541,'LP Reactivos'!CK541,'LP Reactivos'!CP541,'LP Reactivos'!CU541,'LP Reactivos'!CZ541,'LP Reactivos'!DE541,'LP Reactivos'!DJ541,'LP Reactivos'!DO541,'LP Reactivos'!DT541,'LP Reactivos'!DY541,'LP Reactivos'!EB541)," ")</f>
        <v>131817.98480000001</v>
      </c>
      <c r="F541" s="345">
        <f>IFERROR(MEDIAN('LP Reactivos'!F541,'LP Reactivos'!I541,'LP Reactivos'!N541,'LP Reactivos'!S541,'LP Reactivos'!X541,'LP Reactivos'!AC541,'LP Reactivos'!AH541,'LP Reactivos'!AM541,'LP Reactivos'!AR541,'LP Reactivos'!AW541,'LP Reactivos'!BB541,'LP Reactivos'!BG541,'LP Reactivos'!BL541,'LP Reactivos'!BQ541,'LP Reactivos'!BV541,'LP Reactivos'!CA541,'LP Reactivos'!CF541,'LP Reactivos'!CK541,'LP Reactivos'!CP541,'LP Reactivos'!CU541,'LP Reactivos'!CZ541,'LP Reactivos'!DE541,'LP Reactivos'!DJ541,'LP Reactivos'!DO541,'LP Reactivos'!DT541,'LP Reactivos'!DY541,'LP Reactivos'!EB541)," ")</f>
        <v>131817.98480000001</v>
      </c>
      <c r="G541" s="345">
        <f>IFERROR(GEOMEAN('LP Reactivos'!F541,'LP Reactivos'!I541,'LP Reactivos'!N541,'LP Reactivos'!S541,'LP Reactivos'!X541,'LP Reactivos'!AC541,'LP Reactivos'!AH541,'LP Reactivos'!AM541,'LP Reactivos'!AR541,'LP Reactivos'!AW541,'LP Reactivos'!BB541,'LP Reactivos'!BG541,'LP Reactivos'!BL541,'LP Reactivos'!BQ541,'LP Reactivos'!BV541,'LP Reactivos'!CA541,'LP Reactivos'!CF541,'LP Reactivos'!CK541,'LP Reactivos'!CP541,'LP Reactivos'!CU541,'LP Reactivos'!CZ541,'LP Reactivos'!DE541,'LP Reactivos'!DJ541,'LP Reactivos'!DO541,'LP Reactivos'!DT541,'LP Reactivos'!DY541,'LP Reactivos'!EB541)," ")</f>
        <v>131817.98480000001</v>
      </c>
      <c r="H541" s="345">
        <f t="shared" si="36"/>
        <v>0</v>
      </c>
      <c r="I541" s="346">
        <f t="shared" si="37"/>
        <v>0</v>
      </c>
      <c r="J541" s="345">
        <f t="shared" si="38"/>
        <v>131817.98480000001</v>
      </c>
      <c r="K541" s="344" t="str">
        <f t="shared" si="39"/>
        <v>Menor Valor</v>
      </c>
      <c r="L541" s="326">
        <f>IFERROR(COUNTA('LP Reactivos'!F541,'LP Reactivos'!I541,'LP Reactivos'!N541,'LP Reactivos'!S541,'LP Reactivos'!X541,'LP Reactivos'!AC541,'LP Reactivos'!AH541,'LP Reactivos'!AM541,'LP Reactivos'!AR541,'LP Reactivos'!AW541,'LP Reactivos'!BB541,'LP Reactivos'!BG541,'LP Reactivos'!BL541,'LP Reactivos'!BQ541,'LP Reactivos'!BV541,'LP Reactivos'!CA541,'LP Reactivos'!CF541,'LP Reactivos'!CK541,'LP Reactivos'!CP541,'LP Reactivos'!CU541,'LP Reactivos'!CZ541,'LP Reactivos'!DE541,'LP Reactivos'!DJ541,'LP Reactivos'!DO541,'LP Reactivos'!DT541,'LP Reactivos'!DY541,'LP Reactivos'!EB541)," ")</f>
        <v>1</v>
      </c>
    </row>
    <row r="542" spans="2:12" ht="27" x14ac:dyDescent="0.25">
      <c r="B542" s="425">
        <v>540</v>
      </c>
      <c r="C542" s="427" t="s">
        <v>2458</v>
      </c>
      <c r="D542" s="429">
        <f>IFERROR(MIN('LP Reactivos'!F542,'LP Reactivos'!I542,'LP Reactivos'!N542,'LP Reactivos'!S542,'LP Reactivos'!X542,'LP Reactivos'!AC542,'LP Reactivos'!AH542,'LP Reactivos'!AM542,'LP Reactivos'!AR542,'LP Reactivos'!AW542,'LP Reactivos'!BB542,'LP Reactivos'!BG542,'LP Reactivos'!BL542,'LP Reactivos'!BQ542,'LP Reactivos'!BV542,'LP Reactivos'!CA542,'LP Reactivos'!CF542,'LP Reactivos'!CK542,'LP Reactivos'!CP542,'LP Reactivos'!CU542,'LP Reactivos'!CZ542,'LP Reactivos'!DE542,'LP Reactivos'!DJ542,'LP Reactivos'!DO542,'LP Reactivos'!DT542,'LP Reactivos'!DY542,'LP Reactivos'!EB542)," ")</f>
        <v>147868</v>
      </c>
      <c r="E542" s="429">
        <f>IFERROR(AVERAGE('LP Reactivos'!F542,'LP Reactivos'!I542,'LP Reactivos'!N542,'LP Reactivos'!S542,'LP Reactivos'!X542,'LP Reactivos'!AC542,'LP Reactivos'!AH542,'LP Reactivos'!AM542,'LP Reactivos'!AR542,'LP Reactivos'!AW542,'LP Reactivos'!BB542,'LP Reactivos'!BG542,'LP Reactivos'!BL542,'LP Reactivos'!BQ542,'LP Reactivos'!BV542,'LP Reactivos'!CA542,'LP Reactivos'!CF542,'LP Reactivos'!CK542,'LP Reactivos'!CP542,'LP Reactivos'!CU542,'LP Reactivos'!CZ542,'LP Reactivos'!DE542,'LP Reactivos'!DJ542,'LP Reactivos'!DO542,'LP Reactivos'!DT542,'LP Reactivos'!DY542,'LP Reactivos'!EB542)," ")</f>
        <v>147868</v>
      </c>
      <c r="F542" s="345">
        <f>IFERROR(MEDIAN('LP Reactivos'!F542,'LP Reactivos'!I542,'LP Reactivos'!N542,'LP Reactivos'!S542,'LP Reactivos'!X542,'LP Reactivos'!AC542,'LP Reactivos'!AH542,'LP Reactivos'!AM542,'LP Reactivos'!AR542,'LP Reactivos'!AW542,'LP Reactivos'!BB542,'LP Reactivos'!BG542,'LP Reactivos'!BL542,'LP Reactivos'!BQ542,'LP Reactivos'!BV542,'LP Reactivos'!CA542,'LP Reactivos'!CF542,'LP Reactivos'!CK542,'LP Reactivos'!CP542,'LP Reactivos'!CU542,'LP Reactivos'!CZ542,'LP Reactivos'!DE542,'LP Reactivos'!DJ542,'LP Reactivos'!DO542,'LP Reactivos'!DT542,'LP Reactivos'!DY542,'LP Reactivos'!EB542)," ")</f>
        <v>147868</v>
      </c>
      <c r="G542" s="345">
        <f>IFERROR(GEOMEAN('LP Reactivos'!F542,'LP Reactivos'!I542,'LP Reactivos'!N542,'LP Reactivos'!S542,'LP Reactivos'!X542,'LP Reactivos'!AC542,'LP Reactivos'!AH542,'LP Reactivos'!AM542,'LP Reactivos'!AR542,'LP Reactivos'!AW542,'LP Reactivos'!BB542,'LP Reactivos'!BG542,'LP Reactivos'!BL542,'LP Reactivos'!BQ542,'LP Reactivos'!BV542,'LP Reactivos'!CA542,'LP Reactivos'!CF542,'LP Reactivos'!CK542,'LP Reactivos'!CP542,'LP Reactivos'!CU542,'LP Reactivos'!CZ542,'LP Reactivos'!DE542,'LP Reactivos'!DJ542,'LP Reactivos'!DO542,'LP Reactivos'!DT542,'LP Reactivos'!DY542,'LP Reactivos'!EB542)," ")</f>
        <v>147868</v>
      </c>
      <c r="H542" s="345">
        <f t="shared" si="36"/>
        <v>0</v>
      </c>
      <c r="I542" s="346">
        <f t="shared" si="37"/>
        <v>0</v>
      </c>
      <c r="J542" s="345">
        <f t="shared" si="38"/>
        <v>147868</v>
      </c>
      <c r="K542" s="344" t="str">
        <f t="shared" si="39"/>
        <v>Menor Valor</v>
      </c>
      <c r="L542" s="326">
        <f>IFERROR(COUNTA('LP Reactivos'!F542,'LP Reactivos'!I542,'LP Reactivos'!N542,'LP Reactivos'!S542,'LP Reactivos'!X542,'LP Reactivos'!AC542,'LP Reactivos'!AH542,'LP Reactivos'!AM542,'LP Reactivos'!AR542,'LP Reactivos'!AW542,'LP Reactivos'!BB542,'LP Reactivos'!BG542,'LP Reactivos'!BL542,'LP Reactivos'!BQ542,'LP Reactivos'!BV542,'LP Reactivos'!CA542,'LP Reactivos'!CF542,'LP Reactivos'!CK542,'LP Reactivos'!CP542,'LP Reactivos'!CU542,'LP Reactivos'!CZ542,'LP Reactivos'!DE542,'LP Reactivos'!DJ542,'LP Reactivos'!DO542,'LP Reactivos'!DT542,'LP Reactivos'!DY542,'LP Reactivos'!EB542)," ")</f>
        <v>1</v>
      </c>
    </row>
    <row r="543" spans="2:12" x14ac:dyDescent="0.25">
      <c r="B543" s="425">
        <v>541</v>
      </c>
      <c r="C543" s="427" t="s">
        <v>2459</v>
      </c>
      <c r="D543" s="429">
        <f>IFERROR(MIN('LP Reactivos'!F543,'LP Reactivos'!I543,'LP Reactivos'!N543,'LP Reactivos'!S543,'LP Reactivos'!X543,'LP Reactivos'!AC543,'LP Reactivos'!AH543,'LP Reactivos'!AM543,'LP Reactivos'!AR543,'LP Reactivos'!AW543,'LP Reactivos'!BB543,'LP Reactivos'!BG543,'LP Reactivos'!BL543,'LP Reactivos'!BQ543,'LP Reactivos'!BV543,'LP Reactivos'!CA543,'LP Reactivos'!CF543,'LP Reactivos'!CK543,'LP Reactivos'!CP543,'LP Reactivos'!CU543,'LP Reactivos'!CZ543,'LP Reactivos'!DE543,'LP Reactivos'!DJ543,'LP Reactivos'!DO543,'LP Reactivos'!DT543,'LP Reactivos'!DY543,'LP Reactivos'!EB543)," ")</f>
        <v>132479.166</v>
      </c>
      <c r="E543" s="429">
        <f>IFERROR(AVERAGE('LP Reactivos'!F543,'LP Reactivos'!I543,'LP Reactivos'!N543,'LP Reactivos'!S543,'LP Reactivos'!X543,'LP Reactivos'!AC543,'LP Reactivos'!AH543,'LP Reactivos'!AM543,'LP Reactivos'!AR543,'LP Reactivos'!AW543,'LP Reactivos'!BB543,'LP Reactivos'!BG543,'LP Reactivos'!BL543,'LP Reactivos'!BQ543,'LP Reactivos'!BV543,'LP Reactivos'!CA543,'LP Reactivos'!CF543,'LP Reactivos'!CK543,'LP Reactivos'!CP543,'LP Reactivos'!CU543,'LP Reactivos'!CZ543,'LP Reactivos'!DE543,'LP Reactivos'!DJ543,'LP Reactivos'!DO543,'LP Reactivos'!DT543,'LP Reactivos'!DY543,'LP Reactivos'!EB543)," ")</f>
        <v>132479.166</v>
      </c>
      <c r="F543" s="345">
        <f>IFERROR(MEDIAN('LP Reactivos'!F543,'LP Reactivos'!I543,'LP Reactivos'!N543,'LP Reactivos'!S543,'LP Reactivos'!X543,'LP Reactivos'!AC543,'LP Reactivos'!AH543,'LP Reactivos'!AM543,'LP Reactivos'!AR543,'LP Reactivos'!AW543,'LP Reactivos'!BB543,'LP Reactivos'!BG543,'LP Reactivos'!BL543,'LP Reactivos'!BQ543,'LP Reactivos'!BV543,'LP Reactivos'!CA543,'LP Reactivos'!CF543,'LP Reactivos'!CK543,'LP Reactivos'!CP543,'LP Reactivos'!CU543,'LP Reactivos'!CZ543,'LP Reactivos'!DE543,'LP Reactivos'!DJ543,'LP Reactivos'!DO543,'LP Reactivos'!DT543,'LP Reactivos'!DY543,'LP Reactivos'!EB543)," ")</f>
        <v>132479.166</v>
      </c>
      <c r="G543" s="345">
        <f>IFERROR(GEOMEAN('LP Reactivos'!F543,'LP Reactivos'!I543,'LP Reactivos'!N543,'LP Reactivos'!S543,'LP Reactivos'!X543,'LP Reactivos'!AC543,'LP Reactivos'!AH543,'LP Reactivos'!AM543,'LP Reactivos'!AR543,'LP Reactivos'!AW543,'LP Reactivos'!BB543,'LP Reactivos'!BG543,'LP Reactivos'!BL543,'LP Reactivos'!BQ543,'LP Reactivos'!BV543,'LP Reactivos'!CA543,'LP Reactivos'!CF543,'LP Reactivos'!CK543,'LP Reactivos'!CP543,'LP Reactivos'!CU543,'LP Reactivos'!CZ543,'LP Reactivos'!DE543,'LP Reactivos'!DJ543,'LP Reactivos'!DO543,'LP Reactivos'!DT543,'LP Reactivos'!DY543,'LP Reactivos'!EB543)," ")</f>
        <v>132479.166</v>
      </c>
      <c r="H543" s="345">
        <f t="shared" si="36"/>
        <v>0</v>
      </c>
      <c r="I543" s="346">
        <f t="shared" si="37"/>
        <v>0</v>
      </c>
      <c r="J543" s="345">
        <f t="shared" si="38"/>
        <v>132479.166</v>
      </c>
      <c r="K543" s="344" t="str">
        <f t="shared" si="39"/>
        <v>Menor Valor</v>
      </c>
      <c r="L543" s="326">
        <f>IFERROR(COUNTA('LP Reactivos'!F543,'LP Reactivos'!I543,'LP Reactivos'!N543,'LP Reactivos'!S543,'LP Reactivos'!X543,'LP Reactivos'!AC543,'LP Reactivos'!AH543,'LP Reactivos'!AM543,'LP Reactivos'!AR543,'LP Reactivos'!AW543,'LP Reactivos'!BB543,'LP Reactivos'!BG543,'LP Reactivos'!BL543,'LP Reactivos'!BQ543,'LP Reactivos'!BV543,'LP Reactivos'!CA543,'LP Reactivos'!CF543,'LP Reactivos'!CK543,'LP Reactivos'!CP543,'LP Reactivos'!CU543,'LP Reactivos'!CZ543,'LP Reactivos'!DE543,'LP Reactivos'!DJ543,'LP Reactivos'!DO543,'LP Reactivos'!DT543,'LP Reactivos'!DY543,'LP Reactivos'!EB543)," ")</f>
        <v>1</v>
      </c>
    </row>
    <row r="544" spans="2:12" x14ac:dyDescent="0.25">
      <c r="B544" s="425">
        <v>542</v>
      </c>
      <c r="C544" s="427" t="s">
        <v>2461</v>
      </c>
      <c r="D544" s="429">
        <f>IFERROR(MIN('LP Reactivos'!F544,'LP Reactivos'!I544,'LP Reactivos'!N544,'LP Reactivos'!S544,'LP Reactivos'!X544,'LP Reactivos'!AC544,'LP Reactivos'!AH544,'LP Reactivos'!AM544,'LP Reactivos'!AR544,'LP Reactivos'!AW544,'LP Reactivos'!BB544,'LP Reactivos'!BG544,'LP Reactivos'!BL544,'LP Reactivos'!BQ544,'LP Reactivos'!BV544,'LP Reactivos'!CA544,'LP Reactivos'!CF544,'LP Reactivos'!CK544,'LP Reactivos'!CP544,'LP Reactivos'!CU544,'LP Reactivos'!CZ544,'LP Reactivos'!DE544,'LP Reactivos'!DJ544,'LP Reactivos'!DO544,'LP Reactivos'!DT544,'LP Reactivos'!DY544,'LP Reactivos'!EB544)," ")</f>
        <v>124777.35560000001</v>
      </c>
      <c r="E544" s="429">
        <f>IFERROR(AVERAGE('LP Reactivos'!F544,'LP Reactivos'!I544,'LP Reactivos'!N544,'LP Reactivos'!S544,'LP Reactivos'!X544,'LP Reactivos'!AC544,'LP Reactivos'!AH544,'LP Reactivos'!AM544,'LP Reactivos'!AR544,'LP Reactivos'!AW544,'LP Reactivos'!BB544,'LP Reactivos'!BG544,'LP Reactivos'!BL544,'LP Reactivos'!BQ544,'LP Reactivos'!BV544,'LP Reactivos'!CA544,'LP Reactivos'!CF544,'LP Reactivos'!CK544,'LP Reactivos'!CP544,'LP Reactivos'!CU544,'LP Reactivos'!CZ544,'LP Reactivos'!DE544,'LP Reactivos'!DJ544,'LP Reactivos'!DO544,'LP Reactivos'!DT544,'LP Reactivos'!DY544,'LP Reactivos'!EB544)," ")</f>
        <v>124777.35560000001</v>
      </c>
      <c r="F544" s="345">
        <f>IFERROR(MEDIAN('LP Reactivos'!F544,'LP Reactivos'!I544,'LP Reactivos'!N544,'LP Reactivos'!S544,'LP Reactivos'!X544,'LP Reactivos'!AC544,'LP Reactivos'!AH544,'LP Reactivos'!AM544,'LP Reactivos'!AR544,'LP Reactivos'!AW544,'LP Reactivos'!BB544,'LP Reactivos'!BG544,'LP Reactivos'!BL544,'LP Reactivos'!BQ544,'LP Reactivos'!BV544,'LP Reactivos'!CA544,'LP Reactivos'!CF544,'LP Reactivos'!CK544,'LP Reactivos'!CP544,'LP Reactivos'!CU544,'LP Reactivos'!CZ544,'LP Reactivos'!DE544,'LP Reactivos'!DJ544,'LP Reactivos'!DO544,'LP Reactivos'!DT544,'LP Reactivos'!DY544,'LP Reactivos'!EB544)," ")</f>
        <v>124777.35560000001</v>
      </c>
      <c r="G544" s="345">
        <f>IFERROR(GEOMEAN('LP Reactivos'!F544,'LP Reactivos'!I544,'LP Reactivos'!N544,'LP Reactivos'!S544,'LP Reactivos'!X544,'LP Reactivos'!AC544,'LP Reactivos'!AH544,'LP Reactivos'!AM544,'LP Reactivos'!AR544,'LP Reactivos'!AW544,'LP Reactivos'!BB544,'LP Reactivos'!BG544,'LP Reactivos'!BL544,'LP Reactivos'!BQ544,'LP Reactivos'!BV544,'LP Reactivos'!CA544,'LP Reactivos'!CF544,'LP Reactivos'!CK544,'LP Reactivos'!CP544,'LP Reactivos'!CU544,'LP Reactivos'!CZ544,'LP Reactivos'!DE544,'LP Reactivos'!DJ544,'LP Reactivos'!DO544,'LP Reactivos'!DT544,'LP Reactivos'!DY544,'LP Reactivos'!EB544)," ")</f>
        <v>124777.35560000001</v>
      </c>
      <c r="H544" s="345">
        <f t="shared" si="36"/>
        <v>0</v>
      </c>
      <c r="I544" s="346">
        <f t="shared" si="37"/>
        <v>0</v>
      </c>
      <c r="J544" s="345">
        <f t="shared" si="38"/>
        <v>124777.35560000001</v>
      </c>
      <c r="K544" s="344" t="str">
        <f t="shared" si="39"/>
        <v>Menor Valor</v>
      </c>
      <c r="L544" s="326">
        <f>IFERROR(COUNTA('LP Reactivos'!F544,'LP Reactivos'!I544,'LP Reactivos'!N544,'LP Reactivos'!S544,'LP Reactivos'!X544,'LP Reactivos'!AC544,'LP Reactivos'!AH544,'LP Reactivos'!AM544,'LP Reactivos'!AR544,'LP Reactivos'!AW544,'LP Reactivos'!BB544,'LP Reactivos'!BG544,'LP Reactivos'!BL544,'LP Reactivos'!BQ544,'LP Reactivos'!BV544,'LP Reactivos'!CA544,'LP Reactivos'!CF544,'LP Reactivos'!CK544,'LP Reactivos'!CP544,'LP Reactivos'!CU544,'LP Reactivos'!CZ544,'LP Reactivos'!DE544,'LP Reactivos'!DJ544,'LP Reactivos'!DO544,'LP Reactivos'!DT544,'LP Reactivos'!DY544,'LP Reactivos'!EB544)," ")</f>
        <v>1</v>
      </c>
    </row>
    <row r="545" spans="2:12" x14ac:dyDescent="0.25">
      <c r="B545" s="425">
        <v>543</v>
      </c>
      <c r="C545" s="427" t="s">
        <v>2462</v>
      </c>
      <c r="D545" s="429">
        <f>IFERROR(MIN('LP Reactivos'!F545,'LP Reactivos'!I545,'LP Reactivos'!N545,'LP Reactivos'!S545,'LP Reactivos'!X545,'LP Reactivos'!AC545,'LP Reactivos'!AH545,'LP Reactivos'!AM545,'LP Reactivos'!AR545,'LP Reactivos'!AW545,'LP Reactivos'!BB545,'LP Reactivos'!BG545,'LP Reactivos'!BL545,'LP Reactivos'!BQ545,'LP Reactivos'!BV545,'LP Reactivos'!CA545,'LP Reactivos'!CF545,'LP Reactivos'!CK545,'LP Reactivos'!CP545,'LP Reactivos'!CU545,'LP Reactivos'!CZ545,'LP Reactivos'!DE545,'LP Reactivos'!DJ545,'LP Reactivos'!DO545,'LP Reactivos'!DT545,'LP Reactivos'!DY545,'LP Reactivos'!EB545)," ")</f>
        <v>108146.4304</v>
      </c>
      <c r="E545" s="429">
        <f>IFERROR(AVERAGE('LP Reactivos'!F545,'LP Reactivos'!I545,'LP Reactivos'!N545,'LP Reactivos'!S545,'LP Reactivos'!X545,'LP Reactivos'!AC545,'LP Reactivos'!AH545,'LP Reactivos'!AM545,'LP Reactivos'!AR545,'LP Reactivos'!AW545,'LP Reactivos'!BB545,'LP Reactivos'!BG545,'LP Reactivos'!BL545,'LP Reactivos'!BQ545,'LP Reactivos'!BV545,'LP Reactivos'!CA545,'LP Reactivos'!CF545,'LP Reactivos'!CK545,'LP Reactivos'!CP545,'LP Reactivos'!CU545,'LP Reactivos'!CZ545,'LP Reactivos'!DE545,'LP Reactivos'!DJ545,'LP Reactivos'!DO545,'LP Reactivos'!DT545,'LP Reactivos'!DY545,'LP Reactivos'!EB545)," ")</f>
        <v>108146.4304</v>
      </c>
      <c r="F545" s="345">
        <f>IFERROR(MEDIAN('LP Reactivos'!F545,'LP Reactivos'!I545,'LP Reactivos'!N545,'LP Reactivos'!S545,'LP Reactivos'!X545,'LP Reactivos'!AC545,'LP Reactivos'!AH545,'LP Reactivos'!AM545,'LP Reactivos'!AR545,'LP Reactivos'!AW545,'LP Reactivos'!BB545,'LP Reactivos'!BG545,'LP Reactivos'!BL545,'LP Reactivos'!BQ545,'LP Reactivos'!BV545,'LP Reactivos'!CA545,'LP Reactivos'!CF545,'LP Reactivos'!CK545,'LP Reactivos'!CP545,'LP Reactivos'!CU545,'LP Reactivos'!CZ545,'LP Reactivos'!DE545,'LP Reactivos'!DJ545,'LP Reactivos'!DO545,'LP Reactivos'!DT545,'LP Reactivos'!DY545,'LP Reactivos'!EB545)," ")</f>
        <v>108146.4304</v>
      </c>
      <c r="G545" s="345">
        <f>IFERROR(GEOMEAN('LP Reactivos'!F545,'LP Reactivos'!I545,'LP Reactivos'!N545,'LP Reactivos'!S545,'LP Reactivos'!X545,'LP Reactivos'!AC545,'LP Reactivos'!AH545,'LP Reactivos'!AM545,'LP Reactivos'!AR545,'LP Reactivos'!AW545,'LP Reactivos'!BB545,'LP Reactivos'!BG545,'LP Reactivos'!BL545,'LP Reactivos'!BQ545,'LP Reactivos'!BV545,'LP Reactivos'!CA545,'LP Reactivos'!CF545,'LP Reactivos'!CK545,'LP Reactivos'!CP545,'LP Reactivos'!CU545,'LP Reactivos'!CZ545,'LP Reactivos'!DE545,'LP Reactivos'!DJ545,'LP Reactivos'!DO545,'LP Reactivos'!DT545,'LP Reactivos'!DY545,'LP Reactivos'!EB545)," ")</f>
        <v>108146.4304</v>
      </c>
      <c r="H545" s="345">
        <f t="shared" si="36"/>
        <v>0</v>
      </c>
      <c r="I545" s="346">
        <f t="shared" si="37"/>
        <v>0</v>
      </c>
      <c r="J545" s="345">
        <f t="shared" si="38"/>
        <v>108146.4304</v>
      </c>
      <c r="K545" s="344" t="str">
        <f t="shared" si="39"/>
        <v>Menor Valor</v>
      </c>
      <c r="L545" s="326">
        <f>IFERROR(COUNTA('LP Reactivos'!F545,'LP Reactivos'!I545,'LP Reactivos'!N545,'LP Reactivos'!S545,'LP Reactivos'!X545,'LP Reactivos'!AC545,'LP Reactivos'!AH545,'LP Reactivos'!AM545,'LP Reactivos'!AR545,'LP Reactivos'!AW545,'LP Reactivos'!BB545,'LP Reactivos'!BG545,'LP Reactivos'!BL545,'LP Reactivos'!BQ545,'LP Reactivos'!BV545,'LP Reactivos'!CA545,'LP Reactivos'!CF545,'LP Reactivos'!CK545,'LP Reactivos'!CP545,'LP Reactivos'!CU545,'LP Reactivos'!CZ545,'LP Reactivos'!DE545,'LP Reactivos'!DJ545,'LP Reactivos'!DO545,'LP Reactivos'!DT545,'LP Reactivos'!DY545,'LP Reactivos'!EB545)," ")</f>
        <v>1</v>
      </c>
    </row>
    <row r="546" spans="2:12" x14ac:dyDescent="0.25">
      <c r="B546" s="425">
        <v>544</v>
      </c>
      <c r="C546" s="428" t="s">
        <v>2463</v>
      </c>
      <c r="D546" s="429">
        <f>IFERROR(MIN('LP Reactivos'!F546,'LP Reactivos'!I546,'LP Reactivos'!N546,'LP Reactivos'!S546,'LP Reactivos'!X546,'LP Reactivos'!AC546,'LP Reactivos'!AH546,'LP Reactivos'!AM546,'LP Reactivos'!AR546,'LP Reactivos'!AW546,'LP Reactivos'!BB546,'LP Reactivos'!BG546,'LP Reactivos'!BL546,'LP Reactivos'!BQ546,'LP Reactivos'!BV546,'LP Reactivos'!CA546,'LP Reactivos'!CF546,'LP Reactivos'!CK546,'LP Reactivos'!CP546,'LP Reactivos'!CU546,'LP Reactivos'!CZ546,'LP Reactivos'!DE546,'LP Reactivos'!DJ546,'LP Reactivos'!DO546,'LP Reactivos'!DT546,'LP Reactivos'!DY546,'LP Reactivos'!EB546)," ")</f>
        <v>4194750</v>
      </c>
      <c r="E546" s="429">
        <f>IFERROR(AVERAGE('LP Reactivos'!F546,'LP Reactivos'!I546,'LP Reactivos'!N546,'LP Reactivos'!S546,'LP Reactivos'!X546,'LP Reactivos'!AC546,'LP Reactivos'!AH546,'LP Reactivos'!AM546,'LP Reactivos'!AR546,'LP Reactivos'!AW546,'LP Reactivos'!BB546,'LP Reactivos'!BG546,'LP Reactivos'!BL546,'LP Reactivos'!BQ546,'LP Reactivos'!BV546,'LP Reactivos'!CA546,'LP Reactivos'!CF546,'LP Reactivos'!CK546,'LP Reactivos'!CP546,'LP Reactivos'!CU546,'LP Reactivos'!CZ546,'LP Reactivos'!DE546,'LP Reactivos'!DJ546,'LP Reactivos'!DO546,'LP Reactivos'!DT546,'LP Reactivos'!DY546,'LP Reactivos'!EB546)," ")</f>
        <v>4194750</v>
      </c>
      <c r="F546" s="345">
        <f>IFERROR(MEDIAN('LP Reactivos'!F546,'LP Reactivos'!I546,'LP Reactivos'!N546,'LP Reactivos'!S546,'LP Reactivos'!X546,'LP Reactivos'!AC546,'LP Reactivos'!AH546,'LP Reactivos'!AM546,'LP Reactivos'!AR546,'LP Reactivos'!AW546,'LP Reactivos'!BB546,'LP Reactivos'!BG546,'LP Reactivos'!BL546,'LP Reactivos'!BQ546,'LP Reactivos'!BV546,'LP Reactivos'!CA546,'LP Reactivos'!CF546,'LP Reactivos'!CK546,'LP Reactivos'!CP546,'LP Reactivos'!CU546,'LP Reactivos'!CZ546,'LP Reactivos'!DE546,'LP Reactivos'!DJ546,'LP Reactivos'!DO546,'LP Reactivos'!DT546,'LP Reactivos'!DY546,'LP Reactivos'!EB546)," ")</f>
        <v>4194750</v>
      </c>
      <c r="G546" s="345">
        <f>IFERROR(GEOMEAN('LP Reactivos'!F546,'LP Reactivos'!I546,'LP Reactivos'!N546,'LP Reactivos'!S546,'LP Reactivos'!X546,'LP Reactivos'!AC546,'LP Reactivos'!AH546,'LP Reactivos'!AM546,'LP Reactivos'!AR546,'LP Reactivos'!AW546,'LP Reactivos'!BB546,'LP Reactivos'!BG546,'LP Reactivos'!BL546,'LP Reactivos'!BQ546,'LP Reactivos'!BV546,'LP Reactivos'!CA546,'LP Reactivos'!CF546,'LP Reactivos'!CK546,'LP Reactivos'!CP546,'LP Reactivos'!CU546,'LP Reactivos'!CZ546,'LP Reactivos'!DE546,'LP Reactivos'!DJ546,'LP Reactivos'!DO546,'LP Reactivos'!DT546,'LP Reactivos'!DY546,'LP Reactivos'!EB546)," ")</f>
        <v>4194750</v>
      </c>
      <c r="H546" s="345">
        <f t="shared" si="36"/>
        <v>0</v>
      </c>
      <c r="I546" s="346">
        <f t="shared" si="37"/>
        <v>0</v>
      </c>
      <c r="J546" s="345">
        <f t="shared" si="38"/>
        <v>4194750</v>
      </c>
      <c r="K546" s="344" t="str">
        <f t="shared" si="39"/>
        <v>Menor Valor</v>
      </c>
      <c r="L546" s="326">
        <f>IFERROR(COUNTA('LP Reactivos'!F546,'LP Reactivos'!I546,'LP Reactivos'!N546,'LP Reactivos'!S546,'LP Reactivos'!X546,'LP Reactivos'!AC546,'LP Reactivos'!AH546,'LP Reactivos'!AM546,'LP Reactivos'!AR546,'LP Reactivos'!AW546,'LP Reactivos'!BB546,'LP Reactivos'!BG546,'LP Reactivos'!BL546,'LP Reactivos'!BQ546,'LP Reactivos'!BV546,'LP Reactivos'!CA546,'LP Reactivos'!CF546,'LP Reactivos'!CK546,'LP Reactivos'!CP546,'LP Reactivos'!CU546,'LP Reactivos'!CZ546,'LP Reactivos'!DE546,'LP Reactivos'!DJ546,'LP Reactivos'!DO546,'LP Reactivos'!DT546,'LP Reactivos'!DY546,'LP Reactivos'!EB546)," ")</f>
        <v>1</v>
      </c>
    </row>
    <row r="547" spans="2:12" x14ac:dyDescent="0.25">
      <c r="B547" s="425">
        <v>545</v>
      </c>
      <c r="C547" s="428" t="s">
        <v>2466</v>
      </c>
      <c r="D547" s="429">
        <f>IFERROR(MIN('LP Reactivos'!F547,'LP Reactivos'!I547,'LP Reactivos'!N547,'LP Reactivos'!S547,'LP Reactivos'!X547,'LP Reactivos'!AC547,'LP Reactivos'!AH547,'LP Reactivos'!AM547,'LP Reactivos'!AR547,'LP Reactivos'!AW547,'LP Reactivos'!BB547,'LP Reactivos'!BG547,'LP Reactivos'!BL547,'LP Reactivos'!BQ547,'LP Reactivos'!BV547,'LP Reactivos'!CA547,'LP Reactivos'!CF547,'LP Reactivos'!CK547,'LP Reactivos'!CP547,'LP Reactivos'!CU547,'LP Reactivos'!CZ547,'LP Reactivos'!DE547,'LP Reactivos'!DJ547,'LP Reactivos'!DO547,'LP Reactivos'!DT547,'LP Reactivos'!DY547,'LP Reactivos'!EB547)," ")</f>
        <v>368900</v>
      </c>
      <c r="E547" s="429">
        <f>IFERROR(AVERAGE('LP Reactivos'!F547,'LP Reactivos'!I547,'LP Reactivos'!N547,'LP Reactivos'!S547,'LP Reactivos'!X547,'LP Reactivos'!AC547,'LP Reactivos'!AH547,'LP Reactivos'!AM547,'LP Reactivos'!AR547,'LP Reactivos'!AW547,'LP Reactivos'!BB547,'LP Reactivos'!BG547,'LP Reactivos'!BL547,'LP Reactivos'!BQ547,'LP Reactivos'!BV547,'LP Reactivos'!CA547,'LP Reactivos'!CF547,'LP Reactivos'!CK547,'LP Reactivos'!CP547,'LP Reactivos'!CU547,'LP Reactivos'!CZ547,'LP Reactivos'!DE547,'LP Reactivos'!DJ547,'LP Reactivos'!DO547,'LP Reactivos'!DT547,'LP Reactivos'!DY547,'LP Reactivos'!EB547)," ")</f>
        <v>1081710</v>
      </c>
      <c r="F547" s="345">
        <f>IFERROR(MEDIAN('LP Reactivos'!F547,'LP Reactivos'!I547,'LP Reactivos'!N547,'LP Reactivos'!S547,'LP Reactivos'!X547,'LP Reactivos'!AC547,'LP Reactivos'!AH547,'LP Reactivos'!AM547,'LP Reactivos'!AR547,'LP Reactivos'!AW547,'LP Reactivos'!BB547,'LP Reactivos'!BG547,'LP Reactivos'!BL547,'LP Reactivos'!BQ547,'LP Reactivos'!BV547,'LP Reactivos'!CA547,'LP Reactivos'!CF547,'LP Reactivos'!CK547,'LP Reactivos'!CP547,'LP Reactivos'!CU547,'LP Reactivos'!CZ547,'LP Reactivos'!DE547,'LP Reactivos'!DJ547,'LP Reactivos'!DO547,'LP Reactivos'!DT547,'LP Reactivos'!DY547,'LP Reactivos'!EB547)," ")</f>
        <v>1081710</v>
      </c>
      <c r="G547" s="345">
        <f>IFERROR(GEOMEAN('LP Reactivos'!F547,'LP Reactivos'!I547,'LP Reactivos'!N547,'LP Reactivos'!S547,'LP Reactivos'!X547,'LP Reactivos'!AC547,'LP Reactivos'!AH547,'LP Reactivos'!AM547,'LP Reactivos'!AR547,'LP Reactivos'!AW547,'LP Reactivos'!BB547,'LP Reactivos'!BG547,'LP Reactivos'!BL547,'LP Reactivos'!BQ547,'LP Reactivos'!BV547,'LP Reactivos'!CA547,'LP Reactivos'!CF547,'LP Reactivos'!CK547,'LP Reactivos'!CP547,'LP Reactivos'!CU547,'LP Reactivos'!CZ547,'LP Reactivos'!DE547,'LP Reactivos'!DJ547,'LP Reactivos'!DO547,'LP Reactivos'!DT547,'LP Reactivos'!DY547,'LP Reactivos'!EB547)," ")</f>
        <v>813632.85823521158</v>
      </c>
      <c r="H547" s="345">
        <f t="shared" si="36"/>
        <v>336367.13762242207</v>
      </c>
      <c r="I547" s="346">
        <f t="shared" si="37"/>
        <v>0.31095870207580784</v>
      </c>
      <c r="J547" s="345">
        <f>IF(I547&lt;=10%,F547,IF(AND(I547&gt;10%,I547&lt;=20%),E547,IF(AND(I547&gt;20%,I547&lt;=32%),G547,IF(I547&gt;32%,D547))))</f>
        <v>813632.85823521158</v>
      </c>
      <c r="K547" s="344" t="str">
        <f t="shared" si="39"/>
        <v>Media Geométrica</v>
      </c>
      <c r="L547" s="326">
        <f>IFERROR(COUNTA('LP Reactivos'!F547,'LP Reactivos'!I547,'LP Reactivos'!N547,'LP Reactivos'!S547,'LP Reactivos'!X547,'LP Reactivos'!AC547,'LP Reactivos'!AH547,'LP Reactivos'!AM547,'LP Reactivos'!AR547,'LP Reactivos'!AW547,'LP Reactivos'!BB547,'LP Reactivos'!BG547,'LP Reactivos'!BL547,'LP Reactivos'!BQ547,'LP Reactivos'!BV547,'LP Reactivos'!CA547,'LP Reactivos'!CF547,'LP Reactivos'!CK547,'LP Reactivos'!CP547,'LP Reactivos'!CU547,'LP Reactivos'!CZ547,'LP Reactivos'!DE547,'LP Reactivos'!DJ547,'LP Reactivos'!DO547,'LP Reactivos'!DT547,'LP Reactivos'!DY547,'LP Reactivos'!EB547)," ")</f>
        <v>2</v>
      </c>
    </row>
    <row r="548" spans="2:12" x14ac:dyDescent="0.25">
      <c r="B548" s="425">
        <v>546</v>
      </c>
      <c r="C548" s="426" t="s">
        <v>2469</v>
      </c>
      <c r="D548" s="429">
        <f>IFERROR(MIN('LP Reactivos'!F548,'LP Reactivos'!I548,'LP Reactivos'!N548,'LP Reactivos'!S548,'LP Reactivos'!X548,'LP Reactivos'!AC548,'LP Reactivos'!AH548,'LP Reactivos'!AM548,'LP Reactivos'!AR548,'LP Reactivos'!AW548,'LP Reactivos'!BB548,'LP Reactivos'!BG548,'LP Reactivos'!BL548,'LP Reactivos'!BQ548,'LP Reactivos'!BV548,'LP Reactivos'!CA548,'LP Reactivos'!CF548,'LP Reactivos'!CK548,'LP Reactivos'!CP548,'LP Reactivos'!CU548,'LP Reactivos'!CZ548,'LP Reactivos'!DE548,'LP Reactivos'!DJ548,'LP Reactivos'!DO548,'LP Reactivos'!DT548,'LP Reactivos'!DY548,'LP Reactivos'!EB548)," ")</f>
        <v>98770</v>
      </c>
      <c r="E548" s="429">
        <f>IFERROR(AVERAGE('LP Reactivos'!F548,'LP Reactivos'!I548,'LP Reactivos'!N548,'LP Reactivos'!S548,'LP Reactivos'!X548,'LP Reactivos'!AC548,'LP Reactivos'!AH548,'LP Reactivos'!AM548,'LP Reactivos'!AR548,'LP Reactivos'!AW548,'LP Reactivos'!BB548,'LP Reactivos'!BG548,'LP Reactivos'!BL548,'LP Reactivos'!BQ548,'LP Reactivos'!BV548,'LP Reactivos'!CA548,'LP Reactivos'!CF548,'LP Reactivos'!CK548,'LP Reactivos'!CP548,'LP Reactivos'!CU548,'LP Reactivos'!CZ548,'LP Reactivos'!DE548,'LP Reactivos'!DJ548,'LP Reactivos'!DO548,'LP Reactivos'!DT548,'LP Reactivos'!DY548,'LP Reactivos'!EB548)," ")</f>
        <v>98770</v>
      </c>
      <c r="F548" s="345">
        <f>IFERROR(MEDIAN('LP Reactivos'!F548,'LP Reactivos'!I548,'LP Reactivos'!N548,'LP Reactivos'!S548,'LP Reactivos'!X548,'LP Reactivos'!AC548,'LP Reactivos'!AH548,'LP Reactivos'!AM548,'LP Reactivos'!AR548,'LP Reactivos'!AW548,'LP Reactivos'!BB548,'LP Reactivos'!BG548,'LP Reactivos'!BL548,'LP Reactivos'!BQ548,'LP Reactivos'!BV548,'LP Reactivos'!CA548,'LP Reactivos'!CF548,'LP Reactivos'!CK548,'LP Reactivos'!CP548,'LP Reactivos'!CU548,'LP Reactivos'!CZ548,'LP Reactivos'!DE548,'LP Reactivos'!DJ548,'LP Reactivos'!DO548,'LP Reactivos'!DT548,'LP Reactivos'!DY548,'LP Reactivos'!EB548)," ")</f>
        <v>98770</v>
      </c>
      <c r="G548" s="345">
        <f>IFERROR(GEOMEAN('LP Reactivos'!F548,'LP Reactivos'!I548,'LP Reactivos'!N548,'LP Reactivos'!S548,'LP Reactivos'!X548,'LP Reactivos'!AC548,'LP Reactivos'!AH548,'LP Reactivos'!AM548,'LP Reactivos'!AR548,'LP Reactivos'!AW548,'LP Reactivos'!BB548,'LP Reactivos'!BG548,'LP Reactivos'!BL548,'LP Reactivos'!BQ548,'LP Reactivos'!BV548,'LP Reactivos'!CA548,'LP Reactivos'!CF548,'LP Reactivos'!CK548,'LP Reactivos'!CP548,'LP Reactivos'!CU548,'LP Reactivos'!CZ548,'LP Reactivos'!DE548,'LP Reactivos'!DJ548,'LP Reactivos'!DO548,'LP Reactivos'!DT548,'LP Reactivos'!DY548,'LP Reactivos'!EB548)," ")</f>
        <v>98770</v>
      </c>
      <c r="H548" s="345">
        <f t="shared" si="36"/>
        <v>0</v>
      </c>
      <c r="I548" s="346">
        <f t="shared" si="37"/>
        <v>0</v>
      </c>
      <c r="J548" s="345">
        <f t="shared" si="38"/>
        <v>98770</v>
      </c>
      <c r="K548" s="344" t="str">
        <f t="shared" si="39"/>
        <v>Menor Valor</v>
      </c>
      <c r="L548" s="326">
        <f>IFERROR(COUNTA('LP Reactivos'!F548,'LP Reactivos'!I548,'LP Reactivos'!N548,'LP Reactivos'!S548,'LP Reactivos'!X548,'LP Reactivos'!AC548,'LP Reactivos'!AH548,'LP Reactivos'!AM548,'LP Reactivos'!AR548,'LP Reactivos'!AW548,'LP Reactivos'!BB548,'LP Reactivos'!BG548,'LP Reactivos'!BL548,'LP Reactivos'!BQ548,'LP Reactivos'!BV548,'LP Reactivos'!CA548,'LP Reactivos'!CF548,'LP Reactivos'!CK548,'LP Reactivos'!CP548,'LP Reactivos'!CU548,'LP Reactivos'!CZ548,'LP Reactivos'!DE548,'LP Reactivos'!DJ548,'LP Reactivos'!DO548,'LP Reactivos'!DT548,'LP Reactivos'!DY548,'LP Reactivos'!EB548)," ")</f>
        <v>1</v>
      </c>
    </row>
    <row r="549" spans="2:12" x14ac:dyDescent="0.25">
      <c r="B549" s="425">
        <v>547</v>
      </c>
      <c r="C549" s="427" t="s">
        <v>2472</v>
      </c>
      <c r="D549" s="429">
        <f>IFERROR(MIN('LP Reactivos'!F549,'LP Reactivos'!I549,'LP Reactivos'!N549,'LP Reactivos'!S549,'LP Reactivos'!X549,'LP Reactivos'!AC549,'LP Reactivos'!AH549,'LP Reactivos'!AM549,'LP Reactivos'!AR549,'LP Reactivos'!AW549,'LP Reactivos'!BB549,'LP Reactivos'!BG549,'LP Reactivos'!BL549,'LP Reactivos'!BQ549,'LP Reactivos'!BV549,'LP Reactivos'!CA549,'LP Reactivos'!CF549,'LP Reactivos'!CK549,'LP Reactivos'!CP549,'LP Reactivos'!CU549,'LP Reactivos'!CZ549,'LP Reactivos'!DE549,'LP Reactivos'!DJ549,'LP Reactivos'!DO549,'LP Reactivos'!DT549,'LP Reactivos'!DY549,'LP Reactivos'!EB549)," ")</f>
        <v>89535.6</v>
      </c>
      <c r="E549" s="429">
        <f>IFERROR(AVERAGE('LP Reactivos'!F549,'LP Reactivos'!I549,'LP Reactivos'!N549,'LP Reactivos'!S549,'LP Reactivos'!X549,'LP Reactivos'!AC549,'LP Reactivos'!AH549,'LP Reactivos'!AM549,'LP Reactivos'!AR549,'LP Reactivos'!AW549,'LP Reactivos'!BB549,'LP Reactivos'!BG549,'LP Reactivos'!BL549,'LP Reactivos'!BQ549,'LP Reactivos'!BV549,'LP Reactivos'!CA549,'LP Reactivos'!CF549,'LP Reactivos'!CK549,'LP Reactivos'!CP549,'LP Reactivos'!CU549,'LP Reactivos'!CZ549,'LP Reactivos'!DE549,'LP Reactivos'!DJ549,'LP Reactivos'!DO549,'LP Reactivos'!DT549,'LP Reactivos'!DY549,'LP Reactivos'!EB549)," ")</f>
        <v>224319.008</v>
      </c>
      <c r="F549" s="345">
        <f>IFERROR(MEDIAN('LP Reactivos'!F549,'LP Reactivos'!I549,'LP Reactivos'!N549,'LP Reactivos'!S549,'LP Reactivos'!X549,'LP Reactivos'!AC549,'LP Reactivos'!AH549,'LP Reactivos'!AM549,'LP Reactivos'!AR549,'LP Reactivos'!AW549,'LP Reactivos'!BB549,'LP Reactivos'!BG549,'LP Reactivos'!BL549,'LP Reactivos'!BQ549,'LP Reactivos'!BV549,'LP Reactivos'!CA549,'LP Reactivos'!CF549,'LP Reactivos'!CK549,'LP Reactivos'!CP549,'LP Reactivos'!CU549,'LP Reactivos'!CZ549,'LP Reactivos'!DE549,'LP Reactivos'!DJ549,'LP Reactivos'!DO549,'LP Reactivos'!DT549,'LP Reactivos'!DY549,'LP Reactivos'!EB549)," ")</f>
        <v>147425.21600000001</v>
      </c>
      <c r="G549" s="345">
        <f>IFERROR(GEOMEAN('LP Reactivos'!F549,'LP Reactivos'!I549,'LP Reactivos'!N549,'LP Reactivos'!S549,'LP Reactivos'!X549,'LP Reactivos'!AC549,'LP Reactivos'!AH549,'LP Reactivos'!AM549,'LP Reactivos'!AR549,'LP Reactivos'!AW549,'LP Reactivos'!BB549,'LP Reactivos'!BG549,'LP Reactivos'!BL549,'LP Reactivos'!BQ549,'LP Reactivos'!BV549,'LP Reactivos'!CA549,'LP Reactivos'!CF549,'LP Reactivos'!CK549,'LP Reactivos'!CP549,'LP Reactivos'!CU549,'LP Reactivos'!CZ549,'LP Reactivos'!DE549,'LP Reactivos'!DJ549,'LP Reactivos'!DO549,'LP Reactivos'!DT549,'LP Reactivos'!DY549,'LP Reactivos'!EB549)," ")</f>
        <v>175392.77281576145</v>
      </c>
      <c r="H549" s="345">
        <f t="shared" si="36"/>
        <v>56256.736491673495</v>
      </c>
      <c r="I549" s="346">
        <f t="shared" si="37"/>
        <v>0.25078898570946556</v>
      </c>
      <c r="J549" s="345">
        <f t="shared" si="38"/>
        <v>175392.77281576145</v>
      </c>
      <c r="K549" s="344" t="str">
        <f t="shared" si="39"/>
        <v>Media Geométrica</v>
      </c>
      <c r="L549" s="326">
        <f>IFERROR(COUNTA('LP Reactivos'!F549,'LP Reactivos'!I549,'LP Reactivos'!N549,'LP Reactivos'!S549,'LP Reactivos'!X549,'LP Reactivos'!AC549,'LP Reactivos'!AH549,'LP Reactivos'!AM549,'LP Reactivos'!AR549,'LP Reactivos'!AW549,'LP Reactivos'!BB549,'LP Reactivos'!BG549,'LP Reactivos'!BL549,'LP Reactivos'!BQ549,'LP Reactivos'!BV549,'LP Reactivos'!CA549,'LP Reactivos'!CF549,'LP Reactivos'!CK549,'LP Reactivos'!CP549,'LP Reactivos'!CU549,'LP Reactivos'!CZ549,'LP Reactivos'!DE549,'LP Reactivos'!DJ549,'LP Reactivos'!DO549,'LP Reactivos'!DT549,'LP Reactivos'!DY549,'LP Reactivos'!EB549)," ")</f>
        <v>4</v>
      </c>
    </row>
    <row r="550" spans="2:12" x14ac:dyDescent="0.25">
      <c r="B550" s="425">
        <v>548</v>
      </c>
      <c r="C550" s="426" t="s">
        <v>2476</v>
      </c>
      <c r="D550" s="429">
        <f>IFERROR(MIN('LP Reactivos'!F550,'LP Reactivos'!I550,'LP Reactivos'!N550,'LP Reactivos'!S550,'LP Reactivos'!X550,'LP Reactivos'!AC550,'LP Reactivos'!AH550,'LP Reactivos'!AM550,'LP Reactivos'!AR550,'LP Reactivos'!AW550,'LP Reactivos'!BB550,'LP Reactivos'!BG550,'LP Reactivos'!BL550,'LP Reactivos'!BQ550,'LP Reactivos'!BV550,'LP Reactivos'!CA550,'LP Reactivos'!CF550,'LP Reactivos'!CK550,'LP Reactivos'!CP550,'LP Reactivos'!CU550,'LP Reactivos'!CZ550,'LP Reactivos'!DE550,'LP Reactivos'!DJ550,'LP Reactivos'!DO550,'LP Reactivos'!DT550,'LP Reactivos'!DY550,'LP Reactivos'!EB550)," ")</f>
        <v>264180</v>
      </c>
      <c r="E550" s="429">
        <f>IFERROR(AVERAGE('LP Reactivos'!F550,'LP Reactivos'!I550,'LP Reactivos'!N550,'LP Reactivos'!S550,'LP Reactivos'!X550,'LP Reactivos'!AC550,'LP Reactivos'!AH550,'LP Reactivos'!AM550,'LP Reactivos'!AR550,'LP Reactivos'!AW550,'LP Reactivos'!BB550,'LP Reactivos'!BG550,'LP Reactivos'!BL550,'LP Reactivos'!BQ550,'LP Reactivos'!BV550,'LP Reactivos'!CA550,'LP Reactivos'!CF550,'LP Reactivos'!CK550,'LP Reactivos'!CP550,'LP Reactivos'!CU550,'LP Reactivos'!CZ550,'LP Reactivos'!DE550,'LP Reactivos'!DJ550,'LP Reactivos'!DO550,'LP Reactivos'!DT550,'LP Reactivos'!DY550,'LP Reactivos'!EB550)," ")</f>
        <v>347765.88800000004</v>
      </c>
      <c r="F550" s="345">
        <f>IFERROR(MEDIAN('LP Reactivos'!F550,'LP Reactivos'!I550,'LP Reactivos'!N550,'LP Reactivos'!S550,'LP Reactivos'!X550,'LP Reactivos'!AC550,'LP Reactivos'!AH550,'LP Reactivos'!AM550,'LP Reactivos'!AR550,'LP Reactivos'!AW550,'LP Reactivos'!BB550,'LP Reactivos'!BG550,'LP Reactivos'!BL550,'LP Reactivos'!BQ550,'LP Reactivos'!BV550,'LP Reactivos'!CA550,'LP Reactivos'!CF550,'LP Reactivos'!CK550,'LP Reactivos'!CP550,'LP Reactivos'!CU550,'LP Reactivos'!CZ550,'LP Reactivos'!DE550,'LP Reactivos'!DJ550,'LP Reactivos'!DO550,'LP Reactivos'!DT550,'LP Reactivos'!DY550,'LP Reactivos'!EB550)," ")</f>
        <v>322121.2</v>
      </c>
      <c r="G550" s="345">
        <f>IFERROR(GEOMEAN('LP Reactivos'!F550,'LP Reactivos'!I550,'LP Reactivos'!N550,'LP Reactivos'!S550,'LP Reactivos'!X550,'LP Reactivos'!AC550,'LP Reactivos'!AH550,'LP Reactivos'!AM550,'LP Reactivos'!AR550,'LP Reactivos'!AW550,'LP Reactivos'!BB550,'LP Reactivos'!BG550,'LP Reactivos'!BL550,'LP Reactivos'!BQ550,'LP Reactivos'!BV550,'LP Reactivos'!CA550,'LP Reactivos'!CF550,'LP Reactivos'!CK550,'LP Reactivos'!CP550,'LP Reactivos'!CU550,'LP Reactivos'!CZ550,'LP Reactivos'!DE550,'LP Reactivos'!DJ550,'LP Reactivos'!DO550,'LP Reactivos'!DT550,'LP Reactivos'!DY550,'LP Reactivos'!EB550)," ")</f>
        <v>339145.51914467767</v>
      </c>
      <c r="H550" s="345">
        <f t="shared" si="36"/>
        <v>37622.467373209991</v>
      </c>
      <c r="I550" s="346">
        <f t="shared" si="37"/>
        <v>0.10818331720105333</v>
      </c>
      <c r="J550" s="345">
        <f t="shared" si="38"/>
        <v>347765.88800000004</v>
      </c>
      <c r="K550" s="344" t="str">
        <f t="shared" si="39"/>
        <v>Promedio</v>
      </c>
      <c r="L550" s="326">
        <f>IFERROR(COUNTA('LP Reactivos'!F550,'LP Reactivos'!I550,'LP Reactivos'!N550,'LP Reactivos'!S550,'LP Reactivos'!X550,'LP Reactivos'!AC550,'LP Reactivos'!AH550,'LP Reactivos'!AM550,'LP Reactivos'!AR550,'LP Reactivos'!AW550,'LP Reactivos'!BB550,'LP Reactivos'!BG550,'LP Reactivos'!BL550,'LP Reactivos'!BQ550,'LP Reactivos'!BV550,'LP Reactivos'!CA550,'LP Reactivos'!CF550,'LP Reactivos'!CK550,'LP Reactivos'!CP550,'LP Reactivos'!CU550,'LP Reactivos'!CZ550,'LP Reactivos'!DE550,'LP Reactivos'!DJ550,'LP Reactivos'!DO550,'LP Reactivos'!DT550,'LP Reactivos'!DY550,'LP Reactivos'!EB550)," ")</f>
        <v>4</v>
      </c>
    </row>
    <row r="551" spans="2:12" ht="27" x14ac:dyDescent="0.25">
      <c r="B551" s="425">
        <v>549</v>
      </c>
      <c r="C551" s="413" t="s">
        <v>2478</v>
      </c>
      <c r="D551" s="429">
        <f>IFERROR(MIN('LP Reactivos'!F551,'LP Reactivos'!I551,'LP Reactivos'!N551,'LP Reactivos'!S551,'LP Reactivos'!X551,'LP Reactivos'!AC551,'LP Reactivos'!AH551,'LP Reactivos'!AM551,'LP Reactivos'!AR551,'LP Reactivos'!AW551,'LP Reactivos'!BB551,'LP Reactivos'!BG551,'LP Reactivos'!BL551,'LP Reactivos'!BQ551,'LP Reactivos'!BV551,'LP Reactivos'!CA551,'LP Reactivos'!CF551,'LP Reactivos'!CK551,'LP Reactivos'!CP551,'LP Reactivos'!CU551,'LP Reactivos'!CZ551,'LP Reactivos'!DE551,'LP Reactivos'!DJ551,'LP Reactivos'!DO551,'LP Reactivos'!DT551,'LP Reactivos'!DY551,'LP Reactivos'!EB551)," ")</f>
        <v>264180</v>
      </c>
      <c r="E551" s="429">
        <f>IFERROR(AVERAGE('LP Reactivos'!F551,'LP Reactivos'!I551,'LP Reactivos'!N551,'LP Reactivos'!S551,'LP Reactivos'!X551,'LP Reactivos'!AC551,'LP Reactivos'!AH551,'LP Reactivos'!AM551,'LP Reactivos'!AR551,'LP Reactivos'!AW551,'LP Reactivos'!BB551,'LP Reactivos'!BG551,'LP Reactivos'!BL551,'LP Reactivos'!BQ551,'LP Reactivos'!BV551,'LP Reactivos'!CA551,'LP Reactivos'!CF551,'LP Reactivos'!CK551,'LP Reactivos'!CP551,'LP Reactivos'!CU551,'LP Reactivos'!CZ551,'LP Reactivos'!DE551,'LP Reactivos'!DJ551,'LP Reactivos'!DO551,'LP Reactivos'!DT551,'LP Reactivos'!DY551,'LP Reactivos'!EB551)," ")</f>
        <v>292097.5</v>
      </c>
      <c r="F551" s="345">
        <f>IFERROR(MEDIAN('LP Reactivos'!F551,'LP Reactivos'!I551,'LP Reactivos'!N551,'LP Reactivos'!S551,'LP Reactivos'!X551,'LP Reactivos'!AC551,'LP Reactivos'!AH551,'LP Reactivos'!AM551,'LP Reactivos'!AR551,'LP Reactivos'!AW551,'LP Reactivos'!BB551,'LP Reactivos'!BG551,'LP Reactivos'!BL551,'LP Reactivos'!BQ551,'LP Reactivos'!BV551,'LP Reactivos'!CA551,'LP Reactivos'!CF551,'LP Reactivos'!CK551,'LP Reactivos'!CP551,'LP Reactivos'!CU551,'LP Reactivos'!CZ551,'LP Reactivos'!DE551,'LP Reactivos'!DJ551,'LP Reactivos'!DO551,'LP Reactivos'!DT551,'LP Reactivos'!DY551,'LP Reactivos'!EB551)," ")</f>
        <v>292097.5</v>
      </c>
      <c r="G551" s="345">
        <f>IFERROR(GEOMEAN('LP Reactivos'!F551,'LP Reactivos'!I551,'LP Reactivos'!N551,'LP Reactivos'!S551,'LP Reactivos'!X551,'LP Reactivos'!AC551,'LP Reactivos'!AH551,'LP Reactivos'!AM551,'LP Reactivos'!AR551,'LP Reactivos'!AW551,'LP Reactivos'!BB551,'LP Reactivos'!BG551,'LP Reactivos'!BL551,'LP Reactivos'!BQ551,'LP Reactivos'!BV551,'LP Reactivos'!CA551,'LP Reactivos'!CF551,'LP Reactivos'!CK551,'LP Reactivos'!CP551,'LP Reactivos'!CU551,'LP Reactivos'!CZ551,'LP Reactivos'!DE551,'LP Reactivos'!DJ551,'LP Reactivos'!DO551,'LP Reactivos'!DT551,'LP Reactivos'!DY551,'LP Reactivos'!EB551)," ")</f>
        <v>290760.31830358144</v>
      </c>
      <c r="H551" s="345">
        <f t="shared" si="36"/>
        <v>13750.342551485097</v>
      </c>
      <c r="I551" s="346">
        <f t="shared" si="37"/>
        <v>4.7074495849793639E-2</v>
      </c>
      <c r="J551" s="345">
        <f t="shared" si="38"/>
        <v>292097.5</v>
      </c>
      <c r="K551" s="344" t="str">
        <f t="shared" si="39"/>
        <v>Promedio</v>
      </c>
      <c r="L551" s="326">
        <f>IFERROR(COUNTA('LP Reactivos'!F551,'LP Reactivos'!I551,'LP Reactivos'!N551,'LP Reactivos'!S551,'LP Reactivos'!X551,'LP Reactivos'!AC551,'LP Reactivos'!AH551,'LP Reactivos'!AM551,'LP Reactivos'!AR551,'LP Reactivos'!AW551,'LP Reactivos'!BB551,'LP Reactivos'!BG551,'LP Reactivos'!BL551,'LP Reactivos'!BQ551,'LP Reactivos'!BV551,'LP Reactivos'!CA551,'LP Reactivos'!CF551,'LP Reactivos'!CK551,'LP Reactivos'!CP551,'LP Reactivos'!CU551,'LP Reactivos'!CZ551,'LP Reactivos'!DE551,'LP Reactivos'!DJ551,'LP Reactivos'!DO551,'LP Reactivos'!DT551,'LP Reactivos'!DY551,'LP Reactivos'!EB551)," ")</f>
        <v>2</v>
      </c>
    </row>
    <row r="552" spans="2:12" x14ac:dyDescent="0.25">
      <c r="B552" s="425">
        <v>550</v>
      </c>
      <c r="C552" s="428" t="s">
        <v>2479</v>
      </c>
      <c r="D552" s="429">
        <f>IFERROR(MIN('LP Reactivos'!F552,'LP Reactivos'!I552,'LP Reactivos'!N552,'LP Reactivos'!S552,'LP Reactivos'!X552,'LP Reactivos'!AC552,'LP Reactivos'!AH552,'LP Reactivos'!AM552,'LP Reactivos'!AR552,'LP Reactivos'!AW552,'LP Reactivos'!BB552,'LP Reactivos'!BG552,'LP Reactivos'!BL552,'LP Reactivos'!BQ552,'LP Reactivos'!BV552,'LP Reactivos'!CA552,'LP Reactivos'!CF552,'LP Reactivos'!CK552,'LP Reactivos'!CP552,'LP Reactivos'!CU552,'LP Reactivos'!CZ552,'LP Reactivos'!DE552,'LP Reactivos'!DJ552,'LP Reactivos'!DO552,'LP Reactivos'!DT552,'LP Reactivos'!DY552,'LP Reactivos'!EB552)," ")</f>
        <v>199727.76739999998</v>
      </c>
      <c r="E552" s="429">
        <f>IFERROR(AVERAGE('LP Reactivos'!F552,'LP Reactivos'!I552,'LP Reactivos'!N552,'LP Reactivos'!S552,'LP Reactivos'!X552,'LP Reactivos'!AC552,'LP Reactivos'!AH552,'LP Reactivos'!AM552,'LP Reactivos'!AR552,'LP Reactivos'!AW552,'LP Reactivos'!BB552,'LP Reactivos'!BG552,'LP Reactivos'!BL552,'LP Reactivos'!BQ552,'LP Reactivos'!BV552,'LP Reactivos'!CA552,'LP Reactivos'!CF552,'LP Reactivos'!CK552,'LP Reactivos'!CP552,'LP Reactivos'!CU552,'LP Reactivos'!CZ552,'LP Reactivos'!DE552,'LP Reactivos'!DJ552,'LP Reactivos'!DO552,'LP Reactivos'!DT552,'LP Reactivos'!DY552,'LP Reactivos'!EB552)," ")</f>
        <v>199727.76739999998</v>
      </c>
      <c r="F552" s="345">
        <f>IFERROR(MEDIAN('LP Reactivos'!F552,'LP Reactivos'!I552,'LP Reactivos'!N552,'LP Reactivos'!S552,'LP Reactivos'!X552,'LP Reactivos'!AC552,'LP Reactivos'!AH552,'LP Reactivos'!AM552,'LP Reactivos'!AR552,'LP Reactivos'!AW552,'LP Reactivos'!BB552,'LP Reactivos'!BG552,'LP Reactivos'!BL552,'LP Reactivos'!BQ552,'LP Reactivos'!BV552,'LP Reactivos'!CA552,'LP Reactivos'!CF552,'LP Reactivos'!CK552,'LP Reactivos'!CP552,'LP Reactivos'!CU552,'LP Reactivos'!CZ552,'LP Reactivos'!DE552,'LP Reactivos'!DJ552,'LP Reactivos'!DO552,'LP Reactivos'!DT552,'LP Reactivos'!DY552,'LP Reactivos'!EB552)," ")</f>
        <v>199727.76739999998</v>
      </c>
      <c r="G552" s="345">
        <f>IFERROR(GEOMEAN('LP Reactivos'!F552,'LP Reactivos'!I552,'LP Reactivos'!N552,'LP Reactivos'!S552,'LP Reactivos'!X552,'LP Reactivos'!AC552,'LP Reactivos'!AH552,'LP Reactivos'!AM552,'LP Reactivos'!AR552,'LP Reactivos'!AW552,'LP Reactivos'!BB552,'LP Reactivos'!BG552,'LP Reactivos'!BL552,'LP Reactivos'!BQ552,'LP Reactivos'!BV552,'LP Reactivos'!CA552,'LP Reactivos'!CF552,'LP Reactivos'!CK552,'LP Reactivos'!CP552,'LP Reactivos'!CU552,'LP Reactivos'!CZ552,'LP Reactivos'!DE552,'LP Reactivos'!DJ552,'LP Reactivos'!DO552,'LP Reactivos'!DT552,'LP Reactivos'!DY552,'LP Reactivos'!EB552)," ")</f>
        <v>199727.76739999998</v>
      </c>
      <c r="H552" s="345">
        <f t="shared" si="36"/>
        <v>0</v>
      </c>
      <c r="I552" s="346">
        <f t="shared" si="37"/>
        <v>0</v>
      </c>
      <c r="J552" s="345">
        <f t="shared" si="38"/>
        <v>199727.76739999998</v>
      </c>
      <c r="K552" s="344" t="str">
        <f t="shared" si="39"/>
        <v>Menor Valor</v>
      </c>
      <c r="L552" s="326">
        <f>IFERROR(COUNTA('LP Reactivos'!F552,'LP Reactivos'!I552,'LP Reactivos'!N552,'LP Reactivos'!S552,'LP Reactivos'!X552,'LP Reactivos'!AC552,'LP Reactivos'!AH552,'LP Reactivos'!AM552,'LP Reactivos'!AR552,'LP Reactivos'!AW552,'LP Reactivos'!BB552,'LP Reactivos'!BG552,'LP Reactivos'!BL552,'LP Reactivos'!BQ552,'LP Reactivos'!BV552,'LP Reactivos'!CA552,'LP Reactivos'!CF552,'LP Reactivos'!CK552,'LP Reactivos'!CP552,'LP Reactivos'!CU552,'LP Reactivos'!CZ552,'LP Reactivos'!DE552,'LP Reactivos'!DJ552,'LP Reactivos'!DO552,'LP Reactivos'!DT552,'LP Reactivos'!DY552,'LP Reactivos'!EB552)," ")</f>
        <v>1</v>
      </c>
    </row>
    <row r="553" spans="2:12" x14ac:dyDescent="0.25">
      <c r="B553" s="425">
        <v>551</v>
      </c>
      <c r="C553" s="427" t="s">
        <v>2481</v>
      </c>
      <c r="D553" s="429">
        <f>IFERROR(MIN('LP Reactivos'!F553,'LP Reactivos'!I553,'LP Reactivos'!N553,'LP Reactivos'!S553,'LP Reactivos'!X553,'LP Reactivos'!AC553,'LP Reactivos'!AH553,'LP Reactivos'!AM553,'LP Reactivos'!AR553,'LP Reactivos'!AW553,'LP Reactivos'!BB553,'LP Reactivos'!BG553,'LP Reactivos'!BL553,'LP Reactivos'!BQ553,'LP Reactivos'!BV553,'LP Reactivos'!CA553,'LP Reactivos'!CF553,'LP Reactivos'!CK553,'LP Reactivos'!CP553,'LP Reactivos'!CU553,'LP Reactivos'!CZ553,'LP Reactivos'!DE553,'LP Reactivos'!DJ553,'LP Reactivos'!DO553,'LP Reactivos'!DT553,'LP Reactivos'!DY553,'LP Reactivos'!EB553)," ")</f>
        <v>107411.3152</v>
      </c>
      <c r="E553" s="429">
        <f>IFERROR(AVERAGE('LP Reactivos'!F553,'LP Reactivos'!I553,'LP Reactivos'!N553,'LP Reactivos'!S553,'LP Reactivos'!X553,'LP Reactivos'!AC553,'LP Reactivos'!AH553,'LP Reactivos'!AM553,'LP Reactivos'!AR553,'LP Reactivos'!AW553,'LP Reactivos'!BB553,'LP Reactivos'!BG553,'LP Reactivos'!BL553,'LP Reactivos'!BQ553,'LP Reactivos'!BV553,'LP Reactivos'!CA553,'LP Reactivos'!CF553,'LP Reactivos'!CK553,'LP Reactivos'!CP553,'LP Reactivos'!CU553,'LP Reactivos'!CZ553,'LP Reactivos'!DE553,'LP Reactivos'!DJ553,'LP Reactivos'!DO553,'LP Reactivos'!DT553,'LP Reactivos'!DY553,'LP Reactivos'!EB553)," ")</f>
        <v>107411.3152</v>
      </c>
      <c r="F553" s="345">
        <f>IFERROR(MEDIAN('LP Reactivos'!F553,'LP Reactivos'!I553,'LP Reactivos'!N553,'LP Reactivos'!S553,'LP Reactivos'!X553,'LP Reactivos'!AC553,'LP Reactivos'!AH553,'LP Reactivos'!AM553,'LP Reactivos'!AR553,'LP Reactivos'!AW553,'LP Reactivos'!BB553,'LP Reactivos'!BG553,'LP Reactivos'!BL553,'LP Reactivos'!BQ553,'LP Reactivos'!BV553,'LP Reactivos'!CA553,'LP Reactivos'!CF553,'LP Reactivos'!CK553,'LP Reactivos'!CP553,'LP Reactivos'!CU553,'LP Reactivos'!CZ553,'LP Reactivos'!DE553,'LP Reactivos'!DJ553,'LP Reactivos'!DO553,'LP Reactivos'!DT553,'LP Reactivos'!DY553,'LP Reactivos'!EB553)," ")</f>
        <v>107411.3152</v>
      </c>
      <c r="G553" s="345">
        <f>IFERROR(GEOMEAN('LP Reactivos'!F553,'LP Reactivos'!I553,'LP Reactivos'!N553,'LP Reactivos'!S553,'LP Reactivos'!X553,'LP Reactivos'!AC553,'LP Reactivos'!AH553,'LP Reactivos'!AM553,'LP Reactivos'!AR553,'LP Reactivos'!AW553,'LP Reactivos'!BB553,'LP Reactivos'!BG553,'LP Reactivos'!BL553,'LP Reactivos'!BQ553,'LP Reactivos'!BV553,'LP Reactivos'!CA553,'LP Reactivos'!CF553,'LP Reactivos'!CK553,'LP Reactivos'!CP553,'LP Reactivos'!CU553,'LP Reactivos'!CZ553,'LP Reactivos'!DE553,'LP Reactivos'!DJ553,'LP Reactivos'!DO553,'LP Reactivos'!DT553,'LP Reactivos'!DY553,'LP Reactivos'!EB553)," ")</f>
        <v>107411.3152</v>
      </c>
      <c r="H553" s="345">
        <f t="shared" si="36"/>
        <v>0</v>
      </c>
      <c r="I553" s="346">
        <f t="shared" si="37"/>
        <v>0</v>
      </c>
      <c r="J553" s="345">
        <f t="shared" si="38"/>
        <v>107411.3152</v>
      </c>
      <c r="K553" s="344" t="str">
        <f t="shared" si="39"/>
        <v>Menor Valor</v>
      </c>
      <c r="L553" s="326">
        <f>IFERROR(COUNTA('LP Reactivos'!F553,'LP Reactivos'!I553,'LP Reactivos'!N553,'LP Reactivos'!S553,'LP Reactivos'!X553,'LP Reactivos'!AC553,'LP Reactivos'!AH553,'LP Reactivos'!AM553,'LP Reactivos'!AR553,'LP Reactivos'!AW553,'LP Reactivos'!BB553,'LP Reactivos'!BG553,'LP Reactivos'!BL553,'LP Reactivos'!BQ553,'LP Reactivos'!BV553,'LP Reactivos'!CA553,'LP Reactivos'!CF553,'LP Reactivos'!CK553,'LP Reactivos'!CP553,'LP Reactivos'!CU553,'LP Reactivos'!CZ553,'LP Reactivos'!DE553,'LP Reactivos'!DJ553,'LP Reactivos'!DO553,'LP Reactivos'!DT553,'LP Reactivos'!DY553,'LP Reactivos'!EB553)," ")</f>
        <v>1</v>
      </c>
    </row>
    <row r="554" spans="2:12" ht="27" x14ac:dyDescent="0.25">
      <c r="B554" s="425">
        <v>552</v>
      </c>
      <c r="C554" s="413" t="s">
        <v>2482</v>
      </c>
      <c r="D554" s="429">
        <f>IFERROR(MIN('LP Reactivos'!F554,'LP Reactivos'!I554,'LP Reactivos'!N554,'LP Reactivos'!S554,'LP Reactivos'!X554,'LP Reactivos'!AC554,'LP Reactivos'!AH554,'LP Reactivos'!AM554,'LP Reactivos'!AR554,'LP Reactivos'!AW554,'LP Reactivos'!BB554,'LP Reactivos'!BG554,'LP Reactivos'!BL554,'LP Reactivos'!BQ554,'LP Reactivos'!BV554,'LP Reactivos'!CA554,'LP Reactivos'!CF554,'LP Reactivos'!CK554,'LP Reactivos'!CP554,'LP Reactivos'!CU554,'LP Reactivos'!CZ554,'LP Reactivos'!DE554,'LP Reactivos'!DJ554,'LP Reactivos'!DO554,'LP Reactivos'!DT554,'LP Reactivos'!DY554,'LP Reactivos'!EB554)," ")</f>
        <v>333440</v>
      </c>
      <c r="E554" s="429">
        <f>IFERROR(AVERAGE('LP Reactivos'!F554,'LP Reactivos'!I554,'LP Reactivos'!N554,'LP Reactivos'!S554,'LP Reactivos'!X554,'LP Reactivos'!AC554,'LP Reactivos'!AH554,'LP Reactivos'!AM554,'LP Reactivos'!AR554,'LP Reactivos'!AW554,'LP Reactivos'!BB554,'LP Reactivos'!BG554,'LP Reactivos'!BL554,'LP Reactivos'!BQ554,'LP Reactivos'!BV554,'LP Reactivos'!CA554,'LP Reactivos'!CF554,'LP Reactivos'!CK554,'LP Reactivos'!CP554,'LP Reactivos'!CU554,'LP Reactivos'!CZ554,'LP Reactivos'!DE554,'LP Reactivos'!DJ554,'LP Reactivos'!DO554,'LP Reactivos'!DT554,'LP Reactivos'!DY554,'LP Reactivos'!EB554)," ")</f>
        <v>44454355</v>
      </c>
      <c r="F554" s="345">
        <f>IFERROR(MEDIAN('LP Reactivos'!F554,'LP Reactivos'!I554,'LP Reactivos'!N554,'LP Reactivos'!S554,'LP Reactivos'!X554,'LP Reactivos'!AC554,'LP Reactivos'!AH554,'LP Reactivos'!AM554,'LP Reactivos'!AR554,'LP Reactivos'!AW554,'LP Reactivos'!BB554,'LP Reactivos'!BG554,'LP Reactivos'!BL554,'LP Reactivos'!BQ554,'LP Reactivos'!BV554,'LP Reactivos'!CA554,'LP Reactivos'!CF554,'LP Reactivos'!CK554,'LP Reactivos'!CP554,'LP Reactivos'!CU554,'LP Reactivos'!CZ554,'LP Reactivos'!DE554,'LP Reactivos'!DJ554,'LP Reactivos'!DO554,'LP Reactivos'!DT554,'LP Reactivos'!DY554,'LP Reactivos'!EB554)," ")</f>
        <v>44454355</v>
      </c>
      <c r="G554" s="345">
        <f>IFERROR(GEOMEAN('LP Reactivos'!F554,'LP Reactivos'!I554,'LP Reactivos'!N554,'LP Reactivos'!S554,'LP Reactivos'!X554,'LP Reactivos'!AC554,'LP Reactivos'!AH554,'LP Reactivos'!AM554,'LP Reactivos'!AR554,'LP Reactivos'!AW554,'LP Reactivos'!BB554,'LP Reactivos'!BG554,'LP Reactivos'!BL554,'LP Reactivos'!BQ554,'LP Reactivos'!BV554,'LP Reactivos'!CA554,'LP Reactivos'!CF554,'LP Reactivos'!CK554,'LP Reactivos'!CP554,'LP Reactivos'!CU554,'LP Reactivos'!CZ554,'LP Reactivos'!DE554,'LP Reactivos'!DJ554,'LP Reactivos'!DO554,'LP Reactivos'!DT554,'LP Reactivos'!DY554,'LP Reactivos'!EB554)," ")</f>
        <v>5434568.7987916758</v>
      </c>
      <c r="H554" s="345">
        <f t="shared" si="36"/>
        <v>24090833.710273027</v>
      </c>
      <c r="I554" s="346">
        <f t="shared" si="37"/>
        <v>0.54192291644481239</v>
      </c>
      <c r="J554" s="345">
        <f>IF(I554&lt;=10%,F554,IF(AND(I554&gt;10%,I554&lt;=20%),E554,IF(AND(I554&gt;20%,I554&lt;=55%),G554,IF(I554&gt;55%,D554))))</f>
        <v>5434568.7987916758</v>
      </c>
      <c r="K554" s="344" t="str">
        <f t="shared" si="39"/>
        <v>Media Geométrica</v>
      </c>
      <c r="L554" s="326">
        <f>IFERROR(COUNTA('LP Reactivos'!F554,'LP Reactivos'!I554,'LP Reactivos'!N554,'LP Reactivos'!S554,'LP Reactivos'!X554,'LP Reactivos'!AC554,'LP Reactivos'!AH554,'LP Reactivos'!AM554,'LP Reactivos'!AR554,'LP Reactivos'!AW554,'LP Reactivos'!BB554,'LP Reactivos'!BG554,'LP Reactivos'!BL554,'LP Reactivos'!BQ554,'LP Reactivos'!BV554,'LP Reactivos'!CA554,'LP Reactivos'!CF554,'LP Reactivos'!CK554,'LP Reactivos'!CP554,'LP Reactivos'!CU554,'LP Reactivos'!CZ554,'LP Reactivos'!DE554,'LP Reactivos'!DJ554,'LP Reactivos'!DO554,'LP Reactivos'!DT554,'LP Reactivos'!DY554,'LP Reactivos'!EB554)," ")</f>
        <v>2</v>
      </c>
    </row>
    <row r="555" spans="2:12" ht="54" x14ac:dyDescent="0.25">
      <c r="B555" s="425">
        <v>553</v>
      </c>
      <c r="C555" s="413" t="s">
        <v>2487</v>
      </c>
      <c r="D555" s="429">
        <f>IFERROR(MIN('LP Reactivos'!F555,'LP Reactivos'!I555,'LP Reactivos'!N555,'LP Reactivos'!S555,'LP Reactivos'!X555,'LP Reactivos'!AC555,'LP Reactivos'!AH555,'LP Reactivos'!AM555,'LP Reactivos'!AR555,'LP Reactivos'!AW555,'LP Reactivos'!BB555,'LP Reactivos'!BG555,'LP Reactivos'!BL555,'LP Reactivos'!BQ555,'LP Reactivos'!BV555,'LP Reactivos'!CA555,'LP Reactivos'!CF555,'LP Reactivos'!CK555,'LP Reactivos'!CP555,'LP Reactivos'!CU555,'LP Reactivos'!CZ555,'LP Reactivos'!DE555,'LP Reactivos'!DJ555,'LP Reactivos'!DO555,'LP Reactivos'!DT555,'LP Reactivos'!DY555,'LP Reactivos'!EB555)," ")</f>
        <v>152320</v>
      </c>
      <c r="E555" s="429">
        <f>IFERROR(AVERAGE('LP Reactivos'!F555,'LP Reactivos'!I555,'LP Reactivos'!N555,'LP Reactivos'!S555,'LP Reactivos'!X555,'LP Reactivos'!AC555,'LP Reactivos'!AH555,'LP Reactivos'!AM555,'LP Reactivos'!AR555,'LP Reactivos'!AW555,'LP Reactivos'!BB555,'LP Reactivos'!BG555,'LP Reactivos'!BL555,'LP Reactivos'!BQ555,'LP Reactivos'!BV555,'LP Reactivos'!CA555,'LP Reactivos'!CF555,'LP Reactivos'!CK555,'LP Reactivos'!CP555,'LP Reactivos'!CU555,'LP Reactivos'!CZ555,'LP Reactivos'!DE555,'LP Reactivos'!DJ555,'LP Reactivos'!DO555,'LP Reactivos'!DT555,'LP Reactivos'!DY555,'LP Reactivos'!EB555)," ")</f>
        <v>276678.70913333335</v>
      </c>
      <c r="F555" s="345">
        <f>IFERROR(MEDIAN('LP Reactivos'!F555,'LP Reactivos'!I555,'LP Reactivos'!N555,'LP Reactivos'!S555,'LP Reactivos'!X555,'LP Reactivos'!AC555,'LP Reactivos'!AH555,'LP Reactivos'!AM555,'LP Reactivos'!AR555,'LP Reactivos'!AW555,'LP Reactivos'!BB555,'LP Reactivos'!BG555,'LP Reactivos'!BL555,'LP Reactivos'!BQ555,'LP Reactivos'!BV555,'LP Reactivos'!CA555,'LP Reactivos'!CF555,'LP Reactivos'!CK555,'LP Reactivos'!CP555,'LP Reactivos'!CU555,'LP Reactivos'!CZ555,'LP Reactivos'!DE555,'LP Reactivos'!DJ555,'LP Reactivos'!DO555,'LP Reactivos'!DT555,'LP Reactivos'!DY555,'LP Reactivos'!EB555)," ")</f>
        <v>270778.32740000001</v>
      </c>
      <c r="G555" s="345">
        <f>IFERROR(GEOMEAN('LP Reactivos'!F555,'LP Reactivos'!I555,'LP Reactivos'!N555,'LP Reactivos'!S555,'LP Reactivos'!X555,'LP Reactivos'!AC555,'LP Reactivos'!AH555,'LP Reactivos'!AM555,'LP Reactivos'!AR555,'LP Reactivos'!AW555,'LP Reactivos'!BB555,'LP Reactivos'!BG555,'LP Reactivos'!BL555,'LP Reactivos'!BQ555,'LP Reactivos'!BV555,'LP Reactivos'!CA555,'LP Reactivos'!CF555,'LP Reactivos'!CK555,'LP Reactivos'!CP555,'LP Reactivos'!CU555,'LP Reactivos'!CZ555,'LP Reactivos'!DE555,'LP Reactivos'!DJ555,'LP Reactivos'!DO555,'LP Reactivos'!DT555,'LP Reactivos'!DY555,'LP Reactivos'!EB555)," ")</f>
        <v>261211.48455662956</v>
      </c>
      <c r="H555" s="345">
        <f t="shared" si="36"/>
        <v>58963.543326474428</v>
      </c>
      <c r="I555" s="346">
        <f t="shared" si="37"/>
        <v>0.2131119648171392</v>
      </c>
      <c r="J555" s="345">
        <f t="shared" si="38"/>
        <v>261211.48455662956</v>
      </c>
      <c r="K555" s="344" t="str">
        <f t="shared" si="39"/>
        <v>Media Geométrica</v>
      </c>
      <c r="L555" s="326">
        <f>IFERROR(COUNTA('LP Reactivos'!F555,'LP Reactivos'!I555,'LP Reactivos'!N555,'LP Reactivos'!S555,'LP Reactivos'!X555,'LP Reactivos'!AC555,'LP Reactivos'!AH555,'LP Reactivos'!AM555,'LP Reactivos'!AR555,'LP Reactivos'!AW555,'LP Reactivos'!BB555,'LP Reactivos'!BG555,'LP Reactivos'!BL555,'LP Reactivos'!BQ555,'LP Reactivos'!BV555,'LP Reactivos'!CA555,'LP Reactivos'!CF555,'LP Reactivos'!CK555,'LP Reactivos'!CP555,'LP Reactivos'!CU555,'LP Reactivos'!CZ555,'LP Reactivos'!DE555,'LP Reactivos'!DJ555,'LP Reactivos'!DO555,'LP Reactivos'!DT555,'LP Reactivos'!DY555,'LP Reactivos'!EB555)," ")</f>
        <v>6</v>
      </c>
    </row>
    <row r="556" spans="2:12" x14ac:dyDescent="0.25">
      <c r="B556" s="425">
        <v>554</v>
      </c>
      <c r="C556" s="427" t="s">
        <v>2491</v>
      </c>
      <c r="D556" s="429">
        <f>IFERROR(MIN('LP Reactivos'!F556,'LP Reactivos'!I556,'LP Reactivos'!N556,'LP Reactivos'!S556,'LP Reactivos'!X556,'LP Reactivos'!AC556,'LP Reactivos'!AH556,'LP Reactivos'!AM556,'LP Reactivos'!AR556,'LP Reactivos'!AW556,'LP Reactivos'!BB556,'LP Reactivos'!BG556,'LP Reactivos'!BL556,'LP Reactivos'!BQ556,'LP Reactivos'!BV556,'LP Reactivos'!CA556,'LP Reactivos'!CF556,'LP Reactivos'!CK556,'LP Reactivos'!CP556,'LP Reactivos'!CU556,'LP Reactivos'!CZ556,'LP Reactivos'!DE556,'LP Reactivos'!DJ556,'LP Reactivos'!DO556,'LP Reactivos'!DT556,'LP Reactivos'!DY556,'LP Reactivos'!EB556)," ")</f>
        <v>84109.2</v>
      </c>
      <c r="E556" s="429">
        <f>IFERROR(AVERAGE('LP Reactivos'!F556,'LP Reactivos'!I556,'LP Reactivos'!N556,'LP Reactivos'!S556,'LP Reactivos'!X556,'LP Reactivos'!AC556,'LP Reactivos'!AH556,'LP Reactivos'!AM556,'LP Reactivos'!AR556,'LP Reactivos'!AW556,'LP Reactivos'!BB556,'LP Reactivos'!BG556,'LP Reactivos'!BL556,'LP Reactivos'!BQ556,'LP Reactivos'!BV556,'LP Reactivos'!CA556,'LP Reactivos'!CF556,'LP Reactivos'!CK556,'LP Reactivos'!CP556,'LP Reactivos'!CU556,'LP Reactivos'!CZ556,'LP Reactivos'!DE556,'LP Reactivos'!DJ556,'LP Reactivos'!DO556,'LP Reactivos'!DT556,'LP Reactivos'!DY556,'LP Reactivos'!EB556)," ")</f>
        <v>177116.40976000001</v>
      </c>
      <c r="F556" s="345">
        <f>IFERROR(MEDIAN('LP Reactivos'!F556,'LP Reactivos'!I556,'LP Reactivos'!N556,'LP Reactivos'!S556,'LP Reactivos'!X556,'LP Reactivos'!AC556,'LP Reactivos'!AH556,'LP Reactivos'!AM556,'LP Reactivos'!AR556,'LP Reactivos'!AW556,'LP Reactivos'!BB556,'LP Reactivos'!BG556,'LP Reactivos'!BL556,'LP Reactivos'!BQ556,'LP Reactivos'!BV556,'LP Reactivos'!CA556,'LP Reactivos'!CF556,'LP Reactivos'!CK556,'LP Reactivos'!CP556,'LP Reactivos'!CU556,'LP Reactivos'!CZ556,'LP Reactivos'!DE556,'LP Reactivos'!DJ556,'LP Reactivos'!DO556,'LP Reactivos'!DT556,'LP Reactivos'!DY556,'LP Reactivos'!EB556)," ")</f>
        <v>199920</v>
      </c>
      <c r="G556" s="345">
        <f>IFERROR(GEOMEAN('LP Reactivos'!F556,'LP Reactivos'!I556,'LP Reactivos'!N556,'LP Reactivos'!S556,'LP Reactivos'!X556,'LP Reactivos'!AC556,'LP Reactivos'!AH556,'LP Reactivos'!AM556,'LP Reactivos'!AR556,'LP Reactivos'!AW556,'LP Reactivos'!BB556,'LP Reactivos'!BG556,'LP Reactivos'!BL556,'LP Reactivos'!BQ556,'LP Reactivos'!BV556,'LP Reactivos'!CA556,'LP Reactivos'!CF556,'LP Reactivos'!CK556,'LP Reactivos'!CP556,'LP Reactivos'!CU556,'LP Reactivos'!CZ556,'LP Reactivos'!DE556,'LP Reactivos'!DJ556,'LP Reactivos'!DO556,'LP Reactivos'!DT556,'LP Reactivos'!DY556,'LP Reactivos'!EB556)," ")</f>
        <v>165194.52796048493</v>
      </c>
      <c r="H556" s="345">
        <f t="shared" si="36"/>
        <v>50419.330185523861</v>
      </c>
      <c r="I556" s="346">
        <f t="shared" si="37"/>
        <v>0.28466775186920351</v>
      </c>
      <c r="J556" s="345">
        <f t="shared" si="38"/>
        <v>165194.52796048493</v>
      </c>
      <c r="K556" s="344" t="str">
        <f t="shared" si="39"/>
        <v>Media Geométrica</v>
      </c>
      <c r="L556" s="326">
        <f>IFERROR(COUNTA('LP Reactivos'!F556,'LP Reactivos'!I556,'LP Reactivos'!N556,'LP Reactivos'!S556,'LP Reactivos'!X556,'LP Reactivos'!AC556,'LP Reactivos'!AH556,'LP Reactivos'!AM556,'LP Reactivos'!AR556,'LP Reactivos'!AW556,'LP Reactivos'!BB556,'LP Reactivos'!BG556,'LP Reactivos'!BL556,'LP Reactivos'!BQ556,'LP Reactivos'!BV556,'LP Reactivos'!CA556,'LP Reactivos'!CF556,'LP Reactivos'!CK556,'LP Reactivos'!CP556,'LP Reactivos'!CU556,'LP Reactivos'!CZ556,'LP Reactivos'!DE556,'LP Reactivos'!DJ556,'LP Reactivos'!DO556,'LP Reactivos'!DT556,'LP Reactivos'!DY556,'LP Reactivos'!EB556)," ")</f>
        <v>5</v>
      </c>
    </row>
    <row r="557" spans="2:12" ht="54" x14ac:dyDescent="0.25">
      <c r="B557" s="425">
        <v>555</v>
      </c>
      <c r="C557" s="413" t="s">
        <v>2494</v>
      </c>
      <c r="D557" s="429">
        <f>IFERROR(MIN('LP Reactivos'!F557,'LP Reactivos'!I557,'LP Reactivos'!N557,'LP Reactivos'!S557,'LP Reactivos'!X557,'LP Reactivos'!AC557,'LP Reactivos'!AH557,'LP Reactivos'!AM557,'LP Reactivos'!AR557,'LP Reactivos'!AW557,'LP Reactivos'!BB557,'LP Reactivos'!BG557,'LP Reactivos'!BL557,'LP Reactivos'!BQ557,'LP Reactivos'!BV557,'LP Reactivos'!CA557,'LP Reactivos'!CF557,'LP Reactivos'!CK557,'LP Reactivos'!CP557,'LP Reactivos'!CU557,'LP Reactivos'!CZ557,'LP Reactivos'!DE557,'LP Reactivos'!DJ557,'LP Reactivos'!DO557,'LP Reactivos'!DT557,'LP Reactivos'!DY557,'LP Reactivos'!EB557)," ")</f>
        <v>146638</v>
      </c>
      <c r="E557" s="429">
        <f>IFERROR(AVERAGE('LP Reactivos'!F557,'LP Reactivos'!I557,'LP Reactivos'!N557,'LP Reactivos'!S557,'LP Reactivos'!X557,'LP Reactivos'!AC557,'LP Reactivos'!AH557,'LP Reactivos'!AM557,'LP Reactivos'!AR557,'LP Reactivos'!AW557,'LP Reactivos'!BB557,'LP Reactivos'!BG557,'LP Reactivos'!BL557,'LP Reactivos'!BQ557,'LP Reactivos'!BV557,'LP Reactivos'!CA557,'LP Reactivos'!CF557,'LP Reactivos'!CK557,'LP Reactivos'!CP557,'LP Reactivos'!CU557,'LP Reactivos'!CZ557,'LP Reactivos'!DE557,'LP Reactivos'!DJ557,'LP Reactivos'!DO557,'LP Reactivos'!DT557,'LP Reactivos'!DY557,'LP Reactivos'!EB557)," ")</f>
        <v>195053.77840000001</v>
      </c>
      <c r="F557" s="345">
        <f>IFERROR(MEDIAN('LP Reactivos'!F557,'LP Reactivos'!I557,'LP Reactivos'!N557,'LP Reactivos'!S557,'LP Reactivos'!X557,'LP Reactivos'!AC557,'LP Reactivos'!AH557,'LP Reactivos'!AM557,'LP Reactivos'!AR557,'LP Reactivos'!AW557,'LP Reactivos'!BB557,'LP Reactivos'!BG557,'LP Reactivos'!BL557,'LP Reactivos'!BQ557,'LP Reactivos'!BV557,'LP Reactivos'!CA557,'LP Reactivos'!CF557,'LP Reactivos'!CK557,'LP Reactivos'!CP557,'LP Reactivos'!CU557,'LP Reactivos'!CZ557,'LP Reactivos'!DE557,'LP Reactivos'!DJ557,'LP Reactivos'!DO557,'LP Reactivos'!DT557,'LP Reactivos'!DY557,'LP Reactivos'!EB557)," ")</f>
        <v>160757.1</v>
      </c>
      <c r="G557" s="345">
        <f>IFERROR(GEOMEAN('LP Reactivos'!F557,'LP Reactivos'!I557,'LP Reactivos'!N557,'LP Reactivos'!S557,'LP Reactivos'!X557,'LP Reactivos'!AC557,'LP Reactivos'!AH557,'LP Reactivos'!AM557,'LP Reactivos'!AR557,'LP Reactivos'!AW557,'LP Reactivos'!BB557,'LP Reactivos'!BG557,'LP Reactivos'!BL557,'LP Reactivos'!BQ557,'LP Reactivos'!BV557,'LP Reactivos'!CA557,'LP Reactivos'!CF557,'LP Reactivos'!CK557,'LP Reactivos'!CP557,'LP Reactivos'!CU557,'LP Reactivos'!CZ557,'LP Reactivos'!DE557,'LP Reactivos'!DJ557,'LP Reactivos'!DO557,'LP Reactivos'!DT557,'LP Reactivos'!DY557,'LP Reactivos'!EB557)," ")</f>
        <v>188592.28219317601</v>
      </c>
      <c r="H557" s="345">
        <f t="shared" si="36"/>
        <v>22906.347059755593</v>
      </c>
      <c r="I557" s="346">
        <f t="shared" si="37"/>
        <v>0.11743605916098261</v>
      </c>
      <c r="J557" s="345">
        <f t="shared" si="38"/>
        <v>195053.77840000001</v>
      </c>
      <c r="K557" s="344" t="str">
        <f t="shared" si="39"/>
        <v>Promedio</v>
      </c>
      <c r="L557" s="326">
        <f>IFERROR(COUNTA('LP Reactivos'!F557,'LP Reactivos'!I557,'LP Reactivos'!N557,'LP Reactivos'!S557,'LP Reactivos'!X557,'LP Reactivos'!AC557,'LP Reactivos'!AH557,'LP Reactivos'!AM557,'LP Reactivos'!AR557,'LP Reactivos'!AW557,'LP Reactivos'!BB557,'LP Reactivos'!BG557,'LP Reactivos'!BL557,'LP Reactivos'!BQ557,'LP Reactivos'!BV557,'LP Reactivos'!CA557,'LP Reactivos'!CF557,'LP Reactivos'!CK557,'LP Reactivos'!CP557,'LP Reactivos'!CU557,'LP Reactivos'!CZ557,'LP Reactivos'!DE557,'LP Reactivos'!DJ557,'LP Reactivos'!DO557,'LP Reactivos'!DT557,'LP Reactivos'!DY557,'LP Reactivos'!EB557)," ")</f>
        <v>5</v>
      </c>
    </row>
    <row r="558" spans="2:12" x14ac:dyDescent="0.25">
      <c r="B558" s="425">
        <v>556</v>
      </c>
      <c r="C558" s="427" t="s">
        <v>2497</v>
      </c>
      <c r="D558" s="429">
        <f>IFERROR(MIN('LP Reactivos'!F558,'LP Reactivos'!I558,'LP Reactivos'!N558,'LP Reactivos'!S558,'LP Reactivos'!X558,'LP Reactivos'!AC558,'LP Reactivos'!AH558,'LP Reactivos'!AM558,'LP Reactivos'!AR558,'LP Reactivos'!AW558,'LP Reactivos'!BB558,'LP Reactivos'!BG558,'LP Reactivos'!BL558,'LP Reactivos'!BQ558,'LP Reactivos'!BV558,'LP Reactivos'!CA558,'LP Reactivos'!CF558,'LP Reactivos'!CK558,'LP Reactivos'!CP558,'LP Reactivos'!CU558,'LP Reactivos'!CZ558,'LP Reactivos'!DE558,'LP Reactivos'!DJ558,'LP Reactivos'!DO558,'LP Reactivos'!DT558,'LP Reactivos'!DY558,'LP Reactivos'!EB558)," ")</f>
        <v>97675.199999999997</v>
      </c>
      <c r="E558" s="429">
        <f>IFERROR(AVERAGE('LP Reactivos'!F558,'LP Reactivos'!I558,'LP Reactivos'!N558,'LP Reactivos'!S558,'LP Reactivos'!X558,'LP Reactivos'!AC558,'LP Reactivos'!AH558,'LP Reactivos'!AM558,'LP Reactivos'!AR558,'LP Reactivos'!AW558,'LP Reactivos'!BB558,'LP Reactivos'!BG558,'LP Reactivos'!BL558,'LP Reactivos'!BQ558,'LP Reactivos'!BV558,'LP Reactivos'!CA558,'LP Reactivos'!CF558,'LP Reactivos'!CK558,'LP Reactivos'!CP558,'LP Reactivos'!CU558,'LP Reactivos'!CZ558,'LP Reactivos'!DE558,'LP Reactivos'!DJ558,'LP Reactivos'!DO558,'LP Reactivos'!DT558,'LP Reactivos'!DY558,'LP Reactivos'!EB558)," ")</f>
        <v>177147.32533333334</v>
      </c>
      <c r="F558" s="345">
        <f>IFERROR(MEDIAN('LP Reactivos'!F558,'LP Reactivos'!I558,'LP Reactivos'!N558,'LP Reactivos'!S558,'LP Reactivos'!X558,'LP Reactivos'!AC558,'LP Reactivos'!AH558,'LP Reactivos'!AM558,'LP Reactivos'!AR558,'LP Reactivos'!AW558,'LP Reactivos'!BB558,'LP Reactivos'!BG558,'LP Reactivos'!BL558,'LP Reactivos'!BQ558,'LP Reactivos'!BV558,'LP Reactivos'!CA558,'LP Reactivos'!CF558,'LP Reactivos'!CK558,'LP Reactivos'!CP558,'LP Reactivos'!CU558,'LP Reactivos'!CZ558,'LP Reactivos'!DE558,'LP Reactivos'!DJ558,'LP Reactivos'!DO558,'LP Reactivos'!DT558,'LP Reactivos'!DY558,'LP Reactivos'!EB558)," ")</f>
        <v>138265.5</v>
      </c>
      <c r="G558" s="345">
        <f>IFERROR(GEOMEAN('LP Reactivos'!F558,'LP Reactivos'!I558,'LP Reactivos'!N558,'LP Reactivos'!S558,'LP Reactivos'!X558,'LP Reactivos'!AC558,'LP Reactivos'!AH558,'LP Reactivos'!AM558,'LP Reactivos'!AR558,'LP Reactivos'!AW558,'LP Reactivos'!BB558,'LP Reactivos'!BG558,'LP Reactivos'!BL558,'LP Reactivos'!BQ558,'LP Reactivos'!BV558,'LP Reactivos'!CA558,'LP Reactivos'!CF558,'LP Reactivos'!CK558,'LP Reactivos'!CP558,'LP Reactivos'!CU558,'LP Reactivos'!CZ558,'LP Reactivos'!DE558,'LP Reactivos'!DJ558,'LP Reactivos'!DO558,'LP Reactivos'!DT558,'LP Reactivos'!DY558,'LP Reactivos'!EB558)," ")</f>
        <v>157761.23780932545</v>
      </c>
      <c r="H558" s="345">
        <f t="shared" si="36"/>
        <v>33962.508277732901</v>
      </c>
      <c r="I558" s="346">
        <f t="shared" si="37"/>
        <v>0.1917190011975996</v>
      </c>
      <c r="J558" s="345">
        <f t="shared" si="38"/>
        <v>177147.32533333334</v>
      </c>
      <c r="K558" s="344" t="str">
        <f t="shared" si="39"/>
        <v>Promedio</v>
      </c>
      <c r="L558" s="326">
        <f>IFERROR(COUNTA('LP Reactivos'!F558,'LP Reactivos'!I558,'LP Reactivos'!N558,'LP Reactivos'!S558,'LP Reactivos'!X558,'LP Reactivos'!AC558,'LP Reactivos'!AH558,'LP Reactivos'!AM558,'LP Reactivos'!AR558,'LP Reactivos'!AW558,'LP Reactivos'!BB558,'LP Reactivos'!BG558,'LP Reactivos'!BL558,'LP Reactivos'!BQ558,'LP Reactivos'!BV558,'LP Reactivos'!CA558,'LP Reactivos'!CF558,'LP Reactivos'!CK558,'LP Reactivos'!CP558,'LP Reactivos'!CU558,'LP Reactivos'!CZ558,'LP Reactivos'!DE558,'LP Reactivos'!DJ558,'LP Reactivos'!DO558,'LP Reactivos'!DT558,'LP Reactivos'!DY558,'LP Reactivos'!EB558)," ")</f>
        <v>6</v>
      </c>
    </row>
    <row r="559" spans="2:12" x14ac:dyDescent="0.25">
      <c r="B559" s="425">
        <v>557</v>
      </c>
      <c r="C559" s="427" t="s">
        <v>2501</v>
      </c>
      <c r="D559" s="429">
        <f>IFERROR(MIN('LP Reactivos'!F559,'LP Reactivos'!I559,'LP Reactivos'!N559,'LP Reactivos'!S559,'LP Reactivos'!X559,'LP Reactivos'!AC559,'LP Reactivos'!AH559,'LP Reactivos'!AM559,'LP Reactivos'!AR559,'LP Reactivos'!AW559,'LP Reactivos'!BB559,'LP Reactivos'!BG559,'LP Reactivos'!BL559,'LP Reactivos'!BQ559,'LP Reactivos'!BV559,'LP Reactivos'!CA559,'LP Reactivos'!CF559,'LP Reactivos'!CK559,'LP Reactivos'!CP559,'LP Reactivos'!CU559,'LP Reactivos'!CZ559,'LP Reactivos'!DE559,'LP Reactivos'!DJ559,'LP Reactivos'!DO559,'LP Reactivos'!DT559,'LP Reactivos'!DY559,'LP Reactivos'!EB559)," ")</f>
        <v>105577.75200000001</v>
      </c>
      <c r="E559" s="429">
        <f>IFERROR(AVERAGE('LP Reactivos'!F559,'LP Reactivos'!I559,'LP Reactivos'!N559,'LP Reactivos'!S559,'LP Reactivos'!X559,'LP Reactivos'!AC559,'LP Reactivos'!AH559,'LP Reactivos'!AM559,'LP Reactivos'!AR559,'LP Reactivos'!AW559,'LP Reactivos'!BB559,'LP Reactivos'!BG559,'LP Reactivos'!BL559,'LP Reactivos'!BQ559,'LP Reactivos'!BV559,'LP Reactivos'!CA559,'LP Reactivos'!CF559,'LP Reactivos'!CK559,'LP Reactivos'!CP559,'LP Reactivos'!CU559,'LP Reactivos'!CZ559,'LP Reactivos'!DE559,'LP Reactivos'!DJ559,'LP Reactivos'!DO559,'LP Reactivos'!DT559,'LP Reactivos'!DY559,'LP Reactivos'!EB559)," ")</f>
        <v>222054.14199999999</v>
      </c>
      <c r="F559" s="345">
        <f>IFERROR(MEDIAN('LP Reactivos'!F559,'LP Reactivos'!I559,'LP Reactivos'!N559,'LP Reactivos'!S559,'LP Reactivos'!X559,'LP Reactivos'!AC559,'LP Reactivos'!AH559,'LP Reactivos'!AM559,'LP Reactivos'!AR559,'LP Reactivos'!AW559,'LP Reactivos'!BB559,'LP Reactivos'!BG559,'LP Reactivos'!BL559,'LP Reactivos'!BQ559,'LP Reactivos'!BV559,'LP Reactivos'!CA559,'LP Reactivos'!CF559,'LP Reactivos'!CK559,'LP Reactivos'!CP559,'LP Reactivos'!CU559,'LP Reactivos'!CZ559,'LP Reactivos'!DE559,'LP Reactivos'!DJ559,'LP Reactivos'!DO559,'LP Reactivos'!DT559,'LP Reactivos'!DY559,'LP Reactivos'!EB559)," ")</f>
        <v>182593.55</v>
      </c>
      <c r="G559" s="345">
        <f>IFERROR(GEOMEAN('LP Reactivos'!F559,'LP Reactivos'!I559,'LP Reactivos'!N559,'LP Reactivos'!S559,'LP Reactivos'!X559,'LP Reactivos'!AC559,'LP Reactivos'!AH559,'LP Reactivos'!AM559,'LP Reactivos'!AR559,'LP Reactivos'!AW559,'LP Reactivos'!BB559,'LP Reactivos'!BG559,'LP Reactivos'!BL559,'LP Reactivos'!BQ559,'LP Reactivos'!BV559,'LP Reactivos'!CA559,'LP Reactivos'!CF559,'LP Reactivos'!CK559,'LP Reactivos'!CP559,'LP Reactivos'!CU559,'LP Reactivos'!CZ559,'LP Reactivos'!DE559,'LP Reactivos'!DJ559,'LP Reactivos'!DO559,'LP Reactivos'!DT559,'LP Reactivos'!DY559,'LP Reactivos'!EB559)," ")</f>
        <v>201260.47977752559</v>
      </c>
      <c r="H559" s="345">
        <f t="shared" si="36"/>
        <v>50819.399134655359</v>
      </c>
      <c r="I559" s="346">
        <f t="shared" si="37"/>
        <v>0.22886039718482423</v>
      </c>
      <c r="J559" s="345">
        <f t="shared" si="38"/>
        <v>201260.47977752559</v>
      </c>
      <c r="K559" s="344" t="str">
        <f t="shared" si="39"/>
        <v>Media Geométrica</v>
      </c>
      <c r="L559" s="326">
        <f>IFERROR(COUNTA('LP Reactivos'!F559,'LP Reactivos'!I559,'LP Reactivos'!N559,'LP Reactivos'!S559,'LP Reactivos'!X559,'LP Reactivos'!AC559,'LP Reactivos'!AH559,'LP Reactivos'!AM559,'LP Reactivos'!AR559,'LP Reactivos'!AW559,'LP Reactivos'!BB559,'LP Reactivos'!BG559,'LP Reactivos'!BL559,'LP Reactivos'!BQ559,'LP Reactivos'!BV559,'LP Reactivos'!CA559,'LP Reactivos'!CF559,'LP Reactivos'!CK559,'LP Reactivos'!CP559,'LP Reactivos'!CU559,'LP Reactivos'!CZ559,'LP Reactivos'!DE559,'LP Reactivos'!DJ559,'LP Reactivos'!DO559,'LP Reactivos'!DT559,'LP Reactivos'!DY559,'LP Reactivos'!EB559)," ")</f>
        <v>6</v>
      </c>
    </row>
    <row r="560" spans="2:12" ht="81" x14ac:dyDescent="0.25">
      <c r="B560" s="425">
        <v>558</v>
      </c>
      <c r="C560" s="426" t="s">
        <v>2505</v>
      </c>
      <c r="D560" s="429">
        <f>IFERROR(MIN('LP Reactivos'!F560,'LP Reactivos'!I560,'LP Reactivos'!N560,'LP Reactivos'!S560,'LP Reactivos'!X560,'LP Reactivos'!AC560,'LP Reactivos'!AH560,'LP Reactivos'!AM560,'LP Reactivos'!AR560,'LP Reactivos'!AW560,'LP Reactivos'!BB560,'LP Reactivos'!BG560,'LP Reactivos'!BL560,'LP Reactivos'!BQ560,'LP Reactivos'!BV560,'LP Reactivos'!CA560,'LP Reactivos'!CF560,'LP Reactivos'!CK560,'LP Reactivos'!CP560,'LP Reactivos'!CU560,'LP Reactivos'!CZ560,'LP Reactivos'!DE560,'LP Reactivos'!DJ560,'LP Reactivos'!DO560,'LP Reactivos'!DT560,'LP Reactivos'!DY560,'LP Reactivos'!EB560)," ")</f>
        <v>3358378.0160000003</v>
      </c>
      <c r="E560" s="429">
        <f>IFERROR(AVERAGE('LP Reactivos'!F560,'LP Reactivos'!I560,'LP Reactivos'!N560,'LP Reactivos'!S560,'LP Reactivos'!X560,'LP Reactivos'!AC560,'LP Reactivos'!AH560,'LP Reactivos'!AM560,'LP Reactivos'!AR560,'LP Reactivos'!AW560,'LP Reactivos'!BB560,'LP Reactivos'!BG560,'LP Reactivos'!BL560,'LP Reactivos'!BQ560,'LP Reactivos'!BV560,'LP Reactivos'!CA560,'LP Reactivos'!CF560,'LP Reactivos'!CK560,'LP Reactivos'!CP560,'LP Reactivos'!CU560,'LP Reactivos'!CZ560,'LP Reactivos'!DE560,'LP Reactivos'!DJ560,'LP Reactivos'!DO560,'LP Reactivos'!DT560,'LP Reactivos'!DY560,'LP Reactivos'!EB560)," ")</f>
        <v>3793727.4672499998</v>
      </c>
      <c r="F560" s="345">
        <f>IFERROR(MEDIAN('LP Reactivos'!F560,'LP Reactivos'!I560,'LP Reactivos'!N560,'LP Reactivos'!S560,'LP Reactivos'!X560,'LP Reactivos'!AC560,'LP Reactivos'!AH560,'LP Reactivos'!AM560,'LP Reactivos'!AR560,'LP Reactivos'!AW560,'LP Reactivos'!BB560,'LP Reactivos'!BG560,'LP Reactivos'!BL560,'LP Reactivos'!BQ560,'LP Reactivos'!BV560,'LP Reactivos'!CA560,'LP Reactivos'!CF560,'LP Reactivos'!CK560,'LP Reactivos'!CP560,'LP Reactivos'!CU560,'LP Reactivos'!CZ560,'LP Reactivos'!DE560,'LP Reactivos'!DJ560,'LP Reactivos'!DO560,'LP Reactivos'!DT560,'LP Reactivos'!DY560,'LP Reactivos'!EB560)," ")</f>
        <v>3793727.4672499998</v>
      </c>
      <c r="G560" s="345">
        <f>IFERROR(GEOMEAN('LP Reactivos'!F560,'LP Reactivos'!I560,'LP Reactivos'!N560,'LP Reactivos'!S560,'LP Reactivos'!X560,'LP Reactivos'!AC560,'LP Reactivos'!AH560,'LP Reactivos'!AM560,'LP Reactivos'!AR560,'LP Reactivos'!AW560,'LP Reactivos'!BB560,'LP Reactivos'!BG560,'LP Reactivos'!BL560,'LP Reactivos'!BQ560,'LP Reactivos'!BV560,'LP Reactivos'!CA560,'LP Reactivos'!CF560,'LP Reactivos'!CK560,'LP Reactivos'!CP560,'LP Reactivos'!CU560,'LP Reactivos'!CZ560,'LP Reactivos'!DE560,'LP Reactivos'!DJ560,'LP Reactivos'!DO560,'LP Reactivos'!DT560,'LP Reactivos'!DY560,'LP Reactivos'!EB560)," ")</f>
        <v>3768665.407151904</v>
      </c>
      <c r="H560" s="345">
        <f t="shared" si="36"/>
        <v>213824.35284954248</v>
      </c>
      <c r="I560" s="346">
        <f t="shared" si="37"/>
        <v>5.6362602399728956E-2</v>
      </c>
      <c r="J560" s="345">
        <f t="shared" si="38"/>
        <v>3793727.4672499998</v>
      </c>
      <c r="K560" s="344" t="str">
        <f t="shared" si="39"/>
        <v>Promedio</v>
      </c>
      <c r="L560" s="326">
        <f>IFERROR(COUNTA('LP Reactivos'!F560,'LP Reactivos'!I560,'LP Reactivos'!N560,'LP Reactivos'!S560,'LP Reactivos'!X560,'LP Reactivos'!AC560,'LP Reactivos'!AH560,'LP Reactivos'!AM560,'LP Reactivos'!AR560,'LP Reactivos'!AW560,'LP Reactivos'!BB560,'LP Reactivos'!BG560,'LP Reactivos'!BL560,'LP Reactivos'!BQ560,'LP Reactivos'!BV560,'LP Reactivos'!CA560,'LP Reactivos'!CF560,'LP Reactivos'!CK560,'LP Reactivos'!CP560,'LP Reactivos'!CU560,'LP Reactivos'!CZ560,'LP Reactivos'!DE560,'LP Reactivos'!DJ560,'LP Reactivos'!DO560,'LP Reactivos'!DT560,'LP Reactivos'!DY560,'LP Reactivos'!EB560)," ")</f>
        <v>2</v>
      </c>
    </row>
    <row r="561" spans="2:12" ht="40.5" x14ac:dyDescent="0.25">
      <c r="B561" s="425">
        <v>559</v>
      </c>
      <c r="C561" s="427" t="s">
        <v>2506</v>
      </c>
      <c r="D561" s="429">
        <f>IFERROR(MIN('LP Reactivos'!F561,'LP Reactivos'!I561,'LP Reactivos'!N561,'LP Reactivos'!S561,'LP Reactivos'!X561,'LP Reactivos'!AC561,'LP Reactivos'!AH561,'LP Reactivos'!AM561,'LP Reactivos'!AR561,'LP Reactivos'!AW561,'LP Reactivos'!BB561,'LP Reactivos'!BG561,'LP Reactivos'!BL561,'LP Reactivos'!BQ561,'LP Reactivos'!BV561,'LP Reactivos'!CA561,'LP Reactivos'!CF561,'LP Reactivos'!CK561,'LP Reactivos'!CP561,'LP Reactivos'!CU561,'LP Reactivos'!CZ561,'LP Reactivos'!DE561,'LP Reactivos'!DJ561,'LP Reactivos'!DO561,'LP Reactivos'!DT561,'LP Reactivos'!DY561,'LP Reactivos'!EB561)," ")</f>
        <v>2737000</v>
      </c>
      <c r="E561" s="429">
        <f>IFERROR(AVERAGE('LP Reactivos'!F561,'LP Reactivos'!I561,'LP Reactivos'!N561,'LP Reactivos'!S561,'LP Reactivos'!X561,'LP Reactivos'!AC561,'LP Reactivos'!AH561,'LP Reactivos'!AM561,'LP Reactivos'!AR561,'LP Reactivos'!AW561,'LP Reactivos'!BB561,'LP Reactivos'!BG561,'LP Reactivos'!BL561,'LP Reactivos'!BQ561,'LP Reactivos'!BV561,'LP Reactivos'!CA561,'LP Reactivos'!CF561,'LP Reactivos'!CK561,'LP Reactivos'!CP561,'LP Reactivos'!CU561,'LP Reactivos'!CZ561,'LP Reactivos'!DE561,'LP Reactivos'!DJ561,'LP Reactivos'!DO561,'LP Reactivos'!DT561,'LP Reactivos'!DY561,'LP Reactivos'!EB561)," ")</f>
        <v>2737000</v>
      </c>
      <c r="F561" s="345">
        <f>IFERROR(MEDIAN('LP Reactivos'!F561,'LP Reactivos'!I561,'LP Reactivos'!N561,'LP Reactivos'!S561,'LP Reactivos'!X561,'LP Reactivos'!AC561,'LP Reactivos'!AH561,'LP Reactivos'!AM561,'LP Reactivos'!AR561,'LP Reactivos'!AW561,'LP Reactivos'!BB561,'LP Reactivos'!BG561,'LP Reactivos'!BL561,'LP Reactivos'!BQ561,'LP Reactivos'!BV561,'LP Reactivos'!CA561,'LP Reactivos'!CF561,'LP Reactivos'!CK561,'LP Reactivos'!CP561,'LP Reactivos'!CU561,'LP Reactivos'!CZ561,'LP Reactivos'!DE561,'LP Reactivos'!DJ561,'LP Reactivos'!DO561,'LP Reactivos'!DT561,'LP Reactivos'!DY561,'LP Reactivos'!EB561)," ")</f>
        <v>2737000</v>
      </c>
      <c r="G561" s="345">
        <f>IFERROR(GEOMEAN('LP Reactivos'!F561,'LP Reactivos'!I561,'LP Reactivos'!N561,'LP Reactivos'!S561,'LP Reactivos'!X561,'LP Reactivos'!AC561,'LP Reactivos'!AH561,'LP Reactivos'!AM561,'LP Reactivos'!AR561,'LP Reactivos'!AW561,'LP Reactivos'!BB561,'LP Reactivos'!BG561,'LP Reactivos'!BL561,'LP Reactivos'!BQ561,'LP Reactivos'!BV561,'LP Reactivos'!CA561,'LP Reactivos'!CF561,'LP Reactivos'!CK561,'LP Reactivos'!CP561,'LP Reactivos'!CU561,'LP Reactivos'!CZ561,'LP Reactivos'!DE561,'LP Reactivos'!DJ561,'LP Reactivos'!DO561,'LP Reactivos'!DT561,'LP Reactivos'!DY561,'LP Reactivos'!EB561)," ")</f>
        <v>2737000</v>
      </c>
      <c r="H561" s="345">
        <f t="shared" si="36"/>
        <v>0</v>
      </c>
      <c r="I561" s="346">
        <f t="shared" si="37"/>
        <v>0</v>
      </c>
      <c r="J561" s="345">
        <f t="shared" si="38"/>
        <v>2737000</v>
      </c>
      <c r="K561" s="344" t="str">
        <f t="shared" si="39"/>
        <v>Menor Valor</v>
      </c>
      <c r="L561" s="326">
        <f>IFERROR(COUNTA('LP Reactivos'!F561,'LP Reactivos'!I561,'LP Reactivos'!N561,'LP Reactivos'!S561,'LP Reactivos'!X561,'LP Reactivos'!AC561,'LP Reactivos'!AH561,'LP Reactivos'!AM561,'LP Reactivos'!AR561,'LP Reactivos'!AW561,'LP Reactivos'!BB561,'LP Reactivos'!BG561,'LP Reactivos'!BL561,'LP Reactivos'!BQ561,'LP Reactivos'!BV561,'LP Reactivos'!CA561,'LP Reactivos'!CF561,'LP Reactivos'!CK561,'LP Reactivos'!CP561,'LP Reactivos'!CU561,'LP Reactivos'!CZ561,'LP Reactivos'!DE561,'LP Reactivos'!DJ561,'LP Reactivos'!DO561,'LP Reactivos'!DT561,'LP Reactivos'!DY561,'LP Reactivos'!EB561)," ")</f>
        <v>1</v>
      </c>
    </row>
    <row r="562" spans="2:12" ht="40.5" x14ac:dyDescent="0.25">
      <c r="B562" s="425">
        <v>560</v>
      </c>
      <c r="C562" s="426" t="s">
        <v>2509</v>
      </c>
      <c r="D562" s="429">
        <f>IFERROR(MIN('LP Reactivos'!F562,'LP Reactivos'!I562,'LP Reactivos'!N562,'LP Reactivos'!S562,'LP Reactivos'!X562,'LP Reactivos'!AC562,'LP Reactivos'!AH562,'LP Reactivos'!AM562,'LP Reactivos'!AR562,'LP Reactivos'!AW562,'LP Reactivos'!BB562,'LP Reactivos'!BG562,'LP Reactivos'!BL562,'LP Reactivos'!BQ562,'LP Reactivos'!BV562,'LP Reactivos'!CA562,'LP Reactivos'!CF562,'LP Reactivos'!CK562,'LP Reactivos'!CP562,'LP Reactivos'!CU562,'LP Reactivos'!CZ562,'LP Reactivos'!DE562,'LP Reactivos'!DJ562,'LP Reactivos'!DO562,'LP Reactivos'!DT562,'LP Reactivos'!DY562,'LP Reactivos'!EB562)," ")</f>
        <v>2737000</v>
      </c>
      <c r="E562" s="429">
        <f>IFERROR(AVERAGE('LP Reactivos'!F562,'LP Reactivos'!I562,'LP Reactivos'!N562,'LP Reactivos'!S562,'LP Reactivos'!X562,'LP Reactivos'!AC562,'LP Reactivos'!AH562,'LP Reactivos'!AM562,'LP Reactivos'!AR562,'LP Reactivos'!AW562,'LP Reactivos'!BB562,'LP Reactivos'!BG562,'LP Reactivos'!BL562,'LP Reactivos'!BQ562,'LP Reactivos'!BV562,'LP Reactivos'!CA562,'LP Reactivos'!CF562,'LP Reactivos'!CK562,'LP Reactivos'!CP562,'LP Reactivos'!CU562,'LP Reactivos'!CZ562,'LP Reactivos'!DE562,'LP Reactivos'!DJ562,'LP Reactivos'!DO562,'LP Reactivos'!DT562,'LP Reactivos'!DY562,'LP Reactivos'!EB562)," ")</f>
        <v>2737000</v>
      </c>
      <c r="F562" s="345">
        <f>IFERROR(MEDIAN('LP Reactivos'!F562,'LP Reactivos'!I562,'LP Reactivos'!N562,'LP Reactivos'!S562,'LP Reactivos'!X562,'LP Reactivos'!AC562,'LP Reactivos'!AH562,'LP Reactivos'!AM562,'LP Reactivos'!AR562,'LP Reactivos'!AW562,'LP Reactivos'!BB562,'LP Reactivos'!BG562,'LP Reactivos'!BL562,'LP Reactivos'!BQ562,'LP Reactivos'!BV562,'LP Reactivos'!CA562,'LP Reactivos'!CF562,'LP Reactivos'!CK562,'LP Reactivos'!CP562,'LP Reactivos'!CU562,'LP Reactivos'!CZ562,'LP Reactivos'!DE562,'LP Reactivos'!DJ562,'LP Reactivos'!DO562,'LP Reactivos'!DT562,'LP Reactivos'!DY562,'LP Reactivos'!EB562)," ")</f>
        <v>2737000</v>
      </c>
      <c r="G562" s="345">
        <f>IFERROR(GEOMEAN('LP Reactivos'!F562,'LP Reactivos'!I562,'LP Reactivos'!N562,'LP Reactivos'!S562,'LP Reactivos'!X562,'LP Reactivos'!AC562,'LP Reactivos'!AH562,'LP Reactivos'!AM562,'LP Reactivos'!AR562,'LP Reactivos'!AW562,'LP Reactivos'!BB562,'LP Reactivos'!BG562,'LP Reactivos'!BL562,'LP Reactivos'!BQ562,'LP Reactivos'!BV562,'LP Reactivos'!CA562,'LP Reactivos'!CF562,'LP Reactivos'!CK562,'LP Reactivos'!CP562,'LP Reactivos'!CU562,'LP Reactivos'!CZ562,'LP Reactivos'!DE562,'LP Reactivos'!DJ562,'LP Reactivos'!DO562,'LP Reactivos'!DT562,'LP Reactivos'!DY562,'LP Reactivos'!EB562)," ")</f>
        <v>2737000</v>
      </c>
      <c r="H562" s="345">
        <f t="shared" si="36"/>
        <v>0</v>
      </c>
      <c r="I562" s="346">
        <f t="shared" si="37"/>
        <v>0</v>
      </c>
      <c r="J562" s="345">
        <f t="shared" si="38"/>
        <v>2737000</v>
      </c>
      <c r="K562" s="344" t="str">
        <f t="shared" si="39"/>
        <v>Menor Valor</v>
      </c>
      <c r="L562" s="326">
        <f>IFERROR(COUNTA('LP Reactivos'!F562,'LP Reactivos'!I562,'LP Reactivos'!N562,'LP Reactivos'!S562,'LP Reactivos'!X562,'LP Reactivos'!AC562,'LP Reactivos'!AH562,'LP Reactivos'!AM562,'LP Reactivos'!AR562,'LP Reactivos'!AW562,'LP Reactivos'!BB562,'LP Reactivos'!BG562,'LP Reactivos'!BL562,'LP Reactivos'!BQ562,'LP Reactivos'!BV562,'LP Reactivos'!CA562,'LP Reactivos'!CF562,'LP Reactivos'!CK562,'LP Reactivos'!CP562,'LP Reactivos'!CU562,'LP Reactivos'!CZ562,'LP Reactivos'!DE562,'LP Reactivos'!DJ562,'LP Reactivos'!DO562,'LP Reactivos'!DT562,'LP Reactivos'!DY562,'LP Reactivos'!EB562)," ")</f>
        <v>1</v>
      </c>
    </row>
    <row r="563" spans="2:12" ht="67.5" x14ac:dyDescent="0.25">
      <c r="B563" s="425">
        <v>561</v>
      </c>
      <c r="C563" s="427" t="s">
        <v>2510</v>
      </c>
      <c r="D563" s="429">
        <f>IFERROR(MIN('LP Reactivos'!F563,'LP Reactivos'!I563,'LP Reactivos'!N563,'LP Reactivos'!S563,'LP Reactivos'!X563,'LP Reactivos'!AC563,'LP Reactivos'!AH563,'LP Reactivos'!AM563,'LP Reactivos'!AR563,'LP Reactivos'!AW563,'LP Reactivos'!BB563,'LP Reactivos'!BG563,'LP Reactivos'!BL563,'LP Reactivos'!BQ563,'LP Reactivos'!BV563,'LP Reactivos'!CA563,'LP Reactivos'!CF563,'LP Reactivos'!CK563,'LP Reactivos'!CP563,'LP Reactivos'!CU563,'LP Reactivos'!CZ563,'LP Reactivos'!DE563,'LP Reactivos'!DJ563,'LP Reactivos'!DO563,'LP Reactivos'!DT563,'LP Reactivos'!DY563,'LP Reactivos'!EB563)," ")</f>
        <v>2354269.8000000003</v>
      </c>
      <c r="E563" s="429">
        <f>IFERROR(AVERAGE('LP Reactivos'!F563,'LP Reactivos'!I563,'LP Reactivos'!N563,'LP Reactivos'!S563,'LP Reactivos'!X563,'LP Reactivos'!AC563,'LP Reactivos'!AH563,'LP Reactivos'!AM563,'LP Reactivos'!AR563,'LP Reactivos'!AW563,'LP Reactivos'!BB563,'LP Reactivos'!BG563,'LP Reactivos'!BL563,'LP Reactivos'!BQ563,'LP Reactivos'!BV563,'LP Reactivos'!CA563,'LP Reactivos'!CF563,'LP Reactivos'!CK563,'LP Reactivos'!CP563,'LP Reactivos'!CU563,'LP Reactivos'!CZ563,'LP Reactivos'!DE563,'LP Reactivos'!DJ563,'LP Reactivos'!DO563,'LP Reactivos'!DT563,'LP Reactivos'!DY563,'LP Reactivos'!EB563)," ")</f>
        <v>2734023.9333333336</v>
      </c>
      <c r="F563" s="345">
        <f>IFERROR(MEDIAN('LP Reactivos'!F563,'LP Reactivos'!I563,'LP Reactivos'!N563,'LP Reactivos'!S563,'LP Reactivos'!X563,'LP Reactivos'!AC563,'LP Reactivos'!AH563,'LP Reactivos'!AM563,'LP Reactivos'!AR563,'LP Reactivos'!AW563,'LP Reactivos'!BB563,'LP Reactivos'!BG563,'LP Reactivos'!BL563,'LP Reactivos'!BQ563,'LP Reactivos'!BV563,'LP Reactivos'!CA563,'LP Reactivos'!CF563,'LP Reactivos'!CK563,'LP Reactivos'!CP563,'LP Reactivos'!CU563,'LP Reactivos'!CZ563,'LP Reactivos'!DE563,'LP Reactivos'!DJ563,'LP Reactivos'!DO563,'LP Reactivos'!DT563,'LP Reactivos'!DY563,'LP Reactivos'!EB563)," ")</f>
        <v>2872802</v>
      </c>
      <c r="G563" s="345">
        <f>IFERROR(GEOMEAN('LP Reactivos'!F563,'LP Reactivos'!I563,'LP Reactivos'!N563,'LP Reactivos'!S563,'LP Reactivos'!X563,'LP Reactivos'!AC563,'LP Reactivos'!AH563,'LP Reactivos'!AM563,'LP Reactivos'!AR563,'LP Reactivos'!AW563,'LP Reactivos'!BB563,'LP Reactivos'!BG563,'LP Reactivos'!BL563,'LP Reactivos'!BQ563,'LP Reactivos'!BV563,'LP Reactivos'!CA563,'LP Reactivos'!CF563,'LP Reactivos'!CK563,'LP Reactivos'!CP563,'LP Reactivos'!CU563,'LP Reactivos'!CZ563,'LP Reactivos'!DE563,'LP Reactivos'!DJ563,'LP Reactivos'!DO563,'LP Reactivos'!DT563,'LP Reactivos'!DY563,'LP Reactivos'!EB563)," ")</f>
        <v>2719879.3016650211</v>
      </c>
      <c r="H563" s="345">
        <f t="shared" si="36"/>
        <v>221661.13890109316</v>
      </c>
      <c r="I563" s="346">
        <f t="shared" si="37"/>
        <v>8.1075054317773634E-2</v>
      </c>
      <c r="J563" s="345">
        <f t="shared" si="38"/>
        <v>2872802</v>
      </c>
      <c r="K563" s="344" t="str">
        <f t="shared" si="39"/>
        <v>Mediana</v>
      </c>
      <c r="L563" s="326">
        <f>IFERROR(COUNTA('LP Reactivos'!F563,'LP Reactivos'!I563,'LP Reactivos'!N563,'LP Reactivos'!S563,'LP Reactivos'!X563,'LP Reactivos'!AC563,'LP Reactivos'!AH563,'LP Reactivos'!AM563,'LP Reactivos'!AR563,'LP Reactivos'!AW563,'LP Reactivos'!BB563,'LP Reactivos'!BG563,'LP Reactivos'!BL563,'LP Reactivos'!BQ563,'LP Reactivos'!BV563,'LP Reactivos'!CA563,'LP Reactivos'!CF563,'LP Reactivos'!CK563,'LP Reactivos'!CP563,'LP Reactivos'!CU563,'LP Reactivos'!CZ563,'LP Reactivos'!DE563,'LP Reactivos'!DJ563,'LP Reactivos'!DO563,'LP Reactivos'!DT563,'LP Reactivos'!DY563,'LP Reactivos'!EB563)," ")</f>
        <v>3</v>
      </c>
    </row>
    <row r="564" spans="2:12" x14ac:dyDescent="0.25">
      <c r="B564" s="425">
        <v>562</v>
      </c>
      <c r="C564" s="427" t="s">
        <v>2512</v>
      </c>
      <c r="D564" s="429">
        <f>IFERROR(MIN('LP Reactivos'!F564,'LP Reactivos'!I564,'LP Reactivos'!N564,'LP Reactivos'!S564,'LP Reactivos'!X564,'LP Reactivos'!AC564,'LP Reactivos'!AH564,'LP Reactivos'!AM564,'LP Reactivos'!AR564,'LP Reactivos'!AW564,'LP Reactivos'!BB564,'LP Reactivos'!BG564,'LP Reactivos'!BL564,'LP Reactivos'!BQ564,'LP Reactivos'!BV564,'LP Reactivos'!CA564,'LP Reactivos'!CF564,'LP Reactivos'!CK564,'LP Reactivos'!CP564,'LP Reactivos'!CU564,'LP Reactivos'!CZ564,'LP Reactivos'!DE564,'LP Reactivos'!DJ564,'LP Reactivos'!DO564,'LP Reactivos'!DT564,'LP Reactivos'!DY564,'LP Reactivos'!EB564)," ")</f>
        <v>130900</v>
      </c>
      <c r="E564" s="429">
        <f>IFERROR(AVERAGE('LP Reactivos'!F564,'LP Reactivos'!I564,'LP Reactivos'!N564,'LP Reactivos'!S564,'LP Reactivos'!X564,'LP Reactivos'!AC564,'LP Reactivos'!AH564,'LP Reactivos'!AM564,'LP Reactivos'!AR564,'LP Reactivos'!AW564,'LP Reactivos'!BB564,'LP Reactivos'!BG564,'LP Reactivos'!BL564,'LP Reactivos'!BQ564,'LP Reactivos'!BV564,'LP Reactivos'!CA564,'LP Reactivos'!CF564,'LP Reactivos'!CK564,'LP Reactivos'!CP564,'LP Reactivos'!CU564,'LP Reactivos'!CZ564,'LP Reactivos'!DE564,'LP Reactivos'!DJ564,'LP Reactivos'!DO564,'LP Reactivos'!DT564,'LP Reactivos'!DY564,'LP Reactivos'!EB564)," ")</f>
        <v>130900</v>
      </c>
      <c r="F564" s="345">
        <f>IFERROR(MEDIAN('LP Reactivos'!F564,'LP Reactivos'!I564,'LP Reactivos'!N564,'LP Reactivos'!S564,'LP Reactivos'!X564,'LP Reactivos'!AC564,'LP Reactivos'!AH564,'LP Reactivos'!AM564,'LP Reactivos'!AR564,'LP Reactivos'!AW564,'LP Reactivos'!BB564,'LP Reactivos'!BG564,'LP Reactivos'!BL564,'LP Reactivos'!BQ564,'LP Reactivos'!BV564,'LP Reactivos'!CA564,'LP Reactivos'!CF564,'LP Reactivos'!CK564,'LP Reactivos'!CP564,'LP Reactivos'!CU564,'LP Reactivos'!CZ564,'LP Reactivos'!DE564,'LP Reactivos'!DJ564,'LP Reactivos'!DO564,'LP Reactivos'!DT564,'LP Reactivos'!DY564,'LP Reactivos'!EB564)," ")</f>
        <v>130900</v>
      </c>
      <c r="G564" s="345">
        <f>IFERROR(GEOMEAN('LP Reactivos'!F564,'LP Reactivos'!I564,'LP Reactivos'!N564,'LP Reactivos'!S564,'LP Reactivos'!X564,'LP Reactivos'!AC564,'LP Reactivos'!AH564,'LP Reactivos'!AM564,'LP Reactivos'!AR564,'LP Reactivos'!AW564,'LP Reactivos'!BB564,'LP Reactivos'!BG564,'LP Reactivos'!BL564,'LP Reactivos'!BQ564,'LP Reactivos'!BV564,'LP Reactivos'!CA564,'LP Reactivos'!CF564,'LP Reactivos'!CK564,'LP Reactivos'!CP564,'LP Reactivos'!CU564,'LP Reactivos'!CZ564,'LP Reactivos'!DE564,'LP Reactivos'!DJ564,'LP Reactivos'!DO564,'LP Reactivos'!DT564,'LP Reactivos'!DY564,'LP Reactivos'!EB564)," ")</f>
        <v>130900</v>
      </c>
      <c r="H564" s="345">
        <f t="shared" si="36"/>
        <v>0</v>
      </c>
      <c r="I564" s="346">
        <f t="shared" si="37"/>
        <v>0</v>
      </c>
      <c r="J564" s="345">
        <f t="shared" si="38"/>
        <v>130900</v>
      </c>
      <c r="K564" s="344" t="str">
        <f t="shared" si="39"/>
        <v>Menor Valor</v>
      </c>
      <c r="L564" s="326">
        <f>IFERROR(COUNTA('LP Reactivos'!F564,'LP Reactivos'!I564,'LP Reactivos'!N564,'LP Reactivos'!S564,'LP Reactivos'!X564,'LP Reactivos'!AC564,'LP Reactivos'!AH564,'LP Reactivos'!AM564,'LP Reactivos'!AR564,'LP Reactivos'!AW564,'LP Reactivos'!BB564,'LP Reactivos'!BG564,'LP Reactivos'!BL564,'LP Reactivos'!BQ564,'LP Reactivos'!BV564,'LP Reactivos'!CA564,'LP Reactivos'!CF564,'LP Reactivos'!CK564,'LP Reactivos'!CP564,'LP Reactivos'!CU564,'LP Reactivos'!CZ564,'LP Reactivos'!DE564,'LP Reactivos'!DJ564,'LP Reactivos'!DO564,'LP Reactivos'!DT564,'LP Reactivos'!DY564,'LP Reactivos'!EB564)," ")</f>
        <v>1</v>
      </c>
    </row>
    <row r="565" spans="2:12" ht="27" x14ac:dyDescent="0.25">
      <c r="B565" s="425">
        <v>563</v>
      </c>
      <c r="C565" s="413" t="s">
        <v>2514</v>
      </c>
      <c r="D565" s="429">
        <f>IFERROR(MIN('LP Reactivos'!F565,'LP Reactivos'!I565,'LP Reactivos'!N565,'LP Reactivos'!S565,'LP Reactivos'!X565,'LP Reactivos'!AC565,'LP Reactivos'!AH565,'LP Reactivos'!AM565,'LP Reactivos'!AR565,'LP Reactivos'!AW565,'LP Reactivos'!BB565,'LP Reactivos'!BG565,'LP Reactivos'!BL565,'LP Reactivos'!BQ565,'LP Reactivos'!BV565,'LP Reactivos'!CA565,'LP Reactivos'!CF565,'LP Reactivos'!CK565,'LP Reactivos'!CP565,'LP Reactivos'!CU565,'LP Reactivos'!CZ565,'LP Reactivos'!DE565,'LP Reactivos'!DJ565,'LP Reactivos'!DO565,'LP Reactivos'!DT565,'LP Reactivos'!DY565,'LP Reactivos'!EB565)," ")</f>
        <v>316000</v>
      </c>
      <c r="E565" s="429">
        <f>IFERROR(AVERAGE('LP Reactivos'!F565,'LP Reactivos'!I565,'LP Reactivos'!N565,'LP Reactivos'!S565,'LP Reactivos'!X565,'LP Reactivos'!AC565,'LP Reactivos'!AH565,'LP Reactivos'!AM565,'LP Reactivos'!AR565,'LP Reactivos'!AW565,'LP Reactivos'!BB565,'LP Reactivos'!BG565,'LP Reactivos'!BL565,'LP Reactivos'!BQ565,'LP Reactivos'!BV565,'LP Reactivos'!CA565,'LP Reactivos'!CF565,'LP Reactivos'!CK565,'LP Reactivos'!CP565,'LP Reactivos'!CU565,'LP Reactivos'!CZ565,'LP Reactivos'!DE565,'LP Reactivos'!DJ565,'LP Reactivos'!DO565,'LP Reactivos'!DT565,'LP Reactivos'!DY565,'LP Reactivos'!EB565)," ")</f>
        <v>316000</v>
      </c>
      <c r="F565" s="345">
        <f>IFERROR(MEDIAN('LP Reactivos'!F565,'LP Reactivos'!I565,'LP Reactivos'!N565,'LP Reactivos'!S565,'LP Reactivos'!X565,'LP Reactivos'!AC565,'LP Reactivos'!AH565,'LP Reactivos'!AM565,'LP Reactivos'!AR565,'LP Reactivos'!AW565,'LP Reactivos'!BB565,'LP Reactivos'!BG565,'LP Reactivos'!BL565,'LP Reactivos'!BQ565,'LP Reactivos'!BV565,'LP Reactivos'!CA565,'LP Reactivos'!CF565,'LP Reactivos'!CK565,'LP Reactivos'!CP565,'LP Reactivos'!CU565,'LP Reactivos'!CZ565,'LP Reactivos'!DE565,'LP Reactivos'!DJ565,'LP Reactivos'!DO565,'LP Reactivos'!DT565,'LP Reactivos'!DY565,'LP Reactivos'!EB565)," ")</f>
        <v>316000</v>
      </c>
      <c r="G565" s="345">
        <f>IFERROR(GEOMEAN('LP Reactivos'!F565,'LP Reactivos'!I565,'LP Reactivos'!N565,'LP Reactivos'!S565,'LP Reactivos'!X565,'LP Reactivos'!AC565,'LP Reactivos'!AH565,'LP Reactivos'!AM565,'LP Reactivos'!AR565,'LP Reactivos'!AW565,'LP Reactivos'!BB565,'LP Reactivos'!BG565,'LP Reactivos'!BL565,'LP Reactivos'!BQ565,'LP Reactivos'!BV565,'LP Reactivos'!CA565,'LP Reactivos'!CF565,'LP Reactivos'!CK565,'LP Reactivos'!CP565,'LP Reactivos'!CU565,'LP Reactivos'!CZ565,'LP Reactivos'!DE565,'LP Reactivos'!DJ565,'LP Reactivos'!DO565,'LP Reactivos'!DT565,'LP Reactivos'!DY565,'LP Reactivos'!EB565)," ")</f>
        <v>316000</v>
      </c>
      <c r="H565" s="345">
        <f t="shared" si="36"/>
        <v>0</v>
      </c>
      <c r="I565" s="346">
        <f t="shared" si="37"/>
        <v>0</v>
      </c>
      <c r="J565" s="345">
        <f t="shared" si="38"/>
        <v>316000</v>
      </c>
      <c r="K565" s="344" t="str">
        <f t="shared" si="39"/>
        <v>Menor Valor</v>
      </c>
      <c r="L565" s="326">
        <f>IFERROR(COUNTA('LP Reactivos'!F565,'LP Reactivos'!I565,'LP Reactivos'!N565,'LP Reactivos'!S565,'LP Reactivos'!X565,'LP Reactivos'!AC565,'LP Reactivos'!AH565,'LP Reactivos'!AM565,'LP Reactivos'!AR565,'LP Reactivos'!AW565,'LP Reactivos'!BB565,'LP Reactivos'!BG565,'LP Reactivos'!BL565,'LP Reactivos'!BQ565,'LP Reactivos'!BV565,'LP Reactivos'!CA565,'LP Reactivos'!CF565,'LP Reactivos'!CK565,'LP Reactivos'!CP565,'LP Reactivos'!CU565,'LP Reactivos'!CZ565,'LP Reactivos'!DE565,'LP Reactivos'!DJ565,'LP Reactivos'!DO565,'LP Reactivos'!DT565,'LP Reactivos'!DY565,'LP Reactivos'!EB565)," ")</f>
        <v>1</v>
      </c>
    </row>
    <row r="566" spans="2:12" x14ac:dyDescent="0.25">
      <c r="B566" s="425">
        <v>564</v>
      </c>
      <c r="C566" s="427" t="s">
        <v>2516</v>
      </c>
      <c r="D566" s="429">
        <f>IFERROR(MIN('LP Reactivos'!F566,'LP Reactivos'!I566,'LP Reactivos'!N566,'LP Reactivos'!S566,'LP Reactivos'!X566,'LP Reactivos'!AC566,'LP Reactivos'!AH566,'LP Reactivos'!AM566,'LP Reactivos'!AR566,'LP Reactivos'!AW566,'LP Reactivos'!BB566,'LP Reactivos'!BG566,'LP Reactivos'!BL566,'LP Reactivos'!BQ566,'LP Reactivos'!BV566,'LP Reactivos'!CA566,'LP Reactivos'!CF566,'LP Reactivos'!CK566,'LP Reactivos'!CP566,'LP Reactivos'!CU566,'LP Reactivos'!CZ566,'LP Reactivos'!DE566,'LP Reactivos'!DJ566,'LP Reactivos'!DO566,'LP Reactivos'!DT566,'LP Reactivos'!DY566,'LP Reactivos'!EB566)," ")</f>
        <v>192610</v>
      </c>
      <c r="E566" s="429">
        <f>IFERROR(AVERAGE('LP Reactivos'!F566,'LP Reactivos'!I566,'LP Reactivos'!N566,'LP Reactivos'!S566,'LP Reactivos'!X566,'LP Reactivos'!AC566,'LP Reactivos'!AH566,'LP Reactivos'!AM566,'LP Reactivos'!AR566,'LP Reactivos'!AW566,'LP Reactivos'!BB566,'LP Reactivos'!BG566,'LP Reactivos'!BL566,'LP Reactivos'!BQ566,'LP Reactivos'!BV566,'LP Reactivos'!CA566,'LP Reactivos'!CF566,'LP Reactivos'!CK566,'LP Reactivos'!CP566,'LP Reactivos'!CU566,'LP Reactivos'!CZ566,'LP Reactivos'!DE566,'LP Reactivos'!DJ566,'LP Reactivos'!DO566,'LP Reactivos'!DT566,'LP Reactivos'!DY566,'LP Reactivos'!EB566)," ")</f>
        <v>295919.75</v>
      </c>
      <c r="F566" s="345">
        <f>IFERROR(MEDIAN('LP Reactivos'!F566,'LP Reactivos'!I566,'LP Reactivos'!N566,'LP Reactivos'!S566,'LP Reactivos'!X566,'LP Reactivos'!AC566,'LP Reactivos'!AH566,'LP Reactivos'!AM566,'LP Reactivos'!AR566,'LP Reactivos'!AW566,'LP Reactivos'!BB566,'LP Reactivos'!BG566,'LP Reactivos'!BL566,'LP Reactivos'!BQ566,'LP Reactivos'!BV566,'LP Reactivos'!CA566,'LP Reactivos'!CF566,'LP Reactivos'!CK566,'LP Reactivos'!CP566,'LP Reactivos'!CU566,'LP Reactivos'!CZ566,'LP Reactivos'!DE566,'LP Reactivos'!DJ566,'LP Reactivos'!DO566,'LP Reactivos'!DT566,'LP Reactivos'!DY566,'LP Reactivos'!EB566)," ")</f>
        <v>312869.5</v>
      </c>
      <c r="G566" s="345">
        <f>IFERROR(GEOMEAN('LP Reactivos'!F566,'LP Reactivos'!I566,'LP Reactivos'!N566,'LP Reactivos'!S566,'LP Reactivos'!X566,'LP Reactivos'!AC566,'LP Reactivos'!AH566,'LP Reactivos'!AM566,'LP Reactivos'!AR566,'LP Reactivos'!AW566,'LP Reactivos'!BB566,'LP Reactivos'!BG566,'LP Reactivos'!BL566,'LP Reactivos'!BQ566,'LP Reactivos'!BV566,'LP Reactivos'!CA566,'LP Reactivos'!CF566,'LP Reactivos'!CK566,'LP Reactivos'!CP566,'LP Reactivos'!CU566,'LP Reactivos'!CZ566,'LP Reactivos'!DE566,'LP Reactivos'!DJ566,'LP Reactivos'!DO566,'LP Reactivos'!DT566,'LP Reactivos'!DY566,'LP Reactivos'!EB566)," ")</f>
        <v>287145.2473327046</v>
      </c>
      <c r="H566" s="345">
        <f t="shared" si="36"/>
        <v>54081.873019046885</v>
      </c>
      <c r="I566" s="346">
        <f t="shared" si="37"/>
        <v>0.18275857903721157</v>
      </c>
      <c r="J566" s="345">
        <f t="shared" si="38"/>
        <v>295919.75</v>
      </c>
      <c r="K566" s="344" t="str">
        <f t="shared" si="39"/>
        <v>Promedio</v>
      </c>
      <c r="L566" s="326">
        <f>IFERROR(COUNTA('LP Reactivos'!F566,'LP Reactivos'!I566,'LP Reactivos'!N566,'LP Reactivos'!S566,'LP Reactivos'!X566,'LP Reactivos'!AC566,'LP Reactivos'!AH566,'LP Reactivos'!AM566,'LP Reactivos'!AR566,'LP Reactivos'!AW566,'LP Reactivos'!BB566,'LP Reactivos'!BG566,'LP Reactivos'!BL566,'LP Reactivos'!BQ566,'LP Reactivos'!BV566,'LP Reactivos'!CA566,'LP Reactivos'!CF566,'LP Reactivos'!CK566,'LP Reactivos'!CP566,'LP Reactivos'!CU566,'LP Reactivos'!CZ566,'LP Reactivos'!DE566,'LP Reactivos'!DJ566,'LP Reactivos'!DO566,'LP Reactivos'!DT566,'LP Reactivos'!DY566,'LP Reactivos'!EB566)," ")</f>
        <v>4</v>
      </c>
    </row>
    <row r="567" spans="2:12" ht="27" x14ac:dyDescent="0.25">
      <c r="B567" s="425">
        <v>565</v>
      </c>
      <c r="C567" s="427" t="s">
        <v>2862</v>
      </c>
      <c r="D567" s="429">
        <f>IFERROR(MIN('LP Reactivos'!F567,'LP Reactivos'!I567,'LP Reactivos'!N567,'LP Reactivos'!S567,'LP Reactivos'!X567,'LP Reactivos'!AC567,'LP Reactivos'!AH567,'LP Reactivos'!AM567,'LP Reactivos'!AR567,'LP Reactivos'!AW567,'LP Reactivos'!BB567,'LP Reactivos'!BG567,'LP Reactivos'!BL567,'LP Reactivos'!BQ567,'LP Reactivos'!BV567,'LP Reactivos'!CA567,'LP Reactivos'!CF567,'LP Reactivos'!CK567,'LP Reactivos'!CP567,'LP Reactivos'!CU567,'LP Reactivos'!CZ567,'LP Reactivos'!DE567,'LP Reactivos'!DJ567,'LP Reactivos'!DO567,'LP Reactivos'!DT567,'LP Reactivos'!DY567,'LP Reactivos'!EB567)," ")</f>
        <v>349000</v>
      </c>
      <c r="E567" s="429">
        <f>IFERROR(AVERAGE('LP Reactivos'!F567,'LP Reactivos'!I567,'LP Reactivos'!N567,'LP Reactivos'!S567,'LP Reactivos'!X567,'LP Reactivos'!AC567,'LP Reactivos'!AH567,'LP Reactivos'!AM567,'LP Reactivos'!AR567,'LP Reactivos'!AW567,'LP Reactivos'!BB567,'LP Reactivos'!BG567,'LP Reactivos'!BL567,'LP Reactivos'!BQ567,'LP Reactivos'!BV567,'LP Reactivos'!CA567,'LP Reactivos'!CF567,'LP Reactivos'!CK567,'LP Reactivos'!CP567,'LP Reactivos'!CU567,'LP Reactivos'!CZ567,'LP Reactivos'!DE567,'LP Reactivos'!DJ567,'LP Reactivos'!DO567,'LP Reactivos'!DT567,'LP Reactivos'!DY567,'LP Reactivos'!EB567)," ")</f>
        <v>558870</v>
      </c>
      <c r="F567" s="345">
        <f>IFERROR(MEDIAN('LP Reactivos'!F567,'LP Reactivos'!I567,'LP Reactivos'!N567,'LP Reactivos'!S567,'LP Reactivos'!X567,'LP Reactivos'!AC567,'LP Reactivos'!AH567,'LP Reactivos'!AM567,'LP Reactivos'!AR567,'LP Reactivos'!AW567,'LP Reactivos'!BB567,'LP Reactivos'!BG567,'LP Reactivos'!BL567,'LP Reactivos'!BQ567,'LP Reactivos'!BV567,'LP Reactivos'!CA567,'LP Reactivos'!CF567,'LP Reactivos'!CK567,'LP Reactivos'!CP567,'LP Reactivos'!CU567,'LP Reactivos'!CZ567,'LP Reactivos'!DE567,'LP Reactivos'!DJ567,'LP Reactivos'!DO567,'LP Reactivos'!DT567,'LP Reactivos'!DY567,'LP Reactivos'!EB567)," ")</f>
        <v>558870</v>
      </c>
      <c r="G567" s="345">
        <f>IFERROR(GEOMEAN('LP Reactivos'!F567,'LP Reactivos'!I567,'LP Reactivos'!N567,'LP Reactivos'!S567,'LP Reactivos'!X567,'LP Reactivos'!AC567,'LP Reactivos'!AH567,'LP Reactivos'!AM567,'LP Reactivos'!AR567,'LP Reactivos'!AW567,'LP Reactivos'!BB567,'LP Reactivos'!BG567,'LP Reactivos'!BL567,'LP Reactivos'!BQ567,'LP Reactivos'!BV567,'LP Reactivos'!CA567,'LP Reactivos'!CF567,'LP Reactivos'!CK567,'LP Reactivos'!CP567,'LP Reactivos'!CU567,'LP Reactivos'!CZ567,'LP Reactivos'!DE567,'LP Reactivos'!DJ567,'LP Reactivos'!DO567,'LP Reactivos'!DT567,'LP Reactivos'!DY567,'LP Reactivos'!EB567)," ")</f>
        <v>517967.43140857806</v>
      </c>
      <c r="H567" s="345">
        <f t="shared" si="36"/>
        <v>99994.527730089831</v>
      </c>
      <c r="I567" s="346">
        <f t="shared" si="37"/>
        <v>0.17892269710324374</v>
      </c>
      <c r="J567" s="345">
        <f t="shared" si="38"/>
        <v>558870</v>
      </c>
      <c r="K567" s="344" t="str">
        <f t="shared" si="39"/>
        <v>Promedio</v>
      </c>
      <c r="L567" s="326">
        <f>IFERROR(COUNTA('LP Reactivos'!F567,'LP Reactivos'!I567,'LP Reactivos'!N567,'LP Reactivos'!S567,'LP Reactivos'!X567,'LP Reactivos'!AC567,'LP Reactivos'!AH567,'LP Reactivos'!AM567,'LP Reactivos'!AR567,'LP Reactivos'!AW567,'LP Reactivos'!BB567,'LP Reactivos'!BG567,'LP Reactivos'!BL567,'LP Reactivos'!BQ567,'LP Reactivos'!BV567,'LP Reactivos'!CA567,'LP Reactivos'!CF567,'LP Reactivos'!CK567,'LP Reactivos'!CP567,'LP Reactivos'!CU567,'LP Reactivos'!CZ567,'LP Reactivos'!DE567,'LP Reactivos'!DJ567,'LP Reactivos'!DO567,'LP Reactivos'!DT567,'LP Reactivos'!DY567,'LP Reactivos'!EB567)," ")</f>
        <v>2</v>
      </c>
    </row>
    <row r="568" spans="2:12" ht="27" x14ac:dyDescent="0.25">
      <c r="B568" s="425">
        <v>566</v>
      </c>
      <c r="C568" s="413" t="s">
        <v>2863</v>
      </c>
      <c r="D568" s="429">
        <f>IFERROR(MIN('LP Reactivos'!F568,'LP Reactivos'!I568,'LP Reactivos'!N568,'LP Reactivos'!S568,'LP Reactivos'!X568,'LP Reactivos'!AC568,'LP Reactivos'!AH568,'LP Reactivos'!AM568,'LP Reactivos'!AR568,'LP Reactivos'!AW568,'LP Reactivos'!BB568,'LP Reactivos'!BG568,'LP Reactivos'!BL568,'LP Reactivos'!BQ568,'LP Reactivos'!BV568,'LP Reactivos'!CA568,'LP Reactivos'!CF568,'LP Reactivos'!CK568,'LP Reactivos'!CP568,'LP Reactivos'!CU568,'LP Reactivos'!CZ568,'LP Reactivos'!DE568,'LP Reactivos'!DJ568,'LP Reactivos'!DO568,'LP Reactivos'!DT568,'LP Reactivos'!DY568,'LP Reactivos'!EB568)," ")</f>
        <v>349000</v>
      </c>
      <c r="E568" s="429">
        <f>IFERROR(AVERAGE('LP Reactivos'!F568,'LP Reactivos'!I568,'LP Reactivos'!N568,'LP Reactivos'!S568,'LP Reactivos'!X568,'LP Reactivos'!AC568,'LP Reactivos'!AH568,'LP Reactivos'!AM568,'LP Reactivos'!AR568,'LP Reactivos'!AW568,'LP Reactivos'!BB568,'LP Reactivos'!BG568,'LP Reactivos'!BL568,'LP Reactivos'!BQ568,'LP Reactivos'!BV568,'LP Reactivos'!CA568,'LP Reactivos'!CF568,'LP Reactivos'!CK568,'LP Reactivos'!CP568,'LP Reactivos'!CU568,'LP Reactivos'!CZ568,'LP Reactivos'!DE568,'LP Reactivos'!DJ568,'LP Reactivos'!DO568,'LP Reactivos'!DT568,'LP Reactivos'!DY568,'LP Reactivos'!EB568)," ")</f>
        <v>349000</v>
      </c>
      <c r="F568" s="345">
        <f>IFERROR(MEDIAN('LP Reactivos'!F568,'LP Reactivos'!I568,'LP Reactivos'!N568,'LP Reactivos'!S568,'LP Reactivos'!X568,'LP Reactivos'!AC568,'LP Reactivos'!AH568,'LP Reactivos'!AM568,'LP Reactivos'!AR568,'LP Reactivos'!AW568,'LP Reactivos'!BB568,'LP Reactivos'!BG568,'LP Reactivos'!BL568,'LP Reactivos'!BQ568,'LP Reactivos'!BV568,'LP Reactivos'!CA568,'LP Reactivos'!CF568,'LP Reactivos'!CK568,'LP Reactivos'!CP568,'LP Reactivos'!CU568,'LP Reactivos'!CZ568,'LP Reactivos'!DE568,'LP Reactivos'!DJ568,'LP Reactivos'!DO568,'LP Reactivos'!DT568,'LP Reactivos'!DY568,'LP Reactivos'!EB568)," ")</f>
        <v>349000</v>
      </c>
      <c r="G568" s="345">
        <f>IFERROR(GEOMEAN('LP Reactivos'!F568,'LP Reactivos'!I568,'LP Reactivos'!N568,'LP Reactivos'!S568,'LP Reactivos'!X568,'LP Reactivos'!AC568,'LP Reactivos'!AH568,'LP Reactivos'!AM568,'LP Reactivos'!AR568,'LP Reactivos'!AW568,'LP Reactivos'!BB568,'LP Reactivos'!BG568,'LP Reactivos'!BL568,'LP Reactivos'!BQ568,'LP Reactivos'!BV568,'LP Reactivos'!CA568,'LP Reactivos'!CF568,'LP Reactivos'!CK568,'LP Reactivos'!CP568,'LP Reactivos'!CU568,'LP Reactivos'!CZ568,'LP Reactivos'!DE568,'LP Reactivos'!DJ568,'LP Reactivos'!DO568,'LP Reactivos'!DT568,'LP Reactivos'!DY568,'LP Reactivos'!EB568)," ")</f>
        <v>349000</v>
      </c>
      <c r="H568" s="345">
        <f t="shared" si="36"/>
        <v>0</v>
      </c>
      <c r="I568" s="346">
        <f t="shared" si="37"/>
        <v>0</v>
      </c>
      <c r="J568" s="345">
        <f t="shared" si="38"/>
        <v>349000</v>
      </c>
      <c r="K568" s="344" t="str">
        <f t="shared" si="39"/>
        <v>Menor Valor</v>
      </c>
      <c r="L568" s="326">
        <f>IFERROR(COUNTA('LP Reactivos'!F568,'LP Reactivos'!I568,'LP Reactivos'!N568,'LP Reactivos'!S568,'LP Reactivos'!X568,'LP Reactivos'!AC568,'LP Reactivos'!AH568,'LP Reactivos'!AM568,'LP Reactivos'!AR568,'LP Reactivos'!AW568,'LP Reactivos'!BB568,'LP Reactivos'!BG568,'LP Reactivos'!BL568,'LP Reactivos'!BQ568,'LP Reactivos'!BV568,'LP Reactivos'!CA568,'LP Reactivos'!CF568,'LP Reactivos'!CK568,'LP Reactivos'!CP568,'LP Reactivos'!CU568,'LP Reactivos'!CZ568,'LP Reactivos'!DE568,'LP Reactivos'!DJ568,'LP Reactivos'!DO568,'LP Reactivos'!DT568,'LP Reactivos'!DY568,'LP Reactivos'!EB568)," ")</f>
        <v>1</v>
      </c>
    </row>
    <row r="569" spans="2:12" x14ac:dyDescent="0.25">
      <c r="B569" s="425">
        <v>567</v>
      </c>
      <c r="C569" s="427" t="s">
        <v>2521</v>
      </c>
      <c r="D569" s="429">
        <f>IFERROR(MIN('LP Reactivos'!F569,'LP Reactivos'!I569,'LP Reactivos'!N569,'LP Reactivos'!S569,'LP Reactivos'!X569,'LP Reactivos'!AC569,'LP Reactivos'!AH569,'LP Reactivos'!AM569,'LP Reactivos'!AR569,'LP Reactivos'!AW569,'LP Reactivos'!BB569,'LP Reactivos'!BG569,'LP Reactivos'!BL569,'LP Reactivos'!BQ569,'LP Reactivos'!BV569,'LP Reactivos'!CA569,'LP Reactivos'!CF569,'LP Reactivos'!CK569,'LP Reactivos'!CP569,'LP Reactivos'!CU569,'LP Reactivos'!CZ569,'LP Reactivos'!DE569,'LP Reactivos'!DJ569,'LP Reactivos'!DO569,'LP Reactivos'!DT569,'LP Reactivos'!DY569,'LP Reactivos'!EB569)," ")</f>
        <v>610332.69779999997</v>
      </c>
      <c r="E569" s="429">
        <f>IFERROR(AVERAGE('LP Reactivos'!F569,'LP Reactivos'!I569,'LP Reactivos'!N569,'LP Reactivos'!S569,'LP Reactivos'!X569,'LP Reactivos'!AC569,'LP Reactivos'!AH569,'LP Reactivos'!AM569,'LP Reactivos'!AR569,'LP Reactivos'!AW569,'LP Reactivos'!BB569,'LP Reactivos'!BG569,'LP Reactivos'!BL569,'LP Reactivos'!BQ569,'LP Reactivos'!BV569,'LP Reactivos'!CA569,'LP Reactivos'!CF569,'LP Reactivos'!CK569,'LP Reactivos'!CP569,'LP Reactivos'!CU569,'LP Reactivos'!CZ569,'LP Reactivos'!DE569,'LP Reactivos'!DJ569,'LP Reactivos'!DO569,'LP Reactivos'!DT569,'LP Reactivos'!DY569,'LP Reactivos'!EB569)," ")</f>
        <v>837096.34889999998</v>
      </c>
      <c r="F569" s="345">
        <f>IFERROR(MEDIAN('LP Reactivos'!F569,'LP Reactivos'!I569,'LP Reactivos'!N569,'LP Reactivos'!S569,'LP Reactivos'!X569,'LP Reactivos'!AC569,'LP Reactivos'!AH569,'LP Reactivos'!AM569,'LP Reactivos'!AR569,'LP Reactivos'!AW569,'LP Reactivos'!BB569,'LP Reactivos'!BG569,'LP Reactivos'!BL569,'LP Reactivos'!BQ569,'LP Reactivos'!BV569,'LP Reactivos'!CA569,'LP Reactivos'!CF569,'LP Reactivos'!CK569,'LP Reactivos'!CP569,'LP Reactivos'!CU569,'LP Reactivos'!CZ569,'LP Reactivos'!DE569,'LP Reactivos'!DJ569,'LP Reactivos'!DO569,'LP Reactivos'!DT569,'LP Reactivos'!DY569,'LP Reactivos'!EB569)," ")</f>
        <v>837096.34889999998</v>
      </c>
      <c r="G569" s="345">
        <f>IFERROR(GEOMEAN('LP Reactivos'!F569,'LP Reactivos'!I569,'LP Reactivos'!N569,'LP Reactivos'!S569,'LP Reactivos'!X569,'LP Reactivos'!AC569,'LP Reactivos'!AH569,'LP Reactivos'!AM569,'LP Reactivos'!AR569,'LP Reactivos'!AW569,'LP Reactivos'!BB569,'LP Reactivos'!BG569,'LP Reactivos'!BL569,'LP Reactivos'!BQ569,'LP Reactivos'!BV569,'LP Reactivos'!CA569,'LP Reactivos'!CF569,'LP Reactivos'!CK569,'LP Reactivos'!CP569,'LP Reactivos'!CU569,'LP Reactivos'!CZ569,'LP Reactivos'!DE569,'LP Reactivos'!DJ569,'LP Reactivos'!DO569,'LP Reactivos'!DT569,'LP Reactivos'!DY569,'LP Reactivos'!EB569)," ")</f>
        <v>805796.83784531441</v>
      </c>
      <c r="H569" s="345">
        <f t="shared" si="36"/>
        <v>109166.94239733015</v>
      </c>
      <c r="I569" s="346">
        <f t="shared" si="37"/>
        <v>0.13041144253081827</v>
      </c>
      <c r="J569" s="345">
        <f t="shared" si="38"/>
        <v>837096.34889999998</v>
      </c>
      <c r="K569" s="344" t="str">
        <f t="shared" si="39"/>
        <v>Promedio</v>
      </c>
      <c r="L569" s="326">
        <f>IFERROR(COUNTA('LP Reactivos'!F569,'LP Reactivos'!I569,'LP Reactivos'!N569,'LP Reactivos'!S569,'LP Reactivos'!X569,'LP Reactivos'!AC569,'LP Reactivos'!AH569,'LP Reactivos'!AM569,'LP Reactivos'!AR569,'LP Reactivos'!AW569,'LP Reactivos'!BB569,'LP Reactivos'!BG569,'LP Reactivos'!BL569,'LP Reactivos'!BQ569,'LP Reactivos'!BV569,'LP Reactivos'!CA569,'LP Reactivos'!CF569,'LP Reactivos'!CK569,'LP Reactivos'!CP569,'LP Reactivos'!CU569,'LP Reactivos'!CZ569,'LP Reactivos'!DE569,'LP Reactivos'!DJ569,'LP Reactivos'!DO569,'LP Reactivos'!DT569,'LP Reactivos'!DY569,'LP Reactivos'!EB569)," ")</f>
        <v>2</v>
      </c>
    </row>
    <row r="570" spans="2:12" ht="27" x14ac:dyDescent="0.25">
      <c r="B570" s="425">
        <v>568</v>
      </c>
      <c r="C570" s="427" t="s">
        <v>2524</v>
      </c>
      <c r="D570" s="429">
        <f>IFERROR(MIN('LP Reactivos'!F570,'LP Reactivos'!I570,'LP Reactivos'!N570,'LP Reactivos'!S570,'LP Reactivos'!X570,'LP Reactivos'!AC570,'LP Reactivos'!AH570,'LP Reactivos'!AM570,'LP Reactivos'!AR570,'LP Reactivos'!AW570,'LP Reactivos'!BB570,'LP Reactivos'!BG570,'LP Reactivos'!BL570,'LP Reactivos'!BQ570,'LP Reactivos'!BV570,'LP Reactivos'!CA570,'LP Reactivos'!CF570,'LP Reactivos'!CK570,'LP Reactivos'!CP570,'LP Reactivos'!CU570,'LP Reactivos'!CZ570,'LP Reactivos'!DE570,'LP Reactivos'!DJ570,'LP Reactivos'!DO570,'LP Reactivos'!DT570,'LP Reactivos'!DY570,'LP Reactivos'!EB570)," ")</f>
        <v>902020</v>
      </c>
      <c r="E570" s="429">
        <f>IFERROR(AVERAGE('LP Reactivos'!F570,'LP Reactivos'!I570,'LP Reactivos'!N570,'LP Reactivos'!S570,'LP Reactivos'!X570,'LP Reactivos'!AC570,'LP Reactivos'!AH570,'LP Reactivos'!AM570,'LP Reactivos'!AR570,'LP Reactivos'!AW570,'LP Reactivos'!BB570,'LP Reactivos'!BG570,'LP Reactivos'!BL570,'LP Reactivos'!BQ570,'LP Reactivos'!BV570,'LP Reactivos'!CA570,'LP Reactivos'!CF570,'LP Reactivos'!CK570,'LP Reactivos'!CP570,'LP Reactivos'!CU570,'LP Reactivos'!CZ570,'LP Reactivos'!DE570,'LP Reactivos'!DJ570,'LP Reactivos'!DO570,'LP Reactivos'!DT570,'LP Reactivos'!DY570,'LP Reactivos'!EB570)," ")</f>
        <v>902020</v>
      </c>
      <c r="F570" s="345">
        <f>IFERROR(MEDIAN('LP Reactivos'!F570,'LP Reactivos'!I570,'LP Reactivos'!N570,'LP Reactivos'!S570,'LP Reactivos'!X570,'LP Reactivos'!AC570,'LP Reactivos'!AH570,'LP Reactivos'!AM570,'LP Reactivos'!AR570,'LP Reactivos'!AW570,'LP Reactivos'!BB570,'LP Reactivos'!BG570,'LP Reactivos'!BL570,'LP Reactivos'!BQ570,'LP Reactivos'!BV570,'LP Reactivos'!CA570,'LP Reactivos'!CF570,'LP Reactivos'!CK570,'LP Reactivos'!CP570,'LP Reactivos'!CU570,'LP Reactivos'!CZ570,'LP Reactivos'!DE570,'LP Reactivos'!DJ570,'LP Reactivos'!DO570,'LP Reactivos'!DT570,'LP Reactivos'!DY570,'LP Reactivos'!EB570)," ")</f>
        <v>902020</v>
      </c>
      <c r="G570" s="345">
        <f>IFERROR(GEOMEAN('LP Reactivos'!F570,'LP Reactivos'!I570,'LP Reactivos'!N570,'LP Reactivos'!S570,'LP Reactivos'!X570,'LP Reactivos'!AC570,'LP Reactivos'!AH570,'LP Reactivos'!AM570,'LP Reactivos'!AR570,'LP Reactivos'!AW570,'LP Reactivos'!BB570,'LP Reactivos'!BG570,'LP Reactivos'!BL570,'LP Reactivos'!BQ570,'LP Reactivos'!BV570,'LP Reactivos'!CA570,'LP Reactivos'!CF570,'LP Reactivos'!CK570,'LP Reactivos'!CP570,'LP Reactivos'!CU570,'LP Reactivos'!CZ570,'LP Reactivos'!DE570,'LP Reactivos'!DJ570,'LP Reactivos'!DO570,'LP Reactivos'!DT570,'LP Reactivos'!DY570,'LP Reactivos'!EB570)," ")</f>
        <v>902020</v>
      </c>
      <c r="H570" s="345">
        <f t="shared" si="36"/>
        <v>0</v>
      </c>
      <c r="I570" s="346">
        <f t="shared" si="37"/>
        <v>0</v>
      </c>
      <c r="J570" s="345">
        <f t="shared" si="38"/>
        <v>902020</v>
      </c>
      <c r="K570" s="344" t="str">
        <f t="shared" si="39"/>
        <v>Menor Valor</v>
      </c>
      <c r="L570" s="326">
        <f>IFERROR(COUNTA('LP Reactivos'!F570,'LP Reactivos'!I570,'LP Reactivos'!N570,'LP Reactivos'!S570,'LP Reactivos'!X570,'LP Reactivos'!AC570,'LP Reactivos'!AH570,'LP Reactivos'!AM570,'LP Reactivos'!AR570,'LP Reactivos'!AW570,'LP Reactivos'!BB570,'LP Reactivos'!BG570,'LP Reactivos'!BL570,'LP Reactivos'!BQ570,'LP Reactivos'!BV570,'LP Reactivos'!CA570,'LP Reactivos'!CF570,'LP Reactivos'!CK570,'LP Reactivos'!CP570,'LP Reactivos'!CU570,'LP Reactivos'!CZ570,'LP Reactivos'!DE570,'LP Reactivos'!DJ570,'LP Reactivos'!DO570,'LP Reactivos'!DT570,'LP Reactivos'!DY570,'LP Reactivos'!EB570)," ")</f>
        <v>1</v>
      </c>
    </row>
    <row r="571" spans="2:12" x14ac:dyDescent="0.25">
      <c r="B571" s="425">
        <v>569</v>
      </c>
      <c r="C571" s="428" t="s">
        <v>2527</v>
      </c>
      <c r="D571" s="429">
        <f>IFERROR(MIN('LP Reactivos'!F571,'LP Reactivos'!I571,'LP Reactivos'!N571,'LP Reactivos'!S571,'LP Reactivos'!X571,'LP Reactivos'!AC571,'LP Reactivos'!AH571,'LP Reactivos'!AM571,'LP Reactivos'!AR571,'LP Reactivos'!AW571,'LP Reactivos'!BB571,'LP Reactivos'!BG571,'LP Reactivos'!BL571,'LP Reactivos'!BQ571,'LP Reactivos'!BV571,'LP Reactivos'!CA571,'LP Reactivos'!CF571,'LP Reactivos'!CK571,'LP Reactivos'!CP571,'LP Reactivos'!CU571,'LP Reactivos'!CZ571,'LP Reactivos'!DE571,'LP Reactivos'!DJ571,'LP Reactivos'!DO571,'LP Reactivos'!DT571,'LP Reactivos'!DY571,'LP Reactivos'!EB571)," ")</f>
        <v>430780</v>
      </c>
      <c r="E571" s="429">
        <f>IFERROR(AVERAGE('LP Reactivos'!F571,'LP Reactivos'!I571,'LP Reactivos'!N571,'LP Reactivos'!S571,'LP Reactivos'!X571,'LP Reactivos'!AC571,'LP Reactivos'!AH571,'LP Reactivos'!AM571,'LP Reactivos'!AR571,'LP Reactivos'!AW571,'LP Reactivos'!BB571,'LP Reactivos'!BG571,'LP Reactivos'!BL571,'LP Reactivos'!BQ571,'LP Reactivos'!BV571,'LP Reactivos'!CA571,'LP Reactivos'!CF571,'LP Reactivos'!CK571,'LP Reactivos'!CP571,'LP Reactivos'!CU571,'LP Reactivos'!CZ571,'LP Reactivos'!DE571,'LP Reactivos'!DJ571,'LP Reactivos'!DO571,'LP Reactivos'!DT571,'LP Reactivos'!DY571,'LP Reactivos'!EB571)," ")</f>
        <v>557050</v>
      </c>
      <c r="F571" s="345">
        <f>IFERROR(MEDIAN('LP Reactivos'!F571,'LP Reactivos'!I571,'LP Reactivos'!N571,'LP Reactivos'!S571,'LP Reactivos'!X571,'LP Reactivos'!AC571,'LP Reactivos'!AH571,'LP Reactivos'!AM571,'LP Reactivos'!AR571,'LP Reactivos'!AW571,'LP Reactivos'!BB571,'LP Reactivos'!BG571,'LP Reactivos'!BL571,'LP Reactivos'!BQ571,'LP Reactivos'!BV571,'LP Reactivos'!CA571,'LP Reactivos'!CF571,'LP Reactivos'!CK571,'LP Reactivos'!CP571,'LP Reactivos'!CU571,'LP Reactivos'!CZ571,'LP Reactivos'!DE571,'LP Reactivos'!DJ571,'LP Reactivos'!DO571,'LP Reactivos'!DT571,'LP Reactivos'!DY571,'LP Reactivos'!EB571)," ")</f>
        <v>453780</v>
      </c>
      <c r="G571" s="345">
        <f>IFERROR(GEOMEAN('LP Reactivos'!F571,'LP Reactivos'!I571,'LP Reactivos'!N571,'LP Reactivos'!S571,'LP Reactivos'!X571,'LP Reactivos'!AC571,'LP Reactivos'!AH571,'LP Reactivos'!AM571,'LP Reactivos'!AR571,'LP Reactivos'!AW571,'LP Reactivos'!BB571,'LP Reactivos'!BG571,'LP Reactivos'!BL571,'LP Reactivos'!BQ571,'LP Reactivos'!BV571,'LP Reactivos'!CA571,'LP Reactivos'!CF571,'LP Reactivos'!CK571,'LP Reactivos'!CP571,'LP Reactivos'!CU571,'LP Reactivos'!CZ571,'LP Reactivos'!DE571,'LP Reactivos'!DJ571,'LP Reactivos'!DO571,'LP Reactivos'!DT571,'LP Reactivos'!DY571,'LP Reactivos'!EB571)," ")</f>
        <v>535734.68883368513</v>
      </c>
      <c r="H571" s="345">
        <f t="shared" si="36"/>
        <v>61457.441928078821</v>
      </c>
      <c r="I571" s="346">
        <f t="shared" si="37"/>
        <v>0.11032661687115847</v>
      </c>
      <c r="J571" s="345">
        <f t="shared" si="38"/>
        <v>557050</v>
      </c>
      <c r="K571" s="344" t="str">
        <f t="shared" si="39"/>
        <v>Promedio</v>
      </c>
      <c r="L571" s="326">
        <f>IFERROR(COUNTA('LP Reactivos'!F571,'LP Reactivos'!I571,'LP Reactivos'!N571,'LP Reactivos'!S571,'LP Reactivos'!X571,'LP Reactivos'!AC571,'LP Reactivos'!AH571,'LP Reactivos'!AM571,'LP Reactivos'!AR571,'LP Reactivos'!AW571,'LP Reactivos'!BB571,'LP Reactivos'!BG571,'LP Reactivos'!BL571,'LP Reactivos'!BQ571,'LP Reactivos'!BV571,'LP Reactivos'!CA571,'LP Reactivos'!CF571,'LP Reactivos'!CK571,'LP Reactivos'!CP571,'LP Reactivos'!CU571,'LP Reactivos'!CZ571,'LP Reactivos'!DE571,'LP Reactivos'!DJ571,'LP Reactivos'!DO571,'LP Reactivos'!DT571,'LP Reactivos'!DY571,'LP Reactivos'!EB571)," ")</f>
        <v>3</v>
      </c>
    </row>
    <row r="572" spans="2:12" x14ac:dyDescent="0.25">
      <c r="B572" s="425">
        <v>570</v>
      </c>
      <c r="C572" s="427" t="s">
        <v>2530</v>
      </c>
      <c r="D572" s="429">
        <f>IFERROR(MIN('LP Reactivos'!F572,'LP Reactivos'!I572,'LP Reactivos'!N572,'LP Reactivos'!S572,'LP Reactivos'!X572,'LP Reactivos'!AC572,'LP Reactivos'!AH572,'LP Reactivos'!AM572,'LP Reactivos'!AR572,'LP Reactivos'!AW572,'LP Reactivos'!BB572,'LP Reactivos'!BG572,'LP Reactivos'!BL572,'LP Reactivos'!BQ572,'LP Reactivos'!BV572,'LP Reactivos'!CA572,'LP Reactivos'!CF572,'LP Reactivos'!CK572,'LP Reactivos'!CP572,'LP Reactivos'!CU572,'LP Reactivos'!CZ572,'LP Reactivos'!DE572,'LP Reactivos'!DJ572,'LP Reactivos'!DO572,'LP Reactivos'!DT572,'LP Reactivos'!DY572,'LP Reactivos'!EB572)," ")</f>
        <v>265000</v>
      </c>
      <c r="E572" s="429">
        <f>IFERROR(AVERAGE('LP Reactivos'!F572,'LP Reactivos'!I572,'LP Reactivos'!N572,'LP Reactivos'!S572,'LP Reactivos'!X572,'LP Reactivos'!AC572,'LP Reactivos'!AH572,'LP Reactivos'!AM572,'LP Reactivos'!AR572,'LP Reactivos'!AW572,'LP Reactivos'!BB572,'LP Reactivos'!BG572,'LP Reactivos'!BL572,'LP Reactivos'!BQ572,'LP Reactivos'!BV572,'LP Reactivos'!CA572,'LP Reactivos'!CF572,'LP Reactivos'!CK572,'LP Reactivos'!CP572,'LP Reactivos'!CU572,'LP Reactivos'!CZ572,'LP Reactivos'!DE572,'LP Reactivos'!DJ572,'LP Reactivos'!DO572,'LP Reactivos'!DT572,'LP Reactivos'!DY572,'LP Reactivos'!EB572)," ")</f>
        <v>448938.63021999999</v>
      </c>
      <c r="F572" s="345">
        <f>IFERROR(MEDIAN('LP Reactivos'!F572,'LP Reactivos'!I572,'LP Reactivos'!N572,'LP Reactivos'!S572,'LP Reactivos'!X572,'LP Reactivos'!AC572,'LP Reactivos'!AH572,'LP Reactivos'!AM572,'LP Reactivos'!AR572,'LP Reactivos'!AW572,'LP Reactivos'!BB572,'LP Reactivos'!BG572,'LP Reactivos'!BL572,'LP Reactivos'!BQ572,'LP Reactivos'!BV572,'LP Reactivos'!CA572,'LP Reactivos'!CF572,'LP Reactivos'!CK572,'LP Reactivos'!CP572,'LP Reactivos'!CU572,'LP Reactivos'!CZ572,'LP Reactivos'!DE572,'LP Reactivos'!DJ572,'LP Reactivos'!DO572,'LP Reactivos'!DT572,'LP Reactivos'!DY572,'LP Reactivos'!EB572)," ")</f>
        <v>450000</v>
      </c>
      <c r="G572" s="345">
        <f>IFERROR(GEOMEAN('LP Reactivos'!F572,'LP Reactivos'!I572,'LP Reactivos'!N572,'LP Reactivos'!S572,'LP Reactivos'!X572,'LP Reactivos'!AC572,'LP Reactivos'!AH572,'LP Reactivos'!AM572,'LP Reactivos'!AR572,'LP Reactivos'!AW572,'LP Reactivos'!BB572,'LP Reactivos'!BG572,'LP Reactivos'!BL572,'LP Reactivos'!BQ572,'LP Reactivos'!BV572,'LP Reactivos'!CA572,'LP Reactivos'!CF572,'LP Reactivos'!CK572,'LP Reactivos'!CP572,'LP Reactivos'!CU572,'LP Reactivos'!CZ572,'LP Reactivos'!DE572,'LP Reactivos'!DJ572,'LP Reactivos'!DO572,'LP Reactivos'!DT572,'LP Reactivos'!DY572,'LP Reactivos'!EB572)," ")</f>
        <v>426914.93176556961</v>
      </c>
      <c r="H572" s="345">
        <f t="shared" si="36"/>
        <v>89113.202814673205</v>
      </c>
      <c r="I572" s="346">
        <f t="shared" si="37"/>
        <v>0.19849751573172431</v>
      </c>
      <c r="J572" s="345">
        <f t="shared" si="38"/>
        <v>448938.63021999999</v>
      </c>
      <c r="K572" s="344" t="str">
        <f t="shared" si="39"/>
        <v>Promedio</v>
      </c>
      <c r="L572" s="326">
        <f>IFERROR(COUNTA('LP Reactivos'!F572,'LP Reactivos'!I572,'LP Reactivos'!N572,'LP Reactivos'!S572,'LP Reactivos'!X572,'LP Reactivos'!AC572,'LP Reactivos'!AH572,'LP Reactivos'!AM572,'LP Reactivos'!AR572,'LP Reactivos'!AW572,'LP Reactivos'!BB572,'LP Reactivos'!BG572,'LP Reactivos'!BL572,'LP Reactivos'!BQ572,'LP Reactivos'!BV572,'LP Reactivos'!CA572,'LP Reactivos'!CF572,'LP Reactivos'!CK572,'LP Reactivos'!CP572,'LP Reactivos'!CU572,'LP Reactivos'!CZ572,'LP Reactivos'!DE572,'LP Reactivos'!DJ572,'LP Reactivos'!DO572,'LP Reactivos'!DT572,'LP Reactivos'!DY572,'LP Reactivos'!EB572)," ")</f>
        <v>5</v>
      </c>
    </row>
    <row r="573" spans="2:12" ht="40.5" x14ac:dyDescent="0.25">
      <c r="B573" s="425">
        <v>571</v>
      </c>
      <c r="C573" s="427" t="s">
        <v>2534</v>
      </c>
      <c r="D573" s="429">
        <f>IFERROR(MIN('LP Reactivos'!F573,'LP Reactivos'!I573,'LP Reactivos'!N573,'LP Reactivos'!S573,'LP Reactivos'!X573,'LP Reactivos'!AC573,'LP Reactivos'!AH573,'LP Reactivos'!AM573,'LP Reactivos'!AR573,'LP Reactivos'!AW573,'LP Reactivos'!BB573,'LP Reactivos'!BG573,'LP Reactivos'!BL573,'LP Reactivos'!BQ573,'LP Reactivos'!BV573,'LP Reactivos'!CA573,'LP Reactivos'!CF573,'LP Reactivos'!CK573,'LP Reactivos'!CP573,'LP Reactivos'!CU573,'LP Reactivos'!CZ573,'LP Reactivos'!DE573,'LP Reactivos'!DJ573,'LP Reactivos'!DO573,'LP Reactivos'!DT573,'LP Reactivos'!DY573,'LP Reactivos'!EB573)," ")</f>
        <v>10265620.7742</v>
      </c>
      <c r="E573" s="429">
        <f>IFERROR(AVERAGE('LP Reactivos'!F573,'LP Reactivos'!I573,'LP Reactivos'!N573,'LP Reactivos'!S573,'LP Reactivos'!X573,'LP Reactivos'!AC573,'LP Reactivos'!AH573,'LP Reactivos'!AM573,'LP Reactivos'!AR573,'LP Reactivos'!AW573,'LP Reactivos'!BB573,'LP Reactivos'!BG573,'LP Reactivos'!BL573,'LP Reactivos'!BQ573,'LP Reactivos'!BV573,'LP Reactivos'!CA573,'LP Reactivos'!CF573,'LP Reactivos'!CK573,'LP Reactivos'!CP573,'LP Reactivos'!CU573,'LP Reactivos'!CZ573,'LP Reactivos'!DE573,'LP Reactivos'!DJ573,'LP Reactivos'!DO573,'LP Reactivos'!DT573,'LP Reactivos'!DY573,'LP Reactivos'!EB573)," ")</f>
        <v>10265620.7742</v>
      </c>
      <c r="F573" s="345">
        <f>IFERROR(MEDIAN('LP Reactivos'!F573,'LP Reactivos'!I573,'LP Reactivos'!N573,'LP Reactivos'!S573,'LP Reactivos'!X573,'LP Reactivos'!AC573,'LP Reactivos'!AH573,'LP Reactivos'!AM573,'LP Reactivos'!AR573,'LP Reactivos'!AW573,'LP Reactivos'!BB573,'LP Reactivos'!BG573,'LP Reactivos'!BL573,'LP Reactivos'!BQ573,'LP Reactivos'!BV573,'LP Reactivos'!CA573,'LP Reactivos'!CF573,'LP Reactivos'!CK573,'LP Reactivos'!CP573,'LP Reactivos'!CU573,'LP Reactivos'!CZ573,'LP Reactivos'!DE573,'LP Reactivos'!DJ573,'LP Reactivos'!DO573,'LP Reactivos'!DT573,'LP Reactivos'!DY573,'LP Reactivos'!EB573)," ")</f>
        <v>10265620.7742</v>
      </c>
      <c r="G573" s="345">
        <f>IFERROR(GEOMEAN('LP Reactivos'!F573,'LP Reactivos'!I573,'LP Reactivos'!N573,'LP Reactivos'!S573,'LP Reactivos'!X573,'LP Reactivos'!AC573,'LP Reactivos'!AH573,'LP Reactivos'!AM573,'LP Reactivos'!AR573,'LP Reactivos'!AW573,'LP Reactivos'!BB573,'LP Reactivos'!BG573,'LP Reactivos'!BL573,'LP Reactivos'!BQ573,'LP Reactivos'!BV573,'LP Reactivos'!CA573,'LP Reactivos'!CF573,'LP Reactivos'!CK573,'LP Reactivos'!CP573,'LP Reactivos'!CU573,'LP Reactivos'!CZ573,'LP Reactivos'!DE573,'LP Reactivos'!DJ573,'LP Reactivos'!DO573,'LP Reactivos'!DT573,'LP Reactivos'!DY573,'LP Reactivos'!EB573)," ")</f>
        <v>10265620.7742</v>
      </c>
      <c r="H573" s="345">
        <f t="shared" si="36"/>
        <v>0</v>
      </c>
      <c r="I573" s="346">
        <f t="shared" si="37"/>
        <v>0</v>
      </c>
      <c r="J573" s="345">
        <f t="shared" si="38"/>
        <v>10265620.7742</v>
      </c>
      <c r="K573" s="344" t="str">
        <f t="shared" si="39"/>
        <v>Menor Valor</v>
      </c>
      <c r="L573" s="326">
        <f>IFERROR(COUNTA('LP Reactivos'!F573,'LP Reactivos'!I573,'LP Reactivos'!N573,'LP Reactivos'!S573,'LP Reactivos'!X573,'LP Reactivos'!AC573,'LP Reactivos'!AH573,'LP Reactivos'!AM573,'LP Reactivos'!AR573,'LP Reactivos'!AW573,'LP Reactivos'!BB573,'LP Reactivos'!BG573,'LP Reactivos'!BL573,'LP Reactivos'!BQ573,'LP Reactivos'!BV573,'LP Reactivos'!CA573,'LP Reactivos'!CF573,'LP Reactivos'!CK573,'LP Reactivos'!CP573,'LP Reactivos'!CU573,'LP Reactivos'!CZ573,'LP Reactivos'!DE573,'LP Reactivos'!DJ573,'LP Reactivos'!DO573,'LP Reactivos'!DT573,'LP Reactivos'!DY573,'LP Reactivos'!EB573)," ")</f>
        <v>1</v>
      </c>
    </row>
    <row r="574" spans="2:12" ht="40.5" x14ac:dyDescent="0.25">
      <c r="B574" s="425">
        <v>572</v>
      </c>
      <c r="C574" s="427" t="s">
        <v>2536</v>
      </c>
      <c r="D574" s="429">
        <f>IFERROR(MIN('LP Reactivos'!F574,'LP Reactivos'!I574,'LP Reactivos'!N574,'LP Reactivos'!S574,'LP Reactivos'!X574,'LP Reactivos'!AC574,'LP Reactivos'!AH574,'LP Reactivos'!AM574,'LP Reactivos'!AR574,'LP Reactivos'!AW574,'LP Reactivos'!BB574,'LP Reactivos'!BG574,'LP Reactivos'!BL574,'LP Reactivos'!BQ574,'LP Reactivos'!BV574,'LP Reactivos'!CA574,'LP Reactivos'!CF574,'LP Reactivos'!CK574,'LP Reactivos'!CP574,'LP Reactivos'!CU574,'LP Reactivos'!CZ574,'LP Reactivos'!DE574,'LP Reactivos'!DJ574,'LP Reactivos'!DO574,'LP Reactivos'!DT574,'LP Reactivos'!DY574,'LP Reactivos'!EB574)," ")</f>
        <v>13679133.486400001</v>
      </c>
      <c r="E574" s="429">
        <f>IFERROR(AVERAGE('LP Reactivos'!F574,'LP Reactivos'!I574,'LP Reactivos'!N574,'LP Reactivos'!S574,'LP Reactivos'!X574,'LP Reactivos'!AC574,'LP Reactivos'!AH574,'LP Reactivos'!AM574,'LP Reactivos'!AR574,'LP Reactivos'!AW574,'LP Reactivos'!BB574,'LP Reactivos'!BG574,'LP Reactivos'!BL574,'LP Reactivos'!BQ574,'LP Reactivos'!BV574,'LP Reactivos'!CA574,'LP Reactivos'!CF574,'LP Reactivos'!CK574,'LP Reactivos'!CP574,'LP Reactivos'!CU574,'LP Reactivos'!CZ574,'LP Reactivos'!DE574,'LP Reactivos'!DJ574,'LP Reactivos'!DO574,'LP Reactivos'!DT574,'LP Reactivos'!DY574,'LP Reactivos'!EB574)," ")</f>
        <v>13679133.486400001</v>
      </c>
      <c r="F574" s="345">
        <f>IFERROR(MEDIAN('LP Reactivos'!F574,'LP Reactivos'!I574,'LP Reactivos'!N574,'LP Reactivos'!S574,'LP Reactivos'!X574,'LP Reactivos'!AC574,'LP Reactivos'!AH574,'LP Reactivos'!AM574,'LP Reactivos'!AR574,'LP Reactivos'!AW574,'LP Reactivos'!BB574,'LP Reactivos'!BG574,'LP Reactivos'!BL574,'LP Reactivos'!BQ574,'LP Reactivos'!BV574,'LP Reactivos'!CA574,'LP Reactivos'!CF574,'LP Reactivos'!CK574,'LP Reactivos'!CP574,'LP Reactivos'!CU574,'LP Reactivos'!CZ574,'LP Reactivos'!DE574,'LP Reactivos'!DJ574,'LP Reactivos'!DO574,'LP Reactivos'!DT574,'LP Reactivos'!DY574,'LP Reactivos'!EB574)," ")</f>
        <v>13679133.486400001</v>
      </c>
      <c r="G574" s="345">
        <f>IFERROR(GEOMEAN('LP Reactivos'!F574,'LP Reactivos'!I574,'LP Reactivos'!N574,'LP Reactivos'!S574,'LP Reactivos'!X574,'LP Reactivos'!AC574,'LP Reactivos'!AH574,'LP Reactivos'!AM574,'LP Reactivos'!AR574,'LP Reactivos'!AW574,'LP Reactivos'!BB574,'LP Reactivos'!BG574,'LP Reactivos'!BL574,'LP Reactivos'!BQ574,'LP Reactivos'!BV574,'LP Reactivos'!CA574,'LP Reactivos'!CF574,'LP Reactivos'!CK574,'LP Reactivos'!CP574,'LP Reactivos'!CU574,'LP Reactivos'!CZ574,'LP Reactivos'!DE574,'LP Reactivos'!DJ574,'LP Reactivos'!DO574,'LP Reactivos'!DT574,'LP Reactivos'!DY574,'LP Reactivos'!EB574)," ")</f>
        <v>13679133.486400001</v>
      </c>
      <c r="H574" s="345">
        <f t="shared" si="36"/>
        <v>0</v>
      </c>
      <c r="I574" s="346">
        <f t="shared" si="37"/>
        <v>0</v>
      </c>
      <c r="J574" s="345">
        <f t="shared" si="38"/>
        <v>13679133.486400001</v>
      </c>
      <c r="K574" s="344" t="str">
        <f t="shared" si="39"/>
        <v>Menor Valor</v>
      </c>
      <c r="L574" s="326">
        <f>IFERROR(COUNTA('LP Reactivos'!F574,'LP Reactivos'!I574,'LP Reactivos'!N574,'LP Reactivos'!S574,'LP Reactivos'!X574,'LP Reactivos'!AC574,'LP Reactivos'!AH574,'LP Reactivos'!AM574,'LP Reactivos'!AR574,'LP Reactivos'!AW574,'LP Reactivos'!BB574,'LP Reactivos'!BG574,'LP Reactivos'!BL574,'LP Reactivos'!BQ574,'LP Reactivos'!BV574,'LP Reactivos'!CA574,'LP Reactivos'!CF574,'LP Reactivos'!CK574,'LP Reactivos'!CP574,'LP Reactivos'!CU574,'LP Reactivos'!CZ574,'LP Reactivos'!DE574,'LP Reactivos'!DJ574,'LP Reactivos'!DO574,'LP Reactivos'!DT574,'LP Reactivos'!DY574,'LP Reactivos'!EB574)," ")</f>
        <v>1</v>
      </c>
    </row>
    <row r="575" spans="2:12" ht="27" x14ac:dyDescent="0.25">
      <c r="B575" s="425">
        <v>573</v>
      </c>
      <c r="C575" s="427" t="s">
        <v>2538</v>
      </c>
      <c r="D575" s="429">
        <f>IFERROR(MIN('LP Reactivos'!F575,'LP Reactivos'!I575,'LP Reactivos'!N575,'LP Reactivos'!S575,'LP Reactivos'!X575,'LP Reactivos'!AC575,'LP Reactivos'!AH575,'LP Reactivos'!AM575,'LP Reactivos'!AR575,'LP Reactivos'!AW575,'LP Reactivos'!BB575,'LP Reactivos'!BG575,'LP Reactivos'!BL575,'LP Reactivos'!BQ575,'LP Reactivos'!BV575,'LP Reactivos'!CA575,'LP Reactivos'!CF575,'LP Reactivos'!CK575,'LP Reactivos'!CP575,'LP Reactivos'!CU575,'LP Reactivos'!CZ575,'LP Reactivos'!DE575,'LP Reactivos'!DJ575,'LP Reactivos'!DO575,'LP Reactivos'!DT575,'LP Reactivos'!DY575,'LP Reactivos'!EB575)," ")</f>
        <v>135660</v>
      </c>
      <c r="E575" s="429">
        <f>IFERROR(AVERAGE('LP Reactivos'!F575,'LP Reactivos'!I575,'LP Reactivos'!N575,'LP Reactivos'!S575,'LP Reactivos'!X575,'LP Reactivos'!AC575,'LP Reactivos'!AH575,'LP Reactivos'!AM575,'LP Reactivos'!AR575,'LP Reactivos'!AW575,'LP Reactivos'!BB575,'LP Reactivos'!BG575,'LP Reactivos'!BL575,'LP Reactivos'!BQ575,'LP Reactivos'!BV575,'LP Reactivos'!CA575,'LP Reactivos'!CF575,'LP Reactivos'!CK575,'LP Reactivos'!CP575,'LP Reactivos'!CU575,'LP Reactivos'!CZ575,'LP Reactivos'!DE575,'LP Reactivos'!DJ575,'LP Reactivos'!DO575,'LP Reactivos'!DT575,'LP Reactivos'!DY575,'LP Reactivos'!EB575)," ")</f>
        <v>1418445.75</v>
      </c>
      <c r="F575" s="345">
        <f>IFERROR(MEDIAN('LP Reactivos'!F575,'LP Reactivos'!I575,'LP Reactivos'!N575,'LP Reactivos'!S575,'LP Reactivos'!X575,'LP Reactivos'!AC575,'LP Reactivos'!AH575,'LP Reactivos'!AM575,'LP Reactivos'!AR575,'LP Reactivos'!AW575,'LP Reactivos'!BB575,'LP Reactivos'!BG575,'LP Reactivos'!BL575,'LP Reactivos'!BQ575,'LP Reactivos'!BV575,'LP Reactivos'!CA575,'LP Reactivos'!CF575,'LP Reactivos'!CK575,'LP Reactivos'!CP575,'LP Reactivos'!CU575,'LP Reactivos'!CZ575,'LP Reactivos'!DE575,'LP Reactivos'!DJ575,'LP Reactivos'!DO575,'LP Reactivos'!DT575,'LP Reactivos'!DY575,'LP Reactivos'!EB575)," ")</f>
        <v>1418445.75</v>
      </c>
      <c r="G575" s="345">
        <f>IFERROR(GEOMEAN('LP Reactivos'!F575,'LP Reactivos'!I575,'LP Reactivos'!N575,'LP Reactivos'!S575,'LP Reactivos'!X575,'LP Reactivos'!AC575,'LP Reactivos'!AH575,'LP Reactivos'!AM575,'LP Reactivos'!AR575,'LP Reactivos'!AW575,'LP Reactivos'!BB575,'LP Reactivos'!BG575,'LP Reactivos'!BL575,'LP Reactivos'!BQ575,'LP Reactivos'!BV575,'LP Reactivos'!CA575,'LP Reactivos'!CF575,'LP Reactivos'!CK575,'LP Reactivos'!CP575,'LP Reactivos'!CU575,'LP Reactivos'!CZ575,'LP Reactivos'!DE575,'LP Reactivos'!DJ575,'LP Reactivos'!DO575,'LP Reactivos'!DT575,'LP Reactivos'!DY575,'LP Reactivos'!EB575)," ")</f>
        <v>605350.36573045864</v>
      </c>
      <c r="H575" s="345">
        <f t="shared" ref="H575:H625" si="40">STDEVA(D575,E575,F575,G575)</f>
        <v>634687.31200929452</v>
      </c>
      <c r="I575" s="346">
        <f t="shared" ref="I575:I625" si="41">IFERROR(H575/E575," ")</f>
        <v>0.44745265161483583</v>
      </c>
      <c r="J575" s="345">
        <f>IF(I575&lt;=10%,F575,IF(AND(I575&gt;10%,I575&lt;=20%),E575,IF(AND(I575&gt;20%,I575&lt;=45%),G575,IF(I575&gt;45%,D575))))</f>
        <v>605350.36573045864</v>
      </c>
      <c r="K575" s="344" t="str">
        <f t="shared" ref="K575:K625" si="42">IF(J575=D575,"Menor Valor",IF(J575=E575,"Promedio",IF(J575=F575,"Mediana",IF(J575=G575,"Media Geométrica"," "))))</f>
        <v>Media Geométrica</v>
      </c>
      <c r="L575" s="326">
        <f>IFERROR(COUNTA('LP Reactivos'!F575,'LP Reactivos'!I575,'LP Reactivos'!N575,'LP Reactivos'!S575,'LP Reactivos'!X575,'LP Reactivos'!AC575,'LP Reactivos'!AH575,'LP Reactivos'!AM575,'LP Reactivos'!AR575,'LP Reactivos'!AW575,'LP Reactivos'!BB575,'LP Reactivos'!BG575,'LP Reactivos'!BL575,'LP Reactivos'!BQ575,'LP Reactivos'!BV575,'LP Reactivos'!CA575,'LP Reactivos'!CF575,'LP Reactivos'!CK575,'LP Reactivos'!CP575,'LP Reactivos'!CU575,'LP Reactivos'!CZ575,'LP Reactivos'!DE575,'LP Reactivos'!DJ575,'LP Reactivos'!DO575,'LP Reactivos'!DT575,'LP Reactivos'!DY575,'LP Reactivos'!EB575)," ")</f>
        <v>2</v>
      </c>
    </row>
    <row r="576" spans="2:12" ht="27" x14ac:dyDescent="0.25">
      <c r="B576" s="425">
        <v>574</v>
      </c>
      <c r="C576" s="427" t="s">
        <v>2542</v>
      </c>
      <c r="D576" s="429">
        <f>IFERROR(MIN('LP Reactivos'!F576,'LP Reactivos'!I576,'LP Reactivos'!N576,'LP Reactivos'!S576,'LP Reactivos'!X576,'LP Reactivos'!AC576,'LP Reactivos'!AH576,'LP Reactivos'!AM576,'LP Reactivos'!AR576,'LP Reactivos'!AW576,'LP Reactivos'!BB576,'LP Reactivos'!BG576,'LP Reactivos'!BL576,'LP Reactivos'!BQ576,'LP Reactivos'!BV576,'LP Reactivos'!CA576,'LP Reactivos'!CF576,'LP Reactivos'!CK576,'LP Reactivos'!CP576,'LP Reactivos'!CU576,'LP Reactivos'!CZ576,'LP Reactivos'!DE576,'LP Reactivos'!DJ576,'LP Reactivos'!DO576,'LP Reactivos'!DT576,'LP Reactivos'!DY576,'LP Reactivos'!EB576)," ")</f>
        <v>304640</v>
      </c>
      <c r="E576" s="429">
        <f>IFERROR(AVERAGE('LP Reactivos'!F576,'LP Reactivos'!I576,'LP Reactivos'!N576,'LP Reactivos'!S576,'LP Reactivos'!X576,'LP Reactivos'!AC576,'LP Reactivos'!AH576,'LP Reactivos'!AM576,'LP Reactivos'!AR576,'LP Reactivos'!AW576,'LP Reactivos'!BB576,'LP Reactivos'!BG576,'LP Reactivos'!BL576,'LP Reactivos'!BQ576,'LP Reactivos'!BV576,'LP Reactivos'!CA576,'LP Reactivos'!CF576,'LP Reactivos'!CK576,'LP Reactivos'!CP576,'LP Reactivos'!CU576,'LP Reactivos'!CZ576,'LP Reactivos'!DE576,'LP Reactivos'!DJ576,'LP Reactivos'!DO576,'LP Reactivos'!DT576,'LP Reactivos'!DY576,'LP Reactivos'!EB576)," ")</f>
        <v>367246.13800000004</v>
      </c>
      <c r="F576" s="345">
        <f>IFERROR(MEDIAN('LP Reactivos'!F576,'LP Reactivos'!I576,'LP Reactivos'!N576,'LP Reactivos'!S576,'LP Reactivos'!X576,'LP Reactivos'!AC576,'LP Reactivos'!AH576,'LP Reactivos'!AM576,'LP Reactivos'!AR576,'LP Reactivos'!AW576,'LP Reactivos'!BB576,'LP Reactivos'!BG576,'LP Reactivos'!BL576,'LP Reactivos'!BQ576,'LP Reactivos'!BV576,'LP Reactivos'!CA576,'LP Reactivos'!CF576,'LP Reactivos'!CK576,'LP Reactivos'!CP576,'LP Reactivos'!CU576,'LP Reactivos'!CZ576,'LP Reactivos'!DE576,'LP Reactivos'!DJ576,'LP Reactivos'!DO576,'LP Reactivos'!DT576,'LP Reactivos'!DY576,'LP Reactivos'!EB576)," ")</f>
        <v>367246.13800000004</v>
      </c>
      <c r="G576" s="345">
        <f>IFERROR(GEOMEAN('LP Reactivos'!F576,'LP Reactivos'!I576,'LP Reactivos'!N576,'LP Reactivos'!S576,'LP Reactivos'!X576,'LP Reactivos'!AC576,'LP Reactivos'!AH576,'LP Reactivos'!AM576,'LP Reactivos'!AR576,'LP Reactivos'!AW576,'LP Reactivos'!BB576,'LP Reactivos'!BG576,'LP Reactivos'!BL576,'LP Reactivos'!BQ576,'LP Reactivos'!BV576,'LP Reactivos'!CA576,'LP Reactivos'!CF576,'LP Reactivos'!CK576,'LP Reactivos'!CP576,'LP Reactivos'!CU576,'LP Reactivos'!CZ576,'LP Reactivos'!DE576,'LP Reactivos'!DJ576,'LP Reactivos'!DO576,'LP Reactivos'!DT576,'LP Reactivos'!DY576,'LP Reactivos'!EB576)," ")</f>
        <v>361870.41514973284</v>
      </c>
      <c r="H576" s="345">
        <f t="shared" si="40"/>
        <v>30512.530542230565</v>
      </c>
      <c r="I576" s="346">
        <f t="shared" si="41"/>
        <v>8.3084687311893696E-2</v>
      </c>
      <c r="J576" s="345">
        <f t="shared" ref="J576:J625" si="43">IF(I576&lt;=10%,F576,IF(AND(I576&gt;10%,I576&lt;=20%),E576,IF(AND(I576&gt;20%,I576&lt;=30%),G576,IF(I576&gt;30%,D576))))</f>
        <v>367246.13800000004</v>
      </c>
      <c r="K576" s="344" t="str">
        <f t="shared" si="42"/>
        <v>Promedio</v>
      </c>
      <c r="L576" s="326">
        <f>IFERROR(COUNTA('LP Reactivos'!F576,'LP Reactivos'!I576,'LP Reactivos'!N576,'LP Reactivos'!S576,'LP Reactivos'!X576,'LP Reactivos'!AC576,'LP Reactivos'!AH576,'LP Reactivos'!AM576,'LP Reactivos'!AR576,'LP Reactivos'!AW576,'LP Reactivos'!BB576,'LP Reactivos'!BG576,'LP Reactivos'!BL576,'LP Reactivos'!BQ576,'LP Reactivos'!BV576,'LP Reactivos'!CA576,'LP Reactivos'!CF576,'LP Reactivos'!CK576,'LP Reactivos'!CP576,'LP Reactivos'!CU576,'LP Reactivos'!CZ576,'LP Reactivos'!DE576,'LP Reactivos'!DJ576,'LP Reactivos'!DO576,'LP Reactivos'!DT576,'LP Reactivos'!DY576,'LP Reactivos'!EB576)," ")</f>
        <v>2</v>
      </c>
    </row>
    <row r="577" spans="2:12" ht="27" x14ac:dyDescent="0.25">
      <c r="B577" s="425">
        <v>575</v>
      </c>
      <c r="C577" s="427" t="s">
        <v>2545</v>
      </c>
      <c r="D577" s="429">
        <f>IFERROR(MIN('LP Reactivos'!F577,'LP Reactivos'!I577,'LP Reactivos'!N577,'LP Reactivos'!S577,'LP Reactivos'!X577,'LP Reactivos'!AC577,'LP Reactivos'!AH577,'LP Reactivos'!AM577,'LP Reactivos'!AR577,'LP Reactivos'!AW577,'LP Reactivos'!BB577,'LP Reactivos'!BG577,'LP Reactivos'!BL577,'LP Reactivos'!BQ577,'LP Reactivos'!BV577,'LP Reactivos'!CA577,'LP Reactivos'!CF577,'LP Reactivos'!CK577,'LP Reactivos'!CP577,'LP Reactivos'!CU577,'LP Reactivos'!CZ577,'LP Reactivos'!DE577,'LP Reactivos'!DJ577,'LP Reactivos'!DO577,'LP Reactivos'!DT577,'LP Reactivos'!DY577,'LP Reactivos'!EB577)," ")</f>
        <v>451010</v>
      </c>
      <c r="E577" s="429">
        <f>IFERROR(AVERAGE('LP Reactivos'!F577,'LP Reactivos'!I577,'LP Reactivos'!N577,'LP Reactivos'!S577,'LP Reactivos'!X577,'LP Reactivos'!AC577,'LP Reactivos'!AH577,'LP Reactivos'!AM577,'LP Reactivos'!AR577,'LP Reactivos'!AW577,'LP Reactivos'!BB577,'LP Reactivos'!BG577,'LP Reactivos'!BL577,'LP Reactivos'!BQ577,'LP Reactivos'!BV577,'LP Reactivos'!CA577,'LP Reactivos'!CF577,'LP Reactivos'!CK577,'LP Reactivos'!CP577,'LP Reactivos'!CU577,'LP Reactivos'!CZ577,'LP Reactivos'!DE577,'LP Reactivos'!DJ577,'LP Reactivos'!DO577,'LP Reactivos'!DT577,'LP Reactivos'!DY577,'LP Reactivos'!EB577)," ")</f>
        <v>451010</v>
      </c>
      <c r="F577" s="345">
        <f>IFERROR(MEDIAN('LP Reactivos'!F577,'LP Reactivos'!I577,'LP Reactivos'!N577,'LP Reactivos'!S577,'LP Reactivos'!X577,'LP Reactivos'!AC577,'LP Reactivos'!AH577,'LP Reactivos'!AM577,'LP Reactivos'!AR577,'LP Reactivos'!AW577,'LP Reactivos'!BB577,'LP Reactivos'!BG577,'LP Reactivos'!BL577,'LP Reactivos'!BQ577,'LP Reactivos'!BV577,'LP Reactivos'!CA577,'LP Reactivos'!CF577,'LP Reactivos'!CK577,'LP Reactivos'!CP577,'LP Reactivos'!CU577,'LP Reactivos'!CZ577,'LP Reactivos'!DE577,'LP Reactivos'!DJ577,'LP Reactivos'!DO577,'LP Reactivos'!DT577,'LP Reactivos'!DY577,'LP Reactivos'!EB577)," ")</f>
        <v>451010</v>
      </c>
      <c r="G577" s="345">
        <f>IFERROR(GEOMEAN('LP Reactivos'!F577,'LP Reactivos'!I577,'LP Reactivos'!N577,'LP Reactivos'!S577,'LP Reactivos'!X577,'LP Reactivos'!AC577,'LP Reactivos'!AH577,'LP Reactivos'!AM577,'LP Reactivos'!AR577,'LP Reactivos'!AW577,'LP Reactivos'!BB577,'LP Reactivos'!BG577,'LP Reactivos'!BL577,'LP Reactivos'!BQ577,'LP Reactivos'!BV577,'LP Reactivos'!CA577,'LP Reactivos'!CF577,'LP Reactivos'!CK577,'LP Reactivos'!CP577,'LP Reactivos'!CU577,'LP Reactivos'!CZ577,'LP Reactivos'!DE577,'LP Reactivos'!DJ577,'LP Reactivos'!DO577,'LP Reactivos'!DT577,'LP Reactivos'!DY577,'LP Reactivos'!EB577)," ")</f>
        <v>451010</v>
      </c>
      <c r="H577" s="345">
        <f t="shared" si="40"/>
        <v>0</v>
      </c>
      <c r="I577" s="346">
        <f t="shared" si="41"/>
        <v>0</v>
      </c>
      <c r="J577" s="345">
        <f t="shared" si="43"/>
        <v>451010</v>
      </c>
      <c r="K577" s="344" t="str">
        <f t="shared" si="42"/>
        <v>Menor Valor</v>
      </c>
      <c r="L577" s="326">
        <f>IFERROR(COUNTA('LP Reactivos'!F577,'LP Reactivos'!I577,'LP Reactivos'!N577,'LP Reactivos'!S577,'LP Reactivos'!X577,'LP Reactivos'!AC577,'LP Reactivos'!AH577,'LP Reactivos'!AM577,'LP Reactivos'!AR577,'LP Reactivos'!AW577,'LP Reactivos'!BB577,'LP Reactivos'!BG577,'LP Reactivos'!BL577,'LP Reactivos'!BQ577,'LP Reactivos'!BV577,'LP Reactivos'!CA577,'LP Reactivos'!CF577,'LP Reactivos'!CK577,'LP Reactivos'!CP577,'LP Reactivos'!CU577,'LP Reactivos'!CZ577,'LP Reactivos'!DE577,'LP Reactivos'!DJ577,'LP Reactivos'!DO577,'LP Reactivos'!DT577,'LP Reactivos'!DY577,'LP Reactivos'!EB577)," ")</f>
        <v>1</v>
      </c>
    </row>
    <row r="578" spans="2:12" ht="27" x14ac:dyDescent="0.25">
      <c r="B578" s="425">
        <v>576</v>
      </c>
      <c r="C578" s="427" t="s">
        <v>2547</v>
      </c>
      <c r="D578" s="429">
        <f>IFERROR(MIN('LP Reactivos'!F578,'LP Reactivos'!I578,'LP Reactivos'!N578,'LP Reactivos'!S578,'LP Reactivos'!X578,'LP Reactivos'!AC578,'LP Reactivos'!AH578,'LP Reactivos'!AM578,'LP Reactivos'!AR578,'LP Reactivos'!AW578,'LP Reactivos'!BB578,'LP Reactivos'!BG578,'LP Reactivos'!BL578,'LP Reactivos'!BQ578,'LP Reactivos'!BV578,'LP Reactivos'!CA578,'LP Reactivos'!CF578,'LP Reactivos'!CK578,'LP Reactivos'!CP578,'LP Reactivos'!CU578,'LP Reactivos'!CZ578,'LP Reactivos'!DE578,'LP Reactivos'!DJ578,'LP Reactivos'!DO578,'LP Reactivos'!DT578,'LP Reactivos'!DY578,'LP Reactivos'!EB578)," ")</f>
        <v>127330</v>
      </c>
      <c r="E578" s="429">
        <f>IFERROR(AVERAGE('LP Reactivos'!F578,'LP Reactivos'!I578,'LP Reactivos'!N578,'LP Reactivos'!S578,'LP Reactivos'!X578,'LP Reactivos'!AC578,'LP Reactivos'!AH578,'LP Reactivos'!AM578,'LP Reactivos'!AR578,'LP Reactivos'!AW578,'LP Reactivos'!BB578,'LP Reactivos'!BG578,'LP Reactivos'!BL578,'LP Reactivos'!BQ578,'LP Reactivos'!BV578,'LP Reactivos'!CA578,'LP Reactivos'!CF578,'LP Reactivos'!CK578,'LP Reactivos'!CP578,'LP Reactivos'!CU578,'LP Reactivos'!CZ578,'LP Reactivos'!DE578,'LP Reactivos'!DJ578,'LP Reactivos'!DO578,'LP Reactivos'!DT578,'LP Reactivos'!DY578,'LP Reactivos'!EB578)," ")</f>
        <v>127330</v>
      </c>
      <c r="F578" s="345">
        <f>IFERROR(MEDIAN('LP Reactivos'!F578,'LP Reactivos'!I578,'LP Reactivos'!N578,'LP Reactivos'!S578,'LP Reactivos'!X578,'LP Reactivos'!AC578,'LP Reactivos'!AH578,'LP Reactivos'!AM578,'LP Reactivos'!AR578,'LP Reactivos'!AW578,'LP Reactivos'!BB578,'LP Reactivos'!BG578,'LP Reactivos'!BL578,'LP Reactivos'!BQ578,'LP Reactivos'!BV578,'LP Reactivos'!CA578,'LP Reactivos'!CF578,'LP Reactivos'!CK578,'LP Reactivos'!CP578,'LP Reactivos'!CU578,'LP Reactivos'!CZ578,'LP Reactivos'!DE578,'LP Reactivos'!DJ578,'LP Reactivos'!DO578,'LP Reactivos'!DT578,'LP Reactivos'!DY578,'LP Reactivos'!EB578)," ")</f>
        <v>127330</v>
      </c>
      <c r="G578" s="345">
        <f>IFERROR(GEOMEAN('LP Reactivos'!F578,'LP Reactivos'!I578,'LP Reactivos'!N578,'LP Reactivos'!S578,'LP Reactivos'!X578,'LP Reactivos'!AC578,'LP Reactivos'!AH578,'LP Reactivos'!AM578,'LP Reactivos'!AR578,'LP Reactivos'!AW578,'LP Reactivos'!BB578,'LP Reactivos'!BG578,'LP Reactivos'!BL578,'LP Reactivos'!BQ578,'LP Reactivos'!BV578,'LP Reactivos'!CA578,'LP Reactivos'!CF578,'LP Reactivos'!CK578,'LP Reactivos'!CP578,'LP Reactivos'!CU578,'LP Reactivos'!CZ578,'LP Reactivos'!DE578,'LP Reactivos'!DJ578,'LP Reactivos'!DO578,'LP Reactivos'!DT578,'LP Reactivos'!DY578,'LP Reactivos'!EB578)," ")</f>
        <v>127330</v>
      </c>
      <c r="H578" s="345">
        <f t="shared" si="40"/>
        <v>0</v>
      </c>
      <c r="I578" s="346">
        <f t="shared" si="41"/>
        <v>0</v>
      </c>
      <c r="J578" s="345">
        <f t="shared" si="43"/>
        <v>127330</v>
      </c>
      <c r="K578" s="344" t="str">
        <f t="shared" si="42"/>
        <v>Menor Valor</v>
      </c>
      <c r="L578" s="326">
        <f>IFERROR(COUNTA('LP Reactivos'!F578,'LP Reactivos'!I578,'LP Reactivos'!N578,'LP Reactivos'!S578,'LP Reactivos'!X578,'LP Reactivos'!AC578,'LP Reactivos'!AH578,'LP Reactivos'!AM578,'LP Reactivos'!AR578,'LP Reactivos'!AW578,'LP Reactivos'!BB578,'LP Reactivos'!BG578,'LP Reactivos'!BL578,'LP Reactivos'!BQ578,'LP Reactivos'!BV578,'LP Reactivos'!CA578,'LP Reactivos'!CF578,'LP Reactivos'!CK578,'LP Reactivos'!CP578,'LP Reactivos'!CU578,'LP Reactivos'!CZ578,'LP Reactivos'!DE578,'LP Reactivos'!DJ578,'LP Reactivos'!DO578,'LP Reactivos'!DT578,'LP Reactivos'!DY578,'LP Reactivos'!EB578)," ")</f>
        <v>1</v>
      </c>
    </row>
    <row r="579" spans="2:12" ht="27" x14ac:dyDescent="0.25">
      <c r="B579" s="425">
        <v>577</v>
      </c>
      <c r="C579" s="427" t="s">
        <v>2549</v>
      </c>
      <c r="D579" s="429">
        <f>IFERROR(MIN('LP Reactivos'!F579,'LP Reactivos'!I579,'LP Reactivos'!N579,'LP Reactivos'!S579,'LP Reactivos'!X579,'LP Reactivos'!AC579,'LP Reactivos'!AH579,'LP Reactivos'!AM579,'LP Reactivos'!AR579,'LP Reactivos'!AW579,'LP Reactivos'!BB579,'LP Reactivos'!BG579,'LP Reactivos'!BL579,'LP Reactivos'!BQ579,'LP Reactivos'!BV579,'LP Reactivos'!CA579,'LP Reactivos'!CF579,'LP Reactivos'!CK579,'LP Reactivos'!CP579,'LP Reactivos'!CU579,'LP Reactivos'!CZ579,'LP Reactivos'!DE579,'LP Reactivos'!DJ579,'LP Reactivos'!DO579,'LP Reactivos'!DT579,'LP Reactivos'!DY579,'LP Reactivos'!EB579)," ")</f>
        <v>127330</v>
      </c>
      <c r="E579" s="429">
        <f>IFERROR(AVERAGE('LP Reactivos'!F579,'LP Reactivos'!I579,'LP Reactivos'!N579,'LP Reactivos'!S579,'LP Reactivos'!X579,'LP Reactivos'!AC579,'LP Reactivos'!AH579,'LP Reactivos'!AM579,'LP Reactivos'!AR579,'LP Reactivos'!AW579,'LP Reactivos'!BB579,'LP Reactivos'!BG579,'LP Reactivos'!BL579,'LP Reactivos'!BQ579,'LP Reactivos'!BV579,'LP Reactivos'!CA579,'LP Reactivos'!CF579,'LP Reactivos'!CK579,'LP Reactivos'!CP579,'LP Reactivos'!CU579,'LP Reactivos'!CZ579,'LP Reactivos'!DE579,'LP Reactivos'!DJ579,'LP Reactivos'!DO579,'LP Reactivos'!DT579,'LP Reactivos'!DY579,'LP Reactivos'!EB579)," ")</f>
        <v>127330</v>
      </c>
      <c r="F579" s="345">
        <f>IFERROR(MEDIAN('LP Reactivos'!F579,'LP Reactivos'!I579,'LP Reactivos'!N579,'LP Reactivos'!S579,'LP Reactivos'!X579,'LP Reactivos'!AC579,'LP Reactivos'!AH579,'LP Reactivos'!AM579,'LP Reactivos'!AR579,'LP Reactivos'!AW579,'LP Reactivos'!BB579,'LP Reactivos'!BG579,'LP Reactivos'!BL579,'LP Reactivos'!BQ579,'LP Reactivos'!BV579,'LP Reactivos'!CA579,'LP Reactivos'!CF579,'LP Reactivos'!CK579,'LP Reactivos'!CP579,'LP Reactivos'!CU579,'LP Reactivos'!CZ579,'LP Reactivos'!DE579,'LP Reactivos'!DJ579,'LP Reactivos'!DO579,'LP Reactivos'!DT579,'LP Reactivos'!DY579,'LP Reactivos'!EB579)," ")</f>
        <v>127330</v>
      </c>
      <c r="G579" s="345">
        <f>IFERROR(GEOMEAN('LP Reactivos'!F579,'LP Reactivos'!I579,'LP Reactivos'!N579,'LP Reactivos'!S579,'LP Reactivos'!X579,'LP Reactivos'!AC579,'LP Reactivos'!AH579,'LP Reactivos'!AM579,'LP Reactivos'!AR579,'LP Reactivos'!AW579,'LP Reactivos'!BB579,'LP Reactivos'!BG579,'LP Reactivos'!BL579,'LP Reactivos'!BQ579,'LP Reactivos'!BV579,'LP Reactivos'!CA579,'LP Reactivos'!CF579,'LP Reactivos'!CK579,'LP Reactivos'!CP579,'LP Reactivos'!CU579,'LP Reactivos'!CZ579,'LP Reactivos'!DE579,'LP Reactivos'!DJ579,'LP Reactivos'!DO579,'LP Reactivos'!DT579,'LP Reactivos'!DY579,'LP Reactivos'!EB579)," ")</f>
        <v>127330</v>
      </c>
      <c r="H579" s="345">
        <f t="shared" si="40"/>
        <v>0</v>
      </c>
      <c r="I579" s="346">
        <f t="shared" si="41"/>
        <v>0</v>
      </c>
      <c r="J579" s="345">
        <f t="shared" si="43"/>
        <v>127330</v>
      </c>
      <c r="K579" s="344" t="str">
        <f t="shared" si="42"/>
        <v>Menor Valor</v>
      </c>
      <c r="L579" s="326">
        <f>IFERROR(COUNTA('LP Reactivos'!F579,'LP Reactivos'!I579,'LP Reactivos'!N579,'LP Reactivos'!S579,'LP Reactivos'!X579,'LP Reactivos'!AC579,'LP Reactivos'!AH579,'LP Reactivos'!AM579,'LP Reactivos'!AR579,'LP Reactivos'!AW579,'LP Reactivos'!BB579,'LP Reactivos'!BG579,'LP Reactivos'!BL579,'LP Reactivos'!BQ579,'LP Reactivos'!BV579,'LP Reactivos'!CA579,'LP Reactivos'!CF579,'LP Reactivos'!CK579,'LP Reactivos'!CP579,'LP Reactivos'!CU579,'LP Reactivos'!CZ579,'LP Reactivos'!DE579,'LP Reactivos'!DJ579,'LP Reactivos'!DO579,'LP Reactivos'!DT579,'LP Reactivos'!DY579,'LP Reactivos'!EB579)," ")</f>
        <v>1</v>
      </c>
    </row>
    <row r="580" spans="2:12" ht="27" x14ac:dyDescent="0.25">
      <c r="B580" s="425">
        <v>578</v>
      </c>
      <c r="C580" s="427" t="s">
        <v>2552</v>
      </c>
      <c r="D580" s="429">
        <f>IFERROR(MIN('LP Reactivos'!F580,'LP Reactivos'!I580,'LP Reactivos'!N580,'LP Reactivos'!S580,'LP Reactivos'!X580,'LP Reactivos'!AC580,'LP Reactivos'!AH580,'LP Reactivos'!AM580,'LP Reactivos'!AR580,'LP Reactivos'!AW580,'LP Reactivos'!BB580,'LP Reactivos'!BG580,'LP Reactivos'!BL580,'LP Reactivos'!BQ580,'LP Reactivos'!BV580,'LP Reactivos'!CA580,'LP Reactivos'!CF580,'LP Reactivos'!CK580,'LP Reactivos'!CP580,'LP Reactivos'!CU580,'LP Reactivos'!CZ580,'LP Reactivos'!DE580,'LP Reactivos'!DJ580,'LP Reactivos'!DO580,'LP Reactivos'!DT580,'LP Reactivos'!DY580,'LP Reactivos'!EB580)," ")</f>
        <v>304640</v>
      </c>
      <c r="E580" s="429">
        <f>IFERROR(AVERAGE('LP Reactivos'!F580,'LP Reactivos'!I580,'LP Reactivos'!N580,'LP Reactivos'!S580,'LP Reactivos'!X580,'LP Reactivos'!AC580,'LP Reactivos'!AH580,'LP Reactivos'!AM580,'LP Reactivos'!AR580,'LP Reactivos'!AW580,'LP Reactivos'!BB580,'LP Reactivos'!BG580,'LP Reactivos'!BL580,'LP Reactivos'!BQ580,'LP Reactivos'!BV580,'LP Reactivos'!CA580,'LP Reactivos'!CF580,'LP Reactivos'!CK580,'LP Reactivos'!CP580,'LP Reactivos'!CU580,'LP Reactivos'!CZ580,'LP Reactivos'!DE580,'LP Reactivos'!DJ580,'LP Reactivos'!DO580,'LP Reactivos'!DT580,'LP Reactivos'!DY580,'LP Reactivos'!EB580)," ")</f>
        <v>304640</v>
      </c>
      <c r="F580" s="345">
        <f>IFERROR(MEDIAN('LP Reactivos'!F580,'LP Reactivos'!I580,'LP Reactivos'!N580,'LP Reactivos'!S580,'LP Reactivos'!X580,'LP Reactivos'!AC580,'LP Reactivos'!AH580,'LP Reactivos'!AM580,'LP Reactivos'!AR580,'LP Reactivos'!AW580,'LP Reactivos'!BB580,'LP Reactivos'!BG580,'LP Reactivos'!BL580,'LP Reactivos'!BQ580,'LP Reactivos'!BV580,'LP Reactivos'!CA580,'LP Reactivos'!CF580,'LP Reactivos'!CK580,'LP Reactivos'!CP580,'LP Reactivos'!CU580,'LP Reactivos'!CZ580,'LP Reactivos'!DE580,'LP Reactivos'!DJ580,'LP Reactivos'!DO580,'LP Reactivos'!DT580,'LP Reactivos'!DY580,'LP Reactivos'!EB580)," ")</f>
        <v>304640</v>
      </c>
      <c r="G580" s="345">
        <f>IFERROR(GEOMEAN('LP Reactivos'!F580,'LP Reactivos'!I580,'LP Reactivos'!N580,'LP Reactivos'!S580,'LP Reactivos'!X580,'LP Reactivos'!AC580,'LP Reactivos'!AH580,'LP Reactivos'!AM580,'LP Reactivos'!AR580,'LP Reactivos'!AW580,'LP Reactivos'!BB580,'LP Reactivos'!BG580,'LP Reactivos'!BL580,'LP Reactivos'!BQ580,'LP Reactivos'!BV580,'LP Reactivos'!CA580,'LP Reactivos'!CF580,'LP Reactivos'!CK580,'LP Reactivos'!CP580,'LP Reactivos'!CU580,'LP Reactivos'!CZ580,'LP Reactivos'!DE580,'LP Reactivos'!DJ580,'LP Reactivos'!DO580,'LP Reactivos'!DT580,'LP Reactivos'!DY580,'LP Reactivos'!EB580)," ")</f>
        <v>304640</v>
      </c>
      <c r="H580" s="345">
        <f t="shared" si="40"/>
        <v>0</v>
      </c>
      <c r="I580" s="346">
        <f t="shared" si="41"/>
        <v>0</v>
      </c>
      <c r="J580" s="345">
        <f t="shared" si="43"/>
        <v>304640</v>
      </c>
      <c r="K580" s="344" t="str">
        <f t="shared" si="42"/>
        <v>Menor Valor</v>
      </c>
      <c r="L580" s="326">
        <f>IFERROR(COUNTA('LP Reactivos'!F580,'LP Reactivos'!I580,'LP Reactivos'!N580,'LP Reactivos'!S580,'LP Reactivos'!X580,'LP Reactivos'!AC580,'LP Reactivos'!AH580,'LP Reactivos'!AM580,'LP Reactivos'!AR580,'LP Reactivos'!AW580,'LP Reactivos'!BB580,'LP Reactivos'!BG580,'LP Reactivos'!BL580,'LP Reactivos'!BQ580,'LP Reactivos'!BV580,'LP Reactivos'!CA580,'LP Reactivos'!CF580,'LP Reactivos'!CK580,'LP Reactivos'!CP580,'LP Reactivos'!CU580,'LP Reactivos'!CZ580,'LP Reactivos'!DE580,'LP Reactivos'!DJ580,'LP Reactivos'!DO580,'LP Reactivos'!DT580,'LP Reactivos'!DY580,'LP Reactivos'!EB580)," ")</f>
        <v>1</v>
      </c>
    </row>
    <row r="581" spans="2:12" ht="27" x14ac:dyDescent="0.25">
      <c r="B581" s="425">
        <v>579</v>
      </c>
      <c r="C581" s="427" t="s">
        <v>2554</v>
      </c>
      <c r="D581" s="429">
        <f>IFERROR(MIN('LP Reactivos'!F581,'LP Reactivos'!I581,'LP Reactivos'!N581,'LP Reactivos'!S581,'LP Reactivos'!X581,'LP Reactivos'!AC581,'LP Reactivos'!AH581,'LP Reactivos'!AM581,'LP Reactivos'!AR581,'LP Reactivos'!AW581,'LP Reactivos'!BB581,'LP Reactivos'!BG581,'LP Reactivos'!BL581,'LP Reactivos'!BQ581,'LP Reactivos'!BV581,'LP Reactivos'!CA581,'LP Reactivos'!CF581,'LP Reactivos'!CK581,'LP Reactivos'!CP581,'LP Reactivos'!CU581,'LP Reactivos'!CZ581,'LP Reactivos'!DE581,'LP Reactivos'!DJ581,'LP Reactivos'!DO581,'LP Reactivos'!DT581,'LP Reactivos'!DY581,'LP Reactivos'!EB581)," ")</f>
        <v>304640</v>
      </c>
      <c r="E581" s="429">
        <f>IFERROR(AVERAGE('LP Reactivos'!F581,'LP Reactivos'!I581,'LP Reactivos'!N581,'LP Reactivos'!S581,'LP Reactivos'!X581,'LP Reactivos'!AC581,'LP Reactivos'!AH581,'LP Reactivos'!AM581,'LP Reactivos'!AR581,'LP Reactivos'!AW581,'LP Reactivos'!BB581,'LP Reactivos'!BG581,'LP Reactivos'!BL581,'LP Reactivos'!BQ581,'LP Reactivos'!BV581,'LP Reactivos'!CA581,'LP Reactivos'!CF581,'LP Reactivos'!CK581,'LP Reactivos'!CP581,'LP Reactivos'!CU581,'LP Reactivos'!CZ581,'LP Reactivos'!DE581,'LP Reactivos'!DJ581,'LP Reactivos'!DO581,'LP Reactivos'!DT581,'LP Reactivos'!DY581,'LP Reactivos'!EB581)," ")</f>
        <v>367246.13800000004</v>
      </c>
      <c r="F581" s="345">
        <f>IFERROR(MEDIAN('LP Reactivos'!F581,'LP Reactivos'!I581,'LP Reactivos'!N581,'LP Reactivos'!S581,'LP Reactivos'!X581,'LP Reactivos'!AC581,'LP Reactivos'!AH581,'LP Reactivos'!AM581,'LP Reactivos'!AR581,'LP Reactivos'!AW581,'LP Reactivos'!BB581,'LP Reactivos'!BG581,'LP Reactivos'!BL581,'LP Reactivos'!BQ581,'LP Reactivos'!BV581,'LP Reactivos'!CA581,'LP Reactivos'!CF581,'LP Reactivos'!CK581,'LP Reactivos'!CP581,'LP Reactivos'!CU581,'LP Reactivos'!CZ581,'LP Reactivos'!DE581,'LP Reactivos'!DJ581,'LP Reactivos'!DO581,'LP Reactivos'!DT581,'LP Reactivos'!DY581,'LP Reactivos'!EB581)," ")</f>
        <v>367246.13800000004</v>
      </c>
      <c r="G581" s="345">
        <f>IFERROR(GEOMEAN('LP Reactivos'!F581,'LP Reactivos'!I581,'LP Reactivos'!N581,'LP Reactivos'!S581,'LP Reactivos'!X581,'LP Reactivos'!AC581,'LP Reactivos'!AH581,'LP Reactivos'!AM581,'LP Reactivos'!AR581,'LP Reactivos'!AW581,'LP Reactivos'!BB581,'LP Reactivos'!BG581,'LP Reactivos'!BL581,'LP Reactivos'!BQ581,'LP Reactivos'!BV581,'LP Reactivos'!CA581,'LP Reactivos'!CF581,'LP Reactivos'!CK581,'LP Reactivos'!CP581,'LP Reactivos'!CU581,'LP Reactivos'!CZ581,'LP Reactivos'!DE581,'LP Reactivos'!DJ581,'LP Reactivos'!DO581,'LP Reactivos'!DT581,'LP Reactivos'!DY581,'LP Reactivos'!EB581)," ")</f>
        <v>361870.41514973284</v>
      </c>
      <c r="H581" s="345">
        <f t="shared" si="40"/>
        <v>30512.530542230565</v>
      </c>
      <c r="I581" s="346">
        <f t="shared" si="41"/>
        <v>8.3084687311893696E-2</v>
      </c>
      <c r="J581" s="345">
        <f t="shared" si="43"/>
        <v>367246.13800000004</v>
      </c>
      <c r="K581" s="344" t="str">
        <f t="shared" si="42"/>
        <v>Promedio</v>
      </c>
      <c r="L581" s="326">
        <f>IFERROR(COUNTA('LP Reactivos'!F581,'LP Reactivos'!I581,'LP Reactivos'!N581,'LP Reactivos'!S581,'LP Reactivos'!X581,'LP Reactivos'!AC581,'LP Reactivos'!AH581,'LP Reactivos'!AM581,'LP Reactivos'!AR581,'LP Reactivos'!AW581,'LP Reactivos'!BB581,'LP Reactivos'!BG581,'LP Reactivos'!BL581,'LP Reactivos'!BQ581,'LP Reactivos'!BV581,'LP Reactivos'!CA581,'LP Reactivos'!CF581,'LP Reactivos'!CK581,'LP Reactivos'!CP581,'LP Reactivos'!CU581,'LP Reactivos'!CZ581,'LP Reactivos'!DE581,'LP Reactivos'!DJ581,'LP Reactivos'!DO581,'LP Reactivos'!DT581,'LP Reactivos'!DY581,'LP Reactivos'!EB581)," ")</f>
        <v>2</v>
      </c>
    </row>
    <row r="582" spans="2:12" ht="27" x14ac:dyDescent="0.25">
      <c r="B582" s="425">
        <v>580</v>
      </c>
      <c r="C582" s="427" t="s">
        <v>2555</v>
      </c>
      <c r="D582" s="429">
        <f>IFERROR(MIN('LP Reactivos'!F582,'LP Reactivos'!I582,'LP Reactivos'!N582,'LP Reactivos'!S582,'LP Reactivos'!X582,'LP Reactivos'!AC582,'LP Reactivos'!AH582,'LP Reactivos'!AM582,'LP Reactivos'!AR582,'LP Reactivos'!AW582,'LP Reactivos'!BB582,'LP Reactivos'!BG582,'LP Reactivos'!BL582,'LP Reactivos'!BQ582,'LP Reactivos'!BV582,'LP Reactivos'!CA582,'LP Reactivos'!CF582,'LP Reactivos'!CK582,'LP Reactivos'!CP582,'LP Reactivos'!CU582,'LP Reactivos'!CZ582,'LP Reactivos'!DE582,'LP Reactivos'!DJ582,'LP Reactivos'!DO582,'LP Reactivos'!DT582,'LP Reactivos'!DY582,'LP Reactivos'!EB582)," ")</f>
        <v>744940</v>
      </c>
      <c r="E582" s="429">
        <f>IFERROR(AVERAGE('LP Reactivos'!F582,'LP Reactivos'!I582,'LP Reactivos'!N582,'LP Reactivos'!S582,'LP Reactivos'!X582,'LP Reactivos'!AC582,'LP Reactivos'!AH582,'LP Reactivos'!AM582,'LP Reactivos'!AR582,'LP Reactivos'!AW582,'LP Reactivos'!BB582,'LP Reactivos'!BG582,'LP Reactivos'!BL582,'LP Reactivos'!BQ582,'LP Reactivos'!BV582,'LP Reactivos'!CA582,'LP Reactivos'!CF582,'LP Reactivos'!CK582,'LP Reactivos'!CP582,'LP Reactivos'!CU582,'LP Reactivos'!CZ582,'LP Reactivos'!DE582,'LP Reactivos'!DJ582,'LP Reactivos'!DO582,'LP Reactivos'!DT582,'LP Reactivos'!DY582,'LP Reactivos'!EB582)," ")</f>
        <v>744940</v>
      </c>
      <c r="F582" s="345">
        <f>IFERROR(MEDIAN('LP Reactivos'!F582,'LP Reactivos'!I582,'LP Reactivos'!N582,'LP Reactivos'!S582,'LP Reactivos'!X582,'LP Reactivos'!AC582,'LP Reactivos'!AH582,'LP Reactivos'!AM582,'LP Reactivos'!AR582,'LP Reactivos'!AW582,'LP Reactivos'!BB582,'LP Reactivos'!BG582,'LP Reactivos'!BL582,'LP Reactivos'!BQ582,'LP Reactivos'!BV582,'LP Reactivos'!CA582,'LP Reactivos'!CF582,'LP Reactivos'!CK582,'LP Reactivos'!CP582,'LP Reactivos'!CU582,'LP Reactivos'!CZ582,'LP Reactivos'!DE582,'LP Reactivos'!DJ582,'LP Reactivos'!DO582,'LP Reactivos'!DT582,'LP Reactivos'!DY582,'LP Reactivos'!EB582)," ")</f>
        <v>744940</v>
      </c>
      <c r="G582" s="345">
        <f>IFERROR(GEOMEAN('LP Reactivos'!F582,'LP Reactivos'!I582,'LP Reactivos'!N582,'LP Reactivos'!S582,'LP Reactivos'!X582,'LP Reactivos'!AC582,'LP Reactivos'!AH582,'LP Reactivos'!AM582,'LP Reactivos'!AR582,'LP Reactivos'!AW582,'LP Reactivos'!BB582,'LP Reactivos'!BG582,'LP Reactivos'!BL582,'LP Reactivos'!BQ582,'LP Reactivos'!BV582,'LP Reactivos'!CA582,'LP Reactivos'!CF582,'LP Reactivos'!CK582,'LP Reactivos'!CP582,'LP Reactivos'!CU582,'LP Reactivos'!CZ582,'LP Reactivos'!DE582,'LP Reactivos'!DJ582,'LP Reactivos'!DO582,'LP Reactivos'!DT582,'LP Reactivos'!DY582,'LP Reactivos'!EB582)," ")</f>
        <v>744940</v>
      </c>
      <c r="H582" s="345">
        <f t="shared" si="40"/>
        <v>0</v>
      </c>
      <c r="I582" s="346">
        <f t="shared" si="41"/>
        <v>0</v>
      </c>
      <c r="J582" s="345">
        <f t="shared" si="43"/>
        <v>744940</v>
      </c>
      <c r="K582" s="344" t="str">
        <f t="shared" si="42"/>
        <v>Menor Valor</v>
      </c>
      <c r="L582" s="326">
        <f>IFERROR(COUNTA('LP Reactivos'!F582,'LP Reactivos'!I582,'LP Reactivos'!N582,'LP Reactivos'!S582,'LP Reactivos'!X582,'LP Reactivos'!AC582,'LP Reactivos'!AH582,'LP Reactivos'!AM582,'LP Reactivos'!AR582,'LP Reactivos'!AW582,'LP Reactivos'!BB582,'LP Reactivos'!BG582,'LP Reactivos'!BL582,'LP Reactivos'!BQ582,'LP Reactivos'!BV582,'LP Reactivos'!CA582,'LP Reactivos'!CF582,'LP Reactivos'!CK582,'LP Reactivos'!CP582,'LP Reactivos'!CU582,'LP Reactivos'!CZ582,'LP Reactivos'!DE582,'LP Reactivos'!DJ582,'LP Reactivos'!DO582,'LP Reactivos'!DT582,'LP Reactivos'!DY582,'LP Reactivos'!EB582)," ")</f>
        <v>1</v>
      </c>
    </row>
    <row r="583" spans="2:12" ht="27" x14ac:dyDescent="0.25">
      <c r="B583" s="425">
        <v>581</v>
      </c>
      <c r="C583" s="427" t="s">
        <v>2557</v>
      </c>
      <c r="D583" s="429">
        <f>IFERROR(MIN('LP Reactivos'!F583,'LP Reactivos'!I583,'LP Reactivos'!N583,'LP Reactivos'!S583,'LP Reactivos'!X583,'LP Reactivos'!AC583,'LP Reactivos'!AH583,'LP Reactivos'!AM583,'LP Reactivos'!AR583,'LP Reactivos'!AW583,'LP Reactivos'!BB583,'LP Reactivos'!BG583,'LP Reactivos'!BL583,'LP Reactivos'!BQ583,'LP Reactivos'!BV583,'LP Reactivos'!CA583,'LP Reactivos'!CF583,'LP Reactivos'!CK583,'LP Reactivos'!CP583,'LP Reactivos'!CU583,'LP Reactivos'!CZ583,'LP Reactivos'!DE583,'LP Reactivos'!DJ583,'LP Reactivos'!DO583,'LP Reactivos'!DT583,'LP Reactivos'!DY583,'LP Reactivos'!EB583)," ")</f>
        <v>304640</v>
      </c>
      <c r="E583" s="429">
        <f>IFERROR(AVERAGE('LP Reactivos'!F583,'LP Reactivos'!I583,'LP Reactivos'!N583,'LP Reactivos'!S583,'LP Reactivos'!X583,'LP Reactivos'!AC583,'LP Reactivos'!AH583,'LP Reactivos'!AM583,'LP Reactivos'!AR583,'LP Reactivos'!AW583,'LP Reactivos'!BB583,'LP Reactivos'!BG583,'LP Reactivos'!BL583,'LP Reactivos'!BQ583,'LP Reactivos'!BV583,'LP Reactivos'!CA583,'LP Reactivos'!CF583,'LP Reactivos'!CK583,'LP Reactivos'!CP583,'LP Reactivos'!CU583,'LP Reactivos'!CZ583,'LP Reactivos'!DE583,'LP Reactivos'!DJ583,'LP Reactivos'!DO583,'LP Reactivos'!DT583,'LP Reactivos'!DY583,'LP Reactivos'!EB583)," ")</f>
        <v>304640</v>
      </c>
      <c r="F583" s="345">
        <f>IFERROR(MEDIAN('LP Reactivos'!F583,'LP Reactivos'!I583,'LP Reactivos'!N583,'LP Reactivos'!S583,'LP Reactivos'!X583,'LP Reactivos'!AC583,'LP Reactivos'!AH583,'LP Reactivos'!AM583,'LP Reactivos'!AR583,'LP Reactivos'!AW583,'LP Reactivos'!BB583,'LP Reactivos'!BG583,'LP Reactivos'!BL583,'LP Reactivos'!BQ583,'LP Reactivos'!BV583,'LP Reactivos'!CA583,'LP Reactivos'!CF583,'LP Reactivos'!CK583,'LP Reactivos'!CP583,'LP Reactivos'!CU583,'LP Reactivos'!CZ583,'LP Reactivos'!DE583,'LP Reactivos'!DJ583,'LP Reactivos'!DO583,'LP Reactivos'!DT583,'LP Reactivos'!DY583,'LP Reactivos'!EB583)," ")</f>
        <v>304640</v>
      </c>
      <c r="G583" s="345">
        <f>IFERROR(GEOMEAN('LP Reactivos'!F583,'LP Reactivos'!I583,'LP Reactivos'!N583,'LP Reactivos'!S583,'LP Reactivos'!X583,'LP Reactivos'!AC583,'LP Reactivos'!AH583,'LP Reactivos'!AM583,'LP Reactivos'!AR583,'LP Reactivos'!AW583,'LP Reactivos'!BB583,'LP Reactivos'!BG583,'LP Reactivos'!BL583,'LP Reactivos'!BQ583,'LP Reactivos'!BV583,'LP Reactivos'!CA583,'LP Reactivos'!CF583,'LP Reactivos'!CK583,'LP Reactivos'!CP583,'LP Reactivos'!CU583,'LP Reactivos'!CZ583,'LP Reactivos'!DE583,'LP Reactivos'!DJ583,'LP Reactivos'!DO583,'LP Reactivos'!DT583,'LP Reactivos'!DY583,'LP Reactivos'!EB583)," ")</f>
        <v>304640</v>
      </c>
      <c r="H583" s="345">
        <f t="shared" si="40"/>
        <v>0</v>
      </c>
      <c r="I583" s="346">
        <f t="shared" si="41"/>
        <v>0</v>
      </c>
      <c r="J583" s="345">
        <f t="shared" si="43"/>
        <v>304640</v>
      </c>
      <c r="K583" s="344" t="str">
        <f t="shared" si="42"/>
        <v>Menor Valor</v>
      </c>
      <c r="L583" s="326">
        <f>IFERROR(COUNTA('LP Reactivos'!F583,'LP Reactivos'!I583,'LP Reactivos'!N583,'LP Reactivos'!S583,'LP Reactivos'!X583,'LP Reactivos'!AC583,'LP Reactivos'!AH583,'LP Reactivos'!AM583,'LP Reactivos'!AR583,'LP Reactivos'!AW583,'LP Reactivos'!BB583,'LP Reactivos'!BG583,'LP Reactivos'!BL583,'LP Reactivos'!BQ583,'LP Reactivos'!BV583,'LP Reactivos'!CA583,'LP Reactivos'!CF583,'LP Reactivos'!CK583,'LP Reactivos'!CP583,'LP Reactivos'!CU583,'LP Reactivos'!CZ583,'LP Reactivos'!DE583,'LP Reactivos'!DJ583,'LP Reactivos'!DO583,'LP Reactivos'!DT583,'LP Reactivos'!DY583,'LP Reactivos'!EB583)," ")</f>
        <v>1</v>
      </c>
    </row>
    <row r="584" spans="2:12" x14ac:dyDescent="0.25">
      <c r="B584" s="425">
        <v>582</v>
      </c>
      <c r="C584" s="427" t="s">
        <v>2559</v>
      </c>
      <c r="D584" s="429">
        <f>IFERROR(MIN('LP Reactivos'!F584,'LP Reactivos'!I584,'LP Reactivos'!N584,'LP Reactivos'!S584,'LP Reactivos'!X584,'LP Reactivos'!AC584,'LP Reactivos'!AH584,'LP Reactivos'!AM584,'LP Reactivos'!AR584,'LP Reactivos'!AW584,'LP Reactivos'!BB584,'LP Reactivos'!BG584,'LP Reactivos'!BL584,'LP Reactivos'!BQ584,'LP Reactivos'!BV584,'LP Reactivos'!CA584,'LP Reactivos'!CF584,'LP Reactivos'!CK584,'LP Reactivos'!CP584,'LP Reactivos'!CU584,'LP Reactivos'!CZ584,'LP Reactivos'!DE584,'LP Reactivos'!DJ584,'LP Reactivos'!DO584,'LP Reactivos'!DT584,'LP Reactivos'!DY584,'LP Reactivos'!EB584)," ")</f>
        <v>396117</v>
      </c>
      <c r="E584" s="429">
        <f>IFERROR(AVERAGE('LP Reactivos'!F584,'LP Reactivos'!I584,'LP Reactivos'!N584,'LP Reactivos'!S584,'LP Reactivos'!X584,'LP Reactivos'!AC584,'LP Reactivos'!AH584,'LP Reactivos'!AM584,'LP Reactivos'!AR584,'LP Reactivos'!AW584,'LP Reactivos'!BB584,'LP Reactivos'!BG584,'LP Reactivos'!BL584,'LP Reactivos'!BQ584,'LP Reactivos'!BV584,'LP Reactivos'!CA584,'LP Reactivos'!CF584,'LP Reactivos'!CK584,'LP Reactivos'!CP584,'LP Reactivos'!CU584,'LP Reactivos'!CZ584,'LP Reactivos'!DE584,'LP Reactivos'!DJ584,'LP Reactivos'!DO584,'LP Reactivos'!DT584,'LP Reactivos'!DY584,'LP Reactivos'!EB584)," ")</f>
        <v>459156.94963333337</v>
      </c>
      <c r="F584" s="345">
        <f>IFERROR(MEDIAN('LP Reactivos'!F584,'LP Reactivos'!I584,'LP Reactivos'!N584,'LP Reactivos'!S584,'LP Reactivos'!X584,'LP Reactivos'!AC584,'LP Reactivos'!AH584,'LP Reactivos'!AM584,'LP Reactivos'!AR584,'LP Reactivos'!AW584,'LP Reactivos'!BB584,'LP Reactivos'!BG584,'LP Reactivos'!BL584,'LP Reactivos'!BQ584,'LP Reactivos'!BV584,'LP Reactivos'!CA584,'LP Reactivos'!CF584,'LP Reactivos'!CK584,'LP Reactivos'!CP584,'LP Reactivos'!CU584,'LP Reactivos'!CZ584,'LP Reactivos'!DE584,'LP Reactivos'!DJ584,'LP Reactivos'!DO584,'LP Reactivos'!DT584,'LP Reactivos'!DY584,'LP Reactivos'!EB584)," ")</f>
        <v>461353.84889999998</v>
      </c>
      <c r="G584" s="345">
        <f>IFERROR(GEOMEAN('LP Reactivos'!F584,'LP Reactivos'!I584,'LP Reactivos'!N584,'LP Reactivos'!S584,'LP Reactivos'!X584,'LP Reactivos'!AC584,'LP Reactivos'!AH584,'LP Reactivos'!AM584,'LP Reactivos'!AR584,'LP Reactivos'!AW584,'LP Reactivos'!BB584,'LP Reactivos'!BG584,'LP Reactivos'!BL584,'LP Reactivos'!BQ584,'LP Reactivos'!BV584,'LP Reactivos'!CA584,'LP Reactivos'!CF584,'LP Reactivos'!CK584,'LP Reactivos'!CP584,'LP Reactivos'!CU584,'LP Reactivos'!CZ584,'LP Reactivos'!DE584,'LP Reactivos'!DJ584,'LP Reactivos'!DO584,'LP Reactivos'!DT584,'LP Reactivos'!DY584,'LP Reactivos'!EB584)," ")</f>
        <v>456338.37440797145</v>
      </c>
      <c r="H584" s="345">
        <f t="shared" si="40"/>
        <v>31483.357186547531</v>
      </c>
      <c r="I584" s="346">
        <f t="shared" si="41"/>
        <v>6.8567746195911952E-2</v>
      </c>
      <c r="J584" s="345">
        <f t="shared" si="43"/>
        <v>461353.84889999998</v>
      </c>
      <c r="K584" s="344" t="str">
        <f t="shared" si="42"/>
        <v>Mediana</v>
      </c>
      <c r="L584" s="326">
        <f>IFERROR(COUNTA('LP Reactivos'!F584,'LP Reactivos'!I584,'LP Reactivos'!N584,'LP Reactivos'!S584,'LP Reactivos'!X584,'LP Reactivos'!AC584,'LP Reactivos'!AH584,'LP Reactivos'!AM584,'LP Reactivos'!AR584,'LP Reactivos'!AW584,'LP Reactivos'!BB584,'LP Reactivos'!BG584,'LP Reactivos'!BL584,'LP Reactivos'!BQ584,'LP Reactivos'!BV584,'LP Reactivos'!CA584,'LP Reactivos'!CF584,'LP Reactivos'!CK584,'LP Reactivos'!CP584,'LP Reactivos'!CU584,'LP Reactivos'!CZ584,'LP Reactivos'!DE584,'LP Reactivos'!DJ584,'LP Reactivos'!DO584,'LP Reactivos'!DT584,'LP Reactivos'!DY584,'LP Reactivos'!EB584)," ")</f>
        <v>3</v>
      </c>
    </row>
    <row r="585" spans="2:12" x14ac:dyDescent="0.25">
      <c r="B585" s="425">
        <v>583</v>
      </c>
      <c r="C585" s="427" t="s">
        <v>2562</v>
      </c>
      <c r="D585" s="429">
        <f>IFERROR(MIN('LP Reactivos'!F585,'LP Reactivos'!I585,'LP Reactivos'!N585,'LP Reactivos'!S585,'LP Reactivos'!X585,'LP Reactivos'!AC585,'LP Reactivos'!AH585,'LP Reactivos'!AM585,'LP Reactivos'!AR585,'LP Reactivos'!AW585,'LP Reactivos'!BB585,'LP Reactivos'!BG585,'LP Reactivos'!BL585,'LP Reactivos'!BQ585,'LP Reactivos'!BV585,'LP Reactivos'!CA585,'LP Reactivos'!CF585,'LP Reactivos'!CK585,'LP Reactivos'!CP585,'LP Reactivos'!CU585,'LP Reactivos'!CZ585,'LP Reactivos'!DE585,'LP Reactivos'!DJ585,'LP Reactivos'!DO585,'LP Reactivos'!DT585,'LP Reactivos'!DY585,'LP Reactivos'!EB585)," ")</f>
        <v>4200000</v>
      </c>
      <c r="E585" s="429">
        <f>IFERROR(AVERAGE('LP Reactivos'!F585,'LP Reactivos'!I585,'LP Reactivos'!N585,'LP Reactivos'!S585,'LP Reactivos'!X585,'LP Reactivos'!AC585,'LP Reactivos'!AH585,'LP Reactivos'!AM585,'LP Reactivos'!AR585,'LP Reactivos'!AW585,'LP Reactivos'!BB585,'LP Reactivos'!BG585,'LP Reactivos'!BL585,'LP Reactivos'!BQ585,'LP Reactivos'!BV585,'LP Reactivos'!CA585,'LP Reactivos'!CF585,'LP Reactivos'!CK585,'LP Reactivos'!CP585,'LP Reactivos'!CU585,'LP Reactivos'!CZ585,'LP Reactivos'!DE585,'LP Reactivos'!DJ585,'LP Reactivos'!DO585,'LP Reactivos'!DT585,'LP Reactivos'!DY585,'LP Reactivos'!EB585)," ")</f>
        <v>4814531</v>
      </c>
      <c r="F585" s="345">
        <f>IFERROR(MEDIAN('LP Reactivos'!F585,'LP Reactivos'!I585,'LP Reactivos'!N585,'LP Reactivos'!S585,'LP Reactivos'!X585,'LP Reactivos'!AC585,'LP Reactivos'!AH585,'LP Reactivos'!AM585,'LP Reactivos'!AR585,'LP Reactivos'!AW585,'LP Reactivos'!BB585,'LP Reactivos'!BG585,'LP Reactivos'!BL585,'LP Reactivos'!BQ585,'LP Reactivos'!BV585,'LP Reactivos'!CA585,'LP Reactivos'!CF585,'LP Reactivos'!CK585,'LP Reactivos'!CP585,'LP Reactivos'!CU585,'LP Reactivos'!CZ585,'LP Reactivos'!DE585,'LP Reactivos'!DJ585,'LP Reactivos'!DO585,'LP Reactivos'!DT585,'LP Reactivos'!DY585,'LP Reactivos'!EB585)," ")</f>
        <v>4814531</v>
      </c>
      <c r="G585" s="345">
        <f>IFERROR(GEOMEAN('LP Reactivos'!F585,'LP Reactivos'!I585,'LP Reactivos'!N585,'LP Reactivos'!S585,'LP Reactivos'!X585,'LP Reactivos'!AC585,'LP Reactivos'!AH585,'LP Reactivos'!AM585,'LP Reactivos'!AR585,'LP Reactivos'!AW585,'LP Reactivos'!BB585,'LP Reactivos'!BG585,'LP Reactivos'!BL585,'LP Reactivos'!BQ585,'LP Reactivos'!BV585,'LP Reactivos'!CA585,'LP Reactivos'!CF585,'LP Reactivos'!CK585,'LP Reactivos'!CP585,'LP Reactivos'!CU585,'LP Reactivos'!CZ585,'LP Reactivos'!DE585,'LP Reactivos'!DJ585,'LP Reactivos'!DO585,'LP Reactivos'!DT585,'LP Reactivos'!DY585,'LP Reactivos'!EB585)," ")</f>
        <v>4775150.3012994258</v>
      </c>
      <c r="H585" s="345">
        <f t="shared" si="40"/>
        <v>301274.54918881867</v>
      </c>
      <c r="I585" s="346">
        <f t="shared" si="41"/>
        <v>6.25760949901078E-2</v>
      </c>
      <c r="J585" s="345">
        <f t="shared" si="43"/>
        <v>4814531</v>
      </c>
      <c r="K585" s="344" t="str">
        <f t="shared" si="42"/>
        <v>Promedio</v>
      </c>
      <c r="L585" s="326">
        <f>IFERROR(COUNTA('LP Reactivos'!F585,'LP Reactivos'!I585,'LP Reactivos'!N585,'LP Reactivos'!S585,'LP Reactivos'!X585,'LP Reactivos'!AC585,'LP Reactivos'!AH585,'LP Reactivos'!AM585,'LP Reactivos'!AR585,'LP Reactivos'!AW585,'LP Reactivos'!BB585,'LP Reactivos'!BG585,'LP Reactivos'!BL585,'LP Reactivos'!BQ585,'LP Reactivos'!BV585,'LP Reactivos'!CA585,'LP Reactivos'!CF585,'LP Reactivos'!CK585,'LP Reactivos'!CP585,'LP Reactivos'!CU585,'LP Reactivos'!CZ585,'LP Reactivos'!DE585,'LP Reactivos'!DJ585,'LP Reactivos'!DO585,'LP Reactivos'!DT585,'LP Reactivos'!DY585,'LP Reactivos'!EB585)," ")</f>
        <v>2</v>
      </c>
    </row>
    <row r="586" spans="2:12" x14ac:dyDescent="0.25">
      <c r="B586" s="425">
        <v>584</v>
      </c>
      <c r="C586" s="427" t="s">
        <v>2565</v>
      </c>
      <c r="D586" s="429">
        <f>IFERROR(MIN('LP Reactivos'!F586,'LP Reactivos'!I586,'LP Reactivos'!N586,'LP Reactivos'!S586,'LP Reactivos'!X586,'LP Reactivos'!AC586,'LP Reactivos'!AH586,'LP Reactivos'!AM586,'LP Reactivos'!AR586,'LP Reactivos'!AW586,'LP Reactivos'!BB586,'LP Reactivos'!BG586,'LP Reactivos'!BL586,'LP Reactivos'!BQ586,'LP Reactivos'!BV586,'LP Reactivos'!CA586,'LP Reactivos'!CF586,'LP Reactivos'!CK586,'LP Reactivos'!CP586,'LP Reactivos'!CU586,'LP Reactivos'!CZ586,'LP Reactivos'!DE586,'LP Reactivos'!DJ586,'LP Reactivos'!DO586,'LP Reactivos'!DT586,'LP Reactivos'!DY586,'LP Reactivos'!EB586)," ")</f>
        <v>773190.6</v>
      </c>
      <c r="E586" s="429">
        <f>IFERROR(AVERAGE('LP Reactivos'!F586,'LP Reactivos'!I586,'LP Reactivos'!N586,'LP Reactivos'!S586,'LP Reactivos'!X586,'LP Reactivos'!AC586,'LP Reactivos'!AH586,'LP Reactivos'!AM586,'LP Reactivos'!AR586,'LP Reactivos'!AW586,'LP Reactivos'!BB586,'LP Reactivos'!BG586,'LP Reactivos'!BL586,'LP Reactivos'!BQ586,'LP Reactivos'!BV586,'LP Reactivos'!CA586,'LP Reactivos'!CF586,'LP Reactivos'!CK586,'LP Reactivos'!CP586,'LP Reactivos'!CU586,'LP Reactivos'!CZ586,'LP Reactivos'!DE586,'LP Reactivos'!DJ586,'LP Reactivos'!DO586,'LP Reactivos'!DT586,'LP Reactivos'!DY586,'LP Reactivos'!EB586)," ")</f>
        <v>788815.3</v>
      </c>
      <c r="F586" s="345">
        <f>IFERROR(MEDIAN('LP Reactivos'!F586,'LP Reactivos'!I586,'LP Reactivos'!N586,'LP Reactivos'!S586,'LP Reactivos'!X586,'LP Reactivos'!AC586,'LP Reactivos'!AH586,'LP Reactivos'!AM586,'LP Reactivos'!AR586,'LP Reactivos'!AW586,'LP Reactivos'!BB586,'LP Reactivos'!BG586,'LP Reactivos'!BL586,'LP Reactivos'!BQ586,'LP Reactivos'!BV586,'LP Reactivos'!CA586,'LP Reactivos'!CF586,'LP Reactivos'!CK586,'LP Reactivos'!CP586,'LP Reactivos'!CU586,'LP Reactivos'!CZ586,'LP Reactivos'!DE586,'LP Reactivos'!DJ586,'LP Reactivos'!DO586,'LP Reactivos'!DT586,'LP Reactivos'!DY586,'LP Reactivos'!EB586)," ")</f>
        <v>788815.3</v>
      </c>
      <c r="G586" s="345">
        <f>IFERROR(GEOMEAN('LP Reactivos'!F586,'LP Reactivos'!I586,'LP Reactivos'!N586,'LP Reactivos'!S586,'LP Reactivos'!X586,'LP Reactivos'!AC586,'LP Reactivos'!AH586,'LP Reactivos'!AM586,'LP Reactivos'!AR586,'LP Reactivos'!AW586,'LP Reactivos'!BB586,'LP Reactivos'!BG586,'LP Reactivos'!BL586,'LP Reactivos'!BQ586,'LP Reactivos'!BV586,'LP Reactivos'!CA586,'LP Reactivos'!CF586,'LP Reactivos'!CK586,'LP Reactivos'!CP586,'LP Reactivos'!CU586,'LP Reactivos'!CZ586,'LP Reactivos'!DE586,'LP Reactivos'!DJ586,'LP Reactivos'!DO586,'LP Reactivos'!DT586,'LP Reactivos'!DY586,'LP Reactivos'!EB586)," ")</f>
        <v>788660.53930953075</v>
      </c>
      <c r="H586" s="345">
        <f t="shared" si="40"/>
        <v>7786.8983136376737</v>
      </c>
      <c r="I586" s="346">
        <f t="shared" si="41"/>
        <v>9.8716370152020037E-3</v>
      </c>
      <c r="J586" s="345">
        <f t="shared" si="43"/>
        <v>788815.3</v>
      </c>
      <c r="K586" s="344" t="str">
        <f t="shared" si="42"/>
        <v>Promedio</v>
      </c>
      <c r="L586" s="326">
        <f>IFERROR(COUNTA('LP Reactivos'!F586,'LP Reactivos'!I586,'LP Reactivos'!N586,'LP Reactivos'!S586,'LP Reactivos'!X586,'LP Reactivos'!AC586,'LP Reactivos'!AH586,'LP Reactivos'!AM586,'LP Reactivos'!AR586,'LP Reactivos'!AW586,'LP Reactivos'!BB586,'LP Reactivos'!BG586,'LP Reactivos'!BL586,'LP Reactivos'!BQ586,'LP Reactivos'!BV586,'LP Reactivos'!CA586,'LP Reactivos'!CF586,'LP Reactivos'!CK586,'LP Reactivos'!CP586,'LP Reactivos'!CU586,'LP Reactivos'!CZ586,'LP Reactivos'!DE586,'LP Reactivos'!DJ586,'LP Reactivos'!DO586,'LP Reactivos'!DT586,'LP Reactivos'!DY586,'LP Reactivos'!EB586)," ")</f>
        <v>2</v>
      </c>
    </row>
    <row r="587" spans="2:12" x14ac:dyDescent="0.25">
      <c r="B587" s="425">
        <v>585</v>
      </c>
      <c r="C587" s="427" t="s">
        <v>2568</v>
      </c>
      <c r="D587" s="429">
        <f>IFERROR(MIN('LP Reactivos'!F587,'LP Reactivos'!I587,'LP Reactivos'!N587,'LP Reactivos'!S587,'LP Reactivos'!X587,'LP Reactivos'!AC587,'LP Reactivos'!AH587,'LP Reactivos'!AM587,'LP Reactivos'!AR587,'LP Reactivos'!AW587,'LP Reactivos'!BB587,'LP Reactivos'!BG587,'LP Reactivos'!BL587,'LP Reactivos'!BQ587,'LP Reactivos'!BV587,'LP Reactivos'!CA587,'LP Reactivos'!CF587,'LP Reactivos'!CK587,'LP Reactivos'!CP587,'LP Reactivos'!CU587,'LP Reactivos'!CZ587,'LP Reactivos'!DE587,'LP Reactivos'!DJ587,'LP Reactivos'!DO587,'LP Reactivos'!DT587,'LP Reactivos'!DY587,'LP Reactivos'!EB587)," ")</f>
        <v>773190.6</v>
      </c>
      <c r="E587" s="429">
        <f>IFERROR(AVERAGE('LP Reactivos'!F587,'LP Reactivos'!I587,'LP Reactivos'!N587,'LP Reactivos'!S587,'LP Reactivos'!X587,'LP Reactivos'!AC587,'LP Reactivos'!AH587,'LP Reactivos'!AM587,'LP Reactivos'!AR587,'LP Reactivos'!AW587,'LP Reactivos'!BB587,'LP Reactivos'!BG587,'LP Reactivos'!BL587,'LP Reactivos'!BQ587,'LP Reactivos'!BV587,'LP Reactivos'!CA587,'LP Reactivos'!CF587,'LP Reactivos'!CK587,'LP Reactivos'!CP587,'LP Reactivos'!CU587,'LP Reactivos'!CZ587,'LP Reactivos'!DE587,'LP Reactivos'!DJ587,'LP Reactivos'!DO587,'LP Reactivos'!DT587,'LP Reactivos'!DY587,'LP Reactivos'!EB587)," ")</f>
        <v>788815.3</v>
      </c>
      <c r="F587" s="345">
        <f>IFERROR(MEDIAN('LP Reactivos'!F587,'LP Reactivos'!I587,'LP Reactivos'!N587,'LP Reactivos'!S587,'LP Reactivos'!X587,'LP Reactivos'!AC587,'LP Reactivos'!AH587,'LP Reactivos'!AM587,'LP Reactivos'!AR587,'LP Reactivos'!AW587,'LP Reactivos'!BB587,'LP Reactivos'!BG587,'LP Reactivos'!BL587,'LP Reactivos'!BQ587,'LP Reactivos'!BV587,'LP Reactivos'!CA587,'LP Reactivos'!CF587,'LP Reactivos'!CK587,'LP Reactivos'!CP587,'LP Reactivos'!CU587,'LP Reactivos'!CZ587,'LP Reactivos'!DE587,'LP Reactivos'!DJ587,'LP Reactivos'!DO587,'LP Reactivos'!DT587,'LP Reactivos'!DY587,'LP Reactivos'!EB587)," ")</f>
        <v>788815.3</v>
      </c>
      <c r="G587" s="345">
        <f>IFERROR(GEOMEAN('LP Reactivos'!F587,'LP Reactivos'!I587,'LP Reactivos'!N587,'LP Reactivos'!S587,'LP Reactivos'!X587,'LP Reactivos'!AC587,'LP Reactivos'!AH587,'LP Reactivos'!AM587,'LP Reactivos'!AR587,'LP Reactivos'!AW587,'LP Reactivos'!BB587,'LP Reactivos'!BG587,'LP Reactivos'!BL587,'LP Reactivos'!BQ587,'LP Reactivos'!BV587,'LP Reactivos'!CA587,'LP Reactivos'!CF587,'LP Reactivos'!CK587,'LP Reactivos'!CP587,'LP Reactivos'!CU587,'LP Reactivos'!CZ587,'LP Reactivos'!DE587,'LP Reactivos'!DJ587,'LP Reactivos'!DO587,'LP Reactivos'!DT587,'LP Reactivos'!DY587,'LP Reactivos'!EB587)," ")</f>
        <v>788660.53930953075</v>
      </c>
      <c r="H587" s="345">
        <f t="shared" si="40"/>
        <v>7786.8983136376737</v>
      </c>
      <c r="I587" s="346">
        <f t="shared" si="41"/>
        <v>9.8716370152020037E-3</v>
      </c>
      <c r="J587" s="345">
        <f t="shared" si="43"/>
        <v>788815.3</v>
      </c>
      <c r="K587" s="344" t="str">
        <f t="shared" si="42"/>
        <v>Promedio</v>
      </c>
      <c r="L587" s="326">
        <f>IFERROR(COUNTA('LP Reactivos'!F587,'LP Reactivos'!I587,'LP Reactivos'!N587,'LP Reactivos'!S587,'LP Reactivos'!X587,'LP Reactivos'!AC587,'LP Reactivos'!AH587,'LP Reactivos'!AM587,'LP Reactivos'!AR587,'LP Reactivos'!AW587,'LP Reactivos'!BB587,'LP Reactivos'!BG587,'LP Reactivos'!BL587,'LP Reactivos'!BQ587,'LP Reactivos'!BV587,'LP Reactivos'!CA587,'LP Reactivos'!CF587,'LP Reactivos'!CK587,'LP Reactivos'!CP587,'LP Reactivos'!CU587,'LP Reactivos'!CZ587,'LP Reactivos'!DE587,'LP Reactivos'!DJ587,'LP Reactivos'!DO587,'LP Reactivos'!DT587,'LP Reactivos'!DY587,'LP Reactivos'!EB587)," ")</f>
        <v>2</v>
      </c>
    </row>
    <row r="588" spans="2:12" x14ac:dyDescent="0.25">
      <c r="B588" s="425">
        <v>586</v>
      </c>
      <c r="C588" s="427" t="s">
        <v>2570</v>
      </c>
      <c r="D588" s="429">
        <f>IFERROR(MIN('LP Reactivos'!F588,'LP Reactivos'!I588,'LP Reactivos'!N588,'LP Reactivos'!S588,'LP Reactivos'!X588,'LP Reactivos'!AC588,'LP Reactivos'!AH588,'LP Reactivos'!AM588,'LP Reactivos'!AR588,'LP Reactivos'!AW588,'LP Reactivos'!BB588,'LP Reactivos'!BG588,'LP Reactivos'!BL588,'LP Reactivos'!BQ588,'LP Reactivos'!BV588,'LP Reactivos'!CA588,'LP Reactivos'!CF588,'LP Reactivos'!CK588,'LP Reactivos'!CP588,'LP Reactivos'!CU588,'LP Reactivos'!CZ588,'LP Reactivos'!DE588,'LP Reactivos'!DJ588,'LP Reactivos'!DO588,'LP Reactivos'!DT588,'LP Reactivos'!DY588,'LP Reactivos'!EB588)," ")</f>
        <v>804440</v>
      </c>
      <c r="E588" s="429">
        <f>IFERROR(AVERAGE('LP Reactivos'!F588,'LP Reactivos'!I588,'LP Reactivos'!N588,'LP Reactivos'!S588,'LP Reactivos'!X588,'LP Reactivos'!AC588,'LP Reactivos'!AH588,'LP Reactivos'!AM588,'LP Reactivos'!AR588,'LP Reactivos'!AW588,'LP Reactivos'!BB588,'LP Reactivos'!BG588,'LP Reactivos'!BL588,'LP Reactivos'!BQ588,'LP Reactivos'!BV588,'LP Reactivos'!CA588,'LP Reactivos'!CF588,'LP Reactivos'!CK588,'LP Reactivos'!CP588,'LP Reactivos'!CU588,'LP Reactivos'!CZ588,'LP Reactivos'!DE588,'LP Reactivos'!DJ588,'LP Reactivos'!DO588,'LP Reactivos'!DT588,'LP Reactivos'!DY588,'LP Reactivos'!EB588)," ")</f>
        <v>804440</v>
      </c>
      <c r="F588" s="345">
        <f>IFERROR(MEDIAN('LP Reactivos'!F588,'LP Reactivos'!I588,'LP Reactivos'!N588,'LP Reactivos'!S588,'LP Reactivos'!X588,'LP Reactivos'!AC588,'LP Reactivos'!AH588,'LP Reactivos'!AM588,'LP Reactivos'!AR588,'LP Reactivos'!AW588,'LP Reactivos'!BB588,'LP Reactivos'!BG588,'LP Reactivos'!BL588,'LP Reactivos'!BQ588,'LP Reactivos'!BV588,'LP Reactivos'!CA588,'LP Reactivos'!CF588,'LP Reactivos'!CK588,'LP Reactivos'!CP588,'LP Reactivos'!CU588,'LP Reactivos'!CZ588,'LP Reactivos'!DE588,'LP Reactivos'!DJ588,'LP Reactivos'!DO588,'LP Reactivos'!DT588,'LP Reactivos'!DY588,'LP Reactivos'!EB588)," ")</f>
        <v>804440</v>
      </c>
      <c r="G588" s="345">
        <f>IFERROR(GEOMEAN('LP Reactivos'!F588,'LP Reactivos'!I588,'LP Reactivos'!N588,'LP Reactivos'!S588,'LP Reactivos'!X588,'LP Reactivos'!AC588,'LP Reactivos'!AH588,'LP Reactivos'!AM588,'LP Reactivos'!AR588,'LP Reactivos'!AW588,'LP Reactivos'!BB588,'LP Reactivos'!BG588,'LP Reactivos'!BL588,'LP Reactivos'!BQ588,'LP Reactivos'!BV588,'LP Reactivos'!CA588,'LP Reactivos'!CF588,'LP Reactivos'!CK588,'LP Reactivos'!CP588,'LP Reactivos'!CU588,'LP Reactivos'!CZ588,'LP Reactivos'!DE588,'LP Reactivos'!DJ588,'LP Reactivos'!DO588,'LP Reactivos'!DT588,'LP Reactivos'!DY588,'LP Reactivos'!EB588)," ")</f>
        <v>804440</v>
      </c>
      <c r="H588" s="345">
        <f t="shared" si="40"/>
        <v>0</v>
      </c>
      <c r="I588" s="346">
        <f t="shared" si="41"/>
        <v>0</v>
      </c>
      <c r="J588" s="345">
        <f t="shared" si="43"/>
        <v>804440</v>
      </c>
      <c r="K588" s="344" t="str">
        <f t="shared" si="42"/>
        <v>Menor Valor</v>
      </c>
      <c r="L588" s="326">
        <f>IFERROR(COUNTA('LP Reactivos'!F588,'LP Reactivos'!I588,'LP Reactivos'!N588,'LP Reactivos'!S588,'LP Reactivos'!X588,'LP Reactivos'!AC588,'LP Reactivos'!AH588,'LP Reactivos'!AM588,'LP Reactivos'!AR588,'LP Reactivos'!AW588,'LP Reactivos'!BB588,'LP Reactivos'!BG588,'LP Reactivos'!BL588,'LP Reactivos'!BQ588,'LP Reactivos'!BV588,'LP Reactivos'!CA588,'LP Reactivos'!CF588,'LP Reactivos'!CK588,'LP Reactivos'!CP588,'LP Reactivos'!CU588,'LP Reactivos'!CZ588,'LP Reactivos'!DE588,'LP Reactivos'!DJ588,'LP Reactivos'!DO588,'LP Reactivos'!DT588,'LP Reactivos'!DY588,'LP Reactivos'!EB588)," ")</f>
        <v>1</v>
      </c>
    </row>
    <row r="589" spans="2:12" x14ac:dyDescent="0.25">
      <c r="B589" s="425">
        <v>587</v>
      </c>
      <c r="C589" s="427" t="s">
        <v>2571</v>
      </c>
      <c r="D589" s="429">
        <f>IFERROR(MIN('LP Reactivos'!F589,'LP Reactivos'!I589,'LP Reactivos'!N589,'LP Reactivos'!S589,'LP Reactivos'!X589,'LP Reactivos'!AC589,'LP Reactivos'!AH589,'LP Reactivos'!AM589,'LP Reactivos'!AR589,'LP Reactivos'!AW589,'LP Reactivos'!BB589,'LP Reactivos'!BG589,'LP Reactivos'!BL589,'LP Reactivos'!BQ589,'LP Reactivos'!BV589,'LP Reactivos'!CA589,'LP Reactivos'!CF589,'LP Reactivos'!CK589,'LP Reactivos'!CP589,'LP Reactivos'!CU589,'LP Reactivos'!CZ589,'LP Reactivos'!DE589,'LP Reactivos'!DJ589,'LP Reactivos'!DO589,'LP Reactivos'!DT589,'LP Reactivos'!DY589,'LP Reactivos'!EB589)," ")</f>
        <v>773190.6</v>
      </c>
      <c r="E589" s="429">
        <f>IFERROR(AVERAGE('LP Reactivos'!F589,'LP Reactivos'!I589,'LP Reactivos'!N589,'LP Reactivos'!S589,'LP Reactivos'!X589,'LP Reactivos'!AC589,'LP Reactivos'!AH589,'LP Reactivos'!AM589,'LP Reactivos'!AR589,'LP Reactivos'!AW589,'LP Reactivos'!BB589,'LP Reactivos'!BG589,'LP Reactivos'!BL589,'LP Reactivos'!BQ589,'LP Reactivos'!BV589,'LP Reactivos'!CA589,'LP Reactivos'!CF589,'LP Reactivos'!CK589,'LP Reactivos'!CP589,'LP Reactivos'!CU589,'LP Reactivos'!CZ589,'LP Reactivos'!DE589,'LP Reactivos'!DJ589,'LP Reactivos'!DO589,'LP Reactivos'!DT589,'LP Reactivos'!DY589,'LP Reactivos'!EB589)," ")</f>
        <v>788815.3</v>
      </c>
      <c r="F589" s="345">
        <f>IFERROR(MEDIAN('LP Reactivos'!F589,'LP Reactivos'!I589,'LP Reactivos'!N589,'LP Reactivos'!S589,'LP Reactivos'!X589,'LP Reactivos'!AC589,'LP Reactivos'!AH589,'LP Reactivos'!AM589,'LP Reactivos'!AR589,'LP Reactivos'!AW589,'LP Reactivos'!BB589,'LP Reactivos'!BG589,'LP Reactivos'!BL589,'LP Reactivos'!BQ589,'LP Reactivos'!BV589,'LP Reactivos'!CA589,'LP Reactivos'!CF589,'LP Reactivos'!CK589,'LP Reactivos'!CP589,'LP Reactivos'!CU589,'LP Reactivos'!CZ589,'LP Reactivos'!DE589,'LP Reactivos'!DJ589,'LP Reactivos'!DO589,'LP Reactivos'!DT589,'LP Reactivos'!DY589,'LP Reactivos'!EB589)," ")</f>
        <v>788815.3</v>
      </c>
      <c r="G589" s="345">
        <f>IFERROR(GEOMEAN('LP Reactivos'!F589,'LP Reactivos'!I589,'LP Reactivos'!N589,'LP Reactivos'!S589,'LP Reactivos'!X589,'LP Reactivos'!AC589,'LP Reactivos'!AH589,'LP Reactivos'!AM589,'LP Reactivos'!AR589,'LP Reactivos'!AW589,'LP Reactivos'!BB589,'LP Reactivos'!BG589,'LP Reactivos'!BL589,'LP Reactivos'!BQ589,'LP Reactivos'!BV589,'LP Reactivos'!CA589,'LP Reactivos'!CF589,'LP Reactivos'!CK589,'LP Reactivos'!CP589,'LP Reactivos'!CU589,'LP Reactivos'!CZ589,'LP Reactivos'!DE589,'LP Reactivos'!DJ589,'LP Reactivos'!DO589,'LP Reactivos'!DT589,'LP Reactivos'!DY589,'LP Reactivos'!EB589)," ")</f>
        <v>788660.53930953075</v>
      </c>
      <c r="H589" s="345">
        <f t="shared" si="40"/>
        <v>7786.8983136376737</v>
      </c>
      <c r="I589" s="346">
        <f t="shared" si="41"/>
        <v>9.8716370152020037E-3</v>
      </c>
      <c r="J589" s="345">
        <f t="shared" si="43"/>
        <v>788815.3</v>
      </c>
      <c r="K589" s="344" t="str">
        <f t="shared" si="42"/>
        <v>Promedio</v>
      </c>
      <c r="L589" s="326">
        <f>IFERROR(COUNTA('LP Reactivos'!F589,'LP Reactivos'!I589,'LP Reactivos'!N589,'LP Reactivos'!S589,'LP Reactivos'!X589,'LP Reactivos'!AC589,'LP Reactivos'!AH589,'LP Reactivos'!AM589,'LP Reactivos'!AR589,'LP Reactivos'!AW589,'LP Reactivos'!BB589,'LP Reactivos'!BG589,'LP Reactivos'!BL589,'LP Reactivos'!BQ589,'LP Reactivos'!BV589,'LP Reactivos'!CA589,'LP Reactivos'!CF589,'LP Reactivos'!CK589,'LP Reactivos'!CP589,'LP Reactivos'!CU589,'LP Reactivos'!CZ589,'LP Reactivos'!DE589,'LP Reactivos'!DJ589,'LP Reactivos'!DO589,'LP Reactivos'!DT589,'LP Reactivos'!DY589,'LP Reactivos'!EB589)," ")</f>
        <v>2</v>
      </c>
    </row>
    <row r="590" spans="2:12" x14ac:dyDescent="0.25">
      <c r="B590" s="425">
        <v>588</v>
      </c>
      <c r="C590" s="427" t="s">
        <v>2573</v>
      </c>
      <c r="D590" s="429">
        <f>IFERROR(MIN('LP Reactivos'!F590,'LP Reactivos'!I590,'LP Reactivos'!N590,'LP Reactivos'!S590,'LP Reactivos'!X590,'LP Reactivos'!AC590,'LP Reactivos'!AH590,'LP Reactivos'!AM590,'LP Reactivos'!AR590,'LP Reactivos'!AW590,'LP Reactivos'!BB590,'LP Reactivos'!BG590,'LP Reactivos'!BL590,'LP Reactivos'!BQ590,'LP Reactivos'!BV590,'LP Reactivos'!CA590,'LP Reactivos'!CF590,'LP Reactivos'!CK590,'LP Reactivos'!CP590,'LP Reactivos'!CU590,'LP Reactivos'!CZ590,'LP Reactivos'!DE590,'LP Reactivos'!DJ590,'LP Reactivos'!DO590,'LP Reactivos'!DT590,'LP Reactivos'!DY590,'LP Reactivos'!EB590)," ")</f>
        <v>2974141.9618000002</v>
      </c>
      <c r="E590" s="429">
        <f>IFERROR(AVERAGE('LP Reactivos'!F590,'LP Reactivos'!I590,'LP Reactivos'!N590,'LP Reactivos'!S590,'LP Reactivos'!X590,'LP Reactivos'!AC590,'LP Reactivos'!AH590,'LP Reactivos'!AM590,'LP Reactivos'!AR590,'LP Reactivos'!AW590,'LP Reactivos'!BB590,'LP Reactivos'!BG590,'LP Reactivos'!BL590,'LP Reactivos'!BQ590,'LP Reactivos'!BV590,'LP Reactivos'!CA590,'LP Reactivos'!CF590,'LP Reactivos'!CK590,'LP Reactivos'!CP590,'LP Reactivos'!CU590,'LP Reactivos'!CZ590,'LP Reactivos'!DE590,'LP Reactivos'!DJ590,'LP Reactivos'!DO590,'LP Reactivos'!DT590,'LP Reactivos'!DY590,'LP Reactivos'!EB590)," ")</f>
        <v>2974141.9618000002</v>
      </c>
      <c r="F590" s="345">
        <f>IFERROR(MEDIAN('LP Reactivos'!F590,'LP Reactivos'!I590,'LP Reactivos'!N590,'LP Reactivos'!S590,'LP Reactivos'!X590,'LP Reactivos'!AC590,'LP Reactivos'!AH590,'LP Reactivos'!AM590,'LP Reactivos'!AR590,'LP Reactivos'!AW590,'LP Reactivos'!BB590,'LP Reactivos'!BG590,'LP Reactivos'!BL590,'LP Reactivos'!BQ590,'LP Reactivos'!BV590,'LP Reactivos'!CA590,'LP Reactivos'!CF590,'LP Reactivos'!CK590,'LP Reactivos'!CP590,'LP Reactivos'!CU590,'LP Reactivos'!CZ590,'LP Reactivos'!DE590,'LP Reactivos'!DJ590,'LP Reactivos'!DO590,'LP Reactivos'!DT590,'LP Reactivos'!DY590,'LP Reactivos'!EB590)," ")</f>
        <v>2974141.9618000002</v>
      </c>
      <c r="G590" s="345">
        <f>IFERROR(GEOMEAN('LP Reactivos'!F590,'LP Reactivos'!I590,'LP Reactivos'!N590,'LP Reactivos'!S590,'LP Reactivos'!X590,'LP Reactivos'!AC590,'LP Reactivos'!AH590,'LP Reactivos'!AM590,'LP Reactivos'!AR590,'LP Reactivos'!AW590,'LP Reactivos'!BB590,'LP Reactivos'!BG590,'LP Reactivos'!BL590,'LP Reactivos'!BQ590,'LP Reactivos'!BV590,'LP Reactivos'!CA590,'LP Reactivos'!CF590,'LP Reactivos'!CK590,'LP Reactivos'!CP590,'LP Reactivos'!CU590,'LP Reactivos'!CZ590,'LP Reactivos'!DE590,'LP Reactivos'!DJ590,'LP Reactivos'!DO590,'LP Reactivos'!DT590,'LP Reactivos'!DY590,'LP Reactivos'!EB590)," ")</f>
        <v>2974141.9618000002</v>
      </c>
      <c r="H590" s="345">
        <f t="shared" si="40"/>
        <v>0</v>
      </c>
      <c r="I590" s="346">
        <f t="shared" si="41"/>
        <v>0</v>
      </c>
      <c r="J590" s="345">
        <f t="shared" si="43"/>
        <v>2974141.9618000002</v>
      </c>
      <c r="K590" s="344" t="str">
        <f t="shared" si="42"/>
        <v>Menor Valor</v>
      </c>
      <c r="L590" s="326">
        <f>IFERROR(COUNTA('LP Reactivos'!F590,'LP Reactivos'!I590,'LP Reactivos'!N590,'LP Reactivos'!S590,'LP Reactivos'!X590,'LP Reactivos'!AC590,'LP Reactivos'!AH590,'LP Reactivos'!AM590,'LP Reactivos'!AR590,'LP Reactivos'!AW590,'LP Reactivos'!BB590,'LP Reactivos'!BG590,'LP Reactivos'!BL590,'LP Reactivos'!BQ590,'LP Reactivos'!BV590,'LP Reactivos'!CA590,'LP Reactivos'!CF590,'LP Reactivos'!CK590,'LP Reactivos'!CP590,'LP Reactivos'!CU590,'LP Reactivos'!CZ590,'LP Reactivos'!DE590,'LP Reactivos'!DJ590,'LP Reactivos'!DO590,'LP Reactivos'!DT590,'LP Reactivos'!DY590,'LP Reactivos'!EB590)," ")</f>
        <v>1</v>
      </c>
    </row>
    <row r="591" spans="2:12" x14ac:dyDescent="0.25">
      <c r="B591" s="425">
        <v>589</v>
      </c>
      <c r="C591" s="413" t="s">
        <v>2574</v>
      </c>
      <c r="D591" s="429">
        <f>IFERROR(MIN('LP Reactivos'!F591,'LP Reactivos'!I591,'LP Reactivos'!N591,'LP Reactivos'!S591,'LP Reactivos'!X591,'LP Reactivos'!AC591,'LP Reactivos'!AH591,'LP Reactivos'!AM591,'LP Reactivos'!AR591,'LP Reactivos'!AW591,'LP Reactivos'!BB591,'LP Reactivos'!BG591,'LP Reactivos'!BL591,'LP Reactivos'!BQ591,'LP Reactivos'!BV591,'LP Reactivos'!CA591,'LP Reactivos'!CF591,'LP Reactivos'!CK591,'LP Reactivos'!CP591,'LP Reactivos'!CU591,'LP Reactivos'!CZ591,'LP Reactivos'!DE591,'LP Reactivos'!DJ591,'LP Reactivos'!DO591,'LP Reactivos'!DT591,'LP Reactivos'!DY591,'LP Reactivos'!EB591)," ")</f>
        <v>500000</v>
      </c>
      <c r="E591" s="429">
        <f>IFERROR(AVERAGE('LP Reactivos'!F591,'LP Reactivos'!I591,'LP Reactivos'!N591,'LP Reactivos'!S591,'LP Reactivos'!X591,'LP Reactivos'!AC591,'LP Reactivos'!AH591,'LP Reactivos'!AM591,'LP Reactivos'!AR591,'LP Reactivos'!AW591,'LP Reactivos'!BB591,'LP Reactivos'!BG591,'LP Reactivos'!BL591,'LP Reactivos'!BQ591,'LP Reactivos'!BV591,'LP Reactivos'!CA591,'LP Reactivos'!CF591,'LP Reactivos'!CK591,'LP Reactivos'!CP591,'LP Reactivos'!CU591,'LP Reactivos'!CZ591,'LP Reactivos'!DE591,'LP Reactivos'!DJ591,'LP Reactivos'!DO591,'LP Reactivos'!DT591,'LP Reactivos'!DY591,'LP Reactivos'!EB591)," ")</f>
        <v>519123.07555000001</v>
      </c>
      <c r="F591" s="345">
        <f>IFERROR(MEDIAN('LP Reactivos'!F591,'LP Reactivos'!I591,'LP Reactivos'!N591,'LP Reactivos'!S591,'LP Reactivos'!X591,'LP Reactivos'!AC591,'LP Reactivos'!AH591,'LP Reactivos'!AM591,'LP Reactivos'!AR591,'LP Reactivos'!AW591,'LP Reactivos'!BB591,'LP Reactivos'!BG591,'LP Reactivos'!BL591,'LP Reactivos'!BQ591,'LP Reactivos'!BV591,'LP Reactivos'!CA591,'LP Reactivos'!CF591,'LP Reactivos'!CK591,'LP Reactivos'!CP591,'LP Reactivos'!CU591,'LP Reactivos'!CZ591,'LP Reactivos'!DE591,'LP Reactivos'!DJ591,'LP Reactivos'!DO591,'LP Reactivos'!DT591,'LP Reactivos'!DY591,'LP Reactivos'!EB591)," ")</f>
        <v>519123.07555000001</v>
      </c>
      <c r="G591" s="345">
        <f>IFERROR(GEOMEAN('LP Reactivos'!F591,'LP Reactivos'!I591,'LP Reactivos'!N591,'LP Reactivos'!S591,'LP Reactivos'!X591,'LP Reactivos'!AC591,'LP Reactivos'!AH591,'LP Reactivos'!AM591,'LP Reactivos'!AR591,'LP Reactivos'!AW591,'LP Reactivos'!BB591,'LP Reactivos'!BG591,'LP Reactivos'!BL591,'LP Reactivos'!BQ591,'LP Reactivos'!BV591,'LP Reactivos'!CA591,'LP Reactivos'!CF591,'LP Reactivos'!CK591,'LP Reactivos'!CP591,'LP Reactivos'!CU591,'LP Reactivos'!CZ591,'LP Reactivos'!DE591,'LP Reactivos'!DJ591,'LP Reactivos'!DO591,'LP Reactivos'!DT591,'LP Reactivos'!DY591,'LP Reactivos'!EB591)," ")</f>
        <v>518770.73505547707</v>
      </c>
      <c r="H591" s="345">
        <f t="shared" si="40"/>
        <v>9504.265792935179</v>
      </c>
      <c r="I591" s="346">
        <f t="shared" si="41"/>
        <v>1.830830922487044E-2</v>
      </c>
      <c r="J591" s="345">
        <f t="shared" si="43"/>
        <v>519123.07555000001</v>
      </c>
      <c r="K591" s="344" t="str">
        <f t="shared" si="42"/>
        <v>Promedio</v>
      </c>
      <c r="L591" s="326">
        <f>IFERROR(COUNTA('LP Reactivos'!F591,'LP Reactivos'!I591,'LP Reactivos'!N591,'LP Reactivos'!S591,'LP Reactivos'!X591,'LP Reactivos'!AC591,'LP Reactivos'!AH591,'LP Reactivos'!AM591,'LP Reactivos'!AR591,'LP Reactivos'!AW591,'LP Reactivos'!BB591,'LP Reactivos'!BG591,'LP Reactivos'!BL591,'LP Reactivos'!BQ591,'LP Reactivos'!BV591,'LP Reactivos'!CA591,'LP Reactivos'!CF591,'LP Reactivos'!CK591,'LP Reactivos'!CP591,'LP Reactivos'!CU591,'LP Reactivos'!CZ591,'LP Reactivos'!DE591,'LP Reactivos'!DJ591,'LP Reactivos'!DO591,'LP Reactivos'!DT591,'LP Reactivos'!DY591,'LP Reactivos'!EB591)," ")</f>
        <v>2</v>
      </c>
    </row>
    <row r="592" spans="2:12" x14ac:dyDescent="0.25">
      <c r="B592" s="425">
        <v>590</v>
      </c>
      <c r="C592" s="427" t="s">
        <v>2577</v>
      </c>
      <c r="D592" s="429">
        <f>IFERROR(MIN('LP Reactivos'!F592,'LP Reactivos'!I592,'LP Reactivos'!N592,'LP Reactivos'!S592,'LP Reactivos'!X592,'LP Reactivos'!AC592,'LP Reactivos'!AH592,'LP Reactivos'!AM592,'LP Reactivos'!AR592,'LP Reactivos'!AW592,'LP Reactivos'!BB592,'LP Reactivos'!BG592,'LP Reactivos'!BL592,'LP Reactivos'!BQ592,'LP Reactivos'!BV592,'LP Reactivos'!CA592,'LP Reactivos'!CF592,'LP Reactivos'!CK592,'LP Reactivos'!CP592,'LP Reactivos'!CU592,'LP Reactivos'!CZ592,'LP Reactivos'!DE592,'LP Reactivos'!DJ592,'LP Reactivos'!DO592,'LP Reactivos'!DT592,'LP Reactivos'!DY592,'LP Reactivos'!EB592)," ")</f>
        <v>86822.399999999994</v>
      </c>
      <c r="E592" s="429">
        <f>IFERROR(AVERAGE('LP Reactivos'!F592,'LP Reactivos'!I592,'LP Reactivos'!N592,'LP Reactivos'!S592,'LP Reactivos'!X592,'LP Reactivos'!AC592,'LP Reactivos'!AH592,'LP Reactivos'!AM592,'LP Reactivos'!AR592,'LP Reactivos'!AW592,'LP Reactivos'!BB592,'LP Reactivos'!BG592,'LP Reactivos'!BL592,'LP Reactivos'!BQ592,'LP Reactivos'!BV592,'LP Reactivos'!CA592,'LP Reactivos'!CF592,'LP Reactivos'!CK592,'LP Reactivos'!CP592,'LP Reactivos'!CU592,'LP Reactivos'!CZ592,'LP Reactivos'!DE592,'LP Reactivos'!DJ592,'LP Reactivos'!DO592,'LP Reactivos'!DT592,'LP Reactivos'!DY592,'LP Reactivos'!EB592)," ")</f>
        <v>447378.27999999997</v>
      </c>
      <c r="F592" s="345">
        <f>IFERROR(MEDIAN('LP Reactivos'!F592,'LP Reactivos'!I592,'LP Reactivos'!N592,'LP Reactivos'!S592,'LP Reactivos'!X592,'LP Reactivos'!AC592,'LP Reactivos'!AH592,'LP Reactivos'!AM592,'LP Reactivos'!AR592,'LP Reactivos'!AW592,'LP Reactivos'!BB592,'LP Reactivos'!BG592,'LP Reactivos'!BL592,'LP Reactivos'!BQ592,'LP Reactivos'!BV592,'LP Reactivos'!CA592,'LP Reactivos'!CF592,'LP Reactivos'!CK592,'LP Reactivos'!CP592,'LP Reactivos'!CU592,'LP Reactivos'!CZ592,'LP Reactivos'!DE592,'LP Reactivos'!DJ592,'LP Reactivos'!DO592,'LP Reactivos'!DT592,'LP Reactivos'!DY592,'LP Reactivos'!EB592)," ")</f>
        <v>110409</v>
      </c>
      <c r="G592" s="345">
        <f>IFERROR(GEOMEAN('LP Reactivos'!F592,'LP Reactivos'!I592,'LP Reactivos'!N592,'LP Reactivos'!S592,'LP Reactivos'!X592,'LP Reactivos'!AC592,'LP Reactivos'!AH592,'LP Reactivos'!AM592,'LP Reactivos'!AR592,'LP Reactivos'!AW592,'LP Reactivos'!BB592,'LP Reactivos'!BG592,'LP Reactivos'!BL592,'LP Reactivos'!BQ592,'LP Reactivos'!BV592,'LP Reactivos'!CA592,'LP Reactivos'!CF592,'LP Reactivos'!CK592,'LP Reactivos'!CP592,'LP Reactivos'!CU592,'LP Reactivos'!CZ592,'LP Reactivos'!DE592,'LP Reactivos'!DJ592,'LP Reactivos'!DO592,'LP Reactivos'!DT592,'LP Reactivos'!DY592,'LP Reactivos'!EB592)," ")</f>
        <v>191161.57024431587</v>
      </c>
      <c r="H592" s="345">
        <f t="shared" si="40"/>
        <v>165116.07239863538</v>
      </c>
      <c r="I592" s="346">
        <f t="shared" si="41"/>
        <v>0.36907485182033289</v>
      </c>
      <c r="J592" s="345">
        <f>IF(I592&lt;=10%,F592,IF(AND(I592&gt;10%,I592&lt;=20%),E592,IF(AND(I592&gt;20%,I592&lt;=37%),G592,IF(I592&gt;37%,D592))))</f>
        <v>191161.57024431587</v>
      </c>
      <c r="K592" s="344" t="str">
        <f t="shared" si="42"/>
        <v>Media Geométrica</v>
      </c>
      <c r="L592" s="326">
        <f>IFERROR(COUNTA('LP Reactivos'!F592,'LP Reactivos'!I592,'LP Reactivos'!N592,'LP Reactivos'!S592,'LP Reactivos'!X592,'LP Reactivos'!AC592,'LP Reactivos'!AH592,'LP Reactivos'!AM592,'LP Reactivos'!AR592,'LP Reactivos'!AW592,'LP Reactivos'!BB592,'LP Reactivos'!BG592,'LP Reactivos'!BL592,'LP Reactivos'!BQ592,'LP Reactivos'!BV592,'LP Reactivos'!CA592,'LP Reactivos'!CF592,'LP Reactivos'!CK592,'LP Reactivos'!CP592,'LP Reactivos'!CU592,'LP Reactivos'!CZ592,'LP Reactivos'!DE592,'LP Reactivos'!DJ592,'LP Reactivos'!DO592,'LP Reactivos'!DT592,'LP Reactivos'!DY592,'LP Reactivos'!EB592)," ")</f>
        <v>5</v>
      </c>
    </row>
    <row r="593" spans="2:12" x14ac:dyDescent="0.25">
      <c r="B593" s="425">
        <v>591</v>
      </c>
      <c r="C593" s="427" t="s">
        <v>2582</v>
      </c>
      <c r="D593" s="429">
        <f>IFERROR(MIN('LP Reactivos'!F593,'LP Reactivos'!I593,'LP Reactivos'!N593,'LP Reactivos'!S593,'LP Reactivos'!X593,'LP Reactivos'!AC593,'LP Reactivos'!AH593,'LP Reactivos'!AM593,'LP Reactivos'!AR593,'LP Reactivos'!AW593,'LP Reactivos'!BB593,'LP Reactivos'!BG593,'LP Reactivos'!BL593,'LP Reactivos'!BQ593,'LP Reactivos'!BV593,'LP Reactivos'!CA593,'LP Reactivos'!CF593,'LP Reactivos'!CK593,'LP Reactivos'!CP593,'LP Reactivos'!CU593,'LP Reactivos'!CZ593,'LP Reactivos'!DE593,'LP Reactivos'!DJ593,'LP Reactivos'!DO593,'LP Reactivos'!DT593,'LP Reactivos'!DY593,'LP Reactivos'!EB593)," ")</f>
        <v>336770</v>
      </c>
      <c r="E593" s="429">
        <f>IFERROR(AVERAGE('LP Reactivos'!F593,'LP Reactivos'!I593,'LP Reactivos'!N593,'LP Reactivos'!S593,'LP Reactivos'!X593,'LP Reactivos'!AC593,'LP Reactivos'!AH593,'LP Reactivos'!AM593,'LP Reactivos'!AR593,'LP Reactivos'!AW593,'LP Reactivos'!BB593,'LP Reactivos'!BG593,'LP Reactivos'!BL593,'LP Reactivos'!BQ593,'LP Reactivos'!BV593,'LP Reactivos'!CA593,'LP Reactivos'!CF593,'LP Reactivos'!CK593,'LP Reactivos'!CP593,'LP Reactivos'!CU593,'LP Reactivos'!CZ593,'LP Reactivos'!DE593,'LP Reactivos'!DJ593,'LP Reactivos'!DO593,'LP Reactivos'!DT593,'LP Reactivos'!DY593,'LP Reactivos'!EB593)," ")</f>
        <v>700083.30480000004</v>
      </c>
      <c r="F593" s="345">
        <f>IFERROR(MEDIAN('LP Reactivos'!F593,'LP Reactivos'!I593,'LP Reactivos'!N593,'LP Reactivos'!S593,'LP Reactivos'!X593,'LP Reactivos'!AC593,'LP Reactivos'!AH593,'LP Reactivos'!AM593,'LP Reactivos'!AR593,'LP Reactivos'!AW593,'LP Reactivos'!BB593,'LP Reactivos'!BG593,'LP Reactivos'!BL593,'LP Reactivos'!BQ593,'LP Reactivos'!BV593,'LP Reactivos'!CA593,'LP Reactivos'!CF593,'LP Reactivos'!CK593,'LP Reactivos'!CP593,'LP Reactivos'!CU593,'LP Reactivos'!CZ593,'LP Reactivos'!DE593,'LP Reactivos'!DJ593,'LP Reactivos'!DO593,'LP Reactivos'!DT593,'LP Reactivos'!DY593,'LP Reactivos'!EB593)," ")</f>
        <v>730811</v>
      </c>
      <c r="G593" s="345">
        <f>IFERROR(GEOMEAN('LP Reactivos'!F593,'LP Reactivos'!I593,'LP Reactivos'!N593,'LP Reactivos'!S593,'LP Reactivos'!X593,'LP Reactivos'!AC593,'LP Reactivos'!AH593,'LP Reactivos'!AM593,'LP Reactivos'!AR593,'LP Reactivos'!AW593,'LP Reactivos'!BB593,'LP Reactivos'!BG593,'LP Reactivos'!BL593,'LP Reactivos'!BQ593,'LP Reactivos'!BV593,'LP Reactivos'!CA593,'LP Reactivos'!CF593,'LP Reactivos'!CK593,'LP Reactivos'!CP593,'LP Reactivos'!CU593,'LP Reactivos'!CZ593,'LP Reactivos'!DE593,'LP Reactivos'!DJ593,'LP Reactivos'!DO593,'LP Reactivos'!DT593,'LP Reactivos'!DY593,'LP Reactivos'!EB593)," ")</f>
        <v>641341.09911784658</v>
      </c>
      <c r="H593" s="345">
        <f t="shared" si="40"/>
        <v>180837.89303501471</v>
      </c>
      <c r="I593" s="346">
        <f t="shared" si="41"/>
        <v>0.25830910663792578</v>
      </c>
      <c r="J593" s="345">
        <f t="shared" si="43"/>
        <v>641341.09911784658</v>
      </c>
      <c r="K593" s="344" t="str">
        <f t="shared" si="42"/>
        <v>Media Geométrica</v>
      </c>
      <c r="L593" s="326">
        <f>IFERROR(COUNTA('LP Reactivos'!F593,'LP Reactivos'!I593,'LP Reactivos'!N593,'LP Reactivos'!S593,'LP Reactivos'!X593,'LP Reactivos'!AC593,'LP Reactivos'!AH593,'LP Reactivos'!AM593,'LP Reactivos'!AR593,'LP Reactivos'!AW593,'LP Reactivos'!BB593,'LP Reactivos'!BG593,'LP Reactivos'!BL593,'LP Reactivos'!BQ593,'LP Reactivos'!BV593,'LP Reactivos'!CA593,'LP Reactivos'!CF593,'LP Reactivos'!CK593,'LP Reactivos'!CP593,'LP Reactivos'!CU593,'LP Reactivos'!CZ593,'LP Reactivos'!DE593,'LP Reactivos'!DJ593,'LP Reactivos'!DO593,'LP Reactivos'!DT593,'LP Reactivos'!DY593,'LP Reactivos'!EB593)," ")</f>
        <v>5</v>
      </c>
    </row>
    <row r="594" spans="2:12" ht="27" x14ac:dyDescent="0.25">
      <c r="B594" s="425">
        <v>592</v>
      </c>
      <c r="C594" s="427" t="s">
        <v>2587</v>
      </c>
      <c r="D594" s="429">
        <f>IFERROR(MIN('LP Reactivos'!F594,'LP Reactivos'!I594,'LP Reactivos'!N594,'LP Reactivos'!S594,'LP Reactivos'!X594,'LP Reactivos'!AC594,'LP Reactivos'!AH594,'LP Reactivos'!AM594,'LP Reactivos'!AR594,'LP Reactivos'!AW594,'LP Reactivos'!BB594,'LP Reactivos'!BG594,'LP Reactivos'!BL594,'LP Reactivos'!BQ594,'LP Reactivos'!BV594,'LP Reactivos'!CA594,'LP Reactivos'!CF594,'LP Reactivos'!CK594,'LP Reactivos'!CP594,'LP Reactivos'!CU594,'LP Reactivos'!CZ594,'LP Reactivos'!DE594,'LP Reactivos'!DJ594,'LP Reactivos'!DO594,'LP Reactivos'!DT594,'LP Reactivos'!DY594,'LP Reactivos'!EB594)," ")</f>
        <v>94010</v>
      </c>
      <c r="E594" s="429">
        <f>IFERROR(AVERAGE('LP Reactivos'!F594,'LP Reactivos'!I594,'LP Reactivos'!N594,'LP Reactivos'!S594,'LP Reactivos'!X594,'LP Reactivos'!AC594,'LP Reactivos'!AH594,'LP Reactivos'!AM594,'LP Reactivos'!AR594,'LP Reactivos'!AW594,'LP Reactivos'!BB594,'LP Reactivos'!BG594,'LP Reactivos'!BL594,'LP Reactivos'!BQ594,'LP Reactivos'!BV594,'LP Reactivos'!CA594,'LP Reactivos'!CF594,'LP Reactivos'!CK594,'LP Reactivos'!CP594,'LP Reactivos'!CU594,'LP Reactivos'!CZ594,'LP Reactivos'!DE594,'LP Reactivos'!DJ594,'LP Reactivos'!DO594,'LP Reactivos'!DT594,'LP Reactivos'!DY594,'LP Reactivos'!EB594)," ")</f>
        <v>244288.10533333334</v>
      </c>
      <c r="F594" s="345">
        <f>IFERROR(MEDIAN('LP Reactivos'!F594,'LP Reactivos'!I594,'LP Reactivos'!N594,'LP Reactivos'!S594,'LP Reactivos'!X594,'LP Reactivos'!AC594,'LP Reactivos'!AH594,'LP Reactivos'!AM594,'LP Reactivos'!AR594,'LP Reactivos'!AW594,'LP Reactivos'!BB594,'LP Reactivos'!BG594,'LP Reactivos'!BL594,'LP Reactivos'!BQ594,'LP Reactivos'!BV594,'LP Reactivos'!CA594,'LP Reactivos'!CF594,'LP Reactivos'!CK594,'LP Reactivos'!CP594,'LP Reactivos'!CU594,'LP Reactivos'!CZ594,'LP Reactivos'!DE594,'LP Reactivos'!DJ594,'LP Reactivos'!DO594,'LP Reactivos'!DT594,'LP Reactivos'!DY594,'LP Reactivos'!EB594)," ")</f>
        <v>220609.81599999999</v>
      </c>
      <c r="G594" s="345">
        <f>IFERROR(GEOMEAN('LP Reactivos'!F594,'LP Reactivos'!I594,'LP Reactivos'!N594,'LP Reactivos'!S594,'LP Reactivos'!X594,'LP Reactivos'!AC594,'LP Reactivos'!AH594,'LP Reactivos'!AM594,'LP Reactivos'!AR594,'LP Reactivos'!AW594,'LP Reactivos'!BB594,'LP Reactivos'!BG594,'LP Reactivos'!BL594,'LP Reactivos'!BQ594,'LP Reactivos'!BV594,'LP Reactivos'!CA594,'LP Reactivos'!CF594,'LP Reactivos'!CK594,'LP Reactivos'!CP594,'LP Reactivos'!CU594,'LP Reactivos'!CZ594,'LP Reactivos'!DE594,'LP Reactivos'!DJ594,'LP Reactivos'!DO594,'LP Reactivos'!DT594,'LP Reactivos'!DY594,'LP Reactivos'!EB594)," ")</f>
        <v>215369.79064655563</v>
      </c>
      <c r="H594" s="345">
        <f t="shared" si="40"/>
        <v>67554.674964904931</v>
      </c>
      <c r="I594" s="346">
        <f t="shared" si="41"/>
        <v>0.27653689840005091</v>
      </c>
      <c r="J594" s="345">
        <f t="shared" si="43"/>
        <v>215369.79064655563</v>
      </c>
      <c r="K594" s="344" t="str">
        <f t="shared" si="42"/>
        <v>Media Geométrica</v>
      </c>
      <c r="L594" s="326">
        <f>IFERROR(COUNTA('LP Reactivos'!F594,'LP Reactivos'!I594,'LP Reactivos'!N594,'LP Reactivos'!S594,'LP Reactivos'!X594,'LP Reactivos'!AC594,'LP Reactivos'!AH594,'LP Reactivos'!AM594,'LP Reactivos'!AR594,'LP Reactivos'!AW594,'LP Reactivos'!BB594,'LP Reactivos'!BG594,'LP Reactivos'!BL594,'LP Reactivos'!BQ594,'LP Reactivos'!BV594,'LP Reactivos'!CA594,'LP Reactivos'!CF594,'LP Reactivos'!CK594,'LP Reactivos'!CP594,'LP Reactivos'!CU594,'LP Reactivos'!CZ594,'LP Reactivos'!DE594,'LP Reactivos'!DJ594,'LP Reactivos'!DO594,'LP Reactivos'!DT594,'LP Reactivos'!DY594,'LP Reactivos'!EB594)," ")</f>
        <v>6</v>
      </c>
    </row>
    <row r="595" spans="2:12" x14ac:dyDescent="0.25">
      <c r="B595" s="425">
        <v>593</v>
      </c>
      <c r="C595" s="427" t="s">
        <v>2592</v>
      </c>
      <c r="D595" s="429">
        <f>IFERROR(MIN('LP Reactivos'!F595,'LP Reactivos'!I595,'LP Reactivos'!N595,'LP Reactivos'!S595,'LP Reactivos'!X595,'LP Reactivos'!AC595,'LP Reactivos'!AH595,'LP Reactivos'!AM595,'LP Reactivos'!AR595,'LP Reactivos'!AW595,'LP Reactivos'!BB595,'LP Reactivos'!BG595,'LP Reactivos'!BL595,'LP Reactivos'!BQ595,'LP Reactivos'!BV595,'LP Reactivos'!CA595,'LP Reactivos'!CF595,'LP Reactivos'!CK595,'LP Reactivos'!CP595,'LP Reactivos'!CU595,'LP Reactivos'!CZ595,'LP Reactivos'!DE595,'LP Reactivos'!DJ595,'LP Reactivos'!DO595,'LP Reactivos'!DT595,'LP Reactivos'!DY595,'LP Reactivos'!EB595)," ")</f>
        <v>164220</v>
      </c>
      <c r="E595" s="429">
        <f>IFERROR(AVERAGE('LP Reactivos'!F595,'LP Reactivos'!I595,'LP Reactivos'!N595,'LP Reactivos'!S595,'LP Reactivos'!X595,'LP Reactivos'!AC595,'LP Reactivos'!AH595,'LP Reactivos'!AM595,'LP Reactivos'!AR595,'LP Reactivos'!AW595,'LP Reactivos'!BB595,'LP Reactivos'!BG595,'LP Reactivos'!BL595,'LP Reactivos'!BQ595,'LP Reactivos'!BV595,'LP Reactivos'!CA595,'LP Reactivos'!CF595,'LP Reactivos'!CK595,'LP Reactivos'!CP595,'LP Reactivos'!CU595,'LP Reactivos'!CZ595,'LP Reactivos'!DE595,'LP Reactivos'!DJ595,'LP Reactivos'!DO595,'LP Reactivos'!DT595,'LP Reactivos'!DY595,'LP Reactivos'!EB595)," ")</f>
        <v>329544.20199999999</v>
      </c>
      <c r="F595" s="345">
        <f>IFERROR(MEDIAN('LP Reactivos'!F595,'LP Reactivos'!I595,'LP Reactivos'!N595,'LP Reactivos'!S595,'LP Reactivos'!X595,'LP Reactivos'!AC595,'LP Reactivos'!AH595,'LP Reactivos'!AM595,'LP Reactivos'!AR595,'LP Reactivos'!AW595,'LP Reactivos'!BB595,'LP Reactivos'!BG595,'LP Reactivos'!BL595,'LP Reactivos'!BQ595,'LP Reactivos'!BV595,'LP Reactivos'!CA595,'LP Reactivos'!CF595,'LP Reactivos'!CK595,'LP Reactivos'!CP595,'LP Reactivos'!CU595,'LP Reactivos'!CZ595,'LP Reactivos'!DE595,'LP Reactivos'!DJ595,'LP Reactivos'!DO595,'LP Reactivos'!DT595,'LP Reactivos'!DY595,'LP Reactivos'!EB595)," ")</f>
        <v>370779.01</v>
      </c>
      <c r="G595" s="345">
        <f>IFERROR(GEOMEAN('LP Reactivos'!F595,'LP Reactivos'!I595,'LP Reactivos'!N595,'LP Reactivos'!S595,'LP Reactivos'!X595,'LP Reactivos'!AC595,'LP Reactivos'!AH595,'LP Reactivos'!AM595,'LP Reactivos'!AR595,'LP Reactivos'!AW595,'LP Reactivos'!BB595,'LP Reactivos'!BG595,'LP Reactivos'!BL595,'LP Reactivos'!BQ595,'LP Reactivos'!BV595,'LP Reactivos'!CA595,'LP Reactivos'!CF595,'LP Reactivos'!CK595,'LP Reactivos'!CP595,'LP Reactivos'!CU595,'LP Reactivos'!CZ595,'LP Reactivos'!DE595,'LP Reactivos'!DJ595,'LP Reactivos'!DO595,'LP Reactivos'!DT595,'LP Reactivos'!DY595,'LP Reactivos'!EB595)," ")</f>
        <v>307719.48666129779</v>
      </c>
      <c r="H595" s="345">
        <f t="shared" si="40"/>
        <v>89788.617562440108</v>
      </c>
      <c r="I595" s="346">
        <f t="shared" si="41"/>
        <v>0.2724630474986785</v>
      </c>
      <c r="J595" s="345">
        <f t="shared" si="43"/>
        <v>307719.48666129779</v>
      </c>
      <c r="K595" s="344" t="str">
        <f t="shared" si="42"/>
        <v>Media Geométrica</v>
      </c>
      <c r="L595" s="326">
        <f>IFERROR(COUNTA('LP Reactivos'!F595,'LP Reactivos'!I595,'LP Reactivos'!N595,'LP Reactivos'!S595,'LP Reactivos'!X595,'LP Reactivos'!AC595,'LP Reactivos'!AH595,'LP Reactivos'!AM595,'LP Reactivos'!AR595,'LP Reactivos'!AW595,'LP Reactivos'!BB595,'LP Reactivos'!BG595,'LP Reactivos'!BL595,'LP Reactivos'!BQ595,'LP Reactivos'!BV595,'LP Reactivos'!CA595,'LP Reactivos'!CF595,'LP Reactivos'!CK595,'LP Reactivos'!CP595,'LP Reactivos'!CU595,'LP Reactivos'!CZ595,'LP Reactivos'!DE595,'LP Reactivos'!DJ595,'LP Reactivos'!DO595,'LP Reactivos'!DT595,'LP Reactivos'!DY595,'LP Reactivos'!EB595)," ")</f>
        <v>5</v>
      </c>
    </row>
    <row r="596" spans="2:12" ht="40.5" x14ac:dyDescent="0.25">
      <c r="B596" s="425">
        <v>594</v>
      </c>
      <c r="C596" s="427" t="s">
        <v>2595</v>
      </c>
      <c r="D596" s="429">
        <f>IFERROR(MIN('LP Reactivos'!F596,'LP Reactivos'!I596,'LP Reactivos'!N596,'LP Reactivos'!S596,'LP Reactivos'!X596,'LP Reactivos'!AC596,'LP Reactivos'!AH596,'LP Reactivos'!AM596,'LP Reactivos'!AR596,'LP Reactivos'!AW596,'LP Reactivos'!BB596,'LP Reactivos'!BG596,'LP Reactivos'!BL596,'LP Reactivos'!BQ596,'LP Reactivos'!BV596,'LP Reactivos'!CA596,'LP Reactivos'!CF596,'LP Reactivos'!CK596,'LP Reactivos'!CP596,'LP Reactivos'!CU596,'LP Reactivos'!CZ596,'LP Reactivos'!DE596,'LP Reactivos'!DJ596,'LP Reactivos'!DO596,'LP Reactivos'!DT596,'LP Reactivos'!DY596,'LP Reactivos'!EB596)," ")</f>
        <v>78682.8</v>
      </c>
      <c r="E596" s="429">
        <f>IFERROR(AVERAGE('LP Reactivos'!F596,'LP Reactivos'!I596,'LP Reactivos'!N596,'LP Reactivos'!S596,'LP Reactivos'!X596,'LP Reactivos'!AC596,'LP Reactivos'!AH596,'LP Reactivos'!AM596,'LP Reactivos'!AR596,'LP Reactivos'!AW596,'LP Reactivos'!BB596,'LP Reactivos'!BG596,'LP Reactivos'!BL596,'LP Reactivos'!BQ596,'LP Reactivos'!BV596,'LP Reactivos'!CA596,'LP Reactivos'!CF596,'LP Reactivos'!CK596,'LP Reactivos'!CP596,'LP Reactivos'!CU596,'LP Reactivos'!CZ596,'LP Reactivos'!DE596,'LP Reactivos'!DJ596,'LP Reactivos'!DO596,'LP Reactivos'!DT596,'LP Reactivos'!DY596,'LP Reactivos'!EB596)," ")</f>
        <v>142901.71966666667</v>
      </c>
      <c r="F596" s="345">
        <f>IFERROR(MEDIAN('LP Reactivos'!F596,'LP Reactivos'!I596,'LP Reactivos'!N596,'LP Reactivos'!S596,'LP Reactivos'!X596,'LP Reactivos'!AC596,'LP Reactivos'!AH596,'LP Reactivos'!AM596,'LP Reactivos'!AR596,'LP Reactivos'!AW596,'LP Reactivos'!BB596,'LP Reactivos'!BG596,'LP Reactivos'!BL596,'LP Reactivos'!BQ596,'LP Reactivos'!BV596,'LP Reactivos'!CA596,'LP Reactivos'!CF596,'LP Reactivos'!CK596,'LP Reactivos'!CP596,'LP Reactivos'!CU596,'LP Reactivos'!CZ596,'LP Reactivos'!DE596,'LP Reactivos'!DJ596,'LP Reactivos'!DO596,'LP Reactivos'!DT596,'LP Reactivos'!DY596,'LP Reactivos'!EB596)," ")</f>
        <v>148303.75</v>
      </c>
      <c r="G596" s="345">
        <f>IFERROR(GEOMEAN('LP Reactivos'!F596,'LP Reactivos'!I596,'LP Reactivos'!N596,'LP Reactivos'!S596,'LP Reactivos'!X596,'LP Reactivos'!AC596,'LP Reactivos'!AH596,'LP Reactivos'!AM596,'LP Reactivos'!AR596,'LP Reactivos'!AW596,'LP Reactivos'!BB596,'LP Reactivos'!BG596,'LP Reactivos'!BL596,'LP Reactivos'!BQ596,'LP Reactivos'!BV596,'LP Reactivos'!CA596,'LP Reactivos'!CF596,'LP Reactivos'!CK596,'LP Reactivos'!CP596,'LP Reactivos'!CU596,'LP Reactivos'!CZ596,'LP Reactivos'!DE596,'LP Reactivos'!DJ596,'LP Reactivos'!DO596,'LP Reactivos'!DT596,'LP Reactivos'!DY596,'LP Reactivos'!EB596)," ")</f>
        <v>136595.59443994588</v>
      </c>
      <c r="H596" s="345">
        <f t="shared" si="40"/>
        <v>32314.945117823681</v>
      </c>
      <c r="I596" s="346">
        <f t="shared" si="41"/>
        <v>0.22613405348236326</v>
      </c>
      <c r="J596" s="345">
        <f t="shared" si="43"/>
        <v>136595.59443994588</v>
      </c>
      <c r="K596" s="344" t="str">
        <f t="shared" si="42"/>
        <v>Media Geométrica</v>
      </c>
      <c r="L596" s="326">
        <f>IFERROR(COUNTA('LP Reactivos'!F596,'LP Reactivos'!I596,'LP Reactivos'!N596,'LP Reactivos'!S596,'LP Reactivos'!X596,'LP Reactivos'!AC596,'LP Reactivos'!AH596,'LP Reactivos'!AM596,'LP Reactivos'!AR596,'LP Reactivos'!AW596,'LP Reactivos'!BB596,'LP Reactivos'!BG596,'LP Reactivos'!BL596,'LP Reactivos'!BQ596,'LP Reactivos'!BV596,'LP Reactivos'!CA596,'LP Reactivos'!CF596,'LP Reactivos'!CK596,'LP Reactivos'!CP596,'LP Reactivos'!CU596,'LP Reactivos'!CZ596,'LP Reactivos'!DE596,'LP Reactivos'!DJ596,'LP Reactivos'!DO596,'LP Reactivos'!DT596,'LP Reactivos'!DY596,'LP Reactivos'!EB596)," ")</f>
        <v>6</v>
      </c>
    </row>
    <row r="597" spans="2:12" x14ac:dyDescent="0.25">
      <c r="B597" s="425">
        <v>595</v>
      </c>
      <c r="C597" s="427" t="s">
        <v>2599</v>
      </c>
      <c r="D597" s="429">
        <f>IFERROR(MIN('LP Reactivos'!F597,'LP Reactivos'!I597,'LP Reactivos'!N597,'LP Reactivos'!S597,'LP Reactivos'!X597,'LP Reactivos'!AC597,'LP Reactivos'!AH597,'LP Reactivos'!AM597,'LP Reactivos'!AR597,'LP Reactivos'!AW597,'LP Reactivos'!BB597,'LP Reactivos'!BG597,'LP Reactivos'!BL597,'LP Reactivos'!BQ597,'LP Reactivos'!BV597,'LP Reactivos'!CA597,'LP Reactivos'!CF597,'LP Reactivos'!CK597,'LP Reactivos'!CP597,'LP Reactivos'!CU597,'LP Reactivos'!CZ597,'LP Reactivos'!DE597,'LP Reactivos'!DJ597,'LP Reactivos'!DO597,'LP Reactivos'!DT597,'LP Reactivos'!DY597,'LP Reactivos'!EB597)," ")</f>
        <v>89535.6</v>
      </c>
      <c r="E597" s="429">
        <f>IFERROR(AVERAGE('LP Reactivos'!F597,'LP Reactivos'!I597,'LP Reactivos'!N597,'LP Reactivos'!S597,'LP Reactivos'!X597,'LP Reactivos'!AC597,'LP Reactivos'!AH597,'LP Reactivos'!AM597,'LP Reactivos'!AR597,'LP Reactivos'!AW597,'LP Reactivos'!BB597,'LP Reactivos'!BG597,'LP Reactivos'!BL597,'LP Reactivos'!BQ597,'LP Reactivos'!BV597,'LP Reactivos'!CA597,'LP Reactivos'!CF597,'LP Reactivos'!CK597,'LP Reactivos'!CP597,'LP Reactivos'!CU597,'LP Reactivos'!CZ597,'LP Reactivos'!DE597,'LP Reactivos'!DJ597,'LP Reactivos'!DO597,'LP Reactivos'!DT597,'LP Reactivos'!DY597,'LP Reactivos'!EB597)," ")</f>
        <v>165386.4</v>
      </c>
      <c r="F597" s="345">
        <f>IFERROR(MEDIAN('LP Reactivos'!F597,'LP Reactivos'!I597,'LP Reactivos'!N597,'LP Reactivos'!S597,'LP Reactivos'!X597,'LP Reactivos'!AC597,'LP Reactivos'!AH597,'LP Reactivos'!AM597,'LP Reactivos'!AR597,'LP Reactivos'!AW597,'LP Reactivos'!BB597,'LP Reactivos'!BG597,'LP Reactivos'!BL597,'LP Reactivos'!BQ597,'LP Reactivos'!BV597,'LP Reactivos'!CA597,'LP Reactivos'!CF597,'LP Reactivos'!CK597,'LP Reactivos'!CP597,'LP Reactivos'!CU597,'LP Reactivos'!CZ597,'LP Reactivos'!DE597,'LP Reactivos'!DJ597,'LP Reactivos'!DO597,'LP Reactivos'!DT597,'LP Reactivos'!DY597,'LP Reactivos'!EB597)," ")</f>
        <v>169980</v>
      </c>
      <c r="G597" s="345">
        <f>IFERROR(GEOMEAN('LP Reactivos'!F597,'LP Reactivos'!I597,'LP Reactivos'!N597,'LP Reactivos'!S597,'LP Reactivos'!X597,'LP Reactivos'!AC597,'LP Reactivos'!AH597,'LP Reactivos'!AM597,'LP Reactivos'!AR597,'LP Reactivos'!AW597,'LP Reactivos'!BB597,'LP Reactivos'!BG597,'LP Reactivos'!BL597,'LP Reactivos'!BQ597,'LP Reactivos'!BV597,'LP Reactivos'!CA597,'LP Reactivos'!CF597,'LP Reactivos'!CK597,'LP Reactivos'!CP597,'LP Reactivos'!CU597,'LP Reactivos'!CZ597,'LP Reactivos'!DE597,'LP Reactivos'!DJ597,'LP Reactivos'!DO597,'LP Reactivos'!DT597,'LP Reactivos'!DY597,'LP Reactivos'!EB597)," ")</f>
        <v>152076.55494529291</v>
      </c>
      <c r="H597" s="345">
        <f t="shared" si="40"/>
        <v>37254.533145462548</v>
      </c>
      <c r="I597" s="346">
        <f t="shared" si="41"/>
        <v>0.2252575371703027</v>
      </c>
      <c r="J597" s="345">
        <f t="shared" si="43"/>
        <v>152076.55494529291</v>
      </c>
      <c r="K597" s="344" t="str">
        <f t="shared" si="42"/>
        <v>Media Geométrica</v>
      </c>
      <c r="L597" s="326">
        <f>IFERROR(COUNTA('LP Reactivos'!F597,'LP Reactivos'!I597,'LP Reactivos'!N597,'LP Reactivos'!S597,'LP Reactivos'!X597,'LP Reactivos'!AC597,'LP Reactivos'!AH597,'LP Reactivos'!AM597,'LP Reactivos'!AR597,'LP Reactivos'!AW597,'LP Reactivos'!BB597,'LP Reactivos'!BG597,'LP Reactivos'!BL597,'LP Reactivos'!BQ597,'LP Reactivos'!BV597,'LP Reactivos'!CA597,'LP Reactivos'!CF597,'LP Reactivos'!CK597,'LP Reactivos'!CP597,'LP Reactivos'!CU597,'LP Reactivos'!CZ597,'LP Reactivos'!DE597,'LP Reactivos'!DJ597,'LP Reactivos'!DO597,'LP Reactivos'!DT597,'LP Reactivos'!DY597,'LP Reactivos'!EB597)," ")</f>
        <v>4</v>
      </c>
    </row>
    <row r="598" spans="2:12" ht="94.5" x14ac:dyDescent="0.25">
      <c r="B598" s="425">
        <v>596</v>
      </c>
      <c r="C598" s="426" t="s">
        <v>2603</v>
      </c>
      <c r="D598" s="429">
        <f>IFERROR(MIN('LP Reactivos'!F598,'LP Reactivos'!I598,'LP Reactivos'!N598,'LP Reactivos'!S598,'LP Reactivos'!X598,'LP Reactivos'!AC598,'LP Reactivos'!AH598,'LP Reactivos'!AM598,'LP Reactivos'!AR598,'LP Reactivos'!AW598,'LP Reactivos'!BB598,'LP Reactivos'!BG598,'LP Reactivos'!BL598,'LP Reactivos'!BQ598,'LP Reactivos'!BV598,'LP Reactivos'!CA598,'LP Reactivos'!CF598,'LP Reactivos'!CK598,'LP Reactivos'!CP598,'LP Reactivos'!CU598,'LP Reactivos'!CZ598,'LP Reactivos'!DE598,'LP Reactivos'!DJ598,'LP Reactivos'!DO598,'LP Reactivos'!DT598,'LP Reactivos'!DY598,'LP Reactivos'!EB598)," ")</f>
        <v>281470.7</v>
      </c>
      <c r="E598" s="429">
        <f>IFERROR(AVERAGE('LP Reactivos'!F598,'LP Reactivos'!I598,'LP Reactivos'!N598,'LP Reactivos'!S598,'LP Reactivos'!X598,'LP Reactivos'!AC598,'LP Reactivos'!AH598,'LP Reactivos'!AM598,'LP Reactivos'!AR598,'LP Reactivos'!AW598,'LP Reactivos'!BB598,'LP Reactivos'!BG598,'LP Reactivos'!BL598,'LP Reactivos'!BQ598,'LP Reactivos'!BV598,'LP Reactivos'!CA598,'LP Reactivos'!CF598,'LP Reactivos'!CK598,'LP Reactivos'!CP598,'LP Reactivos'!CU598,'LP Reactivos'!CZ598,'LP Reactivos'!DE598,'LP Reactivos'!DJ598,'LP Reactivos'!DO598,'LP Reactivos'!DT598,'LP Reactivos'!DY598,'LP Reactivos'!EB598)," ")</f>
        <v>3521137.0007333327</v>
      </c>
      <c r="F598" s="345">
        <f>IFERROR(MEDIAN('LP Reactivos'!F598,'LP Reactivos'!I598,'LP Reactivos'!N598,'LP Reactivos'!S598,'LP Reactivos'!X598,'LP Reactivos'!AC598,'LP Reactivos'!AH598,'LP Reactivos'!AM598,'LP Reactivos'!AR598,'LP Reactivos'!AW598,'LP Reactivos'!BB598,'LP Reactivos'!BG598,'LP Reactivos'!BL598,'LP Reactivos'!BQ598,'LP Reactivos'!BV598,'LP Reactivos'!CA598,'LP Reactivos'!CF598,'LP Reactivos'!CK598,'LP Reactivos'!CP598,'LP Reactivos'!CU598,'LP Reactivos'!CZ598,'LP Reactivos'!DE598,'LP Reactivos'!DJ598,'LP Reactivos'!DO598,'LP Reactivos'!DT598,'LP Reactivos'!DY598,'LP Reactivos'!EB598)," ")</f>
        <v>1541848</v>
      </c>
      <c r="G598" s="345">
        <f>IFERROR(GEOMEAN('LP Reactivos'!F598,'LP Reactivos'!I598,'LP Reactivos'!N598,'LP Reactivos'!S598,'LP Reactivos'!X598,'LP Reactivos'!AC598,'LP Reactivos'!AH598,'LP Reactivos'!AM598,'LP Reactivos'!AR598,'LP Reactivos'!AW598,'LP Reactivos'!BB598,'LP Reactivos'!BG598,'LP Reactivos'!BL598,'LP Reactivos'!BQ598,'LP Reactivos'!BV598,'LP Reactivos'!CA598,'LP Reactivos'!CF598,'LP Reactivos'!CK598,'LP Reactivos'!CP598,'LP Reactivos'!CU598,'LP Reactivos'!CZ598,'LP Reactivos'!DE598,'LP Reactivos'!DJ598,'LP Reactivos'!DO598,'LP Reactivos'!DT598,'LP Reactivos'!DY598,'LP Reactivos'!EB598)," ")</f>
        <v>1559541.4594587346</v>
      </c>
      <c r="H598" s="345">
        <f t="shared" si="40"/>
        <v>1338008.7387334791</v>
      </c>
      <c r="I598" s="346">
        <f t="shared" si="41"/>
        <v>0.37999337670042871</v>
      </c>
      <c r="J598" s="345">
        <f>IF(I598&lt;=10%,F598,IF(AND(I598&gt;10%,I598&lt;=20%),E598,IF(AND(I598&gt;20%,I598&lt;=38%),G598,IF(I598&gt;38%,D598))))</f>
        <v>1559541.4594587346</v>
      </c>
      <c r="K598" s="344" t="str">
        <f t="shared" si="42"/>
        <v>Media Geométrica</v>
      </c>
      <c r="L598" s="326">
        <f>IFERROR(COUNTA('LP Reactivos'!F598,'LP Reactivos'!I598,'LP Reactivos'!N598,'LP Reactivos'!S598,'LP Reactivos'!X598,'LP Reactivos'!AC598,'LP Reactivos'!AH598,'LP Reactivos'!AM598,'LP Reactivos'!AR598,'LP Reactivos'!AW598,'LP Reactivos'!BB598,'LP Reactivos'!BG598,'LP Reactivos'!BL598,'LP Reactivos'!BQ598,'LP Reactivos'!BV598,'LP Reactivos'!CA598,'LP Reactivos'!CF598,'LP Reactivos'!CK598,'LP Reactivos'!CP598,'LP Reactivos'!CU598,'LP Reactivos'!CZ598,'LP Reactivos'!DE598,'LP Reactivos'!DJ598,'LP Reactivos'!DO598,'LP Reactivos'!DT598,'LP Reactivos'!DY598,'LP Reactivos'!EB598)," ")</f>
        <v>3</v>
      </c>
    </row>
    <row r="599" spans="2:12" ht="40.5" x14ac:dyDescent="0.25">
      <c r="B599" s="425">
        <v>597</v>
      </c>
      <c r="C599" s="426" t="s">
        <v>2606</v>
      </c>
      <c r="D599" s="429">
        <f>IFERROR(MIN('LP Reactivos'!F599,'LP Reactivos'!I599,'LP Reactivos'!N599,'LP Reactivos'!S599,'LP Reactivos'!X599,'LP Reactivos'!AC599,'LP Reactivos'!AH599,'LP Reactivos'!AM599,'LP Reactivos'!AR599,'LP Reactivos'!AW599,'LP Reactivos'!BB599,'LP Reactivos'!BG599,'LP Reactivos'!BL599,'LP Reactivos'!BQ599,'LP Reactivos'!BV599,'LP Reactivos'!CA599,'LP Reactivos'!CF599,'LP Reactivos'!CK599,'LP Reactivos'!CP599,'LP Reactivos'!CU599,'LP Reactivos'!CZ599,'LP Reactivos'!DE599,'LP Reactivos'!DJ599,'LP Reactivos'!DO599,'LP Reactivos'!DT599,'LP Reactivos'!DY599,'LP Reactivos'!EB599)," ")</f>
        <v>2036292.3</v>
      </c>
      <c r="E599" s="429">
        <f>IFERROR(AVERAGE('LP Reactivos'!F599,'LP Reactivos'!I599,'LP Reactivos'!N599,'LP Reactivos'!S599,'LP Reactivos'!X599,'LP Reactivos'!AC599,'LP Reactivos'!AH599,'LP Reactivos'!AM599,'LP Reactivos'!AR599,'LP Reactivos'!AW599,'LP Reactivos'!BB599,'LP Reactivos'!BG599,'LP Reactivos'!BL599,'LP Reactivos'!BQ599,'LP Reactivos'!BV599,'LP Reactivos'!CA599,'LP Reactivos'!CF599,'LP Reactivos'!CK599,'LP Reactivos'!CP599,'LP Reactivos'!CU599,'LP Reactivos'!CZ599,'LP Reactivos'!DE599,'LP Reactivos'!DJ599,'LP Reactivos'!DO599,'LP Reactivos'!DT599,'LP Reactivos'!DY599,'LP Reactivos'!EB599)," ")</f>
        <v>3297157.3054333329</v>
      </c>
      <c r="F599" s="345">
        <f>IFERROR(MEDIAN('LP Reactivos'!F599,'LP Reactivos'!I599,'LP Reactivos'!N599,'LP Reactivos'!S599,'LP Reactivos'!X599,'LP Reactivos'!AC599,'LP Reactivos'!AH599,'LP Reactivos'!AM599,'LP Reactivos'!AR599,'LP Reactivos'!AW599,'LP Reactivos'!BB599,'LP Reactivos'!BG599,'LP Reactivos'!BL599,'LP Reactivos'!BQ599,'LP Reactivos'!BV599,'LP Reactivos'!CA599,'LP Reactivos'!CF599,'LP Reactivos'!CK599,'LP Reactivos'!CP599,'LP Reactivos'!CU599,'LP Reactivos'!CZ599,'LP Reactivos'!DE599,'LP Reactivos'!DJ599,'LP Reactivos'!DO599,'LP Reactivos'!DT599,'LP Reactivos'!DY599,'LP Reactivos'!EB599)," ")</f>
        <v>2036995</v>
      </c>
      <c r="G599" s="345">
        <f>IFERROR(GEOMEAN('LP Reactivos'!F599,'LP Reactivos'!I599,'LP Reactivos'!N599,'LP Reactivos'!S599,'LP Reactivos'!X599,'LP Reactivos'!AC599,'LP Reactivos'!AH599,'LP Reactivos'!AM599,'LP Reactivos'!AR599,'LP Reactivos'!AW599,'LP Reactivos'!BB599,'LP Reactivos'!BG599,'LP Reactivos'!BL599,'LP Reactivos'!BQ599,'LP Reactivos'!BV599,'LP Reactivos'!CA599,'LP Reactivos'!CF599,'LP Reactivos'!CK599,'LP Reactivos'!CP599,'LP Reactivos'!CU599,'LP Reactivos'!CZ599,'LP Reactivos'!DE599,'LP Reactivos'!DJ599,'LP Reactivos'!DO599,'LP Reactivos'!DT599,'LP Reactivos'!DY599,'LP Reactivos'!EB599)," ")</f>
        <v>2889831.5390699855</v>
      </c>
      <c r="H599" s="345">
        <f t="shared" si="40"/>
        <v>632426.79198842729</v>
      </c>
      <c r="I599" s="346">
        <f t="shared" si="41"/>
        <v>0.19180971164046715</v>
      </c>
      <c r="J599" s="345">
        <f t="shared" si="43"/>
        <v>3297157.3054333329</v>
      </c>
      <c r="K599" s="344" t="str">
        <f t="shared" si="42"/>
        <v>Promedio</v>
      </c>
      <c r="L599" s="326">
        <f>IFERROR(COUNTA('LP Reactivos'!F599,'LP Reactivos'!I599,'LP Reactivos'!N599,'LP Reactivos'!S599,'LP Reactivos'!X599,'LP Reactivos'!AC599,'LP Reactivos'!AH599,'LP Reactivos'!AM599,'LP Reactivos'!AR599,'LP Reactivos'!AW599,'LP Reactivos'!BB599,'LP Reactivos'!BG599,'LP Reactivos'!BL599,'LP Reactivos'!BQ599,'LP Reactivos'!BV599,'LP Reactivos'!CA599,'LP Reactivos'!CF599,'LP Reactivos'!CK599,'LP Reactivos'!CP599,'LP Reactivos'!CU599,'LP Reactivos'!CZ599,'LP Reactivos'!DE599,'LP Reactivos'!DJ599,'LP Reactivos'!DO599,'LP Reactivos'!DT599,'LP Reactivos'!DY599,'LP Reactivos'!EB599)," ")</f>
        <v>3</v>
      </c>
    </row>
    <row r="600" spans="2:12" ht="27" x14ac:dyDescent="0.25">
      <c r="B600" s="425">
        <v>598</v>
      </c>
      <c r="C600" s="426" t="s">
        <v>2608</v>
      </c>
      <c r="D600" s="429">
        <f>IFERROR(MIN('LP Reactivos'!F600,'LP Reactivos'!I600,'LP Reactivos'!N600,'LP Reactivos'!S600,'LP Reactivos'!X600,'LP Reactivos'!AC600,'LP Reactivos'!AH600,'LP Reactivos'!AM600,'LP Reactivos'!AR600,'LP Reactivos'!AW600,'LP Reactivos'!BB600,'LP Reactivos'!BG600,'LP Reactivos'!BL600,'LP Reactivos'!BQ600,'LP Reactivos'!BV600,'LP Reactivos'!CA600,'LP Reactivos'!CF600,'LP Reactivos'!CK600,'LP Reactivos'!CP600,'LP Reactivos'!CU600,'LP Reactivos'!CZ600,'LP Reactivos'!DE600,'LP Reactivos'!DJ600,'LP Reactivos'!DO600,'LP Reactivos'!DT600,'LP Reactivos'!DY600,'LP Reactivos'!EB600)," ")</f>
        <v>1192879.8</v>
      </c>
      <c r="E600" s="429">
        <f>IFERROR(AVERAGE('LP Reactivos'!F600,'LP Reactivos'!I600,'LP Reactivos'!N600,'LP Reactivos'!S600,'LP Reactivos'!X600,'LP Reactivos'!AC600,'LP Reactivos'!AH600,'LP Reactivos'!AM600,'LP Reactivos'!AR600,'LP Reactivos'!AW600,'LP Reactivos'!BB600,'LP Reactivos'!BG600,'LP Reactivos'!BL600,'LP Reactivos'!BQ600,'LP Reactivos'!BV600,'LP Reactivos'!CA600,'LP Reactivos'!CF600,'LP Reactivos'!CK600,'LP Reactivos'!CP600,'LP Reactivos'!CU600,'LP Reactivos'!CZ600,'LP Reactivos'!DE600,'LP Reactivos'!DJ600,'LP Reactivos'!DO600,'LP Reactivos'!DT600,'LP Reactivos'!DY600,'LP Reactivos'!EB600)," ")</f>
        <v>2738762.0372250001</v>
      </c>
      <c r="F600" s="345">
        <f>IFERROR(MEDIAN('LP Reactivos'!F600,'LP Reactivos'!I600,'LP Reactivos'!N600,'LP Reactivos'!S600,'LP Reactivos'!X600,'LP Reactivos'!AC600,'LP Reactivos'!AH600,'LP Reactivos'!AM600,'LP Reactivos'!AR600,'LP Reactivos'!AW600,'LP Reactivos'!BB600,'LP Reactivos'!BG600,'LP Reactivos'!BL600,'LP Reactivos'!BQ600,'LP Reactivos'!BV600,'LP Reactivos'!CA600,'LP Reactivos'!CF600,'LP Reactivos'!CK600,'LP Reactivos'!CP600,'LP Reactivos'!CU600,'LP Reactivos'!CZ600,'LP Reactivos'!DE600,'LP Reactivos'!DJ600,'LP Reactivos'!DO600,'LP Reactivos'!DT600,'LP Reactivos'!DY600,'LP Reactivos'!EB600)," ")</f>
        <v>2581974.4244499998</v>
      </c>
      <c r="G600" s="345">
        <f>IFERROR(GEOMEAN('LP Reactivos'!F600,'LP Reactivos'!I600,'LP Reactivos'!N600,'LP Reactivos'!S600,'LP Reactivos'!X600,'LP Reactivos'!AC600,'LP Reactivos'!AH600,'LP Reactivos'!AM600,'LP Reactivos'!AR600,'LP Reactivos'!AW600,'LP Reactivos'!BB600,'LP Reactivos'!BG600,'LP Reactivos'!BL600,'LP Reactivos'!BQ600,'LP Reactivos'!BV600,'LP Reactivos'!CA600,'LP Reactivos'!CF600,'LP Reactivos'!CK600,'LP Reactivos'!CP600,'LP Reactivos'!CU600,'LP Reactivos'!CZ600,'LP Reactivos'!DE600,'LP Reactivos'!DJ600,'LP Reactivos'!DO600,'LP Reactivos'!DT600,'LP Reactivos'!DY600,'LP Reactivos'!EB600)," ")</f>
        <v>2431221.0899114348</v>
      </c>
      <c r="H600" s="345">
        <f t="shared" si="40"/>
        <v>706795.30717951828</v>
      </c>
      <c r="I600" s="346">
        <f t="shared" si="41"/>
        <v>0.25807109108890142</v>
      </c>
      <c r="J600" s="345">
        <f t="shared" si="43"/>
        <v>2431221.0899114348</v>
      </c>
      <c r="K600" s="344" t="str">
        <f t="shared" si="42"/>
        <v>Media Geométrica</v>
      </c>
      <c r="L600" s="326">
        <f>IFERROR(COUNTA('LP Reactivos'!F600,'LP Reactivos'!I600,'LP Reactivos'!N600,'LP Reactivos'!S600,'LP Reactivos'!X600,'LP Reactivos'!AC600,'LP Reactivos'!AH600,'LP Reactivos'!AM600,'LP Reactivos'!AR600,'LP Reactivos'!AW600,'LP Reactivos'!BB600,'LP Reactivos'!BG600,'LP Reactivos'!BL600,'LP Reactivos'!BQ600,'LP Reactivos'!BV600,'LP Reactivos'!CA600,'LP Reactivos'!CF600,'LP Reactivos'!CK600,'LP Reactivos'!CP600,'LP Reactivos'!CU600,'LP Reactivos'!CZ600,'LP Reactivos'!DE600,'LP Reactivos'!DJ600,'LP Reactivos'!DO600,'LP Reactivos'!DT600,'LP Reactivos'!DY600,'LP Reactivos'!EB600)," ")</f>
        <v>4</v>
      </c>
    </row>
    <row r="601" spans="2:12" ht="27" x14ac:dyDescent="0.25">
      <c r="B601" s="425">
        <v>599</v>
      </c>
      <c r="C601" s="426" t="s">
        <v>2610</v>
      </c>
      <c r="D601" s="429">
        <f>IFERROR(MIN('LP Reactivos'!F601,'LP Reactivos'!I601,'LP Reactivos'!N601,'LP Reactivos'!S601,'LP Reactivos'!X601,'LP Reactivos'!AC601,'LP Reactivos'!AH601,'LP Reactivos'!AM601,'LP Reactivos'!AR601,'LP Reactivos'!AW601,'LP Reactivos'!BB601,'LP Reactivos'!BG601,'LP Reactivos'!BL601,'LP Reactivos'!BQ601,'LP Reactivos'!BV601,'LP Reactivos'!CA601,'LP Reactivos'!CF601,'LP Reactivos'!CK601,'LP Reactivos'!CP601,'LP Reactivos'!CU601,'LP Reactivos'!CZ601,'LP Reactivos'!DE601,'LP Reactivos'!DJ601,'LP Reactivos'!DO601,'LP Reactivos'!DT601,'LP Reactivos'!DY601,'LP Reactivos'!EB601)," ")</f>
        <v>2361555</v>
      </c>
      <c r="E601" s="429">
        <f>IFERROR(AVERAGE('LP Reactivos'!F601,'LP Reactivos'!I601,'LP Reactivos'!N601,'LP Reactivos'!S601,'LP Reactivos'!X601,'LP Reactivos'!AC601,'LP Reactivos'!AH601,'LP Reactivos'!AM601,'LP Reactivos'!AR601,'LP Reactivos'!AW601,'LP Reactivos'!BB601,'LP Reactivos'!BG601,'LP Reactivos'!BL601,'LP Reactivos'!BQ601,'LP Reactivos'!BV601,'LP Reactivos'!CA601,'LP Reactivos'!CF601,'LP Reactivos'!CK601,'LP Reactivos'!CP601,'LP Reactivos'!CU601,'LP Reactivos'!CZ601,'LP Reactivos'!DE601,'LP Reactivos'!DJ601,'LP Reactivos'!DO601,'LP Reactivos'!DT601,'LP Reactivos'!DY601,'LP Reactivos'!EB601)," ")</f>
        <v>2715432.2326000002</v>
      </c>
      <c r="F601" s="345">
        <f>IFERROR(MEDIAN('LP Reactivos'!F601,'LP Reactivos'!I601,'LP Reactivos'!N601,'LP Reactivos'!S601,'LP Reactivos'!X601,'LP Reactivos'!AC601,'LP Reactivos'!AH601,'LP Reactivos'!AM601,'LP Reactivos'!AR601,'LP Reactivos'!AW601,'LP Reactivos'!BB601,'LP Reactivos'!BG601,'LP Reactivos'!BL601,'LP Reactivos'!BQ601,'LP Reactivos'!BV601,'LP Reactivos'!CA601,'LP Reactivos'!CF601,'LP Reactivos'!CK601,'LP Reactivos'!CP601,'LP Reactivos'!CU601,'LP Reactivos'!CZ601,'LP Reactivos'!DE601,'LP Reactivos'!DJ601,'LP Reactivos'!DO601,'LP Reactivos'!DT601,'LP Reactivos'!DY601,'LP Reactivos'!EB601)," ")</f>
        <v>2529634</v>
      </c>
      <c r="G601" s="345">
        <f>IFERROR(GEOMEAN('LP Reactivos'!F601,'LP Reactivos'!I601,'LP Reactivos'!N601,'LP Reactivos'!S601,'LP Reactivos'!X601,'LP Reactivos'!AC601,'LP Reactivos'!AH601,'LP Reactivos'!AM601,'LP Reactivos'!AR601,'LP Reactivos'!AW601,'LP Reactivos'!BB601,'LP Reactivos'!BG601,'LP Reactivos'!BL601,'LP Reactivos'!BQ601,'LP Reactivos'!BV601,'LP Reactivos'!CA601,'LP Reactivos'!CF601,'LP Reactivos'!CK601,'LP Reactivos'!CP601,'LP Reactivos'!CU601,'LP Reactivos'!CZ601,'LP Reactivos'!DE601,'LP Reactivos'!DJ601,'LP Reactivos'!DO601,'LP Reactivos'!DT601,'LP Reactivos'!DY601,'LP Reactivos'!EB601)," ")</f>
        <v>2689100.5334984339</v>
      </c>
      <c r="H601" s="345">
        <f t="shared" si="40"/>
        <v>163658.5977549185</v>
      </c>
      <c r="I601" s="346">
        <f t="shared" si="41"/>
        <v>6.0269814797851526E-2</v>
      </c>
      <c r="J601" s="345">
        <f t="shared" si="43"/>
        <v>2529634</v>
      </c>
      <c r="K601" s="344" t="str">
        <f t="shared" si="42"/>
        <v>Mediana</v>
      </c>
      <c r="L601" s="326">
        <f>IFERROR(COUNTA('LP Reactivos'!F601,'LP Reactivos'!I601,'LP Reactivos'!N601,'LP Reactivos'!S601,'LP Reactivos'!X601,'LP Reactivos'!AC601,'LP Reactivos'!AH601,'LP Reactivos'!AM601,'LP Reactivos'!AR601,'LP Reactivos'!AW601,'LP Reactivos'!BB601,'LP Reactivos'!BG601,'LP Reactivos'!BL601,'LP Reactivos'!BQ601,'LP Reactivos'!BV601,'LP Reactivos'!CA601,'LP Reactivos'!CF601,'LP Reactivos'!CK601,'LP Reactivos'!CP601,'LP Reactivos'!CU601,'LP Reactivos'!CZ601,'LP Reactivos'!DE601,'LP Reactivos'!DJ601,'LP Reactivos'!DO601,'LP Reactivos'!DT601,'LP Reactivos'!DY601,'LP Reactivos'!EB601)," ")</f>
        <v>3</v>
      </c>
    </row>
    <row r="602" spans="2:12" x14ac:dyDescent="0.25">
      <c r="B602" s="425">
        <v>600</v>
      </c>
      <c r="C602" s="427" t="s">
        <v>2612</v>
      </c>
      <c r="D602" s="429">
        <f>IFERROR(MIN('LP Reactivos'!F602,'LP Reactivos'!I602,'LP Reactivos'!N602,'LP Reactivos'!S602,'LP Reactivos'!X602,'LP Reactivos'!AC602,'LP Reactivos'!AH602,'LP Reactivos'!AM602,'LP Reactivos'!AR602,'LP Reactivos'!AW602,'LP Reactivos'!BB602,'LP Reactivos'!BG602,'LP Reactivos'!BL602,'LP Reactivos'!BQ602,'LP Reactivos'!BV602,'LP Reactivos'!CA602,'LP Reactivos'!CF602,'LP Reactivos'!CK602,'LP Reactivos'!CP602,'LP Reactivos'!CU602,'LP Reactivos'!CZ602,'LP Reactivos'!DE602,'LP Reactivos'!DJ602,'LP Reactivos'!DO602,'LP Reactivos'!DT602,'LP Reactivos'!DY602,'LP Reactivos'!EB602)," ")</f>
        <v>366840.38369999995</v>
      </c>
      <c r="E602" s="429">
        <f>IFERROR(AVERAGE('LP Reactivos'!F602,'LP Reactivos'!I602,'LP Reactivos'!N602,'LP Reactivos'!S602,'LP Reactivos'!X602,'LP Reactivos'!AC602,'LP Reactivos'!AH602,'LP Reactivos'!AM602,'LP Reactivos'!AR602,'LP Reactivos'!AW602,'LP Reactivos'!BB602,'LP Reactivos'!BG602,'LP Reactivos'!BL602,'LP Reactivos'!BQ602,'LP Reactivos'!BV602,'LP Reactivos'!CA602,'LP Reactivos'!CF602,'LP Reactivos'!CK602,'LP Reactivos'!CP602,'LP Reactivos'!CU602,'LP Reactivos'!CZ602,'LP Reactivos'!DE602,'LP Reactivos'!DJ602,'LP Reactivos'!DO602,'LP Reactivos'!DT602,'LP Reactivos'!DY602,'LP Reactivos'!EB602)," ")</f>
        <v>366840.38369999995</v>
      </c>
      <c r="F602" s="345">
        <f>IFERROR(MEDIAN('LP Reactivos'!F602,'LP Reactivos'!I602,'LP Reactivos'!N602,'LP Reactivos'!S602,'LP Reactivos'!X602,'LP Reactivos'!AC602,'LP Reactivos'!AH602,'LP Reactivos'!AM602,'LP Reactivos'!AR602,'LP Reactivos'!AW602,'LP Reactivos'!BB602,'LP Reactivos'!BG602,'LP Reactivos'!BL602,'LP Reactivos'!BQ602,'LP Reactivos'!BV602,'LP Reactivos'!CA602,'LP Reactivos'!CF602,'LP Reactivos'!CK602,'LP Reactivos'!CP602,'LP Reactivos'!CU602,'LP Reactivos'!CZ602,'LP Reactivos'!DE602,'LP Reactivos'!DJ602,'LP Reactivos'!DO602,'LP Reactivos'!DT602,'LP Reactivos'!DY602,'LP Reactivos'!EB602)," ")</f>
        <v>366840.38369999995</v>
      </c>
      <c r="G602" s="345">
        <f>IFERROR(GEOMEAN('LP Reactivos'!F602,'LP Reactivos'!I602,'LP Reactivos'!N602,'LP Reactivos'!S602,'LP Reactivos'!X602,'LP Reactivos'!AC602,'LP Reactivos'!AH602,'LP Reactivos'!AM602,'LP Reactivos'!AR602,'LP Reactivos'!AW602,'LP Reactivos'!BB602,'LP Reactivos'!BG602,'LP Reactivos'!BL602,'LP Reactivos'!BQ602,'LP Reactivos'!BV602,'LP Reactivos'!CA602,'LP Reactivos'!CF602,'LP Reactivos'!CK602,'LP Reactivos'!CP602,'LP Reactivos'!CU602,'LP Reactivos'!CZ602,'LP Reactivos'!DE602,'LP Reactivos'!DJ602,'LP Reactivos'!DO602,'LP Reactivos'!DT602,'LP Reactivos'!DY602,'LP Reactivos'!EB602)," ")</f>
        <v>366840.38369999995</v>
      </c>
      <c r="H602" s="345">
        <f t="shared" si="40"/>
        <v>0</v>
      </c>
      <c r="I602" s="346">
        <f t="shared" si="41"/>
        <v>0</v>
      </c>
      <c r="J602" s="345">
        <f t="shared" si="43"/>
        <v>366840.38369999995</v>
      </c>
      <c r="K602" s="344" t="str">
        <f t="shared" si="42"/>
        <v>Menor Valor</v>
      </c>
      <c r="L602" s="326">
        <f>IFERROR(COUNTA('LP Reactivos'!F602,'LP Reactivos'!I602,'LP Reactivos'!N602,'LP Reactivos'!S602,'LP Reactivos'!X602,'LP Reactivos'!AC602,'LP Reactivos'!AH602,'LP Reactivos'!AM602,'LP Reactivos'!AR602,'LP Reactivos'!AW602,'LP Reactivos'!BB602,'LP Reactivos'!BG602,'LP Reactivos'!BL602,'LP Reactivos'!BQ602,'LP Reactivos'!BV602,'LP Reactivos'!CA602,'LP Reactivos'!CF602,'LP Reactivos'!CK602,'LP Reactivos'!CP602,'LP Reactivos'!CU602,'LP Reactivos'!CZ602,'LP Reactivos'!DE602,'LP Reactivos'!DJ602,'LP Reactivos'!DO602,'LP Reactivos'!DT602,'LP Reactivos'!DY602,'LP Reactivos'!EB602)," ")</f>
        <v>1</v>
      </c>
    </row>
    <row r="603" spans="2:12" x14ac:dyDescent="0.25">
      <c r="B603" s="425">
        <v>601</v>
      </c>
      <c r="C603" s="427" t="s">
        <v>2615</v>
      </c>
      <c r="D603" s="429">
        <f>IFERROR(MIN('LP Reactivos'!F603,'LP Reactivos'!I603,'LP Reactivos'!N603,'LP Reactivos'!S603,'LP Reactivos'!X603,'LP Reactivos'!AC603,'LP Reactivos'!AH603,'LP Reactivos'!AM603,'LP Reactivos'!AR603,'LP Reactivos'!AW603,'LP Reactivos'!BB603,'LP Reactivos'!BG603,'LP Reactivos'!BL603,'LP Reactivos'!BQ603,'LP Reactivos'!BV603,'LP Reactivos'!CA603,'LP Reactivos'!CF603,'LP Reactivos'!CK603,'LP Reactivos'!CP603,'LP Reactivos'!CU603,'LP Reactivos'!CZ603,'LP Reactivos'!DE603,'LP Reactivos'!DJ603,'LP Reactivos'!DO603,'LP Reactivos'!DT603,'LP Reactivos'!DY603,'LP Reactivos'!EB603)," ")</f>
        <v>208250</v>
      </c>
      <c r="E603" s="429">
        <f>IFERROR(AVERAGE('LP Reactivos'!F603,'LP Reactivos'!I603,'LP Reactivos'!N603,'LP Reactivos'!S603,'LP Reactivos'!X603,'LP Reactivos'!AC603,'LP Reactivos'!AH603,'LP Reactivos'!AM603,'LP Reactivos'!AR603,'LP Reactivos'!AW603,'LP Reactivos'!BB603,'LP Reactivos'!BG603,'LP Reactivos'!BL603,'LP Reactivos'!BQ603,'LP Reactivos'!BV603,'LP Reactivos'!CA603,'LP Reactivos'!CF603,'LP Reactivos'!CK603,'LP Reactivos'!CP603,'LP Reactivos'!CU603,'LP Reactivos'!CZ603,'LP Reactivos'!DE603,'LP Reactivos'!DJ603,'LP Reactivos'!DO603,'LP Reactivos'!DT603,'LP Reactivos'!DY603,'LP Reactivos'!EB603)," ")</f>
        <v>765363.86333333328</v>
      </c>
      <c r="F603" s="345">
        <f>IFERROR(MEDIAN('LP Reactivos'!F603,'LP Reactivos'!I603,'LP Reactivos'!N603,'LP Reactivos'!S603,'LP Reactivos'!X603,'LP Reactivos'!AC603,'LP Reactivos'!AH603,'LP Reactivos'!AM603,'LP Reactivos'!AR603,'LP Reactivos'!AW603,'LP Reactivos'!BB603,'LP Reactivos'!BG603,'LP Reactivos'!BL603,'LP Reactivos'!BQ603,'LP Reactivos'!BV603,'LP Reactivos'!CA603,'LP Reactivos'!CF603,'LP Reactivos'!CK603,'LP Reactivos'!CP603,'LP Reactivos'!CU603,'LP Reactivos'!CZ603,'LP Reactivos'!DE603,'LP Reactivos'!DJ603,'LP Reactivos'!DO603,'LP Reactivos'!DT603,'LP Reactivos'!DY603,'LP Reactivos'!EB603)," ")</f>
        <v>754532.59</v>
      </c>
      <c r="G603" s="345">
        <f>IFERROR(GEOMEAN('LP Reactivos'!F603,'LP Reactivos'!I603,'LP Reactivos'!N603,'LP Reactivos'!S603,'LP Reactivos'!X603,'LP Reactivos'!AC603,'LP Reactivos'!AH603,'LP Reactivos'!AM603,'LP Reactivos'!AR603,'LP Reactivos'!AW603,'LP Reactivos'!BB603,'LP Reactivos'!BG603,'LP Reactivos'!BL603,'LP Reactivos'!BQ603,'LP Reactivos'!BV603,'LP Reactivos'!CA603,'LP Reactivos'!CF603,'LP Reactivos'!CK603,'LP Reactivos'!CP603,'LP Reactivos'!CU603,'LP Reactivos'!CZ603,'LP Reactivos'!DE603,'LP Reactivos'!DJ603,'LP Reactivos'!DO603,'LP Reactivos'!DT603,'LP Reactivos'!DY603,'LP Reactivos'!EB603)," ")</f>
        <v>593924.54613535188</v>
      </c>
      <c r="H603" s="345">
        <f t="shared" si="40"/>
        <v>260264.14148408442</v>
      </c>
      <c r="I603" s="346">
        <f t="shared" si="41"/>
        <v>0.34005282187033892</v>
      </c>
      <c r="J603" s="345">
        <f>IF(I603&lt;=10%,F603,IF(AND(I603&gt;10%,I603&lt;=20%),E603,IF(AND(I603&gt;20%,I603&lt;=35%),G603,IF(I603&gt;35%,D603))))</f>
        <v>593924.54613535188</v>
      </c>
      <c r="K603" s="344" t="str">
        <f t="shared" si="42"/>
        <v>Media Geométrica</v>
      </c>
      <c r="L603" s="326">
        <f>IFERROR(COUNTA('LP Reactivos'!F603,'LP Reactivos'!I603,'LP Reactivos'!N603,'LP Reactivos'!S603,'LP Reactivos'!X603,'LP Reactivos'!AC603,'LP Reactivos'!AH603,'LP Reactivos'!AM603,'LP Reactivos'!AR603,'LP Reactivos'!AW603,'LP Reactivos'!BB603,'LP Reactivos'!BG603,'LP Reactivos'!BL603,'LP Reactivos'!BQ603,'LP Reactivos'!BV603,'LP Reactivos'!CA603,'LP Reactivos'!CF603,'LP Reactivos'!CK603,'LP Reactivos'!CP603,'LP Reactivos'!CU603,'LP Reactivos'!CZ603,'LP Reactivos'!DE603,'LP Reactivos'!DJ603,'LP Reactivos'!DO603,'LP Reactivos'!DT603,'LP Reactivos'!DY603,'LP Reactivos'!EB603)," ")</f>
        <v>3</v>
      </c>
    </row>
    <row r="604" spans="2:12" ht="27" x14ac:dyDescent="0.25">
      <c r="B604" s="425">
        <v>602</v>
      </c>
      <c r="C604" s="427" t="s">
        <v>2618</v>
      </c>
      <c r="D604" s="429">
        <f>IFERROR(MIN('LP Reactivos'!F604,'LP Reactivos'!I604,'LP Reactivos'!N604,'LP Reactivos'!S604,'LP Reactivos'!X604,'LP Reactivos'!AC604,'LP Reactivos'!AH604,'LP Reactivos'!AM604,'LP Reactivos'!AR604,'LP Reactivos'!AW604,'LP Reactivos'!BB604,'LP Reactivos'!BG604,'LP Reactivos'!BL604,'LP Reactivos'!BQ604,'LP Reactivos'!BV604,'LP Reactivos'!CA604,'LP Reactivos'!CF604,'LP Reactivos'!CK604,'LP Reactivos'!CP604,'LP Reactivos'!CU604,'LP Reactivos'!CZ604,'LP Reactivos'!DE604,'LP Reactivos'!DJ604,'LP Reactivos'!DO604,'LP Reactivos'!DT604,'LP Reactivos'!DY604,'LP Reactivos'!EB604)," ")</f>
        <v>948430</v>
      </c>
      <c r="E604" s="429">
        <f>IFERROR(AVERAGE('LP Reactivos'!F604,'LP Reactivos'!I604,'LP Reactivos'!N604,'LP Reactivos'!S604,'LP Reactivos'!X604,'LP Reactivos'!AC604,'LP Reactivos'!AH604,'LP Reactivos'!AM604,'LP Reactivos'!AR604,'LP Reactivos'!AW604,'LP Reactivos'!BB604,'LP Reactivos'!BG604,'LP Reactivos'!BL604,'LP Reactivos'!BQ604,'LP Reactivos'!BV604,'LP Reactivos'!CA604,'LP Reactivos'!CF604,'LP Reactivos'!CK604,'LP Reactivos'!CP604,'LP Reactivos'!CU604,'LP Reactivos'!CZ604,'LP Reactivos'!DE604,'LP Reactivos'!DJ604,'LP Reactivos'!DO604,'LP Reactivos'!DT604,'LP Reactivos'!DY604,'LP Reactivos'!EB604)," ")</f>
        <v>1092598.976</v>
      </c>
      <c r="F604" s="345">
        <f>IFERROR(MEDIAN('LP Reactivos'!F604,'LP Reactivos'!I604,'LP Reactivos'!N604,'LP Reactivos'!S604,'LP Reactivos'!X604,'LP Reactivos'!AC604,'LP Reactivos'!AH604,'LP Reactivos'!AM604,'LP Reactivos'!AR604,'LP Reactivos'!AW604,'LP Reactivos'!BB604,'LP Reactivos'!BG604,'LP Reactivos'!BL604,'LP Reactivos'!BQ604,'LP Reactivos'!BV604,'LP Reactivos'!CA604,'LP Reactivos'!CF604,'LP Reactivos'!CK604,'LP Reactivos'!CP604,'LP Reactivos'!CU604,'LP Reactivos'!CZ604,'LP Reactivos'!DE604,'LP Reactivos'!DJ604,'LP Reactivos'!DO604,'LP Reactivos'!DT604,'LP Reactivos'!DY604,'LP Reactivos'!EB604)," ")</f>
        <v>1092598.976</v>
      </c>
      <c r="G604" s="345">
        <f>IFERROR(GEOMEAN('LP Reactivos'!F604,'LP Reactivos'!I604,'LP Reactivos'!N604,'LP Reactivos'!S604,'LP Reactivos'!X604,'LP Reactivos'!AC604,'LP Reactivos'!AH604,'LP Reactivos'!AM604,'LP Reactivos'!AR604,'LP Reactivos'!AW604,'LP Reactivos'!BB604,'LP Reactivos'!BG604,'LP Reactivos'!BL604,'LP Reactivos'!BQ604,'LP Reactivos'!BV604,'LP Reactivos'!CA604,'LP Reactivos'!CF604,'LP Reactivos'!CK604,'LP Reactivos'!CP604,'LP Reactivos'!CU604,'LP Reactivos'!CZ604,'LP Reactivos'!DE604,'LP Reactivos'!DJ604,'LP Reactivos'!DO604,'LP Reactivos'!DT604,'LP Reactivos'!DY604,'LP Reactivos'!EB604)," ")</f>
        <v>1083045.6263313009</v>
      </c>
      <c r="H604" s="345">
        <f t="shared" si="40"/>
        <v>70635.972371336451</v>
      </c>
      <c r="I604" s="346">
        <f t="shared" si="41"/>
        <v>6.4649495306992169E-2</v>
      </c>
      <c r="J604" s="345">
        <f t="shared" si="43"/>
        <v>1092598.976</v>
      </c>
      <c r="K604" s="344" t="str">
        <f t="shared" si="42"/>
        <v>Promedio</v>
      </c>
      <c r="L604" s="326">
        <f>IFERROR(COUNTA('LP Reactivos'!F604,'LP Reactivos'!I604,'LP Reactivos'!N604,'LP Reactivos'!S604,'LP Reactivos'!X604,'LP Reactivos'!AC604,'LP Reactivos'!AH604,'LP Reactivos'!AM604,'LP Reactivos'!AR604,'LP Reactivos'!AW604,'LP Reactivos'!BB604,'LP Reactivos'!BG604,'LP Reactivos'!BL604,'LP Reactivos'!BQ604,'LP Reactivos'!BV604,'LP Reactivos'!CA604,'LP Reactivos'!CF604,'LP Reactivos'!CK604,'LP Reactivos'!CP604,'LP Reactivos'!CU604,'LP Reactivos'!CZ604,'LP Reactivos'!DE604,'LP Reactivos'!DJ604,'LP Reactivos'!DO604,'LP Reactivos'!DT604,'LP Reactivos'!DY604,'LP Reactivos'!EB604)," ")</f>
        <v>2</v>
      </c>
    </row>
    <row r="605" spans="2:12" ht="27" x14ac:dyDescent="0.25">
      <c r="B605" s="425">
        <v>603</v>
      </c>
      <c r="C605" s="426" t="s">
        <v>2622</v>
      </c>
      <c r="D605" s="429">
        <f>IFERROR(MIN('LP Reactivos'!F605,'LP Reactivos'!I605,'LP Reactivos'!N605,'LP Reactivos'!S605,'LP Reactivos'!X605,'LP Reactivos'!AC605,'LP Reactivos'!AH605,'LP Reactivos'!AM605,'LP Reactivos'!AR605,'LP Reactivos'!AW605,'LP Reactivos'!BB605,'LP Reactivos'!BG605,'LP Reactivos'!BL605,'LP Reactivos'!BQ605,'LP Reactivos'!BV605,'LP Reactivos'!CA605,'LP Reactivos'!CF605,'LP Reactivos'!CK605,'LP Reactivos'!CP605,'LP Reactivos'!CU605,'LP Reactivos'!CZ605,'LP Reactivos'!DE605,'LP Reactivos'!DJ605,'LP Reactivos'!DO605,'LP Reactivos'!DT605,'LP Reactivos'!DY605,'LP Reactivos'!EB605)," ")</f>
        <v>240975</v>
      </c>
      <c r="E605" s="429">
        <f>IFERROR(AVERAGE('LP Reactivos'!F605,'LP Reactivos'!I605,'LP Reactivos'!N605,'LP Reactivos'!S605,'LP Reactivos'!X605,'LP Reactivos'!AC605,'LP Reactivos'!AH605,'LP Reactivos'!AM605,'LP Reactivos'!AR605,'LP Reactivos'!AW605,'LP Reactivos'!BB605,'LP Reactivos'!BG605,'LP Reactivos'!BL605,'LP Reactivos'!BQ605,'LP Reactivos'!BV605,'LP Reactivos'!CA605,'LP Reactivos'!CF605,'LP Reactivos'!CK605,'LP Reactivos'!CP605,'LP Reactivos'!CU605,'LP Reactivos'!CZ605,'LP Reactivos'!DE605,'LP Reactivos'!DJ605,'LP Reactivos'!DO605,'LP Reactivos'!DT605,'LP Reactivos'!DY605,'LP Reactivos'!EB605)," ")</f>
        <v>3105490.4323</v>
      </c>
      <c r="F605" s="345">
        <f>IFERROR(MEDIAN('LP Reactivos'!F605,'LP Reactivos'!I605,'LP Reactivos'!N605,'LP Reactivos'!S605,'LP Reactivos'!X605,'LP Reactivos'!AC605,'LP Reactivos'!AH605,'LP Reactivos'!AM605,'LP Reactivos'!AR605,'LP Reactivos'!AW605,'LP Reactivos'!BB605,'LP Reactivos'!BG605,'LP Reactivos'!BL605,'LP Reactivos'!BQ605,'LP Reactivos'!BV605,'LP Reactivos'!CA605,'LP Reactivos'!CF605,'LP Reactivos'!CK605,'LP Reactivos'!CP605,'LP Reactivos'!CU605,'LP Reactivos'!CZ605,'LP Reactivos'!DE605,'LP Reactivos'!DJ605,'LP Reactivos'!DO605,'LP Reactivos'!DT605,'LP Reactivos'!DY605,'LP Reactivos'!EB605)," ")</f>
        <v>3164395.6</v>
      </c>
      <c r="G605" s="345">
        <f>IFERROR(GEOMEAN('LP Reactivos'!F605,'LP Reactivos'!I605,'LP Reactivos'!N605,'LP Reactivos'!S605,'LP Reactivos'!X605,'LP Reactivos'!AC605,'LP Reactivos'!AH605,'LP Reactivos'!AM605,'LP Reactivos'!AR605,'LP Reactivos'!AW605,'LP Reactivos'!BB605,'LP Reactivos'!BG605,'LP Reactivos'!BL605,'LP Reactivos'!BQ605,'LP Reactivos'!BV605,'LP Reactivos'!CA605,'LP Reactivos'!CF605,'LP Reactivos'!CK605,'LP Reactivos'!CP605,'LP Reactivos'!CU605,'LP Reactivos'!CZ605,'LP Reactivos'!DE605,'LP Reactivos'!DJ605,'LP Reactivos'!DO605,'LP Reactivos'!DT605,'LP Reactivos'!DY605,'LP Reactivos'!EB605)," ")</f>
        <v>2179543.5538684279</v>
      </c>
      <c r="H605" s="345">
        <f t="shared" si="40"/>
        <v>1364449.3913194817</v>
      </c>
      <c r="I605" s="346">
        <f t="shared" si="41"/>
        <v>0.43936679924302263</v>
      </c>
      <c r="J605" s="345">
        <f>IF(I605&lt;=10%,F605,IF(AND(I605&gt;10%,I605&lt;=20%),E605,IF(AND(I605&gt;20%,I605&lt;=44%),G605,IF(I605&gt;44%,D605))))</f>
        <v>2179543.5538684279</v>
      </c>
      <c r="K605" s="344" t="str">
        <f t="shared" si="42"/>
        <v>Media Geométrica</v>
      </c>
      <c r="L605" s="326">
        <f>IFERROR(COUNTA('LP Reactivos'!F605,'LP Reactivos'!I605,'LP Reactivos'!N605,'LP Reactivos'!S605,'LP Reactivos'!X605,'LP Reactivos'!AC605,'LP Reactivos'!AH605,'LP Reactivos'!AM605,'LP Reactivos'!AR605,'LP Reactivos'!AW605,'LP Reactivos'!BB605,'LP Reactivos'!BG605,'LP Reactivos'!BL605,'LP Reactivos'!BQ605,'LP Reactivos'!BV605,'LP Reactivos'!CA605,'LP Reactivos'!CF605,'LP Reactivos'!CK605,'LP Reactivos'!CP605,'LP Reactivos'!CU605,'LP Reactivos'!CZ605,'LP Reactivos'!DE605,'LP Reactivos'!DJ605,'LP Reactivos'!DO605,'LP Reactivos'!DT605,'LP Reactivos'!DY605,'LP Reactivos'!EB605)," ")</f>
        <v>6</v>
      </c>
    </row>
    <row r="606" spans="2:12" ht="27" x14ac:dyDescent="0.25">
      <c r="B606" s="425">
        <v>604</v>
      </c>
      <c r="C606" s="426" t="s">
        <v>2627</v>
      </c>
      <c r="D606" s="429">
        <f>IFERROR(MIN('LP Reactivos'!F606,'LP Reactivos'!I606,'LP Reactivos'!N606,'LP Reactivos'!S606,'LP Reactivos'!X606,'LP Reactivos'!AC606,'LP Reactivos'!AH606,'LP Reactivos'!AM606,'LP Reactivos'!AR606,'LP Reactivos'!AW606,'LP Reactivos'!BB606,'LP Reactivos'!BG606,'LP Reactivos'!BL606,'LP Reactivos'!BQ606,'LP Reactivos'!BV606,'LP Reactivos'!CA606,'LP Reactivos'!CF606,'LP Reactivos'!CK606,'LP Reactivos'!CP606,'LP Reactivos'!CU606,'LP Reactivos'!CZ606,'LP Reactivos'!DE606,'LP Reactivos'!DJ606,'LP Reactivos'!DO606,'LP Reactivos'!DT606,'LP Reactivos'!DY606,'LP Reactivos'!EB606)," ")</f>
        <v>380800</v>
      </c>
      <c r="E606" s="429">
        <f>IFERROR(AVERAGE('LP Reactivos'!F606,'LP Reactivos'!I606,'LP Reactivos'!N606,'LP Reactivos'!S606,'LP Reactivos'!X606,'LP Reactivos'!AC606,'LP Reactivos'!AH606,'LP Reactivos'!AM606,'LP Reactivos'!AR606,'LP Reactivos'!AW606,'LP Reactivos'!BB606,'LP Reactivos'!BG606,'LP Reactivos'!BL606,'LP Reactivos'!BQ606,'LP Reactivos'!BV606,'LP Reactivos'!CA606,'LP Reactivos'!CF606,'LP Reactivos'!CK606,'LP Reactivos'!CP606,'LP Reactivos'!CU606,'LP Reactivos'!CZ606,'LP Reactivos'!DE606,'LP Reactivos'!DJ606,'LP Reactivos'!DO606,'LP Reactivos'!DT606,'LP Reactivos'!DY606,'LP Reactivos'!EB606)," ")</f>
        <v>972765.15506666666</v>
      </c>
      <c r="F606" s="345">
        <f>IFERROR(MEDIAN('LP Reactivos'!F606,'LP Reactivos'!I606,'LP Reactivos'!N606,'LP Reactivos'!S606,'LP Reactivos'!X606,'LP Reactivos'!AC606,'LP Reactivos'!AH606,'LP Reactivos'!AM606,'LP Reactivos'!AR606,'LP Reactivos'!AW606,'LP Reactivos'!BB606,'LP Reactivos'!BG606,'LP Reactivos'!BL606,'LP Reactivos'!BQ606,'LP Reactivos'!BV606,'LP Reactivos'!CA606,'LP Reactivos'!CF606,'LP Reactivos'!CK606,'LP Reactivos'!CP606,'LP Reactivos'!CU606,'LP Reactivos'!CZ606,'LP Reactivos'!DE606,'LP Reactivos'!DJ606,'LP Reactivos'!DO606,'LP Reactivos'!DT606,'LP Reactivos'!DY606,'LP Reactivos'!EB606)," ")</f>
        <v>531838.46519999998</v>
      </c>
      <c r="G606" s="345">
        <f>IFERROR(GEOMEAN('LP Reactivos'!F606,'LP Reactivos'!I606,'LP Reactivos'!N606,'LP Reactivos'!S606,'LP Reactivos'!X606,'LP Reactivos'!AC606,'LP Reactivos'!AH606,'LP Reactivos'!AM606,'LP Reactivos'!AR606,'LP Reactivos'!AW606,'LP Reactivos'!BB606,'LP Reactivos'!BG606,'LP Reactivos'!BL606,'LP Reactivos'!BQ606,'LP Reactivos'!BV606,'LP Reactivos'!CA606,'LP Reactivos'!CF606,'LP Reactivos'!CK606,'LP Reactivos'!CP606,'LP Reactivos'!CU606,'LP Reactivos'!CZ606,'LP Reactivos'!DE606,'LP Reactivos'!DJ606,'LP Reactivos'!DO606,'LP Reactivos'!DT606,'LP Reactivos'!DY606,'LP Reactivos'!EB606)," ")</f>
        <v>740589.89599752275</v>
      </c>
      <c r="H606" s="345">
        <f t="shared" si="40"/>
        <v>257323.23846762491</v>
      </c>
      <c r="I606" s="346">
        <f t="shared" si="41"/>
        <v>0.26452760681995208</v>
      </c>
      <c r="J606" s="345">
        <f t="shared" si="43"/>
        <v>740589.89599752275</v>
      </c>
      <c r="K606" s="344" t="str">
        <f t="shared" si="42"/>
        <v>Media Geométrica</v>
      </c>
      <c r="L606" s="326">
        <f>IFERROR(COUNTA('LP Reactivos'!F606,'LP Reactivos'!I606,'LP Reactivos'!N606,'LP Reactivos'!S606,'LP Reactivos'!X606,'LP Reactivos'!AC606,'LP Reactivos'!AH606,'LP Reactivos'!AM606,'LP Reactivos'!AR606,'LP Reactivos'!AW606,'LP Reactivos'!BB606,'LP Reactivos'!BG606,'LP Reactivos'!BL606,'LP Reactivos'!BQ606,'LP Reactivos'!BV606,'LP Reactivos'!CA606,'LP Reactivos'!CF606,'LP Reactivos'!CK606,'LP Reactivos'!CP606,'LP Reactivos'!CU606,'LP Reactivos'!CZ606,'LP Reactivos'!DE606,'LP Reactivos'!DJ606,'LP Reactivos'!DO606,'LP Reactivos'!DT606,'LP Reactivos'!DY606,'LP Reactivos'!EB606)," ")</f>
        <v>3</v>
      </c>
    </row>
    <row r="607" spans="2:12" ht="54" x14ac:dyDescent="0.25">
      <c r="B607" s="425">
        <v>605</v>
      </c>
      <c r="C607" s="426" t="s">
        <v>2631</v>
      </c>
      <c r="D607" s="429">
        <f>IFERROR(MIN('LP Reactivos'!F607,'LP Reactivos'!I607,'LP Reactivos'!N607,'LP Reactivos'!S607,'LP Reactivos'!X607,'LP Reactivos'!AC607,'LP Reactivos'!AH607,'LP Reactivos'!AM607,'LP Reactivos'!AR607,'LP Reactivos'!AW607,'LP Reactivos'!BB607,'LP Reactivos'!BG607,'LP Reactivos'!BL607,'LP Reactivos'!BQ607,'LP Reactivos'!BV607,'LP Reactivos'!CA607,'LP Reactivos'!CF607,'LP Reactivos'!CK607,'LP Reactivos'!CP607,'LP Reactivos'!CU607,'LP Reactivos'!CZ607,'LP Reactivos'!DE607,'LP Reactivos'!DJ607,'LP Reactivos'!DO607,'LP Reactivos'!DT607,'LP Reactivos'!DY607,'LP Reactivos'!EB607)," ")</f>
        <v>354108.3</v>
      </c>
      <c r="E607" s="429">
        <f>IFERROR(AVERAGE('LP Reactivos'!F607,'LP Reactivos'!I607,'LP Reactivos'!N607,'LP Reactivos'!S607,'LP Reactivos'!X607,'LP Reactivos'!AC607,'LP Reactivos'!AH607,'LP Reactivos'!AM607,'LP Reactivos'!AR607,'LP Reactivos'!AW607,'LP Reactivos'!BB607,'LP Reactivos'!BG607,'LP Reactivos'!BL607,'LP Reactivos'!BQ607,'LP Reactivos'!BV607,'LP Reactivos'!CA607,'LP Reactivos'!CF607,'LP Reactivos'!CK607,'LP Reactivos'!CP607,'LP Reactivos'!CU607,'LP Reactivos'!CZ607,'LP Reactivos'!DE607,'LP Reactivos'!DJ607,'LP Reactivos'!DO607,'LP Reactivos'!DT607,'LP Reactivos'!DY607,'LP Reactivos'!EB607)," ")</f>
        <v>1166093.2323999999</v>
      </c>
      <c r="F607" s="345">
        <f>IFERROR(MEDIAN('LP Reactivos'!F607,'LP Reactivos'!I607,'LP Reactivos'!N607,'LP Reactivos'!S607,'LP Reactivos'!X607,'LP Reactivos'!AC607,'LP Reactivos'!AH607,'LP Reactivos'!AM607,'LP Reactivos'!AR607,'LP Reactivos'!AW607,'LP Reactivos'!BB607,'LP Reactivos'!BG607,'LP Reactivos'!BL607,'LP Reactivos'!BQ607,'LP Reactivos'!BV607,'LP Reactivos'!CA607,'LP Reactivos'!CF607,'LP Reactivos'!CK607,'LP Reactivos'!CP607,'LP Reactivos'!CU607,'LP Reactivos'!CZ607,'LP Reactivos'!DE607,'LP Reactivos'!DJ607,'LP Reactivos'!DO607,'LP Reactivos'!DT607,'LP Reactivos'!DY607,'LP Reactivos'!EB607)," ")</f>
        <v>571200</v>
      </c>
      <c r="G607" s="345">
        <f>IFERROR(GEOMEAN('LP Reactivos'!F607,'LP Reactivos'!I607,'LP Reactivos'!N607,'LP Reactivos'!S607,'LP Reactivos'!X607,'LP Reactivos'!AC607,'LP Reactivos'!AH607,'LP Reactivos'!AM607,'LP Reactivos'!AR607,'LP Reactivos'!AW607,'LP Reactivos'!BB607,'LP Reactivos'!BG607,'LP Reactivos'!BL607,'LP Reactivos'!BQ607,'LP Reactivos'!BV607,'LP Reactivos'!CA607,'LP Reactivos'!CF607,'LP Reactivos'!CK607,'LP Reactivos'!CP607,'LP Reactivos'!CU607,'LP Reactivos'!CZ607,'LP Reactivos'!DE607,'LP Reactivos'!DJ607,'LP Reactivos'!DO607,'LP Reactivos'!DT607,'LP Reactivos'!DY607,'LP Reactivos'!EB607)," ")</f>
        <v>801724.07833245699</v>
      </c>
      <c r="H607" s="345">
        <f t="shared" si="40"/>
        <v>347204.59995367995</v>
      </c>
      <c r="I607" s="346">
        <f t="shared" si="41"/>
        <v>0.29775029157752619</v>
      </c>
      <c r="J607" s="345">
        <f t="shared" si="43"/>
        <v>801724.07833245699</v>
      </c>
      <c r="K607" s="344" t="str">
        <f t="shared" si="42"/>
        <v>Media Geométrica</v>
      </c>
      <c r="L607" s="326">
        <f>IFERROR(COUNTA('LP Reactivos'!F607,'LP Reactivos'!I607,'LP Reactivos'!N607,'LP Reactivos'!S607,'LP Reactivos'!X607,'LP Reactivos'!AC607,'LP Reactivos'!AH607,'LP Reactivos'!AM607,'LP Reactivos'!AR607,'LP Reactivos'!AW607,'LP Reactivos'!BB607,'LP Reactivos'!BG607,'LP Reactivos'!BL607,'LP Reactivos'!BQ607,'LP Reactivos'!BV607,'LP Reactivos'!CA607,'LP Reactivos'!CF607,'LP Reactivos'!CK607,'LP Reactivos'!CP607,'LP Reactivos'!CU607,'LP Reactivos'!CZ607,'LP Reactivos'!DE607,'LP Reactivos'!DJ607,'LP Reactivos'!DO607,'LP Reactivos'!DT607,'LP Reactivos'!DY607,'LP Reactivos'!EB607)," ")</f>
        <v>5</v>
      </c>
    </row>
    <row r="608" spans="2:12" ht="40.5" x14ac:dyDescent="0.25">
      <c r="B608" s="425">
        <v>606</v>
      </c>
      <c r="C608" s="427" t="s">
        <v>2636</v>
      </c>
      <c r="D608" s="429">
        <f>IFERROR(MIN('LP Reactivos'!F608,'LP Reactivos'!I608,'LP Reactivos'!N608,'LP Reactivos'!S608,'LP Reactivos'!X608,'LP Reactivos'!AC608,'LP Reactivos'!AH608,'LP Reactivos'!AM608,'LP Reactivos'!AR608,'LP Reactivos'!AW608,'LP Reactivos'!BB608,'LP Reactivos'!BG608,'LP Reactivos'!BL608,'LP Reactivos'!BQ608,'LP Reactivos'!BV608,'LP Reactivos'!CA608,'LP Reactivos'!CF608,'LP Reactivos'!CK608,'LP Reactivos'!CP608,'LP Reactivos'!CU608,'LP Reactivos'!CZ608,'LP Reactivos'!DE608,'LP Reactivos'!DJ608,'LP Reactivos'!DO608,'LP Reactivos'!DT608,'LP Reactivos'!DY608,'LP Reactivos'!EB608)," ")</f>
        <v>2000128.2</v>
      </c>
      <c r="E608" s="429">
        <f>IFERROR(AVERAGE('LP Reactivos'!F608,'LP Reactivos'!I608,'LP Reactivos'!N608,'LP Reactivos'!S608,'LP Reactivos'!X608,'LP Reactivos'!AC608,'LP Reactivos'!AH608,'LP Reactivos'!AM608,'LP Reactivos'!AR608,'LP Reactivos'!AW608,'LP Reactivos'!BB608,'LP Reactivos'!BG608,'LP Reactivos'!BL608,'LP Reactivos'!BQ608,'LP Reactivos'!BV608,'LP Reactivos'!CA608,'LP Reactivos'!CF608,'LP Reactivos'!CK608,'LP Reactivos'!CP608,'LP Reactivos'!CU608,'LP Reactivos'!CZ608,'LP Reactivos'!DE608,'LP Reactivos'!DJ608,'LP Reactivos'!DO608,'LP Reactivos'!DT608,'LP Reactivos'!DY608,'LP Reactivos'!EB608)," ")</f>
        <v>2000128.2</v>
      </c>
      <c r="F608" s="345">
        <f>IFERROR(MEDIAN('LP Reactivos'!F608,'LP Reactivos'!I608,'LP Reactivos'!N608,'LP Reactivos'!S608,'LP Reactivos'!X608,'LP Reactivos'!AC608,'LP Reactivos'!AH608,'LP Reactivos'!AM608,'LP Reactivos'!AR608,'LP Reactivos'!AW608,'LP Reactivos'!BB608,'LP Reactivos'!BG608,'LP Reactivos'!BL608,'LP Reactivos'!BQ608,'LP Reactivos'!BV608,'LP Reactivos'!CA608,'LP Reactivos'!CF608,'LP Reactivos'!CK608,'LP Reactivos'!CP608,'LP Reactivos'!CU608,'LP Reactivos'!CZ608,'LP Reactivos'!DE608,'LP Reactivos'!DJ608,'LP Reactivos'!DO608,'LP Reactivos'!DT608,'LP Reactivos'!DY608,'LP Reactivos'!EB608)," ")</f>
        <v>2000128.2</v>
      </c>
      <c r="G608" s="345">
        <f>IFERROR(GEOMEAN('LP Reactivos'!F608,'LP Reactivos'!I608,'LP Reactivos'!N608,'LP Reactivos'!S608,'LP Reactivos'!X608,'LP Reactivos'!AC608,'LP Reactivos'!AH608,'LP Reactivos'!AM608,'LP Reactivos'!AR608,'LP Reactivos'!AW608,'LP Reactivos'!BB608,'LP Reactivos'!BG608,'LP Reactivos'!BL608,'LP Reactivos'!BQ608,'LP Reactivos'!BV608,'LP Reactivos'!CA608,'LP Reactivos'!CF608,'LP Reactivos'!CK608,'LP Reactivos'!CP608,'LP Reactivos'!CU608,'LP Reactivos'!CZ608,'LP Reactivos'!DE608,'LP Reactivos'!DJ608,'LP Reactivos'!DO608,'LP Reactivos'!DT608,'LP Reactivos'!DY608,'LP Reactivos'!EB608)," ")</f>
        <v>2000128.2</v>
      </c>
      <c r="H608" s="345">
        <f t="shared" si="40"/>
        <v>0</v>
      </c>
      <c r="I608" s="346">
        <f t="shared" si="41"/>
        <v>0</v>
      </c>
      <c r="J608" s="345">
        <f t="shared" si="43"/>
        <v>2000128.2</v>
      </c>
      <c r="K608" s="344" t="str">
        <f t="shared" si="42"/>
        <v>Menor Valor</v>
      </c>
      <c r="L608" s="326">
        <f>IFERROR(COUNTA('LP Reactivos'!F608,'LP Reactivos'!I608,'LP Reactivos'!N608,'LP Reactivos'!S608,'LP Reactivos'!X608,'LP Reactivos'!AC608,'LP Reactivos'!AH608,'LP Reactivos'!AM608,'LP Reactivos'!AR608,'LP Reactivos'!AW608,'LP Reactivos'!BB608,'LP Reactivos'!BG608,'LP Reactivos'!BL608,'LP Reactivos'!BQ608,'LP Reactivos'!BV608,'LP Reactivos'!CA608,'LP Reactivos'!CF608,'LP Reactivos'!CK608,'LP Reactivos'!CP608,'LP Reactivos'!CU608,'LP Reactivos'!CZ608,'LP Reactivos'!DE608,'LP Reactivos'!DJ608,'LP Reactivos'!DO608,'LP Reactivos'!DT608,'LP Reactivos'!DY608,'LP Reactivos'!EB608)," ")</f>
        <v>1</v>
      </c>
    </row>
    <row r="609" spans="2:12" x14ac:dyDescent="0.25">
      <c r="B609" s="425">
        <v>607</v>
      </c>
      <c r="C609" s="427" t="s">
        <v>2638</v>
      </c>
      <c r="D609" s="429">
        <f>IFERROR(MIN('LP Reactivos'!F609,'LP Reactivos'!I609,'LP Reactivos'!N609,'LP Reactivos'!S609,'LP Reactivos'!X609,'LP Reactivos'!AC609,'LP Reactivos'!AH609,'LP Reactivos'!AM609,'LP Reactivos'!AR609,'LP Reactivos'!AW609,'LP Reactivos'!BB609,'LP Reactivos'!BG609,'LP Reactivos'!BL609,'LP Reactivos'!BQ609,'LP Reactivos'!BV609,'LP Reactivos'!CA609,'LP Reactivos'!CF609,'LP Reactivos'!CK609,'LP Reactivos'!CP609,'LP Reactivos'!CU609,'LP Reactivos'!CZ609,'LP Reactivos'!DE609,'LP Reactivos'!DJ609,'LP Reactivos'!DO609,'LP Reactivos'!DT609,'LP Reactivos'!DY609,'LP Reactivos'!EB609)," ")</f>
        <v>162500</v>
      </c>
      <c r="E609" s="429">
        <f>IFERROR(AVERAGE('LP Reactivos'!F609,'LP Reactivos'!I609,'LP Reactivos'!N609,'LP Reactivos'!S609,'LP Reactivos'!X609,'LP Reactivos'!AC609,'LP Reactivos'!AH609,'LP Reactivos'!AM609,'LP Reactivos'!AR609,'LP Reactivos'!AW609,'LP Reactivos'!BB609,'LP Reactivos'!BG609,'LP Reactivos'!BL609,'LP Reactivos'!BQ609,'LP Reactivos'!BV609,'LP Reactivos'!CA609,'LP Reactivos'!CF609,'LP Reactivos'!CK609,'LP Reactivos'!CP609,'LP Reactivos'!CU609,'LP Reactivos'!CZ609,'LP Reactivos'!DE609,'LP Reactivos'!DJ609,'LP Reactivos'!DO609,'LP Reactivos'!DT609,'LP Reactivos'!DY609,'LP Reactivos'!EB609)," ")</f>
        <v>264125.74900000001</v>
      </c>
      <c r="F609" s="345">
        <f>IFERROR(MEDIAN('LP Reactivos'!F609,'LP Reactivos'!I609,'LP Reactivos'!N609,'LP Reactivos'!S609,'LP Reactivos'!X609,'LP Reactivos'!AC609,'LP Reactivos'!AH609,'LP Reactivos'!AM609,'LP Reactivos'!AR609,'LP Reactivos'!AW609,'LP Reactivos'!BB609,'LP Reactivos'!BG609,'LP Reactivos'!BL609,'LP Reactivos'!BQ609,'LP Reactivos'!BV609,'LP Reactivos'!CA609,'LP Reactivos'!CF609,'LP Reactivos'!CK609,'LP Reactivos'!CP609,'LP Reactivos'!CU609,'LP Reactivos'!CZ609,'LP Reactivos'!DE609,'LP Reactivos'!DJ609,'LP Reactivos'!DO609,'LP Reactivos'!DT609,'LP Reactivos'!DY609,'LP Reactivos'!EB609)," ")</f>
        <v>264125.74900000001</v>
      </c>
      <c r="G609" s="345">
        <f>IFERROR(GEOMEAN('LP Reactivos'!F609,'LP Reactivos'!I609,'LP Reactivos'!N609,'LP Reactivos'!S609,'LP Reactivos'!X609,'LP Reactivos'!AC609,'LP Reactivos'!AH609,'LP Reactivos'!AM609,'LP Reactivos'!AR609,'LP Reactivos'!AW609,'LP Reactivos'!BB609,'LP Reactivos'!BG609,'LP Reactivos'!BL609,'LP Reactivos'!BQ609,'LP Reactivos'!BV609,'LP Reactivos'!CA609,'LP Reactivos'!CF609,'LP Reactivos'!CK609,'LP Reactivos'!CP609,'LP Reactivos'!CU609,'LP Reactivos'!CZ609,'LP Reactivos'!DE609,'LP Reactivos'!DJ609,'LP Reactivos'!DO609,'LP Reactivos'!DT609,'LP Reactivos'!DY609,'LP Reactivos'!EB609)," ")</f>
        <v>243792.16235350963</v>
      </c>
      <c r="H609" s="345">
        <f t="shared" si="40"/>
        <v>48382.943681590827</v>
      </c>
      <c r="I609" s="346">
        <f t="shared" si="41"/>
        <v>0.18318147270674023</v>
      </c>
      <c r="J609" s="345">
        <f t="shared" si="43"/>
        <v>264125.74900000001</v>
      </c>
      <c r="K609" s="344" t="str">
        <f t="shared" si="42"/>
        <v>Promedio</v>
      </c>
      <c r="L609" s="326">
        <f>IFERROR(COUNTA('LP Reactivos'!F609,'LP Reactivos'!I609,'LP Reactivos'!N609,'LP Reactivos'!S609,'LP Reactivos'!X609,'LP Reactivos'!AC609,'LP Reactivos'!AH609,'LP Reactivos'!AM609,'LP Reactivos'!AR609,'LP Reactivos'!AW609,'LP Reactivos'!BB609,'LP Reactivos'!BG609,'LP Reactivos'!BL609,'LP Reactivos'!BQ609,'LP Reactivos'!BV609,'LP Reactivos'!CA609,'LP Reactivos'!CF609,'LP Reactivos'!CK609,'LP Reactivos'!CP609,'LP Reactivos'!CU609,'LP Reactivos'!CZ609,'LP Reactivos'!DE609,'LP Reactivos'!DJ609,'LP Reactivos'!DO609,'LP Reactivos'!DT609,'LP Reactivos'!DY609,'LP Reactivos'!EB609)," ")</f>
        <v>2</v>
      </c>
    </row>
    <row r="610" spans="2:12" ht="40.5" x14ac:dyDescent="0.25">
      <c r="B610" s="425">
        <v>608</v>
      </c>
      <c r="C610" s="427" t="s">
        <v>2640</v>
      </c>
      <c r="D610" s="429">
        <f>IFERROR(MIN('LP Reactivos'!F610,'LP Reactivos'!I610,'LP Reactivos'!N610,'LP Reactivos'!S610,'LP Reactivos'!X610,'LP Reactivos'!AC610,'LP Reactivos'!AH610,'LP Reactivos'!AM610,'LP Reactivos'!AR610,'LP Reactivos'!AW610,'LP Reactivos'!BB610,'LP Reactivos'!BG610,'LP Reactivos'!BL610,'LP Reactivos'!BQ610,'LP Reactivos'!BV610,'LP Reactivos'!CA610,'LP Reactivos'!CF610,'LP Reactivos'!CK610,'LP Reactivos'!CP610,'LP Reactivos'!CU610,'LP Reactivos'!CZ610,'LP Reactivos'!DE610,'LP Reactivos'!DJ610,'LP Reactivos'!DO610,'LP Reactivos'!DT610,'LP Reactivos'!DY610,'LP Reactivos'!EB610)," ")</f>
        <v>730890.4</v>
      </c>
      <c r="E610" s="429">
        <f>IFERROR(AVERAGE('LP Reactivos'!F610,'LP Reactivos'!I610,'LP Reactivos'!N610,'LP Reactivos'!S610,'LP Reactivos'!X610,'LP Reactivos'!AC610,'LP Reactivos'!AH610,'LP Reactivos'!AM610,'LP Reactivos'!AR610,'LP Reactivos'!AW610,'LP Reactivos'!BB610,'LP Reactivos'!BG610,'LP Reactivos'!BL610,'LP Reactivos'!BQ610,'LP Reactivos'!BV610,'LP Reactivos'!CA610,'LP Reactivos'!CF610,'LP Reactivos'!CK610,'LP Reactivos'!CP610,'LP Reactivos'!CU610,'LP Reactivos'!CZ610,'LP Reactivos'!DE610,'LP Reactivos'!DJ610,'LP Reactivos'!DO610,'LP Reactivos'!DT610,'LP Reactivos'!DY610,'LP Reactivos'!EB610)," ")</f>
        <v>988993.46666666667</v>
      </c>
      <c r="F610" s="345">
        <f>IFERROR(MEDIAN('LP Reactivos'!F610,'LP Reactivos'!I610,'LP Reactivos'!N610,'LP Reactivos'!S610,'LP Reactivos'!X610,'LP Reactivos'!AC610,'LP Reactivos'!AH610,'LP Reactivos'!AM610,'LP Reactivos'!AR610,'LP Reactivos'!AW610,'LP Reactivos'!BB610,'LP Reactivos'!BG610,'LP Reactivos'!BL610,'LP Reactivos'!BQ610,'LP Reactivos'!BV610,'LP Reactivos'!CA610,'LP Reactivos'!CF610,'LP Reactivos'!CK610,'LP Reactivos'!CP610,'LP Reactivos'!CU610,'LP Reactivos'!CZ610,'LP Reactivos'!DE610,'LP Reactivos'!DJ610,'LP Reactivos'!DO610,'LP Reactivos'!DT610,'LP Reactivos'!DY610,'LP Reactivos'!EB610)," ")</f>
        <v>795000</v>
      </c>
      <c r="G610" s="345">
        <f>IFERROR(GEOMEAN('LP Reactivos'!F610,'LP Reactivos'!I610,'LP Reactivos'!N610,'LP Reactivos'!S610,'LP Reactivos'!X610,'LP Reactivos'!AC610,'LP Reactivos'!AH610,'LP Reactivos'!AM610,'LP Reactivos'!AR610,'LP Reactivos'!AW610,'LP Reactivos'!BB610,'LP Reactivos'!BG610,'LP Reactivos'!BL610,'LP Reactivos'!BQ610,'LP Reactivos'!BV610,'LP Reactivos'!CA610,'LP Reactivos'!CF610,'LP Reactivos'!CK610,'LP Reactivos'!CP610,'LP Reactivos'!CU610,'LP Reactivos'!CZ610,'LP Reactivos'!DE610,'LP Reactivos'!DJ610,'LP Reactivos'!DO610,'LP Reactivos'!DT610,'LP Reactivos'!DY610,'LP Reactivos'!EB610)," ")</f>
        <v>942548.04493354505</v>
      </c>
      <c r="H610" s="345">
        <f t="shared" si="40"/>
        <v>121479.51142982375</v>
      </c>
      <c r="I610" s="346">
        <f t="shared" si="41"/>
        <v>0.12283145998856994</v>
      </c>
      <c r="J610" s="345">
        <f t="shared" si="43"/>
        <v>988993.46666666667</v>
      </c>
      <c r="K610" s="344" t="str">
        <f t="shared" si="42"/>
        <v>Promedio</v>
      </c>
      <c r="L610" s="326">
        <f>IFERROR(COUNTA('LP Reactivos'!F610,'LP Reactivos'!I610,'LP Reactivos'!N610,'LP Reactivos'!S610,'LP Reactivos'!X610,'LP Reactivos'!AC610,'LP Reactivos'!AH610,'LP Reactivos'!AM610,'LP Reactivos'!AR610,'LP Reactivos'!AW610,'LP Reactivos'!BB610,'LP Reactivos'!BG610,'LP Reactivos'!BL610,'LP Reactivos'!BQ610,'LP Reactivos'!BV610,'LP Reactivos'!CA610,'LP Reactivos'!CF610,'LP Reactivos'!CK610,'LP Reactivos'!CP610,'LP Reactivos'!CU610,'LP Reactivos'!CZ610,'LP Reactivos'!DE610,'LP Reactivos'!DJ610,'LP Reactivos'!DO610,'LP Reactivos'!DT610,'LP Reactivos'!DY610,'LP Reactivos'!EB610)," ")</f>
        <v>3</v>
      </c>
    </row>
    <row r="611" spans="2:12" x14ac:dyDescent="0.25">
      <c r="B611" s="425">
        <v>609</v>
      </c>
      <c r="C611" s="428" t="s">
        <v>2645</v>
      </c>
      <c r="D611" s="429">
        <f>IFERROR(MIN('LP Reactivos'!F611,'LP Reactivos'!I611,'LP Reactivos'!N611,'LP Reactivos'!S611,'LP Reactivos'!X611,'LP Reactivos'!AC611,'LP Reactivos'!AH611,'LP Reactivos'!AM611,'LP Reactivos'!AR611,'LP Reactivos'!AW611,'LP Reactivos'!BB611,'LP Reactivos'!BG611,'LP Reactivos'!BL611,'LP Reactivos'!BQ611,'LP Reactivos'!BV611,'LP Reactivos'!CA611,'LP Reactivos'!CF611,'LP Reactivos'!CK611,'LP Reactivos'!CP611,'LP Reactivos'!CU611,'LP Reactivos'!CZ611,'LP Reactivos'!DE611,'LP Reactivos'!DJ611,'LP Reactivos'!DO611,'LP Reactivos'!DT611,'LP Reactivos'!DY611,'LP Reactivos'!EB611)," ")</f>
        <v>594190.80000000005</v>
      </c>
      <c r="E611" s="429">
        <f>IFERROR(AVERAGE('LP Reactivos'!F611,'LP Reactivos'!I611,'LP Reactivos'!N611,'LP Reactivos'!S611,'LP Reactivos'!X611,'LP Reactivos'!AC611,'LP Reactivos'!AH611,'LP Reactivos'!AM611,'LP Reactivos'!AR611,'LP Reactivos'!AW611,'LP Reactivos'!BB611,'LP Reactivos'!BG611,'LP Reactivos'!BL611,'LP Reactivos'!BQ611,'LP Reactivos'!BV611,'LP Reactivos'!CA611,'LP Reactivos'!CF611,'LP Reactivos'!CK611,'LP Reactivos'!CP611,'LP Reactivos'!CU611,'LP Reactivos'!CZ611,'LP Reactivos'!DE611,'LP Reactivos'!DJ611,'LP Reactivos'!DO611,'LP Reactivos'!DT611,'LP Reactivos'!DY611,'LP Reactivos'!EB611)," ")</f>
        <v>1080339.5999999999</v>
      </c>
      <c r="F611" s="345">
        <f>IFERROR(MEDIAN('LP Reactivos'!F611,'LP Reactivos'!I611,'LP Reactivos'!N611,'LP Reactivos'!S611,'LP Reactivos'!X611,'LP Reactivos'!AC611,'LP Reactivos'!AH611,'LP Reactivos'!AM611,'LP Reactivos'!AR611,'LP Reactivos'!AW611,'LP Reactivos'!BB611,'LP Reactivos'!BG611,'LP Reactivos'!BL611,'LP Reactivos'!BQ611,'LP Reactivos'!BV611,'LP Reactivos'!CA611,'LP Reactivos'!CF611,'LP Reactivos'!CK611,'LP Reactivos'!CP611,'LP Reactivos'!CU611,'LP Reactivos'!CZ611,'LP Reactivos'!DE611,'LP Reactivos'!DJ611,'LP Reactivos'!DO611,'LP Reactivos'!DT611,'LP Reactivos'!DY611,'LP Reactivos'!EB611)," ")</f>
        <v>750890</v>
      </c>
      <c r="G611" s="345">
        <f>IFERROR(GEOMEAN('LP Reactivos'!F611,'LP Reactivos'!I611,'LP Reactivos'!N611,'LP Reactivos'!S611,'LP Reactivos'!X611,'LP Reactivos'!AC611,'LP Reactivos'!AH611,'LP Reactivos'!AM611,'LP Reactivos'!AR611,'LP Reactivos'!AW611,'LP Reactivos'!BB611,'LP Reactivos'!BG611,'LP Reactivos'!BL611,'LP Reactivos'!BQ611,'LP Reactivos'!BV611,'LP Reactivos'!CA611,'LP Reactivos'!CF611,'LP Reactivos'!CK611,'LP Reactivos'!CP611,'LP Reactivos'!CU611,'LP Reactivos'!CZ611,'LP Reactivos'!DE611,'LP Reactivos'!DJ611,'LP Reactivos'!DO611,'LP Reactivos'!DT611,'LP Reactivos'!DY611,'LP Reactivos'!EB611)," ")</f>
        <v>945748.0583425276</v>
      </c>
      <c r="H611" s="345">
        <f t="shared" si="40"/>
        <v>213913.80387169786</v>
      </c>
      <c r="I611" s="346">
        <f t="shared" si="41"/>
        <v>0.19800607500798628</v>
      </c>
      <c r="J611" s="345">
        <f t="shared" si="43"/>
        <v>1080339.5999999999</v>
      </c>
      <c r="K611" s="344" t="str">
        <f t="shared" si="42"/>
        <v>Promedio</v>
      </c>
      <c r="L611" s="326">
        <f>IFERROR(COUNTA('LP Reactivos'!F611,'LP Reactivos'!I611,'LP Reactivos'!N611,'LP Reactivos'!S611,'LP Reactivos'!X611,'LP Reactivos'!AC611,'LP Reactivos'!AH611,'LP Reactivos'!AM611,'LP Reactivos'!AR611,'LP Reactivos'!AW611,'LP Reactivos'!BB611,'LP Reactivos'!BG611,'LP Reactivos'!BL611,'LP Reactivos'!BQ611,'LP Reactivos'!BV611,'LP Reactivos'!CA611,'LP Reactivos'!CF611,'LP Reactivos'!CK611,'LP Reactivos'!CP611,'LP Reactivos'!CU611,'LP Reactivos'!CZ611,'LP Reactivos'!DE611,'LP Reactivos'!DJ611,'LP Reactivos'!DO611,'LP Reactivos'!DT611,'LP Reactivos'!DY611,'LP Reactivos'!EB611)," ")</f>
        <v>3</v>
      </c>
    </row>
    <row r="612" spans="2:12" x14ac:dyDescent="0.25">
      <c r="B612" s="425">
        <v>610</v>
      </c>
      <c r="C612" s="428" t="s">
        <v>2648</v>
      </c>
      <c r="D612" s="429">
        <f>IFERROR(MIN('LP Reactivos'!F612,'LP Reactivos'!I612,'LP Reactivos'!N612,'LP Reactivos'!S612,'LP Reactivos'!X612,'LP Reactivos'!AC612,'LP Reactivos'!AH612,'LP Reactivos'!AM612,'LP Reactivos'!AR612,'LP Reactivos'!AW612,'LP Reactivos'!BB612,'LP Reactivos'!BG612,'LP Reactivos'!BL612,'LP Reactivos'!BQ612,'LP Reactivos'!BV612,'LP Reactivos'!CA612,'LP Reactivos'!CF612,'LP Reactivos'!CK612,'LP Reactivos'!CP612,'LP Reactivos'!CU612,'LP Reactivos'!CZ612,'LP Reactivos'!DE612,'LP Reactivos'!DJ612,'LP Reactivos'!DO612,'LP Reactivos'!DT612,'LP Reactivos'!DY612,'LP Reactivos'!EB612)," ")</f>
        <v>905053</v>
      </c>
      <c r="E612" s="429">
        <f>IFERROR(AVERAGE('LP Reactivos'!F612,'LP Reactivos'!I612,'LP Reactivos'!N612,'LP Reactivos'!S612,'LP Reactivos'!X612,'LP Reactivos'!AC612,'LP Reactivos'!AH612,'LP Reactivos'!AM612,'LP Reactivos'!AR612,'LP Reactivos'!AW612,'LP Reactivos'!BB612,'LP Reactivos'!BG612,'LP Reactivos'!BL612,'LP Reactivos'!BQ612,'LP Reactivos'!BV612,'LP Reactivos'!CA612,'LP Reactivos'!CF612,'LP Reactivos'!CK612,'LP Reactivos'!CP612,'LP Reactivos'!CU612,'LP Reactivos'!CZ612,'LP Reactivos'!DE612,'LP Reactivos'!DJ612,'LP Reactivos'!DO612,'LP Reactivos'!DT612,'LP Reactivos'!DY612,'LP Reactivos'!EB612)," ")</f>
        <v>1392517.6666666667</v>
      </c>
      <c r="F612" s="345">
        <f>IFERROR(MEDIAN('LP Reactivos'!F612,'LP Reactivos'!I612,'LP Reactivos'!N612,'LP Reactivos'!S612,'LP Reactivos'!X612,'LP Reactivos'!AC612,'LP Reactivos'!AH612,'LP Reactivos'!AM612,'LP Reactivos'!AR612,'LP Reactivos'!AW612,'LP Reactivos'!BB612,'LP Reactivos'!BG612,'LP Reactivos'!BL612,'LP Reactivos'!BQ612,'LP Reactivos'!BV612,'LP Reactivos'!CA612,'LP Reactivos'!CF612,'LP Reactivos'!CK612,'LP Reactivos'!CP612,'LP Reactivos'!CU612,'LP Reactivos'!CZ612,'LP Reactivos'!DE612,'LP Reactivos'!DJ612,'LP Reactivos'!DO612,'LP Reactivos'!DT612,'LP Reactivos'!DY612,'LP Reactivos'!EB612)," ")</f>
        <v>1037680</v>
      </c>
      <c r="G612" s="345">
        <f>IFERROR(GEOMEAN('LP Reactivos'!F612,'LP Reactivos'!I612,'LP Reactivos'!N612,'LP Reactivos'!S612,'LP Reactivos'!X612,'LP Reactivos'!AC612,'LP Reactivos'!AH612,'LP Reactivos'!AM612,'LP Reactivos'!AR612,'LP Reactivos'!AW612,'LP Reactivos'!BB612,'LP Reactivos'!BG612,'LP Reactivos'!BL612,'LP Reactivos'!BQ612,'LP Reactivos'!BV612,'LP Reactivos'!CA612,'LP Reactivos'!CF612,'LP Reactivos'!CK612,'LP Reactivos'!CP612,'LP Reactivos'!CU612,'LP Reactivos'!CZ612,'LP Reactivos'!DE612,'LP Reactivos'!DJ612,'LP Reactivos'!DO612,'LP Reactivos'!DT612,'LP Reactivos'!DY612,'LP Reactivos'!EB612)," ")</f>
        <v>1280343.9961694553</v>
      </c>
      <c r="H612" s="345">
        <f t="shared" si="40"/>
        <v>222379.84981754754</v>
      </c>
      <c r="I612" s="346">
        <f t="shared" si="41"/>
        <v>0.15969625028159848</v>
      </c>
      <c r="J612" s="345">
        <f t="shared" si="43"/>
        <v>1392517.6666666667</v>
      </c>
      <c r="K612" s="344" t="str">
        <f t="shared" si="42"/>
        <v>Promedio</v>
      </c>
      <c r="L612" s="326">
        <f>IFERROR(COUNTA('LP Reactivos'!F612,'LP Reactivos'!I612,'LP Reactivos'!N612,'LP Reactivos'!S612,'LP Reactivos'!X612,'LP Reactivos'!AC612,'LP Reactivos'!AH612,'LP Reactivos'!AM612,'LP Reactivos'!AR612,'LP Reactivos'!AW612,'LP Reactivos'!BB612,'LP Reactivos'!BG612,'LP Reactivos'!BL612,'LP Reactivos'!BQ612,'LP Reactivos'!BV612,'LP Reactivos'!CA612,'LP Reactivos'!CF612,'LP Reactivos'!CK612,'LP Reactivos'!CP612,'LP Reactivos'!CU612,'LP Reactivos'!CZ612,'LP Reactivos'!DE612,'LP Reactivos'!DJ612,'LP Reactivos'!DO612,'LP Reactivos'!DT612,'LP Reactivos'!DY612,'LP Reactivos'!EB612)," ")</f>
        <v>3</v>
      </c>
    </row>
    <row r="613" spans="2:12" ht="27" x14ac:dyDescent="0.25">
      <c r="B613" s="425">
        <v>611</v>
      </c>
      <c r="C613" s="427" t="s">
        <v>2652</v>
      </c>
      <c r="D613" s="429">
        <f>IFERROR(MIN('LP Reactivos'!F613,'LP Reactivos'!I613,'LP Reactivos'!N613,'LP Reactivos'!S613,'LP Reactivos'!X613,'LP Reactivos'!AC613,'LP Reactivos'!AH613,'LP Reactivos'!AM613,'LP Reactivos'!AR613,'LP Reactivos'!AW613,'LP Reactivos'!BB613,'LP Reactivos'!BG613,'LP Reactivos'!BL613,'LP Reactivos'!BQ613,'LP Reactivos'!BV613,'LP Reactivos'!CA613,'LP Reactivos'!CF613,'LP Reactivos'!CK613,'LP Reactivos'!CP613,'LP Reactivos'!CU613,'LP Reactivos'!CZ613,'LP Reactivos'!DE613,'LP Reactivos'!DJ613,'LP Reactivos'!DO613,'LP Reactivos'!DT613,'LP Reactivos'!DY613,'LP Reactivos'!EB613)," ")</f>
        <v>83430.899999999994</v>
      </c>
      <c r="E613" s="429">
        <f>IFERROR(AVERAGE('LP Reactivos'!F613,'LP Reactivos'!I613,'LP Reactivos'!N613,'LP Reactivos'!S613,'LP Reactivos'!X613,'LP Reactivos'!AC613,'LP Reactivos'!AH613,'LP Reactivos'!AM613,'LP Reactivos'!AR613,'LP Reactivos'!AW613,'LP Reactivos'!BB613,'LP Reactivos'!BG613,'LP Reactivos'!BL613,'LP Reactivos'!BQ613,'LP Reactivos'!BV613,'LP Reactivos'!CA613,'LP Reactivos'!CF613,'LP Reactivos'!CK613,'LP Reactivos'!CP613,'LP Reactivos'!CU613,'LP Reactivos'!CZ613,'LP Reactivos'!DE613,'LP Reactivos'!DJ613,'LP Reactivos'!DO613,'LP Reactivos'!DT613,'LP Reactivos'!DY613,'LP Reactivos'!EB613)," ")</f>
        <v>149891.91039999999</v>
      </c>
      <c r="F613" s="345">
        <f>IFERROR(MEDIAN('LP Reactivos'!F613,'LP Reactivos'!I613,'LP Reactivos'!N613,'LP Reactivos'!S613,'LP Reactivos'!X613,'LP Reactivos'!AC613,'LP Reactivos'!AH613,'LP Reactivos'!AM613,'LP Reactivos'!AR613,'LP Reactivos'!AW613,'LP Reactivos'!BB613,'LP Reactivos'!BG613,'LP Reactivos'!BL613,'LP Reactivos'!BQ613,'LP Reactivos'!BV613,'LP Reactivos'!CA613,'LP Reactivos'!CF613,'LP Reactivos'!CK613,'LP Reactivos'!CP613,'LP Reactivos'!CU613,'LP Reactivos'!CZ613,'LP Reactivos'!DE613,'LP Reactivos'!DJ613,'LP Reactivos'!DO613,'LP Reactivos'!DT613,'LP Reactivos'!DY613,'LP Reactivos'!EB613)," ")</f>
        <v>139230</v>
      </c>
      <c r="G613" s="345">
        <f>IFERROR(GEOMEAN('LP Reactivos'!F613,'LP Reactivos'!I613,'LP Reactivos'!N613,'LP Reactivos'!S613,'LP Reactivos'!X613,'LP Reactivos'!AC613,'LP Reactivos'!AH613,'LP Reactivos'!AM613,'LP Reactivos'!AR613,'LP Reactivos'!AW613,'LP Reactivos'!BB613,'LP Reactivos'!BG613,'LP Reactivos'!BL613,'LP Reactivos'!BQ613,'LP Reactivos'!BV613,'LP Reactivos'!CA613,'LP Reactivos'!CF613,'LP Reactivos'!CK613,'LP Reactivos'!CP613,'LP Reactivos'!CU613,'LP Reactivos'!CZ613,'LP Reactivos'!DE613,'LP Reactivos'!DJ613,'LP Reactivos'!DO613,'LP Reactivos'!DT613,'LP Reactivos'!DY613,'LP Reactivos'!EB613)," ")</f>
        <v>139254.33387264525</v>
      </c>
      <c r="H613" s="345">
        <f t="shared" si="40"/>
        <v>30102.181805508746</v>
      </c>
      <c r="I613" s="346">
        <f t="shared" si="41"/>
        <v>0.20082592666394322</v>
      </c>
      <c r="J613" s="345">
        <f t="shared" si="43"/>
        <v>139254.33387264525</v>
      </c>
      <c r="K613" s="344" t="str">
        <f t="shared" si="42"/>
        <v>Media Geométrica</v>
      </c>
      <c r="L613" s="326">
        <f>IFERROR(COUNTA('LP Reactivos'!F613,'LP Reactivos'!I613,'LP Reactivos'!N613,'LP Reactivos'!S613,'LP Reactivos'!X613,'LP Reactivos'!AC613,'LP Reactivos'!AH613,'LP Reactivos'!AM613,'LP Reactivos'!AR613,'LP Reactivos'!AW613,'LP Reactivos'!BB613,'LP Reactivos'!BG613,'LP Reactivos'!BL613,'LP Reactivos'!BQ613,'LP Reactivos'!BV613,'LP Reactivos'!CA613,'LP Reactivos'!CF613,'LP Reactivos'!CK613,'LP Reactivos'!CP613,'LP Reactivos'!CU613,'LP Reactivos'!CZ613,'LP Reactivos'!DE613,'LP Reactivos'!DJ613,'LP Reactivos'!DO613,'LP Reactivos'!DT613,'LP Reactivos'!DY613,'LP Reactivos'!EB613)," ")</f>
        <v>5</v>
      </c>
    </row>
    <row r="614" spans="2:12" x14ac:dyDescent="0.25">
      <c r="B614" s="425">
        <v>612</v>
      </c>
      <c r="C614" s="427" t="s">
        <v>2655</v>
      </c>
      <c r="D614" s="429">
        <f>IFERROR(MIN('LP Reactivos'!F614,'LP Reactivos'!I614,'LP Reactivos'!N614,'LP Reactivos'!S614,'LP Reactivos'!X614,'LP Reactivos'!AC614,'LP Reactivos'!AH614,'LP Reactivos'!AM614,'LP Reactivos'!AR614,'LP Reactivos'!AW614,'LP Reactivos'!BB614,'LP Reactivos'!BG614,'LP Reactivos'!BL614,'LP Reactivos'!BQ614,'LP Reactivos'!BV614,'LP Reactivos'!CA614,'LP Reactivos'!CF614,'LP Reactivos'!CK614,'LP Reactivos'!CP614,'LP Reactivos'!CU614,'LP Reactivos'!CZ614,'LP Reactivos'!DE614,'LP Reactivos'!DJ614,'LP Reactivos'!DO614,'LP Reactivos'!DT614,'LP Reactivos'!DY614,'LP Reactivos'!EB614)," ")</f>
        <v>114602.95</v>
      </c>
      <c r="E614" s="429">
        <f>IFERROR(AVERAGE('LP Reactivos'!F614,'LP Reactivos'!I614,'LP Reactivos'!N614,'LP Reactivos'!S614,'LP Reactivos'!X614,'LP Reactivos'!AC614,'LP Reactivos'!AH614,'LP Reactivos'!AM614,'LP Reactivos'!AR614,'LP Reactivos'!AW614,'LP Reactivos'!BB614,'LP Reactivos'!BG614,'LP Reactivos'!BL614,'LP Reactivos'!BQ614,'LP Reactivos'!BV614,'LP Reactivos'!CA614,'LP Reactivos'!CF614,'LP Reactivos'!CK614,'LP Reactivos'!CP614,'LP Reactivos'!CU614,'LP Reactivos'!CZ614,'LP Reactivos'!DE614,'LP Reactivos'!DJ614,'LP Reactivos'!DO614,'LP Reactivos'!DT614,'LP Reactivos'!DY614,'LP Reactivos'!EB614)," ")</f>
        <v>141562.76</v>
      </c>
      <c r="F614" s="345">
        <f>IFERROR(MEDIAN('LP Reactivos'!F614,'LP Reactivos'!I614,'LP Reactivos'!N614,'LP Reactivos'!S614,'LP Reactivos'!X614,'LP Reactivos'!AC614,'LP Reactivos'!AH614,'LP Reactivos'!AM614,'LP Reactivos'!AR614,'LP Reactivos'!AW614,'LP Reactivos'!BB614,'LP Reactivos'!BG614,'LP Reactivos'!BL614,'LP Reactivos'!BQ614,'LP Reactivos'!BV614,'LP Reactivos'!CA614,'LP Reactivos'!CF614,'LP Reactivos'!CK614,'LP Reactivos'!CP614,'LP Reactivos'!CU614,'LP Reactivos'!CZ614,'LP Reactivos'!DE614,'LP Reactivos'!DJ614,'LP Reactivos'!DO614,'LP Reactivos'!DT614,'LP Reactivos'!DY614,'LP Reactivos'!EB614)," ")</f>
        <v>128416</v>
      </c>
      <c r="G614" s="345">
        <f>IFERROR(GEOMEAN('LP Reactivos'!F614,'LP Reactivos'!I614,'LP Reactivos'!N614,'LP Reactivos'!S614,'LP Reactivos'!X614,'LP Reactivos'!AC614,'LP Reactivos'!AH614,'LP Reactivos'!AM614,'LP Reactivos'!AR614,'LP Reactivos'!AW614,'LP Reactivos'!BB614,'LP Reactivos'!BG614,'LP Reactivos'!BL614,'LP Reactivos'!BQ614,'LP Reactivos'!BV614,'LP Reactivos'!CA614,'LP Reactivos'!CF614,'LP Reactivos'!CK614,'LP Reactivos'!CP614,'LP Reactivos'!CU614,'LP Reactivos'!CZ614,'LP Reactivos'!DE614,'LP Reactivos'!DJ614,'LP Reactivos'!DO614,'LP Reactivos'!DT614,'LP Reactivos'!DY614,'LP Reactivos'!EB614)," ")</f>
        <v>138509.83522036171</v>
      </c>
      <c r="H614" s="345">
        <f t="shared" si="40"/>
        <v>12155.979407071287</v>
      </c>
      <c r="I614" s="346">
        <f t="shared" si="41"/>
        <v>8.5869895494205442E-2</v>
      </c>
      <c r="J614" s="345">
        <f t="shared" si="43"/>
        <v>128416</v>
      </c>
      <c r="K614" s="344" t="str">
        <f t="shared" si="42"/>
        <v>Mediana</v>
      </c>
      <c r="L614" s="326">
        <f>IFERROR(COUNTA('LP Reactivos'!F614,'LP Reactivos'!I614,'LP Reactivos'!N614,'LP Reactivos'!S614,'LP Reactivos'!X614,'LP Reactivos'!AC614,'LP Reactivos'!AH614,'LP Reactivos'!AM614,'LP Reactivos'!AR614,'LP Reactivos'!AW614,'LP Reactivos'!BB614,'LP Reactivos'!BG614,'LP Reactivos'!BL614,'LP Reactivos'!BQ614,'LP Reactivos'!BV614,'LP Reactivos'!CA614,'LP Reactivos'!CF614,'LP Reactivos'!CK614,'LP Reactivos'!CP614,'LP Reactivos'!CU614,'LP Reactivos'!CZ614,'LP Reactivos'!DE614,'LP Reactivos'!DJ614,'LP Reactivos'!DO614,'LP Reactivos'!DT614,'LP Reactivos'!DY614,'LP Reactivos'!EB614)," ")</f>
        <v>4</v>
      </c>
    </row>
    <row r="615" spans="2:12" ht="81" x14ac:dyDescent="0.25">
      <c r="B615" s="425">
        <v>613</v>
      </c>
      <c r="C615" s="426" t="s">
        <v>2659</v>
      </c>
      <c r="D615" s="429">
        <f>IFERROR(MIN('LP Reactivos'!F615,'LP Reactivos'!I615,'LP Reactivos'!N615,'LP Reactivos'!S615,'LP Reactivos'!X615,'LP Reactivos'!AC615,'LP Reactivos'!AH615,'LP Reactivos'!AM615,'LP Reactivos'!AR615,'LP Reactivos'!AW615,'LP Reactivos'!BB615,'LP Reactivos'!BG615,'LP Reactivos'!BL615,'LP Reactivos'!BQ615,'LP Reactivos'!BV615,'LP Reactivos'!CA615,'LP Reactivos'!CF615,'LP Reactivos'!CK615,'LP Reactivos'!CP615,'LP Reactivos'!CU615,'LP Reactivos'!CZ615,'LP Reactivos'!DE615,'LP Reactivos'!DJ615,'LP Reactivos'!DO615,'LP Reactivos'!DT615,'LP Reactivos'!DY615,'LP Reactivos'!EB615)," ")</f>
        <v>583100</v>
      </c>
      <c r="E615" s="429">
        <f>IFERROR(AVERAGE('LP Reactivos'!F615,'LP Reactivos'!I615,'LP Reactivos'!N615,'LP Reactivos'!S615,'LP Reactivos'!X615,'LP Reactivos'!AC615,'LP Reactivos'!AH615,'LP Reactivos'!AM615,'LP Reactivos'!AR615,'LP Reactivos'!AW615,'LP Reactivos'!BB615,'LP Reactivos'!BG615,'LP Reactivos'!BL615,'LP Reactivos'!BQ615,'LP Reactivos'!BV615,'LP Reactivos'!CA615,'LP Reactivos'!CF615,'LP Reactivos'!CK615,'LP Reactivos'!CP615,'LP Reactivos'!CU615,'LP Reactivos'!CZ615,'LP Reactivos'!DE615,'LP Reactivos'!DJ615,'LP Reactivos'!DO615,'LP Reactivos'!DT615,'LP Reactivos'!DY615,'LP Reactivos'!EB615)," ")</f>
        <v>640368.59926666657</v>
      </c>
      <c r="F615" s="345">
        <f>IFERROR(MEDIAN('LP Reactivos'!F615,'LP Reactivos'!I615,'LP Reactivos'!N615,'LP Reactivos'!S615,'LP Reactivos'!X615,'LP Reactivos'!AC615,'LP Reactivos'!AH615,'LP Reactivos'!AM615,'LP Reactivos'!AR615,'LP Reactivos'!AW615,'LP Reactivos'!BB615,'LP Reactivos'!BG615,'LP Reactivos'!BL615,'LP Reactivos'!BQ615,'LP Reactivos'!BV615,'LP Reactivos'!CA615,'LP Reactivos'!CF615,'LP Reactivos'!CK615,'LP Reactivos'!CP615,'LP Reactivos'!CU615,'LP Reactivos'!CZ615,'LP Reactivos'!DE615,'LP Reactivos'!DJ615,'LP Reactivos'!DO615,'LP Reactivos'!DT615,'LP Reactivos'!DY615,'LP Reactivos'!EB615)," ")</f>
        <v>610332.69779999997</v>
      </c>
      <c r="G615" s="345">
        <f>IFERROR(GEOMEAN('LP Reactivos'!F615,'LP Reactivos'!I615,'LP Reactivos'!N615,'LP Reactivos'!S615,'LP Reactivos'!X615,'LP Reactivos'!AC615,'LP Reactivos'!AH615,'LP Reactivos'!AM615,'LP Reactivos'!AR615,'LP Reactivos'!AW615,'LP Reactivos'!BB615,'LP Reactivos'!BG615,'LP Reactivos'!BL615,'LP Reactivos'!BQ615,'LP Reactivos'!BV615,'LP Reactivos'!CA615,'LP Reactivos'!CF615,'LP Reactivos'!CK615,'LP Reactivos'!CP615,'LP Reactivos'!CU615,'LP Reactivos'!CZ615,'LP Reactivos'!DE615,'LP Reactivos'!DJ615,'LP Reactivos'!DO615,'LP Reactivos'!DT615,'LP Reactivos'!DY615,'LP Reactivos'!EB615)," ")</f>
        <v>637404.80513928784</v>
      </c>
      <c r="H615" s="345">
        <f t="shared" si="40"/>
        <v>26792.66473151265</v>
      </c>
      <c r="I615" s="346">
        <f t="shared" si="41"/>
        <v>4.1839441787425102E-2</v>
      </c>
      <c r="J615" s="345">
        <f t="shared" si="43"/>
        <v>610332.69779999997</v>
      </c>
      <c r="K615" s="344" t="str">
        <f t="shared" si="42"/>
        <v>Mediana</v>
      </c>
      <c r="L615" s="326">
        <f>IFERROR(COUNTA('LP Reactivos'!F615,'LP Reactivos'!I615,'LP Reactivos'!N615,'LP Reactivos'!S615,'LP Reactivos'!X615,'LP Reactivos'!AC615,'LP Reactivos'!AH615,'LP Reactivos'!AM615,'LP Reactivos'!AR615,'LP Reactivos'!AW615,'LP Reactivos'!BB615,'LP Reactivos'!BG615,'LP Reactivos'!BL615,'LP Reactivos'!BQ615,'LP Reactivos'!BV615,'LP Reactivos'!CA615,'LP Reactivos'!CF615,'LP Reactivos'!CK615,'LP Reactivos'!CP615,'LP Reactivos'!CU615,'LP Reactivos'!CZ615,'LP Reactivos'!DE615,'LP Reactivos'!DJ615,'LP Reactivos'!DO615,'LP Reactivos'!DT615,'LP Reactivos'!DY615,'LP Reactivos'!EB615)," ")</f>
        <v>3</v>
      </c>
    </row>
    <row r="616" spans="2:12" x14ac:dyDescent="0.25">
      <c r="B616" s="425">
        <v>614</v>
      </c>
      <c r="C616" s="427" t="s">
        <v>2662</v>
      </c>
      <c r="D616" s="429">
        <f>IFERROR(MIN('LP Reactivos'!F616,'LP Reactivos'!I616,'LP Reactivos'!N616,'LP Reactivos'!S616,'LP Reactivos'!X616,'LP Reactivos'!AC616,'LP Reactivos'!AH616,'LP Reactivos'!AM616,'LP Reactivos'!AR616,'LP Reactivos'!AW616,'LP Reactivos'!BB616,'LP Reactivos'!BG616,'LP Reactivos'!BL616,'LP Reactivos'!BQ616,'LP Reactivos'!BV616,'LP Reactivos'!CA616,'LP Reactivos'!CF616,'LP Reactivos'!CK616,'LP Reactivos'!CP616,'LP Reactivos'!CU616,'LP Reactivos'!CZ616,'LP Reactivos'!DE616,'LP Reactivos'!DJ616,'LP Reactivos'!DO616,'LP Reactivos'!DT616,'LP Reactivos'!DY616,'LP Reactivos'!EB616)," ")</f>
        <v>386020</v>
      </c>
      <c r="E616" s="429">
        <f>IFERROR(AVERAGE('LP Reactivos'!F616,'LP Reactivos'!I616,'LP Reactivos'!N616,'LP Reactivos'!S616,'LP Reactivos'!X616,'LP Reactivos'!AC616,'LP Reactivos'!AH616,'LP Reactivos'!AM616,'LP Reactivos'!AR616,'LP Reactivos'!AW616,'LP Reactivos'!BB616,'LP Reactivos'!BG616,'LP Reactivos'!BL616,'LP Reactivos'!BQ616,'LP Reactivos'!BV616,'LP Reactivos'!CA616,'LP Reactivos'!CF616,'LP Reactivos'!CK616,'LP Reactivos'!CP616,'LP Reactivos'!CU616,'LP Reactivos'!CZ616,'LP Reactivos'!DE616,'LP Reactivos'!DJ616,'LP Reactivos'!DO616,'LP Reactivos'!DT616,'LP Reactivos'!DY616,'LP Reactivos'!EB616)," ")</f>
        <v>518541.402</v>
      </c>
      <c r="F616" s="345">
        <f>IFERROR(MEDIAN('LP Reactivos'!F616,'LP Reactivos'!I616,'LP Reactivos'!N616,'LP Reactivos'!S616,'LP Reactivos'!X616,'LP Reactivos'!AC616,'LP Reactivos'!AH616,'LP Reactivos'!AM616,'LP Reactivos'!AR616,'LP Reactivos'!AW616,'LP Reactivos'!BB616,'LP Reactivos'!BG616,'LP Reactivos'!BL616,'LP Reactivos'!BQ616,'LP Reactivos'!BV616,'LP Reactivos'!CA616,'LP Reactivos'!CF616,'LP Reactivos'!CK616,'LP Reactivos'!CP616,'LP Reactivos'!CU616,'LP Reactivos'!CZ616,'LP Reactivos'!DE616,'LP Reactivos'!DJ616,'LP Reactivos'!DO616,'LP Reactivos'!DT616,'LP Reactivos'!DY616,'LP Reactivos'!EB616)," ")</f>
        <v>518541.402</v>
      </c>
      <c r="G616" s="345">
        <f>IFERROR(GEOMEAN('LP Reactivos'!F616,'LP Reactivos'!I616,'LP Reactivos'!N616,'LP Reactivos'!S616,'LP Reactivos'!X616,'LP Reactivos'!AC616,'LP Reactivos'!AH616,'LP Reactivos'!AM616,'LP Reactivos'!AR616,'LP Reactivos'!AW616,'LP Reactivos'!BB616,'LP Reactivos'!BG616,'LP Reactivos'!BL616,'LP Reactivos'!BQ616,'LP Reactivos'!BV616,'LP Reactivos'!CA616,'LP Reactivos'!CF616,'LP Reactivos'!CK616,'LP Reactivos'!CP616,'LP Reactivos'!CU616,'LP Reactivos'!CZ616,'LP Reactivos'!DE616,'LP Reactivos'!DJ616,'LP Reactivos'!DO616,'LP Reactivos'!DT616,'LP Reactivos'!DY616,'LP Reactivos'!EB616)," ")</f>
        <v>501321.51719239022</v>
      </c>
      <c r="H616" s="345">
        <f t="shared" si="40"/>
        <v>63908.354115178874</v>
      </c>
      <c r="I616" s="346">
        <f t="shared" si="41"/>
        <v>0.12324638663120457</v>
      </c>
      <c r="J616" s="345">
        <f t="shared" si="43"/>
        <v>518541.402</v>
      </c>
      <c r="K616" s="344" t="str">
        <f t="shared" si="42"/>
        <v>Promedio</v>
      </c>
      <c r="L616" s="326">
        <f>IFERROR(COUNTA('LP Reactivos'!F616,'LP Reactivos'!I616,'LP Reactivos'!N616,'LP Reactivos'!S616,'LP Reactivos'!X616,'LP Reactivos'!AC616,'LP Reactivos'!AH616,'LP Reactivos'!AM616,'LP Reactivos'!AR616,'LP Reactivos'!AW616,'LP Reactivos'!BB616,'LP Reactivos'!BG616,'LP Reactivos'!BL616,'LP Reactivos'!BQ616,'LP Reactivos'!BV616,'LP Reactivos'!CA616,'LP Reactivos'!CF616,'LP Reactivos'!CK616,'LP Reactivos'!CP616,'LP Reactivos'!CU616,'LP Reactivos'!CZ616,'LP Reactivos'!DE616,'LP Reactivos'!DJ616,'LP Reactivos'!DO616,'LP Reactivos'!DT616,'LP Reactivos'!DY616,'LP Reactivos'!EB616)," ")</f>
        <v>2</v>
      </c>
    </row>
    <row r="617" spans="2:12" ht="27" x14ac:dyDescent="0.25">
      <c r="B617" s="425">
        <v>615</v>
      </c>
      <c r="C617" s="427" t="s">
        <v>2664</v>
      </c>
      <c r="D617" s="429">
        <f>IFERROR(MIN('LP Reactivos'!F617,'LP Reactivos'!I617,'LP Reactivos'!N617,'LP Reactivos'!S617,'LP Reactivos'!X617,'LP Reactivos'!AC617,'LP Reactivos'!AH617,'LP Reactivos'!AM617,'LP Reactivos'!AR617,'LP Reactivos'!AW617,'LP Reactivos'!BB617,'LP Reactivos'!BG617,'LP Reactivos'!BL617,'LP Reactivos'!BQ617,'LP Reactivos'!BV617,'LP Reactivos'!CA617,'LP Reactivos'!CF617,'LP Reactivos'!CK617,'LP Reactivos'!CP617,'LP Reactivos'!CU617,'LP Reactivos'!CZ617,'LP Reactivos'!DE617,'LP Reactivos'!DJ617,'LP Reactivos'!DO617,'LP Reactivos'!DT617,'LP Reactivos'!DY617,'LP Reactivos'!EB617)," ")</f>
        <v>124128.9</v>
      </c>
      <c r="E617" s="429">
        <f>IFERROR(AVERAGE('LP Reactivos'!F617,'LP Reactivos'!I617,'LP Reactivos'!N617,'LP Reactivos'!S617,'LP Reactivos'!X617,'LP Reactivos'!AC617,'LP Reactivos'!AH617,'LP Reactivos'!AM617,'LP Reactivos'!AR617,'LP Reactivos'!AW617,'LP Reactivos'!BB617,'LP Reactivos'!BG617,'LP Reactivos'!BL617,'LP Reactivos'!BQ617,'LP Reactivos'!BV617,'LP Reactivos'!CA617,'LP Reactivos'!CF617,'LP Reactivos'!CK617,'LP Reactivos'!CP617,'LP Reactivos'!CU617,'LP Reactivos'!CZ617,'LP Reactivos'!DE617,'LP Reactivos'!DJ617,'LP Reactivos'!DO617,'LP Reactivos'!DT617,'LP Reactivos'!DY617,'LP Reactivos'!EB617)," ")</f>
        <v>124128.9</v>
      </c>
      <c r="F617" s="345">
        <f>IFERROR(MEDIAN('LP Reactivos'!F617,'LP Reactivos'!I617,'LP Reactivos'!N617,'LP Reactivos'!S617,'LP Reactivos'!X617,'LP Reactivos'!AC617,'LP Reactivos'!AH617,'LP Reactivos'!AM617,'LP Reactivos'!AR617,'LP Reactivos'!AW617,'LP Reactivos'!BB617,'LP Reactivos'!BG617,'LP Reactivos'!BL617,'LP Reactivos'!BQ617,'LP Reactivos'!BV617,'LP Reactivos'!CA617,'LP Reactivos'!CF617,'LP Reactivos'!CK617,'LP Reactivos'!CP617,'LP Reactivos'!CU617,'LP Reactivos'!CZ617,'LP Reactivos'!DE617,'LP Reactivos'!DJ617,'LP Reactivos'!DO617,'LP Reactivos'!DT617,'LP Reactivos'!DY617,'LP Reactivos'!EB617)," ")</f>
        <v>124128.9</v>
      </c>
      <c r="G617" s="345">
        <f>IFERROR(GEOMEAN('LP Reactivos'!F617,'LP Reactivos'!I617,'LP Reactivos'!N617,'LP Reactivos'!S617,'LP Reactivos'!X617,'LP Reactivos'!AC617,'LP Reactivos'!AH617,'LP Reactivos'!AM617,'LP Reactivos'!AR617,'LP Reactivos'!AW617,'LP Reactivos'!BB617,'LP Reactivos'!BG617,'LP Reactivos'!BL617,'LP Reactivos'!BQ617,'LP Reactivos'!BV617,'LP Reactivos'!CA617,'LP Reactivos'!CF617,'LP Reactivos'!CK617,'LP Reactivos'!CP617,'LP Reactivos'!CU617,'LP Reactivos'!CZ617,'LP Reactivos'!DE617,'LP Reactivos'!DJ617,'LP Reactivos'!DO617,'LP Reactivos'!DT617,'LP Reactivos'!DY617,'LP Reactivos'!EB617)," ")</f>
        <v>124128.9</v>
      </c>
      <c r="H617" s="345">
        <f t="shared" si="40"/>
        <v>0</v>
      </c>
      <c r="I617" s="346">
        <f t="shared" si="41"/>
        <v>0</v>
      </c>
      <c r="J617" s="345">
        <f t="shared" si="43"/>
        <v>124128.9</v>
      </c>
      <c r="K617" s="344" t="str">
        <f t="shared" si="42"/>
        <v>Menor Valor</v>
      </c>
      <c r="L617" s="326">
        <f>IFERROR(COUNTA('LP Reactivos'!F617,'LP Reactivos'!I617,'LP Reactivos'!N617,'LP Reactivos'!S617,'LP Reactivos'!X617,'LP Reactivos'!AC617,'LP Reactivos'!AH617,'LP Reactivos'!AM617,'LP Reactivos'!AR617,'LP Reactivos'!AW617,'LP Reactivos'!BB617,'LP Reactivos'!BG617,'LP Reactivos'!BL617,'LP Reactivos'!BQ617,'LP Reactivos'!BV617,'LP Reactivos'!CA617,'LP Reactivos'!CF617,'LP Reactivos'!CK617,'LP Reactivos'!CP617,'LP Reactivos'!CU617,'LP Reactivos'!CZ617,'LP Reactivos'!DE617,'LP Reactivos'!DJ617,'LP Reactivos'!DO617,'LP Reactivos'!DT617,'LP Reactivos'!DY617,'LP Reactivos'!EB617)," ")</f>
        <v>1</v>
      </c>
    </row>
    <row r="618" spans="2:12" x14ac:dyDescent="0.25">
      <c r="B618" s="425">
        <v>616</v>
      </c>
      <c r="C618" s="427" t="s">
        <v>2666</v>
      </c>
      <c r="D618" s="429">
        <f>IFERROR(MIN('LP Reactivos'!F618,'LP Reactivos'!I618,'LP Reactivos'!N618,'LP Reactivos'!S618,'LP Reactivos'!X618,'LP Reactivos'!AC618,'LP Reactivos'!AH618,'LP Reactivos'!AM618,'LP Reactivos'!AR618,'LP Reactivos'!AW618,'LP Reactivos'!BB618,'LP Reactivos'!BG618,'LP Reactivos'!BL618,'LP Reactivos'!BQ618,'LP Reactivos'!BV618,'LP Reactivos'!CA618,'LP Reactivos'!CF618,'LP Reactivos'!CK618,'LP Reactivos'!CP618,'LP Reactivos'!CU618,'LP Reactivos'!CZ618,'LP Reactivos'!DE618,'LP Reactivos'!DJ618,'LP Reactivos'!DO618,'LP Reactivos'!DT618,'LP Reactivos'!DY618,'LP Reactivos'!EB618)," ")</f>
        <v>1011500</v>
      </c>
      <c r="E618" s="429">
        <f>IFERROR(AVERAGE('LP Reactivos'!F618,'LP Reactivos'!I618,'LP Reactivos'!N618,'LP Reactivos'!S618,'LP Reactivos'!X618,'LP Reactivos'!AC618,'LP Reactivos'!AH618,'LP Reactivos'!AM618,'LP Reactivos'!AR618,'LP Reactivos'!AW618,'LP Reactivos'!BB618,'LP Reactivos'!BG618,'LP Reactivos'!BL618,'LP Reactivos'!BQ618,'LP Reactivos'!BV618,'LP Reactivos'!CA618,'LP Reactivos'!CF618,'LP Reactivos'!CK618,'LP Reactivos'!CP618,'LP Reactivos'!CU618,'LP Reactivos'!CZ618,'LP Reactivos'!DE618,'LP Reactivos'!DJ618,'LP Reactivos'!DO618,'LP Reactivos'!DT618,'LP Reactivos'!DY618,'LP Reactivos'!EB618)," ")</f>
        <v>2062233.3393333333</v>
      </c>
      <c r="F618" s="345">
        <f>IFERROR(MEDIAN('LP Reactivos'!F618,'LP Reactivos'!I618,'LP Reactivos'!N618,'LP Reactivos'!S618,'LP Reactivos'!X618,'LP Reactivos'!AC618,'LP Reactivos'!AH618,'LP Reactivos'!AM618,'LP Reactivos'!AR618,'LP Reactivos'!AW618,'LP Reactivos'!BB618,'LP Reactivos'!BG618,'LP Reactivos'!BL618,'LP Reactivos'!BQ618,'LP Reactivos'!BV618,'LP Reactivos'!CA618,'LP Reactivos'!CF618,'LP Reactivos'!CK618,'LP Reactivos'!CP618,'LP Reactivos'!CU618,'LP Reactivos'!CZ618,'LP Reactivos'!DE618,'LP Reactivos'!DJ618,'LP Reactivos'!DO618,'LP Reactivos'!DT618,'LP Reactivos'!DY618,'LP Reactivos'!EB618)," ")</f>
        <v>1966489.5179999999</v>
      </c>
      <c r="G618" s="345">
        <f>IFERROR(GEOMEAN('LP Reactivos'!F618,'LP Reactivos'!I618,'LP Reactivos'!N618,'LP Reactivos'!S618,'LP Reactivos'!X618,'LP Reactivos'!AC618,'LP Reactivos'!AH618,'LP Reactivos'!AM618,'LP Reactivos'!AR618,'LP Reactivos'!AW618,'LP Reactivos'!BB618,'LP Reactivos'!BG618,'LP Reactivos'!BL618,'LP Reactivos'!BQ618,'LP Reactivos'!BV618,'LP Reactivos'!CA618,'LP Reactivos'!CF618,'LP Reactivos'!CK618,'LP Reactivos'!CP618,'LP Reactivos'!CU618,'LP Reactivos'!CZ618,'LP Reactivos'!DE618,'LP Reactivos'!DJ618,'LP Reactivos'!DO618,'LP Reactivos'!DT618,'LP Reactivos'!DY618,'LP Reactivos'!EB618)," ")</f>
        <v>1873696.8486697255</v>
      </c>
      <c r="H618" s="345">
        <f t="shared" si="40"/>
        <v>484144.63256079756</v>
      </c>
      <c r="I618" s="346">
        <f t="shared" si="41"/>
        <v>0.23476714459349637</v>
      </c>
      <c r="J618" s="345">
        <f t="shared" si="43"/>
        <v>1873696.8486697255</v>
      </c>
      <c r="K618" s="344" t="str">
        <f t="shared" si="42"/>
        <v>Media Geométrica</v>
      </c>
      <c r="L618" s="326">
        <f>IFERROR(COUNTA('LP Reactivos'!F618,'LP Reactivos'!I618,'LP Reactivos'!N618,'LP Reactivos'!S618,'LP Reactivos'!X618,'LP Reactivos'!AC618,'LP Reactivos'!AH618,'LP Reactivos'!AM618,'LP Reactivos'!AR618,'LP Reactivos'!AW618,'LP Reactivos'!BB618,'LP Reactivos'!BG618,'LP Reactivos'!BL618,'LP Reactivos'!BQ618,'LP Reactivos'!BV618,'LP Reactivos'!CA618,'LP Reactivos'!CF618,'LP Reactivos'!CK618,'LP Reactivos'!CP618,'LP Reactivos'!CU618,'LP Reactivos'!CZ618,'LP Reactivos'!DE618,'LP Reactivos'!DJ618,'LP Reactivos'!DO618,'LP Reactivos'!DT618,'LP Reactivos'!DY618,'LP Reactivos'!EB618)," ")</f>
        <v>6</v>
      </c>
    </row>
    <row r="619" spans="2:12" x14ac:dyDescent="0.25">
      <c r="B619" s="425">
        <v>617</v>
      </c>
      <c r="C619" s="427" t="s">
        <v>2674</v>
      </c>
      <c r="D619" s="429">
        <f>IFERROR(MIN('LP Reactivos'!F619,'LP Reactivos'!I619,'LP Reactivos'!N619,'LP Reactivos'!S619,'LP Reactivos'!X619,'LP Reactivos'!AC619,'LP Reactivos'!AH619,'LP Reactivos'!AM619,'LP Reactivos'!AR619,'LP Reactivos'!AW619,'LP Reactivos'!BB619,'LP Reactivos'!BG619,'LP Reactivos'!BL619,'LP Reactivos'!BQ619,'LP Reactivos'!BV619,'LP Reactivos'!CA619,'LP Reactivos'!CF619,'LP Reactivos'!CK619,'LP Reactivos'!CP619,'LP Reactivos'!CU619,'LP Reactivos'!CZ619,'LP Reactivos'!DE619,'LP Reactivos'!DJ619,'LP Reactivos'!DO619,'LP Reactivos'!DT619,'LP Reactivos'!DY619,'LP Reactivos'!EB619)," ")</f>
        <v>2985984.6162999999</v>
      </c>
      <c r="E619" s="429">
        <f>IFERROR(AVERAGE('LP Reactivos'!F619,'LP Reactivos'!I619,'LP Reactivos'!N619,'LP Reactivos'!S619,'LP Reactivos'!X619,'LP Reactivos'!AC619,'LP Reactivos'!AH619,'LP Reactivos'!AM619,'LP Reactivos'!AR619,'LP Reactivos'!AW619,'LP Reactivos'!BB619,'LP Reactivos'!BG619,'LP Reactivos'!BL619,'LP Reactivos'!BQ619,'LP Reactivos'!BV619,'LP Reactivos'!CA619,'LP Reactivos'!CF619,'LP Reactivos'!CK619,'LP Reactivos'!CP619,'LP Reactivos'!CU619,'LP Reactivos'!CZ619,'LP Reactivos'!DE619,'LP Reactivos'!DJ619,'LP Reactivos'!DO619,'LP Reactivos'!DT619,'LP Reactivos'!DY619,'LP Reactivos'!EB619)," ")</f>
        <v>2985984.6162999999</v>
      </c>
      <c r="F619" s="345">
        <f>IFERROR(MEDIAN('LP Reactivos'!F619,'LP Reactivos'!I619,'LP Reactivos'!N619,'LP Reactivos'!S619,'LP Reactivos'!X619,'LP Reactivos'!AC619,'LP Reactivos'!AH619,'LP Reactivos'!AM619,'LP Reactivos'!AR619,'LP Reactivos'!AW619,'LP Reactivos'!BB619,'LP Reactivos'!BG619,'LP Reactivos'!BL619,'LP Reactivos'!BQ619,'LP Reactivos'!BV619,'LP Reactivos'!CA619,'LP Reactivos'!CF619,'LP Reactivos'!CK619,'LP Reactivos'!CP619,'LP Reactivos'!CU619,'LP Reactivos'!CZ619,'LP Reactivos'!DE619,'LP Reactivos'!DJ619,'LP Reactivos'!DO619,'LP Reactivos'!DT619,'LP Reactivos'!DY619,'LP Reactivos'!EB619)," ")</f>
        <v>2985984.6162999999</v>
      </c>
      <c r="G619" s="345">
        <f>IFERROR(GEOMEAN('LP Reactivos'!F619,'LP Reactivos'!I619,'LP Reactivos'!N619,'LP Reactivos'!S619,'LP Reactivos'!X619,'LP Reactivos'!AC619,'LP Reactivos'!AH619,'LP Reactivos'!AM619,'LP Reactivos'!AR619,'LP Reactivos'!AW619,'LP Reactivos'!BB619,'LP Reactivos'!BG619,'LP Reactivos'!BL619,'LP Reactivos'!BQ619,'LP Reactivos'!BV619,'LP Reactivos'!CA619,'LP Reactivos'!CF619,'LP Reactivos'!CK619,'LP Reactivos'!CP619,'LP Reactivos'!CU619,'LP Reactivos'!CZ619,'LP Reactivos'!DE619,'LP Reactivos'!DJ619,'LP Reactivos'!DO619,'LP Reactivos'!DT619,'LP Reactivos'!DY619,'LP Reactivos'!EB619)," ")</f>
        <v>2985984.6162999999</v>
      </c>
      <c r="H619" s="345">
        <f t="shared" si="40"/>
        <v>0</v>
      </c>
      <c r="I619" s="346">
        <f t="shared" si="41"/>
        <v>0</v>
      </c>
      <c r="J619" s="345">
        <f t="shared" si="43"/>
        <v>2985984.6162999999</v>
      </c>
      <c r="K619" s="344" t="str">
        <f t="shared" si="42"/>
        <v>Menor Valor</v>
      </c>
      <c r="L619" s="326">
        <f>IFERROR(COUNTA('LP Reactivos'!F619,'LP Reactivos'!I619,'LP Reactivos'!N619,'LP Reactivos'!S619,'LP Reactivos'!X619,'LP Reactivos'!AC619,'LP Reactivos'!AH619,'LP Reactivos'!AM619,'LP Reactivos'!AR619,'LP Reactivos'!AW619,'LP Reactivos'!BB619,'LP Reactivos'!BG619,'LP Reactivos'!BL619,'LP Reactivos'!BQ619,'LP Reactivos'!BV619,'LP Reactivos'!CA619,'LP Reactivos'!CF619,'LP Reactivos'!CK619,'LP Reactivos'!CP619,'LP Reactivos'!CU619,'LP Reactivos'!CZ619,'LP Reactivos'!DE619,'LP Reactivos'!DJ619,'LP Reactivos'!DO619,'LP Reactivos'!DT619,'LP Reactivos'!DY619,'LP Reactivos'!EB619)," ")</f>
        <v>1</v>
      </c>
    </row>
    <row r="620" spans="2:12" x14ac:dyDescent="0.25">
      <c r="B620" s="425">
        <v>618</v>
      </c>
      <c r="C620" s="427" t="s">
        <v>2677</v>
      </c>
      <c r="D620" s="429">
        <f>IFERROR(MIN('LP Reactivos'!F620,'LP Reactivos'!I620,'LP Reactivos'!N620,'LP Reactivos'!S620,'LP Reactivos'!X620,'LP Reactivos'!AC620,'LP Reactivos'!AH620,'LP Reactivos'!AM620,'LP Reactivos'!AR620,'LP Reactivos'!AW620,'LP Reactivos'!BB620,'LP Reactivos'!BG620,'LP Reactivos'!BL620,'LP Reactivos'!BQ620,'LP Reactivos'!BV620,'LP Reactivos'!CA620,'LP Reactivos'!CF620,'LP Reactivos'!CK620,'LP Reactivos'!CP620,'LP Reactivos'!CU620,'LP Reactivos'!CZ620,'LP Reactivos'!DE620,'LP Reactivos'!DJ620,'LP Reactivos'!DO620,'LP Reactivos'!DT620,'LP Reactivos'!DY620,'LP Reactivos'!EB620)," ")</f>
        <v>2473369.2325999998</v>
      </c>
      <c r="E620" s="429">
        <f>IFERROR(AVERAGE('LP Reactivos'!F620,'LP Reactivos'!I620,'LP Reactivos'!N620,'LP Reactivos'!S620,'LP Reactivos'!X620,'LP Reactivos'!AC620,'LP Reactivos'!AH620,'LP Reactivos'!AM620,'LP Reactivos'!AR620,'LP Reactivos'!AW620,'LP Reactivos'!BB620,'LP Reactivos'!BG620,'LP Reactivos'!BL620,'LP Reactivos'!BQ620,'LP Reactivos'!BV620,'LP Reactivos'!CA620,'LP Reactivos'!CF620,'LP Reactivos'!CK620,'LP Reactivos'!CP620,'LP Reactivos'!CU620,'LP Reactivos'!CZ620,'LP Reactivos'!DE620,'LP Reactivos'!DJ620,'LP Reactivos'!DO620,'LP Reactivos'!DT620,'LP Reactivos'!DY620,'LP Reactivos'!EB620)," ")</f>
        <v>2715467.8662999999</v>
      </c>
      <c r="F620" s="345">
        <f>IFERROR(MEDIAN('LP Reactivos'!F620,'LP Reactivos'!I620,'LP Reactivos'!N620,'LP Reactivos'!S620,'LP Reactivos'!X620,'LP Reactivos'!AC620,'LP Reactivos'!AH620,'LP Reactivos'!AM620,'LP Reactivos'!AR620,'LP Reactivos'!AW620,'LP Reactivos'!BB620,'LP Reactivos'!BG620,'LP Reactivos'!BL620,'LP Reactivos'!BQ620,'LP Reactivos'!BV620,'LP Reactivos'!CA620,'LP Reactivos'!CF620,'LP Reactivos'!CK620,'LP Reactivos'!CP620,'LP Reactivos'!CU620,'LP Reactivos'!CZ620,'LP Reactivos'!DE620,'LP Reactivos'!DJ620,'LP Reactivos'!DO620,'LP Reactivos'!DT620,'LP Reactivos'!DY620,'LP Reactivos'!EB620)," ")</f>
        <v>2715467.8662999999</v>
      </c>
      <c r="G620" s="345">
        <f>IFERROR(GEOMEAN('LP Reactivos'!F620,'LP Reactivos'!I620,'LP Reactivos'!N620,'LP Reactivos'!S620,'LP Reactivos'!X620,'LP Reactivos'!AC620,'LP Reactivos'!AH620,'LP Reactivos'!AM620,'LP Reactivos'!AR620,'LP Reactivos'!AW620,'LP Reactivos'!BB620,'LP Reactivos'!BG620,'LP Reactivos'!BL620,'LP Reactivos'!BQ620,'LP Reactivos'!BV620,'LP Reactivos'!CA620,'LP Reactivos'!CF620,'LP Reactivos'!CK620,'LP Reactivos'!CP620,'LP Reactivos'!CU620,'LP Reactivos'!CZ620,'LP Reactivos'!DE620,'LP Reactivos'!DJ620,'LP Reactivos'!DO620,'LP Reactivos'!DT620,'LP Reactivos'!DY620,'LP Reactivos'!EB620)," ")</f>
        <v>2704654.1339824703</v>
      </c>
      <c r="H620" s="345">
        <f t="shared" si="40"/>
        <v>119355.93690707331</v>
      </c>
      <c r="I620" s="346">
        <f t="shared" si="41"/>
        <v>4.3954096599089373E-2</v>
      </c>
      <c r="J620" s="345">
        <f t="shared" si="43"/>
        <v>2715467.8662999999</v>
      </c>
      <c r="K620" s="344" t="str">
        <f t="shared" si="42"/>
        <v>Promedio</v>
      </c>
      <c r="L620" s="326">
        <f>IFERROR(COUNTA('LP Reactivos'!F620,'LP Reactivos'!I620,'LP Reactivos'!N620,'LP Reactivos'!S620,'LP Reactivos'!X620,'LP Reactivos'!AC620,'LP Reactivos'!AH620,'LP Reactivos'!AM620,'LP Reactivos'!AR620,'LP Reactivos'!AW620,'LP Reactivos'!BB620,'LP Reactivos'!BG620,'LP Reactivos'!BL620,'LP Reactivos'!BQ620,'LP Reactivos'!BV620,'LP Reactivos'!CA620,'LP Reactivos'!CF620,'LP Reactivos'!CK620,'LP Reactivos'!CP620,'LP Reactivos'!CU620,'LP Reactivos'!CZ620,'LP Reactivos'!DE620,'LP Reactivos'!DJ620,'LP Reactivos'!DO620,'LP Reactivos'!DT620,'LP Reactivos'!DY620,'LP Reactivos'!EB620)," ")</f>
        <v>2</v>
      </c>
    </row>
    <row r="621" spans="2:12" x14ac:dyDescent="0.25">
      <c r="B621" s="425">
        <v>619</v>
      </c>
      <c r="C621" s="428" t="s">
        <v>2680</v>
      </c>
      <c r="D621" s="429">
        <f>IFERROR(MIN('LP Reactivos'!F621,'LP Reactivos'!I621,'LP Reactivos'!N621,'LP Reactivos'!S621,'LP Reactivos'!X621,'LP Reactivos'!AC621,'LP Reactivos'!AH621,'LP Reactivos'!AM621,'LP Reactivos'!AR621,'LP Reactivos'!AW621,'LP Reactivos'!BB621,'LP Reactivos'!BG621,'LP Reactivos'!BL621,'LP Reactivos'!BQ621,'LP Reactivos'!BV621,'LP Reactivos'!CA621,'LP Reactivos'!CF621,'LP Reactivos'!CK621,'LP Reactivos'!CP621,'LP Reactivos'!CU621,'LP Reactivos'!CZ621,'LP Reactivos'!DE621,'LP Reactivos'!DJ621,'LP Reactivos'!DO621,'LP Reactivos'!DT621,'LP Reactivos'!DY621,'LP Reactivos'!EB621)," ")</f>
        <v>199279.23259999999</v>
      </c>
      <c r="E621" s="429">
        <f>IFERROR(AVERAGE('LP Reactivos'!F621,'LP Reactivos'!I621,'LP Reactivos'!N621,'LP Reactivos'!S621,'LP Reactivos'!X621,'LP Reactivos'!AC621,'LP Reactivos'!AH621,'LP Reactivos'!AM621,'LP Reactivos'!AR621,'LP Reactivos'!AW621,'LP Reactivos'!BB621,'LP Reactivos'!BG621,'LP Reactivos'!BL621,'LP Reactivos'!BQ621,'LP Reactivos'!BV621,'LP Reactivos'!CA621,'LP Reactivos'!CF621,'LP Reactivos'!CK621,'LP Reactivos'!CP621,'LP Reactivos'!CU621,'LP Reactivos'!CZ621,'LP Reactivos'!DE621,'LP Reactivos'!DJ621,'LP Reactivos'!DO621,'LP Reactivos'!DT621,'LP Reactivos'!DY621,'LP Reactivos'!EB621)," ")</f>
        <v>199279.23259999999</v>
      </c>
      <c r="F621" s="345">
        <f>IFERROR(MEDIAN('LP Reactivos'!F621,'LP Reactivos'!I621,'LP Reactivos'!N621,'LP Reactivos'!S621,'LP Reactivos'!X621,'LP Reactivos'!AC621,'LP Reactivos'!AH621,'LP Reactivos'!AM621,'LP Reactivos'!AR621,'LP Reactivos'!AW621,'LP Reactivos'!BB621,'LP Reactivos'!BG621,'LP Reactivos'!BL621,'LP Reactivos'!BQ621,'LP Reactivos'!BV621,'LP Reactivos'!CA621,'LP Reactivos'!CF621,'LP Reactivos'!CK621,'LP Reactivos'!CP621,'LP Reactivos'!CU621,'LP Reactivos'!CZ621,'LP Reactivos'!DE621,'LP Reactivos'!DJ621,'LP Reactivos'!DO621,'LP Reactivos'!DT621,'LP Reactivos'!DY621,'LP Reactivos'!EB621)," ")</f>
        <v>199279.23259999999</v>
      </c>
      <c r="G621" s="345">
        <f>IFERROR(GEOMEAN('LP Reactivos'!F621,'LP Reactivos'!I621,'LP Reactivos'!N621,'LP Reactivos'!S621,'LP Reactivos'!X621,'LP Reactivos'!AC621,'LP Reactivos'!AH621,'LP Reactivos'!AM621,'LP Reactivos'!AR621,'LP Reactivos'!AW621,'LP Reactivos'!BB621,'LP Reactivos'!BG621,'LP Reactivos'!BL621,'LP Reactivos'!BQ621,'LP Reactivos'!BV621,'LP Reactivos'!CA621,'LP Reactivos'!CF621,'LP Reactivos'!CK621,'LP Reactivos'!CP621,'LP Reactivos'!CU621,'LP Reactivos'!CZ621,'LP Reactivos'!DE621,'LP Reactivos'!DJ621,'LP Reactivos'!DO621,'LP Reactivos'!DT621,'LP Reactivos'!DY621,'LP Reactivos'!EB621)," ")</f>
        <v>199279.23259999999</v>
      </c>
      <c r="H621" s="345">
        <f t="shared" si="40"/>
        <v>0</v>
      </c>
      <c r="I621" s="346">
        <f t="shared" si="41"/>
        <v>0</v>
      </c>
      <c r="J621" s="345">
        <f t="shared" si="43"/>
        <v>199279.23259999999</v>
      </c>
      <c r="K621" s="344" t="str">
        <f t="shared" si="42"/>
        <v>Menor Valor</v>
      </c>
      <c r="L621" s="326">
        <f>IFERROR(COUNTA('LP Reactivos'!F621,'LP Reactivos'!I621,'LP Reactivos'!N621,'LP Reactivos'!S621,'LP Reactivos'!X621,'LP Reactivos'!AC621,'LP Reactivos'!AH621,'LP Reactivos'!AM621,'LP Reactivos'!AR621,'LP Reactivos'!AW621,'LP Reactivos'!BB621,'LP Reactivos'!BG621,'LP Reactivos'!BL621,'LP Reactivos'!BQ621,'LP Reactivos'!BV621,'LP Reactivos'!CA621,'LP Reactivos'!CF621,'LP Reactivos'!CK621,'LP Reactivos'!CP621,'LP Reactivos'!CU621,'LP Reactivos'!CZ621,'LP Reactivos'!DE621,'LP Reactivos'!DJ621,'LP Reactivos'!DO621,'LP Reactivos'!DT621,'LP Reactivos'!DY621,'LP Reactivos'!EB621)," ")</f>
        <v>1</v>
      </c>
    </row>
    <row r="622" spans="2:12" x14ac:dyDescent="0.25">
      <c r="B622" s="425">
        <v>620</v>
      </c>
      <c r="C622" s="427" t="s">
        <v>2683</v>
      </c>
      <c r="D622" s="429">
        <f>IFERROR(MIN('LP Reactivos'!F622,'LP Reactivos'!I622,'LP Reactivos'!N622,'LP Reactivos'!S622,'LP Reactivos'!X622,'LP Reactivos'!AC622,'LP Reactivos'!AH622,'LP Reactivos'!AM622,'LP Reactivos'!AR622,'LP Reactivos'!AW622,'LP Reactivos'!BB622,'LP Reactivos'!BG622,'LP Reactivos'!BL622,'LP Reactivos'!BQ622,'LP Reactivos'!BV622,'LP Reactivos'!CA622,'LP Reactivos'!CF622,'LP Reactivos'!CK622,'LP Reactivos'!CP622,'LP Reactivos'!CU622,'LP Reactivos'!CZ622,'LP Reactivos'!DE622,'LP Reactivos'!DJ622,'LP Reactivos'!DO622,'LP Reactivos'!DT622,'LP Reactivos'!DY622,'LP Reactivos'!EB622)," ")</f>
        <v>318925.67630000005</v>
      </c>
      <c r="E622" s="429">
        <f>IFERROR(AVERAGE('LP Reactivos'!F622,'LP Reactivos'!I622,'LP Reactivos'!N622,'LP Reactivos'!S622,'LP Reactivos'!X622,'LP Reactivos'!AC622,'LP Reactivos'!AH622,'LP Reactivos'!AM622,'LP Reactivos'!AR622,'LP Reactivos'!AW622,'LP Reactivos'!BB622,'LP Reactivos'!BG622,'LP Reactivos'!BL622,'LP Reactivos'!BQ622,'LP Reactivos'!BV622,'LP Reactivos'!CA622,'LP Reactivos'!CF622,'LP Reactivos'!CK622,'LP Reactivos'!CP622,'LP Reactivos'!CU622,'LP Reactivos'!CZ622,'LP Reactivos'!DE622,'LP Reactivos'!DJ622,'LP Reactivos'!DO622,'LP Reactivos'!DT622,'LP Reactivos'!DY622,'LP Reactivos'!EB622)," ")</f>
        <v>1405758.9892499999</v>
      </c>
      <c r="F622" s="345">
        <f>IFERROR(MEDIAN('LP Reactivos'!F622,'LP Reactivos'!I622,'LP Reactivos'!N622,'LP Reactivos'!S622,'LP Reactivos'!X622,'LP Reactivos'!AC622,'LP Reactivos'!AH622,'LP Reactivos'!AM622,'LP Reactivos'!AR622,'LP Reactivos'!AW622,'LP Reactivos'!BB622,'LP Reactivos'!BG622,'LP Reactivos'!BL622,'LP Reactivos'!BQ622,'LP Reactivos'!BV622,'LP Reactivos'!CA622,'LP Reactivos'!CF622,'LP Reactivos'!CK622,'LP Reactivos'!CP622,'LP Reactivos'!CU622,'LP Reactivos'!CZ622,'LP Reactivos'!DE622,'LP Reactivos'!DJ622,'LP Reactivos'!DO622,'LP Reactivos'!DT622,'LP Reactivos'!DY622,'LP Reactivos'!EB622)," ")</f>
        <v>1405758.9892500001</v>
      </c>
      <c r="G622" s="345">
        <f>IFERROR(GEOMEAN('LP Reactivos'!F622,'LP Reactivos'!I622,'LP Reactivos'!N622,'LP Reactivos'!S622,'LP Reactivos'!X622,'LP Reactivos'!AC622,'LP Reactivos'!AH622,'LP Reactivos'!AM622,'LP Reactivos'!AR622,'LP Reactivos'!AW622,'LP Reactivos'!BB622,'LP Reactivos'!BG622,'LP Reactivos'!BL622,'LP Reactivos'!BQ622,'LP Reactivos'!BV622,'LP Reactivos'!CA622,'LP Reactivos'!CF622,'LP Reactivos'!CK622,'LP Reactivos'!CP622,'LP Reactivos'!CU622,'LP Reactivos'!CZ622,'LP Reactivos'!DE622,'LP Reactivos'!DJ622,'LP Reactivos'!DO622,'LP Reactivos'!DT622,'LP Reactivos'!DY622,'LP Reactivos'!EB622)," ")</f>
        <v>891600.63129144826</v>
      </c>
      <c r="H622" s="345">
        <f t="shared" si="40"/>
        <v>517935.60880894167</v>
      </c>
      <c r="I622" s="346">
        <f t="shared" si="41"/>
        <v>0.3684384113988633</v>
      </c>
      <c r="J622" s="345">
        <f>IF(I622&lt;=10%,F622,IF(AND(I622&gt;10%,I622&lt;=20%),E622,IF(AND(I622&gt;20%,I622&lt;=37%),G622,IF(I622&gt;37%,D622))))</f>
        <v>891600.63129144826</v>
      </c>
      <c r="K622" s="344" t="str">
        <f t="shared" si="42"/>
        <v>Media Geométrica</v>
      </c>
      <c r="L622" s="326">
        <f>IFERROR(COUNTA('LP Reactivos'!F622,'LP Reactivos'!I622,'LP Reactivos'!N622,'LP Reactivos'!S622,'LP Reactivos'!X622,'LP Reactivos'!AC622,'LP Reactivos'!AH622,'LP Reactivos'!AM622,'LP Reactivos'!AR622,'LP Reactivos'!AW622,'LP Reactivos'!BB622,'LP Reactivos'!BG622,'LP Reactivos'!BL622,'LP Reactivos'!BQ622,'LP Reactivos'!BV622,'LP Reactivos'!CA622,'LP Reactivos'!CF622,'LP Reactivos'!CK622,'LP Reactivos'!CP622,'LP Reactivos'!CU622,'LP Reactivos'!CZ622,'LP Reactivos'!DE622,'LP Reactivos'!DJ622,'LP Reactivos'!DO622,'LP Reactivos'!DT622,'LP Reactivos'!DY622,'LP Reactivos'!EB622)," ")</f>
        <v>2</v>
      </c>
    </row>
    <row r="623" spans="2:12" x14ac:dyDescent="0.25">
      <c r="B623" s="425">
        <v>621</v>
      </c>
      <c r="C623" s="428" t="s">
        <v>2687</v>
      </c>
      <c r="D623" s="429">
        <f>IFERROR(MIN('LP Reactivos'!F623,'LP Reactivos'!I623,'LP Reactivos'!N623,'LP Reactivos'!S623,'LP Reactivos'!X623,'LP Reactivos'!AC623,'LP Reactivos'!AH623,'LP Reactivos'!AM623,'LP Reactivos'!AR623,'LP Reactivos'!AW623,'LP Reactivos'!BB623,'LP Reactivos'!BG623,'LP Reactivos'!BL623,'LP Reactivos'!BQ623,'LP Reactivos'!BV623,'LP Reactivos'!CA623,'LP Reactivos'!CF623,'LP Reactivos'!CK623,'LP Reactivos'!CP623,'LP Reactivos'!CU623,'LP Reactivos'!CZ623,'LP Reactivos'!DE623,'LP Reactivos'!DJ623,'LP Reactivos'!DO623,'LP Reactivos'!DT623,'LP Reactivos'!DY623,'LP Reactivos'!EB623)," ")</f>
        <v>67691</v>
      </c>
      <c r="E623" s="429">
        <f>IFERROR(AVERAGE('LP Reactivos'!F623,'LP Reactivos'!I623,'LP Reactivos'!N623,'LP Reactivos'!S623,'LP Reactivos'!X623,'LP Reactivos'!AC623,'LP Reactivos'!AH623,'LP Reactivos'!AM623,'LP Reactivos'!AR623,'LP Reactivos'!AW623,'LP Reactivos'!BB623,'LP Reactivos'!BG623,'LP Reactivos'!BL623,'LP Reactivos'!BQ623,'LP Reactivos'!BV623,'LP Reactivos'!CA623,'LP Reactivos'!CF623,'LP Reactivos'!CK623,'LP Reactivos'!CP623,'LP Reactivos'!CU623,'LP Reactivos'!CZ623,'LP Reactivos'!DE623,'LP Reactivos'!DJ623,'LP Reactivos'!DO623,'LP Reactivos'!DT623,'LP Reactivos'!DY623,'LP Reactivos'!EB623)," ")</f>
        <v>228685.84221999999</v>
      </c>
      <c r="F623" s="345">
        <f>IFERROR(MEDIAN('LP Reactivos'!F623,'LP Reactivos'!I623,'LP Reactivos'!N623,'LP Reactivos'!S623,'LP Reactivos'!X623,'LP Reactivos'!AC623,'LP Reactivos'!AH623,'LP Reactivos'!AM623,'LP Reactivos'!AR623,'LP Reactivos'!AW623,'LP Reactivos'!BB623,'LP Reactivos'!BG623,'LP Reactivos'!BL623,'LP Reactivos'!BQ623,'LP Reactivos'!BV623,'LP Reactivos'!CA623,'LP Reactivos'!CF623,'LP Reactivos'!CK623,'LP Reactivos'!CP623,'LP Reactivos'!CU623,'LP Reactivos'!CZ623,'LP Reactivos'!DE623,'LP Reactivos'!DJ623,'LP Reactivos'!DO623,'LP Reactivos'!DT623,'LP Reactivos'!DY623,'LP Reactivos'!EB623)," ")</f>
        <v>318925.67630000005</v>
      </c>
      <c r="G623" s="345">
        <f>IFERROR(GEOMEAN('LP Reactivos'!F623,'LP Reactivos'!I623,'LP Reactivos'!N623,'LP Reactivos'!S623,'LP Reactivos'!X623,'LP Reactivos'!AC623,'LP Reactivos'!AH623,'LP Reactivos'!AM623,'LP Reactivos'!AR623,'LP Reactivos'!AW623,'LP Reactivos'!BB623,'LP Reactivos'!BG623,'LP Reactivos'!BL623,'LP Reactivos'!BQ623,'LP Reactivos'!BV623,'LP Reactivos'!CA623,'LP Reactivos'!CF623,'LP Reactivos'!CK623,'LP Reactivos'!CP623,'LP Reactivos'!CU623,'LP Reactivos'!CZ623,'LP Reactivos'!DE623,'LP Reactivos'!DJ623,'LP Reactivos'!DO623,'LP Reactivos'!DT623,'LP Reactivos'!DY623,'LP Reactivos'!EB623)," ")</f>
        <v>187117.51048829907</v>
      </c>
      <c r="H623" s="345">
        <f t="shared" si="40"/>
        <v>104301.42202482503</v>
      </c>
      <c r="I623" s="346">
        <f t="shared" si="41"/>
        <v>0.45609042086866552</v>
      </c>
      <c r="J623" s="345">
        <f>IF(I623&lt;=10%,F623,IF(AND(I623&gt;10%,I623&lt;=20%),E623,IF(AND(I623&gt;20%,I623&lt;=46%),G623,IF(I623&gt;46%,D623))))</f>
        <v>187117.51048829907</v>
      </c>
      <c r="K623" s="344" t="str">
        <f t="shared" si="42"/>
        <v>Media Geométrica</v>
      </c>
      <c r="L623" s="326">
        <f>IFERROR(COUNTA('LP Reactivos'!F623,'LP Reactivos'!I623,'LP Reactivos'!N623,'LP Reactivos'!S623,'LP Reactivos'!X623,'LP Reactivos'!AC623,'LP Reactivos'!AH623,'LP Reactivos'!AM623,'LP Reactivos'!AR623,'LP Reactivos'!AW623,'LP Reactivos'!BB623,'LP Reactivos'!BG623,'LP Reactivos'!BL623,'LP Reactivos'!BQ623,'LP Reactivos'!BV623,'LP Reactivos'!CA623,'LP Reactivos'!CF623,'LP Reactivos'!CK623,'LP Reactivos'!CP623,'LP Reactivos'!CU623,'LP Reactivos'!CZ623,'LP Reactivos'!DE623,'LP Reactivos'!DJ623,'LP Reactivos'!DO623,'LP Reactivos'!DT623,'LP Reactivos'!DY623,'LP Reactivos'!EB623)," ")</f>
        <v>5</v>
      </c>
    </row>
    <row r="624" spans="2:12" x14ac:dyDescent="0.25">
      <c r="B624" s="425">
        <v>622</v>
      </c>
      <c r="C624" s="428" t="s">
        <v>2693</v>
      </c>
      <c r="D624" s="429">
        <f>IFERROR(MIN('LP Reactivos'!F624,'LP Reactivos'!I624,'LP Reactivos'!N624,'LP Reactivos'!S624,'LP Reactivos'!X624,'LP Reactivos'!AC624,'LP Reactivos'!AH624,'LP Reactivos'!AM624,'LP Reactivos'!AR624,'LP Reactivos'!AW624,'LP Reactivos'!BB624,'LP Reactivos'!BG624,'LP Reactivos'!BL624,'LP Reactivos'!BQ624,'LP Reactivos'!BV624,'LP Reactivos'!CA624,'LP Reactivos'!CF624,'LP Reactivos'!CK624,'LP Reactivos'!CP624,'LP Reactivos'!CU624,'LP Reactivos'!CZ624,'LP Reactivos'!DE624,'LP Reactivos'!DJ624,'LP Reactivos'!DO624,'LP Reactivos'!DT624,'LP Reactivos'!DY624,'LP Reactivos'!EB624)," ")</f>
        <v>640769.23259999999</v>
      </c>
      <c r="E624" s="429">
        <f>IFERROR(AVERAGE('LP Reactivos'!F624,'LP Reactivos'!I624,'LP Reactivos'!N624,'LP Reactivos'!S624,'LP Reactivos'!X624,'LP Reactivos'!AC624,'LP Reactivos'!AH624,'LP Reactivos'!AM624,'LP Reactivos'!AR624,'LP Reactivos'!AW624,'LP Reactivos'!BB624,'LP Reactivos'!BG624,'LP Reactivos'!BL624,'LP Reactivos'!BQ624,'LP Reactivos'!BV624,'LP Reactivos'!CA624,'LP Reactivos'!CF624,'LP Reactivos'!CK624,'LP Reactivos'!CP624,'LP Reactivos'!CU624,'LP Reactivos'!CZ624,'LP Reactivos'!DE624,'LP Reactivos'!DJ624,'LP Reactivos'!DO624,'LP Reactivos'!DT624,'LP Reactivos'!DY624,'LP Reactivos'!EB624)," ")</f>
        <v>640769.23259999999</v>
      </c>
      <c r="F624" s="345">
        <f>IFERROR(MEDIAN('LP Reactivos'!F624,'LP Reactivos'!I624,'LP Reactivos'!N624,'LP Reactivos'!S624,'LP Reactivos'!X624,'LP Reactivos'!AC624,'LP Reactivos'!AH624,'LP Reactivos'!AM624,'LP Reactivos'!AR624,'LP Reactivos'!AW624,'LP Reactivos'!BB624,'LP Reactivos'!BG624,'LP Reactivos'!BL624,'LP Reactivos'!BQ624,'LP Reactivos'!BV624,'LP Reactivos'!CA624,'LP Reactivos'!CF624,'LP Reactivos'!CK624,'LP Reactivos'!CP624,'LP Reactivos'!CU624,'LP Reactivos'!CZ624,'LP Reactivos'!DE624,'LP Reactivos'!DJ624,'LP Reactivos'!DO624,'LP Reactivos'!DT624,'LP Reactivos'!DY624,'LP Reactivos'!EB624)," ")</f>
        <v>640769.23259999999</v>
      </c>
      <c r="G624" s="345">
        <f>IFERROR(GEOMEAN('LP Reactivos'!F624,'LP Reactivos'!I624,'LP Reactivos'!N624,'LP Reactivos'!S624,'LP Reactivos'!X624,'LP Reactivos'!AC624,'LP Reactivos'!AH624,'LP Reactivos'!AM624,'LP Reactivos'!AR624,'LP Reactivos'!AW624,'LP Reactivos'!BB624,'LP Reactivos'!BG624,'LP Reactivos'!BL624,'LP Reactivos'!BQ624,'LP Reactivos'!BV624,'LP Reactivos'!CA624,'LP Reactivos'!CF624,'LP Reactivos'!CK624,'LP Reactivos'!CP624,'LP Reactivos'!CU624,'LP Reactivos'!CZ624,'LP Reactivos'!DE624,'LP Reactivos'!DJ624,'LP Reactivos'!DO624,'LP Reactivos'!DT624,'LP Reactivos'!DY624,'LP Reactivos'!EB624)," ")</f>
        <v>640769.23259999999</v>
      </c>
      <c r="H624" s="345">
        <f t="shared" si="40"/>
        <v>0</v>
      </c>
      <c r="I624" s="346">
        <f t="shared" si="41"/>
        <v>0</v>
      </c>
      <c r="J624" s="345">
        <f t="shared" si="43"/>
        <v>640769.23259999999</v>
      </c>
      <c r="K624" s="344" t="str">
        <f t="shared" si="42"/>
        <v>Menor Valor</v>
      </c>
      <c r="L624" s="326">
        <f>IFERROR(COUNTA('LP Reactivos'!F624,'LP Reactivos'!I624,'LP Reactivos'!N624,'LP Reactivos'!S624,'LP Reactivos'!X624,'LP Reactivos'!AC624,'LP Reactivos'!AH624,'LP Reactivos'!AM624,'LP Reactivos'!AR624,'LP Reactivos'!AW624,'LP Reactivos'!BB624,'LP Reactivos'!BG624,'LP Reactivos'!BL624,'LP Reactivos'!BQ624,'LP Reactivos'!BV624,'LP Reactivos'!CA624,'LP Reactivos'!CF624,'LP Reactivos'!CK624,'LP Reactivos'!CP624,'LP Reactivos'!CU624,'LP Reactivos'!CZ624,'LP Reactivos'!DE624,'LP Reactivos'!DJ624,'LP Reactivos'!DO624,'LP Reactivos'!DT624,'LP Reactivos'!DY624,'LP Reactivos'!EB624)," ")</f>
        <v>1</v>
      </c>
    </row>
    <row r="625" spans="2:12" x14ac:dyDescent="0.25">
      <c r="B625" s="425">
        <v>623</v>
      </c>
      <c r="C625" s="426" t="s">
        <v>2697</v>
      </c>
      <c r="D625" s="429">
        <f>IFERROR(MIN('LP Reactivos'!F625,'LP Reactivos'!I625,'LP Reactivos'!N625,'LP Reactivos'!S625,'LP Reactivos'!X625,'LP Reactivos'!AC625,'LP Reactivos'!AH625,'LP Reactivos'!AM625,'LP Reactivos'!AR625,'LP Reactivos'!AW625,'LP Reactivos'!BB625,'LP Reactivos'!BG625,'LP Reactivos'!BL625,'LP Reactivos'!BQ625,'LP Reactivos'!BV625,'LP Reactivos'!CA625,'LP Reactivos'!CF625,'LP Reactivos'!CK625,'LP Reactivos'!CP625,'LP Reactivos'!CU625,'LP Reactivos'!CZ625,'LP Reactivos'!DE625,'LP Reactivos'!DJ625,'LP Reactivos'!DO625,'LP Reactivos'!DT625,'LP Reactivos'!DY625,'LP Reactivos'!EB625)," ")</f>
        <v>1267184.3996000001</v>
      </c>
      <c r="E625" s="429">
        <f>IFERROR(AVERAGE('LP Reactivos'!F625,'LP Reactivos'!I625,'LP Reactivos'!N625,'LP Reactivos'!S625,'LP Reactivos'!X625,'LP Reactivos'!AC625,'LP Reactivos'!AH625,'LP Reactivos'!AM625,'LP Reactivos'!AR625,'LP Reactivos'!AW625,'LP Reactivos'!BB625,'LP Reactivos'!BG625,'LP Reactivos'!BL625,'LP Reactivos'!BQ625,'LP Reactivos'!BV625,'LP Reactivos'!CA625,'LP Reactivos'!CF625,'LP Reactivos'!CK625,'LP Reactivos'!CP625,'LP Reactivos'!CU625,'LP Reactivos'!CZ625,'LP Reactivos'!DE625,'LP Reactivos'!DJ625,'LP Reactivos'!DO625,'LP Reactivos'!DT625,'LP Reactivos'!DY625,'LP Reactivos'!EB625)," ")</f>
        <v>1267184.3996000001</v>
      </c>
      <c r="F625" s="345">
        <f>IFERROR(MEDIAN('LP Reactivos'!F625,'LP Reactivos'!I625,'LP Reactivos'!N625,'LP Reactivos'!S625,'LP Reactivos'!X625,'LP Reactivos'!AC625,'LP Reactivos'!AH625,'LP Reactivos'!AM625,'LP Reactivos'!AR625,'LP Reactivos'!AW625,'LP Reactivos'!BB625,'LP Reactivos'!BG625,'LP Reactivos'!BL625,'LP Reactivos'!BQ625,'LP Reactivos'!BV625,'LP Reactivos'!CA625,'LP Reactivos'!CF625,'LP Reactivos'!CK625,'LP Reactivos'!CP625,'LP Reactivos'!CU625,'LP Reactivos'!CZ625,'LP Reactivos'!DE625,'LP Reactivos'!DJ625,'LP Reactivos'!DO625,'LP Reactivos'!DT625,'LP Reactivos'!DY625,'LP Reactivos'!EB625)," ")</f>
        <v>1267184.3996000001</v>
      </c>
      <c r="G625" s="345">
        <f>IFERROR(GEOMEAN('LP Reactivos'!F625,'LP Reactivos'!I625,'LP Reactivos'!N625,'LP Reactivos'!S625,'LP Reactivos'!X625,'LP Reactivos'!AC625,'LP Reactivos'!AH625,'LP Reactivos'!AM625,'LP Reactivos'!AR625,'LP Reactivos'!AW625,'LP Reactivos'!BB625,'LP Reactivos'!BG625,'LP Reactivos'!BL625,'LP Reactivos'!BQ625,'LP Reactivos'!BV625,'LP Reactivos'!CA625,'LP Reactivos'!CF625,'LP Reactivos'!CK625,'LP Reactivos'!CP625,'LP Reactivos'!CU625,'LP Reactivos'!CZ625,'LP Reactivos'!DE625,'LP Reactivos'!DJ625,'LP Reactivos'!DO625,'LP Reactivos'!DT625,'LP Reactivos'!DY625,'LP Reactivos'!EB625)," ")</f>
        <v>1267184.3996000001</v>
      </c>
      <c r="H625" s="345">
        <f t="shared" si="40"/>
        <v>0</v>
      </c>
      <c r="I625" s="346">
        <f t="shared" si="41"/>
        <v>0</v>
      </c>
      <c r="J625" s="345">
        <f t="shared" si="43"/>
        <v>1267184.3996000001</v>
      </c>
      <c r="K625" s="344" t="str">
        <f t="shared" si="42"/>
        <v>Menor Valor</v>
      </c>
      <c r="L625" s="326">
        <f>IFERROR(COUNTA('LP Reactivos'!F625,'LP Reactivos'!I625,'LP Reactivos'!N625,'LP Reactivos'!S625,'LP Reactivos'!X625,'LP Reactivos'!AC625,'LP Reactivos'!AH625,'LP Reactivos'!AM625,'LP Reactivos'!AR625,'LP Reactivos'!AW625,'LP Reactivos'!BB625,'LP Reactivos'!BG625,'LP Reactivos'!BL625,'LP Reactivos'!BQ625,'LP Reactivos'!BV625,'LP Reactivos'!CA625,'LP Reactivos'!CF625,'LP Reactivos'!CK625,'LP Reactivos'!CP625,'LP Reactivos'!CU625,'LP Reactivos'!CZ625,'LP Reactivos'!DE625,'LP Reactivos'!DJ625,'LP Reactivos'!DO625,'LP Reactivos'!DT625,'LP Reactivos'!DY625,'LP Reactivos'!EB625)," ")</f>
        <v>1</v>
      </c>
    </row>
    <row r="626" spans="2:12" x14ac:dyDescent="0.25">
      <c r="B626" s="425">
        <v>624</v>
      </c>
      <c r="C626" s="427" t="s">
        <v>2699</v>
      </c>
      <c r="D626" s="429">
        <f>IFERROR(MIN('LP Reactivos'!F626,'LP Reactivos'!I626,'LP Reactivos'!N626,'LP Reactivos'!S626,'LP Reactivos'!X626,'LP Reactivos'!AC626,'LP Reactivos'!AH626,'LP Reactivos'!AM626,'LP Reactivos'!AR626,'LP Reactivos'!AW626,'LP Reactivos'!BB626,'LP Reactivos'!BG626,'LP Reactivos'!BL626,'LP Reactivos'!BQ626,'LP Reactivos'!BV626,'LP Reactivos'!CA626,'LP Reactivos'!CF626,'LP Reactivos'!CK626,'LP Reactivos'!CP626,'LP Reactivos'!CU626,'LP Reactivos'!CZ626,'LP Reactivos'!DE626,'LP Reactivos'!DJ626,'LP Reactivos'!DO626,'LP Reactivos'!DT626,'LP Reactivos'!DY626,'LP Reactivos'!EB626)," ")</f>
        <v>175965</v>
      </c>
      <c r="E626" s="429">
        <f>IFERROR(AVERAGE('LP Reactivos'!F626,'LP Reactivos'!I626,'LP Reactivos'!N626,'LP Reactivos'!S626,'LP Reactivos'!X626,'LP Reactivos'!AC626,'LP Reactivos'!AH626,'LP Reactivos'!AM626,'LP Reactivos'!AR626,'LP Reactivos'!AW626,'LP Reactivos'!BB626,'LP Reactivos'!BG626,'LP Reactivos'!BL626,'LP Reactivos'!BQ626,'LP Reactivos'!BV626,'LP Reactivos'!CA626,'LP Reactivos'!CF626,'LP Reactivos'!CK626,'LP Reactivos'!CP626,'LP Reactivos'!CU626,'LP Reactivos'!CZ626,'LP Reactivos'!DE626,'LP Reactivos'!DJ626,'LP Reactivos'!DO626,'LP Reactivos'!DT626,'LP Reactivos'!DY626,'LP Reactivos'!EB626)," ")</f>
        <v>391093.33444444439</v>
      </c>
      <c r="F626" s="345">
        <f>IFERROR(MEDIAN('LP Reactivos'!F626,'LP Reactivos'!I626,'LP Reactivos'!N626,'LP Reactivos'!S626,'LP Reactivos'!X626,'LP Reactivos'!AC626,'LP Reactivos'!AH626,'LP Reactivos'!AM626,'LP Reactivos'!AR626,'LP Reactivos'!AW626,'LP Reactivos'!BB626,'LP Reactivos'!BG626,'LP Reactivos'!BL626,'LP Reactivos'!BQ626,'LP Reactivos'!BV626,'LP Reactivos'!CA626,'LP Reactivos'!CF626,'LP Reactivos'!CK626,'LP Reactivos'!CP626,'LP Reactivos'!CU626,'LP Reactivos'!CZ626,'LP Reactivos'!DE626,'LP Reactivos'!DJ626,'LP Reactivos'!DO626,'LP Reactivos'!DT626,'LP Reactivos'!DY626,'LP Reactivos'!EB626)," ")</f>
        <v>370779.01</v>
      </c>
      <c r="G626" s="345">
        <f>IFERROR(GEOMEAN('LP Reactivos'!F626,'LP Reactivos'!I626,'LP Reactivos'!N626,'LP Reactivos'!S626,'LP Reactivos'!X626,'LP Reactivos'!AC626,'LP Reactivos'!AH626,'LP Reactivos'!AM626,'LP Reactivos'!AR626,'LP Reactivos'!AW626,'LP Reactivos'!BB626,'LP Reactivos'!BG626,'LP Reactivos'!BL626,'LP Reactivos'!BQ626,'LP Reactivos'!BV626,'LP Reactivos'!CA626,'LP Reactivos'!CF626,'LP Reactivos'!CK626,'LP Reactivos'!CP626,'LP Reactivos'!CU626,'LP Reactivos'!CZ626,'LP Reactivos'!DE626,'LP Reactivos'!DJ626,'LP Reactivos'!DO626,'LP Reactivos'!DT626,'LP Reactivos'!DY626,'LP Reactivos'!EB626)," ")</f>
        <v>363523.10752595396</v>
      </c>
      <c r="H626" s="345">
        <f t="shared" ref="H626:H672" si="44">STDEVA(D626,E626,F626,G626)</f>
        <v>100264.72451404248</v>
      </c>
      <c r="I626" s="346">
        <f t="shared" ref="I626:I672" si="45">IFERROR(H626/E626," ")</f>
        <v>0.25637032310067481</v>
      </c>
      <c r="J626" s="345">
        <f t="shared" ref="J626:J672" si="46">IF(I626&lt;=10%,F626,IF(AND(I626&gt;10%,I626&lt;=20%),E626,IF(AND(I626&gt;20%,I626&lt;=30%),G626,IF(I626&gt;30%,D626))))</f>
        <v>363523.10752595396</v>
      </c>
      <c r="K626" s="344" t="str">
        <f t="shared" ref="K626:K672" si="47">IF(J626=D626,"Menor Valor",IF(J626=E626,"Promedio",IF(J626=F626,"Mediana",IF(J626=G626,"Media Geométrica"," "))))</f>
        <v>Media Geométrica</v>
      </c>
      <c r="L626" s="326">
        <f>IFERROR(COUNTA('LP Reactivos'!F626,'LP Reactivos'!I626,'LP Reactivos'!N626,'LP Reactivos'!S626,'LP Reactivos'!X626,'LP Reactivos'!AC626,'LP Reactivos'!AH626,'LP Reactivos'!AM626,'LP Reactivos'!AR626,'LP Reactivos'!AW626,'LP Reactivos'!BB626,'LP Reactivos'!BG626,'LP Reactivos'!BL626,'LP Reactivos'!BQ626,'LP Reactivos'!BV626,'LP Reactivos'!CA626,'LP Reactivos'!CF626,'LP Reactivos'!CK626,'LP Reactivos'!CP626,'LP Reactivos'!CU626,'LP Reactivos'!CZ626,'LP Reactivos'!DE626,'LP Reactivos'!DJ626,'LP Reactivos'!DO626,'LP Reactivos'!DT626,'LP Reactivos'!DY626,'LP Reactivos'!EB626)," ")</f>
        <v>9</v>
      </c>
    </row>
    <row r="627" spans="2:12" x14ac:dyDescent="0.25">
      <c r="B627" s="425">
        <v>625</v>
      </c>
      <c r="C627" s="427" t="s">
        <v>2708</v>
      </c>
      <c r="D627" s="429">
        <f>IFERROR(MIN('LP Reactivos'!F627,'LP Reactivos'!I627,'LP Reactivos'!N627,'LP Reactivos'!S627,'LP Reactivos'!X627,'LP Reactivos'!AC627,'LP Reactivos'!AH627,'LP Reactivos'!AM627,'LP Reactivos'!AR627,'LP Reactivos'!AW627,'LP Reactivos'!BB627,'LP Reactivos'!BG627,'LP Reactivos'!BL627,'LP Reactivos'!BQ627,'LP Reactivos'!BV627,'LP Reactivos'!CA627,'LP Reactivos'!CF627,'LP Reactivos'!CK627,'LP Reactivos'!CP627,'LP Reactivos'!CU627,'LP Reactivos'!CZ627,'LP Reactivos'!DE627,'LP Reactivos'!DJ627,'LP Reactivos'!DO627,'LP Reactivos'!DT627,'LP Reactivos'!DY627,'LP Reactivos'!EB627)," ")</f>
        <v>307615</v>
      </c>
      <c r="E627" s="429">
        <f>IFERROR(AVERAGE('LP Reactivos'!F627,'LP Reactivos'!I627,'LP Reactivos'!N627,'LP Reactivos'!S627,'LP Reactivos'!X627,'LP Reactivos'!AC627,'LP Reactivos'!AH627,'LP Reactivos'!AM627,'LP Reactivos'!AR627,'LP Reactivos'!AW627,'LP Reactivos'!BB627,'LP Reactivos'!BG627,'LP Reactivos'!BL627,'LP Reactivos'!BQ627,'LP Reactivos'!BV627,'LP Reactivos'!CA627,'LP Reactivos'!CF627,'LP Reactivos'!CK627,'LP Reactivos'!CP627,'LP Reactivos'!CU627,'LP Reactivos'!CZ627,'LP Reactivos'!DE627,'LP Reactivos'!DJ627,'LP Reactivos'!DO627,'LP Reactivos'!DT627,'LP Reactivos'!DY627,'LP Reactivos'!EB627)," ")</f>
        <v>449577.14</v>
      </c>
      <c r="F627" s="345">
        <f>IFERROR(MEDIAN('LP Reactivos'!F627,'LP Reactivos'!I627,'LP Reactivos'!N627,'LP Reactivos'!S627,'LP Reactivos'!X627,'LP Reactivos'!AC627,'LP Reactivos'!AH627,'LP Reactivos'!AM627,'LP Reactivos'!AR627,'LP Reactivos'!AW627,'LP Reactivos'!BB627,'LP Reactivos'!BG627,'LP Reactivos'!BL627,'LP Reactivos'!BQ627,'LP Reactivos'!BV627,'LP Reactivos'!CA627,'LP Reactivos'!CF627,'LP Reactivos'!CK627,'LP Reactivos'!CP627,'LP Reactivos'!CU627,'LP Reactivos'!CZ627,'LP Reactivos'!DE627,'LP Reactivos'!DJ627,'LP Reactivos'!DO627,'LP Reactivos'!DT627,'LP Reactivos'!DY627,'LP Reactivos'!EB627)," ")</f>
        <v>414036</v>
      </c>
      <c r="G627" s="345">
        <f>IFERROR(GEOMEAN('LP Reactivos'!F627,'LP Reactivos'!I627,'LP Reactivos'!N627,'LP Reactivos'!S627,'LP Reactivos'!X627,'LP Reactivos'!AC627,'LP Reactivos'!AH627,'LP Reactivos'!AM627,'LP Reactivos'!AR627,'LP Reactivos'!AW627,'LP Reactivos'!BB627,'LP Reactivos'!BG627,'LP Reactivos'!BL627,'LP Reactivos'!BQ627,'LP Reactivos'!BV627,'LP Reactivos'!CA627,'LP Reactivos'!CF627,'LP Reactivos'!CK627,'LP Reactivos'!CP627,'LP Reactivos'!CU627,'LP Reactivos'!CZ627,'LP Reactivos'!DE627,'LP Reactivos'!DJ627,'LP Reactivos'!DO627,'LP Reactivos'!DT627,'LP Reactivos'!DY627,'LP Reactivos'!EB627)," ")</f>
        <v>433967.79623579496</v>
      </c>
      <c r="H627" s="345">
        <f t="shared" si="44"/>
        <v>64127.352651720495</v>
      </c>
      <c r="I627" s="346">
        <f t="shared" si="45"/>
        <v>0.14263926464704255</v>
      </c>
      <c r="J627" s="345">
        <f t="shared" si="46"/>
        <v>449577.14</v>
      </c>
      <c r="K627" s="344" t="str">
        <f t="shared" si="47"/>
        <v>Promedio</v>
      </c>
      <c r="L627" s="326">
        <f>IFERROR(COUNTA('LP Reactivos'!F627,'LP Reactivos'!I627,'LP Reactivos'!N627,'LP Reactivos'!S627,'LP Reactivos'!X627,'LP Reactivos'!AC627,'LP Reactivos'!AH627,'LP Reactivos'!AM627,'LP Reactivos'!AR627,'LP Reactivos'!AW627,'LP Reactivos'!BB627,'LP Reactivos'!BG627,'LP Reactivos'!BL627,'LP Reactivos'!BQ627,'LP Reactivos'!BV627,'LP Reactivos'!CA627,'LP Reactivos'!CF627,'LP Reactivos'!CK627,'LP Reactivos'!CP627,'LP Reactivos'!CU627,'LP Reactivos'!CZ627,'LP Reactivos'!DE627,'LP Reactivos'!DJ627,'LP Reactivos'!DO627,'LP Reactivos'!DT627,'LP Reactivos'!DY627,'LP Reactivos'!EB627)," ")</f>
        <v>7</v>
      </c>
    </row>
    <row r="628" spans="2:12" x14ac:dyDescent="0.25">
      <c r="B628" s="425">
        <v>626</v>
      </c>
      <c r="C628" s="426" t="s">
        <v>2715</v>
      </c>
      <c r="D628" s="429">
        <f>IFERROR(MIN('LP Reactivos'!F628,'LP Reactivos'!I628,'LP Reactivos'!N628,'LP Reactivos'!S628,'LP Reactivos'!X628,'LP Reactivos'!AC628,'LP Reactivos'!AH628,'LP Reactivos'!AM628,'LP Reactivos'!AR628,'LP Reactivos'!AW628,'LP Reactivos'!BB628,'LP Reactivos'!BG628,'LP Reactivos'!BL628,'LP Reactivos'!BQ628,'LP Reactivos'!BV628,'LP Reactivos'!CA628,'LP Reactivos'!CF628,'LP Reactivos'!CK628,'LP Reactivos'!CP628,'LP Reactivos'!CU628,'LP Reactivos'!CZ628,'LP Reactivos'!DE628,'LP Reactivos'!DJ628,'LP Reactivos'!DO628,'LP Reactivos'!DT628,'LP Reactivos'!DY628,'LP Reactivos'!EB628)," ")</f>
        <v>1307169.2326</v>
      </c>
      <c r="E628" s="429">
        <f>IFERROR(AVERAGE('LP Reactivos'!F628,'LP Reactivos'!I628,'LP Reactivos'!N628,'LP Reactivos'!S628,'LP Reactivos'!X628,'LP Reactivos'!AC628,'LP Reactivos'!AH628,'LP Reactivos'!AM628,'LP Reactivos'!AR628,'LP Reactivos'!AW628,'LP Reactivos'!BB628,'LP Reactivos'!BG628,'LP Reactivos'!BL628,'LP Reactivos'!BQ628,'LP Reactivos'!BV628,'LP Reactivos'!CA628,'LP Reactivos'!CF628,'LP Reactivos'!CK628,'LP Reactivos'!CP628,'LP Reactivos'!CU628,'LP Reactivos'!CZ628,'LP Reactivos'!DE628,'LP Reactivos'!DJ628,'LP Reactivos'!DO628,'LP Reactivos'!DT628,'LP Reactivos'!DY628,'LP Reactivos'!EB628)," ")</f>
        <v>2503030.7442000001</v>
      </c>
      <c r="F628" s="345">
        <f>IFERROR(MEDIAN('LP Reactivos'!F628,'LP Reactivos'!I628,'LP Reactivos'!N628,'LP Reactivos'!S628,'LP Reactivos'!X628,'LP Reactivos'!AC628,'LP Reactivos'!AH628,'LP Reactivos'!AM628,'LP Reactivos'!AR628,'LP Reactivos'!AW628,'LP Reactivos'!BB628,'LP Reactivos'!BG628,'LP Reactivos'!BL628,'LP Reactivos'!BQ628,'LP Reactivos'!BV628,'LP Reactivos'!CA628,'LP Reactivos'!CF628,'LP Reactivos'!CK628,'LP Reactivos'!CP628,'LP Reactivos'!CU628,'LP Reactivos'!CZ628,'LP Reactivos'!DE628,'LP Reactivos'!DJ628,'LP Reactivos'!DO628,'LP Reactivos'!DT628,'LP Reactivos'!DY628,'LP Reactivos'!EB628)," ")</f>
        <v>2142000</v>
      </c>
      <c r="G628" s="345">
        <f>IFERROR(GEOMEAN('LP Reactivos'!F628,'LP Reactivos'!I628,'LP Reactivos'!N628,'LP Reactivos'!S628,'LP Reactivos'!X628,'LP Reactivos'!AC628,'LP Reactivos'!AH628,'LP Reactivos'!AM628,'LP Reactivos'!AR628,'LP Reactivos'!AW628,'LP Reactivos'!BB628,'LP Reactivos'!BG628,'LP Reactivos'!BL628,'LP Reactivos'!BQ628,'LP Reactivos'!BV628,'LP Reactivos'!CA628,'LP Reactivos'!CF628,'LP Reactivos'!CK628,'LP Reactivos'!CP628,'LP Reactivos'!CU628,'LP Reactivos'!CZ628,'LP Reactivos'!DE628,'LP Reactivos'!DJ628,'LP Reactivos'!DO628,'LP Reactivos'!DT628,'LP Reactivos'!DY628,'LP Reactivos'!EB628)," ")</f>
        <v>2248483.4407804613</v>
      </c>
      <c r="H628" s="345">
        <f t="shared" si="44"/>
        <v>517974.89118219964</v>
      </c>
      <c r="I628" s="346">
        <f t="shared" si="45"/>
        <v>0.20693908470059599</v>
      </c>
      <c r="J628" s="345">
        <f t="shared" si="46"/>
        <v>2248483.4407804613</v>
      </c>
      <c r="K628" s="344" t="str">
        <f t="shared" si="47"/>
        <v>Media Geométrica</v>
      </c>
      <c r="L628" s="326">
        <f>IFERROR(COUNTA('LP Reactivos'!F628,'LP Reactivos'!I628,'LP Reactivos'!N628,'LP Reactivos'!S628,'LP Reactivos'!X628,'LP Reactivos'!AC628,'LP Reactivos'!AH628,'LP Reactivos'!AM628,'LP Reactivos'!AR628,'LP Reactivos'!AW628,'LP Reactivos'!BB628,'LP Reactivos'!BG628,'LP Reactivos'!BL628,'LP Reactivos'!BQ628,'LP Reactivos'!BV628,'LP Reactivos'!CA628,'LP Reactivos'!CF628,'LP Reactivos'!CK628,'LP Reactivos'!CP628,'LP Reactivos'!CU628,'LP Reactivos'!CZ628,'LP Reactivos'!DE628,'LP Reactivos'!DJ628,'LP Reactivos'!DO628,'LP Reactivos'!DT628,'LP Reactivos'!DY628,'LP Reactivos'!EB628)," ")</f>
        <v>3</v>
      </c>
    </row>
    <row r="629" spans="2:12" x14ac:dyDescent="0.25">
      <c r="B629" s="425">
        <v>627</v>
      </c>
      <c r="C629" s="427" t="s">
        <v>2717</v>
      </c>
      <c r="D629" s="429">
        <f>IFERROR(MIN('LP Reactivos'!F629,'LP Reactivos'!I629,'LP Reactivos'!N629,'LP Reactivos'!S629,'LP Reactivos'!X629,'LP Reactivos'!AC629,'LP Reactivos'!AH629,'LP Reactivos'!AM629,'LP Reactivos'!AR629,'LP Reactivos'!AW629,'LP Reactivos'!BB629,'LP Reactivos'!BG629,'LP Reactivos'!BL629,'LP Reactivos'!BQ629,'LP Reactivos'!BV629,'LP Reactivos'!CA629,'LP Reactivos'!CF629,'LP Reactivos'!CK629,'LP Reactivos'!CP629,'LP Reactivos'!CU629,'LP Reactivos'!CZ629,'LP Reactivos'!DE629,'LP Reactivos'!DJ629,'LP Reactivos'!DO629,'LP Reactivos'!DT629,'LP Reactivos'!DY629,'LP Reactivos'!EB629)," ")</f>
        <v>133950</v>
      </c>
      <c r="E629" s="429">
        <f>IFERROR(AVERAGE('LP Reactivos'!F629,'LP Reactivos'!I629,'LP Reactivos'!N629,'LP Reactivos'!S629,'LP Reactivos'!X629,'LP Reactivos'!AC629,'LP Reactivos'!AH629,'LP Reactivos'!AM629,'LP Reactivos'!AR629,'LP Reactivos'!AW629,'LP Reactivos'!BB629,'LP Reactivos'!BG629,'LP Reactivos'!BL629,'LP Reactivos'!BQ629,'LP Reactivos'!BV629,'LP Reactivos'!CA629,'LP Reactivos'!CF629,'LP Reactivos'!CK629,'LP Reactivos'!CP629,'LP Reactivos'!CU629,'LP Reactivos'!CZ629,'LP Reactivos'!DE629,'LP Reactivos'!DJ629,'LP Reactivos'!DO629,'LP Reactivos'!DT629,'LP Reactivos'!DY629,'LP Reactivos'!EB629)," ")</f>
        <v>263995.22532857145</v>
      </c>
      <c r="F629" s="345">
        <f>IFERROR(MEDIAN('LP Reactivos'!F629,'LP Reactivos'!I629,'LP Reactivos'!N629,'LP Reactivos'!S629,'LP Reactivos'!X629,'LP Reactivos'!AC629,'LP Reactivos'!AH629,'LP Reactivos'!AM629,'LP Reactivos'!AR629,'LP Reactivos'!AW629,'LP Reactivos'!BB629,'LP Reactivos'!BG629,'LP Reactivos'!BL629,'LP Reactivos'!BQ629,'LP Reactivos'!BV629,'LP Reactivos'!CA629,'LP Reactivos'!CF629,'LP Reactivos'!CK629,'LP Reactivos'!CP629,'LP Reactivos'!CU629,'LP Reactivos'!CZ629,'LP Reactivos'!DE629,'LP Reactivos'!DJ629,'LP Reactivos'!DO629,'LP Reactivos'!DT629,'LP Reactivos'!DY629,'LP Reactivos'!EB629)," ")</f>
        <v>275256.28200000001</v>
      </c>
      <c r="G629" s="345">
        <f>IFERROR(GEOMEAN('LP Reactivos'!F629,'LP Reactivos'!I629,'LP Reactivos'!N629,'LP Reactivos'!S629,'LP Reactivos'!X629,'LP Reactivos'!AC629,'LP Reactivos'!AH629,'LP Reactivos'!AM629,'LP Reactivos'!AR629,'LP Reactivos'!AW629,'LP Reactivos'!BB629,'LP Reactivos'!BG629,'LP Reactivos'!BL629,'LP Reactivos'!BQ629,'LP Reactivos'!BV629,'LP Reactivos'!CA629,'LP Reactivos'!CF629,'LP Reactivos'!CK629,'LP Reactivos'!CP629,'LP Reactivos'!CU629,'LP Reactivos'!CZ629,'LP Reactivos'!DE629,'LP Reactivos'!DJ629,'LP Reactivos'!DO629,'LP Reactivos'!DT629,'LP Reactivos'!DY629,'LP Reactivos'!EB629)," ")</f>
        <v>235319.50109770321</v>
      </c>
      <c r="H629" s="345">
        <f t="shared" si="44"/>
        <v>64355.171213210459</v>
      </c>
      <c r="I629" s="346">
        <f t="shared" si="45"/>
        <v>0.24377399679525749</v>
      </c>
      <c r="J629" s="345">
        <f t="shared" si="46"/>
        <v>235319.50109770321</v>
      </c>
      <c r="K629" s="344" t="str">
        <f t="shared" si="47"/>
        <v>Media Geométrica</v>
      </c>
      <c r="L629" s="326">
        <f>IFERROR(COUNTA('LP Reactivos'!F629,'LP Reactivos'!I629,'LP Reactivos'!N629,'LP Reactivos'!S629,'LP Reactivos'!X629,'LP Reactivos'!AC629,'LP Reactivos'!AH629,'LP Reactivos'!AM629,'LP Reactivos'!AR629,'LP Reactivos'!AW629,'LP Reactivos'!BB629,'LP Reactivos'!BG629,'LP Reactivos'!BL629,'LP Reactivos'!BQ629,'LP Reactivos'!BV629,'LP Reactivos'!CA629,'LP Reactivos'!CF629,'LP Reactivos'!CK629,'LP Reactivos'!CP629,'LP Reactivos'!CU629,'LP Reactivos'!CZ629,'LP Reactivos'!DE629,'LP Reactivos'!DJ629,'LP Reactivos'!DO629,'LP Reactivos'!DT629,'LP Reactivos'!DY629,'LP Reactivos'!EB629)," ")</f>
        <v>7</v>
      </c>
    </row>
    <row r="630" spans="2:12" x14ac:dyDescent="0.25">
      <c r="B630" s="425">
        <v>628</v>
      </c>
      <c r="C630" s="427" t="s">
        <v>2724</v>
      </c>
      <c r="D630" s="429">
        <f>IFERROR(MIN('LP Reactivos'!F630,'LP Reactivos'!I630,'LP Reactivos'!N630,'LP Reactivos'!S630,'LP Reactivos'!X630,'LP Reactivos'!AC630,'LP Reactivos'!AH630,'LP Reactivos'!AM630,'LP Reactivos'!AR630,'LP Reactivos'!AW630,'LP Reactivos'!BB630,'LP Reactivos'!BG630,'LP Reactivos'!BL630,'LP Reactivos'!BQ630,'LP Reactivos'!BV630,'LP Reactivos'!CA630,'LP Reactivos'!CF630,'LP Reactivos'!CK630,'LP Reactivos'!CP630,'LP Reactivos'!CU630,'LP Reactivos'!CZ630,'LP Reactivos'!DE630,'LP Reactivos'!DJ630,'LP Reactivos'!DO630,'LP Reactivos'!DT630,'LP Reactivos'!DY630,'LP Reactivos'!EB630)," ")</f>
        <v>41751.586000000003</v>
      </c>
      <c r="E630" s="429">
        <f>IFERROR(AVERAGE('LP Reactivos'!F630,'LP Reactivos'!I630,'LP Reactivos'!N630,'LP Reactivos'!S630,'LP Reactivos'!X630,'LP Reactivos'!AC630,'LP Reactivos'!AH630,'LP Reactivos'!AM630,'LP Reactivos'!AR630,'LP Reactivos'!AW630,'LP Reactivos'!BB630,'LP Reactivos'!BG630,'LP Reactivos'!BL630,'LP Reactivos'!BQ630,'LP Reactivos'!BV630,'LP Reactivos'!CA630,'LP Reactivos'!CF630,'LP Reactivos'!CK630,'LP Reactivos'!CP630,'LP Reactivos'!CU630,'LP Reactivos'!CZ630,'LP Reactivos'!DE630,'LP Reactivos'!DJ630,'LP Reactivos'!DO630,'LP Reactivos'!DT630,'LP Reactivos'!DY630,'LP Reactivos'!EB630)," ")</f>
        <v>41751.586000000003</v>
      </c>
      <c r="F630" s="345">
        <f>IFERROR(MEDIAN('LP Reactivos'!F630,'LP Reactivos'!I630,'LP Reactivos'!N630,'LP Reactivos'!S630,'LP Reactivos'!X630,'LP Reactivos'!AC630,'LP Reactivos'!AH630,'LP Reactivos'!AM630,'LP Reactivos'!AR630,'LP Reactivos'!AW630,'LP Reactivos'!BB630,'LP Reactivos'!BG630,'LP Reactivos'!BL630,'LP Reactivos'!BQ630,'LP Reactivos'!BV630,'LP Reactivos'!CA630,'LP Reactivos'!CF630,'LP Reactivos'!CK630,'LP Reactivos'!CP630,'LP Reactivos'!CU630,'LP Reactivos'!CZ630,'LP Reactivos'!DE630,'LP Reactivos'!DJ630,'LP Reactivos'!DO630,'LP Reactivos'!DT630,'LP Reactivos'!DY630,'LP Reactivos'!EB630)," ")</f>
        <v>41751.586000000003</v>
      </c>
      <c r="G630" s="345">
        <f>IFERROR(GEOMEAN('LP Reactivos'!F630,'LP Reactivos'!I630,'LP Reactivos'!N630,'LP Reactivos'!S630,'LP Reactivos'!X630,'LP Reactivos'!AC630,'LP Reactivos'!AH630,'LP Reactivos'!AM630,'LP Reactivos'!AR630,'LP Reactivos'!AW630,'LP Reactivos'!BB630,'LP Reactivos'!BG630,'LP Reactivos'!BL630,'LP Reactivos'!BQ630,'LP Reactivos'!BV630,'LP Reactivos'!CA630,'LP Reactivos'!CF630,'LP Reactivos'!CK630,'LP Reactivos'!CP630,'LP Reactivos'!CU630,'LP Reactivos'!CZ630,'LP Reactivos'!DE630,'LP Reactivos'!DJ630,'LP Reactivos'!DO630,'LP Reactivos'!DT630,'LP Reactivos'!DY630,'LP Reactivos'!EB630)," ")</f>
        <v>41751.586000000003</v>
      </c>
      <c r="H630" s="345">
        <f t="shared" si="44"/>
        <v>0</v>
      </c>
      <c r="I630" s="346">
        <f t="shared" si="45"/>
        <v>0</v>
      </c>
      <c r="J630" s="345">
        <f t="shared" si="46"/>
        <v>41751.586000000003</v>
      </c>
      <c r="K630" s="344" t="str">
        <f t="shared" si="47"/>
        <v>Menor Valor</v>
      </c>
      <c r="L630" s="326">
        <f>IFERROR(COUNTA('LP Reactivos'!F630,'LP Reactivos'!I630,'LP Reactivos'!N630,'LP Reactivos'!S630,'LP Reactivos'!X630,'LP Reactivos'!AC630,'LP Reactivos'!AH630,'LP Reactivos'!AM630,'LP Reactivos'!AR630,'LP Reactivos'!AW630,'LP Reactivos'!BB630,'LP Reactivos'!BG630,'LP Reactivos'!BL630,'LP Reactivos'!BQ630,'LP Reactivos'!BV630,'LP Reactivos'!CA630,'LP Reactivos'!CF630,'LP Reactivos'!CK630,'LP Reactivos'!CP630,'LP Reactivos'!CU630,'LP Reactivos'!CZ630,'LP Reactivos'!DE630,'LP Reactivos'!DJ630,'LP Reactivos'!DO630,'LP Reactivos'!DT630,'LP Reactivos'!DY630,'LP Reactivos'!EB630)," ")</f>
        <v>1</v>
      </c>
    </row>
    <row r="631" spans="2:12" x14ac:dyDescent="0.25">
      <c r="B631" s="425">
        <v>629</v>
      </c>
      <c r="C631" s="427" t="s">
        <v>2726</v>
      </c>
      <c r="D631" s="429">
        <f>IFERROR(MIN('LP Reactivos'!F631,'LP Reactivos'!I631,'LP Reactivos'!N631,'LP Reactivos'!S631,'LP Reactivos'!X631,'LP Reactivos'!AC631,'LP Reactivos'!AH631,'LP Reactivos'!AM631,'LP Reactivos'!AR631,'LP Reactivos'!AW631,'LP Reactivos'!BB631,'LP Reactivos'!BG631,'LP Reactivos'!BL631,'LP Reactivos'!BQ631,'LP Reactivos'!BV631,'LP Reactivos'!CA631,'LP Reactivos'!CF631,'LP Reactivos'!CK631,'LP Reactivos'!CP631,'LP Reactivos'!CU631,'LP Reactivos'!CZ631,'LP Reactivos'!DE631,'LP Reactivos'!DJ631,'LP Reactivos'!DO631,'LP Reactivos'!DT631,'LP Reactivos'!DY631,'LP Reactivos'!EB631)," ")</f>
        <v>40460</v>
      </c>
      <c r="E631" s="429">
        <f>IFERROR(AVERAGE('LP Reactivos'!F631,'LP Reactivos'!I631,'LP Reactivos'!N631,'LP Reactivos'!S631,'LP Reactivos'!X631,'LP Reactivos'!AC631,'LP Reactivos'!AH631,'LP Reactivos'!AM631,'LP Reactivos'!AR631,'LP Reactivos'!AW631,'LP Reactivos'!BB631,'LP Reactivos'!BG631,'LP Reactivos'!BL631,'LP Reactivos'!BQ631,'LP Reactivos'!BV631,'LP Reactivos'!CA631,'LP Reactivos'!CF631,'LP Reactivos'!CK631,'LP Reactivos'!CP631,'LP Reactivos'!CU631,'LP Reactivos'!CZ631,'LP Reactivos'!DE631,'LP Reactivos'!DJ631,'LP Reactivos'!DO631,'LP Reactivos'!DT631,'LP Reactivos'!DY631,'LP Reactivos'!EB631)," ")</f>
        <v>170415.73499999999</v>
      </c>
      <c r="F631" s="345">
        <f>IFERROR(MEDIAN('LP Reactivos'!F631,'LP Reactivos'!I631,'LP Reactivos'!N631,'LP Reactivos'!S631,'LP Reactivos'!X631,'LP Reactivos'!AC631,'LP Reactivos'!AH631,'LP Reactivos'!AM631,'LP Reactivos'!AR631,'LP Reactivos'!AW631,'LP Reactivos'!BB631,'LP Reactivos'!BG631,'LP Reactivos'!BL631,'LP Reactivos'!BQ631,'LP Reactivos'!BV631,'LP Reactivos'!CA631,'LP Reactivos'!CF631,'LP Reactivos'!CK631,'LP Reactivos'!CP631,'LP Reactivos'!CU631,'LP Reactivos'!CZ631,'LP Reactivos'!DE631,'LP Reactivos'!DJ631,'LP Reactivos'!DO631,'LP Reactivos'!DT631,'LP Reactivos'!DY631,'LP Reactivos'!EB631)," ")</f>
        <v>139126.47</v>
      </c>
      <c r="G631" s="345">
        <f>IFERROR(GEOMEAN('LP Reactivos'!F631,'LP Reactivos'!I631,'LP Reactivos'!N631,'LP Reactivos'!S631,'LP Reactivos'!X631,'LP Reactivos'!AC631,'LP Reactivos'!AH631,'LP Reactivos'!AM631,'LP Reactivos'!AR631,'LP Reactivos'!AW631,'LP Reactivos'!BB631,'LP Reactivos'!BG631,'LP Reactivos'!BL631,'LP Reactivos'!BQ631,'LP Reactivos'!BV631,'LP Reactivos'!CA631,'LP Reactivos'!CF631,'LP Reactivos'!CK631,'LP Reactivos'!CP631,'LP Reactivos'!CU631,'LP Reactivos'!CZ631,'LP Reactivos'!DE631,'LP Reactivos'!DJ631,'LP Reactivos'!DO631,'LP Reactivos'!DT631,'LP Reactivos'!DY631,'LP Reactivos'!EB631)," ")</f>
        <v>121682.01108589116</v>
      </c>
      <c r="H631" s="345">
        <f t="shared" si="44"/>
        <v>55436.813538831942</v>
      </c>
      <c r="I631" s="346">
        <f t="shared" si="45"/>
        <v>0.3253033737690475</v>
      </c>
      <c r="J631" s="345">
        <f>IF(I631&lt;=10%,F631,IF(AND(I631&gt;10%,I631&lt;=20%),E631,IF(AND(I631&gt;20%,I631&lt;=33%),G631,IF(I631&gt;33%,D631))))</f>
        <v>121682.01108589116</v>
      </c>
      <c r="K631" s="344" t="str">
        <f t="shared" si="47"/>
        <v>Media Geométrica</v>
      </c>
      <c r="L631" s="326">
        <f>IFERROR(COUNTA('LP Reactivos'!F631,'LP Reactivos'!I631,'LP Reactivos'!N631,'LP Reactivos'!S631,'LP Reactivos'!X631,'LP Reactivos'!AC631,'LP Reactivos'!AH631,'LP Reactivos'!AM631,'LP Reactivos'!AR631,'LP Reactivos'!AW631,'LP Reactivos'!BB631,'LP Reactivos'!BG631,'LP Reactivos'!BL631,'LP Reactivos'!BQ631,'LP Reactivos'!BV631,'LP Reactivos'!CA631,'LP Reactivos'!CF631,'LP Reactivos'!CK631,'LP Reactivos'!CP631,'LP Reactivos'!CU631,'LP Reactivos'!CZ631,'LP Reactivos'!DE631,'LP Reactivos'!DJ631,'LP Reactivos'!DO631,'LP Reactivos'!DT631,'LP Reactivos'!DY631,'LP Reactivos'!EB631)," ")</f>
        <v>4</v>
      </c>
    </row>
    <row r="632" spans="2:12" x14ac:dyDescent="0.25">
      <c r="B632" s="425">
        <v>630</v>
      </c>
      <c r="C632" s="426" t="s">
        <v>2732</v>
      </c>
      <c r="D632" s="429">
        <f>IFERROR(MIN('LP Reactivos'!F632,'LP Reactivos'!I632,'LP Reactivos'!N632,'LP Reactivos'!S632,'LP Reactivos'!X632,'LP Reactivos'!AC632,'LP Reactivos'!AH632,'LP Reactivos'!AM632,'LP Reactivos'!AR632,'LP Reactivos'!AW632,'LP Reactivos'!BB632,'LP Reactivos'!BG632,'LP Reactivos'!BL632,'LP Reactivos'!BQ632,'LP Reactivos'!BV632,'LP Reactivos'!CA632,'LP Reactivos'!CF632,'LP Reactivos'!CK632,'LP Reactivos'!CP632,'LP Reactivos'!CU632,'LP Reactivos'!CZ632,'LP Reactivos'!DE632,'LP Reactivos'!DJ632,'LP Reactivos'!DO632,'LP Reactivos'!DT632,'LP Reactivos'!DY632,'LP Reactivos'!EB632)," ")</f>
        <v>132090</v>
      </c>
      <c r="E632" s="429">
        <f>IFERROR(AVERAGE('LP Reactivos'!F632,'LP Reactivos'!I632,'LP Reactivos'!N632,'LP Reactivos'!S632,'LP Reactivos'!X632,'LP Reactivos'!AC632,'LP Reactivos'!AH632,'LP Reactivos'!AM632,'LP Reactivos'!AR632,'LP Reactivos'!AW632,'LP Reactivos'!BB632,'LP Reactivos'!BG632,'LP Reactivos'!BL632,'LP Reactivos'!BQ632,'LP Reactivos'!BV632,'LP Reactivos'!CA632,'LP Reactivos'!CF632,'LP Reactivos'!CK632,'LP Reactivos'!CP632,'LP Reactivos'!CU632,'LP Reactivos'!CZ632,'LP Reactivos'!DE632,'LP Reactivos'!DJ632,'LP Reactivos'!DO632,'LP Reactivos'!DT632,'LP Reactivos'!DY632,'LP Reactivos'!EB632)," ")</f>
        <v>212913.23560000001</v>
      </c>
      <c r="F632" s="345">
        <f>IFERROR(MEDIAN('LP Reactivos'!F632,'LP Reactivos'!I632,'LP Reactivos'!N632,'LP Reactivos'!S632,'LP Reactivos'!X632,'LP Reactivos'!AC632,'LP Reactivos'!AH632,'LP Reactivos'!AM632,'LP Reactivos'!AR632,'LP Reactivos'!AW632,'LP Reactivos'!BB632,'LP Reactivos'!BG632,'LP Reactivos'!BL632,'LP Reactivos'!BQ632,'LP Reactivos'!BV632,'LP Reactivos'!CA632,'LP Reactivos'!CF632,'LP Reactivos'!CK632,'LP Reactivos'!CP632,'LP Reactivos'!CU632,'LP Reactivos'!CZ632,'LP Reactivos'!DE632,'LP Reactivos'!DJ632,'LP Reactivos'!DO632,'LP Reactivos'!DT632,'LP Reactivos'!DY632,'LP Reactivos'!EB632)," ")</f>
        <v>193217</v>
      </c>
      <c r="G632" s="345">
        <f>IFERROR(GEOMEAN('LP Reactivos'!F632,'LP Reactivos'!I632,'LP Reactivos'!N632,'LP Reactivos'!S632,'LP Reactivos'!X632,'LP Reactivos'!AC632,'LP Reactivos'!AH632,'LP Reactivos'!AM632,'LP Reactivos'!AR632,'LP Reactivos'!AW632,'LP Reactivos'!BB632,'LP Reactivos'!BG632,'LP Reactivos'!BL632,'LP Reactivos'!BQ632,'LP Reactivos'!BV632,'LP Reactivos'!CA632,'LP Reactivos'!CF632,'LP Reactivos'!CK632,'LP Reactivos'!CP632,'LP Reactivos'!CU632,'LP Reactivos'!CZ632,'LP Reactivos'!DE632,'LP Reactivos'!DJ632,'LP Reactivos'!DO632,'LP Reactivos'!DT632,'LP Reactivos'!DY632,'LP Reactivos'!EB632)," ")</f>
        <v>200975.33301310413</v>
      </c>
      <c r="H632" s="345">
        <f t="shared" si="44"/>
        <v>36060.991842879266</v>
      </c>
      <c r="I632" s="346">
        <f t="shared" si="45"/>
        <v>0.16936942290721199</v>
      </c>
      <c r="J632" s="345">
        <f t="shared" si="46"/>
        <v>212913.23560000001</v>
      </c>
      <c r="K632" s="344" t="str">
        <f t="shared" si="47"/>
        <v>Promedio</v>
      </c>
      <c r="L632" s="326">
        <f>IFERROR(COUNTA('LP Reactivos'!F632,'LP Reactivos'!I632,'LP Reactivos'!N632,'LP Reactivos'!S632,'LP Reactivos'!X632,'LP Reactivos'!AC632,'LP Reactivos'!AH632,'LP Reactivos'!AM632,'LP Reactivos'!AR632,'LP Reactivos'!AW632,'LP Reactivos'!BB632,'LP Reactivos'!BG632,'LP Reactivos'!BL632,'LP Reactivos'!BQ632,'LP Reactivos'!BV632,'LP Reactivos'!CA632,'LP Reactivos'!CF632,'LP Reactivos'!CK632,'LP Reactivos'!CP632,'LP Reactivos'!CU632,'LP Reactivos'!CZ632,'LP Reactivos'!DE632,'LP Reactivos'!DJ632,'LP Reactivos'!DO632,'LP Reactivos'!DT632,'LP Reactivos'!DY632,'LP Reactivos'!EB632)," ")</f>
        <v>5</v>
      </c>
    </row>
    <row r="633" spans="2:12" ht="81" x14ac:dyDescent="0.25">
      <c r="B633" s="425">
        <v>631</v>
      </c>
      <c r="C633" s="427" t="s">
        <v>2736</v>
      </c>
      <c r="D633" s="429">
        <f>IFERROR(MIN('LP Reactivos'!F633,'LP Reactivos'!I633,'LP Reactivos'!N633,'LP Reactivos'!S633,'LP Reactivos'!X633,'LP Reactivos'!AC633,'LP Reactivos'!AH633,'LP Reactivos'!AM633,'LP Reactivos'!AR633,'LP Reactivos'!AW633,'LP Reactivos'!BB633,'LP Reactivos'!BG633,'LP Reactivos'!BL633,'LP Reactivos'!BQ633,'LP Reactivos'!BV633,'LP Reactivos'!CA633,'LP Reactivos'!CF633,'LP Reactivos'!CK633,'LP Reactivos'!CP633,'LP Reactivos'!CU633,'LP Reactivos'!CZ633,'LP Reactivos'!DE633,'LP Reactivos'!DJ633,'LP Reactivos'!DO633,'LP Reactivos'!DT633,'LP Reactivos'!DY633,'LP Reactivos'!EB633)," ")</f>
        <v>948430</v>
      </c>
      <c r="E633" s="429">
        <f>IFERROR(AVERAGE('LP Reactivos'!F633,'LP Reactivos'!I633,'LP Reactivos'!N633,'LP Reactivos'!S633,'LP Reactivos'!X633,'LP Reactivos'!AC633,'LP Reactivos'!AH633,'LP Reactivos'!AM633,'LP Reactivos'!AR633,'LP Reactivos'!AW633,'LP Reactivos'!BB633,'LP Reactivos'!BG633,'LP Reactivos'!BL633,'LP Reactivos'!BQ633,'LP Reactivos'!BV633,'LP Reactivos'!CA633,'LP Reactivos'!CF633,'LP Reactivos'!CK633,'LP Reactivos'!CP633,'LP Reactivos'!CU633,'LP Reactivos'!CZ633,'LP Reactivos'!DE633,'LP Reactivos'!DJ633,'LP Reactivos'!DO633,'LP Reactivos'!DT633,'LP Reactivos'!DY633,'LP Reactivos'!EB633)," ")</f>
        <v>948430</v>
      </c>
      <c r="F633" s="345">
        <f>IFERROR(MEDIAN('LP Reactivos'!F633,'LP Reactivos'!I633,'LP Reactivos'!N633,'LP Reactivos'!S633,'LP Reactivos'!X633,'LP Reactivos'!AC633,'LP Reactivos'!AH633,'LP Reactivos'!AM633,'LP Reactivos'!AR633,'LP Reactivos'!AW633,'LP Reactivos'!BB633,'LP Reactivos'!BG633,'LP Reactivos'!BL633,'LP Reactivos'!BQ633,'LP Reactivos'!BV633,'LP Reactivos'!CA633,'LP Reactivos'!CF633,'LP Reactivos'!CK633,'LP Reactivos'!CP633,'LP Reactivos'!CU633,'LP Reactivos'!CZ633,'LP Reactivos'!DE633,'LP Reactivos'!DJ633,'LP Reactivos'!DO633,'LP Reactivos'!DT633,'LP Reactivos'!DY633,'LP Reactivos'!EB633)," ")</f>
        <v>948430</v>
      </c>
      <c r="G633" s="345">
        <f>IFERROR(GEOMEAN('LP Reactivos'!F633,'LP Reactivos'!I633,'LP Reactivos'!N633,'LP Reactivos'!S633,'LP Reactivos'!X633,'LP Reactivos'!AC633,'LP Reactivos'!AH633,'LP Reactivos'!AM633,'LP Reactivos'!AR633,'LP Reactivos'!AW633,'LP Reactivos'!BB633,'LP Reactivos'!BG633,'LP Reactivos'!BL633,'LP Reactivos'!BQ633,'LP Reactivos'!BV633,'LP Reactivos'!CA633,'LP Reactivos'!CF633,'LP Reactivos'!CK633,'LP Reactivos'!CP633,'LP Reactivos'!CU633,'LP Reactivos'!CZ633,'LP Reactivos'!DE633,'LP Reactivos'!DJ633,'LP Reactivos'!DO633,'LP Reactivos'!DT633,'LP Reactivos'!DY633,'LP Reactivos'!EB633)," ")</f>
        <v>948430</v>
      </c>
      <c r="H633" s="345">
        <f t="shared" si="44"/>
        <v>0</v>
      </c>
      <c r="I633" s="346">
        <f t="shared" si="45"/>
        <v>0</v>
      </c>
      <c r="J633" s="345">
        <f t="shared" si="46"/>
        <v>948430</v>
      </c>
      <c r="K633" s="344" t="str">
        <f t="shared" si="47"/>
        <v>Menor Valor</v>
      </c>
      <c r="L633" s="326">
        <f>IFERROR(COUNTA('LP Reactivos'!F633,'LP Reactivos'!I633,'LP Reactivos'!N633,'LP Reactivos'!S633,'LP Reactivos'!X633,'LP Reactivos'!AC633,'LP Reactivos'!AH633,'LP Reactivos'!AM633,'LP Reactivos'!AR633,'LP Reactivos'!AW633,'LP Reactivos'!BB633,'LP Reactivos'!BG633,'LP Reactivos'!BL633,'LP Reactivos'!BQ633,'LP Reactivos'!BV633,'LP Reactivos'!CA633,'LP Reactivos'!CF633,'LP Reactivos'!CK633,'LP Reactivos'!CP633,'LP Reactivos'!CU633,'LP Reactivos'!CZ633,'LP Reactivos'!DE633,'LP Reactivos'!DJ633,'LP Reactivos'!DO633,'LP Reactivos'!DT633,'LP Reactivos'!DY633,'LP Reactivos'!EB633)," ")</f>
        <v>1</v>
      </c>
    </row>
    <row r="634" spans="2:12" x14ac:dyDescent="0.25">
      <c r="B634" s="425">
        <v>632</v>
      </c>
      <c r="C634" s="427" t="s">
        <v>2740</v>
      </c>
      <c r="D634" s="429">
        <f>IFERROR(MIN('LP Reactivos'!F634,'LP Reactivos'!I634,'LP Reactivos'!N634,'LP Reactivos'!S634,'LP Reactivos'!X634,'LP Reactivos'!AC634,'LP Reactivos'!AH634,'LP Reactivos'!AM634,'LP Reactivos'!AR634,'LP Reactivos'!AW634,'LP Reactivos'!BB634,'LP Reactivos'!BG634,'LP Reactivos'!BL634,'LP Reactivos'!BQ634,'LP Reactivos'!BV634,'LP Reactivos'!CA634,'LP Reactivos'!CF634,'LP Reactivos'!CK634,'LP Reactivos'!CP634,'LP Reactivos'!CU634,'LP Reactivos'!CZ634,'LP Reactivos'!DE634,'LP Reactivos'!DJ634,'LP Reactivos'!DO634,'LP Reactivos'!DT634,'LP Reactivos'!DY634,'LP Reactivos'!EB634)," ")</f>
        <v>626535</v>
      </c>
      <c r="E634" s="429">
        <f>IFERROR(AVERAGE('LP Reactivos'!F634,'LP Reactivos'!I634,'LP Reactivos'!N634,'LP Reactivos'!S634,'LP Reactivos'!X634,'LP Reactivos'!AC634,'LP Reactivos'!AH634,'LP Reactivos'!AM634,'LP Reactivos'!AR634,'LP Reactivos'!AW634,'LP Reactivos'!BB634,'LP Reactivos'!BG634,'LP Reactivos'!BL634,'LP Reactivos'!BQ634,'LP Reactivos'!BV634,'LP Reactivos'!CA634,'LP Reactivos'!CF634,'LP Reactivos'!CK634,'LP Reactivos'!CP634,'LP Reactivos'!CU634,'LP Reactivos'!CZ634,'LP Reactivos'!DE634,'LP Reactivos'!DJ634,'LP Reactivos'!DO634,'LP Reactivos'!DT634,'LP Reactivos'!DY634,'LP Reactivos'!EB634)," ")</f>
        <v>856752.7333333334</v>
      </c>
      <c r="F634" s="345">
        <f>IFERROR(MEDIAN('LP Reactivos'!F634,'LP Reactivos'!I634,'LP Reactivos'!N634,'LP Reactivos'!S634,'LP Reactivos'!X634,'LP Reactivos'!AC634,'LP Reactivos'!AH634,'LP Reactivos'!AM634,'LP Reactivos'!AR634,'LP Reactivos'!AW634,'LP Reactivos'!BB634,'LP Reactivos'!BG634,'LP Reactivos'!BL634,'LP Reactivos'!BQ634,'LP Reactivos'!BV634,'LP Reactivos'!CA634,'LP Reactivos'!CF634,'LP Reactivos'!CK634,'LP Reactivos'!CP634,'LP Reactivos'!CU634,'LP Reactivos'!CZ634,'LP Reactivos'!DE634,'LP Reactivos'!DJ634,'LP Reactivos'!DO634,'LP Reactivos'!DT634,'LP Reactivos'!DY634,'LP Reactivos'!EB634)," ")</f>
        <v>935793.20000000007</v>
      </c>
      <c r="G634" s="345">
        <f>IFERROR(GEOMEAN('LP Reactivos'!F634,'LP Reactivos'!I634,'LP Reactivos'!N634,'LP Reactivos'!S634,'LP Reactivos'!X634,'LP Reactivos'!AC634,'LP Reactivos'!AH634,'LP Reactivos'!AM634,'LP Reactivos'!AR634,'LP Reactivos'!AW634,'LP Reactivos'!BB634,'LP Reactivos'!BG634,'LP Reactivos'!BL634,'LP Reactivos'!BQ634,'LP Reactivos'!BV634,'LP Reactivos'!CA634,'LP Reactivos'!CF634,'LP Reactivos'!CK634,'LP Reactivos'!CP634,'LP Reactivos'!CU634,'LP Reactivos'!CZ634,'LP Reactivos'!DE634,'LP Reactivos'!DJ634,'LP Reactivos'!DO634,'LP Reactivos'!DT634,'LP Reactivos'!DY634,'LP Reactivos'!EB634)," ")</f>
        <v>839173.7001981088</v>
      </c>
      <c r="H634" s="345">
        <f t="shared" si="44"/>
        <v>132208.10658110841</v>
      </c>
      <c r="I634" s="346">
        <f t="shared" si="45"/>
        <v>0.15431302572765848</v>
      </c>
      <c r="J634" s="345">
        <f t="shared" si="46"/>
        <v>856752.7333333334</v>
      </c>
      <c r="K634" s="344" t="str">
        <f t="shared" si="47"/>
        <v>Promedio</v>
      </c>
      <c r="L634" s="326">
        <f>IFERROR(COUNTA('LP Reactivos'!F634,'LP Reactivos'!I634,'LP Reactivos'!N634,'LP Reactivos'!S634,'LP Reactivos'!X634,'LP Reactivos'!AC634,'LP Reactivos'!AH634,'LP Reactivos'!AM634,'LP Reactivos'!AR634,'LP Reactivos'!AW634,'LP Reactivos'!BB634,'LP Reactivos'!BG634,'LP Reactivos'!BL634,'LP Reactivos'!BQ634,'LP Reactivos'!BV634,'LP Reactivos'!CA634,'LP Reactivos'!CF634,'LP Reactivos'!CK634,'LP Reactivos'!CP634,'LP Reactivos'!CU634,'LP Reactivos'!CZ634,'LP Reactivos'!DE634,'LP Reactivos'!DJ634,'LP Reactivos'!DO634,'LP Reactivos'!DT634,'LP Reactivos'!DY634,'LP Reactivos'!EB634)," ")</f>
        <v>3</v>
      </c>
    </row>
    <row r="635" spans="2:12" x14ac:dyDescent="0.25">
      <c r="B635" s="425">
        <v>633</v>
      </c>
      <c r="C635" s="428" t="s">
        <v>2747</v>
      </c>
      <c r="D635" s="429">
        <f>IFERROR(MIN('LP Reactivos'!F635,'LP Reactivos'!I635,'LP Reactivos'!N635,'LP Reactivos'!S635,'LP Reactivos'!X635,'LP Reactivos'!AC635,'LP Reactivos'!AH635,'LP Reactivos'!AM635,'LP Reactivos'!AR635,'LP Reactivos'!AW635,'LP Reactivos'!BB635,'LP Reactivos'!BG635,'LP Reactivos'!BL635,'LP Reactivos'!BQ635,'LP Reactivos'!BV635,'LP Reactivos'!CA635,'LP Reactivos'!CF635,'LP Reactivos'!CK635,'LP Reactivos'!CP635,'LP Reactivos'!CU635,'LP Reactivos'!CZ635,'LP Reactivos'!DE635,'LP Reactivos'!DJ635,'LP Reactivos'!DO635,'LP Reactivos'!DT635,'LP Reactivos'!DY635,'LP Reactivos'!EB635)," ")</f>
        <v>821066</v>
      </c>
      <c r="E635" s="429">
        <f>IFERROR(AVERAGE('LP Reactivos'!F635,'LP Reactivos'!I635,'LP Reactivos'!N635,'LP Reactivos'!S635,'LP Reactivos'!X635,'LP Reactivos'!AC635,'LP Reactivos'!AH635,'LP Reactivos'!AM635,'LP Reactivos'!AR635,'LP Reactivos'!AW635,'LP Reactivos'!BB635,'LP Reactivos'!BG635,'LP Reactivos'!BL635,'LP Reactivos'!BQ635,'LP Reactivos'!BV635,'LP Reactivos'!CA635,'LP Reactivos'!CF635,'LP Reactivos'!CK635,'LP Reactivos'!CP635,'LP Reactivos'!CU635,'LP Reactivos'!CZ635,'LP Reactivos'!DE635,'LP Reactivos'!DJ635,'LP Reactivos'!DO635,'LP Reactivos'!DT635,'LP Reactivos'!DY635,'LP Reactivos'!EB635)," ")</f>
        <v>821066</v>
      </c>
      <c r="F635" s="345">
        <f>IFERROR(MEDIAN('LP Reactivos'!F635,'LP Reactivos'!I635,'LP Reactivos'!N635,'LP Reactivos'!S635,'LP Reactivos'!X635,'LP Reactivos'!AC635,'LP Reactivos'!AH635,'LP Reactivos'!AM635,'LP Reactivos'!AR635,'LP Reactivos'!AW635,'LP Reactivos'!BB635,'LP Reactivos'!BG635,'LP Reactivos'!BL635,'LP Reactivos'!BQ635,'LP Reactivos'!BV635,'LP Reactivos'!CA635,'LP Reactivos'!CF635,'LP Reactivos'!CK635,'LP Reactivos'!CP635,'LP Reactivos'!CU635,'LP Reactivos'!CZ635,'LP Reactivos'!DE635,'LP Reactivos'!DJ635,'LP Reactivos'!DO635,'LP Reactivos'!DT635,'LP Reactivos'!DY635,'LP Reactivos'!EB635)," ")</f>
        <v>821066</v>
      </c>
      <c r="G635" s="345">
        <f>IFERROR(GEOMEAN('LP Reactivos'!F635,'LP Reactivos'!I635,'LP Reactivos'!N635,'LP Reactivos'!S635,'LP Reactivos'!X635,'LP Reactivos'!AC635,'LP Reactivos'!AH635,'LP Reactivos'!AM635,'LP Reactivos'!AR635,'LP Reactivos'!AW635,'LP Reactivos'!BB635,'LP Reactivos'!BG635,'LP Reactivos'!BL635,'LP Reactivos'!BQ635,'LP Reactivos'!BV635,'LP Reactivos'!CA635,'LP Reactivos'!CF635,'LP Reactivos'!CK635,'LP Reactivos'!CP635,'LP Reactivos'!CU635,'LP Reactivos'!CZ635,'LP Reactivos'!DE635,'LP Reactivos'!DJ635,'LP Reactivos'!DO635,'LP Reactivos'!DT635,'LP Reactivos'!DY635,'LP Reactivos'!EB635)," ")</f>
        <v>821066</v>
      </c>
      <c r="H635" s="345">
        <f t="shared" si="44"/>
        <v>0</v>
      </c>
      <c r="I635" s="346">
        <f t="shared" si="45"/>
        <v>0</v>
      </c>
      <c r="J635" s="345">
        <f t="shared" si="46"/>
        <v>821066</v>
      </c>
      <c r="K635" s="344" t="str">
        <f t="shared" si="47"/>
        <v>Menor Valor</v>
      </c>
      <c r="L635" s="326">
        <f>IFERROR(COUNTA('LP Reactivos'!F635,'LP Reactivos'!I635,'LP Reactivos'!N635,'LP Reactivos'!S635,'LP Reactivos'!X635,'LP Reactivos'!AC635,'LP Reactivos'!AH635,'LP Reactivos'!AM635,'LP Reactivos'!AR635,'LP Reactivos'!AW635,'LP Reactivos'!BB635,'LP Reactivos'!BG635,'LP Reactivos'!BL635,'LP Reactivos'!BQ635,'LP Reactivos'!BV635,'LP Reactivos'!CA635,'LP Reactivos'!CF635,'LP Reactivos'!CK635,'LP Reactivos'!CP635,'LP Reactivos'!CU635,'LP Reactivos'!CZ635,'LP Reactivos'!DE635,'LP Reactivos'!DJ635,'LP Reactivos'!DO635,'LP Reactivos'!DT635,'LP Reactivos'!DY635,'LP Reactivos'!EB635)," ")</f>
        <v>1</v>
      </c>
    </row>
    <row r="636" spans="2:12" x14ac:dyDescent="0.25">
      <c r="B636" s="425">
        <v>634</v>
      </c>
      <c r="C636" s="427" t="s">
        <v>2749</v>
      </c>
      <c r="D636" s="429">
        <f>IFERROR(MIN('LP Reactivos'!F636,'LP Reactivos'!I636,'LP Reactivos'!N636,'LP Reactivos'!S636,'LP Reactivos'!X636,'LP Reactivos'!AC636,'LP Reactivos'!AH636,'LP Reactivos'!AM636,'LP Reactivos'!AR636,'LP Reactivos'!AW636,'LP Reactivos'!BB636,'LP Reactivos'!BG636,'LP Reactivos'!BL636,'LP Reactivos'!BQ636,'LP Reactivos'!BV636,'LP Reactivos'!CA636,'LP Reactivos'!CF636,'LP Reactivos'!CK636,'LP Reactivos'!CP636,'LP Reactivos'!CU636,'LP Reactivos'!CZ636,'LP Reactivos'!DE636,'LP Reactivos'!DJ636,'LP Reactivos'!DO636,'LP Reactivos'!DT636,'LP Reactivos'!DY636,'LP Reactivos'!EB636)," ")</f>
        <v>207060</v>
      </c>
      <c r="E636" s="429">
        <f>IFERROR(AVERAGE('LP Reactivos'!F636,'LP Reactivos'!I636,'LP Reactivos'!N636,'LP Reactivos'!S636,'LP Reactivos'!X636,'LP Reactivos'!AC636,'LP Reactivos'!AH636,'LP Reactivos'!AM636,'LP Reactivos'!AR636,'LP Reactivos'!AW636,'LP Reactivos'!BB636,'LP Reactivos'!BG636,'LP Reactivos'!BL636,'LP Reactivos'!BQ636,'LP Reactivos'!BV636,'LP Reactivos'!CA636,'LP Reactivos'!CF636,'LP Reactivos'!CK636,'LP Reactivos'!CP636,'LP Reactivos'!CU636,'LP Reactivos'!CZ636,'LP Reactivos'!DE636,'LP Reactivos'!DJ636,'LP Reactivos'!DO636,'LP Reactivos'!DT636,'LP Reactivos'!DY636,'LP Reactivos'!EB636)," ")</f>
        <v>302654.125</v>
      </c>
      <c r="F636" s="345">
        <f>IFERROR(MEDIAN('LP Reactivos'!F636,'LP Reactivos'!I636,'LP Reactivos'!N636,'LP Reactivos'!S636,'LP Reactivos'!X636,'LP Reactivos'!AC636,'LP Reactivos'!AH636,'LP Reactivos'!AM636,'LP Reactivos'!AR636,'LP Reactivos'!AW636,'LP Reactivos'!BB636,'LP Reactivos'!BG636,'LP Reactivos'!BL636,'LP Reactivos'!BQ636,'LP Reactivos'!BV636,'LP Reactivos'!CA636,'LP Reactivos'!CF636,'LP Reactivos'!CK636,'LP Reactivos'!CP636,'LP Reactivos'!CU636,'LP Reactivos'!CZ636,'LP Reactivos'!DE636,'LP Reactivos'!DJ636,'LP Reactivos'!DO636,'LP Reactivos'!DT636,'LP Reactivos'!DY636,'LP Reactivos'!EB636)," ")</f>
        <v>302453.25</v>
      </c>
      <c r="G636" s="345">
        <f>IFERROR(GEOMEAN('LP Reactivos'!F636,'LP Reactivos'!I636,'LP Reactivos'!N636,'LP Reactivos'!S636,'LP Reactivos'!X636,'LP Reactivos'!AC636,'LP Reactivos'!AH636,'LP Reactivos'!AM636,'LP Reactivos'!AR636,'LP Reactivos'!AW636,'LP Reactivos'!BB636,'LP Reactivos'!BG636,'LP Reactivos'!BL636,'LP Reactivos'!BQ636,'LP Reactivos'!BV636,'LP Reactivos'!CA636,'LP Reactivos'!CF636,'LP Reactivos'!CK636,'LP Reactivos'!CP636,'LP Reactivos'!CU636,'LP Reactivos'!CZ636,'LP Reactivos'!DE636,'LP Reactivos'!DJ636,'LP Reactivos'!DO636,'LP Reactivos'!DT636,'LP Reactivos'!DY636,'LP Reactivos'!EB636)," ")</f>
        <v>294670.51375718793</v>
      </c>
      <c r="H636" s="345">
        <f t="shared" si="44"/>
        <v>46581.523861884431</v>
      </c>
      <c r="I636" s="346">
        <f t="shared" si="45"/>
        <v>0.15391009080707038</v>
      </c>
      <c r="J636" s="345">
        <f t="shared" si="46"/>
        <v>302654.125</v>
      </c>
      <c r="K636" s="344" t="str">
        <f t="shared" si="47"/>
        <v>Promedio</v>
      </c>
      <c r="L636" s="326">
        <f>IFERROR(COUNTA('LP Reactivos'!F636,'LP Reactivos'!I636,'LP Reactivos'!N636,'LP Reactivos'!S636,'LP Reactivos'!X636,'LP Reactivos'!AC636,'LP Reactivos'!AH636,'LP Reactivos'!AM636,'LP Reactivos'!AR636,'LP Reactivos'!AW636,'LP Reactivos'!BB636,'LP Reactivos'!BG636,'LP Reactivos'!BL636,'LP Reactivos'!BQ636,'LP Reactivos'!BV636,'LP Reactivos'!CA636,'LP Reactivos'!CF636,'LP Reactivos'!CK636,'LP Reactivos'!CP636,'LP Reactivos'!CU636,'LP Reactivos'!CZ636,'LP Reactivos'!DE636,'LP Reactivos'!DJ636,'LP Reactivos'!DO636,'LP Reactivos'!DT636,'LP Reactivos'!DY636,'LP Reactivos'!EB636)," ")</f>
        <v>4</v>
      </c>
    </row>
    <row r="637" spans="2:12" x14ac:dyDescent="0.25">
      <c r="B637" s="425">
        <v>635</v>
      </c>
      <c r="C637" s="427" t="s">
        <v>2754</v>
      </c>
      <c r="D637" s="429">
        <f>IFERROR(MIN('LP Reactivos'!F637,'LP Reactivos'!I637,'LP Reactivos'!N637,'LP Reactivos'!S637,'LP Reactivos'!X637,'LP Reactivos'!AC637,'LP Reactivos'!AH637,'LP Reactivos'!AM637,'LP Reactivos'!AR637,'LP Reactivos'!AW637,'LP Reactivos'!BB637,'LP Reactivos'!BG637,'LP Reactivos'!BL637,'LP Reactivos'!BQ637,'LP Reactivos'!BV637,'LP Reactivos'!CA637,'LP Reactivos'!CF637,'LP Reactivos'!CK637,'LP Reactivos'!CP637,'LP Reactivos'!CU637,'LP Reactivos'!CZ637,'LP Reactivos'!DE637,'LP Reactivos'!DJ637,'LP Reactivos'!DO637,'LP Reactivos'!DT637,'LP Reactivos'!DY637,'LP Reactivos'!EB637)," ")</f>
        <v>1338214.5</v>
      </c>
      <c r="E637" s="429">
        <f>IFERROR(AVERAGE('LP Reactivos'!F637,'LP Reactivos'!I637,'LP Reactivos'!N637,'LP Reactivos'!S637,'LP Reactivos'!X637,'LP Reactivos'!AC637,'LP Reactivos'!AH637,'LP Reactivos'!AM637,'LP Reactivos'!AR637,'LP Reactivos'!AW637,'LP Reactivos'!BB637,'LP Reactivos'!BG637,'LP Reactivos'!BL637,'LP Reactivos'!BQ637,'LP Reactivos'!BV637,'LP Reactivos'!CA637,'LP Reactivos'!CF637,'LP Reactivos'!CK637,'LP Reactivos'!CP637,'LP Reactivos'!CU637,'LP Reactivos'!CZ637,'LP Reactivos'!DE637,'LP Reactivos'!DJ637,'LP Reactivos'!DO637,'LP Reactivos'!DT637,'LP Reactivos'!DY637,'LP Reactivos'!EB637)," ")</f>
        <v>1580343.8</v>
      </c>
      <c r="F637" s="345">
        <f>IFERROR(MEDIAN('LP Reactivos'!F637,'LP Reactivos'!I637,'LP Reactivos'!N637,'LP Reactivos'!S637,'LP Reactivos'!X637,'LP Reactivos'!AC637,'LP Reactivos'!AH637,'LP Reactivos'!AM637,'LP Reactivos'!AR637,'LP Reactivos'!AW637,'LP Reactivos'!BB637,'LP Reactivos'!BG637,'LP Reactivos'!BL637,'LP Reactivos'!BQ637,'LP Reactivos'!BV637,'LP Reactivos'!CA637,'LP Reactivos'!CF637,'LP Reactivos'!CK637,'LP Reactivos'!CP637,'LP Reactivos'!CU637,'LP Reactivos'!CZ637,'LP Reactivos'!DE637,'LP Reactivos'!DJ637,'LP Reactivos'!DO637,'LP Reactivos'!DT637,'LP Reactivos'!DY637,'LP Reactivos'!EB637)," ")</f>
        <v>1580343.8</v>
      </c>
      <c r="G637" s="345">
        <f>IFERROR(GEOMEAN('LP Reactivos'!F637,'LP Reactivos'!I637,'LP Reactivos'!N637,'LP Reactivos'!S637,'LP Reactivos'!X637,'LP Reactivos'!AC637,'LP Reactivos'!AH637,'LP Reactivos'!AM637,'LP Reactivos'!AR637,'LP Reactivos'!AW637,'LP Reactivos'!BB637,'LP Reactivos'!BG637,'LP Reactivos'!BL637,'LP Reactivos'!BQ637,'LP Reactivos'!BV637,'LP Reactivos'!CA637,'LP Reactivos'!CF637,'LP Reactivos'!CK637,'LP Reactivos'!CP637,'LP Reactivos'!CU637,'LP Reactivos'!CZ637,'LP Reactivos'!DE637,'LP Reactivos'!DJ637,'LP Reactivos'!DO637,'LP Reactivos'!DT637,'LP Reactivos'!DY637,'LP Reactivos'!EB637)," ")</f>
        <v>1561684.964479056</v>
      </c>
      <c r="H637" s="345">
        <f t="shared" si="44"/>
        <v>118282.34181308874</v>
      </c>
      <c r="I637" s="346">
        <f t="shared" si="45"/>
        <v>7.4845955552892182E-2</v>
      </c>
      <c r="J637" s="345">
        <f t="shared" si="46"/>
        <v>1580343.8</v>
      </c>
      <c r="K637" s="344" t="str">
        <f t="shared" si="47"/>
        <v>Promedio</v>
      </c>
      <c r="L637" s="326">
        <f>IFERROR(COUNTA('LP Reactivos'!F637,'LP Reactivos'!I637,'LP Reactivos'!N637,'LP Reactivos'!S637,'LP Reactivos'!X637,'LP Reactivos'!AC637,'LP Reactivos'!AH637,'LP Reactivos'!AM637,'LP Reactivos'!AR637,'LP Reactivos'!AW637,'LP Reactivos'!BB637,'LP Reactivos'!BG637,'LP Reactivos'!BL637,'LP Reactivos'!BQ637,'LP Reactivos'!BV637,'LP Reactivos'!CA637,'LP Reactivos'!CF637,'LP Reactivos'!CK637,'LP Reactivos'!CP637,'LP Reactivos'!CU637,'LP Reactivos'!CZ637,'LP Reactivos'!DE637,'LP Reactivos'!DJ637,'LP Reactivos'!DO637,'LP Reactivos'!DT637,'LP Reactivos'!DY637,'LP Reactivos'!EB637)," ")</f>
        <v>2</v>
      </c>
    </row>
    <row r="638" spans="2:12" x14ac:dyDescent="0.25">
      <c r="B638" s="425">
        <v>636</v>
      </c>
      <c r="C638" s="427" t="s">
        <v>2757</v>
      </c>
      <c r="D638" s="429">
        <f>IFERROR(MIN('LP Reactivos'!F638,'LP Reactivos'!I638,'LP Reactivos'!N638,'LP Reactivos'!S638,'LP Reactivos'!X638,'LP Reactivos'!AC638,'LP Reactivos'!AH638,'LP Reactivos'!AM638,'LP Reactivos'!AR638,'LP Reactivos'!AW638,'LP Reactivos'!BB638,'LP Reactivos'!BG638,'LP Reactivos'!BL638,'LP Reactivos'!BQ638,'LP Reactivos'!BV638,'LP Reactivos'!CA638,'LP Reactivos'!CF638,'LP Reactivos'!CK638,'LP Reactivos'!CP638,'LP Reactivos'!CU638,'LP Reactivos'!CZ638,'LP Reactivos'!DE638,'LP Reactivos'!DJ638,'LP Reactivos'!DO638,'LP Reactivos'!DT638,'LP Reactivos'!DY638,'LP Reactivos'!EB638)," ")</f>
        <v>1801362.5</v>
      </c>
      <c r="E638" s="429">
        <f>IFERROR(AVERAGE('LP Reactivos'!F638,'LP Reactivos'!I638,'LP Reactivos'!N638,'LP Reactivos'!S638,'LP Reactivos'!X638,'LP Reactivos'!AC638,'LP Reactivos'!AH638,'LP Reactivos'!AM638,'LP Reactivos'!AR638,'LP Reactivos'!AW638,'LP Reactivos'!BB638,'LP Reactivos'!BG638,'LP Reactivos'!BL638,'LP Reactivos'!BQ638,'LP Reactivos'!BV638,'LP Reactivos'!CA638,'LP Reactivos'!CF638,'LP Reactivos'!CK638,'LP Reactivos'!CP638,'LP Reactivos'!CU638,'LP Reactivos'!CZ638,'LP Reactivos'!DE638,'LP Reactivos'!DJ638,'LP Reactivos'!DO638,'LP Reactivos'!DT638,'LP Reactivos'!DY638,'LP Reactivos'!EB638)," ")</f>
        <v>2754576.3</v>
      </c>
      <c r="F638" s="345">
        <f>IFERROR(MEDIAN('LP Reactivos'!F638,'LP Reactivos'!I638,'LP Reactivos'!N638,'LP Reactivos'!S638,'LP Reactivos'!X638,'LP Reactivos'!AC638,'LP Reactivos'!AH638,'LP Reactivos'!AM638,'LP Reactivos'!AR638,'LP Reactivos'!AW638,'LP Reactivos'!BB638,'LP Reactivos'!BG638,'LP Reactivos'!BL638,'LP Reactivos'!BQ638,'LP Reactivos'!BV638,'LP Reactivos'!CA638,'LP Reactivos'!CF638,'LP Reactivos'!CK638,'LP Reactivos'!CP638,'LP Reactivos'!CU638,'LP Reactivos'!CZ638,'LP Reactivos'!DE638,'LP Reactivos'!DJ638,'LP Reactivos'!DO638,'LP Reactivos'!DT638,'LP Reactivos'!DY638,'LP Reactivos'!EB638)," ")</f>
        <v>2754576.3</v>
      </c>
      <c r="G638" s="345">
        <f>IFERROR(GEOMEAN('LP Reactivos'!F638,'LP Reactivos'!I638,'LP Reactivos'!N638,'LP Reactivos'!S638,'LP Reactivos'!X638,'LP Reactivos'!AC638,'LP Reactivos'!AH638,'LP Reactivos'!AM638,'LP Reactivos'!AR638,'LP Reactivos'!AW638,'LP Reactivos'!BB638,'LP Reactivos'!BG638,'LP Reactivos'!BL638,'LP Reactivos'!BQ638,'LP Reactivos'!BV638,'LP Reactivos'!CA638,'LP Reactivos'!CF638,'LP Reactivos'!CK638,'LP Reactivos'!CP638,'LP Reactivos'!CU638,'LP Reactivos'!CZ638,'LP Reactivos'!DE638,'LP Reactivos'!DJ638,'LP Reactivos'!DO638,'LP Reactivos'!DT638,'LP Reactivos'!DY638,'LP Reactivos'!EB638)," ")</f>
        <v>2584390.4588918546</v>
      </c>
      <c r="H638" s="345">
        <f t="shared" si="44"/>
        <v>455365.45053163782</v>
      </c>
      <c r="I638" s="346">
        <f t="shared" si="45"/>
        <v>0.16531233879113744</v>
      </c>
      <c r="J638" s="345">
        <f t="shared" si="46"/>
        <v>2754576.3</v>
      </c>
      <c r="K638" s="344" t="str">
        <f t="shared" si="47"/>
        <v>Promedio</v>
      </c>
      <c r="L638" s="326">
        <f>IFERROR(COUNTA('LP Reactivos'!F638,'LP Reactivos'!I638,'LP Reactivos'!N638,'LP Reactivos'!S638,'LP Reactivos'!X638,'LP Reactivos'!AC638,'LP Reactivos'!AH638,'LP Reactivos'!AM638,'LP Reactivos'!AR638,'LP Reactivos'!AW638,'LP Reactivos'!BB638,'LP Reactivos'!BG638,'LP Reactivos'!BL638,'LP Reactivos'!BQ638,'LP Reactivos'!BV638,'LP Reactivos'!CA638,'LP Reactivos'!CF638,'LP Reactivos'!CK638,'LP Reactivos'!CP638,'LP Reactivos'!CU638,'LP Reactivos'!CZ638,'LP Reactivos'!DE638,'LP Reactivos'!DJ638,'LP Reactivos'!DO638,'LP Reactivos'!DT638,'LP Reactivos'!DY638,'LP Reactivos'!EB638)," ")</f>
        <v>2</v>
      </c>
    </row>
    <row r="639" spans="2:12" ht="40.5" x14ac:dyDescent="0.25">
      <c r="B639" s="425">
        <v>637</v>
      </c>
      <c r="C639" s="427" t="s">
        <v>2758</v>
      </c>
      <c r="D639" s="429">
        <f>IFERROR(MIN('LP Reactivos'!F639,'LP Reactivos'!I639,'LP Reactivos'!N639,'LP Reactivos'!S639,'LP Reactivos'!X639,'LP Reactivos'!AC639,'LP Reactivos'!AH639,'LP Reactivos'!AM639,'LP Reactivos'!AR639,'LP Reactivos'!AW639,'LP Reactivos'!BB639,'LP Reactivos'!BG639,'LP Reactivos'!BL639,'LP Reactivos'!BQ639,'LP Reactivos'!BV639,'LP Reactivos'!CA639,'LP Reactivos'!CF639,'LP Reactivos'!CK639,'LP Reactivos'!CP639,'LP Reactivos'!CU639,'LP Reactivos'!CZ639,'LP Reactivos'!DE639,'LP Reactivos'!DJ639,'LP Reactivos'!DO639,'LP Reactivos'!DT639,'LP Reactivos'!DY639,'LP Reactivos'!EB639)," ")</f>
        <v>216377.7</v>
      </c>
      <c r="E639" s="429">
        <f>IFERROR(AVERAGE('LP Reactivos'!F639,'LP Reactivos'!I639,'LP Reactivos'!N639,'LP Reactivos'!S639,'LP Reactivos'!X639,'LP Reactivos'!AC639,'LP Reactivos'!AH639,'LP Reactivos'!AM639,'LP Reactivos'!AR639,'LP Reactivos'!AW639,'LP Reactivos'!BB639,'LP Reactivos'!BG639,'LP Reactivos'!BL639,'LP Reactivos'!BQ639,'LP Reactivos'!BV639,'LP Reactivos'!CA639,'LP Reactivos'!CF639,'LP Reactivos'!CK639,'LP Reactivos'!CP639,'LP Reactivos'!CU639,'LP Reactivos'!CZ639,'LP Reactivos'!DE639,'LP Reactivos'!DJ639,'LP Reactivos'!DO639,'LP Reactivos'!DT639,'LP Reactivos'!DY639,'LP Reactivos'!EB639)," ")</f>
        <v>356870.88500000001</v>
      </c>
      <c r="F639" s="345">
        <f>IFERROR(MEDIAN('LP Reactivos'!F639,'LP Reactivos'!I639,'LP Reactivos'!N639,'LP Reactivos'!S639,'LP Reactivos'!X639,'LP Reactivos'!AC639,'LP Reactivos'!AH639,'LP Reactivos'!AM639,'LP Reactivos'!AR639,'LP Reactivos'!AW639,'LP Reactivos'!BB639,'LP Reactivos'!BG639,'LP Reactivos'!BL639,'LP Reactivos'!BQ639,'LP Reactivos'!BV639,'LP Reactivos'!CA639,'LP Reactivos'!CF639,'LP Reactivos'!CK639,'LP Reactivos'!CP639,'LP Reactivos'!CU639,'LP Reactivos'!CZ639,'LP Reactivos'!DE639,'LP Reactivos'!DJ639,'LP Reactivos'!DO639,'LP Reactivos'!DT639,'LP Reactivos'!DY639,'LP Reactivos'!EB639)," ")</f>
        <v>367552.92000000004</v>
      </c>
      <c r="G639" s="345">
        <f>IFERROR(GEOMEAN('LP Reactivos'!F639,'LP Reactivos'!I639,'LP Reactivos'!N639,'LP Reactivos'!S639,'LP Reactivos'!X639,'LP Reactivos'!AC639,'LP Reactivos'!AH639,'LP Reactivos'!AM639,'LP Reactivos'!AR639,'LP Reactivos'!AW639,'LP Reactivos'!BB639,'LP Reactivos'!BG639,'LP Reactivos'!BL639,'LP Reactivos'!BQ639,'LP Reactivos'!BV639,'LP Reactivos'!CA639,'LP Reactivos'!CF639,'LP Reactivos'!CK639,'LP Reactivos'!CP639,'LP Reactivos'!CU639,'LP Reactivos'!CZ639,'LP Reactivos'!DE639,'LP Reactivos'!DJ639,'LP Reactivos'!DO639,'LP Reactivos'!DT639,'LP Reactivos'!DY639,'LP Reactivos'!EB639)," ")</f>
        <v>343295.69748091587</v>
      </c>
      <c r="H639" s="345">
        <f t="shared" si="44"/>
        <v>70467.051810472694</v>
      </c>
      <c r="I639" s="346">
        <f t="shared" si="45"/>
        <v>0.19745811376703565</v>
      </c>
      <c r="J639" s="345">
        <f t="shared" si="46"/>
        <v>356870.88500000001</v>
      </c>
      <c r="K639" s="344" t="str">
        <f t="shared" si="47"/>
        <v>Promedio</v>
      </c>
      <c r="L639" s="326">
        <f>IFERROR(COUNTA('LP Reactivos'!F639,'LP Reactivos'!I639,'LP Reactivos'!N639,'LP Reactivos'!S639,'LP Reactivos'!X639,'LP Reactivos'!AC639,'LP Reactivos'!AH639,'LP Reactivos'!AM639,'LP Reactivos'!AR639,'LP Reactivos'!AW639,'LP Reactivos'!BB639,'LP Reactivos'!BG639,'LP Reactivos'!BL639,'LP Reactivos'!BQ639,'LP Reactivos'!BV639,'LP Reactivos'!CA639,'LP Reactivos'!CF639,'LP Reactivos'!CK639,'LP Reactivos'!CP639,'LP Reactivos'!CU639,'LP Reactivos'!CZ639,'LP Reactivos'!DE639,'LP Reactivos'!DJ639,'LP Reactivos'!DO639,'LP Reactivos'!DT639,'LP Reactivos'!DY639,'LP Reactivos'!EB639)," ")</f>
        <v>4</v>
      </c>
    </row>
    <row r="640" spans="2:12" x14ac:dyDescent="0.25">
      <c r="B640" s="425">
        <v>638</v>
      </c>
      <c r="C640" s="426" t="s">
        <v>2761</v>
      </c>
      <c r="D640" s="429">
        <f>IFERROR(MIN('LP Reactivos'!F640,'LP Reactivos'!I640,'LP Reactivos'!N640,'LP Reactivos'!S640,'LP Reactivos'!X640,'LP Reactivos'!AC640,'LP Reactivos'!AH640,'LP Reactivos'!AM640,'LP Reactivos'!AR640,'LP Reactivos'!AW640,'LP Reactivos'!BB640,'LP Reactivos'!BG640,'LP Reactivos'!BL640,'LP Reactivos'!BQ640,'LP Reactivos'!BV640,'LP Reactivos'!CA640,'LP Reactivos'!CF640,'LP Reactivos'!CK640,'LP Reactivos'!CP640,'LP Reactivos'!CU640,'LP Reactivos'!CZ640,'LP Reactivos'!DE640,'LP Reactivos'!DJ640,'LP Reactivos'!DO640,'LP Reactivos'!DT640,'LP Reactivos'!DY640,'LP Reactivos'!EB640)," ")</f>
        <v>467670</v>
      </c>
      <c r="E640" s="429">
        <f>IFERROR(AVERAGE('LP Reactivos'!F640,'LP Reactivos'!I640,'LP Reactivos'!N640,'LP Reactivos'!S640,'LP Reactivos'!X640,'LP Reactivos'!AC640,'LP Reactivos'!AH640,'LP Reactivos'!AM640,'LP Reactivos'!AR640,'LP Reactivos'!AW640,'LP Reactivos'!BB640,'LP Reactivos'!BG640,'LP Reactivos'!BL640,'LP Reactivos'!BQ640,'LP Reactivos'!BV640,'LP Reactivos'!CA640,'LP Reactivos'!CF640,'LP Reactivos'!CK640,'LP Reactivos'!CP640,'LP Reactivos'!CU640,'LP Reactivos'!CZ640,'LP Reactivos'!DE640,'LP Reactivos'!DJ640,'LP Reactivos'!DO640,'LP Reactivos'!DT640,'LP Reactivos'!DY640,'LP Reactivos'!EB640)," ")</f>
        <v>467670</v>
      </c>
      <c r="F640" s="345">
        <f>IFERROR(MEDIAN('LP Reactivos'!F640,'LP Reactivos'!I640,'LP Reactivos'!N640,'LP Reactivos'!S640,'LP Reactivos'!X640,'LP Reactivos'!AC640,'LP Reactivos'!AH640,'LP Reactivos'!AM640,'LP Reactivos'!AR640,'LP Reactivos'!AW640,'LP Reactivos'!BB640,'LP Reactivos'!BG640,'LP Reactivos'!BL640,'LP Reactivos'!BQ640,'LP Reactivos'!BV640,'LP Reactivos'!CA640,'LP Reactivos'!CF640,'LP Reactivos'!CK640,'LP Reactivos'!CP640,'LP Reactivos'!CU640,'LP Reactivos'!CZ640,'LP Reactivos'!DE640,'LP Reactivos'!DJ640,'LP Reactivos'!DO640,'LP Reactivos'!DT640,'LP Reactivos'!DY640,'LP Reactivos'!EB640)," ")</f>
        <v>467670</v>
      </c>
      <c r="G640" s="345">
        <f>IFERROR(GEOMEAN('LP Reactivos'!F640,'LP Reactivos'!I640,'LP Reactivos'!N640,'LP Reactivos'!S640,'LP Reactivos'!X640,'LP Reactivos'!AC640,'LP Reactivos'!AH640,'LP Reactivos'!AM640,'LP Reactivos'!AR640,'LP Reactivos'!AW640,'LP Reactivos'!BB640,'LP Reactivos'!BG640,'LP Reactivos'!BL640,'LP Reactivos'!BQ640,'LP Reactivos'!BV640,'LP Reactivos'!CA640,'LP Reactivos'!CF640,'LP Reactivos'!CK640,'LP Reactivos'!CP640,'LP Reactivos'!CU640,'LP Reactivos'!CZ640,'LP Reactivos'!DE640,'LP Reactivos'!DJ640,'LP Reactivos'!DO640,'LP Reactivos'!DT640,'LP Reactivos'!DY640,'LP Reactivos'!EB640)," ")</f>
        <v>467670</v>
      </c>
      <c r="H640" s="345">
        <f t="shared" si="44"/>
        <v>0</v>
      </c>
      <c r="I640" s="346">
        <f t="shared" si="45"/>
        <v>0</v>
      </c>
      <c r="J640" s="345">
        <f t="shared" si="46"/>
        <v>467670</v>
      </c>
      <c r="K640" s="344" t="str">
        <f t="shared" si="47"/>
        <v>Menor Valor</v>
      </c>
      <c r="L640" s="326">
        <f>IFERROR(COUNTA('LP Reactivos'!F640,'LP Reactivos'!I640,'LP Reactivos'!N640,'LP Reactivos'!S640,'LP Reactivos'!X640,'LP Reactivos'!AC640,'LP Reactivos'!AH640,'LP Reactivos'!AM640,'LP Reactivos'!AR640,'LP Reactivos'!AW640,'LP Reactivos'!BB640,'LP Reactivos'!BG640,'LP Reactivos'!BL640,'LP Reactivos'!BQ640,'LP Reactivos'!BV640,'LP Reactivos'!CA640,'LP Reactivos'!CF640,'LP Reactivos'!CK640,'LP Reactivos'!CP640,'LP Reactivos'!CU640,'LP Reactivos'!CZ640,'LP Reactivos'!DE640,'LP Reactivos'!DJ640,'LP Reactivos'!DO640,'LP Reactivos'!DT640,'LP Reactivos'!DY640,'LP Reactivos'!EB640)," ")</f>
        <v>1</v>
      </c>
    </row>
    <row r="641" spans="2:12" x14ac:dyDescent="0.25">
      <c r="B641" s="425">
        <v>639</v>
      </c>
      <c r="C641" s="427" t="s">
        <v>2764</v>
      </c>
      <c r="D641" s="429">
        <f>IFERROR(MIN('LP Reactivos'!F641,'LP Reactivos'!I641,'LP Reactivos'!N641,'LP Reactivos'!S641,'LP Reactivos'!X641,'LP Reactivos'!AC641,'LP Reactivos'!AH641,'LP Reactivos'!AM641,'LP Reactivos'!AR641,'LP Reactivos'!AW641,'LP Reactivos'!BB641,'LP Reactivos'!BG641,'LP Reactivos'!BL641,'LP Reactivos'!BQ641,'LP Reactivos'!BV641,'LP Reactivos'!CA641,'LP Reactivos'!CF641,'LP Reactivos'!CK641,'LP Reactivos'!CP641,'LP Reactivos'!CU641,'LP Reactivos'!CZ641,'LP Reactivos'!DE641,'LP Reactivos'!DJ641,'LP Reactivos'!DO641,'LP Reactivos'!DT641,'LP Reactivos'!DY641,'LP Reactivos'!EB641)," ")</f>
        <v>311339.7</v>
      </c>
      <c r="E641" s="429">
        <f>IFERROR(AVERAGE('LP Reactivos'!F641,'LP Reactivos'!I641,'LP Reactivos'!N641,'LP Reactivos'!S641,'LP Reactivos'!X641,'LP Reactivos'!AC641,'LP Reactivos'!AH641,'LP Reactivos'!AM641,'LP Reactivos'!AR641,'LP Reactivos'!AW641,'LP Reactivos'!BB641,'LP Reactivos'!BG641,'LP Reactivos'!BL641,'LP Reactivos'!BQ641,'LP Reactivos'!BV641,'LP Reactivos'!CA641,'LP Reactivos'!CF641,'LP Reactivos'!CK641,'LP Reactivos'!CP641,'LP Reactivos'!CU641,'LP Reactivos'!CZ641,'LP Reactivos'!DE641,'LP Reactivos'!DJ641,'LP Reactivos'!DO641,'LP Reactivos'!DT641,'LP Reactivos'!DY641,'LP Reactivos'!EB641)," ")</f>
        <v>563801.17500000005</v>
      </c>
      <c r="F641" s="345">
        <f>IFERROR(MEDIAN('LP Reactivos'!F641,'LP Reactivos'!I641,'LP Reactivos'!N641,'LP Reactivos'!S641,'LP Reactivos'!X641,'LP Reactivos'!AC641,'LP Reactivos'!AH641,'LP Reactivos'!AM641,'LP Reactivos'!AR641,'LP Reactivos'!AW641,'LP Reactivos'!BB641,'LP Reactivos'!BG641,'LP Reactivos'!BL641,'LP Reactivos'!BQ641,'LP Reactivos'!BV641,'LP Reactivos'!CA641,'LP Reactivos'!CF641,'LP Reactivos'!CK641,'LP Reactivos'!CP641,'LP Reactivos'!CU641,'LP Reactivos'!CZ641,'LP Reactivos'!DE641,'LP Reactivos'!DJ641,'LP Reactivos'!DO641,'LP Reactivos'!DT641,'LP Reactivos'!DY641,'LP Reactivos'!EB641)," ")</f>
        <v>582802.5</v>
      </c>
      <c r="G641" s="345">
        <f>IFERROR(GEOMEAN('LP Reactivos'!F641,'LP Reactivos'!I641,'LP Reactivos'!N641,'LP Reactivos'!S641,'LP Reactivos'!X641,'LP Reactivos'!AC641,'LP Reactivos'!AH641,'LP Reactivos'!AM641,'LP Reactivos'!AR641,'LP Reactivos'!AW641,'LP Reactivos'!BB641,'LP Reactivos'!BG641,'LP Reactivos'!BL641,'LP Reactivos'!BQ641,'LP Reactivos'!BV641,'LP Reactivos'!CA641,'LP Reactivos'!CF641,'LP Reactivos'!CK641,'LP Reactivos'!CP641,'LP Reactivos'!CU641,'LP Reactivos'!CZ641,'LP Reactivos'!DE641,'LP Reactivos'!DJ641,'LP Reactivos'!DO641,'LP Reactivos'!DT641,'LP Reactivos'!DY641,'LP Reactivos'!EB641)," ")</f>
        <v>535197.22607398976</v>
      </c>
      <c r="H641" s="345">
        <f t="shared" si="44"/>
        <v>126156.82650127419</v>
      </c>
      <c r="I641" s="346">
        <f t="shared" si="45"/>
        <v>0.22376119826510504</v>
      </c>
      <c r="J641" s="345">
        <f t="shared" si="46"/>
        <v>535197.22607398976</v>
      </c>
      <c r="K641" s="344" t="str">
        <f t="shared" si="47"/>
        <v>Media Geométrica</v>
      </c>
      <c r="L641" s="326">
        <f>IFERROR(COUNTA('LP Reactivos'!F641,'LP Reactivos'!I641,'LP Reactivos'!N641,'LP Reactivos'!S641,'LP Reactivos'!X641,'LP Reactivos'!AC641,'LP Reactivos'!AH641,'LP Reactivos'!AM641,'LP Reactivos'!AR641,'LP Reactivos'!AW641,'LP Reactivos'!BB641,'LP Reactivos'!BG641,'LP Reactivos'!BL641,'LP Reactivos'!BQ641,'LP Reactivos'!BV641,'LP Reactivos'!CA641,'LP Reactivos'!CF641,'LP Reactivos'!CK641,'LP Reactivos'!CP641,'LP Reactivos'!CU641,'LP Reactivos'!CZ641,'LP Reactivos'!DE641,'LP Reactivos'!DJ641,'LP Reactivos'!DO641,'LP Reactivos'!DT641,'LP Reactivos'!DY641,'LP Reactivos'!EB641)," ")</f>
        <v>4</v>
      </c>
    </row>
    <row r="642" spans="2:12" ht="40.5" customHeight="1" x14ac:dyDescent="0.25">
      <c r="B642" s="425">
        <v>640</v>
      </c>
      <c r="C642" s="426" t="s">
        <v>2768</v>
      </c>
      <c r="D642" s="429">
        <f>IFERROR(MIN('LP Reactivos'!F642,'LP Reactivos'!I642,'LP Reactivos'!N642,'LP Reactivos'!S642,'LP Reactivos'!X642,'LP Reactivos'!AC642,'LP Reactivos'!AH642,'LP Reactivos'!AM642,'LP Reactivos'!AR642,'LP Reactivos'!AW642,'LP Reactivos'!BB642,'LP Reactivos'!BG642,'LP Reactivos'!BL642,'LP Reactivos'!BQ642,'LP Reactivos'!BV642,'LP Reactivos'!CA642,'LP Reactivos'!CF642,'LP Reactivos'!CK642,'LP Reactivos'!CP642,'LP Reactivos'!CU642,'LP Reactivos'!CZ642,'LP Reactivos'!DE642,'LP Reactivos'!DJ642,'LP Reactivos'!DO642,'LP Reactivos'!DT642,'LP Reactivos'!DY642,'LP Reactivos'!EB642)," ")</f>
        <v>3050000</v>
      </c>
      <c r="E642" s="429">
        <f>IFERROR(AVERAGE('LP Reactivos'!F642,'LP Reactivos'!I642,'LP Reactivos'!N642,'LP Reactivos'!S642,'LP Reactivos'!X642,'LP Reactivos'!AC642,'LP Reactivos'!AH642,'LP Reactivos'!AM642,'LP Reactivos'!AR642,'LP Reactivos'!AW642,'LP Reactivos'!BB642,'LP Reactivos'!BG642,'LP Reactivos'!BL642,'LP Reactivos'!BQ642,'LP Reactivos'!BV642,'LP Reactivos'!CA642,'LP Reactivos'!CF642,'LP Reactivos'!CK642,'LP Reactivos'!CP642,'LP Reactivos'!CU642,'LP Reactivos'!CZ642,'LP Reactivos'!DE642,'LP Reactivos'!DJ642,'LP Reactivos'!DO642,'LP Reactivos'!DT642,'LP Reactivos'!DY642,'LP Reactivos'!EB642)," ")</f>
        <v>3050000</v>
      </c>
      <c r="F642" s="345">
        <f>IFERROR(MEDIAN('LP Reactivos'!F642,'LP Reactivos'!I642,'LP Reactivos'!N642,'LP Reactivos'!S642,'LP Reactivos'!X642,'LP Reactivos'!AC642,'LP Reactivos'!AH642,'LP Reactivos'!AM642,'LP Reactivos'!AR642,'LP Reactivos'!AW642,'LP Reactivos'!BB642,'LP Reactivos'!BG642,'LP Reactivos'!BL642,'LP Reactivos'!BQ642,'LP Reactivos'!BV642,'LP Reactivos'!CA642,'LP Reactivos'!CF642,'LP Reactivos'!CK642,'LP Reactivos'!CP642,'LP Reactivos'!CU642,'LP Reactivos'!CZ642,'LP Reactivos'!DE642,'LP Reactivos'!DJ642,'LP Reactivos'!DO642,'LP Reactivos'!DT642,'LP Reactivos'!DY642,'LP Reactivos'!EB642)," ")</f>
        <v>3050000</v>
      </c>
      <c r="G642" s="345">
        <f>IFERROR(GEOMEAN('LP Reactivos'!F642,'LP Reactivos'!I642,'LP Reactivos'!N642,'LP Reactivos'!S642,'LP Reactivos'!X642,'LP Reactivos'!AC642,'LP Reactivos'!AH642,'LP Reactivos'!AM642,'LP Reactivos'!AR642,'LP Reactivos'!AW642,'LP Reactivos'!BB642,'LP Reactivos'!BG642,'LP Reactivos'!BL642,'LP Reactivos'!BQ642,'LP Reactivos'!BV642,'LP Reactivos'!CA642,'LP Reactivos'!CF642,'LP Reactivos'!CK642,'LP Reactivos'!CP642,'LP Reactivos'!CU642,'LP Reactivos'!CZ642,'LP Reactivos'!DE642,'LP Reactivos'!DJ642,'LP Reactivos'!DO642,'LP Reactivos'!DT642,'LP Reactivos'!DY642,'LP Reactivos'!EB642)," ")</f>
        <v>3050000</v>
      </c>
      <c r="H642" s="345">
        <f t="shared" si="44"/>
        <v>0</v>
      </c>
      <c r="I642" s="346">
        <f t="shared" si="45"/>
        <v>0</v>
      </c>
      <c r="J642" s="345">
        <f t="shared" si="46"/>
        <v>3050000</v>
      </c>
      <c r="K642" s="344" t="str">
        <f t="shared" si="47"/>
        <v>Menor Valor</v>
      </c>
      <c r="L642" s="326">
        <f>IFERROR(COUNTA('LP Reactivos'!F642,'LP Reactivos'!I642,'LP Reactivos'!N642,'LP Reactivos'!S642,'LP Reactivos'!X642,'LP Reactivos'!AC642,'LP Reactivos'!AH642,'LP Reactivos'!AM642,'LP Reactivos'!AR642,'LP Reactivos'!AW642,'LP Reactivos'!BB642,'LP Reactivos'!BG642,'LP Reactivos'!BL642,'LP Reactivos'!BQ642,'LP Reactivos'!BV642,'LP Reactivos'!CA642,'LP Reactivos'!CF642,'LP Reactivos'!CK642,'LP Reactivos'!CP642,'LP Reactivos'!CU642,'LP Reactivos'!CZ642,'LP Reactivos'!DE642,'LP Reactivos'!DJ642,'LP Reactivos'!DO642,'LP Reactivos'!DT642,'LP Reactivos'!DY642,'LP Reactivos'!EB642)," ")</f>
        <v>1</v>
      </c>
    </row>
    <row r="643" spans="2:12" ht="40.5" x14ac:dyDescent="0.25">
      <c r="B643" s="425">
        <v>641</v>
      </c>
      <c r="C643" s="426" t="s">
        <v>2772</v>
      </c>
      <c r="D643" s="429">
        <f>IFERROR(MIN('LP Reactivos'!F643,'LP Reactivos'!I643,'LP Reactivos'!N643,'LP Reactivos'!S643,'LP Reactivos'!X643,'LP Reactivos'!AC643,'LP Reactivos'!AH643,'LP Reactivos'!AM643,'LP Reactivos'!AR643,'LP Reactivos'!AW643,'LP Reactivos'!BB643,'LP Reactivos'!BG643,'LP Reactivos'!BL643,'LP Reactivos'!BQ643,'LP Reactivos'!BV643,'LP Reactivos'!CA643,'LP Reactivos'!CF643,'LP Reactivos'!CK643,'LP Reactivos'!CP643,'LP Reactivos'!CU643,'LP Reactivos'!CZ643,'LP Reactivos'!DE643,'LP Reactivos'!DJ643,'LP Reactivos'!DO643,'LP Reactivos'!DT643,'LP Reactivos'!DY643,'LP Reactivos'!EB643)," ")</f>
        <v>2104000</v>
      </c>
      <c r="E643" s="429">
        <f>IFERROR(AVERAGE('LP Reactivos'!F643,'LP Reactivos'!I643,'LP Reactivos'!N643,'LP Reactivos'!S643,'LP Reactivos'!X643,'LP Reactivos'!AC643,'LP Reactivos'!AH643,'LP Reactivos'!AM643,'LP Reactivos'!AR643,'LP Reactivos'!AW643,'LP Reactivos'!BB643,'LP Reactivos'!BG643,'LP Reactivos'!BL643,'LP Reactivos'!BQ643,'LP Reactivos'!BV643,'LP Reactivos'!CA643,'LP Reactivos'!CF643,'LP Reactivos'!CK643,'LP Reactivos'!CP643,'LP Reactivos'!CU643,'LP Reactivos'!CZ643,'LP Reactivos'!DE643,'LP Reactivos'!DJ643,'LP Reactivos'!DO643,'LP Reactivos'!DT643,'LP Reactivos'!DY643,'LP Reactivos'!EB643)," ")</f>
        <v>2104000</v>
      </c>
      <c r="F643" s="345">
        <f>IFERROR(MEDIAN('LP Reactivos'!F643,'LP Reactivos'!I643,'LP Reactivos'!N643,'LP Reactivos'!S643,'LP Reactivos'!X643,'LP Reactivos'!AC643,'LP Reactivos'!AH643,'LP Reactivos'!AM643,'LP Reactivos'!AR643,'LP Reactivos'!AW643,'LP Reactivos'!BB643,'LP Reactivos'!BG643,'LP Reactivos'!BL643,'LP Reactivos'!BQ643,'LP Reactivos'!BV643,'LP Reactivos'!CA643,'LP Reactivos'!CF643,'LP Reactivos'!CK643,'LP Reactivos'!CP643,'LP Reactivos'!CU643,'LP Reactivos'!CZ643,'LP Reactivos'!DE643,'LP Reactivos'!DJ643,'LP Reactivos'!DO643,'LP Reactivos'!DT643,'LP Reactivos'!DY643,'LP Reactivos'!EB643)," ")</f>
        <v>2104000</v>
      </c>
      <c r="G643" s="345">
        <f>IFERROR(GEOMEAN('LP Reactivos'!F643,'LP Reactivos'!I643,'LP Reactivos'!N643,'LP Reactivos'!S643,'LP Reactivos'!X643,'LP Reactivos'!AC643,'LP Reactivos'!AH643,'LP Reactivos'!AM643,'LP Reactivos'!AR643,'LP Reactivos'!AW643,'LP Reactivos'!BB643,'LP Reactivos'!BG643,'LP Reactivos'!BL643,'LP Reactivos'!BQ643,'LP Reactivos'!BV643,'LP Reactivos'!CA643,'LP Reactivos'!CF643,'LP Reactivos'!CK643,'LP Reactivos'!CP643,'LP Reactivos'!CU643,'LP Reactivos'!CZ643,'LP Reactivos'!DE643,'LP Reactivos'!DJ643,'LP Reactivos'!DO643,'LP Reactivos'!DT643,'LP Reactivos'!DY643,'LP Reactivos'!EB643)," ")</f>
        <v>2104000</v>
      </c>
      <c r="H643" s="345">
        <f t="shared" si="44"/>
        <v>0</v>
      </c>
      <c r="I643" s="346">
        <f t="shared" si="45"/>
        <v>0</v>
      </c>
      <c r="J643" s="345">
        <f t="shared" si="46"/>
        <v>2104000</v>
      </c>
      <c r="K643" s="344" t="str">
        <f t="shared" si="47"/>
        <v>Menor Valor</v>
      </c>
      <c r="L643" s="326">
        <f>IFERROR(COUNTA('LP Reactivos'!F643,'LP Reactivos'!I643,'LP Reactivos'!N643,'LP Reactivos'!S643,'LP Reactivos'!X643,'LP Reactivos'!AC643,'LP Reactivos'!AH643,'LP Reactivos'!AM643,'LP Reactivos'!AR643,'LP Reactivos'!AW643,'LP Reactivos'!BB643,'LP Reactivos'!BG643,'LP Reactivos'!BL643,'LP Reactivos'!BQ643,'LP Reactivos'!BV643,'LP Reactivos'!CA643,'LP Reactivos'!CF643,'LP Reactivos'!CK643,'LP Reactivos'!CP643,'LP Reactivos'!CU643,'LP Reactivos'!CZ643,'LP Reactivos'!DE643,'LP Reactivos'!DJ643,'LP Reactivos'!DO643,'LP Reactivos'!DT643,'LP Reactivos'!DY643,'LP Reactivos'!EB643)," ")</f>
        <v>1</v>
      </c>
    </row>
    <row r="644" spans="2:12" x14ac:dyDescent="0.25">
      <c r="B644" s="425">
        <v>642</v>
      </c>
      <c r="C644" s="427" t="s">
        <v>2776</v>
      </c>
      <c r="D644" s="429">
        <f>IFERROR(MIN('LP Reactivos'!F644,'LP Reactivos'!I644,'LP Reactivos'!N644,'LP Reactivos'!S644,'LP Reactivos'!X644,'LP Reactivos'!AC644,'LP Reactivos'!AH644,'LP Reactivos'!AM644,'LP Reactivos'!AR644,'LP Reactivos'!AW644,'LP Reactivos'!BB644,'LP Reactivos'!BG644,'LP Reactivos'!BL644,'LP Reactivos'!BQ644,'LP Reactivos'!BV644,'LP Reactivos'!CA644,'LP Reactivos'!CF644,'LP Reactivos'!CK644,'LP Reactivos'!CP644,'LP Reactivos'!CU644,'LP Reactivos'!CZ644,'LP Reactivos'!DE644,'LP Reactivos'!DJ644,'LP Reactivos'!DO644,'LP Reactivos'!DT644,'LP Reactivos'!DY644,'LP Reactivos'!EB644)," ")</f>
        <v>527888.76</v>
      </c>
      <c r="E644" s="429">
        <f>IFERROR(AVERAGE('LP Reactivos'!F644,'LP Reactivos'!I644,'LP Reactivos'!N644,'LP Reactivos'!S644,'LP Reactivos'!X644,'LP Reactivos'!AC644,'LP Reactivos'!AH644,'LP Reactivos'!AM644,'LP Reactivos'!AR644,'LP Reactivos'!AW644,'LP Reactivos'!BB644,'LP Reactivos'!BG644,'LP Reactivos'!BL644,'LP Reactivos'!BQ644,'LP Reactivos'!BV644,'LP Reactivos'!CA644,'LP Reactivos'!CF644,'LP Reactivos'!CK644,'LP Reactivos'!CP644,'LP Reactivos'!CU644,'LP Reactivos'!CZ644,'LP Reactivos'!DE644,'LP Reactivos'!DJ644,'LP Reactivos'!DO644,'LP Reactivos'!DT644,'LP Reactivos'!DY644,'LP Reactivos'!EB644)," ")</f>
        <v>527888.76</v>
      </c>
      <c r="F644" s="345">
        <f>IFERROR(MEDIAN('LP Reactivos'!F644,'LP Reactivos'!I644,'LP Reactivos'!N644,'LP Reactivos'!S644,'LP Reactivos'!X644,'LP Reactivos'!AC644,'LP Reactivos'!AH644,'LP Reactivos'!AM644,'LP Reactivos'!AR644,'LP Reactivos'!AW644,'LP Reactivos'!BB644,'LP Reactivos'!BG644,'LP Reactivos'!BL644,'LP Reactivos'!BQ644,'LP Reactivos'!BV644,'LP Reactivos'!CA644,'LP Reactivos'!CF644,'LP Reactivos'!CK644,'LP Reactivos'!CP644,'LP Reactivos'!CU644,'LP Reactivos'!CZ644,'LP Reactivos'!DE644,'LP Reactivos'!DJ644,'LP Reactivos'!DO644,'LP Reactivos'!DT644,'LP Reactivos'!DY644,'LP Reactivos'!EB644)," ")</f>
        <v>527888.76</v>
      </c>
      <c r="G644" s="345">
        <f>IFERROR(GEOMEAN('LP Reactivos'!F644,'LP Reactivos'!I644,'LP Reactivos'!N644,'LP Reactivos'!S644,'LP Reactivos'!X644,'LP Reactivos'!AC644,'LP Reactivos'!AH644,'LP Reactivos'!AM644,'LP Reactivos'!AR644,'LP Reactivos'!AW644,'LP Reactivos'!BB644,'LP Reactivos'!BG644,'LP Reactivos'!BL644,'LP Reactivos'!BQ644,'LP Reactivos'!BV644,'LP Reactivos'!CA644,'LP Reactivos'!CF644,'LP Reactivos'!CK644,'LP Reactivos'!CP644,'LP Reactivos'!CU644,'LP Reactivos'!CZ644,'LP Reactivos'!DE644,'LP Reactivos'!DJ644,'LP Reactivos'!DO644,'LP Reactivos'!DT644,'LP Reactivos'!DY644,'LP Reactivos'!EB644)," ")</f>
        <v>527888.76</v>
      </c>
      <c r="H644" s="345">
        <f t="shared" si="44"/>
        <v>0</v>
      </c>
      <c r="I644" s="346">
        <f t="shared" si="45"/>
        <v>0</v>
      </c>
      <c r="J644" s="345">
        <f t="shared" si="46"/>
        <v>527888.76</v>
      </c>
      <c r="K644" s="344" t="str">
        <f t="shared" si="47"/>
        <v>Menor Valor</v>
      </c>
      <c r="L644" s="326">
        <f>IFERROR(COUNTA('LP Reactivos'!F644,'LP Reactivos'!I644,'LP Reactivos'!N644,'LP Reactivos'!S644,'LP Reactivos'!X644,'LP Reactivos'!AC644,'LP Reactivos'!AH644,'LP Reactivos'!AM644,'LP Reactivos'!AR644,'LP Reactivos'!AW644,'LP Reactivos'!BB644,'LP Reactivos'!BG644,'LP Reactivos'!BL644,'LP Reactivos'!BQ644,'LP Reactivos'!BV644,'LP Reactivos'!CA644,'LP Reactivos'!CF644,'LP Reactivos'!CK644,'LP Reactivos'!CP644,'LP Reactivos'!CU644,'LP Reactivos'!CZ644,'LP Reactivos'!DE644,'LP Reactivos'!DJ644,'LP Reactivos'!DO644,'LP Reactivos'!DT644,'LP Reactivos'!DY644,'LP Reactivos'!EB644)," ")</f>
        <v>1</v>
      </c>
    </row>
    <row r="645" spans="2:12" ht="40.5" x14ac:dyDescent="0.25">
      <c r="B645" s="425">
        <v>643</v>
      </c>
      <c r="C645" s="427" t="s">
        <v>2778</v>
      </c>
      <c r="D645" s="429">
        <f>IFERROR(MIN('LP Reactivos'!F645,'LP Reactivos'!I645,'LP Reactivos'!N645,'LP Reactivos'!S645,'LP Reactivos'!X645,'LP Reactivos'!AC645,'LP Reactivos'!AH645,'LP Reactivos'!AM645,'LP Reactivos'!AR645,'LP Reactivos'!AW645,'LP Reactivos'!BB645,'LP Reactivos'!BG645,'LP Reactivos'!BL645,'LP Reactivos'!BQ645,'LP Reactivos'!BV645,'LP Reactivos'!CA645,'LP Reactivos'!CF645,'LP Reactivos'!CK645,'LP Reactivos'!CP645,'LP Reactivos'!CU645,'LP Reactivos'!CZ645,'LP Reactivos'!DE645,'LP Reactivos'!DJ645,'LP Reactivos'!DO645,'LP Reactivos'!DT645,'LP Reactivos'!DY645,'LP Reactivos'!EB645)," ")</f>
        <v>278833.63140000001</v>
      </c>
      <c r="E645" s="429">
        <f>IFERROR(AVERAGE('LP Reactivos'!F645,'LP Reactivos'!I645,'LP Reactivos'!N645,'LP Reactivos'!S645,'LP Reactivos'!X645,'LP Reactivos'!AC645,'LP Reactivos'!AH645,'LP Reactivos'!AM645,'LP Reactivos'!AR645,'LP Reactivos'!AW645,'LP Reactivos'!BB645,'LP Reactivos'!BG645,'LP Reactivos'!BL645,'LP Reactivos'!BQ645,'LP Reactivos'!BV645,'LP Reactivos'!CA645,'LP Reactivos'!CF645,'LP Reactivos'!CK645,'LP Reactivos'!CP645,'LP Reactivos'!CU645,'LP Reactivos'!CZ645,'LP Reactivos'!DE645,'LP Reactivos'!DJ645,'LP Reactivos'!DO645,'LP Reactivos'!DT645,'LP Reactivos'!DY645,'LP Reactivos'!EB645)," ")</f>
        <v>278833.63140000001</v>
      </c>
      <c r="F645" s="345">
        <f>IFERROR(MEDIAN('LP Reactivos'!F645,'LP Reactivos'!I645,'LP Reactivos'!N645,'LP Reactivos'!S645,'LP Reactivos'!X645,'LP Reactivos'!AC645,'LP Reactivos'!AH645,'LP Reactivos'!AM645,'LP Reactivos'!AR645,'LP Reactivos'!AW645,'LP Reactivos'!BB645,'LP Reactivos'!BG645,'LP Reactivos'!BL645,'LP Reactivos'!BQ645,'LP Reactivos'!BV645,'LP Reactivos'!CA645,'LP Reactivos'!CF645,'LP Reactivos'!CK645,'LP Reactivos'!CP645,'LP Reactivos'!CU645,'LP Reactivos'!CZ645,'LP Reactivos'!DE645,'LP Reactivos'!DJ645,'LP Reactivos'!DO645,'LP Reactivos'!DT645,'LP Reactivos'!DY645,'LP Reactivos'!EB645)," ")</f>
        <v>278833.63140000001</v>
      </c>
      <c r="G645" s="345">
        <f>IFERROR(GEOMEAN('LP Reactivos'!F645,'LP Reactivos'!I645,'LP Reactivos'!N645,'LP Reactivos'!S645,'LP Reactivos'!X645,'LP Reactivos'!AC645,'LP Reactivos'!AH645,'LP Reactivos'!AM645,'LP Reactivos'!AR645,'LP Reactivos'!AW645,'LP Reactivos'!BB645,'LP Reactivos'!BG645,'LP Reactivos'!BL645,'LP Reactivos'!BQ645,'LP Reactivos'!BV645,'LP Reactivos'!CA645,'LP Reactivos'!CF645,'LP Reactivos'!CK645,'LP Reactivos'!CP645,'LP Reactivos'!CU645,'LP Reactivos'!CZ645,'LP Reactivos'!DE645,'LP Reactivos'!DJ645,'LP Reactivos'!DO645,'LP Reactivos'!DT645,'LP Reactivos'!DY645,'LP Reactivos'!EB645)," ")</f>
        <v>278833.63140000001</v>
      </c>
      <c r="H645" s="345">
        <f t="shared" si="44"/>
        <v>0</v>
      </c>
      <c r="I645" s="346">
        <f t="shared" si="45"/>
        <v>0</v>
      </c>
      <c r="J645" s="345">
        <f t="shared" si="46"/>
        <v>278833.63140000001</v>
      </c>
      <c r="K645" s="344" t="str">
        <f t="shared" si="47"/>
        <v>Menor Valor</v>
      </c>
      <c r="L645" s="326">
        <f>IFERROR(COUNTA('LP Reactivos'!F645,'LP Reactivos'!I645,'LP Reactivos'!N645,'LP Reactivos'!S645,'LP Reactivos'!X645,'LP Reactivos'!AC645,'LP Reactivos'!AH645,'LP Reactivos'!AM645,'LP Reactivos'!AR645,'LP Reactivos'!AW645,'LP Reactivos'!BB645,'LP Reactivos'!BG645,'LP Reactivos'!BL645,'LP Reactivos'!BQ645,'LP Reactivos'!BV645,'LP Reactivos'!CA645,'LP Reactivos'!CF645,'LP Reactivos'!CK645,'LP Reactivos'!CP645,'LP Reactivos'!CU645,'LP Reactivos'!CZ645,'LP Reactivos'!DE645,'LP Reactivos'!DJ645,'LP Reactivos'!DO645,'LP Reactivos'!DT645,'LP Reactivos'!DY645,'LP Reactivos'!EB645)," ")</f>
        <v>1</v>
      </c>
    </row>
    <row r="646" spans="2:12" x14ac:dyDescent="0.25">
      <c r="B646" s="425">
        <v>644</v>
      </c>
      <c r="C646" s="427" t="s">
        <v>2780</v>
      </c>
      <c r="D646" s="429">
        <f>IFERROR(MIN('LP Reactivos'!F646,'LP Reactivos'!I646,'LP Reactivos'!N646,'LP Reactivos'!S646,'LP Reactivos'!X646,'LP Reactivos'!AC646,'LP Reactivos'!AH646,'LP Reactivos'!AM646,'LP Reactivos'!AR646,'LP Reactivos'!AW646,'LP Reactivos'!BB646,'LP Reactivos'!BG646,'LP Reactivos'!BL646,'LP Reactivos'!BQ646,'LP Reactivos'!BV646,'LP Reactivos'!CA646,'LP Reactivos'!CF646,'LP Reactivos'!CK646,'LP Reactivos'!CP646,'LP Reactivos'!CU646,'LP Reactivos'!CZ646,'LP Reactivos'!DE646,'LP Reactivos'!DJ646,'LP Reactivos'!DO646,'LP Reactivos'!DT646,'LP Reactivos'!DY646,'LP Reactivos'!EB646)," ")</f>
        <v>346898.32800000004</v>
      </c>
      <c r="E646" s="429">
        <f>IFERROR(AVERAGE('LP Reactivos'!F646,'LP Reactivos'!I646,'LP Reactivos'!N646,'LP Reactivos'!S646,'LP Reactivos'!X646,'LP Reactivos'!AC646,'LP Reactivos'!AH646,'LP Reactivos'!AM646,'LP Reactivos'!AR646,'LP Reactivos'!AW646,'LP Reactivos'!BB646,'LP Reactivos'!BG646,'LP Reactivos'!BL646,'LP Reactivos'!BQ646,'LP Reactivos'!BV646,'LP Reactivos'!CA646,'LP Reactivos'!CF646,'LP Reactivos'!CK646,'LP Reactivos'!CP646,'LP Reactivos'!CU646,'LP Reactivos'!CZ646,'LP Reactivos'!DE646,'LP Reactivos'!DJ646,'LP Reactivos'!DO646,'LP Reactivos'!DT646,'LP Reactivos'!DY646,'LP Reactivos'!EB646)," ")</f>
        <v>346898.32800000004</v>
      </c>
      <c r="F646" s="345">
        <f>IFERROR(MEDIAN('LP Reactivos'!F646,'LP Reactivos'!I646,'LP Reactivos'!N646,'LP Reactivos'!S646,'LP Reactivos'!X646,'LP Reactivos'!AC646,'LP Reactivos'!AH646,'LP Reactivos'!AM646,'LP Reactivos'!AR646,'LP Reactivos'!AW646,'LP Reactivos'!BB646,'LP Reactivos'!BG646,'LP Reactivos'!BL646,'LP Reactivos'!BQ646,'LP Reactivos'!BV646,'LP Reactivos'!CA646,'LP Reactivos'!CF646,'LP Reactivos'!CK646,'LP Reactivos'!CP646,'LP Reactivos'!CU646,'LP Reactivos'!CZ646,'LP Reactivos'!DE646,'LP Reactivos'!DJ646,'LP Reactivos'!DO646,'LP Reactivos'!DT646,'LP Reactivos'!DY646,'LP Reactivos'!EB646)," ")</f>
        <v>346898.32800000004</v>
      </c>
      <c r="G646" s="345">
        <f>IFERROR(GEOMEAN('LP Reactivos'!F646,'LP Reactivos'!I646,'LP Reactivos'!N646,'LP Reactivos'!S646,'LP Reactivos'!X646,'LP Reactivos'!AC646,'LP Reactivos'!AH646,'LP Reactivos'!AM646,'LP Reactivos'!AR646,'LP Reactivos'!AW646,'LP Reactivos'!BB646,'LP Reactivos'!BG646,'LP Reactivos'!BL646,'LP Reactivos'!BQ646,'LP Reactivos'!BV646,'LP Reactivos'!CA646,'LP Reactivos'!CF646,'LP Reactivos'!CK646,'LP Reactivos'!CP646,'LP Reactivos'!CU646,'LP Reactivos'!CZ646,'LP Reactivos'!DE646,'LP Reactivos'!DJ646,'LP Reactivos'!DO646,'LP Reactivos'!DT646,'LP Reactivos'!DY646,'LP Reactivos'!EB646)," ")</f>
        <v>346898.32800000004</v>
      </c>
      <c r="H646" s="345">
        <f t="shared" si="44"/>
        <v>0</v>
      </c>
      <c r="I646" s="346">
        <f t="shared" si="45"/>
        <v>0</v>
      </c>
      <c r="J646" s="345">
        <f t="shared" si="46"/>
        <v>346898.32800000004</v>
      </c>
      <c r="K646" s="344" t="str">
        <f t="shared" si="47"/>
        <v>Menor Valor</v>
      </c>
      <c r="L646" s="326">
        <f>IFERROR(COUNTA('LP Reactivos'!F646,'LP Reactivos'!I646,'LP Reactivos'!N646,'LP Reactivos'!S646,'LP Reactivos'!X646,'LP Reactivos'!AC646,'LP Reactivos'!AH646,'LP Reactivos'!AM646,'LP Reactivos'!AR646,'LP Reactivos'!AW646,'LP Reactivos'!BB646,'LP Reactivos'!BG646,'LP Reactivos'!BL646,'LP Reactivos'!BQ646,'LP Reactivos'!BV646,'LP Reactivos'!CA646,'LP Reactivos'!CF646,'LP Reactivos'!CK646,'LP Reactivos'!CP646,'LP Reactivos'!CU646,'LP Reactivos'!CZ646,'LP Reactivos'!DE646,'LP Reactivos'!DJ646,'LP Reactivos'!DO646,'LP Reactivos'!DT646,'LP Reactivos'!DY646,'LP Reactivos'!EB646)," ")</f>
        <v>1</v>
      </c>
    </row>
    <row r="647" spans="2:12" x14ac:dyDescent="0.25">
      <c r="B647" s="425">
        <v>645</v>
      </c>
      <c r="C647" s="427" t="s">
        <v>2782</v>
      </c>
      <c r="D647" s="429">
        <f>IFERROR(MIN('LP Reactivos'!F647,'LP Reactivos'!I647,'LP Reactivos'!N647,'LP Reactivos'!S647,'LP Reactivos'!X647,'LP Reactivos'!AC647,'LP Reactivos'!AH647,'LP Reactivos'!AM647,'LP Reactivos'!AR647,'LP Reactivos'!AW647,'LP Reactivos'!BB647,'LP Reactivos'!BG647,'LP Reactivos'!BL647,'LP Reactivos'!BQ647,'LP Reactivos'!BV647,'LP Reactivos'!CA647,'LP Reactivos'!CF647,'LP Reactivos'!CK647,'LP Reactivos'!CP647,'LP Reactivos'!CU647,'LP Reactivos'!CZ647,'LP Reactivos'!DE647,'LP Reactivos'!DJ647,'LP Reactivos'!DO647,'LP Reactivos'!DT647,'LP Reactivos'!DY647,'LP Reactivos'!EB647)," ")</f>
        <v>376273.36239999998</v>
      </c>
      <c r="E647" s="429">
        <f>IFERROR(AVERAGE('LP Reactivos'!F647,'LP Reactivos'!I647,'LP Reactivos'!N647,'LP Reactivos'!S647,'LP Reactivos'!X647,'LP Reactivos'!AC647,'LP Reactivos'!AH647,'LP Reactivos'!AM647,'LP Reactivos'!AR647,'LP Reactivos'!AW647,'LP Reactivos'!BB647,'LP Reactivos'!BG647,'LP Reactivos'!BL647,'LP Reactivos'!BQ647,'LP Reactivos'!BV647,'LP Reactivos'!CA647,'LP Reactivos'!CF647,'LP Reactivos'!CK647,'LP Reactivos'!CP647,'LP Reactivos'!CU647,'LP Reactivos'!CZ647,'LP Reactivos'!DE647,'LP Reactivos'!DJ647,'LP Reactivos'!DO647,'LP Reactivos'!DT647,'LP Reactivos'!DY647,'LP Reactivos'!EB647)," ")</f>
        <v>376273.36239999998</v>
      </c>
      <c r="F647" s="345">
        <f>IFERROR(MEDIAN('LP Reactivos'!F647,'LP Reactivos'!I647,'LP Reactivos'!N647,'LP Reactivos'!S647,'LP Reactivos'!X647,'LP Reactivos'!AC647,'LP Reactivos'!AH647,'LP Reactivos'!AM647,'LP Reactivos'!AR647,'LP Reactivos'!AW647,'LP Reactivos'!BB647,'LP Reactivos'!BG647,'LP Reactivos'!BL647,'LP Reactivos'!BQ647,'LP Reactivos'!BV647,'LP Reactivos'!CA647,'LP Reactivos'!CF647,'LP Reactivos'!CK647,'LP Reactivos'!CP647,'LP Reactivos'!CU647,'LP Reactivos'!CZ647,'LP Reactivos'!DE647,'LP Reactivos'!DJ647,'LP Reactivos'!DO647,'LP Reactivos'!DT647,'LP Reactivos'!DY647,'LP Reactivos'!EB647)," ")</f>
        <v>376273.36239999998</v>
      </c>
      <c r="G647" s="345">
        <f>IFERROR(GEOMEAN('LP Reactivos'!F647,'LP Reactivos'!I647,'LP Reactivos'!N647,'LP Reactivos'!S647,'LP Reactivos'!X647,'LP Reactivos'!AC647,'LP Reactivos'!AH647,'LP Reactivos'!AM647,'LP Reactivos'!AR647,'LP Reactivos'!AW647,'LP Reactivos'!BB647,'LP Reactivos'!BG647,'LP Reactivos'!BL647,'LP Reactivos'!BQ647,'LP Reactivos'!BV647,'LP Reactivos'!CA647,'LP Reactivos'!CF647,'LP Reactivos'!CK647,'LP Reactivos'!CP647,'LP Reactivos'!CU647,'LP Reactivos'!CZ647,'LP Reactivos'!DE647,'LP Reactivos'!DJ647,'LP Reactivos'!DO647,'LP Reactivos'!DT647,'LP Reactivos'!DY647,'LP Reactivos'!EB647)," ")</f>
        <v>376273.36239999998</v>
      </c>
      <c r="H647" s="345">
        <f t="shared" si="44"/>
        <v>0</v>
      </c>
      <c r="I647" s="346">
        <f t="shared" si="45"/>
        <v>0</v>
      </c>
      <c r="J647" s="345">
        <f t="shared" si="46"/>
        <v>376273.36239999998</v>
      </c>
      <c r="K647" s="344" t="str">
        <f t="shared" si="47"/>
        <v>Menor Valor</v>
      </c>
      <c r="L647" s="326">
        <f>IFERROR(COUNTA('LP Reactivos'!F647,'LP Reactivos'!I647,'LP Reactivos'!N647,'LP Reactivos'!S647,'LP Reactivos'!X647,'LP Reactivos'!AC647,'LP Reactivos'!AH647,'LP Reactivos'!AM647,'LP Reactivos'!AR647,'LP Reactivos'!AW647,'LP Reactivos'!BB647,'LP Reactivos'!BG647,'LP Reactivos'!BL647,'LP Reactivos'!BQ647,'LP Reactivos'!BV647,'LP Reactivos'!CA647,'LP Reactivos'!CF647,'LP Reactivos'!CK647,'LP Reactivos'!CP647,'LP Reactivos'!CU647,'LP Reactivos'!CZ647,'LP Reactivos'!DE647,'LP Reactivos'!DJ647,'LP Reactivos'!DO647,'LP Reactivos'!DT647,'LP Reactivos'!DY647,'LP Reactivos'!EB647)," ")</f>
        <v>1</v>
      </c>
    </row>
    <row r="648" spans="2:12" x14ac:dyDescent="0.25">
      <c r="B648" s="425">
        <v>646</v>
      </c>
      <c r="C648" s="427" t="s">
        <v>2783</v>
      </c>
      <c r="D648" s="429">
        <f>IFERROR(MIN('LP Reactivos'!F648,'LP Reactivos'!I648,'LP Reactivos'!N648,'LP Reactivos'!S648,'LP Reactivos'!X648,'LP Reactivos'!AC648,'LP Reactivos'!AH648,'LP Reactivos'!AM648,'LP Reactivos'!AR648,'LP Reactivos'!AW648,'LP Reactivos'!BB648,'LP Reactivos'!BG648,'LP Reactivos'!BL648,'LP Reactivos'!BQ648,'LP Reactivos'!BV648,'LP Reactivos'!CA648,'LP Reactivos'!CF648,'LP Reactivos'!CK648,'LP Reactivos'!CP648,'LP Reactivos'!CU648,'LP Reactivos'!CZ648,'LP Reactivos'!DE648,'LP Reactivos'!DJ648,'LP Reactivos'!DO648,'LP Reactivos'!DT648,'LP Reactivos'!DY648,'LP Reactivos'!EB648)," ")</f>
        <v>652319.68200000003</v>
      </c>
      <c r="E648" s="429">
        <f>IFERROR(AVERAGE('LP Reactivos'!F648,'LP Reactivos'!I648,'LP Reactivos'!N648,'LP Reactivos'!S648,'LP Reactivos'!X648,'LP Reactivos'!AC648,'LP Reactivos'!AH648,'LP Reactivos'!AM648,'LP Reactivos'!AR648,'LP Reactivos'!AW648,'LP Reactivos'!BB648,'LP Reactivos'!BG648,'LP Reactivos'!BL648,'LP Reactivos'!BQ648,'LP Reactivos'!BV648,'LP Reactivos'!CA648,'LP Reactivos'!CF648,'LP Reactivos'!CK648,'LP Reactivos'!CP648,'LP Reactivos'!CU648,'LP Reactivos'!CZ648,'LP Reactivos'!DE648,'LP Reactivos'!DJ648,'LP Reactivos'!DO648,'LP Reactivos'!DT648,'LP Reactivos'!DY648,'LP Reactivos'!EB648)," ")</f>
        <v>652319.68200000003</v>
      </c>
      <c r="F648" s="345">
        <f>IFERROR(MEDIAN('LP Reactivos'!F648,'LP Reactivos'!I648,'LP Reactivos'!N648,'LP Reactivos'!S648,'LP Reactivos'!X648,'LP Reactivos'!AC648,'LP Reactivos'!AH648,'LP Reactivos'!AM648,'LP Reactivos'!AR648,'LP Reactivos'!AW648,'LP Reactivos'!BB648,'LP Reactivos'!BG648,'LP Reactivos'!BL648,'LP Reactivos'!BQ648,'LP Reactivos'!BV648,'LP Reactivos'!CA648,'LP Reactivos'!CF648,'LP Reactivos'!CK648,'LP Reactivos'!CP648,'LP Reactivos'!CU648,'LP Reactivos'!CZ648,'LP Reactivos'!DE648,'LP Reactivos'!DJ648,'LP Reactivos'!DO648,'LP Reactivos'!DT648,'LP Reactivos'!DY648,'LP Reactivos'!EB648)," ")</f>
        <v>652319.68200000003</v>
      </c>
      <c r="G648" s="345">
        <f>IFERROR(GEOMEAN('LP Reactivos'!F648,'LP Reactivos'!I648,'LP Reactivos'!N648,'LP Reactivos'!S648,'LP Reactivos'!X648,'LP Reactivos'!AC648,'LP Reactivos'!AH648,'LP Reactivos'!AM648,'LP Reactivos'!AR648,'LP Reactivos'!AW648,'LP Reactivos'!BB648,'LP Reactivos'!BG648,'LP Reactivos'!BL648,'LP Reactivos'!BQ648,'LP Reactivos'!BV648,'LP Reactivos'!CA648,'LP Reactivos'!CF648,'LP Reactivos'!CK648,'LP Reactivos'!CP648,'LP Reactivos'!CU648,'LP Reactivos'!CZ648,'LP Reactivos'!DE648,'LP Reactivos'!DJ648,'LP Reactivos'!DO648,'LP Reactivos'!DT648,'LP Reactivos'!DY648,'LP Reactivos'!EB648)," ")</f>
        <v>652319.68200000003</v>
      </c>
      <c r="H648" s="345">
        <f t="shared" si="44"/>
        <v>0</v>
      </c>
      <c r="I648" s="346">
        <f t="shared" si="45"/>
        <v>0</v>
      </c>
      <c r="J648" s="345">
        <f t="shared" si="46"/>
        <v>652319.68200000003</v>
      </c>
      <c r="K648" s="344" t="str">
        <f t="shared" si="47"/>
        <v>Menor Valor</v>
      </c>
      <c r="L648" s="326">
        <f>IFERROR(COUNTA('LP Reactivos'!F648,'LP Reactivos'!I648,'LP Reactivos'!N648,'LP Reactivos'!S648,'LP Reactivos'!X648,'LP Reactivos'!AC648,'LP Reactivos'!AH648,'LP Reactivos'!AM648,'LP Reactivos'!AR648,'LP Reactivos'!AW648,'LP Reactivos'!BB648,'LP Reactivos'!BG648,'LP Reactivos'!BL648,'LP Reactivos'!BQ648,'LP Reactivos'!BV648,'LP Reactivos'!CA648,'LP Reactivos'!CF648,'LP Reactivos'!CK648,'LP Reactivos'!CP648,'LP Reactivos'!CU648,'LP Reactivos'!CZ648,'LP Reactivos'!DE648,'LP Reactivos'!DJ648,'LP Reactivos'!DO648,'LP Reactivos'!DT648,'LP Reactivos'!DY648,'LP Reactivos'!EB648)," ")</f>
        <v>1</v>
      </c>
    </row>
    <row r="649" spans="2:12" ht="79.5" customHeight="1" x14ac:dyDescent="0.25">
      <c r="B649" s="425">
        <v>647</v>
      </c>
      <c r="C649" s="427" t="s">
        <v>2784</v>
      </c>
      <c r="D649" s="429">
        <f>IFERROR(MIN('LP Reactivos'!F649,'LP Reactivos'!I649,'LP Reactivos'!N649,'LP Reactivos'!S649,'LP Reactivos'!X649,'LP Reactivos'!AC649,'LP Reactivos'!AH649,'LP Reactivos'!AM649,'LP Reactivos'!AR649,'LP Reactivos'!AW649,'LP Reactivos'!BB649,'LP Reactivos'!BG649,'LP Reactivos'!BL649,'LP Reactivos'!BQ649,'LP Reactivos'!BV649,'LP Reactivos'!CA649,'LP Reactivos'!CF649,'LP Reactivos'!CK649,'LP Reactivos'!CP649,'LP Reactivos'!CU649,'LP Reactivos'!CZ649,'LP Reactivos'!DE649,'LP Reactivos'!DJ649,'LP Reactivos'!DO649,'LP Reactivos'!DT649,'LP Reactivos'!DY649,'LP Reactivos'!EB649)," ")</f>
        <v>1263162.3900000001</v>
      </c>
      <c r="E649" s="429">
        <f>IFERROR(AVERAGE('LP Reactivos'!F649,'LP Reactivos'!I649,'LP Reactivos'!N649,'LP Reactivos'!S649,'LP Reactivos'!X649,'LP Reactivos'!AC649,'LP Reactivos'!AH649,'LP Reactivos'!AM649,'LP Reactivos'!AR649,'LP Reactivos'!AW649,'LP Reactivos'!BB649,'LP Reactivos'!BG649,'LP Reactivos'!BL649,'LP Reactivos'!BQ649,'LP Reactivos'!BV649,'LP Reactivos'!CA649,'LP Reactivos'!CF649,'LP Reactivos'!CK649,'LP Reactivos'!CP649,'LP Reactivos'!CU649,'LP Reactivos'!CZ649,'LP Reactivos'!DE649,'LP Reactivos'!DJ649,'LP Reactivos'!DO649,'LP Reactivos'!DT649,'LP Reactivos'!DY649,'LP Reactivos'!EB649)," ")</f>
        <v>1263162.3900000001</v>
      </c>
      <c r="F649" s="345">
        <f>IFERROR(MEDIAN('LP Reactivos'!F649,'LP Reactivos'!I649,'LP Reactivos'!N649,'LP Reactivos'!S649,'LP Reactivos'!X649,'LP Reactivos'!AC649,'LP Reactivos'!AH649,'LP Reactivos'!AM649,'LP Reactivos'!AR649,'LP Reactivos'!AW649,'LP Reactivos'!BB649,'LP Reactivos'!BG649,'LP Reactivos'!BL649,'LP Reactivos'!BQ649,'LP Reactivos'!BV649,'LP Reactivos'!CA649,'LP Reactivos'!CF649,'LP Reactivos'!CK649,'LP Reactivos'!CP649,'LP Reactivos'!CU649,'LP Reactivos'!CZ649,'LP Reactivos'!DE649,'LP Reactivos'!DJ649,'LP Reactivos'!DO649,'LP Reactivos'!DT649,'LP Reactivos'!DY649,'LP Reactivos'!EB649)," ")</f>
        <v>1263162.3900000001</v>
      </c>
      <c r="G649" s="345">
        <f>IFERROR(GEOMEAN('LP Reactivos'!F649,'LP Reactivos'!I649,'LP Reactivos'!N649,'LP Reactivos'!S649,'LP Reactivos'!X649,'LP Reactivos'!AC649,'LP Reactivos'!AH649,'LP Reactivos'!AM649,'LP Reactivos'!AR649,'LP Reactivos'!AW649,'LP Reactivos'!BB649,'LP Reactivos'!BG649,'LP Reactivos'!BL649,'LP Reactivos'!BQ649,'LP Reactivos'!BV649,'LP Reactivos'!CA649,'LP Reactivos'!CF649,'LP Reactivos'!CK649,'LP Reactivos'!CP649,'LP Reactivos'!CU649,'LP Reactivos'!CZ649,'LP Reactivos'!DE649,'LP Reactivos'!DJ649,'LP Reactivos'!DO649,'LP Reactivos'!DT649,'LP Reactivos'!DY649,'LP Reactivos'!EB649)," ")</f>
        <v>1263162.3900000001</v>
      </c>
      <c r="H649" s="345">
        <f t="shared" si="44"/>
        <v>0</v>
      </c>
      <c r="I649" s="346">
        <f t="shared" si="45"/>
        <v>0</v>
      </c>
      <c r="J649" s="345">
        <f t="shared" si="46"/>
        <v>1263162.3900000001</v>
      </c>
      <c r="K649" s="344" t="str">
        <f t="shared" si="47"/>
        <v>Menor Valor</v>
      </c>
      <c r="L649" s="326">
        <f>IFERROR(COUNTA('LP Reactivos'!F649,'LP Reactivos'!I649,'LP Reactivos'!N649,'LP Reactivos'!S649,'LP Reactivos'!X649,'LP Reactivos'!AC649,'LP Reactivos'!AH649,'LP Reactivos'!AM649,'LP Reactivos'!AR649,'LP Reactivos'!AW649,'LP Reactivos'!BB649,'LP Reactivos'!BG649,'LP Reactivos'!BL649,'LP Reactivos'!BQ649,'LP Reactivos'!BV649,'LP Reactivos'!CA649,'LP Reactivos'!CF649,'LP Reactivos'!CK649,'LP Reactivos'!CP649,'LP Reactivos'!CU649,'LP Reactivos'!CZ649,'LP Reactivos'!DE649,'LP Reactivos'!DJ649,'LP Reactivos'!DO649,'LP Reactivos'!DT649,'LP Reactivos'!DY649,'LP Reactivos'!EB649)," ")</f>
        <v>1</v>
      </c>
    </row>
    <row r="650" spans="2:12" x14ac:dyDescent="0.25">
      <c r="B650" s="425">
        <v>648</v>
      </c>
      <c r="C650" s="427" t="s">
        <v>2786</v>
      </c>
      <c r="D650" s="429">
        <f>IFERROR(MIN('LP Reactivos'!F650,'LP Reactivos'!I650,'LP Reactivos'!N650,'LP Reactivos'!S650,'LP Reactivos'!X650,'LP Reactivos'!AC650,'LP Reactivos'!AH650,'LP Reactivos'!AM650,'LP Reactivos'!AR650,'LP Reactivos'!AW650,'LP Reactivos'!BB650,'LP Reactivos'!BG650,'LP Reactivos'!BL650,'LP Reactivos'!BQ650,'LP Reactivos'!BV650,'LP Reactivos'!CA650,'LP Reactivos'!CF650,'LP Reactivos'!CK650,'LP Reactivos'!CP650,'LP Reactivos'!CU650,'LP Reactivos'!CZ650,'LP Reactivos'!DE650,'LP Reactivos'!DJ650,'LP Reactivos'!DO650,'LP Reactivos'!DT650,'LP Reactivos'!DY650,'LP Reactivos'!EB650)," ")</f>
        <v>602873.679</v>
      </c>
      <c r="E650" s="429">
        <f>IFERROR(AVERAGE('LP Reactivos'!F650,'LP Reactivos'!I650,'LP Reactivos'!N650,'LP Reactivos'!S650,'LP Reactivos'!X650,'LP Reactivos'!AC650,'LP Reactivos'!AH650,'LP Reactivos'!AM650,'LP Reactivos'!AR650,'LP Reactivos'!AW650,'LP Reactivos'!BB650,'LP Reactivos'!BG650,'LP Reactivos'!BL650,'LP Reactivos'!BQ650,'LP Reactivos'!BV650,'LP Reactivos'!CA650,'LP Reactivos'!CF650,'LP Reactivos'!CK650,'LP Reactivos'!CP650,'LP Reactivos'!CU650,'LP Reactivos'!CZ650,'LP Reactivos'!DE650,'LP Reactivos'!DJ650,'LP Reactivos'!DO650,'LP Reactivos'!DT650,'LP Reactivos'!DY650,'LP Reactivos'!EB650)," ")</f>
        <v>602873.679</v>
      </c>
      <c r="F650" s="345">
        <f>IFERROR(MEDIAN('LP Reactivos'!F650,'LP Reactivos'!I650,'LP Reactivos'!N650,'LP Reactivos'!S650,'LP Reactivos'!X650,'LP Reactivos'!AC650,'LP Reactivos'!AH650,'LP Reactivos'!AM650,'LP Reactivos'!AR650,'LP Reactivos'!AW650,'LP Reactivos'!BB650,'LP Reactivos'!BG650,'LP Reactivos'!BL650,'LP Reactivos'!BQ650,'LP Reactivos'!BV650,'LP Reactivos'!CA650,'LP Reactivos'!CF650,'LP Reactivos'!CK650,'LP Reactivos'!CP650,'LP Reactivos'!CU650,'LP Reactivos'!CZ650,'LP Reactivos'!DE650,'LP Reactivos'!DJ650,'LP Reactivos'!DO650,'LP Reactivos'!DT650,'LP Reactivos'!DY650,'LP Reactivos'!EB650)," ")</f>
        <v>602873.679</v>
      </c>
      <c r="G650" s="345">
        <f>IFERROR(GEOMEAN('LP Reactivos'!F650,'LP Reactivos'!I650,'LP Reactivos'!N650,'LP Reactivos'!S650,'LP Reactivos'!X650,'LP Reactivos'!AC650,'LP Reactivos'!AH650,'LP Reactivos'!AM650,'LP Reactivos'!AR650,'LP Reactivos'!AW650,'LP Reactivos'!BB650,'LP Reactivos'!BG650,'LP Reactivos'!BL650,'LP Reactivos'!BQ650,'LP Reactivos'!BV650,'LP Reactivos'!CA650,'LP Reactivos'!CF650,'LP Reactivos'!CK650,'LP Reactivos'!CP650,'LP Reactivos'!CU650,'LP Reactivos'!CZ650,'LP Reactivos'!DE650,'LP Reactivos'!DJ650,'LP Reactivos'!DO650,'LP Reactivos'!DT650,'LP Reactivos'!DY650,'LP Reactivos'!EB650)," ")</f>
        <v>602873.679</v>
      </c>
      <c r="H650" s="345">
        <f t="shared" si="44"/>
        <v>0</v>
      </c>
      <c r="I650" s="346">
        <f t="shared" si="45"/>
        <v>0</v>
      </c>
      <c r="J650" s="345">
        <f t="shared" si="46"/>
        <v>602873.679</v>
      </c>
      <c r="K650" s="344" t="str">
        <f t="shared" si="47"/>
        <v>Menor Valor</v>
      </c>
      <c r="L650" s="326">
        <f>IFERROR(COUNTA('LP Reactivos'!F650,'LP Reactivos'!I650,'LP Reactivos'!N650,'LP Reactivos'!S650,'LP Reactivos'!X650,'LP Reactivos'!AC650,'LP Reactivos'!AH650,'LP Reactivos'!AM650,'LP Reactivos'!AR650,'LP Reactivos'!AW650,'LP Reactivos'!BB650,'LP Reactivos'!BG650,'LP Reactivos'!BL650,'LP Reactivos'!BQ650,'LP Reactivos'!BV650,'LP Reactivos'!CA650,'LP Reactivos'!CF650,'LP Reactivos'!CK650,'LP Reactivos'!CP650,'LP Reactivos'!CU650,'LP Reactivos'!CZ650,'LP Reactivos'!DE650,'LP Reactivos'!DJ650,'LP Reactivos'!DO650,'LP Reactivos'!DT650,'LP Reactivos'!DY650,'LP Reactivos'!EB650)," ")</f>
        <v>1</v>
      </c>
    </row>
    <row r="651" spans="2:12" x14ac:dyDescent="0.25">
      <c r="B651" s="425">
        <v>649</v>
      </c>
      <c r="C651" s="427" t="s">
        <v>2788</v>
      </c>
      <c r="D651" s="429">
        <f>IFERROR(MIN('LP Reactivos'!F651,'LP Reactivos'!I651,'LP Reactivos'!N651,'LP Reactivos'!S651,'LP Reactivos'!X651,'LP Reactivos'!AC651,'LP Reactivos'!AH651,'LP Reactivos'!AM651,'LP Reactivos'!AR651,'LP Reactivos'!AW651,'LP Reactivos'!BB651,'LP Reactivos'!BG651,'LP Reactivos'!BL651,'LP Reactivos'!BQ651,'LP Reactivos'!BV651,'LP Reactivos'!CA651,'LP Reactivos'!CF651,'LP Reactivos'!CK651,'LP Reactivos'!CP651,'LP Reactivos'!CU651,'LP Reactivos'!CZ651,'LP Reactivos'!DE651,'LP Reactivos'!DJ651,'LP Reactivos'!DO651,'LP Reactivos'!DT651,'LP Reactivos'!DY651,'LP Reactivos'!EB651)," ")</f>
        <v>1818025.4418000001</v>
      </c>
      <c r="E651" s="429">
        <f>IFERROR(AVERAGE('LP Reactivos'!F651,'LP Reactivos'!I651,'LP Reactivos'!N651,'LP Reactivos'!S651,'LP Reactivos'!X651,'LP Reactivos'!AC651,'LP Reactivos'!AH651,'LP Reactivos'!AM651,'LP Reactivos'!AR651,'LP Reactivos'!AW651,'LP Reactivos'!BB651,'LP Reactivos'!BG651,'LP Reactivos'!BL651,'LP Reactivos'!BQ651,'LP Reactivos'!BV651,'LP Reactivos'!CA651,'LP Reactivos'!CF651,'LP Reactivos'!CK651,'LP Reactivos'!CP651,'LP Reactivos'!CU651,'LP Reactivos'!CZ651,'LP Reactivos'!DE651,'LP Reactivos'!DJ651,'LP Reactivos'!DO651,'LP Reactivos'!DT651,'LP Reactivos'!DY651,'LP Reactivos'!EB651)," ")</f>
        <v>1818025.4418000001</v>
      </c>
      <c r="F651" s="345">
        <f>IFERROR(MEDIAN('LP Reactivos'!F651,'LP Reactivos'!I651,'LP Reactivos'!N651,'LP Reactivos'!S651,'LP Reactivos'!X651,'LP Reactivos'!AC651,'LP Reactivos'!AH651,'LP Reactivos'!AM651,'LP Reactivos'!AR651,'LP Reactivos'!AW651,'LP Reactivos'!BB651,'LP Reactivos'!BG651,'LP Reactivos'!BL651,'LP Reactivos'!BQ651,'LP Reactivos'!BV651,'LP Reactivos'!CA651,'LP Reactivos'!CF651,'LP Reactivos'!CK651,'LP Reactivos'!CP651,'LP Reactivos'!CU651,'LP Reactivos'!CZ651,'LP Reactivos'!DE651,'LP Reactivos'!DJ651,'LP Reactivos'!DO651,'LP Reactivos'!DT651,'LP Reactivos'!DY651,'LP Reactivos'!EB651)," ")</f>
        <v>1818025.4418000001</v>
      </c>
      <c r="G651" s="345">
        <f>IFERROR(GEOMEAN('LP Reactivos'!F651,'LP Reactivos'!I651,'LP Reactivos'!N651,'LP Reactivos'!S651,'LP Reactivos'!X651,'LP Reactivos'!AC651,'LP Reactivos'!AH651,'LP Reactivos'!AM651,'LP Reactivos'!AR651,'LP Reactivos'!AW651,'LP Reactivos'!BB651,'LP Reactivos'!BG651,'LP Reactivos'!BL651,'LP Reactivos'!BQ651,'LP Reactivos'!BV651,'LP Reactivos'!CA651,'LP Reactivos'!CF651,'LP Reactivos'!CK651,'LP Reactivos'!CP651,'LP Reactivos'!CU651,'LP Reactivos'!CZ651,'LP Reactivos'!DE651,'LP Reactivos'!DJ651,'LP Reactivos'!DO651,'LP Reactivos'!DT651,'LP Reactivos'!DY651,'LP Reactivos'!EB651)," ")</f>
        <v>1818025.4418000001</v>
      </c>
      <c r="H651" s="345">
        <f t="shared" si="44"/>
        <v>0</v>
      </c>
      <c r="I651" s="346">
        <f t="shared" si="45"/>
        <v>0</v>
      </c>
      <c r="J651" s="345">
        <f t="shared" si="46"/>
        <v>1818025.4418000001</v>
      </c>
      <c r="K651" s="344" t="str">
        <f t="shared" si="47"/>
        <v>Menor Valor</v>
      </c>
      <c r="L651" s="326">
        <f>IFERROR(COUNTA('LP Reactivos'!F651,'LP Reactivos'!I651,'LP Reactivos'!N651,'LP Reactivos'!S651,'LP Reactivos'!X651,'LP Reactivos'!AC651,'LP Reactivos'!AH651,'LP Reactivos'!AM651,'LP Reactivos'!AR651,'LP Reactivos'!AW651,'LP Reactivos'!BB651,'LP Reactivos'!BG651,'LP Reactivos'!BL651,'LP Reactivos'!BQ651,'LP Reactivos'!BV651,'LP Reactivos'!CA651,'LP Reactivos'!CF651,'LP Reactivos'!CK651,'LP Reactivos'!CP651,'LP Reactivos'!CU651,'LP Reactivos'!CZ651,'LP Reactivos'!DE651,'LP Reactivos'!DJ651,'LP Reactivos'!DO651,'LP Reactivos'!DT651,'LP Reactivos'!DY651,'LP Reactivos'!EB651)," ")</f>
        <v>1</v>
      </c>
    </row>
    <row r="652" spans="2:12" x14ac:dyDescent="0.25">
      <c r="B652" s="425">
        <v>650</v>
      </c>
      <c r="C652" s="427" t="s">
        <v>2789</v>
      </c>
      <c r="D652" s="429">
        <f>IFERROR(MIN('LP Reactivos'!F652,'LP Reactivos'!I652,'LP Reactivos'!N652,'LP Reactivos'!S652,'LP Reactivos'!X652,'LP Reactivos'!AC652,'LP Reactivos'!AH652,'LP Reactivos'!AM652,'LP Reactivos'!AR652,'LP Reactivos'!AW652,'LP Reactivos'!BB652,'LP Reactivos'!BG652,'LP Reactivos'!BL652,'LP Reactivos'!BQ652,'LP Reactivos'!BV652,'LP Reactivos'!CA652,'LP Reactivos'!CF652,'LP Reactivos'!CK652,'LP Reactivos'!CP652,'LP Reactivos'!CU652,'LP Reactivos'!CZ652,'LP Reactivos'!DE652,'LP Reactivos'!DJ652,'LP Reactivos'!DO652,'LP Reactivos'!DT652,'LP Reactivos'!DY652,'LP Reactivos'!EB652)," ")</f>
        <v>434350</v>
      </c>
      <c r="E652" s="429">
        <f>IFERROR(AVERAGE('LP Reactivos'!F652,'LP Reactivos'!I652,'LP Reactivos'!N652,'LP Reactivos'!S652,'LP Reactivos'!X652,'LP Reactivos'!AC652,'LP Reactivos'!AH652,'LP Reactivos'!AM652,'LP Reactivos'!AR652,'LP Reactivos'!AW652,'LP Reactivos'!BB652,'LP Reactivos'!BG652,'LP Reactivos'!BL652,'LP Reactivos'!BQ652,'LP Reactivos'!BV652,'LP Reactivos'!CA652,'LP Reactivos'!CF652,'LP Reactivos'!CK652,'LP Reactivos'!CP652,'LP Reactivos'!CU652,'LP Reactivos'!CZ652,'LP Reactivos'!DE652,'LP Reactivos'!DJ652,'LP Reactivos'!DO652,'LP Reactivos'!DT652,'LP Reactivos'!DY652,'LP Reactivos'!EB652)," ")</f>
        <v>812857.4966666667</v>
      </c>
      <c r="F652" s="345">
        <f>IFERROR(MEDIAN('LP Reactivos'!F652,'LP Reactivos'!I652,'LP Reactivos'!N652,'LP Reactivos'!S652,'LP Reactivos'!X652,'LP Reactivos'!AC652,'LP Reactivos'!AH652,'LP Reactivos'!AM652,'LP Reactivos'!AR652,'LP Reactivos'!AW652,'LP Reactivos'!BB652,'LP Reactivos'!BG652,'LP Reactivos'!BL652,'LP Reactivos'!BQ652,'LP Reactivos'!BV652,'LP Reactivos'!CA652,'LP Reactivos'!CF652,'LP Reactivos'!CK652,'LP Reactivos'!CP652,'LP Reactivos'!CU652,'LP Reactivos'!CZ652,'LP Reactivos'!DE652,'LP Reactivos'!DJ652,'LP Reactivos'!DO652,'LP Reactivos'!DT652,'LP Reactivos'!DY652,'LP Reactivos'!EB652)," ")</f>
        <v>686000.49</v>
      </c>
      <c r="G652" s="345">
        <f>IFERROR(GEOMEAN('LP Reactivos'!F652,'LP Reactivos'!I652,'LP Reactivos'!N652,'LP Reactivos'!S652,'LP Reactivos'!X652,'LP Reactivos'!AC652,'LP Reactivos'!AH652,'LP Reactivos'!AM652,'LP Reactivos'!AR652,'LP Reactivos'!AW652,'LP Reactivos'!BB652,'LP Reactivos'!BG652,'LP Reactivos'!BL652,'LP Reactivos'!BQ652,'LP Reactivos'!BV652,'LP Reactivos'!CA652,'LP Reactivos'!CF652,'LP Reactivos'!CK652,'LP Reactivos'!CP652,'LP Reactivos'!CU652,'LP Reactivos'!CZ652,'LP Reactivos'!DE652,'LP Reactivos'!DJ652,'LP Reactivos'!DO652,'LP Reactivos'!DT652,'LP Reactivos'!DY652,'LP Reactivos'!EB652)," ")</f>
        <v>732348.17286925856</v>
      </c>
      <c r="H652" s="345">
        <f t="shared" si="44"/>
        <v>163330.27996711072</v>
      </c>
      <c r="I652" s="346">
        <f t="shared" si="45"/>
        <v>0.20093347313260806</v>
      </c>
      <c r="J652" s="345">
        <f t="shared" si="46"/>
        <v>732348.17286925856</v>
      </c>
      <c r="K652" s="344" t="str">
        <f t="shared" si="47"/>
        <v>Media Geométrica</v>
      </c>
      <c r="L652" s="326">
        <f>IFERROR(COUNTA('LP Reactivos'!F652,'LP Reactivos'!I652,'LP Reactivos'!N652,'LP Reactivos'!S652,'LP Reactivos'!X652,'LP Reactivos'!AC652,'LP Reactivos'!AH652,'LP Reactivos'!AM652,'LP Reactivos'!AR652,'LP Reactivos'!AW652,'LP Reactivos'!BB652,'LP Reactivos'!BG652,'LP Reactivos'!BL652,'LP Reactivos'!BQ652,'LP Reactivos'!BV652,'LP Reactivos'!CA652,'LP Reactivos'!CF652,'LP Reactivos'!CK652,'LP Reactivos'!CP652,'LP Reactivos'!CU652,'LP Reactivos'!CZ652,'LP Reactivos'!DE652,'LP Reactivos'!DJ652,'LP Reactivos'!DO652,'LP Reactivos'!DT652,'LP Reactivos'!DY652,'LP Reactivos'!EB652)," ")</f>
        <v>3</v>
      </c>
    </row>
    <row r="653" spans="2:12" x14ac:dyDescent="0.25">
      <c r="B653" s="425">
        <v>651</v>
      </c>
      <c r="C653" s="427" t="s">
        <v>2792</v>
      </c>
      <c r="D653" s="429">
        <f>IFERROR(MIN('LP Reactivos'!F653,'LP Reactivos'!I653,'LP Reactivos'!N653,'LP Reactivos'!S653,'LP Reactivos'!X653,'LP Reactivos'!AC653,'LP Reactivos'!AH653,'LP Reactivos'!AM653,'LP Reactivos'!AR653,'LP Reactivos'!AW653,'LP Reactivos'!BB653,'LP Reactivos'!BG653,'LP Reactivos'!BL653,'LP Reactivos'!BQ653,'LP Reactivos'!BV653,'LP Reactivos'!CA653,'LP Reactivos'!CF653,'LP Reactivos'!CK653,'LP Reactivos'!CP653,'LP Reactivos'!CU653,'LP Reactivos'!CZ653,'LP Reactivos'!DE653,'LP Reactivos'!DJ653,'LP Reactivos'!DO653,'LP Reactivos'!DT653,'LP Reactivos'!DY653,'LP Reactivos'!EB653)," ")</f>
        <v>339357.06</v>
      </c>
      <c r="E653" s="429">
        <f>IFERROR(AVERAGE('LP Reactivos'!F653,'LP Reactivos'!I653,'LP Reactivos'!N653,'LP Reactivos'!S653,'LP Reactivos'!X653,'LP Reactivos'!AC653,'LP Reactivos'!AH653,'LP Reactivos'!AM653,'LP Reactivos'!AR653,'LP Reactivos'!AW653,'LP Reactivos'!BB653,'LP Reactivos'!BG653,'LP Reactivos'!BL653,'LP Reactivos'!BQ653,'LP Reactivos'!BV653,'LP Reactivos'!CA653,'LP Reactivos'!CF653,'LP Reactivos'!CK653,'LP Reactivos'!CP653,'LP Reactivos'!CU653,'LP Reactivos'!CZ653,'LP Reactivos'!DE653,'LP Reactivos'!DJ653,'LP Reactivos'!DO653,'LP Reactivos'!DT653,'LP Reactivos'!DY653,'LP Reactivos'!EB653)," ")</f>
        <v>339357.06</v>
      </c>
      <c r="F653" s="345">
        <f>IFERROR(MEDIAN('LP Reactivos'!F653,'LP Reactivos'!I653,'LP Reactivos'!N653,'LP Reactivos'!S653,'LP Reactivos'!X653,'LP Reactivos'!AC653,'LP Reactivos'!AH653,'LP Reactivos'!AM653,'LP Reactivos'!AR653,'LP Reactivos'!AW653,'LP Reactivos'!BB653,'LP Reactivos'!BG653,'LP Reactivos'!BL653,'LP Reactivos'!BQ653,'LP Reactivos'!BV653,'LP Reactivos'!CA653,'LP Reactivos'!CF653,'LP Reactivos'!CK653,'LP Reactivos'!CP653,'LP Reactivos'!CU653,'LP Reactivos'!CZ653,'LP Reactivos'!DE653,'LP Reactivos'!DJ653,'LP Reactivos'!DO653,'LP Reactivos'!DT653,'LP Reactivos'!DY653,'LP Reactivos'!EB653)," ")</f>
        <v>339357.06</v>
      </c>
      <c r="G653" s="345">
        <f>IFERROR(GEOMEAN('LP Reactivos'!F653,'LP Reactivos'!I653,'LP Reactivos'!N653,'LP Reactivos'!S653,'LP Reactivos'!X653,'LP Reactivos'!AC653,'LP Reactivos'!AH653,'LP Reactivos'!AM653,'LP Reactivos'!AR653,'LP Reactivos'!AW653,'LP Reactivos'!BB653,'LP Reactivos'!BG653,'LP Reactivos'!BL653,'LP Reactivos'!BQ653,'LP Reactivos'!BV653,'LP Reactivos'!CA653,'LP Reactivos'!CF653,'LP Reactivos'!CK653,'LP Reactivos'!CP653,'LP Reactivos'!CU653,'LP Reactivos'!CZ653,'LP Reactivos'!DE653,'LP Reactivos'!DJ653,'LP Reactivos'!DO653,'LP Reactivos'!DT653,'LP Reactivos'!DY653,'LP Reactivos'!EB653)," ")</f>
        <v>339357.06</v>
      </c>
      <c r="H653" s="345">
        <f t="shared" si="44"/>
        <v>0</v>
      </c>
      <c r="I653" s="346">
        <f t="shared" si="45"/>
        <v>0</v>
      </c>
      <c r="J653" s="345">
        <f t="shared" si="46"/>
        <v>339357.06</v>
      </c>
      <c r="K653" s="344" t="str">
        <f t="shared" si="47"/>
        <v>Menor Valor</v>
      </c>
      <c r="L653" s="326">
        <f>IFERROR(COUNTA('LP Reactivos'!F653,'LP Reactivos'!I653,'LP Reactivos'!N653,'LP Reactivos'!S653,'LP Reactivos'!X653,'LP Reactivos'!AC653,'LP Reactivos'!AH653,'LP Reactivos'!AM653,'LP Reactivos'!AR653,'LP Reactivos'!AW653,'LP Reactivos'!BB653,'LP Reactivos'!BG653,'LP Reactivos'!BL653,'LP Reactivos'!BQ653,'LP Reactivos'!BV653,'LP Reactivos'!CA653,'LP Reactivos'!CF653,'LP Reactivos'!CK653,'LP Reactivos'!CP653,'LP Reactivos'!CU653,'LP Reactivos'!CZ653,'LP Reactivos'!DE653,'LP Reactivos'!DJ653,'LP Reactivos'!DO653,'LP Reactivos'!DT653,'LP Reactivos'!DY653,'LP Reactivos'!EB653)," ")</f>
        <v>1</v>
      </c>
    </row>
    <row r="654" spans="2:12" x14ac:dyDescent="0.25">
      <c r="B654" s="425">
        <v>652</v>
      </c>
      <c r="C654" s="427" t="s">
        <v>2794</v>
      </c>
      <c r="D654" s="429">
        <f>IFERROR(MIN('LP Reactivos'!F654,'LP Reactivos'!I654,'LP Reactivos'!N654,'LP Reactivos'!S654,'LP Reactivos'!X654,'LP Reactivos'!AC654,'LP Reactivos'!AH654,'LP Reactivos'!AM654,'LP Reactivos'!AR654,'LP Reactivos'!AW654,'LP Reactivos'!BB654,'LP Reactivos'!BG654,'LP Reactivos'!BL654,'LP Reactivos'!BQ654,'LP Reactivos'!BV654,'LP Reactivos'!CA654,'LP Reactivos'!CF654,'LP Reactivos'!CK654,'LP Reactivos'!CP654,'LP Reactivos'!CU654,'LP Reactivos'!CZ654,'LP Reactivos'!DE654,'LP Reactivos'!DJ654,'LP Reactivos'!DO654,'LP Reactivos'!DT654,'LP Reactivos'!DY654,'LP Reactivos'!EB654)," ")</f>
        <v>641007.78</v>
      </c>
      <c r="E654" s="429">
        <f>IFERROR(AVERAGE('LP Reactivos'!F654,'LP Reactivos'!I654,'LP Reactivos'!N654,'LP Reactivos'!S654,'LP Reactivos'!X654,'LP Reactivos'!AC654,'LP Reactivos'!AH654,'LP Reactivos'!AM654,'LP Reactivos'!AR654,'LP Reactivos'!AW654,'LP Reactivos'!BB654,'LP Reactivos'!BG654,'LP Reactivos'!BL654,'LP Reactivos'!BQ654,'LP Reactivos'!BV654,'LP Reactivos'!CA654,'LP Reactivos'!CF654,'LP Reactivos'!CK654,'LP Reactivos'!CP654,'LP Reactivos'!CU654,'LP Reactivos'!CZ654,'LP Reactivos'!DE654,'LP Reactivos'!DJ654,'LP Reactivos'!DO654,'LP Reactivos'!DT654,'LP Reactivos'!DY654,'LP Reactivos'!EB654)," ")</f>
        <v>641007.78</v>
      </c>
      <c r="F654" s="345">
        <f>IFERROR(MEDIAN('LP Reactivos'!F654,'LP Reactivos'!I654,'LP Reactivos'!N654,'LP Reactivos'!S654,'LP Reactivos'!X654,'LP Reactivos'!AC654,'LP Reactivos'!AH654,'LP Reactivos'!AM654,'LP Reactivos'!AR654,'LP Reactivos'!AW654,'LP Reactivos'!BB654,'LP Reactivos'!BG654,'LP Reactivos'!BL654,'LP Reactivos'!BQ654,'LP Reactivos'!BV654,'LP Reactivos'!CA654,'LP Reactivos'!CF654,'LP Reactivos'!CK654,'LP Reactivos'!CP654,'LP Reactivos'!CU654,'LP Reactivos'!CZ654,'LP Reactivos'!DE654,'LP Reactivos'!DJ654,'LP Reactivos'!DO654,'LP Reactivos'!DT654,'LP Reactivos'!DY654,'LP Reactivos'!EB654)," ")</f>
        <v>641007.78</v>
      </c>
      <c r="G654" s="345">
        <f>IFERROR(GEOMEAN('LP Reactivos'!F654,'LP Reactivos'!I654,'LP Reactivos'!N654,'LP Reactivos'!S654,'LP Reactivos'!X654,'LP Reactivos'!AC654,'LP Reactivos'!AH654,'LP Reactivos'!AM654,'LP Reactivos'!AR654,'LP Reactivos'!AW654,'LP Reactivos'!BB654,'LP Reactivos'!BG654,'LP Reactivos'!BL654,'LP Reactivos'!BQ654,'LP Reactivos'!BV654,'LP Reactivos'!CA654,'LP Reactivos'!CF654,'LP Reactivos'!CK654,'LP Reactivos'!CP654,'LP Reactivos'!CU654,'LP Reactivos'!CZ654,'LP Reactivos'!DE654,'LP Reactivos'!DJ654,'LP Reactivos'!DO654,'LP Reactivos'!DT654,'LP Reactivos'!DY654,'LP Reactivos'!EB654)," ")</f>
        <v>641007.78</v>
      </c>
      <c r="H654" s="345">
        <f t="shared" si="44"/>
        <v>0</v>
      </c>
      <c r="I654" s="346">
        <f t="shared" si="45"/>
        <v>0</v>
      </c>
      <c r="J654" s="345">
        <f t="shared" si="46"/>
        <v>641007.78</v>
      </c>
      <c r="K654" s="344" t="str">
        <f t="shared" si="47"/>
        <v>Menor Valor</v>
      </c>
      <c r="L654" s="326">
        <f>IFERROR(COUNTA('LP Reactivos'!F654,'LP Reactivos'!I654,'LP Reactivos'!N654,'LP Reactivos'!S654,'LP Reactivos'!X654,'LP Reactivos'!AC654,'LP Reactivos'!AH654,'LP Reactivos'!AM654,'LP Reactivos'!AR654,'LP Reactivos'!AW654,'LP Reactivos'!BB654,'LP Reactivos'!BG654,'LP Reactivos'!BL654,'LP Reactivos'!BQ654,'LP Reactivos'!BV654,'LP Reactivos'!CA654,'LP Reactivos'!CF654,'LP Reactivos'!CK654,'LP Reactivos'!CP654,'LP Reactivos'!CU654,'LP Reactivos'!CZ654,'LP Reactivos'!DE654,'LP Reactivos'!DJ654,'LP Reactivos'!DO654,'LP Reactivos'!DT654,'LP Reactivos'!DY654,'LP Reactivos'!EB654)," ")</f>
        <v>1</v>
      </c>
    </row>
    <row r="655" spans="2:12" x14ac:dyDescent="0.25">
      <c r="B655" s="425">
        <v>653</v>
      </c>
      <c r="C655" s="427" t="s">
        <v>2796</v>
      </c>
      <c r="D655" s="429">
        <f>IFERROR(MIN('LP Reactivos'!F655,'LP Reactivos'!I655,'LP Reactivos'!N655,'LP Reactivos'!S655,'LP Reactivos'!X655,'LP Reactivos'!AC655,'LP Reactivos'!AH655,'LP Reactivos'!AM655,'LP Reactivos'!AR655,'LP Reactivos'!AW655,'LP Reactivos'!BB655,'LP Reactivos'!BG655,'LP Reactivos'!BL655,'LP Reactivos'!BQ655,'LP Reactivos'!BV655,'LP Reactivos'!CA655,'LP Reactivos'!CF655,'LP Reactivos'!CK655,'LP Reactivos'!CP655,'LP Reactivos'!CU655,'LP Reactivos'!CZ655,'LP Reactivos'!DE655,'LP Reactivos'!DJ655,'LP Reactivos'!DO655,'LP Reactivos'!DT655,'LP Reactivos'!DY655,'LP Reactivos'!EB655)," ")</f>
        <v>437850.8786</v>
      </c>
      <c r="E655" s="429">
        <f>IFERROR(AVERAGE('LP Reactivos'!F655,'LP Reactivos'!I655,'LP Reactivos'!N655,'LP Reactivos'!S655,'LP Reactivos'!X655,'LP Reactivos'!AC655,'LP Reactivos'!AH655,'LP Reactivos'!AM655,'LP Reactivos'!AR655,'LP Reactivos'!AW655,'LP Reactivos'!BB655,'LP Reactivos'!BG655,'LP Reactivos'!BL655,'LP Reactivos'!BQ655,'LP Reactivos'!BV655,'LP Reactivos'!CA655,'LP Reactivos'!CF655,'LP Reactivos'!CK655,'LP Reactivos'!CP655,'LP Reactivos'!CU655,'LP Reactivos'!CZ655,'LP Reactivos'!DE655,'LP Reactivos'!DJ655,'LP Reactivos'!DO655,'LP Reactivos'!DT655,'LP Reactivos'!DY655,'LP Reactivos'!EB655)," ")</f>
        <v>437850.8786</v>
      </c>
      <c r="F655" s="345">
        <f>IFERROR(MEDIAN('LP Reactivos'!F655,'LP Reactivos'!I655,'LP Reactivos'!N655,'LP Reactivos'!S655,'LP Reactivos'!X655,'LP Reactivos'!AC655,'LP Reactivos'!AH655,'LP Reactivos'!AM655,'LP Reactivos'!AR655,'LP Reactivos'!AW655,'LP Reactivos'!BB655,'LP Reactivos'!BG655,'LP Reactivos'!BL655,'LP Reactivos'!BQ655,'LP Reactivos'!BV655,'LP Reactivos'!CA655,'LP Reactivos'!CF655,'LP Reactivos'!CK655,'LP Reactivos'!CP655,'LP Reactivos'!CU655,'LP Reactivos'!CZ655,'LP Reactivos'!DE655,'LP Reactivos'!DJ655,'LP Reactivos'!DO655,'LP Reactivos'!DT655,'LP Reactivos'!DY655,'LP Reactivos'!EB655)," ")</f>
        <v>437850.8786</v>
      </c>
      <c r="G655" s="345">
        <f>IFERROR(GEOMEAN('LP Reactivos'!F655,'LP Reactivos'!I655,'LP Reactivos'!N655,'LP Reactivos'!S655,'LP Reactivos'!X655,'LP Reactivos'!AC655,'LP Reactivos'!AH655,'LP Reactivos'!AM655,'LP Reactivos'!AR655,'LP Reactivos'!AW655,'LP Reactivos'!BB655,'LP Reactivos'!BG655,'LP Reactivos'!BL655,'LP Reactivos'!BQ655,'LP Reactivos'!BV655,'LP Reactivos'!CA655,'LP Reactivos'!CF655,'LP Reactivos'!CK655,'LP Reactivos'!CP655,'LP Reactivos'!CU655,'LP Reactivos'!CZ655,'LP Reactivos'!DE655,'LP Reactivos'!DJ655,'LP Reactivos'!DO655,'LP Reactivos'!DT655,'LP Reactivos'!DY655,'LP Reactivos'!EB655)," ")</f>
        <v>437850.8786</v>
      </c>
      <c r="H655" s="345">
        <f t="shared" si="44"/>
        <v>0</v>
      </c>
      <c r="I655" s="346">
        <f t="shared" si="45"/>
        <v>0</v>
      </c>
      <c r="J655" s="345">
        <f t="shared" si="46"/>
        <v>437850.8786</v>
      </c>
      <c r="K655" s="344" t="str">
        <f t="shared" si="47"/>
        <v>Menor Valor</v>
      </c>
      <c r="L655" s="326">
        <f>IFERROR(COUNTA('LP Reactivos'!F655,'LP Reactivos'!I655,'LP Reactivos'!N655,'LP Reactivos'!S655,'LP Reactivos'!X655,'LP Reactivos'!AC655,'LP Reactivos'!AH655,'LP Reactivos'!AM655,'LP Reactivos'!AR655,'LP Reactivos'!AW655,'LP Reactivos'!BB655,'LP Reactivos'!BG655,'LP Reactivos'!BL655,'LP Reactivos'!BQ655,'LP Reactivos'!BV655,'LP Reactivos'!CA655,'LP Reactivos'!CF655,'LP Reactivos'!CK655,'LP Reactivos'!CP655,'LP Reactivos'!CU655,'LP Reactivos'!CZ655,'LP Reactivos'!DE655,'LP Reactivos'!DJ655,'LP Reactivos'!DO655,'LP Reactivos'!DT655,'LP Reactivos'!DY655,'LP Reactivos'!EB655)," ")</f>
        <v>1</v>
      </c>
    </row>
    <row r="656" spans="2:12" x14ac:dyDescent="0.25">
      <c r="B656" s="425">
        <v>654</v>
      </c>
      <c r="C656" s="427" t="s">
        <v>2799</v>
      </c>
      <c r="D656" s="429">
        <f>IFERROR(MIN('LP Reactivos'!F656,'LP Reactivos'!I656,'LP Reactivos'!N656,'LP Reactivos'!S656,'LP Reactivos'!X656,'LP Reactivos'!AC656,'LP Reactivos'!AH656,'LP Reactivos'!AM656,'LP Reactivos'!AR656,'LP Reactivos'!AW656,'LP Reactivos'!BB656,'LP Reactivos'!BG656,'LP Reactivos'!BL656,'LP Reactivos'!BQ656,'LP Reactivos'!BV656,'LP Reactivos'!CA656,'LP Reactivos'!CF656,'LP Reactivos'!CK656,'LP Reactivos'!CP656,'LP Reactivos'!CU656,'LP Reactivos'!CZ656,'LP Reactivos'!DE656,'LP Reactivos'!DJ656,'LP Reactivos'!DO656,'LP Reactivos'!DT656,'LP Reactivos'!DY656,'LP Reactivos'!EB656)," ")</f>
        <v>369863.28460000001</v>
      </c>
      <c r="E656" s="429">
        <f>IFERROR(AVERAGE('LP Reactivos'!F656,'LP Reactivos'!I656,'LP Reactivos'!N656,'LP Reactivos'!S656,'LP Reactivos'!X656,'LP Reactivos'!AC656,'LP Reactivos'!AH656,'LP Reactivos'!AM656,'LP Reactivos'!AR656,'LP Reactivos'!AW656,'LP Reactivos'!BB656,'LP Reactivos'!BG656,'LP Reactivos'!BL656,'LP Reactivos'!BQ656,'LP Reactivos'!BV656,'LP Reactivos'!CA656,'LP Reactivos'!CF656,'LP Reactivos'!CK656,'LP Reactivos'!CP656,'LP Reactivos'!CU656,'LP Reactivos'!CZ656,'LP Reactivos'!DE656,'LP Reactivos'!DJ656,'LP Reactivos'!DO656,'LP Reactivos'!DT656,'LP Reactivos'!DY656,'LP Reactivos'!EB656)," ")</f>
        <v>369863.28460000001</v>
      </c>
      <c r="F656" s="345">
        <f>IFERROR(MEDIAN('LP Reactivos'!F656,'LP Reactivos'!I656,'LP Reactivos'!N656,'LP Reactivos'!S656,'LP Reactivos'!X656,'LP Reactivos'!AC656,'LP Reactivos'!AH656,'LP Reactivos'!AM656,'LP Reactivos'!AR656,'LP Reactivos'!AW656,'LP Reactivos'!BB656,'LP Reactivos'!BG656,'LP Reactivos'!BL656,'LP Reactivos'!BQ656,'LP Reactivos'!BV656,'LP Reactivos'!CA656,'LP Reactivos'!CF656,'LP Reactivos'!CK656,'LP Reactivos'!CP656,'LP Reactivos'!CU656,'LP Reactivos'!CZ656,'LP Reactivos'!DE656,'LP Reactivos'!DJ656,'LP Reactivos'!DO656,'LP Reactivos'!DT656,'LP Reactivos'!DY656,'LP Reactivos'!EB656)," ")</f>
        <v>369863.28460000001</v>
      </c>
      <c r="G656" s="345">
        <f>IFERROR(GEOMEAN('LP Reactivos'!F656,'LP Reactivos'!I656,'LP Reactivos'!N656,'LP Reactivos'!S656,'LP Reactivos'!X656,'LP Reactivos'!AC656,'LP Reactivos'!AH656,'LP Reactivos'!AM656,'LP Reactivos'!AR656,'LP Reactivos'!AW656,'LP Reactivos'!BB656,'LP Reactivos'!BG656,'LP Reactivos'!BL656,'LP Reactivos'!BQ656,'LP Reactivos'!BV656,'LP Reactivos'!CA656,'LP Reactivos'!CF656,'LP Reactivos'!CK656,'LP Reactivos'!CP656,'LP Reactivos'!CU656,'LP Reactivos'!CZ656,'LP Reactivos'!DE656,'LP Reactivos'!DJ656,'LP Reactivos'!DO656,'LP Reactivos'!DT656,'LP Reactivos'!DY656,'LP Reactivos'!EB656)," ")</f>
        <v>369863.28460000001</v>
      </c>
      <c r="H656" s="345">
        <f t="shared" si="44"/>
        <v>0</v>
      </c>
      <c r="I656" s="346">
        <f t="shared" si="45"/>
        <v>0</v>
      </c>
      <c r="J656" s="345">
        <f t="shared" si="46"/>
        <v>369863.28460000001</v>
      </c>
      <c r="K656" s="344" t="str">
        <f t="shared" si="47"/>
        <v>Menor Valor</v>
      </c>
      <c r="L656" s="326">
        <f>IFERROR(COUNTA('LP Reactivos'!F656,'LP Reactivos'!I656,'LP Reactivos'!N656,'LP Reactivos'!S656,'LP Reactivos'!X656,'LP Reactivos'!AC656,'LP Reactivos'!AH656,'LP Reactivos'!AM656,'LP Reactivos'!AR656,'LP Reactivos'!AW656,'LP Reactivos'!BB656,'LP Reactivos'!BG656,'LP Reactivos'!BL656,'LP Reactivos'!BQ656,'LP Reactivos'!BV656,'LP Reactivos'!CA656,'LP Reactivos'!CF656,'LP Reactivos'!CK656,'LP Reactivos'!CP656,'LP Reactivos'!CU656,'LP Reactivos'!CZ656,'LP Reactivos'!DE656,'LP Reactivos'!DJ656,'LP Reactivos'!DO656,'LP Reactivos'!DT656,'LP Reactivos'!DY656,'LP Reactivos'!EB656)," ")</f>
        <v>1</v>
      </c>
    </row>
    <row r="657" spans="2:12" x14ac:dyDescent="0.25">
      <c r="B657" s="425">
        <v>655</v>
      </c>
      <c r="C657" s="427" t="s">
        <v>2800</v>
      </c>
      <c r="D657" s="429">
        <f>IFERROR(MIN('LP Reactivos'!F657,'LP Reactivos'!I657,'LP Reactivos'!N657,'LP Reactivos'!S657,'LP Reactivos'!X657,'LP Reactivos'!AC657,'LP Reactivos'!AH657,'LP Reactivos'!AM657,'LP Reactivos'!AR657,'LP Reactivos'!AW657,'LP Reactivos'!BB657,'LP Reactivos'!BG657,'LP Reactivos'!BL657,'LP Reactivos'!BQ657,'LP Reactivos'!BV657,'LP Reactivos'!CA657,'LP Reactivos'!CF657,'LP Reactivos'!CK657,'LP Reactivos'!CP657,'LP Reactivos'!CU657,'LP Reactivos'!CZ657,'LP Reactivos'!DE657,'LP Reactivos'!DJ657,'LP Reactivos'!DO657,'LP Reactivos'!DT657,'LP Reactivos'!DY657,'LP Reactivos'!EB657)," ")</f>
        <v>225863.08900000001</v>
      </c>
      <c r="E657" s="429">
        <f>IFERROR(AVERAGE('LP Reactivos'!F657,'LP Reactivos'!I657,'LP Reactivos'!N657,'LP Reactivos'!S657,'LP Reactivos'!X657,'LP Reactivos'!AC657,'LP Reactivos'!AH657,'LP Reactivos'!AM657,'LP Reactivos'!AR657,'LP Reactivos'!AW657,'LP Reactivos'!BB657,'LP Reactivos'!BG657,'LP Reactivos'!BL657,'LP Reactivos'!BQ657,'LP Reactivos'!BV657,'LP Reactivos'!CA657,'LP Reactivos'!CF657,'LP Reactivos'!CK657,'LP Reactivos'!CP657,'LP Reactivos'!CU657,'LP Reactivos'!CZ657,'LP Reactivos'!DE657,'LP Reactivos'!DJ657,'LP Reactivos'!DO657,'LP Reactivos'!DT657,'LP Reactivos'!DY657,'LP Reactivos'!EB657)," ")</f>
        <v>225863.08900000001</v>
      </c>
      <c r="F657" s="345">
        <f>IFERROR(MEDIAN('LP Reactivos'!F657,'LP Reactivos'!I657,'LP Reactivos'!N657,'LP Reactivos'!S657,'LP Reactivos'!X657,'LP Reactivos'!AC657,'LP Reactivos'!AH657,'LP Reactivos'!AM657,'LP Reactivos'!AR657,'LP Reactivos'!AW657,'LP Reactivos'!BB657,'LP Reactivos'!BG657,'LP Reactivos'!BL657,'LP Reactivos'!BQ657,'LP Reactivos'!BV657,'LP Reactivos'!CA657,'LP Reactivos'!CF657,'LP Reactivos'!CK657,'LP Reactivos'!CP657,'LP Reactivos'!CU657,'LP Reactivos'!CZ657,'LP Reactivos'!DE657,'LP Reactivos'!DJ657,'LP Reactivos'!DO657,'LP Reactivos'!DT657,'LP Reactivos'!DY657,'LP Reactivos'!EB657)," ")</f>
        <v>225863.08900000001</v>
      </c>
      <c r="G657" s="345">
        <f>IFERROR(GEOMEAN('LP Reactivos'!F657,'LP Reactivos'!I657,'LP Reactivos'!N657,'LP Reactivos'!S657,'LP Reactivos'!X657,'LP Reactivos'!AC657,'LP Reactivos'!AH657,'LP Reactivos'!AM657,'LP Reactivos'!AR657,'LP Reactivos'!AW657,'LP Reactivos'!BB657,'LP Reactivos'!BG657,'LP Reactivos'!BL657,'LP Reactivos'!BQ657,'LP Reactivos'!BV657,'LP Reactivos'!CA657,'LP Reactivos'!CF657,'LP Reactivos'!CK657,'LP Reactivos'!CP657,'LP Reactivos'!CU657,'LP Reactivos'!CZ657,'LP Reactivos'!DE657,'LP Reactivos'!DJ657,'LP Reactivos'!DO657,'LP Reactivos'!DT657,'LP Reactivos'!DY657,'LP Reactivos'!EB657)," ")</f>
        <v>225863.08900000001</v>
      </c>
      <c r="H657" s="345">
        <f t="shared" si="44"/>
        <v>0</v>
      </c>
      <c r="I657" s="346">
        <f t="shared" si="45"/>
        <v>0</v>
      </c>
      <c r="J657" s="345">
        <f t="shared" si="46"/>
        <v>225863.08900000001</v>
      </c>
      <c r="K657" s="344" t="str">
        <f t="shared" si="47"/>
        <v>Menor Valor</v>
      </c>
      <c r="L657" s="326">
        <f>IFERROR(COUNTA('LP Reactivos'!F657,'LP Reactivos'!I657,'LP Reactivos'!N657,'LP Reactivos'!S657,'LP Reactivos'!X657,'LP Reactivos'!AC657,'LP Reactivos'!AH657,'LP Reactivos'!AM657,'LP Reactivos'!AR657,'LP Reactivos'!AW657,'LP Reactivos'!BB657,'LP Reactivos'!BG657,'LP Reactivos'!BL657,'LP Reactivos'!BQ657,'LP Reactivos'!BV657,'LP Reactivos'!CA657,'LP Reactivos'!CF657,'LP Reactivos'!CK657,'LP Reactivos'!CP657,'LP Reactivos'!CU657,'LP Reactivos'!CZ657,'LP Reactivos'!DE657,'LP Reactivos'!DJ657,'LP Reactivos'!DO657,'LP Reactivos'!DT657,'LP Reactivos'!DY657,'LP Reactivos'!EB657)," ")</f>
        <v>1</v>
      </c>
    </row>
    <row r="658" spans="2:12" x14ac:dyDescent="0.25">
      <c r="B658" s="425">
        <v>656</v>
      </c>
      <c r="C658" s="427" t="s">
        <v>2802</v>
      </c>
      <c r="D658" s="429">
        <f>IFERROR(MIN('LP Reactivos'!F658,'LP Reactivos'!I658,'LP Reactivos'!N658,'LP Reactivos'!S658,'LP Reactivos'!X658,'LP Reactivos'!AC658,'LP Reactivos'!AH658,'LP Reactivos'!AM658,'LP Reactivos'!AR658,'LP Reactivos'!AW658,'LP Reactivos'!BB658,'LP Reactivos'!BG658,'LP Reactivos'!BL658,'LP Reactivos'!BQ658,'LP Reactivos'!BV658,'LP Reactivos'!CA658,'LP Reactivos'!CF658,'LP Reactivos'!CK658,'LP Reactivos'!CP658,'LP Reactivos'!CU658,'LP Reactivos'!CZ658,'LP Reactivos'!DE658,'LP Reactivos'!DJ658,'LP Reactivos'!DO658,'LP Reactivos'!DT658,'LP Reactivos'!DY658,'LP Reactivos'!EB658)," ")</f>
        <v>319447.69</v>
      </c>
      <c r="E658" s="429">
        <f>IFERROR(AVERAGE('LP Reactivos'!F658,'LP Reactivos'!I658,'LP Reactivos'!N658,'LP Reactivos'!S658,'LP Reactivos'!X658,'LP Reactivos'!AC658,'LP Reactivos'!AH658,'LP Reactivos'!AM658,'LP Reactivos'!AR658,'LP Reactivos'!AW658,'LP Reactivos'!BB658,'LP Reactivos'!BG658,'LP Reactivos'!BL658,'LP Reactivos'!BQ658,'LP Reactivos'!BV658,'LP Reactivos'!CA658,'LP Reactivos'!CF658,'LP Reactivos'!CK658,'LP Reactivos'!CP658,'LP Reactivos'!CU658,'LP Reactivos'!CZ658,'LP Reactivos'!DE658,'LP Reactivos'!DJ658,'LP Reactivos'!DO658,'LP Reactivos'!DT658,'LP Reactivos'!DY658,'LP Reactivos'!EB658)," ")</f>
        <v>319447.69</v>
      </c>
      <c r="F658" s="345">
        <f>IFERROR(MEDIAN('LP Reactivos'!F658,'LP Reactivos'!I658,'LP Reactivos'!N658,'LP Reactivos'!S658,'LP Reactivos'!X658,'LP Reactivos'!AC658,'LP Reactivos'!AH658,'LP Reactivos'!AM658,'LP Reactivos'!AR658,'LP Reactivos'!AW658,'LP Reactivos'!BB658,'LP Reactivos'!BG658,'LP Reactivos'!BL658,'LP Reactivos'!BQ658,'LP Reactivos'!BV658,'LP Reactivos'!CA658,'LP Reactivos'!CF658,'LP Reactivos'!CK658,'LP Reactivos'!CP658,'LP Reactivos'!CU658,'LP Reactivos'!CZ658,'LP Reactivos'!DE658,'LP Reactivos'!DJ658,'LP Reactivos'!DO658,'LP Reactivos'!DT658,'LP Reactivos'!DY658,'LP Reactivos'!EB658)," ")</f>
        <v>319447.69</v>
      </c>
      <c r="G658" s="345">
        <f>IFERROR(GEOMEAN('LP Reactivos'!F658,'LP Reactivos'!I658,'LP Reactivos'!N658,'LP Reactivos'!S658,'LP Reactivos'!X658,'LP Reactivos'!AC658,'LP Reactivos'!AH658,'LP Reactivos'!AM658,'LP Reactivos'!AR658,'LP Reactivos'!AW658,'LP Reactivos'!BB658,'LP Reactivos'!BG658,'LP Reactivos'!BL658,'LP Reactivos'!BQ658,'LP Reactivos'!BV658,'LP Reactivos'!CA658,'LP Reactivos'!CF658,'LP Reactivos'!CK658,'LP Reactivos'!CP658,'LP Reactivos'!CU658,'LP Reactivos'!CZ658,'LP Reactivos'!DE658,'LP Reactivos'!DJ658,'LP Reactivos'!DO658,'LP Reactivos'!DT658,'LP Reactivos'!DY658,'LP Reactivos'!EB658)," ")</f>
        <v>319447.69</v>
      </c>
      <c r="H658" s="345">
        <f t="shared" si="44"/>
        <v>0</v>
      </c>
      <c r="I658" s="346">
        <f t="shared" si="45"/>
        <v>0</v>
      </c>
      <c r="J658" s="345">
        <f t="shared" si="46"/>
        <v>319447.69</v>
      </c>
      <c r="K658" s="344" t="str">
        <f t="shared" si="47"/>
        <v>Menor Valor</v>
      </c>
      <c r="L658" s="326">
        <f>IFERROR(COUNTA('LP Reactivos'!F658,'LP Reactivos'!I658,'LP Reactivos'!N658,'LP Reactivos'!S658,'LP Reactivos'!X658,'LP Reactivos'!AC658,'LP Reactivos'!AH658,'LP Reactivos'!AM658,'LP Reactivos'!AR658,'LP Reactivos'!AW658,'LP Reactivos'!BB658,'LP Reactivos'!BG658,'LP Reactivos'!BL658,'LP Reactivos'!BQ658,'LP Reactivos'!BV658,'LP Reactivos'!CA658,'LP Reactivos'!CF658,'LP Reactivos'!CK658,'LP Reactivos'!CP658,'LP Reactivos'!CU658,'LP Reactivos'!CZ658,'LP Reactivos'!DE658,'LP Reactivos'!DJ658,'LP Reactivos'!DO658,'LP Reactivos'!DT658,'LP Reactivos'!DY658,'LP Reactivos'!EB658)," ")</f>
        <v>1</v>
      </c>
    </row>
    <row r="659" spans="2:12" x14ac:dyDescent="0.25">
      <c r="B659" s="425">
        <v>657</v>
      </c>
      <c r="C659" s="427" t="s">
        <v>2805</v>
      </c>
      <c r="D659" s="429">
        <f>IFERROR(MIN('LP Reactivos'!F659,'LP Reactivos'!I659,'LP Reactivos'!N659,'LP Reactivos'!S659,'LP Reactivos'!X659,'LP Reactivos'!AC659,'LP Reactivos'!AH659,'LP Reactivos'!AM659,'LP Reactivos'!AR659,'LP Reactivos'!AW659,'LP Reactivos'!BB659,'LP Reactivos'!BG659,'LP Reactivos'!BL659,'LP Reactivos'!BQ659,'LP Reactivos'!BV659,'LP Reactivos'!CA659,'LP Reactivos'!CF659,'LP Reactivos'!CK659,'LP Reactivos'!CP659,'LP Reactivos'!CU659,'LP Reactivos'!CZ659,'LP Reactivos'!DE659,'LP Reactivos'!DJ659,'LP Reactivos'!DO659,'LP Reactivos'!DT659,'LP Reactivos'!DY659,'LP Reactivos'!EB659)," ")</f>
        <v>3464573.645</v>
      </c>
      <c r="E659" s="429">
        <f>IFERROR(AVERAGE('LP Reactivos'!F659,'LP Reactivos'!I659,'LP Reactivos'!N659,'LP Reactivos'!S659,'LP Reactivos'!X659,'LP Reactivos'!AC659,'LP Reactivos'!AH659,'LP Reactivos'!AM659,'LP Reactivos'!AR659,'LP Reactivos'!AW659,'LP Reactivos'!BB659,'LP Reactivos'!BG659,'LP Reactivos'!BL659,'LP Reactivos'!BQ659,'LP Reactivos'!BV659,'LP Reactivos'!CA659,'LP Reactivos'!CF659,'LP Reactivos'!CK659,'LP Reactivos'!CP659,'LP Reactivos'!CU659,'LP Reactivos'!CZ659,'LP Reactivos'!DE659,'LP Reactivos'!DJ659,'LP Reactivos'!DO659,'LP Reactivos'!DT659,'LP Reactivos'!DY659,'LP Reactivos'!EB659)," ")</f>
        <v>3464573.645</v>
      </c>
      <c r="F659" s="345">
        <f>IFERROR(MEDIAN('LP Reactivos'!F659,'LP Reactivos'!I659,'LP Reactivos'!N659,'LP Reactivos'!S659,'LP Reactivos'!X659,'LP Reactivos'!AC659,'LP Reactivos'!AH659,'LP Reactivos'!AM659,'LP Reactivos'!AR659,'LP Reactivos'!AW659,'LP Reactivos'!BB659,'LP Reactivos'!BG659,'LP Reactivos'!BL659,'LP Reactivos'!BQ659,'LP Reactivos'!BV659,'LP Reactivos'!CA659,'LP Reactivos'!CF659,'LP Reactivos'!CK659,'LP Reactivos'!CP659,'LP Reactivos'!CU659,'LP Reactivos'!CZ659,'LP Reactivos'!DE659,'LP Reactivos'!DJ659,'LP Reactivos'!DO659,'LP Reactivos'!DT659,'LP Reactivos'!DY659,'LP Reactivos'!EB659)," ")</f>
        <v>3464573.645</v>
      </c>
      <c r="G659" s="345">
        <f>IFERROR(GEOMEAN('LP Reactivos'!F659,'LP Reactivos'!I659,'LP Reactivos'!N659,'LP Reactivos'!S659,'LP Reactivos'!X659,'LP Reactivos'!AC659,'LP Reactivos'!AH659,'LP Reactivos'!AM659,'LP Reactivos'!AR659,'LP Reactivos'!AW659,'LP Reactivos'!BB659,'LP Reactivos'!BG659,'LP Reactivos'!BL659,'LP Reactivos'!BQ659,'LP Reactivos'!BV659,'LP Reactivos'!CA659,'LP Reactivos'!CF659,'LP Reactivos'!CK659,'LP Reactivos'!CP659,'LP Reactivos'!CU659,'LP Reactivos'!CZ659,'LP Reactivos'!DE659,'LP Reactivos'!DJ659,'LP Reactivos'!DO659,'LP Reactivos'!DT659,'LP Reactivos'!DY659,'LP Reactivos'!EB659)," ")</f>
        <v>3464573.645</v>
      </c>
      <c r="H659" s="345">
        <f t="shared" si="44"/>
        <v>0</v>
      </c>
      <c r="I659" s="346">
        <f t="shared" si="45"/>
        <v>0</v>
      </c>
      <c r="J659" s="345">
        <f t="shared" si="46"/>
        <v>3464573.645</v>
      </c>
      <c r="K659" s="344" t="str">
        <f t="shared" si="47"/>
        <v>Menor Valor</v>
      </c>
      <c r="L659" s="326">
        <f>IFERROR(COUNTA('LP Reactivos'!F659,'LP Reactivos'!I659,'LP Reactivos'!N659,'LP Reactivos'!S659,'LP Reactivos'!X659,'LP Reactivos'!AC659,'LP Reactivos'!AH659,'LP Reactivos'!AM659,'LP Reactivos'!AR659,'LP Reactivos'!AW659,'LP Reactivos'!BB659,'LP Reactivos'!BG659,'LP Reactivos'!BL659,'LP Reactivos'!BQ659,'LP Reactivos'!BV659,'LP Reactivos'!CA659,'LP Reactivos'!CF659,'LP Reactivos'!CK659,'LP Reactivos'!CP659,'LP Reactivos'!CU659,'LP Reactivos'!CZ659,'LP Reactivos'!DE659,'LP Reactivos'!DJ659,'LP Reactivos'!DO659,'LP Reactivos'!DT659,'LP Reactivos'!DY659,'LP Reactivos'!EB659)," ")</f>
        <v>1</v>
      </c>
    </row>
    <row r="660" spans="2:12" x14ac:dyDescent="0.25">
      <c r="B660" s="425">
        <v>658</v>
      </c>
      <c r="C660" s="427" t="s">
        <v>2806</v>
      </c>
      <c r="D660" s="429">
        <f>IFERROR(MIN('LP Reactivos'!F660,'LP Reactivos'!I660,'LP Reactivos'!N660,'LP Reactivos'!S660,'LP Reactivos'!X660,'LP Reactivos'!AC660,'LP Reactivos'!AH660,'LP Reactivos'!AM660,'LP Reactivos'!AR660,'LP Reactivos'!AW660,'LP Reactivos'!BB660,'LP Reactivos'!BG660,'LP Reactivos'!BL660,'LP Reactivos'!BQ660,'LP Reactivos'!BV660,'LP Reactivos'!CA660,'LP Reactivos'!CF660,'LP Reactivos'!CK660,'LP Reactivos'!CP660,'LP Reactivos'!CU660,'LP Reactivos'!CZ660,'LP Reactivos'!DE660,'LP Reactivos'!DJ660,'LP Reactivos'!DO660,'LP Reactivos'!DT660,'LP Reactivos'!DY660,'LP Reactivos'!EB660)," ")</f>
        <v>2067564.31</v>
      </c>
      <c r="E660" s="429">
        <f>IFERROR(AVERAGE('LP Reactivos'!F660,'LP Reactivos'!I660,'LP Reactivos'!N660,'LP Reactivos'!S660,'LP Reactivos'!X660,'LP Reactivos'!AC660,'LP Reactivos'!AH660,'LP Reactivos'!AM660,'LP Reactivos'!AR660,'LP Reactivos'!AW660,'LP Reactivos'!BB660,'LP Reactivos'!BG660,'LP Reactivos'!BL660,'LP Reactivos'!BQ660,'LP Reactivos'!BV660,'LP Reactivos'!CA660,'LP Reactivos'!CF660,'LP Reactivos'!CK660,'LP Reactivos'!CP660,'LP Reactivos'!CU660,'LP Reactivos'!CZ660,'LP Reactivos'!DE660,'LP Reactivos'!DJ660,'LP Reactivos'!DO660,'LP Reactivos'!DT660,'LP Reactivos'!DY660,'LP Reactivos'!EB660)," ")</f>
        <v>2067564.31</v>
      </c>
      <c r="F660" s="345">
        <f>IFERROR(MEDIAN('LP Reactivos'!F660,'LP Reactivos'!I660,'LP Reactivos'!N660,'LP Reactivos'!S660,'LP Reactivos'!X660,'LP Reactivos'!AC660,'LP Reactivos'!AH660,'LP Reactivos'!AM660,'LP Reactivos'!AR660,'LP Reactivos'!AW660,'LP Reactivos'!BB660,'LP Reactivos'!BG660,'LP Reactivos'!BL660,'LP Reactivos'!BQ660,'LP Reactivos'!BV660,'LP Reactivos'!CA660,'LP Reactivos'!CF660,'LP Reactivos'!CK660,'LP Reactivos'!CP660,'LP Reactivos'!CU660,'LP Reactivos'!CZ660,'LP Reactivos'!DE660,'LP Reactivos'!DJ660,'LP Reactivos'!DO660,'LP Reactivos'!DT660,'LP Reactivos'!DY660,'LP Reactivos'!EB660)," ")</f>
        <v>2067564.31</v>
      </c>
      <c r="G660" s="345">
        <f>IFERROR(GEOMEAN('LP Reactivos'!F660,'LP Reactivos'!I660,'LP Reactivos'!N660,'LP Reactivos'!S660,'LP Reactivos'!X660,'LP Reactivos'!AC660,'LP Reactivos'!AH660,'LP Reactivos'!AM660,'LP Reactivos'!AR660,'LP Reactivos'!AW660,'LP Reactivos'!BB660,'LP Reactivos'!BG660,'LP Reactivos'!BL660,'LP Reactivos'!BQ660,'LP Reactivos'!BV660,'LP Reactivos'!CA660,'LP Reactivos'!CF660,'LP Reactivos'!CK660,'LP Reactivos'!CP660,'LP Reactivos'!CU660,'LP Reactivos'!CZ660,'LP Reactivos'!DE660,'LP Reactivos'!DJ660,'LP Reactivos'!DO660,'LP Reactivos'!DT660,'LP Reactivos'!DY660,'LP Reactivos'!EB660)," ")</f>
        <v>2067564.31</v>
      </c>
      <c r="H660" s="345">
        <f t="shared" si="44"/>
        <v>0</v>
      </c>
      <c r="I660" s="346">
        <f t="shared" si="45"/>
        <v>0</v>
      </c>
      <c r="J660" s="345">
        <f t="shared" si="46"/>
        <v>2067564.31</v>
      </c>
      <c r="K660" s="344" t="str">
        <f t="shared" si="47"/>
        <v>Menor Valor</v>
      </c>
      <c r="L660" s="326">
        <f>IFERROR(COUNTA('LP Reactivos'!F660,'LP Reactivos'!I660,'LP Reactivos'!N660,'LP Reactivos'!S660,'LP Reactivos'!X660,'LP Reactivos'!AC660,'LP Reactivos'!AH660,'LP Reactivos'!AM660,'LP Reactivos'!AR660,'LP Reactivos'!AW660,'LP Reactivos'!BB660,'LP Reactivos'!BG660,'LP Reactivos'!BL660,'LP Reactivos'!BQ660,'LP Reactivos'!BV660,'LP Reactivos'!CA660,'LP Reactivos'!CF660,'LP Reactivos'!CK660,'LP Reactivos'!CP660,'LP Reactivos'!CU660,'LP Reactivos'!CZ660,'LP Reactivos'!DE660,'LP Reactivos'!DJ660,'LP Reactivos'!DO660,'LP Reactivos'!DT660,'LP Reactivos'!DY660,'LP Reactivos'!EB660)," ")</f>
        <v>1</v>
      </c>
    </row>
    <row r="661" spans="2:12" x14ac:dyDescent="0.25">
      <c r="B661" s="425">
        <v>659</v>
      </c>
      <c r="C661" s="427" t="s">
        <v>2808</v>
      </c>
      <c r="D661" s="429">
        <f>IFERROR(MIN('LP Reactivos'!F661,'LP Reactivos'!I661,'LP Reactivos'!N661,'LP Reactivos'!S661,'LP Reactivos'!X661,'LP Reactivos'!AC661,'LP Reactivos'!AH661,'LP Reactivos'!AM661,'LP Reactivos'!AR661,'LP Reactivos'!AW661,'LP Reactivos'!BB661,'LP Reactivos'!BG661,'LP Reactivos'!BL661,'LP Reactivos'!BQ661,'LP Reactivos'!BV661,'LP Reactivos'!CA661,'LP Reactivos'!CF661,'LP Reactivos'!CK661,'LP Reactivos'!CP661,'LP Reactivos'!CU661,'LP Reactivos'!CZ661,'LP Reactivos'!DE661,'LP Reactivos'!DJ661,'LP Reactivos'!DO661,'LP Reactivos'!DT661,'LP Reactivos'!DY661,'LP Reactivos'!EB661)," ")</f>
        <v>442821.35580000002</v>
      </c>
      <c r="E661" s="429">
        <f>IFERROR(AVERAGE('LP Reactivos'!F661,'LP Reactivos'!I661,'LP Reactivos'!N661,'LP Reactivos'!S661,'LP Reactivos'!X661,'LP Reactivos'!AC661,'LP Reactivos'!AH661,'LP Reactivos'!AM661,'LP Reactivos'!AR661,'LP Reactivos'!AW661,'LP Reactivos'!BB661,'LP Reactivos'!BG661,'LP Reactivos'!BL661,'LP Reactivos'!BQ661,'LP Reactivos'!BV661,'LP Reactivos'!CA661,'LP Reactivos'!CF661,'LP Reactivos'!CK661,'LP Reactivos'!CP661,'LP Reactivos'!CU661,'LP Reactivos'!CZ661,'LP Reactivos'!DE661,'LP Reactivos'!DJ661,'LP Reactivos'!DO661,'LP Reactivos'!DT661,'LP Reactivos'!DY661,'LP Reactivos'!EB661)," ")</f>
        <v>442821.35580000002</v>
      </c>
      <c r="F661" s="345">
        <f>IFERROR(MEDIAN('LP Reactivos'!F661,'LP Reactivos'!I661,'LP Reactivos'!N661,'LP Reactivos'!S661,'LP Reactivos'!X661,'LP Reactivos'!AC661,'LP Reactivos'!AH661,'LP Reactivos'!AM661,'LP Reactivos'!AR661,'LP Reactivos'!AW661,'LP Reactivos'!BB661,'LP Reactivos'!BG661,'LP Reactivos'!BL661,'LP Reactivos'!BQ661,'LP Reactivos'!BV661,'LP Reactivos'!CA661,'LP Reactivos'!CF661,'LP Reactivos'!CK661,'LP Reactivos'!CP661,'LP Reactivos'!CU661,'LP Reactivos'!CZ661,'LP Reactivos'!DE661,'LP Reactivos'!DJ661,'LP Reactivos'!DO661,'LP Reactivos'!DT661,'LP Reactivos'!DY661,'LP Reactivos'!EB661)," ")</f>
        <v>442821.35580000002</v>
      </c>
      <c r="G661" s="345">
        <f>IFERROR(GEOMEAN('LP Reactivos'!F661,'LP Reactivos'!I661,'LP Reactivos'!N661,'LP Reactivos'!S661,'LP Reactivos'!X661,'LP Reactivos'!AC661,'LP Reactivos'!AH661,'LP Reactivos'!AM661,'LP Reactivos'!AR661,'LP Reactivos'!AW661,'LP Reactivos'!BB661,'LP Reactivos'!BG661,'LP Reactivos'!BL661,'LP Reactivos'!BQ661,'LP Reactivos'!BV661,'LP Reactivos'!CA661,'LP Reactivos'!CF661,'LP Reactivos'!CK661,'LP Reactivos'!CP661,'LP Reactivos'!CU661,'LP Reactivos'!CZ661,'LP Reactivos'!DE661,'LP Reactivos'!DJ661,'LP Reactivos'!DO661,'LP Reactivos'!DT661,'LP Reactivos'!DY661,'LP Reactivos'!EB661)," ")</f>
        <v>442821.35580000002</v>
      </c>
      <c r="H661" s="345">
        <f t="shared" si="44"/>
        <v>0</v>
      </c>
      <c r="I661" s="346">
        <f t="shared" si="45"/>
        <v>0</v>
      </c>
      <c r="J661" s="345">
        <f t="shared" si="46"/>
        <v>442821.35580000002</v>
      </c>
      <c r="K661" s="344" t="str">
        <f t="shared" si="47"/>
        <v>Menor Valor</v>
      </c>
      <c r="L661" s="326">
        <f>IFERROR(COUNTA('LP Reactivos'!F661,'LP Reactivos'!I661,'LP Reactivos'!N661,'LP Reactivos'!S661,'LP Reactivos'!X661,'LP Reactivos'!AC661,'LP Reactivos'!AH661,'LP Reactivos'!AM661,'LP Reactivos'!AR661,'LP Reactivos'!AW661,'LP Reactivos'!BB661,'LP Reactivos'!BG661,'LP Reactivos'!BL661,'LP Reactivos'!BQ661,'LP Reactivos'!BV661,'LP Reactivos'!CA661,'LP Reactivos'!CF661,'LP Reactivos'!CK661,'LP Reactivos'!CP661,'LP Reactivos'!CU661,'LP Reactivos'!CZ661,'LP Reactivos'!DE661,'LP Reactivos'!DJ661,'LP Reactivos'!DO661,'LP Reactivos'!DT661,'LP Reactivos'!DY661,'LP Reactivos'!EB661)," ")</f>
        <v>1</v>
      </c>
    </row>
    <row r="662" spans="2:12" ht="27" x14ac:dyDescent="0.25">
      <c r="B662" s="425">
        <v>660</v>
      </c>
      <c r="C662" s="427" t="s">
        <v>2809</v>
      </c>
      <c r="D662" s="429">
        <f>IFERROR(MIN('LP Reactivos'!F662,'LP Reactivos'!I662,'LP Reactivos'!N662,'LP Reactivos'!S662,'LP Reactivos'!X662,'LP Reactivos'!AC662,'LP Reactivos'!AH662,'LP Reactivos'!AM662,'LP Reactivos'!AR662,'LP Reactivos'!AW662,'LP Reactivos'!BB662,'LP Reactivos'!BG662,'LP Reactivos'!BL662,'LP Reactivos'!BQ662,'LP Reactivos'!BV662,'LP Reactivos'!CA662,'LP Reactivos'!CF662,'LP Reactivos'!CK662,'LP Reactivos'!CP662,'LP Reactivos'!CU662,'LP Reactivos'!CZ662,'LP Reactivos'!DE662,'LP Reactivos'!DJ662,'LP Reactivos'!DO662,'LP Reactivos'!DT662,'LP Reactivos'!DY662,'LP Reactivos'!EB662)," ")</f>
        <v>4587604.7</v>
      </c>
      <c r="E662" s="429">
        <f>IFERROR(AVERAGE('LP Reactivos'!F662,'LP Reactivos'!I662,'LP Reactivos'!N662,'LP Reactivos'!S662,'LP Reactivos'!X662,'LP Reactivos'!AC662,'LP Reactivos'!AH662,'LP Reactivos'!AM662,'LP Reactivos'!AR662,'LP Reactivos'!AW662,'LP Reactivos'!BB662,'LP Reactivos'!BG662,'LP Reactivos'!BL662,'LP Reactivos'!BQ662,'LP Reactivos'!BV662,'LP Reactivos'!CA662,'LP Reactivos'!CF662,'LP Reactivos'!CK662,'LP Reactivos'!CP662,'LP Reactivos'!CU662,'LP Reactivos'!CZ662,'LP Reactivos'!DE662,'LP Reactivos'!DJ662,'LP Reactivos'!DO662,'LP Reactivos'!DT662,'LP Reactivos'!DY662,'LP Reactivos'!EB662)," ")</f>
        <v>4587604.7</v>
      </c>
      <c r="F662" s="345">
        <f>IFERROR(MEDIAN('LP Reactivos'!F662,'LP Reactivos'!I662,'LP Reactivos'!N662,'LP Reactivos'!S662,'LP Reactivos'!X662,'LP Reactivos'!AC662,'LP Reactivos'!AH662,'LP Reactivos'!AM662,'LP Reactivos'!AR662,'LP Reactivos'!AW662,'LP Reactivos'!BB662,'LP Reactivos'!BG662,'LP Reactivos'!BL662,'LP Reactivos'!BQ662,'LP Reactivos'!BV662,'LP Reactivos'!CA662,'LP Reactivos'!CF662,'LP Reactivos'!CK662,'LP Reactivos'!CP662,'LP Reactivos'!CU662,'LP Reactivos'!CZ662,'LP Reactivos'!DE662,'LP Reactivos'!DJ662,'LP Reactivos'!DO662,'LP Reactivos'!DT662,'LP Reactivos'!DY662,'LP Reactivos'!EB662)," ")</f>
        <v>4587604.7</v>
      </c>
      <c r="G662" s="345">
        <f>IFERROR(GEOMEAN('LP Reactivos'!F662,'LP Reactivos'!I662,'LP Reactivos'!N662,'LP Reactivos'!S662,'LP Reactivos'!X662,'LP Reactivos'!AC662,'LP Reactivos'!AH662,'LP Reactivos'!AM662,'LP Reactivos'!AR662,'LP Reactivos'!AW662,'LP Reactivos'!BB662,'LP Reactivos'!BG662,'LP Reactivos'!BL662,'LP Reactivos'!BQ662,'LP Reactivos'!BV662,'LP Reactivos'!CA662,'LP Reactivos'!CF662,'LP Reactivos'!CK662,'LP Reactivos'!CP662,'LP Reactivos'!CU662,'LP Reactivos'!CZ662,'LP Reactivos'!DE662,'LP Reactivos'!DJ662,'LP Reactivos'!DO662,'LP Reactivos'!DT662,'LP Reactivos'!DY662,'LP Reactivos'!EB662)," ")</f>
        <v>4587604.7</v>
      </c>
      <c r="H662" s="345">
        <f t="shared" si="44"/>
        <v>0</v>
      </c>
      <c r="I662" s="346">
        <f t="shared" si="45"/>
        <v>0</v>
      </c>
      <c r="J662" s="345">
        <f t="shared" si="46"/>
        <v>4587604.7</v>
      </c>
      <c r="K662" s="344" t="str">
        <f t="shared" si="47"/>
        <v>Menor Valor</v>
      </c>
      <c r="L662" s="326">
        <f>IFERROR(COUNTA('LP Reactivos'!F662,'LP Reactivos'!I662,'LP Reactivos'!N662,'LP Reactivos'!S662,'LP Reactivos'!X662,'LP Reactivos'!AC662,'LP Reactivos'!AH662,'LP Reactivos'!AM662,'LP Reactivos'!AR662,'LP Reactivos'!AW662,'LP Reactivos'!BB662,'LP Reactivos'!BG662,'LP Reactivos'!BL662,'LP Reactivos'!BQ662,'LP Reactivos'!BV662,'LP Reactivos'!CA662,'LP Reactivos'!CF662,'LP Reactivos'!CK662,'LP Reactivos'!CP662,'LP Reactivos'!CU662,'LP Reactivos'!CZ662,'LP Reactivos'!DE662,'LP Reactivos'!DJ662,'LP Reactivos'!DO662,'LP Reactivos'!DT662,'LP Reactivos'!DY662,'LP Reactivos'!EB662)," ")</f>
        <v>1</v>
      </c>
    </row>
    <row r="663" spans="2:12" x14ac:dyDescent="0.25">
      <c r="B663" s="425">
        <v>661</v>
      </c>
      <c r="C663" s="427" t="s">
        <v>2810</v>
      </c>
      <c r="D663" s="429">
        <f>IFERROR(MIN('LP Reactivos'!F663,'LP Reactivos'!I663,'LP Reactivos'!N663,'LP Reactivos'!S663,'LP Reactivos'!X663,'LP Reactivos'!AC663,'LP Reactivos'!AH663,'LP Reactivos'!AM663,'LP Reactivos'!AR663,'LP Reactivos'!AW663,'LP Reactivos'!BB663,'LP Reactivos'!BG663,'LP Reactivos'!BL663,'LP Reactivos'!BQ663,'LP Reactivos'!BV663,'LP Reactivos'!CA663,'LP Reactivos'!CF663,'LP Reactivos'!CK663,'LP Reactivos'!CP663,'LP Reactivos'!CU663,'LP Reactivos'!CZ663,'LP Reactivos'!DE663,'LP Reactivos'!DJ663,'LP Reactivos'!DO663,'LP Reactivos'!DT663,'LP Reactivos'!DY663,'LP Reactivos'!EB663)," ")</f>
        <v>1440666.3058</v>
      </c>
      <c r="E663" s="429">
        <f>IFERROR(AVERAGE('LP Reactivos'!F663,'LP Reactivos'!I663,'LP Reactivos'!N663,'LP Reactivos'!S663,'LP Reactivos'!X663,'LP Reactivos'!AC663,'LP Reactivos'!AH663,'LP Reactivos'!AM663,'LP Reactivos'!AR663,'LP Reactivos'!AW663,'LP Reactivos'!BB663,'LP Reactivos'!BG663,'LP Reactivos'!BL663,'LP Reactivos'!BQ663,'LP Reactivos'!BV663,'LP Reactivos'!CA663,'LP Reactivos'!CF663,'LP Reactivos'!CK663,'LP Reactivos'!CP663,'LP Reactivos'!CU663,'LP Reactivos'!CZ663,'LP Reactivos'!DE663,'LP Reactivos'!DJ663,'LP Reactivos'!DO663,'LP Reactivos'!DT663,'LP Reactivos'!DY663,'LP Reactivos'!EB663)," ")</f>
        <v>1440666.3058</v>
      </c>
      <c r="F663" s="345">
        <f>IFERROR(MEDIAN('LP Reactivos'!F663,'LP Reactivos'!I663,'LP Reactivos'!N663,'LP Reactivos'!S663,'LP Reactivos'!X663,'LP Reactivos'!AC663,'LP Reactivos'!AH663,'LP Reactivos'!AM663,'LP Reactivos'!AR663,'LP Reactivos'!AW663,'LP Reactivos'!BB663,'LP Reactivos'!BG663,'LP Reactivos'!BL663,'LP Reactivos'!BQ663,'LP Reactivos'!BV663,'LP Reactivos'!CA663,'LP Reactivos'!CF663,'LP Reactivos'!CK663,'LP Reactivos'!CP663,'LP Reactivos'!CU663,'LP Reactivos'!CZ663,'LP Reactivos'!DE663,'LP Reactivos'!DJ663,'LP Reactivos'!DO663,'LP Reactivos'!DT663,'LP Reactivos'!DY663,'LP Reactivos'!EB663)," ")</f>
        <v>1440666.3058</v>
      </c>
      <c r="G663" s="345">
        <f>IFERROR(GEOMEAN('LP Reactivos'!F663,'LP Reactivos'!I663,'LP Reactivos'!N663,'LP Reactivos'!S663,'LP Reactivos'!X663,'LP Reactivos'!AC663,'LP Reactivos'!AH663,'LP Reactivos'!AM663,'LP Reactivos'!AR663,'LP Reactivos'!AW663,'LP Reactivos'!BB663,'LP Reactivos'!BG663,'LP Reactivos'!BL663,'LP Reactivos'!BQ663,'LP Reactivos'!BV663,'LP Reactivos'!CA663,'LP Reactivos'!CF663,'LP Reactivos'!CK663,'LP Reactivos'!CP663,'LP Reactivos'!CU663,'LP Reactivos'!CZ663,'LP Reactivos'!DE663,'LP Reactivos'!DJ663,'LP Reactivos'!DO663,'LP Reactivos'!DT663,'LP Reactivos'!DY663,'LP Reactivos'!EB663)," ")</f>
        <v>1440666.3058</v>
      </c>
      <c r="H663" s="345">
        <f t="shared" si="44"/>
        <v>0</v>
      </c>
      <c r="I663" s="346">
        <f t="shared" si="45"/>
        <v>0</v>
      </c>
      <c r="J663" s="345">
        <f t="shared" si="46"/>
        <v>1440666.3058</v>
      </c>
      <c r="K663" s="344" t="str">
        <f t="shared" si="47"/>
        <v>Menor Valor</v>
      </c>
      <c r="L663" s="326">
        <f>IFERROR(COUNTA('LP Reactivos'!F663,'LP Reactivos'!I663,'LP Reactivos'!N663,'LP Reactivos'!S663,'LP Reactivos'!X663,'LP Reactivos'!AC663,'LP Reactivos'!AH663,'LP Reactivos'!AM663,'LP Reactivos'!AR663,'LP Reactivos'!AW663,'LP Reactivos'!BB663,'LP Reactivos'!BG663,'LP Reactivos'!BL663,'LP Reactivos'!BQ663,'LP Reactivos'!BV663,'LP Reactivos'!CA663,'LP Reactivos'!CF663,'LP Reactivos'!CK663,'LP Reactivos'!CP663,'LP Reactivos'!CU663,'LP Reactivos'!CZ663,'LP Reactivos'!DE663,'LP Reactivos'!DJ663,'LP Reactivos'!DO663,'LP Reactivos'!DT663,'LP Reactivos'!DY663,'LP Reactivos'!EB663)," ")</f>
        <v>1</v>
      </c>
    </row>
    <row r="664" spans="2:12" x14ac:dyDescent="0.25">
      <c r="B664" s="425">
        <v>662</v>
      </c>
      <c r="C664" s="428" t="s">
        <v>2811</v>
      </c>
      <c r="D664" s="429">
        <f>IFERROR(MIN('LP Reactivos'!F664,'LP Reactivos'!I664,'LP Reactivos'!N664,'LP Reactivos'!S664,'LP Reactivos'!X664,'LP Reactivos'!AC664,'LP Reactivos'!AH664,'LP Reactivos'!AM664,'LP Reactivos'!AR664,'LP Reactivos'!AW664,'LP Reactivos'!BB664,'LP Reactivos'!BG664,'LP Reactivos'!BL664,'LP Reactivos'!BQ664,'LP Reactivos'!BV664,'LP Reactivos'!CA664,'LP Reactivos'!CF664,'LP Reactivos'!CK664,'LP Reactivos'!CP664,'LP Reactivos'!CU664,'LP Reactivos'!CZ664,'LP Reactivos'!DE664,'LP Reactivos'!DJ664,'LP Reactivos'!DO664,'LP Reactivos'!DT664,'LP Reactivos'!DY664,'LP Reactivos'!EB664)," ")</f>
        <v>311542</v>
      </c>
      <c r="E664" s="429">
        <f>IFERROR(AVERAGE('LP Reactivos'!F664,'LP Reactivos'!I664,'LP Reactivos'!N664,'LP Reactivos'!S664,'LP Reactivos'!X664,'LP Reactivos'!AC664,'LP Reactivos'!AH664,'LP Reactivos'!AM664,'LP Reactivos'!AR664,'LP Reactivos'!AW664,'LP Reactivos'!BB664,'LP Reactivos'!BG664,'LP Reactivos'!BL664,'LP Reactivos'!BQ664,'LP Reactivos'!BV664,'LP Reactivos'!CA664,'LP Reactivos'!CF664,'LP Reactivos'!CK664,'LP Reactivos'!CP664,'LP Reactivos'!CU664,'LP Reactivos'!CZ664,'LP Reactivos'!DE664,'LP Reactivos'!DJ664,'LP Reactivos'!DO664,'LP Reactivos'!DT664,'LP Reactivos'!DY664,'LP Reactivos'!EB664)," ")</f>
        <v>390807.18599999999</v>
      </c>
      <c r="F664" s="345">
        <f>IFERROR(MEDIAN('LP Reactivos'!F664,'LP Reactivos'!I664,'LP Reactivos'!N664,'LP Reactivos'!S664,'LP Reactivos'!X664,'LP Reactivos'!AC664,'LP Reactivos'!AH664,'LP Reactivos'!AM664,'LP Reactivos'!AR664,'LP Reactivos'!AW664,'LP Reactivos'!BB664,'LP Reactivos'!BG664,'LP Reactivos'!BL664,'LP Reactivos'!BQ664,'LP Reactivos'!BV664,'LP Reactivos'!CA664,'LP Reactivos'!CF664,'LP Reactivos'!CK664,'LP Reactivos'!CP664,'LP Reactivos'!CU664,'LP Reactivos'!CZ664,'LP Reactivos'!DE664,'LP Reactivos'!DJ664,'LP Reactivos'!DO664,'LP Reactivos'!DT664,'LP Reactivos'!DY664,'LP Reactivos'!EB664)," ")</f>
        <v>390807.18599999999</v>
      </c>
      <c r="G664" s="345">
        <f>IFERROR(GEOMEAN('LP Reactivos'!F664,'LP Reactivos'!I664,'LP Reactivos'!N664,'LP Reactivos'!S664,'LP Reactivos'!X664,'LP Reactivos'!AC664,'LP Reactivos'!AH664,'LP Reactivos'!AM664,'LP Reactivos'!AR664,'LP Reactivos'!AW664,'LP Reactivos'!BB664,'LP Reactivos'!BG664,'LP Reactivos'!BL664,'LP Reactivos'!BQ664,'LP Reactivos'!BV664,'LP Reactivos'!CA664,'LP Reactivos'!CF664,'LP Reactivos'!CK664,'LP Reactivos'!CP664,'LP Reactivos'!CU664,'LP Reactivos'!CZ664,'LP Reactivos'!DE664,'LP Reactivos'!DJ664,'LP Reactivos'!DO664,'LP Reactivos'!DT664,'LP Reactivos'!DY664,'LP Reactivos'!EB664)," ")</f>
        <v>382684.31757471332</v>
      </c>
      <c r="H664" s="345">
        <f t="shared" si="44"/>
        <v>38469.82665678778</v>
      </c>
      <c r="I664" s="346">
        <f t="shared" si="45"/>
        <v>9.843684567455159E-2</v>
      </c>
      <c r="J664" s="345">
        <f t="shared" si="46"/>
        <v>390807.18599999999</v>
      </c>
      <c r="K664" s="344" t="str">
        <f t="shared" si="47"/>
        <v>Promedio</v>
      </c>
      <c r="L664" s="326">
        <f>IFERROR(COUNTA('LP Reactivos'!F664,'LP Reactivos'!I664,'LP Reactivos'!N664,'LP Reactivos'!S664,'LP Reactivos'!X664,'LP Reactivos'!AC664,'LP Reactivos'!AH664,'LP Reactivos'!AM664,'LP Reactivos'!AR664,'LP Reactivos'!AW664,'LP Reactivos'!BB664,'LP Reactivos'!BG664,'LP Reactivos'!BL664,'LP Reactivos'!BQ664,'LP Reactivos'!BV664,'LP Reactivos'!CA664,'LP Reactivos'!CF664,'LP Reactivos'!CK664,'LP Reactivos'!CP664,'LP Reactivos'!CU664,'LP Reactivos'!CZ664,'LP Reactivos'!DE664,'LP Reactivos'!DJ664,'LP Reactivos'!DO664,'LP Reactivos'!DT664,'LP Reactivos'!DY664,'LP Reactivos'!EB664)," ")</f>
        <v>2</v>
      </c>
    </row>
    <row r="665" spans="2:12" ht="27" x14ac:dyDescent="0.25">
      <c r="B665" s="425">
        <v>663</v>
      </c>
      <c r="C665" s="427" t="s">
        <v>2813</v>
      </c>
      <c r="D665" s="429">
        <f>IFERROR(MIN('LP Reactivos'!F665,'LP Reactivos'!I665,'LP Reactivos'!N665,'LP Reactivos'!S665,'LP Reactivos'!X665,'LP Reactivos'!AC665,'LP Reactivos'!AH665,'LP Reactivos'!AM665,'LP Reactivos'!AR665,'LP Reactivos'!AW665,'LP Reactivos'!BB665,'LP Reactivos'!BG665,'LP Reactivos'!BL665,'LP Reactivos'!BQ665,'LP Reactivos'!BV665,'LP Reactivos'!CA665,'LP Reactivos'!CF665,'LP Reactivos'!CK665,'LP Reactivos'!CP665,'LP Reactivos'!CU665,'LP Reactivos'!CZ665,'LP Reactivos'!DE665,'LP Reactivos'!DJ665,'LP Reactivos'!DO665,'LP Reactivos'!DT665,'LP Reactivos'!DY665,'LP Reactivos'!EB665)," ")</f>
        <v>297118.56579999998</v>
      </c>
      <c r="E665" s="429">
        <f>IFERROR(AVERAGE('LP Reactivos'!F665,'LP Reactivos'!I665,'LP Reactivos'!N665,'LP Reactivos'!S665,'LP Reactivos'!X665,'LP Reactivos'!AC665,'LP Reactivos'!AH665,'LP Reactivos'!AM665,'LP Reactivos'!AR665,'LP Reactivos'!AW665,'LP Reactivos'!BB665,'LP Reactivos'!BG665,'LP Reactivos'!BL665,'LP Reactivos'!BQ665,'LP Reactivos'!BV665,'LP Reactivos'!CA665,'LP Reactivos'!CF665,'LP Reactivos'!CK665,'LP Reactivos'!CP665,'LP Reactivos'!CU665,'LP Reactivos'!CZ665,'LP Reactivos'!DE665,'LP Reactivos'!DJ665,'LP Reactivos'!DO665,'LP Reactivos'!DT665,'LP Reactivos'!DY665,'LP Reactivos'!EB665)," ")</f>
        <v>297118.56579999998</v>
      </c>
      <c r="F665" s="345">
        <f>IFERROR(MEDIAN('LP Reactivos'!F665,'LP Reactivos'!I665,'LP Reactivos'!N665,'LP Reactivos'!S665,'LP Reactivos'!X665,'LP Reactivos'!AC665,'LP Reactivos'!AH665,'LP Reactivos'!AM665,'LP Reactivos'!AR665,'LP Reactivos'!AW665,'LP Reactivos'!BB665,'LP Reactivos'!BG665,'LP Reactivos'!BL665,'LP Reactivos'!BQ665,'LP Reactivos'!BV665,'LP Reactivos'!CA665,'LP Reactivos'!CF665,'LP Reactivos'!CK665,'LP Reactivos'!CP665,'LP Reactivos'!CU665,'LP Reactivos'!CZ665,'LP Reactivos'!DE665,'LP Reactivos'!DJ665,'LP Reactivos'!DO665,'LP Reactivos'!DT665,'LP Reactivos'!DY665,'LP Reactivos'!EB665)," ")</f>
        <v>297118.56579999998</v>
      </c>
      <c r="G665" s="345">
        <f>IFERROR(GEOMEAN('LP Reactivos'!F665,'LP Reactivos'!I665,'LP Reactivos'!N665,'LP Reactivos'!S665,'LP Reactivos'!X665,'LP Reactivos'!AC665,'LP Reactivos'!AH665,'LP Reactivos'!AM665,'LP Reactivos'!AR665,'LP Reactivos'!AW665,'LP Reactivos'!BB665,'LP Reactivos'!BG665,'LP Reactivos'!BL665,'LP Reactivos'!BQ665,'LP Reactivos'!BV665,'LP Reactivos'!CA665,'LP Reactivos'!CF665,'LP Reactivos'!CK665,'LP Reactivos'!CP665,'LP Reactivos'!CU665,'LP Reactivos'!CZ665,'LP Reactivos'!DE665,'LP Reactivos'!DJ665,'LP Reactivos'!DO665,'LP Reactivos'!DT665,'LP Reactivos'!DY665,'LP Reactivos'!EB665)," ")</f>
        <v>297118.56579999998</v>
      </c>
      <c r="H665" s="345">
        <f t="shared" si="44"/>
        <v>0</v>
      </c>
      <c r="I665" s="346">
        <f t="shared" si="45"/>
        <v>0</v>
      </c>
      <c r="J665" s="345">
        <f t="shared" si="46"/>
        <v>297118.56579999998</v>
      </c>
      <c r="K665" s="344" t="str">
        <f t="shared" si="47"/>
        <v>Menor Valor</v>
      </c>
      <c r="L665" s="326">
        <f>IFERROR(COUNTA('LP Reactivos'!F665,'LP Reactivos'!I665,'LP Reactivos'!N665,'LP Reactivos'!S665,'LP Reactivos'!X665,'LP Reactivos'!AC665,'LP Reactivos'!AH665,'LP Reactivos'!AM665,'LP Reactivos'!AR665,'LP Reactivos'!AW665,'LP Reactivos'!BB665,'LP Reactivos'!BG665,'LP Reactivos'!BL665,'LP Reactivos'!BQ665,'LP Reactivos'!BV665,'LP Reactivos'!CA665,'LP Reactivos'!CF665,'LP Reactivos'!CK665,'LP Reactivos'!CP665,'LP Reactivos'!CU665,'LP Reactivos'!CZ665,'LP Reactivos'!DE665,'LP Reactivos'!DJ665,'LP Reactivos'!DO665,'LP Reactivos'!DT665,'LP Reactivos'!DY665,'LP Reactivos'!EB665)," ")</f>
        <v>1</v>
      </c>
    </row>
    <row r="666" spans="2:12" x14ac:dyDescent="0.25">
      <c r="B666" s="425">
        <v>664</v>
      </c>
      <c r="C666" s="427" t="s">
        <v>2815</v>
      </c>
      <c r="D666" s="429">
        <f>IFERROR(MIN('LP Reactivos'!F666,'LP Reactivos'!I666,'LP Reactivos'!N666,'LP Reactivos'!S666,'LP Reactivos'!X666,'LP Reactivos'!AC666,'LP Reactivos'!AH666,'LP Reactivos'!AM666,'LP Reactivos'!AR666,'LP Reactivos'!AW666,'LP Reactivos'!BB666,'LP Reactivos'!BG666,'LP Reactivos'!BL666,'LP Reactivos'!BQ666,'LP Reactivos'!BV666,'LP Reactivos'!CA666,'LP Reactivos'!CF666,'LP Reactivos'!CK666,'LP Reactivos'!CP666,'LP Reactivos'!CU666,'LP Reactivos'!CZ666,'LP Reactivos'!DE666,'LP Reactivos'!DJ666,'LP Reactivos'!DO666,'LP Reactivos'!DT666,'LP Reactivos'!DY666,'LP Reactivos'!EB666)," ")</f>
        <v>182665</v>
      </c>
      <c r="E666" s="429">
        <f>IFERROR(AVERAGE('LP Reactivos'!F666,'LP Reactivos'!I666,'LP Reactivos'!N666,'LP Reactivos'!S666,'LP Reactivos'!X666,'LP Reactivos'!AC666,'LP Reactivos'!AH666,'LP Reactivos'!AM666,'LP Reactivos'!AR666,'LP Reactivos'!AW666,'LP Reactivos'!BB666,'LP Reactivos'!BG666,'LP Reactivos'!BL666,'LP Reactivos'!BQ666,'LP Reactivos'!BV666,'LP Reactivos'!CA666,'LP Reactivos'!CF666,'LP Reactivos'!CK666,'LP Reactivos'!CP666,'LP Reactivos'!CU666,'LP Reactivos'!CZ666,'LP Reactivos'!DE666,'LP Reactivos'!DJ666,'LP Reactivos'!DO666,'LP Reactivos'!DT666,'LP Reactivos'!DY666,'LP Reactivos'!EB666)," ")</f>
        <v>182665</v>
      </c>
      <c r="F666" s="345">
        <f>IFERROR(MEDIAN('LP Reactivos'!F666,'LP Reactivos'!I666,'LP Reactivos'!N666,'LP Reactivos'!S666,'LP Reactivos'!X666,'LP Reactivos'!AC666,'LP Reactivos'!AH666,'LP Reactivos'!AM666,'LP Reactivos'!AR666,'LP Reactivos'!AW666,'LP Reactivos'!BB666,'LP Reactivos'!BG666,'LP Reactivos'!BL666,'LP Reactivos'!BQ666,'LP Reactivos'!BV666,'LP Reactivos'!CA666,'LP Reactivos'!CF666,'LP Reactivos'!CK666,'LP Reactivos'!CP666,'LP Reactivos'!CU666,'LP Reactivos'!CZ666,'LP Reactivos'!DE666,'LP Reactivos'!DJ666,'LP Reactivos'!DO666,'LP Reactivos'!DT666,'LP Reactivos'!DY666,'LP Reactivos'!EB666)," ")</f>
        <v>182665</v>
      </c>
      <c r="G666" s="345">
        <f>IFERROR(GEOMEAN('LP Reactivos'!F666,'LP Reactivos'!I666,'LP Reactivos'!N666,'LP Reactivos'!S666,'LP Reactivos'!X666,'LP Reactivos'!AC666,'LP Reactivos'!AH666,'LP Reactivos'!AM666,'LP Reactivos'!AR666,'LP Reactivos'!AW666,'LP Reactivos'!BB666,'LP Reactivos'!BG666,'LP Reactivos'!BL666,'LP Reactivos'!BQ666,'LP Reactivos'!BV666,'LP Reactivos'!CA666,'LP Reactivos'!CF666,'LP Reactivos'!CK666,'LP Reactivos'!CP666,'LP Reactivos'!CU666,'LP Reactivos'!CZ666,'LP Reactivos'!DE666,'LP Reactivos'!DJ666,'LP Reactivos'!DO666,'LP Reactivos'!DT666,'LP Reactivos'!DY666,'LP Reactivos'!EB666)," ")</f>
        <v>182665</v>
      </c>
      <c r="H666" s="345">
        <f t="shared" si="44"/>
        <v>0</v>
      </c>
      <c r="I666" s="346">
        <f t="shared" si="45"/>
        <v>0</v>
      </c>
      <c r="J666" s="345">
        <f t="shared" si="46"/>
        <v>182665</v>
      </c>
      <c r="K666" s="344" t="str">
        <f t="shared" si="47"/>
        <v>Menor Valor</v>
      </c>
      <c r="L666" s="326">
        <f>IFERROR(COUNTA('LP Reactivos'!F666,'LP Reactivos'!I666,'LP Reactivos'!N666,'LP Reactivos'!S666,'LP Reactivos'!X666,'LP Reactivos'!AC666,'LP Reactivos'!AH666,'LP Reactivos'!AM666,'LP Reactivos'!AR666,'LP Reactivos'!AW666,'LP Reactivos'!BB666,'LP Reactivos'!BG666,'LP Reactivos'!BL666,'LP Reactivos'!BQ666,'LP Reactivos'!BV666,'LP Reactivos'!CA666,'LP Reactivos'!CF666,'LP Reactivos'!CK666,'LP Reactivos'!CP666,'LP Reactivos'!CU666,'LP Reactivos'!CZ666,'LP Reactivos'!DE666,'LP Reactivos'!DJ666,'LP Reactivos'!DO666,'LP Reactivos'!DT666,'LP Reactivos'!DY666,'LP Reactivos'!EB666)," ")</f>
        <v>1</v>
      </c>
    </row>
    <row r="667" spans="2:12" x14ac:dyDescent="0.25">
      <c r="B667" s="425">
        <v>665</v>
      </c>
      <c r="C667" s="427" t="s">
        <v>2816</v>
      </c>
      <c r="D667" s="429">
        <f>IFERROR(MIN('LP Reactivos'!F667,'LP Reactivos'!I667,'LP Reactivos'!N667,'LP Reactivos'!S667,'LP Reactivos'!X667,'LP Reactivos'!AC667,'LP Reactivos'!AH667,'LP Reactivos'!AM667,'LP Reactivos'!AR667,'LP Reactivos'!AW667,'LP Reactivos'!BB667,'LP Reactivos'!BG667,'LP Reactivos'!BL667,'LP Reactivos'!BQ667,'LP Reactivos'!BV667,'LP Reactivos'!CA667,'LP Reactivos'!CF667,'LP Reactivos'!CK667,'LP Reactivos'!CP667,'LP Reactivos'!CU667,'LP Reactivos'!CZ667,'LP Reactivos'!DE667,'LP Reactivos'!DJ667,'LP Reactivos'!DO667,'LP Reactivos'!DT667,'LP Reactivos'!DY667,'LP Reactivos'!EB667)," ")</f>
        <v>314160</v>
      </c>
      <c r="E667" s="429">
        <f>IFERROR(AVERAGE('LP Reactivos'!F667,'LP Reactivos'!I667,'LP Reactivos'!N667,'LP Reactivos'!S667,'LP Reactivos'!X667,'LP Reactivos'!AC667,'LP Reactivos'!AH667,'LP Reactivos'!AM667,'LP Reactivos'!AR667,'LP Reactivos'!AW667,'LP Reactivos'!BB667,'LP Reactivos'!BG667,'LP Reactivos'!BL667,'LP Reactivos'!BQ667,'LP Reactivos'!BV667,'LP Reactivos'!CA667,'LP Reactivos'!CF667,'LP Reactivos'!CK667,'LP Reactivos'!CP667,'LP Reactivos'!CU667,'LP Reactivos'!CZ667,'LP Reactivos'!DE667,'LP Reactivos'!DJ667,'LP Reactivos'!DO667,'LP Reactivos'!DT667,'LP Reactivos'!DY667,'LP Reactivos'!EB667)," ")</f>
        <v>339641.5295</v>
      </c>
      <c r="F667" s="345">
        <f>IFERROR(MEDIAN('LP Reactivos'!F667,'LP Reactivos'!I667,'LP Reactivos'!N667,'LP Reactivos'!S667,'LP Reactivos'!X667,'LP Reactivos'!AC667,'LP Reactivos'!AH667,'LP Reactivos'!AM667,'LP Reactivos'!AR667,'LP Reactivos'!AW667,'LP Reactivos'!BB667,'LP Reactivos'!BG667,'LP Reactivos'!BL667,'LP Reactivos'!BQ667,'LP Reactivos'!BV667,'LP Reactivos'!CA667,'LP Reactivos'!CF667,'LP Reactivos'!CK667,'LP Reactivos'!CP667,'LP Reactivos'!CU667,'LP Reactivos'!CZ667,'LP Reactivos'!DE667,'LP Reactivos'!DJ667,'LP Reactivos'!DO667,'LP Reactivos'!DT667,'LP Reactivos'!DY667,'LP Reactivos'!EB667)," ")</f>
        <v>339641.5295</v>
      </c>
      <c r="G667" s="345">
        <f>IFERROR(GEOMEAN('LP Reactivos'!F667,'LP Reactivos'!I667,'LP Reactivos'!N667,'LP Reactivos'!S667,'LP Reactivos'!X667,'LP Reactivos'!AC667,'LP Reactivos'!AH667,'LP Reactivos'!AM667,'LP Reactivos'!AR667,'LP Reactivos'!AW667,'LP Reactivos'!BB667,'LP Reactivos'!BG667,'LP Reactivos'!BL667,'LP Reactivos'!BQ667,'LP Reactivos'!BV667,'LP Reactivos'!CA667,'LP Reactivos'!CF667,'LP Reactivos'!CK667,'LP Reactivos'!CP667,'LP Reactivos'!CU667,'LP Reactivos'!CZ667,'LP Reactivos'!DE667,'LP Reactivos'!DJ667,'LP Reactivos'!DO667,'LP Reactivos'!DT667,'LP Reactivos'!DY667,'LP Reactivos'!EB667)," ")</f>
        <v>338684.30760140042</v>
      </c>
      <c r="H667" s="345">
        <f t="shared" si="44"/>
        <v>12589.317237818355</v>
      </c>
      <c r="I667" s="346">
        <f t="shared" si="45"/>
        <v>3.7066483761133681E-2</v>
      </c>
      <c r="J667" s="345">
        <f t="shared" si="46"/>
        <v>339641.5295</v>
      </c>
      <c r="K667" s="344" t="str">
        <f t="shared" si="47"/>
        <v>Promedio</v>
      </c>
      <c r="L667" s="326">
        <f>IFERROR(COUNTA('LP Reactivos'!F667,'LP Reactivos'!I667,'LP Reactivos'!N667,'LP Reactivos'!S667,'LP Reactivos'!X667,'LP Reactivos'!AC667,'LP Reactivos'!AH667,'LP Reactivos'!AM667,'LP Reactivos'!AR667,'LP Reactivos'!AW667,'LP Reactivos'!BB667,'LP Reactivos'!BG667,'LP Reactivos'!BL667,'LP Reactivos'!BQ667,'LP Reactivos'!BV667,'LP Reactivos'!CA667,'LP Reactivos'!CF667,'LP Reactivos'!CK667,'LP Reactivos'!CP667,'LP Reactivos'!CU667,'LP Reactivos'!CZ667,'LP Reactivos'!DE667,'LP Reactivos'!DJ667,'LP Reactivos'!DO667,'LP Reactivos'!DT667,'LP Reactivos'!DY667,'LP Reactivos'!EB667)," ")</f>
        <v>2</v>
      </c>
    </row>
    <row r="668" spans="2:12" x14ac:dyDescent="0.25">
      <c r="B668" s="425">
        <v>666</v>
      </c>
      <c r="C668" s="427" t="s">
        <v>2818</v>
      </c>
      <c r="D668" s="429">
        <f>IFERROR(MIN('LP Reactivos'!F668,'LP Reactivos'!I668,'LP Reactivos'!N668,'LP Reactivos'!S668,'LP Reactivos'!X668,'LP Reactivos'!AC668,'LP Reactivos'!AH668,'LP Reactivos'!AM668,'LP Reactivos'!AR668,'LP Reactivos'!AW668,'LP Reactivos'!BB668,'LP Reactivos'!BG668,'LP Reactivos'!BL668,'LP Reactivos'!BQ668,'LP Reactivos'!BV668,'LP Reactivos'!CA668,'LP Reactivos'!CF668,'LP Reactivos'!CK668,'LP Reactivos'!CP668,'LP Reactivos'!CU668,'LP Reactivos'!CZ668,'LP Reactivos'!DE668,'LP Reactivos'!DJ668,'LP Reactivos'!DO668,'LP Reactivos'!DT668,'LP Reactivos'!DY668,'LP Reactivos'!EB668)," ")</f>
        <v>478020.277</v>
      </c>
      <c r="E668" s="429">
        <f>IFERROR(AVERAGE('LP Reactivos'!F668,'LP Reactivos'!I668,'LP Reactivos'!N668,'LP Reactivos'!S668,'LP Reactivos'!X668,'LP Reactivos'!AC668,'LP Reactivos'!AH668,'LP Reactivos'!AM668,'LP Reactivos'!AR668,'LP Reactivos'!AW668,'LP Reactivos'!BB668,'LP Reactivos'!BG668,'LP Reactivos'!BL668,'LP Reactivos'!BQ668,'LP Reactivos'!BV668,'LP Reactivos'!CA668,'LP Reactivos'!CF668,'LP Reactivos'!CK668,'LP Reactivos'!CP668,'LP Reactivos'!CU668,'LP Reactivos'!CZ668,'LP Reactivos'!DE668,'LP Reactivos'!DJ668,'LP Reactivos'!DO668,'LP Reactivos'!DT668,'LP Reactivos'!DY668,'LP Reactivos'!EB668)," ")</f>
        <v>478020.277</v>
      </c>
      <c r="F668" s="345">
        <f>IFERROR(MEDIAN('LP Reactivos'!F668,'LP Reactivos'!I668,'LP Reactivos'!N668,'LP Reactivos'!S668,'LP Reactivos'!X668,'LP Reactivos'!AC668,'LP Reactivos'!AH668,'LP Reactivos'!AM668,'LP Reactivos'!AR668,'LP Reactivos'!AW668,'LP Reactivos'!BB668,'LP Reactivos'!BG668,'LP Reactivos'!BL668,'LP Reactivos'!BQ668,'LP Reactivos'!BV668,'LP Reactivos'!CA668,'LP Reactivos'!CF668,'LP Reactivos'!CK668,'LP Reactivos'!CP668,'LP Reactivos'!CU668,'LP Reactivos'!CZ668,'LP Reactivos'!DE668,'LP Reactivos'!DJ668,'LP Reactivos'!DO668,'LP Reactivos'!DT668,'LP Reactivos'!DY668,'LP Reactivos'!EB668)," ")</f>
        <v>478020.277</v>
      </c>
      <c r="G668" s="345">
        <f>IFERROR(GEOMEAN('LP Reactivos'!F668,'LP Reactivos'!I668,'LP Reactivos'!N668,'LP Reactivos'!S668,'LP Reactivos'!X668,'LP Reactivos'!AC668,'LP Reactivos'!AH668,'LP Reactivos'!AM668,'LP Reactivos'!AR668,'LP Reactivos'!AW668,'LP Reactivos'!BB668,'LP Reactivos'!BG668,'LP Reactivos'!BL668,'LP Reactivos'!BQ668,'LP Reactivos'!BV668,'LP Reactivos'!CA668,'LP Reactivos'!CF668,'LP Reactivos'!CK668,'LP Reactivos'!CP668,'LP Reactivos'!CU668,'LP Reactivos'!CZ668,'LP Reactivos'!DE668,'LP Reactivos'!DJ668,'LP Reactivos'!DO668,'LP Reactivos'!DT668,'LP Reactivos'!DY668,'LP Reactivos'!EB668)," ")</f>
        <v>478020.277</v>
      </c>
      <c r="H668" s="345">
        <f t="shared" si="44"/>
        <v>0</v>
      </c>
      <c r="I668" s="346">
        <f t="shared" si="45"/>
        <v>0</v>
      </c>
      <c r="J668" s="345">
        <f t="shared" si="46"/>
        <v>478020.277</v>
      </c>
      <c r="K668" s="344" t="str">
        <f t="shared" si="47"/>
        <v>Menor Valor</v>
      </c>
      <c r="L668" s="326">
        <f>IFERROR(COUNTA('LP Reactivos'!F668,'LP Reactivos'!I668,'LP Reactivos'!N668,'LP Reactivos'!S668,'LP Reactivos'!X668,'LP Reactivos'!AC668,'LP Reactivos'!AH668,'LP Reactivos'!AM668,'LP Reactivos'!AR668,'LP Reactivos'!AW668,'LP Reactivos'!BB668,'LP Reactivos'!BG668,'LP Reactivos'!BL668,'LP Reactivos'!BQ668,'LP Reactivos'!BV668,'LP Reactivos'!CA668,'LP Reactivos'!CF668,'LP Reactivos'!CK668,'LP Reactivos'!CP668,'LP Reactivos'!CU668,'LP Reactivos'!CZ668,'LP Reactivos'!DE668,'LP Reactivos'!DJ668,'LP Reactivos'!DO668,'LP Reactivos'!DT668,'LP Reactivos'!DY668,'LP Reactivos'!EB668)," ")</f>
        <v>1</v>
      </c>
    </row>
    <row r="669" spans="2:12" x14ac:dyDescent="0.25">
      <c r="B669" s="425">
        <v>667</v>
      </c>
      <c r="C669" s="426" t="s">
        <v>2819</v>
      </c>
      <c r="D669" s="429">
        <f>IFERROR(MIN('LP Reactivos'!F669,'LP Reactivos'!I669,'LP Reactivos'!N669,'LP Reactivos'!S669,'LP Reactivos'!X669,'LP Reactivos'!AC669,'LP Reactivos'!AH669,'LP Reactivos'!AM669,'LP Reactivos'!AR669,'LP Reactivos'!AW669,'LP Reactivos'!BB669,'LP Reactivos'!BG669,'LP Reactivos'!BL669,'LP Reactivos'!BQ669,'LP Reactivos'!BV669,'LP Reactivos'!CA669,'LP Reactivos'!CF669,'LP Reactivos'!CK669,'LP Reactivos'!CP669,'LP Reactivos'!CU669,'LP Reactivos'!CZ669,'LP Reactivos'!DE669,'LP Reactivos'!DJ669,'LP Reactivos'!DO669,'LP Reactivos'!DT669,'LP Reactivos'!DY669,'LP Reactivos'!EB669)," ")</f>
        <v>1187749.71</v>
      </c>
      <c r="E669" s="429">
        <f>IFERROR(AVERAGE('LP Reactivos'!F669,'LP Reactivos'!I669,'LP Reactivos'!N669,'LP Reactivos'!S669,'LP Reactivos'!X669,'LP Reactivos'!AC669,'LP Reactivos'!AH669,'LP Reactivos'!AM669,'LP Reactivos'!AR669,'LP Reactivos'!AW669,'LP Reactivos'!BB669,'LP Reactivos'!BG669,'LP Reactivos'!BL669,'LP Reactivos'!BQ669,'LP Reactivos'!BV669,'LP Reactivos'!CA669,'LP Reactivos'!CF669,'LP Reactivos'!CK669,'LP Reactivos'!CP669,'LP Reactivos'!CU669,'LP Reactivos'!CZ669,'LP Reactivos'!DE669,'LP Reactivos'!DJ669,'LP Reactivos'!DO669,'LP Reactivos'!DT669,'LP Reactivos'!DY669,'LP Reactivos'!EB669)," ")</f>
        <v>1187749.71</v>
      </c>
      <c r="F669" s="345">
        <f>IFERROR(MEDIAN('LP Reactivos'!F669,'LP Reactivos'!I669,'LP Reactivos'!N669,'LP Reactivos'!S669,'LP Reactivos'!X669,'LP Reactivos'!AC669,'LP Reactivos'!AH669,'LP Reactivos'!AM669,'LP Reactivos'!AR669,'LP Reactivos'!AW669,'LP Reactivos'!BB669,'LP Reactivos'!BG669,'LP Reactivos'!BL669,'LP Reactivos'!BQ669,'LP Reactivos'!BV669,'LP Reactivos'!CA669,'LP Reactivos'!CF669,'LP Reactivos'!CK669,'LP Reactivos'!CP669,'LP Reactivos'!CU669,'LP Reactivos'!CZ669,'LP Reactivos'!DE669,'LP Reactivos'!DJ669,'LP Reactivos'!DO669,'LP Reactivos'!DT669,'LP Reactivos'!DY669,'LP Reactivos'!EB669)," ")</f>
        <v>1187749.71</v>
      </c>
      <c r="G669" s="345">
        <f>IFERROR(GEOMEAN('LP Reactivos'!F669,'LP Reactivos'!I669,'LP Reactivos'!N669,'LP Reactivos'!S669,'LP Reactivos'!X669,'LP Reactivos'!AC669,'LP Reactivos'!AH669,'LP Reactivos'!AM669,'LP Reactivos'!AR669,'LP Reactivos'!AW669,'LP Reactivos'!BB669,'LP Reactivos'!BG669,'LP Reactivos'!BL669,'LP Reactivos'!BQ669,'LP Reactivos'!BV669,'LP Reactivos'!CA669,'LP Reactivos'!CF669,'LP Reactivos'!CK669,'LP Reactivos'!CP669,'LP Reactivos'!CU669,'LP Reactivos'!CZ669,'LP Reactivos'!DE669,'LP Reactivos'!DJ669,'LP Reactivos'!DO669,'LP Reactivos'!DT669,'LP Reactivos'!DY669,'LP Reactivos'!EB669)," ")</f>
        <v>1187749.71</v>
      </c>
      <c r="H669" s="345">
        <f t="shared" si="44"/>
        <v>0</v>
      </c>
      <c r="I669" s="346">
        <f t="shared" si="45"/>
        <v>0</v>
      </c>
      <c r="J669" s="345">
        <f t="shared" si="46"/>
        <v>1187749.71</v>
      </c>
      <c r="K669" s="344" t="str">
        <f t="shared" si="47"/>
        <v>Menor Valor</v>
      </c>
      <c r="L669" s="326">
        <f>IFERROR(COUNTA('LP Reactivos'!F669,'LP Reactivos'!I669,'LP Reactivos'!N669,'LP Reactivos'!S669,'LP Reactivos'!X669,'LP Reactivos'!AC669,'LP Reactivos'!AH669,'LP Reactivos'!AM669,'LP Reactivos'!AR669,'LP Reactivos'!AW669,'LP Reactivos'!BB669,'LP Reactivos'!BG669,'LP Reactivos'!BL669,'LP Reactivos'!BQ669,'LP Reactivos'!BV669,'LP Reactivos'!CA669,'LP Reactivos'!CF669,'LP Reactivos'!CK669,'LP Reactivos'!CP669,'LP Reactivos'!CU669,'LP Reactivos'!CZ669,'LP Reactivos'!DE669,'LP Reactivos'!DJ669,'LP Reactivos'!DO669,'LP Reactivos'!DT669,'LP Reactivos'!DY669,'LP Reactivos'!EB669)," ")</f>
        <v>1</v>
      </c>
    </row>
    <row r="670" spans="2:12" x14ac:dyDescent="0.25">
      <c r="B670" s="425">
        <v>668</v>
      </c>
      <c r="C670" s="427" t="s">
        <v>2820</v>
      </c>
      <c r="D670" s="429">
        <f>IFERROR(MIN('LP Reactivos'!F670,'LP Reactivos'!I670,'LP Reactivos'!N670,'LP Reactivos'!S670,'LP Reactivos'!X670,'LP Reactivos'!AC670,'LP Reactivos'!AH670,'LP Reactivos'!AM670,'LP Reactivos'!AR670,'LP Reactivos'!AW670,'LP Reactivos'!BB670,'LP Reactivos'!BG670,'LP Reactivos'!BL670,'LP Reactivos'!BQ670,'LP Reactivos'!BV670,'LP Reactivos'!CA670,'LP Reactivos'!CF670,'LP Reactivos'!CK670,'LP Reactivos'!CP670,'LP Reactivos'!CU670,'LP Reactivos'!CZ670,'LP Reactivos'!DE670,'LP Reactivos'!DJ670,'LP Reactivos'!DO670,'LP Reactivos'!DT670,'LP Reactivos'!DY670,'LP Reactivos'!EB670)," ")</f>
        <v>961511.67</v>
      </c>
      <c r="E670" s="429">
        <f>IFERROR(AVERAGE('LP Reactivos'!F670,'LP Reactivos'!I670,'LP Reactivos'!N670,'LP Reactivos'!S670,'LP Reactivos'!X670,'LP Reactivos'!AC670,'LP Reactivos'!AH670,'LP Reactivos'!AM670,'LP Reactivos'!AR670,'LP Reactivos'!AW670,'LP Reactivos'!BB670,'LP Reactivos'!BG670,'LP Reactivos'!BL670,'LP Reactivos'!BQ670,'LP Reactivos'!BV670,'LP Reactivos'!CA670,'LP Reactivos'!CF670,'LP Reactivos'!CK670,'LP Reactivos'!CP670,'LP Reactivos'!CU670,'LP Reactivos'!CZ670,'LP Reactivos'!DE670,'LP Reactivos'!DJ670,'LP Reactivos'!DO670,'LP Reactivos'!DT670,'LP Reactivos'!DY670,'LP Reactivos'!EB670)," ")</f>
        <v>995192.83499999996</v>
      </c>
      <c r="F670" s="345">
        <f>IFERROR(MEDIAN('LP Reactivos'!F670,'LP Reactivos'!I670,'LP Reactivos'!N670,'LP Reactivos'!S670,'LP Reactivos'!X670,'LP Reactivos'!AC670,'LP Reactivos'!AH670,'LP Reactivos'!AM670,'LP Reactivos'!AR670,'LP Reactivos'!AW670,'LP Reactivos'!BB670,'LP Reactivos'!BG670,'LP Reactivos'!BL670,'LP Reactivos'!BQ670,'LP Reactivos'!BV670,'LP Reactivos'!CA670,'LP Reactivos'!CF670,'LP Reactivos'!CK670,'LP Reactivos'!CP670,'LP Reactivos'!CU670,'LP Reactivos'!CZ670,'LP Reactivos'!DE670,'LP Reactivos'!DJ670,'LP Reactivos'!DO670,'LP Reactivos'!DT670,'LP Reactivos'!DY670,'LP Reactivos'!EB670)," ")</f>
        <v>995192.83499999996</v>
      </c>
      <c r="G670" s="345">
        <f>IFERROR(GEOMEAN('LP Reactivos'!F670,'LP Reactivos'!I670,'LP Reactivos'!N670,'LP Reactivos'!S670,'LP Reactivos'!X670,'LP Reactivos'!AC670,'LP Reactivos'!AH670,'LP Reactivos'!AM670,'LP Reactivos'!AR670,'LP Reactivos'!AW670,'LP Reactivos'!BB670,'LP Reactivos'!BG670,'LP Reactivos'!BL670,'LP Reactivos'!BQ670,'LP Reactivos'!BV670,'LP Reactivos'!CA670,'LP Reactivos'!CF670,'LP Reactivos'!CK670,'LP Reactivos'!CP670,'LP Reactivos'!CU670,'LP Reactivos'!CZ670,'LP Reactivos'!DE670,'LP Reactivos'!DJ670,'LP Reactivos'!DO670,'LP Reactivos'!DT670,'LP Reactivos'!DY670,'LP Reactivos'!EB670)," ")</f>
        <v>994622.72141731216</v>
      </c>
      <c r="H670" s="345">
        <f t="shared" si="44"/>
        <v>16747.720084807206</v>
      </c>
      <c r="I670" s="346">
        <f t="shared" si="45"/>
        <v>1.6828618028391661E-2</v>
      </c>
      <c r="J670" s="345">
        <f t="shared" si="46"/>
        <v>995192.83499999996</v>
      </c>
      <c r="K670" s="344" t="str">
        <f t="shared" si="47"/>
        <v>Promedio</v>
      </c>
      <c r="L670" s="326">
        <f>IFERROR(COUNTA('LP Reactivos'!F670,'LP Reactivos'!I670,'LP Reactivos'!N670,'LP Reactivos'!S670,'LP Reactivos'!X670,'LP Reactivos'!AC670,'LP Reactivos'!AH670,'LP Reactivos'!AM670,'LP Reactivos'!AR670,'LP Reactivos'!AW670,'LP Reactivos'!BB670,'LP Reactivos'!BG670,'LP Reactivos'!BL670,'LP Reactivos'!BQ670,'LP Reactivos'!BV670,'LP Reactivos'!CA670,'LP Reactivos'!CF670,'LP Reactivos'!CK670,'LP Reactivos'!CP670,'LP Reactivos'!CU670,'LP Reactivos'!CZ670,'LP Reactivos'!DE670,'LP Reactivos'!DJ670,'LP Reactivos'!DO670,'LP Reactivos'!DT670,'LP Reactivos'!DY670,'LP Reactivos'!EB670)," ")</f>
        <v>2</v>
      </c>
    </row>
    <row r="671" spans="2:12" ht="48" customHeight="1" x14ac:dyDescent="0.25">
      <c r="B671" s="425">
        <v>669</v>
      </c>
      <c r="C671" s="427" t="s">
        <v>2822</v>
      </c>
      <c r="D671" s="429">
        <f>IFERROR(MIN('LP Reactivos'!F671,'LP Reactivos'!I671,'LP Reactivos'!N671,'LP Reactivos'!S671,'LP Reactivos'!X671,'LP Reactivos'!AC671,'LP Reactivos'!AH671,'LP Reactivos'!AM671,'LP Reactivos'!AR671,'LP Reactivos'!AW671,'LP Reactivos'!BB671,'LP Reactivos'!BG671,'LP Reactivos'!BL671,'LP Reactivos'!BQ671,'LP Reactivos'!BV671,'LP Reactivos'!CA671,'LP Reactivos'!CF671,'LP Reactivos'!CK671,'LP Reactivos'!CP671,'LP Reactivos'!CU671,'LP Reactivos'!CZ671,'LP Reactivos'!DE671,'LP Reactivos'!DJ671,'LP Reactivos'!DO671,'LP Reactivos'!DT671,'LP Reactivos'!DY671,'LP Reactivos'!EB671)," ")</f>
        <v>1642900</v>
      </c>
      <c r="E671" s="429">
        <f>IFERROR(AVERAGE('LP Reactivos'!F671,'LP Reactivos'!I671,'LP Reactivos'!N671,'LP Reactivos'!S671,'LP Reactivos'!X671,'LP Reactivos'!AC671,'LP Reactivos'!AH671,'LP Reactivos'!AM671,'LP Reactivos'!AR671,'LP Reactivos'!AW671,'LP Reactivos'!BB671,'LP Reactivos'!BG671,'LP Reactivos'!BL671,'LP Reactivos'!BQ671,'LP Reactivos'!BV671,'LP Reactivos'!CA671,'LP Reactivos'!CF671,'LP Reactivos'!CK671,'LP Reactivos'!CP671,'LP Reactivos'!CU671,'LP Reactivos'!CZ671,'LP Reactivos'!DE671,'LP Reactivos'!DJ671,'LP Reactivos'!DO671,'LP Reactivos'!DT671,'LP Reactivos'!DY671,'LP Reactivos'!EB671)," ")</f>
        <v>1793049.895</v>
      </c>
      <c r="F671" s="345">
        <f>IFERROR(MEDIAN('LP Reactivos'!F671,'LP Reactivos'!I671,'LP Reactivos'!N671,'LP Reactivos'!S671,'LP Reactivos'!X671,'LP Reactivos'!AC671,'LP Reactivos'!AH671,'LP Reactivos'!AM671,'LP Reactivos'!AR671,'LP Reactivos'!AW671,'LP Reactivos'!BB671,'LP Reactivos'!BG671,'LP Reactivos'!BL671,'LP Reactivos'!BQ671,'LP Reactivos'!BV671,'LP Reactivos'!CA671,'LP Reactivos'!CF671,'LP Reactivos'!CK671,'LP Reactivos'!CP671,'LP Reactivos'!CU671,'LP Reactivos'!CZ671,'LP Reactivos'!DE671,'LP Reactivos'!DJ671,'LP Reactivos'!DO671,'LP Reactivos'!DT671,'LP Reactivos'!DY671,'LP Reactivos'!EB671)," ")</f>
        <v>1793049.895</v>
      </c>
      <c r="G671" s="345">
        <f>IFERROR(GEOMEAN('LP Reactivos'!F671,'LP Reactivos'!I671,'LP Reactivos'!N671,'LP Reactivos'!S671,'LP Reactivos'!X671,'LP Reactivos'!AC671,'LP Reactivos'!AH671,'LP Reactivos'!AM671,'LP Reactivos'!AR671,'LP Reactivos'!AW671,'LP Reactivos'!BB671,'LP Reactivos'!BG671,'LP Reactivos'!BL671,'LP Reactivos'!BQ671,'LP Reactivos'!BV671,'LP Reactivos'!CA671,'LP Reactivos'!CF671,'LP Reactivos'!CK671,'LP Reactivos'!CP671,'LP Reactivos'!CU671,'LP Reactivos'!CZ671,'LP Reactivos'!DE671,'LP Reactivos'!DJ671,'LP Reactivos'!DO671,'LP Reactivos'!DT671,'LP Reactivos'!DY671,'LP Reactivos'!EB671)," ")</f>
        <v>1786752.0630996905</v>
      </c>
      <c r="H671" s="345">
        <f t="shared" si="44"/>
        <v>74084.818152545326</v>
      </c>
      <c r="I671" s="346">
        <f t="shared" si="45"/>
        <v>4.1317767207222821E-2</v>
      </c>
      <c r="J671" s="345">
        <f t="shared" si="46"/>
        <v>1793049.895</v>
      </c>
      <c r="K671" s="344" t="str">
        <f t="shared" si="47"/>
        <v>Promedio</v>
      </c>
      <c r="L671" s="326">
        <f>IFERROR(COUNTA('LP Reactivos'!F671,'LP Reactivos'!I671,'LP Reactivos'!N671,'LP Reactivos'!S671,'LP Reactivos'!X671,'LP Reactivos'!AC671,'LP Reactivos'!AH671,'LP Reactivos'!AM671,'LP Reactivos'!AR671,'LP Reactivos'!AW671,'LP Reactivos'!BB671,'LP Reactivos'!BG671,'LP Reactivos'!BL671,'LP Reactivos'!BQ671,'LP Reactivos'!BV671,'LP Reactivos'!CA671,'LP Reactivos'!CF671,'LP Reactivos'!CK671,'LP Reactivos'!CP671,'LP Reactivos'!CU671,'LP Reactivos'!CZ671,'LP Reactivos'!DE671,'LP Reactivos'!DJ671,'LP Reactivos'!DO671,'LP Reactivos'!DT671,'LP Reactivos'!DY671,'LP Reactivos'!EB671)," ")</f>
        <v>2</v>
      </c>
    </row>
    <row r="672" spans="2:12" ht="40.5" x14ac:dyDescent="0.25">
      <c r="B672" s="425">
        <v>670</v>
      </c>
      <c r="C672" s="427" t="s">
        <v>2826</v>
      </c>
      <c r="D672" s="429">
        <f>IFERROR(MIN('LP Reactivos'!F672,'LP Reactivos'!I672,'LP Reactivos'!N672,'LP Reactivos'!S672,'LP Reactivos'!X672,'LP Reactivos'!AC672,'LP Reactivos'!AH672,'LP Reactivos'!AM672,'LP Reactivos'!AR672,'LP Reactivos'!AW672,'LP Reactivos'!BB672,'LP Reactivos'!BG672,'LP Reactivos'!BL672,'LP Reactivos'!BQ672,'LP Reactivos'!BV672,'LP Reactivos'!CA672,'LP Reactivos'!CF672,'LP Reactivos'!CK672,'LP Reactivos'!CP672,'LP Reactivos'!CU672,'LP Reactivos'!CZ672,'LP Reactivos'!DE672,'LP Reactivos'!DJ672,'LP Reactivos'!DO672,'LP Reactivos'!DT672,'LP Reactivos'!DY672,'LP Reactivos'!EB672)," ")</f>
        <v>458150</v>
      </c>
      <c r="E672" s="429">
        <f>IFERROR(AVERAGE('LP Reactivos'!F672,'LP Reactivos'!I672,'LP Reactivos'!N672,'LP Reactivos'!S672,'LP Reactivos'!X672,'LP Reactivos'!AC672,'LP Reactivos'!AH672,'LP Reactivos'!AM672,'LP Reactivos'!AR672,'LP Reactivos'!AW672,'LP Reactivos'!BB672,'LP Reactivos'!BG672,'LP Reactivos'!BL672,'LP Reactivos'!BQ672,'LP Reactivos'!BV672,'LP Reactivos'!CA672,'LP Reactivos'!CF672,'LP Reactivos'!CK672,'LP Reactivos'!CP672,'LP Reactivos'!CU672,'LP Reactivos'!CZ672,'LP Reactivos'!DE672,'LP Reactivos'!DJ672,'LP Reactivos'!DO672,'LP Reactivos'!DT672,'LP Reactivos'!DY672,'LP Reactivos'!EB672)," ")</f>
        <v>609800.12</v>
      </c>
      <c r="F672" s="345">
        <f>IFERROR(MEDIAN('LP Reactivos'!F672,'LP Reactivos'!I672,'LP Reactivos'!N672,'LP Reactivos'!S672,'LP Reactivos'!X672,'LP Reactivos'!AC672,'LP Reactivos'!AH672,'LP Reactivos'!AM672,'LP Reactivos'!AR672,'LP Reactivos'!AW672,'LP Reactivos'!BB672,'LP Reactivos'!BG672,'LP Reactivos'!BL672,'LP Reactivos'!BQ672,'LP Reactivos'!BV672,'LP Reactivos'!CA672,'LP Reactivos'!CF672,'LP Reactivos'!CK672,'LP Reactivos'!CP672,'LP Reactivos'!CU672,'LP Reactivos'!CZ672,'LP Reactivos'!DE672,'LP Reactivos'!DJ672,'LP Reactivos'!DO672,'LP Reactivos'!DT672,'LP Reactivos'!DY672,'LP Reactivos'!EB672)," ")</f>
        <v>528888.36</v>
      </c>
      <c r="G672" s="345">
        <f>IFERROR(GEOMEAN('LP Reactivos'!F672,'LP Reactivos'!I672,'LP Reactivos'!N672,'LP Reactivos'!S672,'LP Reactivos'!X672,'LP Reactivos'!AC672,'LP Reactivos'!AH672,'LP Reactivos'!AM672,'LP Reactivos'!AR672,'LP Reactivos'!AW672,'LP Reactivos'!BB672,'LP Reactivos'!BG672,'LP Reactivos'!BL672,'LP Reactivos'!BQ672,'LP Reactivos'!BV672,'LP Reactivos'!CA672,'LP Reactivos'!CF672,'LP Reactivos'!CK672,'LP Reactivos'!CP672,'LP Reactivos'!CU672,'LP Reactivos'!CZ672,'LP Reactivos'!DE672,'LP Reactivos'!DJ672,'LP Reactivos'!DO672,'LP Reactivos'!DT672,'LP Reactivos'!DY672,'LP Reactivos'!EB672)," ")</f>
        <v>588785.11525476619</v>
      </c>
      <c r="H672" s="345">
        <f t="shared" si="44"/>
        <v>68095.014764860563</v>
      </c>
      <c r="I672" s="346">
        <f t="shared" si="45"/>
        <v>0.11166776215928026</v>
      </c>
      <c r="J672" s="345">
        <f t="shared" si="46"/>
        <v>609800.12</v>
      </c>
      <c r="K672" s="344" t="str">
        <f t="shared" si="47"/>
        <v>Promedio</v>
      </c>
      <c r="L672" s="326">
        <f>IFERROR(COUNTA('LP Reactivos'!F672,'LP Reactivos'!I672,'LP Reactivos'!N672,'LP Reactivos'!S672,'LP Reactivos'!X672,'LP Reactivos'!AC672,'LP Reactivos'!AH672,'LP Reactivos'!AM672,'LP Reactivos'!AR672,'LP Reactivos'!AW672,'LP Reactivos'!BB672,'LP Reactivos'!BG672,'LP Reactivos'!BL672,'LP Reactivos'!BQ672,'LP Reactivos'!BV672,'LP Reactivos'!CA672,'LP Reactivos'!CF672,'LP Reactivos'!CK672,'LP Reactivos'!CP672,'LP Reactivos'!CU672,'LP Reactivos'!CZ672,'LP Reactivos'!DE672,'LP Reactivos'!DJ672,'LP Reactivos'!DO672,'LP Reactivos'!DT672,'LP Reactivos'!DY672,'LP Reactivos'!EB672)," ")</f>
        <v>3</v>
      </c>
    </row>
    <row r="673" spans="2:12" ht="40.5" x14ac:dyDescent="0.25">
      <c r="B673" s="425">
        <v>671</v>
      </c>
      <c r="C673" s="426" t="s">
        <v>2829</v>
      </c>
      <c r="D673" s="429">
        <f>IFERROR(MIN('LP Reactivos'!F673,'LP Reactivos'!I673,'LP Reactivos'!N673,'LP Reactivos'!S673,'LP Reactivos'!X673,'LP Reactivos'!AC673,'LP Reactivos'!AH673,'LP Reactivos'!AM673,'LP Reactivos'!AR673,'LP Reactivos'!AW673,'LP Reactivos'!BB673,'LP Reactivos'!BG673,'LP Reactivos'!BL673,'LP Reactivos'!BQ673,'LP Reactivos'!BV673,'LP Reactivos'!CA673,'LP Reactivos'!CF673,'LP Reactivos'!CK673,'LP Reactivos'!CP673,'LP Reactivos'!CU673,'LP Reactivos'!CZ673,'LP Reactivos'!DE673,'LP Reactivos'!DJ673,'LP Reactivos'!DO673,'LP Reactivos'!DT673,'LP Reactivos'!DY673,'LP Reactivos'!EB673)," ")</f>
        <v>385000</v>
      </c>
      <c r="E673" s="429">
        <f>IFERROR(AVERAGE('LP Reactivos'!F673,'LP Reactivos'!I673,'LP Reactivos'!N673,'LP Reactivos'!S673,'LP Reactivos'!X673,'LP Reactivos'!AC673,'LP Reactivos'!AH673,'LP Reactivos'!AM673,'LP Reactivos'!AR673,'LP Reactivos'!AW673,'LP Reactivos'!BB673,'LP Reactivos'!BG673,'LP Reactivos'!BL673,'LP Reactivos'!BQ673,'LP Reactivos'!BV673,'LP Reactivos'!CA673,'LP Reactivos'!CF673,'LP Reactivos'!CK673,'LP Reactivos'!CP673,'LP Reactivos'!CU673,'LP Reactivos'!CZ673,'LP Reactivos'!DE673,'LP Reactivos'!DJ673,'LP Reactivos'!DO673,'LP Reactivos'!DT673,'LP Reactivos'!DY673,'LP Reactivos'!EB673)," ")</f>
        <v>385000</v>
      </c>
      <c r="F673" s="345">
        <f>IFERROR(MEDIAN('LP Reactivos'!F673,'LP Reactivos'!I673,'LP Reactivos'!N673,'LP Reactivos'!S673,'LP Reactivos'!X673,'LP Reactivos'!AC673,'LP Reactivos'!AH673,'LP Reactivos'!AM673,'LP Reactivos'!AR673,'LP Reactivos'!AW673,'LP Reactivos'!BB673,'LP Reactivos'!BG673,'LP Reactivos'!BL673,'LP Reactivos'!BQ673,'LP Reactivos'!BV673,'LP Reactivos'!CA673,'LP Reactivos'!CF673,'LP Reactivos'!CK673,'LP Reactivos'!CP673,'LP Reactivos'!CU673,'LP Reactivos'!CZ673,'LP Reactivos'!DE673,'LP Reactivos'!DJ673,'LP Reactivos'!DO673,'LP Reactivos'!DT673,'LP Reactivos'!DY673,'LP Reactivos'!EB673)," ")</f>
        <v>385000</v>
      </c>
      <c r="G673" s="345">
        <f>IFERROR(GEOMEAN('LP Reactivos'!F673,'LP Reactivos'!I673,'LP Reactivos'!N673,'LP Reactivos'!S673,'LP Reactivos'!X673,'LP Reactivos'!AC673,'LP Reactivos'!AH673,'LP Reactivos'!AM673,'LP Reactivos'!AR673,'LP Reactivos'!AW673,'LP Reactivos'!BB673,'LP Reactivos'!BG673,'LP Reactivos'!BL673,'LP Reactivos'!BQ673,'LP Reactivos'!BV673,'LP Reactivos'!CA673,'LP Reactivos'!CF673,'LP Reactivos'!CK673,'LP Reactivos'!CP673,'LP Reactivos'!CU673,'LP Reactivos'!CZ673,'LP Reactivos'!DE673,'LP Reactivos'!DJ673,'LP Reactivos'!DO673,'LP Reactivos'!DT673,'LP Reactivos'!DY673,'LP Reactivos'!EB673)," ")</f>
        <v>385000</v>
      </c>
      <c r="H673" s="345">
        <f t="shared" ref="H673:H677" si="48">STDEVA(D673,E673,F673,G673)</f>
        <v>0</v>
      </c>
      <c r="I673" s="346">
        <f t="shared" ref="I673:I677" si="49">IFERROR(H673/E673," ")</f>
        <v>0</v>
      </c>
      <c r="J673" s="345">
        <f t="shared" ref="J673:J677" si="50">IF(I673&lt;=10%,F673,IF(AND(I673&gt;10%,I673&lt;=20%),E673,IF(AND(I673&gt;20%,I673&lt;=30%),G673,IF(I673&gt;30%,D673))))</f>
        <v>385000</v>
      </c>
      <c r="K673" s="344" t="str">
        <f t="shared" ref="K673:K677" si="51">IF(J673=D673,"Menor Valor",IF(J673=E673,"Promedio",IF(J673=F673,"Mediana",IF(J673=G673,"Media Geométrica"," "))))</f>
        <v>Menor Valor</v>
      </c>
      <c r="L673" s="326">
        <f>IFERROR(COUNTA('LP Reactivos'!F673,'LP Reactivos'!I673,'LP Reactivos'!N673,'LP Reactivos'!S673,'LP Reactivos'!X673,'LP Reactivos'!AC673,'LP Reactivos'!AH673,'LP Reactivos'!AM673,'LP Reactivos'!AR673,'LP Reactivos'!AW673,'LP Reactivos'!BB673,'LP Reactivos'!BG673,'LP Reactivos'!BL673,'LP Reactivos'!BQ673,'LP Reactivos'!BV673,'LP Reactivos'!CA673,'LP Reactivos'!CF673,'LP Reactivos'!CK673,'LP Reactivos'!CP673,'LP Reactivos'!CU673,'LP Reactivos'!CZ673,'LP Reactivos'!DE673,'LP Reactivos'!DJ673,'LP Reactivos'!DO673,'LP Reactivos'!DT673,'LP Reactivos'!DY673,'LP Reactivos'!EB673)," ")</f>
        <v>1</v>
      </c>
    </row>
    <row r="674" spans="2:12" ht="40.5" x14ac:dyDescent="0.25">
      <c r="B674" s="425">
        <v>672</v>
      </c>
      <c r="C674" s="426" t="s">
        <v>2831</v>
      </c>
      <c r="D674" s="429">
        <f>IFERROR(MIN('LP Reactivos'!F674,'LP Reactivos'!I674,'LP Reactivos'!N674,'LP Reactivos'!S674,'LP Reactivos'!X674,'LP Reactivos'!AC674,'LP Reactivos'!AH674,'LP Reactivos'!AM674,'LP Reactivos'!AR674,'LP Reactivos'!AW674,'LP Reactivos'!BB674,'LP Reactivos'!BG674,'LP Reactivos'!BL674,'LP Reactivos'!BQ674,'LP Reactivos'!BV674,'LP Reactivos'!CA674,'LP Reactivos'!CF674,'LP Reactivos'!CK674,'LP Reactivos'!CP674,'LP Reactivos'!CU674,'LP Reactivos'!CZ674,'LP Reactivos'!DE674,'LP Reactivos'!DJ674,'LP Reactivos'!DO674,'LP Reactivos'!DT674,'LP Reactivos'!DY674,'LP Reactivos'!EB674)," ")</f>
        <v>528360</v>
      </c>
      <c r="E674" s="429">
        <f>IFERROR(AVERAGE('LP Reactivos'!F674,'LP Reactivos'!I674,'LP Reactivos'!N674,'LP Reactivos'!S674,'LP Reactivos'!X674,'LP Reactivos'!AC674,'LP Reactivos'!AH674,'LP Reactivos'!AM674,'LP Reactivos'!AR674,'LP Reactivos'!AW674,'LP Reactivos'!BB674,'LP Reactivos'!BG674,'LP Reactivos'!BL674,'LP Reactivos'!BQ674,'LP Reactivos'!BV674,'LP Reactivos'!CA674,'LP Reactivos'!CF674,'LP Reactivos'!CK674,'LP Reactivos'!CP674,'LP Reactivos'!CU674,'LP Reactivos'!CZ674,'LP Reactivos'!DE674,'LP Reactivos'!DJ674,'LP Reactivos'!DO674,'LP Reactivos'!DT674,'LP Reactivos'!DY674,'LP Reactivos'!EB674)," ")</f>
        <v>1035520.0233333334</v>
      </c>
      <c r="F674" s="345">
        <f>IFERROR(MEDIAN('LP Reactivos'!F674,'LP Reactivos'!I674,'LP Reactivos'!N674,'LP Reactivos'!S674,'LP Reactivos'!X674,'LP Reactivos'!AC674,'LP Reactivos'!AH674,'LP Reactivos'!AM674,'LP Reactivos'!AR674,'LP Reactivos'!AW674,'LP Reactivos'!BB674,'LP Reactivos'!BG674,'LP Reactivos'!BL674,'LP Reactivos'!BQ674,'LP Reactivos'!BV674,'LP Reactivos'!CA674,'LP Reactivos'!CF674,'LP Reactivos'!CK674,'LP Reactivos'!CP674,'LP Reactivos'!CU674,'LP Reactivos'!CZ674,'LP Reactivos'!DE674,'LP Reactivos'!DJ674,'LP Reactivos'!DO674,'LP Reactivos'!DT674,'LP Reactivos'!DY674,'LP Reactivos'!EB674)," ")</f>
        <v>621600.07000000007</v>
      </c>
      <c r="G674" s="345">
        <f>IFERROR(GEOMEAN('LP Reactivos'!F674,'LP Reactivos'!I674,'LP Reactivos'!N674,'LP Reactivos'!S674,'LP Reactivos'!X674,'LP Reactivos'!AC674,'LP Reactivos'!AH674,'LP Reactivos'!AM674,'LP Reactivos'!AR674,'LP Reactivos'!AW674,'LP Reactivos'!BB674,'LP Reactivos'!BG674,'LP Reactivos'!BL674,'LP Reactivos'!BQ674,'LP Reactivos'!BV674,'LP Reactivos'!CA674,'LP Reactivos'!CF674,'LP Reactivos'!CK674,'LP Reactivos'!CP674,'LP Reactivos'!CU674,'LP Reactivos'!CZ674,'LP Reactivos'!DE674,'LP Reactivos'!DJ674,'LP Reactivos'!DO674,'LP Reactivos'!DT674,'LP Reactivos'!DY674,'LP Reactivos'!EB674)," ")</f>
        <v>862940.81748788175</v>
      </c>
      <c r="H674" s="345">
        <f t="shared" si="48"/>
        <v>230435.81713202668</v>
      </c>
      <c r="I674" s="346">
        <f t="shared" si="49"/>
        <v>0.22253149329769117</v>
      </c>
      <c r="J674" s="345">
        <f t="shared" si="50"/>
        <v>862940.81748788175</v>
      </c>
      <c r="K674" s="344" t="str">
        <f t="shared" si="51"/>
        <v>Media Geométrica</v>
      </c>
      <c r="L674" s="326">
        <f>IFERROR(COUNTA('LP Reactivos'!F674,'LP Reactivos'!I674,'LP Reactivos'!N674,'LP Reactivos'!S674,'LP Reactivos'!X674,'LP Reactivos'!AC674,'LP Reactivos'!AH674,'LP Reactivos'!AM674,'LP Reactivos'!AR674,'LP Reactivos'!AW674,'LP Reactivos'!BB674,'LP Reactivos'!BG674,'LP Reactivos'!BL674,'LP Reactivos'!BQ674,'LP Reactivos'!BV674,'LP Reactivos'!CA674,'LP Reactivos'!CF674,'LP Reactivos'!CK674,'LP Reactivos'!CP674,'LP Reactivos'!CU674,'LP Reactivos'!CZ674,'LP Reactivos'!DE674,'LP Reactivos'!DJ674,'LP Reactivos'!DO674,'LP Reactivos'!DT674,'LP Reactivos'!DY674,'LP Reactivos'!EB674)," ")</f>
        <v>3</v>
      </c>
    </row>
    <row r="675" spans="2:12" ht="40.5" x14ac:dyDescent="0.25">
      <c r="B675" s="425">
        <v>673</v>
      </c>
      <c r="C675" s="426" t="s">
        <v>2835</v>
      </c>
      <c r="D675" s="429">
        <f>IFERROR(MIN('LP Reactivos'!F675,'LP Reactivos'!I675,'LP Reactivos'!N675,'LP Reactivos'!S675,'LP Reactivos'!X675,'LP Reactivos'!AC675,'LP Reactivos'!AH675,'LP Reactivos'!AM675,'LP Reactivos'!AR675,'LP Reactivos'!AW675,'LP Reactivos'!BB675,'LP Reactivos'!BG675,'LP Reactivos'!BL675,'LP Reactivos'!BQ675,'LP Reactivos'!BV675,'LP Reactivos'!CA675,'LP Reactivos'!CF675,'LP Reactivos'!CK675,'LP Reactivos'!CP675,'LP Reactivos'!CU675,'LP Reactivos'!CZ675,'LP Reactivos'!DE675,'LP Reactivos'!DJ675,'LP Reactivos'!DO675,'LP Reactivos'!DT675,'LP Reactivos'!DY675,'LP Reactivos'!EB675)," ")</f>
        <v>332150.00350000005</v>
      </c>
      <c r="E675" s="429">
        <f>IFERROR(AVERAGE('LP Reactivos'!F675,'LP Reactivos'!I675,'LP Reactivos'!N675,'LP Reactivos'!S675,'LP Reactivos'!X675,'LP Reactivos'!AC675,'LP Reactivos'!AH675,'LP Reactivos'!AM675,'LP Reactivos'!AR675,'LP Reactivos'!AW675,'LP Reactivos'!BB675,'LP Reactivos'!BG675,'LP Reactivos'!BL675,'LP Reactivos'!BQ675,'LP Reactivos'!BV675,'LP Reactivos'!CA675,'LP Reactivos'!CF675,'LP Reactivos'!CK675,'LP Reactivos'!CP675,'LP Reactivos'!CU675,'LP Reactivos'!CZ675,'LP Reactivos'!DE675,'LP Reactivos'!DJ675,'LP Reactivos'!DO675,'LP Reactivos'!DT675,'LP Reactivos'!DY675,'LP Reactivos'!EB675)," ")</f>
        <v>467054.66783333337</v>
      </c>
      <c r="F675" s="345">
        <f>IFERROR(MEDIAN('LP Reactivos'!F675,'LP Reactivos'!I675,'LP Reactivos'!N675,'LP Reactivos'!S675,'LP Reactivos'!X675,'LP Reactivos'!AC675,'LP Reactivos'!AH675,'LP Reactivos'!AM675,'LP Reactivos'!AR675,'LP Reactivos'!AW675,'LP Reactivos'!BB675,'LP Reactivos'!BG675,'LP Reactivos'!BL675,'LP Reactivos'!BQ675,'LP Reactivos'!BV675,'LP Reactivos'!CA675,'LP Reactivos'!CF675,'LP Reactivos'!CK675,'LP Reactivos'!CP675,'LP Reactivos'!CU675,'LP Reactivos'!CZ675,'LP Reactivos'!DE675,'LP Reactivos'!DJ675,'LP Reactivos'!DO675,'LP Reactivos'!DT675,'LP Reactivos'!DY675,'LP Reactivos'!EB675)," ")</f>
        <v>334390</v>
      </c>
      <c r="G675" s="345">
        <f>IFERROR(GEOMEAN('LP Reactivos'!F675,'LP Reactivos'!I675,'LP Reactivos'!N675,'LP Reactivos'!S675,'LP Reactivos'!X675,'LP Reactivos'!AC675,'LP Reactivos'!AH675,'LP Reactivos'!AM675,'LP Reactivos'!AR675,'LP Reactivos'!AW675,'LP Reactivos'!BB675,'LP Reactivos'!BG675,'LP Reactivos'!BL675,'LP Reactivos'!BQ675,'LP Reactivos'!BV675,'LP Reactivos'!CA675,'LP Reactivos'!CF675,'LP Reactivos'!CK675,'LP Reactivos'!CP675,'LP Reactivos'!CU675,'LP Reactivos'!CZ675,'LP Reactivos'!DE675,'LP Reactivos'!DJ675,'LP Reactivos'!DO675,'LP Reactivos'!DT675,'LP Reactivos'!DY675,'LP Reactivos'!EB675)," ")</f>
        <v>433728.09198765492</v>
      </c>
      <c r="H675" s="345">
        <f t="shared" si="48"/>
        <v>68981.292979020145</v>
      </c>
      <c r="I675" s="346">
        <f t="shared" si="49"/>
        <v>0.1476942587877868</v>
      </c>
      <c r="J675" s="345">
        <f t="shared" si="50"/>
        <v>467054.66783333337</v>
      </c>
      <c r="K675" s="344" t="str">
        <f t="shared" si="51"/>
        <v>Promedio</v>
      </c>
      <c r="L675" s="326">
        <f>IFERROR(COUNTA('LP Reactivos'!F675,'LP Reactivos'!I675,'LP Reactivos'!N675,'LP Reactivos'!S675,'LP Reactivos'!X675,'LP Reactivos'!AC675,'LP Reactivos'!AH675,'LP Reactivos'!AM675,'LP Reactivos'!AR675,'LP Reactivos'!AW675,'LP Reactivos'!BB675,'LP Reactivos'!BG675,'LP Reactivos'!BL675,'LP Reactivos'!BQ675,'LP Reactivos'!BV675,'LP Reactivos'!CA675,'LP Reactivos'!CF675,'LP Reactivos'!CK675,'LP Reactivos'!CP675,'LP Reactivos'!CU675,'LP Reactivos'!CZ675,'LP Reactivos'!DE675,'LP Reactivos'!DJ675,'LP Reactivos'!DO675,'LP Reactivos'!DT675,'LP Reactivos'!DY675,'LP Reactivos'!EB675)," ")</f>
        <v>3</v>
      </c>
    </row>
    <row r="676" spans="2:12" ht="40.5" x14ac:dyDescent="0.25">
      <c r="B676" s="425">
        <v>674</v>
      </c>
      <c r="C676" s="426" t="s">
        <v>2839</v>
      </c>
      <c r="D676" s="429">
        <f>IFERROR(MIN('LP Reactivos'!F676,'LP Reactivos'!I676,'LP Reactivos'!N676,'LP Reactivos'!S676,'LP Reactivos'!X676,'LP Reactivos'!AC676,'LP Reactivos'!AH676,'LP Reactivos'!AM676,'LP Reactivos'!AR676,'LP Reactivos'!AW676,'LP Reactivos'!BB676,'LP Reactivos'!BG676,'LP Reactivos'!BL676,'LP Reactivos'!BQ676,'LP Reactivos'!BV676,'LP Reactivos'!CA676,'LP Reactivos'!CF676,'LP Reactivos'!CK676,'LP Reactivos'!CP676,'LP Reactivos'!CU676,'LP Reactivos'!CZ676,'LP Reactivos'!DE676,'LP Reactivos'!DJ676,'LP Reactivos'!DO676,'LP Reactivos'!DT676,'LP Reactivos'!DY676,'LP Reactivos'!EB676)," ")</f>
        <v>422000</v>
      </c>
      <c r="E676" s="429">
        <f>IFERROR(AVERAGE('LP Reactivos'!F676,'LP Reactivos'!I676,'LP Reactivos'!N676,'LP Reactivos'!S676,'LP Reactivos'!X676,'LP Reactivos'!AC676,'LP Reactivos'!AH676,'LP Reactivos'!AM676,'LP Reactivos'!AR676,'LP Reactivos'!AW676,'LP Reactivos'!BB676,'LP Reactivos'!BG676,'LP Reactivos'!BL676,'LP Reactivos'!BQ676,'LP Reactivos'!BV676,'LP Reactivos'!CA676,'LP Reactivos'!CF676,'LP Reactivos'!CK676,'LP Reactivos'!CP676,'LP Reactivos'!CU676,'LP Reactivos'!CZ676,'LP Reactivos'!DE676,'LP Reactivos'!DJ676,'LP Reactivos'!DO676,'LP Reactivos'!DT676,'LP Reactivos'!DY676,'LP Reactivos'!EB676)," ")</f>
        <v>650751.16333333333</v>
      </c>
      <c r="F676" s="345">
        <f>IFERROR(MEDIAN('LP Reactivos'!F676,'LP Reactivos'!I676,'LP Reactivos'!N676,'LP Reactivos'!S676,'LP Reactivos'!X676,'LP Reactivos'!AC676,'LP Reactivos'!AH676,'LP Reactivos'!AM676,'LP Reactivos'!AR676,'LP Reactivos'!AW676,'LP Reactivos'!BB676,'LP Reactivos'!BG676,'LP Reactivos'!BL676,'LP Reactivos'!BQ676,'LP Reactivos'!BV676,'LP Reactivos'!CA676,'LP Reactivos'!CF676,'LP Reactivos'!CK676,'LP Reactivos'!CP676,'LP Reactivos'!CU676,'LP Reactivos'!CZ676,'LP Reactivos'!DE676,'LP Reactivos'!DJ676,'LP Reactivos'!DO676,'LP Reactivos'!DT676,'LP Reactivos'!DY676,'LP Reactivos'!EB676)," ")</f>
        <v>590800.49</v>
      </c>
      <c r="G676" s="345">
        <f>IFERROR(GEOMEAN('LP Reactivos'!F676,'LP Reactivos'!I676,'LP Reactivos'!N676,'LP Reactivos'!S676,'LP Reactivos'!X676,'LP Reactivos'!AC676,'LP Reactivos'!AH676,'LP Reactivos'!AM676,'LP Reactivos'!AR676,'LP Reactivos'!AW676,'LP Reactivos'!BB676,'LP Reactivos'!BG676,'LP Reactivos'!BL676,'LP Reactivos'!BQ676,'LP Reactivos'!BV676,'LP Reactivos'!CA676,'LP Reactivos'!CF676,'LP Reactivos'!CK676,'LP Reactivos'!CP676,'LP Reactivos'!CU676,'LP Reactivos'!CZ676,'LP Reactivos'!DE676,'LP Reactivos'!DJ676,'LP Reactivos'!DO676,'LP Reactivos'!DT676,'LP Reactivos'!DY676,'LP Reactivos'!EB676)," ")</f>
        <v>616419.14459872327</v>
      </c>
      <c r="H676" s="345">
        <f t="shared" si="48"/>
        <v>101672.91926567545</v>
      </c>
      <c r="I676" s="346">
        <f t="shared" si="49"/>
        <v>0.15623932002653321</v>
      </c>
      <c r="J676" s="345">
        <f t="shared" si="50"/>
        <v>650751.16333333333</v>
      </c>
      <c r="K676" s="344" t="str">
        <f t="shared" si="51"/>
        <v>Promedio</v>
      </c>
      <c r="L676" s="326">
        <f>IFERROR(COUNTA('LP Reactivos'!F676,'LP Reactivos'!I676,'LP Reactivos'!N676,'LP Reactivos'!S676,'LP Reactivos'!X676,'LP Reactivos'!AC676,'LP Reactivos'!AH676,'LP Reactivos'!AM676,'LP Reactivos'!AR676,'LP Reactivos'!AW676,'LP Reactivos'!BB676,'LP Reactivos'!BG676,'LP Reactivos'!BL676,'LP Reactivos'!BQ676,'LP Reactivos'!BV676,'LP Reactivos'!CA676,'LP Reactivos'!CF676,'LP Reactivos'!CK676,'LP Reactivos'!CP676,'LP Reactivos'!CU676,'LP Reactivos'!CZ676,'LP Reactivos'!DE676,'LP Reactivos'!DJ676,'LP Reactivos'!DO676,'LP Reactivos'!DT676,'LP Reactivos'!DY676,'LP Reactivos'!EB676)," ")</f>
        <v>3</v>
      </c>
    </row>
    <row r="677" spans="2:12" ht="40.5" x14ac:dyDescent="0.25">
      <c r="B677" s="425">
        <v>675</v>
      </c>
      <c r="C677" s="426" t="s">
        <v>2842</v>
      </c>
      <c r="D677" s="429">
        <f>IFERROR(MIN('LP Reactivos'!F677,'LP Reactivos'!I677,'LP Reactivos'!N677,'LP Reactivos'!S677,'LP Reactivos'!X677,'LP Reactivos'!AC677,'LP Reactivos'!AH677,'LP Reactivos'!AM677,'LP Reactivos'!AR677,'LP Reactivos'!AW677,'LP Reactivos'!BB677,'LP Reactivos'!BG677,'LP Reactivos'!BL677,'LP Reactivos'!BQ677,'LP Reactivos'!BV677,'LP Reactivos'!CA677,'LP Reactivos'!CF677,'LP Reactivos'!CK677,'LP Reactivos'!CP677,'LP Reactivos'!CU677,'LP Reactivos'!CZ677,'LP Reactivos'!DE677,'LP Reactivos'!DJ677,'LP Reactivos'!DO677,'LP Reactivos'!DT677,'LP Reactivos'!DY677,'LP Reactivos'!EB677)," ")</f>
        <v>291000</v>
      </c>
      <c r="E677" s="429">
        <f>IFERROR(AVERAGE('LP Reactivos'!F677,'LP Reactivos'!I677,'LP Reactivos'!N677,'LP Reactivos'!S677,'LP Reactivos'!X677,'LP Reactivos'!AC677,'LP Reactivos'!AH677,'LP Reactivos'!AM677,'LP Reactivos'!AR677,'LP Reactivos'!AW677,'LP Reactivos'!BB677,'LP Reactivos'!BG677,'LP Reactivos'!BL677,'LP Reactivos'!BQ677,'LP Reactivos'!BV677,'LP Reactivos'!CA677,'LP Reactivos'!CF677,'LP Reactivos'!CK677,'LP Reactivos'!CP677,'LP Reactivos'!CU677,'LP Reactivos'!CZ677,'LP Reactivos'!DE677,'LP Reactivos'!DJ677,'LP Reactivos'!DO677,'LP Reactivos'!DT677,'LP Reactivos'!DY677,'LP Reactivos'!EB677)," ")</f>
        <v>493524.02333333337</v>
      </c>
      <c r="F677" s="345">
        <f>IFERROR(MEDIAN('LP Reactivos'!F677,'LP Reactivos'!I677,'LP Reactivos'!N677,'LP Reactivos'!S677,'LP Reactivos'!X677,'LP Reactivos'!AC677,'LP Reactivos'!AH677,'LP Reactivos'!AM677,'LP Reactivos'!AR677,'LP Reactivos'!AW677,'LP Reactivos'!BB677,'LP Reactivos'!BG677,'LP Reactivos'!BL677,'LP Reactivos'!BQ677,'LP Reactivos'!BV677,'LP Reactivos'!CA677,'LP Reactivos'!CF677,'LP Reactivos'!CK677,'LP Reactivos'!CP677,'LP Reactivos'!CU677,'LP Reactivos'!CZ677,'LP Reactivos'!DE677,'LP Reactivos'!DJ677,'LP Reactivos'!DO677,'LP Reactivos'!DT677,'LP Reactivos'!DY677,'LP Reactivos'!EB677)," ")</f>
        <v>407400.07</v>
      </c>
      <c r="G677" s="345">
        <f>IFERROR(GEOMEAN('LP Reactivos'!F677,'LP Reactivos'!I677,'LP Reactivos'!N677,'LP Reactivos'!S677,'LP Reactivos'!X677,'LP Reactivos'!AC677,'LP Reactivos'!AH677,'LP Reactivos'!AM677,'LP Reactivos'!AR677,'LP Reactivos'!AW677,'LP Reactivos'!BB677,'LP Reactivos'!BG677,'LP Reactivos'!BL677,'LP Reactivos'!BQ677,'LP Reactivos'!BV677,'LP Reactivos'!CA677,'LP Reactivos'!CF677,'LP Reactivos'!CK677,'LP Reactivos'!CP677,'LP Reactivos'!CU677,'LP Reactivos'!CZ677,'LP Reactivos'!DE677,'LP Reactivos'!DJ677,'LP Reactivos'!DO677,'LP Reactivos'!DT677,'LP Reactivos'!DY677,'LP Reactivos'!EB677)," ")</f>
        <v>452625.25705143617</v>
      </c>
      <c r="H677" s="345">
        <f t="shared" si="48"/>
        <v>87475.254598585539</v>
      </c>
      <c r="I677" s="346">
        <f t="shared" si="49"/>
        <v>0.17724619362551977</v>
      </c>
      <c r="J677" s="345">
        <f t="shared" si="50"/>
        <v>493524.02333333337</v>
      </c>
      <c r="K677" s="344" t="str">
        <f t="shared" si="51"/>
        <v>Promedio</v>
      </c>
      <c r="L677" s="326">
        <f>IFERROR(COUNTA('LP Reactivos'!F677,'LP Reactivos'!I677,'LP Reactivos'!N677,'LP Reactivos'!S677,'LP Reactivos'!X677,'LP Reactivos'!AC677,'LP Reactivos'!AH677,'LP Reactivos'!AM677,'LP Reactivos'!AR677,'LP Reactivos'!AW677,'LP Reactivos'!BB677,'LP Reactivos'!BG677,'LP Reactivos'!BL677,'LP Reactivos'!BQ677,'LP Reactivos'!BV677,'LP Reactivos'!CA677,'LP Reactivos'!CF677,'LP Reactivos'!CK677,'LP Reactivos'!CP677,'LP Reactivos'!CU677,'LP Reactivos'!CZ677,'LP Reactivos'!DE677,'LP Reactivos'!DJ677,'LP Reactivos'!DO677,'LP Reactivos'!DT677,'LP Reactivos'!DY677,'LP Reactivos'!EB677)," ")</f>
        <v>3</v>
      </c>
    </row>
  </sheetData>
  <autoFilter ref="B2:M677"/>
  <mergeCells count="2">
    <mergeCell ref="B1:C1"/>
    <mergeCell ref="D1:K1"/>
  </mergeCells>
  <conditionalFormatting sqref="C66">
    <cfRule type="duplicateValues" dxfId="46" priority="40"/>
  </conditionalFormatting>
  <conditionalFormatting sqref="C20">
    <cfRule type="duplicateValues" dxfId="45" priority="39"/>
  </conditionalFormatting>
  <conditionalFormatting sqref="C23">
    <cfRule type="duplicateValues" dxfId="44" priority="38"/>
  </conditionalFormatting>
  <conditionalFormatting sqref="C28">
    <cfRule type="duplicateValues" dxfId="43" priority="37"/>
  </conditionalFormatting>
  <conditionalFormatting sqref="C46">
    <cfRule type="duplicateValues" dxfId="42" priority="36"/>
  </conditionalFormatting>
  <conditionalFormatting sqref="C73">
    <cfRule type="duplicateValues" dxfId="41" priority="35"/>
  </conditionalFormatting>
  <conditionalFormatting sqref="C82:C83">
    <cfRule type="duplicateValues" dxfId="40" priority="34"/>
  </conditionalFormatting>
  <conditionalFormatting sqref="C104">
    <cfRule type="duplicateValues" dxfId="39" priority="33"/>
  </conditionalFormatting>
  <conditionalFormatting sqref="C107">
    <cfRule type="duplicateValues" dxfId="38" priority="32"/>
  </conditionalFormatting>
  <conditionalFormatting sqref="C108">
    <cfRule type="duplicateValues" dxfId="37" priority="31"/>
  </conditionalFormatting>
  <conditionalFormatting sqref="C122">
    <cfRule type="duplicateValues" dxfId="36" priority="30"/>
  </conditionalFormatting>
  <conditionalFormatting sqref="C123">
    <cfRule type="duplicateValues" dxfId="35" priority="29"/>
  </conditionalFormatting>
  <conditionalFormatting sqref="C125">
    <cfRule type="duplicateValues" dxfId="34" priority="28"/>
  </conditionalFormatting>
  <conditionalFormatting sqref="C148">
    <cfRule type="duplicateValues" dxfId="33" priority="27"/>
  </conditionalFormatting>
  <conditionalFormatting sqref="C156">
    <cfRule type="duplicateValues" dxfId="32" priority="26"/>
  </conditionalFormatting>
  <conditionalFormatting sqref="C162">
    <cfRule type="duplicateValues" dxfId="31" priority="25"/>
  </conditionalFormatting>
  <conditionalFormatting sqref="C172">
    <cfRule type="duplicateValues" dxfId="30" priority="24"/>
  </conditionalFormatting>
  <conditionalFormatting sqref="C492">
    <cfRule type="duplicateValues" dxfId="29" priority="23"/>
  </conditionalFormatting>
  <conditionalFormatting sqref="C495">
    <cfRule type="duplicateValues" dxfId="28" priority="22"/>
  </conditionalFormatting>
  <conditionalFormatting sqref="C503">
    <cfRule type="duplicateValues" dxfId="27" priority="21"/>
  </conditionalFormatting>
  <conditionalFormatting sqref="C526">
    <cfRule type="duplicateValues" dxfId="26" priority="20"/>
  </conditionalFormatting>
  <conditionalFormatting sqref="C527">
    <cfRule type="duplicateValues" dxfId="25" priority="19"/>
  </conditionalFormatting>
  <conditionalFormatting sqref="C528">
    <cfRule type="duplicateValues" dxfId="24" priority="18"/>
  </conditionalFormatting>
  <conditionalFormatting sqref="C99:C100">
    <cfRule type="duplicateValues" dxfId="23" priority="41"/>
  </conditionalFormatting>
  <conditionalFormatting sqref="C136 C3:C16 C21:C22 C24 C29:C45 C47:C65 C67:C72 C74:C81 C84:C98 C101:C103 C105:C106 C109:C113 C124 C126:C128 C130:C131 C149 C157:C161 C163:C165 C168:C170 C173 C138 C144:C147 C151:C155 C18:C19 C26:C27 C116:C121 C140:C141">
    <cfRule type="duplicateValues" dxfId="22" priority="42"/>
  </conditionalFormatting>
  <conditionalFormatting sqref="C644">
    <cfRule type="duplicateValues" dxfId="21" priority="17"/>
  </conditionalFormatting>
  <conditionalFormatting sqref="C645">
    <cfRule type="duplicateValues" dxfId="20" priority="16"/>
  </conditionalFormatting>
  <conditionalFormatting sqref="C646:C647">
    <cfRule type="duplicateValues" dxfId="19" priority="15"/>
  </conditionalFormatting>
  <conditionalFormatting sqref="C649">
    <cfRule type="duplicateValues" dxfId="18" priority="14"/>
  </conditionalFormatting>
  <conditionalFormatting sqref="C650">
    <cfRule type="duplicateValues" dxfId="17" priority="13"/>
  </conditionalFormatting>
  <conditionalFormatting sqref="C651">
    <cfRule type="duplicateValues" dxfId="16" priority="12"/>
  </conditionalFormatting>
  <conditionalFormatting sqref="C652">
    <cfRule type="duplicateValues" dxfId="15" priority="10"/>
  </conditionalFormatting>
  <conditionalFormatting sqref="C652">
    <cfRule type="duplicateValues" dxfId="14" priority="11"/>
  </conditionalFormatting>
  <conditionalFormatting sqref="C648">
    <cfRule type="duplicateValues" dxfId="13" priority="43"/>
  </conditionalFormatting>
  <conditionalFormatting sqref="C653">
    <cfRule type="duplicateValues" dxfId="12" priority="9"/>
  </conditionalFormatting>
  <conditionalFormatting sqref="C654">
    <cfRule type="duplicateValues" dxfId="11" priority="8"/>
  </conditionalFormatting>
  <conditionalFormatting sqref="C655:C656">
    <cfRule type="duplicateValues" dxfId="10" priority="7"/>
  </conditionalFormatting>
  <conditionalFormatting sqref="C657">
    <cfRule type="duplicateValues" dxfId="9" priority="6"/>
  </conditionalFormatting>
  <conditionalFormatting sqref="C658">
    <cfRule type="duplicateValues" dxfId="8" priority="5"/>
  </conditionalFormatting>
  <conditionalFormatting sqref="C659">
    <cfRule type="duplicateValues" dxfId="7" priority="4"/>
  </conditionalFormatting>
  <conditionalFormatting sqref="C660">
    <cfRule type="duplicateValues" dxfId="6" priority="3"/>
  </conditionalFormatting>
  <conditionalFormatting sqref="C662">
    <cfRule type="duplicateValues" dxfId="5" priority="2"/>
  </conditionalFormatting>
  <conditionalFormatting sqref="C663">
    <cfRule type="duplicateValues" dxfId="4" priority="1"/>
  </conditionalFormatting>
  <conditionalFormatting sqref="C661">
    <cfRule type="duplicateValues" dxfId="3" priority="44"/>
  </conditionalFormatting>
  <conditionalFormatting sqref="C664 C666:C667 C670:C677 C3:C173 C470:C651">
    <cfRule type="duplicateValues" dxfId="2" priority="45"/>
  </conditionalFormatting>
  <conditionalFormatting sqref="C673:C677">
    <cfRule type="duplicateValues" dxfId="1" priority="46"/>
  </conditionalFormatting>
  <conditionalFormatting sqref="C504 C489:C491 C493:C494 C496:C502">
    <cfRule type="duplicateValues" dxfId="0" priority="47"/>
  </conditionalFormatting>
  <hyperlinks>
    <hyperlink ref="C537" r:id="rId1" display="http://www.oxoid.com/UK/blue/prod_detail/prod_detail.asp?pr=CT1653&amp;cat=&amp;sec=2&amp;c=UK&amp;lang=EN"/>
    <hyperlink ref="C535" r:id="rId2" display="http://www.oxoid.com/UK/blue/prod_detail/prod_detail.asp?pr=CT0060&amp;cat=&amp;sec=2&amp;c=UK&amp;lang=EN"/>
  </hyperlinks>
  <pageMargins left="0.7" right="0.7" top="0.75" bottom="0.75" header="0.3" footer="0.3"/>
  <pageSetup paperSize="9" orientation="portrait"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635"/>
  <sheetViews>
    <sheetView zoomScale="130" zoomScaleNormal="130" workbookViewId="0">
      <pane xSplit="4" ySplit="2" topLeftCell="E621" activePane="bottomRight" state="frozen"/>
      <selection pane="topRight" activeCell="E1" sqref="E1"/>
      <selection pane="bottomLeft" activeCell="A3" sqref="A3"/>
      <selection pane="bottomRight" activeCell="B634" sqref="B634"/>
    </sheetView>
  </sheetViews>
  <sheetFormatPr baseColWidth="10" defaultColWidth="15.28515625" defaultRowHeight="12.75" x14ac:dyDescent="0.25"/>
  <cols>
    <col min="1" max="1" width="6.140625" style="28" bestFit="1" customWidth="1"/>
    <col min="2" max="2" width="31.42578125" style="70" customWidth="1"/>
    <col min="3" max="3" width="17.7109375" style="70" customWidth="1"/>
    <col min="4" max="4" width="15.7109375" style="28" customWidth="1"/>
    <col min="5" max="5" width="9" style="69" customWidth="1"/>
    <col min="6" max="6" width="8.85546875" style="49" customWidth="1"/>
    <col min="7" max="7" width="7.42578125" style="115" customWidth="1"/>
    <col min="8" max="8" width="7.5703125" style="115" bestFit="1" customWidth="1"/>
    <col min="9" max="9" width="13.7109375" style="115" bestFit="1" customWidth="1"/>
    <col min="10" max="10" width="10.85546875" style="115" bestFit="1" customWidth="1"/>
    <col min="11" max="11" width="11.5703125" style="115" bestFit="1" customWidth="1"/>
    <col min="12" max="12" width="10" style="115" bestFit="1" customWidth="1"/>
    <col min="13" max="13" width="11.7109375" style="115" bestFit="1" customWidth="1"/>
    <col min="14" max="14" width="13" style="115" bestFit="1" customWidth="1"/>
    <col min="15" max="15" width="6.140625" style="115" bestFit="1" customWidth="1"/>
    <col min="16" max="16" width="14.5703125" style="49" bestFit="1" customWidth="1"/>
    <col min="17" max="17" width="11.140625" style="291" customWidth="1"/>
    <col min="18" max="18" width="11.7109375" style="291" bestFit="1" customWidth="1"/>
    <col min="19" max="19" width="12" style="291" customWidth="1"/>
    <col min="20" max="20" width="10.7109375" style="115" bestFit="1" customWidth="1"/>
    <col min="21" max="21" width="23.140625" style="128" customWidth="1"/>
    <col min="22" max="22" width="9.140625" style="115" customWidth="1"/>
    <col min="23" max="23" width="7.140625" style="115" customWidth="1"/>
    <col min="24" max="24" width="11.42578125" style="115" customWidth="1"/>
    <col min="25" max="25" width="10.7109375" style="115" bestFit="1" customWidth="1"/>
    <col min="26" max="26" width="12.42578125" style="115" bestFit="1" customWidth="1"/>
    <col min="27" max="27" width="10.7109375" style="291" customWidth="1"/>
    <col min="28" max="28" width="8" style="291" customWidth="1"/>
    <col min="29" max="29" width="11.5703125" style="291" customWidth="1"/>
    <col min="30" max="30" width="10.7109375" style="115" bestFit="1" customWidth="1"/>
    <col min="31" max="31" width="12.42578125" style="128" bestFit="1" customWidth="1"/>
    <col min="32" max="32" width="7.85546875" style="115" customWidth="1"/>
    <col min="33" max="33" width="8.85546875" style="115" customWidth="1"/>
    <col min="34" max="34" width="10.85546875" style="115" customWidth="1"/>
    <col min="35" max="35" width="8.42578125" style="115" customWidth="1"/>
    <col min="36" max="36" width="13.85546875" style="115" customWidth="1"/>
    <col min="37" max="37" width="11.42578125" style="291" customWidth="1"/>
    <col min="38" max="38" width="11.7109375" style="291" bestFit="1" customWidth="1"/>
    <col min="39" max="39" width="10.85546875" style="291" customWidth="1"/>
    <col min="40" max="40" width="10.7109375" style="291" bestFit="1" customWidth="1"/>
    <col min="41" max="41" width="12.42578125" style="291" bestFit="1" customWidth="1"/>
    <col min="42" max="42" width="10.85546875" style="115" customWidth="1"/>
    <col min="43" max="43" width="10.28515625" style="115" customWidth="1"/>
    <col min="44" max="44" width="12.28515625" style="115" customWidth="1"/>
    <col min="45" max="45" width="10.7109375" style="115" bestFit="1" customWidth="1"/>
    <col min="46" max="46" width="12.42578125" style="115" bestFit="1" customWidth="1"/>
    <col min="47" max="47" width="11" style="312" customWidth="1"/>
    <col min="48" max="48" width="9.42578125" style="312" customWidth="1"/>
    <col min="49" max="49" width="11.7109375" style="312" customWidth="1"/>
    <col min="50" max="50" width="11.85546875" style="128" customWidth="1"/>
    <col min="51" max="51" width="15.28515625" style="128"/>
    <col min="52" max="54" width="11.28515625" style="291" customWidth="1"/>
    <col min="55" max="55" width="13" style="115" customWidth="1"/>
    <col min="56" max="56" width="15.28515625" style="115"/>
    <col min="57" max="59" width="11" style="291" customWidth="1"/>
    <col min="60" max="61" width="15.28515625" style="115"/>
    <col min="62" max="62" width="14.5703125" style="115" bestFit="1" customWidth="1"/>
    <col min="63" max="63" width="9.7109375" style="115" customWidth="1"/>
    <col min="64" max="64" width="10.7109375" style="115" customWidth="1"/>
    <col min="65" max="65" width="10.7109375" style="115" bestFit="1" customWidth="1"/>
    <col min="66" max="66" width="12.42578125" style="115" bestFit="1" customWidth="1"/>
    <col min="67" max="67" width="10.140625" style="115" customWidth="1"/>
    <col min="68" max="68" width="10.42578125" style="115" customWidth="1"/>
    <col min="69" max="69" width="10.140625" style="115" customWidth="1"/>
    <col min="70" max="70" width="8.85546875" style="115" customWidth="1"/>
    <col min="71" max="71" width="10.28515625" style="115" customWidth="1"/>
    <col min="72" max="72" width="8.85546875" style="115" customWidth="1"/>
    <col min="73" max="73" width="7.140625" style="115" customWidth="1"/>
    <col min="74" max="74" width="9.42578125" style="115" customWidth="1"/>
    <col min="75" max="76" width="8.140625" style="115" customWidth="1"/>
    <col min="77" max="77" width="8" style="115" customWidth="1"/>
    <col min="78" max="78" width="6.28515625" style="115" customWidth="1"/>
    <col min="79" max="79" width="10" style="115" customWidth="1"/>
    <col min="80" max="80" width="8.5703125" style="115" customWidth="1"/>
    <col min="81" max="81" width="9" style="115" customWidth="1"/>
    <col min="82" max="82" width="7" style="291" customWidth="1"/>
    <col min="83" max="83" width="8.140625" style="115" customWidth="1"/>
    <col min="84" max="84" width="10.140625" style="115" customWidth="1"/>
    <col min="85" max="85" width="10.7109375" style="115" bestFit="1" customWidth="1"/>
    <col min="86" max="86" width="12.42578125" style="115" bestFit="1" customWidth="1"/>
    <col min="87" max="87" width="10.85546875" style="115" customWidth="1"/>
    <col min="88" max="88" width="11" style="115" customWidth="1"/>
    <col min="89" max="89" width="12.28515625" style="115" customWidth="1"/>
    <col min="90" max="90" width="10.7109375" style="115" bestFit="1" customWidth="1"/>
    <col min="91" max="91" width="9.28515625" style="115" customWidth="1"/>
    <col min="92" max="92" width="9.7109375" style="291" customWidth="1"/>
    <col min="93" max="93" width="9.85546875" style="291" customWidth="1"/>
    <col min="94" max="94" width="11.140625" style="291" customWidth="1"/>
    <col min="95" max="95" width="10.7109375" style="115" bestFit="1" customWidth="1"/>
    <col min="96" max="96" width="12.42578125" style="115" bestFit="1" customWidth="1"/>
    <col min="97" max="97" width="8.42578125" style="115" customWidth="1"/>
    <col min="98" max="98" width="9.85546875" style="115" customWidth="1"/>
    <col min="99" max="99" width="10.140625" style="115" customWidth="1"/>
    <col min="100" max="100" width="8.5703125" style="115" customWidth="1"/>
    <col min="101" max="101" width="10.28515625" style="115" customWidth="1"/>
    <col min="102" max="106" width="15.28515625" style="115"/>
    <col min="107" max="16384" width="15.28515625" style="28"/>
  </cols>
  <sheetData>
    <row r="1" spans="1:106" x14ac:dyDescent="0.25">
      <c r="G1" s="512" t="s">
        <v>570</v>
      </c>
      <c r="H1" s="513"/>
      <c r="I1" s="513"/>
      <c r="J1" s="513"/>
      <c r="K1" s="514"/>
      <c r="L1" s="518" t="s">
        <v>573</v>
      </c>
      <c r="M1" s="519"/>
      <c r="N1" s="519"/>
      <c r="O1" s="519"/>
      <c r="P1" s="520"/>
      <c r="Q1" s="479" t="s">
        <v>2864</v>
      </c>
      <c r="R1" s="480"/>
      <c r="S1" s="480"/>
      <c r="T1" s="480"/>
      <c r="U1" s="481"/>
      <c r="V1" s="521" t="s">
        <v>2865</v>
      </c>
      <c r="W1" s="522"/>
      <c r="X1" s="522"/>
      <c r="Y1" s="522"/>
      <c r="Z1" s="523"/>
      <c r="AA1" s="510" t="s">
        <v>575</v>
      </c>
      <c r="AB1" s="510"/>
      <c r="AC1" s="510"/>
      <c r="AD1" s="510"/>
      <c r="AE1" s="511"/>
      <c r="AF1" s="524" t="s">
        <v>576</v>
      </c>
      <c r="AG1" s="525"/>
      <c r="AH1" s="525"/>
      <c r="AI1" s="525"/>
      <c r="AJ1" s="526"/>
      <c r="AK1" s="527" t="s">
        <v>577</v>
      </c>
      <c r="AL1" s="528"/>
      <c r="AM1" s="528"/>
      <c r="AN1" s="528"/>
      <c r="AO1" s="529"/>
      <c r="AP1" s="488" t="s">
        <v>2866</v>
      </c>
      <c r="AQ1" s="489"/>
      <c r="AR1" s="489"/>
      <c r="AS1" s="489"/>
      <c r="AT1" s="490"/>
      <c r="AU1" s="482" t="s">
        <v>579</v>
      </c>
      <c r="AV1" s="483"/>
      <c r="AW1" s="483"/>
      <c r="AX1" s="483"/>
      <c r="AY1" s="484"/>
      <c r="AZ1" s="500" t="s">
        <v>580</v>
      </c>
      <c r="BA1" s="501"/>
      <c r="BB1" s="501"/>
      <c r="BC1" s="501"/>
      <c r="BD1" s="502"/>
      <c r="BE1" s="488" t="s">
        <v>582</v>
      </c>
      <c r="BF1" s="489"/>
      <c r="BG1" s="489"/>
      <c r="BH1" s="489"/>
      <c r="BI1" s="490"/>
      <c r="BJ1" s="503" t="s">
        <v>591</v>
      </c>
      <c r="BK1" s="504"/>
      <c r="BL1" s="504"/>
      <c r="BM1" s="504"/>
      <c r="BN1" s="505"/>
      <c r="BO1" s="518" t="s">
        <v>2867</v>
      </c>
      <c r="BP1" s="519"/>
      <c r="BQ1" s="519"/>
      <c r="BR1" s="519"/>
      <c r="BS1" s="520"/>
      <c r="BT1" s="530" t="s">
        <v>2868</v>
      </c>
      <c r="BU1" s="531"/>
      <c r="BV1" s="531"/>
      <c r="BW1" s="531"/>
      <c r="BX1" s="532"/>
      <c r="BY1" s="512" t="s">
        <v>2869</v>
      </c>
      <c r="BZ1" s="513"/>
      <c r="CA1" s="513"/>
      <c r="CB1" s="513"/>
      <c r="CC1" s="514"/>
      <c r="CD1" s="533" t="s">
        <v>2870</v>
      </c>
      <c r="CE1" s="534"/>
      <c r="CF1" s="534"/>
      <c r="CG1" s="534"/>
      <c r="CH1" s="535"/>
      <c r="CI1" s="491" t="s">
        <v>594</v>
      </c>
      <c r="CJ1" s="491"/>
      <c r="CK1" s="491"/>
      <c r="CL1" s="491"/>
      <c r="CM1" s="491"/>
      <c r="CN1" s="503" t="s">
        <v>2871</v>
      </c>
      <c r="CO1" s="504"/>
      <c r="CP1" s="504"/>
      <c r="CQ1" s="504"/>
      <c r="CR1" s="505"/>
      <c r="CS1" s="512" t="s">
        <v>2872</v>
      </c>
      <c r="CT1" s="513"/>
      <c r="CU1" s="513"/>
      <c r="CV1" s="513"/>
      <c r="CW1" s="514"/>
      <c r="CX1" s="506" t="s">
        <v>2873</v>
      </c>
      <c r="CY1" s="507"/>
      <c r="CZ1" s="507"/>
      <c r="DA1" s="507"/>
      <c r="DB1" s="508"/>
    </row>
    <row r="2" spans="1:106" ht="38.25" x14ac:dyDescent="0.25">
      <c r="A2" s="109" t="s">
        <v>0</v>
      </c>
      <c r="B2" s="109" t="s">
        <v>1</v>
      </c>
      <c r="C2" s="109" t="s">
        <v>2</v>
      </c>
      <c r="D2" s="109" t="s">
        <v>3</v>
      </c>
      <c r="E2" s="109" t="s">
        <v>596</v>
      </c>
      <c r="F2" s="289" t="s">
        <v>597</v>
      </c>
      <c r="G2" s="97" t="s">
        <v>598</v>
      </c>
      <c r="H2" s="97" t="s">
        <v>599</v>
      </c>
      <c r="I2" s="97" t="s">
        <v>600</v>
      </c>
      <c r="J2" s="97" t="s">
        <v>601</v>
      </c>
      <c r="K2" s="97" t="s">
        <v>602</v>
      </c>
      <c r="L2" s="82" t="s">
        <v>598</v>
      </c>
      <c r="M2" s="82" t="s">
        <v>599</v>
      </c>
      <c r="N2" s="82" t="s">
        <v>600</v>
      </c>
      <c r="O2" s="82" t="s">
        <v>601</v>
      </c>
      <c r="P2" s="82" t="s">
        <v>602</v>
      </c>
      <c r="Q2" s="290" t="s">
        <v>598</v>
      </c>
      <c r="R2" s="290" t="s">
        <v>599</v>
      </c>
      <c r="S2" s="290" t="s">
        <v>600</v>
      </c>
      <c r="T2" s="91" t="s">
        <v>601</v>
      </c>
      <c r="U2" s="91" t="s">
        <v>602</v>
      </c>
      <c r="V2" s="94" t="s">
        <v>598</v>
      </c>
      <c r="W2" s="94" t="s">
        <v>599</v>
      </c>
      <c r="X2" s="94" t="s">
        <v>600</v>
      </c>
      <c r="Y2" s="94" t="s">
        <v>601</v>
      </c>
      <c r="Z2" s="352" t="s">
        <v>602</v>
      </c>
      <c r="AA2" s="281" t="s">
        <v>598</v>
      </c>
      <c r="AB2" s="281" t="s">
        <v>599</v>
      </c>
      <c r="AC2" s="281" t="s">
        <v>600</v>
      </c>
      <c r="AD2" s="103" t="s">
        <v>601</v>
      </c>
      <c r="AE2" s="103" t="s">
        <v>602</v>
      </c>
      <c r="AF2" s="308" t="s">
        <v>598</v>
      </c>
      <c r="AG2" s="308" t="s">
        <v>599</v>
      </c>
      <c r="AH2" s="308" t="s">
        <v>600</v>
      </c>
      <c r="AI2" s="308" t="s">
        <v>601</v>
      </c>
      <c r="AJ2" s="308" t="s">
        <v>602</v>
      </c>
      <c r="AK2" s="290" t="s">
        <v>598</v>
      </c>
      <c r="AL2" s="290" t="s">
        <v>599</v>
      </c>
      <c r="AM2" s="290" t="s">
        <v>600</v>
      </c>
      <c r="AN2" s="290" t="s">
        <v>601</v>
      </c>
      <c r="AO2" s="290" t="s">
        <v>602</v>
      </c>
      <c r="AP2" s="309" t="s">
        <v>598</v>
      </c>
      <c r="AQ2" s="309" t="s">
        <v>599</v>
      </c>
      <c r="AR2" s="309" t="s">
        <v>600</v>
      </c>
      <c r="AS2" s="309" t="s">
        <v>601</v>
      </c>
      <c r="AT2" s="309" t="s">
        <v>602</v>
      </c>
      <c r="AU2" s="310" t="s">
        <v>598</v>
      </c>
      <c r="AV2" s="310" t="s">
        <v>599</v>
      </c>
      <c r="AW2" s="310" t="s">
        <v>600</v>
      </c>
      <c r="AX2" s="87" t="s">
        <v>601</v>
      </c>
      <c r="AY2" s="87" t="s">
        <v>602</v>
      </c>
      <c r="AZ2" s="316" t="s">
        <v>598</v>
      </c>
      <c r="BA2" s="316" t="s">
        <v>599</v>
      </c>
      <c r="BB2" s="316" t="s">
        <v>600</v>
      </c>
      <c r="BC2" s="315" t="s">
        <v>601</v>
      </c>
      <c r="BD2" s="315" t="s">
        <v>602</v>
      </c>
      <c r="BE2" s="314" t="s">
        <v>598</v>
      </c>
      <c r="BF2" s="314" t="s">
        <v>599</v>
      </c>
      <c r="BG2" s="314" t="s">
        <v>600</v>
      </c>
      <c r="BH2" s="309" t="s">
        <v>601</v>
      </c>
      <c r="BI2" s="309" t="s">
        <v>602</v>
      </c>
      <c r="BJ2" s="298" t="s">
        <v>598</v>
      </c>
      <c r="BK2" s="298" t="s">
        <v>599</v>
      </c>
      <c r="BL2" s="298" t="s">
        <v>600</v>
      </c>
      <c r="BM2" s="298" t="s">
        <v>601</v>
      </c>
      <c r="BN2" s="298" t="s">
        <v>602</v>
      </c>
      <c r="BO2" s="82" t="s">
        <v>598</v>
      </c>
      <c r="BP2" s="82" t="s">
        <v>599</v>
      </c>
      <c r="BQ2" s="82" t="s">
        <v>600</v>
      </c>
      <c r="BR2" s="82" t="s">
        <v>601</v>
      </c>
      <c r="BS2" s="82" t="s">
        <v>602</v>
      </c>
      <c r="BT2" s="375" t="s">
        <v>598</v>
      </c>
      <c r="BU2" s="375" t="s">
        <v>599</v>
      </c>
      <c r="BV2" s="375" t="s">
        <v>600</v>
      </c>
      <c r="BW2" s="375" t="s">
        <v>601</v>
      </c>
      <c r="BX2" s="375" t="s">
        <v>602</v>
      </c>
      <c r="BY2" s="97" t="s">
        <v>598</v>
      </c>
      <c r="BZ2" s="97" t="s">
        <v>599</v>
      </c>
      <c r="CA2" s="97" t="s">
        <v>600</v>
      </c>
      <c r="CB2" s="97" t="s">
        <v>601</v>
      </c>
      <c r="CC2" s="97" t="s">
        <v>602</v>
      </c>
      <c r="CD2" s="396" t="s">
        <v>598</v>
      </c>
      <c r="CE2" s="323" t="s">
        <v>599</v>
      </c>
      <c r="CF2" s="323" t="s">
        <v>600</v>
      </c>
      <c r="CG2" s="323" t="s">
        <v>601</v>
      </c>
      <c r="CH2" s="323" t="s">
        <v>602</v>
      </c>
      <c r="CI2" s="381" t="s">
        <v>598</v>
      </c>
      <c r="CJ2" s="381" t="s">
        <v>599</v>
      </c>
      <c r="CK2" s="381" t="s">
        <v>600</v>
      </c>
      <c r="CL2" s="103" t="s">
        <v>601</v>
      </c>
      <c r="CM2" s="103" t="s">
        <v>602</v>
      </c>
      <c r="CN2" s="297" t="s">
        <v>598</v>
      </c>
      <c r="CO2" s="297" t="s">
        <v>599</v>
      </c>
      <c r="CP2" s="297" t="s">
        <v>600</v>
      </c>
      <c r="CQ2" s="298" t="s">
        <v>601</v>
      </c>
      <c r="CR2" s="298" t="s">
        <v>602</v>
      </c>
      <c r="CS2" s="97" t="s">
        <v>598</v>
      </c>
      <c r="CT2" s="97" t="s">
        <v>599</v>
      </c>
      <c r="CU2" s="97" t="s">
        <v>600</v>
      </c>
      <c r="CV2" s="97" t="s">
        <v>601</v>
      </c>
      <c r="CW2" s="97" t="s">
        <v>602</v>
      </c>
      <c r="CX2" s="85" t="s">
        <v>598</v>
      </c>
      <c r="CY2" s="85" t="s">
        <v>599</v>
      </c>
      <c r="CZ2" s="85" t="s">
        <v>600</v>
      </c>
      <c r="DA2" s="85" t="s">
        <v>601</v>
      </c>
      <c r="DB2" s="85" t="s">
        <v>602</v>
      </c>
    </row>
    <row r="3" spans="1:106" ht="27" x14ac:dyDescent="0.25">
      <c r="A3" s="411">
        <v>1</v>
      </c>
      <c r="B3" s="412" t="s">
        <v>2874</v>
      </c>
      <c r="C3" s="413" t="s">
        <v>2875</v>
      </c>
      <c r="D3" s="413" t="s">
        <v>2876</v>
      </c>
      <c r="E3" s="80">
        <v>1</v>
      </c>
      <c r="F3" s="356">
        <v>1534648.0379999999</v>
      </c>
      <c r="G3" s="293"/>
      <c r="H3" s="293"/>
      <c r="I3" s="293"/>
      <c r="J3" s="52"/>
      <c r="K3" s="52"/>
      <c r="Q3" s="113"/>
      <c r="R3" s="113"/>
      <c r="S3" s="113"/>
      <c r="T3" s="52"/>
      <c r="U3" s="5"/>
      <c r="V3" s="113"/>
      <c r="W3" s="113"/>
      <c r="X3" s="113"/>
      <c r="Y3" s="113"/>
      <c r="Z3" s="357"/>
      <c r="AA3" s="118" t="s">
        <v>2877</v>
      </c>
      <c r="AB3" s="118"/>
      <c r="AC3" s="118"/>
      <c r="AD3" s="52"/>
      <c r="AE3" s="5"/>
      <c r="AF3" s="358"/>
      <c r="AG3" s="358"/>
      <c r="AH3" s="358"/>
      <c r="AI3" s="358"/>
      <c r="AJ3" s="358"/>
      <c r="AK3" s="113"/>
      <c r="AL3" s="113"/>
      <c r="AM3" s="113"/>
      <c r="AN3" s="113"/>
      <c r="AO3" s="113"/>
      <c r="AP3" s="52"/>
      <c r="AQ3" s="52"/>
      <c r="AR3" s="52"/>
      <c r="AS3" s="52"/>
      <c r="AT3" s="52"/>
      <c r="AU3" s="125"/>
      <c r="AV3" s="125"/>
      <c r="AW3" s="125"/>
      <c r="AX3" s="5"/>
      <c r="AY3" s="5"/>
      <c r="AZ3" s="113">
        <v>1574000</v>
      </c>
      <c r="BA3" s="113">
        <v>299060</v>
      </c>
      <c r="BB3" s="113">
        <v>1873060</v>
      </c>
      <c r="BC3" s="52" t="s">
        <v>2878</v>
      </c>
      <c r="BD3" s="52" t="s">
        <v>2879</v>
      </c>
      <c r="BE3" s="118"/>
      <c r="BF3" s="118"/>
      <c r="BG3" s="118"/>
      <c r="BH3" s="52"/>
      <c r="BI3" s="52"/>
      <c r="BJ3" s="52"/>
      <c r="BK3" s="52"/>
      <c r="BL3" s="52"/>
      <c r="BM3" s="52"/>
      <c r="BN3" s="52"/>
      <c r="BO3" s="52"/>
      <c r="BP3" s="52"/>
      <c r="BQ3" s="52"/>
      <c r="BR3" s="52"/>
      <c r="BS3" s="52"/>
      <c r="BT3" s="52"/>
      <c r="BU3" s="52"/>
      <c r="BV3" s="52"/>
      <c r="BW3" s="52"/>
      <c r="BX3" s="52"/>
      <c r="BY3" s="52"/>
      <c r="BZ3" s="52"/>
      <c r="CA3" s="52"/>
      <c r="CB3" s="52"/>
      <c r="CC3" s="52"/>
      <c r="CD3" s="118"/>
      <c r="CE3" s="52"/>
      <c r="CF3" s="52"/>
      <c r="CG3" s="52"/>
      <c r="CH3" s="52"/>
      <c r="CI3" s="52"/>
      <c r="CJ3" s="52"/>
      <c r="CK3" s="52"/>
      <c r="CL3" s="52"/>
      <c r="CM3" s="52"/>
      <c r="CN3" s="118"/>
      <c r="CO3" s="118"/>
      <c r="CP3" s="118"/>
      <c r="CQ3" s="52"/>
      <c r="CR3" s="52"/>
      <c r="CS3" s="52"/>
      <c r="CT3" s="52"/>
      <c r="CU3" s="52"/>
      <c r="CV3" s="52"/>
      <c r="CW3" s="52"/>
      <c r="CX3" s="52"/>
      <c r="CY3" s="52"/>
      <c r="CZ3" s="52"/>
      <c r="DA3" s="52"/>
      <c r="DB3" s="52"/>
    </row>
    <row r="4" spans="1:106" ht="27" x14ac:dyDescent="0.25">
      <c r="A4" s="411">
        <v>2</v>
      </c>
      <c r="B4" s="412" t="s">
        <v>2880</v>
      </c>
      <c r="C4" s="413" t="s">
        <v>2881</v>
      </c>
      <c r="D4" s="413" t="s">
        <v>2882</v>
      </c>
      <c r="E4" s="80">
        <v>1</v>
      </c>
      <c r="F4" s="356">
        <v>424824.76400000002</v>
      </c>
      <c r="G4" s="293"/>
      <c r="H4" s="293"/>
      <c r="I4" s="293"/>
      <c r="J4" s="52"/>
      <c r="K4" s="52"/>
      <c r="L4" s="359"/>
      <c r="M4" s="360"/>
      <c r="N4" s="33"/>
      <c r="O4" s="33"/>
      <c r="P4" s="252"/>
      <c r="Q4" s="113"/>
      <c r="R4" s="113"/>
      <c r="S4" s="113"/>
      <c r="T4" s="52"/>
      <c r="U4" s="5"/>
      <c r="V4" s="231">
        <v>48000</v>
      </c>
      <c r="W4" s="231">
        <f t="shared" ref="W4:W27" si="0">V4*0.19</f>
        <v>9120</v>
      </c>
      <c r="X4" s="231">
        <f>V4*1.19</f>
        <v>57120</v>
      </c>
      <c r="Y4" s="113" t="s">
        <v>2883</v>
      </c>
      <c r="Z4" s="357" t="s">
        <v>2884</v>
      </c>
      <c r="AA4" s="118" t="s">
        <v>2877</v>
      </c>
      <c r="AB4" s="118"/>
      <c r="AC4" s="118"/>
      <c r="AD4" s="52"/>
      <c r="AE4" s="5"/>
      <c r="AF4" s="358"/>
      <c r="AG4" s="358"/>
      <c r="AH4" s="358"/>
      <c r="AI4" s="358"/>
      <c r="AJ4" s="358"/>
      <c r="AK4" s="113">
        <v>55000</v>
      </c>
      <c r="AL4" s="113">
        <v>10450</v>
      </c>
      <c r="AM4" s="113">
        <v>65450</v>
      </c>
      <c r="AN4" s="113" t="s">
        <v>2885</v>
      </c>
      <c r="AO4" s="113">
        <v>380220</v>
      </c>
      <c r="AP4" s="52"/>
      <c r="AQ4" s="52"/>
      <c r="AR4" s="52"/>
      <c r="AS4" s="52"/>
      <c r="AT4" s="52"/>
      <c r="AU4" s="125"/>
      <c r="AV4" s="125"/>
      <c r="AW4" s="125"/>
      <c r="AX4" s="5"/>
      <c r="AY4" s="5"/>
      <c r="AZ4" s="113">
        <v>740000</v>
      </c>
      <c r="BA4" s="113">
        <v>140600</v>
      </c>
      <c r="BB4" s="113">
        <v>880600</v>
      </c>
      <c r="BC4" s="52" t="s">
        <v>2878</v>
      </c>
      <c r="BD4" s="52" t="s">
        <v>2886</v>
      </c>
      <c r="BE4" s="320">
        <v>427647</v>
      </c>
      <c r="BF4" s="320">
        <f>BE4*0.19</f>
        <v>81252.930000000008</v>
      </c>
      <c r="BG4" s="320">
        <f>BE4+BF4</f>
        <v>508899.93</v>
      </c>
      <c r="BH4" s="4" t="s">
        <v>2887</v>
      </c>
      <c r="BI4" s="286" t="s">
        <v>2888</v>
      </c>
      <c r="BJ4" s="52"/>
      <c r="BK4" s="52"/>
      <c r="BL4" s="52"/>
      <c r="BM4" s="52"/>
      <c r="BN4" s="52"/>
      <c r="BO4" s="52"/>
      <c r="BP4" s="52"/>
      <c r="BQ4" s="52"/>
      <c r="BR4" s="52"/>
      <c r="BS4" s="52"/>
      <c r="BT4" s="52"/>
      <c r="BU4" s="52"/>
      <c r="BV4" s="52"/>
      <c r="BW4" s="52"/>
      <c r="BX4" s="52"/>
      <c r="BY4" s="52"/>
      <c r="BZ4" s="52"/>
      <c r="CA4" s="52"/>
      <c r="CB4" s="52"/>
      <c r="CC4" s="52"/>
      <c r="CD4" s="118"/>
      <c r="CE4" s="52"/>
      <c r="CF4" s="52"/>
      <c r="CG4" s="52"/>
      <c r="CH4" s="52"/>
      <c r="CI4" s="52"/>
      <c r="CJ4" s="52"/>
      <c r="CK4" s="52"/>
      <c r="CL4" s="52"/>
      <c r="CM4" s="52"/>
      <c r="CN4" s="118"/>
      <c r="CO4" s="118"/>
      <c r="CP4" s="118"/>
      <c r="CQ4" s="52"/>
      <c r="CR4" s="52"/>
      <c r="CS4" s="52"/>
      <c r="CT4" s="52"/>
      <c r="CU4" s="52"/>
      <c r="CV4" s="52"/>
      <c r="CW4" s="52"/>
      <c r="CX4" s="52"/>
      <c r="CY4" s="52"/>
      <c r="CZ4" s="52"/>
      <c r="DA4" s="52"/>
      <c r="DB4" s="52"/>
    </row>
    <row r="5" spans="1:106" ht="27" x14ac:dyDescent="0.25">
      <c r="A5" s="411">
        <v>3</v>
      </c>
      <c r="B5" s="413" t="s">
        <v>2889</v>
      </c>
      <c r="C5" s="413" t="s">
        <v>2890</v>
      </c>
      <c r="D5" s="409" t="s">
        <v>2891</v>
      </c>
      <c r="E5" s="80">
        <v>1</v>
      </c>
      <c r="F5" s="356">
        <v>691282.9</v>
      </c>
      <c r="G5" s="293"/>
      <c r="H5" s="293"/>
      <c r="I5" s="293"/>
      <c r="J5" s="52"/>
      <c r="K5" s="52"/>
      <c r="L5" s="359"/>
      <c r="M5" s="360"/>
      <c r="N5" s="33"/>
      <c r="O5" s="33"/>
      <c r="P5" s="252"/>
      <c r="Q5" s="113"/>
      <c r="R5" s="113"/>
      <c r="S5" s="113"/>
      <c r="T5" s="52"/>
      <c r="U5" s="5"/>
      <c r="V5" s="231"/>
      <c r="W5" s="231"/>
      <c r="X5" s="231"/>
      <c r="Y5" s="113"/>
      <c r="Z5" s="357"/>
      <c r="AA5" s="118" t="s">
        <v>2877</v>
      </c>
      <c r="AB5" s="118"/>
      <c r="AC5" s="118"/>
      <c r="AD5" s="52"/>
      <c r="AE5" s="5"/>
      <c r="AF5" s="358"/>
      <c r="AG5" s="358"/>
      <c r="AH5" s="358"/>
      <c r="AI5" s="358"/>
      <c r="AJ5" s="358"/>
      <c r="AK5" s="113"/>
      <c r="AL5" s="113"/>
      <c r="AM5" s="113"/>
      <c r="AN5" s="113"/>
      <c r="AO5" s="113"/>
      <c r="AP5" s="52"/>
      <c r="AQ5" s="52"/>
      <c r="AR5" s="52"/>
      <c r="AS5" s="52"/>
      <c r="AT5" s="52"/>
      <c r="AU5" s="125"/>
      <c r="AV5" s="125"/>
      <c r="AW5" s="125"/>
      <c r="AX5" s="5"/>
      <c r="AY5" s="5"/>
      <c r="AZ5" s="113"/>
      <c r="BA5" s="113"/>
      <c r="BB5" s="113"/>
      <c r="BC5" s="52"/>
      <c r="BD5" s="52"/>
      <c r="BE5" s="118"/>
      <c r="BF5" s="118"/>
      <c r="BG5" s="118"/>
      <c r="BH5" s="52"/>
      <c r="BI5" s="283"/>
      <c r="BJ5" s="52"/>
      <c r="BK5" s="52"/>
      <c r="BL5" s="52"/>
      <c r="BM5" s="52"/>
      <c r="BN5" s="52"/>
      <c r="BO5" s="52"/>
      <c r="BP5" s="52"/>
      <c r="BQ5" s="52"/>
      <c r="BR5" s="52"/>
      <c r="BS5" s="52"/>
      <c r="BT5" s="52"/>
      <c r="BU5" s="52"/>
      <c r="BV5" s="52"/>
      <c r="BW5" s="52"/>
      <c r="BX5" s="52"/>
      <c r="BY5" s="52"/>
      <c r="BZ5" s="52"/>
      <c r="CA5" s="52"/>
      <c r="CB5" s="52"/>
      <c r="CC5" s="52"/>
      <c r="CD5" s="118"/>
      <c r="CE5" s="52"/>
      <c r="CF5" s="52"/>
      <c r="CG5" s="52"/>
      <c r="CH5" s="52"/>
      <c r="CI5" s="52"/>
      <c r="CJ5" s="52"/>
      <c r="CK5" s="52"/>
      <c r="CL5" s="52"/>
      <c r="CM5" s="52"/>
      <c r="CN5" s="118"/>
      <c r="CO5" s="118"/>
      <c r="CP5" s="118"/>
      <c r="CQ5" s="52"/>
      <c r="CR5" s="52"/>
      <c r="CS5" s="52"/>
      <c r="CT5" s="52"/>
      <c r="CU5" s="52"/>
      <c r="CV5" s="52"/>
      <c r="CW5" s="52"/>
      <c r="CX5" s="52"/>
      <c r="CY5" s="52"/>
      <c r="CZ5" s="52"/>
      <c r="DA5" s="52"/>
      <c r="DB5" s="52"/>
    </row>
    <row r="6" spans="1:106" ht="27" x14ac:dyDescent="0.25">
      <c r="A6" s="411">
        <v>4</v>
      </c>
      <c r="B6" s="412" t="s">
        <v>2892</v>
      </c>
      <c r="C6" s="413" t="s">
        <v>2893</v>
      </c>
      <c r="D6" s="426" t="s">
        <v>2894</v>
      </c>
      <c r="E6" s="80">
        <v>1</v>
      </c>
      <c r="F6" s="356">
        <v>691282.9</v>
      </c>
      <c r="G6" s="293"/>
      <c r="H6" s="293"/>
      <c r="I6" s="293"/>
      <c r="J6" s="52"/>
      <c r="K6" s="52"/>
      <c r="L6" s="359"/>
      <c r="M6" s="360"/>
      <c r="N6" s="33"/>
      <c r="O6" s="33"/>
      <c r="P6" s="252"/>
      <c r="Q6" s="113"/>
      <c r="R6" s="113"/>
      <c r="S6" s="113"/>
      <c r="T6" s="52"/>
      <c r="U6" s="5"/>
      <c r="V6" s="231"/>
      <c r="W6" s="231"/>
      <c r="X6" s="231"/>
      <c r="Y6" s="113"/>
      <c r="Z6" s="357"/>
      <c r="AA6" s="118" t="s">
        <v>2877</v>
      </c>
      <c r="AB6" s="118"/>
      <c r="AC6" s="118"/>
      <c r="AD6" s="52"/>
      <c r="AE6" s="5"/>
      <c r="AF6" s="358"/>
      <c r="AG6" s="358"/>
      <c r="AH6" s="358"/>
      <c r="AI6" s="358"/>
      <c r="AJ6" s="358"/>
      <c r="AK6" s="113"/>
      <c r="AL6" s="113"/>
      <c r="AM6" s="113"/>
      <c r="AN6" s="113"/>
      <c r="AO6" s="113"/>
      <c r="AP6" s="52"/>
      <c r="AQ6" s="52"/>
      <c r="AR6" s="52"/>
      <c r="AS6" s="52"/>
      <c r="AT6" s="52"/>
      <c r="AU6" s="125"/>
      <c r="AV6" s="125"/>
      <c r="AW6" s="125"/>
      <c r="AX6" s="5"/>
      <c r="AY6" s="5"/>
      <c r="AZ6" s="113">
        <v>664000</v>
      </c>
      <c r="BA6" s="113">
        <v>126160</v>
      </c>
      <c r="BB6" s="113">
        <v>790160</v>
      </c>
      <c r="BC6" s="52" t="s">
        <v>2895</v>
      </c>
      <c r="BD6" s="52" t="s">
        <v>2896</v>
      </c>
      <c r="BE6" s="320">
        <v>804420</v>
      </c>
      <c r="BF6" s="320">
        <f>BE6*0.19</f>
        <v>152839.79999999999</v>
      </c>
      <c r="BG6" s="320">
        <f>BE6+BF6</f>
        <v>957259.8</v>
      </c>
      <c r="BH6" s="4" t="s">
        <v>1080</v>
      </c>
      <c r="BI6" s="286">
        <v>410186</v>
      </c>
      <c r="BJ6" s="52"/>
      <c r="BK6" s="52"/>
      <c r="BL6" s="52"/>
      <c r="BM6" s="52"/>
      <c r="BN6" s="52"/>
      <c r="BO6" s="52"/>
      <c r="BP6" s="52"/>
      <c r="BQ6" s="52"/>
      <c r="BR6" s="52"/>
      <c r="BS6" s="52"/>
      <c r="BT6" s="52"/>
      <c r="BU6" s="52"/>
      <c r="BV6" s="52"/>
      <c r="BW6" s="52"/>
      <c r="BX6" s="52"/>
      <c r="BY6" s="52"/>
      <c r="BZ6" s="52"/>
      <c r="CA6" s="52"/>
      <c r="CB6" s="52"/>
      <c r="CC6" s="52"/>
      <c r="CD6" s="118"/>
      <c r="CE6" s="52"/>
      <c r="CF6" s="52"/>
      <c r="CG6" s="52"/>
      <c r="CH6" s="52"/>
      <c r="CI6" s="52"/>
      <c r="CJ6" s="52"/>
      <c r="CK6" s="52"/>
      <c r="CL6" s="52"/>
      <c r="CM6" s="52"/>
      <c r="CN6" s="118"/>
      <c r="CO6" s="118"/>
      <c r="CP6" s="118"/>
      <c r="CQ6" s="52"/>
      <c r="CR6" s="52"/>
      <c r="CS6" s="52"/>
      <c r="CT6" s="52"/>
      <c r="CU6" s="52"/>
      <c r="CV6" s="52"/>
      <c r="CW6" s="52"/>
      <c r="CX6" s="52"/>
      <c r="CY6" s="52"/>
      <c r="CZ6" s="52"/>
      <c r="DA6" s="52"/>
      <c r="DB6" s="52"/>
    </row>
    <row r="7" spans="1:106" ht="13.5" x14ac:dyDescent="0.25">
      <c r="A7" s="411">
        <v>5</v>
      </c>
      <c r="B7" s="412" t="s">
        <v>2897</v>
      </c>
      <c r="C7" s="413" t="s">
        <v>2898</v>
      </c>
      <c r="D7" s="426" t="s">
        <v>2005</v>
      </c>
      <c r="E7" s="80">
        <v>1</v>
      </c>
      <c r="F7" s="356">
        <v>55302.632000000005</v>
      </c>
      <c r="G7" s="293"/>
      <c r="H7" s="293"/>
      <c r="I7" s="293"/>
      <c r="J7" s="52"/>
      <c r="K7" s="52"/>
      <c r="L7" s="359"/>
      <c r="M7" s="360"/>
      <c r="N7" s="33"/>
      <c r="O7" s="33"/>
      <c r="P7" s="252"/>
      <c r="Q7" s="113"/>
      <c r="R7" s="113"/>
      <c r="S7" s="113"/>
      <c r="T7" s="52"/>
      <c r="U7" s="5"/>
      <c r="V7" s="231"/>
      <c r="W7" s="231"/>
      <c r="X7" s="231"/>
      <c r="Y7" s="113"/>
      <c r="Z7" s="357"/>
      <c r="AA7" s="118" t="s">
        <v>2877</v>
      </c>
      <c r="AB7" s="118"/>
      <c r="AC7" s="118"/>
      <c r="AD7" s="52"/>
      <c r="AE7" s="5"/>
      <c r="AF7" s="358"/>
      <c r="AG7" s="358"/>
      <c r="AH7" s="358"/>
      <c r="AI7" s="358"/>
      <c r="AJ7" s="358"/>
      <c r="AK7" s="113"/>
      <c r="AL7" s="113"/>
      <c r="AM7" s="113"/>
      <c r="AN7" s="113"/>
      <c r="AO7" s="113"/>
      <c r="AP7" s="52"/>
      <c r="AQ7" s="52"/>
      <c r="AR7" s="52"/>
      <c r="AS7" s="52"/>
      <c r="AT7" s="52"/>
      <c r="AU7" s="125"/>
      <c r="AV7" s="125"/>
      <c r="AW7" s="125"/>
      <c r="AX7" s="5"/>
      <c r="AY7" s="5"/>
      <c r="AZ7" s="113">
        <v>62000</v>
      </c>
      <c r="BA7" s="113">
        <v>11780</v>
      </c>
      <c r="BB7" s="113">
        <v>73780</v>
      </c>
      <c r="BC7" s="52" t="s">
        <v>131</v>
      </c>
      <c r="BD7" s="52" t="s">
        <v>2899</v>
      </c>
      <c r="BE7" s="118"/>
      <c r="BF7" s="118"/>
      <c r="BG7" s="118"/>
      <c r="BH7" s="52"/>
      <c r="BI7" s="283"/>
      <c r="BJ7" s="52"/>
      <c r="BK7" s="52"/>
      <c r="BL7" s="52"/>
      <c r="BM7" s="52"/>
      <c r="BN7" s="52"/>
      <c r="BO7" s="52"/>
      <c r="BP7" s="52"/>
      <c r="BQ7" s="52"/>
      <c r="BR7" s="52"/>
      <c r="BS7" s="52"/>
      <c r="BT7" s="52"/>
      <c r="BU7" s="52"/>
      <c r="BV7" s="52"/>
      <c r="BW7" s="52"/>
      <c r="BX7" s="52"/>
      <c r="BY7" s="52"/>
      <c r="BZ7" s="52"/>
      <c r="CA7" s="52"/>
      <c r="CB7" s="52"/>
      <c r="CC7" s="52"/>
      <c r="CD7" s="118"/>
      <c r="CE7" s="52"/>
      <c r="CF7" s="52"/>
      <c r="CG7" s="52"/>
      <c r="CH7" s="52"/>
      <c r="CI7" s="52"/>
      <c r="CJ7" s="52"/>
      <c r="CK7" s="52"/>
      <c r="CL7" s="52"/>
      <c r="CM7" s="52"/>
      <c r="CN7" s="118"/>
      <c r="CO7" s="118"/>
      <c r="CP7" s="118"/>
      <c r="CQ7" s="52"/>
      <c r="CR7" s="52"/>
      <c r="CS7" s="52"/>
      <c r="CT7" s="52"/>
      <c r="CU7" s="52"/>
      <c r="CV7" s="52"/>
      <c r="CW7" s="52"/>
      <c r="CX7" s="52"/>
      <c r="CY7" s="52"/>
      <c r="CZ7" s="52"/>
      <c r="DA7" s="52"/>
      <c r="DB7" s="52"/>
    </row>
    <row r="8" spans="1:106" ht="13.5" x14ac:dyDescent="0.25">
      <c r="A8" s="411">
        <v>6</v>
      </c>
      <c r="B8" s="412" t="s">
        <v>2900</v>
      </c>
      <c r="C8" s="413" t="s">
        <v>2898</v>
      </c>
      <c r="D8" s="426" t="s">
        <v>2901</v>
      </c>
      <c r="E8" s="80">
        <v>1</v>
      </c>
      <c r="F8" s="356">
        <v>47529</v>
      </c>
      <c r="G8" s="293"/>
      <c r="H8" s="293"/>
      <c r="I8" s="293"/>
      <c r="J8" s="52"/>
      <c r="K8" s="52"/>
      <c r="L8" s="359"/>
      <c r="M8" s="360"/>
      <c r="N8" s="33"/>
      <c r="O8" s="33"/>
      <c r="P8" s="252"/>
      <c r="Q8" s="113"/>
      <c r="R8" s="113"/>
      <c r="S8" s="113"/>
      <c r="T8" s="52"/>
      <c r="U8" s="5"/>
      <c r="V8" s="231"/>
      <c r="W8" s="231"/>
      <c r="X8" s="231"/>
      <c r="Y8" s="113"/>
      <c r="Z8" s="357"/>
      <c r="AA8" s="118" t="s">
        <v>2877</v>
      </c>
      <c r="AB8" s="118"/>
      <c r="AC8" s="118"/>
      <c r="AD8" s="52"/>
      <c r="AE8" s="5"/>
      <c r="AF8" s="113">
        <v>51304</v>
      </c>
      <c r="AG8" s="113">
        <v>9747.76</v>
      </c>
      <c r="AH8" s="113">
        <v>61051.76</v>
      </c>
      <c r="AI8" s="358" t="s">
        <v>131</v>
      </c>
      <c r="AJ8" s="358">
        <v>4400064</v>
      </c>
      <c r="AK8" s="113"/>
      <c r="AL8" s="113"/>
      <c r="AM8" s="113"/>
      <c r="AN8" s="113"/>
      <c r="AO8" s="113"/>
      <c r="AP8" s="52"/>
      <c r="AQ8" s="52"/>
      <c r="AR8" s="52"/>
      <c r="AS8" s="52"/>
      <c r="AT8" s="52"/>
      <c r="AU8" s="125"/>
      <c r="AV8" s="125"/>
      <c r="AW8" s="125"/>
      <c r="AX8" s="5"/>
      <c r="AY8" s="5"/>
      <c r="AZ8" s="113">
        <v>88000</v>
      </c>
      <c r="BA8" s="113">
        <v>16720</v>
      </c>
      <c r="BB8" s="113">
        <v>104720</v>
      </c>
      <c r="BC8" s="52" t="s">
        <v>131</v>
      </c>
      <c r="BD8" s="52" t="s">
        <v>2902</v>
      </c>
      <c r="BE8" s="118"/>
      <c r="BF8" s="118"/>
      <c r="BG8" s="118"/>
      <c r="BH8" s="52"/>
      <c r="BI8" s="283"/>
      <c r="BJ8" s="52"/>
      <c r="BK8" s="52"/>
      <c r="BL8" s="52"/>
      <c r="BM8" s="52"/>
      <c r="BN8" s="52"/>
      <c r="BO8" s="52"/>
      <c r="BP8" s="52"/>
      <c r="BQ8" s="52"/>
      <c r="BR8" s="52"/>
      <c r="BS8" s="52"/>
      <c r="BT8" s="52"/>
      <c r="BU8" s="52"/>
      <c r="BV8" s="52"/>
      <c r="BW8" s="52"/>
      <c r="BX8" s="52"/>
      <c r="BY8" s="52"/>
      <c r="BZ8" s="52"/>
      <c r="CA8" s="52"/>
      <c r="CB8" s="52"/>
      <c r="CC8" s="52"/>
      <c r="CD8" s="118"/>
      <c r="CE8" s="52"/>
      <c r="CF8" s="52"/>
      <c r="CG8" s="52"/>
      <c r="CH8" s="52"/>
      <c r="CI8" s="52"/>
      <c r="CJ8" s="52"/>
      <c r="CK8" s="52"/>
      <c r="CL8" s="52"/>
      <c r="CM8" s="52"/>
      <c r="CN8" s="118"/>
      <c r="CO8" s="118"/>
      <c r="CP8" s="118"/>
      <c r="CQ8" s="52"/>
      <c r="CR8" s="52"/>
      <c r="CS8" s="52"/>
      <c r="CT8" s="52"/>
      <c r="CU8" s="52"/>
      <c r="CV8" s="52"/>
      <c r="CW8" s="52"/>
      <c r="CX8" s="52"/>
      <c r="CY8" s="52"/>
      <c r="CZ8" s="52"/>
      <c r="DA8" s="52"/>
      <c r="DB8" s="52"/>
    </row>
    <row r="9" spans="1:106" ht="40.5" x14ac:dyDescent="0.25">
      <c r="A9" s="411">
        <v>7</v>
      </c>
      <c r="B9" s="412" t="s">
        <v>2903</v>
      </c>
      <c r="C9" s="413" t="s">
        <v>2898</v>
      </c>
      <c r="D9" s="426" t="s">
        <v>2901</v>
      </c>
      <c r="E9" s="80">
        <v>1</v>
      </c>
      <c r="F9" s="356">
        <v>49641.4</v>
      </c>
      <c r="G9" s="293"/>
      <c r="H9" s="293"/>
      <c r="I9" s="293"/>
      <c r="J9" s="52"/>
      <c r="K9" s="52"/>
      <c r="L9" s="359"/>
      <c r="M9" s="360"/>
      <c r="N9" s="33"/>
      <c r="O9" s="33"/>
      <c r="P9" s="252"/>
      <c r="Q9" s="113"/>
      <c r="R9" s="113"/>
      <c r="S9" s="113"/>
      <c r="T9" s="52"/>
      <c r="U9" s="5"/>
      <c r="V9" s="231"/>
      <c r="W9" s="231"/>
      <c r="X9" s="231"/>
      <c r="Y9" s="113"/>
      <c r="Z9" s="357"/>
      <c r="AA9" s="118" t="s">
        <v>2877</v>
      </c>
      <c r="AB9" s="118"/>
      <c r="AC9" s="118"/>
      <c r="AD9" s="52"/>
      <c r="AE9" s="5"/>
      <c r="AF9" s="113">
        <v>51305</v>
      </c>
      <c r="AG9" s="113">
        <v>9747.9500000000007</v>
      </c>
      <c r="AH9" s="113">
        <v>61052.95</v>
      </c>
      <c r="AI9" s="358" t="s">
        <v>131</v>
      </c>
      <c r="AJ9" s="358">
        <v>4400066</v>
      </c>
      <c r="AK9" s="113"/>
      <c r="AL9" s="113"/>
      <c r="AM9" s="113"/>
      <c r="AN9" s="113"/>
      <c r="AO9" s="113"/>
      <c r="AP9" s="52"/>
      <c r="AQ9" s="52"/>
      <c r="AR9" s="52"/>
      <c r="AS9" s="52"/>
      <c r="AT9" s="52"/>
      <c r="AU9" s="125"/>
      <c r="AV9" s="125"/>
      <c r="AW9" s="125"/>
      <c r="AX9" s="5"/>
      <c r="AY9" s="5"/>
      <c r="AZ9" s="113">
        <v>88000</v>
      </c>
      <c r="BA9" s="113">
        <v>16720</v>
      </c>
      <c r="BB9" s="113">
        <v>104720</v>
      </c>
      <c r="BC9" s="52" t="s">
        <v>131</v>
      </c>
      <c r="BD9" s="52" t="s">
        <v>2904</v>
      </c>
      <c r="BE9" s="118"/>
      <c r="BF9" s="118"/>
      <c r="BG9" s="118"/>
      <c r="BH9" s="52"/>
      <c r="BI9" s="283"/>
      <c r="BJ9" s="52"/>
      <c r="BK9" s="52"/>
      <c r="BL9" s="52"/>
      <c r="BM9" s="52"/>
      <c r="BN9" s="52"/>
      <c r="BO9" s="52"/>
      <c r="BP9" s="52"/>
      <c r="BQ9" s="52"/>
      <c r="BR9" s="52"/>
      <c r="BS9" s="52"/>
      <c r="BT9" s="52"/>
      <c r="BU9" s="52"/>
      <c r="BV9" s="52"/>
      <c r="BW9" s="52"/>
      <c r="BX9" s="52"/>
      <c r="BY9" s="52"/>
      <c r="BZ9" s="52"/>
      <c r="CA9" s="52"/>
      <c r="CB9" s="52"/>
      <c r="CC9" s="52"/>
      <c r="CD9" s="118"/>
      <c r="CE9" s="52"/>
      <c r="CF9" s="52"/>
      <c r="CG9" s="52"/>
      <c r="CH9" s="52"/>
      <c r="CI9" s="52"/>
      <c r="CJ9" s="52"/>
      <c r="CK9" s="52"/>
      <c r="CL9" s="52"/>
      <c r="CM9" s="52"/>
      <c r="CN9" s="118"/>
      <c r="CO9" s="118"/>
      <c r="CP9" s="118"/>
      <c r="CQ9" s="52"/>
      <c r="CR9" s="52"/>
      <c r="CS9" s="52"/>
      <c r="CT9" s="52"/>
      <c r="CU9" s="52"/>
      <c r="CV9" s="52"/>
      <c r="CW9" s="52"/>
      <c r="CX9" s="52"/>
      <c r="CY9" s="52"/>
      <c r="CZ9" s="52"/>
      <c r="DA9" s="52"/>
      <c r="DB9" s="52"/>
    </row>
    <row r="10" spans="1:106" ht="27" x14ac:dyDescent="0.25">
      <c r="A10" s="411">
        <v>8</v>
      </c>
      <c r="B10" s="412" t="s">
        <v>2905</v>
      </c>
      <c r="C10" s="413" t="s">
        <v>622</v>
      </c>
      <c r="D10" s="426" t="s">
        <v>445</v>
      </c>
      <c r="E10" s="80">
        <v>1</v>
      </c>
      <c r="F10" s="356">
        <v>2513.7559999999999</v>
      </c>
      <c r="G10" s="293"/>
      <c r="H10" s="293"/>
      <c r="I10" s="293"/>
      <c r="J10" s="52"/>
      <c r="K10" s="52"/>
      <c r="L10" s="359"/>
      <c r="M10" s="360"/>
      <c r="N10" s="33"/>
      <c r="O10" s="33"/>
      <c r="P10" s="252"/>
      <c r="Q10" s="113"/>
      <c r="R10" s="113"/>
      <c r="S10" s="113"/>
      <c r="T10" s="52"/>
      <c r="U10" s="5"/>
      <c r="V10" s="231"/>
      <c r="W10" s="231"/>
      <c r="X10" s="231"/>
      <c r="Y10" s="113"/>
      <c r="Z10" s="357"/>
      <c r="AA10" s="118" t="s">
        <v>2877</v>
      </c>
      <c r="AB10" s="118"/>
      <c r="AC10" s="118"/>
      <c r="AD10" s="52"/>
      <c r="AE10" s="5"/>
      <c r="AF10" s="358"/>
      <c r="AG10" s="358"/>
      <c r="AH10" s="358"/>
      <c r="AI10" s="358"/>
      <c r="AJ10" s="358"/>
      <c r="AK10" s="113"/>
      <c r="AL10" s="113"/>
      <c r="AM10" s="113"/>
      <c r="AN10" s="113"/>
      <c r="AO10" s="113"/>
      <c r="AP10" s="52"/>
      <c r="AQ10" s="52"/>
      <c r="AR10" s="52"/>
      <c r="AS10" s="52"/>
      <c r="AT10" s="52"/>
      <c r="AU10" s="125"/>
      <c r="AV10" s="125"/>
      <c r="AW10" s="125"/>
      <c r="AX10" s="5"/>
      <c r="AY10" s="5"/>
      <c r="AZ10" s="113">
        <v>2000</v>
      </c>
      <c r="BA10" s="113">
        <v>380</v>
      </c>
      <c r="BB10" s="113">
        <v>2380</v>
      </c>
      <c r="BC10" s="52" t="s">
        <v>131</v>
      </c>
      <c r="BD10" s="52" t="s">
        <v>2906</v>
      </c>
      <c r="BE10" s="118"/>
      <c r="BF10" s="118"/>
      <c r="BG10" s="118"/>
      <c r="BH10" s="52"/>
      <c r="BI10" s="283"/>
      <c r="BJ10" s="52"/>
      <c r="BK10" s="52"/>
      <c r="BL10" s="52"/>
      <c r="BM10" s="52"/>
      <c r="BN10" s="52"/>
      <c r="BO10" s="52"/>
      <c r="BP10" s="52"/>
      <c r="BQ10" s="52"/>
      <c r="BR10" s="52"/>
      <c r="BS10" s="52"/>
      <c r="BT10" s="52"/>
      <c r="BU10" s="52"/>
      <c r="BV10" s="52"/>
      <c r="BW10" s="52"/>
      <c r="BX10" s="52"/>
      <c r="BY10" s="52"/>
      <c r="BZ10" s="52"/>
      <c r="CA10" s="52"/>
      <c r="CB10" s="52"/>
      <c r="CC10" s="52"/>
      <c r="CD10" s="118"/>
      <c r="CE10" s="52"/>
      <c r="CF10" s="52"/>
      <c r="CG10" s="52"/>
      <c r="CH10" s="52"/>
      <c r="CI10" s="52"/>
      <c r="CJ10" s="52"/>
      <c r="CK10" s="52"/>
      <c r="CL10" s="52"/>
      <c r="CM10" s="52"/>
      <c r="CN10" s="118"/>
      <c r="CO10" s="118"/>
      <c r="CP10" s="118"/>
      <c r="CQ10" s="52"/>
      <c r="CR10" s="52"/>
      <c r="CS10" s="52"/>
      <c r="CT10" s="52"/>
      <c r="CU10" s="52"/>
      <c r="CV10" s="52"/>
      <c r="CW10" s="52"/>
      <c r="CX10" s="52"/>
      <c r="CY10" s="52"/>
      <c r="CZ10" s="52"/>
      <c r="DA10" s="52"/>
      <c r="DB10" s="52"/>
    </row>
    <row r="11" spans="1:106" ht="27" x14ac:dyDescent="0.25">
      <c r="A11" s="411">
        <v>9</v>
      </c>
      <c r="B11" s="412" t="s">
        <v>2907</v>
      </c>
      <c r="C11" s="413" t="s">
        <v>622</v>
      </c>
      <c r="D11" s="426" t="s">
        <v>445</v>
      </c>
      <c r="E11" s="80">
        <v>1</v>
      </c>
      <c r="F11" s="356">
        <v>2513.7559999999999</v>
      </c>
      <c r="G11" s="293"/>
      <c r="H11" s="293"/>
      <c r="I11" s="293"/>
      <c r="J11" s="52"/>
      <c r="K11" s="52"/>
      <c r="L11" s="359"/>
      <c r="M11" s="360"/>
      <c r="N11" s="33"/>
      <c r="O11" s="33"/>
      <c r="P11" s="252"/>
      <c r="Q11" s="113"/>
      <c r="R11" s="113"/>
      <c r="S11" s="113"/>
      <c r="T11" s="52"/>
      <c r="U11" s="5"/>
      <c r="V11" s="231"/>
      <c r="W11" s="231"/>
      <c r="X11" s="231"/>
      <c r="Y11" s="113"/>
      <c r="Z11" s="357"/>
      <c r="AA11" s="118" t="s">
        <v>2877</v>
      </c>
      <c r="AB11" s="118"/>
      <c r="AC11" s="118"/>
      <c r="AD11" s="52"/>
      <c r="AE11" s="5"/>
      <c r="AF11" s="358"/>
      <c r="AG11" s="358"/>
      <c r="AH11" s="358"/>
      <c r="AI11" s="358"/>
      <c r="AJ11" s="358"/>
      <c r="AK11" s="113"/>
      <c r="AL11" s="113"/>
      <c r="AM11" s="113"/>
      <c r="AN11" s="113"/>
      <c r="AO11" s="113"/>
      <c r="AP11" s="52"/>
      <c r="AQ11" s="52"/>
      <c r="AR11" s="52"/>
      <c r="AS11" s="52"/>
      <c r="AT11" s="52"/>
      <c r="AU11" s="125"/>
      <c r="AV11" s="125"/>
      <c r="AW11" s="125"/>
      <c r="AX11" s="5"/>
      <c r="AY11" s="5"/>
      <c r="AZ11" s="113">
        <v>2000</v>
      </c>
      <c r="BA11" s="113">
        <v>380</v>
      </c>
      <c r="BB11" s="113">
        <v>2380</v>
      </c>
      <c r="BC11" s="52" t="s">
        <v>131</v>
      </c>
      <c r="BD11" s="52" t="s">
        <v>2908</v>
      </c>
      <c r="BE11" s="118"/>
      <c r="BF11" s="118"/>
      <c r="BG11" s="118"/>
      <c r="BH11" s="52"/>
      <c r="BI11" s="283"/>
      <c r="BJ11" s="52"/>
      <c r="BK11" s="52"/>
      <c r="BL11" s="52"/>
      <c r="BM11" s="52"/>
      <c r="BN11" s="52"/>
      <c r="BO11" s="52"/>
      <c r="BP11" s="52"/>
      <c r="BQ11" s="52"/>
      <c r="BR11" s="52"/>
      <c r="BS11" s="52"/>
      <c r="BT11" s="52"/>
      <c r="BU11" s="52"/>
      <c r="BV11" s="52"/>
      <c r="BW11" s="52"/>
      <c r="BX11" s="52"/>
      <c r="BY11" s="52"/>
      <c r="BZ11" s="52"/>
      <c r="CA11" s="52"/>
      <c r="CB11" s="52"/>
      <c r="CC11" s="52"/>
      <c r="CD11" s="118"/>
      <c r="CE11" s="52"/>
      <c r="CF11" s="52"/>
      <c r="CG11" s="52"/>
      <c r="CH11" s="52"/>
      <c r="CI11" s="52"/>
      <c r="CJ11" s="52"/>
      <c r="CK11" s="52"/>
      <c r="CL11" s="52"/>
      <c r="CM11" s="52"/>
      <c r="CN11" s="118"/>
      <c r="CO11" s="118"/>
      <c r="CP11" s="118"/>
      <c r="CQ11" s="52"/>
      <c r="CR11" s="52"/>
      <c r="CS11" s="52"/>
      <c r="CT11" s="52"/>
      <c r="CU11" s="52"/>
      <c r="CV11" s="52"/>
      <c r="CW11" s="52"/>
      <c r="CX11" s="52"/>
      <c r="CY11" s="52"/>
      <c r="CZ11" s="52"/>
      <c r="DA11" s="52"/>
      <c r="DB11" s="52"/>
    </row>
    <row r="12" spans="1:106" ht="13.5" x14ac:dyDescent="0.25">
      <c r="A12" s="411">
        <v>10</v>
      </c>
      <c r="B12" s="412" t="s">
        <v>2909</v>
      </c>
      <c r="C12" s="413" t="s">
        <v>2898</v>
      </c>
      <c r="D12" s="426" t="s">
        <v>2005</v>
      </c>
      <c r="E12" s="80">
        <v>1</v>
      </c>
      <c r="F12" s="356">
        <v>32439.070599999999</v>
      </c>
      <c r="G12" s="293"/>
      <c r="H12" s="293"/>
      <c r="I12" s="293"/>
      <c r="J12" s="52"/>
      <c r="K12" s="52"/>
      <c r="L12" s="359"/>
      <c r="M12" s="360"/>
      <c r="N12" s="33"/>
      <c r="O12" s="33"/>
      <c r="P12" s="252"/>
      <c r="Q12" s="113"/>
      <c r="R12" s="113"/>
      <c r="S12" s="113"/>
      <c r="T12" s="52"/>
      <c r="U12" s="5"/>
      <c r="V12" s="231"/>
      <c r="W12" s="231"/>
      <c r="X12" s="231"/>
      <c r="Y12" s="113"/>
      <c r="Z12" s="357"/>
      <c r="AA12" s="118" t="s">
        <v>2877</v>
      </c>
      <c r="AB12" s="118"/>
      <c r="AC12" s="118"/>
      <c r="AD12" s="52"/>
      <c r="AE12" s="5"/>
      <c r="AF12" s="358"/>
      <c r="AG12" s="358"/>
      <c r="AH12" s="358"/>
      <c r="AI12" s="358"/>
      <c r="AJ12" s="358"/>
      <c r="AK12" s="113"/>
      <c r="AL12" s="113"/>
      <c r="AM12" s="113"/>
      <c r="AN12" s="113"/>
      <c r="AO12" s="113"/>
      <c r="AP12" s="52"/>
      <c r="AQ12" s="52"/>
      <c r="AR12" s="52"/>
      <c r="AS12" s="52"/>
      <c r="AT12" s="52"/>
      <c r="AU12" s="125"/>
      <c r="AV12" s="125"/>
      <c r="AW12" s="125"/>
      <c r="AX12" s="5"/>
      <c r="AY12" s="5"/>
      <c r="AZ12" s="113"/>
      <c r="BA12" s="113"/>
      <c r="BB12" s="113"/>
      <c r="BC12" s="52"/>
      <c r="BD12" s="52"/>
      <c r="BE12" s="118"/>
      <c r="BF12" s="118"/>
      <c r="BG12" s="118"/>
      <c r="BH12" s="52"/>
      <c r="BI12" s="283"/>
      <c r="BJ12" s="52"/>
      <c r="BK12" s="52"/>
      <c r="BL12" s="52"/>
      <c r="BM12" s="52"/>
      <c r="BN12" s="52"/>
      <c r="BO12" s="52"/>
      <c r="BP12" s="52"/>
      <c r="BQ12" s="52"/>
      <c r="BR12" s="52"/>
      <c r="BS12" s="52"/>
      <c r="BT12" s="118">
        <f>+BV12/1.19</f>
        <v>23578.151260504204</v>
      </c>
      <c r="BU12" s="118">
        <f>+BT12*0.19</f>
        <v>4479.8487394957992</v>
      </c>
      <c r="BV12" s="118">
        <v>28058</v>
      </c>
      <c r="BW12" s="52" t="s">
        <v>131</v>
      </c>
      <c r="BX12" s="52">
        <v>1000072</v>
      </c>
      <c r="BY12" s="52"/>
      <c r="BZ12" s="52"/>
      <c r="CA12" s="52"/>
      <c r="CB12" s="52"/>
      <c r="CC12" s="52"/>
      <c r="CD12" s="118"/>
      <c r="CE12" s="52"/>
      <c r="CF12" s="52"/>
      <c r="CG12" s="52"/>
      <c r="CH12" s="52"/>
      <c r="CI12" s="52"/>
      <c r="CJ12" s="52"/>
      <c r="CK12" s="52"/>
      <c r="CL12" s="52"/>
      <c r="CM12" s="52"/>
      <c r="CN12" s="118"/>
      <c r="CO12" s="118"/>
      <c r="CP12" s="118"/>
      <c r="CQ12" s="52"/>
      <c r="CR12" s="52"/>
      <c r="CS12" s="118">
        <v>28859</v>
      </c>
      <c r="CT12" s="118">
        <f>+CS12*0.19</f>
        <v>5483.21</v>
      </c>
      <c r="CU12" s="118">
        <f>+CS12+CT12</f>
        <v>34342.21</v>
      </c>
      <c r="CV12" s="52" t="s">
        <v>131</v>
      </c>
      <c r="CW12" s="52">
        <v>1000072</v>
      </c>
      <c r="CX12" s="52"/>
      <c r="CY12" s="52"/>
      <c r="CZ12" s="52"/>
      <c r="DA12" s="52"/>
      <c r="DB12" s="52"/>
    </row>
    <row r="13" spans="1:106" ht="13.5" x14ac:dyDescent="0.25">
      <c r="A13" s="411">
        <v>11</v>
      </c>
      <c r="B13" s="414" t="s">
        <v>2910</v>
      </c>
      <c r="C13" s="560" t="s">
        <v>622</v>
      </c>
      <c r="D13" s="414" t="s">
        <v>2911</v>
      </c>
      <c r="E13" s="80">
        <v>1</v>
      </c>
      <c r="F13" s="356">
        <v>93909.910600000003</v>
      </c>
      <c r="G13" s="293"/>
      <c r="H13" s="293"/>
      <c r="I13" s="293"/>
      <c r="J13" s="52"/>
      <c r="K13" s="52"/>
      <c r="L13" s="359"/>
      <c r="M13" s="360"/>
      <c r="N13" s="33"/>
      <c r="O13" s="33"/>
      <c r="P13" s="252"/>
      <c r="Q13" s="113"/>
      <c r="R13" s="113"/>
      <c r="S13" s="113"/>
      <c r="T13" s="52"/>
      <c r="U13" s="5"/>
      <c r="V13" s="231"/>
      <c r="W13" s="231"/>
      <c r="X13" s="231"/>
      <c r="Y13" s="113"/>
      <c r="Z13" s="357"/>
      <c r="AA13" s="118" t="s">
        <v>2877</v>
      </c>
      <c r="AB13" s="118"/>
      <c r="AC13" s="118"/>
      <c r="AD13" s="52"/>
      <c r="AE13" s="5"/>
      <c r="AF13" s="358"/>
      <c r="AG13" s="358"/>
      <c r="AH13" s="358"/>
      <c r="AI13" s="358"/>
      <c r="AJ13" s="358"/>
      <c r="AK13" s="113"/>
      <c r="AL13" s="113"/>
      <c r="AM13" s="113"/>
      <c r="AN13" s="113"/>
      <c r="AO13" s="113"/>
      <c r="AP13" s="52"/>
      <c r="AQ13" s="52"/>
      <c r="AR13" s="52"/>
      <c r="AS13" s="52"/>
      <c r="AT13" s="52"/>
      <c r="AU13" s="125"/>
      <c r="AV13" s="125"/>
      <c r="AW13" s="125"/>
      <c r="AX13" s="5"/>
      <c r="AY13" s="5"/>
      <c r="AZ13" s="113">
        <v>40000</v>
      </c>
      <c r="BA13" s="113">
        <v>7600</v>
      </c>
      <c r="BB13" s="113">
        <v>47600</v>
      </c>
      <c r="BC13" s="52" t="s">
        <v>131</v>
      </c>
      <c r="BD13" s="52" t="s">
        <v>2912</v>
      </c>
      <c r="BE13" s="118"/>
      <c r="BF13" s="118"/>
      <c r="BG13" s="118"/>
      <c r="BH13" s="52"/>
      <c r="BI13" s="283"/>
      <c r="BJ13" s="52"/>
      <c r="BK13" s="52"/>
      <c r="BL13" s="52"/>
      <c r="BM13" s="52"/>
      <c r="BN13" s="52"/>
      <c r="BO13" s="52"/>
      <c r="BP13" s="52"/>
      <c r="BQ13" s="52"/>
      <c r="BR13" s="52"/>
      <c r="BS13" s="52"/>
      <c r="BT13" s="52"/>
      <c r="BU13" s="52"/>
      <c r="BV13" s="52"/>
      <c r="BW13" s="52"/>
      <c r="BX13" s="52"/>
      <c r="BY13" s="52"/>
      <c r="BZ13" s="52"/>
      <c r="CA13" s="52"/>
      <c r="CB13" s="52"/>
      <c r="CC13" s="52"/>
      <c r="CD13" s="118"/>
      <c r="CE13" s="52"/>
      <c r="CF13" s="52"/>
      <c r="CG13" s="52"/>
      <c r="CH13" s="52"/>
      <c r="CI13" s="52"/>
      <c r="CJ13" s="52"/>
      <c r="CK13" s="52"/>
      <c r="CL13" s="52"/>
      <c r="CM13" s="52"/>
      <c r="CN13" s="118"/>
      <c r="CO13" s="118"/>
      <c r="CP13" s="118"/>
      <c r="CQ13" s="52"/>
      <c r="CR13" s="52"/>
      <c r="CS13" s="52"/>
      <c r="CT13" s="52"/>
      <c r="CU13" s="52"/>
      <c r="CV13" s="52"/>
      <c r="CW13" s="52"/>
      <c r="CX13" s="52"/>
      <c r="CY13" s="52"/>
      <c r="CZ13" s="52"/>
      <c r="DA13" s="52"/>
      <c r="DB13" s="52"/>
    </row>
    <row r="14" spans="1:106" ht="13.5" x14ac:dyDescent="0.25">
      <c r="A14" s="411">
        <v>12</v>
      </c>
      <c r="B14" s="412" t="s">
        <v>2913</v>
      </c>
      <c r="C14" s="413" t="s">
        <v>2898</v>
      </c>
      <c r="D14" s="426" t="s">
        <v>2901</v>
      </c>
      <c r="E14" s="80">
        <v>1</v>
      </c>
      <c r="F14" s="356">
        <v>39735.300199999998</v>
      </c>
      <c r="G14" s="293"/>
      <c r="H14" s="293"/>
      <c r="I14" s="293"/>
      <c r="J14" s="52"/>
      <c r="K14" s="52"/>
      <c r="L14" s="359"/>
      <c r="M14" s="360"/>
      <c r="N14" s="33"/>
      <c r="O14" s="33"/>
      <c r="P14" s="252"/>
      <c r="Q14" s="113"/>
      <c r="R14" s="113"/>
      <c r="S14" s="113"/>
      <c r="T14" s="52"/>
      <c r="U14" s="5"/>
      <c r="V14" s="231"/>
      <c r="W14" s="231"/>
      <c r="X14" s="231"/>
      <c r="Y14" s="113"/>
      <c r="Z14" s="357"/>
      <c r="AA14" s="118" t="s">
        <v>2877</v>
      </c>
      <c r="AB14" s="118"/>
      <c r="AC14" s="118"/>
      <c r="AD14" s="52"/>
      <c r="AE14" s="5"/>
      <c r="AF14" s="358"/>
      <c r="AG14" s="358"/>
      <c r="AH14" s="358"/>
      <c r="AI14" s="358"/>
      <c r="AJ14" s="358"/>
      <c r="AK14" s="113"/>
      <c r="AL14" s="113"/>
      <c r="AM14" s="113"/>
      <c r="AN14" s="113"/>
      <c r="AO14" s="113"/>
      <c r="AP14" s="52"/>
      <c r="AQ14" s="52"/>
      <c r="AR14" s="52"/>
      <c r="AS14" s="52"/>
      <c r="AT14" s="52"/>
      <c r="AU14" s="125"/>
      <c r="AV14" s="125"/>
      <c r="AW14" s="125"/>
      <c r="AX14" s="5"/>
      <c r="AY14" s="5"/>
      <c r="AZ14" s="113">
        <v>38000</v>
      </c>
      <c r="BA14" s="113">
        <v>7220</v>
      </c>
      <c r="BB14" s="113">
        <v>45220</v>
      </c>
      <c r="BC14" s="52" t="s">
        <v>131</v>
      </c>
      <c r="BD14" s="52" t="s">
        <v>2914</v>
      </c>
      <c r="BE14" s="118"/>
      <c r="BF14" s="118"/>
      <c r="BG14" s="118"/>
      <c r="BH14" s="52"/>
      <c r="BI14" s="283"/>
      <c r="BJ14" s="52"/>
      <c r="BK14" s="52"/>
      <c r="BL14" s="52"/>
      <c r="BM14" s="52"/>
      <c r="BN14" s="52"/>
      <c r="BO14" s="52"/>
      <c r="BP14" s="52"/>
      <c r="BQ14" s="52"/>
      <c r="BR14" s="52"/>
      <c r="BS14" s="52"/>
      <c r="BT14" s="52"/>
      <c r="BU14" s="52"/>
      <c r="BV14" s="52"/>
      <c r="BW14" s="52"/>
      <c r="BX14" s="52"/>
      <c r="BY14" s="52"/>
      <c r="BZ14" s="52"/>
      <c r="CA14" s="52"/>
      <c r="CB14" s="52"/>
      <c r="CC14" s="52"/>
      <c r="CD14" s="118"/>
      <c r="CE14" s="52"/>
      <c r="CF14" s="52"/>
      <c r="CG14" s="52"/>
      <c r="CH14" s="52"/>
      <c r="CI14" s="52"/>
      <c r="CJ14" s="52"/>
      <c r="CK14" s="52"/>
      <c r="CL14" s="52"/>
      <c r="CM14" s="52"/>
      <c r="CN14" s="118"/>
      <c r="CO14" s="118"/>
      <c r="CP14" s="118"/>
      <c r="CQ14" s="52"/>
      <c r="CR14" s="52"/>
      <c r="CS14" s="52"/>
      <c r="CT14" s="52"/>
      <c r="CU14" s="52"/>
      <c r="CV14" s="52"/>
      <c r="CW14" s="52"/>
      <c r="CX14" s="52"/>
      <c r="CY14" s="52"/>
      <c r="CZ14" s="52"/>
      <c r="DA14" s="52"/>
      <c r="DB14" s="52"/>
    </row>
    <row r="15" spans="1:106" ht="67.5" x14ac:dyDescent="0.25">
      <c r="A15" s="411">
        <v>13</v>
      </c>
      <c r="B15" s="412" t="s">
        <v>2915</v>
      </c>
      <c r="C15" s="413" t="s">
        <v>622</v>
      </c>
      <c r="D15" s="426" t="s">
        <v>2916</v>
      </c>
      <c r="E15" s="80">
        <v>1</v>
      </c>
      <c r="F15" s="356">
        <v>92380.532999999996</v>
      </c>
      <c r="G15" s="293"/>
      <c r="H15" s="293"/>
      <c r="I15" s="293"/>
      <c r="J15" s="52"/>
      <c r="K15" s="52"/>
      <c r="L15" s="359"/>
      <c r="M15" s="360"/>
      <c r="N15" s="33"/>
      <c r="O15" s="33"/>
      <c r="P15" s="252"/>
      <c r="Q15" s="113"/>
      <c r="R15" s="113"/>
      <c r="S15" s="113"/>
      <c r="T15" s="52"/>
      <c r="U15" s="5"/>
      <c r="V15" s="231"/>
      <c r="W15" s="231"/>
      <c r="X15" s="231"/>
      <c r="Y15" s="113"/>
      <c r="Z15" s="357"/>
      <c r="AA15" s="118" t="s">
        <v>2877</v>
      </c>
      <c r="AB15" s="118"/>
      <c r="AC15" s="118"/>
      <c r="AD15" s="52"/>
      <c r="AE15" s="5"/>
      <c r="AF15" s="358"/>
      <c r="AG15" s="358"/>
      <c r="AH15" s="358"/>
      <c r="AI15" s="358"/>
      <c r="AJ15" s="358"/>
      <c r="AK15" s="113"/>
      <c r="AL15" s="113"/>
      <c r="AM15" s="113"/>
      <c r="AN15" s="113"/>
      <c r="AO15" s="113"/>
      <c r="AP15" s="52"/>
      <c r="AQ15" s="52"/>
      <c r="AR15" s="52"/>
      <c r="AS15" s="52"/>
      <c r="AT15" s="52"/>
      <c r="AU15" s="125"/>
      <c r="AV15" s="125"/>
      <c r="AW15" s="125"/>
      <c r="AX15" s="5"/>
      <c r="AY15" s="5"/>
      <c r="AZ15" s="113">
        <v>24000</v>
      </c>
      <c r="BA15" s="113">
        <v>4560</v>
      </c>
      <c r="BB15" s="113">
        <v>28560</v>
      </c>
      <c r="BC15" s="52" t="s">
        <v>164</v>
      </c>
      <c r="BD15" s="52" t="s">
        <v>2917</v>
      </c>
      <c r="BE15" s="118"/>
      <c r="BF15" s="118"/>
      <c r="BG15" s="118"/>
      <c r="BH15" s="52"/>
      <c r="BI15" s="283"/>
      <c r="BJ15" s="52"/>
      <c r="BK15" s="52"/>
      <c r="BL15" s="52"/>
      <c r="BM15" s="52"/>
      <c r="BN15" s="52"/>
      <c r="BO15" s="52"/>
      <c r="BP15" s="52"/>
      <c r="BQ15" s="52"/>
      <c r="BR15" s="52"/>
      <c r="BS15" s="52"/>
      <c r="BT15" s="52"/>
      <c r="BU15" s="52"/>
      <c r="BV15" s="52"/>
      <c r="BW15" s="52"/>
      <c r="BX15" s="52"/>
      <c r="BY15" s="52"/>
      <c r="BZ15" s="52"/>
      <c r="CA15" s="52"/>
      <c r="CB15" s="52"/>
      <c r="CC15" s="52"/>
      <c r="CD15" s="118"/>
      <c r="CE15" s="52"/>
      <c r="CF15" s="52"/>
      <c r="CG15" s="52"/>
      <c r="CH15" s="52"/>
      <c r="CI15" s="52"/>
      <c r="CJ15" s="52"/>
      <c r="CK15" s="52"/>
      <c r="CL15" s="52"/>
      <c r="CM15" s="52"/>
      <c r="CN15" s="118"/>
      <c r="CO15" s="118"/>
      <c r="CP15" s="118"/>
      <c r="CQ15" s="52"/>
      <c r="CR15" s="52"/>
      <c r="CS15" s="52"/>
      <c r="CT15" s="52"/>
      <c r="CU15" s="52"/>
      <c r="CV15" s="52"/>
      <c r="CW15" s="52"/>
      <c r="CX15" s="52"/>
      <c r="CY15" s="52"/>
      <c r="CZ15" s="52"/>
      <c r="DA15" s="52"/>
      <c r="DB15" s="52"/>
    </row>
    <row r="16" spans="1:106" ht="27" x14ac:dyDescent="0.25">
      <c r="A16" s="411">
        <v>14</v>
      </c>
      <c r="B16" s="412" t="s">
        <v>2918</v>
      </c>
      <c r="C16" s="413" t="s">
        <v>622</v>
      </c>
      <c r="D16" s="426" t="s">
        <v>2919</v>
      </c>
      <c r="E16" s="80">
        <v>1</v>
      </c>
      <c r="F16" s="356">
        <v>21366.925999999999</v>
      </c>
      <c r="G16" s="293"/>
      <c r="H16" s="293"/>
      <c r="I16" s="293"/>
      <c r="J16" s="52"/>
      <c r="K16" s="52"/>
      <c r="L16" s="359"/>
      <c r="M16" s="360"/>
      <c r="N16" s="33"/>
      <c r="O16" s="33"/>
      <c r="P16" s="252"/>
      <c r="Q16" s="113"/>
      <c r="R16" s="113"/>
      <c r="S16" s="113"/>
      <c r="T16" s="52"/>
      <c r="U16" s="5"/>
      <c r="V16" s="231"/>
      <c r="W16" s="231"/>
      <c r="X16" s="231"/>
      <c r="Y16" s="113"/>
      <c r="Z16" s="357"/>
      <c r="AA16" s="118" t="s">
        <v>2877</v>
      </c>
      <c r="AB16" s="118"/>
      <c r="AC16" s="118"/>
      <c r="AD16" s="52"/>
      <c r="AE16" s="5"/>
      <c r="AF16" s="358"/>
      <c r="AG16" s="358"/>
      <c r="AH16" s="358"/>
      <c r="AI16" s="358"/>
      <c r="AJ16" s="358"/>
      <c r="AK16" s="113"/>
      <c r="AL16" s="113"/>
      <c r="AM16" s="113"/>
      <c r="AN16" s="113"/>
      <c r="AO16" s="113"/>
      <c r="AP16" s="52"/>
      <c r="AQ16" s="52"/>
      <c r="AR16" s="52"/>
      <c r="AS16" s="52"/>
      <c r="AT16" s="52"/>
      <c r="AU16" s="125"/>
      <c r="AV16" s="125"/>
      <c r="AW16" s="125"/>
      <c r="AX16" s="5"/>
      <c r="AY16" s="5"/>
      <c r="AZ16" s="113">
        <v>20000</v>
      </c>
      <c r="BA16" s="113">
        <v>3800</v>
      </c>
      <c r="BB16" s="113">
        <v>23800</v>
      </c>
      <c r="BC16" s="52" t="s">
        <v>2920</v>
      </c>
      <c r="BD16" s="52" t="s">
        <v>2921</v>
      </c>
      <c r="BE16" s="118"/>
      <c r="BF16" s="118"/>
      <c r="BG16" s="118"/>
      <c r="BH16" s="52"/>
      <c r="BI16" s="283"/>
      <c r="BJ16" s="52"/>
      <c r="BK16" s="52"/>
      <c r="BL16" s="52"/>
      <c r="BM16" s="52"/>
      <c r="BN16" s="52"/>
      <c r="BO16" s="52"/>
      <c r="BP16" s="52"/>
      <c r="BQ16" s="52"/>
      <c r="BR16" s="52"/>
      <c r="BS16" s="52"/>
      <c r="BT16" s="52"/>
      <c r="BU16" s="52"/>
      <c r="BV16" s="52"/>
      <c r="BW16" s="52"/>
      <c r="BX16" s="52"/>
      <c r="BY16" s="52"/>
      <c r="BZ16" s="52"/>
      <c r="CA16" s="52"/>
      <c r="CB16" s="52"/>
      <c r="CC16" s="52"/>
      <c r="CD16" s="118"/>
      <c r="CE16" s="52"/>
      <c r="CF16" s="52"/>
      <c r="CG16" s="52"/>
      <c r="CH16" s="52"/>
      <c r="CI16" s="52"/>
      <c r="CJ16" s="52"/>
      <c r="CK16" s="52"/>
      <c r="CL16" s="52"/>
      <c r="CM16" s="52"/>
      <c r="CN16" s="118"/>
      <c r="CO16" s="118"/>
      <c r="CP16" s="118"/>
      <c r="CQ16" s="52"/>
      <c r="CR16" s="52"/>
      <c r="CS16" s="52"/>
      <c r="CT16" s="52"/>
      <c r="CU16" s="52"/>
      <c r="CV16" s="52"/>
      <c r="CW16" s="52"/>
      <c r="CX16" s="52"/>
      <c r="CY16" s="52"/>
      <c r="CZ16" s="52"/>
      <c r="DA16" s="52"/>
      <c r="DB16" s="52"/>
    </row>
    <row r="17" spans="1:106" ht="27" x14ac:dyDescent="0.25">
      <c r="A17" s="411">
        <v>15</v>
      </c>
      <c r="B17" s="412" t="s">
        <v>2922</v>
      </c>
      <c r="C17" s="561" t="s">
        <v>622</v>
      </c>
      <c r="D17" s="562" t="s">
        <v>445</v>
      </c>
      <c r="E17" s="80">
        <v>1</v>
      </c>
      <c r="F17" s="356">
        <v>44744.856800000001</v>
      </c>
      <c r="G17" s="293"/>
      <c r="H17" s="293"/>
      <c r="I17" s="293"/>
      <c r="J17" s="52"/>
      <c r="K17" s="52"/>
      <c r="L17" s="359"/>
      <c r="M17" s="360"/>
      <c r="N17" s="33"/>
      <c r="O17" s="33"/>
      <c r="P17" s="252"/>
      <c r="Q17" s="113"/>
      <c r="R17" s="113"/>
      <c r="S17" s="113"/>
      <c r="T17" s="52"/>
      <c r="U17" s="5"/>
      <c r="V17" s="231"/>
      <c r="W17" s="231"/>
      <c r="X17" s="231"/>
      <c r="Y17" s="113"/>
      <c r="Z17" s="357"/>
      <c r="AA17" s="118" t="s">
        <v>2877</v>
      </c>
      <c r="AB17" s="118"/>
      <c r="AC17" s="118"/>
      <c r="AD17" s="52"/>
      <c r="AE17" s="5"/>
      <c r="AF17" s="358"/>
      <c r="AG17" s="358"/>
      <c r="AH17" s="358"/>
      <c r="AI17" s="358"/>
      <c r="AJ17" s="358"/>
      <c r="AK17" s="113"/>
      <c r="AL17" s="113"/>
      <c r="AM17" s="113"/>
      <c r="AN17" s="113"/>
      <c r="AO17" s="113"/>
      <c r="AP17" s="52"/>
      <c r="AQ17" s="52"/>
      <c r="AR17" s="52"/>
      <c r="AS17" s="52"/>
      <c r="AT17" s="52"/>
      <c r="AU17" s="125"/>
      <c r="AV17" s="125"/>
      <c r="AW17" s="125"/>
      <c r="AX17" s="5"/>
      <c r="AY17" s="5"/>
      <c r="AZ17" s="113"/>
      <c r="BA17" s="113"/>
      <c r="BB17" s="113"/>
      <c r="BC17" s="52"/>
      <c r="BD17" s="52"/>
      <c r="BE17" s="118"/>
      <c r="BF17" s="118"/>
      <c r="BG17" s="118"/>
      <c r="BH17" s="52"/>
      <c r="BI17" s="283"/>
      <c r="BJ17" s="52"/>
      <c r="BK17" s="52"/>
      <c r="BL17" s="52"/>
      <c r="BM17" s="52"/>
      <c r="BN17" s="52"/>
      <c r="BO17" s="52"/>
      <c r="BP17" s="52"/>
      <c r="BQ17" s="52"/>
      <c r="BR17" s="52"/>
      <c r="BS17" s="52"/>
      <c r="BT17" s="52"/>
      <c r="BU17" s="52"/>
      <c r="BV17" s="52"/>
      <c r="BW17" s="52"/>
      <c r="BX17" s="52"/>
      <c r="BY17" s="52"/>
      <c r="BZ17" s="52"/>
      <c r="CA17" s="52"/>
      <c r="CB17" s="52"/>
      <c r="CC17" s="52"/>
      <c r="CD17" s="118"/>
      <c r="CE17" s="52"/>
      <c r="CF17" s="52"/>
      <c r="CG17" s="52"/>
      <c r="CH17" s="52"/>
      <c r="CI17" s="52"/>
      <c r="CJ17" s="52"/>
      <c r="CK17" s="52"/>
      <c r="CL17" s="52"/>
      <c r="CM17" s="52"/>
      <c r="CN17" s="118"/>
      <c r="CO17" s="118"/>
      <c r="CP17" s="118"/>
      <c r="CQ17" s="52"/>
      <c r="CR17" s="52"/>
      <c r="CS17" s="52"/>
      <c r="CT17" s="52"/>
      <c r="CU17" s="52"/>
      <c r="CV17" s="52"/>
      <c r="CW17" s="52"/>
      <c r="CX17" s="52"/>
      <c r="CY17" s="52"/>
      <c r="CZ17" s="52"/>
      <c r="DA17" s="52"/>
      <c r="DB17" s="52"/>
    </row>
    <row r="18" spans="1:106" ht="13.5" x14ac:dyDescent="0.25">
      <c r="A18" s="411">
        <v>16</v>
      </c>
      <c r="B18" s="412" t="s">
        <v>2923</v>
      </c>
      <c r="C18" s="561" t="s">
        <v>622</v>
      </c>
      <c r="D18" s="426" t="s">
        <v>2924</v>
      </c>
      <c r="E18" s="80">
        <v>1</v>
      </c>
      <c r="F18" s="356">
        <v>86724.582000000009</v>
      </c>
      <c r="G18" s="293"/>
      <c r="H18" s="293"/>
      <c r="I18" s="293"/>
      <c r="J18" s="52"/>
      <c r="K18" s="52"/>
      <c r="L18" s="359"/>
      <c r="M18" s="360"/>
      <c r="N18" s="33"/>
      <c r="O18" s="33"/>
      <c r="P18" s="252"/>
      <c r="Q18" s="113"/>
      <c r="R18" s="113"/>
      <c r="S18" s="113"/>
      <c r="T18" s="52"/>
      <c r="U18" s="5"/>
      <c r="V18" s="231"/>
      <c r="W18" s="231"/>
      <c r="X18" s="231"/>
      <c r="Y18" s="113"/>
      <c r="Z18" s="357"/>
      <c r="AA18" s="118" t="s">
        <v>2877</v>
      </c>
      <c r="AB18" s="118"/>
      <c r="AC18" s="118"/>
      <c r="AD18" s="52"/>
      <c r="AE18" s="5"/>
      <c r="AF18" s="358"/>
      <c r="AG18" s="358"/>
      <c r="AH18" s="358"/>
      <c r="AI18" s="358"/>
      <c r="AJ18" s="358"/>
      <c r="AK18" s="113"/>
      <c r="AL18" s="113"/>
      <c r="AM18" s="113"/>
      <c r="AN18" s="113"/>
      <c r="AO18" s="113"/>
      <c r="AP18" s="52"/>
      <c r="AQ18" s="52"/>
      <c r="AR18" s="52"/>
      <c r="AS18" s="52"/>
      <c r="AT18" s="52"/>
      <c r="AU18" s="125"/>
      <c r="AV18" s="125"/>
      <c r="AW18" s="125"/>
      <c r="AX18" s="5"/>
      <c r="AY18" s="5"/>
      <c r="AZ18" s="113">
        <v>93000</v>
      </c>
      <c r="BA18" s="113">
        <v>17670</v>
      </c>
      <c r="BB18" s="113">
        <v>110670</v>
      </c>
      <c r="BC18" s="52" t="s">
        <v>2925</v>
      </c>
      <c r="BD18" s="52" t="s">
        <v>2926</v>
      </c>
      <c r="BE18" s="118"/>
      <c r="BF18" s="118"/>
      <c r="BG18" s="118"/>
      <c r="BH18" s="52"/>
      <c r="BI18" s="283"/>
      <c r="BJ18" s="52"/>
      <c r="BK18" s="52"/>
      <c r="BL18" s="52"/>
      <c r="BM18" s="52"/>
      <c r="BN18" s="52"/>
      <c r="BO18" s="52"/>
      <c r="BP18" s="52"/>
      <c r="BQ18" s="52"/>
      <c r="BR18" s="52"/>
      <c r="BS18" s="52"/>
      <c r="BT18" s="52"/>
      <c r="BU18" s="52"/>
      <c r="BV18" s="52"/>
      <c r="BW18" s="52"/>
      <c r="BX18" s="52"/>
      <c r="BY18" s="52"/>
      <c r="BZ18" s="52"/>
      <c r="CA18" s="52"/>
      <c r="CB18" s="52"/>
      <c r="CC18" s="52"/>
      <c r="CD18" s="118">
        <v>13446</v>
      </c>
      <c r="CE18" s="118">
        <f>+CD18*0.19</f>
        <v>2554.7400000000002</v>
      </c>
      <c r="CF18" s="118">
        <f>+CD18+CE18</f>
        <v>16000.74</v>
      </c>
      <c r="CG18" s="52" t="s">
        <v>2927</v>
      </c>
      <c r="CH18" s="52" t="s">
        <v>2928</v>
      </c>
      <c r="CI18" s="52"/>
      <c r="CJ18" s="52"/>
      <c r="CK18" s="52"/>
      <c r="CL18" s="52"/>
      <c r="CM18" s="52"/>
      <c r="CN18" s="118"/>
      <c r="CO18" s="118"/>
      <c r="CP18" s="118"/>
      <c r="CQ18" s="52"/>
      <c r="CR18" s="52"/>
      <c r="CS18" s="52"/>
      <c r="CT18" s="52"/>
      <c r="CU18" s="52"/>
      <c r="CV18" s="52"/>
      <c r="CW18" s="52"/>
      <c r="CX18" s="52"/>
      <c r="CY18" s="52"/>
      <c r="CZ18" s="52"/>
      <c r="DA18" s="52"/>
      <c r="DB18" s="52"/>
    </row>
    <row r="19" spans="1:106" ht="13.5" x14ac:dyDescent="0.25">
      <c r="A19" s="411">
        <v>17</v>
      </c>
      <c r="B19" s="412" t="s">
        <v>2929</v>
      </c>
      <c r="C19" s="561" t="s">
        <v>622</v>
      </c>
      <c r="D19" s="426" t="s">
        <v>2924</v>
      </c>
      <c r="E19" s="80">
        <v>1</v>
      </c>
      <c r="F19" s="356">
        <v>54045.754000000001</v>
      </c>
      <c r="G19" s="293"/>
      <c r="H19" s="293"/>
      <c r="I19" s="293"/>
      <c r="J19" s="52"/>
      <c r="K19" s="52"/>
      <c r="L19" s="359"/>
      <c r="M19" s="360"/>
      <c r="N19" s="33"/>
      <c r="O19" s="33"/>
      <c r="P19" s="252"/>
      <c r="Q19" s="113"/>
      <c r="R19" s="113"/>
      <c r="S19" s="113"/>
      <c r="T19" s="52"/>
      <c r="U19" s="5"/>
      <c r="V19" s="231"/>
      <c r="W19" s="231"/>
      <c r="X19" s="231"/>
      <c r="Y19" s="113"/>
      <c r="Z19" s="357"/>
      <c r="AA19" s="118" t="s">
        <v>2877</v>
      </c>
      <c r="AB19" s="118"/>
      <c r="AC19" s="118"/>
      <c r="AD19" s="52"/>
      <c r="AE19" s="5"/>
      <c r="AF19" s="113">
        <v>5700</v>
      </c>
      <c r="AG19" s="113">
        <v>1083</v>
      </c>
      <c r="AH19" s="113">
        <v>6783</v>
      </c>
      <c r="AI19" s="358" t="s">
        <v>2930</v>
      </c>
      <c r="AJ19" s="358">
        <v>9180001449</v>
      </c>
      <c r="AK19" s="113"/>
      <c r="AL19" s="113"/>
      <c r="AM19" s="113"/>
      <c r="AN19" s="113"/>
      <c r="AO19" s="113"/>
      <c r="AP19" s="52"/>
      <c r="AQ19" s="52"/>
      <c r="AR19" s="52"/>
      <c r="AS19" s="52"/>
      <c r="AT19" s="52"/>
      <c r="AU19" s="125"/>
      <c r="AV19" s="125"/>
      <c r="AW19" s="125"/>
      <c r="AX19" s="5"/>
      <c r="AY19" s="5"/>
      <c r="AZ19" s="113">
        <v>104000</v>
      </c>
      <c r="BA19" s="113">
        <v>19760</v>
      </c>
      <c r="BB19" s="113">
        <v>123760</v>
      </c>
      <c r="BC19" s="52" t="s">
        <v>2925</v>
      </c>
      <c r="BD19" s="52" t="s">
        <v>2931</v>
      </c>
      <c r="BE19" s="118"/>
      <c r="BF19" s="118"/>
      <c r="BG19" s="118"/>
      <c r="BH19" s="52"/>
      <c r="BI19" s="283"/>
      <c r="BJ19" s="52"/>
      <c r="BK19" s="52"/>
      <c r="BL19" s="52"/>
      <c r="BM19" s="52"/>
      <c r="BN19" s="52"/>
      <c r="BO19" s="52"/>
      <c r="BP19" s="52"/>
      <c r="BQ19" s="52"/>
      <c r="BR19" s="52"/>
      <c r="BS19" s="52"/>
      <c r="BT19" s="52"/>
      <c r="BU19" s="52"/>
      <c r="BV19" s="52"/>
      <c r="BW19" s="52"/>
      <c r="BX19" s="52"/>
      <c r="BY19" s="52"/>
      <c r="BZ19" s="52"/>
      <c r="CA19" s="52"/>
      <c r="CB19" s="52"/>
      <c r="CC19" s="52"/>
      <c r="CD19" s="118">
        <v>24370</v>
      </c>
      <c r="CE19" s="118">
        <f>+CD19*0.19</f>
        <v>4630.3</v>
      </c>
      <c r="CF19" s="118">
        <f>+CD19+CE19</f>
        <v>29000.3</v>
      </c>
      <c r="CG19" s="52" t="s">
        <v>2927</v>
      </c>
      <c r="CH19" s="52" t="s">
        <v>2932</v>
      </c>
      <c r="CI19" s="52"/>
      <c r="CJ19" s="52"/>
      <c r="CK19" s="52"/>
      <c r="CL19" s="52"/>
      <c r="CM19" s="52"/>
      <c r="CN19" s="118"/>
      <c r="CO19" s="118"/>
      <c r="CP19" s="118"/>
      <c r="CQ19" s="52"/>
      <c r="CR19" s="52"/>
      <c r="CS19" s="52"/>
      <c r="CT19" s="52"/>
      <c r="CU19" s="52"/>
      <c r="CV19" s="52"/>
      <c r="CW19" s="52"/>
      <c r="CX19" s="52"/>
      <c r="CY19" s="52"/>
      <c r="CZ19" s="52"/>
      <c r="DA19" s="52"/>
      <c r="DB19" s="52"/>
    </row>
    <row r="20" spans="1:106" ht="13.5" x14ac:dyDescent="0.25">
      <c r="A20" s="411">
        <v>18</v>
      </c>
      <c r="B20" s="412" t="s">
        <v>2933</v>
      </c>
      <c r="C20" s="561" t="s">
        <v>622</v>
      </c>
      <c r="D20" s="426" t="s">
        <v>445</v>
      </c>
      <c r="E20" s="80">
        <v>1</v>
      </c>
      <c r="F20" s="354">
        <v>516.48180000000002</v>
      </c>
      <c r="G20" s="293"/>
      <c r="H20" s="293"/>
      <c r="I20" s="293"/>
      <c r="J20" s="52"/>
      <c r="K20" s="52"/>
      <c r="L20" s="359"/>
      <c r="M20" s="360"/>
      <c r="N20" s="33"/>
      <c r="O20" s="33"/>
      <c r="P20" s="252"/>
      <c r="Q20" s="113"/>
      <c r="R20" s="113"/>
      <c r="S20" s="113"/>
      <c r="T20" s="52"/>
      <c r="U20" s="5"/>
      <c r="V20" s="231"/>
      <c r="W20" s="231"/>
      <c r="X20" s="231"/>
      <c r="Y20" s="113"/>
      <c r="Z20" s="357"/>
      <c r="AA20" s="118" t="s">
        <v>2877</v>
      </c>
      <c r="AB20" s="118"/>
      <c r="AC20" s="118"/>
      <c r="AD20" s="52"/>
      <c r="AE20" s="5"/>
      <c r="AF20" s="358"/>
      <c r="AG20" s="358"/>
      <c r="AH20" s="358"/>
      <c r="AI20" s="358"/>
      <c r="AJ20" s="358"/>
      <c r="AK20" s="113"/>
      <c r="AL20" s="113"/>
      <c r="AM20" s="113"/>
      <c r="AN20" s="113"/>
      <c r="AO20" s="113"/>
      <c r="AP20" s="52"/>
      <c r="AQ20" s="52"/>
      <c r="AR20" s="52"/>
      <c r="AS20" s="52"/>
      <c r="AT20" s="52"/>
      <c r="AU20" s="125"/>
      <c r="AV20" s="125"/>
      <c r="AW20" s="125"/>
      <c r="AX20" s="5"/>
      <c r="AY20" s="5"/>
      <c r="AZ20" s="113">
        <v>1000</v>
      </c>
      <c r="BA20" s="113">
        <v>190</v>
      </c>
      <c r="BB20" s="113">
        <v>1190</v>
      </c>
      <c r="BC20" s="52" t="s">
        <v>2934</v>
      </c>
      <c r="BD20" s="52" t="s">
        <v>2935</v>
      </c>
      <c r="BE20" s="118"/>
      <c r="BF20" s="118"/>
      <c r="BG20" s="118"/>
      <c r="BH20" s="52"/>
      <c r="BI20" s="283"/>
      <c r="BJ20" s="52"/>
      <c r="BK20" s="52"/>
      <c r="BL20" s="52"/>
      <c r="BM20" s="52"/>
      <c r="BN20" s="52"/>
      <c r="BO20" s="52"/>
      <c r="BP20" s="52"/>
      <c r="BQ20" s="52"/>
      <c r="BR20" s="52"/>
      <c r="BS20" s="52"/>
      <c r="BT20" s="52"/>
      <c r="BU20" s="52"/>
      <c r="BV20" s="52"/>
      <c r="BW20" s="52"/>
      <c r="BX20" s="52"/>
      <c r="BY20" s="52"/>
      <c r="BZ20" s="52"/>
      <c r="CA20" s="52"/>
      <c r="CB20" s="52"/>
      <c r="CC20" s="52"/>
      <c r="CD20" s="118"/>
      <c r="CE20" s="52"/>
      <c r="CF20" s="52"/>
      <c r="CG20" s="52"/>
      <c r="CH20" s="52"/>
      <c r="CI20" s="52"/>
      <c r="CJ20" s="52"/>
      <c r="CK20" s="52"/>
      <c r="CL20" s="52"/>
      <c r="CM20" s="52"/>
      <c r="CN20" s="118"/>
      <c r="CO20" s="118"/>
      <c r="CP20" s="118"/>
      <c r="CQ20" s="52"/>
      <c r="CR20" s="52"/>
      <c r="CS20" s="52"/>
      <c r="CT20" s="52"/>
      <c r="CU20" s="52"/>
      <c r="CV20" s="52"/>
      <c r="CW20" s="52"/>
      <c r="CX20" s="52"/>
      <c r="CY20" s="52"/>
      <c r="CZ20" s="52"/>
      <c r="DA20" s="52"/>
      <c r="DB20" s="52"/>
    </row>
    <row r="21" spans="1:106" ht="27" x14ac:dyDescent="0.25">
      <c r="A21" s="411">
        <v>19</v>
      </c>
      <c r="B21" s="412" t="s">
        <v>2936</v>
      </c>
      <c r="C21" s="561" t="s">
        <v>622</v>
      </c>
      <c r="D21" s="426" t="s">
        <v>2005</v>
      </c>
      <c r="E21" s="80">
        <v>1</v>
      </c>
      <c r="F21" s="356">
        <v>70385.168000000005</v>
      </c>
      <c r="G21" s="293"/>
      <c r="H21" s="293"/>
      <c r="I21" s="293"/>
      <c r="J21" s="52"/>
      <c r="K21" s="52"/>
      <c r="L21" s="359"/>
      <c r="M21" s="360"/>
      <c r="N21" s="33"/>
      <c r="O21" s="33"/>
      <c r="P21" s="252"/>
      <c r="Q21" s="113"/>
      <c r="R21" s="113"/>
      <c r="S21" s="113"/>
      <c r="T21" s="52"/>
      <c r="U21" s="5"/>
      <c r="V21" s="231"/>
      <c r="W21" s="231"/>
      <c r="X21" s="231"/>
      <c r="Y21" s="113"/>
      <c r="Z21" s="357"/>
      <c r="AA21" s="113" t="s">
        <v>2877</v>
      </c>
      <c r="AB21" s="113"/>
      <c r="AC21" s="113"/>
      <c r="AD21" s="52"/>
      <c r="AE21" s="5"/>
      <c r="AF21" s="358"/>
      <c r="AG21" s="358"/>
      <c r="AH21" s="358"/>
      <c r="AI21" s="358"/>
      <c r="AJ21" s="358"/>
      <c r="AK21" s="113"/>
      <c r="AL21" s="113"/>
      <c r="AM21" s="113"/>
      <c r="AN21" s="113"/>
      <c r="AO21" s="113"/>
      <c r="AP21" s="52"/>
      <c r="AQ21" s="52"/>
      <c r="AR21" s="52"/>
      <c r="AS21" s="52"/>
      <c r="AT21" s="52"/>
      <c r="AU21" s="125"/>
      <c r="AV21" s="125"/>
      <c r="AW21" s="125"/>
      <c r="AX21" s="5"/>
      <c r="AY21" s="5"/>
      <c r="AZ21" s="113"/>
      <c r="BA21" s="113"/>
      <c r="BB21" s="113"/>
      <c r="BC21" s="52"/>
      <c r="BD21" s="52"/>
      <c r="BE21" s="118"/>
      <c r="BF21" s="118"/>
      <c r="BG21" s="118"/>
      <c r="BH21" s="52"/>
      <c r="BI21" s="283"/>
      <c r="BJ21" s="52"/>
      <c r="BK21" s="52"/>
      <c r="BL21" s="52"/>
      <c r="BM21" s="52"/>
      <c r="BN21" s="52"/>
      <c r="BO21" s="52"/>
      <c r="BP21" s="52"/>
      <c r="BQ21" s="52"/>
      <c r="BR21" s="52"/>
      <c r="BS21" s="52"/>
      <c r="BT21" s="52"/>
      <c r="BU21" s="52"/>
      <c r="BV21" s="52"/>
      <c r="BW21" s="52"/>
      <c r="BX21" s="52"/>
      <c r="BY21" s="52"/>
      <c r="BZ21" s="52"/>
      <c r="CA21" s="52"/>
      <c r="CB21" s="52"/>
      <c r="CC21" s="52"/>
      <c r="CD21" s="118"/>
      <c r="CE21" s="52"/>
      <c r="CF21" s="52"/>
      <c r="CG21" s="52"/>
      <c r="CH21" s="52"/>
      <c r="CI21" s="52"/>
      <c r="CJ21" s="52"/>
      <c r="CK21" s="52"/>
      <c r="CL21" s="52"/>
      <c r="CM21" s="52"/>
      <c r="CN21" s="118"/>
      <c r="CO21" s="118"/>
      <c r="CP21" s="118"/>
      <c r="CQ21" s="52"/>
      <c r="CR21" s="52"/>
      <c r="CS21" s="52"/>
      <c r="CT21" s="52"/>
      <c r="CU21" s="52"/>
      <c r="CV21" s="52"/>
      <c r="CW21" s="52"/>
      <c r="CX21" s="52"/>
      <c r="CY21" s="52"/>
      <c r="CZ21" s="52"/>
      <c r="DA21" s="52"/>
      <c r="DB21" s="52"/>
    </row>
    <row r="22" spans="1:106" ht="13.5" x14ac:dyDescent="0.25">
      <c r="A22" s="411">
        <v>20</v>
      </c>
      <c r="B22" s="412" t="s">
        <v>2937</v>
      </c>
      <c r="C22" s="561" t="s">
        <v>622</v>
      </c>
      <c r="D22" s="426" t="s">
        <v>2938</v>
      </c>
      <c r="E22" s="80">
        <v>1</v>
      </c>
      <c r="F22" s="356">
        <v>28908.194</v>
      </c>
      <c r="G22" s="293"/>
      <c r="H22" s="293"/>
      <c r="I22" s="293"/>
      <c r="J22" s="52"/>
      <c r="K22" s="52"/>
      <c r="L22" s="359"/>
      <c r="M22" s="360"/>
      <c r="N22" s="33"/>
      <c r="O22" s="33"/>
      <c r="P22" s="252"/>
      <c r="Q22" s="113"/>
      <c r="R22" s="113"/>
      <c r="S22" s="113"/>
      <c r="T22" s="52"/>
      <c r="U22" s="5"/>
      <c r="V22" s="231"/>
      <c r="W22" s="231"/>
      <c r="X22" s="231"/>
      <c r="Y22" s="113"/>
      <c r="Z22" s="357"/>
      <c r="AA22" s="118" t="s">
        <v>2877</v>
      </c>
      <c r="AB22" s="118"/>
      <c r="AC22" s="118"/>
      <c r="AD22" s="52"/>
      <c r="AE22" s="5"/>
      <c r="AF22" s="113">
        <v>22000</v>
      </c>
      <c r="AG22" s="113">
        <v>4180</v>
      </c>
      <c r="AH22" s="113">
        <v>26180</v>
      </c>
      <c r="AI22" s="358" t="s">
        <v>2939</v>
      </c>
      <c r="AJ22" s="358">
        <v>1000751</v>
      </c>
      <c r="AK22" s="113"/>
      <c r="AL22" s="113"/>
      <c r="AM22" s="113"/>
      <c r="AN22" s="113"/>
      <c r="AO22" s="113"/>
      <c r="AP22" s="52"/>
      <c r="AQ22" s="52"/>
      <c r="AR22" s="52"/>
      <c r="AS22" s="52"/>
      <c r="AT22" s="52"/>
      <c r="AU22" s="125"/>
      <c r="AV22" s="125"/>
      <c r="AW22" s="125"/>
      <c r="AX22" s="5"/>
      <c r="AY22" s="5"/>
      <c r="AZ22" s="113">
        <v>36000</v>
      </c>
      <c r="BA22" s="113">
        <v>6840</v>
      </c>
      <c r="BB22" s="113">
        <v>42840</v>
      </c>
      <c r="BC22" s="52" t="s">
        <v>2940</v>
      </c>
      <c r="BD22" s="52" t="s">
        <v>2941</v>
      </c>
      <c r="BE22" s="118"/>
      <c r="BF22" s="118"/>
      <c r="BG22" s="118"/>
      <c r="BH22" s="52"/>
      <c r="BI22" s="283"/>
      <c r="BJ22" s="52"/>
      <c r="BK22" s="52"/>
      <c r="BL22" s="52"/>
      <c r="BM22" s="52"/>
      <c r="BN22" s="52"/>
      <c r="BO22" s="52"/>
      <c r="BP22" s="52"/>
      <c r="BQ22" s="52"/>
      <c r="BR22" s="52"/>
      <c r="BS22" s="52"/>
      <c r="BT22" s="52"/>
      <c r="BU22" s="52"/>
      <c r="BV22" s="52"/>
      <c r="BW22" s="52"/>
      <c r="BX22" s="52"/>
      <c r="BY22" s="52"/>
      <c r="BZ22" s="52"/>
      <c r="CA22" s="52"/>
      <c r="CB22" s="52"/>
      <c r="CC22" s="52"/>
      <c r="CD22" s="118"/>
      <c r="CE22" s="52"/>
      <c r="CF22" s="52"/>
      <c r="CG22" s="52"/>
      <c r="CH22" s="52"/>
      <c r="CI22" s="52"/>
      <c r="CJ22" s="52"/>
      <c r="CK22" s="52"/>
      <c r="CL22" s="52"/>
      <c r="CM22" s="52"/>
      <c r="CN22" s="118"/>
      <c r="CO22" s="118"/>
      <c r="CP22" s="118"/>
      <c r="CQ22" s="52"/>
      <c r="CR22" s="52"/>
      <c r="CS22" s="52"/>
      <c r="CT22" s="52"/>
      <c r="CU22" s="52"/>
      <c r="CV22" s="52"/>
      <c r="CW22" s="52"/>
      <c r="CX22" s="52"/>
      <c r="CY22" s="52"/>
      <c r="CZ22" s="52"/>
      <c r="DA22" s="52"/>
      <c r="DB22" s="52"/>
    </row>
    <row r="23" spans="1:106" ht="13.5" x14ac:dyDescent="0.25">
      <c r="A23" s="411">
        <v>21</v>
      </c>
      <c r="B23" s="412" t="s">
        <v>2942</v>
      </c>
      <c r="C23" s="561" t="s">
        <v>622</v>
      </c>
      <c r="D23" s="426" t="s">
        <v>445</v>
      </c>
      <c r="E23" s="80">
        <v>1</v>
      </c>
      <c r="F23" s="356">
        <v>3267.8827999999999</v>
      </c>
      <c r="G23" s="293">
        <v>3100</v>
      </c>
      <c r="H23" s="293">
        <v>589</v>
      </c>
      <c r="I23" s="293">
        <v>3689</v>
      </c>
      <c r="J23" s="52" t="s">
        <v>164</v>
      </c>
      <c r="K23" s="52" t="s">
        <v>2943</v>
      </c>
      <c r="L23" s="359"/>
      <c r="M23" s="360"/>
      <c r="N23" s="33"/>
      <c r="O23" s="33"/>
      <c r="P23" s="252"/>
      <c r="Q23" s="113"/>
      <c r="R23" s="113"/>
      <c r="S23" s="113"/>
      <c r="T23" s="52"/>
      <c r="U23" s="5"/>
      <c r="V23" s="231"/>
      <c r="W23" s="231"/>
      <c r="X23" s="231"/>
      <c r="Y23" s="113"/>
      <c r="Z23" s="357"/>
      <c r="AA23" s="118" t="s">
        <v>2877</v>
      </c>
      <c r="AB23" s="118"/>
      <c r="AC23" s="118"/>
      <c r="AD23" s="52"/>
      <c r="AE23" s="5"/>
      <c r="AF23" s="113">
        <v>3300</v>
      </c>
      <c r="AG23" s="113">
        <v>627</v>
      </c>
      <c r="AH23" s="113">
        <v>3927</v>
      </c>
      <c r="AI23" s="358" t="s">
        <v>2944</v>
      </c>
      <c r="AJ23" s="358" t="s">
        <v>2945</v>
      </c>
      <c r="AK23" s="113"/>
      <c r="AL23" s="113"/>
      <c r="AM23" s="113"/>
      <c r="AN23" s="113"/>
      <c r="AO23" s="113"/>
      <c r="AP23" s="52"/>
      <c r="AQ23" s="52"/>
      <c r="AR23" s="52"/>
      <c r="AS23" s="52"/>
      <c r="AT23" s="52"/>
      <c r="AU23" s="125"/>
      <c r="AV23" s="125"/>
      <c r="AW23" s="125"/>
      <c r="AX23" s="5"/>
      <c r="AY23" s="5"/>
      <c r="AZ23" s="113"/>
      <c r="BA23" s="113"/>
      <c r="BB23" s="113"/>
      <c r="BC23" s="52"/>
      <c r="BD23" s="52"/>
      <c r="BE23" s="118"/>
      <c r="BF23" s="118"/>
      <c r="BG23" s="118"/>
      <c r="BH23" s="52"/>
      <c r="BI23" s="283"/>
      <c r="BJ23" s="52"/>
      <c r="BK23" s="52"/>
      <c r="BL23" s="52"/>
      <c r="BM23" s="52"/>
      <c r="BN23" s="52"/>
      <c r="BO23" s="52"/>
      <c r="BP23" s="52"/>
      <c r="BQ23" s="52"/>
      <c r="BR23" s="52"/>
      <c r="BS23" s="52"/>
      <c r="BT23" s="52"/>
      <c r="BU23" s="52"/>
      <c r="BV23" s="52"/>
      <c r="BW23" s="52"/>
      <c r="BX23" s="52"/>
      <c r="BY23" s="52"/>
      <c r="BZ23" s="52"/>
      <c r="CA23" s="52"/>
      <c r="CB23" s="52"/>
      <c r="CC23" s="52"/>
      <c r="CD23" s="118"/>
      <c r="CE23" s="52"/>
      <c r="CF23" s="52"/>
      <c r="CG23" s="52"/>
      <c r="CH23" s="52"/>
      <c r="CI23" s="52"/>
      <c r="CJ23" s="52"/>
      <c r="CK23" s="52"/>
      <c r="CL23" s="52"/>
      <c r="CM23" s="52"/>
      <c r="CN23" s="118"/>
      <c r="CO23" s="118"/>
      <c r="CP23" s="118"/>
      <c r="CQ23" s="52"/>
      <c r="CR23" s="52"/>
      <c r="CS23" s="52"/>
      <c r="CT23" s="52"/>
      <c r="CU23" s="52"/>
      <c r="CV23" s="52"/>
      <c r="CW23" s="52"/>
      <c r="CX23" s="52"/>
      <c r="CY23" s="52"/>
      <c r="CZ23" s="52"/>
      <c r="DA23" s="52"/>
      <c r="DB23" s="52"/>
    </row>
    <row r="24" spans="1:106" ht="27" x14ac:dyDescent="0.25">
      <c r="A24" s="411">
        <v>22</v>
      </c>
      <c r="B24" s="412" t="s">
        <v>2946</v>
      </c>
      <c r="C24" s="561" t="s">
        <v>622</v>
      </c>
      <c r="D24" s="426" t="s">
        <v>2947</v>
      </c>
      <c r="E24" s="80">
        <v>1</v>
      </c>
      <c r="F24" s="356">
        <v>15082.536</v>
      </c>
      <c r="G24" s="293">
        <v>5700</v>
      </c>
      <c r="H24" s="293">
        <v>1083</v>
      </c>
      <c r="I24" s="293">
        <v>6783</v>
      </c>
      <c r="J24" s="52" t="s">
        <v>2948</v>
      </c>
      <c r="K24" s="52" t="s">
        <v>2949</v>
      </c>
      <c r="L24" s="359"/>
      <c r="M24" s="360"/>
      <c r="N24" s="33"/>
      <c r="O24" s="33"/>
      <c r="P24" s="252"/>
      <c r="Q24" s="113"/>
      <c r="R24" s="113"/>
      <c r="S24" s="113"/>
      <c r="T24" s="52"/>
      <c r="U24" s="5"/>
      <c r="V24" s="231">
        <v>4700</v>
      </c>
      <c r="W24" s="231">
        <f t="shared" si="0"/>
        <v>893</v>
      </c>
      <c r="X24" s="231">
        <f t="shared" ref="X24:X27" si="1">V24*1.19</f>
        <v>5593</v>
      </c>
      <c r="Y24" s="113" t="s">
        <v>2950</v>
      </c>
      <c r="Z24" s="357">
        <v>18288</v>
      </c>
      <c r="AA24" s="113">
        <v>303000</v>
      </c>
      <c r="AB24" s="113">
        <f>AA24*0.19</f>
        <v>57570</v>
      </c>
      <c r="AC24" s="113">
        <f>AA24+AB24</f>
        <v>360570</v>
      </c>
      <c r="AD24" s="52" t="s">
        <v>2121</v>
      </c>
      <c r="AE24" s="5" t="s">
        <v>2951</v>
      </c>
      <c r="AF24" s="113">
        <v>4900</v>
      </c>
      <c r="AG24" s="113">
        <v>931</v>
      </c>
      <c r="AH24" s="113">
        <v>5831</v>
      </c>
      <c r="AI24" s="358" t="s">
        <v>2948</v>
      </c>
      <c r="AJ24" s="358">
        <v>2651</v>
      </c>
      <c r="AK24" s="113"/>
      <c r="AL24" s="113"/>
      <c r="AM24" s="113"/>
      <c r="AN24" s="113"/>
      <c r="AO24" s="113"/>
      <c r="AP24" s="52"/>
      <c r="AQ24" s="52"/>
      <c r="AR24" s="52"/>
      <c r="AS24" s="52"/>
      <c r="AT24" s="52"/>
      <c r="AU24" s="125"/>
      <c r="AV24" s="125"/>
      <c r="AW24" s="125"/>
      <c r="AX24" s="5"/>
      <c r="AY24" s="5"/>
      <c r="AZ24" s="113">
        <v>775000</v>
      </c>
      <c r="BA24" s="113">
        <v>147250</v>
      </c>
      <c r="BB24" s="113">
        <v>922250</v>
      </c>
      <c r="BC24" s="52" t="s">
        <v>338</v>
      </c>
      <c r="BD24" s="52" t="s">
        <v>2952</v>
      </c>
      <c r="BE24" s="118"/>
      <c r="BF24" s="118"/>
      <c r="BG24" s="118"/>
      <c r="BH24" s="52"/>
      <c r="BI24" s="283"/>
      <c r="BJ24" s="52"/>
      <c r="BK24" s="52"/>
      <c r="BL24" s="52"/>
      <c r="BM24" s="52"/>
      <c r="BN24" s="52"/>
      <c r="BO24" s="52"/>
      <c r="BP24" s="52"/>
      <c r="BQ24" s="52"/>
      <c r="BR24" s="52"/>
      <c r="BS24" s="52"/>
      <c r="BT24" s="52"/>
      <c r="BU24" s="52"/>
      <c r="BV24" s="52"/>
      <c r="BW24" s="52"/>
      <c r="BX24" s="52"/>
      <c r="BY24" s="52"/>
      <c r="BZ24" s="52"/>
      <c r="CA24" s="52"/>
      <c r="CB24" s="52"/>
      <c r="CC24" s="52"/>
      <c r="CD24" s="118"/>
      <c r="CE24" s="52"/>
      <c r="CF24" s="52"/>
      <c r="CG24" s="52"/>
      <c r="CH24" s="52"/>
      <c r="CI24" s="52"/>
      <c r="CJ24" s="52"/>
      <c r="CK24" s="52"/>
      <c r="CL24" s="52"/>
      <c r="CM24" s="52"/>
      <c r="CN24" s="118"/>
      <c r="CO24" s="118"/>
      <c r="CP24" s="118"/>
      <c r="CQ24" s="52"/>
      <c r="CR24" s="52"/>
      <c r="CS24" s="52"/>
      <c r="CT24" s="52"/>
      <c r="CU24" s="52"/>
      <c r="CV24" s="52"/>
      <c r="CW24" s="52"/>
      <c r="CX24" s="52"/>
      <c r="CY24" s="52"/>
      <c r="CZ24" s="52"/>
      <c r="DA24" s="52"/>
      <c r="DB24" s="52"/>
    </row>
    <row r="25" spans="1:106" ht="13.5" x14ac:dyDescent="0.25">
      <c r="A25" s="411">
        <v>23</v>
      </c>
      <c r="B25" s="412" t="s">
        <v>2953</v>
      </c>
      <c r="C25" s="561" t="s">
        <v>622</v>
      </c>
      <c r="D25" s="426" t="s">
        <v>445</v>
      </c>
      <c r="E25" s="80">
        <v>1</v>
      </c>
      <c r="F25" s="356">
        <v>7918.3314</v>
      </c>
      <c r="G25" s="293"/>
      <c r="H25" s="293"/>
      <c r="I25" s="293"/>
      <c r="J25" s="52"/>
      <c r="K25" s="52"/>
      <c r="L25" s="359"/>
      <c r="M25" s="360"/>
      <c r="N25" s="33"/>
      <c r="O25" s="33"/>
      <c r="P25" s="252"/>
      <c r="Q25" s="113"/>
      <c r="R25" s="113"/>
      <c r="S25" s="113"/>
      <c r="T25" s="52"/>
      <c r="U25" s="5"/>
      <c r="V25" s="231"/>
      <c r="W25" s="231"/>
      <c r="X25" s="231"/>
      <c r="Y25" s="113"/>
      <c r="Z25" s="357"/>
      <c r="AA25" s="118" t="s">
        <v>2877</v>
      </c>
      <c r="AB25" s="118"/>
      <c r="AC25" s="118"/>
      <c r="AD25" s="52"/>
      <c r="AE25" s="5"/>
      <c r="AF25" s="358"/>
      <c r="AG25" s="358"/>
      <c r="AH25" s="358"/>
      <c r="AI25" s="358"/>
      <c r="AJ25" s="358"/>
      <c r="AK25" s="113"/>
      <c r="AL25" s="113"/>
      <c r="AM25" s="113"/>
      <c r="AN25" s="113"/>
      <c r="AO25" s="113"/>
      <c r="AP25" s="52"/>
      <c r="AQ25" s="52"/>
      <c r="AR25" s="52"/>
      <c r="AS25" s="52"/>
      <c r="AT25" s="52"/>
      <c r="AU25" s="125"/>
      <c r="AV25" s="125"/>
      <c r="AW25" s="125"/>
      <c r="AX25" s="5"/>
      <c r="AY25" s="5"/>
      <c r="AZ25" s="113"/>
      <c r="BA25" s="113"/>
      <c r="BB25" s="113"/>
      <c r="BC25" s="52"/>
      <c r="BD25" s="52"/>
      <c r="BE25" s="118"/>
      <c r="BF25" s="118"/>
      <c r="BG25" s="118"/>
      <c r="BH25" s="52"/>
      <c r="BI25" s="283"/>
      <c r="BJ25" s="52"/>
      <c r="BK25" s="52"/>
      <c r="BL25" s="52"/>
      <c r="BM25" s="52"/>
      <c r="BN25" s="52"/>
      <c r="BO25" s="52"/>
      <c r="BP25" s="52"/>
      <c r="BQ25" s="52"/>
      <c r="BR25" s="52"/>
      <c r="BS25" s="52"/>
      <c r="BT25" s="118"/>
      <c r="BU25" s="118"/>
      <c r="BV25" s="118"/>
      <c r="BW25" s="52"/>
      <c r="BX25" s="52"/>
      <c r="BY25" s="52"/>
      <c r="BZ25" s="52"/>
      <c r="CA25" s="52"/>
      <c r="CB25" s="52"/>
      <c r="CC25" s="52"/>
      <c r="CD25" s="118"/>
      <c r="CE25" s="52"/>
      <c r="CF25" s="52"/>
      <c r="CG25" s="52"/>
      <c r="CH25" s="52"/>
      <c r="CI25" s="52"/>
      <c r="CJ25" s="52"/>
      <c r="CK25" s="52"/>
      <c r="CL25" s="52"/>
      <c r="CM25" s="52"/>
      <c r="CN25" s="118"/>
      <c r="CO25" s="118"/>
      <c r="CP25" s="118"/>
      <c r="CQ25" s="52"/>
      <c r="CR25" s="52"/>
      <c r="CS25" s="52"/>
      <c r="CT25" s="52"/>
      <c r="CU25" s="52"/>
      <c r="CV25" s="52"/>
      <c r="CW25" s="52"/>
      <c r="CX25" s="52"/>
      <c r="CY25" s="52"/>
      <c r="CZ25" s="52"/>
      <c r="DA25" s="52"/>
      <c r="DB25" s="52"/>
    </row>
    <row r="26" spans="1:106" ht="13.5" x14ac:dyDescent="0.25">
      <c r="A26" s="411">
        <v>24</v>
      </c>
      <c r="B26" s="412" t="s">
        <v>2954</v>
      </c>
      <c r="C26" s="561" t="s">
        <v>622</v>
      </c>
      <c r="D26" s="426" t="s">
        <v>445</v>
      </c>
      <c r="E26" s="80">
        <v>1</v>
      </c>
      <c r="F26" s="356">
        <v>2262.3804</v>
      </c>
      <c r="G26" s="293">
        <v>3100</v>
      </c>
      <c r="H26" s="293">
        <v>589</v>
      </c>
      <c r="I26" s="293">
        <v>3689</v>
      </c>
      <c r="J26" s="52" t="s">
        <v>164</v>
      </c>
      <c r="K26" s="52" t="s">
        <v>2955</v>
      </c>
      <c r="L26" s="359"/>
      <c r="M26" s="360"/>
      <c r="N26" s="33"/>
      <c r="O26" s="33"/>
      <c r="P26" s="252"/>
      <c r="Q26" s="113"/>
      <c r="R26" s="113"/>
      <c r="S26" s="113"/>
      <c r="T26" s="52"/>
      <c r="U26" s="5"/>
      <c r="V26" s="231"/>
      <c r="W26" s="231"/>
      <c r="X26" s="231"/>
      <c r="Y26" s="113"/>
      <c r="Z26" s="357"/>
      <c r="AA26" s="118" t="s">
        <v>2877</v>
      </c>
      <c r="AB26" s="118"/>
      <c r="AC26" s="118"/>
      <c r="AD26" s="52"/>
      <c r="AE26" s="5"/>
      <c r="AF26" s="113">
        <v>17600</v>
      </c>
      <c r="AG26" s="113">
        <v>3344</v>
      </c>
      <c r="AH26" s="113">
        <v>20944</v>
      </c>
      <c r="AI26" s="358" t="s">
        <v>2956</v>
      </c>
      <c r="AJ26" s="358" t="s">
        <v>2957</v>
      </c>
      <c r="AK26" s="113"/>
      <c r="AL26" s="113"/>
      <c r="AM26" s="113"/>
      <c r="AN26" s="113"/>
      <c r="AO26" s="113"/>
      <c r="AP26" s="52"/>
      <c r="AQ26" s="52"/>
      <c r="AR26" s="52"/>
      <c r="AS26" s="52"/>
      <c r="AT26" s="52"/>
      <c r="AU26" s="125"/>
      <c r="AV26" s="125"/>
      <c r="AW26" s="125"/>
      <c r="AX26" s="5"/>
      <c r="AY26" s="5"/>
      <c r="AZ26" s="113"/>
      <c r="BA26" s="113"/>
      <c r="BB26" s="113"/>
      <c r="BC26" s="52"/>
      <c r="BD26" s="52"/>
      <c r="BE26" s="118"/>
      <c r="BF26" s="118"/>
      <c r="BG26" s="118"/>
      <c r="BH26" s="52"/>
      <c r="BI26" s="283"/>
      <c r="BJ26" s="52"/>
      <c r="BK26" s="52"/>
      <c r="BL26" s="52"/>
      <c r="BM26" s="52"/>
      <c r="BN26" s="52"/>
      <c r="BO26" s="52"/>
      <c r="BP26" s="52"/>
      <c r="BQ26" s="52"/>
      <c r="BR26" s="52"/>
      <c r="BS26" s="52"/>
      <c r="BT26" s="52"/>
      <c r="BU26" s="52"/>
      <c r="BV26" s="52"/>
      <c r="BW26" s="52"/>
      <c r="BX26" s="52"/>
      <c r="BY26" s="52"/>
      <c r="BZ26" s="52"/>
      <c r="CA26" s="52"/>
      <c r="CB26" s="52"/>
      <c r="CC26" s="52"/>
      <c r="CD26" s="118"/>
      <c r="CE26" s="52"/>
      <c r="CF26" s="52"/>
      <c r="CG26" s="52"/>
      <c r="CH26" s="52"/>
      <c r="CI26" s="52"/>
      <c r="CJ26" s="52"/>
      <c r="CK26" s="52"/>
      <c r="CL26" s="52"/>
      <c r="CM26" s="52"/>
      <c r="CN26" s="118"/>
      <c r="CO26" s="118"/>
      <c r="CP26" s="118"/>
      <c r="CQ26" s="52"/>
      <c r="CR26" s="52"/>
      <c r="CS26" s="52"/>
      <c r="CT26" s="52"/>
      <c r="CU26" s="52"/>
      <c r="CV26" s="52"/>
      <c r="CW26" s="52"/>
      <c r="CX26" s="52"/>
      <c r="CY26" s="52"/>
      <c r="CZ26" s="52"/>
      <c r="DA26" s="52"/>
      <c r="DB26" s="52"/>
    </row>
    <row r="27" spans="1:106" ht="13.5" x14ac:dyDescent="0.25">
      <c r="A27" s="411">
        <v>25</v>
      </c>
      <c r="B27" s="412" t="s">
        <v>2958</v>
      </c>
      <c r="C27" s="413" t="s">
        <v>2959</v>
      </c>
      <c r="D27" s="426" t="s">
        <v>2960</v>
      </c>
      <c r="E27" s="80">
        <v>1</v>
      </c>
      <c r="F27" s="356">
        <v>463787.98200000002</v>
      </c>
      <c r="G27" s="293"/>
      <c r="H27" s="293"/>
      <c r="I27" s="293"/>
      <c r="J27" s="52"/>
      <c r="K27" s="52"/>
      <c r="L27" s="359"/>
      <c r="M27" s="360"/>
      <c r="N27" s="33"/>
      <c r="O27" s="33"/>
      <c r="P27" s="252"/>
      <c r="Q27" s="113"/>
      <c r="R27" s="113"/>
      <c r="S27" s="113"/>
      <c r="T27" s="52"/>
      <c r="U27" s="5"/>
      <c r="V27" s="231">
        <v>235000</v>
      </c>
      <c r="W27" s="231">
        <f t="shared" si="0"/>
        <v>44650</v>
      </c>
      <c r="X27" s="231">
        <f t="shared" si="1"/>
        <v>279650</v>
      </c>
      <c r="Y27" s="113" t="s">
        <v>2950</v>
      </c>
      <c r="Z27" s="357">
        <v>18286</v>
      </c>
      <c r="AA27" s="113">
        <v>303000</v>
      </c>
      <c r="AB27" s="113">
        <f>AA27*0.19</f>
        <v>57570</v>
      </c>
      <c r="AC27" s="113">
        <f>AA27+AB27</f>
        <v>360570</v>
      </c>
      <c r="AD27" s="52" t="s">
        <v>2121</v>
      </c>
      <c r="AE27" s="5" t="s">
        <v>2961</v>
      </c>
      <c r="AF27" s="358"/>
      <c r="AG27" s="358"/>
      <c r="AH27" s="358"/>
      <c r="AI27" s="358"/>
      <c r="AJ27" s="358"/>
      <c r="AK27" s="113"/>
      <c r="AL27" s="113"/>
      <c r="AM27" s="113"/>
      <c r="AN27" s="113"/>
      <c r="AO27" s="113"/>
      <c r="AP27" s="52"/>
      <c r="AQ27" s="52"/>
      <c r="AR27" s="52"/>
      <c r="AS27" s="52"/>
      <c r="AT27" s="52"/>
      <c r="AU27" s="125"/>
      <c r="AV27" s="125"/>
      <c r="AW27" s="125"/>
      <c r="AX27" s="5"/>
      <c r="AY27" s="5"/>
      <c r="AZ27" s="113">
        <v>759000</v>
      </c>
      <c r="BA27" s="113">
        <v>144210</v>
      </c>
      <c r="BB27" s="113">
        <v>903210</v>
      </c>
      <c r="BC27" s="52" t="s">
        <v>2962</v>
      </c>
      <c r="BD27" s="52" t="s">
        <v>2963</v>
      </c>
      <c r="BE27" s="118"/>
      <c r="BF27" s="118"/>
      <c r="BG27" s="118"/>
      <c r="BH27" s="52"/>
      <c r="BI27" s="283"/>
      <c r="BJ27" s="52"/>
      <c r="BK27" s="52"/>
      <c r="BL27" s="52"/>
      <c r="BM27" s="52"/>
      <c r="BN27" s="52"/>
      <c r="BO27" s="52"/>
      <c r="BP27" s="52"/>
      <c r="BQ27" s="52"/>
      <c r="BR27" s="52"/>
      <c r="BS27" s="52"/>
      <c r="BT27" s="52"/>
      <c r="BU27" s="52"/>
      <c r="BV27" s="52"/>
      <c r="BW27" s="52"/>
      <c r="BX27" s="52"/>
      <c r="BY27" s="52"/>
      <c r="BZ27" s="52"/>
      <c r="CA27" s="52"/>
      <c r="CB27" s="52"/>
      <c r="CC27" s="52"/>
      <c r="CD27" s="118"/>
      <c r="CE27" s="52"/>
      <c r="CF27" s="52"/>
      <c r="CG27" s="52"/>
      <c r="CH27" s="52"/>
      <c r="CI27" s="52"/>
      <c r="CJ27" s="52"/>
      <c r="CK27" s="52"/>
      <c r="CL27" s="52"/>
      <c r="CM27" s="52"/>
      <c r="CN27" s="118"/>
      <c r="CO27" s="118"/>
      <c r="CP27" s="118"/>
      <c r="CQ27" s="52"/>
      <c r="CR27" s="52"/>
      <c r="CS27" s="52"/>
      <c r="CT27" s="52"/>
      <c r="CU27" s="52"/>
      <c r="CV27" s="52"/>
      <c r="CW27" s="52"/>
      <c r="CX27" s="52"/>
      <c r="CY27" s="52"/>
      <c r="CZ27" s="52"/>
      <c r="DA27" s="52"/>
      <c r="DB27" s="52"/>
    </row>
    <row r="28" spans="1:106" ht="27" x14ac:dyDescent="0.25">
      <c r="A28" s="411">
        <v>26</v>
      </c>
      <c r="B28" s="412" t="s">
        <v>2964</v>
      </c>
      <c r="C28" s="413" t="s">
        <v>2965</v>
      </c>
      <c r="D28" s="426" t="s">
        <v>2966</v>
      </c>
      <c r="E28" s="80">
        <v>1</v>
      </c>
      <c r="F28" s="356">
        <v>676200.36400000006</v>
      </c>
      <c r="G28" s="293"/>
      <c r="H28" s="293"/>
      <c r="I28" s="293"/>
      <c r="J28" s="52"/>
      <c r="K28" s="52"/>
      <c r="L28" s="359"/>
      <c r="M28" s="360"/>
      <c r="N28" s="33"/>
      <c r="O28" s="33"/>
      <c r="P28" s="252"/>
      <c r="Q28" s="113"/>
      <c r="R28" s="113"/>
      <c r="S28" s="113"/>
      <c r="T28" s="52"/>
      <c r="U28" s="5"/>
      <c r="V28" s="231"/>
      <c r="W28" s="231"/>
      <c r="X28" s="231"/>
      <c r="Y28" s="113"/>
      <c r="Z28" s="357"/>
      <c r="AA28" s="113">
        <v>469000</v>
      </c>
      <c r="AB28" s="113">
        <f>AA28*0.19</f>
        <v>89110</v>
      </c>
      <c r="AC28" s="113">
        <f>AA28+AB28</f>
        <v>558110</v>
      </c>
      <c r="AD28" s="52" t="s">
        <v>2121</v>
      </c>
      <c r="AE28" s="5" t="s">
        <v>2967</v>
      </c>
      <c r="AF28" s="358"/>
      <c r="AG28" s="358"/>
      <c r="AH28" s="358"/>
      <c r="AI28" s="358"/>
      <c r="AJ28" s="358"/>
      <c r="AK28" s="113"/>
      <c r="AL28" s="113"/>
      <c r="AM28" s="113"/>
      <c r="AN28" s="113"/>
      <c r="AO28" s="113"/>
      <c r="AP28" s="52"/>
      <c r="AQ28" s="52"/>
      <c r="AR28" s="52"/>
      <c r="AS28" s="52"/>
      <c r="AT28" s="52"/>
      <c r="AU28" s="125"/>
      <c r="AV28" s="125"/>
      <c r="AW28" s="125"/>
      <c r="AX28" s="5"/>
      <c r="AY28" s="5"/>
      <c r="AZ28" s="113">
        <v>1423000</v>
      </c>
      <c r="BA28" s="113">
        <v>270370</v>
      </c>
      <c r="BB28" s="113">
        <v>1693370</v>
      </c>
      <c r="BC28" s="52" t="s">
        <v>2962</v>
      </c>
      <c r="BD28" s="52" t="s">
        <v>2968</v>
      </c>
      <c r="BE28" s="118"/>
      <c r="BF28" s="118"/>
      <c r="BG28" s="118"/>
      <c r="BH28" s="52"/>
      <c r="BI28" s="283"/>
      <c r="BJ28" s="52"/>
      <c r="BK28" s="52"/>
      <c r="BL28" s="52"/>
      <c r="BM28" s="52"/>
      <c r="BN28" s="52"/>
      <c r="BO28" s="52"/>
      <c r="BP28" s="52"/>
      <c r="BQ28" s="52"/>
      <c r="BR28" s="52"/>
      <c r="BS28" s="52"/>
      <c r="BT28" s="52"/>
      <c r="BU28" s="52"/>
      <c r="BV28" s="52"/>
      <c r="BW28" s="52"/>
      <c r="BX28" s="52"/>
      <c r="BY28" s="52"/>
      <c r="BZ28" s="52"/>
      <c r="CA28" s="52"/>
      <c r="CB28" s="52"/>
      <c r="CC28" s="52"/>
      <c r="CD28" s="118"/>
      <c r="CE28" s="52"/>
      <c r="CF28" s="52"/>
      <c r="CG28" s="52"/>
      <c r="CH28" s="52"/>
      <c r="CI28" s="52"/>
      <c r="CJ28" s="52"/>
      <c r="CK28" s="52"/>
      <c r="CL28" s="52"/>
      <c r="CM28" s="52"/>
      <c r="CN28" s="118"/>
      <c r="CO28" s="118"/>
      <c r="CP28" s="118"/>
      <c r="CQ28" s="52"/>
      <c r="CR28" s="52"/>
      <c r="CS28" s="52"/>
      <c r="CT28" s="52"/>
      <c r="CU28" s="52"/>
      <c r="CV28" s="52"/>
      <c r="CW28" s="52"/>
      <c r="CX28" s="52"/>
      <c r="CY28" s="52"/>
      <c r="CZ28" s="52"/>
      <c r="DA28" s="52"/>
      <c r="DB28" s="52"/>
    </row>
    <row r="29" spans="1:106" ht="27" x14ac:dyDescent="0.25">
      <c r="A29" s="411">
        <v>27</v>
      </c>
      <c r="B29" s="412" t="s">
        <v>2969</v>
      </c>
      <c r="C29" s="413" t="s">
        <v>622</v>
      </c>
      <c r="D29" s="426" t="s">
        <v>445</v>
      </c>
      <c r="E29" s="80">
        <v>1</v>
      </c>
      <c r="F29" s="356">
        <v>8169.7070000000003</v>
      </c>
      <c r="G29" s="293"/>
      <c r="H29" s="293"/>
      <c r="I29" s="293"/>
      <c r="J29" s="52"/>
      <c r="K29" s="52"/>
      <c r="L29" s="359"/>
      <c r="M29" s="360"/>
      <c r="N29" s="33"/>
      <c r="O29" s="33"/>
      <c r="P29" s="252"/>
      <c r="Q29" s="113"/>
      <c r="R29" s="113"/>
      <c r="S29" s="113"/>
      <c r="T29" s="52"/>
      <c r="U29" s="5"/>
      <c r="V29" s="231"/>
      <c r="W29" s="231"/>
      <c r="X29" s="231"/>
      <c r="Y29" s="113"/>
      <c r="Z29" s="357"/>
      <c r="AA29" s="118" t="s">
        <v>2877</v>
      </c>
      <c r="AB29" s="118"/>
      <c r="AC29" s="118"/>
      <c r="AD29" s="52"/>
      <c r="AE29" s="5"/>
      <c r="AF29" s="358"/>
      <c r="AG29" s="358"/>
      <c r="AH29" s="358"/>
      <c r="AI29" s="358"/>
      <c r="AJ29" s="358"/>
      <c r="AK29" s="113"/>
      <c r="AL29" s="113"/>
      <c r="AM29" s="113"/>
      <c r="AN29" s="113"/>
      <c r="AO29" s="113"/>
      <c r="AP29" s="52"/>
      <c r="AQ29" s="52"/>
      <c r="AR29" s="52"/>
      <c r="AS29" s="52"/>
      <c r="AT29" s="52"/>
      <c r="AU29" s="125"/>
      <c r="AV29" s="125"/>
      <c r="AW29" s="125"/>
      <c r="AX29" s="5"/>
      <c r="AY29" s="5"/>
      <c r="AZ29" s="113">
        <v>12000</v>
      </c>
      <c r="BA29" s="113">
        <v>2280</v>
      </c>
      <c r="BB29" s="113">
        <v>14280</v>
      </c>
      <c r="BC29" s="52" t="s">
        <v>2970</v>
      </c>
      <c r="BD29" s="52" t="s">
        <v>2971</v>
      </c>
      <c r="BE29" s="118"/>
      <c r="BF29" s="118"/>
      <c r="BG29" s="118"/>
      <c r="BH29" s="52"/>
      <c r="BI29" s="283"/>
      <c r="BJ29" s="52"/>
      <c r="BK29" s="52"/>
      <c r="BL29" s="52"/>
      <c r="BM29" s="52"/>
      <c r="BN29" s="52"/>
      <c r="BO29" s="52"/>
      <c r="BP29" s="52"/>
      <c r="BQ29" s="52"/>
      <c r="BR29" s="52"/>
      <c r="BS29" s="52"/>
      <c r="BT29" s="52"/>
      <c r="BU29" s="52"/>
      <c r="BV29" s="52"/>
      <c r="BW29" s="52"/>
      <c r="BX29" s="52"/>
      <c r="BY29" s="52"/>
      <c r="BZ29" s="52"/>
      <c r="CA29" s="52"/>
      <c r="CB29" s="52"/>
      <c r="CC29" s="52"/>
      <c r="CD29" s="118"/>
      <c r="CE29" s="52"/>
      <c r="CF29" s="52"/>
      <c r="CG29" s="52"/>
      <c r="CH29" s="52"/>
      <c r="CI29" s="52"/>
      <c r="CJ29" s="52"/>
      <c r="CK29" s="52"/>
      <c r="CL29" s="52"/>
      <c r="CM29" s="52"/>
      <c r="CN29" s="118"/>
      <c r="CO29" s="118"/>
      <c r="CP29" s="118"/>
      <c r="CQ29" s="52"/>
      <c r="CR29" s="52"/>
      <c r="CS29" s="52"/>
      <c r="CT29" s="52"/>
      <c r="CU29" s="52"/>
      <c r="CV29" s="52"/>
      <c r="CW29" s="52"/>
      <c r="CX29" s="52"/>
      <c r="CY29" s="52"/>
      <c r="CZ29" s="52"/>
      <c r="DA29" s="52"/>
      <c r="DB29" s="52"/>
    </row>
    <row r="30" spans="1:106" ht="27" x14ac:dyDescent="0.25">
      <c r="A30" s="411">
        <v>28</v>
      </c>
      <c r="B30" s="412" t="s">
        <v>2972</v>
      </c>
      <c r="C30" s="413" t="s">
        <v>622</v>
      </c>
      <c r="D30" s="426" t="s">
        <v>445</v>
      </c>
      <c r="E30" s="80">
        <v>1</v>
      </c>
      <c r="F30" s="356">
        <v>6284.39</v>
      </c>
      <c r="G30" s="293"/>
      <c r="H30" s="293"/>
      <c r="I30" s="293"/>
      <c r="J30" s="52"/>
      <c r="K30" s="52"/>
      <c r="L30" s="359"/>
      <c r="M30" s="360"/>
      <c r="N30" s="33"/>
      <c r="O30" s="33"/>
      <c r="P30" s="252"/>
      <c r="Q30" s="113"/>
      <c r="R30" s="113"/>
      <c r="S30" s="113"/>
      <c r="T30" s="52"/>
      <c r="U30" s="5"/>
      <c r="V30" s="231"/>
      <c r="W30" s="231"/>
      <c r="X30" s="231"/>
      <c r="Y30" s="113"/>
      <c r="Z30" s="357"/>
      <c r="AA30" s="118" t="s">
        <v>2877</v>
      </c>
      <c r="AB30" s="118"/>
      <c r="AC30" s="118"/>
      <c r="AD30" s="52"/>
      <c r="AE30" s="5"/>
      <c r="AF30" s="358"/>
      <c r="AG30" s="358"/>
      <c r="AH30" s="358"/>
      <c r="AI30" s="358"/>
      <c r="AJ30" s="358"/>
      <c r="AK30" s="113"/>
      <c r="AL30" s="113"/>
      <c r="AM30" s="113"/>
      <c r="AN30" s="113"/>
      <c r="AO30" s="113"/>
      <c r="AP30" s="52"/>
      <c r="AQ30" s="52"/>
      <c r="AR30" s="52"/>
      <c r="AS30" s="52"/>
      <c r="AT30" s="52"/>
      <c r="AU30" s="125"/>
      <c r="AV30" s="125"/>
      <c r="AW30" s="125"/>
      <c r="AX30" s="5"/>
      <c r="AY30" s="5"/>
      <c r="AZ30" s="113">
        <v>15000</v>
      </c>
      <c r="BA30" s="113">
        <v>2850</v>
      </c>
      <c r="BB30" s="113">
        <v>17850</v>
      </c>
      <c r="BC30" s="52" t="s">
        <v>2970</v>
      </c>
      <c r="BD30" s="52" t="s">
        <v>2973</v>
      </c>
      <c r="BE30" s="118"/>
      <c r="BF30" s="118"/>
      <c r="BG30" s="118"/>
      <c r="BH30" s="52"/>
      <c r="BI30" s="283"/>
      <c r="BJ30" s="52"/>
      <c r="BK30" s="52"/>
      <c r="BL30" s="52"/>
      <c r="BM30" s="52"/>
      <c r="BN30" s="52"/>
      <c r="BO30" s="52"/>
      <c r="BP30" s="52"/>
      <c r="BQ30" s="52"/>
      <c r="BR30" s="52"/>
      <c r="BS30" s="52"/>
      <c r="BT30" s="52"/>
      <c r="BU30" s="52"/>
      <c r="BV30" s="52"/>
      <c r="BW30" s="52"/>
      <c r="BX30" s="52"/>
      <c r="BY30" s="52"/>
      <c r="BZ30" s="52"/>
      <c r="CA30" s="52"/>
      <c r="CB30" s="52"/>
      <c r="CC30" s="52"/>
      <c r="CD30" s="118"/>
      <c r="CE30" s="52"/>
      <c r="CF30" s="52"/>
      <c r="CG30" s="52"/>
      <c r="CH30" s="52"/>
      <c r="CI30" s="52"/>
      <c r="CJ30" s="52"/>
      <c r="CK30" s="52"/>
      <c r="CL30" s="52"/>
      <c r="CM30" s="52"/>
      <c r="CN30" s="118"/>
      <c r="CO30" s="118"/>
      <c r="CP30" s="118"/>
      <c r="CQ30" s="52"/>
      <c r="CR30" s="52"/>
      <c r="CS30" s="52"/>
      <c r="CT30" s="52"/>
      <c r="CU30" s="52"/>
      <c r="CV30" s="52"/>
      <c r="CW30" s="52"/>
      <c r="CX30" s="52"/>
      <c r="CY30" s="52"/>
      <c r="CZ30" s="52"/>
      <c r="DA30" s="52"/>
      <c r="DB30" s="52"/>
    </row>
    <row r="31" spans="1:106" ht="54" x14ac:dyDescent="0.25">
      <c r="A31" s="411">
        <v>29</v>
      </c>
      <c r="B31" s="412" t="s">
        <v>2974</v>
      </c>
      <c r="C31" s="426" t="s">
        <v>2975</v>
      </c>
      <c r="D31" s="426" t="s">
        <v>445</v>
      </c>
      <c r="E31" s="80">
        <v>1</v>
      </c>
      <c r="F31" s="356">
        <v>49018.241999999998</v>
      </c>
      <c r="G31" s="293">
        <v>48600</v>
      </c>
      <c r="H31" s="293">
        <v>9234</v>
      </c>
      <c r="I31" s="293">
        <v>57834</v>
      </c>
      <c r="J31" s="52" t="s">
        <v>2976</v>
      </c>
      <c r="K31" s="52" t="s">
        <v>2977</v>
      </c>
      <c r="L31" s="359"/>
      <c r="M31" s="360"/>
      <c r="N31" s="33"/>
      <c r="O31" s="33"/>
      <c r="P31" s="252"/>
      <c r="Q31" s="113"/>
      <c r="R31" s="113"/>
      <c r="S31" s="113"/>
      <c r="T31" s="52"/>
      <c r="U31" s="5"/>
      <c r="V31" s="231"/>
      <c r="W31" s="231"/>
      <c r="X31" s="231"/>
      <c r="Y31" s="113"/>
      <c r="Z31" s="357"/>
      <c r="AA31" s="118">
        <v>296000</v>
      </c>
      <c r="AB31" s="118">
        <f>AA31*0.19</f>
        <v>56240</v>
      </c>
      <c r="AC31" s="118">
        <f>AA31+AB31</f>
        <v>352240</v>
      </c>
      <c r="AD31" s="361" t="s">
        <v>126</v>
      </c>
      <c r="AE31" s="362" t="s">
        <v>2978</v>
      </c>
      <c r="AF31" s="113">
        <v>45350</v>
      </c>
      <c r="AG31" s="113">
        <v>8616.5</v>
      </c>
      <c r="AH31" s="113">
        <v>53966.5</v>
      </c>
      <c r="AI31" s="358" t="s">
        <v>2979</v>
      </c>
      <c r="AJ31" s="358">
        <v>2332182</v>
      </c>
      <c r="AK31" s="113">
        <v>33200</v>
      </c>
      <c r="AL31" s="113">
        <v>6308</v>
      </c>
      <c r="AM31" s="113">
        <v>39508</v>
      </c>
      <c r="AN31" s="113" t="s">
        <v>2980</v>
      </c>
      <c r="AO31" s="113">
        <v>246781052</v>
      </c>
      <c r="AP31" s="52"/>
      <c r="AQ31" s="52"/>
      <c r="AR31" s="52"/>
      <c r="AS31" s="52"/>
      <c r="AT31" s="52"/>
      <c r="AU31" s="125"/>
      <c r="AV31" s="125"/>
      <c r="AW31" s="125"/>
      <c r="AX31" s="5"/>
      <c r="AY31" s="5"/>
      <c r="AZ31" s="113">
        <v>62000</v>
      </c>
      <c r="BA31" s="113">
        <v>11780</v>
      </c>
      <c r="BB31" s="113">
        <v>73780</v>
      </c>
      <c r="BC31" s="52" t="s">
        <v>2925</v>
      </c>
      <c r="BD31" s="52" t="s">
        <v>2981</v>
      </c>
      <c r="BE31" s="118"/>
      <c r="BF31" s="118"/>
      <c r="BG31" s="118"/>
      <c r="BH31" s="52"/>
      <c r="BI31" s="283"/>
      <c r="BJ31" s="52"/>
      <c r="BK31" s="52"/>
      <c r="BL31" s="52"/>
      <c r="BM31" s="52"/>
      <c r="BN31" s="52"/>
      <c r="BO31" s="52"/>
      <c r="BP31" s="52"/>
      <c r="BQ31" s="52"/>
      <c r="BR31" s="52"/>
      <c r="BS31" s="52"/>
      <c r="BT31" s="52"/>
      <c r="BU31" s="52"/>
      <c r="BV31" s="52"/>
      <c r="BW31" s="52"/>
      <c r="BX31" s="52"/>
      <c r="BY31" s="52"/>
      <c r="BZ31" s="52"/>
      <c r="CA31" s="52"/>
      <c r="CB31" s="52"/>
      <c r="CC31" s="52"/>
      <c r="CD31" s="118"/>
      <c r="CE31" s="52"/>
      <c r="CF31" s="52"/>
      <c r="CG31" s="52"/>
      <c r="CH31" s="52"/>
      <c r="CI31" s="52"/>
      <c r="CJ31" s="52"/>
      <c r="CK31" s="52"/>
      <c r="CL31" s="52"/>
      <c r="CM31" s="52"/>
      <c r="CN31" s="118"/>
      <c r="CO31" s="118"/>
      <c r="CP31" s="118"/>
      <c r="CQ31" s="52"/>
      <c r="CR31" s="52"/>
      <c r="CS31" s="52"/>
      <c r="CT31" s="52"/>
      <c r="CU31" s="52"/>
      <c r="CV31" s="52"/>
      <c r="CW31" s="52"/>
      <c r="CX31" s="52"/>
      <c r="CY31" s="52"/>
      <c r="CZ31" s="52"/>
      <c r="DA31" s="52"/>
      <c r="DB31" s="52"/>
    </row>
    <row r="32" spans="1:106" ht="135" x14ac:dyDescent="0.25">
      <c r="A32" s="411">
        <v>30</v>
      </c>
      <c r="B32" s="415" t="s">
        <v>2982</v>
      </c>
      <c r="C32" s="561" t="s">
        <v>2975</v>
      </c>
      <c r="D32" s="562" t="s">
        <v>445</v>
      </c>
      <c r="E32" s="80">
        <v>1</v>
      </c>
      <c r="F32" s="356">
        <v>74155.801999999996</v>
      </c>
      <c r="G32" s="293">
        <v>57100</v>
      </c>
      <c r="H32" s="293">
        <v>10849</v>
      </c>
      <c r="I32" s="293">
        <v>67949</v>
      </c>
      <c r="J32" s="52" t="s">
        <v>2976</v>
      </c>
      <c r="K32" s="52" t="s">
        <v>2983</v>
      </c>
      <c r="L32" s="359"/>
      <c r="M32" s="360"/>
      <c r="N32" s="33"/>
      <c r="O32" s="33"/>
      <c r="P32" s="252"/>
      <c r="Q32" s="113"/>
      <c r="R32" s="113"/>
      <c r="S32" s="113"/>
      <c r="T32" s="52"/>
      <c r="U32" s="5"/>
      <c r="V32" s="231"/>
      <c r="W32" s="231"/>
      <c r="X32" s="231"/>
      <c r="Y32" s="113"/>
      <c r="Z32" s="357"/>
      <c r="AA32" s="118">
        <v>347000</v>
      </c>
      <c r="AB32" s="118">
        <f t="shared" ref="AB32:AB36" si="2">AA32*0.19</f>
        <v>65930</v>
      </c>
      <c r="AC32" s="118">
        <f t="shared" ref="AC32:AC36" si="3">AA32+AB32</f>
        <v>412930</v>
      </c>
      <c r="AD32" s="361" t="s">
        <v>126</v>
      </c>
      <c r="AE32" s="362" t="s">
        <v>2984</v>
      </c>
      <c r="AF32" s="113">
        <v>49100</v>
      </c>
      <c r="AG32" s="113">
        <v>9329</v>
      </c>
      <c r="AH32" s="113">
        <v>58429</v>
      </c>
      <c r="AI32" s="358" t="s">
        <v>2979</v>
      </c>
      <c r="AJ32" s="358">
        <v>2332242</v>
      </c>
      <c r="AK32" s="113">
        <v>53900</v>
      </c>
      <c r="AL32" s="113">
        <v>10241</v>
      </c>
      <c r="AM32" s="113">
        <v>64141</v>
      </c>
      <c r="AN32" s="113" t="s">
        <v>2980</v>
      </c>
      <c r="AO32" s="113">
        <v>246782451</v>
      </c>
      <c r="AP32" s="52"/>
      <c r="AQ32" s="52"/>
      <c r="AR32" s="52"/>
      <c r="AS32" s="52"/>
      <c r="AT32" s="52"/>
      <c r="AU32" s="125"/>
      <c r="AV32" s="125"/>
      <c r="AW32" s="125"/>
      <c r="AX32" s="5"/>
      <c r="AY32" s="5"/>
      <c r="AZ32" s="113">
        <v>86000</v>
      </c>
      <c r="BA32" s="113">
        <v>16340</v>
      </c>
      <c r="BB32" s="113">
        <v>102340</v>
      </c>
      <c r="BC32" s="52" t="s">
        <v>2925</v>
      </c>
      <c r="BD32" s="52" t="s">
        <v>2985</v>
      </c>
      <c r="BE32" s="118"/>
      <c r="BF32" s="118"/>
      <c r="BG32" s="118"/>
      <c r="BH32" s="52"/>
      <c r="BI32" s="283"/>
      <c r="BJ32" s="52"/>
      <c r="BK32" s="52"/>
      <c r="BL32" s="52"/>
      <c r="BM32" s="52"/>
      <c r="BN32" s="52"/>
      <c r="BO32" s="52"/>
      <c r="BP32" s="52"/>
      <c r="BQ32" s="52"/>
      <c r="BR32" s="52"/>
      <c r="BS32" s="52"/>
      <c r="BT32" s="52"/>
      <c r="BU32" s="52"/>
      <c r="BV32" s="52"/>
      <c r="BW32" s="52"/>
      <c r="BX32" s="52"/>
      <c r="BY32" s="52"/>
      <c r="BZ32" s="52"/>
      <c r="CA32" s="52"/>
      <c r="CB32" s="52"/>
      <c r="CC32" s="52"/>
      <c r="CD32" s="118"/>
      <c r="CE32" s="52"/>
      <c r="CF32" s="52"/>
      <c r="CG32" s="52"/>
      <c r="CH32" s="52"/>
      <c r="CI32" s="52"/>
      <c r="CJ32" s="52"/>
      <c r="CK32" s="52"/>
      <c r="CL32" s="52"/>
      <c r="CM32" s="52"/>
      <c r="CN32" s="118"/>
      <c r="CO32" s="118"/>
      <c r="CP32" s="118"/>
      <c r="CQ32" s="52"/>
      <c r="CR32" s="52"/>
      <c r="CS32" s="52"/>
      <c r="CT32" s="52"/>
      <c r="CU32" s="52"/>
      <c r="CV32" s="52"/>
      <c r="CW32" s="52"/>
      <c r="CX32" s="52"/>
      <c r="CY32" s="52"/>
      <c r="CZ32" s="52"/>
      <c r="DA32" s="52"/>
      <c r="DB32" s="52"/>
    </row>
    <row r="33" spans="1:106" ht="54" x14ac:dyDescent="0.25">
      <c r="A33" s="411">
        <v>31</v>
      </c>
      <c r="B33" s="415" t="s">
        <v>2986</v>
      </c>
      <c r="C33" s="413" t="s">
        <v>2975</v>
      </c>
      <c r="D33" s="426" t="s">
        <v>445</v>
      </c>
      <c r="E33" s="80">
        <v>1</v>
      </c>
      <c r="F33" s="356">
        <v>218696.772</v>
      </c>
      <c r="G33" s="293">
        <v>141400</v>
      </c>
      <c r="H33" s="293">
        <v>26866</v>
      </c>
      <c r="I33" s="293">
        <v>168266</v>
      </c>
      <c r="J33" s="52" t="s">
        <v>2987</v>
      </c>
      <c r="K33" s="52" t="s">
        <v>2988</v>
      </c>
      <c r="L33" s="359"/>
      <c r="M33" s="360"/>
      <c r="N33" s="33"/>
      <c r="O33" s="33"/>
      <c r="P33" s="252"/>
      <c r="Q33" s="113"/>
      <c r="R33" s="113"/>
      <c r="S33" s="113"/>
      <c r="T33" s="52"/>
      <c r="U33" s="5"/>
      <c r="V33" s="231"/>
      <c r="W33" s="231"/>
      <c r="X33" s="231"/>
      <c r="Y33" s="113"/>
      <c r="Z33" s="357"/>
      <c r="AA33" s="118">
        <v>1932000</v>
      </c>
      <c r="AB33" s="118">
        <f t="shared" si="2"/>
        <v>367080</v>
      </c>
      <c r="AC33" s="118">
        <f t="shared" si="3"/>
        <v>2299080</v>
      </c>
      <c r="AD33" s="361" t="s">
        <v>126</v>
      </c>
      <c r="AE33" s="362" t="s">
        <v>2989</v>
      </c>
      <c r="AF33" s="113">
        <v>122979</v>
      </c>
      <c r="AG33" s="113">
        <v>23366.010000000002</v>
      </c>
      <c r="AH33" s="113">
        <v>146345.01</v>
      </c>
      <c r="AI33" s="358" t="s">
        <v>2979</v>
      </c>
      <c r="AJ33" s="358">
        <v>2332292</v>
      </c>
      <c r="AK33" s="113">
        <v>90900</v>
      </c>
      <c r="AL33" s="113">
        <v>17271</v>
      </c>
      <c r="AM33" s="113">
        <v>108171</v>
      </c>
      <c r="AN33" s="113" t="s">
        <v>2980</v>
      </c>
      <c r="AO33" s="113">
        <v>246705458</v>
      </c>
      <c r="AP33" s="52"/>
      <c r="AQ33" s="52"/>
      <c r="AR33" s="52"/>
      <c r="AS33" s="52"/>
      <c r="AT33" s="52"/>
      <c r="AU33" s="125"/>
      <c r="AV33" s="125"/>
      <c r="AW33" s="125"/>
      <c r="AX33" s="5"/>
      <c r="AY33" s="5"/>
      <c r="AZ33" s="113">
        <v>189000</v>
      </c>
      <c r="BA33" s="113">
        <v>35910</v>
      </c>
      <c r="BB33" s="113">
        <v>224910</v>
      </c>
      <c r="BC33" s="52" t="s">
        <v>2925</v>
      </c>
      <c r="BD33" s="52" t="s">
        <v>2990</v>
      </c>
      <c r="BE33" s="118"/>
      <c r="BF33" s="118"/>
      <c r="BG33" s="118"/>
      <c r="BH33" s="52"/>
      <c r="BI33" s="283"/>
      <c r="BJ33" s="52"/>
      <c r="BK33" s="52"/>
      <c r="BL33" s="52"/>
      <c r="BM33" s="52"/>
      <c r="BN33" s="52"/>
      <c r="BO33" s="52"/>
      <c r="BP33" s="52"/>
      <c r="BQ33" s="52"/>
      <c r="BR33" s="52"/>
      <c r="BS33" s="52"/>
      <c r="BT33" s="52"/>
      <c r="BU33" s="52"/>
      <c r="BV33" s="52"/>
      <c r="BW33" s="52"/>
      <c r="BX33" s="52"/>
      <c r="BY33" s="52"/>
      <c r="BZ33" s="52"/>
      <c r="CA33" s="52"/>
      <c r="CB33" s="52"/>
      <c r="CC33" s="52"/>
      <c r="CD33" s="118"/>
      <c r="CE33" s="52"/>
      <c r="CF33" s="52"/>
      <c r="CG33" s="52"/>
      <c r="CH33" s="52"/>
      <c r="CI33" s="52"/>
      <c r="CJ33" s="52"/>
      <c r="CK33" s="52"/>
      <c r="CL33" s="52"/>
      <c r="CM33" s="52"/>
      <c r="CN33" s="118"/>
      <c r="CO33" s="118"/>
      <c r="CP33" s="118"/>
      <c r="CQ33" s="52"/>
      <c r="CR33" s="52"/>
      <c r="CS33" s="52"/>
      <c r="CT33" s="52"/>
      <c r="CU33" s="52"/>
      <c r="CV33" s="52"/>
      <c r="CW33" s="52"/>
      <c r="CX33" s="52"/>
      <c r="CY33" s="52"/>
      <c r="CZ33" s="52"/>
      <c r="DA33" s="52"/>
      <c r="DB33" s="52"/>
    </row>
    <row r="34" spans="1:106" ht="54" x14ac:dyDescent="0.25">
      <c r="A34" s="411">
        <v>32</v>
      </c>
      <c r="B34" s="415" t="s">
        <v>2991</v>
      </c>
      <c r="C34" s="413" t="s">
        <v>2975</v>
      </c>
      <c r="D34" s="426" t="s">
        <v>445</v>
      </c>
      <c r="E34" s="80">
        <v>1</v>
      </c>
      <c r="F34" s="356">
        <v>91752.093999999997</v>
      </c>
      <c r="G34" s="293">
        <v>64300</v>
      </c>
      <c r="H34" s="293">
        <v>12217</v>
      </c>
      <c r="I34" s="293">
        <v>76517</v>
      </c>
      <c r="J34" s="52" t="s">
        <v>2976</v>
      </c>
      <c r="K34" s="52" t="s">
        <v>2992</v>
      </c>
      <c r="L34" s="359"/>
      <c r="M34" s="360"/>
      <c r="N34" s="33"/>
      <c r="O34" s="33"/>
      <c r="P34" s="252"/>
      <c r="Q34" s="113"/>
      <c r="R34" s="113"/>
      <c r="S34" s="113"/>
      <c r="T34" s="52"/>
      <c r="U34" s="5"/>
      <c r="V34" s="231"/>
      <c r="W34" s="231"/>
      <c r="X34" s="231"/>
      <c r="Y34" s="113"/>
      <c r="Z34" s="357"/>
      <c r="AA34" s="118">
        <v>885000</v>
      </c>
      <c r="AB34" s="118">
        <f t="shared" si="2"/>
        <v>168150</v>
      </c>
      <c r="AC34" s="118">
        <f t="shared" si="3"/>
        <v>1053150</v>
      </c>
      <c r="AD34" s="361" t="s">
        <v>126</v>
      </c>
      <c r="AE34" s="362" t="s">
        <v>2993</v>
      </c>
      <c r="AF34" s="113">
        <v>57100</v>
      </c>
      <c r="AG34" s="113">
        <v>10849</v>
      </c>
      <c r="AH34" s="113">
        <v>67949</v>
      </c>
      <c r="AI34" s="358" t="s">
        <v>2979</v>
      </c>
      <c r="AJ34" s="358">
        <v>2332262</v>
      </c>
      <c r="AK34" s="113"/>
      <c r="AL34" s="113"/>
      <c r="AM34" s="113"/>
      <c r="AN34" s="113"/>
      <c r="AO34" s="113"/>
      <c r="AP34" s="52"/>
      <c r="AQ34" s="52"/>
      <c r="AR34" s="52"/>
      <c r="AS34" s="52"/>
      <c r="AT34" s="52"/>
      <c r="AU34" s="125"/>
      <c r="AV34" s="125"/>
      <c r="AW34" s="125"/>
      <c r="AX34" s="5"/>
      <c r="AY34" s="5"/>
      <c r="AZ34" s="113">
        <v>87000</v>
      </c>
      <c r="BA34" s="113">
        <v>16530</v>
      </c>
      <c r="BB34" s="113">
        <v>103530</v>
      </c>
      <c r="BC34" s="52" t="s">
        <v>2925</v>
      </c>
      <c r="BD34" s="52" t="s">
        <v>2994</v>
      </c>
      <c r="BE34" s="118"/>
      <c r="BF34" s="118"/>
      <c r="BG34" s="118"/>
      <c r="BH34" s="52"/>
      <c r="BI34" s="283"/>
      <c r="BJ34" s="52"/>
      <c r="BK34" s="52"/>
      <c r="BL34" s="52"/>
      <c r="BM34" s="52"/>
      <c r="BN34" s="52"/>
      <c r="BO34" s="52"/>
      <c r="BP34" s="52"/>
      <c r="BQ34" s="52"/>
      <c r="BR34" s="52"/>
      <c r="BS34" s="52"/>
      <c r="BT34" s="52"/>
      <c r="BU34" s="52"/>
      <c r="BV34" s="52"/>
      <c r="BW34" s="52"/>
      <c r="BX34" s="52"/>
      <c r="BY34" s="52"/>
      <c r="BZ34" s="52"/>
      <c r="CA34" s="52"/>
      <c r="CB34" s="52"/>
      <c r="CC34" s="52"/>
      <c r="CD34" s="118"/>
      <c r="CE34" s="52"/>
      <c r="CF34" s="52"/>
      <c r="CG34" s="52"/>
      <c r="CH34" s="52"/>
      <c r="CI34" s="52"/>
      <c r="CJ34" s="52"/>
      <c r="CK34" s="52"/>
      <c r="CL34" s="52"/>
      <c r="CM34" s="52"/>
      <c r="CN34" s="118"/>
      <c r="CO34" s="118"/>
      <c r="CP34" s="118"/>
      <c r="CQ34" s="52"/>
      <c r="CR34" s="52"/>
      <c r="CS34" s="52"/>
      <c r="CT34" s="52"/>
      <c r="CU34" s="52"/>
      <c r="CV34" s="52"/>
      <c r="CW34" s="52"/>
      <c r="CX34" s="52"/>
      <c r="CY34" s="52"/>
      <c r="CZ34" s="52"/>
      <c r="DA34" s="52"/>
      <c r="DB34" s="52"/>
    </row>
    <row r="35" spans="1:106" ht="94.5" x14ac:dyDescent="0.25">
      <c r="A35" s="411">
        <v>33</v>
      </c>
      <c r="B35" s="412" t="s">
        <v>2995</v>
      </c>
      <c r="C35" s="413" t="s">
        <v>2975</v>
      </c>
      <c r="D35" s="426" t="s">
        <v>445</v>
      </c>
      <c r="E35" s="80">
        <v>1</v>
      </c>
      <c r="F35" s="356">
        <v>64578.180400000005</v>
      </c>
      <c r="G35" s="293">
        <v>48600</v>
      </c>
      <c r="H35" s="293">
        <v>9234</v>
      </c>
      <c r="I35" s="293">
        <v>57834</v>
      </c>
      <c r="J35" s="52" t="s">
        <v>2976</v>
      </c>
      <c r="K35" s="52" t="s">
        <v>2996</v>
      </c>
      <c r="L35" s="359"/>
      <c r="M35" s="360"/>
      <c r="N35" s="33"/>
      <c r="O35" s="33"/>
      <c r="P35" s="252"/>
      <c r="Q35" s="113"/>
      <c r="R35" s="113"/>
      <c r="S35" s="113"/>
      <c r="T35" s="52"/>
      <c r="U35" s="5"/>
      <c r="V35" s="231"/>
      <c r="W35" s="231"/>
      <c r="X35" s="231"/>
      <c r="Y35" s="113"/>
      <c r="Z35" s="357"/>
      <c r="AA35" s="118">
        <v>306000</v>
      </c>
      <c r="AB35" s="118">
        <f t="shared" si="2"/>
        <v>58140</v>
      </c>
      <c r="AC35" s="118">
        <f t="shared" si="3"/>
        <v>364140</v>
      </c>
      <c r="AD35" s="361" t="s">
        <v>126</v>
      </c>
      <c r="AE35" s="362" t="s">
        <v>2997</v>
      </c>
      <c r="AF35" s="358"/>
      <c r="AG35" s="358"/>
      <c r="AH35" s="358"/>
      <c r="AI35" s="358"/>
      <c r="AJ35" s="358"/>
      <c r="AK35" s="113">
        <v>77400</v>
      </c>
      <c r="AL35" s="113">
        <v>14706</v>
      </c>
      <c r="AM35" s="113">
        <v>92106</v>
      </c>
      <c r="AN35" s="113" t="s">
        <v>2980</v>
      </c>
      <c r="AO35" s="113">
        <v>246761453</v>
      </c>
      <c r="AP35" s="52"/>
      <c r="AQ35" s="52"/>
      <c r="AR35" s="52"/>
      <c r="AS35" s="52"/>
      <c r="AT35" s="52"/>
      <c r="AU35" s="125"/>
      <c r="AV35" s="125"/>
      <c r="AW35" s="125"/>
      <c r="AX35" s="5"/>
      <c r="AY35" s="5"/>
      <c r="AZ35" s="113">
        <v>123000</v>
      </c>
      <c r="BA35" s="113">
        <v>23370</v>
      </c>
      <c r="BB35" s="113">
        <v>146370</v>
      </c>
      <c r="BC35" s="52" t="s">
        <v>2925</v>
      </c>
      <c r="BD35" s="52" t="s">
        <v>2998</v>
      </c>
      <c r="BE35" s="118"/>
      <c r="BF35" s="118"/>
      <c r="BG35" s="118"/>
      <c r="BH35" s="52"/>
      <c r="BI35" s="283"/>
      <c r="BJ35" s="52"/>
      <c r="BK35" s="52"/>
      <c r="BL35" s="52"/>
      <c r="BM35" s="52"/>
      <c r="BN35" s="52"/>
      <c r="BO35" s="52"/>
      <c r="BP35" s="52"/>
      <c r="BQ35" s="52"/>
      <c r="BR35" s="52"/>
      <c r="BS35" s="52"/>
      <c r="BT35" s="52"/>
      <c r="BU35" s="52"/>
      <c r="BV35" s="52"/>
      <c r="BW35" s="52"/>
      <c r="BX35" s="52"/>
      <c r="BY35" s="52"/>
      <c r="BZ35" s="52"/>
      <c r="CA35" s="52"/>
      <c r="CB35" s="52"/>
      <c r="CC35" s="52"/>
      <c r="CD35" s="118"/>
      <c r="CE35" s="52"/>
      <c r="CF35" s="52"/>
      <c r="CG35" s="52"/>
      <c r="CH35" s="52"/>
      <c r="CI35" s="52"/>
      <c r="CJ35" s="52"/>
      <c r="CK35" s="52"/>
      <c r="CL35" s="52"/>
      <c r="CM35" s="52"/>
      <c r="CN35" s="118"/>
      <c r="CO35" s="118"/>
      <c r="CP35" s="118"/>
      <c r="CQ35" s="52"/>
      <c r="CR35" s="52"/>
      <c r="CS35" s="52"/>
      <c r="CT35" s="52"/>
      <c r="CU35" s="52"/>
      <c r="CV35" s="52"/>
      <c r="CW35" s="52"/>
      <c r="CX35" s="52"/>
      <c r="CY35" s="52"/>
      <c r="CZ35" s="52"/>
      <c r="DA35" s="52"/>
      <c r="DB35" s="52"/>
    </row>
    <row r="36" spans="1:106" ht="54" x14ac:dyDescent="0.25">
      <c r="A36" s="411">
        <v>34</v>
      </c>
      <c r="B36" s="412" t="s">
        <v>2999</v>
      </c>
      <c r="C36" s="426" t="s">
        <v>2975</v>
      </c>
      <c r="D36" s="426" t="s">
        <v>445</v>
      </c>
      <c r="E36" s="80">
        <v>1</v>
      </c>
      <c r="F36" s="356">
        <v>674848.42800000007</v>
      </c>
      <c r="G36" s="293">
        <v>48600</v>
      </c>
      <c r="H36" s="293">
        <v>9234</v>
      </c>
      <c r="I36" s="293">
        <v>57834</v>
      </c>
      <c r="J36" s="52" t="s">
        <v>2976</v>
      </c>
      <c r="K36" s="52" t="s">
        <v>2996</v>
      </c>
      <c r="L36" s="359"/>
      <c r="M36" s="360"/>
      <c r="N36" s="33"/>
      <c r="O36" s="33"/>
      <c r="P36" s="252"/>
      <c r="Q36" s="113"/>
      <c r="R36" s="113"/>
      <c r="S36" s="113"/>
      <c r="T36" s="52"/>
      <c r="U36" s="5"/>
      <c r="V36" s="231"/>
      <c r="W36" s="231"/>
      <c r="X36" s="231"/>
      <c r="Y36" s="113"/>
      <c r="Z36" s="357"/>
      <c r="AA36" s="118">
        <v>306000</v>
      </c>
      <c r="AB36" s="118">
        <f t="shared" si="2"/>
        <v>58140</v>
      </c>
      <c r="AC36" s="118">
        <f t="shared" si="3"/>
        <v>364140</v>
      </c>
      <c r="AD36" s="361" t="s">
        <v>126</v>
      </c>
      <c r="AE36" s="362" t="s">
        <v>2997</v>
      </c>
      <c r="AF36" s="113">
        <v>42412</v>
      </c>
      <c r="AG36" s="113">
        <v>8058.28</v>
      </c>
      <c r="AH36" s="113">
        <v>50470.28</v>
      </c>
      <c r="AI36" s="358" t="s">
        <v>2979</v>
      </c>
      <c r="AJ36" s="358">
        <v>2332212</v>
      </c>
      <c r="AK36" s="113">
        <v>36200</v>
      </c>
      <c r="AL36" s="113">
        <v>6878</v>
      </c>
      <c r="AM36" s="113">
        <v>43078</v>
      </c>
      <c r="AN36" s="113" t="s">
        <v>2980</v>
      </c>
      <c r="AO36" s="113">
        <v>246781455</v>
      </c>
      <c r="AP36" s="52"/>
      <c r="AQ36" s="52"/>
      <c r="AR36" s="52"/>
      <c r="AS36" s="52"/>
      <c r="AT36" s="52"/>
      <c r="AU36" s="125"/>
      <c r="AV36" s="125"/>
      <c r="AW36" s="125"/>
      <c r="AX36" s="5"/>
      <c r="AY36" s="5"/>
      <c r="AZ36" s="113">
        <v>63000</v>
      </c>
      <c r="BA36" s="113">
        <v>11970</v>
      </c>
      <c r="BB36" s="113">
        <v>74970</v>
      </c>
      <c r="BC36" s="52" t="s">
        <v>2925</v>
      </c>
      <c r="BD36" s="52" t="s">
        <v>3000</v>
      </c>
      <c r="BE36" s="118"/>
      <c r="BF36" s="118"/>
      <c r="BG36" s="118"/>
      <c r="BH36" s="52"/>
      <c r="BI36" s="283"/>
      <c r="BJ36" s="52"/>
      <c r="BK36" s="52"/>
      <c r="BL36" s="52"/>
      <c r="BM36" s="52"/>
      <c r="BN36" s="52"/>
      <c r="BO36" s="52"/>
      <c r="BP36" s="52"/>
      <c r="BQ36" s="52"/>
      <c r="BR36" s="52"/>
      <c r="BS36" s="52"/>
      <c r="BT36" s="52"/>
      <c r="BU36" s="52"/>
      <c r="BV36" s="52"/>
      <c r="BW36" s="52"/>
      <c r="BX36" s="52"/>
      <c r="BY36" s="52"/>
      <c r="BZ36" s="52"/>
      <c r="CA36" s="52"/>
      <c r="CB36" s="52"/>
      <c r="CC36" s="52"/>
      <c r="CD36" s="118"/>
      <c r="CE36" s="52"/>
      <c r="CF36" s="52"/>
      <c r="CG36" s="52"/>
      <c r="CH36" s="52"/>
      <c r="CI36" s="52"/>
      <c r="CJ36" s="52"/>
      <c r="CK36" s="52"/>
      <c r="CL36" s="52"/>
      <c r="CM36" s="52"/>
      <c r="CN36" s="118"/>
      <c r="CO36" s="118"/>
      <c r="CP36" s="118"/>
      <c r="CQ36" s="52"/>
      <c r="CR36" s="52"/>
      <c r="CS36" s="52"/>
      <c r="CT36" s="52"/>
      <c r="CU36" s="52"/>
      <c r="CV36" s="52"/>
      <c r="CW36" s="52"/>
      <c r="CX36" s="52"/>
      <c r="CY36" s="52"/>
      <c r="CZ36" s="52"/>
      <c r="DA36" s="52"/>
      <c r="DB36" s="52"/>
    </row>
    <row r="37" spans="1:106" ht="94.5" x14ac:dyDescent="0.25">
      <c r="A37" s="411">
        <v>35</v>
      </c>
      <c r="B37" s="412" t="s">
        <v>3001</v>
      </c>
      <c r="C37" s="413" t="s">
        <v>2975</v>
      </c>
      <c r="D37" s="409" t="s">
        <v>445</v>
      </c>
      <c r="E37" s="80">
        <v>1</v>
      </c>
      <c r="F37" s="356">
        <v>86724.582000000009</v>
      </c>
      <c r="G37" s="293">
        <v>48600</v>
      </c>
      <c r="H37" s="293">
        <v>9234</v>
      </c>
      <c r="I37" s="293">
        <v>57834</v>
      </c>
      <c r="J37" s="52" t="s">
        <v>2976</v>
      </c>
      <c r="K37" s="52" t="s">
        <v>3002</v>
      </c>
      <c r="L37" s="359"/>
      <c r="M37" s="360"/>
      <c r="N37" s="33"/>
      <c r="O37" s="33"/>
      <c r="P37" s="252"/>
      <c r="Q37" s="113"/>
      <c r="R37" s="113"/>
      <c r="S37" s="113"/>
      <c r="T37" s="52"/>
      <c r="U37" s="5"/>
      <c r="V37" s="231"/>
      <c r="W37" s="231"/>
      <c r="X37" s="231"/>
      <c r="Y37" s="113"/>
      <c r="Z37" s="357"/>
      <c r="AA37" s="118" t="s">
        <v>2877</v>
      </c>
      <c r="AB37" s="118"/>
      <c r="AC37" s="118"/>
      <c r="AD37" s="52"/>
      <c r="AE37" s="5"/>
      <c r="AF37" s="358"/>
      <c r="AG37" s="358"/>
      <c r="AH37" s="358"/>
      <c r="AI37" s="358"/>
      <c r="AJ37" s="358"/>
      <c r="AK37" s="113">
        <v>75500</v>
      </c>
      <c r="AL37" s="113">
        <v>14345</v>
      </c>
      <c r="AM37" s="113">
        <v>89845</v>
      </c>
      <c r="AN37" s="113" t="s">
        <v>2980</v>
      </c>
      <c r="AO37" s="113">
        <v>246760954</v>
      </c>
      <c r="AP37" s="52"/>
      <c r="AQ37" s="52"/>
      <c r="AR37" s="52"/>
      <c r="AS37" s="52"/>
      <c r="AT37" s="52"/>
      <c r="AU37" s="125"/>
      <c r="AV37" s="125"/>
      <c r="AW37" s="125"/>
      <c r="AX37" s="5"/>
      <c r="AY37" s="5"/>
      <c r="AZ37" s="113">
        <v>146000</v>
      </c>
      <c r="BA37" s="113">
        <v>27740</v>
      </c>
      <c r="BB37" s="113">
        <v>173740</v>
      </c>
      <c r="BC37" s="52" t="s">
        <v>2925</v>
      </c>
      <c r="BD37" s="52" t="s">
        <v>3003</v>
      </c>
      <c r="BE37" s="118"/>
      <c r="BF37" s="118"/>
      <c r="BG37" s="118"/>
      <c r="BH37" s="52"/>
      <c r="BI37" s="283"/>
      <c r="BJ37" s="52"/>
      <c r="BK37" s="52"/>
      <c r="BL37" s="52"/>
      <c r="BM37" s="52"/>
      <c r="BN37" s="52"/>
      <c r="BO37" s="52"/>
      <c r="BP37" s="52"/>
      <c r="BQ37" s="52"/>
      <c r="BR37" s="52"/>
      <c r="BS37" s="52"/>
      <c r="BT37" s="52"/>
      <c r="BU37" s="52"/>
      <c r="BV37" s="52"/>
      <c r="BW37" s="52"/>
      <c r="BX37" s="52"/>
      <c r="BY37" s="52"/>
      <c r="BZ37" s="52"/>
      <c r="CA37" s="52"/>
      <c r="CB37" s="52"/>
      <c r="CC37" s="52"/>
      <c r="CD37" s="118"/>
      <c r="CE37" s="52"/>
      <c r="CF37" s="52"/>
      <c r="CG37" s="52"/>
      <c r="CH37" s="52"/>
      <c r="CI37" s="52"/>
      <c r="CJ37" s="52"/>
      <c r="CK37" s="52"/>
      <c r="CL37" s="52"/>
      <c r="CM37" s="52"/>
      <c r="CN37" s="118"/>
      <c r="CO37" s="118"/>
      <c r="CP37" s="118"/>
      <c r="CQ37" s="52"/>
      <c r="CR37" s="52"/>
      <c r="CS37" s="52"/>
      <c r="CT37" s="52"/>
      <c r="CU37" s="52"/>
      <c r="CV37" s="52"/>
      <c r="CW37" s="52"/>
      <c r="CX37" s="52"/>
      <c r="CY37" s="52"/>
      <c r="CZ37" s="52"/>
      <c r="DA37" s="52"/>
      <c r="DB37" s="52"/>
    </row>
    <row r="38" spans="1:106" ht="54" x14ac:dyDescent="0.25">
      <c r="A38" s="411">
        <v>36</v>
      </c>
      <c r="B38" s="412" t="s">
        <v>3004</v>
      </c>
      <c r="C38" s="413" t="s">
        <v>2975</v>
      </c>
      <c r="D38" s="426" t="s">
        <v>445</v>
      </c>
      <c r="E38" s="80">
        <v>1</v>
      </c>
      <c r="F38" s="356">
        <v>42495.150800000003</v>
      </c>
      <c r="G38" s="293">
        <v>51400</v>
      </c>
      <c r="H38" s="293">
        <v>9766</v>
      </c>
      <c r="I38" s="293">
        <v>61166</v>
      </c>
      <c r="J38" s="52" t="s">
        <v>2976</v>
      </c>
      <c r="K38" s="52" t="s">
        <v>3005</v>
      </c>
      <c r="L38" s="359"/>
      <c r="M38" s="360"/>
      <c r="N38" s="33"/>
      <c r="O38" s="33"/>
      <c r="P38" s="252"/>
      <c r="Q38" s="113"/>
      <c r="R38" s="113"/>
      <c r="S38" s="113"/>
      <c r="T38" s="52"/>
      <c r="U38" s="5"/>
      <c r="V38" s="231"/>
      <c r="W38" s="231"/>
      <c r="X38" s="231"/>
      <c r="Y38" s="113"/>
      <c r="Z38" s="357"/>
      <c r="AA38" s="118">
        <v>305000</v>
      </c>
      <c r="AB38" s="118">
        <f t="shared" ref="AB38:AB41" si="4">AA38*0.19</f>
        <v>57950</v>
      </c>
      <c r="AC38" s="118">
        <f t="shared" ref="AC38:AC41" si="5">AA38+AB38</f>
        <v>362950</v>
      </c>
      <c r="AD38" s="361" t="s">
        <v>126</v>
      </c>
      <c r="AE38" s="362" t="s">
        <v>3006</v>
      </c>
      <c r="AF38" s="113">
        <v>44030</v>
      </c>
      <c r="AG38" s="113">
        <v>8365.7000000000007</v>
      </c>
      <c r="AH38" s="113">
        <v>52395.7</v>
      </c>
      <c r="AI38" s="358" t="s">
        <v>2979</v>
      </c>
      <c r="AJ38" s="358">
        <v>2332222</v>
      </c>
      <c r="AK38" s="113">
        <v>48700</v>
      </c>
      <c r="AL38" s="113">
        <v>9253</v>
      </c>
      <c r="AM38" s="113">
        <v>57953</v>
      </c>
      <c r="AN38" s="113" t="s">
        <v>2980</v>
      </c>
      <c r="AO38" s="113">
        <v>246781755</v>
      </c>
      <c r="AP38" s="52"/>
      <c r="AQ38" s="52"/>
      <c r="AR38" s="52"/>
      <c r="AS38" s="52"/>
      <c r="AT38" s="52"/>
      <c r="AU38" s="125"/>
      <c r="AV38" s="125"/>
      <c r="AW38" s="125"/>
      <c r="AX38" s="5"/>
      <c r="AY38" s="5"/>
      <c r="AZ38" s="113">
        <v>70000</v>
      </c>
      <c r="BA38" s="113">
        <v>13300</v>
      </c>
      <c r="BB38" s="113">
        <v>83300</v>
      </c>
      <c r="BC38" s="52" t="s">
        <v>2925</v>
      </c>
      <c r="BD38" s="52" t="s">
        <v>3007</v>
      </c>
      <c r="BE38" s="118"/>
      <c r="BF38" s="118"/>
      <c r="BG38" s="118"/>
      <c r="BH38" s="52"/>
      <c r="BI38" s="283"/>
      <c r="BJ38" s="52"/>
      <c r="BK38" s="52"/>
      <c r="BL38" s="52"/>
      <c r="BM38" s="52"/>
      <c r="BN38" s="52"/>
      <c r="BO38" s="52"/>
      <c r="BP38" s="52"/>
      <c r="BQ38" s="52"/>
      <c r="BR38" s="52"/>
      <c r="BS38" s="52"/>
      <c r="BT38" s="52"/>
      <c r="BU38" s="52"/>
      <c r="BV38" s="52"/>
      <c r="BW38" s="52"/>
      <c r="BX38" s="52"/>
      <c r="BY38" s="52"/>
      <c r="BZ38" s="52"/>
      <c r="CA38" s="52"/>
      <c r="CB38" s="52"/>
      <c r="CC38" s="52"/>
      <c r="CD38" s="118"/>
      <c r="CE38" s="52"/>
      <c r="CF38" s="52"/>
      <c r="CG38" s="52"/>
      <c r="CH38" s="52"/>
      <c r="CI38" s="52"/>
      <c r="CJ38" s="52"/>
      <c r="CK38" s="52"/>
      <c r="CL38" s="52"/>
      <c r="CM38" s="52"/>
      <c r="CN38" s="118"/>
      <c r="CO38" s="118"/>
      <c r="CP38" s="118"/>
      <c r="CQ38" s="52"/>
      <c r="CR38" s="52"/>
      <c r="CS38" s="52"/>
      <c r="CT38" s="52"/>
      <c r="CU38" s="52"/>
      <c r="CV38" s="52"/>
      <c r="CW38" s="52"/>
      <c r="CX38" s="52"/>
      <c r="CY38" s="52"/>
      <c r="CZ38" s="52"/>
      <c r="DA38" s="52"/>
      <c r="DB38" s="52"/>
    </row>
    <row r="39" spans="1:106" ht="40.5" x14ac:dyDescent="0.25">
      <c r="A39" s="411">
        <v>37</v>
      </c>
      <c r="B39" s="409" t="s">
        <v>3008</v>
      </c>
      <c r="C39" s="413" t="s">
        <v>2975</v>
      </c>
      <c r="D39" s="409" t="s">
        <v>196</v>
      </c>
      <c r="E39" s="80">
        <v>1</v>
      </c>
      <c r="F39" s="80"/>
      <c r="G39" s="293">
        <v>64300</v>
      </c>
      <c r="H39" s="293">
        <v>12217</v>
      </c>
      <c r="I39" s="293">
        <v>76517</v>
      </c>
      <c r="J39" s="52" t="s">
        <v>2976</v>
      </c>
      <c r="K39" s="52" t="s">
        <v>2992</v>
      </c>
      <c r="L39" s="359"/>
      <c r="M39" s="360"/>
      <c r="N39" s="33"/>
      <c r="O39" s="33"/>
      <c r="P39" s="252"/>
      <c r="Q39" s="113"/>
      <c r="R39" s="113"/>
      <c r="S39" s="113"/>
      <c r="T39" s="52"/>
      <c r="U39" s="5"/>
      <c r="V39" s="231"/>
      <c r="W39" s="231"/>
      <c r="X39" s="231"/>
      <c r="Y39" s="113"/>
      <c r="Z39" s="357"/>
      <c r="AA39" s="118">
        <v>885000</v>
      </c>
      <c r="AB39" s="118">
        <f t="shared" si="4"/>
        <v>168150</v>
      </c>
      <c r="AC39" s="118">
        <f t="shared" si="5"/>
        <v>1053150</v>
      </c>
      <c r="AD39" s="361" t="s">
        <v>126</v>
      </c>
      <c r="AE39" s="362" t="s">
        <v>2993</v>
      </c>
      <c r="AF39" s="358"/>
      <c r="AG39" s="358"/>
      <c r="AH39" s="358"/>
      <c r="AI39" s="358"/>
      <c r="AJ39" s="358"/>
      <c r="AK39" s="113">
        <v>60000</v>
      </c>
      <c r="AL39" s="113">
        <v>11400</v>
      </c>
      <c r="AM39" s="113">
        <v>71400</v>
      </c>
      <c r="AN39" s="113" t="s">
        <v>2980</v>
      </c>
      <c r="AO39" s="113">
        <v>246783259</v>
      </c>
      <c r="AP39" s="52"/>
      <c r="AQ39" s="52"/>
      <c r="AR39" s="52"/>
      <c r="AS39" s="52"/>
      <c r="AT39" s="52"/>
      <c r="AU39" s="125"/>
      <c r="AV39" s="125"/>
      <c r="AW39" s="125"/>
      <c r="AX39" s="5"/>
      <c r="AY39" s="5"/>
      <c r="AZ39" s="113">
        <v>97000</v>
      </c>
      <c r="BA39" s="113">
        <v>18430</v>
      </c>
      <c r="BB39" s="113">
        <v>115430</v>
      </c>
      <c r="BC39" s="52" t="s">
        <v>2925</v>
      </c>
      <c r="BD39" s="52" t="s">
        <v>3009</v>
      </c>
      <c r="BE39" s="118"/>
      <c r="BF39" s="118"/>
      <c r="BG39" s="118"/>
      <c r="BH39" s="52"/>
      <c r="BI39" s="283"/>
      <c r="BJ39" s="52"/>
      <c r="BK39" s="52"/>
      <c r="BL39" s="52"/>
      <c r="BM39" s="52"/>
      <c r="BN39" s="52"/>
      <c r="BO39" s="52"/>
      <c r="BP39" s="52"/>
      <c r="BQ39" s="52"/>
      <c r="BR39" s="52"/>
      <c r="BS39" s="52"/>
      <c r="BT39" s="52"/>
      <c r="BU39" s="52"/>
      <c r="BV39" s="52"/>
      <c r="BW39" s="52"/>
      <c r="BX39" s="52"/>
      <c r="BY39" s="52"/>
      <c r="BZ39" s="52"/>
      <c r="CA39" s="52"/>
      <c r="CB39" s="52"/>
      <c r="CC39" s="52"/>
      <c r="CD39" s="118"/>
      <c r="CE39" s="52"/>
      <c r="CF39" s="52"/>
      <c r="CG39" s="52"/>
      <c r="CH39" s="52"/>
      <c r="CI39" s="52"/>
      <c r="CJ39" s="52"/>
      <c r="CK39" s="52"/>
      <c r="CL39" s="52"/>
      <c r="CM39" s="52"/>
      <c r="CN39" s="118"/>
      <c r="CO39" s="118"/>
      <c r="CP39" s="118"/>
      <c r="CQ39" s="52"/>
      <c r="CR39" s="52"/>
      <c r="CS39" s="52"/>
      <c r="CT39" s="52"/>
      <c r="CU39" s="52"/>
      <c r="CV39" s="52"/>
      <c r="CW39" s="52"/>
      <c r="CX39" s="52"/>
      <c r="CY39" s="52"/>
      <c r="CZ39" s="52"/>
      <c r="DA39" s="52"/>
      <c r="DB39" s="52"/>
    </row>
    <row r="40" spans="1:106" ht="40.5" x14ac:dyDescent="0.25">
      <c r="A40" s="411">
        <v>38</v>
      </c>
      <c r="B40" s="409" t="s">
        <v>3010</v>
      </c>
      <c r="C40" s="413" t="s">
        <v>2975</v>
      </c>
      <c r="D40" s="409" t="s">
        <v>196</v>
      </c>
      <c r="E40" s="80">
        <v>1</v>
      </c>
      <c r="F40" s="80"/>
      <c r="G40" s="293">
        <v>72900</v>
      </c>
      <c r="H40" s="293">
        <v>13851</v>
      </c>
      <c r="I40" s="293">
        <v>86751</v>
      </c>
      <c r="J40" s="52" t="s">
        <v>2976</v>
      </c>
      <c r="K40" s="52" t="s">
        <v>3011</v>
      </c>
      <c r="L40" s="359"/>
      <c r="M40" s="360"/>
      <c r="N40" s="33"/>
      <c r="O40" s="33"/>
      <c r="P40" s="252"/>
      <c r="Q40" s="113"/>
      <c r="R40" s="113"/>
      <c r="S40" s="113"/>
      <c r="T40" s="52"/>
      <c r="U40" s="5"/>
      <c r="V40" s="231"/>
      <c r="W40" s="231"/>
      <c r="X40" s="231"/>
      <c r="Y40" s="113"/>
      <c r="Z40" s="357"/>
      <c r="AA40" s="118">
        <v>347000</v>
      </c>
      <c r="AB40" s="118">
        <f t="shared" si="4"/>
        <v>65930</v>
      </c>
      <c r="AC40" s="118">
        <f t="shared" si="5"/>
        <v>412930</v>
      </c>
      <c r="AD40" s="361" t="s">
        <v>126</v>
      </c>
      <c r="AE40" s="362" t="s">
        <v>3012</v>
      </c>
      <c r="AF40" s="358"/>
      <c r="AG40" s="358"/>
      <c r="AH40" s="358"/>
      <c r="AI40" s="358"/>
      <c r="AJ40" s="358"/>
      <c r="AK40" s="113">
        <v>58600</v>
      </c>
      <c r="AL40" s="113">
        <v>11134</v>
      </c>
      <c r="AM40" s="113">
        <v>69734</v>
      </c>
      <c r="AN40" s="113" t="s">
        <v>2980</v>
      </c>
      <c r="AO40" s="113">
        <v>246783653</v>
      </c>
      <c r="AP40" s="52"/>
      <c r="AQ40" s="52"/>
      <c r="AR40" s="52"/>
      <c r="AS40" s="52"/>
      <c r="AT40" s="52"/>
      <c r="AU40" s="125"/>
      <c r="AV40" s="125"/>
      <c r="AW40" s="125"/>
      <c r="AX40" s="5"/>
      <c r="AY40" s="5"/>
      <c r="AZ40" s="113">
        <v>100000</v>
      </c>
      <c r="BA40" s="113">
        <v>19000</v>
      </c>
      <c r="BB40" s="113">
        <v>119000</v>
      </c>
      <c r="BC40" s="52" t="s">
        <v>2925</v>
      </c>
      <c r="BD40" s="52" t="s">
        <v>3013</v>
      </c>
      <c r="BE40" s="118"/>
      <c r="BF40" s="118"/>
      <c r="BG40" s="118"/>
      <c r="BH40" s="52"/>
      <c r="BI40" s="283"/>
      <c r="BJ40" s="52"/>
      <c r="BK40" s="52"/>
      <c r="BL40" s="52"/>
      <c r="BM40" s="52"/>
      <c r="BN40" s="52"/>
      <c r="BO40" s="52"/>
      <c r="BP40" s="52"/>
      <c r="BQ40" s="52"/>
      <c r="BR40" s="52"/>
      <c r="BS40" s="52"/>
      <c r="BT40" s="52"/>
      <c r="BU40" s="52"/>
      <c r="BV40" s="52"/>
      <c r="BW40" s="52"/>
      <c r="BX40" s="52"/>
      <c r="BY40" s="52"/>
      <c r="BZ40" s="52"/>
      <c r="CA40" s="52"/>
      <c r="CB40" s="52"/>
      <c r="CC40" s="52"/>
      <c r="CD40" s="118"/>
      <c r="CE40" s="52"/>
      <c r="CF40" s="52"/>
      <c r="CG40" s="52"/>
      <c r="CH40" s="52"/>
      <c r="CI40" s="52"/>
      <c r="CJ40" s="52"/>
      <c r="CK40" s="52"/>
      <c r="CL40" s="52"/>
      <c r="CM40" s="52"/>
      <c r="CN40" s="118"/>
      <c r="CO40" s="118"/>
      <c r="CP40" s="118"/>
      <c r="CQ40" s="52"/>
      <c r="CR40" s="52"/>
      <c r="CS40" s="52"/>
      <c r="CT40" s="52"/>
      <c r="CU40" s="52"/>
      <c r="CV40" s="52"/>
      <c r="CW40" s="52"/>
      <c r="CX40" s="52"/>
      <c r="CY40" s="52"/>
      <c r="CZ40" s="52"/>
      <c r="DA40" s="52"/>
      <c r="DB40" s="52"/>
    </row>
    <row r="41" spans="1:106" ht="67.5" x14ac:dyDescent="0.25">
      <c r="A41" s="411">
        <v>39</v>
      </c>
      <c r="B41" s="412" t="s">
        <v>3014</v>
      </c>
      <c r="C41" s="413" t="s">
        <v>2975</v>
      </c>
      <c r="D41" s="409" t="s">
        <v>445</v>
      </c>
      <c r="E41" s="80">
        <v>1</v>
      </c>
      <c r="F41" s="80"/>
      <c r="G41" s="293">
        <v>142900</v>
      </c>
      <c r="H41" s="293">
        <v>27151</v>
      </c>
      <c r="I41" s="293">
        <v>170051</v>
      </c>
      <c r="J41" s="52" t="s">
        <v>2976</v>
      </c>
      <c r="K41" s="52" t="s">
        <v>3015</v>
      </c>
      <c r="L41" s="359"/>
      <c r="M41" s="360"/>
      <c r="N41" s="33"/>
      <c r="O41" s="33"/>
      <c r="P41" s="252"/>
      <c r="Q41" s="113"/>
      <c r="R41" s="113"/>
      <c r="S41" s="113"/>
      <c r="T41" s="52"/>
      <c r="U41" s="5"/>
      <c r="V41" s="231"/>
      <c r="W41" s="231"/>
      <c r="X41" s="231"/>
      <c r="Y41" s="113"/>
      <c r="Z41" s="357"/>
      <c r="AA41" s="118">
        <v>1932000</v>
      </c>
      <c r="AB41" s="118">
        <f t="shared" si="4"/>
        <v>367080</v>
      </c>
      <c r="AC41" s="118">
        <f t="shared" si="5"/>
        <v>2299080</v>
      </c>
      <c r="AD41" s="361" t="s">
        <v>126</v>
      </c>
      <c r="AE41" s="362" t="s">
        <v>2989</v>
      </c>
      <c r="AF41" s="358"/>
      <c r="AG41" s="358"/>
      <c r="AH41" s="358"/>
      <c r="AI41" s="358"/>
      <c r="AJ41" s="358"/>
      <c r="AK41" s="113">
        <v>110000</v>
      </c>
      <c r="AL41" s="113">
        <v>20900</v>
      </c>
      <c r="AM41" s="113">
        <v>130900</v>
      </c>
      <c r="AN41" s="113" t="s">
        <v>2980</v>
      </c>
      <c r="AO41" s="113">
        <v>246785457</v>
      </c>
      <c r="AP41" s="52"/>
      <c r="AQ41" s="52"/>
      <c r="AR41" s="52"/>
      <c r="AS41" s="52"/>
      <c r="AT41" s="52"/>
      <c r="AU41" s="125"/>
      <c r="AV41" s="125"/>
      <c r="AW41" s="125"/>
      <c r="AX41" s="5"/>
      <c r="AY41" s="5"/>
      <c r="AZ41" s="113">
        <v>424000</v>
      </c>
      <c r="BA41" s="113">
        <v>80560</v>
      </c>
      <c r="BB41" s="113">
        <v>504560</v>
      </c>
      <c r="BC41" s="52" t="s">
        <v>2925</v>
      </c>
      <c r="BD41" s="52" t="s">
        <v>3016</v>
      </c>
      <c r="BE41" s="118"/>
      <c r="BF41" s="118"/>
      <c r="BG41" s="118"/>
      <c r="BH41" s="52"/>
      <c r="BI41" s="283"/>
      <c r="BJ41" s="52"/>
      <c r="BK41" s="52"/>
      <c r="BL41" s="52"/>
      <c r="BM41" s="52"/>
      <c r="BN41" s="52"/>
      <c r="BO41" s="52"/>
      <c r="BP41" s="52"/>
      <c r="BQ41" s="52"/>
      <c r="BR41" s="52"/>
      <c r="BS41" s="52"/>
      <c r="BT41" s="52"/>
      <c r="BU41" s="52"/>
      <c r="BV41" s="52"/>
      <c r="BW41" s="52"/>
      <c r="BX41" s="52"/>
      <c r="BY41" s="52"/>
      <c r="BZ41" s="52"/>
      <c r="CA41" s="52"/>
      <c r="CB41" s="52"/>
      <c r="CC41" s="52"/>
      <c r="CD41" s="118"/>
      <c r="CE41" s="52"/>
      <c r="CF41" s="52"/>
      <c r="CG41" s="52"/>
      <c r="CH41" s="52"/>
      <c r="CI41" s="52"/>
      <c r="CJ41" s="52"/>
      <c r="CK41" s="52"/>
      <c r="CL41" s="52"/>
      <c r="CM41" s="52"/>
      <c r="CN41" s="118"/>
      <c r="CO41" s="118"/>
      <c r="CP41" s="118"/>
      <c r="CQ41" s="52"/>
      <c r="CR41" s="52"/>
      <c r="CS41" s="52"/>
      <c r="CT41" s="52"/>
      <c r="CU41" s="52"/>
      <c r="CV41" s="52"/>
      <c r="CW41" s="52"/>
      <c r="CX41" s="52"/>
      <c r="CY41" s="52"/>
      <c r="CZ41" s="52"/>
      <c r="DA41" s="52"/>
      <c r="DB41" s="52"/>
    </row>
    <row r="42" spans="1:106" ht="81" x14ac:dyDescent="0.25">
      <c r="A42" s="411">
        <v>40</v>
      </c>
      <c r="B42" s="412" t="s">
        <v>3017</v>
      </c>
      <c r="C42" s="413" t="s">
        <v>2975</v>
      </c>
      <c r="D42" s="426" t="s">
        <v>445</v>
      </c>
      <c r="E42" s="80">
        <v>1</v>
      </c>
      <c r="F42" s="356">
        <v>296691.86100000003</v>
      </c>
      <c r="G42" s="293">
        <v>228600</v>
      </c>
      <c r="H42" s="293">
        <v>43434</v>
      </c>
      <c r="I42" s="293">
        <v>272034</v>
      </c>
      <c r="J42" s="52" t="s">
        <v>2976</v>
      </c>
      <c r="K42" s="52" t="s">
        <v>3018</v>
      </c>
      <c r="L42" s="359"/>
      <c r="M42" s="360"/>
      <c r="N42" s="33"/>
      <c r="O42" s="33"/>
      <c r="P42" s="252"/>
      <c r="Q42" s="113"/>
      <c r="R42" s="113"/>
      <c r="S42" s="113"/>
      <c r="T42" s="52"/>
      <c r="U42" s="5"/>
      <c r="V42" s="231"/>
      <c r="W42" s="231"/>
      <c r="X42" s="231"/>
      <c r="Y42" s="113"/>
      <c r="Z42" s="357"/>
      <c r="AA42" s="118" t="s">
        <v>2877</v>
      </c>
      <c r="AB42" s="118"/>
      <c r="AC42" s="118"/>
      <c r="AD42" s="52"/>
      <c r="AE42" s="5"/>
      <c r="AF42" s="358"/>
      <c r="AG42" s="358"/>
      <c r="AH42" s="358"/>
      <c r="AI42" s="358"/>
      <c r="AJ42" s="358"/>
      <c r="AK42" s="113">
        <v>144000</v>
      </c>
      <c r="AL42" s="113">
        <v>27360</v>
      </c>
      <c r="AM42" s="113">
        <v>171360</v>
      </c>
      <c r="AN42" s="113" t="s">
        <v>2980</v>
      </c>
      <c r="AO42" s="113">
        <v>246786359</v>
      </c>
      <c r="AP42" s="52"/>
      <c r="AQ42" s="52"/>
      <c r="AR42" s="52"/>
      <c r="AS42" s="52"/>
      <c r="AT42" s="52"/>
      <c r="AU42" s="125"/>
      <c r="AV42" s="125"/>
      <c r="AW42" s="125"/>
      <c r="AX42" s="5"/>
      <c r="AY42" s="5"/>
      <c r="AZ42" s="113">
        <v>494000</v>
      </c>
      <c r="BA42" s="113">
        <v>93860</v>
      </c>
      <c r="BB42" s="113">
        <v>587860</v>
      </c>
      <c r="BC42" s="52" t="s">
        <v>2925</v>
      </c>
      <c r="BD42" s="52" t="s">
        <v>3019</v>
      </c>
      <c r="BE42" s="118"/>
      <c r="BF42" s="118"/>
      <c r="BG42" s="118"/>
      <c r="BH42" s="52"/>
      <c r="BI42" s="283"/>
      <c r="BJ42" s="52"/>
      <c r="BK42" s="52"/>
      <c r="BL42" s="52"/>
      <c r="BM42" s="52"/>
      <c r="BN42" s="52"/>
      <c r="BO42" s="52"/>
      <c r="BP42" s="52"/>
      <c r="BQ42" s="52"/>
      <c r="BR42" s="52"/>
      <c r="BS42" s="52"/>
      <c r="BT42" s="52"/>
      <c r="BU42" s="52"/>
      <c r="BV42" s="52"/>
      <c r="BW42" s="52"/>
      <c r="BX42" s="52"/>
      <c r="BY42" s="52"/>
      <c r="BZ42" s="52"/>
      <c r="CA42" s="52"/>
      <c r="CB42" s="52"/>
      <c r="CC42" s="52"/>
      <c r="CD42" s="118"/>
      <c r="CE42" s="52"/>
      <c r="CF42" s="52"/>
      <c r="CG42" s="52"/>
      <c r="CH42" s="52"/>
      <c r="CI42" s="52"/>
      <c r="CJ42" s="52"/>
      <c r="CK42" s="52"/>
      <c r="CL42" s="52"/>
      <c r="CM42" s="52"/>
      <c r="CN42" s="118"/>
      <c r="CO42" s="118"/>
      <c r="CP42" s="118"/>
      <c r="CQ42" s="52"/>
      <c r="CR42" s="52"/>
      <c r="CS42" s="52"/>
      <c r="CT42" s="52"/>
      <c r="CU42" s="52"/>
      <c r="CV42" s="52"/>
      <c r="CW42" s="52"/>
      <c r="CX42" s="52"/>
      <c r="CY42" s="52"/>
      <c r="CZ42" s="52"/>
      <c r="DA42" s="52"/>
      <c r="DB42" s="52"/>
    </row>
    <row r="43" spans="1:106" ht="54" x14ac:dyDescent="0.25">
      <c r="A43" s="411">
        <v>41</v>
      </c>
      <c r="B43" s="413" t="s">
        <v>3020</v>
      </c>
      <c r="C43" s="413" t="s">
        <v>622</v>
      </c>
      <c r="D43" s="409" t="s">
        <v>445</v>
      </c>
      <c r="E43" s="80">
        <v>1</v>
      </c>
      <c r="F43" s="356">
        <v>31057.561000000002</v>
      </c>
      <c r="G43" s="293"/>
      <c r="H43" s="293"/>
      <c r="I43" s="293"/>
      <c r="J43" s="52"/>
      <c r="K43" s="52"/>
      <c r="L43" s="359"/>
      <c r="M43" s="360"/>
      <c r="N43" s="33"/>
      <c r="O43" s="33"/>
      <c r="P43" s="252"/>
      <c r="Q43" s="113"/>
      <c r="R43" s="113"/>
      <c r="S43" s="113"/>
      <c r="T43" s="52"/>
      <c r="U43" s="5"/>
      <c r="V43" s="231"/>
      <c r="W43" s="231"/>
      <c r="X43" s="231"/>
      <c r="Y43" s="113"/>
      <c r="Z43" s="357"/>
      <c r="AA43" s="118" t="s">
        <v>2877</v>
      </c>
      <c r="AB43" s="118"/>
      <c r="AC43" s="118"/>
      <c r="AD43" s="52"/>
      <c r="AE43" s="5"/>
      <c r="AF43" s="358"/>
      <c r="AG43" s="358"/>
      <c r="AH43" s="358"/>
      <c r="AI43" s="358"/>
      <c r="AJ43" s="358"/>
      <c r="AK43" s="113">
        <v>58600</v>
      </c>
      <c r="AL43" s="113">
        <v>11134</v>
      </c>
      <c r="AM43" s="113">
        <v>69734</v>
      </c>
      <c r="AN43" s="113" t="s">
        <v>2980</v>
      </c>
      <c r="AO43" s="113">
        <v>246783653</v>
      </c>
      <c r="AP43" s="52"/>
      <c r="AQ43" s="52"/>
      <c r="AR43" s="52"/>
      <c r="AS43" s="52"/>
      <c r="AT43" s="52"/>
      <c r="AU43" s="125"/>
      <c r="AV43" s="125"/>
      <c r="AW43" s="125"/>
      <c r="AX43" s="5"/>
      <c r="AY43" s="5"/>
      <c r="AZ43" s="113"/>
      <c r="BA43" s="113"/>
      <c r="BB43" s="113"/>
      <c r="BC43" s="52"/>
      <c r="BD43" s="52"/>
      <c r="BE43" s="118"/>
      <c r="BF43" s="118"/>
      <c r="BG43" s="118"/>
      <c r="BH43" s="52"/>
      <c r="BI43" s="283"/>
      <c r="BJ43" s="52"/>
      <c r="BK43" s="52"/>
      <c r="BL43" s="52"/>
      <c r="BM43" s="52"/>
      <c r="BN43" s="52"/>
      <c r="BO43" s="52"/>
      <c r="BP43" s="52"/>
      <c r="BQ43" s="52"/>
      <c r="BR43" s="52"/>
      <c r="BS43" s="52"/>
      <c r="BT43" s="52"/>
      <c r="BU43" s="52"/>
      <c r="BV43" s="52"/>
      <c r="BW43" s="52"/>
      <c r="BX43" s="52"/>
      <c r="BY43" s="52"/>
      <c r="BZ43" s="52"/>
      <c r="CA43" s="52"/>
      <c r="CB43" s="52"/>
      <c r="CC43" s="52"/>
      <c r="CD43" s="118"/>
      <c r="CE43" s="52"/>
      <c r="CF43" s="52"/>
      <c r="CG43" s="52"/>
      <c r="CH43" s="52"/>
      <c r="CI43" s="52"/>
      <c r="CJ43" s="52"/>
      <c r="CK43" s="52"/>
      <c r="CL43" s="52"/>
      <c r="CM43" s="52"/>
      <c r="CN43" s="118"/>
      <c r="CO43" s="118"/>
      <c r="CP43" s="118"/>
      <c r="CQ43" s="52"/>
      <c r="CR43" s="52"/>
      <c r="CS43" s="52"/>
      <c r="CT43" s="52"/>
      <c r="CU43" s="52"/>
      <c r="CV43" s="52"/>
      <c r="CW43" s="52"/>
      <c r="CX43" s="52"/>
      <c r="CY43" s="52"/>
      <c r="CZ43" s="52"/>
      <c r="DA43" s="52"/>
      <c r="DB43" s="52"/>
    </row>
    <row r="44" spans="1:106" ht="40.5" x14ac:dyDescent="0.25">
      <c r="A44" s="411">
        <v>42</v>
      </c>
      <c r="B44" s="412" t="s">
        <v>3021</v>
      </c>
      <c r="C44" s="413" t="s">
        <v>622</v>
      </c>
      <c r="D44" s="426" t="s">
        <v>445</v>
      </c>
      <c r="E44" s="80">
        <v>1</v>
      </c>
      <c r="F44" s="356">
        <v>81948.445600000006</v>
      </c>
      <c r="G44" s="293"/>
      <c r="H44" s="293"/>
      <c r="I44" s="293"/>
      <c r="J44" s="52"/>
      <c r="K44" s="52"/>
      <c r="L44" s="359"/>
      <c r="M44" s="360"/>
      <c r="N44" s="33"/>
      <c r="O44" s="33"/>
      <c r="P44" s="252"/>
      <c r="Q44" s="113"/>
      <c r="R44" s="113"/>
      <c r="S44" s="113"/>
      <c r="T44" s="52"/>
      <c r="U44" s="5"/>
      <c r="V44" s="231"/>
      <c r="W44" s="231"/>
      <c r="X44" s="231"/>
      <c r="Y44" s="113"/>
      <c r="Z44" s="357"/>
      <c r="AA44" s="118" t="s">
        <v>2877</v>
      </c>
      <c r="AB44" s="118"/>
      <c r="AC44" s="118"/>
      <c r="AD44" s="52"/>
      <c r="AE44" s="5"/>
      <c r="AF44" s="358"/>
      <c r="AG44" s="358"/>
      <c r="AH44" s="358"/>
      <c r="AI44" s="358"/>
      <c r="AJ44" s="358"/>
      <c r="AK44" s="113"/>
      <c r="AL44" s="113"/>
      <c r="AM44" s="113"/>
      <c r="AN44" s="113"/>
      <c r="AO44" s="113"/>
      <c r="AP44" s="52"/>
      <c r="AQ44" s="52"/>
      <c r="AR44" s="52"/>
      <c r="AS44" s="52"/>
      <c r="AT44" s="52"/>
      <c r="AU44" s="125"/>
      <c r="AV44" s="125"/>
      <c r="AW44" s="125"/>
      <c r="AX44" s="5"/>
      <c r="AY44" s="5"/>
      <c r="AZ44" s="113"/>
      <c r="BA44" s="113"/>
      <c r="BB44" s="113"/>
      <c r="BC44" s="52"/>
      <c r="BD44" s="52"/>
      <c r="BE44" s="118"/>
      <c r="BF44" s="118"/>
      <c r="BG44" s="118"/>
      <c r="BH44" s="52"/>
      <c r="BI44" s="283"/>
      <c r="BJ44" s="52"/>
      <c r="BK44" s="52"/>
      <c r="BL44" s="52"/>
      <c r="BM44" s="52"/>
      <c r="BN44" s="52"/>
      <c r="BO44" s="52"/>
      <c r="BP44" s="52"/>
      <c r="BQ44" s="52"/>
      <c r="BR44" s="52"/>
      <c r="BS44" s="52"/>
      <c r="BT44" s="118">
        <f>+BV44/1.19</f>
        <v>93293.277310924372</v>
      </c>
      <c r="BU44" s="118">
        <f>+BT44*0.19</f>
        <v>17725.722689075632</v>
      </c>
      <c r="BV44" s="118">
        <v>111019</v>
      </c>
      <c r="BW44" s="52" t="s">
        <v>1307</v>
      </c>
      <c r="BX44" s="52">
        <v>1001988</v>
      </c>
      <c r="BY44" s="52"/>
      <c r="BZ44" s="52"/>
      <c r="CA44" s="52"/>
      <c r="CB44" s="52"/>
      <c r="CC44" s="52"/>
      <c r="CD44" s="118"/>
      <c r="CE44" s="52"/>
      <c r="CF44" s="52"/>
      <c r="CG44" s="52"/>
      <c r="CH44" s="52"/>
      <c r="CI44" s="52"/>
      <c r="CJ44" s="52"/>
      <c r="CK44" s="52"/>
      <c r="CL44" s="52"/>
      <c r="CM44" s="52"/>
      <c r="CN44" s="118"/>
      <c r="CO44" s="118"/>
      <c r="CP44" s="118"/>
      <c r="CQ44" s="52"/>
      <c r="CR44" s="52"/>
      <c r="CS44" s="52"/>
      <c r="CT44" s="52"/>
      <c r="CU44" s="52"/>
      <c r="CV44" s="52"/>
      <c r="CW44" s="52"/>
      <c r="CX44" s="52"/>
      <c r="CY44" s="52"/>
      <c r="CZ44" s="52"/>
      <c r="DA44" s="52"/>
      <c r="DB44" s="52"/>
    </row>
    <row r="45" spans="1:106" ht="40.5" x14ac:dyDescent="0.25">
      <c r="A45" s="411">
        <v>43</v>
      </c>
      <c r="B45" s="412" t="s">
        <v>3022</v>
      </c>
      <c r="C45" s="413" t="s">
        <v>622</v>
      </c>
      <c r="D45" s="426" t="s">
        <v>445</v>
      </c>
      <c r="E45" s="80">
        <v>1</v>
      </c>
      <c r="F45" s="356">
        <v>123174.04400000001</v>
      </c>
      <c r="G45" s="293"/>
      <c r="H45" s="293"/>
      <c r="I45" s="293"/>
      <c r="J45" s="52"/>
      <c r="K45" s="52"/>
      <c r="L45" s="359"/>
      <c r="M45" s="360"/>
      <c r="N45" s="33"/>
      <c r="O45" s="33"/>
      <c r="P45" s="252"/>
      <c r="Q45" s="113"/>
      <c r="R45" s="113"/>
      <c r="S45" s="113"/>
      <c r="T45" s="52"/>
      <c r="U45" s="5"/>
      <c r="V45" s="231"/>
      <c r="W45" s="231"/>
      <c r="X45" s="231"/>
      <c r="Y45" s="113"/>
      <c r="Z45" s="357"/>
      <c r="AA45" s="118" t="s">
        <v>2877</v>
      </c>
      <c r="AB45" s="118"/>
      <c r="AC45" s="118"/>
      <c r="AD45" s="52"/>
      <c r="AE45" s="5"/>
      <c r="AF45" s="358"/>
      <c r="AG45" s="358"/>
      <c r="AH45" s="358"/>
      <c r="AI45" s="358"/>
      <c r="AJ45" s="358"/>
      <c r="AK45" s="113"/>
      <c r="AL45" s="113"/>
      <c r="AM45" s="113"/>
      <c r="AN45" s="113"/>
      <c r="AO45" s="113"/>
      <c r="AP45" s="52"/>
      <c r="AQ45" s="52"/>
      <c r="AR45" s="52"/>
      <c r="AS45" s="52"/>
      <c r="AT45" s="52"/>
      <c r="AU45" s="125"/>
      <c r="AV45" s="125"/>
      <c r="AW45" s="125"/>
      <c r="AX45" s="5"/>
      <c r="AY45" s="5"/>
      <c r="AZ45" s="113"/>
      <c r="BA45" s="113"/>
      <c r="BB45" s="113"/>
      <c r="BC45" s="52"/>
      <c r="BD45" s="52"/>
      <c r="BE45" s="118"/>
      <c r="BF45" s="118"/>
      <c r="BG45" s="118"/>
      <c r="BH45" s="52"/>
      <c r="BI45" s="283"/>
      <c r="BJ45" s="52"/>
      <c r="BK45" s="52"/>
      <c r="BL45" s="52"/>
      <c r="BM45" s="52"/>
      <c r="BN45" s="52"/>
      <c r="BO45" s="52"/>
      <c r="BP45" s="52"/>
      <c r="BQ45" s="52"/>
      <c r="BR45" s="52"/>
      <c r="BS45" s="52"/>
      <c r="BT45" s="52"/>
      <c r="BU45" s="52"/>
      <c r="BV45" s="52"/>
      <c r="BW45" s="52"/>
      <c r="BX45" s="52"/>
      <c r="BY45" s="52"/>
      <c r="BZ45" s="52"/>
      <c r="CA45" s="52"/>
      <c r="CB45" s="52"/>
      <c r="CC45" s="52"/>
      <c r="CD45" s="118"/>
      <c r="CE45" s="52"/>
      <c r="CF45" s="52"/>
      <c r="CG45" s="52"/>
      <c r="CH45" s="52"/>
      <c r="CI45" s="52"/>
      <c r="CJ45" s="52"/>
      <c r="CK45" s="52"/>
      <c r="CL45" s="52"/>
      <c r="CM45" s="52"/>
      <c r="CN45" s="118"/>
      <c r="CO45" s="118"/>
      <c r="CP45" s="118"/>
      <c r="CQ45" s="52"/>
      <c r="CR45" s="52"/>
      <c r="CS45" s="52"/>
      <c r="CT45" s="52"/>
      <c r="CU45" s="52"/>
      <c r="CV45" s="52"/>
      <c r="CW45" s="52"/>
      <c r="CX45" s="52"/>
      <c r="CY45" s="52"/>
      <c r="CZ45" s="52"/>
      <c r="DA45" s="52"/>
      <c r="DB45" s="52"/>
    </row>
    <row r="46" spans="1:106" ht="40.5" x14ac:dyDescent="0.25">
      <c r="A46" s="411">
        <v>44</v>
      </c>
      <c r="B46" s="412" t="s">
        <v>3023</v>
      </c>
      <c r="C46" s="413" t="s">
        <v>622</v>
      </c>
      <c r="D46" s="426" t="s">
        <v>445</v>
      </c>
      <c r="E46" s="80">
        <v>1</v>
      </c>
      <c r="F46" s="356">
        <v>262310.43859999999</v>
      </c>
      <c r="G46" s="293"/>
      <c r="H46" s="293"/>
      <c r="I46" s="293"/>
      <c r="J46" s="52"/>
      <c r="K46" s="52"/>
      <c r="L46" s="359"/>
      <c r="M46" s="360"/>
      <c r="N46" s="33"/>
      <c r="O46" s="33"/>
      <c r="P46" s="252"/>
      <c r="Q46" s="113"/>
      <c r="R46" s="113"/>
      <c r="S46" s="113"/>
      <c r="T46" s="52"/>
      <c r="U46" s="5"/>
      <c r="V46" s="231"/>
      <c r="W46" s="231"/>
      <c r="X46" s="231"/>
      <c r="Y46" s="113"/>
      <c r="Z46" s="357"/>
      <c r="AA46" s="118" t="s">
        <v>2877</v>
      </c>
      <c r="AB46" s="118"/>
      <c r="AC46" s="118"/>
      <c r="AD46" s="52"/>
      <c r="AE46" s="5"/>
      <c r="AF46" s="358"/>
      <c r="AG46" s="358"/>
      <c r="AH46" s="358"/>
      <c r="AI46" s="358"/>
      <c r="AJ46" s="358"/>
      <c r="AK46" s="113"/>
      <c r="AL46" s="113"/>
      <c r="AM46" s="113"/>
      <c r="AN46" s="113"/>
      <c r="AO46" s="113"/>
      <c r="AP46" s="52"/>
      <c r="AQ46" s="52"/>
      <c r="AR46" s="52"/>
      <c r="AS46" s="52"/>
      <c r="AT46" s="52"/>
      <c r="AU46" s="125"/>
      <c r="AV46" s="125"/>
      <c r="AW46" s="125"/>
      <c r="AX46" s="5"/>
      <c r="AY46" s="5"/>
      <c r="AZ46" s="113"/>
      <c r="BA46" s="113"/>
      <c r="BB46" s="113"/>
      <c r="BC46" s="52"/>
      <c r="BD46" s="52"/>
      <c r="BE46" s="118"/>
      <c r="BF46" s="118"/>
      <c r="BG46" s="118"/>
      <c r="BH46" s="52"/>
      <c r="BI46" s="283"/>
      <c r="BJ46" s="52"/>
      <c r="BK46" s="52"/>
      <c r="BL46" s="52"/>
      <c r="BM46" s="52"/>
      <c r="BN46" s="52"/>
      <c r="BO46" s="52"/>
      <c r="BP46" s="52"/>
      <c r="BQ46" s="52"/>
      <c r="BR46" s="52"/>
      <c r="BS46" s="52"/>
      <c r="BT46" s="52"/>
      <c r="BU46" s="52"/>
      <c r="BV46" s="52"/>
      <c r="BW46" s="52"/>
      <c r="BX46" s="52"/>
      <c r="BY46" s="52"/>
      <c r="BZ46" s="52"/>
      <c r="CA46" s="52"/>
      <c r="CB46" s="52"/>
      <c r="CC46" s="52"/>
      <c r="CD46" s="118"/>
      <c r="CE46" s="52"/>
      <c r="CF46" s="52"/>
      <c r="CG46" s="52"/>
      <c r="CH46" s="52"/>
      <c r="CI46" s="52"/>
      <c r="CJ46" s="52"/>
      <c r="CK46" s="52"/>
      <c r="CL46" s="52"/>
      <c r="CM46" s="52"/>
      <c r="CN46" s="118"/>
      <c r="CO46" s="118"/>
      <c r="CP46" s="118"/>
      <c r="CQ46" s="52"/>
      <c r="CR46" s="52"/>
      <c r="CS46" s="52"/>
      <c r="CT46" s="52"/>
      <c r="CU46" s="52"/>
      <c r="CV46" s="52"/>
      <c r="CW46" s="52"/>
      <c r="CX46" s="52"/>
      <c r="CY46" s="52"/>
      <c r="CZ46" s="52"/>
      <c r="DA46" s="52"/>
      <c r="DB46" s="52"/>
    </row>
    <row r="47" spans="1:106" ht="27" x14ac:dyDescent="0.25">
      <c r="A47" s="411">
        <v>45</v>
      </c>
      <c r="B47" s="412" t="s">
        <v>3024</v>
      </c>
      <c r="C47" s="413" t="s">
        <v>3025</v>
      </c>
      <c r="D47" s="426" t="s">
        <v>445</v>
      </c>
      <c r="E47" s="80">
        <v>1</v>
      </c>
      <c r="F47" s="356">
        <v>57313.6368</v>
      </c>
      <c r="G47" s="293"/>
      <c r="H47" s="293"/>
      <c r="I47" s="293"/>
      <c r="J47" s="52"/>
      <c r="K47" s="52"/>
      <c r="L47" s="359"/>
      <c r="M47" s="360"/>
      <c r="N47" s="33"/>
      <c r="O47" s="33"/>
      <c r="P47" s="252"/>
      <c r="Q47" s="113"/>
      <c r="R47" s="113"/>
      <c r="S47" s="113"/>
      <c r="T47" s="52"/>
      <c r="U47" s="5"/>
      <c r="V47" s="231"/>
      <c r="W47" s="231"/>
      <c r="X47" s="231"/>
      <c r="Y47" s="113"/>
      <c r="Z47" s="357"/>
      <c r="AA47" s="118" t="s">
        <v>2877</v>
      </c>
      <c r="AB47" s="118"/>
      <c r="AC47" s="118"/>
      <c r="AD47" s="52"/>
      <c r="AE47" s="5"/>
      <c r="AF47" s="358"/>
      <c r="AG47" s="358"/>
      <c r="AH47" s="358"/>
      <c r="AI47" s="358"/>
      <c r="AJ47" s="358"/>
      <c r="AK47" s="113"/>
      <c r="AL47" s="113"/>
      <c r="AM47" s="113"/>
      <c r="AN47" s="113"/>
      <c r="AO47" s="113"/>
      <c r="AP47" s="52"/>
      <c r="AQ47" s="52"/>
      <c r="AR47" s="52"/>
      <c r="AS47" s="52"/>
      <c r="AT47" s="52"/>
      <c r="AU47" s="125"/>
      <c r="AV47" s="125"/>
      <c r="AW47" s="125"/>
      <c r="AX47" s="5"/>
      <c r="AY47" s="5"/>
      <c r="AZ47" s="113"/>
      <c r="BA47" s="113"/>
      <c r="BB47" s="113"/>
      <c r="BC47" s="52"/>
      <c r="BD47" s="52"/>
      <c r="BE47" s="118"/>
      <c r="BF47" s="118"/>
      <c r="BG47" s="118"/>
      <c r="BH47" s="52"/>
      <c r="BI47" s="283"/>
      <c r="BJ47" s="52"/>
      <c r="BK47" s="52"/>
      <c r="BL47" s="52"/>
      <c r="BM47" s="52"/>
      <c r="BN47" s="52"/>
      <c r="BO47" s="52"/>
      <c r="BP47" s="52"/>
      <c r="BQ47" s="52"/>
      <c r="BR47" s="52"/>
      <c r="BS47" s="52"/>
      <c r="BT47" s="52"/>
      <c r="BU47" s="52"/>
      <c r="BV47" s="52"/>
      <c r="BW47" s="52"/>
      <c r="BX47" s="52"/>
      <c r="BY47" s="52"/>
      <c r="BZ47" s="52"/>
      <c r="CA47" s="52"/>
      <c r="CB47" s="52"/>
      <c r="CC47" s="52"/>
      <c r="CD47" s="118"/>
      <c r="CE47" s="52"/>
      <c r="CF47" s="52"/>
      <c r="CG47" s="52"/>
      <c r="CH47" s="52"/>
      <c r="CI47" s="52"/>
      <c r="CJ47" s="52"/>
      <c r="CK47" s="52"/>
      <c r="CL47" s="52"/>
      <c r="CM47" s="52"/>
      <c r="CN47" s="118"/>
      <c r="CO47" s="118"/>
      <c r="CP47" s="118"/>
      <c r="CQ47" s="52"/>
      <c r="CR47" s="52"/>
      <c r="CS47" s="52"/>
      <c r="CT47" s="52"/>
      <c r="CU47" s="52"/>
      <c r="CV47" s="52"/>
      <c r="CW47" s="52"/>
      <c r="CX47" s="52"/>
      <c r="CY47" s="52"/>
      <c r="CZ47" s="52"/>
      <c r="DA47" s="52"/>
      <c r="DB47" s="52"/>
    </row>
    <row r="48" spans="1:106" ht="13.5" x14ac:dyDescent="0.25">
      <c r="A48" s="411">
        <v>46</v>
      </c>
      <c r="B48" s="412" t="s">
        <v>3026</v>
      </c>
      <c r="C48" s="413" t="s">
        <v>3027</v>
      </c>
      <c r="D48" s="426" t="s">
        <v>445</v>
      </c>
      <c r="E48" s="80">
        <v>1</v>
      </c>
      <c r="F48" s="356">
        <v>713906.70400000003</v>
      </c>
      <c r="G48" s="293"/>
      <c r="H48" s="293"/>
      <c r="I48" s="293"/>
      <c r="J48" s="52"/>
      <c r="K48" s="52"/>
      <c r="L48" s="359"/>
      <c r="M48" s="360"/>
      <c r="N48" s="33"/>
      <c r="O48" s="33"/>
      <c r="P48" s="252"/>
      <c r="Q48" s="113"/>
      <c r="R48" s="113"/>
      <c r="S48" s="113"/>
      <c r="T48" s="52"/>
      <c r="U48" s="5"/>
      <c r="V48" s="231"/>
      <c r="W48" s="231"/>
      <c r="X48" s="231"/>
      <c r="Y48" s="113"/>
      <c r="Z48" s="357"/>
      <c r="AA48" s="118" t="s">
        <v>2877</v>
      </c>
      <c r="AB48" s="118"/>
      <c r="AC48" s="118"/>
      <c r="AD48" s="52"/>
      <c r="AE48" s="5"/>
      <c r="AF48" s="358"/>
      <c r="AG48" s="358"/>
      <c r="AH48" s="358"/>
      <c r="AI48" s="358"/>
      <c r="AJ48" s="358"/>
      <c r="AK48" s="113"/>
      <c r="AL48" s="113"/>
      <c r="AM48" s="113"/>
      <c r="AN48" s="113"/>
      <c r="AO48" s="113"/>
      <c r="AP48" s="52"/>
      <c r="AQ48" s="52"/>
      <c r="AR48" s="52"/>
      <c r="AS48" s="52"/>
      <c r="AT48" s="52"/>
      <c r="AU48" s="125"/>
      <c r="AV48" s="125"/>
      <c r="AW48" s="125"/>
      <c r="AX48" s="5"/>
      <c r="AY48" s="5"/>
      <c r="AZ48" s="113"/>
      <c r="BA48" s="113"/>
      <c r="BB48" s="113"/>
      <c r="BC48" s="52"/>
      <c r="BD48" s="52"/>
      <c r="BE48" s="118"/>
      <c r="BF48" s="118"/>
      <c r="BG48" s="118"/>
      <c r="BH48" s="52"/>
      <c r="BI48" s="283"/>
      <c r="BJ48" s="52"/>
      <c r="BK48" s="52"/>
      <c r="BL48" s="52"/>
      <c r="BM48" s="52"/>
      <c r="BN48" s="52"/>
      <c r="BO48" s="52"/>
      <c r="BP48" s="52"/>
      <c r="BQ48" s="52"/>
      <c r="BR48" s="52"/>
      <c r="BS48" s="52"/>
      <c r="BT48" s="52"/>
      <c r="BU48" s="52"/>
      <c r="BV48" s="52"/>
      <c r="BW48" s="52"/>
      <c r="BX48" s="52"/>
      <c r="BY48" s="52"/>
      <c r="BZ48" s="52"/>
      <c r="CA48" s="52"/>
      <c r="CB48" s="52"/>
      <c r="CC48" s="52"/>
      <c r="CD48" s="118"/>
      <c r="CE48" s="52"/>
      <c r="CF48" s="52"/>
      <c r="CG48" s="52"/>
      <c r="CH48" s="52"/>
      <c r="CI48" s="52"/>
      <c r="CJ48" s="52"/>
      <c r="CK48" s="52"/>
      <c r="CL48" s="52"/>
      <c r="CM48" s="52"/>
      <c r="CN48" s="118"/>
      <c r="CO48" s="118"/>
      <c r="CP48" s="118"/>
      <c r="CQ48" s="52"/>
      <c r="CR48" s="52"/>
      <c r="CS48" s="52"/>
      <c r="CT48" s="52"/>
      <c r="CU48" s="52"/>
      <c r="CV48" s="52"/>
      <c r="CW48" s="52"/>
      <c r="CX48" s="52"/>
      <c r="CY48" s="52"/>
      <c r="CZ48" s="52"/>
      <c r="DA48" s="52"/>
      <c r="DB48" s="52"/>
    </row>
    <row r="49" spans="1:106" ht="40.5" x14ac:dyDescent="0.25">
      <c r="A49" s="411">
        <v>47</v>
      </c>
      <c r="B49" s="412" t="s">
        <v>3028</v>
      </c>
      <c r="C49" s="413" t="s">
        <v>3029</v>
      </c>
      <c r="D49" s="426" t="s">
        <v>445</v>
      </c>
      <c r="E49" s="80">
        <v>1</v>
      </c>
      <c r="F49" s="356">
        <v>18853.170000000002</v>
      </c>
      <c r="G49" s="293"/>
      <c r="H49" s="293"/>
      <c r="I49" s="293"/>
      <c r="J49" s="52"/>
      <c r="K49" s="52"/>
      <c r="L49" s="359"/>
      <c r="M49" s="360"/>
      <c r="N49" s="33"/>
      <c r="O49" s="33"/>
      <c r="P49" s="252"/>
      <c r="Q49" s="113"/>
      <c r="R49" s="113"/>
      <c r="S49" s="113"/>
      <c r="T49" s="52"/>
      <c r="U49" s="5"/>
      <c r="V49" s="231"/>
      <c r="W49" s="231"/>
      <c r="X49" s="231"/>
      <c r="Y49" s="113"/>
      <c r="Z49" s="357"/>
      <c r="AA49" s="118" t="s">
        <v>2877</v>
      </c>
      <c r="AB49" s="118"/>
      <c r="AC49" s="118"/>
      <c r="AD49" s="52"/>
      <c r="AE49" s="5"/>
      <c r="AF49" s="113">
        <v>8150</v>
      </c>
      <c r="AG49" s="113">
        <v>1548.5</v>
      </c>
      <c r="AH49" s="113">
        <v>9698.5</v>
      </c>
      <c r="AI49" s="358" t="s">
        <v>2979</v>
      </c>
      <c r="AJ49" s="358">
        <v>5700027</v>
      </c>
      <c r="AK49" s="113"/>
      <c r="AL49" s="113"/>
      <c r="AM49" s="113"/>
      <c r="AN49" s="113"/>
      <c r="AO49" s="113"/>
      <c r="AP49" s="52"/>
      <c r="AQ49" s="52"/>
      <c r="AR49" s="52"/>
      <c r="AS49" s="52"/>
      <c r="AT49" s="52"/>
      <c r="AU49" s="125"/>
      <c r="AV49" s="125"/>
      <c r="AW49" s="125"/>
      <c r="AX49" s="5"/>
      <c r="AY49" s="5"/>
      <c r="AZ49" s="113">
        <v>16000</v>
      </c>
      <c r="BA49" s="113">
        <v>3040</v>
      </c>
      <c r="BB49" s="113">
        <v>19040</v>
      </c>
      <c r="BC49" s="52" t="s">
        <v>2925</v>
      </c>
      <c r="BD49" s="52" t="s">
        <v>3030</v>
      </c>
      <c r="BE49" s="118"/>
      <c r="BF49" s="118"/>
      <c r="BG49" s="118"/>
      <c r="BH49" s="52"/>
      <c r="BI49" s="283"/>
      <c r="BJ49" s="52"/>
      <c r="BK49" s="52"/>
      <c r="BL49" s="52"/>
      <c r="BM49" s="52"/>
      <c r="BN49" s="52"/>
      <c r="BO49" s="52"/>
      <c r="BP49" s="52"/>
      <c r="BQ49" s="52"/>
      <c r="BR49" s="52"/>
      <c r="BS49" s="52"/>
      <c r="BT49" s="52"/>
      <c r="BU49" s="52"/>
      <c r="BV49" s="52"/>
      <c r="BW49" s="52"/>
      <c r="BX49" s="52"/>
      <c r="BY49" s="52"/>
      <c r="BZ49" s="52"/>
      <c r="CA49" s="52"/>
      <c r="CB49" s="52"/>
      <c r="CC49" s="52"/>
      <c r="CD49" s="118"/>
      <c r="CE49" s="52"/>
      <c r="CF49" s="52"/>
      <c r="CG49" s="52"/>
      <c r="CH49" s="52"/>
      <c r="CI49" s="52"/>
      <c r="CJ49" s="52"/>
      <c r="CK49" s="52"/>
      <c r="CL49" s="52"/>
      <c r="CM49" s="52"/>
      <c r="CN49" s="118"/>
      <c r="CO49" s="118"/>
      <c r="CP49" s="118"/>
      <c r="CQ49" s="52"/>
      <c r="CR49" s="52"/>
      <c r="CS49" s="52"/>
      <c r="CT49" s="52"/>
      <c r="CU49" s="52"/>
      <c r="CV49" s="52"/>
      <c r="CW49" s="52"/>
      <c r="CX49" s="52"/>
      <c r="CY49" s="52"/>
      <c r="CZ49" s="52"/>
      <c r="DA49" s="52"/>
      <c r="DB49" s="52"/>
    </row>
    <row r="50" spans="1:106" ht="40.5" x14ac:dyDescent="0.25">
      <c r="A50" s="411">
        <v>48</v>
      </c>
      <c r="B50" s="412" t="s">
        <v>3031</v>
      </c>
      <c r="C50" s="413" t="s">
        <v>3029</v>
      </c>
      <c r="D50" s="426" t="s">
        <v>445</v>
      </c>
      <c r="E50" s="80">
        <v>1</v>
      </c>
      <c r="F50" s="356">
        <v>31421.95</v>
      </c>
      <c r="G50" s="293"/>
      <c r="H50" s="293"/>
      <c r="I50" s="293"/>
      <c r="J50" s="52"/>
      <c r="K50" s="52"/>
      <c r="L50" s="359"/>
      <c r="M50" s="360"/>
      <c r="N50" s="33"/>
      <c r="O50" s="33"/>
      <c r="P50" s="252"/>
      <c r="Q50" s="113"/>
      <c r="R50" s="113"/>
      <c r="S50" s="113"/>
      <c r="T50" s="52"/>
      <c r="U50" s="5"/>
      <c r="V50" s="231"/>
      <c r="W50" s="231"/>
      <c r="X50" s="231"/>
      <c r="Y50" s="113"/>
      <c r="Z50" s="357"/>
      <c r="AA50" s="118" t="s">
        <v>2877</v>
      </c>
      <c r="AB50" s="118"/>
      <c r="AC50" s="118"/>
      <c r="AD50" s="52"/>
      <c r="AE50" s="5"/>
      <c r="AF50" s="113">
        <v>13600</v>
      </c>
      <c r="AG50" s="113">
        <v>2584</v>
      </c>
      <c r="AH50" s="113">
        <v>16184</v>
      </c>
      <c r="AI50" s="358" t="s">
        <v>2979</v>
      </c>
      <c r="AJ50" s="358">
        <v>5700055</v>
      </c>
      <c r="AK50" s="113">
        <v>15200</v>
      </c>
      <c r="AL50" s="113">
        <v>2888</v>
      </c>
      <c r="AM50" s="113">
        <v>18088</v>
      </c>
      <c r="AN50" s="113" t="s">
        <v>3032</v>
      </c>
      <c r="AO50" s="113" t="s">
        <v>3033</v>
      </c>
      <c r="AP50" s="52"/>
      <c r="AQ50" s="52"/>
      <c r="AR50" s="52"/>
      <c r="AS50" s="52"/>
      <c r="AT50" s="52"/>
      <c r="AU50" s="125"/>
      <c r="AV50" s="125"/>
      <c r="AW50" s="125"/>
      <c r="AX50" s="5"/>
      <c r="AY50" s="5"/>
      <c r="AZ50" s="113">
        <v>34000</v>
      </c>
      <c r="BA50" s="113">
        <v>6460</v>
      </c>
      <c r="BB50" s="113">
        <v>40460</v>
      </c>
      <c r="BC50" s="52" t="s">
        <v>2925</v>
      </c>
      <c r="BD50" s="52" t="s">
        <v>3034</v>
      </c>
      <c r="BE50" s="118"/>
      <c r="BF50" s="118"/>
      <c r="BG50" s="118"/>
      <c r="BH50" s="52"/>
      <c r="BI50" s="283"/>
      <c r="BJ50" s="52"/>
      <c r="BK50" s="52"/>
      <c r="BL50" s="52"/>
      <c r="BM50" s="52"/>
      <c r="BN50" s="52"/>
      <c r="BO50" s="52"/>
      <c r="BP50" s="52"/>
      <c r="BQ50" s="52"/>
      <c r="BR50" s="52"/>
      <c r="BS50" s="52"/>
      <c r="BT50" s="52"/>
      <c r="BU50" s="52"/>
      <c r="BV50" s="52"/>
      <c r="BW50" s="52"/>
      <c r="BX50" s="52"/>
      <c r="BY50" s="52"/>
      <c r="BZ50" s="52"/>
      <c r="CA50" s="52"/>
      <c r="CB50" s="52"/>
      <c r="CC50" s="52"/>
      <c r="CD50" s="118">
        <v>29412</v>
      </c>
      <c r="CE50" s="118">
        <f>+CD50*0.19</f>
        <v>5588.28</v>
      </c>
      <c r="CF50" s="118">
        <f>+CD50+CE50</f>
        <v>35000.28</v>
      </c>
      <c r="CG50" s="52"/>
      <c r="CH50" s="52" t="s">
        <v>3035</v>
      </c>
      <c r="CI50" s="52"/>
      <c r="CJ50" s="52"/>
      <c r="CK50" s="52"/>
      <c r="CL50" s="52"/>
      <c r="CM50" s="52"/>
      <c r="CN50" s="118"/>
      <c r="CO50" s="118"/>
      <c r="CP50" s="118"/>
      <c r="CQ50" s="52"/>
      <c r="CR50" s="52"/>
      <c r="CS50" s="52"/>
      <c r="CT50" s="52"/>
      <c r="CU50" s="52"/>
      <c r="CV50" s="52"/>
      <c r="CW50" s="52"/>
      <c r="CX50" s="52"/>
      <c r="CY50" s="52"/>
      <c r="CZ50" s="52"/>
      <c r="DA50" s="52"/>
      <c r="DB50" s="52"/>
    </row>
    <row r="51" spans="1:106" ht="40.5" x14ac:dyDescent="0.25">
      <c r="A51" s="411">
        <v>49</v>
      </c>
      <c r="B51" s="412" t="s">
        <v>3036</v>
      </c>
      <c r="C51" s="413" t="s">
        <v>3029</v>
      </c>
      <c r="D51" s="426" t="s">
        <v>445</v>
      </c>
      <c r="E51" s="80">
        <v>1</v>
      </c>
      <c r="F51" s="356">
        <v>56318.696400000001</v>
      </c>
      <c r="G51" s="293"/>
      <c r="H51" s="293"/>
      <c r="I51" s="293"/>
      <c r="J51" s="52"/>
      <c r="K51" s="52"/>
      <c r="L51" s="359"/>
      <c r="M51" s="360"/>
      <c r="N51" s="33"/>
      <c r="O51" s="33"/>
      <c r="P51" s="252"/>
      <c r="Q51" s="113"/>
      <c r="R51" s="113"/>
      <c r="S51" s="113"/>
      <c r="T51" s="52"/>
      <c r="U51" s="5"/>
      <c r="V51" s="231"/>
      <c r="W51" s="231"/>
      <c r="X51" s="231"/>
      <c r="Y51" s="113"/>
      <c r="Z51" s="357"/>
      <c r="AA51" s="118" t="s">
        <v>2877</v>
      </c>
      <c r="AB51" s="118"/>
      <c r="AC51" s="118"/>
      <c r="AD51" s="52"/>
      <c r="AE51" s="5"/>
      <c r="AF51" s="358"/>
      <c r="AG51" s="358"/>
      <c r="AH51" s="358"/>
      <c r="AI51" s="358"/>
      <c r="AJ51" s="358"/>
      <c r="AK51" s="113"/>
      <c r="AL51" s="113"/>
      <c r="AM51" s="113"/>
      <c r="AN51" s="113"/>
      <c r="AO51" s="113"/>
      <c r="AP51" s="52"/>
      <c r="AQ51" s="52"/>
      <c r="AR51" s="52"/>
      <c r="AS51" s="52"/>
      <c r="AT51" s="52"/>
      <c r="AU51" s="125"/>
      <c r="AV51" s="125"/>
      <c r="AW51" s="125"/>
      <c r="AX51" s="5"/>
      <c r="AY51" s="5"/>
      <c r="AZ51" s="113"/>
      <c r="BA51" s="113"/>
      <c r="BB51" s="113"/>
      <c r="BC51" s="52"/>
      <c r="BD51" s="52"/>
      <c r="BE51" s="118"/>
      <c r="BF51" s="118"/>
      <c r="BG51" s="118"/>
      <c r="BH51" s="52"/>
      <c r="BI51" s="283"/>
      <c r="BJ51" s="52"/>
      <c r="BK51" s="52"/>
      <c r="BL51" s="52"/>
      <c r="BM51" s="52"/>
      <c r="BN51" s="52"/>
      <c r="BO51" s="52"/>
      <c r="BP51" s="52"/>
      <c r="BQ51" s="52"/>
      <c r="BR51" s="52"/>
      <c r="BS51" s="52"/>
      <c r="BT51" s="52"/>
      <c r="BU51" s="52"/>
      <c r="BV51" s="52"/>
      <c r="BW51" s="52"/>
      <c r="BX51" s="52"/>
      <c r="BY51" s="52"/>
      <c r="BZ51" s="52"/>
      <c r="CA51" s="52"/>
      <c r="CB51" s="52"/>
      <c r="CC51" s="52"/>
      <c r="CD51" s="118"/>
      <c r="CE51" s="52"/>
      <c r="CF51" s="52"/>
      <c r="CG51" s="52"/>
      <c r="CH51" s="52"/>
      <c r="CI51" s="52"/>
      <c r="CJ51" s="52"/>
      <c r="CK51" s="52"/>
      <c r="CL51" s="52"/>
      <c r="CM51" s="52"/>
      <c r="CN51" s="118"/>
      <c r="CO51" s="118"/>
      <c r="CP51" s="118"/>
      <c r="CQ51" s="52"/>
      <c r="CR51" s="52"/>
      <c r="CS51" s="52"/>
      <c r="CT51" s="52"/>
      <c r="CU51" s="52"/>
      <c r="CV51" s="52"/>
      <c r="CW51" s="52"/>
      <c r="CX51" s="52"/>
      <c r="CY51" s="52"/>
      <c r="CZ51" s="52"/>
      <c r="DA51" s="52"/>
      <c r="DB51" s="52"/>
    </row>
    <row r="52" spans="1:106" ht="27" x14ac:dyDescent="0.25">
      <c r="A52" s="411">
        <v>50</v>
      </c>
      <c r="B52" s="412" t="s">
        <v>3037</v>
      </c>
      <c r="C52" s="413" t="s">
        <v>3029</v>
      </c>
      <c r="D52" s="426" t="s">
        <v>445</v>
      </c>
      <c r="E52" s="80">
        <v>1</v>
      </c>
      <c r="F52" s="356">
        <v>31421.95</v>
      </c>
      <c r="G52" s="293"/>
      <c r="H52" s="293"/>
      <c r="I52" s="293"/>
      <c r="J52" s="52"/>
      <c r="K52" s="52"/>
      <c r="L52" s="359"/>
      <c r="M52" s="360"/>
      <c r="N52" s="33"/>
      <c r="O52" s="33"/>
      <c r="P52" s="252"/>
      <c r="Q52" s="113"/>
      <c r="R52" s="113"/>
      <c r="S52" s="113"/>
      <c r="T52" s="52"/>
      <c r="U52" s="5"/>
      <c r="V52" s="231"/>
      <c r="W52" s="231"/>
      <c r="X52" s="231"/>
      <c r="Y52" s="113"/>
      <c r="Z52" s="357"/>
      <c r="AA52" s="118" t="s">
        <v>2877</v>
      </c>
      <c r="AB52" s="118"/>
      <c r="AC52" s="118"/>
      <c r="AD52" s="52"/>
      <c r="AE52" s="5"/>
      <c r="AF52" s="358"/>
      <c r="AG52" s="358"/>
      <c r="AH52" s="358"/>
      <c r="AI52" s="358"/>
      <c r="AJ52" s="358"/>
      <c r="AK52" s="113"/>
      <c r="AL52" s="113"/>
      <c r="AM52" s="113"/>
      <c r="AN52" s="113"/>
      <c r="AO52" s="113"/>
      <c r="AP52" s="52"/>
      <c r="AQ52" s="52"/>
      <c r="AR52" s="52"/>
      <c r="AS52" s="52"/>
      <c r="AT52" s="52"/>
      <c r="AU52" s="125"/>
      <c r="AV52" s="125"/>
      <c r="AW52" s="125"/>
      <c r="AX52" s="5"/>
      <c r="AY52" s="5"/>
      <c r="AZ52" s="113">
        <v>16000</v>
      </c>
      <c r="BA52" s="113">
        <v>3040</v>
      </c>
      <c r="BB52" s="113">
        <v>19040</v>
      </c>
      <c r="BC52" s="52" t="s">
        <v>2925</v>
      </c>
      <c r="BD52" s="52" t="s">
        <v>3038</v>
      </c>
      <c r="BE52" s="118"/>
      <c r="BF52" s="118"/>
      <c r="BG52" s="118"/>
      <c r="BH52" s="52"/>
      <c r="BI52" s="283"/>
      <c r="BJ52" s="52"/>
      <c r="BK52" s="52"/>
      <c r="BL52" s="52"/>
      <c r="BM52" s="52"/>
      <c r="BN52" s="52"/>
      <c r="BO52" s="52"/>
      <c r="BP52" s="52"/>
      <c r="BQ52" s="52"/>
      <c r="BR52" s="52"/>
      <c r="BS52" s="52"/>
      <c r="BT52" s="52"/>
      <c r="BU52" s="52"/>
      <c r="BV52" s="52"/>
      <c r="BW52" s="52"/>
      <c r="BX52" s="52"/>
      <c r="BY52" s="52"/>
      <c r="BZ52" s="52"/>
      <c r="CA52" s="52"/>
      <c r="CB52" s="52"/>
      <c r="CC52" s="52"/>
      <c r="CD52" s="118"/>
      <c r="CE52" s="52"/>
      <c r="CF52" s="52"/>
      <c r="CG52" s="52"/>
      <c r="CH52" s="52"/>
      <c r="CI52" s="52"/>
      <c r="CJ52" s="52"/>
      <c r="CK52" s="52"/>
      <c r="CL52" s="52"/>
      <c r="CM52" s="52"/>
      <c r="CN52" s="118"/>
      <c r="CO52" s="118"/>
      <c r="CP52" s="118"/>
      <c r="CQ52" s="52"/>
      <c r="CR52" s="52"/>
      <c r="CS52" s="52"/>
      <c r="CT52" s="52"/>
      <c r="CU52" s="52"/>
      <c r="CV52" s="52"/>
      <c r="CW52" s="52"/>
      <c r="CX52" s="52"/>
      <c r="CY52" s="52"/>
      <c r="CZ52" s="52"/>
      <c r="DA52" s="52"/>
      <c r="DB52" s="52"/>
    </row>
    <row r="53" spans="1:106" ht="27" x14ac:dyDescent="0.25">
      <c r="A53" s="411">
        <v>51</v>
      </c>
      <c r="B53" s="412" t="s">
        <v>3039</v>
      </c>
      <c r="C53" s="413" t="s">
        <v>3029</v>
      </c>
      <c r="D53" s="426" t="s">
        <v>445</v>
      </c>
      <c r="E53" s="80">
        <v>1</v>
      </c>
      <c r="F53" s="356">
        <v>23880.682000000001</v>
      </c>
      <c r="G53" s="293">
        <v>11700</v>
      </c>
      <c r="H53" s="293">
        <v>2223</v>
      </c>
      <c r="I53" s="293">
        <v>13923</v>
      </c>
      <c r="J53" s="52" t="s">
        <v>2956</v>
      </c>
      <c r="K53" s="52" t="s">
        <v>3040</v>
      </c>
      <c r="L53" s="359"/>
      <c r="M53" s="360"/>
      <c r="N53" s="33"/>
      <c r="O53" s="33"/>
      <c r="P53" s="252"/>
      <c r="Q53" s="113"/>
      <c r="R53" s="113"/>
      <c r="S53" s="113"/>
      <c r="T53" s="52"/>
      <c r="U53" s="5"/>
      <c r="V53" s="231"/>
      <c r="W53" s="231"/>
      <c r="X53" s="231"/>
      <c r="Y53" s="113"/>
      <c r="Z53" s="357"/>
      <c r="AA53" s="118" t="s">
        <v>2877</v>
      </c>
      <c r="AB53" s="118"/>
      <c r="AC53" s="118"/>
      <c r="AD53" s="52"/>
      <c r="AE53" s="5"/>
      <c r="AF53" s="358"/>
      <c r="AG53" s="358"/>
      <c r="AH53" s="358"/>
      <c r="AI53" s="358"/>
      <c r="AJ53" s="358"/>
      <c r="AK53" s="113">
        <v>10300</v>
      </c>
      <c r="AL53" s="113">
        <v>1957</v>
      </c>
      <c r="AM53" s="113">
        <v>12257</v>
      </c>
      <c r="AN53" s="113" t="s">
        <v>3032</v>
      </c>
      <c r="AO53" s="113" t="s">
        <v>3041</v>
      </c>
      <c r="AP53" s="52"/>
      <c r="AQ53" s="52"/>
      <c r="AR53" s="52"/>
      <c r="AS53" s="52"/>
      <c r="AT53" s="52"/>
      <c r="AU53" s="125"/>
      <c r="AV53" s="125"/>
      <c r="AW53" s="125"/>
      <c r="AX53" s="5"/>
      <c r="AY53" s="5"/>
      <c r="AZ53" s="113">
        <v>15000</v>
      </c>
      <c r="BA53" s="113">
        <v>2850</v>
      </c>
      <c r="BB53" s="113">
        <v>17850</v>
      </c>
      <c r="BC53" s="52" t="s">
        <v>2925</v>
      </c>
      <c r="BD53" s="52" t="s">
        <v>3042</v>
      </c>
      <c r="BE53" s="118"/>
      <c r="BF53" s="118"/>
      <c r="BG53" s="118"/>
      <c r="BH53" s="52"/>
      <c r="BI53" s="283"/>
      <c r="BJ53" s="52"/>
      <c r="BK53" s="52"/>
      <c r="BL53" s="52"/>
      <c r="BM53" s="52"/>
      <c r="BN53" s="52"/>
      <c r="BO53" s="52"/>
      <c r="BP53" s="52"/>
      <c r="BQ53" s="52"/>
      <c r="BR53" s="52"/>
      <c r="BS53" s="52"/>
      <c r="BT53" s="52"/>
      <c r="BU53" s="52"/>
      <c r="BV53" s="52"/>
      <c r="BW53" s="52"/>
      <c r="BX53" s="52"/>
      <c r="BY53" s="52"/>
      <c r="BZ53" s="52"/>
      <c r="CA53" s="52"/>
      <c r="CB53" s="52"/>
      <c r="CC53" s="52"/>
      <c r="CD53" s="118"/>
      <c r="CE53" s="52"/>
      <c r="CF53" s="52"/>
      <c r="CG53" s="52"/>
      <c r="CH53" s="52"/>
      <c r="CI53" s="52"/>
      <c r="CJ53" s="52"/>
      <c r="CK53" s="52"/>
      <c r="CL53" s="52"/>
      <c r="CM53" s="52"/>
      <c r="CN53" s="118"/>
      <c r="CO53" s="118"/>
      <c r="CP53" s="118"/>
      <c r="CQ53" s="52"/>
      <c r="CR53" s="52"/>
      <c r="CS53" s="52"/>
      <c r="CT53" s="52"/>
      <c r="CU53" s="52"/>
      <c r="CV53" s="52"/>
      <c r="CW53" s="52"/>
      <c r="CX53" s="52"/>
      <c r="CY53" s="52"/>
      <c r="CZ53" s="52"/>
      <c r="DA53" s="52"/>
      <c r="DB53" s="52"/>
    </row>
    <row r="54" spans="1:106" ht="40.5" x14ac:dyDescent="0.25">
      <c r="A54" s="411">
        <v>52</v>
      </c>
      <c r="B54" s="412" t="s">
        <v>3043</v>
      </c>
      <c r="C54" s="413" t="s">
        <v>3044</v>
      </c>
      <c r="D54" s="409" t="s">
        <v>445</v>
      </c>
      <c r="E54" s="80">
        <v>1</v>
      </c>
      <c r="F54" s="356">
        <v>72898.923999999999</v>
      </c>
      <c r="G54" s="293"/>
      <c r="H54" s="293"/>
      <c r="I54" s="293"/>
      <c r="J54" s="52"/>
      <c r="K54" s="52"/>
      <c r="L54" s="359"/>
      <c r="M54" s="360"/>
      <c r="N54" s="33"/>
      <c r="O54" s="33"/>
      <c r="P54" s="252"/>
      <c r="Q54" s="113"/>
      <c r="R54" s="113"/>
      <c r="S54" s="113"/>
      <c r="T54" s="52"/>
      <c r="U54" s="5"/>
      <c r="V54" s="231"/>
      <c r="W54" s="231"/>
      <c r="X54" s="231"/>
      <c r="Y54" s="113"/>
      <c r="Z54" s="357"/>
      <c r="AA54" s="118" t="s">
        <v>2877</v>
      </c>
      <c r="AB54" s="118"/>
      <c r="AC54" s="118"/>
      <c r="AD54" s="52"/>
      <c r="AE54" s="5"/>
      <c r="AF54" s="358"/>
      <c r="AG54" s="358"/>
      <c r="AH54" s="358"/>
      <c r="AI54" s="358"/>
      <c r="AJ54" s="358"/>
      <c r="AK54" s="113"/>
      <c r="AL54" s="113"/>
      <c r="AM54" s="113"/>
      <c r="AN54" s="113"/>
      <c r="AO54" s="113"/>
      <c r="AP54" s="52"/>
      <c r="AQ54" s="52"/>
      <c r="AR54" s="52"/>
      <c r="AS54" s="52"/>
      <c r="AT54" s="52"/>
      <c r="AU54" s="125"/>
      <c r="AV54" s="125"/>
      <c r="AW54" s="125"/>
      <c r="AX54" s="5"/>
      <c r="AY54" s="5"/>
      <c r="AZ54" s="113">
        <v>80000</v>
      </c>
      <c r="BA54" s="113">
        <v>15200</v>
      </c>
      <c r="BB54" s="113">
        <v>95200</v>
      </c>
      <c r="BC54" s="52" t="s">
        <v>2970</v>
      </c>
      <c r="BD54" s="52" t="s">
        <v>3045</v>
      </c>
      <c r="BE54" s="118"/>
      <c r="BF54" s="118"/>
      <c r="BG54" s="118"/>
      <c r="BH54" s="52"/>
      <c r="BI54" s="283"/>
      <c r="BJ54" s="52"/>
      <c r="BK54" s="52"/>
      <c r="BL54" s="52"/>
      <c r="BM54" s="52"/>
      <c r="BN54" s="52"/>
      <c r="BO54" s="52"/>
      <c r="BP54" s="52"/>
      <c r="BQ54" s="52"/>
      <c r="BR54" s="52"/>
      <c r="BS54" s="52"/>
      <c r="BT54" s="52"/>
      <c r="BU54" s="52"/>
      <c r="BV54" s="52"/>
      <c r="BW54" s="52"/>
      <c r="BX54" s="52"/>
      <c r="BY54" s="52"/>
      <c r="BZ54" s="52"/>
      <c r="CA54" s="52"/>
      <c r="CB54" s="52"/>
      <c r="CC54" s="52"/>
      <c r="CD54" s="118"/>
      <c r="CE54" s="52"/>
      <c r="CF54" s="52"/>
      <c r="CG54" s="52"/>
      <c r="CH54" s="52"/>
      <c r="CI54" s="52"/>
      <c r="CJ54" s="52"/>
      <c r="CK54" s="52"/>
      <c r="CL54" s="52"/>
      <c r="CM54" s="52"/>
      <c r="CN54" s="118"/>
      <c r="CO54" s="118"/>
      <c r="CP54" s="118"/>
      <c r="CQ54" s="52"/>
      <c r="CR54" s="52"/>
      <c r="CS54" s="52"/>
      <c r="CT54" s="52"/>
      <c r="CU54" s="52"/>
      <c r="CV54" s="52"/>
      <c r="CW54" s="52"/>
      <c r="CX54" s="52"/>
      <c r="CY54" s="52"/>
      <c r="CZ54" s="52"/>
      <c r="DA54" s="52"/>
      <c r="DB54" s="52"/>
    </row>
    <row r="55" spans="1:106" ht="40.5" x14ac:dyDescent="0.25">
      <c r="A55" s="411">
        <v>53</v>
      </c>
      <c r="B55" s="412" t="s">
        <v>3046</v>
      </c>
      <c r="C55" s="413" t="s">
        <v>622</v>
      </c>
      <c r="D55" s="409" t="s">
        <v>445</v>
      </c>
      <c r="E55" s="80">
        <v>1</v>
      </c>
      <c r="F55" s="356">
        <v>69128.290000000008</v>
      </c>
      <c r="G55" s="293"/>
      <c r="H55" s="293"/>
      <c r="I55" s="293"/>
      <c r="J55" s="52"/>
      <c r="K55" s="52"/>
      <c r="L55" s="359"/>
      <c r="M55" s="360"/>
      <c r="N55" s="33"/>
      <c r="O55" s="33"/>
      <c r="P55" s="252"/>
      <c r="Q55" s="113"/>
      <c r="R55" s="113"/>
      <c r="S55" s="113"/>
      <c r="T55" s="52"/>
      <c r="U55" s="5"/>
      <c r="V55" s="231"/>
      <c r="W55" s="231"/>
      <c r="X55" s="231"/>
      <c r="Y55" s="113"/>
      <c r="Z55" s="357"/>
      <c r="AA55" s="118" t="s">
        <v>2877</v>
      </c>
      <c r="AB55" s="118"/>
      <c r="AC55" s="118"/>
      <c r="AD55" s="52"/>
      <c r="AE55" s="5"/>
      <c r="AF55" s="358"/>
      <c r="AG55" s="358"/>
      <c r="AH55" s="358"/>
      <c r="AI55" s="358"/>
      <c r="AJ55" s="358"/>
      <c r="AK55" s="113"/>
      <c r="AL55" s="113"/>
      <c r="AM55" s="113"/>
      <c r="AN55" s="113"/>
      <c r="AO55" s="113"/>
      <c r="AP55" s="52"/>
      <c r="AQ55" s="52"/>
      <c r="AR55" s="52"/>
      <c r="AS55" s="52"/>
      <c r="AT55" s="52"/>
      <c r="AU55" s="125"/>
      <c r="AV55" s="125"/>
      <c r="AW55" s="125"/>
      <c r="AX55" s="5"/>
      <c r="AY55" s="5"/>
      <c r="AZ55" s="113">
        <v>80000</v>
      </c>
      <c r="BA55" s="113">
        <v>15200</v>
      </c>
      <c r="BB55" s="113">
        <v>95200</v>
      </c>
      <c r="BC55" s="52" t="s">
        <v>2970</v>
      </c>
      <c r="BD55" s="52" t="s">
        <v>3047</v>
      </c>
      <c r="BE55" s="118"/>
      <c r="BF55" s="118"/>
      <c r="BG55" s="118"/>
      <c r="BH55" s="52"/>
      <c r="BI55" s="283"/>
      <c r="BJ55" s="52"/>
      <c r="BK55" s="52"/>
      <c r="BL55" s="52"/>
      <c r="BM55" s="52"/>
      <c r="BN55" s="52"/>
      <c r="BO55" s="52"/>
      <c r="BP55" s="52"/>
      <c r="BQ55" s="52"/>
      <c r="BR55" s="52"/>
      <c r="BS55" s="52"/>
      <c r="BT55" s="52"/>
      <c r="BU55" s="52"/>
      <c r="BV55" s="52"/>
      <c r="BW55" s="52"/>
      <c r="BX55" s="52"/>
      <c r="BY55" s="52"/>
      <c r="BZ55" s="52"/>
      <c r="CA55" s="52"/>
      <c r="CB55" s="52"/>
      <c r="CC55" s="52"/>
      <c r="CD55" s="118"/>
      <c r="CE55" s="52"/>
      <c r="CF55" s="52"/>
      <c r="CG55" s="52"/>
      <c r="CH55" s="52"/>
      <c r="CI55" s="52"/>
      <c r="CJ55" s="52"/>
      <c r="CK55" s="52"/>
      <c r="CL55" s="52"/>
      <c r="CM55" s="52"/>
      <c r="CN55" s="118"/>
      <c r="CO55" s="118"/>
      <c r="CP55" s="118"/>
      <c r="CQ55" s="52"/>
      <c r="CR55" s="52"/>
      <c r="CS55" s="52"/>
      <c r="CT55" s="52"/>
      <c r="CU55" s="52"/>
      <c r="CV55" s="52"/>
      <c r="CW55" s="52"/>
      <c r="CX55" s="52"/>
      <c r="CY55" s="52"/>
      <c r="CZ55" s="52"/>
      <c r="DA55" s="52"/>
      <c r="DB55" s="52"/>
    </row>
    <row r="56" spans="1:106" ht="27" x14ac:dyDescent="0.25">
      <c r="A56" s="411">
        <v>54</v>
      </c>
      <c r="B56" s="412" t="s">
        <v>3048</v>
      </c>
      <c r="C56" s="413" t="s">
        <v>622</v>
      </c>
      <c r="D56" s="426" t="s">
        <v>445</v>
      </c>
      <c r="E56" s="80">
        <v>1</v>
      </c>
      <c r="F56" s="356">
        <v>69128.290000000008</v>
      </c>
      <c r="G56" s="293"/>
      <c r="H56" s="293"/>
      <c r="I56" s="293"/>
      <c r="J56" s="52"/>
      <c r="K56" s="52"/>
      <c r="L56" s="359"/>
      <c r="M56" s="360"/>
      <c r="N56" s="33"/>
      <c r="O56" s="33"/>
      <c r="P56" s="252"/>
      <c r="Q56" s="113"/>
      <c r="R56" s="113"/>
      <c r="S56" s="113"/>
      <c r="T56" s="52"/>
      <c r="U56" s="5"/>
      <c r="V56" s="231"/>
      <c r="W56" s="231"/>
      <c r="X56" s="231"/>
      <c r="Y56" s="113"/>
      <c r="Z56" s="357"/>
      <c r="AA56" s="118" t="s">
        <v>2877</v>
      </c>
      <c r="AB56" s="118"/>
      <c r="AC56" s="118"/>
      <c r="AD56" s="52"/>
      <c r="AE56" s="5"/>
      <c r="AF56" s="358"/>
      <c r="AG56" s="358"/>
      <c r="AH56" s="358"/>
      <c r="AI56" s="358"/>
      <c r="AJ56" s="358"/>
      <c r="AK56" s="113"/>
      <c r="AL56" s="113"/>
      <c r="AM56" s="113"/>
      <c r="AN56" s="113"/>
      <c r="AO56" s="113"/>
      <c r="AP56" s="52"/>
      <c r="AQ56" s="52"/>
      <c r="AR56" s="52"/>
      <c r="AS56" s="52"/>
      <c r="AT56" s="52"/>
      <c r="AU56" s="125"/>
      <c r="AV56" s="125"/>
      <c r="AW56" s="125"/>
      <c r="AX56" s="5"/>
      <c r="AY56" s="5"/>
      <c r="AZ56" s="113">
        <v>36000</v>
      </c>
      <c r="BA56" s="113">
        <v>6840</v>
      </c>
      <c r="BB56" s="113">
        <v>42840</v>
      </c>
      <c r="BC56" s="52" t="s">
        <v>2970</v>
      </c>
      <c r="BD56" s="52" t="s">
        <v>3049</v>
      </c>
      <c r="BE56" s="118"/>
      <c r="BF56" s="118"/>
      <c r="BG56" s="118"/>
      <c r="BH56" s="52"/>
      <c r="BI56" s="283"/>
      <c r="BJ56" s="52"/>
      <c r="BK56" s="52"/>
      <c r="BL56" s="52"/>
      <c r="BM56" s="52"/>
      <c r="BN56" s="52"/>
      <c r="BO56" s="52"/>
      <c r="BP56" s="52"/>
      <c r="BQ56" s="52"/>
      <c r="BR56" s="52"/>
      <c r="BS56" s="52"/>
      <c r="BT56" s="52"/>
      <c r="BU56" s="52"/>
      <c r="BV56" s="52"/>
      <c r="BW56" s="52"/>
      <c r="BX56" s="52"/>
      <c r="BY56" s="52"/>
      <c r="BZ56" s="52"/>
      <c r="CA56" s="52"/>
      <c r="CB56" s="52"/>
      <c r="CC56" s="52"/>
      <c r="CD56" s="118"/>
      <c r="CE56" s="52"/>
      <c r="CF56" s="52"/>
      <c r="CG56" s="52"/>
      <c r="CH56" s="52"/>
      <c r="CI56" s="52"/>
      <c r="CJ56" s="52"/>
      <c r="CK56" s="52"/>
      <c r="CL56" s="52"/>
      <c r="CM56" s="52"/>
      <c r="CN56" s="118"/>
      <c r="CO56" s="118"/>
      <c r="CP56" s="118"/>
      <c r="CQ56" s="52"/>
      <c r="CR56" s="52"/>
      <c r="CS56" s="52"/>
      <c r="CT56" s="52"/>
      <c r="CU56" s="52"/>
      <c r="CV56" s="52"/>
      <c r="CW56" s="52"/>
      <c r="CX56" s="52"/>
      <c r="CY56" s="52"/>
      <c r="CZ56" s="52"/>
      <c r="DA56" s="52"/>
      <c r="DB56" s="52"/>
    </row>
    <row r="57" spans="1:106" ht="27" x14ac:dyDescent="0.25">
      <c r="A57" s="411">
        <v>55</v>
      </c>
      <c r="B57" s="412" t="s">
        <v>3050</v>
      </c>
      <c r="C57" s="413" t="s">
        <v>622</v>
      </c>
      <c r="D57" s="426" t="s">
        <v>445</v>
      </c>
      <c r="E57" s="80">
        <v>1</v>
      </c>
      <c r="F57" s="356">
        <v>69128.290000000008</v>
      </c>
      <c r="G57" s="293"/>
      <c r="H57" s="293"/>
      <c r="I57" s="293"/>
      <c r="J57" s="52"/>
      <c r="K57" s="52"/>
      <c r="L57" s="359"/>
      <c r="M57" s="360"/>
      <c r="N57" s="33"/>
      <c r="O57" s="33"/>
      <c r="P57" s="252"/>
      <c r="Q57" s="113"/>
      <c r="R57" s="113"/>
      <c r="S57" s="113"/>
      <c r="T57" s="52"/>
      <c r="U57" s="5"/>
      <c r="V57" s="231"/>
      <c r="W57" s="231"/>
      <c r="X57" s="231"/>
      <c r="Y57" s="113"/>
      <c r="Z57" s="357"/>
      <c r="AA57" s="118" t="s">
        <v>2877</v>
      </c>
      <c r="AB57" s="118"/>
      <c r="AC57" s="118"/>
      <c r="AD57" s="52"/>
      <c r="AE57" s="5"/>
      <c r="AF57" s="358"/>
      <c r="AG57" s="358"/>
      <c r="AH57" s="358"/>
      <c r="AI57" s="358"/>
      <c r="AJ57" s="358"/>
      <c r="AK57" s="113"/>
      <c r="AL57" s="113"/>
      <c r="AM57" s="113"/>
      <c r="AN57" s="113"/>
      <c r="AO57" s="113"/>
      <c r="AP57" s="52"/>
      <c r="AQ57" s="52"/>
      <c r="AR57" s="52"/>
      <c r="AS57" s="52"/>
      <c r="AT57" s="52"/>
      <c r="AU57" s="125"/>
      <c r="AV57" s="125"/>
      <c r="AW57" s="125"/>
      <c r="AX57" s="5"/>
      <c r="AY57" s="5"/>
      <c r="AZ57" s="113">
        <v>44000</v>
      </c>
      <c r="BA57" s="113">
        <v>8360</v>
      </c>
      <c r="BB57" s="113">
        <v>52360</v>
      </c>
      <c r="BC57" s="52" t="s">
        <v>2970</v>
      </c>
      <c r="BD57" s="52" t="s">
        <v>3051</v>
      </c>
      <c r="BE57" s="118"/>
      <c r="BF57" s="118"/>
      <c r="BG57" s="118"/>
      <c r="BH57" s="52"/>
      <c r="BI57" s="283"/>
      <c r="BJ57" s="52"/>
      <c r="BK57" s="52"/>
      <c r="BL57" s="52"/>
      <c r="BM57" s="52"/>
      <c r="BN57" s="52"/>
      <c r="BO57" s="52"/>
      <c r="BP57" s="52"/>
      <c r="BQ57" s="52"/>
      <c r="BR57" s="52"/>
      <c r="BS57" s="52"/>
      <c r="BT57" s="52"/>
      <c r="BU57" s="52"/>
      <c r="BV57" s="52"/>
      <c r="BW57" s="52"/>
      <c r="BX57" s="52"/>
      <c r="BY57" s="52"/>
      <c r="BZ57" s="52"/>
      <c r="CA57" s="52"/>
      <c r="CB57" s="52"/>
      <c r="CC57" s="52"/>
      <c r="CD57" s="118"/>
      <c r="CE57" s="52"/>
      <c r="CF57" s="52"/>
      <c r="CG57" s="52"/>
      <c r="CH57" s="52"/>
      <c r="CI57" s="52"/>
      <c r="CJ57" s="52"/>
      <c r="CK57" s="52"/>
      <c r="CL57" s="52"/>
      <c r="CM57" s="52"/>
      <c r="CN57" s="118"/>
      <c r="CO57" s="118"/>
      <c r="CP57" s="118"/>
      <c r="CQ57" s="52"/>
      <c r="CR57" s="52"/>
      <c r="CS57" s="52"/>
      <c r="CT57" s="52"/>
      <c r="CU57" s="52"/>
      <c r="CV57" s="52"/>
      <c r="CW57" s="52"/>
      <c r="CX57" s="52"/>
      <c r="CY57" s="52"/>
      <c r="CZ57" s="52"/>
      <c r="DA57" s="52"/>
      <c r="DB57" s="52"/>
    </row>
    <row r="58" spans="1:106" ht="13.5" x14ac:dyDescent="0.25">
      <c r="A58" s="411">
        <v>56</v>
      </c>
      <c r="B58" s="409" t="s">
        <v>3052</v>
      </c>
      <c r="C58" s="413" t="s">
        <v>3053</v>
      </c>
      <c r="D58" s="409" t="s">
        <v>3054</v>
      </c>
      <c r="E58" s="80">
        <v>1</v>
      </c>
      <c r="F58" s="80"/>
      <c r="G58" s="293"/>
      <c r="H58" s="293"/>
      <c r="I58" s="293"/>
      <c r="J58" s="52"/>
      <c r="K58" s="52"/>
      <c r="L58" s="359"/>
      <c r="M58" s="360"/>
      <c r="N58" s="33"/>
      <c r="O58" s="33"/>
      <c r="P58" s="252"/>
      <c r="Q58" s="113"/>
      <c r="R58" s="113"/>
      <c r="S58" s="113"/>
      <c r="T58" s="52"/>
      <c r="U58" s="5"/>
      <c r="V58" s="231"/>
      <c r="W58" s="231"/>
      <c r="X58" s="231"/>
      <c r="Y58" s="113"/>
      <c r="Z58" s="357"/>
      <c r="AA58" s="118" t="s">
        <v>2877</v>
      </c>
      <c r="AB58" s="118"/>
      <c r="AC58" s="118"/>
      <c r="AD58" s="52"/>
      <c r="AE58" s="5"/>
      <c r="AF58" s="358"/>
      <c r="AG58" s="358"/>
      <c r="AH58" s="358"/>
      <c r="AI58" s="358"/>
      <c r="AJ58" s="358"/>
      <c r="AK58" s="113"/>
      <c r="AL58" s="113"/>
      <c r="AM58" s="113"/>
      <c r="AN58" s="113"/>
      <c r="AO58" s="113"/>
      <c r="AP58" s="52"/>
      <c r="AQ58" s="52"/>
      <c r="AR58" s="52"/>
      <c r="AS58" s="52"/>
      <c r="AT58" s="52"/>
      <c r="AU58" s="125"/>
      <c r="AV58" s="125"/>
      <c r="AW58" s="125"/>
      <c r="AX58" s="5"/>
      <c r="AY58" s="5"/>
      <c r="AZ58" s="113">
        <v>16000</v>
      </c>
      <c r="BA58" s="113">
        <v>3040</v>
      </c>
      <c r="BB58" s="113">
        <v>19040</v>
      </c>
      <c r="BC58" s="52" t="s">
        <v>3055</v>
      </c>
      <c r="BD58" s="52">
        <v>16631</v>
      </c>
      <c r="BE58" s="118"/>
      <c r="BF58" s="118"/>
      <c r="BG58" s="118"/>
      <c r="BH58" s="52"/>
      <c r="BI58" s="283"/>
      <c r="BJ58" s="52"/>
      <c r="BK58" s="52"/>
      <c r="BL58" s="52"/>
      <c r="BM58" s="52"/>
      <c r="BN58" s="52"/>
      <c r="BO58" s="52"/>
      <c r="BP58" s="52"/>
      <c r="BQ58" s="52"/>
      <c r="BR58" s="52"/>
      <c r="BS58" s="52"/>
      <c r="BT58" s="52"/>
      <c r="BU58" s="52"/>
      <c r="BV58" s="52"/>
      <c r="BW58" s="52"/>
      <c r="BX58" s="52"/>
      <c r="BY58" s="52"/>
      <c r="BZ58" s="52"/>
      <c r="CA58" s="52"/>
      <c r="CB58" s="52"/>
      <c r="CC58" s="52"/>
      <c r="CD58" s="118"/>
      <c r="CE58" s="52"/>
      <c r="CF58" s="52"/>
      <c r="CG58" s="52"/>
      <c r="CH58" s="52"/>
      <c r="CI58" s="52"/>
      <c r="CJ58" s="52"/>
      <c r="CK58" s="52"/>
      <c r="CL58" s="52"/>
      <c r="CM58" s="52"/>
      <c r="CN58" s="118"/>
      <c r="CO58" s="118"/>
      <c r="CP58" s="118"/>
      <c r="CQ58" s="52"/>
      <c r="CR58" s="52"/>
      <c r="CS58" s="52"/>
      <c r="CT58" s="52"/>
      <c r="CU58" s="52"/>
      <c r="CV58" s="52"/>
      <c r="CW58" s="52"/>
      <c r="CX58" s="52"/>
      <c r="CY58" s="52"/>
      <c r="CZ58" s="52"/>
      <c r="DA58" s="52"/>
      <c r="DB58" s="52"/>
    </row>
    <row r="59" spans="1:106" ht="13.5" x14ac:dyDescent="0.25">
      <c r="A59" s="411">
        <v>57</v>
      </c>
      <c r="B59" s="416" t="s">
        <v>3056</v>
      </c>
      <c r="C59" s="563" t="s">
        <v>622</v>
      </c>
      <c r="D59" s="409" t="s">
        <v>445</v>
      </c>
      <c r="E59" s="80">
        <v>1</v>
      </c>
      <c r="F59" s="80"/>
      <c r="G59" s="293"/>
      <c r="H59" s="293"/>
      <c r="I59" s="293"/>
      <c r="J59" s="52"/>
      <c r="K59" s="52"/>
      <c r="L59" s="359"/>
      <c r="M59" s="360"/>
      <c r="N59" s="33"/>
      <c r="O59" s="33"/>
      <c r="P59" s="252"/>
      <c r="Q59" s="113"/>
      <c r="R59" s="113"/>
      <c r="S59" s="113"/>
      <c r="T59" s="52"/>
      <c r="U59" s="5"/>
      <c r="V59" s="231"/>
      <c r="W59" s="231"/>
      <c r="X59" s="231"/>
      <c r="Y59" s="113"/>
      <c r="Z59" s="357"/>
      <c r="AA59" s="118" t="s">
        <v>2877</v>
      </c>
      <c r="AB59" s="118"/>
      <c r="AC59" s="118"/>
      <c r="AD59" s="52"/>
      <c r="AE59" s="5"/>
      <c r="AF59" s="358"/>
      <c r="AG59" s="358"/>
      <c r="AH59" s="358"/>
      <c r="AI59" s="358"/>
      <c r="AJ59" s="358"/>
      <c r="AK59" s="113"/>
      <c r="AL59" s="113"/>
      <c r="AM59" s="113"/>
      <c r="AN59" s="113"/>
      <c r="AO59" s="113"/>
      <c r="AP59" s="52"/>
      <c r="AQ59" s="52"/>
      <c r="AR59" s="52"/>
      <c r="AS59" s="52"/>
      <c r="AT59" s="52"/>
      <c r="AU59" s="125"/>
      <c r="AV59" s="125"/>
      <c r="AW59" s="125"/>
      <c r="AX59" s="5"/>
      <c r="AY59" s="5"/>
      <c r="AZ59" s="113">
        <v>240000</v>
      </c>
      <c r="BA59" s="113">
        <v>45600</v>
      </c>
      <c r="BB59" s="113">
        <v>285600</v>
      </c>
      <c r="BC59" s="52" t="s">
        <v>2970</v>
      </c>
      <c r="BD59" s="52"/>
      <c r="BE59" s="118"/>
      <c r="BF59" s="118"/>
      <c r="BG59" s="118"/>
      <c r="BH59" s="52"/>
      <c r="BI59" s="283"/>
      <c r="BJ59" s="52"/>
      <c r="BK59" s="52"/>
      <c r="BL59" s="52"/>
      <c r="BM59" s="52"/>
      <c r="BN59" s="52"/>
      <c r="BO59" s="52"/>
      <c r="BP59" s="52"/>
      <c r="BQ59" s="52"/>
      <c r="BR59" s="52"/>
      <c r="BS59" s="52"/>
      <c r="BT59" s="52"/>
      <c r="BU59" s="52"/>
      <c r="BV59" s="52"/>
      <c r="BW59" s="52"/>
      <c r="BX59" s="52"/>
      <c r="BY59" s="52"/>
      <c r="BZ59" s="52"/>
      <c r="CA59" s="52"/>
      <c r="CB59" s="52"/>
      <c r="CC59" s="52"/>
      <c r="CD59" s="118"/>
      <c r="CE59" s="52"/>
      <c r="CF59" s="52"/>
      <c r="CG59" s="52"/>
      <c r="CH59" s="52"/>
      <c r="CI59" s="52"/>
      <c r="CJ59" s="52"/>
      <c r="CK59" s="52"/>
      <c r="CL59" s="52"/>
      <c r="CM59" s="52"/>
      <c r="CN59" s="118"/>
      <c r="CO59" s="118"/>
      <c r="CP59" s="118"/>
      <c r="CQ59" s="52"/>
      <c r="CR59" s="52"/>
      <c r="CS59" s="52"/>
      <c r="CT59" s="52"/>
      <c r="CU59" s="52"/>
      <c r="CV59" s="52"/>
      <c r="CW59" s="52"/>
      <c r="CX59" s="52"/>
      <c r="CY59" s="52"/>
      <c r="CZ59" s="52"/>
      <c r="DA59" s="52"/>
      <c r="DB59" s="52"/>
    </row>
    <row r="60" spans="1:106" ht="27" x14ac:dyDescent="0.25">
      <c r="A60" s="411">
        <v>58</v>
      </c>
      <c r="B60" s="412" t="s">
        <v>3057</v>
      </c>
      <c r="C60" s="413" t="s">
        <v>622</v>
      </c>
      <c r="D60" s="426" t="s">
        <v>3058</v>
      </c>
      <c r="E60" s="80">
        <v>1</v>
      </c>
      <c r="F60" s="356">
        <v>23252.243000000002</v>
      </c>
      <c r="G60" s="293"/>
      <c r="H60" s="293"/>
      <c r="I60" s="293"/>
      <c r="J60" s="52"/>
      <c r="K60" s="52"/>
      <c r="L60" s="359"/>
      <c r="M60" s="360"/>
      <c r="N60" s="33"/>
      <c r="O60" s="33"/>
      <c r="P60" s="252"/>
      <c r="Q60" s="113"/>
      <c r="R60" s="113"/>
      <c r="S60" s="113"/>
      <c r="T60" s="52"/>
      <c r="U60" s="5"/>
      <c r="V60" s="231"/>
      <c r="W60" s="231"/>
      <c r="X60" s="231"/>
      <c r="Y60" s="113"/>
      <c r="Z60" s="357"/>
      <c r="AA60" s="118" t="s">
        <v>2877</v>
      </c>
      <c r="AB60" s="118"/>
      <c r="AC60" s="118"/>
      <c r="AD60" s="52"/>
      <c r="AE60" s="5"/>
      <c r="AF60" s="358"/>
      <c r="AG60" s="358"/>
      <c r="AH60" s="358"/>
      <c r="AI60" s="358"/>
      <c r="AJ60" s="358"/>
      <c r="AK60" s="113"/>
      <c r="AL60" s="113"/>
      <c r="AM60" s="113"/>
      <c r="AN60" s="113"/>
      <c r="AO60" s="113"/>
      <c r="AP60" s="52"/>
      <c r="AQ60" s="52"/>
      <c r="AR60" s="52"/>
      <c r="AS60" s="52"/>
      <c r="AT60" s="52"/>
      <c r="AU60" s="125"/>
      <c r="AV60" s="125"/>
      <c r="AW60" s="125"/>
      <c r="AX60" s="5"/>
      <c r="AY60" s="5"/>
      <c r="AZ60" s="113">
        <v>1034000</v>
      </c>
      <c r="BA60" s="113">
        <v>196460</v>
      </c>
      <c r="BB60" s="113">
        <v>1230460</v>
      </c>
      <c r="BC60" s="52" t="s">
        <v>338</v>
      </c>
      <c r="BD60" s="52" t="s">
        <v>3059</v>
      </c>
      <c r="BE60" s="118"/>
      <c r="BF60" s="118"/>
      <c r="BG60" s="118"/>
      <c r="BH60" s="52"/>
      <c r="BI60" s="283"/>
      <c r="BJ60" s="52"/>
      <c r="BK60" s="52"/>
      <c r="BL60" s="52"/>
      <c r="BM60" s="52"/>
      <c r="BN60" s="52"/>
      <c r="BO60" s="52"/>
      <c r="BP60" s="52"/>
      <c r="BQ60" s="52"/>
      <c r="BR60" s="52"/>
      <c r="BS60" s="52"/>
      <c r="BT60" s="52"/>
      <c r="BU60" s="52"/>
      <c r="BV60" s="52"/>
      <c r="BW60" s="52"/>
      <c r="BX60" s="52"/>
      <c r="BY60" s="52"/>
      <c r="BZ60" s="52"/>
      <c r="CA60" s="52"/>
      <c r="CB60" s="52"/>
      <c r="CC60" s="52"/>
      <c r="CD60" s="118"/>
      <c r="CE60" s="52"/>
      <c r="CF60" s="52"/>
      <c r="CG60" s="52"/>
      <c r="CH60" s="52"/>
      <c r="CI60" s="52"/>
      <c r="CJ60" s="52"/>
      <c r="CK60" s="52"/>
      <c r="CL60" s="52"/>
      <c r="CM60" s="52"/>
      <c r="CN60" s="118"/>
      <c r="CO60" s="118"/>
      <c r="CP60" s="118"/>
      <c r="CQ60" s="52"/>
      <c r="CR60" s="52"/>
      <c r="CS60" s="52"/>
      <c r="CT60" s="52"/>
      <c r="CU60" s="52"/>
      <c r="CV60" s="52"/>
      <c r="CW60" s="52"/>
      <c r="CX60" s="52"/>
      <c r="CY60" s="52"/>
      <c r="CZ60" s="52"/>
      <c r="DA60" s="52"/>
      <c r="DB60" s="52"/>
    </row>
    <row r="61" spans="1:106" ht="27" x14ac:dyDescent="0.25">
      <c r="A61" s="411">
        <v>59</v>
      </c>
      <c r="B61" s="412" t="s">
        <v>3060</v>
      </c>
      <c r="C61" s="413" t="s">
        <v>622</v>
      </c>
      <c r="D61" s="426" t="s">
        <v>445</v>
      </c>
      <c r="E61" s="80">
        <v>1</v>
      </c>
      <c r="F61" s="356">
        <v>52788.876000000004</v>
      </c>
      <c r="G61" s="293"/>
      <c r="H61" s="293"/>
      <c r="I61" s="293"/>
      <c r="J61" s="52"/>
      <c r="K61" s="52"/>
      <c r="L61" s="359"/>
      <c r="M61" s="360"/>
      <c r="N61" s="33"/>
      <c r="O61" s="33"/>
      <c r="P61" s="252"/>
      <c r="Q61" s="113"/>
      <c r="R61" s="113"/>
      <c r="S61" s="113"/>
      <c r="T61" s="52"/>
      <c r="U61" s="5"/>
      <c r="V61" s="231"/>
      <c r="W61" s="231"/>
      <c r="X61" s="231"/>
      <c r="Y61" s="113"/>
      <c r="Z61" s="357"/>
      <c r="AA61" s="118" t="s">
        <v>2877</v>
      </c>
      <c r="AB61" s="118"/>
      <c r="AC61" s="118"/>
      <c r="AD61" s="52"/>
      <c r="AE61" s="5"/>
      <c r="AF61" s="358"/>
      <c r="AG61" s="358"/>
      <c r="AH61" s="358"/>
      <c r="AI61" s="358"/>
      <c r="AJ61" s="358"/>
      <c r="AK61" s="113"/>
      <c r="AL61" s="113"/>
      <c r="AM61" s="113"/>
      <c r="AN61" s="113"/>
      <c r="AO61" s="113"/>
      <c r="AP61" s="52"/>
      <c r="AQ61" s="52"/>
      <c r="AR61" s="52"/>
      <c r="AS61" s="52"/>
      <c r="AT61" s="52"/>
      <c r="AU61" s="125"/>
      <c r="AV61" s="125"/>
      <c r="AW61" s="125"/>
      <c r="AX61" s="5"/>
      <c r="AY61" s="5"/>
      <c r="AZ61" s="113">
        <v>50000</v>
      </c>
      <c r="BA61" s="113">
        <v>9500</v>
      </c>
      <c r="BB61" s="113">
        <v>59500</v>
      </c>
      <c r="BC61" s="52" t="s">
        <v>3061</v>
      </c>
      <c r="BD61" s="52">
        <v>6347905</v>
      </c>
      <c r="BE61" s="118"/>
      <c r="BF61" s="118"/>
      <c r="BG61" s="118"/>
      <c r="BH61" s="52"/>
      <c r="BI61" s="283"/>
      <c r="BJ61" s="52"/>
      <c r="BK61" s="52"/>
      <c r="BL61" s="52"/>
      <c r="BM61" s="52"/>
      <c r="BN61" s="52"/>
      <c r="BO61" s="52"/>
      <c r="BP61" s="52"/>
      <c r="BQ61" s="52"/>
      <c r="BR61" s="52"/>
      <c r="BS61" s="52"/>
      <c r="BT61" s="52"/>
      <c r="BU61" s="52"/>
      <c r="BV61" s="52"/>
      <c r="BW61" s="52"/>
      <c r="BX61" s="52"/>
      <c r="BY61" s="52"/>
      <c r="BZ61" s="52"/>
      <c r="CA61" s="52"/>
      <c r="CB61" s="52"/>
      <c r="CC61" s="52"/>
      <c r="CD61" s="118"/>
      <c r="CE61" s="52"/>
      <c r="CF61" s="52"/>
      <c r="CG61" s="52"/>
      <c r="CH61" s="52"/>
      <c r="CI61" s="52"/>
      <c r="CJ61" s="52"/>
      <c r="CK61" s="52"/>
      <c r="CL61" s="52"/>
      <c r="CM61" s="52"/>
      <c r="CN61" s="118"/>
      <c r="CO61" s="118"/>
      <c r="CP61" s="118"/>
      <c r="CQ61" s="52"/>
      <c r="CR61" s="52"/>
      <c r="CS61" s="52"/>
      <c r="CT61" s="52"/>
      <c r="CU61" s="52"/>
      <c r="CV61" s="52"/>
      <c r="CW61" s="52"/>
      <c r="CX61" s="52"/>
      <c r="CY61" s="52"/>
      <c r="CZ61" s="52"/>
      <c r="DA61" s="52"/>
      <c r="DB61" s="52"/>
    </row>
    <row r="62" spans="1:106" ht="27" x14ac:dyDescent="0.25">
      <c r="A62" s="411">
        <v>60</v>
      </c>
      <c r="B62" s="412" t="s">
        <v>3062</v>
      </c>
      <c r="C62" s="413" t="s">
        <v>3063</v>
      </c>
      <c r="D62" s="426" t="s">
        <v>3064</v>
      </c>
      <c r="E62" s="80">
        <v>1</v>
      </c>
      <c r="F62" s="356">
        <v>796860.652</v>
      </c>
      <c r="G62" s="293"/>
      <c r="H62" s="293"/>
      <c r="I62" s="293"/>
      <c r="J62" s="52"/>
      <c r="K62" s="52"/>
      <c r="L62" s="359"/>
      <c r="M62" s="360"/>
      <c r="N62" s="33"/>
      <c r="O62" s="33"/>
      <c r="P62" s="252"/>
      <c r="Q62" s="113"/>
      <c r="R62" s="113"/>
      <c r="S62" s="113"/>
      <c r="T62" s="52"/>
      <c r="U62" s="5"/>
      <c r="V62" s="231"/>
      <c r="W62" s="231"/>
      <c r="X62" s="231"/>
      <c r="Y62" s="113"/>
      <c r="Z62" s="357"/>
      <c r="AA62" s="118" t="s">
        <v>2877</v>
      </c>
      <c r="AB62" s="118"/>
      <c r="AC62" s="118"/>
      <c r="AD62" s="52"/>
      <c r="AE62" s="5"/>
      <c r="AF62" s="358"/>
      <c r="AG62" s="358"/>
      <c r="AH62" s="358"/>
      <c r="AI62" s="358"/>
      <c r="AJ62" s="358"/>
      <c r="AK62" s="113"/>
      <c r="AL62" s="113"/>
      <c r="AM62" s="113"/>
      <c r="AN62" s="113"/>
      <c r="AO62" s="113"/>
      <c r="AP62" s="52"/>
      <c r="AQ62" s="52"/>
      <c r="AR62" s="52"/>
      <c r="AS62" s="52"/>
      <c r="AT62" s="52"/>
      <c r="AU62" s="125"/>
      <c r="AV62" s="125"/>
      <c r="AW62" s="125"/>
      <c r="AX62" s="5"/>
      <c r="AY62" s="5"/>
      <c r="AZ62" s="113">
        <v>939000</v>
      </c>
      <c r="BA62" s="113">
        <v>178410</v>
      </c>
      <c r="BB62" s="113">
        <v>1117410</v>
      </c>
      <c r="BC62" s="52" t="s">
        <v>338</v>
      </c>
      <c r="BD62" s="52" t="s">
        <v>3065</v>
      </c>
      <c r="BE62" s="118"/>
      <c r="BF62" s="118"/>
      <c r="BG62" s="118"/>
      <c r="BH62" s="52"/>
      <c r="BI62" s="283"/>
      <c r="BJ62" s="52"/>
      <c r="BK62" s="52"/>
      <c r="BL62" s="52"/>
      <c r="BM62" s="52"/>
      <c r="BN62" s="52"/>
      <c r="BO62" s="52"/>
      <c r="BP62" s="52"/>
      <c r="BQ62" s="52"/>
      <c r="BR62" s="52"/>
      <c r="BS62" s="52"/>
      <c r="BT62" s="52"/>
      <c r="BU62" s="52"/>
      <c r="BV62" s="52"/>
      <c r="BW62" s="52"/>
      <c r="BX62" s="52"/>
      <c r="BY62" s="52"/>
      <c r="BZ62" s="52"/>
      <c r="CA62" s="52"/>
      <c r="CB62" s="52"/>
      <c r="CC62" s="52"/>
      <c r="CD62" s="118"/>
      <c r="CE62" s="52"/>
      <c r="CF62" s="52"/>
      <c r="CG62" s="52"/>
      <c r="CH62" s="52"/>
      <c r="CI62" s="52"/>
      <c r="CJ62" s="52"/>
      <c r="CK62" s="52"/>
      <c r="CL62" s="52"/>
      <c r="CM62" s="52"/>
      <c r="CN62" s="118"/>
      <c r="CO62" s="118"/>
      <c r="CP62" s="118"/>
      <c r="CQ62" s="52"/>
      <c r="CR62" s="52"/>
      <c r="CS62" s="52"/>
      <c r="CT62" s="52"/>
      <c r="CU62" s="52"/>
      <c r="CV62" s="52"/>
      <c r="CW62" s="52"/>
      <c r="CX62" s="52"/>
      <c r="CY62" s="52"/>
      <c r="CZ62" s="52"/>
      <c r="DA62" s="52"/>
      <c r="DB62" s="52"/>
    </row>
    <row r="63" spans="1:106" ht="27" x14ac:dyDescent="0.25">
      <c r="A63" s="411">
        <v>61</v>
      </c>
      <c r="B63" s="412" t="s">
        <v>3066</v>
      </c>
      <c r="C63" s="413" t="s">
        <v>3067</v>
      </c>
      <c r="D63" s="426" t="s">
        <v>3064</v>
      </c>
      <c r="E63" s="80">
        <v>1</v>
      </c>
      <c r="F63" s="356">
        <v>604558.31799999997</v>
      </c>
      <c r="G63" s="293"/>
      <c r="H63" s="293"/>
      <c r="I63" s="293"/>
      <c r="J63" s="52"/>
      <c r="K63" s="52"/>
      <c r="L63" s="359"/>
      <c r="M63" s="360"/>
      <c r="N63" s="33"/>
      <c r="O63" s="33"/>
      <c r="P63" s="252"/>
      <c r="Q63" s="113"/>
      <c r="R63" s="113"/>
      <c r="S63" s="113"/>
      <c r="T63" s="52"/>
      <c r="U63" s="5"/>
      <c r="V63" s="231"/>
      <c r="W63" s="231"/>
      <c r="X63" s="231"/>
      <c r="Y63" s="113"/>
      <c r="Z63" s="357"/>
      <c r="AA63" s="118" t="s">
        <v>2877</v>
      </c>
      <c r="AB63" s="118"/>
      <c r="AC63" s="118"/>
      <c r="AD63" s="52"/>
      <c r="AE63" s="5"/>
      <c r="AF63" s="358"/>
      <c r="AG63" s="358"/>
      <c r="AH63" s="358"/>
      <c r="AI63" s="358"/>
      <c r="AJ63" s="358"/>
      <c r="AK63" s="113"/>
      <c r="AL63" s="113"/>
      <c r="AM63" s="113"/>
      <c r="AN63" s="113"/>
      <c r="AO63" s="113"/>
      <c r="AP63" s="52"/>
      <c r="AQ63" s="52"/>
      <c r="AR63" s="52"/>
      <c r="AS63" s="52"/>
      <c r="AT63" s="52"/>
      <c r="AU63" s="125"/>
      <c r="AV63" s="125"/>
      <c r="AW63" s="125"/>
      <c r="AX63" s="5"/>
      <c r="AY63" s="5"/>
      <c r="AZ63" s="113">
        <v>910000</v>
      </c>
      <c r="BA63" s="113">
        <v>172900</v>
      </c>
      <c r="BB63" s="113">
        <v>1082900</v>
      </c>
      <c r="BC63" s="52" t="s">
        <v>338</v>
      </c>
      <c r="BD63" s="52" t="s">
        <v>3068</v>
      </c>
      <c r="BE63" s="118"/>
      <c r="BF63" s="118"/>
      <c r="BG63" s="118"/>
      <c r="BH63" s="52"/>
      <c r="BI63" s="283"/>
      <c r="BJ63" s="52"/>
      <c r="BK63" s="52"/>
      <c r="BL63" s="52"/>
      <c r="BM63" s="52"/>
      <c r="BN63" s="52"/>
      <c r="BO63" s="52"/>
      <c r="BP63" s="52"/>
      <c r="BQ63" s="52"/>
      <c r="BR63" s="52"/>
      <c r="BS63" s="52"/>
      <c r="BT63" s="52"/>
      <c r="BU63" s="52"/>
      <c r="BV63" s="52"/>
      <c r="BW63" s="52"/>
      <c r="BX63" s="52"/>
      <c r="BY63" s="52"/>
      <c r="BZ63" s="52"/>
      <c r="CA63" s="52"/>
      <c r="CB63" s="52"/>
      <c r="CC63" s="52"/>
      <c r="CD63" s="118"/>
      <c r="CE63" s="52"/>
      <c r="CF63" s="52"/>
      <c r="CG63" s="52"/>
      <c r="CH63" s="52"/>
      <c r="CI63" s="52"/>
      <c r="CJ63" s="52"/>
      <c r="CK63" s="52"/>
      <c r="CL63" s="52"/>
      <c r="CM63" s="52"/>
      <c r="CN63" s="118"/>
      <c r="CO63" s="118"/>
      <c r="CP63" s="118"/>
      <c r="CQ63" s="52"/>
      <c r="CR63" s="52"/>
      <c r="CS63" s="52"/>
      <c r="CT63" s="52"/>
      <c r="CU63" s="52"/>
      <c r="CV63" s="52"/>
      <c r="CW63" s="52"/>
      <c r="CX63" s="52"/>
      <c r="CY63" s="52"/>
      <c r="CZ63" s="52"/>
      <c r="DA63" s="52"/>
      <c r="DB63" s="52"/>
    </row>
    <row r="64" spans="1:106" ht="27" x14ac:dyDescent="0.25">
      <c r="A64" s="411">
        <v>62</v>
      </c>
      <c r="B64" s="412" t="s">
        <v>3069</v>
      </c>
      <c r="C64" s="413" t="s">
        <v>3070</v>
      </c>
      <c r="D64" s="426" t="s">
        <v>2901</v>
      </c>
      <c r="E64" s="80">
        <v>1</v>
      </c>
      <c r="F64" s="356">
        <v>1173924.0520000001</v>
      </c>
      <c r="G64" s="293"/>
      <c r="H64" s="293"/>
      <c r="I64" s="293"/>
      <c r="J64" s="52"/>
      <c r="K64" s="52"/>
      <c r="L64" s="359"/>
      <c r="M64" s="360"/>
      <c r="N64" s="33"/>
      <c r="O64" s="33"/>
      <c r="P64" s="252"/>
      <c r="Q64" s="113"/>
      <c r="R64" s="113"/>
      <c r="S64" s="113"/>
      <c r="T64" s="52"/>
      <c r="U64" s="5"/>
      <c r="V64" s="231"/>
      <c r="W64" s="231"/>
      <c r="X64" s="231"/>
      <c r="Y64" s="113"/>
      <c r="Z64" s="357"/>
      <c r="AA64" s="118" t="s">
        <v>2877</v>
      </c>
      <c r="AB64" s="118"/>
      <c r="AC64" s="118"/>
      <c r="AD64" s="52"/>
      <c r="AE64" s="5"/>
      <c r="AF64" s="358"/>
      <c r="AG64" s="358"/>
      <c r="AH64" s="358"/>
      <c r="AI64" s="358"/>
      <c r="AJ64" s="358"/>
      <c r="AK64" s="113"/>
      <c r="AL64" s="113"/>
      <c r="AM64" s="113"/>
      <c r="AN64" s="113"/>
      <c r="AO64" s="113"/>
      <c r="AP64" s="52"/>
      <c r="AQ64" s="52"/>
      <c r="AR64" s="52"/>
      <c r="AS64" s="52"/>
      <c r="AT64" s="52"/>
      <c r="AU64" s="125"/>
      <c r="AV64" s="125"/>
      <c r="AW64" s="125"/>
      <c r="AX64" s="5"/>
      <c r="AY64" s="5"/>
      <c r="AZ64" s="113">
        <v>2494000</v>
      </c>
      <c r="BA64" s="113">
        <v>473860</v>
      </c>
      <c r="BB64" s="113">
        <v>2967860</v>
      </c>
      <c r="BC64" s="52" t="s">
        <v>338</v>
      </c>
      <c r="BD64" s="52" t="s">
        <v>3071</v>
      </c>
      <c r="BE64" s="118"/>
      <c r="BF64" s="118"/>
      <c r="BG64" s="118"/>
      <c r="BH64" s="52"/>
      <c r="BI64" s="283"/>
      <c r="BJ64" s="52"/>
      <c r="BK64" s="52"/>
      <c r="BL64" s="52"/>
      <c r="BM64" s="52"/>
      <c r="BN64" s="52"/>
      <c r="BO64" s="52"/>
      <c r="BP64" s="52"/>
      <c r="BQ64" s="52"/>
      <c r="BR64" s="52"/>
      <c r="BS64" s="52"/>
      <c r="BT64" s="52"/>
      <c r="BU64" s="52"/>
      <c r="BV64" s="52"/>
      <c r="BW64" s="52"/>
      <c r="BX64" s="52"/>
      <c r="BY64" s="52"/>
      <c r="BZ64" s="52"/>
      <c r="CA64" s="52"/>
      <c r="CB64" s="52"/>
      <c r="CC64" s="52"/>
      <c r="CD64" s="118"/>
      <c r="CE64" s="52"/>
      <c r="CF64" s="52"/>
      <c r="CG64" s="52"/>
      <c r="CH64" s="52"/>
      <c r="CI64" s="52"/>
      <c r="CJ64" s="52"/>
      <c r="CK64" s="52"/>
      <c r="CL64" s="52"/>
      <c r="CM64" s="52"/>
      <c r="CN64" s="118"/>
      <c r="CO64" s="118"/>
      <c r="CP64" s="118"/>
      <c r="CQ64" s="52"/>
      <c r="CR64" s="52"/>
      <c r="CS64" s="52"/>
      <c r="CT64" s="52"/>
      <c r="CU64" s="52"/>
      <c r="CV64" s="52"/>
      <c r="CW64" s="52"/>
      <c r="CX64" s="52"/>
      <c r="CY64" s="52"/>
      <c r="CZ64" s="52"/>
      <c r="DA64" s="52"/>
      <c r="DB64" s="52"/>
    </row>
    <row r="65" spans="1:106" ht="27" x14ac:dyDescent="0.25">
      <c r="A65" s="411">
        <v>63</v>
      </c>
      <c r="B65" s="412" t="s">
        <v>3072</v>
      </c>
      <c r="C65" s="413" t="s">
        <v>3073</v>
      </c>
      <c r="D65" s="426" t="s">
        <v>3064</v>
      </c>
      <c r="E65" s="80">
        <v>1</v>
      </c>
      <c r="F65" s="356">
        <v>1079658.202</v>
      </c>
      <c r="G65" s="293"/>
      <c r="H65" s="293"/>
      <c r="I65" s="293"/>
      <c r="J65" s="52"/>
      <c r="K65" s="52"/>
      <c r="L65" s="359"/>
      <c r="M65" s="360"/>
      <c r="N65" s="33"/>
      <c r="O65" s="33"/>
      <c r="P65" s="252"/>
      <c r="Q65" s="113"/>
      <c r="R65" s="113"/>
      <c r="S65" s="113"/>
      <c r="T65" s="52"/>
      <c r="U65" s="5"/>
      <c r="V65" s="231"/>
      <c r="W65" s="231"/>
      <c r="X65" s="231"/>
      <c r="Y65" s="113"/>
      <c r="Z65" s="357"/>
      <c r="AA65" s="118" t="s">
        <v>2877</v>
      </c>
      <c r="AB65" s="118"/>
      <c r="AC65" s="118"/>
      <c r="AD65" s="52"/>
      <c r="AE65" s="5"/>
      <c r="AF65" s="358"/>
      <c r="AG65" s="358"/>
      <c r="AH65" s="358"/>
      <c r="AI65" s="358"/>
      <c r="AJ65" s="358"/>
      <c r="AK65" s="113"/>
      <c r="AL65" s="113"/>
      <c r="AM65" s="113"/>
      <c r="AN65" s="113"/>
      <c r="AO65" s="113"/>
      <c r="AP65" s="52"/>
      <c r="AQ65" s="52"/>
      <c r="AR65" s="52"/>
      <c r="AS65" s="52"/>
      <c r="AT65" s="52"/>
      <c r="AU65" s="125"/>
      <c r="AV65" s="125"/>
      <c r="AW65" s="125"/>
      <c r="AX65" s="5"/>
      <c r="AY65" s="5"/>
      <c r="AZ65" s="113">
        <v>1897000</v>
      </c>
      <c r="BA65" s="113">
        <v>360430</v>
      </c>
      <c r="BB65" s="113">
        <v>2257430</v>
      </c>
      <c r="BC65" s="52" t="s">
        <v>338</v>
      </c>
      <c r="BD65" s="52" t="s">
        <v>3074</v>
      </c>
      <c r="BE65" s="118"/>
      <c r="BF65" s="118"/>
      <c r="BG65" s="118"/>
      <c r="BH65" s="52"/>
      <c r="BI65" s="283"/>
      <c r="BJ65" s="52"/>
      <c r="BK65" s="52"/>
      <c r="BL65" s="52"/>
      <c r="BM65" s="52"/>
      <c r="BN65" s="52"/>
      <c r="BO65" s="52"/>
      <c r="BP65" s="52"/>
      <c r="BQ65" s="52"/>
      <c r="BR65" s="52"/>
      <c r="BS65" s="52"/>
      <c r="BT65" s="52"/>
      <c r="BU65" s="52"/>
      <c r="BV65" s="52"/>
      <c r="BW65" s="52"/>
      <c r="BX65" s="52"/>
      <c r="BY65" s="52"/>
      <c r="BZ65" s="52"/>
      <c r="CA65" s="52"/>
      <c r="CB65" s="52"/>
      <c r="CC65" s="52"/>
      <c r="CD65" s="118"/>
      <c r="CE65" s="52"/>
      <c r="CF65" s="52"/>
      <c r="CG65" s="52"/>
      <c r="CH65" s="52"/>
      <c r="CI65" s="52"/>
      <c r="CJ65" s="52"/>
      <c r="CK65" s="52"/>
      <c r="CL65" s="52"/>
      <c r="CM65" s="52"/>
      <c r="CN65" s="118"/>
      <c r="CO65" s="118"/>
      <c r="CP65" s="118"/>
      <c r="CQ65" s="52"/>
      <c r="CR65" s="52"/>
      <c r="CS65" s="52"/>
      <c r="CT65" s="52"/>
      <c r="CU65" s="52"/>
      <c r="CV65" s="52"/>
      <c r="CW65" s="52"/>
      <c r="CX65" s="52"/>
      <c r="CY65" s="52"/>
      <c r="CZ65" s="52"/>
      <c r="DA65" s="52"/>
      <c r="DB65" s="52"/>
    </row>
    <row r="66" spans="1:106" ht="27" x14ac:dyDescent="0.25">
      <c r="A66" s="411">
        <v>64</v>
      </c>
      <c r="B66" s="412" t="s">
        <v>3075</v>
      </c>
      <c r="C66" s="413" t="s">
        <v>3076</v>
      </c>
      <c r="D66" s="426" t="s">
        <v>3077</v>
      </c>
      <c r="E66" s="80">
        <v>1</v>
      </c>
      <c r="F66" s="356">
        <v>100550.24</v>
      </c>
      <c r="G66" s="293"/>
      <c r="H66" s="293"/>
      <c r="I66" s="293"/>
      <c r="J66" s="52"/>
      <c r="K66" s="52"/>
      <c r="L66" s="359"/>
      <c r="M66" s="360"/>
      <c r="N66" s="33"/>
      <c r="O66" s="33"/>
      <c r="P66" s="252"/>
      <c r="Q66" s="113"/>
      <c r="R66" s="113"/>
      <c r="S66" s="113"/>
      <c r="T66" s="52"/>
      <c r="U66" s="5"/>
      <c r="V66" s="231"/>
      <c r="W66" s="231"/>
      <c r="X66" s="231"/>
      <c r="Y66" s="113"/>
      <c r="Z66" s="357"/>
      <c r="AA66" s="118" t="s">
        <v>2877</v>
      </c>
      <c r="AB66" s="118"/>
      <c r="AC66" s="118"/>
      <c r="AD66" s="52"/>
      <c r="AE66" s="5"/>
      <c r="AF66" s="358"/>
      <c r="AG66" s="358"/>
      <c r="AH66" s="358"/>
      <c r="AI66" s="358"/>
      <c r="AJ66" s="358"/>
      <c r="AK66" s="113"/>
      <c r="AL66" s="113"/>
      <c r="AM66" s="113"/>
      <c r="AN66" s="113"/>
      <c r="AO66" s="113"/>
      <c r="AP66" s="52"/>
      <c r="AQ66" s="52"/>
      <c r="AR66" s="52"/>
      <c r="AS66" s="52"/>
      <c r="AT66" s="52"/>
      <c r="AU66" s="125"/>
      <c r="AV66" s="125"/>
      <c r="AW66" s="125"/>
      <c r="AX66" s="5"/>
      <c r="AY66" s="5"/>
      <c r="AZ66" s="113">
        <v>100000</v>
      </c>
      <c r="BA66" s="113">
        <v>19000</v>
      </c>
      <c r="BB66" s="113">
        <v>119000</v>
      </c>
      <c r="BC66" s="52" t="s">
        <v>2970</v>
      </c>
      <c r="BD66" s="52"/>
      <c r="BE66" s="118"/>
      <c r="BF66" s="118"/>
      <c r="BG66" s="118"/>
      <c r="BH66" s="52"/>
      <c r="BI66" s="283"/>
      <c r="BJ66" s="52"/>
      <c r="BK66" s="52"/>
      <c r="BL66" s="52"/>
      <c r="BM66" s="52"/>
      <c r="BN66" s="52"/>
      <c r="BO66" s="52"/>
      <c r="BP66" s="52"/>
      <c r="BQ66" s="52"/>
      <c r="BR66" s="52"/>
      <c r="BS66" s="52"/>
      <c r="BT66" s="52"/>
      <c r="BU66" s="52"/>
      <c r="BV66" s="52"/>
      <c r="BW66" s="52"/>
      <c r="BX66" s="52"/>
      <c r="BY66" s="52"/>
      <c r="BZ66" s="52"/>
      <c r="CA66" s="52"/>
      <c r="CB66" s="52"/>
      <c r="CC66" s="52"/>
      <c r="CD66" s="118"/>
      <c r="CE66" s="52"/>
      <c r="CF66" s="52"/>
      <c r="CG66" s="52"/>
      <c r="CH66" s="52"/>
      <c r="CI66" s="52"/>
      <c r="CJ66" s="52"/>
      <c r="CK66" s="52"/>
      <c r="CL66" s="52"/>
      <c r="CM66" s="52"/>
      <c r="CN66" s="118"/>
      <c r="CO66" s="118"/>
      <c r="CP66" s="118"/>
      <c r="CQ66" s="52"/>
      <c r="CR66" s="52"/>
      <c r="CS66" s="52"/>
      <c r="CT66" s="52"/>
      <c r="CU66" s="52"/>
      <c r="CV66" s="52"/>
      <c r="CW66" s="52"/>
      <c r="CX66" s="52"/>
      <c r="CY66" s="52"/>
      <c r="CZ66" s="52"/>
      <c r="DA66" s="52"/>
      <c r="DB66" s="52"/>
    </row>
    <row r="67" spans="1:106" ht="27" x14ac:dyDescent="0.25">
      <c r="A67" s="411">
        <v>65</v>
      </c>
      <c r="B67" s="416" t="s">
        <v>3078</v>
      </c>
      <c r="C67" s="563" t="s">
        <v>3079</v>
      </c>
      <c r="D67" s="416" t="s">
        <v>3080</v>
      </c>
      <c r="E67" s="80">
        <v>1</v>
      </c>
      <c r="F67" s="80"/>
      <c r="G67" s="293"/>
      <c r="H67" s="293"/>
      <c r="I67" s="293"/>
      <c r="J67" s="52"/>
      <c r="K67" s="52"/>
      <c r="L67" s="359"/>
      <c r="M67" s="360"/>
      <c r="N67" s="33"/>
      <c r="O67" s="33"/>
      <c r="P67" s="252"/>
      <c r="Q67" s="113"/>
      <c r="R67" s="113"/>
      <c r="S67" s="113"/>
      <c r="T67" s="52"/>
      <c r="U67" s="5"/>
      <c r="V67" s="231"/>
      <c r="W67" s="231"/>
      <c r="X67" s="231"/>
      <c r="Y67" s="113"/>
      <c r="Z67" s="357"/>
      <c r="AA67" s="118" t="s">
        <v>2877</v>
      </c>
      <c r="AB67" s="118"/>
      <c r="AC67" s="118"/>
      <c r="AD67" s="52"/>
      <c r="AE67" s="5"/>
      <c r="AF67" s="358"/>
      <c r="AG67" s="358"/>
      <c r="AH67" s="358"/>
      <c r="AI67" s="358"/>
      <c r="AJ67" s="358"/>
      <c r="AK67" s="113"/>
      <c r="AL67" s="113"/>
      <c r="AM67" s="113"/>
      <c r="AN67" s="113"/>
      <c r="AO67" s="113"/>
      <c r="AP67" s="52"/>
      <c r="AQ67" s="52"/>
      <c r="AR67" s="52"/>
      <c r="AS67" s="52"/>
      <c r="AT67" s="52"/>
      <c r="AU67" s="125"/>
      <c r="AV67" s="125"/>
      <c r="AW67" s="125"/>
      <c r="AX67" s="5"/>
      <c r="AY67" s="5"/>
      <c r="AZ67" s="113">
        <v>2703000</v>
      </c>
      <c r="BA67" s="113">
        <v>513570</v>
      </c>
      <c r="BB67" s="113">
        <v>3216570</v>
      </c>
      <c r="BC67" s="52" t="s">
        <v>338</v>
      </c>
      <c r="BD67" s="52" t="s">
        <v>3081</v>
      </c>
      <c r="BE67" s="118"/>
      <c r="BF67" s="118"/>
      <c r="BG67" s="118"/>
      <c r="BH67" s="52"/>
      <c r="BI67" s="283"/>
      <c r="BJ67" s="52"/>
      <c r="BK67" s="52"/>
      <c r="BL67" s="52"/>
      <c r="BM67" s="52"/>
      <c r="BN67" s="52"/>
      <c r="BO67" s="52"/>
      <c r="BP67" s="52"/>
      <c r="BQ67" s="52"/>
      <c r="BR67" s="52"/>
      <c r="BS67" s="52"/>
      <c r="BT67" s="52"/>
      <c r="BU67" s="52"/>
      <c r="BV67" s="52"/>
      <c r="BW67" s="52"/>
      <c r="BX67" s="52"/>
      <c r="BY67" s="52"/>
      <c r="BZ67" s="52"/>
      <c r="CA67" s="52"/>
      <c r="CB67" s="52"/>
      <c r="CC67" s="52"/>
      <c r="CD67" s="118"/>
      <c r="CE67" s="52"/>
      <c r="CF67" s="52"/>
      <c r="CG67" s="52"/>
      <c r="CH67" s="52"/>
      <c r="CI67" s="52"/>
      <c r="CJ67" s="52"/>
      <c r="CK67" s="52"/>
      <c r="CL67" s="52"/>
      <c r="CM67" s="52"/>
      <c r="CN67" s="118"/>
      <c r="CO67" s="118"/>
      <c r="CP67" s="118"/>
      <c r="CQ67" s="52"/>
      <c r="CR67" s="52"/>
      <c r="CS67" s="52"/>
      <c r="CT67" s="52"/>
      <c r="CU67" s="52"/>
      <c r="CV67" s="52"/>
      <c r="CW67" s="52"/>
      <c r="CX67" s="52"/>
      <c r="CY67" s="52"/>
      <c r="CZ67" s="52"/>
      <c r="DA67" s="52"/>
      <c r="DB67" s="52"/>
    </row>
    <row r="68" spans="1:106" ht="27" x14ac:dyDescent="0.25">
      <c r="A68" s="411">
        <v>66</v>
      </c>
      <c r="B68" s="416" t="s">
        <v>3082</v>
      </c>
      <c r="C68" s="563" t="s">
        <v>3079</v>
      </c>
      <c r="D68" s="416" t="s">
        <v>3080</v>
      </c>
      <c r="E68" s="80">
        <v>1</v>
      </c>
      <c r="F68" s="80"/>
      <c r="G68" s="293"/>
      <c r="H68" s="293"/>
      <c r="I68" s="293"/>
      <c r="J68" s="52"/>
      <c r="K68" s="52"/>
      <c r="L68" s="359"/>
      <c r="M68" s="360"/>
      <c r="N68" s="33"/>
      <c r="O68" s="33"/>
      <c r="P68" s="252"/>
      <c r="Q68" s="113"/>
      <c r="R68" s="113"/>
      <c r="S68" s="113"/>
      <c r="T68" s="52"/>
      <c r="U68" s="5"/>
      <c r="V68" s="231"/>
      <c r="W68" s="231"/>
      <c r="X68" s="231"/>
      <c r="Y68" s="113"/>
      <c r="Z68" s="357"/>
      <c r="AA68" s="118" t="s">
        <v>2877</v>
      </c>
      <c r="AB68" s="118"/>
      <c r="AC68" s="118"/>
      <c r="AD68" s="52"/>
      <c r="AE68" s="5"/>
      <c r="AF68" s="358"/>
      <c r="AG68" s="358"/>
      <c r="AH68" s="358"/>
      <c r="AI68" s="358"/>
      <c r="AJ68" s="358"/>
      <c r="AK68" s="113"/>
      <c r="AL68" s="113"/>
      <c r="AM68" s="113"/>
      <c r="AN68" s="113"/>
      <c r="AO68" s="113"/>
      <c r="AP68" s="52"/>
      <c r="AQ68" s="52"/>
      <c r="AR68" s="52"/>
      <c r="AS68" s="52"/>
      <c r="AT68" s="52"/>
      <c r="AU68" s="125"/>
      <c r="AV68" s="125"/>
      <c r="AW68" s="125"/>
      <c r="AX68" s="5"/>
      <c r="AY68" s="5"/>
      <c r="AZ68" s="113">
        <v>3025000</v>
      </c>
      <c r="BA68" s="113">
        <v>574750</v>
      </c>
      <c r="BB68" s="113">
        <v>3599750</v>
      </c>
      <c r="BC68" s="52" t="s">
        <v>338</v>
      </c>
      <c r="BD68" s="52" t="s">
        <v>3083</v>
      </c>
      <c r="BE68" s="118"/>
      <c r="BF68" s="118"/>
      <c r="BG68" s="118"/>
      <c r="BH68" s="52"/>
      <c r="BI68" s="283"/>
      <c r="BJ68" s="52"/>
      <c r="BK68" s="52"/>
      <c r="BL68" s="52"/>
      <c r="BM68" s="52"/>
      <c r="BN68" s="52"/>
      <c r="BO68" s="52"/>
      <c r="BP68" s="52"/>
      <c r="BQ68" s="52"/>
      <c r="BR68" s="52"/>
      <c r="BS68" s="52"/>
      <c r="BT68" s="52"/>
      <c r="BU68" s="52"/>
      <c r="BV68" s="52"/>
      <c r="BW68" s="52"/>
      <c r="BX68" s="52"/>
      <c r="BY68" s="52"/>
      <c r="BZ68" s="52"/>
      <c r="CA68" s="52"/>
      <c r="CB68" s="52"/>
      <c r="CC68" s="52"/>
      <c r="CD68" s="118"/>
      <c r="CE68" s="52"/>
      <c r="CF68" s="52"/>
      <c r="CG68" s="52"/>
      <c r="CH68" s="52"/>
      <c r="CI68" s="52"/>
      <c r="CJ68" s="52"/>
      <c r="CK68" s="52"/>
      <c r="CL68" s="52"/>
      <c r="CM68" s="52"/>
      <c r="CN68" s="118"/>
      <c r="CO68" s="118"/>
      <c r="CP68" s="118"/>
      <c r="CQ68" s="52"/>
      <c r="CR68" s="52"/>
      <c r="CS68" s="52"/>
      <c r="CT68" s="52"/>
      <c r="CU68" s="52"/>
      <c r="CV68" s="52"/>
      <c r="CW68" s="52"/>
      <c r="CX68" s="52"/>
      <c r="CY68" s="52"/>
      <c r="CZ68" s="52"/>
      <c r="DA68" s="52"/>
      <c r="DB68" s="52"/>
    </row>
    <row r="69" spans="1:106" ht="13.5" x14ac:dyDescent="0.25">
      <c r="A69" s="411">
        <v>67</v>
      </c>
      <c r="B69" s="417" t="s">
        <v>3084</v>
      </c>
      <c r="C69" s="426" t="s">
        <v>622</v>
      </c>
      <c r="D69" s="426" t="s">
        <v>3085</v>
      </c>
      <c r="E69" s="80">
        <v>1</v>
      </c>
      <c r="F69" s="356">
        <v>37706.340000000004</v>
      </c>
      <c r="G69" s="293"/>
      <c r="H69" s="293"/>
      <c r="I69" s="293"/>
      <c r="J69" s="52"/>
      <c r="K69" s="52"/>
      <c r="L69" s="359"/>
      <c r="M69" s="360"/>
      <c r="N69" s="33"/>
      <c r="O69" s="33"/>
      <c r="P69" s="252"/>
      <c r="Q69" s="113"/>
      <c r="R69" s="113"/>
      <c r="S69" s="113"/>
      <c r="T69" s="52"/>
      <c r="U69" s="5"/>
      <c r="V69" s="231"/>
      <c r="W69" s="231"/>
      <c r="X69" s="231"/>
      <c r="Y69" s="113"/>
      <c r="Z69" s="357"/>
      <c r="AA69" s="118" t="s">
        <v>2877</v>
      </c>
      <c r="AB69" s="118"/>
      <c r="AC69" s="118"/>
      <c r="AD69" s="52"/>
      <c r="AE69" s="5"/>
      <c r="AF69" s="358"/>
      <c r="AG69" s="358"/>
      <c r="AH69" s="358"/>
      <c r="AI69" s="358"/>
      <c r="AJ69" s="358"/>
      <c r="AK69" s="113"/>
      <c r="AL69" s="113"/>
      <c r="AM69" s="113"/>
      <c r="AN69" s="113"/>
      <c r="AO69" s="113"/>
      <c r="AP69" s="52"/>
      <c r="AQ69" s="52"/>
      <c r="AR69" s="52"/>
      <c r="AS69" s="52"/>
      <c r="AT69" s="52"/>
      <c r="AU69" s="125"/>
      <c r="AV69" s="125"/>
      <c r="AW69" s="125"/>
      <c r="AX69" s="5"/>
      <c r="AY69" s="5"/>
      <c r="AZ69" s="113">
        <v>20000</v>
      </c>
      <c r="BA69" s="113">
        <v>3800</v>
      </c>
      <c r="BB69" s="113">
        <v>23800</v>
      </c>
      <c r="BC69" s="52" t="s">
        <v>2970</v>
      </c>
      <c r="BD69" s="52" t="s">
        <v>3086</v>
      </c>
      <c r="BE69" s="118"/>
      <c r="BF69" s="118"/>
      <c r="BG69" s="118"/>
      <c r="BH69" s="52"/>
      <c r="BI69" s="283"/>
      <c r="BJ69" s="52"/>
      <c r="BK69" s="52"/>
      <c r="BL69" s="52"/>
      <c r="BM69" s="52"/>
      <c r="BN69" s="52"/>
      <c r="BO69" s="52"/>
      <c r="BP69" s="52"/>
      <c r="BQ69" s="52"/>
      <c r="BR69" s="52"/>
      <c r="BS69" s="52"/>
      <c r="BT69" s="52"/>
      <c r="BU69" s="52"/>
      <c r="BV69" s="52"/>
      <c r="BW69" s="52"/>
      <c r="BX69" s="52"/>
      <c r="BY69" s="52"/>
      <c r="BZ69" s="52"/>
      <c r="CA69" s="52"/>
      <c r="CB69" s="52"/>
      <c r="CC69" s="52"/>
      <c r="CD69" s="118"/>
      <c r="CE69" s="52"/>
      <c r="CF69" s="52"/>
      <c r="CG69" s="52"/>
      <c r="CH69" s="52"/>
      <c r="CI69" s="52"/>
      <c r="CJ69" s="52"/>
      <c r="CK69" s="52"/>
      <c r="CL69" s="52"/>
      <c r="CM69" s="52"/>
      <c r="CN69" s="118"/>
      <c r="CO69" s="118"/>
      <c r="CP69" s="118"/>
      <c r="CQ69" s="52"/>
      <c r="CR69" s="52"/>
      <c r="CS69" s="52"/>
      <c r="CT69" s="52"/>
      <c r="CU69" s="52"/>
      <c r="CV69" s="52"/>
      <c r="CW69" s="52"/>
      <c r="CX69" s="52"/>
      <c r="CY69" s="52"/>
      <c r="CZ69" s="52"/>
      <c r="DA69" s="52"/>
      <c r="DB69" s="52"/>
    </row>
    <row r="70" spans="1:106" ht="13.5" x14ac:dyDescent="0.25">
      <c r="A70" s="411">
        <v>68</v>
      </c>
      <c r="B70" s="412" t="s">
        <v>3087</v>
      </c>
      <c r="C70" s="426" t="s">
        <v>622</v>
      </c>
      <c r="D70" s="426" t="s">
        <v>3085</v>
      </c>
      <c r="E70" s="80">
        <v>1</v>
      </c>
      <c r="F70" s="356">
        <v>13825.658000000001</v>
      </c>
      <c r="G70" s="293"/>
      <c r="H70" s="293"/>
      <c r="I70" s="293"/>
      <c r="J70" s="52"/>
      <c r="K70" s="52"/>
      <c r="L70" s="359"/>
      <c r="M70" s="360"/>
      <c r="N70" s="33"/>
      <c r="O70" s="33"/>
      <c r="P70" s="252"/>
      <c r="Q70" s="113"/>
      <c r="R70" s="113"/>
      <c r="S70" s="113"/>
      <c r="T70" s="52"/>
      <c r="U70" s="5"/>
      <c r="V70" s="231"/>
      <c r="W70" s="231"/>
      <c r="X70" s="231"/>
      <c r="Y70" s="113"/>
      <c r="Z70" s="357"/>
      <c r="AA70" s="118" t="s">
        <v>2877</v>
      </c>
      <c r="AB70" s="118"/>
      <c r="AC70" s="118"/>
      <c r="AD70" s="52"/>
      <c r="AE70" s="5"/>
      <c r="AF70" s="358"/>
      <c r="AG70" s="358"/>
      <c r="AH70" s="358"/>
      <c r="AI70" s="358"/>
      <c r="AJ70" s="358"/>
      <c r="AK70" s="113"/>
      <c r="AL70" s="113"/>
      <c r="AM70" s="113"/>
      <c r="AN70" s="113"/>
      <c r="AO70" s="113"/>
      <c r="AP70" s="52"/>
      <c r="AQ70" s="52"/>
      <c r="AR70" s="52"/>
      <c r="AS70" s="52"/>
      <c r="AT70" s="52"/>
      <c r="AU70" s="125"/>
      <c r="AV70" s="125"/>
      <c r="AW70" s="125"/>
      <c r="AX70" s="5"/>
      <c r="AY70" s="5"/>
      <c r="AZ70" s="113">
        <v>20000</v>
      </c>
      <c r="BA70" s="113">
        <v>3800</v>
      </c>
      <c r="BB70" s="113">
        <v>23800</v>
      </c>
      <c r="BC70" s="52" t="s">
        <v>2970</v>
      </c>
      <c r="BD70" s="52" t="s">
        <v>3088</v>
      </c>
      <c r="BE70" s="118"/>
      <c r="BF70" s="118"/>
      <c r="BG70" s="118"/>
      <c r="BH70" s="52"/>
      <c r="BI70" s="283"/>
      <c r="BJ70" s="52"/>
      <c r="BK70" s="52"/>
      <c r="BL70" s="52"/>
      <c r="BM70" s="52"/>
      <c r="BN70" s="52"/>
      <c r="BO70" s="52"/>
      <c r="BP70" s="52"/>
      <c r="BQ70" s="52"/>
      <c r="BR70" s="52"/>
      <c r="BS70" s="52"/>
      <c r="BT70" s="52"/>
      <c r="BU70" s="52"/>
      <c r="BV70" s="52"/>
      <c r="BW70" s="52"/>
      <c r="BX70" s="52"/>
      <c r="BY70" s="52"/>
      <c r="BZ70" s="52"/>
      <c r="CA70" s="52"/>
      <c r="CB70" s="52"/>
      <c r="CC70" s="52"/>
      <c r="CD70" s="118"/>
      <c r="CE70" s="52"/>
      <c r="CF70" s="52"/>
      <c r="CG70" s="52"/>
      <c r="CH70" s="52"/>
      <c r="CI70" s="52"/>
      <c r="CJ70" s="52"/>
      <c r="CK70" s="52"/>
      <c r="CL70" s="52"/>
      <c r="CM70" s="52"/>
      <c r="CN70" s="118"/>
      <c r="CO70" s="118"/>
      <c r="CP70" s="118"/>
      <c r="CQ70" s="52"/>
      <c r="CR70" s="52"/>
      <c r="CS70" s="52"/>
      <c r="CT70" s="52"/>
      <c r="CU70" s="52"/>
      <c r="CV70" s="52"/>
      <c r="CW70" s="52"/>
      <c r="CX70" s="52"/>
      <c r="CY70" s="52"/>
      <c r="CZ70" s="52"/>
      <c r="DA70" s="52"/>
      <c r="DB70" s="52"/>
    </row>
    <row r="71" spans="1:106" ht="27" x14ac:dyDescent="0.25">
      <c r="A71" s="411">
        <v>69</v>
      </c>
      <c r="B71" s="412" t="s">
        <v>3089</v>
      </c>
      <c r="C71" s="426" t="s">
        <v>622</v>
      </c>
      <c r="D71" s="426" t="s">
        <v>3090</v>
      </c>
      <c r="E71" s="80">
        <v>1</v>
      </c>
      <c r="F71" s="356">
        <v>18853.170000000002</v>
      </c>
      <c r="G71" s="293"/>
      <c r="H71" s="293"/>
      <c r="I71" s="293"/>
      <c r="J71" s="52"/>
      <c r="K71" s="52"/>
      <c r="L71" s="359"/>
      <c r="M71" s="360"/>
      <c r="N71" s="33"/>
      <c r="O71" s="33"/>
      <c r="P71" s="252"/>
      <c r="Q71" s="113"/>
      <c r="R71" s="113"/>
      <c r="S71" s="113"/>
      <c r="T71" s="52"/>
      <c r="U71" s="5"/>
      <c r="V71" s="231"/>
      <c r="W71" s="231"/>
      <c r="X71" s="231"/>
      <c r="Y71" s="113"/>
      <c r="Z71" s="357"/>
      <c r="AA71" s="118" t="s">
        <v>2877</v>
      </c>
      <c r="AB71" s="118"/>
      <c r="AC71" s="118"/>
      <c r="AD71" s="52"/>
      <c r="AE71" s="5"/>
      <c r="AF71" s="358"/>
      <c r="AG71" s="358"/>
      <c r="AH71" s="358"/>
      <c r="AI71" s="358"/>
      <c r="AJ71" s="358"/>
      <c r="AK71" s="113"/>
      <c r="AL71" s="113"/>
      <c r="AM71" s="113"/>
      <c r="AN71" s="113"/>
      <c r="AO71" s="113"/>
      <c r="AP71" s="52"/>
      <c r="AQ71" s="52"/>
      <c r="AR71" s="52"/>
      <c r="AS71" s="52"/>
      <c r="AT71" s="52"/>
      <c r="AU71" s="125"/>
      <c r="AV71" s="125"/>
      <c r="AW71" s="125"/>
      <c r="AX71" s="5"/>
      <c r="AY71" s="5"/>
      <c r="AZ71" s="113">
        <v>6000</v>
      </c>
      <c r="BA71" s="113">
        <v>1140</v>
      </c>
      <c r="BB71" s="113">
        <v>7140</v>
      </c>
      <c r="BC71" s="52" t="s">
        <v>2970</v>
      </c>
      <c r="BD71" s="52" t="s">
        <v>3086</v>
      </c>
      <c r="BE71" s="118"/>
      <c r="BF71" s="118"/>
      <c r="BG71" s="118"/>
      <c r="BH71" s="52"/>
      <c r="BI71" s="283"/>
      <c r="BJ71" s="52"/>
      <c r="BK71" s="52"/>
      <c r="BL71" s="52"/>
      <c r="BM71" s="52"/>
      <c r="BN71" s="52"/>
      <c r="BO71" s="52"/>
      <c r="BP71" s="52"/>
      <c r="BQ71" s="52"/>
      <c r="BR71" s="52"/>
      <c r="BS71" s="52"/>
      <c r="BT71" s="52"/>
      <c r="BU71" s="52"/>
      <c r="BV71" s="52"/>
      <c r="BW71" s="52"/>
      <c r="BX71" s="52"/>
      <c r="BY71" s="52"/>
      <c r="BZ71" s="52"/>
      <c r="CA71" s="52"/>
      <c r="CB71" s="52"/>
      <c r="CC71" s="52"/>
      <c r="CD71" s="118"/>
      <c r="CE71" s="52"/>
      <c r="CF71" s="52"/>
      <c r="CG71" s="52"/>
      <c r="CH71" s="52"/>
      <c r="CI71" s="52"/>
      <c r="CJ71" s="52"/>
      <c r="CK71" s="52"/>
      <c r="CL71" s="52"/>
      <c r="CM71" s="52"/>
      <c r="CN71" s="118"/>
      <c r="CO71" s="118"/>
      <c r="CP71" s="118"/>
      <c r="CQ71" s="52"/>
      <c r="CR71" s="52"/>
      <c r="CS71" s="52"/>
      <c r="CT71" s="52"/>
      <c r="CU71" s="52"/>
      <c r="CV71" s="52"/>
      <c r="CW71" s="52"/>
      <c r="CX71" s="52"/>
      <c r="CY71" s="52"/>
      <c r="CZ71" s="52"/>
      <c r="DA71" s="52"/>
      <c r="DB71" s="52"/>
    </row>
    <row r="72" spans="1:106" ht="27" x14ac:dyDescent="0.25">
      <c r="A72" s="411">
        <v>70</v>
      </c>
      <c r="B72" s="412" t="s">
        <v>3091</v>
      </c>
      <c r="C72" s="413" t="s">
        <v>622</v>
      </c>
      <c r="D72" s="426" t="s">
        <v>445</v>
      </c>
      <c r="E72" s="80">
        <v>1</v>
      </c>
      <c r="F72" s="356">
        <v>13816.1522</v>
      </c>
      <c r="G72" s="293"/>
      <c r="H72" s="293"/>
      <c r="I72" s="293"/>
      <c r="J72" s="52"/>
      <c r="K72" s="52"/>
      <c r="L72" s="359"/>
      <c r="M72" s="360"/>
      <c r="N72" s="33"/>
      <c r="O72" s="33"/>
      <c r="P72" s="252"/>
      <c r="Q72" s="113"/>
      <c r="R72" s="113"/>
      <c r="S72" s="113"/>
      <c r="T72" s="52"/>
      <c r="U72" s="5"/>
      <c r="V72" s="231"/>
      <c r="W72" s="231"/>
      <c r="X72" s="231"/>
      <c r="Y72" s="113"/>
      <c r="Z72" s="357"/>
      <c r="AA72" s="118" t="s">
        <v>2877</v>
      </c>
      <c r="AB72" s="118"/>
      <c r="AC72" s="118"/>
      <c r="AD72" s="52"/>
      <c r="AE72" s="5"/>
      <c r="AF72" s="358"/>
      <c r="AG72" s="358"/>
      <c r="AH72" s="358"/>
      <c r="AI72" s="358"/>
      <c r="AJ72" s="358"/>
      <c r="AK72" s="113"/>
      <c r="AL72" s="113"/>
      <c r="AM72" s="113"/>
      <c r="AN72" s="113"/>
      <c r="AO72" s="113"/>
      <c r="AP72" s="52"/>
      <c r="AQ72" s="52"/>
      <c r="AR72" s="52"/>
      <c r="AS72" s="52"/>
      <c r="AT72" s="52"/>
      <c r="AU72" s="125"/>
      <c r="AV72" s="125"/>
      <c r="AW72" s="125"/>
      <c r="AX72" s="5"/>
      <c r="AY72" s="5"/>
      <c r="AZ72" s="113"/>
      <c r="BA72" s="113"/>
      <c r="BB72" s="113"/>
      <c r="BC72" s="52" t="s">
        <v>2970</v>
      </c>
      <c r="BD72" s="52" t="s">
        <v>3092</v>
      </c>
      <c r="BE72" s="118"/>
      <c r="BF72" s="118"/>
      <c r="BG72" s="118"/>
      <c r="BH72" s="52"/>
      <c r="BI72" s="283"/>
      <c r="BJ72" s="52"/>
      <c r="BK72" s="52"/>
      <c r="BL72" s="52"/>
      <c r="BM72" s="52"/>
      <c r="BN72" s="52"/>
      <c r="BO72" s="52"/>
      <c r="BP72" s="52"/>
      <c r="BQ72" s="52"/>
      <c r="BR72" s="52"/>
      <c r="BS72" s="52"/>
      <c r="BT72" s="52"/>
      <c r="BU72" s="52"/>
      <c r="BV72" s="52"/>
      <c r="BW72" s="52"/>
      <c r="BX72" s="52"/>
      <c r="BY72" s="52"/>
      <c r="BZ72" s="52"/>
      <c r="CA72" s="52"/>
      <c r="CB72" s="52"/>
      <c r="CC72" s="52"/>
      <c r="CD72" s="118"/>
      <c r="CE72" s="52"/>
      <c r="CF72" s="52"/>
      <c r="CG72" s="52"/>
      <c r="CH72" s="52"/>
      <c r="CI72" s="52"/>
      <c r="CJ72" s="52"/>
      <c r="CK72" s="52"/>
      <c r="CL72" s="52"/>
      <c r="CM72" s="52"/>
      <c r="CN72" s="118"/>
      <c r="CO72" s="118"/>
      <c r="CP72" s="118"/>
      <c r="CQ72" s="52"/>
      <c r="CR72" s="52"/>
      <c r="CS72" s="52"/>
      <c r="CT72" s="52"/>
      <c r="CU72" s="52"/>
      <c r="CV72" s="52"/>
      <c r="CW72" s="52"/>
      <c r="CX72" s="52"/>
      <c r="CY72" s="52"/>
      <c r="CZ72" s="52"/>
      <c r="DA72" s="52"/>
      <c r="DB72" s="52"/>
    </row>
    <row r="73" spans="1:106" ht="13.5" x14ac:dyDescent="0.25">
      <c r="A73" s="411">
        <v>71</v>
      </c>
      <c r="B73" s="412" t="s">
        <v>3093</v>
      </c>
      <c r="C73" s="413" t="s">
        <v>622</v>
      </c>
      <c r="D73" s="426" t="s">
        <v>3094</v>
      </c>
      <c r="E73" s="80">
        <v>1</v>
      </c>
      <c r="F73" s="356">
        <v>20110.047999999999</v>
      </c>
      <c r="G73" s="293"/>
      <c r="H73" s="293"/>
      <c r="I73" s="293"/>
      <c r="J73" s="52"/>
      <c r="K73" s="52"/>
      <c r="L73" s="359"/>
      <c r="M73" s="360"/>
      <c r="N73" s="33"/>
      <c r="O73" s="33"/>
      <c r="P73" s="252"/>
      <c r="Q73" s="113"/>
      <c r="R73" s="113"/>
      <c r="S73" s="113"/>
      <c r="T73" s="52"/>
      <c r="U73" s="5"/>
      <c r="V73" s="231"/>
      <c r="W73" s="231"/>
      <c r="X73" s="231"/>
      <c r="Y73" s="113"/>
      <c r="Z73" s="357"/>
      <c r="AA73" s="118" t="s">
        <v>2877</v>
      </c>
      <c r="AB73" s="118"/>
      <c r="AC73" s="118"/>
      <c r="AD73" s="52"/>
      <c r="AE73" s="5"/>
      <c r="AF73" s="358"/>
      <c r="AG73" s="358"/>
      <c r="AH73" s="358"/>
      <c r="AI73" s="358"/>
      <c r="AJ73" s="358"/>
      <c r="AK73" s="113"/>
      <c r="AL73" s="113"/>
      <c r="AM73" s="113"/>
      <c r="AN73" s="113"/>
      <c r="AO73" s="113"/>
      <c r="AP73" s="52"/>
      <c r="AQ73" s="52"/>
      <c r="AR73" s="52"/>
      <c r="AS73" s="52"/>
      <c r="AT73" s="52"/>
      <c r="AU73" s="125"/>
      <c r="AV73" s="125"/>
      <c r="AW73" s="125"/>
      <c r="AX73" s="5"/>
      <c r="AY73" s="5"/>
      <c r="AZ73" s="113">
        <v>10000</v>
      </c>
      <c r="BA73" s="113">
        <v>1900</v>
      </c>
      <c r="BB73" s="113">
        <v>11900</v>
      </c>
      <c r="BC73" s="52" t="s">
        <v>2970</v>
      </c>
      <c r="BD73" s="52" t="s">
        <v>3095</v>
      </c>
      <c r="BE73" s="118"/>
      <c r="BF73" s="118"/>
      <c r="BG73" s="118"/>
      <c r="BH73" s="52"/>
      <c r="BI73" s="283"/>
      <c r="BJ73" s="52"/>
      <c r="BK73" s="52"/>
      <c r="BL73" s="52"/>
      <c r="BM73" s="52"/>
      <c r="BN73" s="52"/>
      <c r="BO73" s="52"/>
      <c r="BP73" s="52"/>
      <c r="BQ73" s="52"/>
      <c r="BR73" s="52"/>
      <c r="BS73" s="52"/>
      <c r="BT73" s="52"/>
      <c r="BU73" s="52"/>
      <c r="BV73" s="52"/>
      <c r="BW73" s="52"/>
      <c r="BX73" s="52"/>
      <c r="BY73" s="52"/>
      <c r="BZ73" s="52"/>
      <c r="CA73" s="52"/>
      <c r="CB73" s="52"/>
      <c r="CC73" s="52"/>
      <c r="CD73" s="118"/>
      <c r="CE73" s="52"/>
      <c r="CF73" s="52"/>
      <c r="CG73" s="52"/>
      <c r="CH73" s="52"/>
      <c r="CI73" s="52"/>
      <c r="CJ73" s="52"/>
      <c r="CK73" s="52"/>
      <c r="CL73" s="52"/>
      <c r="CM73" s="52"/>
      <c r="CN73" s="118"/>
      <c r="CO73" s="118"/>
      <c r="CP73" s="118"/>
      <c r="CQ73" s="52"/>
      <c r="CR73" s="52"/>
      <c r="CS73" s="52"/>
      <c r="CT73" s="52"/>
      <c r="CU73" s="52"/>
      <c r="CV73" s="52"/>
      <c r="CW73" s="52"/>
      <c r="CX73" s="52"/>
      <c r="CY73" s="52"/>
      <c r="CZ73" s="52"/>
      <c r="DA73" s="52"/>
      <c r="DB73" s="52"/>
    </row>
    <row r="74" spans="1:106" ht="13.5" x14ac:dyDescent="0.25">
      <c r="A74" s="411">
        <v>72</v>
      </c>
      <c r="B74" s="412" t="s">
        <v>3096</v>
      </c>
      <c r="C74" s="426" t="s">
        <v>622</v>
      </c>
      <c r="D74" s="426" t="s">
        <v>3077</v>
      </c>
      <c r="E74" s="80">
        <v>1</v>
      </c>
      <c r="F74" s="356">
        <v>17596.292000000001</v>
      </c>
      <c r="G74" s="293"/>
      <c r="H74" s="293"/>
      <c r="I74" s="293"/>
      <c r="J74" s="52"/>
      <c r="K74" s="52"/>
      <c r="L74" s="359"/>
      <c r="M74" s="360"/>
      <c r="N74" s="33"/>
      <c r="O74" s="33"/>
      <c r="P74" s="252"/>
      <c r="Q74" s="113"/>
      <c r="R74" s="113"/>
      <c r="S74" s="113"/>
      <c r="T74" s="52"/>
      <c r="U74" s="5"/>
      <c r="V74" s="231"/>
      <c r="W74" s="231"/>
      <c r="X74" s="231"/>
      <c r="Y74" s="113"/>
      <c r="Z74" s="357"/>
      <c r="AA74" s="118" t="s">
        <v>2877</v>
      </c>
      <c r="AB74" s="118"/>
      <c r="AC74" s="118"/>
      <c r="AD74" s="52"/>
      <c r="AE74" s="5"/>
      <c r="AF74" s="358"/>
      <c r="AG74" s="358"/>
      <c r="AH74" s="358"/>
      <c r="AI74" s="358"/>
      <c r="AJ74" s="358"/>
      <c r="AK74" s="113"/>
      <c r="AL74" s="113"/>
      <c r="AM74" s="113"/>
      <c r="AN74" s="113"/>
      <c r="AO74" s="113"/>
      <c r="AP74" s="52"/>
      <c r="AQ74" s="52"/>
      <c r="AR74" s="52"/>
      <c r="AS74" s="52"/>
      <c r="AT74" s="52"/>
      <c r="AU74" s="125"/>
      <c r="AV74" s="125"/>
      <c r="AW74" s="125"/>
      <c r="AX74" s="5"/>
      <c r="AY74" s="5"/>
      <c r="AZ74" s="113">
        <f>1000*100</f>
        <v>100000</v>
      </c>
      <c r="BA74" s="113">
        <f>AZ74*0.19</f>
        <v>19000</v>
      </c>
      <c r="BB74" s="113">
        <f>AZ74+BA74</f>
        <v>119000</v>
      </c>
      <c r="BC74" s="52" t="s">
        <v>2970</v>
      </c>
      <c r="BD74" s="52" t="s">
        <v>3097</v>
      </c>
      <c r="BE74" s="118"/>
      <c r="BF74" s="118"/>
      <c r="BG74" s="118"/>
      <c r="BH74" s="52"/>
      <c r="BI74" s="283"/>
      <c r="BJ74" s="52"/>
      <c r="BK74" s="52"/>
      <c r="BL74" s="52"/>
      <c r="BM74" s="52"/>
      <c r="BN74" s="52"/>
      <c r="BO74" s="52"/>
      <c r="BP74" s="52"/>
      <c r="BQ74" s="52"/>
      <c r="BR74" s="52"/>
      <c r="BS74" s="52"/>
      <c r="BT74" s="52"/>
      <c r="BU74" s="52"/>
      <c r="BV74" s="52"/>
      <c r="BW74" s="52"/>
      <c r="BX74" s="52"/>
      <c r="BY74" s="52"/>
      <c r="BZ74" s="52"/>
      <c r="CA74" s="52"/>
      <c r="CB74" s="52"/>
      <c r="CC74" s="52"/>
      <c r="CD74" s="118"/>
      <c r="CE74" s="52"/>
      <c r="CF74" s="52"/>
      <c r="CG74" s="52"/>
      <c r="CH74" s="52"/>
      <c r="CI74" s="52"/>
      <c r="CJ74" s="52"/>
      <c r="CK74" s="52"/>
      <c r="CL74" s="52"/>
      <c r="CM74" s="52"/>
      <c r="CN74" s="118"/>
      <c r="CO74" s="118"/>
      <c r="CP74" s="118"/>
      <c r="CQ74" s="52"/>
      <c r="CR74" s="52"/>
      <c r="CS74" s="52"/>
      <c r="CT74" s="52"/>
      <c r="CU74" s="52"/>
      <c r="CV74" s="52"/>
      <c r="CW74" s="52"/>
      <c r="CX74" s="52"/>
      <c r="CY74" s="52"/>
      <c r="CZ74" s="52"/>
      <c r="DA74" s="52"/>
      <c r="DB74" s="52"/>
    </row>
    <row r="75" spans="1:106" ht="13.5" x14ac:dyDescent="0.25">
      <c r="A75" s="411">
        <v>73</v>
      </c>
      <c r="B75" s="412" t="s">
        <v>3098</v>
      </c>
      <c r="C75" s="413" t="s">
        <v>622</v>
      </c>
      <c r="D75" s="426" t="s">
        <v>3094</v>
      </c>
      <c r="E75" s="80">
        <v>1</v>
      </c>
      <c r="F75" s="356">
        <v>64100.777999999998</v>
      </c>
      <c r="G75" s="293"/>
      <c r="H75" s="293"/>
      <c r="I75" s="293"/>
      <c r="J75" s="52"/>
      <c r="K75" s="52"/>
      <c r="L75" s="359"/>
      <c r="M75" s="360"/>
      <c r="N75" s="33"/>
      <c r="O75" s="33"/>
      <c r="P75" s="252"/>
      <c r="Q75" s="113"/>
      <c r="R75" s="113"/>
      <c r="S75" s="113"/>
      <c r="T75" s="52"/>
      <c r="U75" s="5"/>
      <c r="V75" s="231"/>
      <c r="W75" s="231"/>
      <c r="X75" s="231"/>
      <c r="Y75" s="113"/>
      <c r="Z75" s="357"/>
      <c r="AA75" s="118" t="s">
        <v>2877</v>
      </c>
      <c r="AB75" s="118"/>
      <c r="AC75" s="118"/>
      <c r="AD75" s="52"/>
      <c r="AE75" s="5"/>
      <c r="AF75" s="358"/>
      <c r="AG75" s="358"/>
      <c r="AH75" s="358"/>
      <c r="AI75" s="358"/>
      <c r="AJ75" s="358"/>
      <c r="AK75" s="113"/>
      <c r="AL75" s="113"/>
      <c r="AM75" s="113"/>
      <c r="AN75" s="113"/>
      <c r="AO75" s="113"/>
      <c r="AP75" s="52"/>
      <c r="AQ75" s="52"/>
      <c r="AR75" s="52"/>
      <c r="AS75" s="52"/>
      <c r="AT75" s="52"/>
      <c r="AU75" s="125"/>
      <c r="AV75" s="125"/>
      <c r="AW75" s="125"/>
      <c r="AX75" s="5"/>
      <c r="AY75" s="5"/>
      <c r="AZ75" s="113">
        <v>47000</v>
      </c>
      <c r="BA75" s="113">
        <v>8930</v>
      </c>
      <c r="BB75" s="113">
        <v>55930</v>
      </c>
      <c r="BC75" s="52" t="s">
        <v>2970</v>
      </c>
      <c r="BD75" s="52" t="s">
        <v>3097</v>
      </c>
      <c r="BE75" s="118"/>
      <c r="BF75" s="118"/>
      <c r="BG75" s="118"/>
      <c r="BH75" s="52"/>
      <c r="BI75" s="283"/>
      <c r="BJ75" s="52"/>
      <c r="BK75" s="52"/>
      <c r="BL75" s="52"/>
      <c r="BM75" s="52"/>
      <c r="BN75" s="52"/>
      <c r="BO75" s="52"/>
      <c r="BP75" s="52"/>
      <c r="BQ75" s="52"/>
      <c r="BR75" s="52"/>
      <c r="BS75" s="52"/>
      <c r="BT75" s="52"/>
      <c r="BU75" s="52"/>
      <c r="BV75" s="52"/>
      <c r="BW75" s="52"/>
      <c r="BX75" s="52"/>
      <c r="BY75" s="52"/>
      <c r="BZ75" s="52"/>
      <c r="CA75" s="52"/>
      <c r="CB75" s="52"/>
      <c r="CC75" s="52"/>
      <c r="CD75" s="118"/>
      <c r="CE75" s="52"/>
      <c r="CF75" s="52"/>
      <c r="CG75" s="52"/>
      <c r="CH75" s="52"/>
      <c r="CI75" s="52"/>
      <c r="CJ75" s="52"/>
      <c r="CK75" s="52"/>
      <c r="CL75" s="52"/>
      <c r="CM75" s="52"/>
      <c r="CN75" s="118"/>
      <c r="CO75" s="118"/>
      <c r="CP75" s="118"/>
      <c r="CQ75" s="52"/>
      <c r="CR75" s="52"/>
      <c r="CS75" s="52"/>
      <c r="CT75" s="52"/>
      <c r="CU75" s="52"/>
      <c r="CV75" s="52"/>
      <c r="CW75" s="52"/>
      <c r="CX75" s="52"/>
      <c r="CY75" s="52"/>
      <c r="CZ75" s="52"/>
      <c r="DA75" s="52"/>
      <c r="DB75" s="52"/>
    </row>
    <row r="76" spans="1:106" ht="13.5" x14ac:dyDescent="0.25">
      <c r="A76" s="411">
        <v>74</v>
      </c>
      <c r="B76" s="412" t="s">
        <v>3099</v>
      </c>
      <c r="C76" s="413" t="s">
        <v>622</v>
      </c>
      <c r="D76" s="426" t="s">
        <v>3077</v>
      </c>
      <c r="E76" s="80">
        <v>1</v>
      </c>
      <c r="F76" s="356">
        <v>10055.023999999999</v>
      </c>
      <c r="G76" s="293"/>
      <c r="H76" s="293"/>
      <c r="I76" s="293"/>
      <c r="J76" s="52"/>
      <c r="K76" s="52"/>
      <c r="L76" s="359"/>
      <c r="M76" s="360"/>
      <c r="N76" s="33"/>
      <c r="O76" s="33"/>
      <c r="P76" s="252"/>
      <c r="Q76" s="113"/>
      <c r="R76" s="113"/>
      <c r="S76" s="113"/>
      <c r="T76" s="52"/>
      <c r="U76" s="5"/>
      <c r="V76" s="231"/>
      <c r="W76" s="231"/>
      <c r="X76" s="231"/>
      <c r="Y76" s="113"/>
      <c r="Z76" s="357"/>
      <c r="AA76" s="118" t="s">
        <v>2877</v>
      </c>
      <c r="AB76" s="118"/>
      <c r="AC76" s="118"/>
      <c r="AD76" s="52"/>
      <c r="AE76" s="5"/>
      <c r="AF76" s="358"/>
      <c r="AG76" s="358"/>
      <c r="AH76" s="358"/>
      <c r="AI76" s="358"/>
      <c r="AJ76" s="358"/>
      <c r="AK76" s="113"/>
      <c r="AL76" s="113"/>
      <c r="AM76" s="113"/>
      <c r="AN76" s="113"/>
      <c r="AO76" s="113"/>
      <c r="AP76" s="52"/>
      <c r="AQ76" s="52"/>
      <c r="AR76" s="52"/>
      <c r="AS76" s="52"/>
      <c r="AT76" s="52"/>
      <c r="AU76" s="125"/>
      <c r="AV76" s="125"/>
      <c r="AW76" s="125"/>
      <c r="AX76" s="5"/>
      <c r="AY76" s="5"/>
      <c r="AZ76" s="113">
        <v>5000</v>
      </c>
      <c r="BA76" s="113">
        <v>950</v>
      </c>
      <c r="BB76" s="113">
        <v>5950</v>
      </c>
      <c r="BC76" s="52" t="s">
        <v>2970</v>
      </c>
      <c r="BD76" s="52" t="s">
        <v>3100</v>
      </c>
      <c r="BE76" s="118"/>
      <c r="BF76" s="118"/>
      <c r="BG76" s="118"/>
      <c r="BH76" s="52"/>
      <c r="BI76" s="283"/>
      <c r="BJ76" s="52"/>
      <c r="BK76" s="52"/>
      <c r="BL76" s="52"/>
      <c r="BM76" s="52"/>
      <c r="BN76" s="52"/>
      <c r="BO76" s="52"/>
      <c r="BP76" s="52"/>
      <c r="BQ76" s="52"/>
      <c r="BR76" s="52"/>
      <c r="BS76" s="52"/>
      <c r="BT76" s="52"/>
      <c r="BU76" s="52"/>
      <c r="BV76" s="52"/>
      <c r="BW76" s="52"/>
      <c r="BX76" s="52"/>
      <c r="BY76" s="52"/>
      <c r="BZ76" s="52"/>
      <c r="CA76" s="52"/>
      <c r="CB76" s="52"/>
      <c r="CC76" s="52"/>
      <c r="CD76" s="118"/>
      <c r="CE76" s="52"/>
      <c r="CF76" s="52"/>
      <c r="CG76" s="52"/>
      <c r="CH76" s="52"/>
      <c r="CI76" s="52"/>
      <c r="CJ76" s="52"/>
      <c r="CK76" s="52"/>
      <c r="CL76" s="52"/>
      <c r="CM76" s="52"/>
      <c r="CN76" s="118"/>
      <c r="CO76" s="118"/>
      <c r="CP76" s="118"/>
      <c r="CQ76" s="52"/>
      <c r="CR76" s="52"/>
      <c r="CS76" s="52"/>
      <c r="CT76" s="52"/>
      <c r="CU76" s="52"/>
      <c r="CV76" s="52"/>
      <c r="CW76" s="52"/>
      <c r="CX76" s="52"/>
      <c r="CY76" s="52"/>
      <c r="CZ76" s="52"/>
      <c r="DA76" s="52"/>
      <c r="DB76" s="52"/>
    </row>
    <row r="77" spans="1:106" ht="27" x14ac:dyDescent="0.25">
      <c r="A77" s="411">
        <v>75</v>
      </c>
      <c r="B77" s="412" t="s">
        <v>3101</v>
      </c>
      <c r="C77" s="413" t="s">
        <v>622</v>
      </c>
      <c r="D77" s="426" t="s">
        <v>3102</v>
      </c>
      <c r="E77" s="80">
        <v>1</v>
      </c>
      <c r="F77" s="356">
        <v>136999.70199999999</v>
      </c>
      <c r="G77" s="293"/>
      <c r="H77" s="293"/>
      <c r="I77" s="293"/>
      <c r="J77" s="52"/>
      <c r="K77" s="52"/>
      <c r="L77" s="359"/>
      <c r="M77" s="360"/>
      <c r="N77" s="33"/>
      <c r="O77" s="33"/>
      <c r="P77" s="252"/>
      <c r="Q77" s="113"/>
      <c r="R77" s="113"/>
      <c r="S77" s="113"/>
      <c r="T77" s="52"/>
      <c r="U77" s="5"/>
      <c r="V77" s="231"/>
      <c r="W77" s="231"/>
      <c r="X77" s="231"/>
      <c r="Y77" s="113"/>
      <c r="Z77" s="357"/>
      <c r="AA77" s="118" t="s">
        <v>2877</v>
      </c>
      <c r="AB77" s="118"/>
      <c r="AC77" s="118"/>
      <c r="AD77" s="52"/>
      <c r="AE77" s="5"/>
      <c r="AF77" s="358"/>
      <c r="AG77" s="358"/>
      <c r="AH77" s="358"/>
      <c r="AI77" s="358"/>
      <c r="AJ77" s="358"/>
      <c r="AK77" s="113"/>
      <c r="AL77" s="113"/>
      <c r="AM77" s="113"/>
      <c r="AN77" s="113"/>
      <c r="AO77" s="113"/>
      <c r="AP77" s="52"/>
      <c r="AQ77" s="52"/>
      <c r="AR77" s="52"/>
      <c r="AS77" s="52"/>
      <c r="AT77" s="52"/>
      <c r="AU77" s="125"/>
      <c r="AV77" s="125"/>
      <c r="AW77" s="125"/>
      <c r="AX77" s="5"/>
      <c r="AY77" s="5"/>
      <c r="AZ77" s="113">
        <v>80000</v>
      </c>
      <c r="BA77" s="113">
        <v>15200</v>
      </c>
      <c r="BB77" s="113">
        <v>95200</v>
      </c>
      <c r="BC77" s="52" t="s">
        <v>2970</v>
      </c>
      <c r="BD77" s="52" t="s">
        <v>3103</v>
      </c>
      <c r="BE77" s="118"/>
      <c r="BF77" s="118"/>
      <c r="BG77" s="118"/>
      <c r="BH77" s="52"/>
      <c r="BI77" s="283"/>
      <c r="BJ77" s="52"/>
      <c r="BK77" s="52"/>
      <c r="BL77" s="52"/>
      <c r="BM77" s="52"/>
      <c r="BN77" s="52"/>
      <c r="BO77" s="52"/>
      <c r="BP77" s="52"/>
      <c r="BQ77" s="52"/>
      <c r="BR77" s="52"/>
      <c r="BS77" s="52"/>
      <c r="BT77" s="52"/>
      <c r="BU77" s="52"/>
      <c r="BV77" s="52"/>
      <c r="BW77" s="52"/>
      <c r="BX77" s="52"/>
      <c r="BY77" s="52"/>
      <c r="BZ77" s="52"/>
      <c r="CA77" s="52"/>
      <c r="CB77" s="52"/>
      <c r="CC77" s="52"/>
      <c r="CD77" s="118"/>
      <c r="CE77" s="52"/>
      <c r="CF77" s="52"/>
      <c r="CG77" s="52"/>
      <c r="CH77" s="52"/>
      <c r="CI77" s="52"/>
      <c r="CJ77" s="52"/>
      <c r="CK77" s="52"/>
      <c r="CL77" s="52"/>
      <c r="CM77" s="52"/>
      <c r="CN77" s="118"/>
      <c r="CO77" s="118"/>
      <c r="CP77" s="118"/>
      <c r="CQ77" s="52"/>
      <c r="CR77" s="52"/>
      <c r="CS77" s="52"/>
      <c r="CT77" s="52"/>
      <c r="CU77" s="52"/>
      <c r="CV77" s="52"/>
      <c r="CW77" s="52"/>
      <c r="CX77" s="52"/>
      <c r="CY77" s="52"/>
      <c r="CZ77" s="52"/>
      <c r="DA77" s="52"/>
      <c r="DB77" s="52"/>
    </row>
    <row r="78" spans="1:106" ht="27" x14ac:dyDescent="0.25">
      <c r="A78" s="411">
        <v>76</v>
      </c>
      <c r="B78" s="412" t="s">
        <v>3104</v>
      </c>
      <c r="C78" s="413" t="s">
        <v>622</v>
      </c>
      <c r="D78" s="564" t="s">
        <v>3077</v>
      </c>
      <c r="E78" s="80">
        <v>1</v>
      </c>
      <c r="F78" s="356">
        <v>441164.17800000001</v>
      </c>
      <c r="G78" s="293"/>
      <c r="H78" s="293"/>
      <c r="I78" s="293"/>
      <c r="J78" s="52"/>
      <c r="K78" s="52"/>
      <c r="L78" s="359"/>
      <c r="M78" s="360"/>
      <c r="N78" s="33"/>
      <c r="O78" s="33"/>
      <c r="P78" s="252"/>
      <c r="Q78" s="113"/>
      <c r="R78" s="113"/>
      <c r="S78" s="113"/>
      <c r="T78" s="52"/>
      <c r="U78" s="5"/>
      <c r="V78" s="231"/>
      <c r="W78" s="231"/>
      <c r="X78" s="231"/>
      <c r="Y78" s="113"/>
      <c r="Z78" s="357"/>
      <c r="AA78" s="118" t="s">
        <v>2877</v>
      </c>
      <c r="AB78" s="118"/>
      <c r="AC78" s="118"/>
      <c r="AD78" s="52"/>
      <c r="AE78" s="5"/>
      <c r="AF78" s="358"/>
      <c r="AG78" s="358"/>
      <c r="AH78" s="358"/>
      <c r="AI78" s="358"/>
      <c r="AJ78" s="358"/>
      <c r="AK78" s="113"/>
      <c r="AL78" s="113"/>
      <c r="AM78" s="113"/>
      <c r="AN78" s="113"/>
      <c r="AO78" s="113"/>
      <c r="AP78" s="52"/>
      <c r="AQ78" s="52"/>
      <c r="AR78" s="52"/>
      <c r="AS78" s="52"/>
      <c r="AT78" s="52"/>
      <c r="AU78" s="125"/>
      <c r="AV78" s="125"/>
      <c r="AW78" s="125"/>
      <c r="AX78" s="5"/>
      <c r="AY78" s="5"/>
      <c r="AZ78" s="113">
        <v>24000</v>
      </c>
      <c r="BA78" s="113">
        <v>4560</v>
      </c>
      <c r="BB78" s="113">
        <v>28560</v>
      </c>
      <c r="BC78" s="52" t="s">
        <v>2970</v>
      </c>
      <c r="BD78" s="52" t="s">
        <v>3105</v>
      </c>
      <c r="BE78" s="118"/>
      <c r="BF78" s="118"/>
      <c r="BG78" s="118"/>
      <c r="BH78" s="52"/>
      <c r="BI78" s="283"/>
      <c r="BJ78" s="52"/>
      <c r="BK78" s="52"/>
      <c r="BL78" s="52"/>
      <c r="BM78" s="52"/>
      <c r="BN78" s="52"/>
      <c r="BO78" s="52"/>
      <c r="BP78" s="52"/>
      <c r="BQ78" s="52"/>
      <c r="BR78" s="52"/>
      <c r="BS78" s="52"/>
      <c r="BT78" s="52"/>
      <c r="BU78" s="52"/>
      <c r="BV78" s="52"/>
      <c r="BW78" s="52"/>
      <c r="BX78" s="52"/>
      <c r="BY78" s="52"/>
      <c r="BZ78" s="52"/>
      <c r="CA78" s="52"/>
      <c r="CB78" s="52"/>
      <c r="CC78" s="52"/>
      <c r="CD78" s="118"/>
      <c r="CE78" s="52"/>
      <c r="CF78" s="52"/>
      <c r="CG78" s="52"/>
      <c r="CH78" s="52"/>
      <c r="CI78" s="52"/>
      <c r="CJ78" s="52"/>
      <c r="CK78" s="52"/>
      <c r="CL78" s="52"/>
      <c r="CM78" s="52"/>
      <c r="CN78" s="118"/>
      <c r="CO78" s="118"/>
      <c r="CP78" s="118"/>
      <c r="CQ78" s="52"/>
      <c r="CR78" s="52"/>
      <c r="CS78" s="52"/>
      <c r="CT78" s="52"/>
      <c r="CU78" s="52"/>
      <c r="CV78" s="52"/>
      <c r="CW78" s="52"/>
      <c r="CX78" s="52"/>
      <c r="CY78" s="52"/>
      <c r="CZ78" s="52"/>
      <c r="DA78" s="52"/>
      <c r="DB78" s="52"/>
    </row>
    <row r="79" spans="1:106" ht="40.5" x14ac:dyDescent="0.25">
      <c r="A79" s="411">
        <v>77</v>
      </c>
      <c r="B79" s="415" t="s">
        <v>3106</v>
      </c>
      <c r="C79" s="413" t="s">
        <v>622</v>
      </c>
      <c r="D79" s="426" t="s">
        <v>3107</v>
      </c>
      <c r="E79" s="80">
        <v>1</v>
      </c>
      <c r="F79" s="356">
        <v>517833.73600000003</v>
      </c>
      <c r="G79" s="293"/>
      <c r="H79" s="293"/>
      <c r="I79" s="293"/>
      <c r="J79" s="52"/>
      <c r="K79" s="52"/>
      <c r="L79" s="359"/>
      <c r="M79" s="360"/>
      <c r="N79" s="33"/>
      <c r="O79" s="33"/>
      <c r="P79" s="252"/>
      <c r="Q79" s="113"/>
      <c r="R79" s="113"/>
      <c r="S79" s="113"/>
      <c r="T79" s="52"/>
      <c r="U79" s="5"/>
      <c r="V79" s="231"/>
      <c r="W79" s="231"/>
      <c r="X79" s="231"/>
      <c r="Y79" s="113"/>
      <c r="Z79" s="357"/>
      <c r="AA79" s="118" t="s">
        <v>2877</v>
      </c>
      <c r="AB79" s="118"/>
      <c r="AC79" s="118"/>
      <c r="AD79" s="52"/>
      <c r="AE79" s="5"/>
      <c r="AF79" s="358"/>
      <c r="AG79" s="358"/>
      <c r="AH79" s="358"/>
      <c r="AI79" s="358"/>
      <c r="AJ79" s="358"/>
      <c r="AK79" s="113"/>
      <c r="AL79" s="113"/>
      <c r="AM79" s="113"/>
      <c r="AN79" s="113"/>
      <c r="AO79" s="113"/>
      <c r="AP79" s="52"/>
      <c r="AQ79" s="52"/>
      <c r="AR79" s="52"/>
      <c r="AS79" s="52"/>
      <c r="AT79" s="52"/>
      <c r="AU79" s="125"/>
      <c r="AV79" s="125"/>
      <c r="AW79" s="125"/>
      <c r="AX79" s="5"/>
      <c r="AY79" s="5"/>
      <c r="AZ79" s="113">
        <v>412000</v>
      </c>
      <c r="BA79" s="113">
        <v>78280</v>
      </c>
      <c r="BB79" s="113">
        <v>490280</v>
      </c>
      <c r="BC79" s="52" t="s">
        <v>2970</v>
      </c>
      <c r="BD79" s="52"/>
      <c r="BE79" s="118"/>
      <c r="BF79" s="118"/>
      <c r="BG79" s="118"/>
      <c r="BH79" s="52"/>
      <c r="BI79" s="283"/>
      <c r="BJ79" s="52"/>
      <c r="BK79" s="52"/>
      <c r="BL79" s="52"/>
      <c r="BM79" s="52"/>
      <c r="BN79" s="52"/>
      <c r="BO79" s="52"/>
      <c r="BP79" s="52"/>
      <c r="BQ79" s="52"/>
      <c r="BR79" s="52"/>
      <c r="BS79" s="52"/>
      <c r="BT79" s="52"/>
      <c r="BU79" s="52"/>
      <c r="BV79" s="52"/>
      <c r="BW79" s="52"/>
      <c r="BX79" s="52"/>
      <c r="BY79" s="52"/>
      <c r="BZ79" s="52"/>
      <c r="CA79" s="52"/>
      <c r="CB79" s="52"/>
      <c r="CC79" s="52"/>
      <c r="CD79" s="118"/>
      <c r="CE79" s="52"/>
      <c r="CF79" s="52"/>
      <c r="CG79" s="52"/>
      <c r="CH79" s="52"/>
      <c r="CI79" s="52"/>
      <c r="CJ79" s="52"/>
      <c r="CK79" s="52"/>
      <c r="CL79" s="52"/>
      <c r="CM79" s="52"/>
      <c r="CN79" s="118"/>
      <c r="CO79" s="118"/>
      <c r="CP79" s="118"/>
      <c r="CQ79" s="52"/>
      <c r="CR79" s="52"/>
      <c r="CS79" s="52"/>
      <c r="CT79" s="52"/>
      <c r="CU79" s="52"/>
      <c r="CV79" s="52"/>
      <c r="CW79" s="52"/>
      <c r="CX79" s="52"/>
      <c r="CY79" s="52"/>
      <c r="CZ79" s="52"/>
      <c r="DA79" s="52"/>
      <c r="DB79" s="52"/>
    </row>
    <row r="80" spans="1:106" ht="40.5" x14ac:dyDescent="0.25">
      <c r="A80" s="411">
        <v>78</v>
      </c>
      <c r="B80" s="415" t="s">
        <v>3108</v>
      </c>
      <c r="C80" s="413" t="s">
        <v>622</v>
      </c>
      <c r="D80" s="426" t="s">
        <v>3107</v>
      </c>
      <c r="E80" s="80">
        <v>1</v>
      </c>
      <c r="F80" s="356">
        <v>461274.22600000002</v>
      </c>
      <c r="G80" s="293"/>
      <c r="H80" s="293"/>
      <c r="I80" s="293"/>
      <c r="J80" s="52"/>
      <c r="K80" s="52"/>
      <c r="L80" s="359"/>
      <c r="M80" s="360"/>
      <c r="N80" s="33"/>
      <c r="O80" s="33"/>
      <c r="P80" s="252"/>
      <c r="Q80" s="113"/>
      <c r="R80" s="113"/>
      <c r="S80" s="113"/>
      <c r="T80" s="52"/>
      <c r="U80" s="5"/>
      <c r="V80" s="231"/>
      <c r="W80" s="231"/>
      <c r="X80" s="231"/>
      <c r="Y80" s="113"/>
      <c r="Z80" s="357"/>
      <c r="AA80" s="118" t="s">
        <v>2877</v>
      </c>
      <c r="AB80" s="118"/>
      <c r="AC80" s="118"/>
      <c r="AD80" s="52"/>
      <c r="AE80" s="5"/>
      <c r="AF80" s="358"/>
      <c r="AG80" s="358"/>
      <c r="AH80" s="358"/>
      <c r="AI80" s="358"/>
      <c r="AJ80" s="358"/>
      <c r="AK80" s="113"/>
      <c r="AL80" s="113"/>
      <c r="AM80" s="113"/>
      <c r="AN80" s="113"/>
      <c r="AO80" s="113"/>
      <c r="AP80" s="52"/>
      <c r="AQ80" s="52"/>
      <c r="AR80" s="52"/>
      <c r="AS80" s="52"/>
      <c r="AT80" s="52"/>
      <c r="AU80" s="125"/>
      <c r="AV80" s="125"/>
      <c r="AW80" s="125"/>
      <c r="AX80" s="5"/>
      <c r="AY80" s="5"/>
      <c r="AZ80" s="113">
        <v>230000</v>
      </c>
      <c r="BA80" s="113">
        <v>43700</v>
      </c>
      <c r="BB80" s="113">
        <v>273700</v>
      </c>
      <c r="BC80" s="52" t="s">
        <v>2970</v>
      </c>
      <c r="BD80" s="52"/>
      <c r="BE80" s="118"/>
      <c r="BF80" s="118"/>
      <c r="BG80" s="118"/>
      <c r="BH80" s="52"/>
      <c r="BI80" s="283"/>
      <c r="BJ80" s="52"/>
      <c r="BK80" s="52"/>
      <c r="BL80" s="52"/>
      <c r="BM80" s="52"/>
      <c r="BN80" s="52"/>
      <c r="BO80" s="52"/>
      <c r="BP80" s="52"/>
      <c r="BQ80" s="52"/>
      <c r="BR80" s="52"/>
      <c r="BS80" s="52"/>
      <c r="BT80" s="52"/>
      <c r="BU80" s="52"/>
      <c r="BV80" s="52"/>
      <c r="BW80" s="52"/>
      <c r="BX80" s="52"/>
      <c r="BY80" s="52"/>
      <c r="BZ80" s="52"/>
      <c r="CA80" s="52"/>
      <c r="CB80" s="52"/>
      <c r="CC80" s="52"/>
      <c r="CD80" s="118"/>
      <c r="CE80" s="52"/>
      <c r="CF80" s="52"/>
      <c r="CG80" s="52"/>
      <c r="CH80" s="52"/>
      <c r="CI80" s="52"/>
      <c r="CJ80" s="52"/>
      <c r="CK80" s="52"/>
      <c r="CL80" s="52"/>
      <c r="CM80" s="52"/>
      <c r="CN80" s="118"/>
      <c r="CO80" s="118"/>
      <c r="CP80" s="118"/>
      <c r="CQ80" s="52"/>
      <c r="CR80" s="52"/>
      <c r="CS80" s="52"/>
      <c r="CT80" s="52"/>
      <c r="CU80" s="52"/>
      <c r="CV80" s="52"/>
      <c r="CW80" s="52"/>
      <c r="CX80" s="52"/>
      <c r="CY80" s="52"/>
      <c r="CZ80" s="52"/>
      <c r="DA80" s="52"/>
      <c r="DB80" s="52"/>
    </row>
    <row r="81" spans="1:106" ht="40.5" x14ac:dyDescent="0.25">
      <c r="A81" s="411">
        <v>79</v>
      </c>
      <c r="B81" s="415" t="s">
        <v>3109</v>
      </c>
      <c r="C81" s="413" t="s">
        <v>622</v>
      </c>
      <c r="D81" s="426" t="s">
        <v>3107</v>
      </c>
      <c r="E81" s="80">
        <v>1</v>
      </c>
      <c r="F81" s="356">
        <v>231265.552</v>
      </c>
      <c r="G81" s="293"/>
      <c r="H81" s="293"/>
      <c r="I81" s="293"/>
      <c r="J81" s="52"/>
      <c r="K81" s="52"/>
      <c r="L81" s="359"/>
      <c r="M81" s="360"/>
      <c r="N81" s="33"/>
      <c r="O81" s="33"/>
      <c r="P81" s="252"/>
      <c r="Q81" s="113"/>
      <c r="R81" s="113"/>
      <c r="S81" s="113"/>
      <c r="T81" s="52"/>
      <c r="U81" s="5"/>
      <c r="V81" s="231"/>
      <c r="W81" s="231"/>
      <c r="X81" s="231"/>
      <c r="Y81" s="113"/>
      <c r="Z81" s="357"/>
      <c r="AA81" s="118" t="s">
        <v>2877</v>
      </c>
      <c r="AB81" s="118"/>
      <c r="AC81" s="118"/>
      <c r="AD81" s="52"/>
      <c r="AE81" s="5"/>
      <c r="AF81" s="358"/>
      <c r="AG81" s="358"/>
      <c r="AH81" s="358"/>
      <c r="AI81" s="358"/>
      <c r="AJ81" s="358"/>
      <c r="AK81" s="113"/>
      <c r="AL81" s="113"/>
      <c r="AM81" s="113"/>
      <c r="AN81" s="113"/>
      <c r="AO81" s="113"/>
      <c r="AP81" s="52"/>
      <c r="AQ81" s="52"/>
      <c r="AR81" s="52"/>
      <c r="AS81" s="52"/>
      <c r="AT81" s="52"/>
      <c r="AU81" s="125"/>
      <c r="AV81" s="125"/>
      <c r="AW81" s="125"/>
      <c r="AX81" s="5"/>
      <c r="AY81" s="5"/>
      <c r="AZ81" s="113">
        <v>140000</v>
      </c>
      <c r="BA81" s="113">
        <v>26600</v>
      </c>
      <c r="BB81" s="113">
        <v>166600</v>
      </c>
      <c r="BC81" s="52" t="s">
        <v>2970</v>
      </c>
      <c r="BD81" s="52"/>
      <c r="BE81" s="118"/>
      <c r="BF81" s="118"/>
      <c r="BG81" s="118"/>
      <c r="BH81" s="52"/>
      <c r="BI81" s="283"/>
      <c r="BJ81" s="52"/>
      <c r="BK81" s="52"/>
      <c r="BL81" s="52"/>
      <c r="BM81" s="52"/>
      <c r="BN81" s="52"/>
      <c r="BO81" s="52"/>
      <c r="BP81" s="52"/>
      <c r="BQ81" s="52"/>
      <c r="BR81" s="52"/>
      <c r="BS81" s="52"/>
      <c r="BT81" s="52"/>
      <c r="BU81" s="52"/>
      <c r="BV81" s="52"/>
      <c r="BW81" s="52"/>
      <c r="BX81" s="52"/>
      <c r="BY81" s="52"/>
      <c r="BZ81" s="52"/>
      <c r="CA81" s="52"/>
      <c r="CB81" s="52"/>
      <c r="CC81" s="52"/>
      <c r="CD81" s="118"/>
      <c r="CE81" s="52"/>
      <c r="CF81" s="52"/>
      <c r="CG81" s="52"/>
      <c r="CH81" s="52"/>
      <c r="CI81" s="52"/>
      <c r="CJ81" s="52"/>
      <c r="CK81" s="52"/>
      <c r="CL81" s="52"/>
      <c r="CM81" s="52"/>
      <c r="CN81" s="118"/>
      <c r="CO81" s="118"/>
      <c r="CP81" s="118"/>
      <c r="CQ81" s="52"/>
      <c r="CR81" s="52"/>
      <c r="CS81" s="52"/>
      <c r="CT81" s="52"/>
      <c r="CU81" s="52"/>
      <c r="CV81" s="52"/>
      <c r="CW81" s="52"/>
      <c r="CX81" s="52"/>
      <c r="CY81" s="52"/>
      <c r="CZ81" s="52"/>
      <c r="DA81" s="52"/>
      <c r="DB81" s="52"/>
    </row>
    <row r="82" spans="1:106" ht="27" x14ac:dyDescent="0.25">
      <c r="A82" s="411">
        <v>80</v>
      </c>
      <c r="B82" s="412" t="s">
        <v>3110</v>
      </c>
      <c r="C82" s="413" t="s">
        <v>3111</v>
      </c>
      <c r="D82" s="426" t="s">
        <v>2966</v>
      </c>
      <c r="E82" s="80">
        <v>1</v>
      </c>
      <c r="F82" s="356">
        <v>2635375.3176000002</v>
      </c>
      <c r="G82" s="293"/>
      <c r="H82" s="293"/>
      <c r="I82" s="293"/>
      <c r="J82" s="52"/>
      <c r="K82" s="52"/>
      <c r="L82" s="359"/>
      <c r="M82" s="360"/>
      <c r="N82" s="33"/>
      <c r="O82" s="33"/>
      <c r="P82" s="252"/>
      <c r="Q82" s="113"/>
      <c r="R82" s="113"/>
      <c r="S82" s="113"/>
      <c r="T82" s="52"/>
      <c r="U82" s="5"/>
      <c r="V82" s="113">
        <v>412000</v>
      </c>
      <c r="W82" s="231">
        <f t="shared" ref="W82:W86" si="6">V82*0.19</f>
        <v>78280</v>
      </c>
      <c r="X82" s="231">
        <f t="shared" ref="X82:X86" si="7">V82*1.19</f>
        <v>490280</v>
      </c>
      <c r="Y82" s="118" t="s">
        <v>3112</v>
      </c>
      <c r="Z82" s="363">
        <v>3210.0925999999999</v>
      </c>
      <c r="AA82" s="118" t="s">
        <v>2877</v>
      </c>
      <c r="AB82" s="118"/>
      <c r="AC82" s="118"/>
      <c r="AD82" s="52"/>
      <c r="AE82" s="5"/>
      <c r="AF82" s="358"/>
      <c r="AG82" s="358"/>
      <c r="AH82" s="358"/>
      <c r="AI82" s="358"/>
      <c r="AJ82" s="358"/>
      <c r="AK82" s="113"/>
      <c r="AL82" s="113"/>
      <c r="AM82" s="113"/>
      <c r="AN82" s="113"/>
      <c r="AO82" s="113"/>
      <c r="AP82" s="52"/>
      <c r="AQ82" s="52"/>
      <c r="AR82" s="52"/>
      <c r="AS82" s="52"/>
      <c r="AT82" s="52"/>
      <c r="AU82" s="125"/>
      <c r="AV82" s="125"/>
      <c r="AW82" s="125"/>
      <c r="AX82" s="5"/>
      <c r="AY82" s="5"/>
      <c r="AZ82" s="113">
        <v>3471000</v>
      </c>
      <c r="BA82" s="113">
        <v>659490</v>
      </c>
      <c r="BB82" s="113">
        <v>4130490</v>
      </c>
      <c r="BC82" s="52" t="s">
        <v>3113</v>
      </c>
      <c r="BD82" s="52" t="s">
        <v>3114</v>
      </c>
      <c r="BE82" s="118"/>
      <c r="BF82" s="118"/>
      <c r="BG82" s="118"/>
      <c r="BH82" s="52"/>
      <c r="BI82" s="283"/>
      <c r="BJ82" s="52"/>
      <c r="BK82" s="52"/>
      <c r="BL82" s="52"/>
      <c r="BM82" s="52"/>
      <c r="BN82" s="52"/>
      <c r="BO82" s="52"/>
      <c r="BP82" s="52"/>
      <c r="BQ82" s="52"/>
      <c r="BR82" s="52"/>
      <c r="BS82" s="52"/>
      <c r="BT82" s="52"/>
      <c r="BU82" s="52"/>
      <c r="BV82" s="52"/>
      <c r="BW82" s="52"/>
      <c r="BX82" s="52"/>
      <c r="BY82" s="52"/>
      <c r="BZ82" s="52"/>
      <c r="CA82" s="52"/>
      <c r="CB82" s="52"/>
      <c r="CC82" s="52"/>
      <c r="CD82" s="118"/>
      <c r="CE82" s="52"/>
      <c r="CF82" s="52"/>
      <c r="CG82" s="52"/>
      <c r="CH82" s="52"/>
      <c r="CI82" s="52"/>
      <c r="CJ82" s="52"/>
      <c r="CK82" s="52"/>
      <c r="CL82" s="52"/>
      <c r="CM82" s="52"/>
      <c r="CN82" s="118"/>
      <c r="CO82" s="118"/>
      <c r="CP82" s="118"/>
      <c r="CQ82" s="52"/>
      <c r="CR82" s="52"/>
      <c r="CS82" s="52"/>
      <c r="CT82" s="52"/>
      <c r="CU82" s="52"/>
      <c r="CV82" s="52"/>
      <c r="CW82" s="52"/>
      <c r="CX82" s="52"/>
      <c r="CY82" s="52"/>
      <c r="CZ82" s="52"/>
      <c r="DA82" s="52"/>
      <c r="DB82" s="52"/>
    </row>
    <row r="83" spans="1:106" ht="27" x14ac:dyDescent="0.25">
      <c r="A83" s="411">
        <v>81</v>
      </c>
      <c r="B83" s="412" t="s">
        <v>3115</v>
      </c>
      <c r="C83" s="413" t="s">
        <v>3116</v>
      </c>
      <c r="D83" s="426" t="s">
        <v>3117</v>
      </c>
      <c r="E83" s="80">
        <v>1</v>
      </c>
      <c r="F83" s="356">
        <v>862218.30800000008</v>
      </c>
      <c r="G83" s="293"/>
      <c r="H83" s="293"/>
      <c r="I83" s="293"/>
      <c r="J83" s="52"/>
      <c r="K83" s="52"/>
      <c r="L83" s="359"/>
      <c r="M83" s="360"/>
      <c r="N83" s="33"/>
      <c r="O83" s="33"/>
      <c r="P83" s="252"/>
      <c r="Q83" s="113"/>
      <c r="R83" s="113"/>
      <c r="S83" s="113"/>
      <c r="T83" s="52"/>
      <c r="U83" s="5"/>
      <c r="V83" s="113">
        <v>316000</v>
      </c>
      <c r="W83" s="231">
        <f t="shared" si="6"/>
        <v>60040</v>
      </c>
      <c r="X83" s="231">
        <f t="shared" si="7"/>
        <v>376040</v>
      </c>
      <c r="Y83" s="118" t="s">
        <v>3112</v>
      </c>
      <c r="Z83" s="363">
        <v>3210.1325999999999</v>
      </c>
      <c r="AA83" s="118" t="s">
        <v>2877</v>
      </c>
      <c r="AB83" s="118"/>
      <c r="AC83" s="118"/>
      <c r="AD83" s="52"/>
      <c r="AE83" s="5"/>
      <c r="AF83" s="358"/>
      <c r="AG83" s="358"/>
      <c r="AH83" s="358"/>
      <c r="AI83" s="358"/>
      <c r="AJ83" s="358"/>
      <c r="AK83" s="113"/>
      <c r="AL83" s="113"/>
      <c r="AM83" s="113"/>
      <c r="AN83" s="113"/>
      <c r="AO83" s="113"/>
      <c r="AP83" s="52"/>
      <c r="AQ83" s="52"/>
      <c r="AR83" s="52"/>
      <c r="AS83" s="52"/>
      <c r="AT83" s="52"/>
      <c r="AU83" s="125"/>
      <c r="AV83" s="125"/>
      <c r="AW83" s="125"/>
      <c r="AX83" s="5"/>
      <c r="AY83" s="5"/>
      <c r="AZ83" s="113">
        <v>1375000</v>
      </c>
      <c r="BA83" s="113">
        <v>261250</v>
      </c>
      <c r="BB83" s="113">
        <v>1636250</v>
      </c>
      <c r="BC83" s="52" t="s">
        <v>3118</v>
      </c>
      <c r="BD83" s="52" t="s">
        <v>3119</v>
      </c>
      <c r="BE83" s="118"/>
      <c r="BF83" s="118"/>
      <c r="BG83" s="118"/>
      <c r="BH83" s="52"/>
      <c r="BI83" s="283"/>
      <c r="BJ83" s="52"/>
      <c r="BK83" s="52"/>
      <c r="BL83" s="52"/>
      <c r="BM83" s="52"/>
      <c r="BN83" s="52"/>
      <c r="BO83" s="52"/>
      <c r="BP83" s="52"/>
      <c r="BQ83" s="52"/>
      <c r="BR83" s="52"/>
      <c r="BS83" s="52"/>
      <c r="BT83" s="52"/>
      <c r="BU83" s="52"/>
      <c r="BV83" s="52"/>
      <c r="BW83" s="52"/>
      <c r="BX83" s="52"/>
      <c r="BY83" s="52"/>
      <c r="BZ83" s="52"/>
      <c r="CA83" s="52"/>
      <c r="CB83" s="52"/>
      <c r="CC83" s="52"/>
      <c r="CD83" s="118"/>
      <c r="CE83" s="52"/>
      <c r="CF83" s="52"/>
      <c r="CG83" s="52"/>
      <c r="CH83" s="52"/>
      <c r="CI83" s="52"/>
      <c r="CJ83" s="52"/>
      <c r="CK83" s="52"/>
      <c r="CL83" s="52"/>
      <c r="CM83" s="52"/>
      <c r="CN83" s="118"/>
      <c r="CO83" s="118"/>
      <c r="CP83" s="118"/>
      <c r="CQ83" s="52"/>
      <c r="CR83" s="52"/>
      <c r="CS83" s="52"/>
      <c r="CT83" s="52"/>
      <c r="CU83" s="52"/>
      <c r="CV83" s="52"/>
      <c r="CW83" s="52"/>
      <c r="CX83" s="52"/>
      <c r="CY83" s="52"/>
      <c r="CZ83" s="52"/>
      <c r="DA83" s="52"/>
      <c r="DB83" s="52"/>
    </row>
    <row r="84" spans="1:106" ht="27" x14ac:dyDescent="0.25">
      <c r="A84" s="411">
        <v>82</v>
      </c>
      <c r="B84" s="412" t="s">
        <v>3120</v>
      </c>
      <c r="C84" s="426" t="s">
        <v>3121</v>
      </c>
      <c r="D84" s="426" t="s">
        <v>3122</v>
      </c>
      <c r="E84" s="80">
        <v>1</v>
      </c>
      <c r="F84" s="356">
        <v>1280758.682</v>
      </c>
      <c r="G84" s="293"/>
      <c r="H84" s="293"/>
      <c r="I84" s="293"/>
      <c r="J84" s="52"/>
      <c r="K84" s="52"/>
      <c r="L84" s="359"/>
      <c r="M84" s="360"/>
      <c r="N84" s="33"/>
      <c r="O84" s="33"/>
      <c r="P84" s="252"/>
      <c r="Q84" s="113"/>
      <c r="R84" s="113"/>
      <c r="S84" s="113"/>
      <c r="T84" s="52"/>
      <c r="U84" s="5"/>
      <c r="V84" s="113">
        <v>632000</v>
      </c>
      <c r="W84" s="231">
        <f t="shared" si="6"/>
        <v>120080</v>
      </c>
      <c r="X84" s="231">
        <f t="shared" si="7"/>
        <v>752080</v>
      </c>
      <c r="Y84" s="118" t="s">
        <v>3112</v>
      </c>
      <c r="Z84" s="363">
        <v>3210.1325999999999</v>
      </c>
      <c r="AA84" s="118" t="s">
        <v>2877</v>
      </c>
      <c r="AB84" s="118"/>
      <c r="AC84" s="118"/>
      <c r="AD84" s="52"/>
      <c r="AE84" s="5"/>
      <c r="AF84" s="113">
        <v>1514100</v>
      </c>
      <c r="AG84" s="113">
        <v>287679</v>
      </c>
      <c r="AH84" s="113">
        <v>1801779</v>
      </c>
      <c r="AI84" s="358" t="s">
        <v>3113</v>
      </c>
      <c r="AJ84" s="358" t="s">
        <v>3123</v>
      </c>
      <c r="AK84" s="113"/>
      <c r="AL84" s="113"/>
      <c r="AM84" s="113"/>
      <c r="AN84" s="113"/>
      <c r="AO84" s="113"/>
      <c r="AP84" s="52"/>
      <c r="AQ84" s="52"/>
      <c r="AR84" s="52"/>
      <c r="AS84" s="52"/>
      <c r="AT84" s="52"/>
      <c r="AU84" s="125"/>
      <c r="AV84" s="125"/>
      <c r="AW84" s="125"/>
      <c r="AX84" s="5"/>
      <c r="AY84" s="5"/>
      <c r="AZ84" s="113">
        <v>1887000</v>
      </c>
      <c r="BA84" s="113">
        <v>358530</v>
      </c>
      <c r="BB84" s="113">
        <v>2245530</v>
      </c>
      <c r="BC84" s="52" t="s">
        <v>3113</v>
      </c>
      <c r="BD84" s="52" t="s">
        <v>3124</v>
      </c>
      <c r="BE84" s="118"/>
      <c r="BF84" s="118"/>
      <c r="BG84" s="118"/>
      <c r="BH84" s="52"/>
      <c r="BI84" s="283"/>
      <c r="BJ84" s="52"/>
      <c r="BK84" s="52"/>
      <c r="BL84" s="52"/>
      <c r="BM84" s="52"/>
      <c r="BN84" s="52"/>
      <c r="BO84" s="52"/>
      <c r="BP84" s="52"/>
      <c r="BQ84" s="52"/>
      <c r="BR84" s="52"/>
      <c r="BS84" s="52"/>
      <c r="BT84" s="52"/>
      <c r="BU84" s="52"/>
      <c r="BV84" s="52"/>
      <c r="BW84" s="52"/>
      <c r="BX84" s="52"/>
      <c r="BY84" s="52"/>
      <c r="BZ84" s="52"/>
      <c r="CA84" s="52"/>
      <c r="CB84" s="52"/>
      <c r="CC84" s="52"/>
      <c r="CD84" s="118"/>
      <c r="CE84" s="52"/>
      <c r="CF84" s="52"/>
      <c r="CG84" s="52"/>
      <c r="CH84" s="52"/>
      <c r="CI84" s="52"/>
      <c r="CJ84" s="52"/>
      <c r="CK84" s="52"/>
      <c r="CL84" s="52"/>
      <c r="CM84" s="52"/>
      <c r="CN84" s="118"/>
      <c r="CO84" s="118"/>
      <c r="CP84" s="118"/>
      <c r="CQ84" s="52"/>
      <c r="CR84" s="52"/>
      <c r="CS84" s="52"/>
      <c r="CT84" s="52"/>
      <c r="CU84" s="52"/>
      <c r="CV84" s="52"/>
      <c r="CW84" s="52"/>
      <c r="CX84" s="52"/>
      <c r="CY84" s="52"/>
      <c r="CZ84" s="52"/>
      <c r="DA84" s="52"/>
      <c r="DB84" s="52"/>
    </row>
    <row r="85" spans="1:106" ht="27" x14ac:dyDescent="0.25">
      <c r="A85" s="411">
        <v>83</v>
      </c>
      <c r="B85" s="412" t="s">
        <v>3125</v>
      </c>
      <c r="C85" s="413" t="s">
        <v>3126</v>
      </c>
      <c r="D85" s="426" t="s">
        <v>3122</v>
      </c>
      <c r="E85" s="80">
        <v>1</v>
      </c>
      <c r="F85" s="356">
        <v>708879.19200000004</v>
      </c>
      <c r="G85" s="293"/>
      <c r="H85" s="293"/>
      <c r="I85" s="293"/>
      <c r="J85" s="52"/>
      <c r="K85" s="52"/>
      <c r="L85" s="359"/>
      <c r="M85" s="360"/>
      <c r="N85" s="33"/>
      <c r="O85" s="33"/>
      <c r="P85" s="252"/>
      <c r="Q85" s="113"/>
      <c r="R85" s="113"/>
      <c r="S85" s="113"/>
      <c r="T85" s="52"/>
      <c r="U85" s="5"/>
      <c r="V85" s="113">
        <v>412000</v>
      </c>
      <c r="W85" s="231">
        <f t="shared" si="6"/>
        <v>78280</v>
      </c>
      <c r="X85" s="231">
        <f t="shared" si="7"/>
        <v>490280</v>
      </c>
      <c r="Y85" s="118" t="s">
        <v>3112</v>
      </c>
      <c r="Z85" s="363">
        <v>3210.0925999999999</v>
      </c>
      <c r="AA85" s="118" t="s">
        <v>2877</v>
      </c>
      <c r="AB85" s="118"/>
      <c r="AC85" s="118"/>
      <c r="AD85" s="52"/>
      <c r="AE85" s="5"/>
      <c r="AF85" s="113">
        <v>816900</v>
      </c>
      <c r="AG85" s="113">
        <v>155211</v>
      </c>
      <c r="AH85" s="113">
        <v>972111</v>
      </c>
      <c r="AI85" s="358" t="s">
        <v>3113</v>
      </c>
      <c r="AJ85" s="358" t="s">
        <v>3127</v>
      </c>
      <c r="AK85" s="113"/>
      <c r="AL85" s="113"/>
      <c r="AM85" s="113"/>
      <c r="AN85" s="113"/>
      <c r="AO85" s="113"/>
      <c r="AP85" s="52"/>
      <c r="AQ85" s="52"/>
      <c r="AR85" s="52"/>
      <c r="AS85" s="52"/>
      <c r="AT85" s="52"/>
      <c r="AU85" s="125"/>
      <c r="AV85" s="125"/>
      <c r="AW85" s="125"/>
      <c r="AX85" s="5"/>
      <c r="AY85" s="5"/>
      <c r="AZ85" s="113">
        <v>1043000</v>
      </c>
      <c r="BA85" s="113">
        <v>198170</v>
      </c>
      <c r="BB85" s="113">
        <v>1241170</v>
      </c>
      <c r="BC85" s="52" t="s">
        <v>3113</v>
      </c>
      <c r="BD85" s="52" t="s">
        <v>3128</v>
      </c>
      <c r="BE85" s="118"/>
      <c r="BF85" s="118"/>
      <c r="BG85" s="118"/>
      <c r="BH85" s="52"/>
      <c r="BI85" s="283"/>
      <c r="BJ85" s="52"/>
      <c r="BK85" s="52"/>
      <c r="BL85" s="52"/>
      <c r="BM85" s="52"/>
      <c r="BN85" s="52"/>
      <c r="BO85" s="52"/>
      <c r="BP85" s="52"/>
      <c r="BQ85" s="52"/>
      <c r="BR85" s="52"/>
      <c r="BS85" s="52"/>
      <c r="BT85" s="52"/>
      <c r="BU85" s="52"/>
      <c r="BV85" s="52"/>
      <c r="BW85" s="52"/>
      <c r="BX85" s="52"/>
      <c r="BY85" s="52"/>
      <c r="BZ85" s="52"/>
      <c r="CA85" s="52"/>
      <c r="CB85" s="52"/>
      <c r="CC85" s="52"/>
      <c r="CD85" s="118"/>
      <c r="CE85" s="52"/>
      <c r="CF85" s="52"/>
      <c r="CG85" s="52"/>
      <c r="CH85" s="52"/>
      <c r="CI85" s="52"/>
      <c r="CJ85" s="52"/>
      <c r="CK85" s="52"/>
      <c r="CL85" s="52"/>
      <c r="CM85" s="52"/>
      <c r="CN85" s="118"/>
      <c r="CO85" s="118"/>
      <c r="CP85" s="118"/>
      <c r="CQ85" s="52"/>
      <c r="CR85" s="52"/>
      <c r="CS85" s="52"/>
      <c r="CT85" s="52"/>
      <c r="CU85" s="52"/>
      <c r="CV85" s="52"/>
      <c r="CW85" s="52"/>
      <c r="CX85" s="52"/>
      <c r="CY85" s="52"/>
      <c r="CZ85" s="52"/>
      <c r="DA85" s="52"/>
      <c r="DB85" s="52"/>
    </row>
    <row r="86" spans="1:106" ht="27" x14ac:dyDescent="0.25">
      <c r="A86" s="411">
        <v>84</v>
      </c>
      <c r="B86" s="412" t="s">
        <v>3129</v>
      </c>
      <c r="C86" s="413" t="s">
        <v>3130</v>
      </c>
      <c r="D86" s="426" t="s">
        <v>3131</v>
      </c>
      <c r="E86" s="80">
        <v>1</v>
      </c>
      <c r="F86" s="356">
        <v>784291.87199999997</v>
      </c>
      <c r="G86" s="293"/>
      <c r="H86" s="293"/>
      <c r="I86" s="293"/>
      <c r="J86" s="52"/>
      <c r="K86" s="52"/>
      <c r="L86" s="359"/>
      <c r="M86" s="360"/>
      <c r="N86" s="33"/>
      <c r="O86" s="33"/>
      <c r="P86" s="252"/>
      <c r="Q86" s="113"/>
      <c r="R86" s="113"/>
      <c r="S86" s="113"/>
      <c r="T86" s="52"/>
      <c r="U86" s="5"/>
      <c r="V86" s="113">
        <v>412000</v>
      </c>
      <c r="W86" s="231">
        <f t="shared" si="6"/>
        <v>78280</v>
      </c>
      <c r="X86" s="231">
        <f t="shared" si="7"/>
        <v>490280</v>
      </c>
      <c r="Y86" s="118" t="s">
        <v>3112</v>
      </c>
      <c r="Z86" s="363">
        <v>3210.0925999999999</v>
      </c>
      <c r="AA86" s="118" t="s">
        <v>2877</v>
      </c>
      <c r="AB86" s="118"/>
      <c r="AC86" s="118"/>
      <c r="AD86" s="52"/>
      <c r="AE86" s="5"/>
      <c r="AF86" s="113">
        <v>880950</v>
      </c>
      <c r="AG86" s="113">
        <v>167380.5</v>
      </c>
      <c r="AH86" s="113">
        <v>1048330.5</v>
      </c>
      <c r="AI86" s="358" t="s">
        <v>3113</v>
      </c>
      <c r="AJ86" s="358" t="s">
        <v>3132</v>
      </c>
      <c r="AK86" s="113"/>
      <c r="AL86" s="113"/>
      <c r="AM86" s="113"/>
      <c r="AN86" s="113"/>
      <c r="AO86" s="113"/>
      <c r="AP86" s="52"/>
      <c r="AQ86" s="52"/>
      <c r="AR86" s="52"/>
      <c r="AS86" s="52"/>
      <c r="AT86" s="52"/>
      <c r="AU86" s="125"/>
      <c r="AV86" s="125"/>
      <c r="AW86" s="125"/>
      <c r="AX86" s="5"/>
      <c r="AY86" s="5"/>
      <c r="AZ86" s="113">
        <v>1204000</v>
      </c>
      <c r="BA86" s="113">
        <v>228760</v>
      </c>
      <c r="BB86" s="113">
        <v>1432760</v>
      </c>
      <c r="BC86" s="52" t="s">
        <v>338</v>
      </c>
      <c r="BD86" s="52" t="s">
        <v>3133</v>
      </c>
      <c r="BE86" s="118"/>
      <c r="BF86" s="118"/>
      <c r="BG86" s="118"/>
      <c r="BH86" s="52"/>
      <c r="BI86" s="283"/>
      <c r="BJ86" s="52"/>
      <c r="BK86" s="52"/>
      <c r="BL86" s="52"/>
      <c r="BM86" s="52"/>
      <c r="BN86" s="52"/>
      <c r="BO86" s="52"/>
      <c r="BP86" s="52"/>
      <c r="BQ86" s="52"/>
      <c r="BR86" s="52"/>
      <c r="BS86" s="52"/>
      <c r="BT86" s="52"/>
      <c r="BU86" s="52"/>
      <c r="BV86" s="52"/>
      <c r="BW86" s="52"/>
      <c r="BX86" s="52"/>
      <c r="BY86" s="52"/>
      <c r="BZ86" s="52"/>
      <c r="CA86" s="52"/>
      <c r="CB86" s="52"/>
      <c r="CC86" s="52"/>
      <c r="CD86" s="118"/>
      <c r="CE86" s="52"/>
      <c r="CF86" s="52"/>
      <c r="CG86" s="52"/>
      <c r="CH86" s="52"/>
      <c r="CI86" s="52"/>
      <c r="CJ86" s="52"/>
      <c r="CK86" s="52"/>
      <c r="CL86" s="52"/>
      <c r="CM86" s="52"/>
      <c r="CN86" s="118"/>
      <c r="CO86" s="118"/>
      <c r="CP86" s="118"/>
      <c r="CQ86" s="52"/>
      <c r="CR86" s="52"/>
      <c r="CS86" s="52"/>
      <c r="CT86" s="52"/>
      <c r="CU86" s="52"/>
      <c r="CV86" s="52"/>
      <c r="CW86" s="52"/>
      <c r="CX86" s="52"/>
      <c r="CY86" s="52"/>
      <c r="CZ86" s="52"/>
      <c r="DA86" s="52"/>
      <c r="DB86" s="52"/>
    </row>
    <row r="87" spans="1:106" ht="27" x14ac:dyDescent="0.25">
      <c r="A87" s="411">
        <v>85</v>
      </c>
      <c r="B87" s="412" t="s">
        <v>3134</v>
      </c>
      <c r="C87" s="413" t="s">
        <v>3135</v>
      </c>
      <c r="D87" s="426" t="s">
        <v>3122</v>
      </c>
      <c r="E87" s="80">
        <v>1</v>
      </c>
      <c r="F87" s="356">
        <v>608328.95200000005</v>
      </c>
      <c r="G87" s="293"/>
      <c r="H87" s="293"/>
      <c r="I87" s="293"/>
      <c r="J87" s="52"/>
      <c r="K87" s="52"/>
      <c r="L87" s="359"/>
      <c r="M87" s="360"/>
      <c r="N87" s="33"/>
      <c r="O87" s="33"/>
      <c r="P87" s="252"/>
      <c r="Q87" s="113"/>
      <c r="R87" s="113"/>
      <c r="S87" s="113"/>
      <c r="T87" s="52"/>
      <c r="U87" s="5"/>
      <c r="V87" s="113">
        <v>247000</v>
      </c>
      <c r="W87" s="231">
        <f>V87*0.19</f>
        <v>46930</v>
      </c>
      <c r="X87" s="231">
        <f>V87*1.19</f>
        <v>293930</v>
      </c>
      <c r="Y87" s="118" t="s">
        <v>3112</v>
      </c>
      <c r="Z87" s="363">
        <v>3210.8159999999998</v>
      </c>
      <c r="AA87" s="118" t="s">
        <v>2877</v>
      </c>
      <c r="AB87" s="118"/>
      <c r="AC87" s="118"/>
      <c r="AD87" s="52"/>
      <c r="AE87" s="5"/>
      <c r="AF87" s="113">
        <v>762300</v>
      </c>
      <c r="AG87" s="113">
        <v>144837</v>
      </c>
      <c r="AH87" s="113">
        <v>907137</v>
      </c>
      <c r="AI87" s="358" t="s">
        <v>3113</v>
      </c>
      <c r="AJ87" s="358" t="s">
        <v>3136</v>
      </c>
      <c r="AK87" s="113"/>
      <c r="AL87" s="113"/>
      <c r="AM87" s="113"/>
      <c r="AN87" s="113"/>
      <c r="AO87" s="113"/>
      <c r="AP87" s="52"/>
      <c r="AQ87" s="52"/>
      <c r="AR87" s="52"/>
      <c r="AS87" s="52"/>
      <c r="AT87" s="52"/>
      <c r="AU87" s="125"/>
      <c r="AV87" s="125"/>
      <c r="AW87" s="125"/>
      <c r="AX87" s="5"/>
      <c r="AY87" s="5"/>
      <c r="AZ87" s="113">
        <v>863000</v>
      </c>
      <c r="BA87" s="113">
        <v>163970</v>
      </c>
      <c r="BB87" s="113">
        <v>1026970</v>
      </c>
      <c r="BC87" s="52" t="s">
        <v>3113</v>
      </c>
      <c r="BD87" s="52" t="s">
        <v>3137</v>
      </c>
      <c r="BE87" s="118"/>
      <c r="BF87" s="118"/>
      <c r="BG87" s="118"/>
      <c r="BH87" s="52"/>
      <c r="BI87" s="283"/>
      <c r="BJ87" s="52"/>
      <c r="BK87" s="52"/>
      <c r="BL87" s="52"/>
      <c r="BM87" s="52"/>
      <c r="BN87" s="52"/>
      <c r="BO87" s="52"/>
      <c r="BP87" s="52"/>
      <c r="BQ87" s="52"/>
      <c r="BR87" s="52"/>
      <c r="BS87" s="52"/>
      <c r="BT87" s="52"/>
      <c r="BU87" s="52"/>
      <c r="BV87" s="52"/>
      <c r="BW87" s="52"/>
      <c r="BX87" s="52"/>
      <c r="BY87" s="52"/>
      <c r="BZ87" s="52"/>
      <c r="CA87" s="52"/>
      <c r="CB87" s="52"/>
      <c r="CC87" s="52"/>
      <c r="CD87" s="118"/>
      <c r="CE87" s="52"/>
      <c r="CF87" s="52"/>
      <c r="CG87" s="52"/>
      <c r="CH87" s="52"/>
      <c r="CI87" s="52"/>
      <c r="CJ87" s="52"/>
      <c r="CK87" s="52"/>
      <c r="CL87" s="52"/>
      <c r="CM87" s="52"/>
      <c r="CN87" s="118"/>
      <c r="CO87" s="118"/>
      <c r="CP87" s="118"/>
      <c r="CQ87" s="52"/>
      <c r="CR87" s="52"/>
      <c r="CS87" s="52"/>
      <c r="CT87" s="52"/>
      <c r="CU87" s="52"/>
      <c r="CV87" s="52"/>
      <c r="CW87" s="52"/>
      <c r="CX87" s="52"/>
      <c r="CY87" s="52"/>
      <c r="CZ87" s="52"/>
      <c r="DA87" s="52"/>
      <c r="DB87" s="52"/>
    </row>
    <row r="88" spans="1:106" ht="13.5" x14ac:dyDescent="0.25">
      <c r="A88" s="411">
        <v>86</v>
      </c>
      <c r="B88" s="412" t="s">
        <v>3138</v>
      </c>
      <c r="C88" s="413" t="s">
        <v>622</v>
      </c>
      <c r="D88" s="426" t="s">
        <v>3139</v>
      </c>
      <c r="E88" s="80">
        <v>1</v>
      </c>
      <c r="F88" s="356">
        <v>27651.316000000003</v>
      </c>
      <c r="G88" s="293"/>
      <c r="H88" s="293"/>
      <c r="I88" s="293"/>
      <c r="J88" s="52"/>
      <c r="K88" s="52"/>
      <c r="L88" s="359"/>
      <c r="M88" s="360"/>
      <c r="N88" s="33"/>
      <c r="O88" s="33"/>
      <c r="P88" s="252"/>
      <c r="Q88" s="113"/>
      <c r="R88" s="113"/>
      <c r="S88" s="113"/>
      <c r="T88" s="52"/>
      <c r="U88" s="5"/>
      <c r="V88" s="231"/>
      <c r="W88" s="231"/>
      <c r="X88" s="231"/>
      <c r="Y88" s="113"/>
      <c r="Z88" s="357"/>
      <c r="AA88" s="118" t="s">
        <v>2877</v>
      </c>
      <c r="AB88" s="118"/>
      <c r="AC88" s="118"/>
      <c r="AD88" s="52"/>
      <c r="AE88" s="5"/>
      <c r="AF88" s="358"/>
      <c r="AG88" s="358"/>
      <c r="AH88" s="358"/>
      <c r="AI88" s="358"/>
      <c r="AJ88" s="358"/>
      <c r="AK88" s="113"/>
      <c r="AL88" s="113"/>
      <c r="AM88" s="113"/>
      <c r="AN88" s="113"/>
      <c r="AO88" s="113"/>
      <c r="AP88" s="52"/>
      <c r="AQ88" s="52"/>
      <c r="AR88" s="52"/>
      <c r="AS88" s="52"/>
      <c r="AT88" s="52"/>
      <c r="AU88" s="125"/>
      <c r="AV88" s="125"/>
      <c r="AW88" s="125"/>
      <c r="AX88" s="5"/>
      <c r="AY88" s="5"/>
      <c r="AZ88" s="113">
        <v>60000</v>
      </c>
      <c r="BA88" s="113">
        <v>11400</v>
      </c>
      <c r="BB88" s="113">
        <v>71400</v>
      </c>
      <c r="BC88" s="52" t="s">
        <v>2970</v>
      </c>
      <c r="BD88" s="52"/>
      <c r="BE88" s="118"/>
      <c r="BF88" s="118"/>
      <c r="BG88" s="118"/>
      <c r="BH88" s="52"/>
      <c r="BI88" s="283"/>
      <c r="BJ88" s="52"/>
      <c r="BK88" s="52"/>
      <c r="BL88" s="52"/>
      <c r="BM88" s="52"/>
      <c r="BN88" s="52"/>
      <c r="BO88" s="52"/>
      <c r="BP88" s="52"/>
      <c r="BQ88" s="52"/>
      <c r="BR88" s="52"/>
      <c r="BS88" s="52"/>
      <c r="BT88" s="52"/>
      <c r="BU88" s="52"/>
      <c r="BV88" s="52"/>
      <c r="BW88" s="52"/>
      <c r="BX88" s="52"/>
      <c r="BY88" s="52"/>
      <c r="BZ88" s="52"/>
      <c r="CA88" s="52"/>
      <c r="CB88" s="52"/>
      <c r="CC88" s="52"/>
      <c r="CD88" s="118"/>
      <c r="CE88" s="52"/>
      <c r="CF88" s="52"/>
      <c r="CG88" s="52"/>
      <c r="CH88" s="52"/>
      <c r="CI88" s="52"/>
      <c r="CJ88" s="52"/>
      <c r="CK88" s="52"/>
      <c r="CL88" s="52"/>
      <c r="CM88" s="52"/>
      <c r="CN88" s="118"/>
      <c r="CO88" s="118"/>
      <c r="CP88" s="118"/>
      <c r="CQ88" s="52"/>
      <c r="CR88" s="52"/>
      <c r="CS88" s="52"/>
      <c r="CT88" s="52"/>
      <c r="CU88" s="52"/>
      <c r="CV88" s="52"/>
      <c r="CW88" s="52"/>
      <c r="CX88" s="52"/>
      <c r="CY88" s="52"/>
      <c r="CZ88" s="52"/>
      <c r="DA88" s="52"/>
      <c r="DB88" s="52"/>
    </row>
    <row r="89" spans="1:106" ht="13.5" x14ac:dyDescent="0.25">
      <c r="A89" s="411">
        <v>87</v>
      </c>
      <c r="B89" s="412" t="s">
        <v>3140</v>
      </c>
      <c r="C89" s="413" t="s">
        <v>622</v>
      </c>
      <c r="D89" s="426" t="s">
        <v>3141</v>
      </c>
      <c r="E89" s="80">
        <v>1</v>
      </c>
      <c r="F89" s="356">
        <v>45876.046999999999</v>
      </c>
      <c r="G89" s="293"/>
      <c r="H89" s="293"/>
      <c r="I89" s="293"/>
      <c r="J89" s="52"/>
      <c r="K89" s="52"/>
      <c r="L89" s="359"/>
      <c r="M89" s="360"/>
      <c r="N89" s="33"/>
      <c r="O89" s="33"/>
      <c r="P89" s="252"/>
      <c r="Q89" s="113"/>
      <c r="R89" s="113"/>
      <c r="S89" s="113"/>
      <c r="T89" s="52"/>
      <c r="U89" s="5"/>
      <c r="V89" s="231"/>
      <c r="W89" s="231"/>
      <c r="X89" s="231"/>
      <c r="Y89" s="113"/>
      <c r="Z89" s="357"/>
      <c r="AA89" s="118" t="s">
        <v>2877</v>
      </c>
      <c r="AB89" s="118"/>
      <c r="AC89" s="118"/>
      <c r="AD89" s="52"/>
      <c r="AE89" s="5"/>
      <c r="AF89" s="358"/>
      <c r="AG89" s="358"/>
      <c r="AH89" s="358"/>
      <c r="AI89" s="358"/>
      <c r="AJ89" s="358"/>
      <c r="AK89" s="113"/>
      <c r="AL89" s="113"/>
      <c r="AM89" s="113"/>
      <c r="AN89" s="113"/>
      <c r="AO89" s="113"/>
      <c r="AP89" s="52"/>
      <c r="AQ89" s="52"/>
      <c r="AR89" s="52"/>
      <c r="AS89" s="52"/>
      <c r="AT89" s="52"/>
      <c r="AU89" s="125"/>
      <c r="AV89" s="125"/>
      <c r="AW89" s="125"/>
      <c r="AX89" s="5"/>
      <c r="AY89" s="5"/>
      <c r="AZ89" s="113"/>
      <c r="BA89" s="113"/>
      <c r="BB89" s="113"/>
      <c r="BC89" s="52"/>
      <c r="BD89" s="52"/>
      <c r="BE89" s="118"/>
      <c r="BF89" s="118"/>
      <c r="BG89" s="118"/>
      <c r="BH89" s="52"/>
      <c r="BI89" s="283"/>
      <c r="BJ89" s="52"/>
      <c r="BK89" s="52"/>
      <c r="BL89" s="52"/>
      <c r="BM89" s="52"/>
      <c r="BN89" s="52"/>
      <c r="BO89" s="52"/>
      <c r="BP89" s="52"/>
      <c r="BQ89" s="52"/>
      <c r="BR89" s="52"/>
      <c r="BS89" s="52"/>
      <c r="BT89" s="52"/>
      <c r="BU89" s="52"/>
      <c r="BV89" s="52"/>
      <c r="BW89" s="52"/>
      <c r="BX89" s="52"/>
      <c r="BY89" s="52"/>
      <c r="BZ89" s="52"/>
      <c r="CA89" s="52"/>
      <c r="CB89" s="52"/>
      <c r="CC89" s="52"/>
      <c r="CD89" s="118"/>
      <c r="CE89" s="52"/>
      <c r="CF89" s="52"/>
      <c r="CG89" s="52"/>
      <c r="CH89" s="52"/>
      <c r="CI89" s="52"/>
      <c r="CJ89" s="52"/>
      <c r="CK89" s="52"/>
      <c r="CL89" s="52"/>
      <c r="CM89" s="52"/>
      <c r="CN89" s="118"/>
      <c r="CO89" s="118"/>
      <c r="CP89" s="118"/>
      <c r="CQ89" s="52"/>
      <c r="CR89" s="52"/>
      <c r="CS89" s="52"/>
      <c r="CT89" s="52"/>
      <c r="CU89" s="52"/>
      <c r="CV89" s="52"/>
      <c r="CW89" s="52"/>
      <c r="CX89" s="52"/>
      <c r="CY89" s="52"/>
      <c r="CZ89" s="52"/>
      <c r="DA89" s="52"/>
      <c r="DB89" s="52"/>
    </row>
    <row r="90" spans="1:106" ht="27" x14ac:dyDescent="0.25">
      <c r="A90" s="411">
        <v>88</v>
      </c>
      <c r="B90" s="412" t="s">
        <v>3142</v>
      </c>
      <c r="C90" s="413" t="s">
        <v>622</v>
      </c>
      <c r="D90" s="426" t="s">
        <v>3143</v>
      </c>
      <c r="E90" s="80">
        <v>1</v>
      </c>
      <c r="F90" s="356">
        <v>23252.243000000002</v>
      </c>
      <c r="G90" s="293"/>
      <c r="H90" s="293"/>
      <c r="I90" s="293"/>
      <c r="J90" s="52"/>
      <c r="K90" s="52"/>
      <c r="L90" s="359"/>
      <c r="M90" s="360"/>
      <c r="N90" s="33"/>
      <c r="O90" s="33"/>
      <c r="P90" s="252"/>
      <c r="Q90" s="113"/>
      <c r="R90" s="113"/>
      <c r="S90" s="113"/>
      <c r="T90" s="52"/>
      <c r="U90" s="5"/>
      <c r="V90" s="231"/>
      <c r="W90" s="231"/>
      <c r="X90" s="231"/>
      <c r="Y90" s="113"/>
      <c r="Z90" s="357"/>
      <c r="AA90" s="118" t="s">
        <v>2877</v>
      </c>
      <c r="AB90" s="118"/>
      <c r="AC90" s="118"/>
      <c r="AD90" s="52"/>
      <c r="AE90" s="5"/>
      <c r="AF90" s="358"/>
      <c r="AG90" s="358"/>
      <c r="AH90" s="358"/>
      <c r="AI90" s="358"/>
      <c r="AJ90" s="358"/>
      <c r="AK90" s="113"/>
      <c r="AL90" s="113"/>
      <c r="AM90" s="113"/>
      <c r="AN90" s="113"/>
      <c r="AO90" s="113"/>
      <c r="AP90" s="52"/>
      <c r="AQ90" s="52"/>
      <c r="AR90" s="52"/>
      <c r="AS90" s="52"/>
      <c r="AT90" s="52"/>
      <c r="AU90" s="125"/>
      <c r="AV90" s="125"/>
      <c r="AW90" s="125"/>
      <c r="AX90" s="5"/>
      <c r="AY90" s="5"/>
      <c r="AZ90" s="113">
        <v>90000</v>
      </c>
      <c r="BA90" s="113">
        <v>17100</v>
      </c>
      <c r="BB90" s="113">
        <v>107100</v>
      </c>
      <c r="BC90" s="52" t="s">
        <v>2970</v>
      </c>
      <c r="BD90" s="52"/>
      <c r="BE90" s="118"/>
      <c r="BF90" s="118"/>
      <c r="BG90" s="118"/>
      <c r="BH90" s="52"/>
      <c r="BI90" s="283"/>
      <c r="BJ90" s="52"/>
      <c r="BK90" s="52"/>
      <c r="BL90" s="52"/>
      <c r="BM90" s="52"/>
      <c r="BN90" s="52"/>
      <c r="BO90" s="52"/>
      <c r="BP90" s="52"/>
      <c r="BQ90" s="52"/>
      <c r="BR90" s="52"/>
      <c r="BS90" s="52"/>
      <c r="BT90" s="52"/>
      <c r="BU90" s="52"/>
      <c r="BV90" s="52"/>
      <c r="BW90" s="52"/>
      <c r="BX90" s="52"/>
      <c r="BY90" s="52"/>
      <c r="BZ90" s="52"/>
      <c r="CA90" s="52"/>
      <c r="CB90" s="52"/>
      <c r="CC90" s="52"/>
      <c r="CD90" s="118"/>
      <c r="CE90" s="52"/>
      <c r="CF90" s="52"/>
      <c r="CG90" s="52"/>
      <c r="CH90" s="52"/>
      <c r="CI90" s="52"/>
      <c r="CJ90" s="52"/>
      <c r="CK90" s="52"/>
      <c r="CL90" s="52"/>
      <c r="CM90" s="52"/>
      <c r="CN90" s="118"/>
      <c r="CO90" s="118"/>
      <c r="CP90" s="118"/>
      <c r="CQ90" s="52"/>
      <c r="CR90" s="52"/>
      <c r="CS90" s="52"/>
      <c r="CT90" s="52"/>
      <c r="CU90" s="52"/>
      <c r="CV90" s="52"/>
      <c r="CW90" s="52"/>
      <c r="CX90" s="52"/>
      <c r="CY90" s="52"/>
      <c r="CZ90" s="52"/>
      <c r="DA90" s="52"/>
      <c r="DB90" s="52"/>
    </row>
    <row r="91" spans="1:106" ht="27" x14ac:dyDescent="0.25">
      <c r="A91" s="411">
        <v>89</v>
      </c>
      <c r="B91" s="412" t="s">
        <v>3144</v>
      </c>
      <c r="C91" s="413" t="s">
        <v>3145</v>
      </c>
      <c r="D91" s="426" t="s">
        <v>445</v>
      </c>
      <c r="E91" s="80">
        <v>1</v>
      </c>
      <c r="F91" s="356">
        <v>226238.04</v>
      </c>
      <c r="G91" s="293"/>
      <c r="H91" s="293"/>
      <c r="I91" s="293"/>
      <c r="J91" s="52"/>
      <c r="K91" s="52"/>
      <c r="L91" s="359"/>
      <c r="M91" s="360"/>
      <c r="N91" s="33"/>
      <c r="O91" s="33"/>
      <c r="P91" s="252"/>
      <c r="Q91" s="113"/>
      <c r="R91" s="113"/>
      <c r="S91" s="113"/>
      <c r="T91" s="52"/>
      <c r="U91" s="5"/>
      <c r="V91" s="231"/>
      <c r="W91" s="231"/>
      <c r="X91" s="231"/>
      <c r="Y91" s="113"/>
      <c r="Z91" s="357"/>
      <c r="AA91" s="118" t="s">
        <v>2877</v>
      </c>
      <c r="AB91" s="118"/>
      <c r="AC91" s="118"/>
      <c r="AD91" s="52"/>
      <c r="AE91" s="5"/>
      <c r="AF91" s="358"/>
      <c r="AG91" s="358"/>
      <c r="AH91" s="358"/>
      <c r="AI91" s="358"/>
      <c r="AJ91" s="358"/>
      <c r="AK91" s="113"/>
      <c r="AL91" s="113"/>
      <c r="AM91" s="113"/>
      <c r="AN91" s="113"/>
      <c r="AO91" s="113"/>
      <c r="AP91" s="52"/>
      <c r="AQ91" s="52"/>
      <c r="AR91" s="52"/>
      <c r="AS91" s="52"/>
      <c r="AT91" s="52"/>
      <c r="AU91" s="125"/>
      <c r="AV91" s="125"/>
      <c r="AW91" s="125"/>
      <c r="AX91" s="5"/>
      <c r="AY91" s="5"/>
      <c r="AZ91" s="113">
        <v>200000</v>
      </c>
      <c r="BA91" s="113">
        <v>38000</v>
      </c>
      <c r="BB91" s="113">
        <v>238000</v>
      </c>
      <c r="BC91" s="52" t="s">
        <v>3146</v>
      </c>
      <c r="BD91" s="52" t="s">
        <v>3147</v>
      </c>
      <c r="BE91" s="118"/>
      <c r="BF91" s="118"/>
      <c r="BG91" s="118"/>
      <c r="BH91" s="52"/>
      <c r="BI91" s="283"/>
      <c r="BJ91" s="52"/>
      <c r="BK91" s="52"/>
      <c r="BL91" s="52"/>
      <c r="BM91" s="52"/>
      <c r="BN91" s="52"/>
      <c r="BO91" s="52"/>
      <c r="BP91" s="52"/>
      <c r="BQ91" s="52"/>
      <c r="BR91" s="52"/>
      <c r="BS91" s="52"/>
      <c r="BT91" s="52"/>
      <c r="BU91" s="52"/>
      <c r="BV91" s="52"/>
      <c r="BW91" s="52"/>
      <c r="BX91" s="52"/>
      <c r="BY91" s="52"/>
      <c r="BZ91" s="52"/>
      <c r="CA91" s="52"/>
      <c r="CB91" s="52"/>
      <c r="CC91" s="52"/>
      <c r="CD91" s="118"/>
      <c r="CE91" s="52"/>
      <c r="CF91" s="52"/>
      <c r="CG91" s="52"/>
      <c r="CH91" s="52"/>
      <c r="CI91" s="52"/>
      <c r="CJ91" s="52"/>
      <c r="CK91" s="52"/>
      <c r="CL91" s="52"/>
      <c r="CM91" s="52"/>
      <c r="CN91" s="118"/>
      <c r="CO91" s="118"/>
      <c r="CP91" s="118"/>
      <c r="CQ91" s="52"/>
      <c r="CR91" s="52"/>
      <c r="CS91" s="52"/>
      <c r="CT91" s="52"/>
      <c r="CU91" s="52"/>
      <c r="CV91" s="52"/>
      <c r="CW91" s="52"/>
      <c r="CX91" s="52"/>
      <c r="CY91" s="52"/>
      <c r="CZ91" s="52"/>
      <c r="DA91" s="52"/>
      <c r="DB91" s="52"/>
    </row>
    <row r="92" spans="1:106" ht="27" x14ac:dyDescent="0.25">
      <c r="A92" s="411">
        <v>90</v>
      </c>
      <c r="B92" s="412" t="s">
        <v>3148</v>
      </c>
      <c r="C92" s="413" t="s">
        <v>3149</v>
      </c>
      <c r="D92" s="426" t="s">
        <v>445</v>
      </c>
      <c r="E92" s="80">
        <v>1</v>
      </c>
      <c r="F92" s="356">
        <v>45247.608</v>
      </c>
      <c r="G92" s="293"/>
      <c r="H92" s="293"/>
      <c r="I92" s="293"/>
      <c r="J92" s="52"/>
      <c r="K92" s="52"/>
      <c r="L92" s="359"/>
      <c r="M92" s="360"/>
      <c r="N92" s="33"/>
      <c r="O92" s="33"/>
      <c r="P92" s="252"/>
      <c r="Q92" s="113"/>
      <c r="R92" s="113"/>
      <c r="S92" s="113"/>
      <c r="T92" s="52"/>
      <c r="U92" s="5"/>
      <c r="V92" s="231"/>
      <c r="W92" s="231"/>
      <c r="X92" s="231"/>
      <c r="Y92" s="113"/>
      <c r="Z92" s="357"/>
      <c r="AA92" s="118" t="s">
        <v>2877</v>
      </c>
      <c r="AB92" s="118"/>
      <c r="AC92" s="118"/>
      <c r="AD92" s="52"/>
      <c r="AE92" s="5"/>
      <c r="AF92" s="358"/>
      <c r="AG92" s="358"/>
      <c r="AH92" s="358"/>
      <c r="AI92" s="358"/>
      <c r="AJ92" s="358"/>
      <c r="AK92" s="113"/>
      <c r="AL92" s="113"/>
      <c r="AM92" s="113"/>
      <c r="AN92" s="113"/>
      <c r="AO92" s="113"/>
      <c r="AP92" s="52"/>
      <c r="AQ92" s="52"/>
      <c r="AR92" s="52"/>
      <c r="AS92" s="52"/>
      <c r="AT92" s="52"/>
      <c r="AU92" s="125"/>
      <c r="AV92" s="125"/>
      <c r="AW92" s="125"/>
      <c r="AX92" s="5"/>
      <c r="AY92" s="5"/>
      <c r="AZ92" s="113"/>
      <c r="BA92" s="113"/>
      <c r="BB92" s="113"/>
      <c r="BC92" s="52"/>
      <c r="BD92" s="52"/>
      <c r="BE92" s="118"/>
      <c r="BF92" s="118"/>
      <c r="BG92" s="118"/>
      <c r="BH92" s="52"/>
      <c r="BI92" s="283"/>
      <c r="BJ92" s="52"/>
      <c r="BK92" s="52"/>
      <c r="BL92" s="52"/>
      <c r="BM92" s="52"/>
      <c r="BN92" s="52"/>
      <c r="BO92" s="52"/>
      <c r="BP92" s="52"/>
      <c r="BQ92" s="52"/>
      <c r="BR92" s="52"/>
      <c r="BS92" s="52"/>
      <c r="BT92" s="118">
        <v>119000</v>
      </c>
      <c r="BU92" s="118">
        <f>+BT92*0.19</f>
        <v>22610</v>
      </c>
      <c r="BV92" s="118">
        <v>119000</v>
      </c>
      <c r="BW92" s="52" t="s">
        <v>3150</v>
      </c>
      <c r="BX92" s="52" t="s">
        <v>3151</v>
      </c>
      <c r="BY92" s="52"/>
      <c r="BZ92" s="52"/>
      <c r="CA92" s="52"/>
      <c r="CB92" s="52"/>
      <c r="CC92" s="52"/>
      <c r="CD92" s="118"/>
      <c r="CE92" s="52"/>
      <c r="CF92" s="52"/>
      <c r="CG92" s="52"/>
      <c r="CH92" s="52"/>
      <c r="CI92" s="52"/>
      <c r="CJ92" s="52"/>
      <c r="CK92" s="52"/>
      <c r="CL92" s="52"/>
      <c r="CM92" s="52"/>
      <c r="CN92" s="118"/>
      <c r="CO92" s="118"/>
      <c r="CP92" s="118"/>
      <c r="CQ92" s="52"/>
      <c r="CR92" s="52"/>
      <c r="CS92" s="52"/>
      <c r="CT92" s="52"/>
      <c r="CU92" s="52"/>
      <c r="CV92" s="52"/>
      <c r="CW92" s="52"/>
      <c r="CX92" s="52"/>
      <c r="CY92" s="52"/>
      <c r="CZ92" s="52"/>
      <c r="DA92" s="52"/>
      <c r="DB92" s="52"/>
    </row>
    <row r="93" spans="1:106" ht="13.5" x14ac:dyDescent="0.25">
      <c r="A93" s="411">
        <v>91</v>
      </c>
      <c r="B93" s="412" t="s">
        <v>3152</v>
      </c>
      <c r="C93" s="413" t="s">
        <v>622</v>
      </c>
      <c r="D93" s="426" t="s">
        <v>445</v>
      </c>
      <c r="E93" s="80">
        <v>1</v>
      </c>
      <c r="F93" s="356">
        <v>70385.168000000005</v>
      </c>
      <c r="G93" s="293"/>
      <c r="H93" s="293"/>
      <c r="I93" s="293"/>
      <c r="J93" s="52"/>
      <c r="K93" s="52"/>
      <c r="L93" s="359"/>
      <c r="M93" s="360"/>
      <c r="N93" s="33"/>
      <c r="O93" s="33"/>
      <c r="P93" s="252"/>
      <c r="Q93" s="113"/>
      <c r="R93" s="113"/>
      <c r="S93" s="113"/>
      <c r="T93" s="52"/>
      <c r="U93" s="5"/>
      <c r="V93" s="231"/>
      <c r="W93" s="231"/>
      <c r="X93" s="231"/>
      <c r="Y93" s="113"/>
      <c r="Z93" s="357"/>
      <c r="AA93" s="118" t="s">
        <v>2877</v>
      </c>
      <c r="AB93" s="118"/>
      <c r="AC93" s="118"/>
      <c r="AD93" s="52"/>
      <c r="AE93" s="5"/>
      <c r="AF93" s="358"/>
      <c r="AG93" s="358"/>
      <c r="AH93" s="358"/>
      <c r="AI93" s="358"/>
      <c r="AJ93" s="358"/>
      <c r="AK93" s="113"/>
      <c r="AL93" s="113"/>
      <c r="AM93" s="113"/>
      <c r="AN93" s="113"/>
      <c r="AO93" s="113"/>
      <c r="AP93" s="52"/>
      <c r="AQ93" s="52"/>
      <c r="AR93" s="52"/>
      <c r="AS93" s="52"/>
      <c r="AT93" s="52"/>
      <c r="AU93" s="125"/>
      <c r="AV93" s="125"/>
      <c r="AW93" s="125"/>
      <c r="AX93" s="5"/>
      <c r="AY93" s="5"/>
      <c r="AZ93" s="113"/>
      <c r="BA93" s="113"/>
      <c r="BB93" s="113"/>
      <c r="BC93" s="52"/>
      <c r="BD93" s="52"/>
      <c r="BE93" s="118"/>
      <c r="BF93" s="118"/>
      <c r="BG93" s="118"/>
      <c r="BH93" s="52"/>
      <c r="BI93" s="283"/>
      <c r="BJ93" s="52"/>
      <c r="BK93" s="52"/>
      <c r="BL93" s="52"/>
      <c r="BM93" s="52"/>
      <c r="BN93" s="52"/>
      <c r="BO93" s="52"/>
      <c r="BP93" s="52"/>
      <c r="BQ93" s="52"/>
      <c r="BR93" s="52"/>
      <c r="BS93" s="52"/>
      <c r="BT93" s="52"/>
      <c r="BU93" s="52"/>
      <c r="BV93" s="52"/>
      <c r="BW93" s="52"/>
      <c r="BX93" s="52"/>
      <c r="BY93" s="52"/>
      <c r="BZ93" s="52"/>
      <c r="CA93" s="52"/>
      <c r="CB93" s="52"/>
      <c r="CC93" s="52"/>
      <c r="CD93" s="118"/>
      <c r="CE93" s="52"/>
      <c r="CF93" s="52"/>
      <c r="CG93" s="52"/>
      <c r="CH93" s="52"/>
      <c r="CI93" s="52"/>
      <c r="CJ93" s="52"/>
      <c r="CK93" s="52"/>
      <c r="CL93" s="52"/>
      <c r="CM93" s="52"/>
      <c r="CN93" s="118"/>
      <c r="CO93" s="118"/>
      <c r="CP93" s="118"/>
      <c r="CQ93" s="52"/>
      <c r="CR93" s="52"/>
      <c r="CS93" s="52"/>
      <c r="CT93" s="52"/>
      <c r="CU93" s="52"/>
      <c r="CV93" s="52"/>
      <c r="CW93" s="52"/>
      <c r="CX93" s="52"/>
      <c r="CY93" s="52"/>
      <c r="CZ93" s="52"/>
      <c r="DA93" s="52"/>
      <c r="DB93" s="52"/>
    </row>
    <row r="94" spans="1:106" ht="27" x14ac:dyDescent="0.25">
      <c r="A94" s="411">
        <v>92</v>
      </c>
      <c r="B94" s="412" t="s">
        <v>3153</v>
      </c>
      <c r="C94" s="413" t="s">
        <v>622</v>
      </c>
      <c r="D94" s="426" t="s">
        <v>445</v>
      </c>
      <c r="E94" s="80">
        <v>1</v>
      </c>
      <c r="F94" s="356">
        <v>819484.45600000001</v>
      </c>
      <c r="G94" s="293"/>
      <c r="H94" s="293"/>
      <c r="I94" s="293"/>
      <c r="J94" s="52"/>
      <c r="K94" s="52"/>
      <c r="L94" s="359"/>
      <c r="M94" s="360"/>
      <c r="N94" s="33"/>
      <c r="O94" s="33"/>
      <c r="P94" s="252"/>
      <c r="Q94" s="113"/>
      <c r="R94" s="113"/>
      <c r="S94" s="113"/>
      <c r="T94" s="52"/>
      <c r="U94" s="5"/>
      <c r="V94" s="231"/>
      <c r="W94" s="231"/>
      <c r="X94" s="231"/>
      <c r="Y94" s="113"/>
      <c r="Z94" s="357" t="s">
        <v>3154</v>
      </c>
      <c r="AA94" s="118" t="s">
        <v>2877</v>
      </c>
      <c r="AB94" s="118"/>
      <c r="AC94" s="118"/>
      <c r="AD94" s="52"/>
      <c r="AE94" s="5"/>
      <c r="AF94" s="358"/>
      <c r="AG94" s="358"/>
      <c r="AH94" s="358"/>
      <c r="AI94" s="358"/>
      <c r="AJ94" s="358"/>
      <c r="AK94" s="113"/>
      <c r="AL94" s="113"/>
      <c r="AM94" s="113"/>
      <c r="AN94" s="113"/>
      <c r="AO94" s="113"/>
      <c r="AP94" s="52"/>
      <c r="AQ94" s="52"/>
      <c r="AR94" s="52"/>
      <c r="AS94" s="52"/>
      <c r="AT94" s="52"/>
      <c r="AU94" s="125"/>
      <c r="AV94" s="125"/>
      <c r="AW94" s="125"/>
      <c r="AX94" s="5"/>
      <c r="AY94" s="5"/>
      <c r="AZ94" s="113">
        <v>2181000</v>
      </c>
      <c r="BA94" s="113">
        <v>414390</v>
      </c>
      <c r="BB94" s="113">
        <v>2595390</v>
      </c>
      <c r="BC94" s="52" t="s">
        <v>338</v>
      </c>
      <c r="BD94" s="52" t="s">
        <v>3155</v>
      </c>
      <c r="BE94" s="118"/>
      <c r="BF94" s="118"/>
      <c r="BG94" s="118"/>
      <c r="BH94" s="52"/>
      <c r="BI94" s="283"/>
      <c r="BJ94" s="52"/>
      <c r="BK94" s="52"/>
      <c r="BL94" s="52"/>
      <c r="BM94" s="52"/>
      <c r="BN94" s="52"/>
      <c r="BO94" s="52"/>
      <c r="BP94" s="52"/>
      <c r="BQ94" s="52"/>
      <c r="BR94" s="52"/>
      <c r="BS94" s="52"/>
      <c r="BT94" s="52"/>
      <c r="BU94" s="52"/>
      <c r="BV94" s="52"/>
      <c r="BW94" s="52"/>
      <c r="BX94" s="52"/>
      <c r="BY94" s="52"/>
      <c r="BZ94" s="52"/>
      <c r="CA94" s="52"/>
      <c r="CB94" s="52"/>
      <c r="CC94" s="52"/>
      <c r="CD94" s="118"/>
      <c r="CE94" s="52"/>
      <c r="CF94" s="52"/>
      <c r="CG94" s="52"/>
      <c r="CH94" s="52"/>
      <c r="CI94" s="52"/>
      <c r="CJ94" s="52"/>
      <c r="CK94" s="52"/>
      <c r="CL94" s="52"/>
      <c r="CM94" s="52"/>
      <c r="CN94" s="118"/>
      <c r="CO94" s="118"/>
      <c r="CP94" s="118"/>
      <c r="CQ94" s="52"/>
      <c r="CR94" s="52"/>
      <c r="CS94" s="52"/>
      <c r="CT94" s="52"/>
      <c r="CU94" s="52"/>
      <c r="CV94" s="52"/>
      <c r="CW94" s="52"/>
      <c r="CX94" s="52"/>
      <c r="CY94" s="52"/>
      <c r="CZ94" s="52"/>
      <c r="DA94" s="52"/>
      <c r="DB94" s="52"/>
    </row>
    <row r="95" spans="1:106" ht="13.5" x14ac:dyDescent="0.25">
      <c r="A95" s="411">
        <v>93</v>
      </c>
      <c r="B95" s="412" t="s">
        <v>3156</v>
      </c>
      <c r="C95" s="426" t="s">
        <v>622</v>
      </c>
      <c r="D95" s="426" t="s">
        <v>445</v>
      </c>
      <c r="E95" s="80">
        <v>1</v>
      </c>
      <c r="F95" s="356">
        <v>27651.316000000003</v>
      </c>
      <c r="G95" s="293"/>
      <c r="H95" s="293"/>
      <c r="I95" s="293"/>
      <c r="J95" s="52"/>
      <c r="K95" s="52"/>
      <c r="L95" s="359"/>
      <c r="M95" s="360"/>
      <c r="N95" s="33"/>
      <c r="O95" s="33"/>
      <c r="P95" s="252"/>
      <c r="Q95" s="113"/>
      <c r="R95" s="113"/>
      <c r="S95" s="113"/>
      <c r="T95" s="52"/>
      <c r="U95" s="5"/>
      <c r="V95" s="231"/>
      <c r="W95" s="231"/>
      <c r="X95" s="231"/>
      <c r="Y95" s="113"/>
      <c r="Z95" s="357"/>
      <c r="AA95" s="118" t="s">
        <v>2877</v>
      </c>
      <c r="AB95" s="118"/>
      <c r="AC95" s="118"/>
      <c r="AD95" s="52"/>
      <c r="AE95" s="5"/>
      <c r="AF95" s="358"/>
      <c r="AG95" s="358"/>
      <c r="AH95" s="358"/>
      <c r="AI95" s="358"/>
      <c r="AJ95" s="358"/>
      <c r="AK95" s="113"/>
      <c r="AL95" s="113"/>
      <c r="AM95" s="113"/>
      <c r="AN95" s="113"/>
      <c r="AO95" s="113"/>
      <c r="AP95" s="52"/>
      <c r="AQ95" s="52"/>
      <c r="AR95" s="52"/>
      <c r="AS95" s="52"/>
      <c r="AT95" s="52"/>
      <c r="AU95" s="125"/>
      <c r="AV95" s="125"/>
      <c r="AW95" s="125"/>
      <c r="AX95" s="5"/>
      <c r="AY95" s="5"/>
      <c r="AZ95" s="113">
        <v>123000</v>
      </c>
      <c r="BA95" s="113">
        <v>23370</v>
      </c>
      <c r="BB95" s="113">
        <v>146370</v>
      </c>
      <c r="BC95" s="52" t="s">
        <v>3157</v>
      </c>
      <c r="BD95" s="52" t="s">
        <v>3158</v>
      </c>
      <c r="BE95" s="118"/>
      <c r="BF95" s="118"/>
      <c r="BG95" s="118"/>
      <c r="BH95" s="52"/>
      <c r="BI95" s="283"/>
      <c r="BJ95" s="52"/>
      <c r="BK95" s="52"/>
      <c r="BL95" s="52"/>
      <c r="BM95" s="52"/>
      <c r="BN95" s="52"/>
      <c r="BO95" s="52"/>
      <c r="BP95" s="52"/>
      <c r="BQ95" s="52"/>
      <c r="BR95" s="52"/>
      <c r="BS95" s="52"/>
      <c r="BT95" s="52"/>
      <c r="BU95" s="52"/>
      <c r="BV95" s="52"/>
      <c r="BW95" s="52"/>
      <c r="BX95" s="52"/>
      <c r="BY95" s="52"/>
      <c r="BZ95" s="52"/>
      <c r="CA95" s="52"/>
      <c r="CB95" s="52"/>
      <c r="CC95" s="52"/>
      <c r="CD95" s="118"/>
      <c r="CE95" s="52"/>
      <c r="CF95" s="52"/>
      <c r="CG95" s="52"/>
      <c r="CH95" s="52"/>
      <c r="CI95" s="52"/>
      <c r="CJ95" s="52"/>
      <c r="CK95" s="52"/>
      <c r="CL95" s="52"/>
      <c r="CM95" s="52"/>
      <c r="CN95" s="118"/>
      <c r="CO95" s="118"/>
      <c r="CP95" s="118"/>
      <c r="CQ95" s="52"/>
      <c r="CR95" s="52"/>
      <c r="CS95" s="52"/>
      <c r="CT95" s="52"/>
      <c r="CU95" s="52"/>
      <c r="CV95" s="52"/>
      <c r="CW95" s="52"/>
      <c r="CX95" s="52"/>
      <c r="CY95" s="52"/>
      <c r="CZ95" s="52"/>
      <c r="DA95" s="52"/>
      <c r="DB95" s="52"/>
    </row>
    <row r="96" spans="1:106" ht="27" x14ac:dyDescent="0.25">
      <c r="A96" s="411">
        <v>94</v>
      </c>
      <c r="B96" s="412" t="s">
        <v>3159</v>
      </c>
      <c r="C96" s="413" t="s">
        <v>622</v>
      </c>
      <c r="D96" s="426" t="s">
        <v>445</v>
      </c>
      <c r="E96" s="80">
        <v>1</v>
      </c>
      <c r="F96" s="356">
        <v>296623.20799999998</v>
      </c>
      <c r="G96" s="293"/>
      <c r="H96" s="293"/>
      <c r="I96" s="293"/>
      <c r="J96" s="52"/>
      <c r="K96" s="52"/>
      <c r="L96" s="359"/>
      <c r="M96" s="360"/>
      <c r="N96" s="33"/>
      <c r="O96" s="33"/>
      <c r="P96" s="252"/>
      <c r="Q96" s="113"/>
      <c r="R96" s="113"/>
      <c r="S96" s="113"/>
      <c r="T96" s="52"/>
      <c r="U96" s="5"/>
      <c r="V96" s="231"/>
      <c r="W96" s="231"/>
      <c r="X96" s="231"/>
      <c r="Y96" s="113"/>
      <c r="Z96" s="357"/>
      <c r="AA96" s="118" t="s">
        <v>2877</v>
      </c>
      <c r="AB96" s="118"/>
      <c r="AC96" s="118"/>
      <c r="AD96" s="52"/>
      <c r="AE96" s="5"/>
      <c r="AF96" s="358"/>
      <c r="AG96" s="358"/>
      <c r="AH96" s="358"/>
      <c r="AI96" s="358"/>
      <c r="AJ96" s="358"/>
      <c r="AK96" s="113"/>
      <c r="AL96" s="113"/>
      <c r="AM96" s="113"/>
      <c r="AN96" s="113"/>
      <c r="AO96" s="113"/>
      <c r="AP96" s="52"/>
      <c r="AQ96" s="52"/>
      <c r="AR96" s="52"/>
      <c r="AS96" s="52"/>
      <c r="AT96" s="52"/>
      <c r="AU96" s="125"/>
      <c r="AV96" s="125"/>
      <c r="AW96" s="125"/>
      <c r="AX96" s="5"/>
      <c r="AY96" s="5"/>
      <c r="AZ96" s="113">
        <v>759000</v>
      </c>
      <c r="BA96" s="113">
        <f>+AZ96*0.19</f>
        <v>144210</v>
      </c>
      <c r="BB96" s="113">
        <f>+AZ96+BA96</f>
        <v>903210</v>
      </c>
      <c r="BC96" s="52" t="s">
        <v>3160</v>
      </c>
      <c r="BD96" s="52" t="s">
        <v>3161</v>
      </c>
      <c r="BE96" s="118"/>
      <c r="BF96" s="118"/>
      <c r="BG96" s="118"/>
      <c r="BH96" s="52"/>
      <c r="BI96" s="283"/>
      <c r="BJ96" s="52"/>
      <c r="BK96" s="52"/>
      <c r="BL96" s="52"/>
      <c r="BM96" s="52"/>
      <c r="BN96" s="52"/>
      <c r="BO96" s="52"/>
      <c r="BP96" s="52"/>
      <c r="BQ96" s="52"/>
      <c r="BR96" s="52"/>
      <c r="BS96" s="52"/>
      <c r="BT96" s="52"/>
      <c r="BU96" s="52"/>
      <c r="BV96" s="52"/>
      <c r="BW96" s="52"/>
      <c r="BX96" s="52"/>
      <c r="BY96" s="52"/>
      <c r="BZ96" s="52"/>
      <c r="CA96" s="52"/>
      <c r="CB96" s="52"/>
      <c r="CC96" s="52"/>
      <c r="CD96" s="118"/>
      <c r="CE96" s="52"/>
      <c r="CF96" s="52"/>
      <c r="CG96" s="52"/>
      <c r="CH96" s="52"/>
      <c r="CI96" s="52"/>
      <c r="CJ96" s="52"/>
      <c r="CK96" s="52"/>
      <c r="CL96" s="52"/>
      <c r="CM96" s="52"/>
      <c r="CN96" s="118"/>
      <c r="CO96" s="118"/>
      <c r="CP96" s="118"/>
      <c r="CQ96" s="52"/>
      <c r="CR96" s="52"/>
      <c r="CS96" s="52"/>
      <c r="CT96" s="52"/>
      <c r="CU96" s="52"/>
      <c r="CV96" s="52"/>
      <c r="CW96" s="52"/>
      <c r="CX96" s="52"/>
      <c r="CY96" s="52"/>
      <c r="CZ96" s="52"/>
      <c r="DA96" s="52"/>
      <c r="DB96" s="52"/>
    </row>
    <row r="97" spans="1:106" ht="13.5" x14ac:dyDescent="0.25">
      <c r="A97" s="411">
        <v>95</v>
      </c>
      <c r="B97" s="412" t="s">
        <v>3162</v>
      </c>
      <c r="C97" s="413" t="s">
        <v>622</v>
      </c>
      <c r="D97" s="426" t="s">
        <v>2005</v>
      </c>
      <c r="E97" s="80">
        <v>1</v>
      </c>
      <c r="F97" s="356">
        <v>579358.44220000005</v>
      </c>
      <c r="G97" s="293"/>
      <c r="H97" s="293"/>
      <c r="I97" s="293"/>
      <c r="J97" s="52"/>
      <c r="K97" s="52"/>
      <c r="L97" s="359"/>
      <c r="M97" s="360"/>
      <c r="N97" s="33"/>
      <c r="O97" s="33"/>
      <c r="P97" s="252"/>
      <c r="Q97" s="113"/>
      <c r="R97" s="113"/>
      <c r="S97" s="113"/>
      <c r="T97" s="52"/>
      <c r="U97" s="5"/>
      <c r="V97" s="231"/>
      <c r="W97" s="231"/>
      <c r="X97" s="231"/>
      <c r="Y97" s="113"/>
      <c r="Z97" s="357"/>
      <c r="AA97" s="118" t="s">
        <v>2877</v>
      </c>
      <c r="AB97" s="118"/>
      <c r="AC97" s="118"/>
      <c r="AD97" s="52"/>
      <c r="AE97" s="5"/>
      <c r="AF97" s="358"/>
      <c r="AG97" s="358"/>
      <c r="AH97" s="358"/>
      <c r="AI97" s="358"/>
      <c r="AJ97" s="358"/>
      <c r="AK97" s="113"/>
      <c r="AL97" s="113"/>
      <c r="AM97" s="113"/>
      <c r="AN97" s="113"/>
      <c r="AO97" s="113"/>
      <c r="AP97" s="52"/>
      <c r="AQ97" s="52"/>
      <c r="AR97" s="52"/>
      <c r="AS97" s="52"/>
      <c r="AT97" s="52"/>
      <c r="AU97" s="125"/>
      <c r="AV97" s="125"/>
      <c r="AW97" s="125"/>
      <c r="AX97" s="5"/>
      <c r="AY97" s="5"/>
      <c r="AZ97" s="113">
        <v>759000</v>
      </c>
      <c r="BA97" s="113">
        <v>144210</v>
      </c>
      <c r="BB97" s="113">
        <v>903210</v>
      </c>
      <c r="BC97" s="52" t="s">
        <v>338</v>
      </c>
      <c r="BD97" s="52" t="s">
        <v>3163</v>
      </c>
      <c r="BE97" s="118"/>
      <c r="BF97" s="118"/>
      <c r="BG97" s="118"/>
      <c r="BH97" s="52"/>
      <c r="BI97" s="283"/>
      <c r="BJ97" s="52"/>
      <c r="BK97" s="52"/>
      <c r="BL97" s="52"/>
      <c r="BM97" s="52"/>
      <c r="BN97" s="52"/>
      <c r="BO97" s="52"/>
      <c r="BP97" s="52"/>
      <c r="BQ97" s="52"/>
      <c r="BR97" s="52"/>
      <c r="BS97" s="52"/>
      <c r="BT97" s="52"/>
      <c r="BU97" s="52"/>
      <c r="BV97" s="52"/>
      <c r="BW97" s="52"/>
      <c r="BX97" s="52"/>
      <c r="BY97" s="52"/>
      <c r="BZ97" s="52"/>
      <c r="CA97" s="52"/>
      <c r="CB97" s="52"/>
      <c r="CC97" s="52"/>
      <c r="CD97" s="118"/>
      <c r="CE97" s="52"/>
      <c r="CF97" s="52"/>
      <c r="CG97" s="52"/>
      <c r="CH97" s="52"/>
      <c r="CI97" s="52"/>
      <c r="CJ97" s="52"/>
      <c r="CK97" s="52"/>
      <c r="CL97" s="52"/>
      <c r="CM97" s="52"/>
      <c r="CN97" s="118"/>
      <c r="CO97" s="118"/>
      <c r="CP97" s="118"/>
      <c r="CQ97" s="52"/>
      <c r="CR97" s="52"/>
      <c r="CS97" s="52"/>
      <c r="CT97" s="52"/>
      <c r="CU97" s="52"/>
      <c r="CV97" s="52"/>
      <c r="CW97" s="52"/>
      <c r="CX97" s="52"/>
      <c r="CY97" s="52"/>
      <c r="CZ97" s="52"/>
      <c r="DA97" s="52"/>
      <c r="DB97" s="52"/>
    </row>
    <row r="98" spans="1:106" ht="27" x14ac:dyDescent="0.25">
      <c r="A98" s="411">
        <v>96</v>
      </c>
      <c r="B98" s="412" t="s">
        <v>3164</v>
      </c>
      <c r="C98" s="413" t="s">
        <v>3165</v>
      </c>
      <c r="D98" s="426" t="s">
        <v>3131</v>
      </c>
      <c r="E98" s="80">
        <v>1</v>
      </c>
      <c r="F98" s="356">
        <v>500865.88300000003</v>
      </c>
      <c r="G98" s="293"/>
      <c r="H98" s="293"/>
      <c r="I98" s="293"/>
      <c r="J98" s="52"/>
      <c r="K98" s="52"/>
      <c r="L98" s="359"/>
      <c r="M98" s="360"/>
      <c r="N98" s="33"/>
      <c r="O98" s="33"/>
      <c r="P98" s="252"/>
      <c r="Q98" s="113"/>
      <c r="R98" s="113"/>
      <c r="S98" s="113"/>
      <c r="T98" s="52"/>
      <c r="U98" s="5"/>
      <c r="V98" s="231"/>
      <c r="W98" s="231"/>
      <c r="X98" s="231"/>
      <c r="Y98" s="113"/>
      <c r="Z98" s="357"/>
      <c r="AA98" s="118" t="s">
        <v>2877</v>
      </c>
      <c r="AB98" s="118"/>
      <c r="AC98" s="118"/>
      <c r="AD98" s="52"/>
      <c r="AE98" s="5"/>
      <c r="AF98" s="358"/>
      <c r="AG98" s="358"/>
      <c r="AH98" s="358"/>
      <c r="AI98" s="358"/>
      <c r="AJ98" s="358"/>
      <c r="AK98" s="113"/>
      <c r="AL98" s="113"/>
      <c r="AM98" s="113"/>
      <c r="AN98" s="113"/>
      <c r="AO98" s="113"/>
      <c r="AP98" s="52"/>
      <c r="AQ98" s="52"/>
      <c r="AR98" s="52"/>
      <c r="AS98" s="52"/>
      <c r="AT98" s="52"/>
      <c r="AU98" s="125"/>
      <c r="AV98" s="125"/>
      <c r="AW98" s="125"/>
      <c r="AX98" s="5"/>
      <c r="AY98" s="5"/>
      <c r="AZ98" s="113">
        <v>3708000</v>
      </c>
      <c r="BA98" s="113">
        <v>704520</v>
      </c>
      <c r="BB98" s="113">
        <v>4412520</v>
      </c>
      <c r="BC98" s="52" t="s">
        <v>3166</v>
      </c>
      <c r="BD98" s="52" t="s">
        <v>3167</v>
      </c>
      <c r="BE98" s="118"/>
      <c r="BF98" s="118"/>
      <c r="BG98" s="118"/>
      <c r="BH98" s="52"/>
      <c r="BI98" s="283"/>
      <c r="BJ98" s="52"/>
      <c r="BK98" s="52"/>
      <c r="BL98" s="52"/>
      <c r="BM98" s="52"/>
      <c r="BN98" s="52"/>
      <c r="BO98" s="52"/>
      <c r="BP98" s="52"/>
      <c r="BQ98" s="52"/>
      <c r="BR98" s="52"/>
      <c r="BS98" s="52"/>
      <c r="BT98" s="52"/>
      <c r="BU98" s="52"/>
      <c r="BV98" s="52"/>
      <c r="BW98" s="52"/>
      <c r="BX98" s="52"/>
      <c r="BY98" s="52"/>
      <c r="BZ98" s="52"/>
      <c r="CA98" s="52"/>
      <c r="CB98" s="52"/>
      <c r="CC98" s="52"/>
      <c r="CD98" s="118"/>
      <c r="CE98" s="52"/>
      <c r="CF98" s="52"/>
      <c r="CG98" s="52"/>
      <c r="CH98" s="52"/>
      <c r="CI98" s="52"/>
      <c r="CJ98" s="52"/>
      <c r="CK98" s="52"/>
      <c r="CL98" s="52"/>
      <c r="CM98" s="52"/>
      <c r="CN98" s="118"/>
      <c r="CO98" s="118"/>
      <c r="CP98" s="118"/>
      <c r="CQ98" s="52"/>
      <c r="CR98" s="52"/>
      <c r="CS98" s="52"/>
      <c r="CT98" s="52"/>
      <c r="CU98" s="52"/>
      <c r="CV98" s="52"/>
      <c r="CW98" s="52"/>
      <c r="CX98" s="52"/>
      <c r="CY98" s="52"/>
      <c r="CZ98" s="52"/>
      <c r="DA98" s="52"/>
      <c r="DB98" s="52"/>
    </row>
    <row r="99" spans="1:106" ht="13.5" x14ac:dyDescent="0.25">
      <c r="A99" s="411">
        <v>97</v>
      </c>
      <c r="B99" s="412" t="s">
        <v>3168</v>
      </c>
      <c r="C99" s="413" t="s">
        <v>622</v>
      </c>
      <c r="D99" s="426" t="s">
        <v>3169</v>
      </c>
      <c r="E99" s="80">
        <v>1</v>
      </c>
      <c r="F99" s="356">
        <v>553026.32000000007</v>
      </c>
      <c r="G99" s="293"/>
      <c r="H99" s="293"/>
      <c r="I99" s="293"/>
      <c r="J99" s="52"/>
      <c r="K99" s="52"/>
      <c r="L99" s="359"/>
      <c r="M99" s="360"/>
      <c r="N99" s="33"/>
      <c r="O99" s="33"/>
      <c r="P99" s="252"/>
      <c r="Q99" s="113"/>
      <c r="R99" s="113"/>
      <c r="S99" s="113"/>
      <c r="T99" s="52"/>
      <c r="U99" s="5"/>
      <c r="V99" s="231"/>
      <c r="W99" s="231"/>
      <c r="X99" s="231"/>
      <c r="Y99" s="113"/>
      <c r="Z99" s="357"/>
      <c r="AA99" s="118" t="s">
        <v>2877</v>
      </c>
      <c r="AB99" s="118"/>
      <c r="AC99" s="118"/>
      <c r="AD99" s="52"/>
      <c r="AE99" s="5"/>
      <c r="AF99" s="113">
        <v>262000</v>
      </c>
      <c r="AG99" s="113">
        <v>49780</v>
      </c>
      <c r="AH99" s="113">
        <v>311780</v>
      </c>
      <c r="AI99" s="358" t="s">
        <v>3170</v>
      </c>
      <c r="AJ99" s="358">
        <v>0.56999999999999995</v>
      </c>
      <c r="AK99" s="113">
        <v>545000</v>
      </c>
      <c r="AL99" s="113">
        <v>103550</v>
      </c>
      <c r="AM99" s="113">
        <v>648550</v>
      </c>
      <c r="AN99" s="113" t="s">
        <v>3171</v>
      </c>
      <c r="AO99" s="113" t="s">
        <v>3172</v>
      </c>
      <c r="AP99" s="52"/>
      <c r="AQ99" s="52"/>
      <c r="AR99" s="52"/>
      <c r="AS99" s="52"/>
      <c r="AT99" s="52"/>
      <c r="AU99" s="125"/>
      <c r="AV99" s="125"/>
      <c r="AW99" s="125"/>
      <c r="AX99" s="5"/>
      <c r="AY99" s="5"/>
      <c r="AZ99" s="113">
        <v>759000</v>
      </c>
      <c r="BA99" s="113">
        <v>144210</v>
      </c>
      <c r="BB99" s="113">
        <v>903210</v>
      </c>
      <c r="BC99" s="52" t="s">
        <v>338</v>
      </c>
      <c r="BD99" s="52" t="s">
        <v>3173</v>
      </c>
      <c r="BE99" s="118"/>
      <c r="BF99" s="118"/>
      <c r="BG99" s="118"/>
      <c r="BH99" s="52"/>
      <c r="BI99" s="283"/>
      <c r="BJ99" s="52"/>
      <c r="BK99" s="52"/>
      <c r="BL99" s="52"/>
      <c r="BM99" s="52"/>
      <c r="BN99" s="52"/>
      <c r="BO99" s="52"/>
      <c r="BP99" s="52"/>
      <c r="BQ99" s="52"/>
      <c r="BR99" s="52"/>
      <c r="BS99" s="52"/>
      <c r="BT99" s="52"/>
      <c r="BU99" s="52"/>
      <c r="BV99" s="52"/>
      <c r="BW99" s="52"/>
      <c r="BX99" s="52"/>
      <c r="BY99" s="52"/>
      <c r="BZ99" s="52"/>
      <c r="CA99" s="52"/>
      <c r="CB99" s="52"/>
      <c r="CC99" s="52"/>
      <c r="CD99" s="118"/>
      <c r="CE99" s="52"/>
      <c r="CF99" s="52"/>
      <c r="CG99" s="52"/>
      <c r="CH99" s="52"/>
      <c r="CI99" s="52"/>
      <c r="CJ99" s="52"/>
      <c r="CK99" s="52"/>
      <c r="CL99" s="52"/>
      <c r="CM99" s="52"/>
      <c r="CN99" s="118"/>
      <c r="CO99" s="118"/>
      <c r="CP99" s="118"/>
      <c r="CQ99" s="52"/>
      <c r="CR99" s="52"/>
      <c r="CS99" s="52"/>
      <c r="CT99" s="52"/>
      <c r="CU99" s="52"/>
      <c r="CV99" s="52"/>
      <c r="CW99" s="52"/>
      <c r="CX99" s="52"/>
      <c r="CY99" s="52"/>
      <c r="CZ99" s="52"/>
      <c r="DA99" s="52"/>
      <c r="DB99" s="52"/>
    </row>
    <row r="100" spans="1:106" ht="27" x14ac:dyDescent="0.25">
      <c r="A100" s="411">
        <v>98</v>
      </c>
      <c r="B100" s="412" t="s">
        <v>3174</v>
      </c>
      <c r="C100" s="413" t="s">
        <v>622</v>
      </c>
      <c r="D100" s="426" t="s">
        <v>3131</v>
      </c>
      <c r="E100" s="80">
        <v>1</v>
      </c>
      <c r="F100" s="356">
        <v>234030.68360000002</v>
      </c>
      <c r="G100" s="293"/>
      <c r="H100" s="293"/>
      <c r="I100" s="293"/>
      <c r="J100" s="52"/>
      <c r="K100" s="52"/>
      <c r="L100" s="359"/>
      <c r="M100" s="360"/>
      <c r="N100" s="33"/>
      <c r="O100" s="33"/>
      <c r="P100" s="252"/>
      <c r="Q100" s="113"/>
      <c r="R100" s="113"/>
      <c r="S100" s="113"/>
      <c r="T100" s="52"/>
      <c r="U100" s="5"/>
      <c r="V100" s="231"/>
      <c r="W100" s="231"/>
      <c r="X100" s="231"/>
      <c r="Y100" s="113"/>
      <c r="Z100" s="357"/>
      <c r="AA100" s="113">
        <v>456000</v>
      </c>
      <c r="AB100" s="113">
        <f>AA100*0.19</f>
        <v>86640</v>
      </c>
      <c r="AC100" s="113">
        <f>AA100+AB100</f>
        <v>542640</v>
      </c>
      <c r="AD100" s="52" t="s">
        <v>3166</v>
      </c>
      <c r="AE100" s="5" t="s">
        <v>3175</v>
      </c>
      <c r="AF100" s="358"/>
      <c r="AG100" s="358"/>
      <c r="AH100" s="358"/>
      <c r="AI100" s="358"/>
      <c r="AJ100" s="358"/>
      <c r="AK100" s="113">
        <v>322000</v>
      </c>
      <c r="AL100" s="113">
        <v>61180</v>
      </c>
      <c r="AM100" s="113">
        <v>383180</v>
      </c>
      <c r="AN100" s="113" t="s">
        <v>3171</v>
      </c>
      <c r="AO100" s="113" t="s">
        <v>3176</v>
      </c>
      <c r="AP100" s="52"/>
      <c r="AQ100" s="52"/>
      <c r="AR100" s="52"/>
      <c r="AS100" s="52"/>
      <c r="AT100" s="52"/>
      <c r="AU100" s="125"/>
      <c r="AV100" s="125"/>
      <c r="AW100" s="125"/>
      <c r="AX100" s="5"/>
      <c r="AY100" s="5"/>
      <c r="AZ100" s="113">
        <v>1043000</v>
      </c>
      <c r="BA100" s="113">
        <v>198170</v>
      </c>
      <c r="BB100" s="113">
        <v>1241170</v>
      </c>
      <c r="BC100" s="52" t="s">
        <v>338</v>
      </c>
      <c r="BD100" s="52" t="s">
        <v>3177</v>
      </c>
      <c r="BE100" s="118"/>
      <c r="BF100" s="118"/>
      <c r="BG100" s="118"/>
      <c r="BH100" s="52"/>
      <c r="BI100" s="283"/>
      <c r="BJ100" s="52"/>
      <c r="BK100" s="52"/>
      <c r="BL100" s="52"/>
      <c r="BM100" s="52"/>
      <c r="BN100" s="52"/>
      <c r="BO100" s="52"/>
      <c r="BP100" s="52"/>
      <c r="BQ100" s="52"/>
      <c r="BR100" s="52"/>
      <c r="BS100" s="52"/>
      <c r="BT100" s="52"/>
      <c r="BU100" s="52"/>
      <c r="BV100" s="52"/>
      <c r="BW100" s="52"/>
      <c r="BX100" s="52"/>
      <c r="BY100" s="52"/>
      <c r="BZ100" s="52"/>
      <c r="CA100" s="52"/>
      <c r="CB100" s="52"/>
      <c r="CC100" s="52"/>
      <c r="CD100" s="118"/>
      <c r="CE100" s="52"/>
      <c r="CF100" s="52"/>
      <c r="CG100" s="52"/>
      <c r="CH100" s="52"/>
      <c r="CI100" s="52"/>
      <c r="CJ100" s="52"/>
      <c r="CK100" s="52"/>
      <c r="CL100" s="52"/>
      <c r="CM100" s="52"/>
      <c r="CN100" s="118"/>
      <c r="CO100" s="118"/>
      <c r="CP100" s="118"/>
      <c r="CQ100" s="52"/>
      <c r="CR100" s="52"/>
      <c r="CS100" s="52"/>
      <c r="CT100" s="52"/>
      <c r="CU100" s="52"/>
      <c r="CV100" s="52"/>
      <c r="CW100" s="52"/>
      <c r="CX100" s="52"/>
      <c r="CY100" s="52"/>
      <c r="CZ100" s="52"/>
      <c r="DA100" s="52"/>
      <c r="DB100" s="52"/>
    </row>
    <row r="101" spans="1:106" ht="13.5" x14ac:dyDescent="0.25">
      <c r="A101" s="411">
        <v>99</v>
      </c>
      <c r="B101" s="412" t="s">
        <v>3178</v>
      </c>
      <c r="C101" s="565" t="s">
        <v>622</v>
      </c>
      <c r="D101" s="426" t="s">
        <v>3179</v>
      </c>
      <c r="E101" s="80">
        <v>1</v>
      </c>
      <c r="F101" s="356">
        <v>281540.67200000002</v>
      </c>
      <c r="G101" s="293">
        <f>6000*72</f>
        <v>432000</v>
      </c>
      <c r="H101" s="293">
        <f>G101*0.19</f>
        <v>82080</v>
      </c>
      <c r="I101" s="293">
        <f>G101+H101</f>
        <v>514080</v>
      </c>
      <c r="J101" s="52" t="s">
        <v>3180</v>
      </c>
      <c r="K101" s="52" t="s">
        <v>3181</v>
      </c>
      <c r="L101" s="359"/>
      <c r="M101" s="360"/>
      <c r="N101" s="33"/>
      <c r="O101" s="33"/>
      <c r="P101" s="252"/>
      <c r="Q101" s="113"/>
      <c r="R101" s="113"/>
      <c r="S101" s="113"/>
      <c r="T101" s="52"/>
      <c r="U101" s="5"/>
      <c r="V101" s="231"/>
      <c r="W101" s="231"/>
      <c r="X101" s="231"/>
      <c r="Y101" s="113"/>
      <c r="Z101" s="357"/>
      <c r="AA101" s="118" t="s">
        <v>2877</v>
      </c>
      <c r="AB101" s="118"/>
      <c r="AC101" s="118"/>
      <c r="AD101" s="52"/>
      <c r="AE101" s="5"/>
      <c r="AF101" s="113">
        <v>316800</v>
      </c>
      <c r="AG101" s="113">
        <v>60192</v>
      </c>
      <c r="AH101" s="113">
        <v>376992</v>
      </c>
      <c r="AI101" s="358" t="s">
        <v>2979</v>
      </c>
      <c r="AJ101" s="358">
        <v>3401000</v>
      </c>
      <c r="AK101" s="113"/>
      <c r="AL101" s="113"/>
      <c r="AM101" s="113"/>
      <c r="AN101" s="113"/>
      <c r="AO101" s="113"/>
      <c r="AP101" s="52"/>
      <c r="AQ101" s="52"/>
      <c r="AR101" s="52"/>
      <c r="AS101" s="52"/>
      <c r="AT101" s="52"/>
      <c r="AU101" s="125"/>
      <c r="AV101" s="125"/>
      <c r="AW101" s="125"/>
      <c r="AX101" s="5"/>
      <c r="AY101" s="5"/>
      <c r="AZ101" s="113">
        <v>5273000</v>
      </c>
      <c r="BA101" s="113">
        <v>1001870</v>
      </c>
      <c r="BB101" s="113">
        <v>6274870</v>
      </c>
      <c r="BC101" s="52" t="s">
        <v>3166</v>
      </c>
      <c r="BD101" s="52" t="s">
        <v>3182</v>
      </c>
      <c r="BE101" s="118"/>
      <c r="BF101" s="118"/>
      <c r="BG101" s="118"/>
      <c r="BH101" s="52"/>
      <c r="BI101" s="283"/>
      <c r="BJ101" s="52"/>
      <c r="BK101" s="52"/>
      <c r="BL101" s="52"/>
      <c r="BM101" s="52"/>
      <c r="BN101" s="52"/>
      <c r="BO101" s="52"/>
      <c r="BP101" s="52"/>
      <c r="BQ101" s="52"/>
      <c r="BR101" s="52"/>
      <c r="BS101" s="52"/>
      <c r="BT101" s="52"/>
      <c r="BU101" s="52"/>
      <c r="BV101" s="52"/>
      <c r="BW101" s="52"/>
      <c r="BX101" s="52"/>
      <c r="BY101" s="52"/>
      <c r="BZ101" s="52"/>
      <c r="CA101" s="52"/>
      <c r="CB101" s="52"/>
      <c r="CC101" s="52"/>
      <c r="CD101" s="118"/>
      <c r="CE101" s="52"/>
      <c r="CF101" s="52"/>
      <c r="CG101" s="52"/>
      <c r="CH101" s="52"/>
      <c r="CI101" s="52"/>
      <c r="CJ101" s="52"/>
      <c r="CK101" s="52"/>
      <c r="CL101" s="52"/>
      <c r="CM101" s="52"/>
      <c r="CN101" s="118"/>
      <c r="CO101" s="118"/>
      <c r="CP101" s="118"/>
      <c r="CQ101" s="52"/>
      <c r="CR101" s="52"/>
      <c r="CS101" s="52"/>
      <c r="CT101" s="52"/>
      <c r="CU101" s="52"/>
      <c r="CV101" s="52"/>
      <c r="CW101" s="52"/>
      <c r="CX101" s="52"/>
      <c r="CY101" s="52"/>
      <c r="CZ101" s="52"/>
      <c r="DA101" s="52"/>
      <c r="DB101" s="52"/>
    </row>
    <row r="102" spans="1:106" ht="13.5" x14ac:dyDescent="0.25">
      <c r="A102" s="411">
        <v>100</v>
      </c>
      <c r="B102" s="412" t="s">
        <v>3183</v>
      </c>
      <c r="C102" s="413" t="s">
        <v>622</v>
      </c>
      <c r="D102" s="426" t="s">
        <v>3184</v>
      </c>
      <c r="E102" s="80">
        <v>1</v>
      </c>
      <c r="F102" s="355">
        <v>160905.7328</v>
      </c>
      <c r="G102" s="293"/>
      <c r="H102" s="293"/>
      <c r="I102" s="293"/>
      <c r="J102" s="52"/>
      <c r="K102" s="52"/>
      <c r="L102" s="359"/>
      <c r="M102" s="360"/>
      <c r="N102" s="33"/>
      <c r="O102" s="33"/>
      <c r="P102" s="252"/>
      <c r="Q102" s="113"/>
      <c r="R102" s="113"/>
      <c r="S102" s="113"/>
      <c r="T102" s="52"/>
      <c r="U102" s="5"/>
      <c r="V102" s="231"/>
      <c r="W102" s="231"/>
      <c r="X102" s="231"/>
      <c r="Y102" s="113"/>
      <c r="Z102" s="357"/>
      <c r="AA102" s="118" t="s">
        <v>2877</v>
      </c>
      <c r="AB102" s="118"/>
      <c r="AC102" s="118"/>
      <c r="AD102" s="52"/>
      <c r="AE102" s="5"/>
      <c r="AF102" s="358"/>
      <c r="AG102" s="358"/>
      <c r="AH102" s="358"/>
      <c r="AI102" s="358"/>
      <c r="AJ102" s="358"/>
      <c r="AK102" s="113"/>
      <c r="AL102" s="113"/>
      <c r="AM102" s="113"/>
      <c r="AN102" s="113"/>
      <c r="AO102" s="113"/>
      <c r="AP102" s="52"/>
      <c r="AQ102" s="52"/>
      <c r="AR102" s="52"/>
      <c r="AS102" s="52"/>
      <c r="AT102" s="52"/>
      <c r="AU102" s="125"/>
      <c r="AV102" s="125"/>
      <c r="AW102" s="125"/>
      <c r="AX102" s="5"/>
      <c r="AY102" s="5"/>
      <c r="AZ102" s="113"/>
      <c r="BA102" s="113"/>
      <c r="BB102" s="113"/>
      <c r="BC102" s="52"/>
      <c r="BD102" s="52"/>
      <c r="BE102" s="118"/>
      <c r="BF102" s="118"/>
      <c r="BG102" s="118"/>
      <c r="BH102" s="52"/>
      <c r="BI102" s="283"/>
      <c r="BJ102" s="52"/>
      <c r="BK102" s="52"/>
      <c r="BL102" s="52"/>
      <c r="BM102" s="52"/>
      <c r="BN102" s="52"/>
      <c r="BO102" s="52"/>
      <c r="BP102" s="52"/>
      <c r="BQ102" s="52"/>
      <c r="BR102" s="52"/>
      <c r="BS102" s="52"/>
      <c r="BT102" s="52"/>
      <c r="BU102" s="52"/>
      <c r="BV102" s="52"/>
      <c r="BW102" s="52"/>
      <c r="BX102" s="52"/>
      <c r="BY102" s="52"/>
      <c r="BZ102" s="52"/>
      <c r="CA102" s="52"/>
      <c r="CB102" s="52"/>
      <c r="CC102" s="52"/>
      <c r="CD102" s="118"/>
      <c r="CE102" s="52"/>
      <c r="CF102" s="52"/>
      <c r="CG102" s="52"/>
      <c r="CH102" s="52"/>
      <c r="CI102" s="52"/>
      <c r="CJ102" s="52"/>
      <c r="CK102" s="52"/>
      <c r="CL102" s="52"/>
      <c r="CM102" s="52"/>
      <c r="CN102" s="118"/>
      <c r="CO102" s="118"/>
      <c r="CP102" s="118"/>
      <c r="CQ102" s="52"/>
      <c r="CR102" s="52"/>
      <c r="CS102" s="52"/>
      <c r="CT102" s="52"/>
      <c r="CU102" s="52"/>
      <c r="CV102" s="52"/>
      <c r="CW102" s="52"/>
      <c r="CX102" s="52"/>
      <c r="CY102" s="52"/>
      <c r="CZ102" s="52"/>
      <c r="DA102" s="52"/>
      <c r="DB102" s="52"/>
    </row>
    <row r="103" spans="1:106" ht="27" x14ac:dyDescent="0.25">
      <c r="A103" s="411">
        <v>101</v>
      </c>
      <c r="B103" s="412" t="s">
        <v>3185</v>
      </c>
      <c r="C103" s="426" t="s">
        <v>622</v>
      </c>
      <c r="D103" s="426" t="s">
        <v>445</v>
      </c>
      <c r="E103" s="80">
        <v>1</v>
      </c>
      <c r="F103" s="356">
        <v>91752.093999999997</v>
      </c>
      <c r="G103" s="293"/>
      <c r="H103" s="293"/>
      <c r="I103" s="293"/>
      <c r="J103" s="52"/>
      <c r="K103" s="52"/>
      <c r="L103" s="359"/>
      <c r="M103" s="360"/>
      <c r="N103" s="33"/>
      <c r="O103" s="33"/>
      <c r="P103" s="252"/>
      <c r="Q103" s="113"/>
      <c r="R103" s="113"/>
      <c r="S103" s="113"/>
      <c r="T103" s="52"/>
      <c r="U103" s="5"/>
      <c r="V103" s="231"/>
      <c r="W103" s="231"/>
      <c r="X103" s="231"/>
      <c r="Y103" s="113"/>
      <c r="Z103" s="357"/>
      <c r="AA103" s="118" t="s">
        <v>2877</v>
      </c>
      <c r="AB103" s="118"/>
      <c r="AC103" s="118"/>
      <c r="AD103" s="52"/>
      <c r="AE103" s="5"/>
      <c r="AF103" s="358"/>
      <c r="AG103" s="358"/>
      <c r="AH103" s="358"/>
      <c r="AI103" s="358"/>
      <c r="AJ103" s="358"/>
      <c r="AK103" s="113"/>
      <c r="AL103" s="113"/>
      <c r="AM103" s="113"/>
      <c r="AN103" s="113"/>
      <c r="AO103" s="113"/>
      <c r="AP103" s="52"/>
      <c r="AQ103" s="52"/>
      <c r="AR103" s="52"/>
      <c r="AS103" s="52"/>
      <c r="AT103" s="52"/>
      <c r="AU103" s="125"/>
      <c r="AV103" s="125"/>
      <c r="AW103" s="125"/>
      <c r="AX103" s="5"/>
      <c r="AY103" s="5"/>
      <c r="AZ103" s="113">
        <v>80000</v>
      </c>
      <c r="BA103" s="113">
        <v>15200</v>
      </c>
      <c r="BB103" s="113">
        <v>95200</v>
      </c>
      <c r="BC103" s="52" t="s">
        <v>3186</v>
      </c>
      <c r="BD103" s="52">
        <v>326847</v>
      </c>
      <c r="BE103" s="118"/>
      <c r="BF103" s="118"/>
      <c r="BG103" s="118"/>
      <c r="BH103" s="52"/>
      <c r="BI103" s="283"/>
      <c r="BJ103" s="52"/>
      <c r="BK103" s="52"/>
      <c r="BL103" s="52"/>
      <c r="BM103" s="52"/>
      <c r="BN103" s="52"/>
      <c r="BO103" s="52"/>
      <c r="BP103" s="52"/>
      <c r="BQ103" s="52"/>
      <c r="BR103" s="52"/>
      <c r="BS103" s="52"/>
      <c r="BT103" s="52"/>
      <c r="BU103" s="52"/>
      <c r="BV103" s="52"/>
      <c r="BW103" s="52"/>
      <c r="BX103" s="52"/>
      <c r="BY103" s="52"/>
      <c r="BZ103" s="52"/>
      <c r="CA103" s="52"/>
      <c r="CB103" s="52"/>
      <c r="CC103" s="52"/>
      <c r="CD103" s="118"/>
      <c r="CE103" s="52"/>
      <c r="CF103" s="52"/>
      <c r="CG103" s="52"/>
      <c r="CH103" s="52"/>
      <c r="CI103" s="52"/>
      <c r="CJ103" s="52"/>
      <c r="CK103" s="52"/>
      <c r="CL103" s="52"/>
      <c r="CM103" s="52"/>
      <c r="CN103" s="118"/>
      <c r="CO103" s="118"/>
      <c r="CP103" s="118"/>
      <c r="CQ103" s="52"/>
      <c r="CR103" s="52"/>
      <c r="CS103" s="52"/>
      <c r="CT103" s="52"/>
      <c r="CU103" s="52"/>
      <c r="CV103" s="52"/>
      <c r="CW103" s="52"/>
      <c r="CX103" s="52"/>
      <c r="CY103" s="52"/>
      <c r="CZ103" s="52"/>
      <c r="DA103" s="52"/>
      <c r="DB103" s="52"/>
    </row>
    <row r="104" spans="1:106" ht="27" x14ac:dyDescent="0.25">
      <c r="A104" s="411">
        <v>102</v>
      </c>
      <c r="B104" s="412" t="s">
        <v>3187</v>
      </c>
      <c r="C104" s="413" t="s">
        <v>3025</v>
      </c>
      <c r="D104" s="426" t="s">
        <v>445</v>
      </c>
      <c r="E104" s="80">
        <v>1</v>
      </c>
      <c r="F104" s="356">
        <v>96779.606</v>
      </c>
      <c r="G104" s="293"/>
      <c r="H104" s="293"/>
      <c r="I104" s="293"/>
      <c r="J104" s="52"/>
      <c r="K104" s="52"/>
      <c r="L104" s="359"/>
      <c r="M104" s="360"/>
      <c r="N104" s="33"/>
      <c r="O104" s="33"/>
      <c r="P104" s="252"/>
      <c r="Q104" s="113"/>
      <c r="R104" s="113"/>
      <c r="S104" s="113"/>
      <c r="T104" s="52"/>
      <c r="U104" s="5"/>
      <c r="V104" s="231"/>
      <c r="W104" s="231"/>
      <c r="X104" s="231"/>
      <c r="Y104" s="113"/>
      <c r="Z104" s="357"/>
      <c r="AA104" s="118" t="s">
        <v>2877</v>
      </c>
      <c r="AB104" s="118"/>
      <c r="AC104" s="118"/>
      <c r="AD104" s="52"/>
      <c r="AE104" s="5"/>
      <c r="AF104" s="358"/>
      <c r="AG104" s="358"/>
      <c r="AH104" s="358"/>
      <c r="AI104" s="358"/>
      <c r="AJ104" s="358"/>
      <c r="AK104" s="113"/>
      <c r="AL104" s="113"/>
      <c r="AM104" s="113"/>
      <c r="AN104" s="113"/>
      <c r="AO104" s="113"/>
      <c r="AP104" s="52"/>
      <c r="AQ104" s="52"/>
      <c r="AR104" s="52"/>
      <c r="AS104" s="52"/>
      <c r="AT104" s="52"/>
      <c r="AU104" s="125"/>
      <c r="AV104" s="125"/>
      <c r="AW104" s="125"/>
      <c r="AX104" s="5"/>
      <c r="AY104" s="5"/>
      <c r="AZ104" s="113">
        <v>182000</v>
      </c>
      <c r="BA104" s="113">
        <v>34580</v>
      </c>
      <c r="BB104" s="113">
        <v>216580</v>
      </c>
      <c r="BC104" s="52" t="s">
        <v>3188</v>
      </c>
      <c r="BD104" s="52">
        <v>441027</v>
      </c>
      <c r="BE104" s="118"/>
      <c r="BF104" s="118"/>
      <c r="BG104" s="118"/>
      <c r="BH104" s="52"/>
      <c r="BI104" s="283"/>
      <c r="BJ104" s="52"/>
      <c r="BK104" s="52"/>
      <c r="BL104" s="52"/>
      <c r="BM104" s="52"/>
      <c r="BN104" s="52"/>
      <c r="BO104" s="52"/>
      <c r="BP104" s="52"/>
      <c r="BQ104" s="52"/>
      <c r="BR104" s="52"/>
      <c r="BS104" s="52"/>
      <c r="BT104" s="52"/>
      <c r="BU104" s="52"/>
      <c r="BV104" s="52"/>
      <c r="BW104" s="52"/>
      <c r="BX104" s="52"/>
      <c r="BY104" s="52"/>
      <c r="BZ104" s="52"/>
      <c r="CA104" s="52"/>
      <c r="CB104" s="52"/>
      <c r="CC104" s="52"/>
      <c r="CD104" s="118"/>
      <c r="CE104" s="52"/>
      <c r="CF104" s="52"/>
      <c r="CG104" s="52"/>
      <c r="CH104" s="52"/>
      <c r="CI104" s="52"/>
      <c r="CJ104" s="52"/>
      <c r="CK104" s="52"/>
      <c r="CL104" s="52"/>
      <c r="CM104" s="52"/>
      <c r="CN104" s="118"/>
      <c r="CO104" s="118"/>
      <c r="CP104" s="118"/>
      <c r="CQ104" s="52"/>
      <c r="CR104" s="52"/>
      <c r="CS104" s="52"/>
      <c r="CT104" s="52"/>
      <c r="CU104" s="52"/>
      <c r="CV104" s="52"/>
      <c r="CW104" s="52"/>
      <c r="CX104" s="52"/>
      <c r="CY104" s="52"/>
      <c r="CZ104" s="52"/>
      <c r="DA104" s="52"/>
      <c r="DB104" s="52"/>
    </row>
    <row r="105" spans="1:106" ht="27" x14ac:dyDescent="0.25">
      <c r="A105" s="411">
        <v>103</v>
      </c>
      <c r="B105" s="412" t="s">
        <v>3189</v>
      </c>
      <c r="C105" s="426" t="s">
        <v>3190</v>
      </c>
      <c r="D105" s="409" t="s">
        <v>196</v>
      </c>
      <c r="E105" s="80">
        <v>1</v>
      </c>
      <c r="F105" s="356">
        <v>40848.535000000003</v>
      </c>
      <c r="G105" s="293"/>
      <c r="H105" s="293"/>
      <c r="I105" s="293"/>
      <c r="J105" s="52"/>
      <c r="K105" s="52"/>
      <c r="L105" s="359"/>
      <c r="M105" s="360"/>
      <c r="N105" s="33"/>
      <c r="O105" s="33"/>
      <c r="P105" s="252"/>
      <c r="Q105" s="113"/>
      <c r="R105" s="113"/>
      <c r="S105" s="113"/>
      <c r="T105" s="52"/>
      <c r="U105" s="5"/>
      <c r="V105" s="231"/>
      <c r="W105" s="231"/>
      <c r="X105" s="231"/>
      <c r="Y105" s="113"/>
      <c r="Z105" s="357"/>
      <c r="AA105" s="118" t="s">
        <v>2877</v>
      </c>
      <c r="AB105" s="118"/>
      <c r="AC105" s="118"/>
      <c r="AD105" s="52"/>
      <c r="AE105" s="5"/>
      <c r="AF105" s="358"/>
      <c r="AG105" s="358"/>
      <c r="AH105" s="358"/>
      <c r="AI105" s="358"/>
      <c r="AJ105" s="358"/>
      <c r="AK105" s="113"/>
      <c r="AL105" s="113"/>
      <c r="AM105" s="113"/>
      <c r="AN105" s="113"/>
      <c r="AO105" s="113"/>
      <c r="AP105" s="52"/>
      <c r="AQ105" s="52"/>
      <c r="AR105" s="52"/>
      <c r="AS105" s="52"/>
      <c r="AT105" s="52"/>
      <c r="AU105" s="125"/>
      <c r="AV105" s="125"/>
      <c r="AW105" s="125"/>
      <c r="AX105" s="5"/>
      <c r="AY105" s="5"/>
      <c r="AZ105" s="113">
        <v>292000</v>
      </c>
      <c r="BA105" s="113">
        <v>55480</v>
      </c>
      <c r="BB105" s="113">
        <v>347480</v>
      </c>
      <c r="BC105" s="52" t="s">
        <v>2925</v>
      </c>
      <c r="BD105" s="52" t="s">
        <v>3191</v>
      </c>
      <c r="BE105" s="320">
        <v>1108914</v>
      </c>
      <c r="BF105" s="320">
        <f t="shared" ref="BF105:BF107" si="8">BE105*0.19</f>
        <v>210693.66</v>
      </c>
      <c r="BG105" s="320">
        <f t="shared" ref="BG105:BG107" si="9">BE105+BF105</f>
        <v>1319607.6599999999</v>
      </c>
      <c r="BH105" s="4" t="s">
        <v>2887</v>
      </c>
      <c r="BI105" s="286" t="s">
        <v>3192</v>
      </c>
      <c r="BJ105" s="52"/>
      <c r="BK105" s="52"/>
      <c r="BL105" s="52"/>
      <c r="BM105" s="52"/>
      <c r="BN105" s="52"/>
      <c r="BO105" s="52"/>
      <c r="BP105" s="52"/>
      <c r="BQ105" s="52"/>
      <c r="BR105" s="52"/>
      <c r="BS105" s="52"/>
      <c r="BT105" s="52"/>
      <c r="BU105" s="52"/>
      <c r="BV105" s="52"/>
      <c r="BW105" s="52"/>
      <c r="BX105" s="52"/>
      <c r="BY105" s="52"/>
      <c r="BZ105" s="52"/>
      <c r="CA105" s="52"/>
      <c r="CB105" s="52"/>
      <c r="CC105" s="52"/>
      <c r="CD105" s="118"/>
      <c r="CE105" s="52"/>
      <c r="CF105" s="52"/>
      <c r="CG105" s="52"/>
      <c r="CH105" s="52"/>
      <c r="CI105" s="52"/>
      <c r="CJ105" s="52"/>
      <c r="CK105" s="52"/>
      <c r="CL105" s="52"/>
      <c r="CM105" s="52"/>
      <c r="CN105" s="118"/>
      <c r="CO105" s="118"/>
      <c r="CP105" s="118"/>
      <c r="CQ105" s="52"/>
      <c r="CR105" s="52"/>
      <c r="CS105" s="52"/>
      <c r="CT105" s="52"/>
      <c r="CU105" s="52"/>
      <c r="CV105" s="52"/>
      <c r="CW105" s="52"/>
      <c r="CX105" s="52"/>
      <c r="CY105" s="52"/>
      <c r="CZ105" s="52"/>
      <c r="DA105" s="52"/>
      <c r="DB105" s="52"/>
    </row>
    <row r="106" spans="1:106" ht="63.75" x14ac:dyDescent="0.25">
      <c r="A106" s="411">
        <v>104</v>
      </c>
      <c r="B106" s="412" t="s">
        <v>3193</v>
      </c>
      <c r="C106" s="426" t="s">
        <v>3194</v>
      </c>
      <c r="D106" s="426" t="s">
        <v>445</v>
      </c>
      <c r="E106" s="80">
        <v>1</v>
      </c>
      <c r="F106" s="356">
        <v>40220.095999999998</v>
      </c>
      <c r="G106" s="293"/>
      <c r="H106" s="293"/>
      <c r="I106" s="293"/>
      <c r="J106" s="52"/>
      <c r="K106" s="52"/>
      <c r="L106" s="359"/>
      <c r="M106" s="360"/>
      <c r="N106" s="33"/>
      <c r="O106" s="33"/>
      <c r="P106" s="252"/>
      <c r="Q106" s="113"/>
      <c r="R106" s="113"/>
      <c r="S106" s="113"/>
      <c r="T106" s="52"/>
      <c r="U106" s="5"/>
      <c r="V106" s="231"/>
      <c r="W106" s="231"/>
      <c r="X106" s="231"/>
      <c r="Y106" s="113"/>
      <c r="Z106" s="357"/>
      <c r="AA106" s="118" t="s">
        <v>2877</v>
      </c>
      <c r="AB106" s="118"/>
      <c r="AC106" s="118"/>
      <c r="AD106" s="52"/>
      <c r="AE106" s="5"/>
      <c r="AF106" s="358"/>
      <c r="AG106" s="358"/>
      <c r="AH106" s="358"/>
      <c r="AI106" s="358"/>
      <c r="AJ106" s="358"/>
      <c r="AK106" s="113"/>
      <c r="AL106" s="113"/>
      <c r="AM106" s="113"/>
      <c r="AN106" s="113"/>
      <c r="AO106" s="113"/>
      <c r="AP106" s="52"/>
      <c r="AQ106" s="52"/>
      <c r="AR106" s="52"/>
      <c r="AS106" s="52"/>
      <c r="AT106" s="52"/>
      <c r="AU106" s="125">
        <v>183900</v>
      </c>
      <c r="AV106" s="125">
        <v>34941</v>
      </c>
      <c r="AW106" s="125">
        <v>218841</v>
      </c>
      <c r="AX106" s="5" t="s">
        <v>3195</v>
      </c>
      <c r="AY106" s="5" t="s">
        <v>3196</v>
      </c>
      <c r="AZ106" s="113">
        <v>28000</v>
      </c>
      <c r="BA106" s="113">
        <v>5320</v>
      </c>
      <c r="BB106" s="113">
        <v>33320</v>
      </c>
      <c r="BC106" s="52" t="s">
        <v>2925</v>
      </c>
      <c r="BD106" s="52" t="s">
        <v>3197</v>
      </c>
      <c r="BE106" s="320">
        <v>384770</v>
      </c>
      <c r="BF106" s="320">
        <f t="shared" si="8"/>
        <v>73106.3</v>
      </c>
      <c r="BG106" s="320">
        <f t="shared" si="9"/>
        <v>457876.3</v>
      </c>
      <c r="BH106" s="4" t="s">
        <v>2887</v>
      </c>
      <c r="BI106" s="286" t="s">
        <v>3198</v>
      </c>
      <c r="BJ106" s="52"/>
      <c r="BK106" s="52"/>
      <c r="BL106" s="52"/>
      <c r="BM106" s="52"/>
      <c r="BN106" s="52"/>
      <c r="BO106" s="52"/>
      <c r="BP106" s="52"/>
      <c r="BQ106" s="52"/>
      <c r="BR106" s="52"/>
      <c r="BS106" s="52"/>
      <c r="BT106" s="52"/>
      <c r="BU106" s="52"/>
      <c r="BV106" s="52"/>
      <c r="BW106" s="52"/>
      <c r="BX106" s="52"/>
      <c r="BY106" s="52"/>
      <c r="BZ106" s="52"/>
      <c r="CA106" s="52"/>
      <c r="CB106" s="52"/>
      <c r="CC106" s="52"/>
      <c r="CD106" s="118"/>
      <c r="CE106" s="52"/>
      <c r="CF106" s="52"/>
      <c r="CG106" s="52"/>
      <c r="CH106" s="52"/>
      <c r="CI106" s="52"/>
      <c r="CJ106" s="52"/>
      <c r="CK106" s="52"/>
      <c r="CL106" s="52"/>
      <c r="CM106" s="52"/>
      <c r="CN106" s="118"/>
      <c r="CO106" s="118"/>
      <c r="CP106" s="118"/>
      <c r="CQ106" s="52"/>
      <c r="CR106" s="52"/>
      <c r="CS106" s="52"/>
      <c r="CT106" s="52"/>
      <c r="CU106" s="52"/>
      <c r="CV106" s="52"/>
      <c r="CW106" s="52"/>
      <c r="CX106" s="52"/>
      <c r="CY106" s="52"/>
      <c r="CZ106" s="52"/>
      <c r="DA106" s="52"/>
      <c r="DB106" s="52"/>
    </row>
    <row r="107" spans="1:106" ht="63.75" x14ac:dyDescent="0.25">
      <c r="A107" s="411">
        <v>105</v>
      </c>
      <c r="B107" s="412" t="s">
        <v>3199</v>
      </c>
      <c r="C107" s="426" t="s">
        <v>3200</v>
      </c>
      <c r="D107" s="426" t="s">
        <v>445</v>
      </c>
      <c r="E107" s="80">
        <v>1</v>
      </c>
      <c r="F107" s="356">
        <v>49018.241999999998</v>
      </c>
      <c r="G107" s="293"/>
      <c r="H107" s="293"/>
      <c r="I107" s="293"/>
      <c r="J107" s="52"/>
      <c r="K107" s="52"/>
      <c r="L107" s="359"/>
      <c r="M107" s="360"/>
      <c r="N107" s="33"/>
      <c r="O107" s="33"/>
      <c r="P107" s="252"/>
      <c r="Q107" s="113"/>
      <c r="R107" s="113"/>
      <c r="S107" s="113"/>
      <c r="T107" s="52"/>
      <c r="U107" s="5"/>
      <c r="V107" s="231"/>
      <c r="W107" s="231"/>
      <c r="X107" s="231"/>
      <c r="Y107" s="113"/>
      <c r="Z107" s="357"/>
      <c r="AA107" s="118" t="s">
        <v>2877</v>
      </c>
      <c r="AB107" s="118"/>
      <c r="AC107" s="118"/>
      <c r="AD107" s="52"/>
      <c r="AE107" s="5"/>
      <c r="AF107" s="358"/>
      <c r="AG107" s="358"/>
      <c r="AH107" s="358"/>
      <c r="AI107" s="358"/>
      <c r="AJ107" s="358"/>
      <c r="AK107" s="113"/>
      <c r="AL107" s="113"/>
      <c r="AM107" s="113"/>
      <c r="AN107" s="113"/>
      <c r="AO107" s="113"/>
      <c r="AP107" s="52"/>
      <c r="AQ107" s="52"/>
      <c r="AR107" s="52"/>
      <c r="AS107" s="52"/>
      <c r="AT107" s="52"/>
      <c r="AU107" s="125">
        <v>183900</v>
      </c>
      <c r="AV107" s="125">
        <v>34941</v>
      </c>
      <c r="AW107" s="125">
        <v>218841</v>
      </c>
      <c r="AX107" s="5" t="s">
        <v>3195</v>
      </c>
      <c r="AY107" s="5" t="s">
        <v>3201</v>
      </c>
      <c r="AZ107" s="113">
        <v>33000</v>
      </c>
      <c r="BA107" s="113">
        <v>6270</v>
      </c>
      <c r="BB107" s="113">
        <v>39270</v>
      </c>
      <c r="BC107" s="52" t="s">
        <v>2925</v>
      </c>
      <c r="BD107" s="52" t="s">
        <v>3202</v>
      </c>
      <c r="BE107" s="320">
        <v>723087</v>
      </c>
      <c r="BF107" s="320">
        <f t="shared" si="8"/>
        <v>137386.53</v>
      </c>
      <c r="BG107" s="320">
        <f t="shared" si="9"/>
        <v>860473.53</v>
      </c>
      <c r="BH107" s="4" t="s">
        <v>1101</v>
      </c>
      <c r="BI107" s="286" t="s">
        <v>3203</v>
      </c>
      <c r="BJ107" s="52"/>
      <c r="BK107" s="52"/>
      <c r="BL107" s="52"/>
      <c r="BM107" s="52"/>
      <c r="BN107" s="52"/>
      <c r="BO107" s="52"/>
      <c r="BP107" s="52"/>
      <c r="BQ107" s="52"/>
      <c r="BR107" s="52"/>
      <c r="BS107" s="52"/>
      <c r="BT107" s="52"/>
      <c r="BU107" s="52"/>
      <c r="BV107" s="52"/>
      <c r="BW107" s="52"/>
      <c r="BX107" s="52"/>
      <c r="BY107" s="52"/>
      <c r="BZ107" s="52"/>
      <c r="CA107" s="52"/>
      <c r="CB107" s="52"/>
      <c r="CC107" s="52"/>
      <c r="CD107" s="118"/>
      <c r="CE107" s="52"/>
      <c r="CF107" s="52"/>
      <c r="CG107" s="52"/>
      <c r="CH107" s="52"/>
      <c r="CI107" s="52"/>
      <c r="CJ107" s="52"/>
      <c r="CK107" s="52"/>
      <c r="CL107" s="52"/>
      <c r="CM107" s="52"/>
      <c r="CN107" s="118"/>
      <c r="CO107" s="118"/>
      <c r="CP107" s="118"/>
      <c r="CQ107" s="52"/>
      <c r="CR107" s="52"/>
      <c r="CS107" s="52"/>
      <c r="CT107" s="52"/>
      <c r="CU107" s="52"/>
      <c r="CV107" s="52"/>
      <c r="CW107" s="52"/>
      <c r="CX107" s="52"/>
      <c r="CY107" s="52"/>
      <c r="CZ107" s="52"/>
      <c r="DA107" s="52"/>
      <c r="DB107" s="52"/>
    </row>
    <row r="108" spans="1:106" ht="27" x14ac:dyDescent="0.25">
      <c r="A108" s="411">
        <v>106</v>
      </c>
      <c r="B108" s="412" t="s">
        <v>3204</v>
      </c>
      <c r="C108" s="426" t="s">
        <v>3205</v>
      </c>
      <c r="D108" s="409" t="s">
        <v>196</v>
      </c>
      <c r="E108" s="80">
        <v>1</v>
      </c>
      <c r="F108" s="356">
        <v>45247.608</v>
      </c>
      <c r="G108" s="293"/>
      <c r="H108" s="293"/>
      <c r="I108" s="293"/>
      <c r="J108" s="52"/>
      <c r="K108" s="52"/>
      <c r="L108" s="359"/>
      <c r="M108" s="360"/>
      <c r="N108" s="33"/>
      <c r="O108" s="33"/>
      <c r="P108" s="252"/>
      <c r="Q108" s="113"/>
      <c r="R108" s="113"/>
      <c r="S108" s="113"/>
      <c r="T108" s="52"/>
      <c r="U108" s="5"/>
      <c r="V108" s="231"/>
      <c r="W108" s="231"/>
      <c r="X108" s="231"/>
      <c r="Y108" s="113"/>
      <c r="Z108" s="357"/>
      <c r="AA108" s="118" t="s">
        <v>2877</v>
      </c>
      <c r="AB108" s="118"/>
      <c r="AC108" s="118"/>
      <c r="AD108" s="52"/>
      <c r="AE108" s="5"/>
      <c r="AF108" s="358"/>
      <c r="AG108" s="358"/>
      <c r="AH108" s="358"/>
      <c r="AI108" s="358"/>
      <c r="AJ108" s="358"/>
      <c r="AK108" s="113"/>
      <c r="AL108" s="113"/>
      <c r="AM108" s="113"/>
      <c r="AN108" s="113"/>
      <c r="AO108" s="113"/>
      <c r="AP108" s="52"/>
      <c r="AQ108" s="52"/>
      <c r="AR108" s="52"/>
      <c r="AS108" s="52"/>
      <c r="AT108" s="52"/>
      <c r="AU108" s="125"/>
      <c r="AV108" s="125"/>
      <c r="AW108" s="125"/>
      <c r="AX108" s="5"/>
      <c r="AY108" s="5"/>
      <c r="AZ108" s="113">
        <v>226000</v>
      </c>
      <c r="BA108" s="113">
        <v>42940</v>
      </c>
      <c r="BB108" s="113">
        <v>268940</v>
      </c>
      <c r="BC108" s="52" t="s">
        <v>2925</v>
      </c>
      <c r="BD108" s="52" t="s">
        <v>3206</v>
      </c>
      <c r="BE108" s="118"/>
      <c r="BF108" s="118"/>
      <c r="BG108" s="118"/>
      <c r="BH108" s="52"/>
      <c r="BI108" s="283"/>
      <c r="BJ108" s="52"/>
      <c r="BK108" s="52"/>
      <c r="BL108" s="52"/>
      <c r="BM108" s="52"/>
      <c r="BN108" s="52"/>
      <c r="BO108" s="52"/>
      <c r="BP108" s="52"/>
      <c r="BQ108" s="52"/>
      <c r="BR108" s="52"/>
      <c r="BS108" s="52"/>
      <c r="BT108" s="52"/>
      <c r="BU108" s="52"/>
      <c r="BV108" s="52"/>
      <c r="BW108" s="52"/>
      <c r="BX108" s="52"/>
      <c r="BY108" s="52"/>
      <c r="BZ108" s="52"/>
      <c r="CA108" s="52"/>
      <c r="CB108" s="52"/>
      <c r="CC108" s="52"/>
      <c r="CD108" s="118"/>
      <c r="CE108" s="52"/>
      <c r="CF108" s="52"/>
      <c r="CG108" s="52"/>
      <c r="CH108" s="52"/>
      <c r="CI108" s="52"/>
      <c r="CJ108" s="52"/>
      <c r="CK108" s="52"/>
      <c r="CL108" s="52"/>
      <c r="CM108" s="52"/>
      <c r="CN108" s="118"/>
      <c r="CO108" s="118"/>
      <c r="CP108" s="118"/>
      <c r="CQ108" s="52"/>
      <c r="CR108" s="52"/>
      <c r="CS108" s="52"/>
      <c r="CT108" s="52"/>
      <c r="CU108" s="52"/>
      <c r="CV108" s="52"/>
      <c r="CW108" s="52"/>
      <c r="CX108" s="52"/>
      <c r="CY108" s="52"/>
      <c r="CZ108" s="52"/>
      <c r="DA108" s="52"/>
      <c r="DB108" s="52"/>
    </row>
    <row r="109" spans="1:106" ht="40.5" x14ac:dyDescent="0.25">
      <c r="A109" s="411">
        <v>107</v>
      </c>
      <c r="B109" s="412" t="s">
        <v>3207</v>
      </c>
      <c r="C109" s="413" t="s">
        <v>622</v>
      </c>
      <c r="D109" s="426" t="s">
        <v>445</v>
      </c>
      <c r="E109" s="80">
        <v>1</v>
      </c>
      <c r="F109" s="356">
        <v>77926.436000000002</v>
      </c>
      <c r="G109" s="293"/>
      <c r="H109" s="293"/>
      <c r="I109" s="293"/>
      <c r="J109" s="52"/>
      <c r="K109" s="52"/>
      <c r="L109" s="359"/>
      <c r="M109" s="360"/>
      <c r="N109" s="33"/>
      <c r="O109" s="33"/>
      <c r="P109" s="252"/>
      <c r="Q109" s="113"/>
      <c r="R109" s="113"/>
      <c r="S109" s="113"/>
      <c r="T109" s="52"/>
      <c r="U109" s="5"/>
      <c r="V109" s="231"/>
      <c r="W109" s="231"/>
      <c r="X109" s="231"/>
      <c r="Y109" s="113"/>
      <c r="Z109" s="357"/>
      <c r="AA109" s="118" t="s">
        <v>2877</v>
      </c>
      <c r="AB109" s="118"/>
      <c r="AC109" s="118"/>
      <c r="AD109" s="52"/>
      <c r="AE109" s="5"/>
      <c r="AF109" s="358"/>
      <c r="AG109" s="358"/>
      <c r="AH109" s="358"/>
      <c r="AI109" s="358"/>
      <c r="AJ109" s="358"/>
      <c r="AK109" s="113"/>
      <c r="AL109" s="113"/>
      <c r="AM109" s="113"/>
      <c r="AN109" s="113"/>
      <c r="AO109" s="113"/>
      <c r="AP109" s="52"/>
      <c r="AQ109" s="52"/>
      <c r="AR109" s="52"/>
      <c r="AS109" s="52"/>
      <c r="AT109" s="52"/>
      <c r="AU109" s="125"/>
      <c r="AV109" s="125"/>
      <c r="AW109" s="125"/>
      <c r="AX109" s="5"/>
      <c r="AY109" s="5"/>
      <c r="AZ109" s="113">
        <v>46000</v>
      </c>
      <c r="BA109" s="113">
        <v>8740</v>
      </c>
      <c r="BB109" s="113">
        <v>54740</v>
      </c>
      <c r="BC109" s="52" t="s">
        <v>3188</v>
      </c>
      <c r="BD109" s="52">
        <v>447640</v>
      </c>
      <c r="BE109" s="118"/>
      <c r="BF109" s="118"/>
      <c r="BG109" s="118"/>
      <c r="BH109" s="52"/>
      <c r="BI109" s="283"/>
      <c r="BJ109" s="52"/>
      <c r="BK109" s="52"/>
      <c r="BL109" s="52"/>
      <c r="BM109" s="52"/>
      <c r="BN109" s="52"/>
      <c r="BO109" s="52"/>
      <c r="BP109" s="52"/>
      <c r="BQ109" s="52"/>
      <c r="BR109" s="52"/>
      <c r="BS109" s="52"/>
      <c r="BT109" s="52"/>
      <c r="BU109" s="52"/>
      <c r="BV109" s="52"/>
      <c r="BW109" s="52"/>
      <c r="BX109" s="52"/>
      <c r="BY109" s="52"/>
      <c r="BZ109" s="52"/>
      <c r="CA109" s="52"/>
      <c r="CB109" s="52"/>
      <c r="CC109" s="52"/>
      <c r="CD109" s="118"/>
      <c r="CE109" s="52"/>
      <c r="CF109" s="52"/>
      <c r="CG109" s="52"/>
      <c r="CH109" s="52"/>
      <c r="CI109" s="52"/>
      <c r="CJ109" s="52"/>
      <c r="CK109" s="52"/>
      <c r="CL109" s="52"/>
      <c r="CM109" s="52"/>
      <c r="CN109" s="118"/>
      <c r="CO109" s="118"/>
      <c r="CP109" s="118"/>
      <c r="CQ109" s="52"/>
      <c r="CR109" s="52"/>
      <c r="CS109" s="52"/>
      <c r="CT109" s="52"/>
      <c r="CU109" s="52"/>
      <c r="CV109" s="52"/>
      <c r="CW109" s="52"/>
      <c r="CX109" s="52"/>
      <c r="CY109" s="52"/>
      <c r="CZ109" s="52"/>
      <c r="DA109" s="52"/>
      <c r="DB109" s="52"/>
    </row>
    <row r="110" spans="1:106" ht="27" x14ac:dyDescent="0.25">
      <c r="A110" s="411">
        <v>108</v>
      </c>
      <c r="B110" s="412" t="s">
        <v>3208</v>
      </c>
      <c r="C110" s="413" t="s">
        <v>622</v>
      </c>
      <c r="D110" s="426" t="s">
        <v>3209</v>
      </c>
      <c r="E110" s="80">
        <v>1</v>
      </c>
      <c r="F110" s="356">
        <v>94265.85</v>
      </c>
      <c r="G110" s="293"/>
      <c r="H110" s="293"/>
      <c r="I110" s="293"/>
      <c r="J110" s="52"/>
      <c r="K110" s="52"/>
      <c r="L110" s="359"/>
      <c r="M110" s="360"/>
      <c r="N110" s="33"/>
      <c r="O110" s="33"/>
      <c r="P110" s="252"/>
      <c r="Q110" s="113"/>
      <c r="R110" s="113"/>
      <c r="S110" s="113"/>
      <c r="T110" s="52"/>
      <c r="U110" s="5"/>
      <c r="V110" s="231"/>
      <c r="W110" s="231"/>
      <c r="X110" s="231"/>
      <c r="Y110" s="113"/>
      <c r="Z110" s="357"/>
      <c r="AA110" s="118" t="s">
        <v>2877</v>
      </c>
      <c r="AB110" s="118"/>
      <c r="AC110" s="118"/>
      <c r="AD110" s="52"/>
      <c r="AE110" s="5"/>
      <c r="AF110" s="358"/>
      <c r="AG110" s="358"/>
      <c r="AH110" s="358"/>
      <c r="AI110" s="358"/>
      <c r="AJ110" s="358"/>
      <c r="AK110" s="113"/>
      <c r="AL110" s="113"/>
      <c r="AM110" s="113"/>
      <c r="AN110" s="113"/>
      <c r="AO110" s="113"/>
      <c r="AP110" s="52"/>
      <c r="AQ110" s="52"/>
      <c r="AR110" s="52"/>
      <c r="AS110" s="52"/>
      <c r="AT110" s="52"/>
      <c r="AU110" s="125"/>
      <c r="AV110" s="125"/>
      <c r="AW110" s="125"/>
      <c r="AX110" s="5"/>
      <c r="AY110" s="5"/>
      <c r="AZ110" s="113">
        <v>70000</v>
      </c>
      <c r="BA110" s="113">
        <v>13300</v>
      </c>
      <c r="BB110" s="113">
        <v>83300</v>
      </c>
      <c r="BC110" s="52" t="s">
        <v>3210</v>
      </c>
      <c r="BD110" s="52">
        <v>378216</v>
      </c>
      <c r="BE110" s="118"/>
      <c r="BF110" s="118"/>
      <c r="BG110" s="118"/>
      <c r="BH110" s="52"/>
      <c r="BI110" s="283"/>
      <c r="BJ110" s="52"/>
      <c r="BK110" s="52"/>
      <c r="BL110" s="52"/>
      <c r="BM110" s="52"/>
      <c r="BN110" s="52"/>
      <c r="BO110" s="52"/>
      <c r="BP110" s="52"/>
      <c r="BQ110" s="52"/>
      <c r="BR110" s="52"/>
      <c r="BS110" s="52"/>
      <c r="BT110" s="52"/>
      <c r="BU110" s="52"/>
      <c r="BV110" s="52"/>
      <c r="BW110" s="52"/>
      <c r="BX110" s="52"/>
      <c r="BY110" s="52"/>
      <c r="BZ110" s="52"/>
      <c r="CA110" s="52"/>
      <c r="CB110" s="52"/>
      <c r="CC110" s="52"/>
      <c r="CD110" s="118"/>
      <c r="CE110" s="52"/>
      <c r="CF110" s="52"/>
      <c r="CG110" s="52"/>
      <c r="CH110" s="52"/>
      <c r="CI110" s="52"/>
      <c r="CJ110" s="52"/>
      <c r="CK110" s="52"/>
      <c r="CL110" s="52"/>
      <c r="CM110" s="52"/>
      <c r="CN110" s="118"/>
      <c r="CO110" s="118"/>
      <c r="CP110" s="118"/>
      <c r="CQ110" s="52"/>
      <c r="CR110" s="52"/>
      <c r="CS110" s="52"/>
      <c r="CT110" s="52"/>
      <c r="CU110" s="52"/>
      <c r="CV110" s="52"/>
      <c r="CW110" s="52"/>
      <c r="CX110" s="52"/>
      <c r="CY110" s="52"/>
      <c r="CZ110" s="52"/>
      <c r="DA110" s="52"/>
      <c r="DB110" s="52"/>
    </row>
    <row r="111" spans="1:106" ht="27" x14ac:dyDescent="0.25">
      <c r="A111" s="411">
        <v>109</v>
      </c>
      <c r="B111" s="412" t="s">
        <v>3211</v>
      </c>
      <c r="C111" s="426" t="s">
        <v>3212</v>
      </c>
      <c r="D111" s="426" t="s">
        <v>445</v>
      </c>
      <c r="E111" s="80">
        <v>1</v>
      </c>
      <c r="F111" s="356">
        <v>186017.94400000002</v>
      </c>
      <c r="G111" s="293"/>
      <c r="H111" s="293"/>
      <c r="I111" s="293"/>
      <c r="J111" s="52"/>
      <c r="K111" s="52"/>
      <c r="L111" s="359"/>
      <c r="M111" s="360"/>
      <c r="N111" s="33"/>
      <c r="O111" s="33"/>
      <c r="P111" s="252"/>
      <c r="Q111" s="113"/>
      <c r="R111" s="113"/>
      <c r="S111" s="113"/>
      <c r="T111" s="52"/>
      <c r="U111" s="5"/>
      <c r="V111" s="231"/>
      <c r="W111" s="231"/>
      <c r="X111" s="231"/>
      <c r="Y111" s="113"/>
      <c r="Z111" s="357"/>
      <c r="AA111" s="118" t="s">
        <v>2877</v>
      </c>
      <c r="AB111" s="118"/>
      <c r="AC111" s="118"/>
      <c r="AD111" s="52"/>
      <c r="AE111" s="5"/>
      <c r="AF111" s="358"/>
      <c r="AG111" s="358"/>
      <c r="AH111" s="358"/>
      <c r="AI111" s="358"/>
      <c r="AJ111" s="358"/>
      <c r="AK111" s="113"/>
      <c r="AL111" s="113"/>
      <c r="AM111" s="113"/>
      <c r="AN111" s="113"/>
      <c r="AO111" s="113"/>
      <c r="AP111" s="52"/>
      <c r="AQ111" s="52"/>
      <c r="AR111" s="52"/>
      <c r="AS111" s="52"/>
      <c r="AT111" s="52"/>
      <c r="AU111" s="125"/>
      <c r="AV111" s="125"/>
      <c r="AW111" s="125"/>
      <c r="AX111" s="5"/>
      <c r="AY111" s="5"/>
      <c r="AZ111" s="113">
        <v>82000</v>
      </c>
      <c r="BA111" s="113">
        <v>15580</v>
      </c>
      <c r="BB111" s="113">
        <v>97580</v>
      </c>
      <c r="BC111" s="52" t="s">
        <v>3188</v>
      </c>
      <c r="BD111" s="52">
        <v>441018</v>
      </c>
      <c r="BE111" s="118"/>
      <c r="BF111" s="118"/>
      <c r="BG111" s="118"/>
      <c r="BH111" s="52"/>
      <c r="BI111" s="283"/>
      <c r="BJ111" s="52"/>
      <c r="BK111" s="52"/>
      <c r="BL111" s="52"/>
      <c r="BM111" s="52"/>
      <c r="BN111" s="52"/>
      <c r="BO111" s="52"/>
      <c r="BP111" s="52"/>
      <c r="BQ111" s="52"/>
      <c r="BR111" s="52"/>
      <c r="BS111" s="52"/>
      <c r="BT111" s="52"/>
      <c r="BU111" s="52"/>
      <c r="BV111" s="52"/>
      <c r="BW111" s="52"/>
      <c r="BX111" s="52"/>
      <c r="BY111" s="52"/>
      <c r="BZ111" s="52"/>
      <c r="CA111" s="52"/>
      <c r="CB111" s="52"/>
      <c r="CC111" s="52"/>
      <c r="CD111" s="118"/>
      <c r="CE111" s="52"/>
      <c r="CF111" s="52"/>
      <c r="CG111" s="52"/>
      <c r="CH111" s="52"/>
      <c r="CI111" s="52"/>
      <c r="CJ111" s="52"/>
      <c r="CK111" s="52"/>
      <c r="CL111" s="52"/>
      <c r="CM111" s="52"/>
      <c r="CN111" s="118"/>
      <c r="CO111" s="118"/>
      <c r="CP111" s="118"/>
      <c r="CQ111" s="52"/>
      <c r="CR111" s="52"/>
      <c r="CS111" s="52"/>
      <c r="CT111" s="52"/>
      <c r="CU111" s="52"/>
      <c r="CV111" s="52"/>
      <c r="CW111" s="52"/>
      <c r="CX111" s="52"/>
      <c r="CY111" s="52"/>
      <c r="CZ111" s="52"/>
      <c r="DA111" s="52"/>
      <c r="DB111" s="52"/>
    </row>
    <row r="112" spans="1:106" ht="27" x14ac:dyDescent="0.25">
      <c r="A112" s="411">
        <v>110</v>
      </c>
      <c r="B112" s="412" t="s">
        <v>3213</v>
      </c>
      <c r="C112" s="426" t="s">
        <v>3212</v>
      </c>
      <c r="D112" s="426" t="s">
        <v>445</v>
      </c>
      <c r="E112" s="80">
        <v>1</v>
      </c>
      <c r="F112" s="356">
        <v>178476.67600000001</v>
      </c>
      <c r="G112" s="293"/>
      <c r="H112" s="293"/>
      <c r="I112" s="293"/>
      <c r="J112" s="52"/>
      <c r="K112" s="52"/>
      <c r="L112" s="359"/>
      <c r="M112" s="360"/>
      <c r="N112" s="33"/>
      <c r="O112" s="33"/>
      <c r="P112" s="252"/>
      <c r="Q112" s="113"/>
      <c r="R112" s="113"/>
      <c r="S112" s="113"/>
      <c r="T112" s="52"/>
      <c r="U112" s="5"/>
      <c r="V112" s="231"/>
      <c r="W112" s="231"/>
      <c r="X112" s="231"/>
      <c r="Y112" s="113"/>
      <c r="Z112" s="357"/>
      <c r="AA112" s="118" t="s">
        <v>2877</v>
      </c>
      <c r="AB112" s="118"/>
      <c r="AC112" s="118"/>
      <c r="AD112" s="52"/>
      <c r="AE112" s="5"/>
      <c r="AF112" s="358"/>
      <c r="AG112" s="358"/>
      <c r="AH112" s="358"/>
      <c r="AI112" s="358"/>
      <c r="AJ112" s="358"/>
      <c r="AK112" s="113"/>
      <c r="AL112" s="113"/>
      <c r="AM112" s="113"/>
      <c r="AN112" s="113"/>
      <c r="AO112" s="113"/>
      <c r="AP112" s="52"/>
      <c r="AQ112" s="52"/>
      <c r="AR112" s="52"/>
      <c r="AS112" s="52"/>
      <c r="AT112" s="52"/>
      <c r="AU112" s="125"/>
      <c r="AV112" s="125"/>
      <c r="AW112" s="125"/>
      <c r="AX112" s="5"/>
      <c r="AY112" s="5"/>
      <c r="AZ112" s="113">
        <v>182000</v>
      </c>
      <c r="BA112" s="113">
        <v>34580</v>
      </c>
      <c r="BB112" s="113">
        <v>216580</v>
      </c>
      <c r="BC112" s="52" t="s">
        <v>3188</v>
      </c>
      <c r="BD112" s="52">
        <v>441015</v>
      </c>
      <c r="BE112" s="118"/>
      <c r="BF112" s="118"/>
      <c r="BG112" s="118"/>
      <c r="BH112" s="52"/>
      <c r="BI112" s="283"/>
      <c r="BJ112" s="52"/>
      <c r="BK112" s="52"/>
      <c r="BL112" s="52"/>
      <c r="BM112" s="52"/>
      <c r="BN112" s="52"/>
      <c r="BO112" s="52"/>
      <c r="BP112" s="52"/>
      <c r="BQ112" s="52"/>
      <c r="BR112" s="52"/>
      <c r="BS112" s="52"/>
      <c r="BT112" s="52"/>
      <c r="BU112" s="52"/>
      <c r="BV112" s="52"/>
      <c r="BW112" s="52"/>
      <c r="BX112" s="52"/>
      <c r="BY112" s="52"/>
      <c r="BZ112" s="52"/>
      <c r="CA112" s="52"/>
      <c r="CB112" s="52"/>
      <c r="CC112" s="52"/>
      <c r="CD112" s="118"/>
      <c r="CE112" s="52"/>
      <c r="CF112" s="52"/>
      <c r="CG112" s="52"/>
      <c r="CH112" s="52"/>
      <c r="CI112" s="52"/>
      <c r="CJ112" s="52"/>
      <c r="CK112" s="52"/>
      <c r="CL112" s="52"/>
      <c r="CM112" s="52"/>
      <c r="CN112" s="118"/>
      <c r="CO112" s="118"/>
      <c r="CP112" s="118"/>
      <c r="CQ112" s="52"/>
      <c r="CR112" s="52"/>
      <c r="CS112" s="52"/>
      <c r="CT112" s="52"/>
      <c r="CU112" s="52"/>
      <c r="CV112" s="52"/>
      <c r="CW112" s="52"/>
      <c r="CX112" s="52"/>
      <c r="CY112" s="52"/>
      <c r="CZ112" s="52"/>
      <c r="DA112" s="52"/>
      <c r="DB112" s="52"/>
    </row>
    <row r="113" spans="1:106" ht="40.5" x14ac:dyDescent="0.25">
      <c r="A113" s="411">
        <v>111</v>
      </c>
      <c r="B113" s="409" t="s">
        <v>3214</v>
      </c>
      <c r="C113" s="413" t="s">
        <v>3212</v>
      </c>
      <c r="D113" s="409" t="s">
        <v>445</v>
      </c>
      <c r="E113" s="80">
        <v>1</v>
      </c>
      <c r="F113" s="80"/>
      <c r="G113" s="293"/>
      <c r="H113" s="293"/>
      <c r="I113" s="293"/>
      <c r="J113" s="52"/>
      <c r="K113" s="52"/>
      <c r="L113" s="359"/>
      <c r="M113" s="360"/>
      <c r="N113" s="33"/>
      <c r="O113" s="33"/>
      <c r="P113" s="252"/>
      <c r="Q113" s="113"/>
      <c r="R113" s="113"/>
      <c r="S113" s="113"/>
      <c r="T113" s="52"/>
      <c r="U113" s="5"/>
      <c r="V113" s="231"/>
      <c r="W113" s="231"/>
      <c r="X113" s="231"/>
      <c r="Y113" s="113"/>
      <c r="Z113" s="357"/>
      <c r="AA113" s="118" t="s">
        <v>2877</v>
      </c>
      <c r="AB113" s="118"/>
      <c r="AC113" s="118"/>
      <c r="AD113" s="52"/>
      <c r="AE113" s="5"/>
      <c r="AF113" s="358"/>
      <c r="AG113" s="358"/>
      <c r="AH113" s="358"/>
      <c r="AI113" s="358"/>
      <c r="AJ113" s="358"/>
      <c r="AK113" s="113"/>
      <c r="AL113" s="113"/>
      <c r="AM113" s="113"/>
      <c r="AN113" s="113"/>
      <c r="AO113" s="113"/>
      <c r="AP113" s="52"/>
      <c r="AQ113" s="52"/>
      <c r="AR113" s="52"/>
      <c r="AS113" s="52"/>
      <c r="AT113" s="52"/>
      <c r="AU113" s="125"/>
      <c r="AV113" s="125"/>
      <c r="AW113" s="125"/>
      <c r="AX113" s="5"/>
      <c r="AY113" s="5"/>
      <c r="AZ113" s="113">
        <v>100000</v>
      </c>
      <c r="BA113" s="113">
        <v>19000</v>
      </c>
      <c r="BB113" s="113">
        <v>119000</v>
      </c>
      <c r="BC113" s="52" t="s">
        <v>3188</v>
      </c>
      <c r="BD113" s="52">
        <v>551815</v>
      </c>
      <c r="BE113" s="118"/>
      <c r="BF113" s="118"/>
      <c r="BG113" s="118"/>
      <c r="BH113" s="52"/>
      <c r="BI113" s="283"/>
      <c r="BJ113" s="52"/>
      <c r="BK113" s="52"/>
      <c r="BL113" s="52"/>
      <c r="BM113" s="52"/>
      <c r="BN113" s="52"/>
      <c r="BO113" s="52"/>
      <c r="BP113" s="52"/>
      <c r="BQ113" s="52"/>
      <c r="BR113" s="52"/>
      <c r="BS113" s="52"/>
      <c r="BT113" s="52"/>
      <c r="BU113" s="52"/>
      <c r="BV113" s="52"/>
      <c r="BW113" s="52"/>
      <c r="BX113" s="52"/>
      <c r="BY113" s="52"/>
      <c r="BZ113" s="52"/>
      <c r="CA113" s="52"/>
      <c r="CB113" s="52"/>
      <c r="CC113" s="52"/>
      <c r="CD113" s="118"/>
      <c r="CE113" s="52"/>
      <c r="CF113" s="52"/>
      <c r="CG113" s="52"/>
      <c r="CH113" s="52"/>
      <c r="CI113" s="52"/>
      <c r="CJ113" s="52"/>
      <c r="CK113" s="52"/>
      <c r="CL113" s="52"/>
      <c r="CM113" s="52"/>
      <c r="CN113" s="118"/>
      <c r="CO113" s="118"/>
      <c r="CP113" s="118"/>
      <c r="CQ113" s="52"/>
      <c r="CR113" s="52"/>
      <c r="CS113" s="52"/>
      <c r="CT113" s="52"/>
      <c r="CU113" s="52"/>
      <c r="CV113" s="52"/>
      <c r="CW113" s="52"/>
      <c r="CX113" s="52"/>
      <c r="CY113" s="52"/>
      <c r="CZ113" s="52"/>
      <c r="DA113" s="52"/>
      <c r="DB113" s="52"/>
    </row>
    <row r="114" spans="1:106" ht="40.5" x14ac:dyDescent="0.25">
      <c r="A114" s="411">
        <v>112</v>
      </c>
      <c r="B114" s="412" t="s">
        <v>3215</v>
      </c>
      <c r="C114" s="413" t="s">
        <v>3216</v>
      </c>
      <c r="D114" s="426" t="s">
        <v>445</v>
      </c>
      <c r="E114" s="80">
        <v>1</v>
      </c>
      <c r="F114" s="356">
        <v>56559.51</v>
      </c>
      <c r="G114" s="293"/>
      <c r="H114" s="293"/>
      <c r="I114" s="293"/>
      <c r="J114" s="52"/>
      <c r="K114" s="52"/>
      <c r="L114" s="359"/>
      <c r="M114" s="360"/>
      <c r="N114" s="33"/>
      <c r="O114" s="33"/>
      <c r="P114" s="252"/>
      <c r="Q114" s="113"/>
      <c r="R114" s="113"/>
      <c r="S114" s="113"/>
      <c r="T114" s="52"/>
      <c r="U114" s="5"/>
      <c r="V114" s="231"/>
      <c r="W114" s="231"/>
      <c r="X114" s="231"/>
      <c r="Y114" s="113"/>
      <c r="Z114" s="357"/>
      <c r="AA114" s="118" t="s">
        <v>2877</v>
      </c>
      <c r="AB114" s="118"/>
      <c r="AC114" s="118"/>
      <c r="AD114" s="52"/>
      <c r="AE114" s="5"/>
      <c r="AF114" s="358"/>
      <c r="AG114" s="358"/>
      <c r="AH114" s="358"/>
      <c r="AI114" s="358"/>
      <c r="AJ114" s="358"/>
      <c r="AK114" s="113"/>
      <c r="AL114" s="113"/>
      <c r="AM114" s="113"/>
      <c r="AN114" s="113"/>
      <c r="AO114" s="113"/>
      <c r="AP114" s="52"/>
      <c r="AQ114" s="52"/>
      <c r="AR114" s="52"/>
      <c r="AS114" s="52"/>
      <c r="AT114" s="52"/>
      <c r="AU114" s="125"/>
      <c r="AV114" s="125"/>
      <c r="AW114" s="125"/>
      <c r="AX114" s="5"/>
      <c r="AY114" s="5"/>
      <c r="AZ114" s="113"/>
      <c r="BA114" s="113"/>
      <c r="BB114" s="113"/>
      <c r="BC114" s="52"/>
      <c r="BD114" s="52"/>
      <c r="BE114" s="118"/>
      <c r="BF114" s="118"/>
      <c r="BG114" s="118"/>
      <c r="BH114" s="52"/>
      <c r="BI114" s="283"/>
      <c r="BJ114" s="52"/>
      <c r="BK114" s="52"/>
      <c r="BL114" s="52"/>
      <c r="BM114" s="52"/>
      <c r="BN114" s="52"/>
      <c r="BO114" s="52"/>
      <c r="BP114" s="52"/>
      <c r="BQ114" s="52"/>
      <c r="BR114" s="52"/>
      <c r="BS114" s="52"/>
      <c r="BT114" s="52"/>
      <c r="BU114" s="52"/>
      <c r="BV114" s="52"/>
      <c r="BW114" s="52"/>
      <c r="BX114" s="52"/>
      <c r="BY114" s="52"/>
      <c r="BZ114" s="52"/>
      <c r="CA114" s="52"/>
      <c r="CB114" s="52"/>
      <c r="CC114" s="52"/>
      <c r="CD114" s="118"/>
      <c r="CE114" s="52"/>
      <c r="CF114" s="52"/>
      <c r="CG114" s="52"/>
      <c r="CH114" s="52"/>
      <c r="CI114" s="52"/>
      <c r="CJ114" s="52"/>
      <c r="CK114" s="52"/>
      <c r="CL114" s="52"/>
      <c r="CM114" s="52"/>
      <c r="CN114" s="118"/>
      <c r="CO114" s="118"/>
      <c r="CP114" s="118"/>
      <c r="CQ114" s="52"/>
      <c r="CR114" s="52"/>
      <c r="CS114" s="52"/>
      <c r="CT114" s="52"/>
      <c r="CU114" s="52"/>
      <c r="CV114" s="52"/>
      <c r="CW114" s="52"/>
      <c r="CX114" s="52"/>
      <c r="CY114" s="52"/>
      <c r="CZ114" s="52"/>
      <c r="DA114" s="52"/>
      <c r="DB114" s="52"/>
    </row>
    <row r="115" spans="1:106" ht="81" x14ac:dyDescent="0.25">
      <c r="A115" s="411">
        <v>113</v>
      </c>
      <c r="B115" s="412" t="s">
        <v>3217</v>
      </c>
      <c r="C115" s="413" t="s">
        <v>3218</v>
      </c>
      <c r="D115" s="426" t="s">
        <v>445</v>
      </c>
      <c r="E115" s="80">
        <v>1</v>
      </c>
      <c r="F115" s="356">
        <v>811943.18799999997</v>
      </c>
      <c r="G115" s="293"/>
      <c r="H115" s="293"/>
      <c r="I115" s="293"/>
      <c r="J115" s="52"/>
      <c r="K115" s="52"/>
      <c r="L115" s="359"/>
      <c r="M115" s="360"/>
      <c r="N115" s="33"/>
      <c r="O115" s="33"/>
      <c r="P115" s="252"/>
      <c r="Q115" s="113"/>
      <c r="R115" s="113"/>
      <c r="S115" s="113"/>
      <c r="T115" s="52"/>
      <c r="U115" s="5"/>
      <c r="V115" s="231"/>
      <c r="W115" s="231"/>
      <c r="X115" s="231"/>
      <c r="Y115" s="113"/>
      <c r="Z115" s="357"/>
      <c r="AA115" s="118" t="s">
        <v>2877</v>
      </c>
      <c r="AB115" s="118"/>
      <c r="AC115" s="118"/>
      <c r="AD115" s="52"/>
      <c r="AE115" s="5"/>
      <c r="AF115" s="358"/>
      <c r="AG115" s="358"/>
      <c r="AH115" s="358"/>
      <c r="AI115" s="358"/>
      <c r="AJ115" s="358"/>
      <c r="AK115" s="113"/>
      <c r="AL115" s="113"/>
      <c r="AM115" s="113"/>
      <c r="AN115" s="113"/>
      <c r="AO115" s="113"/>
      <c r="AP115" s="52"/>
      <c r="AQ115" s="52"/>
      <c r="AR115" s="52"/>
      <c r="AS115" s="52"/>
      <c r="AT115" s="52"/>
      <c r="AU115" s="125"/>
      <c r="AV115" s="125"/>
      <c r="AW115" s="125"/>
      <c r="AX115" s="5"/>
      <c r="AY115" s="5"/>
      <c r="AZ115" s="113">
        <v>700000</v>
      </c>
      <c r="BA115" s="113">
        <v>133000</v>
      </c>
      <c r="BB115" s="113">
        <v>833000</v>
      </c>
      <c r="BC115" s="52" t="s">
        <v>3219</v>
      </c>
      <c r="BD115" s="52" t="s">
        <v>3220</v>
      </c>
      <c r="BE115" s="118"/>
      <c r="BF115" s="118"/>
      <c r="BG115" s="118"/>
      <c r="BH115" s="52"/>
      <c r="BI115" s="283"/>
      <c r="BJ115" s="52"/>
      <c r="BK115" s="52"/>
      <c r="BL115" s="52"/>
      <c r="BM115" s="52"/>
      <c r="BN115" s="52"/>
      <c r="BO115" s="52"/>
      <c r="BP115" s="52"/>
      <c r="BQ115" s="52"/>
      <c r="BR115" s="52"/>
      <c r="BS115" s="52"/>
      <c r="BT115" s="52"/>
      <c r="BU115" s="52"/>
      <c r="BV115" s="52"/>
      <c r="BW115" s="52"/>
      <c r="BX115" s="52"/>
      <c r="BY115" s="52"/>
      <c r="BZ115" s="52"/>
      <c r="CA115" s="52"/>
      <c r="CB115" s="52"/>
      <c r="CC115" s="52"/>
      <c r="CD115" s="118"/>
      <c r="CE115" s="52"/>
      <c r="CF115" s="52"/>
      <c r="CG115" s="52"/>
      <c r="CH115" s="52"/>
      <c r="CI115" s="52"/>
      <c r="CJ115" s="52"/>
      <c r="CK115" s="52"/>
      <c r="CL115" s="52"/>
      <c r="CM115" s="52"/>
      <c r="CN115" s="118"/>
      <c r="CO115" s="118"/>
      <c r="CP115" s="118"/>
      <c r="CQ115" s="52"/>
      <c r="CR115" s="52"/>
      <c r="CS115" s="52"/>
      <c r="CT115" s="52"/>
      <c r="CU115" s="52"/>
      <c r="CV115" s="52"/>
      <c r="CW115" s="52"/>
      <c r="CX115" s="52"/>
      <c r="CY115" s="52"/>
      <c r="CZ115" s="52"/>
      <c r="DA115" s="52"/>
      <c r="DB115" s="52"/>
    </row>
    <row r="116" spans="1:106" ht="27" x14ac:dyDescent="0.25">
      <c r="A116" s="411">
        <v>114</v>
      </c>
      <c r="B116" s="412" t="s">
        <v>3221</v>
      </c>
      <c r="C116" s="561" t="s">
        <v>622</v>
      </c>
      <c r="D116" s="426" t="s">
        <v>445</v>
      </c>
      <c r="E116" s="80">
        <v>1</v>
      </c>
      <c r="F116" s="355">
        <v>608718.68980000005</v>
      </c>
      <c r="G116" s="293"/>
      <c r="H116" s="293"/>
      <c r="I116" s="293"/>
      <c r="J116" s="52"/>
      <c r="K116" s="52"/>
      <c r="L116" s="359"/>
      <c r="M116" s="360"/>
      <c r="N116" s="33"/>
      <c r="O116" s="33"/>
      <c r="P116" s="252"/>
      <c r="Q116" s="113"/>
      <c r="R116" s="113"/>
      <c r="S116" s="113"/>
      <c r="T116" s="52"/>
      <c r="U116" s="5"/>
      <c r="V116" s="231"/>
      <c r="W116" s="231"/>
      <c r="X116" s="231"/>
      <c r="Y116" s="113"/>
      <c r="Z116" s="357"/>
      <c r="AA116" s="118" t="s">
        <v>2877</v>
      </c>
      <c r="AB116" s="118"/>
      <c r="AC116" s="118"/>
      <c r="AD116" s="52"/>
      <c r="AE116" s="5"/>
      <c r="AF116" s="358"/>
      <c r="AG116" s="358"/>
      <c r="AH116" s="358"/>
      <c r="AI116" s="358"/>
      <c r="AJ116" s="358"/>
      <c r="AK116" s="113"/>
      <c r="AL116" s="113"/>
      <c r="AM116" s="113"/>
      <c r="AN116" s="113"/>
      <c r="AO116" s="113"/>
      <c r="AP116" s="52"/>
      <c r="AQ116" s="52"/>
      <c r="AR116" s="52"/>
      <c r="AS116" s="52"/>
      <c r="AT116" s="52"/>
      <c r="AU116" s="125"/>
      <c r="AV116" s="125"/>
      <c r="AW116" s="125"/>
      <c r="AX116" s="5"/>
      <c r="AY116" s="5"/>
      <c r="AZ116" s="113"/>
      <c r="BA116" s="113"/>
      <c r="BB116" s="113"/>
      <c r="BC116" s="52"/>
      <c r="BD116" s="52"/>
      <c r="BE116" s="118"/>
      <c r="BF116" s="118"/>
      <c r="BG116" s="118"/>
      <c r="BH116" s="52"/>
      <c r="BI116" s="283"/>
      <c r="BJ116" s="52"/>
      <c r="BK116" s="52"/>
      <c r="BL116" s="52"/>
      <c r="BM116" s="52"/>
      <c r="BN116" s="52"/>
      <c r="BO116" s="118">
        <v>260000</v>
      </c>
      <c r="BP116" s="118">
        <f>+BO116*0.19</f>
        <v>49400</v>
      </c>
      <c r="BQ116" s="118">
        <f>+BO116+BP116</f>
        <v>309400</v>
      </c>
      <c r="BR116" s="52" t="s">
        <v>3222</v>
      </c>
      <c r="BS116" s="52" t="s">
        <v>3223</v>
      </c>
      <c r="BT116" s="52"/>
      <c r="BU116" s="52"/>
      <c r="BV116" s="52"/>
      <c r="BW116" s="52"/>
      <c r="BX116" s="52"/>
      <c r="BY116" s="118">
        <v>4824000</v>
      </c>
      <c r="BZ116" s="118">
        <f>+BY116*0.19</f>
        <v>916560</v>
      </c>
      <c r="CA116" s="118">
        <f>+BY116+BZ116</f>
        <v>5740560</v>
      </c>
      <c r="CB116" s="52" t="s">
        <v>3224</v>
      </c>
      <c r="CC116" s="52" t="s">
        <v>3225</v>
      </c>
      <c r="CD116" s="118"/>
      <c r="CE116" s="52"/>
      <c r="CF116" s="52"/>
      <c r="CG116" s="52"/>
      <c r="CH116" s="52"/>
      <c r="CI116" s="52"/>
      <c r="CJ116" s="52"/>
      <c r="CK116" s="52"/>
      <c r="CL116" s="52"/>
      <c r="CM116" s="52"/>
      <c r="CN116" s="118"/>
      <c r="CO116" s="118"/>
      <c r="CP116" s="118"/>
      <c r="CQ116" s="52"/>
      <c r="CR116" s="52"/>
      <c r="CS116" s="52"/>
      <c r="CT116" s="52"/>
      <c r="CU116" s="52"/>
      <c r="CV116" s="52"/>
      <c r="CW116" s="52"/>
      <c r="CX116" s="52"/>
      <c r="CY116" s="52"/>
      <c r="CZ116" s="52"/>
      <c r="DA116" s="52"/>
      <c r="DB116" s="52"/>
    </row>
    <row r="117" spans="1:106" ht="121.5" x14ac:dyDescent="0.25">
      <c r="A117" s="411">
        <v>115</v>
      </c>
      <c r="B117" s="412" t="s">
        <v>3226</v>
      </c>
      <c r="C117" s="561" t="s">
        <v>3227</v>
      </c>
      <c r="D117" s="426" t="s">
        <v>445</v>
      </c>
      <c r="E117" s="80">
        <v>1</v>
      </c>
      <c r="F117" s="355">
        <v>466029.23840000003</v>
      </c>
      <c r="G117" s="293"/>
      <c r="H117" s="293"/>
      <c r="I117" s="293"/>
      <c r="J117" s="52"/>
      <c r="K117" s="52"/>
      <c r="L117" s="359"/>
      <c r="M117" s="360"/>
      <c r="N117" s="33"/>
      <c r="O117" s="33"/>
      <c r="P117" s="252"/>
      <c r="Q117" s="113"/>
      <c r="R117" s="113"/>
      <c r="S117" s="113"/>
      <c r="T117" s="52"/>
      <c r="U117" s="5"/>
      <c r="V117" s="231"/>
      <c r="W117" s="231"/>
      <c r="X117" s="231"/>
      <c r="Y117" s="113"/>
      <c r="Z117" s="357"/>
      <c r="AA117" s="118" t="s">
        <v>2877</v>
      </c>
      <c r="AB117" s="118"/>
      <c r="AC117" s="118"/>
      <c r="AD117" s="52"/>
      <c r="AE117" s="5"/>
      <c r="AF117" s="358"/>
      <c r="AG117" s="358"/>
      <c r="AH117" s="358"/>
      <c r="AI117" s="358"/>
      <c r="AJ117" s="358"/>
      <c r="AK117" s="113"/>
      <c r="AL117" s="113"/>
      <c r="AM117" s="113"/>
      <c r="AN117" s="113"/>
      <c r="AO117" s="113"/>
      <c r="AP117" s="52"/>
      <c r="AQ117" s="52"/>
      <c r="AR117" s="52"/>
      <c r="AS117" s="52"/>
      <c r="AT117" s="52"/>
      <c r="AU117" s="125"/>
      <c r="AV117" s="125"/>
      <c r="AW117" s="125"/>
      <c r="AX117" s="5"/>
      <c r="AY117" s="5"/>
      <c r="AZ117" s="113">
        <v>448000</v>
      </c>
      <c r="BA117" s="113">
        <f t="shared" ref="BA117" si="10">AZ117*19%</f>
        <v>85120</v>
      </c>
      <c r="BB117" s="113">
        <f t="shared" ref="BB117" si="11">AZ117+BA117</f>
        <v>533120</v>
      </c>
      <c r="BC117" s="52" t="s">
        <v>3228</v>
      </c>
      <c r="BD117" s="52" t="s">
        <v>3229</v>
      </c>
      <c r="BE117" s="118"/>
      <c r="BF117" s="118"/>
      <c r="BG117" s="118"/>
      <c r="BH117" s="52"/>
      <c r="BI117" s="283"/>
      <c r="BJ117" s="52"/>
      <c r="BK117" s="52"/>
      <c r="BL117" s="52"/>
      <c r="BM117" s="52"/>
      <c r="BN117" s="52"/>
      <c r="BO117" s="293">
        <v>420000</v>
      </c>
      <c r="BP117" s="118">
        <f>+BO117*0.19</f>
        <v>79800</v>
      </c>
      <c r="BQ117" s="118">
        <f>+BO117+BP117</f>
        <v>499800</v>
      </c>
      <c r="BR117" s="52" t="s">
        <v>2956</v>
      </c>
      <c r="BS117" s="52" t="s">
        <v>3230</v>
      </c>
      <c r="BT117" s="52"/>
      <c r="BU117" s="52"/>
      <c r="BV117" s="52"/>
      <c r="BW117" s="52"/>
      <c r="BX117" s="52"/>
      <c r="BY117" s="118">
        <v>468000</v>
      </c>
      <c r="BZ117" s="118">
        <f>+BY117*0.19</f>
        <v>88920</v>
      </c>
      <c r="CA117" s="118">
        <f>+BY117+BZ117</f>
        <v>556920</v>
      </c>
      <c r="CB117" s="52" t="s">
        <v>2956</v>
      </c>
      <c r="CC117" s="52" t="s">
        <v>3230</v>
      </c>
      <c r="CD117" s="118"/>
      <c r="CE117" s="52"/>
      <c r="CF117" s="52"/>
      <c r="CG117" s="52"/>
      <c r="CH117" s="52"/>
      <c r="CI117" s="52"/>
      <c r="CJ117" s="52"/>
      <c r="CK117" s="52"/>
      <c r="CL117" s="52"/>
      <c r="CM117" s="52"/>
      <c r="CN117" s="118"/>
      <c r="CO117" s="118"/>
      <c r="CP117" s="118"/>
      <c r="CQ117" s="52"/>
      <c r="CR117" s="52"/>
      <c r="CS117" s="52"/>
      <c r="CT117" s="52"/>
      <c r="CU117" s="52"/>
      <c r="CV117" s="52"/>
      <c r="CW117" s="52"/>
      <c r="CX117" s="52"/>
      <c r="CY117" s="52"/>
      <c r="CZ117" s="52"/>
      <c r="DA117" s="52"/>
      <c r="DB117" s="52"/>
    </row>
    <row r="118" spans="1:106" ht="27" x14ac:dyDescent="0.25">
      <c r="A118" s="411">
        <v>116</v>
      </c>
      <c r="B118" s="416" t="s">
        <v>3231</v>
      </c>
      <c r="C118" s="563" t="s">
        <v>622</v>
      </c>
      <c r="D118" s="416" t="s">
        <v>3232</v>
      </c>
      <c r="E118" s="80">
        <v>1</v>
      </c>
      <c r="F118" s="80"/>
      <c r="G118" s="293"/>
      <c r="H118" s="293"/>
      <c r="I118" s="293"/>
      <c r="J118" s="52"/>
      <c r="K118" s="52"/>
      <c r="L118" s="359"/>
      <c r="M118" s="360"/>
      <c r="N118" s="33"/>
      <c r="O118" s="33"/>
      <c r="P118" s="252"/>
      <c r="Q118" s="113"/>
      <c r="R118" s="113"/>
      <c r="S118" s="113"/>
      <c r="T118" s="52"/>
      <c r="U118" s="5"/>
      <c r="V118" s="231"/>
      <c r="W118" s="231"/>
      <c r="X118" s="231"/>
      <c r="Y118" s="113"/>
      <c r="Z118" s="357"/>
      <c r="AA118" s="118">
        <v>147000</v>
      </c>
      <c r="AB118" s="118">
        <f>AA118*0.19</f>
        <v>27930</v>
      </c>
      <c r="AC118" s="118">
        <f>AA118+AB118</f>
        <v>174930</v>
      </c>
      <c r="AD118" s="361" t="s">
        <v>126</v>
      </c>
      <c r="AE118" s="362" t="s">
        <v>3233</v>
      </c>
      <c r="AF118" s="358"/>
      <c r="AG118" s="358"/>
      <c r="AH118" s="358"/>
      <c r="AI118" s="358"/>
      <c r="AJ118" s="358"/>
      <c r="AK118" s="113"/>
      <c r="AL118" s="113"/>
      <c r="AM118" s="113"/>
      <c r="AN118" s="113"/>
      <c r="AO118" s="113"/>
      <c r="AP118" s="52"/>
      <c r="AQ118" s="52"/>
      <c r="AR118" s="52"/>
      <c r="AS118" s="52"/>
      <c r="AT118" s="52"/>
      <c r="AU118" s="125"/>
      <c r="AV118" s="125"/>
      <c r="AW118" s="125"/>
      <c r="AX118" s="5"/>
      <c r="AY118" s="5"/>
      <c r="AZ118" s="113"/>
      <c r="BA118" s="113"/>
      <c r="BB118" s="113"/>
      <c r="BC118" s="52"/>
      <c r="BD118" s="52"/>
      <c r="BE118" s="118"/>
      <c r="BF118" s="118"/>
      <c r="BG118" s="118"/>
      <c r="BH118" s="52"/>
      <c r="BI118" s="283"/>
      <c r="BJ118" s="52"/>
      <c r="BK118" s="52"/>
      <c r="BL118" s="52"/>
      <c r="BM118" s="52"/>
      <c r="BN118" s="52"/>
      <c r="BO118" s="52"/>
      <c r="BP118" s="52"/>
      <c r="BQ118" s="52"/>
      <c r="BR118" s="52"/>
      <c r="BS118" s="52"/>
      <c r="BT118" s="52"/>
      <c r="BU118" s="52"/>
      <c r="BV118" s="52"/>
      <c r="BW118" s="52"/>
      <c r="BX118" s="52"/>
      <c r="BY118" s="52"/>
      <c r="BZ118" s="52"/>
      <c r="CA118" s="52"/>
      <c r="CB118" s="52"/>
      <c r="CC118" s="52"/>
      <c r="CD118" s="118"/>
      <c r="CE118" s="52"/>
      <c r="CF118" s="52"/>
      <c r="CG118" s="52"/>
      <c r="CH118" s="52"/>
      <c r="CI118" s="52"/>
      <c r="CJ118" s="52"/>
      <c r="CK118" s="52"/>
      <c r="CL118" s="52"/>
      <c r="CM118" s="52"/>
      <c r="CN118" s="118"/>
      <c r="CO118" s="118"/>
      <c r="CP118" s="118"/>
      <c r="CQ118" s="52"/>
      <c r="CR118" s="52"/>
      <c r="CS118" s="52"/>
      <c r="CT118" s="52"/>
      <c r="CU118" s="52"/>
      <c r="CV118" s="52"/>
      <c r="CW118" s="52"/>
      <c r="CX118" s="52"/>
      <c r="CY118" s="52"/>
      <c r="CZ118" s="52"/>
      <c r="DA118" s="52"/>
      <c r="DB118" s="52"/>
    </row>
    <row r="119" spans="1:106" ht="27" x14ac:dyDescent="0.25">
      <c r="A119" s="411">
        <v>117</v>
      </c>
      <c r="B119" s="412" t="s">
        <v>3234</v>
      </c>
      <c r="C119" s="413" t="s">
        <v>622</v>
      </c>
      <c r="D119" s="426" t="s">
        <v>445</v>
      </c>
      <c r="E119" s="80">
        <v>1</v>
      </c>
      <c r="F119" s="356">
        <v>155830.6918</v>
      </c>
      <c r="G119" s="293"/>
      <c r="H119" s="293"/>
      <c r="I119" s="293"/>
      <c r="J119" s="52"/>
      <c r="K119" s="52"/>
      <c r="L119" s="359"/>
      <c r="M119" s="360"/>
      <c r="N119" s="33"/>
      <c r="O119" s="33"/>
      <c r="P119" s="252"/>
      <c r="Q119" s="113"/>
      <c r="R119" s="113"/>
      <c r="S119" s="113"/>
      <c r="T119" s="52"/>
      <c r="U119" s="5"/>
      <c r="V119" s="231"/>
      <c r="W119" s="231"/>
      <c r="X119" s="231"/>
      <c r="Y119" s="113"/>
      <c r="Z119" s="357"/>
      <c r="AA119" s="118" t="s">
        <v>2877</v>
      </c>
      <c r="AB119" s="118"/>
      <c r="AC119" s="118"/>
      <c r="AD119" s="52"/>
      <c r="AE119" s="5"/>
      <c r="AF119" s="358"/>
      <c r="AG119" s="358"/>
      <c r="AH119" s="358"/>
      <c r="AI119" s="358"/>
      <c r="AJ119" s="358"/>
      <c r="AK119" s="113"/>
      <c r="AL119" s="113"/>
      <c r="AM119" s="113"/>
      <c r="AN119" s="113"/>
      <c r="AO119" s="113"/>
      <c r="AP119" s="52"/>
      <c r="AQ119" s="52"/>
      <c r="AR119" s="52"/>
      <c r="AS119" s="52"/>
      <c r="AT119" s="52"/>
      <c r="AU119" s="125"/>
      <c r="AV119" s="125"/>
      <c r="AW119" s="125"/>
      <c r="AX119" s="5"/>
      <c r="AY119" s="5"/>
      <c r="AZ119" s="113">
        <v>88000</v>
      </c>
      <c r="BA119" s="113">
        <v>16720</v>
      </c>
      <c r="BB119" s="113">
        <v>104720</v>
      </c>
      <c r="BC119" s="52" t="s">
        <v>3235</v>
      </c>
      <c r="BD119" s="52">
        <v>138548</v>
      </c>
      <c r="BE119" s="118"/>
      <c r="BF119" s="118"/>
      <c r="BG119" s="118"/>
      <c r="BH119" s="52"/>
      <c r="BI119" s="283"/>
      <c r="BJ119" s="52"/>
      <c r="BK119" s="52"/>
      <c r="BL119" s="52"/>
      <c r="BM119" s="52"/>
      <c r="BN119" s="52"/>
      <c r="BO119" s="52"/>
      <c r="BP119" s="52"/>
      <c r="BQ119" s="52"/>
      <c r="BR119" s="52"/>
      <c r="BS119" s="52"/>
      <c r="BT119" s="52"/>
      <c r="BU119" s="52"/>
      <c r="BV119" s="52"/>
      <c r="BW119" s="52"/>
      <c r="BX119" s="52"/>
      <c r="BY119" s="52"/>
      <c r="BZ119" s="52"/>
      <c r="CA119" s="52"/>
      <c r="CB119" s="52"/>
      <c r="CC119" s="52"/>
      <c r="CD119" s="118"/>
      <c r="CE119" s="52"/>
      <c r="CF119" s="52"/>
      <c r="CG119" s="52"/>
      <c r="CH119" s="52"/>
      <c r="CI119" s="52"/>
      <c r="CJ119" s="52"/>
      <c r="CK119" s="52"/>
      <c r="CL119" s="52"/>
      <c r="CM119" s="52"/>
      <c r="CN119" s="118"/>
      <c r="CO119" s="118"/>
      <c r="CP119" s="118"/>
      <c r="CQ119" s="52"/>
      <c r="CR119" s="52"/>
      <c r="CS119" s="52"/>
      <c r="CT119" s="52"/>
      <c r="CU119" s="52"/>
      <c r="CV119" s="52"/>
      <c r="CW119" s="52"/>
      <c r="CX119" s="52"/>
      <c r="CY119" s="52"/>
      <c r="CZ119" s="52"/>
      <c r="DA119" s="52"/>
      <c r="DB119" s="52"/>
    </row>
    <row r="120" spans="1:106" ht="13.5" x14ac:dyDescent="0.25">
      <c r="A120" s="411">
        <v>118</v>
      </c>
      <c r="B120" s="412" t="s">
        <v>3236</v>
      </c>
      <c r="C120" s="413" t="s">
        <v>622</v>
      </c>
      <c r="D120" s="426" t="s">
        <v>445</v>
      </c>
      <c r="E120" s="80">
        <v>1</v>
      </c>
      <c r="F120" s="356">
        <v>207384.87</v>
      </c>
      <c r="G120" s="293"/>
      <c r="H120" s="293"/>
      <c r="I120" s="293"/>
      <c r="J120" s="52"/>
      <c r="K120" s="52"/>
      <c r="L120" s="359"/>
      <c r="M120" s="360"/>
      <c r="N120" s="33"/>
      <c r="O120" s="33"/>
      <c r="P120" s="252"/>
      <c r="Q120" s="113"/>
      <c r="R120" s="113"/>
      <c r="S120" s="113"/>
      <c r="T120" s="52"/>
      <c r="U120" s="5"/>
      <c r="V120" s="231"/>
      <c r="W120" s="231"/>
      <c r="X120" s="231"/>
      <c r="Y120" s="113"/>
      <c r="Z120" s="357"/>
      <c r="AA120" s="118" t="s">
        <v>2877</v>
      </c>
      <c r="AB120" s="118"/>
      <c r="AC120" s="118"/>
      <c r="AD120" s="52"/>
      <c r="AE120" s="5"/>
      <c r="AF120" s="358"/>
      <c r="AG120" s="358"/>
      <c r="AH120" s="358"/>
      <c r="AI120" s="358"/>
      <c r="AJ120" s="358"/>
      <c r="AK120" s="113"/>
      <c r="AL120" s="113"/>
      <c r="AM120" s="113"/>
      <c r="AN120" s="113"/>
      <c r="AO120" s="113"/>
      <c r="AP120" s="52"/>
      <c r="AQ120" s="52"/>
      <c r="AR120" s="52"/>
      <c r="AS120" s="52"/>
      <c r="AT120" s="52"/>
      <c r="AU120" s="125"/>
      <c r="AV120" s="125"/>
      <c r="AW120" s="125"/>
      <c r="AX120" s="5"/>
      <c r="AY120" s="5"/>
      <c r="AZ120" s="113"/>
      <c r="BA120" s="113"/>
      <c r="BB120" s="113"/>
      <c r="BC120" s="52"/>
      <c r="BD120" s="52"/>
      <c r="BE120" s="118"/>
      <c r="BF120" s="118"/>
      <c r="BG120" s="118"/>
      <c r="BH120" s="52"/>
      <c r="BI120" s="283"/>
      <c r="BJ120" s="52"/>
      <c r="BK120" s="52"/>
      <c r="BL120" s="52"/>
      <c r="BM120" s="52"/>
      <c r="BN120" s="52"/>
      <c r="BO120" s="293">
        <v>300000</v>
      </c>
      <c r="BP120" s="118">
        <f>+BO120*0.19</f>
        <v>57000</v>
      </c>
      <c r="BQ120" s="118">
        <f>+BO120+BP120</f>
        <v>357000</v>
      </c>
      <c r="BR120" s="52" t="s">
        <v>164</v>
      </c>
      <c r="BS120" s="52" t="s">
        <v>3237</v>
      </c>
      <c r="BT120" s="52"/>
      <c r="BU120" s="52"/>
      <c r="BV120" s="52"/>
      <c r="BW120" s="52"/>
      <c r="BX120" s="52"/>
      <c r="BY120" s="52">
        <v>300000</v>
      </c>
      <c r="BZ120" s="118">
        <f>+BY120*0.19</f>
        <v>57000</v>
      </c>
      <c r="CA120" s="118">
        <f>+BY120+BZ120</f>
        <v>357000</v>
      </c>
      <c r="CB120" s="52" t="s">
        <v>164</v>
      </c>
      <c r="CC120" s="52" t="s">
        <v>3238</v>
      </c>
      <c r="CD120" s="118"/>
      <c r="CE120" s="52"/>
      <c r="CF120" s="52"/>
      <c r="CG120" s="52"/>
      <c r="CH120" s="52"/>
      <c r="CI120" s="52"/>
      <c r="CJ120" s="52"/>
      <c r="CK120" s="52"/>
      <c r="CL120" s="52"/>
      <c r="CM120" s="52"/>
      <c r="CN120" s="118"/>
      <c r="CO120" s="118"/>
      <c r="CP120" s="118"/>
      <c r="CQ120" s="52"/>
      <c r="CR120" s="52"/>
      <c r="CS120" s="52"/>
      <c r="CT120" s="52"/>
      <c r="CU120" s="52"/>
      <c r="CV120" s="52"/>
      <c r="CW120" s="52"/>
      <c r="CX120" s="52"/>
      <c r="CY120" s="52"/>
      <c r="CZ120" s="52"/>
      <c r="DA120" s="52"/>
      <c r="DB120" s="52"/>
    </row>
    <row r="121" spans="1:106" ht="27" x14ac:dyDescent="0.25">
      <c r="A121" s="411">
        <v>119</v>
      </c>
      <c r="B121" s="412" t="s">
        <v>3239</v>
      </c>
      <c r="C121" s="413" t="s">
        <v>3212</v>
      </c>
      <c r="D121" s="426" t="s">
        <v>445</v>
      </c>
      <c r="E121" s="80">
        <v>1</v>
      </c>
      <c r="F121" s="356">
        <v>88785.228199999998</v>
      </c>
      <c r="G121" s="293"/>
      <c r="H121" s="293"/>
      <c r="I121" s="293"/>
      <c r="J121" s="52"/>
      <c r="K121" s="52"/>
      <c r="L121" s="359"/>
      <c r="M121" s="360"/>
      <c r="N121" s="33"/>
      <c r="O121" s="33"/>
      <c r="P121" s="252"/>
      <c r="Q121" s="113"/>
      <c r="R121" s="113"/>
      <c r="S121" s="113"/>
      <c r="T121" s="52"/>
      <c r="U121" s="5"/>
      <c r="V121" s="231"/>
      <c r="W121" s="231"/>
      <c r="X121" s="231"/>
      <c r="Y121" s="113"/>
      <c r="Z121" s="357"/>
      <c r="AA121" s="118" t="s">
        <v>2877</v>
      </c>
      <c r="AB121" s="118"/>
      <c r="AC121" s="118"/>
      <c r="AD121" s="52"/>
      <c r="AE121" s="5"/>
      <c r="AF121" s="358"/>
      <c r="AG121" s="358"/>
      <c r="AH121" s="358"/>
      <c r="AI121" s="358"/>
      <c r="AJ121" s="358"/>
      <c r="AK121" s="113"/>
      <c r="AL121" s="113"/>
      <c r="AM121" s="113"/>
      <c r="AN121" s="113"/>
      <c r="AO121" s="113"/>
      <c r="AP121" s="52"/>
      <c r="AQ121" s="52"/>
      <c r="AR121" s="52"/>
      <c r="AS121" s="52"/>
      <c r="AT121" s="52"/>
      <c r="AU121" s="125"/>
      <c r="AV121" s="125"/>
      <c r="AW121" s="125"/>
      <c r="AX121" s="5"/>
      <c r="AY121" s="5"/>
      <c r="AZ121" s="113">
        <v>90000</v>
      </c>
      <c r="BA121" s="113">
        <v>17100</v>
      </c>
      <c r="BB121" s="113">
        <v>107100</v>
      </c>
      <c r="BC121" s="52" t="s">
        <v>3188</v>
      </c>
      <c r="BD121" s="52">
        <v>487422</v>
      </c>
      <c r="BE121" s="118"/>
      <c r="BF121" s="118"/>
      <c r="BG121" s="118"/>
      <c r="BH121" s="52"/>
      <c r="BI121" s="283"/>
      <c r="BJ121" s="52"/>
      <c r="BK121" s="52"/>
      <c r="BL121" s="52"/>
      <c r="BM121" s="52"/>
      <c r="BN121" s="52"/>
      <c r="BO121" s="52"/>
      <c r="BP121" s="52"/>
      <c r="BQ121" s="52"/>
      <c r="BR121" s="52"/>
      <c r="BS121" s="52"/>
      <c r="BT121" s="52"/>
      <c r="BU121" s="52"/>
      <c r="BV121" s="52"/>
      <c r="BW121" s="52"/>
      <c r="BX121" s="52"/>
      <c r="BY121" s="52"/>
      <c r="BZ121" s="52"/>
      <c r="CA121" s="52"/>
      <c r="CB121" s="52"/>
      <c r="CC121" s="52"/>
      <c r="CD121" s="118"/>
      <c r="CE121" s="52"/>
      <c r="CF121" s="52"/>
      <c r="CG121" s="52"/>
      <c r="CH121" s="52"/>
      <c r="CI121" s="52"/>
      <c r="CJ121" s="52"/>
      <c r="CK121" s="52"/>
      <c r="CL121" s="52"/>
      <c r="CM121" s="52"/>
      <c r="CN121" s="118"/>
      <c r="CO121" s="118"/>
      <c r="CP121" s="118"/>
      <c r="CQ121" s="52"/>
      <c r="CR121" s="52"/>
      <c r="CS121" s="52"/>
      <c r="CT121" s="52"/>
      <c r="CU121" s="52"/>
      <c r="CV121" s="52"/>
      <c r="CW121" s="52"/>
      <c r="CX121" s="52"/>
      <c r="CY121" s="52"/>
      <c r="CZ121" s="52"/>
      <c r="DA121" s="52"/>
      <c r="DB121" s="52"/>
    </row>
    <row r="122" spans="1:106" ht="27" x14ac:dyDescent="0.25">
      <c r="A122" s="411">
        <v>120</v>
      </c>
      <c r="B122" s="412" t="s">
        <v>3240</v>
      </c>
      <c r="C122" s="413" t="s">
        <v>3212</v>
      </c>
      <c r="D122" s="426" t="s">
        <v>445</v>
      </c>
      <c r="E122" s="80">
        <v>1</v>
      </c>
      <c r="F122" s="356">
        <v>74028.001799999998</v>
      </c>
      <c r="G122" s="293"/>
      <c r="H122" s="293"/>
      <c r="I122" s="293"/>
      <c r="J122" s="52"/>
      <c r="K122" s="52"/>
      <c r="L122" s="359"/>
      <c r="M122" s="360"/>
      <c r="N122" s="33"/>
      <c r="O122" s="33"/>
      <c r="P122" s="252"/>
      <c r="Q122" s="113"/>
      <c r="R122" s="113"/>
      <c r="S122" s="113"/>
      <c r="T122" s="52"/>
      <c r="U122" s="5"/>
      <c r="V122" s="231"/>
      <c r="W122" s="231"/>
      <c r="X122" s="231"/>
      <c r="Y122" s="113"/>
      <c r="Z122" s="357"/>
      <c r="AA122" s="118" t="s">
        <v>2877</v>
      </c>
      <c r="AB122" s="118"/>
      <c r="AC122" s="118"/>
      <c r="AD122" s="52"/>
      <c r="AE122" s="5"/>
      <c r="AF122" s="358"/>
      <c r="AG122" s="358"/>
      <c r="AH122" s="358"/>
      <c r="AI122" s="358"/>
      <c r="AJ122" s="358"/>
      <c r="AK122" s="113"/>
      <c r="AL122" s="113"/>
      <c r="AM122" s="113"/>
      <c r="AN122" s="113"/>
      <c r="AO122" s="113"/>
      <c r="AP122" s="52"/>
      <c r="AQ122" s="52"/>
      <c r="AR122" s="52"/>
      <c r="AS122" s="52"/>
      <c r="AT122" s="52"/>
      <c r="AU122" s="125"/>
      <c r="AV122" s="125"/>
      <c r="AW122" s="125"/>
      <c r="AX122" s="5"/>
      <c r="AY122" s="5"/>
      <c r="AZ122" s="113">
        <v>90000</v>
      </c>
      <c r="BA122" s="113">
        <v>17100</v>
      </c>
      <c r="BB122" s="113">
        <v>107100</v>
      </c>
      <c r="BC122" s="52" t="s">
        <v>3188</v>
      </c>
      <c r="BD122" s="52">
        <v>157537</v>
      </c>
      <c r="BE122" s="118"/>
      <c r="BF122" s="118"/>
      <c r="BG122" s="118"/>
      <c r="BH122" s="52"/>
      <c r="BI122" s="283"/>
      <c r="BJ122" s="52"/>
      <c r="BK122" s="52"/>
      <c r="BL122" s="52"/>
      <c r="BM122" s="52"/>
      <c r="BN122" s="52"/>
      <c r="BO122" s="52"/>
      <c r="BP122" s="52"/>
      <c r="BQ122" s="52"/>
      <c r="BR122" s="52"/>
      <c r="BS122" s="52"/>
      <c r="BT122" s="52"/>
      <c r="BU122" s="52"/>
      <c r="BV122" s="52"/>
      <c r="BW122" s="52"/>
      <c r="BX122" s="52"/>
      <c r="BY122" s="52"/>
      <c r="BZ122" s="52"/>
      <c r="CA122" s="52"/>
      <c r="CB122" s="52"/>
      <c r="CC122" s="52"/>
      <c r="CD122" s="118"/>
      <c r="CE122" s="52"/>
      <c r="CF122" s="52"/>
      <c r="CG122" s="52"/>
      <c r="CH122" s="52"/>
      <c r="CI122" s="52"/>
      <c r="CJ122" s="52"/>
      <c r="CK122" s="52"/>
      <c r="CL122" s="52"/>
      <c r="CM122" s="52"/>
      <c r="CN122" s="118"/>
      <c r="CO122" s="118"/>
      <c r="CP122" s="118"/>
      <c r="CQ122" s="52"/>
      <c r="CR122" s="52"/>
      <c r="CS122" s="52"/>
      <c r="CT122" s="52"/>
      <c r="CU122" s="52"/>
      <c r="CV122" s="52"/>
      <c r="CW122" s="52"/>
      <c r="CX122" s="52"/>
      <c r="CY122" s="52"/>
      <c r="CZ122" s="52"/>
      <c r="DA122" s="52"/>
      <c r="DB122" s="52"/>
    </row>
    <row r="123" spans="1:106" ht="27" x14ac:dyDescent="0.25">
      <c r="A123" s="411">
        <v>121</v>
      </c>
      <c r="B123" s="412" t="s">
        <v>3241</v>
      </c>
      <c r="C123" s="413" t="s">
        <v>3212</v>
      </c>
      <c r="D123" s="426" t="s">
        <v>445</v>
      </c>
      <c r="E123" s="80">
        <v>1</v>
      </c>
      <c r="F123" s="356">
        <v>110605.26400000001</v>
      </c>
      <c r="G123" s="293"/>
      <c r="H123" s="293"/>
      <c r="I123" s="293"/>
      <c r="J123" s="52"/>
      <c r="K123" s="52"/>
      <c r="L123" s="359"/>
      <c r="M123" s="360"/>
      <c r="N123" s="33"/>
      <c r="O123" s="33"/>
      <c r="P123" s="252"/>
      <c r="Q123" s="113"/>
      <c r="R123" s="113"/>
      <c r="S123" s="113"/>
      <c r="T123" s="52"/>
      <c r="U123" s="5"/>
      <c r="V123" s="231"/>
      <c r="W123" s="231"/>
      <c r="X123" s="231"/>
      <c r="Y123" s="113"/>
      <c r="Z123" s="357"/>
      <c r="AA123" s="118" t="s">
        <v>2877</v>
      </c>
      <c r="AB123" s="118"/>
      <c r="AC123" s="118"/>
      <c r="AD123" s="52"/>
      <c r="AE123" s="5"/>
      <c r="AF123" s="358"/>
      <c r="AG123" s="358"/>
      <c r="AH123" s="358"/>
      <c r="AI123" s="358"/>
      <c r="AJ123" s="358"/>
      <c r="AK123" s="113"/>
      <c r="AL123" s="113"/>
      <c r="AM123" s="113"/>
      <c r="AN123" s="113"/>
      <c r="AO123" s="113"/>
      <c r="AP123" s="52"/>
      <c r="AQ123" s="52"/>
      <c r="AR123" s="52"/>
      <c r="AS123" s="52"/>
      <c r="AT123" s="52"/>
      <c r="AU123" s="125"/>
      <c r="AV123" s="125"/>
      <c r="AW123" s="125"/>
      <c r="AX123" s="5"/>
      <c r="AY123" s="5"/>
      <c r="AZ123" s="113">
        <v>120000</v>
      </c>
      <c r="BA123" s="113">
        <v>22800</v>
      </c>
      <c r="BB123" s="113">
        <v>142800</v>
      </c>
      <c r="BC123" s="52" t="s">
        <v>3188</v>
      </c>
      <c r="BD123" s="52">
        <v>166121</v>
      </c>
      <c r="BE123" s="118"/>
      <c r="BF123" s="118"/>
      <c r="BG123" s="118"/>
      <c r="BH123" s="52"/>
      <c r="BI123" s="283"/>
      <c r="BJ123" s="52"/>
      <c r="BK123" s="52"/>
      <c r="BL123" s="52"/>
      <c r="BM123" s="52"/>
      <c r="BN123" s="52"/>
      <c r="BO123" s="52"/>
      <c r="BP123" s="52"/>
      <c r="BQ123" s="52"/>
      <c r="BR123" s="52"/>
      <c r="BS123" s="52"/>
      <c r="BT123" s="52"/>
      <c r="BU123" s="52"/>
      <c r="BV123" s="52"/>
      <c r="BW123" s="52"/>
      <c r="BX123" s="52"/>
      <c r="BY123" s="52"/>
      <c r="BZ123" s="52"/>
      <c r="CA123" s="52"/>
      <c r="CB123" s="52"/>
      <c r="CC123" s="52"/>
      <c r="CD123" s="118"/>
      <c r="CE123" s="52"/>
      <c r="CF123" s="52"/>
      <c r="CG123" s="52"/>
      <c r="CH123" s="52"/>
      <c r="CI123" s="52"/>
      <c r="CJ123" s="52"/>
      <c r="CK123" s="52"/>
      <c r="CL123" s="52"/>
      <c r="CM123" s="52"/>
      <c r="CN123" s="118"/>
      <c r="CO123" s="118"/>
      <c r="CP123" s="118"/>
      <c r="CQ123" s="52"/>
      <c r="CR123" s="52"/>
      <c r="CS123" s="52"/>
      <c r="CT123" s="52"/>
      <c r="CU123" s="52"/>
      <c r="CV123" s="52"/>
      <c r="CW123" s="52"/>
      <c r="CX123" s="52"/>
      <c r="CY123" s="52"/>
      <c r="CZ123" s="52"/>
      <c r="DA123" s="52"/>
      <c r="DB123" s="52"/>
    </row>
    <row r="124" spans="1:106" ht="54" x14ac:dyDescent="0.25">
      <c r="A124" s="411">
        <v>122</v>
      </c>
      <c r="B124" s="409" t="s">
        <v>3242</v>
      </c>
      <c r="C124" s="413" t="s">
        <v>3243</v>
      </c>
      <c r="D124" s="426" t="s">
        <v>445</v>
      </c>
      <c r="E124" s="80">
        <v>1</v>
      </c>
      <c r="F124" s="356">
        <v>3465627.7326000002</v>
      </c>
      <c r="G124" s="293"/>
      <c r="H124" s="293"/>
      <c r="I124" s="293"/>
      <c r="J124" s="52"/>
      <c r="K124" s="52"/>
      <c r="L124" s="359"/>
      <c r="M124" s="360"/>
      <c r="N124" s="33"/>
      <c r="O124" s="33"/>
      <c r="P124" s="252"/>
      <c r="Q124" s="113"/>
      <c r="R124" s="113"/>
      <c r="S124" s="113"/>
      <c r="T124" s="52"/>
      <c r="U124" s="5"/>
      <c r="V124" s="231"/>
      <c r="W124" s="231"/>
      <c r="X124" s="231"/>
      <c r="Y124" s="113"/>
      <c r="Z124" s="357"/>
      <c r="AA124" s="118" t="s">
        <v>2877</v>
      </c>
      <c r="AB124" s="118"/>
      <c r="AC124" s="118"/>
      <c r="AD124" s="52"/>
      <c r="AE124" s="5"/>
      <c r="AF124" s="358"/>
      <c r="AG124" s="358"/>
      <c r="AH124" s="358"/>
      <c r="AI124" s="358"/>
      <c r="AJ124" s="358"/>
      <c r="AK124" s="113"/>
      <c r="AL124" s="113"/>
      <c r="AM124" s="113"/>
      <c r="AN124" s="113"/>
      <c r="AO124" s="113"/>
      <c r="AP124" s="52"/>
      <c r="AQ124" s="52"/>
      <c r="AR124" s="52"/>
      <c r="AS124" s="52"/>
      <c r="AT124" s="52"/>
      <c r="AU124" s="125"/>
      <c r="AV124" s="125"/>
      <c r="AW124" s="125"/>
      <c r="AX124" s="5"/>
      <c r="AY124" s="5"/>
      <c r="AZ124" s="113"/>
      <c r="BA124" s="113"/>
      <c r="BB124" s="113"/>
      <c r="BC124" s="52"/>
      <c r="BD124" s="52"/>
      <c r="BE124" s="118"/>
      <c r="BF124" s="118"/>
      <c r="BG124" s="118"/>
      <c r="BH124" s="52"/>
      <c r="BI124" s="283"/>
      <c r="BJ124" s="52"/>
      <c r="BK124" s="52"/>
      <c r="BL124" s="52"/>
      <c r="BM124" s="52"/>
      <c r="BN124" s="52"/>
      <c r="BO124" s="293">
        <v>1700000</v>
      </c>
      <c r="BP124" s="118">
        <f>+BO124*0.19</f>
        <v>323000</v>
      </c>
      <c r="BQ124" s="118">
        <f>+BO124+BP124</f>
        <v>2023000</v>
      </c>
      <c r="BR124" s="52" t="s">
        <v>3244</v>
      </c>
      <c r="BS124" s="52" t="s">
        <v>3237</v>
      </c>
      <c r="BT124" s="52"/>
      <c r="BU124" s="52"/>
      <c r="BV124" s="52"/>
      <c r="BW124" s="52"/>
      <c r="BX124" s="52"/>
      <c r="BY124" s="118">
        <v>4425000</v>
      </c>
      <c r="BZ124" s="118">
        <f>+BY124*0.19</f>
        <v>840750</v>
      </c>
      <c r="CA124" s="118">
        <f>+BY124+BZ124</f>
        <v>5265750</v>
      </c>
      <c r="CB124" s="52" t="s">
        <v>3245</v>
      </c>
      <c r="CC124" s="52" t="s">
        <v>3246</v>
      </c>
      <c r="CD124" s="118"/>
      <c r="CE124" s="52"/>
      <c r="CF124" s="52"/>
      <c r="CG124" s="52"/>
      <c r="CH124" s="52"/>
      <c r="CI124" s="52"/>
      <c r="CJ124" s="52"/>
      <c r="CK124" s="52"/>
      <c r="CL124" s="52"/>
      <c r="CM124" s="52"/>
      <c r="CN124" s="118"/>
      <c r="CO124" s="118"/>
      <c r="CP124" s="118"/>
      <c r="CQ124" s="52"/>
      <c r="CR124" s="52"/>
      <c r="CS124" s="52"/>
      <c r="CT124" s="52"/>
      <c r="CU124" s="52"/>
      <c r="CV124" s="52"/>
      <c r="CW124" s="52"/>
      <c r="CX124" s="52"/>
      <c r="CY124" s="52"/>
      <c r="CZ124" s="52"/>
      <c r="DA124" s="52"/>
      <c r="DB124" s="52"/>
    </row>
    <row r="125" spans="1:106" ht="13.5" x14ac:dyDescent="0.25">
      <c r="A125" s="411">
        <v>123</v>
      </c>
      <c r="B125" s="412" t="s">
        <v>3247</v>
      </c>
      <c r="C125" s="413" t="s">
        <v>622</v>
      </c>
      <c r="D125" s="426" t="s">
        <v>445</v>
      </c>
      <c r="E125" s="80">
        <v>1</v>
      </c>
      <c r="F125" s="356">
        <v>1058623.9790000001</v>
      </c>
      <c r="G125" s="293"/>
      <c r="H125" s="293"/>
      <c r="I125" s="293"/>
      <c r="J125" s="52"/>
      <c r="K125" s="52"/>
      <c r="L125" s="359"/>
      <c r="M125" s="360"/>
      <c r="N125" s="33"/>
      <c r="O125" s="33"/>
      <c r="P125" s="252"/>
      <c r="Q125" s="113"/>
      <c r="R125" s="113"/>
      <c r="S125" s="113"/>
      <c r="T125" s="52"/>
      <c r="U125" s="5"/>
      <c r="V125" s="231"/>
      <c r="W125" s="231"/>
      <c r="X125" s="231"/>
      <c r="Y125" s="113"/>
      <c r="Z125" s="357"/>
      <c r="AA125" s="118" t="s">
        <v>2877</v>
      </c>
      <c r="AB125" s="118"/>
      <c r="AC125" s="118"/>
      <c r="AD125" s="52"/>
      <c r="AE125" s="5"/>
      <c r="AF125" s="358"/>
      <c r="AG125" s="358"/>
      <c r="AH125" s="358"/>
      <c r="AI125" s="358"/>
      <c r="AJ125" s="358"/>
      <c r="AK125" s="113"/>
      <c r="AL125" s="113"/>
      <c r="AM125" s="113"/>
      <c r="AN125" s="113"/>
      <c r="AO125" s="113"/>
      <c r="AP125" s="52"/>
      <c r="AQ125" s="52"/>
      <c r="AR125" s="52"/>
      <c r="AS125" s="52"/>
      <c r="AT125" s="52"/>
      <c r="AU125" s="125"/>
      <c r="AV125" s="125"/>
      <c r="AW125" s="125"/>
      <c r="AX125" s="5"/>
      <c r="AY125" s="5"/>
      <c r="AZ125" s="113">
        <v>600000</v>
      </c>
      <c r="BA125" s="113">
        <v>114000</v>
      </c>
      <c r="BB125" s="113">
        <v>714000</v>
      </c>
      <c r="BC125" s="52" t="s">
        <v>3248</v>
      </c>
      <c r="BD125" s="52" t="s">
        <v>3249</v>
      </c>
      <c r="BE125" s="118"/>
      <c r="BF125" s="118"/>
      <c r="BG125" s="118"/>
      <c r="BH125" s="52"/>
      <c r="BI125" s="283"/>
      <c r="BJ125" s="52"/>
      <c r="BK125" s="52"/>
      <c r="BL125" s="52"/>
      <c r="BM125" s="52"/>
      <c r="BN125" s="52"/>
      <c r="BO125" s="52"/>
      <c r="BP125" s="52"/>
      <c r="BQ125" s="52"/>
      <c r="BR125" s="52"/>
      <c r="BS125" s="52"/>
      <c r="BT125" s="52"/>
      <c r="BU125" s="52"/>
      <c r="BV125" s="52"/>
      <c r="BW125" s="52"/>
      <c r="BX125" s="52"/>
      <c r="BY125" s="52"/>
      <c r="BZ125" s="52"/>
      <c r="CA125" s="52"/>
      <c r="CB125" s="52"/>
      <c r="CC125" s="52"/>
      <c r="CD125" s="118"/>
      <c r="CE125" s="52"/>
      <c r="CF125" s="52"/>
      <c r="CG125" s="52"/>
      <c r="CH125" s="52"/>
      <c r="CI125" s="52"/>
      <c r="CJ125" s="52"/>
      <c r="CK125" s="52"/>
      <c r="CL125" s="52"/>
      <c r="CM125" s="52"/>
      <c r="CN125" s="118"/>
      <c r="CO125" s="118"/>
      <c r="CP125" s="118"/>
      <c r="CQ125" s="52"/>
      <c r="CR125" s="52"/>
      <c r="CS125" s="52"/>
      <c r="CT125" s="52"/>
      <c r="CU125" s="52"/>
      <c r="CV125" s="52"/>
      <c r="CW125" s="52"/>
      <c r="CX125" s="52"/>
      <c r="CY125" s="52"/>
      <c r="CZ125" s="52"/>
      <c r="DA125" s="52"/>
      <c r="DB125" s="52"/>
    </row>
    <row r="126" spans="1:106" ht="54" x14ac:dyDescent="0.25">
      <c r="A126" s="411">
        <v>124</v>
      </c>
      <c r="B126" s="412" t="s">
        <v>3250</v>
      </c>
      <c r="C126" s="413" t="s">
        <v>3251</v>
      </c>
      <c r="D126" s="426" t="s">
        <v>3252</v>
      </c>
      <c r="E126" s="80">
        <v>1</v>
      </c>
      <c r="F126" s="356">
        <v>240080.59720000002</v>
      </c>
      <c r="G126" s="293"/>
      <c r="H126" s="293"/>
      <c r="I126" s="293"/>
      <c r="J126" s="52"/>
      <c r="K126" s="52"/>
      <c r="L126" s="359"/>
      <c r="M126" s="360"/>
      <c r="N126" s="33"/>
      <c r="O126" s="33"/>
      <c r="P126" s="252"/>
      <c r="Q126" s="113"/>
      <c r="R126" s="113"/>
      <c r="S126" s="113"/>
      <c r="T126" s="52"/>
      <c r="U126" s="5"/>
      <c r="V126" s="231"/>
      <c r="W126" s="231"/>
      <c r="X126" s="231"/>
      <c r="Y126" s="113"/>
      <c r="Z126" s="357"/>
      <c r="AA126" s="118" t="s">
        <v>2877</v>
      </c>
      <c r="AB126" s="118"/>
      <c r="AC126" s="118"/>
      <c r="AD126" s="52"/>
      <c r="AE126" s="5"/>
      <c r="AF126" s="358"/>
      <c r="AG126" s="358"/>
      <c r="AH126" s="358"/>
      <c r="AI126" s="358"/>
      <c r="AJ126" s="358"/>
      <c r="AK126" s="113"/>
      <c r="AL126" s="113"/>
      <c r="AM126" s="113"/>
      <c r="AN126" s="113"/>
      <c r="AO126" s="113"/>
      <c r="AP126" s="52"/>
      <c r="AQ126" s="52"/>
      <c r="AR126" s="52"/>
      <c r="AS126" s="52"/>
      <c r="AT126" s="52"/>
      <c r="AU126" s="125"/>
      <c r="AV126" s="125"/>
      <c r="AW126" s="125"/>
      <c r="AX126" s="5"/>
      <c r="AY126" s="5"/>
      <c r="AZ126" s="113">
        <v>281000</v>
      </c>
      <c r="BA126" s="113">
        <v>53390</v>
      </c>
      <c r="BB126" s="113">
        <v>334390</v>
      </c>
      <c r="BC126" s="52" t="s">
        <v>3253</v>
      </c>
      <c r="BD126" s="52" t="s">
        <v>3254</v>
      </c>
      <c r="BE126" s="118"/>
      <c r="BF126" s="118"/>
      <c r="BG126" s="118"/>
      <c r="BH126" s="52"/>
      <c r="BI126" s="283"/>
      <c r="BJ126" s="52"/>
      <c r="BK126" s="52"/>
      <c r="BL126" s="52"/>
      <c r="BM126" s="52"/>
      <c r="BN126" s="52"/>
      <c r="BO126" s="52"/>
      <c r="BP126" s="52"/>
      <c r="BQ126" s="52"/>
      <c r="BR126" s="52"/>
      <c r="BS126" s="52"/>
      <c r="BT126" s="52"/>
      <c r="BU126" s="52"/>
      <c r="BV126" s="52"/>
      <c r="BW126" s="52"/>
      <c r="BX126" s="52"/>
      <c r="BY126" s="52"/>
      <c r="BZ126" s="52"/>
      <c r="CA126" s="52"/>
      <c r="CB126" s="52"/>
      <c r="CC126" s="52"/>
      <c r="CD126" s="118"/>
      <c r="CE126" s="52"/>
      <c r="CF126" s="52"/>
      <c r="CG126" s="52"/>
      <c r="CH126" s="52"/>
      <c r="CI126" s="52"/>
      <c r="CJ126" s="52"/>
      <c r="CK126" s="52"/>
      <c r="CL126" s="52"/>
      <c r="CM126" s="52"/>
      <c r="CN126" s="118"/>
      <c r="CO126" s="118"/>
      <c r="CP126" s="118"/>
      <c r="CQ126" s="52"/>
      <c r="CR126" s="52"/>
      <c r="CS126" s="52"/>
      <c r="CT126" s="52"/>
      <c r="CU126" s="52"/>
      <c r="CV126" s="52"/>
      <c r="CW126" s="52"/>
      <c r="CX126" s="52"/>
      <c r="CY126" s="52"/>
      <c r="CZ126" s="52"/>
      <c r="DA126" s="52"/>
      <c r="DB126" s="52"/>
    </row>
    <row r="127" spans="1:106" ht="54" x14ac:dyDescent="0.25">
      <c r="A127" s="411">
        <v>125</v>
      </c>
      <c r="B127" s="412" t="s">
        <v>3255</v>
      </c>
      <c r="C127" s="413" t="s">
        <v>3256</v>
      </c>
      <c r="D127" s="426" t="s">
        <v>3252</v>
      </c>
      <c r="E127" s="80">
        <v>1</v>
      </c>
      <c r="F127" s="356">
        <v>299825.60639999999</v>
      </c>
      <c r="G127" s="293"/>
      <c r="H127" s="293"/>
      <c r="I127" s="293"/>
      <c r="J127" s="52"/>
      <c r="K127" s="52"/>
      <c r="L127" s="359"/>
      <c r="M127" s="360"/>
      <c r="N127" s="33"/>
      <c r="O127" s="33"/>
      <c r="P127" s="252"/>
      <c r="Q127" s="113"/>
      <c r="R127" s="113"/>
      <c r="S127" s="113"/>
      <c r="T127" s="52"/>
      <c r="U127" s="5"/>
      <c r="V127" s="231"/>
      <c r="W127" s="231"/>
      <c r="X127" s="231"/>
      <c r="Y127" s="113"/>
      <c r="Z127" s="357"/>
      <c r="AA127" s="118" t="s">
        <v>2877</v>
      </c>
      <c r="AB127" s="118"/>
      <c r="AC127" s="118"/>
      <c r="AD127" s="52"/>
      <c r="AE127" s="5"/>
      <c r="AF127" s="358"/>
      <c r="AG127" s="358"/>
      <c r="AH127" s="358"/>
      <c r="AI127" s="358"/>
      <c r="AJ127" s="358"/>
      <c r="AK127" s="113"/>
      <c r="AL127" s="113"/>
      <c r="AM127" s="113"/>
      <c r="AN127" s="113"/>
      <c r="AO127" s="113"/>
      <c r="AP127" s="52"/>
      <c r="AQ127" s="52"/>
      <c r="AR127" s="52"/>
      <c r="AS127" s="52"/>
      <c r="AT127" s="52"/>
      <c r="AU127" s="125"/>
      <c r="AV127" s="125"/>
      <c r="AW127" s="125"/>
      <c r="AX127" s="5"/>
      <c r="AY127" s="5"/>
      <c r="AZ127" s="113">
        <v>239000</v>
      </c>
      <c r="BA127" s="113">
        <v>45410</v>
      </c>
      <c r="BB127" s="113">
        <v>284410</v>
      </c>
      <c r="BC127" s="52" t="s">
        <v>3253</v>
      </c>
      <c r="BD127" s="52" t="s">
        <v>3257</v>
      </c>
      <c r="BE127" s="118"/>
      <c r="BF127" s="118"/>
      <c r="BG127" s="118"/>
      <c r="BH127" s="52"/>
      <c r="BI127" s="283"/>
      <c r="BJ127" s="52"/>
      <c r="BK127" s="52"/>
      <c r="BL127" s="52"/>
      <c r="BM127" s="52"/>
      <c r="BN127" s="52"/>
      <c r="BO127" s="52"/>
      <c r="BP127" s="52"/>
      <c r="BQ127" s="52"/>
      <c r="BR127" s="52"/>
      <c r="BS127" s="52"/>
      <c r="BT127" s="52"/>
      <c r="BU127" s="52"/>
      <c r="BV127" s="52"/>
      <c r="BW127" s="52"/>
      <c r="BX127" s="52"/>
      <c r="BY127" s="52"/>
      <c r="BZ127" s="52"/>
      <c r="CA127" s="52"/>
      <c r="CB127" s="52"/>
      <c r="CC127" s="52"/>
      <c r="CD127" s="118"/>
      <c r="CE127" s="52"/>
      <c r="CF127" s="52"/>
      <c r="CG127" s="52"/>
      <c r="CH127" s="52"/>
      <c r="CI127" s="52"/>
      <c r="CJ127" s="52"/>
      <c r="CK127" s="52"/>
      <c r="CL127" s="52"/>
      <c r="CM127" s="52"/>
      <c r="CN127" s="118"/>
      <c r="CO127" s="118"/>
      <c r="CP127" s="118"/>
      <c r="CQ127" s="52"/>
      <c r="CR127" s="52"/>
      <c r="CS127" s="52"/>
      <c r="CT127" s="52"/>
      <c r="CU127" s="52"/>
      <c r="CV127" s="52"/>
      <c r="CW127" s="52"/>
      <c r="CX127" s="52"/>
      <c r="CY127" s="52"/>
      <c r="CZ127" s="52"/>
      <c r="DA127" s="52"/>
      <c r="DB127" s="52"/>
    </row>
    <row r="128" spans="1:106" ht="67.5" x14ac:dyDescent="0.25">
      <c r="A128" s="411">
        <v>126</v>
      </c>
      <c r="B128" s="412" t="s">
        <v>3258</v>
      </c>
      <c r="C128" s="426" t="s">
        <v>3259</v>
      </c>
      <c r="D128" s="426" t="s">
        <v>3252</v>
      </c>
      <c r="E128" s="80">
        <v>1</v>
      </c>
      <c r="F128" s="356">
        <v>327982.84220000001</v>
      </c>
      <c r="G128" s="293"/>
      <c r="H128" s="293"/>
      <c r="I128" s="293"/>
      <c r="J128" s="52"/>
      <c r="K128" s="52"/>
      <c r="L128" s="359"/>
      <c r="M128" s="360"/>
      <c r="N128" s="33"/>
      <c r="O128" s="33"/>
      <c r="P128" s="252"/>
      <c r="Q128" s="113"/>
      <c r="R128" s="113"/>
      <c r="S128" s="113"/>
      <c r="T128" s="52"/>
      <c r="U128" s="5"/>
      <c r="V128" s="231"/>
      <c r="W128" s="231"/>
      <c r="X128" s="231"/>
      <c r="Y128" s="113"/>
      <c r="Z128" s="357"/>
      <c r="AA128" s="118" t="s">
        <v>2877</v>
      </c>
      <c r="AB128" s="118"/>
      <c r="AC128" s="118"/>
      <c r="AD128" s="52"/>
      <c r="AE128" s="5"/>
      <c r="AF128" s="358"/>
      <c r="AG128" s="358"/>
      <c r="AH128" s="358"/>
      <c r="AI128" s="358"/>
      <c r="AJ128" s="358"/>
      <c r="AK128" s="113"/>
      <c r="AL128" s="113"/>
      <c r="AM128" s="113"/>
      <c r="AN128" s="113"/>
      <c r="AO128" s="113"/>
      <c r="AP128" s="52"/>
      <c r="AQ128" s="52"/>
      <c r="AR128" s="52"/>
      <c r="AS128" s="52"/>
      <c r="AT128" s="52"/>
      <c r="AU128" s="125"/>
      <c r="AV128" s="125"/>
      <c r="AW128" s="125"/>
      <c r="AX128" s="5"/>
      <c r="AY128" s="5"/>
      <c r="AZ128" s="113">
        <v>209000</v>
      </c>
      <c r="BA128" s="113">
        <v>39710</v>
      </c>
      <c r="BB128" s="113">
        <v>248710</v>
      </c>
      <c r="BC128" s="52" t="s">
        <v>3253</v>
      </c>
      <c r="BD128" s="52" t="s">
        <v>3260</v>
      </c>
      <c r="BE128" s="118"/>
      <c r="BF128" s="118"/>
      <c r="BG128" s="118"/>
      <c r="BH128" s="52"/>
      <c r="BI128" s="283"/>
      <c r="BJ128" s="52"/>
      <c r="BK128" s="52"/>
      <c r="BL128" s="52"/>
      <c r="BM128" s="52"/>
      <c r="BN128" s="52"/>
      <c r="BO128" s="52"/>
      <c r="BP128" s="52"/>
      <c r="BQ128" s="52"/>
      <c r="BR128" s="52"/>
      <c r="BS128" s="52"/>
      <c r="BT128" s="52"/>
      <c r="BU128" s="52"/>
      <c r="BV128" s="52"/>
      <c r="BW128" s="52"/>
      <c r="BX128" s="52"/>
      <c r="BY128" s="52"/>
      <c r="BZ128" s="52"/>
      <c r="CA128" s="52"/>
      <c r="CB128" s="52"/>
      <c r="CC128" s="52"/>
      <c r="CD128" s="118"/>
      <c r="CE128" s="52"/>
      <c r="CF128" s="52"/>
      <c r="CG128" s="52"/>
      <c r="CH128" s="52"/>
      <c r="CI128" s="52"/>
      <c r="CJ128" s="52"/>
      <c r="CK128" s="52"/>
      <c r="CL128" s="52"/>
      <c r="CM128" s="52"/>
      <c r="CN128" s="118"/>
      <c r="CO128" s="118"/>
      <c r="CP128" s="118"/>
      <c r="CQ128" s="52"/>
      <c r="CR128" s="52"/>
      <c r="CS128" s="52"/>
      <c r="CT128" s="52"/>
      <c r="CU128" s="52"/>
      <c r="CV128" s="52"/>
      <c r="CW128" s="52"/>
      <c r="CX128" s="52"/>
      <c r="CY128" s="52"/>
      <c r="CZ128" s="52"/>
      <c r="DA128" s="52"/>
      <c r="DB128" s="52"/>
    </row>
    <row r="129" spans="1:106" ht="27" x14ac:dyDescent="0.25">
      <c r="A129" s="411">
        <v>127</v>
      </c>
      <c r="B129" s="412" t="s">
        <v>3261</v>
      </c>
      <c r="C129" s="413" t="s">
        <v>3262</v>
      </c>
      <c r="D129" s="426" t="s">
        <v>2966</v>
      </c>
      <c r="E129" s="80">
        <v>1</v>
      </c>
      <c r="F129" s="356">
        <v>361980.864</v>
      </c>
      <c r="G129" s="293"/>
      <c r="H129" s="293"/>
      <c r="I129" s="293"/>
      <c r="J129" s="52"/>
      <c r="K129" s="52"/>
      <c r="L129" s="359"/>
      <c r="M129" s="360"/>
      <c r="N129" s="33"/>
      <c r="O129" s="33"/>
      <c r="P129" s="252"/>
      <c r="Q129" s="113"/>
      <c r="R129" s="113"/>
      <c r="S129" s="113"/>
      <c r="T129" s="52"/>
      <c r="U129" s="5"/>
      <c r="V129" s="231"/>
      <c r="W129" s="231"/>
      <c r="X129" s="231"/>
      <c r="Y129" s="113"/>
      <c r="Z129" s="357"/>
      <c r="AA129" s="118" t="s">
        <v>2877</v>
      </c>
      <c r="AB129" s="118"/>
      <c r="AC129" s="118"/>
      <c r="AD129" s="52"/>
      <c r="AE129" s="5"/>
      <c r="AF129" s="358"/>
      <c r="AG129" s="358"/>
      <c r="AH129" s="358"/>
      <c r="AI129" s="358"/>
      <c r="AJ129" s="358"/>
      <c r="AK129" s="113"/>
      <c r="AL129" s="113"/>
      <c r="AM129" s="113"/>
      <c r="AN129" s="113"/>
      <c r="AO129" s="113"/>
      <c r="AP129" s="52"/>
      <c r="AQ129" s="52"/>
      <c r="AR129" s="52"/>
      <c r="AS129" s="52"/>
      <c r="AT129" s="52"/>
      <c r="AU129" s="125"/>
      <c r="AV129" s="125"/>
      <c r="AW129" s="125"/>
      <c r="AX129" s="5"/>
      <c r="AY129" s="5"/>
      <c r="AZ129" s="113">
        <v>882000</v>
      </c>
      <c r="BA129" s="113">
        <v>167580</v>
      </c>
      <c r="BB129" s="113">
        <v>1049580</v>
      </c>
      <c r="BC129" s="52" t="s">
        <v>3263</v>
      </c>
      <c r="BD129" s="52" t="s">
        <v>3264</v>
      </c>
      <c r="BE129" s="118"/>
      <c r="BF129" s="118"/>
      <c r="BG129" s="118"/>
      <c r="BH129" s="52"/>
      <c r="BI129" s="283"/>
      <c r="BJ129" s="52"/>
      <c r="BK129" s="52"/>
      <c r="BL129" s="52"/>
      <c r="BM129" s="52"/>
      <c r="BN129" s="52"/>
      <c r="BO129" s="52"/>
      <c r="BP129" s="52"/>
      <c r="BQ129" s="52"/>
      <c r="BR129" s="52"/>
      <c r="BS129" s="52"/>
      <c r="BT129" s="52"/>
      <c r="BU129" s="52"/>
      <c r="BV129" s="52"/>
      <c r="BW129" s="52"/>
      <c r="BX129" s="52"/>
      <c r="BY129" s="52"/>
      <c r="BZ129" s="52"/>
      <c r="CA129" s="52"/>
      <c r="CB129" s="52"/>
      <c r="CC129" s="52"/>
      <c r="CD129" s="118"/>
      <c r="CE129" s="52"/>
      <c r="CF129" s="52"/>
      <c r="CG129" s="52"/>
      <c r="CH129" s="52"/>
      <c r="CI129" s="52"/>
      <c r="CJ129" s="52"/>
      <c r="CK129" s="52"/>
      <c r="CL129" s="52"/>
      <c r="CM129" s="52"/>
      <c r="CN129" s="118"/>
      <c r="CO129" s="118"/>
      <c r="CP129" s="118"/>
      <c r="CQ129" s="52"/>
      <c r="CR129" s="52"/>
      <c r="CS129" s="52"/>
      <c r="CT129" s="52"/>
      <c r="CU129" s="52"/>
      <c r="CV129" s="52"/>
      <c r="CW129" s="52"/>
      <c r="CX129" s="52"/>
      <c r="CY129" s="52"/>
      <c r="CZ129" s="52"/>
      <c r="DA129" s="52"/>
      <c r="DB129" s="52"/>
    </row>
    <row r="130" spans="1:106" ht="27" x14ac:dyDescent="0.25">
      <c r="A130" s="411">
        <v>128</v>
      </c>
      <c r="B130" s="412" t="s">
        <v>3265</v>
      </c>
      <c r="C130" s="564" t="s">
        <v>622</v>
      </c>
      <c r="D130" s="564" t="s">
        <v>445</v>
      </c>
      <c r="E130" s="80">
        <v>1</v>
      </c>
      <c r="F130" s="356">
        <v>37706.340000000004</v>
      </c>
      <c r="G130" s="293"/>
      <c r="H130" s="293"/>
      <c r="I130" s="293"/>
      <c r="J130" s="52"/>
      <c r="K130" s="52"/>
      <c r="L130" s="359"/>
      <c r="M130" s="360"/>
      <c r="N130" s="33"/>
      <c r="O130" s="33"/>
      <c r="P130" s="252"/>
      <c r="Q130" s="113"/>
      <c r="R130" s="113"/>
      <c r="S130" s="113"/>
      <c r="T130" s="52"/>
      <c r="U130" s="5"/>
      <c r="V130" s="231"/>
      <c r="W130" s="231"/>
      <c r="X130" s="231"/>
      <c r="Y130" s="113"/>
      <c r="Z130" s="357"/>
      <c r="AA130" s="118" t="s">
        <v>2877</v>
      </c>
      <c r="AB130" s="118"/>
      <c r="AC130" s="118"/>
      <c r="AD130" s="52"/>
      <c r="AE130" s="5"/>
      <c r="AF130" s="358"/>
      <c r="AG130" s="358"/>
      <c r="AH130" s="358"/>
      <c r="AI130" s="358"/>
      <c r="AJ130" s="358"/>
      <c r="AK130" s="113"/>
      <c r="AL130" s="113"/>
      <c r="AM130" s="113"/>
      <c r="AN130" s="113"/>
      <c r="AO130" s="113"/>
      <c r="AP130" s="52"/>
      <c r="AQ130" s="52"/>
      <c r="AR130" s="52"/>
      <c r="AS130" s="52"/>
      <c r="AT130" s="52"/>
      <c r="AU130" s="125"/>
      <c r="AV130" s="125"/>
      <c r="AW130" s="125"/>
      <c r="AX130" s="5"/>
      <c r="AY130" s="5"/>
      <c r="AZ130" s="113">
        <v>36000</v>
      </c>
      <c r="BA130" s="113">
        <v>6840</v>
      </c>
      <c r="BB130" s="113">
        <v>42840</v>
      </c>
      <c r="BC130" s="52" t="s">
        <v>2970</v>
      </c>
      <c r="BD130" s="52" t="s">
        <v>3266</v>
      </c>
      <c r="BE130" s="118"/>
      <c r="BF130" s="118"/>
      <c r="BG130" s="118"/>
      <c r="BH130" s="52"/>
      <c r="BI130" s="283"/>
      <c r="BJ130" s="52"/>
      <c r="BK130" s="52"/>
      <c r="BL130" s="52"/>
      <c r="BM130" s="52"/>
      <c r="BN130" s="52"/>
      <c r="BO130" s="52"/>
      <c r="BP130" s="52"/>
      <c r="BQ130" s="52"/>
      <c r="BR130" s="52"/>
      <c r="BS130" s="52"/>
      <c r="BT130" s="52"/>
      <c r="BU130" s="52"/>
      <c r="BV130" s="52"/>
      <c r="BW130" s="52"/>
      <c r="BX130" s="52"/>
      <c r="BY130" s="52"/>
      <c r="BZ130" s="52"/>
      <c r="CA130" s="52"/>
      <c r="CB130" s="52"/>
      <c r="CC130" s="52"/>
      <c r="CD130" s="118"/>
      <c r="CE130" s="52"/>
      <c r="CF130" s="52"/>
      <c r="CG130" s="52"/>
      <c r="CH130" s="52"/>
      <c r="CI130" s="52"/>
      <c r="CJ130" s="52"/>
      <c r="CK130" s="52"/>
      <c r="CL130" s="52"/>
      <c r="CM130" s="52"/>
      <c r="CN130" s="118"/>
      <c r="CO130" s="118"/>
      <c r="CP130" s="118"/>
      <c r="CQ130" s="52"/>
      <c r="CR130" s="52"/>
      <c r="CS130" s="52"/>
      <c r="CT130" s="52"/>
      <c r="CU130" s="52"/>
      <c r="CV130" s="52"/>
      <c r="CW130" s="52"/>
      <c r="CX130" s="52"/>
      <c r="CY130" s="52"/>
      <c r="CZ130" s="52"/>
      <c r="DA130" s="52"/>
      <c r="DB130" s="52"/>
    </row>
    <row r="131" spans="1:106" ht="27" x14ac:dyDescent="0.25">
      <c r="A131" s="411">
        <v>129</v>
      </c>
      <c r="B131" s="412" t="s">
        <v>3267</v>
      </c>
      <c r="C131" s="564" t="s">
        <v>622</v>
      </c>
      <c r="D131" s="564" t="s">
        <v>445</v>
      </c>
      <c r="E131" s="80">
        <v>1</v>
      </c>
      <c r="F131" s="356">
        <v>20738.487000000001</v>
      </c>
      <c r="G131" s="293"/>
      <c r="H131" s="293"/>
      <c r="I131" s="293"/>
      <c r="J131" s="52"/>
      <c r="K131" s="52"/>
      <c r="L131" s="359"/>
      <c r="M131" s="360"/>
      <c r="N131" s="33"/>
      <c r="O131" s="33"/>
      <c r="P131" s="252"/>
      <c r="Q131" s="113"/>
      <c r="R131" s="113"/>
      <c r="S131" s="113"/>
      <c r="T131" s="52"/>
      <c r="U131" s="5"/>
      <c r="V131" s="231"/>
      <c r="W131" s="231"/>
      <c r="X131" s="231"/>
      <c r="Y131" s="113"/>
      <c r="Z131" s="357"/>
      <c r="AA131" s="118" t="s">
        <v>2877</v>
      </c>
      <c r="AB131" s="118"/>
      <c r="AC131" s="118"/>
      <c r="AD131" s="52"/>
      <c r="AE131" s="5"/>
      <c r="AF131" s="358"/>
      <c r="AG131" s="358"/>
      <c r="AH131" s="358"/>
      <c r="AI131" s="358"/>
      <c r="AJ131" s="358"/>
      <c r="AK131" s="113"/>
      <c r="AL131" s="113"/>
      <c r="AM131" s="113"/>
      <c r="AN131" s="113"/>
      <c r="AO131" s="113"/>
      <c r="AP131" s="52"/>
      <c r="AQ131" s="52"/>
      <c r="AR131" s="52"/>
      <c r="AS131" s="52"/>
      <c r="AT131" s="52"/>
      <c r="AU131" s="125"/>
      <c r="AV131" s="125"/>
      <c r="AW131" s="125"/>
      <c r="AX131" s="5"/>
      <c r="AY131" s="5"/>
      <c r="AZ131" s="113">
        <v>20000</v>
      </c>
      <c r="BA131" s="113">
        <v>3800</v>
      </c>
      <c r="BB131" s="113">
        <v>23800</v>
      </c>
      <c r="BC131" s="52" t="s">
        <v>2970</v>
      </c>
      <c r="BD131" s="52" t="s">
        <v>3268</v>
      </c>
      <c r="BE131" s="118"/>
      <c r="BF131" s="118"/>
      <c r="BG131" s="118"/>
      <c r="BH131" s="52"/>
      <c r="BI131" s="283"/>
      <c r="BJ131" s="52"/>
      <c r="BK131" s="52"/>
      <c r="BL131" s="52"/>
      <c r="BM131" s="52"/>
      <c r="BN131" s="52"/>
      <c r="BO131" s="52"/>
      <c r="BP131" s="52"/>
      <c r="BQ131" s="52"/>
      <c r="BR131" s="52"/>
      <c r="BS131" s="52"/>
      <c r="BT131" s="52"/>
      <c r="BU131" s="52"/>
      <c r="BV131" s="52"/>
      <c r="BW131" s="52"/>
      <c r="BX131" s="52"/>
      <c r="BY131" s="52"/>
      <c r="BZ131" s="52"/>
      <c r="CA131" s="52"/>
      <c r="CB131" s="52"/>
      <c r="CC131" s="52"/>
      <c r="CD131" s="118"/>
      <c r="CE131" s="52"/>
      <c r="CF131" s="52"/>
      <c r="CG131" s="52"/>
      <c r="CH131" s="52"/>
      <c r="CI131" s="52"/>
      <c r="CJ131" s="52"/>
      <c r="CK131" s="52"/>
      <c r="CL131" s="52"/>
      <c r="CM131" s="52"/>
      <c r="CN131" s="118"/>
      <c r="CO131" s="118"/>
      <c r="CP131" s="118"/>
      <c r="CQ131" s="52"/>
      <c r="CR131" s="52"/>
      <c r="CS131" s="52"/>
      <c r="CT131" s="52"/>
      <c r="CU131" s="52"/>
      <c r="CV131" s="52"/>
      <c r="CW131" s="52"/>
      <c r="CX131" s="52"/>
      <c r="CY131" s="52"/>
      <c r="CZ131" s="52"/>
      <c r="DA131" s="52"/>
      <c r="DB131" s="52"/>
    </row>
    <row r="132" spans="1:106" ht="40.5" x14ac:dyDescent="0.25">
      <c r="A132" s="411">
        <v>130</v>
      </c>
      <c r="B132" s="412" t="s">
        <v>3269</v>
      </c>
      <c r="C132" s="564" t="s">
        <v>622</v>
      </c>
      <c r="D132" s="426" t="s">
        <v>445</v>
      </c>
      <c r="E132" s="80">
        <v>1</v>
      </c>
      <c r="F132" s="356">
        <v>25137.56</v>
      </c>
      <c r="G132" s="293"/>
      <c r="H132" s="293"/>
      <c r="I132" s="293"/>
      <c r="J132" s="52"/>
      <c r="K132" s="52"/>
      <c r="L132" s="359"/>
      <c r="M132" s="360"/>
      <c r="N132" s="33"/>
      <c r="O132" s="33"/>
      <c r="P132" s="252"/>
      <c r="Q132" s="113"/>
      <c r="R132" s="113"/>
      <c r="S132" s="113"/>
      <c r="T132" s="52"/>
      <c r="U132" s="5"/>
      <c r="V132" s="231"/>
      <c r="W132" s="231"/>
      <c r="X132" s="231"/>
      <c r="Y132" s="113"/>
      <c r="Z132" s="357"/>
      <c r="AA132" s="118" t="s">
        <v>2877</v>
      </c>
      <c r="AB132" s="118"/>
      <c r="AC132" s="118"/>
      <c r="AD132" s="52"/>
      <c r="AE132" s="5"/>
      <c r="AF132" s="358"/>
      <c r="AG132" s="358"/>
      <c r="AH132" s="358"/>
      <c r="AI132" s="358"/>
      <c r="AJ132" s="358"/>
      <c r="AK132" s="113"/>
      <c r="AL132" s="113"/>
      <c r="AM132" s="113"/>
      <c r="AN132" s="113"/>
      <c r="AO132" s="113"/>
      <c r="AP132" s="52"/>
      <c r="AQ132" s="52"/>
      <c r="AR132" s="52"/>
      <c r="AS132" s="52"/>
      <c r="AT132" s="52"/>
      <c r="AU132" s="125"/>
      <c r="AV132" s="125"/>
      <c r="AW132" s="125"/>
      <c r="AX132" s="5"/>
      <c r="AY132" s="5"/>
      <c r="AZ132" s="113">
        <v>24000</v>
      </c>
      <c r="BA132" s="113">
        <v>4560</v>
      </c>
      <c r="BB132" s="113">
        <v>28560</v>
      </c>
      <c r="BC132" s="52" t="s">
        <v>2970</v>
      </c>
      <c r="BD132" s="52" t="s">
        <v>3270</v>
      </c>
      <c r="BE132" s="118"/>
      <c r="BF132" s="118"/>
      <c r="BG132" s="118"/>
      <c r="BH132" s="52"/>
      <c r="BI132" s="283"/>
      <c r="BJ132" s="52"/>
      <c r="BK132" s="52"/>
      <c r="BL132" s="52"/>
      <c r="BM132" s="52"/>
      <c r="BN132" s="52"/>
      <c r="BO132" s="52"/>
      <c r="BP132" s="52"/>
      <c r="BQ132" s="52"/>
      <c r="BR132" s="52"/>
      <c r="BS132" s="52"/>
      <c r="BT132" s="52"/>
      <c r="BU132" s="52"/>
      <c r="BV132" s="52"/>
      <c r="BW132" s="52"/>
      <c r="BX132" s="52"/>
      <c r="BY132" s="52"/>
      <c r="BZ132" s="52"/>
      <c r="CA132" s="52"/>
      <c r="CB132" s="52"/>
      <c r="CC132" s="52"/>
      <c r="CD132" s="118"/>
      <c r="CE132" s="52"/>
      <c r="CF132" s="52"/>
      <c r="CG132" s="52"/>
      <c r="CH132" s="52"/>
      <c r="CI132" s="52"/>
      <c r="CJ132" s="52"/>
      <c r="CK132" s="52"/>
      <c r="CL132" s="52"/>
      <c r="CM132" s="52"/>
      <c r="CN132" s="118"/>
      <c r="CO132" s="118"/>
      <c r="CP132" s="118"/>
      <c r="CQ132" s="52"/>
      <c r="CR132" s="52"/>
      <c r="CS132" s="52"/>
      <c r="CT132" s="52"/>
      <c r="CU132" s="52"/>
      <c r="CV132" s="52"/>
      <c r="CW132" s="52"/>
      <c r="CX132" s="52"/>
      <c r="CY132" s="52"/>
      <c r="CZ132" s="52"/>
      <c r="DA132" s="52"/>
      <c r="DB132" s="52"/>
    </row>
    <row r="133" spans="1:106" ht="40.5" x14ac:dyDescent="0.25">
      <c r="A133" s="411">
        <v>131</v>
      </c>
      <c r="B133" s="412" t="s">
        <v>3271</v>
      </c>
      <c r="C133" s="564" t="s">
        <v>622</v>
      </c>
      <c r="D133" s="426" t="s">
        <v>445</v>
      </c>
      <c r="E133" s="80">
        <v>1</v>
      </c>
      <c r="F133" s="356">
        <v>16339.414000000001</v>
      </c>
      <c r="G133" s="293"/>
      <c r="H133" s="293"/>
      <c r="I133" s="293"/>
      <c r="J133" s="52"/>
      <c r="K133" s="52"/>
      <c r="L133" s="359"/>
      <c r="M133" s="360"/>
      <c r="N133" s="33"/>
      <c r="O133" s="33"/>
      <c r="P133" s="252"/>
      <c r="Q133" s="113"/>
      <c r="R133" s="113"/>
      <c r="S133" s="113"/>
      <c r="T133" s="52"/>
      <c r="U133" s="5"/>
      <c r="V133" s="231"/>
      <c r="W133" s="231"/>
      <c r="X133" s="231"/>
      <c r="Y133" s="113"/>
      <c r="Z133" s="357"/>
      <c r="AA133" s="118" t="s">
        <v>2877</v>
      </c>
      <c r="AB133" s="118"/>
      <c r="AC133" s="118"/>
      <c r="AD133" s="52"/>
      <c r="AE133" s="5"/>
      <c r="AF133" s="358"/>
      <c r="AG133" s="358"/>
      <c r="AH133" s="358"/>
      <c r="AI133" s="358"/>
      <c r="AJ133" s="358"/>
      <c r="AK133" s="113"/>
      <c r="AL133" s="113"/>
      <c r="AM133" s="113"/>
      <c r="AN133" s="113"/>
      <c r="AO133" s="113"/>
      <c r="AP133" s="52"/>
      <c r="AQ133" s="52"/>
      <c r="AR133" s="52"/>
      <c r="AS133" s="52"/>
      <c r="AT133" s="52"/>
      <c r="AU133" s="125"/>
      <c r="AV133" s="125"/>
      <c r="AW133" s="125"/>
      <c r="AX133" s="5"/>
      <c r="AY133" s="5"/>
      <c r="AZ133" s="113">
        <v>21000</v>
      </c>
      <c r="BA133" s="113">
        <v>3990</v>
      </c>
      <c r="BB133" s="113">
        <v>24990</v>
      </c>
      <c r="BC133" s="52" t="s">
        <v>2970</v>
      </c>
      <c r="BD133" s="52" t="s">
        <v>3272</v>
      </c>
      <c r="BE133" s="118"/>
      <c r="BF133" s="118"/>
      <c r="BG133" s="118"/>
      <c r="BH133" s="52"/>
      <c r="BI133" s="283"/>
      <c r="BJ133" s="52"/>
      <c r="BK133" s="52"/>
      <c r="BL133" s="52"/>
      <c r="BM133" s="52"/>
      <c r="BN133" s="52"/>
      <c r="BO133" s="52"/>
      <c r="BP133" s="52"/>
      <c r="BQ133" s="52"/>
      <c r="BR133" s="52"/>
      <c r="BS133" s="52"/>
      <c r="BT133" s="52"/>
      <c r="BU133" s="52"/>
      <c r="BV133" s="52"/>
      <c r="BW133" s="52"/>
      <c r="BX133" s="52"/>
      <c r="BY133" s="52"/>
      <c r="BZ133" s="52"/>
      <c r="CA133" s="52"/>
      <c r="CB133" s="52"/>
      <c r="CC133" s="52"/>
      <c r="CD133" s="118"/>
      <c r="CE133" s="52"/>
      <c r="CF133" s="52"/>
      <c r="CG133" s="52"/>
      <c r="CH133" s="52"/>
      <c r="CI133" s="52"/>
      <c r="CJ133" s="52"/>
      <c r="CK133" s="52"/>
      <c r="CL133" s="52"/>
      <c r="CM133" s="52"/>
      <c r="CN133" s="118"/>
      <c r="CO133" s="118"/>
      <c r="CP133" s="118"/>
      <c r="CQ133" s="52"/>
      <c r="CR133" s="52"/>
      <c r="CS133" s="52"/>
      <c r="CT133" s="52"/>
      <c r="CU133" s="52"/>
      <c r="CV133" s="52"/>
      <c r="CW133" s="52"/>
      <c r="CX133" s="52"/>
      <c r="CY133" s="52"/>
      <c r="CZ133" s="52"/>
      <c r="DA133" s="52"/>
      <c r="DB133" s="52"/>
    </row>
    <row r="134" spans="1:106" ht="40.5" x14ac:dyDescent="0.25">
      <c r="A134" s="411">
        <v>132</v>
      </c>
      <c r="B134" s="412" t="s">
        <v>3273</v>
      </c>
      <c r="C134" s="564" t="s">
        <v>622</v>
      </c>
      <c r="D134" s="426" t="s">
        <v>445</v>
      </c>
      <c r="E134" s="80">
        <v>1</v>
      </c>
      <c r="F134" s="356">
        <v>81697.070000000007</v>
      </c>
      <c r="G134" s="293"/>
      <c r="H134" s="293"/>
      <c r="I134" s="293"/>
      <c r="J134" s="52"/>
      <c r="K134" s="52"/>
      <c r="L134" s="359"/>
      <c r="M134" s="360"/>
      <c r="N134" s="33"/>
      <c r="O134" s="33"/>
      <c r="P134" s="252"/>
      <c r="Q134" s="113"/>
      <c r="R134" s="113"/>
      <c r="S134" s="113"/>
      <c r="T134" s="52"/>
      <c r="U134" s="5"/>
      <c r="V134" s="231"/>
      <c r="W134" s="231"/>
      <c r="X134" s="231"/>
      <c r="Y134" s="113"/>
      <c r="Z134" s="357"/>
      <c r="AA134" s="118" t="s">
        <v>2877</v>
      </c>
      <c r="AB134" s="118"/>
      <c r="AC134" s="118"/>
      <c r="AD134" s="52"/>
      <c r="AE134" s="5"/>
      <c r="AF134" s="358"/>
      <c r="AG134" s="358"/>
      <c r="AH134" s="358"/>
      <c r="AI134" s="358"/>
      <c r="AJ134" s="358"/>
      <c r="AK134" s="113"/>
      <c r="AL134" s="113"/>
      <c r="AM134" s="113"/>
      <c r="AN134" s="113"/>
      <c r="AO134" s="113"/>
      <c r="AP134" s="52"/>
      <c r="AQ134" s="52"/>
      <c r="AR134" s="52"/>
      <c r="AS134" s="52"/>
      <c r="AT134" s="52"/>
      <c r="AU134" s="125"/>
      <c r="AV134" s="125"/>
      <c r="AW134" s="125"/>
      <c r="AX134" s="5"/>
      <c r="AY134" s="5"/>
      <c r="AZ134" s="113">
        <v>80000</v>
      </c>
      <c r="BA134" s="113">
        <v>15200</v>
      </c>
      <c r="BB134" s="113">
        <v>95200</v>
      </c>
      <c r="BC134" s="52" t="s">
        <v>2970</v>
      </c>
      <c r="BD134" s="52" t="s">
        <v>3274</v>
      </c>
      <c r="BE134" s="118"/>
      <c r="BF134" s="118"/>
      <c r="BG134" s="118"/>
      <c r="BH134" s="52"/>
      <c r="BI134" s="283"/>
      <c r="BJ134" s="52"/>
      <c r="BK134" s="52"/>
      <c r="BL134" s="52"/>
      <c r="BM134" s="52"/>
      <c r="BN134" s="52"/>
      <c r="BO134" s="52"/>
      <c r="BP134" s="52"/>
      <c r="BQ134" s="52"/>
      <c r="BR134" s="52"/>
      <c r="BS134" s="52"/>
      <c r="BT134" s="52"/>
      <c r="BU134" s="52"/>
      <c r="BV134" s="52"/>
      <c r="BW134" s="52"/>
      <c r="BX134" s="52"/>
      <c r="BY134" s="52"/>
      <c r="BZ134" s="52"/>
      <c r="CA134" s="52"/>
      <c r="CB134" s="52"/>
      <c r="CC134" s="52"/>
      <c r="CD134" s="118"/>
      <c r="CE134" s="52"/>
      <c r="CF134" s="52"/>
      <c r="CG134" s="52"/>
      <c r="CH134" s="52"/>
      <c r="CI134" s="52"/>
      <c r="CJ134" s="52"/>
      <c r="CK134" s="52"/>
      <c r="CL134" s="52"/>
      <c r="CM134" s="52"/>
      <c r="CN134" s="118"/>
      <c r="CO134" s="118"/>
      <c r="CP134" s="118"/>
      <c r="CQ134" s="52"/>
      <c r="CR134" s="52"/>
      <c r="CS134" s="52"/>
      <c r="CT134" s="52"/>
      <c r="CU134" s="52"/>
      <c r="CV134" s="52"/>
      <c r="CW134" s="52"/>
      <c r="CX134" s="52"/>
      <c r="CY134" s="52"/>
      <c r="CZ134" s="52"/>
      <c r="DA134" s="52"/>
      <c r="DB134" s="52"/>
    </row>
    <row r="135" spans="1:106" ht="40.5" x14ac:dyDescent="0.25">
      <c r="A135" s="411">
        <v>133</v>
      </c>
      <c r="B135" s="412" t="s">
        <v>3275</v>
      </c>
      <c r="C135" s="564" t="s">
        <v>622</v>
      </c>
      <c r="D135" s="426" t="s">
        <v>445</v>
      </c>
      <c r="E135" s="80">
        <v>1</v>
      </c>
      <c r="F135" s="356">
        <v>157109.75</v>
      </c>
      <c r="G135" s="293"/>
      <c r="H135" s="293"/>
      <c r="I135" s="293"/>
      <c r="J135" s="52"/>
      <c r="K135" s="52"/>
      <c r="L135" s="359"/>
      <c r="M135" s="360"/>
      <c r="N135" s="33"/>
      <c r="O135" s="33"/>
      <c r="P135" s="252"/>
      <c r="Q135" s="113"/>
      <c r="R135" s="113"/>
      <c r="S135" s="113"/>
      <c r="T135" s="52"/>
      <c r="U135" s="5"/>
      <c r="V135" s="231"/>
      <c r="W135" s="231"/>
      <c r="X135" s="231"/>
      <c r="Y135" s="113"/>
      <c r="Z135" s="357"/>
      <c r="AA135" s="118" t="s">
        <v>2877</v>
      </c>
      <c r="AB135" s="118"/>
      <c r="AC135" s="118"/>
      <c r="AD135" s="52"/>
      <c r="AE135" s="5"/>
      <c r="AF135" s="358"/>
      <c r="AG135" s="358"/>
      <c r="AH135" s="358"/>
      <c r="AI135" s="358"/>
      <c r="AJ135" s="358"/>
      <c r="AK135" s="113"/>
      <c r="AL135" s="113"/>
      <c r="AM135" s="113"/>
      <c r="AN135" s="113"/>
      <c r="AO135" s="113"/>
      <c r="AP135" s="52"/>
      <c r="AQ135" s="52"/>
      <c r="AR135" s="52"/>
      <c r="AS135" s="52"/>
      <c r="AT135" s="52"/>
      <c r="AU135" s="125"/>
      <c r="AV135" s="125"/>
      <c r="AW135" s="125"/>
      <c r="AX135" s="5"/>
      <c r="AY135" s="5"/>
      <c r="AZ135" s="113">
        <v>160000</v>
      </c>
      <c r="BA135" s="113">
        <v>30400</v>
      </c>
      <c r="BB135" s="113">
        <v>190400</v>
      </c>
      <c r="BC135" s="52" t="s">
        <v>2970</v>
      </c>
      <c r="BD135" s="52" t="s">
        <v>3276</v>
      </c>
      <c r="BE135" s="118"/>
      <c r="BF135" s="118"/>
      <c r="BG135" s="118"/>
      <c r="BH135" s="52"/>
      <c r="BI135" s="283"/>
      <c r="BJ135" s="52"/>
      <c r="BK135" s="52"/>
      <c r="BL135" s="52"/>
      <c r="BM135" s="52"/>
      <c r="BN135" s="52"/>
      <c r="BO135" s="52"/>
      <c r="BP135" s="52"/>
      <c r="BQ135" s="52"/>
      <c r="BR135" s="52"/>
      <c r="BS135" s="52"/>
      <c r="BT135" s="52"/>
      <c r="BU135" s="52"/>
      <c r="BV135" s="52"/>
      <c r="BW135" s="52"/>
      <c r="BX135" s="52"/>
      <c r="BY135" s="52"/>
      <c r="BZ135" s="52"/>
      <c r="CA135" s="52"/>
      <c r="CB135" s="52"/>
      <c r="CC135" s="52"/>
      <c r="CD135" s="118"/>
      <c r="CE135" s="52"/>
      <c r="CF135" s="52"/>
      <c r="CG135" s="52"/>
      <c r="CH135" s="52"/>
      <c r="CI135" s="52"/>
      <c r="CJ135" s="52"/>
      <c r="CK135" s="52"/>
      <c r="CL135" s="52"/>
      <c r="CM135" s="52"/>
      <c r="CN135" s="118"/>
      <c r="CO135" s="118"/>
      <c r="CP135" s="118"/>
      <c r="CQ135" s="52"/>
      <c r="CR135" s="52"/>
      <c r="CS135" s="52"/>
      <c r="CT135" s="52"/>
      <c r="CU135" s="52"/>
      <c r="CV135" s="52"/>
      <c r="CW135" s="52"/>
      <c r="CX135" s="52"/>
      <c r="CY135" s="52"/>
      <c r="CZ135" s="52"/>
      <c r="DA135" s="52"/>
      <c r="DB135" s="52"/>
    </row>
    <row r="136" spans="1:106" ht="63.75" x14ac:dyDescent="0.25">
      <c r="A136" s="411">
        <v>134</v>
      </c>
      <c r="B136" s="412" t="s">
        <v>3277</v>
      </c>
      <c r="C136" s="564" t="s">
        <v>622</v>
      </c>
      <c r="D136" s="426" t="s">
        <v>445</v>
      </c>
      <c r="E136" s="80">
        <v>1</v>
      </c>
      <c r="F136" s="355">
        <v>369667.88760000002</v>
      </c>
      <c r="G136" s="293"/>
      <c r="H136" s="293"/>
      <c r="I136" s="293"/>
      <c r="J136" s="52"/>
      <c r="K136" s="52"/>
      <c r="L136" s="359">
        <v>736240</v>
      </c>
      <c r="M136" s="360">
        <v>139885.6</v>
      </c>
      <c r="N136" s="361">
        <v>876125.6</v>
      </c>
      <c r="O136" s="33" t="s">
        <v>3278</v>
      </c>
      <c r="P136" s="252" t="s">
        <v>3279</v>
      </c>
      <c r="Q136" s="113">
        <v>607000</v>
      </c>
      <c r="R136" s="113">
        <v>115330</v>
      </c>
      <c r="S136" s="113">
        <v>722330</v>
      </c>
      <c r="T136" s="52" t="s">
        <v>3280</v>
      </c>
      <c r="U136" s="5" t="s">
        <v>3281</v>
      </c>
      <c r="V136" s="231"/>
      <c r="W136" s="231"/>
      <c r="X136" s="231"/>
      <c r="Y136" s="113"/>
      <c r="Z136" s="357"/>
      <c r="AA136" s="118" t="s">
        <v>2877</v>
      </c>
      <c r="AB136" s="118"/>
      <c r="AC136" s="118"/>
      <c r="AD136" s="52"/>
      <c r="AE136" s="5"/>
      <c r="AF136" s="358"/>
      <c r="AG136" s="358"/>
      <c r="AH136" s="358"/>
      <c r="AI136" s="358"/>
      <c r="AJ136" s="358"/>
      <c r="AK136" s="113"/>
      <c r="AL136" s="113"/>
      <c r="AM136" s="113"/>
      <c r="AN136" s="113"/>
      <c r="AO136" s="113"/>
      <c r="AP136" s="52"/>
      <c r="AQ136" s="52"/>
      <c r="AR136" s="52"/>
      <c r="AS136" s="52"/>
      <c r="AT136" s="52"/>
      <c r="AU136" s="125"/>
      <c r="AV136" s="125"/>
      <c r="AW136" s="125"/>
      <c r="AX136" s="5"/>
      <c r="AY136" s="5"/>
      <c r="AZ136" s="113"/>
      <c r="BA136" s="113"/>
      <c r="BB136" s="113"/>
      <c r="BC136" s="52"/>
      <c r="BD136" s="52"/>
      <c r="BE136" s="118"/>
      <c r="BF136" s="118"/>
      <c r="BG136" s="118"/>
      <c r="BH136" s="52"/>
      <c r="BI136" s="283"/>
      <c r="BJ136" s="52"/>
      <c r="BK136" s="52"/>
      <c r="BL136" s="52"/>
      <c r="BM136" s="52"/>
      <c r="BN136" s="52"/>
      <c r="BO136" s="52"/>
      <c r="BP136" s="52"/>
      <c r="BQ136" s="52"/>
      <c r="BR136" s="52"/>
      <c r="BS136" s="52"/>
      <c r="BT136" s="52"/>
      <c r="BU136" s="52"/>
      <c r="BV136" s="52"/>
      <c r="BW136" s="52"/>
      <c r="BX136" s="52"/>
      <c r="BY136" s="52"/>
      <c r="BZ136" s="52"/>
      <c r="CA136" s="52"/>
      <c r="CB136" s="52"/>
      <c r="CC136" s="52"/>
      <c r="CD136" s="118"/>
      <c r="CE136" s="52"/>
      <c r="CF136" s="52"/>
      <c r="CG136" s="52"/>
      <c r="CH136" s="52"/>
      <c r="CI136" s="52"/>
      <c r="CJ136" s="52"/>
      <c r="CK136" s="52"/>
      <c r="CL136" s="52"/>
      <c r="CM136" s="52"/>
      <c r="CN136" s="118"/>
      <c r="CO136" s="118"/>
      <c r="CP136" s="118"/>
      <c r="CQ136" s="52"/>
      <c r="CR136" s="52"/>
      <c r="CS136" s="52"/>
      <c r="CT136" s="52"/>
      <c r="CU136" s="52"/>
      <c r="CV136" s="52"/>
      <c r="CW136" s="52"/>
      <c r="CX136" s="52"/>
      <c r="CY136" s="52"/>
      <c r="CZ136" s="52"/>
      <c r="DA136" s="52"/>
      <c r="DB136" s="52"/>
    </row>
    <row r="137" spans="1:106" ht="13.5" x14ac:dyDescent="0.25">
      <c r="A137" s="411">
        <v>135</v>
      </c>
      <c r="B137" s="412" t="s">
        <v>3282</v>
      </c>
      <c r="C137" s="564" t="s">
        <v>622</v>
      </c>
      <c r="D137" s="426" t="s">
        <v>445</v>
      </c>
      <c r="E137" s="80">
        <v>1</v>
      </c>
      <c r="F137" s="356">
        <v>16339.414000000001</v>
      </c>
      <c r="G137" s="293"/>
      <c r="H137" s="293"/>
      <c r="I137" s="293"/>
      <c r="J137" s="52"/>
      <c r="K137" s="52"/>
      <c r="L137" s="359"/>
      <c r="M137" s="360"/>
      <c r="N137" s="361"/>
      <c r="O137" s="33"/>
      <c r="P137" s="252"/>
      <c r="Q137" s="113"/>
      <c r="R137" s="113"/>
      <c r="S137" s="113"/>
      <c r="T137" s="52"/>
      <c r="U137" s="5"/>
      <c r="V137" s="231"/>
      <c r="W137" s="231"/>
      <c r="X137" s="231"/>
      <c r="Y137" s="113"/>
      <c r="Z137" s="357"/>
      <c r="AA137" s="118" t="s">
        <v>2877</v>
      </c>
      <c r="AB137" s="118"/>
      <c r="AC137" s="118"/>
      <c r="AD137" s="52"/>
      <c r="AE137" s="5"/>
      <c r="AF137" s="358"/>
      <c r="AG137" s="358"/>
      <c r="AH137" s="358"/>
      <c r="AI137" s="358"/>
      <c r="AJ137" s="358"/>
      <c r="AK137" s="113"/>
      <c r="AL137" s="113"/>
      <c r="AM137" s="113"/>
      <c r="AN137" s="113"/>
      <c r="AO137" s="113"/>
      <c r="AP137" s="52"/>
      <c r="AQ137" s="52"/>
      <c r="AR137" s="52"/>
      <c r="AS137" s="52"/>
      <c r="AT137" s="52"/>
      <c r="AU137" s="125"/>
      <c r="AV137" s="125"/>
      <c r="AW137" s="125"/>
      <c r="AX137" s="5"/>
      <c r="AY137" s="5"/>
      <c r="AZ137" s="113">
        <v>68000</v>
      </c>
      <c r="BA137" s="113">
        <v>47500</v>
      </c>
      <c r="BB137" s="113">
        <v>297500</v>
      </c>
      <c r="BC137" s="52" t="s">
        <v>338</v>
      </c>
      <c r="BD137" s="52" t="s">
        <v>3283</v>
      </c>
      <c r="BE137" s="118"/>
      <c r="BF137" s="118"/>
      <c r="BG137" s="118"/>
      <c r="BH137" s="52"/>
      <c r="BI137" s="283"/>
      <c r="BJ137" s="52"/>
      <c r="BK137" s="52"/>
      <c r="BL137" s="52"/>
      <c r="BM137" s="52"/>
      <c r="BN137" s="52"/>
      <c r="BO137" s="52"/>
      <c r="BP137" s="52"/>
      <c r="BQ137" s="52"/>
      <c r="BR137" s="52"/>
      <c r="BS137" s="52"/>
      <c r="BT137" s="52"/>
      <c r="BU137" s="52"/>
      <c r="BV137" s="52"/>
      <c r="BW137" s="52"/>
      <c r="BX137" s="52"/>
      <c r="BY137" s="52"/>
      <c r="BZ137" s="52"/>
      <c r="CA137" s="52"/>
      <c r="CB137" s="52"/>
      <c r="CC137" s="52"/>
      <c r="CD137" s="118"/>
      <c r="CE137" s="52"/>
      <c r="CF137" s="52"/>
      <c r="CG137" s="52"/>
      <c r="CH137" s="52"/>
      <c r="CI137" s="52"/>
      <c r="CJ137" s="52"/>
      <c r="CK137" s="52"/>
      <c r="CL137" s="52"/>
      <c r="CM137" s="52"/>
      <c r="CN137" s="118"/>
      <c r="CO137" s="118"/>
      <c r="CP137" s="118"/>
      <c r="CQ137" s="52"/>
      <c r="CR137" s="52"/>
      <c r="CS137" s="52"/>
      <c r="CT137" s="52"/>
      <c r="CU137" s="52"/>
      <c r="CV137" s="52"/>
      <c r="CW137" s="52"/>
      <c r="CX137" s="52"/>
      <c r="CY137" s="52"/>
      <c r="CZ137" s="52"/>
      <c r="DA137" s="52"/>
      <c r="DB137" s="52"/>
    </row>
    <row r="138" spans="1:106" ht="27" x14ac:dyDescent="0.25">
      <c r="A138" s="411">
        <v>136</v>
      </c>
      <c r="B138" s="412" t="s">
        <v>3284</v>
      </c>
      <c r="C138" s="413" t="s">
        <v>3285</v>
      </c>
      <c r="D138" s="426" t="s">
        <v>3209</v>
      </c>
      <c r="E138" s="80">
        <v>1</v>
      </c>
      <c r="F138" s="356">
        <v>111862.14200000001</v>
      </c>
      <c r="G138" s="293"/>
      <c r="H138" s="293"/>
      <c r="I138" s="293"/>
      <c r="J138" s="52"/>
      <c r="K138" s="52"/>
      <c r="L138" s="359"/>
      <c r="M138" s="360"/>
      <c r="N138" s="361"/>
      <c r="O138" s="33"/>
      <c r="P138" s="252"/>
      <c r="Q138" s="113"/>
      <c r="R138" s="113"/>
      <c r="S138" s="113"/>
      <c r="T138" s="52"/>
      <c r="U138" s="5"/>
      <c r="V138" s="231"/>
      <c r="W138" s="231"/>
      <c r="X138" s="231"/>
      <c r="Y138" s="113"/>
      <c r="Z138" s="357"/>
      <c r="AA138" s="118" t="s">
        <v>2877</v>
      </c>
      <c r="AB138" s="118"/>
      <c r="AC138" s="118"/>
      <c r="AD138" s="52"/>
      <c r="AE138" s="5"/>
      <c r="AF138" s="358"/>
      <c r="AG138" s="358"/>
      <c r="AH138" s="358"/>
      <c r="AI138" s="358"/>
      <c r="AJ138" s="358"/>
      <c r="AK138" s="113"/>
      <c r="AL138" s="113"/>
      <c r="AM138" s="113"/>
      <c r="AN138" s="113"/>
      <c r="AO138" s="113"/>
      <c r="AP138" s="52"/>
      <c r="AQ138" s="52"/>
      <c r="AR138" s="52"/>
      <c r="AS138" s="52"/>
      <c r="AT138" s="52"/>
      <c r="AU138" s="125"/>
      <c r="AV138" s="125"/>
      <c r="AW138" s="125"/>
      <c r="AX138" s="5"/>
      <c r="AY138" s="5"/>
      <c r="AZ138" s="113">
        <v>57000</v>
      </c>
      <c r="BA138" s="113">
        <v>10830</v>
      </c>
      <c r="BB138" s="113">
        <v>67830</v>
      </c>
      <c r="BC138" s="52" t="s">
        <v>3286</v>
      </c>
      <c r="BD138" s="52" t="s">
        <v>3287</v>
      </c>
      <c r="BE138" s="118"/>
      <c r="BF138" s="118"/>
      <c r="BG138" s="118"/>
      <c r="BH138" s="52"/>
      <c r="BI138" s="283"/>
      <c r="BJ138" s="52"/>
      <c r="BK138" s="52"/>
      <c r="BL138" s="52"/>
      <c r="BM138" s="52"/>
      <c r="BN138" s="52"/>
      <c r="BO138" s="52"/>
      <c r="BP138" s="52"/>
      <c r="BQ138" s="52"/>
      <c r="BR138" s="52"/>
      <c r="BS138" s="52"/>
      <c r="BT138" s="52"/>
      <c r="BU138" s="52"/>
      <c r="BV138" s="52"/>
      <c r="BW138" s="52"/>
      <c r="BX138" s="52"/>
      <c r="BY138" s="52"/>
      <c r="BZ138" s="52"/>
      <c r="CA138" s="52"/>
      <c r="CB138" s="52"/>
      <c r="CC138" s="52"/>
      <c r="CD138" s="118"/>
      <c r="CE138" s="52"/>
      <c r="CF138" s="52"/>
      <c r="CG138" s="52"/>
      <c r="CH138" s="52"/>
      <c r="CI138" s="52"/>
      <c r="CJ138" s="52"/>
      <c r="CK138" s="52"/>
      <c r="CL138" s="52"/>
      <c r="CM138" s="52"/>
      <c r="CN138" s="118"/>
      <c r="CO138" s="118"/>
      <c r="CP138" s="118"/>
      <c r="CQ138" s="52"/>
      <c r="CR138" s="52"/>
      <c r="CS138" s="52"/>
      <c r="CT138" s="52"/>
      <c r="CU138" s="52"/>
      <c r="CV138" s="52"/>
      <c r="CW138" s="52"/>
      <c r="CX138" s="52"/>
      <c r="CY138" s="52"/>
      <c r="CZ138" s="52"/>
      <c r="DA138" s="52"/>
      <c r="DB138" s="52"/>
    </row>
    <row r="139" spans="1:106" ht="40.5" x14ac:dyDescent="0.25">
      <c r="A139" s="411">
        <v>137</v>
      </c>
      <c r="B139" s="409" t="s">
        <v>3288</v>
      </c>
      <c r="C139" s="413" t="s">
        <v>3289</v>
      </c>
      <c r="D139" s="409" t="s">
        <v>2891</v>
      </c>
      <c r="E139" s="80">
        <v>1</v>
      </c>
      <c r="F139" s="356">
        <v>82527.243199999997</v>
      </c>
      <c r="G139" s="293"/>
      <c r="H139" s="293"/>
      <c r="I139" s="293"/>
      <c r="J139" s="52"/>
      <c r="K139" s="52"/>
      <c r="L139" s="359"/>
      <c r="M139" s="360"/>
      <c r="N139" s="361"/>
      <c r="O139" s="33"/>
      <c r="P139" s="252"/>
      <c r="Q139" s="113"/>
      <c r="R139" s="113"/>
      <c r="S139" s="113"/>
      <c r="T139" s="52"/>
      <c r="U139" s="5"/>
      <c r="V139" s="231"/>
      <c r="W139" s="231"/>
      <c r="X139" s="231"/>
      <c r="Y139" s="113"/>
      <c r="Z139" s="357"/>
      <c r="AA139" s="118" t="s">
        <v>2877</v>
      </c>
      <c r="AB139" s="118"/>
      <c r="AC139" s="118"/>
      <c r="AD139" s="52"/>
      <c r="AE139" s="5"/>
      <c r="AF139" s="358"/>
      <c r="AG139" s="358"/>
      <c r="AH139" s="358"/>
      <c r="AI139" s="358"/>
      <c r="AJ139" s="358"/>
      <c r="AK139" s="113"/>
      <c r="AL139" s="113"/>
      <c r="AM139" s="113"/>
      <c r="AN139" s="113"/>
      <c r="AO139" s="113"/>
      <c r="AP139" s="52"/>
      <c r="AQ139" s="52"/>
      <c r="AR139" s="52"/>
      <c r="AS139" s="52"/>
      <c r="AT139" s="52"/>
      <c r="AU139" s="125"/>
      <c r="AV139" s="125"/>
      <c r="AW139" s="125"/>
      <c r="AX139" s="5"/>
      <c r="AY139" s="5"/>
      <c r="AZ139" s="113">
        <v>5000</v>
      </c>
      <c r="BA139" s="113">
        <f t="shared" ref="BA139" si="12">AZ139*19%</f>
        <v>950</v>
      </c>
      <c r="BB139" s="113">
        <f t="shared" ref="BB139" si="13">AZ139+BA139</f>
        <v>5950</v>
      </c>
      <c r="BC139" s="52" t="s">
        <v>338</v>
      </c>
      <c r="BD139" s="52" t="s">
        <v>3290</v>
      </c>
      <c r="BE139" s="118"/>
      <c r="BF139" s="118"/>
      <c r="BG139" s="118"/>
      <c r="BH139" s="52"/>
      <c r="BI139" s="283"/>
      <c r="BJ139" s="52"/>
      <c r="BK139" s="52"/>
      <c r="BL139" s="52"/>
      <c r="BM139" s="52"/>
      <c r="BN139" s="52"/>
      <c r="BO139" s="52"/>
      <c r="BP139" s="52"/>
      <c r="BQ139" s="52"/>
      <c r="BR139" s="52"/>
      <c r="BS139" s="52"/>
      <c r="BT139" s="52"/>
      <c r="BU139" s="52"/>
      <c r="BV139" s="52"/>
      <c r="BW139" s="52"/>
      <c r="BX139" s="52"/>
      <c r="BY139" s="52"/>
      <c r="BZ139" s="52"/>
      <c r="CA139" s="52"/>
      <c r="CB139" s="52"/>
      <c r="CC139" s="52"/>
      <c r="CD139" s="118"/>
      <c r="CE139" s="52"/>
      <c r="CF139" s="52"/>
      <c r="CG139" s="52"/>
      <c r="CH139" s="52"/>
      <c r="CI139" s="52"/>
      <c r="CJ139" s="52"/>
      <c r="CK139" s="52"/>
      <c r="CL139" s="52"/>
      <c r="CM139" s="52"/>
      <c r="CN139" s="118"/>
      <c r="CO139" s="118"/>
      <c r="CP139" s="118"/>
      <c r="CQ139" s="52"/>
      <c r="CR139" s="52"/>
      <c r="CS139" s="52"/>
      <c r="CT139" s="52"/>
      <c r="CU139" s="52"/>
      <c r="CV139" s="52"/>
      <c r="CW139" s="52"/>
      <c r="CX139" s="52"/>
      <c r="CY139" s="52"/>
      <c r="CZ139" s="52"/>
      <c r="DA139" s="52"/>
      <c r="DB139" s="52"/>
    </row>
    <row r="140" spans="1:106" ht="27" x14ac:dyDescent="0.25">
      <c r="A140" s="411">
        <v>138</v>
      </c>
      <c r="B140" s="413" t="s">
        <v>3291</v>
      </c>
      <c r="C140" s="564" t="s">
        <v>3292</v>
      </c>
      <c r="D140" s="426" t="s">
        <v>445</v>
      </c>
      <c r="E140" s="80">
        <v>1</v>
      </c>
      <c r="F140" s="356">
        <v>5278.8876</v>
      </c>
      <c r="G140" s="293"/>
      <c r="H140" s="293"/>
      <c r="I140" s="293"/>
      <c r="J140" s="52"/>
      <c r="K140" s="52"/>
      <c r="L140" s="359"/>
      <c r="M140" s="360"/>
      <c r="N140" s="361"/>
      <c r="O140" s="33"/>
      <c r="P140" s="252"/>
      <c r="Q140" s="113"/>
      <c r="R140" s="113"/>
      <c r="S140" s="113"/>
      <c r="T140" s="52"/>
      <c r="U140" s="5"/>
      <c r="V140" s="231"/>
      <c r="W140" s="231"/>
      <c r="X140" s="231"/>
      <c r="Y140" s="113"/>
      <c r="Z140" s="357"/>
      <c r="AA140" s="118" t="s">
        <v>2877</v>
      </c>
      <c r="AB140" s="118"/>
      <c r="AC140" s="118"/>
      <c r="AD140" s="52"/>
      <c r="AE140" s="5"/>
      <c r="AF140" s="358"/>
      <c r="AG140" s="358"/>
      <c r="AH140" s="358"/>
      <c r="AI140" s="358"/>
      <c r="AJ140" s="358"/>
      <c r="AK140" s="113"/>
      <c r="AL140" s="113"/>
      <c r="AM140" s="113"/>
      <c r="AN140" s="113"/>
      <c r="AO140" s="113"/>
      <c r="AP140" s="52"/>
      <c r="AQ140" s="52"/>
      <c r="AR140" s="52"/>
      <c r="AS140" s="52"/>
      <c r="AT140" s="52"/>
      <c r="AU140" s="125"/>
      <c r="AV140" s="125"/>
      <c r="AW140" s="125"/>
      <c r="AX140" s="5"/>
      <c r="AY140" s="5"/>
      <c r="AZ140" s="113">
        <v>154000</v>
      </c>
      <c r="BA140" s="113">
        <v>29260</v>
      </c>
      <c r="BB140" s="113">
        <v>183260</v>
      </c>
      <c r="BC140" s="52" t="s">
        <v>3286</v>
      </c>
      <c r="BD140" s="52" t="s">
        <v>3293</v>
      </c>
      <c r="BE140" s="118"/>
      <c r="BF140" s="118"/>
      <c r="BG140" s="118"/>
      <c r="BH140" s="52"/>
      <c r="BI140" s="283"/>
      <c r="BJ140" s="52"/>
      <c r="BK140" s="52"/>
      <c r="BL140" s="52"/>
      <c r="BM140" s="52"/>
      <c r="BN140" s="52"/>
      <c r="BO140" s="311">
        <v>30000</v>
      </c>
      <c r="BP140" s="311">
        <f>+BO140*0.19</f>
        <v>5700</v>
      </c>
      <c r="BQ140" s="311">
        <f>+BO140+BP140</f>
        <v>35700</v>
      </c>
      <c r="BR140" s="52" t="s">
        <v>2927</v>
      </c>
      <c r="BS140" s="5" t="s">
        <v>3294</v>
      </c>
      <c r="BT140" s="52"/>
      <c r="BU140" s="52"/>
      <c r="BV140" s="52"/>
      <c r="BW140" s="52"/>
      <c r="BX140" s="52"/>
      <c r="BY140" s="52"/>
      <c r="BZ140" s="52"/>
      <c r="CA140" s="52"/>
      <c r="CB140" s="52"/>
      <c r="CC140" s="52"/>
      <c r="CD140" s="118">
        <v>5043</v>
      </c>
      <c r="CE140" s="118">
        <f>+CD140*0.19</f>
        <v>958.17</v>
      </c>
      <c r="CF140" s="118">
        <f>+CD140+CE140</f>
        <v>6001.17</v>
      </c>
      <c r="CG140" s="52" t="s">
        <v>2927</v>
      </c>
      <c r="CH140" s="52" t="s">
        <v>3295</v>
      </c>
      <c r="CI140" s="52"/>
      <c r="CJ140" s="52"/>
      <c r="CK140" s="52"/>
      <c r="CL140" s="52"/>
      <c r="CM140" s="52"/>
      <c r="CN140" s="118"/>
      <c r="CO140" s="118"/>
      <c r="CP140" s="118"/>
      <c r="CQ140" s="52"/>
      <c r="CR140" s="52"/>
      <c r="CS140" s="52"/>
      <c r="CT140" s="52"/>
      <c r="CU140" s="52"/>
      <c r="CV140" s="52"/>
      <c r="CW140" s="52"/>
      <c r="CX140" s="52"/>
      <c r="CY140" s="52"/>
      <c r="CZ140" s="52"/>
      <c r="DA140" s="52"/>
      <c r="DB140" s="52"/>
    </row>
    <row r="141" spans="1:106" ht="25.5" x14ac:dyDescent="0.25">
      <c r="A141" s="411">
        <v>139</v>
      </c>
      <c r="B141" s="413" t="s">
        <v>3296</v>
      </c>
      <c r="C141" s="564" t="s">
        <v>622</v>
      </c>
      <c r="D141" s="426" t="s">
        <v>445</v>
      </c>
      <c r="E141" s="80">
        <v>1</v>
      </c>
      <c r="F141" s="356">
        <v>5655.951</v>
      </c>
      <c r="G141" s="293"/>
      <c r="H141" s="293"/>
      <c r="I141" s="293"/>
      <c r="J141" s="52"/>
      <c r="K141" s="52"/>
      <c r="L141" s="359"/>
      <c r="M141" s="360"/>
      <c r="N141" s="361"/>
      <c r="O141" s="33"/>
      <c r="P141" s="252"/>
      <c r="Q141" s="113"/>
      <c r="R141" s="113"/>
      <c r="S141" s="113"/>
      <c r="T141" s="52"/>
      <c r="U141" s="5"/>
      <c r="V141" s="231"/>
      <c r="W141" s="231"/>
      <c r="X141" s="231"/>
      <c r="Y141" s="113"/>
      <c r="Z141" s="357"/>
      <c r="AA141" s="118" t="s">
        <v>2877</v>
      </c>
      <c r="AB141" s="118"/>
      <c r="AC141" s="118"/>
      <c r="AD141" s="52"/>
      <c r="AE141" s="5"/>
      <c r="AF141" s="358"/>
      <c r="AG141" s="358"/>
      <c r="AH141" s="358"/>
      <c r="AI141" s="358"/>
      <c r="AJ141" s="358"/>
      <c r="AK141" s="113"/>
      <c r="AL141" s="113"/>
      <c r="AM141" s="113"/>
      <c r="AN141" s="113"/>
      <c r="AO141" s="113"/>
      <c r="AP141" s="52"/>
      <c r="AQ141" s="52"/>
      <c r="AR141" s="52"/>
      <c r="AS141" s="52"/>
      <c r="AT141" s="52"/>
      <c r="AU141" s="125"/>
      <c r="AV141" s="125"/>
      <c r="AW141" s="125"/>
      <c r="AX141" s="5"/>
      <c r="AY141" s="5"/>
      <c r="AZ141" s="113">
        <v>17000</v>
      </c>
      <c r="BA141" s="113">
        <v>3230</v>
      </c>
      <c r="BB141" s="113">
        <v>20230</v>
      </c>
      <c r="BC141" s="52" t="s">
        <v>3286</v>
      </c>
      <c r="BD141" s="52" t="s">
        <v>3297</v>
      </c>
      <c r="BE141" s="118"/>
      <c r="BF141" s="118"/>
      <c r="BG141" s="118"/>
      <c r="BH141" s="52"/>
      <c r="BI141" s="283"/>
      <c r="BJ141" s="52"/>
      <c r="BK141" s="52"/>
      <c r="BL141" s="52"/>
      <c r="BM141" s="52"/>
      <c r="BN141" s="52"/>
      <c r="BO141" s="311">
        <v>30000</v>
      </c>
      <c r="BP141" s="311">
        <f>+BO141*0.19</f>
        <v>5700</v>
      </c>
      <c r="BQ141" s="311">
        <f>+BO141+BP141</f>
        <v>35700</v>
      </c>
      <c r="BR141" s="52" t="s">
        <v>2927</v>
      </c>
      <c r="BS141" s="5" t="s">
        <v>3298</v>
      </c>
      <c r="BT141" s="52"/>
      <c r="BU141" s="52"/>
      <c r="BV141" s="52"/>
      <c r="BW141" s="52"/>
      <c r="BX141" s="52"/>
      <c r="BY141" s="52"/>
      <c r="BZ141" s="52"/>
      <c r="CA141" s="52"/>
      <c r="CB141" s="52"/>
      <c r="CC141" s="52"/>
      <c r="CD141" s="118">
        <v>5043</v>
      </c>
      <c r="CE141" s="118">
        <f>+CD141*0.19</f>
        <v>958.17</v>
      </c>
      <c r="CF141" s="118">
        <f>+CD141+CE141</f>
        <v>6001.17</v>
      </c>
      <c r="CG141" s="52" t="s">
        <v>2927</v>
      </c>
      <c r="CH141" s="52" t="s">
        <v>3299</v>
      </c>
      <c r="CI141" s="52"/>
      <c r="CJ141" s="52"/>
      <c r="CK141" s="52"/>
      <c r="CL141" s="52"/>
      <c r="CM141" s="52"/>
      <c r="CN141" s="118"/>
      <c r="CO141" s="118"/>
      <c r="CP141" s="118"/>
      <c r="CQ141" s="52"/>
      <c r="CR141" s="52"/>
      <c r="CS141" s="52"/>
      <c r="CT141" s="52"/>
      <c r="CU141" s="52"/>
      <c r="CV141" s="52"/>
      <c r="CW141" s="52"/>
      <c r="CX141" s="52"/>
      <c r="CY141" s="52"/>
      <c r="CZ141" s="52"/>
      <c r="DA141" s="52"/>
      <c r="DB141" s="52"/>
    </row>
    <row r="142" spans="1:106" ht="27" x14ac:dyDescent="0.25">
      <c r="A142" s="411">
        <v>140</v>
      </c>
      <c r="B142" s="413" t="s">
        <v>3300</v>
      </c>
      <c r="C142" s="413" t="s">
        <v>3301</v>
      </c>
      <c r="D142" s="426" t="s">
        <v>3302</v>
      </c>
      <c r="E142" s="80">
        <v>1</v>
      </c>
      <c r="F142" s="356">
        <v>348155.20600000001</v>
      </c>
      <c r="G142" s="293"/>
      <c r="H142" s="293"/>
      <c r="I142" s="293"/>
      <c r="J142" s="52"/>
      <c r="K142" s="52"/>
      <c r="L142" s="359"/>
      <c r="M142" s="360"/>
      <c r="N142" s="361"/>
      <c r="O142" s="33"/>
      <c r="P142" s="252"/>
      <c r="Q142" s="113"/>
      <c r="R142" s="113"/>
      <c r="S142" s="113"/>
      <c r="T142" s="52"/>
      <c r="U142" s="5"/>
      <c r="V142" s="231"/>
      <c r="W142" s="231"/>
      <c r="X142" s="231"/>
      <c r="Y142" s="113"/>
      <c r="Z142" s="357"/>
      <c r="AA142" s="118" t="s">
        <v>2877</v>
      </c>
      <c r="AB142" s="118"/>
      <c r="AC142" s="118"/>
      <c r="AD142" s="52"/>
      <c r="AE142" s="5"/>
      <c r="AF142" s="358"/>
      <c r="AG142" s="358"/>
      <c r="AH142" s="358"/>
      <c r="AI142" s="358"/>
      <c r="AJ142" s="358"/>
      <c r="AK142" s="113"/>
      <c r="AL142" s="113"/>
      <c r="AM142" s="113"/>
      <c r="AN142" s="113"/>
      <c r="AO142" s="113"/>
      <c r="AP142" s="52"/>
      <c r="AQ142" s="52"/>
      <c r="AR142" s="52"/>
      <c r="AS142" s="52"/>
      <c r="AT142" s="52"/>
      <c r="AU142" s="125"/>
      <c r="AV142" s="125"/>
      <c r="AW142" s="125"/>
      <c r="AX142" s="5"/>
      <c r="AY142" s="5"/>
      <c r="AZ142" s="113">
        <v>303000</v>
      </c>
      <c r="BA142" s="113">
        <v>57570</v>
      </c>
      <c r="BB142" s="113">
        <v>360570</v>
      </c>
      <c r="BC142" s="52" t="s">
        <v>3303</v>
      </c>
      <c r="BD142" s="52" t="s">
        <v>3304</v>
      </c>
      <c r="BE142" s="118"/>
      <c r="BF142" s="118"/>
      <c r="BG142" s="118"/>
      <c r="BH142" s="52"/>
      <c r="BI142" s="283"/>
      <c r="BJ142" s="52"/>
      <c r="BK142" s="52"/>
      <c r="BL142" s="52"/>
      <c r="BM142" s="52"/>
      <c r="BN142" s="52"/>
      <c r="BO142" s="311">
        <v>30000</v>
      </c>
      <c r="BP142" s="311">
        <f>+BO142*0.19</f>
        <v>5700</v>
      </c>
      <c r="BQ142" s="311">
        <f>+BO142+BP142</f>
        <v>35700</v>
      </c>
      <c r="BR142" s="52" t="s">
        <v>2927</v>
      </c>
      <c r="BS142" s="5" t="s">
        <v>3294</v>
      </c>
      <c r="BT142" s="52"/>
      <c r="BU142" s="52"/>
      <c r="BV142" s="52"/>
      <c r="BW142" s="52"/>
      <c r="BX142" s="52"/>
      <c r="BY142" s="379">
        <f>19000*5</f>
        <v>95000</v>
      </c>
      <c r="BZ142" s="118">
        <f>+BY142*0.19</f>
        <v>18050</v>
      </c>
      <c r="CA142" s="118">
        <f>+BY142+BZ142</f>
        <v>113050</v>
      </c>
      <c r="CB142" s="52" t="s">
        <v>3305</v>
      </c>
      <c r="CC142" s="52">
        <v>45060006</v>
      </c>
      <c r="CD142" s="118"/>
      <c r="CE142" s="118"/>
      <c r="CF142" s="118"/>
      <c r="CG142" s="52"/>
      <c r="CH142" s="52"/>
      <c r="CI142" s="52"/>
      <c r="CJ142" s="52"/>
      <c r="CK142" s="52"/>
      <c r="CL142" s="52"/>
      <c r="CM142" s="52"/>
      <c r="CN142" s="118">
        <v>5600</v>
      </c>
      <c r="CO142" s="118">
        <f>+CN142*0.19</f>
        <v>1064</v>
      </c>
      <c r="CP142" s="118">
        <f>+CN142+CO142</f>
        <v>6664</v>
      </c>
      <c r="CQ142" s="52" t="s">
        <v>164</v>
      </c>
      <c r="CR142" s="52">
        <v>6829</v>
      </c>
      <c r="CS142" s="52"/>
      <c r="CT142" s="52"/>
      <c r="CU142" s="52"/>
      <c r="CV142" s="52"/>
      <c r="CW142" s="52"/>
      <c r="CX142" s="52"/>
      <c r="CY142" s="52"/>
      <c r="CZ142" s="52"/>
      <c r="DA142" s="52"/>
      <c r="DB142" s="52"/>
    </row>
    <row r="143" spans="1:106" ht="25.5" x14ac:dyDescent="0.25">
      <c r="A143" s="411">
        <v>141</v>
      </c>
      <c r="B143" s="413" t="s">
        <v>3306</v>
      </c>
      <c r="C143" s="564" t="s">
        <v>622</v>
      </c>
      <c r="D143" s="426" t="s">
        <v>445</v>
      </c>
      <c r="E143" s="80">
        <v>1</v>
      </c>
      <c r="F143" s="356">
        <v>6284.39</v>
      </c>
      <c r="G143" s="293"/>
      <c r="H143" s="293"/>
      <c r="I143" s="293"/>
      <c r="J143" s="52"/>
      <c r="K143" s="52"/>
      <c r="L143" s="359"/>
      <c r="M143" s="360"/>
      <c r="N143" s="361"/>
      <c r="O143" s="33"/>
      <c r="P143" s="252"/>
      <c r="Q143" s="113"/>
      <c r="R143" s="113"/>
      <c r="S143" s="113"/>
      <c r="T143" s="52"/>
      <c r="U143" s="5"/>
      <c r="V143" s="231"/>
      <c r="W143" s="231"/>
      <c r="X143" s="231"/>
      <c r="Y143" s="113"/>
      <c r="Z143" s="357"/>
      <c r="AA143" s="118" t="s">
        <v>2877</v>
      </c>
      <c r="AB143" s="118"/>
      <c r="AC143" s="118"/>
      <c r="AD143" s="52"/>
      <c r="AE143" s="5"/>
      <c r="AF143" s="358"/>
      <c r="AG143" s="358"/>
      <c r="AH143" s="358"/>
      <c r="AI143" s="358"/>
      <c r="AJ143" s="358"/>
      <c r="AK143" s="113"/>
      <c r="AL143" s="113"/>
      <c r="AM143" s="113"/>
      <c r="AN143" s="113"/>
      <c r="AO143" s="113"/>
      <c r="AP143" s="52"/>
      <c r="AQ143" s="52"/>
      <c r="AR143" s="52"/>
      <c r="AS143" s="52"/>
      <c r="AT143" s="52"/>
      <c r="AU143" s="125"/>
      <c r="AV143" s="125"/>
      <c r="AW143" s="125"/>
      <c r="AX143" s="5"/>
      <c r="AY143" s="5"/>
      <c r="AZ143" s="113">
        <v>17000</v>
      </c>
      <c r="BA143" s="113">
        <v>3230</v>
      </c>
      <c r="BB143" s="113">
        <v>20230</v>
      </c>
      <c r="BC143" s="52" t="s">
        <v>3286</v>
      </c>
      <c r="BD143" s="52" t="s">
        <v>3297</v>
      </c>
      <c r="BE143" s="118"/>
      <c r="BF143" s="118"/>
      <c r="BG143" s="118"/>
      <c r="BH143" s="52"/>
      <c r="BI143" s="283"/>
      <c r="BJ143" s="52"/>
      <c r="BK143" s="52"/>
      <c r="BL143" s="52"/>
      <c r="BM143" s="52"/>
      <c r="BN143" s="52"/>
      <c r="BO143" s="311">
        <v>30000</v>
      </c>
      <c r="BP143" s="311">
        <f>+BO143*0.19</f>
        <v>5700</v>
      </c>
      <c r="BQ143" s="311">
        <f>+BO143+BP143</f>
        <v>35700</v>
      </c>
      <c r="BR143" s="52" t="s">
        <v>2927</v>
      </c>
      <c r="BS143" s="5" t="s">
        <v>3307</v>
      </c>
      <c r="BT143" s="52"/>
      <c r="BU143" s="52"/>
      <c r="BV143" s="52"/>
      <c r="BW143" s="52"/>
      <c r="BX143" s="52"/>
      <c r="BY143" s="118">
        <v>8000</v>
      </c>
      <c r="BZ143" s="118">
        <f>+BY143*0.19</f>
        <v>1520</v>
      </c>
      <c r="CA143" s="118">
        <f>+BY143+BZ143</f>
        <v>9520</v>
      </c>
      <c r="CB143" s="52" t="s">
        <v>3305</v>
      </c>
      <c r="CC143" s="52">
        <v>45050001</v>
      </c>
      <c r="CD143" s="118">
        <v>6723</v>
      </c>
      <c r="CE143" s="118">
        <f>+CD143*0.19</f>
        <v>1277.3700000000001</v>
      </c>
      <c r="CF143" s="118">
        <f>+CD143+CE143</f>
        <v>8000.37</v>
      </c>
      <c r="CG143" s="52" t="s">
        <v>2927</v>
      </c>
      <c r="CH143" s="52" t="s">
        <v>3308</v>
      </c>
      <c r="CI143" s="52"/>
      <c r="CJ143" s="52"/>
      <c r="CK143" s="52"/>
      <c r="CL143" s="52"/>
      <c r="CM143" s="52"/>
      <c r="CN143" s="118">
        <v>7600</v>
      </c>
      <c r="CO143" s="118">
        <f>+CN143*0.19</f>
        <v>1444</v>
      </c>
      <c r="CP143" s="118">
        <f>+CN143+CO143</f>
        <v>9044</v>
      </c>
      <c r="CQ143" s="52" t="s">
        <v>3309</v>
      </c>
      <c r="CR143" s="52">
        <v>6830</v>
      </c>
      <c r="CS143" s="52"/>
      <c r="CT143" s="52"/>
      <c r="CU143" s="52"/>
      <c r="CV143" s="52"/>
      <c r="CW143" s="52"/>
      <c r="CX143" s="52"/>
      <c r="CY143" s="52"/>
      <c r="CZ143" s="52"/>
      <c r="DA143" s="52"/>
      <c r="DB143" s="52"/>
    </row>
    <row r="144" spans="1:106" ht="40.5" x14ac:dyDescent="0.25">
      <c r="A144" s="411">
        <v>142</v>
      </c>
      <c r="B144" s="413" t="s">
        <v>3310</v>
      </c>
      <c r="C144" s="413" t="s">
        <v>3311</v>
      </c>
      <c r="D144" s="426" t="s">
        <v>445</v>
      </c>
      <c r="E144" s="80">
        <v>1</v>
      </c>
      <c r="F144" s="356">
        <v>30165.072</v>
      </c>
      <c r="G144" s="293"/>
      <c r="H144" s="293"/>
      <c r="I144" s="293"/>
      <c r="J144" s="52"/>
      <c r="K144" s="52"/>
      <c r="L144" s="359"/>
      <c r="M144" s="360"/>
      <c r="N144" s="361"/>
      <c r="O144" s="33"/>
      <c r="P144" s="252"/>
      <c r="Q144" s="113"/>
      <c r="R144" s="113"/>
      <c r="S144" s="113"/>
      <c r="T144" s="52"/>
      <c r="U144" s="5"/>
      <c r="V144" s="231"/>
      <c r="W144" s="231"/>
      <c r="X144" s="231"/>
      <c r="Y144" s="113"/>
      <c r="Z144" s="357"/>
      <c r="AA144" s="118" t="s">
        <v>2877</v>
      </c>
      <c r="AB144" s="118"/>
      <c r="AC144" s="118"/>
      <c r="AD144" s="52"/>
      <c r="AE144" s="5"/>
      <c r="AF144" s="358"/>
      <c r="AG144" s="358"/>
      <c r="AH144" s="358"/>
      <c r="AI144" s="358"/>
      <c r="AJ144" s="358"/>
      <c r="AK144" s="113"/>
      <c r="AL144" s="113"/>
      <c r="AM144" s="113"/>
      <c r="AN144" s="113"/>
      <c r="AO144" s="113"/>
      <c r="AP144" s="52"/>
      <c r="AQ144" s="52"/>
      <c r="AR144" s="52"/>
      <c r="AS144" s="52"/>
      <c r="AT144" s="52"/>
      <c r="AU144" s="125"/>
      <c r="AV144" s="125"/>
      <c r="AW144" s="125"/>
      <c r="AX144" s="5"/>
      <c r="AY144" s="5"/>
      <c r="AZ144" s="113">
        <v>54000</v>
      </c>
      <c r="BA144" s="113">
        <v>10260</v>
      </c>
      <c r="BB144" s="113">
        <v>64260</v>
      </c>
      <c r="BC144" s="52" t="s">
        <v>3157</v>
      </c>
      <c r="BD144" s="52" t="s">
        <v>3287</v>
      </c>
      <c r="BE144" s="118"/>
      <c r="BF144" s="118"/>
      <c r="BG144" s="118"/>
      <c r="BH144" s="52"/>
      <c r="BI144" s="283"/>
      <c r="BJ144" s="52"/>
      <c r="BK144" s="52"/>
      <c r="BL144" s="52"/>
      <c r="BM144" s="52"/>
      <c r="BN144" s="52"/>
      <c r="BO144" s="311">
        <v>30000</v>
      </c>
      <c r="BP144" s="311">
        <f>+BO144*0.19</f>
        <v>5700</v>
      </c>
      <c r="BQ144" s="311">
        <f>+BO144+BP144</f>
        <v>35700</v>
      </c>
      <c r="BR144" s="52" t="s">
        <v>2927</v>
      </c>
      <c r="BS144" s="5" t="s">
        <v>3307</v>
      </c>
      <c r="BT144" s="52"/>
      <c r="BU144" s="52"/>
      <c r="BV144" s="52"/>
      <c r="BW144" s="52"/>
      <c r="BX144" s="52"/>
      <c r="BY144" s="52"/>
      <c r="BZ144" s="52"/>
      <c r="CA144" s="52"/>
      <c r="CB144" s="52"/>
      <c r="CC144" s="52"/>
      <c r="CD144" s="118">
        <v>5883</v>
      </c>
      <c r="CE144" s="118">
        <f>+CD144*0.19</f>
        <v>1117.77</v>
      </c>
      <c r="CF144" s="118">
        <f>+CD144+CE144</f>
        <v>7000.77</v>
      </c>
      <c r="CG144" s="52" t="s">
        <v>2927</v>
      </c>
      <c r="CH144" s="52" t="s">
        <v>3312</v>
      </c>
      <c r="CI144" s="52"/>
      <c r="CJ144" s="52"/>
      <c r="CK144" s="52"/>
      <c r="CL144" s="52"/>
      <c r="CM144" s="52"/>
      <c r="CN144" s="118">
        <v>10000</v>
      </c>
      <c r="CO144" s="118">
        <f>+CN144*0.19</f>
        <v>1900</v>
      </c>
      <c r="CP144" s="118">
        <f>+CN144+CO144</f>
        <v>11900</v>
      </c>
      <c r="CQ144" s="52" t="s">
        <v>3309</v>
      </c>
      <c r="CR144" s="52">
        <v>6831</v>
      </c>
      <c r="CS144" s="52"/>
      <c r="CT144" s="52"/>
      <c r="CU144" s="52"/>
      <c r="CV144" s="52"/>
      <c r="CW144" s="52"/>
      <c r="CX144" s="52"/>
      <c r="CY144" s="52"/>
      <c r="CZ144" s="52"/>
      <c r="DA144" s="52"/>
      <c r="DB144" s="52"/>
    </row>
    <row r="145" spans="1:106" ht="40.5" x14ac:dyDescent="0.25">
      <c r="A145" s="411">
        <v>143</v>
      </c>
      <c r="B145" s="412" t="s">
        <v>3313</v>
      </c>
      <c r="C145" s="564" t="s">
        <v>622</v>
      </c>
      <c r="D145" s="426" t="s">
        <v>445</v>
      </c>
      <c r="E145" s="80">
        <v>1</v>
      </c>
      <c r="F145" s="356">
        <v>11311.902</v>
      </c>
      <c r="G145" s="293"/>
      <c r="H145" s="293"/>
      <c r="I145" s="293"/>
      <c r="J145" s="52"/>
      <c r="K145" s="52"/>
      <c r="L145" s="359"/>
      <c r="M145" s="360"/>
      <c r="N145" s="361"/>
      <c r="O145" s="33"/>
      <c r="P145" s="252"/>
      <c r="Q145" s="113"/>
      <c r="R145" s="113"/>
      <c r="S145" s="113"/>
      <c r="T145" s="52"/>
      <c r="U145" s="5"/>
      <c r="V145" s="231"/>
      <c r="W145" s="231"/>
      <c r="X145" s="231"/>
      <c r="Y145" s="113"/>
      <c r="Z145" s="357"/>
      <c r="AA145" s="118" t="s">
        <v>2877</v>
      </c>
      <c r="AB145" s="118"/>
      <c r="AC145" s="118"/>
      <c r="AD145" s="52"/>
      <c r="AE145" s="5"/>
      <c r="AF145" s="358"/>
      <c r="AG145" s="358"/>
      <c r="AH145" s="358"/>
      <c r="AI145" s="358"/>
      <c r="AJ145" s="358"/>
      <c r="AK145" s="113"/>
      <c r="AL145" s="113"/>
      <c r="AM145" s="113"/>
      <c r="AN145" s="113"/>
      <c r="AO145" s="113"/>
      <c r="AP145" s="52"/>
      <c r="AQ145" s="52"/>
      <c r="AR145" s="52"/>
      <c r="AS145" s="52"/>
      <c r="AT145" s="52"/>
      <c r="AU145" s="125"/>
      <c r="AV145" s="125"/>
      <c r="AW145" s="125"/>
      <c r="AX145" s="5"/>
      <c r="AY145" s="5"/>
      <c r="AZ145" s="113">
        <v>113000</v>
      </c>
      <c r="BA145" s="113">
        <v>21470</v>
      </c>
      <c r="BB145" s="113">
        <v>134470</v>
      </c>
      <c r="BC145" s="52" t="s">
        <v>3286</v>
      </c>
      <c r="BD145" s="52" t="s">
        <v>3314</v>
      </c>
      <c r="BE145" s="118"/>
      <c r="BF145" s="118"/>
      <c r="BG145" s="118"/>
      <c r="BH145" s="52"/>
      <c r="BI145" s="283"/>
      <c r="BJ145" s="52"/>
      <c r="BK145" s="52"/>
      <c r="BL145" s="52"/>
      <c r="BM145" s="52"/>
      <c r="BN145" s="52"/>
      <c r="BO145" s="311"/>
      <c r="BP145" s="311"/>
      <c r="BQ145" s="311"/>
      <c r="BR145" s="52"/>
      <c r="BS145" s="52"/>
      <c r="BT145" s="52"/>
      <c r="BU145" s="52"/>
      <c r="BV145" s="52"/>
      <c r="BW145" s="52"/>
      <c r="BX145" s="52"/>
      <c r="BY145" s="52">
        <v>9000</v>
      </c>
      <c r="BZ145" s="118">
        <f>+BY145*0.19</f>
        <v>1710</v>
      </c>
      <c r="CA145" s="118">
        <f>+BY145+BZ145</f>
        <v>10710</v>
      </c>
      <c r="CB145" s="52" t="s">
        <v>3305</v>
      </c>
      <c r="CC145" s="52">
        <v>45060003</v>
      </c>
      <c r="CD145" s="118">
        <v>4202</v>
      </c>
      <c r="CE145" s="118">
        <f>+CD145*0.19</f>
        <v>798.38</v>
      </c>
      <c r="CF145" s="118">
        <f>+CD145+CE145</f>
        <v>5000.38</v>
      </c>
      <c r="CG145" s="52" t="s">
        <v>2927</v>
      </c>
      <c r="CH145" s="52" t="s">
        <v>3315</v>
      </c>
      <c r="CI145" s="52"/>
      <c r="CJ145" s="52"/>
      <c r="CK145" s="52"/>
      <c r="CL145" s="52"/>
      <c r="CM145" s="52"/>
      <c r="CN145" s="118"/>
      <c r="CO145" s="118"/>
      <c r="CP145" s="118"/>
      <c r="CQ145" s="52"/>
      <c r="CR145" s="52"/>
      <c r="CS145" s="52"/>
      <c r="CT145" s="52"/>
      <c r="CU145" s="52"/>
      <c r="CV145" s="52"/>
      <c r="CW145" s="52"/>
      <c r="CX145" s="52"/>
      <c r="CY145" s="52"/>
      <c r="CZ145" s="52"/>
      <c r="DA145" s="52"/>
      <c r="DB145" s="52"/>
    </row>
    <row r="146" spans="1:106" ht="13.5" x14ac:dyDescent="0.25">
      <c r="A146" s="411">
        <v>144</v>
      </c>
      <c r="B146" s="412" t="s">
        <v>3316</v>
      </c>
      <c r="C146" s="564" t="s">
        <v>622</v>
      </c>
      <c r="D146" s="426" t="s">
        <v>3317</v>
      </c>
      <c r="E146" s="80">
        <v>1</v>
      </c>
      <c r="F146" s="355">
        <v>20941.277399999999</v>
      </c>
      <c r="G146" s="293"/>
      <c r="H146" s="293"/>
      <c r="I146" s="293"/>
      <c r="J146" s="52"/>
      <c r="K146" s="52"/>
      <c r="L146" s="359"/>
      <c r="M146" s="360"/>
      <c r="N146" s="361"/>
      <c r="O146" s="33"/>
      <c r="P146" s="252"/>
      <c r="Q146" s="113"/>
      <c r="R146" s="113"/>
      <c r="S146" s="113"/>
      <c r="T146" s="52"/>
      <c r="U146" s="5"/>
      <c r="V146" s="231"/>
      <c r="W146" s="231"/>
      <c r="X146" s="231"/>
      <c r="Y146" s="113"/>
      <c r="Z146" s="357"/>
      <c r="AA146" s="118" t="s">
        <v>2877</v>
      </c>
      <c r="AB146" s="118"/>
      <c r="AC146" s="118"/>
      <c r="AD146" s="52"/>
      <c r="AE146" s="5"/>
      <c r="AF146" s="358"/>
      <c r="AG146" s="358"/>
      <c r="AH146" s="358"/>
      <c r="AI146" s="358"/>
      <c r="AJ146" s="358"/>
      <c r="AK146" s="113"/>
      <c r="AL146" s="113"/>
      <c r="AM146" s="113"/>
      <c r="AN146" s="113"/>
      <c r="AO146" s="113"/>
      <c r="AP146" s="52"/>
      <c r="AQ146" s="52"/>
      <c r="AR146" s="52"/>
      <c r="AS146" s="52"/>
      <c r="AT146" s="52"/>
      <c r="AU146" s="125"/>
      <c r="AV146" s="125"/>
      <c r="AW146" s="125"/>
      <c r="AX146" s="5"/>
      <c r="AY146" s="5"/>
      <c r="AZ146" s="113">
        <v>26000</v>
      </c>
      <c r="BA146" s="113">
        <v>4940</v>
      </c>
      <c r="BB146" s="113">
        <v>30940</v>
      </c>
      <c r="BC146" s="52" t="s">
        <v>363</v>
      </c>
      <c r="BD146" s="52"/>
      <c r="BE146" s="118"/>
      <c r="BF146" s="118"/>
      <c r="BG146" s="118"/>
      <c r="BH146" s="52"/>
      <c r="BI146" s="283"/>
      <c r="BJ146" s="52"/>
      <c r="BK146" s="52"/>
      <c r="BL146" s="52"/>
      <c r="BM146" s="52"/>
      <c r="BN146" s="52"/>
      <c r="BO146" s="52"/>
      <c r="BP146" s="52"/>
      <c r="BQ146" s="52"/>
      <c r="BR146" s="52"/>
      <c r="BS146" s="52"/>
      <c r="BT146" s="52"/>
      <c r="BU146" s="52"/>
      <c r="BV146" s="52"/>
      <c r="BW146" s="52"/>
      <c r="BX146" s="52"/>
      <c r="BY146" s="52"/>
      <c r="BZ146" s="52"/>
      <c r="CA146" s="52"/>
      <c r="CB146" s="52"/>
      <c r="CC146" s="52"/>
      <c r="CD146" s="118"/>
      <c r="CE146" s="52"/>
      <c r="CF146" s="52"/>
      <c r="CG146" s="52"/>
      <c r="CH146" s="52"/>
      <c r="CI146" s="52"/>
      <c r="CJ146" s="52"/>
      <c r="CK146" s="52"/>
      <c r="CL146" s="52"/>
      <c r="CM146" s="52"/>
      <c r="CN146" s="118"/>
      <c r="CO146" s="118"/>
      <c r="CP146" s="118"/>
      <c r="CQ146" s="52"/>
      <c r="CR146" s="52"/>
      <c r="CS146" s="52"/>
      <c r="CT146" s="52"/>
      <c r="CU146" s="52"/>
      <c r="CV146" s="52"/>
      <c r="CW146" s="52"/>
      <c r="CX146" s="52"/>
      <c r="CY146" s="52"/>
      <c r="CZ146" s="52"/>
      <c r="DA146" s="52"/>
      <c r="DB146" s="52"/>
    </row>
    <row r="147" spans="1:106" ht="27" x14ac:dyDescent="0.25">
      <c r="A147" s="411">
        <v>145</v>
      </c>
      <c r="B147" s="412" t="s">
        <v>3318</v>
      </c>
      <c r="C147" s="413" t="s">
        <v>3319</v>
      </c>
      <c r="D147" s="426" t="s">
        <v>3320</v>
      </c>
      <c r="E147" s="80">
        <v>1</v>
      </c>
      <c r="F147" s="356">
        <v>780521.23800000001</v>
      </c>
      <c r="G147" s="293"/>
      <c r="H147" s="293"/>
      <c r="I147" s="293"/>
      <c r="J147" s="52"/>
      <c r="K147" s="52"/>
      <c r="L147" s="359"/>
      <c r="M147" s="360"/>
      <c r="N147" s="361"/>
      <c r="O147" s="33"/>
      <c r="P147" s="252"/>
      <c r="Q147" s="113"/>
      <c r="R147" s="113"/>
      <c r="S147" s="113"/>
      <c r="T147" s="52"/>
      <c r="U147" s="5"/>
      <c r="V147" s="231"/>
      <c r="W147" s="231"/>
      <c r="X147" s="231"/>
      <c r="Y147" s="113"/>
      <c r="Z147" s="357"/>
      <c r="AA147" s="118" t="s">
        <v>2877</v>
      </c>
      <c r="AB147" s="118"/>
      <c r="AC147" s="118"/>
      <c r="AD147" s="52"/>
      <c r="AE147" s="5"/>
      <c r="AF147" s="358"/>
      <c r="AG147" s="358"/>
      <c r="AH147" s="358"/>
      <c r="AI147" s="358"/>
      <c r="AJ147" s="358"/>
      <c r="AK147" s="113"/>
      <c r="AL147" s="113"/>
      <c r="AM147" s="113"/>
      <c r="AN147" s="113"/>
      <c r="AO147" s="113"/>
      <c r="AP147" s="52"/>
      <c r="AQ147" s="52"/>
      <c r="AR147" s="52"/>
      <c r="AS147" s="52"/>
      <c r="AT147" s="52"/>
      <c r="AU147" s="125"/>
      <c r="AV147" s="125"/>
      <c r="AW147" s="125"/>
      <c r="AX147" s="5"/>
      <c r="AY147" s="5"/>
      <c r="AZ147" s="113">
        <v>749000</v>
      </c>
      <c r="BA147" s="113">
        <v>142310</v>
      </c>
      <c r="BB147" s="113">
        <v>891310</v>
      </c>
      <c r="BC147" s="52" t="s">
        <v>338</v>
      </c>
      <c r="BD147" s="52" t="s">
        <v>3321</v>
      </c>
      <c r="BE147" s="118"/>
      <c r="BF147" s="118"/>
      <c r="BG147" s="118"/>
      <c r="BH147" s="52"/>
      <c r="BI147" s="283"/>
      <c r="BJ147" s="52"/>
      <c r="BK147" s="52"/>
      <c r="BL147" s="52"/>
      <c r="BM147" s="52"/>
      <c r="BN147" s="52"/>
      <c r="BO147" s="52"/>
      <c r="BP147" s="52"/>
      <c r="BQ147" s="52"/>
      <c r="BR147" s="52"/>
      <c r="BS147" s="52"/>
      <c r="BT147" s="52"/>
      <c r="BU147" s="52"/>
      <c r="BV147" s="52"/>
      <c r="BW147" s="52"/>
      <c r="BX147" s="52"/>
      <c r="BY147" s="52"/>
      <c r="BZ147" s="52"/>
      <c r="CA147" s="52"/>
      <c r="CB147" s="52"/>
      <c r="CC147" s="52"/>
      <c r="CD147" s="118"/>
      <c r="CE147" s="52"/>
      <c r="CF147" s="52"/>
      <c r="CG147" s="52"/>
      <c r="CH147" s="52"/>
      <c r="CI147" s="52"/>
      <c r="CJ147" s="52"/>
      <c r="CK147" s="52"/>
      <c r="CL147" s="52"/>
      <c r="CM147" s="52"/>
      <c r="CN147" s="118"/>
      <c r="CO147" s="118"/>
      <c r="CP147" s="118"/>
      <c r="CQ147" s="52"/>
      <c r="CR147" s="52"/>
      <c r="CS147" s="52"/>
      <c r="CT147" s="52"/>
      <c r="CU147" s="52"/>
      <c r="CV147" s="52"/>
      <c r="CW147" s="52"/>
      <c r="CX147" s="52"/>
      <c r="CY147" s="52"/>
      <c r="CZ147" s="52"/>
      <c r="DA147" s="52"/>
      <c r="DB147" s="52"/>
    </row>
    <row r="148" spans="1:106" ht="13.5" x14ac:dyDescent="0.25">
      <c r="A148" s="411">
        <v>146</v>
      </c>
      <c r="B148" s="412" t="s">
        <v>3322</v>
      </c>
      <c r="C148" s="564" t="s">
        <v>3323</v>
      </c>
      <c r="D148" s="562" t="s">
        <v>3324</v>
      </c>
      <c r="E148" s="80">
        <v>1</v>
      </c>
      <c r="F148" s="356">
        <v>8169.7070000000003</v>
      </c>
      <c r="G148" s="293"/>
      <c r="H148" s="293"/>
      <c r="I148" s="293"/>
      <c r="J148" s="52"/>
      <c r="K148" s="52"/>
      <c r="L148" s="359"/>
      <c r="M148" s="360"/>
      <c r="N148" s="361"/>
      <c r="O148" s="33"/>
      <c r="P148" s="252"/>
      <c r="Q148" s="113"/>
      <c r="R148" s="113"/>
      <c r="S148" s="113"/>
      <c r="T148" s="52"/>
      <c r="U148" s="5"/>
      <c r="V148" s="231"/>
      <c r="W148" s="231"/>
      <c r="X148" s="231"/>
      <c r="Y148" s="113"/>
      <c r="Z148" s="357"/>
      <c r="AA148" s="118" t="s">
        <v>2877</v>
      </c>
      <c r="AB148" s="118"/>
      <c r="AC148" s="118"/>
      <c r="AD148" s="52"/>
      <c r="AE148" s="5"/>
      <c r="AF148" s="358"/>
      <c r="AG148" s="358"/>
      <c r="AH148" s="358"/>
      <c r="AI148" s="358"/>
      <c r="AJ148" s="358"/>
      <c r="AK148" s="113"/>
      <c r="AL148" s="113"/>
      <c r="AM148" s="113"/>
      <c r="AN148" s="113"/>
      <c r="AO148" s="113"/>
      <c r="AP148" s="52"/>
      <c r="AQ148" s="52"/>
      <c r="AR148" s="52"/>
      <c r="AS148" s="52"/>
      <c r="AT148" s="52"/>
      <c r="AU148" s="125"/>
      <c r="AV148" s="125"/>
      <c r="AW148" s="125"/>
      <c r="AX148" s="5"/>
      <c r="AY148" s="5"/>
      <c r="AZ148" s="113">
        <v>9000</v>
      </c>
      <c r="BA148" s="113">
        <v>1710</v>
      </c>
      <c r="BB148" s="113">
        <v>10710</v>
      </c>
      <c r="BC148" s="52" t="s">
        <v>3325</v>
      </c>
      <c r="BD148" s="52"/>
      <c r="BE148" s="118"/>
      <c r="BF148" s="118"/>
      <c r="BG148" s="118"/>
      <c r="BH148" s="52"/>
      <c r="BI148" s="283"/>
      <c r="BJ148" s="52"/>
      <c r="BK148" s="52"/>
      <c r="BL148" s="52"/>
      <c r="BM148" s="52"/>
      <c r="BN148" s="52"/>
      <c r="BO148" s="52"/>
      <c r="BP148" s="52"/>
      <c r="BQ148" s="52"/>
      <c r="BR148" s="52"/>
      <c r="BS148" s="52"/>
      <c r="BT148" s="52"/>
      <c r="BU148" s="52"/>
      <c r="BV148" s="52"/>
      <c r="BW148" s="52"/>
      <c r="BX148" s="52"/>
      <c r="BY148" s="52"/>
      <c r="BZ148" s="52"/>
      <c r="CA148" s="52"/>
      <c r="CB148" s="52"/>
      <c r="CC148" s="52"/>
      <c r="CD148" s="118"/>
      <c r="CE148" s="52"/>
      <c r="CF148" s="52"/>
      <c r="CG148" s="52"/>
      <c r="CH148" s="52"/>
      <c r="CI148" s="52"/>
      <c r="CJ148" s="52"/>
      <c r="CK148" s="52"/>
      <c r="CL148" s="52"/>
      <c r="CM148" s="52"/>
      <c r="CN148" s="118"/>
      <c r="CO148" s="118"/>
      <c r="CP148" s="118"/>
      <c r="CQ148" s="52"/>
      <c r="CR148" s="52"/>
      <c r="CS148" s="52"/>
      <c r="CT148" s="52"/>
      <c r="CU148" s="52"/>
      <c r="CV148" s="52"/>
      <c r="CW148" s="52"/>
      <c r="CX148" s="52"/>
      <c r="CY148" s="52"/>
      <c r="CZ148" s="52"/>
      <c r="DA148" s="52"/>
      <c r="DB148" s="52"/>
    </row>
    <row r="149" spans="1:106" ht="13.5" x14ac:dyDescent="0.25">
      <c r="A149" s="411">
        <v>147</v>
      </c>
      <c r="B149" s="412" t="s">
        <v>3326</v>
      </c>
      <c r="C149" s="564" t="s">
        <v>622</v>
      </c>
      <c r="D149" s="562" t="s">
        <v>3327</v>
      </c>
      <c r="E149" s="80">
        <v>1</v>
      </c>
      <c r="F149" s="356">
        <v>8421.0825999999997</v>
      </c>
      <c r="G149" s="293"/>
      <c r="H149" s="293"/>
      <c r="I149" s="293"/>
      <c r="J149" s="52"/>
      <c r="K149" s="52"/>
      <c r="L149" s="359"/>
      <c r="M149" s="360"/>
      <c r="N149" s="361"/>
      <c r="O149" s="33"/>
      <c r="P149" s="252"/>
      <c r="Q149" s="113"/>
      <c r="R149" s="113"/>
      <c r="S149" s="113"/>
      <c r="T149" s="52"/>
      <c r="U149" s="5"/>
      <c r="V149" s="231"/>
      <c r="W149" s="231"/>
      <c r="X149" s="231"/>
      <c r="Y149" s="113"/>
      <c r="Z149" s="357"/>
      <c r="AA149" s="118" t="s">
        <v>2877</v>
      </c>
      <c r="AB149" s="118"/>
      <c r="AC149" s="118"/>
      <c r="AD149" s="52"/>
      <c r="AE149" s="5"/>
      <c r="AF149" s="358"/>
      <c r="AG149" s="358"/>
      <c r="AH149" s="358"/>
      <c r="AI149" s="358"/>
      <c r="AJ149" s="358"/>
      <c r="AK149" s="113"/>
      <c r="AL149" s="113"/>
      <c r="AM149" s="113"/>
      <c r="AN149" s="113"/>
      <c r="AO149" s="113"/>
      <c r="AP149" s="52"/>
      <c r="AQ149" s="52"/>
      <c r="AR149" s="52"/>
      <c r="AS149" s="52"/>
      <c r="AT149" s="52"/>
      <c r="AU149" s="125"/>
      <c r="AV149" s="125"/>
      <c r="AW149" s="125"/>
      <c r="AX149" s="5"/>
      <c r="AY149" s="5"/>
      <c r="AZ149" s="113">
        <v>16000</v>
      </c>
      <c r="BA149" s="113">
        <v>3040</v>
      </c>
      <c r="BB149" s="113">
        <v>19040</v>
      </c>
      <c r="BC149" s="52" t="s">
        <v>3325</v>
      </c>
      <c r="BD149" s="52"/>
      <c r="BE149" s="118"/>
      <c r="BF149" s="118"/>
      <c r="BG149" s="118"/>
      <c r="BH149" s="52"/>
      <c r="BI149" s="283"/>
      <c r="BJ149" s="52"/>
      <c r="BK149" s="52"/>
      <c r="BL149" s="52"/>
      <c r="BM149" s="52"/>
      <c r="BN149" s="52"/>
      <c r="BO149" s="52"/>
      <c r="BP149" s="52"/>
      <c r="BQ149" s="52"/>
      <c r="BR149" s="52"/>
      <c r="BS149" s="52"/>
      <c r="BT149" s="52"/>
      <c r="BU149" s="52"/>
      <c r="BV149" s="52"/>
      <c r="BW149" s="52"/>
      <c r="BX149" s="52"/>
      <c r="BY149" s="52"/>
      <c r="BZ149" s="52"/>
      <c r="CA149" s="52"/>
      <c r="CB149" s="52"/>
      <c r="CC149" s="52"/>
      <c r="CD149" s="118"/>
      <c r="CE149" s="52"/>
      <c r="CF149" s="52"/>
      <c r="CG149" s="52"/>
      <c r="CH149" s="52"/>
      <c r="CI149" s="52"/>
      <c r="CJ149" s="52"/>
      <c r="CK149" s="52"/>
      <c r="CL149" s="52"/>
      <c r="CM149" s="52"/>
      <c r="CN149" s="118"/>
      <c r="CO149" s="118"/>
      <c r="CP149" s="118"/>
      <c r="CQ149" s="52"/>
      <c r="CR149" s="52"/>
      <c r="CS149" s="52"/>
      <c r="CT149" s="52"/>
      <c r="CU149" s="52"/>
      <c r="CV149" s="52"/>
      <c r="CW149" s="52"/>
      <c r="CX149" s="52"/>
      <c r="CY149" s="52"/>
      <c r="CZ149" s="52"/>
      <c r="DA149" s="52"/>
      <c r="DB149" s="52"/>
    </row>
    <row r="150" spans="1:106" ht="13.5" x14ac:dyDescent="0.25">
      <c r="A150" s="411">
        <v>148</v>
      </c>
      <c r="B150" s="412" t="s">
        <v>3328</v>
      </c>
      <c r="C150" s="564" t="s">
        <v>622</v>
      </c>
      <c r="D150" s="562" t="s">
        <v>3327</v>
      </c>
      <c r="E150" s="80">
        <v>1</v>
      </c>
      <c r="F150" s="356">
        <v>10055.023999999999</v>
      </c>
      <c r="G150" s="293"/>
      <c r="H150" s="293"/>
      <c r="I150" s="293"/>
      <c r="J150" s="52"/>
      <c r="K150" s="52"/>
      <c r="L150" s="359"/>
      <c r="M150" s="360"/>
      <c r="N150" s="361"/>
      <c r="O150" s="33"/>
      <c r="P150" s="252"/>
      <c r="Q150" s="113"/>
      <c r="R150" s="113"/>
      <c r="S150" s="113"/>
      <c r="T150" s="52"/>
      <c r="U150" s="5"/>
      <c r="V150" s="231"/>
      <c r="W150" s="231"/>
      <c r="X150" s="231"/>
      <c r="Y150" s="113"/>
      <c r="Z150" s="357"/>
      <c r="AA150" s="118" t="s">
        <v>2877</v>
      </c>
      <c r="AB150" s="118"/>
      <c r="AC150" s="118"/>
      <c r="AD150" s="52"/>
      <c r="AE150" s="5"/>
      <c r="AF150" s="358"/>
      <c r="AG150" s="358"/>
      <c r="AH150" s="358"/>
      <c r="AI150" s="358"/>
      <c r="AJ150" s="358"/>
      <c r="AK150" s="113"/>
      <c r="AL150" s="113"/>
      <c r="AM150" s="113"/>
      <c r="AN150" s="113"/>
      <c r="AO150" s="113"/>
      <c r="AP150" s="52"/>
      <c r="AQ150" s="52"/>
      <c r="AR150" s="52"/>
      <c r="AS150" s="52"/>
      <c r="AT150" s="52"/>
      <c r="AU150" s="125"/>
      <c r="AV150" s="125"/>
      <c r="AW150" s="125"/>
      <c r="AX150" s="5"/>
      <c r="AY150" s="5"/>
      <c r="AZ150" s="113">
        <v>37000</v>
      </c>
      <c r="BA150" s="113">
        <v>7030</v>
      </c>
      <c r="BB150" s="113">
        <v>44030</v>
      </c>
      <c r="BC150" s="52" t="s">
        <v>3329</v>
      </c>
      <c r="BD150" s="52"/>
      <c r="BE150" s="118"/>
      <c r="BF150" s="118"/>
      <c r="BG150" s="118"/>
      <c r="BH150" s="52"/>
      <c r="BI150" s="283"/>
      <c r="BJ150" s="52"/>
      <c r="BK150" s="52"/>
      <c r="BL150" s="52"/>
      <c r="BM150" s="52"/>
      <c r="BN150" s="52"/>
      <c r="BO150" s="52"/>
      <c r="BP150" s="52"/>
      <c r="BQ150" s="52"/>
      <c r="BR150" s="52"/>
      <c r="BS150" s="52"/>
      <c r="BT150" s="52"/>
      <c r="BU150" s="52"/>
      <c r="BV150" s="52"/>
      <c r="BW150" s="52"/>
      <c r="BX150" s="52"/>
      <c r="BY150" s="52"/>
      <c r="BZ150" s="52"/>
      <c r="CA150" s="52"/>
      <c r="CB150" s="52"/>
      <c r="CC150" s="52"/>
      <c r="CD150" s="118"/>
      <c r="CE150" s="52"/>
      <c r="CF150" s="52"/>
      <c r="CG150" s="52"/>
      <c r="CH150" s="52"/>
      <c r="CI150" s="52"/>
      <c r="CJ150" s="52"/>
      <c r="CK150" s="52"/>
      <c r="CL150" s="52"/>
      <c r="CM150" s="52"/>
      <c r="CN150" s="118"/>
      <c r="CO150" s="118"/>
      <c r="CP150" s="118"/>
      <c r="CQ150" s="52"/>
      <c r="CR150" s="52"/>
      <c r="CS150" s="52"/>
      <c r="CT150" s="52"/>
      <c r="CU150" s="52"/>
      <c r="CV150" s="52"/>
      <c r="CW150" s="52"/>
      <c r="CX150" s="52"/>
      <c r="CY150" s="52"/>
      <c r="CZ150" s="52"/>
      <c r="DA150" s="52"/>
      <c r="DB150" s="52"/>
    </row>
    <row r="151" spans="1:106" ht="13.5" x14ac:dyDescent="0.25">
      <c r="A151" s="411">
        <v>149</v>
      </c>
      <c r="B151" s="412" t="s">
        <v>3330</v>
      </c>
      <c r="C151" s="564" t="s">
        <v>622</v>
      </c>
      <c r="D151" s="426" t="s">
        <v>3324</v>
      </c>
      <c r="E151" s="80">
        <v>1</v>
      </c>
      <c r="F151" s="356">
        <v>50275.12</v>
      </c>
      <c r="G151" s="293">
        <v>55700</v>
      </c>
      <c r="H151" s="293">
        <v>10583</v>
      </c>
      <c r="I151" s="293">
        <v>66283</v>
      </c>
      <c r="J151" s="52" t="s">
        <v>2948</v>
      </c>
      <c r="K151" s="52" t="s">
        <v>3331</v>
      </c>
      <c r="L151" s="359"/>
      <c r="M151" s="360"/>
      <c r="N151" s="361"/>
      <c r="O151" s="33"/>
      <c r="P151" s="252"/>
      <c r="Q151" s="113"/>
      <c r="R151" s="113"/>
      <c r="S151" s="113"/>
      <c r="T151" s="52"/>
      <c r="U151" s="5"/>
      <c r="V151" s="231"/>
      <c r="W151" s="231"/>
      <c r="X151" s="231"/>
      <c r="Y151" s="113"/>
      <c r="Z151" s="357"/>
      <c r="AA151" s="118" t="s">
        <v>2877</v>
      </c>
      <c r="AB151" s="118"/>
      <c r="AC151" s="118"/>
      <c r="AD151" s="52"/>
      <c r="AE151" s="5"/>
      <c r="AF151" s="358"/>
      <c r="AG151" s="358"/>
      <c r="AH151" s="358"/>
      <c r="AI151" s="358"/>
      <c r="AJ151" s="358"/>
      <c r="AK151" s="113"/>
      <c r="AL151" s="113"/>
      <c r="AM151" s="113"/>
      <c r="AN151" s="113"/>
      <c r="AO151" s="113"/>
      <c r="AP151" s="52"/>
      <c r="AQ151" s="52"/>
      <c r="AR151" s="52"/>
      <c r="AS151" s="52"/>
      <c r="AT151" s="52"/>
      <c r="AU151" s="125"/>
      <c r="AV151" s="125"/>
      <c r="AW151" s="125"/>
      <c r="AX151" s="5"/>
      <c r="AY151" s="5"/>
      <c r="AZ151" s="113">
        <v>42000</v>
      </c>
      <c r="BA151" s="113">
        <v>7980</v>
      </c>
      <c r="BB151" s="113">
        <v>49980</v>
      </c>
      <c r="BC151" s="52" t="s">
        <v>363</v>
      </c>
      <c r="BD151" s="52" t="s">
        <v>3332</v>
      </c>
      <c r="BE151" s="118"/>
      <c r="BF151" s="118"/>
      <c r="BG151" s="118"/>
      <c r="BH151" s="52"/>
      <c r="BI151" s="283"/>
      <c r="BJ151" s="52"/>
      <c r="BK151" s="52"/>
      <c r="BL151" s="52"/>
      <c r="BM151" s="52"/>
      <c r="BN151" s="52"/>
      <c r="BO151" s="52"/>
      <c r="BP151" s="52"/>
      <c r="BQ151" s="52"/>
      <c r="BR151" s="52"/>
      <c r="BS151" s="52"/>
      <c r="BT151" s="52"/>
      <c r="BU151" s="52"/>
      <c r="BV151" s="52"/>
      <c r="BW151" s="52"/>
      <c r="BX151" s="52"/>
      <c r="BY151" s="52"/>
      <c r="BZ151" s="52"/>
      <c r="CA151" s="52"/>
      <c r="CB151" s="52"/>
      <c r="CC151" s="52"/>
      <c r="CD151" s="118"/>
      <c r="CE151" s="52"/>
      <c r="CF151" s="52"/>
      <c r="CG151" s="52"/>
      <c r="CH151" s="52"/>
      <c r="CI151" s="52"/>
      <c r="CJ151" s="52"/>
      <c r="CK151" s="52"/>
      <c r="CL151" s="52"/>
      <c r="CM151" s="52"/>
      <c r="CN151" s="118"/>
      <c r="CO151" s="118"/>
      <c r="CP151" s="118"/>
      <c r="CQ151" s="52"/>
      <c r="CR151" s="52"/>
      <c r="CS151" s="52"/>
      <c r="CT151" s="52"/>
      <c r="CU151" s="52"/>
      <c r="CV151" s="52"/>
      <c r="CW151" s="52"/>
      <c r="CX151" s="52"/>
      <c r="CY151" s="52"/>
      <c r="CZ151" s="52"/>
      <c r="DA151" s="52"/>
      <c r="DB151" s="52"/>
    </row>
    <row r="152" spans="1:106" ht="13.5" x14ac:dyDescent="0.25">
      <c r="A152" s="411">
        <v>150</v>
      </c>
      <c r="B152" s="412" t="s">
        <v>3333</v>
      </c>
      <c r="C152" s="564" t="s">
        <v>622</v>
      </c>
      <c r="D152" s="426" t="s">
        <v>3334</v>
      </c>
      <c r="E152" s="80">
        <v>1</v>
      </c>
      <c r="F152" s="356">
        <v>77926.436000000002</v>
      </c>
      <c r="G152" s="293">
        <v>125700</v>
      </c>
      <c r="H152" s="293">
        <v>23883</v>
      </c>
      <c r="I152" s="293">
        <v>149583</v>
      </c>
      <c r="J152" s="52" t="s">
        <v>45</v>
      </c>
      <c r="K152" s="52" t="s">
        <v>3335</v>
      </c>
      <c r="L152" s="359"/>
      <c r="M152" s="360"/>
      <c r="N152" s="361"/>
      <c r="O152" s="33"/>
      <c r="P152" s="252"/>
      <c r="Q152" s="113"/>
      <c r="R152" s="113"/>
      <c r="S152" s="113"/>
      <c r="T152" s="52"/>
      <c r="U152" s="5"/>
      <c r="V152" s="231"/>
      <c r="W152" s="231"/>
      <c r="X152" s="231"/>
      <c r="Y152" s="113"/>
      <c r="Z152" s="357"/>
      <c r="AA152" s="118" t="s">
        <v>2877</v>
      </c>
      <c r="AB152" s="118"/>
      <c r="AC152" s="118"/>
      <c r="AD152" s="52"/>
      <c r="AE152" s="5"/>
      <c r="AF152" s="113">
        <v>28000</v>
      </c>
      <c r="AG152" s="113">
        <v>5320</v>
      </c>
      <c r="AH152" s="113">
        <v>33320</v>
      </c>
      <c r="AI152" s="358" t="s">
        <v>88</v>
      </c>
      <c r="AJ152" s="358">
        <v>1095350001</v>
      </c>
      <c r="AK152" s="113"/>
      <c r="AL152" s="113"/>
      <c r="AM152" s="113"/>
      <c r="AN152" s="113"/>
      <c r="AO152" s="113"/>
      <c r="AP152" s="52"/>
      <c r="AQ152" s="52"/>
      <c r="AR152" s="52"/>
      <c r="AS152" s="52"/>
      <c r="AT152" s="52"/>
      <c r="AU152" s="125"/>
      <c r="AV152" s="125"/>
      <c r="AW152" s="125"/>
      <c r="AX152" s="5"/>
      <c r="AY152" s="5"/>
      <c r="AZ152" s="113">
        <v>116000</v>
      </c>
      <c r="BA152" s="113">
        <v>22040</v>
      </c>
      <c r="BB152" s="113">
        <v>138040</v>
      </c>
      <c r="BC152" s="52" t="s">
        <v>3336</v>
      </c>
      <c r="BD152" s="52" t="s">
        <v>3337</v>
      </c>
      <c r="BE152" s="118"/>
      <c r="BF152" s="118"/>
      <c r="BG152" s="118"/>
      <c r="BH152" s="52"/>
      <c r="BI152" s="283"/>
      <c r="BJ152" s="52"/>
      <c r="BK152" s="52"/>
      <c r="BL152" s="52"/>
      <c r="BM152" s="52"/>
      <c r="BN152" s="52"/>
      <c r="BO152" s="52"/>
      <c r="BP152" s="52"/>
      <c r="BQ152" s="52"/>
      <c r="BR152" s="52"/>
      <c r="BS152" s="52"/>
      <c r="BT152" s="52"/>
      <c r="BU152" s="52"/>
      <c r="BV152" s="52"/>
      <c r="BW152" s="52"/>
      <c r="BX152" s="52"/>
      <c r="BY152" s="52"/>
      <c r="BZ152" s="52"/>
      <c r="CA152" s="52"/>
      <c r="CB152" s="52"/>
      <c r="CC152" s="52"/>
      <c r="CD152" s="118"/>
      <c r="CE152" s="52"/>
      <c r="CF152" s="52"/>
      <c r="CG152" s="52"/>
      <c r="CH152" s="52"/>
      <c r="CI152" s="52"/>
      <c r="CJ152" s="52"/>
      <c r="CK152" s="52"/>
      <c r="CL152" s="52"/>
      <c r="CM152" s="52"/>
      <c r="CN152" s="118"/>
      <c r="CO152" s="118"/>
      <c r="CP152" s="118"/>
      <c r="CQ152" s="52"/>
      <c r="CR152" s="52"/>
      <c r="CS152" s="52"/>
      <c r="CT152" s="52"/>
      <c r="CU152" s="52"/>
      <c r="CV152" s="52"/>
      <c r="CW152" s="52"/>
      <c r="CX152" s="52"/>
      <c r="CY152" s="52"/>
      <c r="CZ152" s="52"/>
      <c r="DA152" s="52"/>
      <c r="DB152" s="52"/>
    </row>
    <row r="153" spans="1:106" ht="13.5" x14ac:dyDescent="0.25">
      <c r="A153" s="411">
        <v>151</v>
      </c>
      <c r="B153" s="412" t="s">
        <v>3338</v>
      </c>
      <c r="C153" s="564" t="s">
        <v>622</v>
      </c>
      <c r="D153" s="426" t="s">
        <v>3334</v>
      </c>
      <c r="E153" s="80">
        <v>1</v>
      </c>
      <c r="F153" s="356">
        <v>277770.038</v>
      </c>
      <c r="G153" s="293"/>
      <c r="H153" s="293"/>
      <c r="I153" s="293"/>
      <c r="J153" s="52"/>
      <c r="K153" s="52"/>
      <c r="L153" s="359"/>
      <c r="M153" s="360"/>
      <c r="N153" s="361"/>
      <c r="O153" s="33"/>
      <c r="P153" s="252"/>
      <c r="Q153" s="113"/>
      <c r="R153" s="113"/>
      <c r="S153" s="113"/>
      <c r="T153" s="52"/>
      <c r="U153" s="5"/>
      <c r="V153" s="231"/>
      <c r="W153" s="231"/>
      <c r="X153" s="231"/>
      <c r="Y153" s="113"/>
      <c r="Z153" s="357"/>
      <c r="AA153" s="118" t="s">
        <v>2877</v>
      </c>
      <c r="AB153" s="118"/>
      <c r="AC153" s="118"/>
      <c r="AD153" s="52"/>
      <c r="AE153" s="5"/>
      <c r="AF153" s="358"/>
      <c r="AG153" s="358"/>
      <c r="AH153" s="358"/>
      <c r="AI153" s="358"/>
      <c r="AJ153" s="358"/>
      <c r="AK153" s="113"/>
      <c r="AL153" s="113"/>
      <c r="AM153" s="113"/>
      <c r="AN153" s="113"/>
      <c r="AO153" s="113"/>
      <c r="AP153" s="52"/>
      <c r="AQ153" s="52"/>
      <c r="AR153" s="52"/>
      <c r="AS153" s="52"/>
      <c r="AT153" s="52"/>
      <c r="AU153" s="125"/>
      <c r="AV153" s="125"/>
      <c r="AW153" s="125"/>
      <c r="AX153" s="5"/>
      <c r="AY153" s="5"/>
      <c r="AZ153" s="113">
        <v>121000</v>
      </c>
      <c r="BA153" s="113">
        <v>22990</v>
      </c>
      <c r="BB153" s="113">
        <v>143990</v>
      </c>
      <c r="BC153" s="52" t="s">
        <v>3336</v>
      </c>
      <c r="BD153" s="52" t="s">
        <v>3339</v>
      </c>
      <c r="BE153" s="118"/>
      <c r="BF153" s="118"/>
      <c r="BG153" s="118"/>
      <c r="BH153" s="52"/>
      <c r="BI153" s="283"/>
      <c r="BJ153" s="52"/>
      <c r="BK153" s="52"/>
      <c r="BL153" s="52"/>
      <c r="BM153" s="52"/>
      <c r="BN153" s="52"/>
      <c r="BO153" s="52"/>
      <c r="BP153" s="52"/>
      <c r="BQ153" s="52"/>
      <c r="BR153" s="52"/>
      <c r="BS153" s="52"/>
      <c r="BT153" s="52"/>
      <c r="BU153" s="52"/>
      <c r="BV153" s="52"/>
      <c r="BW153" s="52"/>
      <c r="BX153" s="52"/>
      <c r="BY153" s="52"/>
      <c r="BZ153" s="52"/>
      <c r="CA153" s="52"/>
      <c r="CB153" s="52"/>
      <c r="CC153" s="52"/>
      <c r="CD153" s="118"/>
      <c r="CE153" s="52"/>
      <c r="CF153" s="52"/>
      <c r="CG153" s="52"/>
      <c r="CH153" s="52"/>
      <c r="CI153" s="52"/>
      <c r="CJ153" s="52"/>
      <c r="CK153" s="52"/>
      <c r="CL153" s="52"/>
      <c r="CM153" s="52"/>
      <c r="CN153" s="118"/>
      <c r="CO153" s="118"/>
      <c r="CP153" s="118"/>
      <c r="CQ153" s="52"/>
      <c r="CR153" s="52"/>
      <c r="CS153" s="52"/>
      <c r="CT153" s="52"/>
      <c r="CU153" s="52"/>
      <c r="CV153" s="52"/>
      <c r="CW153" s="52"/>
      <c r="CX153" s="52"/>
      <c r="CY153" s="52"/>
      <c r="CZ153" s="52"/>
      <c r="DA153" s="52"/>
      <c r="DB153" s="52"/>
    </row>
    <row r="154" spans="1:106" ht="13.5" x14ac:dyDescent="0.25">
      <c r="A154" s="411">
        <v>152</v>
      </c>
      <c r="B154" s="412" t="s">
        <v>3340</v>
      </c>
      <c r="C154" s="564" t="s">
        <v>622</v>
      </c>
      <c r="D154" s="562" t="s">
        <v>3341</v>
      </c>
      <c r="E154" s="80">
        <v>1</v>
      </c>
      <c r="F154" s="356">
        <v>20738.487000000001</v>
      </c>
      <c r="G154" s="293"/>
      <c r="H154" s="293"/>
      <c r="I154" s="293"/>
      <c r="J154" s="52"/>
      <c r="K154" s="52"/>
      <c r="L154" s="359"/>
      <c r="M154" s="360"/>
      <c r="N154" s="361"/>
      <c r="O154" s="33"/>
      <c r="P154" s="252"/>
      <c r="Q154" s="113"/>
      <c r="R154" s="113"/>
      <c r="S154" s="113"/>
      <c r="T154" s="52"/>
      <c r="U154" s="5"/>
      <c r="V154" s="231"/>
      <c r="W154" s="231"/>
      <c r="X154" s="231"/>
      <c r="Y154" s="113"/>
      <c r="Z154" s="357"/>
      <c r="AA154" s="118" t="s">
        <v>2877</v>
      </c>
      <c r="AB154" s="118"/>
      <c r="AC154" s="118"/>
      <c r="AD154" s="52"/>
      <c r="AE154" s="5"/>
      <c r="AF154" s="358"/>
      <c r="AG154" s="358"/>
      <c r="AH154" s="358"/>
      <c r="AI154" s="358"/>
      <c r="AJ154" s="358"/>
      <c r="AK154" s="113"/>
      <c r="AL154" s="113"/>
      <c r="AM154" s="113"/>
      <c r="AN154" s="113"/>
      <c r="AO154" s="113"/>
      <c r="AP154" s="52"/>
      <c r="AQ154" s="52"/>
      <c r="AR154" s="52"/>
      <c r="AS154" s="52"/>
      <c r="AT154" s="52"/>
      <c r="AU154" s="125"/>
      <c r="AV154" s="125"/>
      <c r="AW154" s="125"/>
      <c r="AX154" s="5"/>
      <c r="AY154" s="5"/>
      <c r="AZ154" s="113">
        <v>40000</v>
      </c>
      <c r="BA154" s="113">
        <v>7600</v>
      </c>
      <c r="BB154" s="113">
        <v>47600</v>
      </c>
      <c r="BC154" s="52" t="s">
        <v>3325</v>
      </c>
      <c r="BD154" s="52"/>
      <c r="BE154" s="118"/>
      <c r="BF154" s="118"/>
      <c r="BG154" s="118"/>
      <c r="BH154" s="52"/>
      <c r="BI154" s="283"/>
      <c r="BJ154" s="52"/>
      <c r="BK154" s="52"/>
      <c r="BL154" s="52"/>
      <c r="BM154" s="52"/>
      <c r="BN154" s="52"/>
      <c r="BO154" s="52"/>
      <c r="BP154" s="52"/>
      <c r="BQ154" s="52"/>
      <c r="BR154" s="52"/>
      <c r="BS154" s="52"/>
      <c r="BT154" s="52"/>
      <c r="BU154" s="52"/>
      <c r="BV154" s="52"/>
      <c r="BW154" s="52"/>
      <c r="BX154" s="52"/>
      <c r="BY154" s="52"/>
      <c r="BZ154" s="52"/>
      <c r="CA154" s="52"/>
      <c r="CB154" s="52"/>
      <c r="CC154" s="52"/>
      <c r="CD154" s="118"/>
      <c r="CE154" s="52"/>
      <c r="CF154" s="52"/>
      <c r="CG154" s="52"/>
      <c r="CH154" s="52"/>
      <c r="CI154" s="52"/>
      <c r="CJ154" s="52"/>
      <c r="CK154" s="52"/>
      <c r="CL154" s="52"/>
      <c r="CM154" s="52"/>
      <c r="CN154" s="118"/>
      <c r="CO154" s="118"/>
      <c r="CP154" s="118"/>
      <c r="CQ154" s="52"/>
      <c r="CR154" s="52"/>
      <c r="CS154" s="52"/>
      <c r="CT154" s="52"/>
      <c r="CU154" s="52"/>
      <c r="CV154" s="52"/>
      <c r="CW154" s="52"/>
      <c r="CX154" s="52"/>
      <c r="CY154" s="52"/>
      <c r="CZ154" s="52"/>
      <c r="DA154" s="52"/>
      <c r="DB154" s="52"/>
    </row>
    <row r="155" spans="1:106" ht="13.5" x14ac:dyDescent="0.25">
      <c r="A155" s="411">
        <v>153</v>
      </c>
      <c r="B155" s="412" t="s">
        <v>3342</v>
      </c>
      <c r="C155" s="413" t="s">
        <v>3343</v>
      </c>
      <c r="D155" s="426" t="s">
        <v>445</v>
      </c>
      <c r="E155" s="80">
        <v>1</v>
      </c>
      <c r="F155" s="356">
        <v>28279.755000000001</v>
      </c>
      <c r="G155" s="293"/>
      <c r="H155" s="293"/>
      <c r="I155" s="293"/>
      <c r="J155" s="52"/>
      <c r="K155" s="52"/>
      <c r="L155" s="359"/>
      <c r="M155" s="360"/>
      <c r="N155" s="361"/>
      <c r="O155" s="33"/>
      <c r="P155" s="252"/>
      <c r="Q155" s="113"/>
      <c r="R155" s="113"/>
      <c r="S155" s="113"/>
      <c r="T155" s="52"/>
      <c r="U155" s="5"/>
      <c r="V155" s="231"/>
      <c r="W155" s="231"/>
      <c r="X155" s="231"/>
      <c r="Y155" s="113"/>
      <c r="Z155" s="357"/>
      <c r="AA155" s="118" t="s">
        <v>2877</v>
      </c>
      <c r="AB155" s="118"/>
      <c r="AC155" s="118"/>
      <c r="AD155" s="52"/>
      <c r="AE155" s="5"/>
      <c r="AF155" s="358"/>
      <c r="AG155" s="358"/>
      <c r="AH155" s="358"/>
      <c r="AI155" s="358"/>
      <c r="AJ155" s="358"/>
      <c r="AK155" s="113"/>
      <c r="AL155" s="113"/>
      <c r="AM155" s="113"/>
      <c r="AN155" s="113"/>
      <c r="AO155" s="113"/>
      <c r="AP155" s="52"/>
      <c r="AQ155" s="52"/>
      <c r="AR155" s="52"/>
      <c r="AS155" s="52"/>
      <c r="AT155" s="52"/>
      <c r="AU155" s="125"/>
      <c r="AV155" s="125"/>
      <c r="AW155" s="125"/>
      <c r="AX155" s="5"/>
      <c r="AY155" s="5"/>
      <c r="AZ155" s="113">
        <v>30000</v>
      </c>
      <c r="BA155" s="113">
        <v>5700</v>
      </c>
      <c r="BB155" s="113">
        <v>35700</v>
      </c>
      <c r="BC155" s="52" t="s">
        <v>363</v>
      </c>
      <c r="BD155" s="52"/>
      <c r="BE155" s="118"/>
      <c r="BF155" s="118"/>
      <c r="BG155" s="118"/>
      <c r="BH155" s="52"/>
      <c r="BI155" s="283"/>
      <c r="BJ155" s="52"/>
      <c r="BK155" s="52"/>
      <c r="BL155" s="52"/>
      <c r="BM155" s="52"/>
      <c r="BN155" s="52"/>
      <c r="BO155" s="52"/>
      <c r="BP155" s="52"/>
      <c r="BQ155" s="52"/>
      <c r="BR155" s="52"/>
      <c r="BS155" s="52"/>
      <c r="BT155" s="52"/>
      <c r="BU155" s="52"/>
      <c r="BV155" s="52"/>
      <c r="BW155" s="52"/>
      <c r="BX155" s="52"/>
      <c r="BY155" s="52"/>
      <c r="BZ155" s="52"/>
      <c r="CA155" s="52"/>
      <c r="CB155" s="52"/>
      <c r="CC155" s="52"/>
      <c r="CD155" s="118"/>
      <c r="CE155" s="52"/>
      <c r="CF155" s="52"/>
      <c r="CG155" s="52"/>
      <c r="CH155" s="52"/>
      <c r="CI155" s="52"/>
      <c r="CJ155" s="52"/>
      <c r="CK155" s="52"/>
      <c r="CL155" s="52"/>
      <c r="CM155" s="52"/>
      <c r="CN155" s="118"/>
      <c r="CO155" s="118"/>
      <c r="CP155" s="118"/>
      <c r="CQ155" s="52"/>
      <c r="CR155" s="52"/>
      <c r="CS155" s="52"/>
      <c r="CT155" s="52"/>
      <c r="CU155" s="52"/>
      <c r="CV155" s="52"/>
      <c r="CW155" s="52"/>
      <c r="CX155" s="52"/>
      <c r="CY155" s="52"/>
      <c r="CZ155" s="52"/>
      <c r="DA155" s="52"/>
      <c r="DB155" s="52"/>
    </row>
    <row r="156" spans="1:106" ht="27" x14ac:dyDescent="0.25">
      <c r="A156" s="411">
        <v>154</v>
      </c>
      <c r="B156" s="412" t="s">
        <v>3344</v>
      </c>
      <c r="C156" s="564" t="s">
        <v>622</v>
      </c>
      <c r="D156" s="426" t="s">
        <v>445</v>
      </c>
      <c r="E156" s="80">
        <v>1</v>
      </c>
      <c r="F156" s="356">
        <v>27651.316000000003</v>
      </c>
      <c r="G156" s="293"/>
      <c r="H156" s="293"/>
      <c r="I156" s="293"/>
      <c r="J156" s="52"/>
      <c r="K156" s="52"/>
      <c r="L156" s="359"/>
      <c r="M156" s="360"/>
      <c r="N156" s="361"/>
      <c r="O156" s="33"/>
      <c r="P156" s="252"/>
      <c r="Q156" s="113"/>
      <c r="R156" s="113"/>
      <c r="S156" s="113"/>
      <c r="T156" s="52"/>
      <c r="U156" s="5"/>
      <c r="V156" s="231"/>
      <c r="W156" s="231"/>
      <c r="X156" s="231"/>
      <c r="Y156" s="113"/>
      <c r="Z156" s="357"/>
      <c r="AA156" s="118" t="s">
        <v>2877</v>
      </c>
      <c r="AB156" s="118"/>
      <c r="AC156" s="118"/>
      <c r="AD156" s="52"/>
      <c r="AE156" s="5"/>
      <c r="AF156" s="358"/>
      <c r="AG156" s="358"/>
      <c r="AH156" s="358"/>
      <c r="AI156" s="358"/>
      <c r="AJ156" s="358"/>
      <c r="AK156" s="113"/>
      <c r="AL156" s="113"/>
      <c r="AM156" s="113"/>
      <c r="AN156" s="113"/>
      <c r="AO156" s="113"/>
      <c r="AP156" s="52"/>
      <c r="AQ156" s="52"/>
      <c r="AR156" s="52"/>
      <c r="AS156" s="52"/>
      <c r="AT156" s="52"/>
      <c r="AU156" s="125"/>
      <c r="AV156" s="125"/>
      <c r="AW156" s="125"/>
      <c r="AX156" s="5"/>
      <c r="AY156" s="5"/>
      <c r="AZ156" s="113">
        <v>46000</v>
      </c>
      <c r="BA156" s="113">
        <v>8740</v>
      </c>
      <c r="BB156" s="113">
        <v>54740</v>
      </c>
      <c r="BC156" s="52" t="s">
        <v>3345</v>
      </c>
      <c r="BD156" s="52">
        <v>111610</v>
      </c>
      <c r="BE156" s="118"/>
      <c r="BF156" s="118"/>
      <c r="BG156" s="118"/>
      <c r="BH156" s="52"/>
      <c r="BI156" s="283"/>
      <c r="BJ156" s="52"/>
      <c r="BK156" s="52"/>
      <c r="BL156" s="52"/>
      <c r="BM156" s="52"/>
      <c r="BN156" s="52"/>
      <c r="BO156" s="52"/>
      <c r="BP156" s="52"/>
      <c r="BQ156" s="52"/>
      <c r="BR156" s="52"/>
      <c r="BS156" s="52"/>
      <c r="BT156" s="52"/>
      <c r="BU156" s="52"/>
      <c r="BV156" s="52"/>
      <c r="BW156" s="52"/>
      <c r="BX156" s="52"/>
      <c r="BY156" s="52"/>
      <c r="BZ156" s="52"/>
      <c r="CA156" s="52"/>
      <c r="CB156" s="52"/>
      <c r="CC156" s="52"/>
      <c r="CD156" s="118"/>
      <c r="CE156" s="52"/>
      <c r="CF156" s="52"/>
      <c r="CG156" s="52"/>
      <c r="CH156" s="52"/>
      <c r="CI156" s="52"/>
      <c r="CJ156" s="52"/>
      <c r="CK156" s="52"/>
      <c r="CL156" s="52"/>
      <c r="CM156" s="52"/>
      <c r="CN156" s="118"/>
      <c r="CO156" s="118"/>
      <c r="CP156" s="118"/>
      <c r="CQ156" s="52"/>
      <c r="CR156" s="52"/>
      <c r="CS156" s="52"/>
      <c r="CT156" s="52"/>
      <c r="CU156" s="52"/>
      <c r="CV156" s="52"/>
      <c r="CW156" s="52"/>
      <c r="CX156" s="52"/>
      <c r="CY156" s="52"/>
      <c r="CZ156" s="52"/>
      <c r="DA156" s="52"/>
      <c r="DB156" s="52"/>
    </row>
    <row r="157" spans="1:106" ht="13.5" x14ac:dyDescent="0.25">
      <c r="A157" s="411">
        <v>155</v>
      </c>
      <c r="B157" s="412" t="s">
        <v>3346</v>
      </c>
      <c r="C157" s="564" t="s">
        <v>622</v>
      </c>
      <c r="D157" s="426" t="s">
        <v>445</v>
      </c>
      <c r="E157" s="80">
        <v>1</v>
      </c>
      <c r="F157" s="356">
        <v>17596.292000000001</v>
      </c>
      <c r="G157" s="293"/>
      <c r="H157" s="293"/>
      <c r="I157" s="293"/>
      <c r="J157" s="52"/>
      <c r="K157" s="52"/>
      <c r="L157" s="359"/>
      <c r="M157" s="360"/>
      <c r="N157" s="361"/>
      <c r="O157" s="33"/>
      <c r="P157" s="252"/>
      <c r="Q157" s="113"/>
      <c r="R157" s="113"/>
      <c r="S157" s="113"/>
      <c r="T157" s="52"/>
      <c r="U157" s="5"/>
      <c r="V157" s="231"/>
      <c r="W157" s="231"/>
      <c r="X157" s="231"/>
      <c r="Y157" s="113"/>
      <c r="Z157" s="357"/>
      <c r="AA157" s="118" t="s">
        <v>2877</v>
      </c>
      <c r="AB157" s="118"/>
      <c r="AC157" s="118"/>
      <c r="AD157" s="52"/>
      <c r="AE157" s="5"/>
      <c r="AF157" s="358"/>
      <c r="AG157" s="358"/>
      <c r="AH157" s="358"/>
      <c r="AI157" s="358"/>
      <c r="AJ157" s="358"/>
      <c r="AK157" s="113"/>
      <c r="AL157" s="113"/>
      <c r="AM157" s="113"/>
      <c r="AN157" s="113"/>
      <c r="AO157" s="113"/>
      <c r="AP157" s="52"/>
      <c r="AQ157" s="52"/>
      <c r="AR157" s="52"/>
      <c r="AS157" s="52"/>
      <c r="AT157" s="52"/>
      <c r="AU157" s="125"/>
      <c r="AV157" s="125"/>
      <c r="AW157" s="125"/>
      <c r="AX157" s="5"/>
      <c r="AY157" s="5"/>
      <c r="AZ157" s="113">
        <v>54000</v>
      </c>
      <c r="BA157" s="113">
        <v>10260</v>
      </c>
      <c r="BB157" s="113">
        <v>64260</v>
      </c>
      <c r="BC157" s="52" t="s">
        <v>3347</v>
      </c>
      <c r="BD157" s="52">
        <v>216048</v>
      </c>
      <c r="BE157" s="118"/>
      <c r="BF157" s="118"/>
      <c r="BG157" s="118"/>
      <c r="BH157" s="52"/>
      <c r="BI157" s="283"/>
      <c r="BJ157" s="52"/>
      <c r="BK157" s="52"/>
      <c r="BL157" s="52"/>
      <c r="BM157" s="52"/>
      <c r="BN157" s="52"/>
      <c r="BO157" s="52"/>
      <c r="BP157" s="52"/>
      <c r="BQ157" s="52"/>
      <c r="BR157" s="52"/>
      <c r="BS157" s="52"/>
      <c r="BT157" s="52"/>
      <c r="BU157" s="52"/>
      <c r="BV157" s="52"/>
      <c r="BW157" s="52"/>
      <c r="BX157" s="52"/>
      <c r="BY157" s="52"/>
      <c r="BZ157" s="52"/>
      <c r="CA157" s="52"/>
      <c r="CB157" s="52"/>
      <c r="CC157" s="52"/>
      <c r="CD157" s="118"/>
      <c r="CE157" s="52"/>
      <c r="CF157" s="52"/>
      <c r="CG157" s="52"/>
      <c r="CH157" s="52"/>
      <c r="CI157" s="52"/>
      <c r="CJ157" s="52"/>
      <c r="CK157" s="52"/>
      <c r="CL157" s="52"/>
      <c r="CM157" s="52"/>
      <c r="CN157" s="118"/>
      <c r="CO157" s="118"/>
      <c r="CP157" s="118"/>
      <c r="CQ157" s="52"/>
      <c r="CR157" s="52"/>
      <c r="CS157" s="52"/>
      <c r="CT157" s="52"/>
      <c r="CU157" s="52"/>
      <c r="CV157" s="52"/>
      <c r="CW157" s="52"/>
      <c r="CX157" s="52"/>
      <c r="CY157" s="52"/>
      <c r="CZ157" s="52"/>
      <c r="DA157" s="52"/>
      <c r="DB157" s="52"/>
    </row>
    <row r="158" spans="1:106" ht="27" x14ac:dyDescent="0.25">
      <c r="A158" s="411">
        <v>156</v>
      </c>
      <c r="B158" s="412" t="s">
        <v>3348</v>
      </c>
      <c r="C158" s="564" t="s">
        <v>622</v>
      </c>
      <c r="D158" s="426" t="s">
        <v>445</v>
      </c>
      <c r="E158" s="80">
        <v>1</v>
      </c>
      <c r="F158" s="356">
        <v>14786.800000000001</v>
      </c>
      <c r="G158" s="293"/>
      <c r="H158" s="293"/>
      <c r="I158" s="293"/>
      <c r="J158" s="52"/>
      <c r="K158" s="52"/>
      <c r="L158" s="359"/>
      <c r="M158" s="360"/>
      <c r="N158" s="361"/>
      <c r="O158" s="33"/>
      <c r="P158" s="252"/>
      <c r="Q158" s="113"/>
      <c r="R158" s="113"/>
      <c r="S158" s="113"/>
      <c r="T158" s="52"/>
      <c r="U158" s="5"/>
      <c r="V158" s="231"/>
      <c r="W158" s="231"/>
      <c r="X158" s="231"/>
      <c r="Y158" s="113"/>
      <c r="Z158" s="357"/>
      <c r="AA158" s="118" t="s">
        <v>2877</v>
      </c>
      <c r="AB158" s="118"/>
      <c r="AC158" s="118"/>
      <c r="AD158" s="52"/>
      <c r="AE158" s="5"/>
      <c r="AF158" s="358"/>
      <c r="AG158" s="358"/>
      <c r="AH158" s="358"/>
      <c r="AI158" s="358"/>
      <c r="AJ158" s="358"/>
      <c r="AK158" s="113"/>
      <c r="AL158" s="113"/>
      <c r="AM158" s="113"/>
      <c r="AN158" s="113"/>
      <c r="AO158" s="113"/>
      <c r="AP158" s="52"/>
      <c r="AQ158" s="52"/>
      <c r="AR158" s="52"/>
      <c r="AS158" s="52"/>
      <c r="AT158" s="52"/>
      <c r="AU158" s="125"/>
      <c r="AV158" s="125"/>
      <c r="AW158" s="125"/>
      <c r="AX158" s="5"/>
      <c r="AY158" s="5"/>
      <c r="AZ158" s="113">
        <v>30000</v>
      </c>
      <c r="BA158" s="113">
        <v>5700</v>
      </c>
      <c r="BB158" s="113">
        <v>35700</v>
      </c>
      <c r="BC158" s="52" t="s">
        <v>3347</v>
      </c>
      <c r="BD158" s="52">
        <v>216074</v>
      </c>
      <c r="BE158" s="118"/>
      <c r="BF158" s="118"/>
      <c r="BG158" s="118"/>
      <c r="BH158" s="52"/>
      <c r="BI158" s="283"/>
      <c r="BJ158" s="52"/>
      <c r="BK158" s="52"/>
      <c r="BL158" s="52"/>
      <c r="BM158" s="52"/>
      <c r="BN158" s="52"/>
      <c r="BO158" s="52"/>
      <c r="BP158" s="52"/>
      <c r="BQ158" s="52"/>
      <c r="BR158" s="52"/>
      <c r="BS158" s="52"/>
      <c r="BT158" s="52"/>
      <c r="BU158" s="52"/>
      <c r="BV158" s="52"/>
      <c r="BW158" s="52"/>
      <c r="BX158" s="52"/>
      <c r="BY158" s="52"/>
      <c r="BZ158" s="52"/>
      <c r="CA158" s="52"/>
      <c r="CB158" s="52"/>
      <c r="CC158" s="52"/>
      <c r="CD158" s="118"/>
      <c r="CE158" s="52"/>
      <c r="CF158" s="52"/>
      <c r="CG158" s="52"/>
      <c r="CH158" s="52"/>
      <c r="CI158" s="52"/>
      <c r="CJ158" s="52"/>
      <c r="CK158" s="52"/>
      <c r="CL158" s="52"/>
      <c r="CM158" s="52"/>
      <c r="CN158" s="118"/>
      <c r="CO158" s="118"/>
      <c r="CP158" s="118"/>
      <c r="CQ158" s="52"/>
      <c r="CR158" s="52"/>
      <c r="CS158" s="52"/>
      <c r="CT158" s="52"/>
      <c r="CU158" s="52"/>
      <c r="CV158" s="52"/>
      <c r="CW158" s="52"/>
      <c r="CX158" s="52"/>
      <c r="CY158" s="52"/>
      <c r="CZ158" s="52"/>
      <c r="DA158" s="52"/>
      <c r="DB158" s="52"/>
    </row>
    <row r="159" spans="1:106" ht="51" x14ac:dyDescent="0.25">
      <c r="A159" s="411">
        <v>157</v>
      </c>
      <c r="B159" s="412" t="s">
        <v>3349</v>
      </c>
      <c r="C159" s="426" t="s">
        <v>3350</v>
      </c>
      <c r="D159" s="426" t="s">
        <v>3351</v>
      </c>
      <c r="E159" s="80">
        <v>1</v>
      </c>
      <c r="F159" s="356">
        <v>1545959.94</v>
      </c>
      <c r="G159" s="293"/>
      <c r="H159" s="293"/>
      <c r="I159" s="293"/>
      <c r="J159" s="52"/>
      <c r="K159" s="52"/>
      <c r="L159" s="359">
        <v>563974</v>
      </c>
      <c r="M159" s="360">
        <v>107155.06</v>
      </c>
      <c r="N159" s="361">
        <v>671129.06</v>
      </c>
      <c r="O159" s="33" t="s">
        <v>3278</v>
      </c>
      <c r="P159" s="252" t="s">
        <v>3352</v>
      </c>
      <c r="Q159" s="113">
        <v>2800000</v>
      </c>
      <c r="R159" s="113">
        <v>532000</v>
      </c>
      <c r="S159" s="113">
        <v>3332000</v>
      </c>
      <c r="T159" s="52" t="s">
        <v>343</v>
      </c>
      <c r="U159" s="5" t="s">
        <v>3353</v>
      </c>
      <c r="V159" s="231"/>
      <c r="W159" s="231"/>
      <c r="X159" s="231"/>
      <c r="Y159" s="113"/>
      <c r="Z159" s="357"/>
      <c r="AA159" s="118" t="s">
        <v>2877</v>
      </c>
      <c r="AB159" s="118"/>
      <c r="AC159" s="118"/>
      <c r="AD159" s="52"/>
      <c r="AE159" s="5"/>
      <c r="AF159" s="113">
        <v>909720</v>
      </c>
      <c r="AG159" s="113">
        <v>172846.8</v>
      </c>
      <c r="AH159" s="113">
        <v>1082566.8</v>
      </c>
      <c r="AI159" s="358" t="s">
        <v>88</v>
      </c>
      <c r="AJ159" s="358">
        <v>1196870001</v>
      </c>
      <c r="AK159" s="113"/>
      <c r="AL159" s="113"/>
      <c r="AM159" s="113"/>
      <c r="AN159" s="113"/>
      <c r="AO159" s="113"/>
      <c r="AP159" s="52"/>
      <c r="AQ159" s="52"/>
      <c r="AR159" s="52"/>
      <c r="AS159" s="52"/>
      <c r="AT159" s="52"/>
      <c r="AU159" s="125"/>
      <c r="AV159" s="125"/>
      <c r="AW159" s="125"/>
      <c r="AX159" s="5"/>
      <c r="AY159" s="5"/>
      <c r="AZ159" s="113"/>
      <c r="BA159" s="113"/>
      <c r="BB159" s="113"/>
      <c r="BC159" s="52"/>
      <c r="BD159" s="52"/>
      <c r="BE159" s="118"/>
      <c r="BF159" s="118"/>
      <c r="BG159" s="118"/>
      <c r="BH159" s="52"/>
      <c r="BI159" s="283"/>
      <c r="BJ159" s="52"/>
      <c r="BK159" s="52"/>
      <c r="BL159" s="52"/>
      <c r="BM159" s="52"/>
      <c r="BN159" s="52"/>
      <c r="BO159" s="52"/>
      <c r="BP159" s="52"/>
      <c r="BQ159" s="52"/>
      <c r="BR159" s="52"/>
      <c r="BS159" s="52"/>
      <c r="BT159" s="52"/>
      <c r="BU159" s="52"/>
      <c r="BV159" s="52"/>
      <c r="BW159" s="52"/>
      <c r="BX159" s="52"/>
      <c r="BY159" s="52"/>
      <c r="BZ159" s="52"/>
      <c r="CA159" s="52"/>
      <c r="CB159" s="52"/>
      <c r="CC159" s="52"/>
      <c r="CD159" s="118"/>
      <c r="CE159" s="52"/>
      <c r="CF159" s="52"/>
      <c r="CG159" s="52"/>
      <c r="CH159" s="52"/>
      <c r="CI159" s="52"/>
      <c r="CJ159" s="52"/>
      <c r="CK159" s="52"/>
      <c r="CL159" s="52"/>
      <c r="CM159" s="52"/>
      <c r="CN159" s="118"/>
      <c r="CO159" s="118"/>
      <c r="CP159" s="118"/>
      <c r="CQ159" s="52"/>
      <c r="CR159" s="52"/>
      <c r="CS159" s="52"/>
      <c r="CT159" s="52"/>
      <c r="CU159" s="52"/>
      <c r="CV159" s="52"/>
      <c r="CW159" s="52"/>
      <c r="CX159" s="52"/>
      <c r="CY159" s="52"/>
      <c r="CZ159" s="52"/>
      <c r="DA159" s="52"/>
      <c r="DB159" s="52"/>
    </row>
    <row r="160" spans="1:106" ht="51" x14ac:dyDescent="0.25">
      <c r="A160" s="411">
        <v>158</v>
      </c>
      <c r="B160" s="412" t="s">
        <v>3354</v>
      </c>
      <c r="C160" s="426" t="s">
        <v>3355</v>
      </c>
      <c r="D160" s="426" t="s">
        <v>2005</v>
      </c>
      <c r="E160" s="80">
        <v>1</v>
      </c>
      <c r="F160" s="356">
        <v>1816434.8046000001</v>
      </c>
      <c r="G160" s="293"/>
      <c r="H160" s="293"/>
      <c r="I160" s="293"/>
      <c r="J160" s="52"/>
      <c r="K160" s="52"/>
      <c r="L160" s="359">
        <v>563974</v>
      </c>
      <c r="M160" s="360">
        <v>107155.06</v>
      </c>
      <c r="N160" s="361">
        <v>671129.06</v>
      </c>
      <c r="O160" s="33" t="s">
        <v>3278</v>
      </c>
      <c r="P160" s="252" t="s">
        <v>3352</v>
      </c>
      <c r="Q160" s="113">
        <v>1642000</v>
      </c>
      <c r="R160" s="113">
        <v>311980</v>
      </c>
      <c r="S160" s="113">
        <v>1953980</v>
      </c>
      <c r="T160" s="52" t="s">
        <v>343</v>
      </c>
      <c r="U160" s="5" t="s">
        <v>3356</v>
      </c>
      <c r="V160" s="231"/>
      <c r="W160" s="231"/>
      <c r="X160" s="231"/>
      <c r="Y160" s="113"/>
      <c r="Z160" s="357"/>
      <c r="AA160" s="118">
        <v>2474000</v>
      </c>
      <c r="AB160" s="118">
        <f t="shared" ref="AB160" si="14">AA160*0.19</f>
        <v>470060</v>
      </c>
      <c r="AC160" s="118">
        <f t="shared" ref="AC160" si="15">AA160+AB160</f>
        <v>2944060</v>
      </c>
      <c r="AD160" s="361" t="s">
        <v>126</v>
      </c>
      <c r="AE160" s="362" t="s">
        <v>3357</v>
      </c>
      <c r="AF160" s="358"/>
      <c r="AG160" s="358"/>
      <c r="AH160" s="358"/>
      <c r="AI160" s="358"/>
      <c r="AJ160" s="358"/>
      <c r="AK160" s="113"/>
      <c r="AL160" s="113"/>
      <c r="AM160" s="113"/>
      <c r="AN160" s="113"/>
      <c r="AO160" s="113"/>
      <c r="AP160" s="52"/>
      <c r="AQ160" s="52"/>
      <c r="AR160" s="52"/>
      <c r="AS160" s="52"/>
      <c r="AT160" s="52"/>
      <c r="AU160" s="125"/>
      <c r="AV160" s="125"/>
      <c r="AW160" s="125"/>
      <c r="AX160" s="5"/>
      <c r="AY160" s="5"/>
      <c r="AZ160" s="113"/>
      <c r="BA160" s="113"/>
      <c r="BB160" s="113"/>
      <c r="BC160" s="52"/>
      <c r="BD160" s="52"/>
      <c r="BE160" s="118"/>
      <c r="BF160" s="118"/>
      <c r="BG160" s="118"/>
      <c r="BH160" s="52"/>
      <c r="BI160" s="283"/>
      <c r="BJ160" s="52"/>
      <c r="BK160" s="52"/>
      <c r="BL160" s="52"/>
      <c r="BM160" s="52"/>
      <c r="BN160" s="52"/>
      <c r="BO160" s="52"/>
      <c r="BP160" s="52"/>
      <c r="BQ160" s="52"/>
      <c r="BR160" s="52"/>
      <c r="BS160" s="52"/>
      <c r="BT160" s="52"/>
      <c r="BU160" s="52"/>
      <c r="BV160" s="52"/>
      <c r="BW160" s="52"/>
      <c r="BX160" s="52"/>
      <c r="BY160" s="52"/>
      <c r="BZ160" s="52"/>
      <c r="CA160" s="52"/>
      <c r="CB160" s="52"/>
      <c r="CC160" s="52"/>
      <c r="CD160" s="118"/>
      <c r="CE160" s="52"/>
      <c r="CF160" s="52"/>
      <c r="CG160" s="52"/>
      <c r="CH160" s="52"/>
      <c r="CI160" s="52"/>
      <c r="CJ160" s="52"/>
      <c r="CK160" s="52"/>
      <c r="CL160" s="52"/>
      <c r="CM160" s="52"/>
      <c r="CN160" s="118"/>
      <c r="CO160" s="118"/>
      <c r="CP160" s="118"/>
      <c r="CQ160" s="52"/>
      <c r="CR160" s="52"/>
      <c r="CS160" s="52"/>
      <c r="CT160" s="52"/>
      <c r="CU160" s="52"/>
      <c r="CV160" s="52"/>
      <c r="CW160" s="52"/>
      <c r="CX160" s="52"/>
      <c r="CY160" s="52"/>
      <c r="CZ160" s="52"/>
      <c r="DA160" s="52"/>
      <c r="DB160" s="52"/>
    </row>
    <row r="161" spans="1:106" ht="40.5" x14ac:dyDescent="0.25">
      <c r="A161" s="411">
        <v>159</v>
      </c>
      <c r="B161" s="412" t="s">
        <v>3358</v>
      </c>
      <c r="C161" s="413" t="s">
        <v>622</v>
      </c>
      <c r="D161" s="426" t="s">
        <v>445</v>
      </c>
      <c r="E161" s="80">
        <v>1</v>
      </c>
      <c r="F161" s="356">
        <v>1171387.0596</v>
      </c>
      <c r="G161" s="293"/>
      <c r="H161" s="293"/>
      <c r="I161" s="293"/>
      <c r="J161" s="52"/>
      <c r="K161" s="52"/>
      <c r="L161" s="359"/>
      <c r="M161" s="360"/>
      <c r="N161" s="361"/>
      <c r="O161" s="33"/>
      <c r="P161" s="252"/>
      <c r="Q161" s="113"/>
      <c r="R161" s="113"/>
      <c r="S161" s="113"/>
      <c r="T161" s="52"/>
      <c r="U161" s="5"/>
      <c r="V161" s="231"/>
      <c r="W161" s="231"/>
      <c r="X161" s="231"/>
      <c r="Y161" s="113"/>
      <c r="Z161" s="357"/>
      <c r="AA161" s="118" t="s">
        <v>2877</v>
      </c>
      <c r="AB161" s="118"/>
      <c r="AC161" s="118"/>
      <c r="AD161" s="52"/>
      <c r="AE161" s="5"/>
      <c r="AF161" s="358"/>
      <c r="AG161" s="358"/>
      <c r="AH161" s="358"/>
      <c r="AI161" s="358"/>
      <c r="AJ161" s="358"/>
      <c r="AK161" s="113"/>
      <c r="AL161" s="113"/>
      <c r="AM161" s="113"/>
      <c r="AN161" s="113"/>
      <c r="AO161" s="113"/>
      <c r="AP161" s="52"/>
      <c r="AQ161" s="52"/>
      <c r="AR161" s="52"/>
      <c r="AS161" s="52"/>
      <c r="AT161" s="52"/>
      <c r="AU161" s="125"/>
      <c r="AV161" s="125"/>
      <c r="AW161" s="125"/>
      <c r="AX161" s="5"/>
      <c r="AY161" s="5"/>
      <c r="AZ161" s="113">
        <v>2024000</v>
      </c>
      <c r="BA161" s="113">
        <v>384560</v>
      </c>
      <c r="BB161" s="113">
        <v>2408560</v>
      </c>
      <c r="BC161" s="52" t="s">
        <v>3359</v>
      </c>
      <c r="BD161" s="52">
        <v>157493</v>
      </c>
      <c r="BE161" s="118"/>
      <c r="BF161" s="118"/>
      <c r="BG161" s="118"/>
      <c r="BH161" s="52"/>
      <c r="BI161" s="283"/>
      <c r="BJ161" s="52"/>
      <c r="BK161" s="52"/>
      <c r="BL161" s="52"/>
      <c r="BM161" s="52"/>
      <c r="BN161" s="52"/>
      <c r="BO161" s="52"/>
      <c r="BP161" s="52"/>
      <c r="BQ161" s="52"/>
      <c r="BR161" s="52"/>
      <c r="BS161" s="52"/>
      <c r="BT161" s="52"/>
      <c r="BU161" s="52"/>
      <c r="BV161" s="52"/>
      <c r="BW161" s="52"/>
      <c r="BX161" s="52"/>
      <c r="BY161" s="52"/>
      <c r="BZ161" s="52"/>
      <c r="CA161" s="52"/>
      <c r="CB161" s="52"/>
      <c r="CC161" s="52"/>
      <c r="CD161" s="118"/>
      <c r="CE161" s="52"/>
      <c r="CF161" s="52"/>
      <c r="CG161" s="52"/>
      <c r="CH161" s="52"/>
      <c r="CI161" s="52"/>
      <c r="CJ161" s="52"/>
      <c r="CK161" s="52"/>
      <c r="CL161" s="52"/>
      <c r="CM161" s="52"/>
      <c r="CN161" s="118"/>
      <c r="CO161" s="118"/>
      <c r="CP161" s="118"/>
      <c r="CQ161" s="52"/>
      <c r="CR161" s="52"/>
      <c r="CS161" s="52"/>
      <c r="CT161" s="52"/>
      <c r="CU161" s="52"/>
      <c r="CV161" s="52"/>
      <c r="CW161" s="52"/>
      <c r="CX161" s="52"/>
      <c r="CY161" s="52"/>
      <c r="CZ161" s="52"/>
      <c r="DA161" s="52"/>
      <c r="DB161" s="52"/>
    </row>
    <row r="162" spans="1:106" ht="27" x14ac:dyDescent="0.25">
      <c r="A162" s="411">
        <v>160</v>
      </c>
      <c r="B162" s="412" t="s">
        <v>3360</v>
      </c>
      <c r="C162" s="413" t="s">
        <v>622</v>
      </c>
      <c r="D162" s="426" t="s">
        <v>445</v>
      </c>
      <c r="E162" s="80">
        <v>1</v>
      </c>
      <c r="F162" s="356">
        <v>820741.33400000003</v>
      </c>
      <c r="G162" s="293"/>
      <c r="H162" s="293"/>
      <c r="I162" s="293"/>
      <c r="J162" s="52"/>
      <c r="K162" s="52"/>
      <c r="L162" s="359"/>
      <c r="M162" s="360"/>
      <c r="N162" s="361"/>
      <c r="O162" s="33"/>
      <c r="P162" s="252"/>
      <c r="Q162" s="113"/>
      <c r="R162" s="113"/>
      <c r="S162" s="113"/>
      <c r="T162" s="52"/>
      <c r="U162" s="5"/>
      <c r="V162" s="231"/>
      <c r="W162" s="231"/>
      <c r="X162" s="231"/>
      <c r="Y162" s="113"/>
      <c r="Z162" s="357"/>
      <c r="AA162" s="118" t="s">
        <v>2877</v>
      </c>
      <c r="AB162" s="118"/>
      <c r="AC162" s="118"/>
      <c r="AD162" s="52"/>
      <c r="AE162" s="5"/>
      <c r="AF162" s="358"/>
      <c r="AG162" s="358"/>
      <c r="AH162" s="358"/>
      <c r="AI162" s="358"/>
      <c r="AJ162" s="358"/>
      <c r="AK162" s="113"/>
      <c r="AL162" s="113"/>
      <c r="AM162" s="113"/>
      <c r="AN162" s="113"/>
      <c r="AO162" s="113"/>
      <c r="AP162" s="52"/>
      <c r="AQ162" s="52"/>
      <c r="AR162" s="52"/>
      <c r="AS162" s="52"/>
      <c r="AT162" s="52"/>
      <c r="AU162" s="125"/>
      <c r="AV162" s="125"/>
      <c r="AW162" s="125"/>
      <c r="AX162" s="5"/>
      <c r="AY162" s="5"/>
      <c r="AZ162" s="113">
        <v>550000</v>
      </c>
      <c r="BA162" s="113">
        <v>104500</v>
      </c>
      <c r="BB162" s="113">
        <v>654500</v>
      </c>
      <c r="BC162" s="52" t="s">
        <v>2925</v>
      </c>
      <c r="BD162" s="52" t="s">
        <v>3361</v>
      </c>
      <c r="BE162" s="118"/>
      <c r="BF162" s="118"/>
      <c r="BG162" s="118"/>
      <c r="BH162" s="52"/>
      <c r="BI162" s="283"/>
      <c r="BJ162" s="52"/>
      <c r="BK162" s="52"/>
      <c r="BL162" s="52"/>
      <c r="BM162" s="52"/>
      <c r="BN162" s="52"/>
      <c r="BO162" s="52"/>
      <c r="BP162" s="52"/>
      <c r="BQ162" s="52"/>
      <c r="BR162" s="52"/>
      <c r="BS162" s="52"/>
      <c r="BT162" s="52"/>
      <c r="BU162" s="52"/>
      <c r="BV162" s="52"/>
      <c r="BW162" s="52"/>
      <c r="BX162" s="52"/>
      <c r="BY162" s="52"/>
      <c r="BZ162" s="52"/>
      <c r="CA162" s="52"/>
      <c r="CB162" s="52"/>
      <c r="CC162" s="52"/>
      <c r="CD162" s="118"/>
      <c r="CE162" s="52"/>
      <c r="CF162" s="52"/>
      <c r="CG162" s="52"/>
      <c r="CH162" s="52"/>
      <c r="CI162" s="52"/>
      <c r="CJ162" s="52"/>
      <c r="CK162" s="52"/>
      <c r="CL162" s="52"/>
      <c r="CM162" s="52"/>
      <c r="CN162" s="118"/>
      <c r="CO162" s="118"/>
      <c r="CP162" s="118"/>
      <c r="CQ162" s="52"/>
      <c r="CR162" s="52"/>
      <c r="CS162" s="52"/>
      <c r="CT162" s="52"/>
      <c r="CU162" s="52"/>
      <c r="CV162" s="52"/>
      <c r="CW162" s="52"/>
      <c r="CX162" s="52"/>
      <c r="CY162" s="52"/>
      <c r="CZ162" s="52"/>
      <c r="DA162" s="52"/>
      <c r="DB162" s="52"/>
    </row>
    <row r="163" spans="1:106" ht="27" x14ac:dyDescent="0.25">
      <c r="A163" s="411">
        <v>161</v>
      </c>
      <c r="B163" s="412" t="s">
        <v>3362</v>
      </c>
      <c r="C163" s="413" t="s">
        <v>622</v>
      </c>
      <c r="D163" s="426" t="s">
        <v>445</v>
      </c>
      <c r="E163" s="80">
        <v>1</v>
      </c>
      <c r="F163" s="356">
        <v>1900399.5360000001</v>
      </c>
      <c r="G163" s="293"/>
      <c r="H163" s="293"/>
      <c r="I163" s="293"/>
      <c r="J163" s="52"/>
      <c r="K163" s="52"/>
      <c r="L163" s="359"/>
      <c r="M163" s="360"/>
      <c r="N163" s="361"/>
      <c r="O163" s="33"/>
      <c r="P163" s="252"/>
      <c r="Q163" s="113"/>
      <c r="R163" s="113"/>
      <c r="S163" s="113"/>
      <c r="T163" s="52"/>
      <c r="U163" s="5"/>
      <c r="V163" s="231"/>
      <c r="W163" s="231"/>
      <c r="X163" s="231"/>
      <c r="Y163" s="113"/>
      <c r="Z163" s="357"/>
      <c r="AA163" s="118" t="s">
        <v>2877</v>
      </c>
      <c r="AB163" s="118"/>
      <c r="AC163" s="118"/>
      <c r="AD163" s="52"/>
      <c r="AE163" s="5"/>
      <c r="AF163" s="358"/>
      <c r="AG163" s="358"/>
      <c r="AH163" s="358"/>
      <c r="AI163" s="358"/>
      <c r="AJ163" s="358"/>
      <c r="AK163" s="113"/>
      <c r="AL163" s="113"/>
      <c r="AM163" s="113"/>
      <c r="AN163" s="113"/>
      <c r="AO163" s="113"/>
      <c r="AP163" s="52"/>
      <c r="AQ163" s="52"/>
      <c r="AR163" s="52"/>
      <c r="AS163" s="52"/>
      <c r="AT163" s="52"/>
      <c r="AU163" s="125"/>
      <c r="AV163" s="125"/>
      <c r="AW163" s="125"/>
      <c r="AX163" s="5"/>
      <c r="AY163" s="5"/>
      <c r="AZ163" s="113">
        <v>2362000</v>
      </c>
      <c r="BA163" s="113">
        <v>448780</v>
      </c>
      <c r="BB163" s="113">
        <v>2810780</v>
      </c>
      <c r="BC163" s="52" t="s">
        <v>3363</v>
      </c>
      <c r="BD163" s="52" t="s">
        <v>3364</v>
      </c>
      <c r="BE163" s="118"/>
      <c r="BF163" s="118"/>
      <c r="BG163" s="118"/>
      <c r="BH163" s="52"/>
      <c r="BI163" s="283"/>
      <c r="BJ163" s="52"/>
      <c r="BK163" s="52"/>
      <c r="BL163" s="52"/>
      <c r="BM163" s="52"/>
      <c r="BN163" s="52"/>
      <c r="BO163" s="52"/>
      <c r="BP163" s="52"/>
      <c r="BQ163" s="52"/>
      <c r="BR163" s="52"/>
      <c r="BS163" s="52"/>
      <c r="BT163" s="52"/>
      <c r="BU163" s="52"/>
      <c r="BV163" s="52"/>
      <c r="BW163" s="52"/>
      <c r="BX163" s="52"/>
      <c r="BY163" s="52"/>
      <c r="BZ163" s="52"/>
      <c r="CA163" s="52"/>
      <c r="CB163" s="52"/>
      <c r="CC163" s="52"/>
      <c r="CD163" s="118"/>
      <c r="CE163" s="52"/>
      <c r="CF163" s="52"/>
      <c r="CG163" s="52"/>
      <c r="CH163" s="52"/>
      <c r="CI163" s="52"/>
      <c r="CJ163" s="52"/>
      <c r="CK163" s="52"/>
      <c r="CL163" s="52"/>
      <c r="CM163" s="52"/>
      <c r="CN163" s="118"/>
      <c r="CO163" s="118"/>
      <c r="CP163" s="118"/>
      <c r="CQ163" s="52"/>
      <c r="CR163" s="52"/>
      <c r="CS163" s="52"/>
      <c r="CT163" s="52"/>
      <c r="CU163" s="52"/>
      <c r="CV163" s="52"/>
      <c r="CW163" s="52"/>
      <c r="CX163" s="52"/>
      <c r="CY163" s="52"/>
      <c r="CZ163" s="52"/>
      <c r="DA163" s="52"/>
      <c r="DB163" s="52"/>
    </row>
    <row r="164" spans="1:106" ht="27" x14ac:dyDescent="0.25">
      <c r="A164" s="411">
        <v>162</v>
      </c>
      <c r="B164" s="412" t="s">
        <v>3365</v>
      </c>
      <c r="C164" s="413" t="s">
        <v>3200</v>
      </c>
      <c r="D164" s="426" t="s">
        <v>445</v>
      </c>
      <c r="E164" s="80">
        <v>1</v>
      </c>
      <c r="F164" s="356">
        <v>532916.272</v>
      </c>
      <c r="G164" s="293"/>
      <c r="H164" s="293"/>
      <c r="I164" s="293"/>
      <c r="J164" s="52"/>
      <c r="K164" s="52"/>
      <c r="L164" s="359"/>
      <c r="M164" s="360"/>
      <c r="N164" s="361"/>
      <c r="O164" s="33"/>
      <c r="P164" s="252"/>
      <c r="Q164" s="113"/>
      <c r="R164" s="113"/>
      <c r="S164" s="113"/>
      <c r="T164" s="52"/>
      <c r="U164" s="5"/>
      <c r="V164" s="231"/>
      <c r="W164" s="231"/>
      <c r="X164" s="231"/>
      <c r="Y164" s="113"/>
      <c r="Z164" s="357"/>
      <c r="AA164" s="118" t="s">
        <v>2877</v>
      </c>
      <c r="AB164" s="118"/>
      <c r="AC164" s="118"/>
      <c r="AD164" s="52"/>
      <c r="AE164" s="5"/>
      <c r="AF164" s="358"/>
      <c r="AG164" s="358"/>
      <c r="AH164" s="358"/>
      <c r="AI164" s="358"/>
      <c r="AJ164" s="358"/>
      <c r="AK164" s="113"/>
      <c r="AL164" s="113"/>
      <c r="AM164" s="113"/>
      <c r="AN164" s="113"/>
      <c r="AO164" s="113"/>
      <c r="AP164" s="52"/>
      <c r="AQ164" s="52"/>
      <c r="AR164" s="52"/>
      <c r="AS164" s="52"/>
      <c r="AT164" s="52"/>
      <c r="AU164" s="125"/>
      <c r="AV164" s="125"/>
      <c r="AW164" s="125"/>
      <c r="AX164" s="5"/>
      <c r="AY164" s="5"/>
      <c r="AZ164" s="113">
        <v>290000</v>
      </c>
      <c r="BA164" s="113">
        <v>55100</v>
      </c>
      <c r="BB164" s="113">
        <v>345100</v>
      </c>
      <c r="BC164" s="52" t="s">
        <v>2925</v>
      </c>
      <c r="BD164" s="52" t="s">
        <v>3366</v>
      </c>
      <c r="BE164" s="320">
        <v>1119975</v>
      </c>
      <c r="BF164" s="320">
        <f t="shared" ref="BF164:BF165" si="16">BE164*0.19</f>
        <v>212795.25</v>
      </c>
      <c r="BG164" s="320">
        <f t="shared" ref="BG164:BG165" si="17">BE164+BF164</f>
        <v>1332770.25</v>
      </c>
      <c r="BH164" s="4" t="s">
        <v>2887</v>
      </c>
      <c r="BI164" s="286" t="s">
        <v>3367</v>
      </c>
      <c r="BJ164" s="52"/>
      <c r="BK164" s="52"/>
      <c r="BL164" s="52"/>
      <c r="BM164" s="52"/>
      <c r="BN164" s="52"/>
      <c r="BO164" s="52"/>
      <c r="BP164" s="52"/>
      <c r="BQ164" s="52"/>
      <c r="BR164" s="52"/>
      <c r="BS164" s="52"/>
      <c r="BT164" s="52"/>
      <c r="BU164" s="52"/>
      <c r="BV164" s="52"/>
      <c r="BW164" s="52"/>
      <c r="BX164" s="52"/>
      <c r="BY164" s="52"/>
      <c r="BZ164" s="52"/>
      <c r="CA164" s="52"/>
      <c r="CB164" s="52"/>
      <c r="CC164" s="52"/>
      <c r="CD164" s="118"/>
      <c r="CE164" s="52"/>
      <c r="CF164" s="52"/>
      <c r="CG164" s="52"/>
      <c r="CH164" s="52"/>
      <c r="CI164" s="52"/>
      <c r="CJ164" s="52"/>
      <c r="CK164" s="52"/>
      <c r="CL164" s="52"/>
      <c r="CM164" s="52"/>
      <c r="CN164" s="118"/>
      <c r="CO164" s="118"/>
      <c r="CP164" s="118"/>
      <c r="CQ164" s="52"/>
      <c r="CR164" s="52"/>
      <c r="CS164" s="52"/>
      <c r="CT164" s="52"/>
      <c r="CU164" s="52"/>
      <c r="CV164" s="52"/>
      <c r="CW164" s="52"/>
      <c r="CX164" s="52"/>
      <c r="CY164" s="52"/>
      <c r="CZ164" s="52"/>
      <c r="DA164" s="52"/>
      <c r="DB164" s="52"/>
    </row>
    <row r="165" spans="1:106" ht="40.5" x14ac:dyDescent="0.25">
      <c r="A165" s="411">
        <v>163</v>
      </c>
      <c r="B165" s="409" t="s">
        <v>3368</v>
      </c>
      <c r="C165" s="413" t="s">
        <v>622</v>
      </c>
      <c r="D165" s="426" t="s">
        <v>445</v>
      </c>
      <c r="E165" s="80">
        <v>1</v>
      </c>
      <c r="F165" s="80"/>
      <c r="G165" s="293"/>
      <c r="H165" s="293"/>
      <c r="I165" s="293"/>
      <c r="J165" s="52"/>
      <c r="K165" s="52"/>
      <c r="L165" s="359"/>
      <c r="M165" s="360"/>
      <c r="N165" s="361"/>
      <c r="O165" s="33"/>
      <c r="P165" s="252"/>
      <c r="Q165" s="113"/>
      <c r="R165" s="113"/>
      <c r="S165" s="113"/>
      <c r="T165" s="52"/>
      <c r="U165" s="5"/>
      <c r="V165" s="231">
        <v>35960</v>
      </c>
      <c r="W165" s="231">
        <f t="shared" ref="W165:W191" si="18">V165*0.19</f>
        <v>6832.4</v>
      </c>
      <c r="X165" s="231">
        <f t="shared" ref="X165:X191" si="19">V165*1.19</f>
        <v>42792.4</v>
      </c>
      <c r="Y165" s="113" t="s">
        <v>3369</v>
      </c>
      <c r="Z165" s="357" t="s">
        <v>3370</v>
      </c>
      <c r="AA165" s="118" t="s">
        <v>2877</v>
      </c>
      <c r="AB165" s="118"/>
      <c r="AC165" s="118"/>
      <c r="AD165" s="52"/>
      <c r="AE165" s="5"/>
      <c r="AF165" s="358"/>
      <c r="AG165" s="358"/>
      <c r="AH165" s="358"/>
      <c r="AI165" s="358"/>
      <c r="AJ165" s="358"/>
      <c r="AK165" s="113"/>
      <c r="AL165" s="113"/>
      <c r="AM165" s="113"/>
      <c r="AN165" s="113"/>
      <c r="AO165" s="113"/>
      <c r="AP165" s="52"/>
      <c r="AQ165" s="52"/>
      <c r="AR165" s="52"/>
      <c r="AS165" s="52"/>
      <c r="AT165" s="52"/>
      <c r="AU165" s="125"/>
      <c r="AV165" s="125"/>
      <c r="AW165" s="125"/>
      <c r="AX165" s="5"/>
      <c r="AY165" s="5"/>
      <c r="AZ165" s="113">
        <v>759000</v>
      </c>
      <c r="BA165" s="113">
        <v>144210</v>
      </c>
      <c r="BB165" s="113">
        <v>903210</v>
      </c>
      <c r="BC165" s="52" t="s">
        <v>338</v>
      </c>
      <c r="BD165" s="52" t="s">
        <v>3371</v>
      </c>
      <c r="BE165" s="320">
        <v>701960</v>
      </c>
      <c r="BF165" s="320">
        <f t="shared" si="16"/>
        <v>133372.4</v>
      </c>
      <c r="BG165" s="320">
        <f t="shared" si="17"/>
        <v>835332.4</v>
      </c>
      <c r="BH165" s="4" t="s">
        <v>2887</v>
      </c>
      <c r="BI165" s="286" t="s">
        <v>3372</v>
      </c>
      <c r="BJ165" s="52"/>
      <c r="BK165" s="52"/>
      <c r="BL165" s="52"/>
      <c r="BM165" s="52"/>
      <c r="BN165" s="52"/>
      <c r="BO165" s="52"/>
      <c r="BP165" s="52"/>
      <c r="BQ165" s="52"/>
      <c r="BR165" s="52"/>
      <c r="BS165" s="52"/>
      <c r="BT165" s="52"/>
      <c r="BU165" s="52"/>
      <c r="BV165" s="52"/>
      <c r="BW165" s="52"/>
      <c r="BX165" s="52"/>
      <c r="BY165" s="52"/>
      <c r="BZ165" s="52"/>
      <c r="CA165" s="52"/>
      <c r="CB165" s="52"/>
      <c r="CC165" s="52"/>
      <c r="CD165" s="118"/>
      <c r="CE165" s="52"/>
      <c r="CF165" s="52"/>
      <c r="CG165" s="52"/>
      <c r="CH165" s="52"/>
      <c r="CI165" s="52"/>
      <c r="CJ165" s="52"/>
      <c r="CK165" s="52"/>
      <c r="CL165" s="52"/>
      <c r="CM165" s="52"/>
      <c r="CN165" s="118"/>
      <c r="CO165" s="118"/>
      <c r="CP165" s="118"/>
      <c r="CQ165" s="52"/>
      <c r="CR165" s="52"/>
      <c r="CS165" s="52"/>
      <c r="CT165" s="52"/>
      <c r="CU165" s="52"/>
      <c r="CV165" s="52"/>
      <c r="CW165" s="52"/>
      <c r="CX165" s="52"/>
      <c r="CY165" s="52"/>
      <c r="CZ165" s="52"/>
      <c r="DA165" s="52"/>
      <c r="DB165" s="52"/>
    </row>
    <row r="166" spans="1:106" ht="27" x14ac:dyDescent="0.25">
      <c r="A166" s="411">
        <v>164</v>
      </c>
      <c r="B166" s="412" t="s">
        <v>3373</v>
      </c>
      <c r="C166" s="413" t="s">
        <v>3374</v>
      </c>
      <c r="D166" s="426" t="s">
        <v>445</v>
      </c>
      <c r="E166" s="80">
        <v>1</v>
      </c>
      <c r="F166" s="80"/>
      <c r="G166" s="293"/>
      <c r="H166" s="293"/>
      <c r="I166" s="293"/>
      <c r="J166" s="52"/>
      <c r="K166" s="52"/>
      <c r="L166" s="359"/>
      <c r="M166" s="360"/>
      <c r="N166" s="361"/>
      <c r="O166" s="33"/>
      <c r="P166" s="252"/>
      <c r="Q166" s="113"/>
      <c r="R166" s="113"/>
      <c r="S166" s="113"/>
      <c r="T166" s="52"/>
      <c r="U166" s="5"/>
      <c r="V166" s="231"/>
      <c r="W166" s="231"/>
      <c r="X166" s="231"/>
      <c r="Y166" s="113"/>
      <c r="Z166" s="357"/>
      <c r="AA166" s="118" t="s">
        <v>2877</v>
      </c>
      <c r="AB166" s="118"/>
      <c r="AC166" s="118"/>
      <c r="AD166" s="52"/>
      <c r="AE166" s="5"/>
      <c r="AF166" s="358"/>
      <c r="AG166" s="358"/>
      <c r="AH166" s="358"/>
      <c r="AI166" s="358"/>
      <c r="AJ166" s="358"/>
      <c r="AK166" s="113">
        <v>12100</v>
      </c>
      <c r="AL166" s="113">
        <v>2299</v>
      </c>
      <c r="AM166" s="113">
        <v>14399</v>
      </c>
      <c r="AN166" s="113" t="s">
        <v>3171</v>
      </c>
      <c r="AO166" s="113" t="s">
        <v>3375</v>
      </c>
      <c r="AP166" s="52"/>
      <c r="AQ166" s="52"/>
      <c r="AR166" s="52"/>
      <c r="AS166" s="52"/>
      <c r="AT166" s="52"/>
      <c r="AU166" s="125"/>
      <c r="AV166" s="125"/>
      <c r="AW166" s="125"/>
      <c r="AX166" s="5"/>
      <c r="AY166" s="5"/>
      <c r="AZ166" s="113">
        <v>63000</v>
      </c>
      <c r="BA166" s="113">
        <v>11970</v>
      </c>
      <c r="BB166" s="113">
        <v>74970</v>
      </c>
      <c r="BC166" s="52" t="s">
        <v>338</v>
      </c>
      <c r="BD166" s="52" t="s">
        <v>3376</v>
      </c>
      <c r="BE166" s="118"/>
      <c r="BF166" s="118"/>
      <c r="BG166" s="118"/>
      <c r="BH166" s="52"/>
      <c r="BI166" s="283"/>
      <c r="BJ166" s="52"/>
      <c r="BK166" s="52"/>
      <c r="BL166" s="52"/>
      <c r="BM166" s="52"/>
      <c r="BN166" s="52"/>
      <c r="BO166" s="52"/>
      <c r="BP166" s="52"/>
      <c r="BQ166" s="52"/>
      <c r="BR166" s="52"/>
      <c r="BS166" s="52"/>
      <c r="BT166" s="52"/>
      <c r="BU166" s="52"/>
      <c r="BV166" s="52"/>
      <c r="BW166" s="52"/>
      <c r="BX166" s="52"/>
      <c r="BY166" s="52"/>
      <c r="BZ166" s="52"/>
      <c r="CA166" s="52"/>
      <c r="CB166" s="52"/>
      <c r="CC166" s="52"/>
      <c r="CD166" s="118"/>
      <c r="CE166" s="52"/>
      <c r="CF166" s="52"/>
      <c r="CG166" s="52"/>
      <c r="CH166" s="52"/>
      <c r="CI166" s="52"/>
      <c r="CJ166" s="52"/>
      <c r="CK166" s="52"/>
      <c r="CL166" s="52"/>
      <c r="CM166" s="52"/>
      <c r="CN166" s="118"/>
      <c r="CO166" s="118"/>
      <c r="CP166" s="118"/>
      <c r="CQ166" s="52"/>
      <c r="CR166" s="52"/>
      <c r="CS166" s="52"/>
      <c r="CT166" s="52"/>
      <c r="CU166" s="52"/>
      <c r="CV166" s="52"/>
      <c r="CW166" s="52"/>
      <c r="CX166" s="52"/>
      <c r="CY166" s="52"/>
      <c r="CZ166" s="52"/>
      <c r="DA166" s="52"/>
      <c r="DB166" s="52"/>
    </row>
    <row r="167" spans="1:106" ht="148.5" x14ac:dyDescent="0.25">
      <c r="A167" s="411">
        <v>165</v>
      </c>
      <c r="B167" s="412" t="s">
        <v>3377</v>
      </c>
      <c r="C167" s="413" t="s">
        <v>3374</v>
      </c>
      <c r="D167" s="426" t="s">
        <v>3320</v>
      </c>
      <c r="E167" s="80">
        <v>1</v>
      </c>
      <c r="F167" s="356">
        <v>1013043.6680000001</v>
      </c>
      <c r="G167" s="293"/>
      <c r="H167" s="293"/>
      <c r="I167" s="293"/>
      <c r="J167" s="52"/>
      <c r="K167" s="52"/>
      <c r="L167" s="359"/>
      <c r="M167" s="360"/>
      <c r="N167" s="361"/>
      <c r="O167" s="33"/>
      <c r="P167" s="252"/>
      <c r="Q167" s="113"/>
      <c r="R167" s="113"/>
      <c r="S167" s="113"/>
      <c r="T167" s="52"/>
      <c r="U167" s="5"/>
      <c r="V167" s="231">
        <v>1680000</v>
      </c>
      <c r="W167" s="231">
        <f t="shared" si="18"/>
        <v>319200</v>
      </c>
      <c r="X167" s="231">
        <f t="shared" si="19"/>
        <v>1999200</v>
      </c>
      <c r="Y167" s="113" t="s">
        <v>3378</v>
      </c>
      <c r="Z167" s="357" t="s">
        <v>3379</v>
      </c>
      <c r="AA167" s="118" t="s">
        <v>2877</v>
      </c>
      <c r="AB167" s="118"/>
      <c r="AC167" s="118"/>
      <c r="AD167" s="52"/>
      <c r="AE167" s="5"/>
      <c r="AF167" s="358"/>
      <c r="AG167" s="358"/>
      <c r="AH167" s="358"/>
      <c r="AI167" s="358"/>
      <c r="AJ167" s="358"/>
      <c r="AK167" s="113">
        <v>882000</v>
      </c>
      <c r="AL167" s="113">
        <v>167580</v>
      </c>
      <c r="AM167" s="113">
        <v>1049580</v>
      </c>
      <c r="AN167" s="113" t="s">
        <v>2887</v>
      </c>
      <c r="AO167" s="113" t="s">
        <v>3380</v>
      </c>
      <c r="AP167" s="52"/>
      <c r="AQ167" s="52"/>
      <c r="AR167" s="52"/>
      <c r="AS167" s="52"/>
      <c r="AT167" s="52"/>
      <c r="AU167" s="125"/>
      <c r="AV167" s="125"/>
      <c r="AW167" s="125"/>
      <c r="AX167" s="5"/>
      <c r="AY167" s="5"/>
      <c r="AZ167" s="113">
        <v>2959000</v>
      </c>
      <c r="BA167" s="113">
        <v>562210</v>
      </c>
      <c r="BB167" s="113">
        <v>3521210</v>
      </c>
      <c r="BC167" s="52" t="s">
        <v>3381</v>
      </c>
      <c r="BD167" s="52" t="s">
        <v>3382</v>
      </c>
      <c r="BE167" s="320">
        <v>28776</v>
      </c>
      <c r="BF167" s="320">
        <f t="shared" ref="BF167" si="20">BE167*0.19</f>
        <v>5467.4400000000005</v>
      </c>
      <c r="BG167" s="320">
        <f t="shared" ref="BG167" si="21">BE167+BF167</f>
        <v>34243.440000000002</v>
      </c>
      <c r="BH167" s="4" t="s">
        <v>2887</v>
      </c>
      <c r="BI167" s="286" t="s">
        <v>3380</v>
      </c>
      <c r="BJ167" s="52"/>
      <c r="BK167" s="52"/>
      <c r="BL167" s="52"/>
      <c r="BM167" s="52"/>
      <c r="BN167" s="52"/>
      <c r="BO167" s="52"/>
      <c r="BP167" s="52"/>
      <c r="BQ167" s="52"/>
      <c r="BR167" s="52"/>
      <c r="BS167" s="52"/>
      <c r="BT167" s="52"/>
      <c r="BU167" s="52"/>
      <c r="BV167" s="52"/>
      <c r="BW167" s="52"/>
      <c r="BX167" s="52"/>
      <c r="BY167" s="52"/>
      <c r="BZ167" s="52"/>
      <c r="CA167" s="52"/>
      <c r="CB167" s="52"/>
      <c r="CC167" s="52"/>
      <c r="CD167" s="118"/>
      <c r="CE167" s="52"/>
      <c r="CF167" s="52"/>
      <c r="CG167" s="52"/>
      <c r="CH167" s="52"/>
      <c r="CI167" s="52"/>
      <c r="CJ167" s="52"/>
      <c r="CK167" s="52"/>
      <c r="CL167" s="52"/>
      <c r="CM167" s="52"/>
      <c r="CN167" s="118"/>
      <c r="CO167" s="118"/>
      <c r="CP167" s="118"/>
      <c r="CQ167" s="52"/>
      <c r="CR167" s="52"/>
      <c r="CS167" s="52"/>
      <c r="CT167" s="52"/>
      <c r="CU167" s="52"/>
      <c r="CV167" s="52"/>
      <c r="CW167" s="52"/>
      <c r="CX167" s="52"/>
      <c r="CY167" s="52"/>
      <c r="CZ167" s="52"/>
      <c r="DA167" s="52"/>
      <c r="DB167" s="52"/>
    </row>
    <row r="168" spans="1:106" ht="13.5" x14ac:dyDescent="0.25">
      <c r="A168" s="411">
        <v>166</v>
      </c>
      <c r="B168" s="412" t="s">
        <v>3383</v>
      </c>
      <c r="C168" s="413" t="s">
        <v>2965</v>
      </c>
      <c r="D168" s="409" t="s">
        <v>196</v>
      </c>
      <c r="E168" s="80">
        <v>1</v>
      </c>
      <c r="F168" s="80"/>
      <c r="G168" s="293"/>
      <c r="H168" s="293"/>
      <c r="I168" s="293"/>
      <c r="J168" s="52"/>
      <c r="K168" s="52"/>
      <c r="L168" s="359"/>
      <c r="M168" s="360"/>
      <c r="N168" s="361"/>
      <c r="O168" s="33"/>
      <c r="P168" s="252"/>
      <c r="Q168" s="113"/>
      <c r="R168" s="113"/>
      <c r="S168" s="113"/>
      <c r="T168" s="52"/>
      <c r="U168" s="5"/>
      <c r="V168" s="231"/>
      <c r="W168" s="231"/>
      <c r="X168" s="231"/>
      <c r="Y168" s="113"/>
      <c r="Z168" s="357"/>
      <c r="AA168" s="118" t="s">
        <v>2877</v>
      </c>
      <c r="AB168" s="118"/>
      <c r="AC168" s="118"/>
      <c r="AD168" s="52"/>
      <c r="AE168" s="5"/>
      <c r="AF168" s="358"/>
      <c r="AG168" s="358"/>
      <c r="AH168" s="358"/>
      <c r="AI168" s="358"/>
      <c r="AJ168" s="358"/>
      <c r="AK168" s="113"/>
      <c r="AL168" s="113"/>
      <c r="AM168" s="113"/>
      <c r="AN168" s="113"/>
      <c r="AO168" s="113"/>
      <c r="AP168" s="52"/>
      <c r="AQ168" s="52"/>
      <c r="AR168" s="52"/>
      <c r="AS168" s="52"/>
      <c r="AT168" s="52"/>
      <c r="AU168" s="125"/>
      <c r="AV168" s="125"/>
      <c r="AW168" s="125"/>
      <c r="AX168" s="5"/>
      <c r="AY168" s="5"/>
      <c r="AZ168" s="113">
        <v>38000</v>
      </c>
      <c r="BA168" s="113">
        <v>7220</v>
      </c>
      <c r="BB168" s="113">
        <v>45220</v>
      </c>
      <c r="BC168" s="52" t="s">
        <v>3384</v>
      </c>
      <c r="BD168" s="52" t="s">
        <v>3385</v>
      </c>
      <c r="BE168" s="118"/>
      <c r="BF168" s="118"/>
      <c r="BG168" s="118"/>
      <c r="BH168" s="52"/>
      <c r="BI168" s="283"/>
      <c r="BJ168" s="52"/>
      <c r="BK168" s="52"/>
      <c r="BL168" s="52"/>
      <c r="BM168" s="52"/>
      <c r="BN168" s="52"/>
      <c r="BO168" s="52"/>
      <c r="BP168" s="52"/>
      <c r="BQ168" s="52"/>
      <c r="BR168" s="52"/>
      <c r="BS168" s="52"/>
      <c r="BT168" s="52"/>
      <c r="BU168" s="52"/>
      <c r="BV168" s="52"/>
      <c r="BW168" s="52"/>
      <c r="BX168" s="52"/>
      <c r="BY168" s="52"/>
      <c r="BZ168" s="52"/>
      <c r="CA168" s="52"/>
      <c r="CB168" s="52"/>
      <c r="CC168" s="52"/>
      <c r="CD168" s="118"/>
      <c r="CE168" s="52"/>
      <c r="CF168" s="52"/>
      <c r="CG168" s="52"/>
      <c r="CH168" s="52"/>
      <c r="CI168" s="52"/>
      <c r="CJ168" s="52"/>
      <c r="CK168" s="52"/>
      <c r="CL168" s="52"/>
      <c r="CM168" s="52"/>
      <c r="CN168" s="118"/>
      <c r="CO168" s="118"/>
      <c r="CP168" s="118"/>
      <c r="CQ168" s="52"/>
      <c r="CR168" s="52"/>
      <c r="CS168" s="52"/>
      <c r="CT168" s="52"/>
      <c r="CU168" s="52"/>
      <c r="CV168" s="52"/>
      <c r="CW168" s="52"/>
      <c r="CX168" s="52"/>
      <c r="CY168" s="52"/>
      <c r="CZ168" s="52"/>
      <c r="DA168" s="52"/>
      <c r="DB168" s="52"/>
    </row>
    <row r="169" spans="1:106" ht="54" x14ac:dyDescent="0.25">
      <c r="A169" s="411">
        <v>167</v>
      </c>
      <c r="B169" s="412" t="s">
        <v>3386</v>
      </c>
      <c r="C169" s="413" t="s">
        <v>2965</v>
      </c>
      <c r="D169" s="409" t="s">
        <v>196</v>
      </c>
      <c r="E169" s="80">
        <v>1</v>
      </c>
      <c r="F169" s="356">
        <v>260173.74600000001</v>
      </c>
      <c r="G169" s="293"/>
      <c r="H169" s="293"/>
      <c r="I169" s="293"/>
      <c r="J169" s="52"/>
      <c r="K169" s="52"/>
      <c r="L169" s="359"/>
      <c r="M169" s="360"/>
      <c r="N169" s="361"/>
      <c r="O169" s="33"/>
      <c r="P169" s="252"/>
      <c r="Q169" s="113"/>
      <c r="R169" s="113"/>
      <c r="S169" s="113"/>
      <c r="T169" s="52"/>
      <c r="U169" s="5"/>
      <c r="V169" s="231"/>
      <c r="W169" s="231"/>
      <c r="X169" s="231"/>
      <c r="Y169" s="113"/>
      <c r="Z169" s="357"/>
      <c r="AA169" s="118" t="s">
        <v>2877</v>
      </c>
      <c r="AB169" s="118"/>
      <c r="AC169" s="118"/>
      <c r="AD169" s="52"/>
      <c r="AE169" s="5"/>
      <c r="AF169" s="358"/>
      <c r="AG169" s="358"/>
      <c r="AH169" s="358"/>
      <c r="AI169" s="358"/>
      <c r="AJ169" s="358"/>
      <c r="AK169" s="113"/>
      <c r="AL169" s="113"/>
      <c r="AM169" s="113"/>
      <c r="AN169" s="113"/>
      <c r="AO169" s="113"/>
      <c r="AP169" s="52"/>
      <c r="AQ169" s="52"/>
      <c r="AR169" s="52"/>
      <c r="AS169" s="52"/>
      <c r="AT169" s="52"/>
      <c r="AU169" s="125"/>
      <c r="AV169" s="125"/>
      <c r="AW169" s="125"/>
      <c r="AX169" s="5"/>
      <c r="AY169" s="5"/>
      <c r="AZ169" s="113">
        <v>38000</v>
      </c>
      <c r="BA169" s="113">
        <v>7220</v>
      </c>
      <c r="BB169" s="113">
        <v>45220</v>
      </c>
      <c r="BC169" s="52" t="s">
        <v>3384</v>
      </c>
      <c r="BD169" s="52" t="s">
        <v>3387</v>
      </c>
      <c r="BE169" s="118"/>
      <c r="BF169" s="118"/>
      <c r="BG169" s="118"/>
      <c r="BH169" s="52"/>
      <c r="BI169" s="283"/>
      <c r="BJ169" s="52"/>
      <c r="BK169" s="52"/>
      <c r="BL169" s="52"/>
      <c r="BM169" s="52"/>
      <c r="BN169" s="52"/>
      <c r="BO169" s="52"/>
      <c r="BP169" s="52"/>
      <c r="BQ169" s="52"/>
      <c r="BR169" s="52"/>
      <c r="BS169" s="52"/>
      <c r="BT169" s="52"/>
      <c r="BU169" s="52"/>
      <c r="BV169" s="52"/>
      <c r="BW169" s="52"/>
      <c r="BX169" s="52"/>
      <c r="BY169" s="52"/>
      <c r="BZ169" s="52"/>
      <c r="CA169" s="52"/>
      <c r="CB169" s="52"/>
      <c r="CC169" s="52"/>
      <c r="CD169" s="118"/>
      <c r="CE169" s="52"/>
      <c r="CF169" s="52"/>
      <c r="CG169" s="52"/>
      <c r="CH169" s="52"/>
      <c r="CI169" s="52"/>
      <c r="CJ169" s="52"/>
      <c r="CK169" s="52"/>
      <c r="CL169" s="52"/>
      <c r="CM169" s="52"/>
      <c r="CN169" s="118"/>
      <c r="CO169" s="118"/>
      <c r="CP169" s="118"/>
      <c r="CQ169" s="52"/>
      <c r="CR169" s="52"/>
      <c r="CS169" s="52"/>
      <c r="CT169" s="52"/>
      <c r="CU169" s="52"/>
      <c r="CV169" s="52"/>
      <c r="CW169" s="52"/>
      <c r="CX169" s="52"/>
      <c r="CY169" s="52"/>
      <c r="CZ169" s="52"/>
      <c r="DA169" s="52"/>
      <c r="DB169" s="52"/>
    </row>
    <row r="170" spans="1:106" ht="54" x14ac:dyDescent="0.25">
      <c r="A170" s="411">
        <v>168</v>
      </c>
      <c r="B170" s="412" t="s">
        <v>3388</v>
      </c>
      <c r="C170" s="413" t="s">
        <v>2965</v>
      </c>
      <c r="D170" s="409" t="s">
        <v>196</v>
      </c>
      <c r="E170" s="80">
        <v>1</v>
      </c>
      <c r="F170" s="356">
        <v>107588.7568</v>
      </c>
      <c r="G170" s="293"/>
      <c r="H170" s="293"/>
      <c r="I170" s="293"/>
      <c r="J170" s="52"/>
      <c r="K170" s="52"/>
      <c r="L170" s="359"/>
      <c r="M170" s="360"/>
      <c r="N170" s="361"/>
      <c r="O170" s="33"/>
      <c r="P170" s="252"/>
      <c r="Q170" s="113"/>
      <c r="R170" s="113"/>
      <c r="S170" s="113"/>
      <c r="T170" s="52"/>
      <c r="U170" s="5"/>
      <c r="V170" s="231"/>
      <c r="W170" s="231"/>
      <c r="X170" s="231"/>
      <c r="Y170" s="113"/>
      <c r="Z170" s="357"/>
      <c r="AA170" s="118" t="s">
        <v>2877</v>
      </c>
      <c r="AB170" s="118"/>
      <c r="AC170" s="118"/>
      <c r="AD170" s="52"/>
      <c r="AE170" s="5"/>
      <c r="AF170" s="358"/>
      <c r="AG170" s="358"/>
      <c r="AH170" s="358"/>
      <c r="AI170" s="358"/>
      <c r="AJ170" s="358"/>
      <c r="AK170" s="113"/>
      <c r="AL170" s="113"/>
      <c r="AM170" s="113"/>
      <c r="AN170" s="113"/>
      <c r="AO170" s="113"/>
      <c r="AP170" s="52"/>
      <c r="AQ170" s="52"/>
      <c r="AR170" s="52"/>
      <c r="AS170" s="52"/>
      <c r="AT170" s="52"/>
      <c r="AU170" s="125"/>
      <c r="AV170" s="125"/>
      <c r="AW170" s="125"/>
      <c r="AX170" s="5"/>
      <c r="AY170" s="5"/>
      <c r="AZ170" s="113">
        <v>73000</v>
      </c>
      <c r="BA170" s="113">
        <v>13870</v>
      </c>
      <c r="BB170" s="113">
        <v>86870</v>
      </c>
      <c r="BC170" s="52" t="s">
        <v>3389</v>
      </c>
      <c r="BD170" s="52" t="s">
        <v>3390</v>
      </c>
      <c r="BE170" s="118"/>
      <c r="BF170" s="118"/>
      <c r="BG170" s="118"/>
      <c r="BH170" s="52"/>
      <c r="BI170" s="283"/>
      <c r="BJ170" s="52"/>
      <c r="BK170" s="52"/>
      <c r="BL170" s="52"/>
      <c r="BM170" s="52"/>
      <c r="BN170" s="52"/>
      <c r="BO170" s="52"/>
      <c r="BP170" s="52"/>
      <c r="BQ170" s="52"/>
      <c r="BR170" s="52"/>
      <c r="BS170" s="52"/>
      <c r="BT170" s="52"/>
      <c r="BU170" s="52"/>
      <c r="BV170" s="52"/>
      <c r="BW170" s="52"/>
      <c r="BX170" s="52"/>
      <c r="BY170" s="52"/>
      <c r="BZ170" s="52"/>
      <c r="CA170" s="52"/>
      <c r="CB170" s="52"/>
      <c r="CC170" s="52"/>
      <c r="CD170" s="118"/>
      <c r="CE170" s="52"/>
      <c r="CF170" s="52"/>
      <c r="CG170" s="52"/>
      <c r="CH170" s="52"/>
      <c r="CI170" s="52"/>
      <c r="CJ170" s="52"/>
      <c r="CK170" s="52"/>
      <c r="CL170" s="52"/>
      <c r="CM170" s="52"/>
      <c r="CN170" s="118"/>
      <c r="CO170" s="118"/>
      <c r="CP170" s="118"/>
      <c r="CQ170" s="52"/>
      <c r="CR170" s="52"/>
      <c r="CS170" s="52"/>
      <c r="CT170" s="52"/>
      <c r="CU170" s="52"/>
      <c r="CV170" s="52"/>
      <c r="CW170" s="52"/>
      <c r="CX170" s="52"/>
      <c r="CY170" s="52"/>
      <c r="CZ170" s="52"/>
      <c r="DA170" s="52"/>
      <c r="DB170" s="52"/>
    </row>
    <row r="171" spans="1:106" ht="54" x14ac:dyDescent="0.25">
      <c r="A171" s="411">
        <v>169</v>
      </c>
      <c r="B171" s="412" t="s">
        <v>3391</v>
      </c>
      <c r="C171" s="413" t="s">
        <v>2965</v>
      </c>
      <c r="D171" s="409" t="s">
        <v>196</v>
      </c>
      <c r="E171" s="80">
        <v>1</v>
      </c>
      <c r="F171" s="356">
        <v>277770.038</v>
      </c>
      <c r="G171" s="293"/>
      <c r="H171" s="293"/>
      <c r="I171" s="293"/>
      <c r="J171" s="52"/>
      <c r="K171" s="52"/>
      <c r="L171" s="359"/>
      <c r="M171" s="360"/>
      <c r="N171" s="361"/>
      <c r="O171" s="33"/>
      <c r="P171" s="252"/>
      <c r="Q171" s="113"/>
      <c r="R171" s="113"/>
      <c r="S171" s="113"/>
      <c r="T171" s="52"/>
      <c r="U171" s="5"/>
      <c r="V171" s="231"/>
      <c r="W171" s="231"/>
      <c r="X171" s="231"/>
      <c r="Y171" s="113"/>
      <c r="Z171" s="357"/>
      <c r="AA171" s="118" t="s">
        <v>2877</v>
      </c>
      <c r="AB171" s="118"/>
      <c r="AC171" s="118"/>
      <c r="AD171" s="52"/>
      <c r="AE171" s="5"/>
      <c r="AF171" s="358"/>
      <c r="AG171" s="358"/>
      <c r="AH171" s="358"/>
      <c r="AI171" s="358"/>
      <c r="AJ171" s="358"/>
      <c r="AK171" s="113"/>
      <c r="AL171" s="113"/>
      <c r="AM171" s="113"/>
      <c r="AN171" s="113"/>
      <c r="AO171" s="113"/>
      <c r="AP171" s="52"/>
      <c r="AQ171" s="52"/>
      <c r="AR171" s="52"/>
      <c r="AS171" s="52"/>
      <c r="AT171" s="52"/>
      <c r="AU171" s="125"/>
      <c r="AV171" s="125"/>
      <c r="AW171" s="125"/>
      <c r="AX171" s="5"/>
      <c r="AY171" s="5"/>
      <c r="AZ171" s="113">
        <v>73000</v>
      </c>
      <c r="BA171" s="113">
        <v>13870</v>
      </c>
      <c r="BB171" s="113">
        <v>86870</v>
      </c>
      <c r="BC171" s="52" t="s">
        <v>3389</v>
      </c>
      <c r="BD171" s="52" t="s">
        <v>3392</v>
      </c>
      <c r="BE171" s="118"/>
      <c r="BF171" s="118"/>
      <c r="BG171" s="118"/>
      <c r="BH171" s="52"/>
      <c r="BI171" s="283"/>
      <c r="BJ171" s="52"/>
      <c r="BK171" s="52"/>
      <c r="BL171" s="52"/>
      <c r="BM171" s="52"/>
      <c r="BN171" s="52"/>
      <c r="BO171" s="52"/>
      <c r="BP171" s="52"/>
      <c r="BQ171" s="52"/>
      <c r="BR171" s="52"/>
      <c r="BS171" s="52"/>
      <c r="BT171" s="52"/>
      <c r="BU171" s="52"/>
      <c r="BV171" s="52"/>
      <c r="BW171" s="52"/>
      <c r="BX171" s="52"/>
      <c r="BY171" s="52"/>
      <c r="BZ171" s="52"/>
      <c r="CA171" s="52"/>
      <c r="CB171" s="52"/>
      <c r="CC171" s="52"/>
      <c r="CD171" s="118"/>
      <c r="CE171" s="52"/>
      <c r="CF171" s="52"/>
      <c r="CG171" s="52"/>
      <c r="CH171" s="52"/>
      <c r="CI171" s="52"/>
      <c r="CJ171" s="52"/>
      <c r="CK171" s="52"/>
      <c r="CL171" s="52"/>
      <c r="CM171" s="52"/>
      <c r="CN171" s="118"/>
      <c r="CO171" s="118"/>
      <c r="CP171" s="118"/>
      <c r="CQ171" s="52"/>
      <c r="CR171" s="52"/>
      <c r="CS171" s="52"/>
      <c r="CT171" s="52"/>
      <c r="CU171" s="52"/>
      <c r="CV171" s="52"/>
      <c r="CW171" s="52"/>
      <c r="CX171" s="52"/>
      <c r="CY171" s="52"/>
      <c r="CZ171" s="52"/>
      <c r="DA171" s="52"/>
      <c r="DB171" s="52"/>
    </row>
    <row r="172" spans="1:106" ht="54" x14ac:dyDescent="0.25">
      <c r="A172" s="411">
        <v>170</v>
      </c>
      <c r="B172" s="412" t="s">
        <v>3393</v>
      </c>
      <c r="C172" s="413" t="s">
        <v>2965</v>
      </c>
      <c r="D172" s="409" t="s">
        <v>196</v>
      </c>
      <c r="E172" s="80">
        <v>1</v>
      </c>
      <c r="F172" s="356">
        <v>123802.48300000001</v>
      </c>
      <c r="G172" s="293"/>
      <c r="H172" s="293"/>
      <c r="I172" s="293"/>
      <c r="J172" s="52"/>
      <c r="K172" s="52"/>
      <c r="L172" s="359"/>
      <c r="M172" s="360"/>
      <c r="N172" s="361"/>
      <c r="O172" s="33"/>
      <c r="P172" s="252"/>
      <c r="Q172" s="113"/>
      <c r="R172" s="113"/>
      <c r="S172" s="113"/>
      <c r="T172" s="52"/>
      <c r="U172" s="5"/>
      <c r="V172" s="231"/>
      <c r="W172" s="231"/>
      <c r="X172" s="231"/>
      <c r="Y172" s="113"/>
      <c r="Z172" s="357"/>
      <c r="AA172" s="118" t="s">
        <v>2877</v>
      </c>
      <c r="AB172" s="118"/>
      <c r="AC172" s="118"/>
      <c r="AD172" s="52"/>
      <c r="AE172" s="5"/>
      <c r="AF172" s="358"/>
      <c r="AG172" s="358"/>
      <c r="AH172" s="358"/>
      <c r="AI172" s="358"/>
      <c r="AJ172" s="358"/>
      <c r="AK172" s="113"/>
      <c r="AL172" s="113"/>
      <c r="AM172" s="113"/>
      <c r="AN172" s="113"/>
      <c r="AO172" s="113"/>
      <c r="AP172" s="52"/>
      <c r="AQ172" s="52"/>
      <c r="AR172" s="52"/>
      <c r="AS172" s="52"/>
      <c r="AT172" s="52"/>
      <c r="AU172" s="125"/>
      <c r="AV172" s="125"/>
      <c r="AW172" s="125"/>
      <c r="AX172" s="5"/>
      <c r="AY172" s="5"/>
      <c r="AZ172" s="113">
        <v>33000</v>
      </c>
      <c r="BA172" s="113">
        <v>6270</v>
      </c>
      <c r="BB172" s="113">
        <v>39270</v>
      </c>
      <c r="BC172" s="52" t="s">
        <v>3384</v>
      </c>
      <c r="BD172" s="52" t="s">
        <v>3394</v>
      </c>
      <c r="BE172" s="118"/>
      <c r="BF172" s="118"/>
      <c r="BG172" s="118"/>
      <c r="BH172" s="52"/>
      <c r="BI172" s="283"/>
      <c r="BJ172" s="52"/>
      <c r="BK172" s="52"/>
      <c r="BL172" s="52"/>
      <c r="BM172" s="52"/>
      <c r="BN172" s="52"/>
      <c r="BO172" s="52"/>
      <c r="BP172" s="52"/>
      <c r="BQ172" s="52"/>
      <c r="BR172" s="52"/>
      <c r="BS172" s="52"/>
      <c r="BT172" s="52"/>
      <c r="BU172" s="52"/>
      <c r="BV172" s="52"/>
      <c r="BW172" s="52"/>
      <c r="BX172" s="52"/>
      <c r="BY172" s="52"/>
      <c r="BZ172" s="52"/>
      <c r="CA172" s="52"/>
      <c r="CB172" s="52"/>
      <c r="CC172" s="52"/>
      <c r="CD172" s="118"/>
      <c r="CE172" s="52"/>
      <c r="CF172" s="52"/>
      <c r="CG172" s="52"/>
      <c r="CH172" s="52"/>
      <c r="CI172" s="52"/>
      <c r="CJ172" s="52"/>
      <c r="CK172" s="52"/>
      <c r="CL172" s="52"/>
      <c r="CM172" s="52"/>
      <c r="CN172" s="118"/>
      <c r="CO172" s="118"/>
      <c r="CP172" s="118"/>
      <c r="CQ172" s="52"/>
      <c r="CR172" s="52"/>
      <c r="CS172" s="52"/>
      <c r="CT172" s="52"/>
      <c r="CU172" s="52"/>
      <c r="CV172" s="52"/>
      <c r="CW172" s="52"/>
      <c r="CX172" s="52"/>
      <c r="CY172" s="52"/>
      <c r="CZ172" s="52"/>
      <c r="DA172" s="52"/>
      <c r="DB172" s="52"/>
    </row>
    <row r="173" spans="1:106" ht="40.5" x14ac:dyDescent="0.25">
      <c r="A173" s="411">
        <v>171</v>
      </c>
      <c r="B173" s="412" t="s">
        <v>3395</v>
      </c>
      <c r="C173" s="413" t="s">
        <v>3396</v>
      </c>
      <c r="D173" s="426" t="s">
        <v>3102</v>
      </c>
      <c r="E173" s="80">
        <v>1</v>
      </c>
      <c r="F173" s="356">
        <v>1629171.6008000001</v>
      </c>
      <c r="G173" s="293"/>
      <c r="H173" s="293"/>
      <c r="I173" s="293"/>
      <c r="J173" s="52"/>
      <c r="K173" s="52"/>
      <c r="L173" s="359"/>
      <c r="M173" s="360"/>
      <c r="N173" s="361"/>
      <c r="O173" s="33"/>
      <c r="P173" s="252"/>
      <c r="Q173" s="113"/>
      <c r="R173" s="113"/>
      <c r="S173" s="113"/>
      <c r="T173" s="52"/>
      <c r="U173" s="5"/>
      <c r="V173" s="231"/>
      <c r="W173" s="231"/>
      <c r="X173" s="231"/>
      <c r="Y173" s="113"/>
      <c r="Z173" s="357"/>
      <c r="AA173" s="118" t="s">
        <v>2877</v>
      </c>
      <c r="AB173" s="118"/>
      <c r="AC173" s="118"/>
      <c r="AD173" s="52"/>
      <c r="AE173" s="5"/>
      <c r="AF173" s="358"/>
      <c r="AG173" s="358"/>
      <c r="AH173" s="358"/>
      <c r="AI173" s="358"/>
      <c r="AJ173" s="358"/>
      <c r="AK173" s="113"/>
      <c r="AL173" s="113"/>
      <c r="AM173" s="113"/>
      <c r="AN173" s="113"/>
      <c r="AO173" s="113"/>
      <c r="AP173" s="52"/>
      <c r="AQ173" s="52"/>
      <c r="AR173" s="52"/>
      <c r="AS173" s="52"/>
      <c r="AT173" s="52"/>
      <c r="AU173" s="125"/>
      <c r="AV173" s="125"/>
      <c r="AW173" s="125"/>
      <c r="AX173" s="5"/>
      <c r="AY173" s="5"/>
      <c r="AZ173" s="113">
        <v>2235000</v>
      </c>
      <c r="BA173" s="113">
        <v>424650</v>
      </c>
      <c r="BB173" s="113">
        <v>2659650</v>
      </c>
      <c r="BC173" s="52" t="s">
        <v>2925</v>
      </c>
      <c r="BD173" s="52" t="s">
        <v>3397</v>
      </c>
      <c r="BE173" s="118"/>
      <c r="BF173" s="118"/>
      <c r="BG173" s="118"/>
      <c r="BH173" s="52"/>
      <c r="BI173" s="283"/>
      <c r="BJ173" s="52"/>
      <c r="BK173" s="52"/>
      <c r="BL173" s="52"/>
      <c r="BM173" s="52"/>
      <c r="BN173" s="52"/>
      <c r="BO173" s="52"/>
      <c r="BP173" s="52"/>
      <c r="BQ173" s="52"/>
      <c r="BR173" s="52"/>
      <c r="BS173" s="52"/>
      <c r="BT173" s="52"/>
      <c r="BU173" s="52"/>
      <c r="BV173" s="52"/>
      <c r="BW173" s="52"/>
      <c r="BX173" s="52"/>
      <c r="BY173" s="52"/>
      <c r="BZ173" s="52"/>
      <c r="CA173" s="52"/>
      <c r="CB173" s="52"/>
      <c r="CC173" s="52"/>
      <c r="CD173" s="118"/>
      <c r="CE173" s="52"/>
      <c r="CF173" s="52"/>
      <c r="CG173" s="52"/>
      <c r="CH173" s="52"/>
      <c r="CI173" s="52"/>
      <c r="CJ173" s="52"/>
      <c r="CK173" s="52"/>
      <c r="CL173" s="52"/>
      <c r="CM173" s="52"/>
      <c r="CN173" s="118"/>
      <c r="CO173" s="118"/>
      <c r="CP173" s="118"/>
      <c r="CQ173" s="52"/>
      <c r="CR173" s="52"/>
      <c r="CS173" s="52"/>
      <c r="CT173" s="52"/>
      <c r="CU173" s="52"/>
      <c r="CV173" s="52"/>
      <c r="CW173" s="52"/>
      <c r="CX173" s="52"/>
      <c r="CY173" s="52"/>
      <c r="CZ173" s="52"/>
      <c r="DA173" s="52"/>
      <c r="DB173" s="52"/>
    </row>
    <row r="174" spans="1:106" ht="54" x14ac:dyDescent="0.25">
      <c r="A174" s="411">
        <v>172</v>
      </c>
      <c r="B174" s="412" t="s">
        <v>3398</v>
      </c>
      <c r="C174" s="413" t="s">
        <v>3399</v>
      </c>
      <c r="D174" s="426" t="s">
        <v>3400</v>
      </c>
      <c r="E174" s="80">
        <v>1</v>
      </c>
      <c r="F174" s="356">
        <v>1082171.9580000001</v>
      </c>
      <c r="G174" s="293"/>
      <c r="H174" s="293"/>
      <c r="I174" s="293"/>
      <c r="J174" s="52"/>
      <c r="K174" s="52"/>
      <c r="L174" s="359"/>
      <c r="M174" s="360"/>
      <c r="N174" s="361"/>
      <c r="O174" s="33"/>
      <c r="P174" s="252"/>
      <c r="Q174" s="113"/>
      <c r="R174" s="113"/>
      <c r="S174" s="113"/>
      <c r="T174" s="52"/>
      <c r="U174" s="5"/>
      <c r="V174" s="231">
        <v>343000</v>
      </c>
      <c r="W174" s="231">
        <f t="shared" si="18"/>
        <v>65170</v>
      </c>
      <c r="X174" s="231">
        <f t="shared" si="19"/>
        <v>408170</v>
      </c>
      <c r="Y174" s="113" t="s">
        <v>3378</v>
      </c>
      <c r="Z174" s="357" t="s">
        <v>3401</v>
      </c>
      <c r="AA174" s="118" t="s">
        <v>2877</v>
      </c>
      <c r="AB174" s="118"/>
      <c r="AC174" s="118"/>
      <c r="AD174" s="52"/>
      <c r="AE174" s="5"/>
      <c r="AF174" s="358"/>
      <c r="AG174" s="358"/>
      <c r="AH174" s="358"/>
      <c r="AI174" s="358"/>
      <c r="AJ174" s="358"/>
      <c r="AK174" s="113">
        <v>161000</v>
      </c>
      <c r="AL174" s="113">
        <v>30590</v>
      </c>
      <c r="AM174" s="113">
        <v>191590</v>
      </c>
      <c r="AN174" s="113" t="s">
        <v>3171</v>
      </c>
      <c r="AO174" s="113" t="s">
        <v>3402</v>
      </c>
      <c r="AP174" s="52"/>
      <c r="AQ174" s="52"/>
      <c r="AR174" s="52"/>
      <c r="AS174" s="52"/>
      <c r="AT174" s="52"/>
      <c r="AU174" s="125"/>
      <c r="AV174" s="125"/>
      <c r="AW174" s="125"/>
      <c r="AX174" s="5"/>
      <c r="AY174" s="5"/>
      <c r="AZ174" s="113">
        <v>4533000</v>
      </c>
      <c r="BA174" s="113">
        <v>861270</v>
      </c>
      <c r="BB174" s="113">
        <v>5394270</v>
      </c>
      <c r="BC174" s="52" t="s">
        <v>338</v>
      </c>
      <c r="BD174" s="52" t="s">
        <v>3403</v>
      </c>
      <c r="BE174" s="118"/>
      <c r="BF174" s="118"/>
      <c r="BG174" s="118"/>
      <c r="BH174" s="52"/>
      <c r="BI174" s="283"/>
      <c r="BJ174" s="52"/>
      <c r="BK174" s="52"/>
      <c r="BL174" s="52"/>
      <c r="BM174" s="52"/>
      <c r="BN174" s="52"/>
      <c r="BO174" s="52"/>
      <c r="BP174" s="52"/>
      <c r="BQ174" s="52"/>
      <c r="BR174" s="52"/>
      <c r="BS174" s="52"/>
      <c r="BT174" s="52"/>
      <c r="BU174" s="52"/>
      <c r="BV174" s="52"/>
      <c r="BW174" s="52"/>
      <c r="BX174" s="52"/>
      <c r="BY174" s="52"/>
      <c r="BZ174" s="52"/>
      <c r="CA174" s="52"/>
      <c r="CB174" s="52"/>
      <c r="CC174" s="52"/>
      <c r="CD174" s="118"/>
      <c r="CE174" s="52"/>
      <c r="CF174" s="52"/>
      <c r="CG174" s="52"/>
      <c r="CH174" s="52"/>
      <c r="CI174" s="52"/>
      <c r="CJ174" s="52"/>
      <c r="CK174" s="52"/>
      <c r="CL174" s="52"/>
      <c r="CM174" s="52"/>
      <c r="CN174" s="118"/>
      <c r="CO174" s="118"/>
      <c r="CP174" s="118"/>
      <c r="CQ174" s="52"/>
      <c r="CR174" s="52"/>
      <c r="CS174" s="52"/>
      <c r="CT174" s="52"/>
      <c r="CU174" s="52"/>
      <c r="CV174" s="52"/>
      <c r="CW174" s="52"/>
      <c r="CX174" s="52"/>
      <c r="CY174" s="52"/>
      <c r="CZ174" s="52"/>
      <c r="DA174" s="52"/>
      <c r="DB174" s="52"/>
    </row>
    <row r="175" spans="1:106" ht="67.5" x14ac:dyDescent="0.25">
      <c r="A175" s="411">
        <v>173</v>
      </c>
      <c r="B175" s="412" t="s">
        <v>3404</v>
      </c>
      <c r="C175" s="413" t="s">
        <v>3396</v>
      </c>
      <c r="D175" s="426" t="s">
        <v>3405</v>
      </c>
      <c r="E175" s="80">
        <v>1</v>
      </c>
      <c r="F175" s="356">
        <v>399876.26380000002</v>
      </c>
      <c r="G175" s="293"/>
      <c r="H175" s="293"/>
      <c r="I175" s="293"/>
      <c r="J175" s="52"/>
      <c r="K175" s="52"/>
      <c r="L175" s="359"/>
      <c r="M175" s="360"/>
      <c r="N175" s="361"/>
      <c r="O175" s="33"/>
      <c r="P175" s="252"/>
      <c r="Q175" s="113"/>
      <c r="R175" s="113"/>
      <c r="S175" s="113"/>
      <c r="T175" s="52"/>
      <c r="U175" s="5"/>
      <c r="V175" s="231"/>
      <c r="W175" s="231"/>
      <c r="X175" s="231"/>
      <c r="Y175" s="113"/>
      <c r="Z175" s="357"/>
      <c r="AA175" s="118" t="s">
        <v>2877</v>
      </c>
      <c r="AB175" s="118"/>
      <c r="AC175" s="118"/>
      <c r="AD175" s="52"/>
      <c r="AE175" s="5"/>
      <c r="AF175" s="358"/>
      <c r="AG175" s="358"/>
      <c r="AH175" s="358"/>
      <c r="AI175" s="358"/>
      <c r="AJ175" s="358"/>
      <c r="AK175" s="113"/>
      <c r="AL175" s="113"/>
      <c r="AM175" s="113"/>
      <c r="AN175" s="113"/>
      <c r="AO175" s="113"/>
      <c r="AP175" s="52"/>
      <c r="AQ175" s="52"/>
      <c r="AR175" s="52"/>
      <c r="AS175" s="52"/>
      <c r="AT175" s="52"/>
      <c r="AU175" s="125"/>
      <c r="AV175" s="125"/>
      <c r="AW175" s="125"/>
      <c r="AX175" s="5"/>
      <c r="AY175" s="5"/>
      <c r="AZ175" s="113">
        <v>5757000</v>
      </c>
      <c r="BA175" s="113">
        <v>1093830</v>
      </c>
      <c r="BB175" s="113">
        <v>6850830</v>
      </c>
      <c r="BC175" s="52" t="s">
        <v>338</v>
      </c>
      <c r="BD175" s="52" t="s">
        <v>3406</v>
      </c>
      <c r="BE175" s="118"/>
      <c r="BF175" s="118"/>
      <c r="BG175" s="118"/>
      <c r="BH175" s="52"/>
      <c r="BI175" s="283"/>
      <c r="BJ175" s="52"/>
      <c r="BK175" s="52"/>
      <c r="BL175" s="52"/>
      <c r="BM175" s="52"/>
      <c r="BN175" s="52"/>
      <c r="BO175" s="52"/>
      <c r="BP175" s="52"/>
      <c r="BQ175" s="52"/>
      <c r="BR175" s="52"/>
      <c r="BS175" s="52"/>
      <c r="BT175" s="52"/>
      <c r="BU175" s="52"/>
      <c r="BV175" s="52"/>
      <c r="BW175" s="52"/>
      <c r="BX175" s="52"/>
      <c r="BY175" s="52"/>
      <c r="BZ175" s="52"/>
      <c r="CA175" s="52"/>
      <c r="CB175" s="52"/>
      <c r="CC175" s="52"/>
      <c r="CD175" s="118"/>
      <c r="CE175" s="52"/>
      <c r="CF175" s="52"/>
      <c r="CG175" s="52"/>
      <c r="CH175" s="52"/>
      <c r="CI175" s="52"/>
      <c r="CJ175" s="52"/>
      <c r="CK175" s="52"/>
      <c r="CL175" s="52"/>
      <c r="CM175" s="52"/>
      <c r="CN175" s="118"/>
      <c r="CO175" s="118"/>
      <c r="CP175" s="118"/>
      <c r="CQ175" s="52"/>
      <c r="CR175" s="52"/>
      <c r="CS175" s="52"/>
      <c r="CT175" s="52"/>
      <c r="CU175" s="52"/>
      <c r="CV175" s="52"/>
      <c r="CW175" s="52"/>
      <c r="CX175" s="52"/>
      <c r="CY175" s="52"/>
      <c r="CZ175" s="52"/>
      <c r="DA175" s="52"/>
      <c r="DB175" s="52"/>
    </row>
    <row r="176" spans="1:106" ht="13.5" x14ac:dyDescent="0.25">
      <c r="A176" s="411">
        <v>174</v>
      </c>
      <c r="B176" s="412" t="s">
        <v>3407</v>
      </c>
      <c r="C176" s="413" t="s">
        <v>622</v>
      </c>
      <c r="D176" s="426" t="s">
        <v>445</v>
      </c>
      <c r="E176" s="80">
        <v>1</v>
      </c>
      <c r="F176" s="356">
        <v>85467.703999999998</v>
      </c>
      <c r="G176" s="293">
        <v>20000</v>
      </c>
      <c r="H176" s="293">
        <v>3800</v>
      </c>
      <c r="I176" s="293">
        <v>23800</v>
      </c>
      <c r="J176" s="52" t="s">
        <v>3408</v>
      </c>
      <c r="K176" s="52" t="s">
        <v>3409</v>
      </c>
      <c r="L176" s="359"/>
      <c r="M176" s="360"/>
      <c r="N176" s="361"/>
      <c r="O176" s="33"/>
      <c r="P176" s="252"/>
      <c r="Q176" s="113"/>
      <c r="R176" s="113"/>
      <c r="S176" s="113"/>
      <c r="T176" s="52"/>
      <c r="U176" s="5"/>
      <c r="V176" s="231"/>
      <c r="W176" s="231"/>
      <c r="X176" s="231"/>
      <c r="Y176" s="113"/>
      <c r="Z176" s="357"/>
      <c r="AA176" s="118" t="s">
        <v>2877</v>
      </c>
      <c r="AB176" s="118"/>
      <c r="AC176" s="118"/>
      <c r="AD176" s="52"/>
      <c r="AE176" s="5"/>
      <c r="AF176" s="358"/>
      <c r="AG176" s="358"/>
      <c r="AH176" s="358"/>
      <c r="AI176" s="358"/>
      <c r="AJ176" s="358"/>
      <c r="AK176" s="113"/>
      <c r="AL176" s="113"/>
      <c r="AM176" s="113"/>
      <c r="AN176" s="113"/>
      <c r="AO176" s="113"/>
      <c r="AP176" s="52"/>
      <c r="AQ176" s="52"/>
      <c r="AR176" s="52"/>
      <c r="AS176" s="52"/>
      <c r="AT176" s="52"/>
      <c r="AU176" s="125"/>
      <c r="AV176" s="125"/>
      <c r="AW176" s="125"/>
      <c r="AX176" s="5"/>
      <c r="AY176" s="5"/>
      <c r="AZ176" s="113">
        <v>69000</v>
      </c>
      <c r="BA176" s="113">
        <v>13110</v>
      </c>
      <c r="BB176" s="113">
        <v>82110</v>
      </c>
      <c r="BC176" s="52" t="s">
        <v>338</v>
      </c>
      <c r="BD176" s="52" t="s">
        <v>3410</v>
      </c>
      <c r="BE176" s="118"/>
      <c r="BF176" s="118"/>
      <c r="BG176" s="118"/>
      <c r="BH176" s="52"/>
      <c r="BI176" s="283"/>
      <c r="BJ176" s="52"/>
      <c r="BK176" s="52"/>
      <c r="BL176" s="52"/>
      <c r="BM176" s="52"/>
      <c r="BN176" s="52"/>
      <c r="BO176" s="52"/>
      <c r="BP176" s="52"/>
      <c r="BQ176" s="52"/>
      <c r="BR176" s="52"/>
      <c r="BS176" s="52"/>
      <c r="BT176" s="52"/>
      <c r="BU176" s="52"/>
      <c r="BV176" s="52"/>
      <c r="BW176" s="52"/>
      <c r="BX176" s="52"/>
      <c r="BY176" s="52"/>
      <c r="BZ176" s="52"/>
      <c r="CA176" s="52"/>
      <c r="CB176" s="52"/>
      <c r="CC176" s="52"/>
      <c r="CD176" s="118"/>
      <c r="CE176" s="52"/>
      <c r="CF176" s="52"/>
      <c r="CG176" s="52"/>
      <c r="CH176" s="52"/>
      <c r="CI176" s="52"/>
      <c r="CJ176" s="52"/>
      <c r="CK176" s="52"/>
      <c r="CL176" s="52"/>
      <c r="CM176" s="52"/>
      <c r="CN176" s="118"/>
      <c r="CO176" s="118"/>
      <c r="CP176" s="118"/>
      <c r="CQ176" s="52"/>
      <c r="CR176" s="52"/>
      <c r="CS176" s="52"/>
      <c r="CT176" s="52"/>
      <c r="CU176" s="52"/>
      <c r="CV176" s="52"/>
      <c r="CW176" s="52"/>
      <c r="CX176" s="52"/>
      <c r="CY176" s="52"/>
      <c r="CZ176" s="52"/>
      <c r="DA176" s="52"/>
      <c r="DB176" s="52"/>
    </row>
    <row r="177" spans="1:106" ht="67.5" x14ac:dyDescent="0.25">
      <c r="A177" s="411">
        <v>175</v>
      </c>
      <c r="B177" s="412" t="s">
        <v>3411</v>
      </c>
      <c r="C177" s="413" t="s">
        <v>622</v>
      </c>
      <c r="D177" s="426" t="s">
        <v>445</v>
      </c>
      <c r="E177" s="80">
        <v>1</v>
      </c>
      <c r="F177" s="80"/>
      <c r="G177" s="293"/>
      <c r="H177" s="293"/>
      <c r="I177" s="293"/>
      <c r="J177" s="52"/>
      <c r="K177" s="52"/>
      <c r="L177" s="359"/>
      <c r="M177" s="360"/>
      <c r="N177" s="361"/>
      <c r="O177" s="33"/>
      <c r="P177" s="252"/>
      <c r="Q177" s="113"/>
      <c r="R177" s="113"/>
      <c r="S177" s="113"/>
      <c r="T177" s="52"/>
      <c r="U177" s="5"/>
      <c r="V177" s="231"/>
      <c r="W177" s="231"/>
      <c r="X177" s="231"/>
      <c r="Y177" s="113"/>
      <c r="Z177" s="357"/>
      <c r="AA177" s="118" t="s">
        <v>2877</v>
      </c>
      <c r="AB177" s="118"/>
      <c r="AC177" s="118"/>
      <c r="AD177" s="52"/>
      <c r="AE177" s="5"/>
      <c r="AF177" s="358"/>
      <c r="AG177" s="358"/>
      <c r="AH177" s="358"/>
      <c r="AI177" s="358"/>
      <c r="AJ177" s="358"/>
      <c r="AK177" s="113"/>
      <c r="AL177" s="113"/>
      <c r="AM177" s="113"/>
      <c r="AN177" s="113"/>
      <c r="AO177" s="113"/>
      <c r="AP177" s="52"/>
      <c r="AQ177" s="52"/>
      <c r="AR177" s="52"/>
      <c r="AS177" s="52"/>
      <c r="AT177" s="52"/>
      <c r="AU177" s="125"/>
      <c r="AV177" s="125"/>
      <c r="AW177" s="125"/>
      <c r="AX177" s="5"/>
      <c r="AY177" s="5"/>
      <c r="AZ177" s="113">
        <v>6231000</v>
      </c>
      <c r="BA177" s="113">
        <v>1183890</v>
      </c>
      <c r="BB177" s="113">
        <v>7414890</v>
      </c>
      <c r="BC177" s="52" t="s">
        <v>3412</v>
      </c>
      <c r="BD177" s="52" t="s">
        <v>3413</v>
      </c>
      <c r="BE177" s="118"/>
      <c r="BF177" s="118"/>
      <c r="BG177" s="118"/>
      <c r="BH177" s="52"/>
      <c r="BI177" s="283"/>
      <c r="BJ177" s="52"/>
      <c r="BK177" s="52"/>
      <c r="BL177" s="52"/>
      <c r="BM177" s="52"/>
      <c r="BN177" s="52"/>
      <c r="BO177" s="52"/>
      <c r="BP177" s="52"/>
      <c r="BQ177" s="52"/>
      <c r="BR177" s="52"/>
      <c r="BS177" s="52"/>
      <c r="BT177" s="52"/>
      <c r="BU177" s="52"/>
      <c r="BV177" s="52"/>
      <c r="BW177" s="52"/>
      <c r="BX177" s="52"/>
      <c r="BY177" s="52"/>
      <c r="BZ177" s="52"/>
      <c r="CA177" s="52"/>
      <c r="CB177" s="52"/>
      <c r="CC177" s="52"/>
      <c r="CD177" s="118"/>
      <c r="CE177" s="52"/>
      <c r="CF177" s="52"/>
      <c r="CG177" s="52"/>
      <c r="CH177" s="52"/>
      <c r="CI177" s="52"/>
      <c r="CJ177" s="52"/>
      <c r="CK177" s="52"/>
      <c r="CL177" s="52"/>
      <c r="CM177" s="52"/>
      <c r="CN177" s="118"/>
      <c r="CO177" s="118"/>
      <c r="CP177" s="118"/>
      <c r="CQ177" s="52"/>
      <c r="CR177" s="52"/>
      <c r="CS177" s="52"/>
      <c r="CT177" s="52"/>
      <c r="CU177" s="52"/>
      <c r="CV177" s="52"/>
      <c r="CW177" s="52"/>
      <c r="CX177" s="52"/>
      <c r="CY177" s="52"/>
      <c r="CZ177" s="52"/>
      <c r="DA177" s="52"/>
      <c r="DB177" s="52"/>
    </row>
    <row r="178" spans="1:106" ht="27" x14ac:dyDescent="0.25">
      <c r="A178" s="411">
        <v>176</v>
      </c>
      <c r="B178" s="412" t="s">
        <v>3414</v>
      </c>
      <c r="C178" s="413" t="s">
        <v>622</v>
      </c>
      <c r="D178" s="426" t="s">
        <v>445</v>
      </c>
      <c r="E178" s="80">
        <v>1</v>
      </c>
      <c r="F178" s="356">
        <v>87981.46</v>
      </c>
      <c r="G178" s="293"/>
      <c r="H178" s="293"/>
      <c r="I178" s="293"/>
      <c r="J178" s="52"/>
      <c r="K178" s="52"/>
      <c r="L178" s="359"/>
      <c r="M178" s="360"/>
      <c r="N178" s="361"/>
      <c r="O178" s="33"/>
      <c r="P178" s="252"/>
      <c r="Q178" s="113"/>
      <c r="R178" s="113"/>
      <c r="S178" s="113"/>
      <c r="T178" s="52"/>
      <c r="U178" s="5"/>
      <c r="V178" s="231"/>
      <c r="W178" s="231"/>
      <c r="X178" s="231"/>
      <c r="Y178" s="113"/>
      <c r="Z178" s="357"/>
      <c r="AA178" s="118" t="s">
        <v>2877</v>
      </c>
      <c r="AB178" s="118"/>
      <c r="AC178" s="118"/>
      <c r="AD178" s="52"/>
      <c r="AE178" s="5"/>
      <c r="AF178" s="358"/>
      <c r="AG178" s="358"/>
      <c r="AH178" s="358"/>
      <c r="AI178" s="358"/>
      <c r="AJ178" s="358"/>
      <c r="AK178" s="113"/>
      <c r="AL178" s="113"/>
      <c r="AM178" s="113"/>
      <c r="AN178" s="113"/>
      <c r="AO178" s="113"/>
      <c r="AP178" s="52"/>
      <c r="AQ178" s="52"/>
      <c r="AR178" s="52"/>
      <c r="AS178" s="52"/>
      <c r="AT178" s="52"/>
      <c r="AU178" s="125"/>
      <c r="AV178" s="125"/>
      <c r="AW178" s="125"/>
      <c r="AX178" s="5"/>
      <c r="AY178" s="5"/>
      <c r="AZ178" s="113"/>
      <c r="BA178" s="113"/>
      <c r="BB178" s="113"/>
      <c r="BC178" s="52"/>
      <c r="BD178" s="52"/>
      <c r="BE178" s="118"/>
      <c r="BF178" s="118"/>
      <c r="BG178" s="118"/>
      <c r="BH178" s="52"/>
      <c r="BI178" s="283"/>
      <c r="BJ178" s="52"/>
      <c r="BK178" s="52"/>
      <c r="BL178" s="52"/>
      <c r="BM178" s="52"/>
      <c r="BN178" s="52"/>
      <c r="BO178" s="52"/>
      <c r="BP178" s="52"/>
      <c r="BQ178" s="52"/>
      <c r="BR178" s="52"/>
      <c r="BS178" s="52"/>
      <c r="BT178" s="52"/>
      <c r="BU178" s="52"/>
      <c r="BV178" s="52"/>
      <c r="BW178" s="52"/>
      <c r="BX178" s="52"/>
      <c r="BY178" s="52"/>
      <c r="BZ178" s="52"/>
      <c r="CA178" s="52"/>
      <c r="CB178" s="52"/>
      <c r="CC178" s="52"/>
      <c r="CD178" s="118"/>
      <c r="CE178" s="52"/>
      <c r="CF178" s="52"/>
      <c r="CG178" s="52"/>
      <c r="CH178" s="52"/>
      <c r="CI178" s="52"/>
      <c r="CJ178" s="52"/>
      <c r="CK178" s="52"/>
      <c r="CL178" s="52"/>
      <c r="CM178" s="52"/>
      <c r="CN178" s="118"/>
      <c r="CO178" s="118"/>
      <c r="CP178" s="118"/>
      <c r="CQ178" s="52"/>
      <c r="CR178" s="52"/>
      <c r="CS178" s="52"/>
      <c r="CT178" s="52"/>
      <c r="CU178" s="52"/>
      <c r="CV178" s="52"/>
      <c r="CW178" s="52"/>
      <c r="CX178" s="52"/>
      <c r="CY178" s="52"/>
      <c r="CZ178" s="52"/>
      <c r="DA178" s="52"/>
      <c r="DB178" s="52"/>
    </row>
    <row r="179" spans="1:106" ht="13.5" x14ac:dyDescent="0.25">
      <c r="A179" s="411">
        <v>177</v>
      </c>
      <c r="B179" s="412" t="s">
        <v>3415</v>
      </c>
      <c r="C179" s="413" t="s">
        <v>622</v>
      </c>
      <c r="D179" s="426" t="s">
        <v>445</v>
      </c>
      <c r="E179" s="80">
        <v>1</v>
      </c>
      <c r="F179" s="355">
        <v>26816.918000000001</v>
      </c>
      <c r="G179" s="293"/>
      <c r="H179" s="293"/>
      <c r="I179" s="293"/>
      <c r="J179" s="52"/>
      <c r="K179" s="52"/>
      <c r="L179" s="359"/>
      <c r="M179" s="360"/>
      <c r="N179" s="361"/>
      <c r="O179" s="33"/>
      <c r="P179" s="252"/>
      <c r="Q179" s="113"/>
      <c r="R179" s="113"/>
      <c r="S179" s="113"/>
      <c r="T179" s="52"/>
      <c r="U179" s="5"/>
      <c r="V179" s="231"/>
      <c r="W179" s="231"/>
      <c r="X179" s="231"/>
      <c r="Y179" s="113"/>
      <c r="Z179" s="357"/>
      <c r="AA179" s="118" t="s">
        <v>2877</v>
      </c>
      <c r="AB179" s="118"/>
      <c r="AC179" s="118"/>
      <c r="AD179" s="52"/>
      <c r="AE179" s="5"/>
      <c r="AF179" s="358"/>
      <c r="AG179" s="358"/>
      <c r="AH179" s="358"/>
      <c r="AI179" s="358"/>
      <c r="AJ179" s="358"/>
      <c r="AK179" s="113"/>
      <c r="AL179" s="113"/>
      <c r="AM179" s="113"/>
      <c r="AN179" s="113"/>
      <c r="AO179" s="113"/>
      <c r="AP179" s="52"/>
      <c r="AQ179" s="52"/>
      <c r="AR179" s="52"/>
      <c r="AS179" s="52"/>
      <c r="AT179" s="52"/>
      <c r="AU179" s="125"/>
      <c r="AV179" s="125"/>
      <c r="AW179" s="125"/>
      <c r="AX179" s="5"/>
      <c r="AY179" s="5"/>
      <c r="AZ179" s="113"/>
      <c r="BA179" s="113"/>
      <c r="BB179" s="113"/>
      <c r="BC179" s="52"/>
      <c r="BD179" s="52"/>
      <c r="BE179" s="118"/>
      <c r="BF179" s="118"/>
      <c r="BG179" s="118"/>
      <c r="BH179" s="52"/>
      <c r="BI179" s="283"/>
      <c r="BJ179" s="52"/>
      <c r="BK179" s="52"/>
      <c r="BL179" s="52"/>
      <c r="BM179" s="52"/>
      <c r="BN179" s="52"/>
      <c r="BO179" s="52"/>
      <c r="BP179" s="52"/>
      <c r="BQ179" s="52"/>
      <c r="BR179" s="52"/>
      <c r="BS179" s="52"/>
      <c r="BT179" s="52"/>
      <c r="BU179" s="52"/>
      <c r="BV179" s="52"/>
      <c r="BW179" s="52"/>
      <c r="BX179" s="52"/>
      <c r="BY179" s="52"/>
      <c r="BZ179" s="52"/>
      <c r="CA179" s="52"/>
      <c r="CB179" s="52"/>
      <c r="CC179" s="52"/>
      <c r="CD179" s="118"/>
      <c r="CE179" s="52"/>
      <c r="CF179" s="52"/>
      <c r="CG179" s="52"/>
      <c r="CH179" s="52"/>
      <c r="CI179" s="52"/>
      <c r="CJ179" s="52"/>
      <c r="CK179" s="52"/>
      <c r="CL179" s="52"/>
      <c r="CM179" s="52"/>
      <c r="CN179" s="118"/>
      <c r="CO179" s="118"/>
      <c r="CP179" s="118"/>
      <c r="CQ179" s="52"/>
      <c r="CR179" s="52"/>
      <c r="CS179" s="52"/>
      <c r="CT179" s="52"/>
      <c r="CU179" s="52"/>
      <c r="CV179" s="52"/>
      <c r="CW179" s="52"/>
      <c r="CX179" s="52"/>
      <c r="CY179" s="52"/>
      <c r="CZ179" s="52"/>
      <c r="DA179" s="52"/>
      <c r="DB179" s="52"/>
    </row>
    <row r="180" spans="1:106" ht="27" x14ac:dyDescent="0.25">
      <c r="A180" s="411">
        <v>178</v>
      </c>
      <c r="B180" s="412" t="s">
        <v>3416</v>
      </c>
      <c r="C180" s="413" t="s">
        <v>622</v>
      </c>
      <c r="D180" s="426" t="s">
        <v>3417</v>
      </c>
      <c r="E180" s="80">
        <v>1</v>
      </c>
      <c r="F180" s="356">
        <v>109348.386</v>
      </c>
      <c r="G180" s="293"/>
      <c r="H180" s="293"/>
      <c r="I180" s="293"/>
      <c r="J180" s="52"/>
      <c r="K180" s="52"/>
      <c r="L180" s="359"/>
      <c r="M180" s="360"/>
      <c r="N180" s="361"/>
      <c r="O180" s="33"/>
      <c r="P180" s="252"/>
      <c r="Q180" s="113"/>
      <c r="R180" s="113"/>
      <c r="S180" s="113"/>
      <c r="T180" s="52"/>
      <c r="U180" s="5"/>
      <c r="V180" s="231"/>
      <c r="W180" s="231"/>
      <c r="X180" s="231"/>
      <c r="Y180" s="113"/>
      <c r="Z180" s="357"/>
      <c r="AA180" s="118" t="s">
        <v>2877</v>
      </c>
      <c r="AB180" s="118"/>
      <c r="AC180" s="118"/>
      <c r="AD180" s="52"/>
      <c r="AE180" s="5"/>
      <c r="AF180" s="358"/>
      <c r="AG180" s="358"/>
      <c r="AH180" s="358"/>
      <c r="AI180" s="358"/>
      <c r="AJ180" s="358"/>
      <c r="AK180" s="113"/>
      <c r="AL180" s="113"/>
      <c r="AM180" s="113"/>
      <c r="AN180" s="113"/>
      <c r="AO180" s="113"/>
      <c r="AP180" s="52"/>
      <c r="AQ180" s="52"/>
      <c r="AR180" s="52"/>
      <c r="AS180" s="52"/>
      <c r="AT180" s="52"/>
      <c r="AU180" s="125"/>
      <c r="AV180" s="125"/>
      <c r="AW180" s="125"/>
      <c r="AX180" s="5"/>
      <c r="AY180" s="5"/>
      <c r="AZ180" s="113"/>
      <c r="BA180" s="113"/>
      <c r="BB180" s="113"/>
      <c r="BC180" s="52"/>
      <c r="BD180" s="52"/>
      <c r="BE180" s="118"/>
      <c r="BF180" s="118"/>
      <c r="BG180" s="118"/>
      <c r="BH180" s="52"/>
      <c r="BI180" s="283"/>
      <c r="BJ180" s="52"/>
      <c r="BK180" s="52"/>
      <c r="BL180" s="52"/>
      <c r="BM180" s="52"/>
      <c r="BN180" s="52"/>
      <c r="BO180" s="52"/>
      <c r="BP180" s="52"/>
      <c r="BQ180" s="52"/>
      <c r="BR180" s="52"/>
      <c r="BS180" s="52"/>
      <c r="BT180" s="52"/>
      <c r="BU180" s="52"/>
      <c r="BV180" s="52"/>
      <c r="BW180" s="52"/>
      <c r="BX180" s="52"/>
      <c r="BY180" s="52"/>
      <c r="BZ180" s="52"/>
      <c r="CA180" s="52"/>
      <c r="CB180" s="52"/>
      <c r="CC180" s="52"/>
      <c r="CD180" s="118"/>
      <c r="CE180" s="52"/>
      <c r="CF180" s="52"/>
      <c r="CG180" s="52"/>
      <c r="CH180" s="52"/>
      <c r="CI180" s="52"/>
      <c r="CJ180" s="52"/>
      <c r="CK180" s="52"/>
      <c r="CL180" s="52"/>
      <c r="CM180" s="52"/>
      <c r="CN180" s="118"/>
      <c r="CO180" s="118"/>
      <c r="CP180" s="118"/>
      <c r="CQ180" s="52"/>
      <c r="CR180" s="52"/>
      <c r="CS180" s="52"/>
      <c r="CT180" s="52"/>
      <c r="CU180" s="52"/>
      <c r="CV180" s="52"/>
      <c r="CW180" s="52"/>
      <c r="CX180" s="52"/>
      <c r="CY180" s="52"/>
      <c r="CZ180" s="52"/>
      <c r="DA180" s="52"/>
      <c r="DB180" s="52"/>
    </row>
    <row r="181" spans="1:106" ht="27" x14ac:dyDescent="0.25">
      <c r="A181" s="411">
        <v>179</v>
      </c>
      <c r="B181" s="409" t="s">
        <v>3418</v>
      </c>
      <c r="C181" s="413" t="s">
        <v>622</v>
      </c>
      <c r="D181" s="409" t="s">
        <v>2005</v>
      </c>
      <c r="E181" s="80">
        <v>1</v>
      </c>
      <c r="F181" s="80"/>
      <c r="G181" s="293"/>
      <c r="H181" s="293"/>
      <c r="I181" s="293"/>
      <c r="J181" s="52"/>
      <c r="K181" s="52"/>
      <c r="L181" s="359"/>
      <c r="M181" s="360"/>
      <c r="N181" s="361"/>
      <c r="O181" s="33"/>
      <c r="P181" s="252"/>
      <c r="Q181" s="113"/>
      <c r="R181" s="113"/>
      <c r="S181" s="113"/>
      <c r="T181" s="52"/>
      <c r="U181" s="5"/>
      <c r="V181" s="231"/>
      <c r="W181" s="231"/>
      <c r="X181" s="231"/>
      <c r="Y181" s="113"/>
      <c r="Z181" s="357"/>
      <c r="AA181" s="118" t="s">
        <v>2877</v>
      </c>
      <c r="AB181" s="118"/>
      <c r="AC181" s="118"/>
      <c r="AD181" s="52"/>
      <c r="AE181" s="5"/>
      <c r="AF181" s="358"/>
      <c r="AG181" s="358"/>
      <c r="AH181" s="358"/>
      <c r="AI181" s="358"/>
      <c r="AJ181" s="358"/>
      <c r="AK181" s="113"/>
      <c r="AL181" s="113"/>
      <c r="AM181" s="113"/>
      <c r="AN181" s="113"/>
      <c r="AO181" s="113"/>
      <c r="AP181" s="52"/>
      <c r="AQ181" s="52"/>
      <c r="AR181" s="52"/>
      <c r="AS181" s="52"/>
      <c r="AT181" s="52"/>
      <c r="AU181" s="125"/>
      <c r="AV181" s="125"/>
      <c r="AW181" s="125"/>
      <c r="AX181" s="5"/>
      <c r="AY181" s="5"/>
      <c r="AZ181" s="113">
        <v>44000</v>
      </c>
      <c r="BA181" s="113">
        <v>8360</v>
      </c>
      <c r="BB181" s="113">
        <v>52360</v>
      </c>
      <c r="BC181" s="52" t="s">
        <v>3419</v>
      </c>
      <c r="BD181" s="52" t="s">
        <v>3420</v>
      </c>
      <c r="BE181" s="118"/>
      <c r="BF181" s="118"/>
      <c r="BG181" s="118"/>
      <c r="BH181" s="52"/>
      <c r="BI181" s="283"/>
      <c r="BJ181" s="52"/>
      <c r="BK181" s="52"/>
      <c r="BL181" s="52"/>
      <c r="BM181" s="52"/>
      <c r="BN181" s="52"/>
      <c r="BO181" s="52"/>
      <c r="BP181" s="52"/>
      <c r="BQ181" s="52"/>
      <c r="BR181" s="52"/>
      <c r="BS181" s="52"/>
      <c r="BT181" s="52"/>
      <c r="BU181" s="52"/>
      <c r="BV181" s="52"/>
      <c r="BW181" s="52"/>
      <c r="BX181" s="52"/>
      <c r="BY181" s="52"/>
      <c r="BZ181" s="52"/>
      <c r="CA181" s="52"/>
      <c r="CB181" s="52"/>
      <c r="CC181" s="52"/>
      <c r="CD181" s="118"/>
      <c r="CE181" s="52"/>
      <c r="CF181" s="52"/>
      <c r="CG181" s="52"/>
      <c r="CH181" s="52"/>
      <c r="CI181" s="52"/>
      <c r="CJ181" s="52"/>
      <c r="CK181" s="52"/>
      <c r="CL181" s="52"/>
      <c r="CM181" s="52"/>
      <c r="CN181" s="118"/>
      <c r="CO181" s="118"/>
      <c r="CP181" s="118"/>
      <c r="CQ181" s="52"/>
      <c r="CR181" s="52"/>
      <c r="CS181" s="52"/>
      <c r="CT181" s="52"/>
      <c r="CU181" s="52"/>
      <c r="CV181" s="52"/>
      <c r="CW181" s="52"/>
      <c r="CX181" s="52"/>
      <c r="CY181" s="52"/>
      <c r="CZ181" s="52"/>
      <c r="DA181" s="52"/>
      <c r="DB181" s="52"/>
    </row>
    <row r="182" spans="1:106" ht="27" x14ac:dyDescent="0.25">
      <c r="A182" s="411">
        <v>180</v>
      </c>
      <c r="B182" s="412" t="s">
        <v>3421</v>
      </c>
      <c r="C182" s="413" t="s">
        <v>622</v>
      </c>
      <c r="D182" s="426" t="s">
        <v>2005</v>
      </c>
      <c r="E182" s="80">
        <v>1</v>
      </c>
      <c r="F182" s="356">
        <v>36449.462</v>
      </c>
      <c r="G182" s="293"/>
      <c r="H182" s="293"/>
      <c r="I182" s="293"/>
      <c r="J182" s="52"/>
      <c r="K182" s="52"/>
      <c r="L182" s="359"/>
      <c r="M182" s="360"/>
      <c r="N182" s="361"/>
      <c r="O182" s="33"/>
      <c r="P182" s="252"/>
      <c r="Q182" s="113"/>
      <c r="R182" s="113"/>
      <c r="S182" s="113"/>
      <c r="T182" s="52"/>
      <c r="U182" s="5"/>
      <c r="V182" s="231"/>
      <c r="W182" s="231"/>
      <c r="X182" s="231"/>
      <c r="Y182" s="113"/>
      <c r="Z182" s="357"/>
      <c r="AA182" s="118" t="s">
        <v>2877</v>
      </c>
      <c r="AB182" s="118"/>
      <c r="AC182" s="118"/>
      <c r="AD182" s="52"/>
      <c r="AE182" s="5"/>
      <c r="AF182" s="358"/>
      <c r="AG182" s="358"/>
      <c r="AH182" s="358"/>
      <c r="AI182" s="358"/>
      <c r="AJ182" s="358"/>
      <c r="AK182" s="113"/>
      <c r="AL182" s="113"/>
      <c r="AM182" s="113"/>
      <c r="AN182" s="113"/>
      <c r="AO182" s="113"/>
      <c r="AP182" s="52"/>
      <c r="AQ182" s="52"/>
      <c r="AR182" s="52"/>
      <c r="AS182" s="52"/>
      <c r="AT182" s="52"/>
      <c r="AU182" s="125"/>
      <c r="AV182" s="125"/>
      <c r="AW182" s="125"/>
      <c r="AX182" s="5"/>
      <c r="AY182" s="5"/>
      <c r="AZ182" s="113">
        <v>44000</v>
      </c>
      <c r="BA182" s="113">
        <v>8360</v>
      </c>
      <c r="BB182" s="113">
        <v>52360</v>
      </c>
      <c r="BC182" s="52" t="s">
        <v>3419</v>
      </c>
      <c r="BD182" s="52" t="s">
        <v>3422</v>
      </c>
      <c r="BE182" s="118"/>
      <c r="BF182" s="118"/>
      <c r="BG182" s="118"/>
      <c r="BH182" s="52"/>
      <c r="BI182" s="283"/>
      <c r="BJ182" s="52"/>
      <c r="BK182" s="52"/>
      <c r="BL182" s="52"/>
      <c r="BM182" s="52"/>
      <c r="BN182" s="52"/>
      <c r="BO182" s="52"/>
      <c r="BP182" s="52"/>
      <c r="BQ182" s="52"/>
      <c r="BR182" s="52"/>
      <c r="BS182" s="52"/>
      <c r="BT182" s="52"/>
      <c r="BU182" s="52"/>
      <c r="BV182" s="52"/>
      <c r="BW182" s="52"/>
      <c r="BX182" s="52"/>
      <c r="BY182" s="52"/>
      <c r="BZ182" s="52"/>
      <c r="CA182" s="52"/>
      <c r="CB182" s="52"/>
      <c r="CC182" s="52"/>
      <c r="CD182" s="118"/>
      <c r="CE182" s="52"/>
      <c r="CF182" s="52"/>
      <c r="CG182" s="52"/>
      <c r="CH182" s="52"/>
      <c r="CI182" s="52"/>
      <c r="CJ182" s="52"/>
      <c r="CK182" s="52"/>
      <c r="CL182" s="52"/>
      <c r="CM182" s="52"/>
      <c r="CN182" s="118"/>
      <c r="CO182" s="118"/>
      <c r="CP182" s="118"/>
      <c r="CQ182" s="52"/>
      <c r="CR182" s="52"/>
      <c r="CS182" s="52"/>
      <c r="CT182" s="52"/>
      <c r="CU182" s="52"/>
      <c r="CV182" s="52"/>
      <c r="CW182" s="52"/>
      <c r="CX182" s="52"/>
      <c r="CY182" s="52"/>
      <c r="CZ182" s="52"/>
      <c r="DA182" s="52"/>
      <c r="DB182" s="52"/>
    </row>
    <row r="183" spans="1:106" ht="27" x14ac:dyDescent="0.25">
      <c r="A183" s="411">
        <v>181</v>
      </c>
      <c r="B183" s="412" t="s">
        <v>3423</v>
      </c>
      <c r="C183" s="413" t="s">
        <v>622</v>
      </c>
      <c r="D183" s="426" t="s">
        <v>2005</v>
      </c>
      <c r="E183" s="80">
        <v>1</v>
      </c>
      <c r="F183" s="356">
        <v>38963.218000000001</v>
      </c>
      <c r="G183" s="293"/>
      <c r="H183" s="293"/>
      <c r="I183" s="293"/>
      <c r="J183" s="52"/>
      <c r="K183" s="52"/>
      <c r="L183" s="359"/>
      <c r="M183" s="360"/>
      <c r="N183" s="361"/>
      <c r="O183" s="33"/>
      <c r="P183" s="252"/>
      <c r="Q183" s="113"/>
      <c r="R183" s="113"/>
      <c r="S183" s="113"/>
      <c r="T183" s="52"/>
      <c r="U183" s="5"/>
      <c r="V183" s="231"/>
      <c r="W183" s="231"/>
      <c r="X183" s="231"/>
      <c r="Y183" s="113"/>
      <c r="Z183" s="357"/>
      <c r="AA183" s="118" t="s">
        <v>2877</v>
      </c>
      <c r="AB183" s="118"/>
      <c r="AC183" s="118"/>
      <c r="AD183" s="52"/>
      <c r="AE183" s="5"/>
      <c r="AF183" s="358"/>
      <c r="AG183" s="358"/>
      <c r="AH183" s="358"/>
      <c r="AI183" s="358"/>
      <c r="AJ183" s="358"/>
      <c r="AK183" s="113"/>
      <c r="AL183" s="113"/>
      <c r="AM183" s="113"/>
      <c r="AN183" s="113"/>
      <c r="AO183" s="113"/>
      <c r="AP183" s="52"/>
      <c r="AQ183" s="52"/>
      <c r="AR183" s="52"/>
      <c r="AS183" s="52"/>
      <c r="AT183" s="52"/>
      <c r="AU183" s="125"/>
      <c r="AV183" s="125"/>
      <c r="AW183" s="125"/>
      <c r="AX183" s="5"/>
      <c r="AY183" s="5"/>
      <c r="AZ183" s="113">
        <v>44000</v>
      </c>
      <c r="BA183" s="113">
        <v>8360</v>
      </c>
      <c r="BB183" s="113">
        <v>52360</v>
      </c>
      <c r="BC183" s="52" t="s">
        <v>3419</v>
      </c>
      <c r="BD183" s="52" t="s">
        <v>3424</v>
      </c>
      <c r="BE183" s="118"/>
      <c r="BF183" s="118"/>
      <c r="BG183" s="118"/>
      <c r="BH183" s="52"/>
      <c r="BI183" s="283"/>
      <c r="BJ183" s="52"/>
      <c r="BK183" s="52"/>
      <c r="BL183" s="52"/>
      <c r="BM183" s="52"/>
      <c r="BN183" s="52"/>
      <c r="BO183" s="52"/>
      <c r="BP183" s="52"/>
      <c r="BQ183" s="52"/>
      <c r="BR183" s="52"/>
      <c r="BS183" s="52"/>
      <c r="BT183" s="52"/>
      <c r="BU183" s="52"/>
      <c r="BV183" s="52"/>
      <c r="BW183" s="52"/>
      <c r="BX183" s="52"/>
      <c r="BY183" s="52"/>
      <c r="BZ183" s="52"/>
      <c r="CA183" s="52"/>
      <c r="CB183" s="52"/>
      <c r="CC183" s="52"/>
      <c r="CD183" s="118"/>
      <c r="CE183" s="52"/>
      <c r="CF183" s="52"/>
      <c r="CG183" s="52"/>
      <c r="CH183" s="52"/>
      <c r="CI183" s="52"/>
      <c r="CJ183" s="52"/>
      <c r="CK183" s="52"/>
      <c r="CL183" s="52"/>
      <c r="CM183" s="52"/>
      <c r="CN183" s="118"/>
      <c r="CO183" s="118"/>
      <c r="CP183" s="118"/>
      <c r="CQ183" s="52"/>
      <c r="CR183" s="52"/>
      <c r="CS183" s="52"/>
      <c r="CT183" s="52"/>
      <c r="CU183" s="52"/>
      <c r="CV183" s="52"/>
      <c r="CW183" s="52"/>
      <c r="CX183" s="52"/>
      <c r="CY183" s="52"/>
      <c r="CZ183" s="52"/>
      <c r="DA183" s="52"/>
      <c r="DB183" s="52"/>
    </row>
    <row r="184" spans="1:106" ht="27" x14ac:dyDescent="0.25">
      <c r="A184" s="411">
        <v>182</v>
      </c>
      <c r="B184" s="412" t="s">
        <v>3425</v>
      </c>
      <c r="C184" s="413" t="s">
        <v>622</v>
      </c>
      <c r="D184" s="426" t="s">
        <v>2005</v>
      </c>
      <c r="E184" s="80">
        <v>1</v>
      </c>
      <c r="F184" s="356">
        <v>40220.095999999998</v>
      </c>
      <c r="G184" s="293"/>
      <c r="H184" s="293"/>
      <c r="I184" s="293"/>
      <c r="J184" s="52"/>
      <c r="K184" s="52"/>
      <c r="L184" s="359"/>
      <c r="M184" s="360"/>
      <c r="N184" s="361"/>
      <c r="O184" s="33"/>
      <c r="P184" s="252"/>
      <c r="Q184" s="113"/>
      <c r="R184" s="113"/>
      <c r="S184" s="113"/>
      <c r="T184" s="52"/>
      <c r="U184" s="5"/>
      <c r="V184" s="231"/>
      <c r="W184" s="231"/>
      <c r="X184" s="231"/>
      <c r="Y184" s="113"/>
      <c r="Z184" s="357"/>
      <c r="AA184" s="118" t="s">
        <v>2877</v>
      </c>
      <c r="AB184" s="118"/>
      <c r="AC184" s="118"/>
      <c r="AD184" s="52"/>
      <c r="AE184" s="5"/>
      <c r="AF184" s="358"/>
      <c r="AG184" s="358"/>
      <c r="AH184" s="358"/>
      <c r="AI184" s="358"/>
      <c r="AJ184" s="358"/>
      <c r="AK184" s="113"/>
      <c r="AL184" s="113"/>
      <c r="AM184" s="113"/>
      <c r="AN184" s="113"/>
      <c r="AO184" s="113"/>
      <c r="AP184" s="52"/>
      <c r="AQ184" s="52"/>
      <c r="AR184" s="52"/>
      <c r="AS184" s="52"/>
      <c r="AT184" s="52"/>
      <c r="AU184" s="125"/>
      <c r="AV184" s="125"/>
      <c r="AW184" s="125"/>
      <c r="AX184" s="5"/>
      <c r="AY184" s="5"/>
      <c r="AZ184" s="113">
        <v>44000</v>
      </c>
      <c r="BA184" s="113">
        <v>8360</v>
      </c>
      <c r="BB184" s="113">
        <v>52360</v>
      </c>
      <c r="BC184" s="52" t="s">
        <v>3419</v>
      </c>
      <c r="BD184" s="52" t="s">
        <v>3426</v>
      </c>
      <c r="BE184" s="118"/>
      <c r="BF184" s="118"/>
      <c r="BG184" s="118"/>
      <c r="BH184" s="52"/>
      <c r="BI184" s="283"/>
      <c r="BJ184" s="52"/>
      <c r="BK184" s="52"/>
      <c r="BL184" s="52"/>
      <c r="BM184" s="52"/>
      <c r="BN184" s="52"/>
      <c r="BO184" s="52"/>
      <c r="BP184" s="52"/>
      <c r="BQ184" s="52"/>
      <c r="BR184" s="52"/>
      <c r="BS184" s="52"/>
      <c r="BT184" s="52"/>
      <c r="BU184" s="52"/>
      <c r="BV184" s="52"/>
      <c r="BW184" s="52"/>
      <c r="BX184" s="52"/>
      <c r="BY184" s="52"/>
      <c r="BZ184" s="52"/>
      <c r="CA184" s="52"/>
      <c r="CB184" s="52"/>
      <c r="CC184" s="52"/>
      <c r="CD184" s="118"/>
      <c r="CE184" s="52"/>
      <c r="CF184" s="52"/>
      <c r="CG184" s="52"/>
      <c r="CH184" s="52"/>
      <c r="CI184" s="52"/>
      <c r="CJ184" s="52"/>
      <c r="CK184" s="52"/>
      <c r="CL184" s="52"/>
      <c r="CM184" s="52"/>
      <c r="CN184" s="118"/>
      <c r="CO184" s="118"/>
      <c r="CP184" s="118"/>
      <c r="CQ184" s="52"/>
      <c r="CR184" s="52"/>
      <c r="CS184" s="52"/>
      <c r="CT184" s="52"/>
      <c r="CU184" s="52"/>
      <c r="CV184" s="52"/>
      <c r="CW184" s="52"/>
      <c r="CX184" s="52"/>
      <c r="CY184" s="52"/>
      <c r="CZ184" s="52"/>
      <c r="DA184" s="52"/>
      <c r="DB184" s="52"/>
    </row>
    <row r="185" spans="1:106" ht="27" x14ac:dyDescent="0.25">
      <c r="A185" s="411">
        <v>183</v>
      </c>
      <c r="B185" s="412" t="s">
        <v>3427</v>
      </c>
      <c r="C185" s="413" t="s">
        <v>622</v>
      </c>
      <c r="D185" s="426" t="s">
        <v>2005</v>
      </c>
      <c r="E185" s="80">
        <v>1</v>
      </c>
      <c r="F185" s="356">
        <v>42733.851999999999</v>
      </c>
      <c r="G185" s="293"/>
      <c r="H185" s="293"/>
      <c r="I185" s="293"/>
      <c r="J185" s="52"/>
      <c r="K185" s="52"/>
      <c r="L185" s="359"/>
      <c r="M185" s="360"/>
      <c r="N185" s="361"/>
      <c r="O185" s="33"/>
      <c r="P185" s="252"/>
      <c r="Q185" s="113"/>
      <c r="R185" s="113"/>
      <c r="S185" s="113"/>
      <c r="T185" s="52"/>
      <c r="U185" s="5"/>
      <c r="V185" s="231"/>
      <c r="W185" s="231"/>
      <c r="X185" s="231"/>
      <c r="Y185" s="113"/>
      <c r="Z185" s="357"/>
      <c r="AA185" s="118" t="s">
        <v>2877</v>
      </c>
      <c r="AB185" s="118"/>
      <c r="AC185" s="118"/>
      <c r="AD185" s="52"/>
      <c r="AE185" s="5"/>
      <c r="AF185" s="358"/>
      <c r="AG185" s="358"/>
      <c r="AH185" s="358"/>
      <c r="AI185" s="358"/>
      <c r="AJ185" s="358"/>
      <c r="AK185" s="113"/>
      <c r="AL185" s="113"/>
      <c r="AM185" s="113"/>
      <c r="AN185" s="113"/>
      <c r="AO185" s="113"/>
      <c r="AP185" s="52"/>
      <c r="AQ185" s="52"/>
      <c r="AR185" s="52"/>
      <c r="AS185" s="52"/>
      <c r="AT185" s="52"/>
      <c r="AU185" s="125"/>
      <c r="AV185" s="125"/>
      <c r="AW185" s="125"/>
      <c r="AX185" s="5"/>
      <c r="AY185" s="5"/>
      <c r="AZ185" s="113">
        <v>44000</v>
      </c>
      <c r="BA185" s="113">
        <v>8360</v>
      </c>
      <c r="BB185" s="113">
        <v>52360</v>
      </c>
      <c r="BC185" s="52" t="s">
        <v>3419</v>
      </c>
      <c r="BD185" s="52" t="s">
        <v>3428</v>
      </c>
      <c r="BE185" s="118"/>
      <c r="BF185" s="118"/>
      <c r="BG185" s="118"/>
      <c r="BH185" s="52"/>
      <c r="BI185" s="283"/>
      <c r="BJ185" s="52"/>
      <c r="BK185" s="52"/>
      <c r="BL185" s="52"/>
      <c r="BM185" s="52"/>
      <c r="BN185" s="52"/>
      <c r="BO185" s="52"/>
      <c r="BP185" s="52"/>
      <c r="BQ185" s="52"/>
      <c r="BR185" s="52"/>
      <c r="BS185" s="52"/>
      <c r="BT185" s="52"/>
      <c r="BU185" s="52"/>
      <c r="BV185" s="52"/>
      <c r="BW185" s="52"/>
      <c r="BX185" s="52"/>
      <c r="BY185" s="52"/>
      <c r="BZ185" s="52"/>
      <c r="CA185" s="52"/>
      <c r="CB185" s="52"/>
      <c r="CC185" s="52"/>
      <c r="CD185" s="118"/>
      <c r="CE185" s="52"/>
      <c r="CF185" s="52"/>
      <c r="CG185" s="52"/>
      <c r="CH185" s="52"/>
      <c r="CI185" s="52"/>
      <c r="CJ185" s="52"/>
      <c r="CK185" s="52"/>
      <c r="CL185" s="52"/>
      <c r="CM185" s="52"/>
      <c r="CN185" s="118"/>
      <c r="CO185" s="118"/>
      <c r="CP185" s="118"/>
      <c r="CQ185" s="52"/>
      <c r="CR185" s="52"/>
      <c r="CS185" s="52"/>
      <c r="CT185" s="52"/>
      <c r="CU185" s="52"/>
      <c r="CV185" s="52"/>
      <c r="CW185" s="52"/>
      <c r="CX185" s="52"/>
      <c r="CY185" s="52"/>
      <c r="CZ185" s="52"/>
      <c r="DA185" s="52"/>
      <c r="DB185" s="52"/>
    </row>
    <row r="186" spans="1:106" ht="27" x14ac:dyDescent="0.25">
      <c r="A186" s="411">
        <v>184</v>
      </c>
      <c r="B186" s="412" t="s">
        <v>3429</v>
      </c>
      <c r="C186" s="413" t="s">
        <v>3430</v>
      </c>
      <c r="D186" s="426" t="s">
        <v>3431</v>
      </c>
      <c r="E186" s="80">
        <v>1</v>
      </c>
      <c r="F186" s="356">
        <v>1200318.49</v>
      </c>
      <c r="G186" s="293"/>
      <c r="H186" s="293"/>
      <c r="I186" s="293"/>
      <c r="J186" s="52"/>
      <c r="K186" s="52"/>
      <c r="L186" s="359"/>
      <c r="M186" s="360"/>
      <c r="N186" s="361"/>
      <c r="O186" s="33"/>
      <c r="P186" s="252"/>
      <c r="Q186" s="113"/>
      <c r="R186" s="113"/>
      <c r="S186" s="113"/>
      <c r="T186" s="52"/>
      <c r="U186" s="5"/>
      <c r="V186" s="231"/>
      <c r="W186" s="231"/>
      <c r="X186" s="231"/>
      <c r="Y186" s="113"/>
      <c r="Z186" s="357"/>
      <c r="AA186" s="118" t="s">
        <v>2877</v>
      </c>
      <c r="AB186" s="118"/>
      <c r="AC186" s="118"/>
      <c r="AD186" s="52"/>
      <c r="AE186" s="5"/>
      <c r="AF186" s="358"/>
      <c r="AG186" s="358"/>
      <c r="AH186" s="358"/>
      <c r="AI186" s="358"/>
      <c r="AJ186" s="358"/>
      <c r="AK186" s="113"/>
      <c r="AL186" s="113"/>
      <c r="AM186" s="113"/>
      <c r="AN186" s="113"/>
      <c r="AO186" s="113"/>
      <c r="AP186" s="52"/>
      <c r="AQ186" s="52"/>
      <c r="AR186" s="52"/>
      <c r="AS186" s="52"/>
      <c r="AT186" s="52"/>
      <c r="AU186" s="125"/>
      <c r="AV186" s="125"/>
      <c r="AW186" s="125"/>
      <c r="AX186" s="5"/>
      <c r="AY186" s="5"/>
      <c r="AZ186" s="113">
        <v>1233000</v>
      </c>
      <c r="BA186" s="113">
        <v>234270</v>
      </c>
      <c r="BB186" s="113">
        <v>1467270</v>
      </c>
      <c r="BC186" s="52" t="s">
        <v>338</v>
      </c>
      <c r="BD186" s="52" t="s">
        <v>3432</v>
      </c>
      <c r="BE186" s="118"/>
      <c r="BF186" s="118"/>
      <c r="BG186" s="118"/>
      <c r="BH186" s="52"/>
      <c r="BI186" s="283"/>
      <c r="BJ186" s="52"/>
      <c r="BK186" s="52"/>
      <c r="BL186" s="52"/>
      <c r="BM186" s="52"/>
      <c r="BN186" s="52"/>
      <c r="BO186" s="52"/>
      <c r="BP186" s="52"/>
      <c r="BQ186" s="52"/>
      <c r="BR186" s="52"/>
      <c r="BS186" s="52"/>
      <c r="BT186" s="52"/>
      <c r="BU186" s="52"/>
      <c r="BV186" s="52"/>
      <c r="BW186" s="52"/>
      <c r="BX186" s="52"/>
      <c r="BY186" s="52"/>
      <c r="BZ186" s="52"/>
      <c r="CA186" s="52"/>
      <c r="CB186" s="52"/>
      <c r="CC186" s="52"/>
      <c r="CD186" s="118"/>
      <c r="CE186" s="52"/>
      <c r="CF186" s="52"/>
      <c r="CG186" s="52"/>
      <c r="CH186" s="52"/>
      <c r="CI186" s="52"/>
      <c r="CJ186" s="52"/>
      <c r="CK186" s="52"/>
      <c r="CL186" s="52"/>
      <c r="CM186" s="52"/>
      <c r="CN186" s="118"/>
      <c r="CO186" s="118"/>
      <c r="CP186" s="118"/>
      <c r="CQ186" s="52"/>
      <c r="CR186" s="52"/>
      <c r="CS186" s="52"/>
      <c r="CT186" s="52"/>
      <c r="CU186" s="52"/>
      <c r="CV186" s="52"/>
      <c r="CW186" s="52"/>
      <c r="CX186" s="52"/>
      <c r="CY186" s="52"/>
      <c r="CZ186" s="52"/>
      <c r="DA186" s="52"/>
      <c r="DB186" s="52"/>
    </row>
    <row r="187" spans="1:106" ht="27" x14ac:dyDescent="0.25">
      <c r="A187" s="411">
        <v>185</v>
      </c>
      <c r="B187" s="412" t="s">
        <v>3433</v>
      </c>
      <c r="C187" s="426" t="s">
        <v>3434</v>
      </c>
      <c r="D187" s="426" t="s">
        <v>445</v>
      </c>
      <c r="E187" s="80">
        <v>1</v>
      </c>
      <c r="F187" s="355">
        <v>89535.1302</v>
      </c>
      <c r="G187" s="293"/>
      <c r="H187" s="293"/>
      <c r="I187" s="293"/>
      <c r="J187" s="52"/>
      <c r="K187" s="52"/>
      <c r="L187" s="359"/>
      <c r="M187" s="360"/>
      <c r="N187" s="361"/>
      <c r="O187" s="33"/>
      <c r="P187" s="252"/>
      <c r="Q187" s="113"/>
      <c r="R187" s="113"/>
      <c r="S187" s="113"/>
      <c r="T187" s="52"/>
      <c r="U187" s="5"/>
      <c r="V187" s="231"/>
      <c r="W187" s="231"/>
      <c r="X187" s="231"/>
      <c r="Y187" s="113"/>
      <c r="Z187" s="357"/>
      <c r="AA187" s="118" t="s">
        <v>2877</v>
      </c>
      <c r="AB187" s="118"/>
      <c r="AC187" s="118"/>
      <c r="AD187" s="52"/>
      <c r="AE187" s="5"/>
      <c r="AF187" s="358"/>
      <c r="AG187" s="358"/>
      <c r="AH187" s="358"/>
      <c r="AI187" s="358"/>
      <c r="AJ187" s="358"/>
      <c r="AK187" s="113"/>
      <c r="AL187" s="113"/>
      <c r="AM187" s="113"/>
      <c r="AN187" s="113"/>
      <c r="AO187" s="113"/>
      <c r="AP187" s="52"/>
      <c r="AQ187" s="52"/>
      <c r="AR187" s="52"/>
      <c r="AS187" s="52"/>
      <c r="AT187" s="52"/>
      <c r="AU187" s="125"/>
      <c r="AV187" s="125"/>
      <c r="AW187" s="125"/>
      <c r="AX187" s="5"/>
      <c r="AY187" s="5"/>
      <c r="AZ187" s="113"/>
      <c r="BA187" s="113"/>
      <c r="BB187" s="113"/>
      <c r="BC187" s="52"/>
      <c r="BD187" s="52"/>
      <c r="BE187" s="118"/>
      <c r="BF187" s="118"/>
      <c r="BG187" s="118"/>
      <c r="BH187" s="52"/>
      <c r="BI187" s="283"/>
      <c r="BJ187" s="52"/>
      <c r="BK187" s="52"/>
      <c r="BL187" s="52"/>
      <c r="BM187" s="52"/>
      <c r="BN187" s="52"/>
      <c r="BO187" s="52"/>
      <c r="BP187" s="52"/>
      <c r="BQ187" s="52"/>
      <c r="BR187" s="52"/>
      <c r="BS187" s="52"/>
      <c r="BT187" s="52"/>
      <c r="BU187" s="52"/>
      <c r="BV187" s="52"/>
      <c r="BW187" s="52"/>
      <c r="BX187" s="52"/>
      <c r="BY187" s="52"/>
      <c r="BZ187" s="52"/>
      <c r="CA187" s="52"/>
      <c r="CB187" s="52"/>
      <c r="CC187" s="52"/>
      <c r="CD187" s="118"/>
      <c r="CE187" s="52"/>
      <c r="CF187" s="52"/>
      <c r="CG187" s="52"/>
      <c r="CH187" s="52"/>
      <c r="CI187" s="52"/>
      <c r="CJ187" s="52"/>
      <c r="CK187" s="52"/>
      <c r="CL187" s="52"/>
      <c r="CM187" s="52"/>
      <c r="CN187" s="118"/>
      <c r="CO187" s="118"/>
      <c r="CP187" s="118"/>
      <c r="CQ187" s="52"/>
      <c r="CR187" s="52"/>
      <c r="CS187" s="52"/>
      <c r="CT187" s="52"/>
      <c r="CU187" s="52"/>
      <c r="CV187" s="52"/>
      <c r="CW187" s="52"/>
      <c r="CX187" s="52"/>
      <c r="CY187" s="52"/>
      <c r="CZ187" s="52"/>
      <c r="DA187" s="52"/>
      <c r="DB187" s="52"/>
    </row>
    <row r="188" spans="1:106" ht="27" x14ac:dyDescent="0.25">
      <c r="A188" s="411">
        <v>186</v>
      </c>
      <c r="B188" s="412" t="s">
        <v>3435</v>
      </c>
      <c r="C188" s="413" t="s">
        <v>3434</v>
      </c>
      <c r="D188" s="426" t="s">
        <v>445</v>
      </c>
      <c r="E188" s="80">
        <v>1</v>
      </c>
      <c r="F188" s="355">
        <v>122420.9734</v>
      </c>
      <c r="G188" s="293"/>
      <c r="H188" s="293"/>
      <c r="I188" s="293"/>
      <c r="J188" s="52"/>
      <c r="K188" s="52"/>
      <c r="L188" s="359"/>
      <c r="M188" s="360"/>
      <c r="N188" s="361"/>
      <c r="O188" s="33"/>
      <c r="P188" s="252"/>
      <c r="Q188" s="113"/>
      <c r="R188" s="113"/>
      <c r="S188" s="113"/>
      <c r="T188" s="52"/>
      <c r="U188" s="5"/>
      <c r="V188" s="231"/>
      <c r="W188" s="231"/>
      <c r="X188" s="231"/>
      <c r="Y188" s="113"/>
      <c r="Z188" s="357"/>
      <c r="AA188" s="118" t="s">
        <v>2877</v>
      </c>
      <c r="AB188" s="118"/>
      <c r="AC188" s="118"/>
      <c r="AD188" s="52"/>
      <c r="AE188" s="5"/>
      <c r="AF188" s="358"/>
      <c r="AG188" s="358"/>
      <c r="AH188" s="358"/>
      <c r="AI188" s="358"/>
      <c r="AJ188" s="358"/>
      <c r="AK188" s="113"/>
      <c r="AL188" s="113"/>
      <c r="AM188" s="113"/>
      <c r="AN188" s="113"/>
      <c r="AO188" s="113"/>
      <c r="AP188" s="52"/>
      <c r="AQ188" s="52"/>
      <c r="AR188" s="52"/>
      <c r="AS188" s="52"/>
      <c r="AT188" s="52"/>
      <c r="AU188" s="125"/>
      <c r="AV188" s="125"/>
      <c r="AW188" s="125"/>
      <c r="AX188" s="5"/>
      <c r="AY188" s="5"/>
      <c r="AZ188" s="113">
        <v>70000</v>
      </c>
      <c r="BA188" s="113">
        <v>13300</v>
      </c>
      <c r="BB188" s="113">
        <v>83300</v>
      </c>
      <c r="BC188" s="52" t="s">
        <v>3436</v>
      </c>
      <c r="BD188" s="52">
        <v>24476180</v>
      </c>
      <c r="BE188" s="118"/>
      <c r="BF188" s="118"/>
      <c r="BG188" s="118"/>
      <c r="BH188" s="52"/>
      <c r="BI188" s="283"/>
      <c r="BJ188" s="52"/>
      <c r="BK188" s="52"/>
      <c r="BL188" s="52"/>
      <c r="BM188" s="52"/>
      <c r="BN188" s="52"/>
      <c r="BO188" s="52"/>
      <c r="BP188" s="52"/>
      <c r="BQ188" s="52"/>
      <c r="BR188" s="52"/>
      <c r="BS188" s="52"/>
      <c r="BT188" s="52"/>
      <c r="BU188" s="52"/>
      <c r="BV188" s="52"/>
      <c r="BW188" s="52"/>
      <c r="BX188" s="52"/>
      <c r="BY188" s="52"/>
      <c r="BZ188" s="52"/>
      <c r="CA188" s="52"/>
      <c r="CB188" s="52"/>
      <c r="CC188" s="52"/>
      <c r="CD188" s="118"/>
      <c r="CE188" s="52"/>
      <c r="CF188" s="52"/>
      <c r="CG188" s="52"/>
      <c r="CH188" s="52"/>
      <c r="CI188" s="52"/>
      <c r="CJ188" s="52"/>
      <c r="CK188" s="52"/>
      <c r="CL188" s="52"/>
      <c r="CM188" s="52"/>
      <c r="CN188" s="118"/>
      <c r="CO188" s="118"/>
      <c r="CP188" s="118"/>
      <c r="CQ188" s="52"/>
      <c r="CR188" s="52"/>
      <c r="CS188" s="52"/>
      <c r="CT188" s="52"/>
      <c r="CU188" s="52"/>
      <c r="CV188" s="52"/>
      <c r="CW188" s="52"/>
      <c r="CX188" s="52"/>
      <c r="CY188" s="52"/>
      <c r="CZ188" s="52"/>
      <c r="DA188" s="52"/>
      <c r="DB188" s="52"/>
    </row>
    <row r="189" spans="1:106" ht="13.5" x14ac:dyDescent="0.25">
      <c r="A189" s="411">
        <v>187</v>
      </c>
      <c r="B189" s="412" t="s">
        <v>3437</v>
      </c>
      <c r="C189" s="413" t="s">
        <v>3434</v>
      </c>
      <c r="D189" s="426" t="s">
        <v>445</v>
      </c>
      <c r="E189" s="80">
        <v>1</v>
      </c>
      <c r="F189" s="356">
        <v>50275.12</v>
      </c>
      <c r="G189" s="293"/>
      <c r="H189" s="293"/>
      <c r="I189" s="293"/>
      <c r="J189" s="52"/>
      <c r="K189" s="52"/>
      <c r="L189" s="359"/>
      <c r="M189" s="360"/>
      <c r="N189" s="361"/>
      <c r="O189" s="33"/>
      <c r="P189" s="252"/>
      <c r="Q189" s="113"/>
      <c r="R189" s="113"/>
      <c r="S189" s="113"/>
      <c r="T189" s="52"/>
      <c r="U189" s="5"/>
      <c r="V189" s="231"/>
      <c r="W189" s="231"/>
      <c r="X189" s="231"/>
      <c r="Y189" s="113"/>
      <c r="Z189" s="357"/>
      <c r="AA189" s="118" t="s">
        <v>2877</v>
      </c>
      <c r="AB189" s="118"/>
      <c r="AC189" s="118"/>
      <c r="AD189" s="52"/>
      <c r="AE189" s="5"/>
      <c r="AF189" s="358"/>
      <c r="AG189" s="358"/>
      <c r="AH189" s="358"/>
      <c r="AI189" s="358"/>
      <c r="AJ189" s="358"/>
      <c r="AK189" s="113"/>
      <c r="AL189" s="113"/>
      <c r="AM189" s="113"/>
      <c r="AN189" s="113"/>
      <c r="AO189" s="113"/>
      <c r="AP189" s="52"/>
      <c r="AQ189" s="52"/>
      <c r="AR189" s="52"/>
      <c r="AS189" s="52"/>
      <c r="AT189" s="52"/>
      <c r="AU189" s="125"/>
      <c r="AV189" s="125"/>
      <c r="AW189" s="125"/>
      <c r="AX189" s="5"/>
      <c r="AY189" s="5"/>
      <c r="AZ189" s="113">
        <v>52000</v>
      </c>
      <c r="BA189" s="113">
        <v>9880</v>
      </c>
      <c r="BB189" s="113">
        <v>61880</v>
      </c>
      <c r="BC189" s="52" t="s">
        <v>3436</v>
      </c>
      <c r="BD189" s="52">
        <v>23653105</v>
      </c>
      <c r="BE189" s="118"/>
      <c r="BF189" s="118"/>
      <c r="BG189" s="118"/>
      <c r="BH189" s="52"/>
      <c r="BI189" s="283"/>
      <c r="BJ189" s="52"/>
      <c r="BK189" s="52"/>
      <c r="BL189" s="52"/>
      <c r="BM189" s="52"/>
      <c r="BN189" s="52"/>
      <c r="BO189" s="52"/>
      <c r="BP189" s="52"/>
      <c r="BQ189" s="52"/>
      <c r="BR189" s="52"/>
      <c r="BS189" s="52"/>
      <c r="BT189" s="52"/>
      <c r="BU189" s="52"/>
      <c r="BV189" s="52"/>
      <c r="BW189" s="52"/>
      <c r="BX189" s="52"/>
      <c r="BY189" s="52"/>
      <c r="BZ189" s="52"/>
      <c r="CA189" s="52"/>
      <c r="CB189" s="52"/>
      <c r="CC189" s="52"/>
      <c r="CD189" s="118"/>
      <c r="CE189" s="52"/>
      <c r="CF189" s="52"/>
      <c r="CG189" s="52"/>
      <c r="CH189" s="52"/>
      <c r="CI189" s="52"/>
      <c r="CJ189" s="52"/>
      <c r="CK189" s="52"/>
      <c r="CL189" s="52"/>
      <c r="CM189" s="52"/>
      <c r="CN189" s="118"/>
      <c r="CO189" s="118"/>
      <c r="CP189" s="118"/>
      <c r="CQ189" s="52"/>
      <c r="CR189" s="52"/>
      <c r="CS189" s="52"/>
      <c r="CT189" s="52"/>
      <c r="CU189" s="52"/>
      <c r="CV189" s="52"/>
      <c r="CW189" s="52"/>
      <c r="CX189" s="52"/>
      <c r="CY189" s="52"/>
      <c r="CZ189" s="52"/>
      <c r="DA189" s="52"/>
      <c r="DB189" s="52"/>
    </row>
    <row r="190" spans="1:106" ht="189" x14ac:dyDescent="0.25">
      <c r="A190" s="411">
        <v>188</v>
      </c>
      <c r="B190" s="413" t="s">
        <v>3438</v>
      </c>
      <c r="C190" s="426" t="s">
        <v>3439</v>
      </c>
      <c r="D190" s="566" t="s">
        <v>445</v>
      </c>
      <c r="E190" s="80">
        <v>1</v>
      </c>
      <c r="F190" s="356">
        <v>1521199.4434</v>
      </c>
      <c r="G190" s="293"/>
      <c r="H190" s="293"/>
      <c r="I190" s="293"/>
      <c r="J190" s="52"/>
      <c r="K190" s="52"/>
      <c r="L190" s="359"/>
      <c r="M190" s="360"/>
      <c r="N190" s="361"/>
      <c r="O190" s="33"/>
      <c r="P190" s="252"/>
      <c r="Q190" s="113"/>
      <c r="R190" s="113"/>
      <c r="S190" s="113"/>
      <c r="T190" s="52"/>
      <c r="U190" s="5"/>
      <c r="V190" s="231"/>
      <c r="W190" s="231"/>
      <c r="X190" s="231"/>
      <c r="Y190" s="113"/>
      <c r="Z190" s="357"/>
      <c r="AA190" s="118" t="s">
        <v>2877</v>
      </c>
      <c r="AB190" s="118"/>
      <c r="AC190" s="118"/>
      <c r="AD190" s="52"/>
      <c r="AE190" s="5"/>
      <c r="AF190" s="358"/>
      <c r="AG190" s="358"/>
      <c r="AH190" s="358"/>
      <c r="AI190" s="358"/>
      <c r="AJ190" s="358"/>
      <c r="AK190" s="113"/>
      <c r="AL190" s="113"/>
      <c r="AM190" s="113"/>
      <c r="AN190" s="113"/>
      <c r="AO190" s="113"/>
      <c r="AP190" s="52"/>
      <c r="AQ190" s="52"/>
      <c r="AR190" s="52"/>
      <c r="AS190" s="52"/>
      <c r="AT190" s="52"/>
      <c r="AU190" s="125"/>
      <c r="AV190" s="125"/>
      <c r="AW190" s="125"/>
      <c r="AX190" s="5"/>
      <c r="AY190" s="5"/>
      <c r="AZ190" s="113">
        <v>5537000</v>
      </c>
      <c r="BA190" s="113">
        <v>1052030</v>
      </c>
      <c r="BB190" s="113">
        <v>6589030</v>
      </c>
      <c r="BC190" s="52" t="s">
        <v>3440</v>
      </c>
      <c r="BD190" s="52" t="s">
        <v>3441</v>
      </c>
      <c r="BE190" s="118"/>
      <c r="BF190" s="118"/>
      <c r="BG190" s="118"/>
      <c r="BH190" s="52"/>
      <c r="BI190" s="283"/>
      <c r="BJ190" s="52"/>
      <c r="BK190" s="52"/>
      <c r="BL190" s="52"/>
      <c r="BM190" s="52"/>
      <c r="BN190" s="52"/>
      <c r="BO190" s="52"/>
      <c r="BP190" s="52"/>
      <c r="BQ190" s="52"/>
      <c r="BR190" s="52"/>
      <c r="BS190" s="52"/>
      <c r="BT190" s="52"/>
      <c r="BU190" s="52"/>
      <c r="BV190" s="52"/>
      <c r="BW190" s="52"/>
      <c r="BX190" s="52"/>
      <c r="BY190" s="52"/>
      <c r="BZ190" s="52"/>
      <c r="CA190" s="52"/>
      <c r="CB190" s="52"/>
      <c r="CC190" s="52"/>
      <c r="CD190" s="118"/>
      <c r="CE190" s="52"/>
      <c r="CF190" s="52"/>
      <c r="CG190" s="52"/>
      <c r="CH190" s="52"/>
      <c r="CI190" s="52"/>
      <c r="CJ190" s="52"/>
      <c r="CK190" s="52"/>
      <c r="CL190" s="52"/>
      <c r="CM190" s="52"/>
      <c r="CN190" s="118"/>
      <c r="CO190" s="118"/>
      <c r="CP190" s="118"/>
      <c r="CQ190" s="52"/>
      <c r="CR190" s="52"/>
      <c r="CS190" s="52"/>
      <c r="CT190" s="52"/>
      <c r="CU190" s="52"/>
      <c r="CV190" s="52"/>
      <c r="CW190" s="52"/>
      <c r="CX190" s="52"/>
      <c r="CY190" s="52"/>
      <c r="CZ190" s="52"/>
      <c r="DA190" s="52"/>
      <c r="DB190" s="52"/>
    </row>
    <row r="191" spans="1:106" ht="108" x14ac:dyDescent="0.25">
      <c r="A191" s="411">
        <v>189</v>
      </c>
      <c r="B191" s="412" t="s">
        <v>3442</v>
      </c>
      <c r="C191" s="413" t="s">
        <v>3443</v>
      </c>
      <c r="D191" s="426" t="s">
        <v>445</v>
      </c>
      <c r="E191" s="80">
        <v>1</v>
      </c>
      <c r="F191" s="356">
        <v>2982571.4939999999</v>
      </c>
      <c r="G191" s="293">
        <v>1642900</v>
      </c>
      <c r="H191" s="293">
        <v>312151</v>
      </c>
      <c r="I191" s="293">
        <v>1955051</v>
      </c>
      <c r="J191" s="52" t="s">
        <v>2987</v>
      </c>
      <c r="K191" s="52" t="s">
        <v>3444</v>
      </c>
      <c r="L191" s="359"/>
      <c r="M191" s="360"/>
      <c r="N191" s="361"/>
      <c r="O191" s="33"/>
      <c r="P191" s="252"/>
      <c r="Q191" s="113"/>
      <c r="R191" s="113"/>
      <c r="S191" s="113"/>
      <c r="T191" s="52"/>
      <c r="U191" s="5"/>
      <c r="V191" s="231">
        <v>2260000</v>
      </c>
      <c r="W191" s="231">
        <f t="shared" si="18"/>
        <v>429400</v>
      </c>
      <c r="X191" s="231">
        <f t="shared" si="19"/>
        <v>2689400</v>
      </c>
      <c r="Y191" s="113" t="s">
        <v>3445</v>
      </c>
      <c r="Z191" s="357">
        <v>530.04999999999995</v>
      </c>
      <c r="AA191" s="118" t="s">
        <v>2877</v>
      </c>
      <c r="AB191" s="118"/>
      <c r="AC191" s="118"/>
      <c r="AD191" s="52"/>
      <c r="AE191" s="5"/>
      <c r="AF191" s="358"/>
      <c r="AG191" s="358"/>
      <c r="AH191" s="358"/>
      <c r="AI191" s="358"/>
      <c r="AJ191" s="358"/>
      <c r="AK191" s="113">
        <v>2176000</v>
      </c>
      <c r="AL191" s="113">
        <v>413440</v>
      </c>
      <c r="AM191" s="113">
        <v>2589440</v>
      </c>
      <c r="AN191" s="113">
        <v>0</v>
      </c>
      <c r="AO191" s="113" t="s">
        <v>3446</v>
      </c>
      <c r="AP191" s="52"/>
      <c r="AQ191" s="52"/>
      <c r="AR191" s="52"/>
      <c r="AS191" s="52"/>
      <c r="AT191" s="52"/>
      <c r="AU191" s="125">
        <v>3132000</v>
      </c>
      <c r="AV191" s="125">
        <v>595080</v>
      </c>
      <c r="AW191" s="125">
        <v>3727080</v>
      </c>
      <c r="AX191" s="5" t="s">
        <v>3195</v>
      </c>
      <c r="AY191" s="5" t="s">
        <v>3447</v>
      </c>
      <c r="AZ191" s="113">
        <v>3229000</v>
      </c>
      <c r="BA191" s="113">
        <v>613510</v>
      </c>
      <c r="BB191" s="113">
        <v>3842510</v>
      </c>
      <c r="BC191" s="52" t="s">
        <v>2925</v>
      </c>
      <c r="BD191" s="52" t="s">
        <v>3448</v>
      </c>
      <c r="BE191" s="118"/>
      <c r="BF191" s="118"/>
      <c r="BG191" s="118"/>
      <c r="BH191" s="52"/>
      <c r="BI191" s="283"/>
      <c r="BJ191" s="52"/>
      <c r="BK191" s="52"/>
      <c r="BL191" s="52"/>
      <c r="BM191" s="52"/>
      <c r="BN191" s="52"/>
      <c r="BO191" s="52"/>
      <c r="BP191" s="52"/>
      <c r="BQ191" s="52"/>
      <c r="BR191" s="52"/>
      <c r="BS191" s="52"/>
      <c r="BT191" s="52"/>
      <c r="BU191" s="52"/>
      <c r="BV191" s="52"/>
      <c r="BW191" s="52"/>
      <c r="BX191" s="52"/>
      <c r="BY191" s="52"/>
      <c r="BZ191" s="52"/>
      <c r="CA191" s="52"/>
      <c r="CB191" s="52"/>
      <c r="CC191" s="52"/>
      <c r="CD191" s="118"/>
      <c r="CE191" s="52"/>
      <c r="CF191" s="52"/>
      <c r="CG191" s="52"/>
      <c r="CH191" s="52"/>
      <c r="CI191" s="52"/>
      <c r="CJ191" s="52"/>
      <c r="CK191" s="52"/>
      <c r="CL191" s="52"/>
      <c r="CM191" s="52"/>
      <c r="CN191" s="118"/>
      <c r="CO191" s="118"/>
      <c r="CP191" s="118"/>
      <c r="CQ191" s="52"/>
      <c r="CR191" s="52"/>
      <c r="CS191" s="52"/>
      <c r="CT191" s="52"/>
      <c r="CU191" s="52"/>
      <c r="CV191" s="52"/>
      <c r="CW191" s="52"/>
      <c r="CX191" s="52"/>
      <c r="CY191" s="52"/>
      <c r="CZ191" s="52"/>
      <c r="DA191" s="52"/>
      <c r="DB191" s="52"/>
    </row>
    <row r="192" spans="1:106" ht="13.5" x14ac:dyDescent="0.25">
      <c r="A192" s="411">
        <v>190</v>
      </c>
      <c r="B192" s="412" t="s">
        <v>3449</v>
      </c>
      <c r="C192" s="413" t="s">
        <v>622</v>
      </c>
      <c r="D192" s="426" t="s">
        <v>445</v>
      </c>
      <c r="E192" s="80">
        <v>1</v>
      </c>
      <c r="F192" s="356">
        <v>35192.584000000003</v>
      </c>
      <c r="G192" s="293"/>
      <c r="H192" s="293"/>
      <c r="I192" s="293"/>
      <c r="J192" s="52"/>
      <c r="K192" s="52"/>
      <c r="L192" s="359"/>
      <c r="M192" s="360"/>
      <c r="N192" s="361"/>
      <c r="O192" s="33"/>
      <c r="P192" s="252"/>
      <c r="Q192" s="113"/>
      <c r="R192" s="113"/>
      <c r="S192" s="113"/>
      <c r="T192" s="52"/>
      <c r="U192" s="5"/>
      <c r="V192" s="231"/>
      <c r="W192" s="231"/>
      <c r="X192" s="231"/>
      <c r="Y192" s="113"/>
      <c r="Z192" s="357"/>
      <c r="AA192" s="118" t="s">
        <v>2877</v>
      </c>
      <c r="AB192" s="118"/>
      <c r="AC192" s="118"/>
      <c r="AD192" s="52"/>
      <c r="AE192" s="5"/>
      <c r="AF192" s="358"/>
      <c r="AG192" s="358"/>
      <c r="AH192" s="358"/>
      <c r="AI192" s="358"/>
      <c r="AJ192" s="358"/>
      <c r="AK192" s="113"/>
      <c r="AL192" s="113"/>
      <c r="AM192" s="113"/>
      <c r="AN192" s="113"/>
      <c r="AO192" s="113"/>
      <c r="AP192" s="52"/>
      <c r="AQ192" s="52"/>
      <c r="AR192" s="52"/>
      <c r="AS192" s="52"/>
      <c r="AT192" s="52"/>
      <c r="AU192" s="125"/>
      <c r="AV192" s="125"/>
      <c r="AW192" s="125"/>
      <c r="AX192" s="5"/>
      <c r="AY192" s="5"/>
      <c r="AZ192" s="113"/>
      <c r="BA192" s="113"/>
      <c r="BB192" s="113"/>
      <c r="BC192" s="52"/>
      <c r="BD192" s="52"/>
      <c r="BE192" s="118"/>
      <c r="BF192" s="118"/>
      <c r="BG192" s="118"/>
      <c r="BH192" s="52"/>
      <c r="BI192" s="283"/>
      <c r="BJ192" s="52"/>
      <c r="BK192" s="52"/>
      <c r="BL192" s="52"/>
      <c r="BM192" s="52"/>
      <c r="BN192" s="52"/>
      <c r="BO192" s="52"/>
      <c r="BP192" s="52"/>
      <c r="BQ192" s="52"/>
      <c r="BR192" s="52"/>
      <c r="BS192" s="52"/>
      <c r="BT192" s="52"/>
      <c r="BU192" s="52"/>
      <c r="BV192" s="52"/>
      <c r="BW192" s="52"/>
      <c r="BX192" s="52"/>
      <c r="BY192" s="52"/>
      <c r="BZ192" s="52"/>
      <c r="CA192" s="52"/>
      <c r="CB192" s="52"/>
      <c r="CC192" s="52"/>
      <c r="CD192" s="118">
        <v>37816</v>
      </c>
      <c r="CE192" s="118">
        <f>+CD192*0.19</f>
        <v>7185.04</v>
      </c>
      <c r="CF192" s="118">
        <f>+CD192+CE192</f>
        <v>45001.04</v>
      </c>
      <c r="CG192" s="52" t="s">
        <v>2927</v>
      </c>
      <c r="CH192" s="52" t="s">
        <v>3450</v>
      </c>
      <c r="CI192" s="52"/>
      <c r="CJ192" s="52"/>
      <c r="CK192" s="52"/>
      <c r="CL192" s="52"/>
      <c r="CM192" s="52"/>
      <c r="CN192" s="118">
        <v>29900</v>
      </c>
      <c r="CO192" s="118">
        <f>+CN192*0.19</f>
        <v>5681</v>
      </c>
      <c r="CP192" s="118">
        <f>+CN192+CO192</f>
        <v>35581</v>
      </c>
      <c r="CQ192" s="52" t="s">
        <v>3451</v>
      </c>
      <c r="CR192" s="52" t="s">
        <v>3452</v>
      </c>
      <c r="CS192" s="118">
        <v>54000</v>
      </c>
      <c r="CT192" s="118">
        <f>+CS192*0.19</f>
        <v>10260</v>
      </c>
      <c r="CU192" s="118">
        <f>+CS192+CT192</f>
        <v>64260</v>
      </c>
      <c r="CV192" s="52" t="s">
        <v>3453</v>
      </c>
      <c r="CW192" s="52" t="s">
        <v>3454</v>
      </c>
      <c r="CX192" s="52"/>
      <c r="CY192" s="52"/>
      <c r="CZ192" s="52"/>
      <c r="DA192" s="52"/>
      <c r="DB192" s="52"/>
    </row>
    <row r="193" spans="1:106" ht="27" x14ac:dyDescent="0.25">
      <c r="A193" s="411">
        <v>191</v>
      </c>
      <c r="B193" s="412" t="s">
        <v>3455</v>
      </c>
      <c r="C193" s="413" t="s">
        <v>3456</v>
      </c>
      <c r="D193" s="426" t="s">
        <v>445</v>
      </c>
      <c r="E193" s="80">
        <v>1</v>
      </c>
      <c r="F193" s="356">
        <v>886790.80099999998</v>
      </c>
      <c r="G193" s="293"/>
      <c r="H193" s="293"/>
      <c r="I193" s="293"/>
      <c r="J193" s="52"/>
      <c r="K193" s="52"/>
      <c r="L193" s="359"/>
      <c r="M193" s="360"/>
      <c r="N193" s="361"/>
      <c r="O193" s="33"/>
      <c r="P193" s="252"/>
      <c r="Q193" s="113"/>
      <c r="R193" s="113"/>
      <c r="S193" s="113"/>
      <c r="T193" s="52"/>
      <c r="U193" s="5"/>
      <c r="V193" s="231"/>
      <c r="W193" s="231"/>
      <c r="X193" s="231"/>
      <c r="Y193" s="113"/>
      <c r="Z193" s="357"/>
      <c r="AA193" s="118" t="s">
        <v>2877</v>
      </c>
      <c r="AB193" s="118"/>
      <c r="AC193" s="118"/>
      <c r="AD193" s="52"/>
      <c r="AE193" s="5"/>
      <c r="AF193" s="358"/>
      <c r="AG193" s="358"/>
      <c r="AH193" s="358"/>
      <c r="AI193" s="358"/>
      <c r="AJ193" s="358"/>
      <c r="AK193" s="113"/>
      <c r="AL193" s="113"/>
      <c r="AM193" s="113"/>
      <c r="AN193" s="113"/>
      <c r="AO193" s="113"/>
      <c r="AP193" s="52"/>
      <c r="AQ193" s="52"/>
      <c r="AR193" s="52"/>
      <c r="AS193" s="52"/>
      <c r="AT193" s="52"/>
      <c r="AU193" s="125"/>
      <c r="AV193" s="125"/>
      <c r="AW193" s="125"/>
      <c r="AX193" s="5"/>
      <c r="AY193" s="5"/>
      <c r="AZ193" s="113">
        <v>3908000</v>
      </c>
      <c r="BA193" s="113">
        <v>742520</v>
      </c>
      <c r="BB193" s="113">
        <v>4650520</v>
      </c>
      <c r="BC193" s="52" t="s">
        <v>3457</v>
      </c>
      <c r="BD193" s="52" t="s">
        <v>3458</v>
      </c>
      <c r="BE193" s="118"/>
      <c r="BF193" s="118"/>
      <c r="BG193" s="118"/>
      <c r="BH193" s="52"/>
      <c r="BI193" s="283"/>
      <c r="BJ193" s="52"/>
      <c r="BK193" s="52"/>
      <c r="BL193" s="52"/>
      <c r="BM193" s="52"/>
      <c r="BN193" s="52"/>
      <c r="BO193" s="52"/>
      <c r="BP193" s="52"/>
      <c r="BQ193" s="52"/>
      <c r="BR193" s="52"/>
      <c r="BS193" s="52"/>
      <c r="BT193" s="52"/>
      <c r="BU193" s="52"/>
      <c r="BV193" s="52"/>
      <c r="BW193" s="52"/>
      <c r="BX193" s="52"/>
      <c r="BY193" s="52"/>
      <c r="BZ193" s="52"/>
      <c r="CA193" s="52"/>
      <c r="CB193" s="52"/>
      <c r="CC193" s="52"/>
      <c r="CD193" s="118"/>
      <c r="CE193" s="52"/>
      <c r="CF193" s="52"/>
      <c r="CG193" s="52"/>
      <c r="CH193" s="52"/>
      <c r="CI193" s="52"/>
      <c r="CJ193" s="52"/>
      <c r="CK193" s="52"/>
      <c r="CL193" s="52"/>
      <c r="CM193" s="52"/>
      <c r="CN193" s="118"/>
      <c r="CO193" s="118"/>
      <c r="CP193" s="118"/>
      <c r="CQ193" s="52"/>
      <c r="CR193" s="52"/>
      <c r="CS193" s="52"/>
      <c r="CT193" s="52"/>
      <c r="CU193" s="52"/>
      <c r="CV193" s="52"/>
      <c r="CW193" s="52"/>
      <c r="CX193" s="52"/>
      <c r="CY193" s="52"/>
      <c r="CZ193" s="52"/>
      <c r="DA193" s="52"/>
      <c r="DB193" s="52"/>
    </row>
    <row r="194" spans="1:106" ht="40.5" x14ac:dyDescent="0.25">
      <c r="A194" s="411">
        <v>192</v>
      </c>
      <c r="B194" s="418" t="s">
        <v>3459</v>
      </c>
      <c r="C194" s="413" t="s">
        <v>3460</v>
      </c>
      <c r="D194" s="562" t="s">
        <v>445</v>
      </c>
      <c r="E194" s="80">
        <v>1</v>
      </c>
      <c r="F194" s="80"/>
      <c r="G194" s="293"/>
      <c r="H194" s="293"/>
      <c r="I194" s="293"/>
      <c r="J194" s="52"/>
      <c r="K194" s="52"/>
      <c r="L194" s="359"/>
      <c r="M194" s="360"/>
      <c r="N194" s="361"/>
      <c r="O194" s="33"/>
      <c r="P194" s="252"/>
      <c r="Q194" s="113"/>
      <c r="R194" s="113"/>
      <c r="S194" s="113"/>
      <c r="T194" s="52"/>
      <c r="U194" s="5"/>
      <c r="V194" s="231"/>
      <c r="W194" s="231"/>
      <c r="X194" s="231"/>
      <c r="Y194" s="113"/>
      <c r="Z194" s="357"/>
      <c r="AA194" s="118" t="s">
        <v>2877</v>
      </c>
      <c r="AB194" s="118"/>
      <c r="AC194" s="118"/>
      <c r="AD194" s="52"/>
      <c r="AE194" s="5"/>
      <c r="AF194" s="358"/>
      <c r="AG194" s="358"/>
      <c r="AH194" s="358"/>
      <c r="AI194" s="358"/>
      <c r="AJ194" s="358"/>
      <c r="AK194" s="113">
        <v>189000</v>
      </c>
      <c r="AL194" s="113">
        <v>35910</v>
      </c>
      <c r="AM194" s="113">
        <v>224910</v>
      </c>
      <c r="AN194" s="113" t="s">
        <v>2980</v>
      </c>
      <c r="AO194" s="113">
        <v>212045458</v>
      </c>
      <c r="AP194" s="52"/>
      <c r="AQ194" s="52"/>
      <c r="AR194" s="52"/>
      <c r="AS194" s="52"/>
      <c r="AT194" s="52"/>
      <c r="AU194" s="125"/>
      <c r="AV194" s="125"/>
      <c r="AW194" s="125"/>
      <c r="AX194" s="5"/>
      <c r="AY194" s="5"/>
      <c r="AZ194" s="113">
        <v>126000</v>
      </c>
      <c r="BA194" s="113">
        <v>23940</v>
      </c>
      <c r="BB194" s="113">
        <v>149940</v>
      </c>
      <c r="BC194" s="52" t="s">
        <v>2925</v>
      </c>
      <c r="BD194" s="52" t="s">
        <v>3461</v>
      </c>
      <c r="BE194" s="118"/>
      <c r="BF194" s="118"/>
      <c r="BG194" s="118"/>
      <c r="BH194" s="52"/>
      <c r="BI194" s="283"/>
      <c r="BJ194" s="52"/>
      <c r="BK194" s="52"/>
      <c r="BL194" s="52"/>
      <c r="BM194" s="52"/>
      <c r="BN194" s="52"/>
      <c r="BO194" s="52"/>
      <c r="BP194" s="52"/>
      <c r="BQ194" s="52"/>
      <c r="BR194" s="52"/>
      <c r="BS194" s="52"/>
      <c r="BT194" s="52"/>
      <c r="BU194" s="52"/>
      <c r="BV194" s="52"/>
      <c r="BW194" s="52"/>
      <c r="BX194" s="52"/>
      <c r="BY194" s="52"/>
      <c r="BZ194" s="52"/>
      <c r="CA194" s="52"/>
      <c r="CB194" s="52"/>
      <c r="CC194" s="52"/>
      <c r="CD194" s="118"/>
      <c r="CE194" s="52"/>
      <c r="CF194" s="52"/>
      <c r="CG194" s="52"/>
      <c r="CH194" s="52"/>
      <c r="CI194" s="52"/>
      <c r="CJ194" s="52"/>
      <c r="CK194" s="52"/>
      <c r="CL194" s="52"/>
      <c r="CM194" s="52"/>
      <c r="CN194" s="118"/>
      <c r="CO194" s="118"/>
      <c r="CP194" s="118"/>
      <c r="CQ194" s="52"/>
      <c r="CR194" s="52"/>
      <c r="CS194" s="52"/>
      <c r="CT194" s="52"/>
      <c r="CU194" s="52"/>
      <c r="CV194" s="52"/>
      <c r="CW194" s="52"/>
      <c r="CX194" s="52"/>
      <c r="CY194" s="52"/>
      <c r="CZ194" s="52"/>
      <c r="DA194" s="52"/>
      <c r="DB194" s="52"/>
    </row>
    <row r="195" spans="1:106" ht="135" x14ac:dyDescent="0.25">
      <c r="A195" s="411">
        <v>193</v>
      </c>
      <c r="B195" s="414" t="s">
        <v>3462</v>
      </c>
      <c r="C195" s="560" t="s">
        <v>3463</v>
      </c>
      <c r="D195" s="414" t="s">
        <v>445</v>
      </c>
      <c r="E195" s="80">
        <v>1</v>
      </c>
      <c r="F195" s="80"/>
      <c r="G195" s="293"/>
      <c r="H195" s="293"/>
      <c r="I195" s="293"/>
      <c r="J195" s="52"/>
      <c r="K195" s="52"/>
      <c r="L195" s="359"/>
      <c r="M195" s="360"/>
      <c r="N195" s="361"/>
      <c r="O195" s="33"/>
      <c r="P195" s="252"/>
      <c r="Q195" s="113"/>
      <c r="R195" s="113"/>
      <c r="S195" s="113"/>
      <c r="T195" s="52"/>
      <c r="U195" s="5"/>
      <c r="V195" s="231"/>
      <c r="W195" s="231"/>
      <c r="X195" s="231"/>
      <c r="Y195" s="113"/>
      <c r="Z195" s="357"/>
      <c r="AA195" s="118" t="s">
        <v>2877</v>
      </c>
      <c r="AB195" s="118"/>
      <c r="AC195" s="118"/>
      <c r="AD195" s="52"/>
      <c r="AE195" s="5"/>
      <c r="AF195" s="113">
        <v>191400</v>
      </c>
      <c r="AG195" s="113">
        <v>36366</v>
      </c>
      <c r="AH195" s="113">
        <v>227766</v>
      </c>
      <c r="AI195" s="358" t="s">
        <v>2930</v>
      </c>
      <c r="AJ195" s="358">
        <v>411119956</v>
      </c>
      <c r="AK195" s="113">
        <v>166000</v>
      </c>
      <c r="AL195" s="113">
        <v>31540</v>
      </c>
      <c r="AM195" s="113">
        <v>197540</v>
      </c>
      <c r="AN195" s="113" t="s">
        <v>2980</v>
      </c>
      <c r="AO195" s="113">
        <v>212167307</v>
      </c>
      <c r="AP195" s="52"/>
      <c r="AQ195" s="52"/>
      <c r="AR195" s="52"/>
      <c r="AS195" s="52"/>
      <c r="AT195" s="52"/>
      <c r="AU195" s="125"/>
      <c r="AV195" s="125"/>
      <c r="AW195" s="125"/>
      <c r="AX195" s="5"/>
      <c r="AY195" s="5"/>
      <c r="AZ195" s="113">
        <v>580000</v>
      </c>
      <c r="BA195" s="113">
        <v>110200</v>
      </c>
      <c r="BB195" s="113">
        <v>690200</v>
      </c>
      <c r="BC195" s="52" t="s">
        <v>2925</v>
      </c>
      <c r="BD195" s="52" t="s">
        <v>3464</v>
      </c>
      <c r="BE195" s="118"/>
      <c r="BF195" s="118"/>
      <c r="BG195" s="118"/>
      <c r="BH195" s="52"/>
      <c r="BI195" s="283"/>
      <c r="BJ195" s="52"/>
      <c r="BK195" s="52"/>
      <c r="BL195" s="52"/>
      <c r="BM195" s="52"/>
      <c r="BN195" s="52"/>
      <c r="BO195" s="52"/>
      <c r="BP195" s="52"/>
      <c r="BQ195" s="52"/>
      <c r="BR195" s="52"/>
      <c r="BS195" s="52"/>
      <c r="BT195" s="52"/>
      <c r="BU195" s="52"/>
      <c r="BV195" s="52"/>
      <c r="BW195" s="52"/>
      <c r="BX195" s="52"/>
      <c r="BY195" s="52"/>
      <c r="BZ195" s="52"/>
      <c r="CA195" s="52"/>
      <c r="CB195" s="52"/>
      <c r="CC195" s="52"/>
      <c r="CD195" s="118"/>
      <c r="CE195" s="52"/>
      <c r="CF195" s="52"/>
      <c r="CG195" s="52"/>
      <c r="CH195" s="52"/>
      <c r="CI195" s="52"/>
      <c r="CJ195" s="52"/>
      <c r="CK195" s="52"/>
      <c r="CL195" s="52"/>
      <c r="CM195" s="52"/>
      <c r="CN195" s="118"/>
      <c r="CO195" s="118"/>
      <c r="CP195" s="118"/>
      <c r="CQ195" s="52"/>
      <c r="CR195" s="52"/>
      <c r="CS195" s="52"/>
      <c r="CT195" s="52"/>
      <c r="CU195" s="52"/>
      <c r="CV195" s="52"/>
      <c r="CW195" s="52"/>
      <c r="CX195" s="52"/>
      <c r="CY195" s="52"/>
      <c r="CZ195" s="52"/>
      <c r="DA195" s="52"/>
      <c r="DB195" s="52"/>
    </row>
    <row r="196" spans="1:106" ht="27" x14ac:dyDescent="0.25">
      <c r="A196" s="411">
        <v>194</v>
      </c>
      <c r="B196" s="412" t="s">
        <v>3465</v>
      </c>
      <c r="C196" s="413" t="s">
        <v>3466</v>
      </c>
      <c r="D196" s="426" t="s">
        <v>445</v>
      </c>
      <c r="E196" s="80">
        <v>1</v>
      </c>
      <c r="F196" s="356">
        <v>25137.56</v>
      </c>
      <c r="G196" s="293">
        <v>13600</v>
      </c>
      <c r="H196" s="293">
        <v>2584</v>
      </c>
      <c r="I196" s="293">
        <v>16184</v>
      </c>
      <c r="J196" s="52" t="s">
        <v>2948</v>
      </c>
      <c r="K196" s="52" t="s">
        <v>3467</v>
      </c>
      <c r="L196" s="359"/>
      <c r="M196" s="360"/>
      <c r="N196" s="361"/>
      <c r="O196" s="33"/>
      <c r="P196" s="252"/>
      <c r="Q196" s="113"/>
      <c r="R196" s="113"/>
      <c r="S196" s="113"/>
      <c r="T196" s="52"/>
      <c r="U196" s="5"/>
      <c r="V196" s="231"/>
      <c r="W196" s="231"/>
      <c r="X196" s="231"/>
      <c r="Y196" s="113"/>
      <c r="Z196" s="357"/>
      <c r="AA196" s="118" t="s">
        <v>2877</v>
      </c>
      <c r="AB196" s="118"/>
      <c r="AC196" s="118"/>
      <c r="AD196" s="52"/>
      <c r="AE196" s="5"/>
      <c r="AF196" s="358"/>
      <c r="AG196" s="358"/>
      <c r="AH196" s="358"/>
      <c r="AI196" s="358"/>
      <c r="AJ196" s="358"/>
      <c r="AK196" s="113"/>
      <c r="AL196" s="113"/>
      <c r="AM196" s="113"/>
      <c r="AN196" s="113"/>
      <c r="AO196" s="113"/>
      <c r="AP196" s="52"/>
      <c r="AQ196" s="52"/>
      <c r="AR196" s="52"/>
      <c r="AS196" s="52"/>
      <c r="AT196" s="52"/>
      <c r="AU196" s="125"/>
      <c r="AV196" s="125"/>
      <c r="AW196" s="125"/>
      <c r="AX196" s="5"/>
      <c r="AY196" s="5"/>
      <c r="AZ196" s="113">
        <v>25000</v>
      </c>
      <c r="BA196" s="113">
        <v>4750</v>
      </c>
      <c r="BB196" s="113">
        <v>29750</v>
      </c>
      <c r="BC196" s="52" t="s">
        <v>2925</v>
      </c>
      <c r="BD196" s="52" t="s">
        <v>3468</v>
      </c>
      <c r="BE196" s="118"/>
      <c r="BF196" s="118"/>
      <c r="BG196" s="118"/>
      <c r="BH196" s="52"/>
      <c r="BI196" s="283"/>
      <c r="BJ196" s="52"/>
      <c r="BK196" s="52"/>
      <c r="BL196" s="52"/>
      <c r="BM196" s="52"/>
      <c r="BN196" s="52"/>
      <c r="BO196" s="52"/>
      <c r="BP196" s="52"/>
      <c r="BQ196" s="52"/>
      <c r="BR196" s="52"/>
      <c r="BS196" s="52"/>
      <c r="BT196" s="52"/>
      <c r="BU196" s="52"/>
      <c r="BV196" s="52"/>
      <c r="BW196" s="52"/>
      <c r="BX196" s="52"/>
      <c r="BY196" s="52"/>
      <c r="BZ196" s="52"/>
      <c r="CA196" s="52"/>
      <c r="CB196" s="52"/>
      <c r="CC196" s="52"/>
      <c r="CD196" s="118"/>
      <c r="CE196" s="52"/>
      <c r="CF196" s="52"/>
      <c r="CG196" s="52"/>
      <c r="CH196" s="52"/>
      <c r="CI196" s="52"/>
      <c r="CJ196" s="52"/>
      <c r="CK196" s="52"/>
      <c r="CL196" s="52"/>
      <c r="CM196" s="52"/>
      <c r="CN196" s="118"/>
      <c r="CO196" s="118"/>
      <c r="CP196" s="118"/>
      <c r="CQ196" s="52"/>
      <c r="CR196" s="52"/>
      <c r="CS196" s="52"/>
      <c r="CT196" s="52"/>
      <c r="CU196" s="52"/>
      <c r="CV196" s="52"/>
      <c r="CW196" s="52"/>
      <c r="CX196" s="52"/>
      <c r="CY196" s="52"/>
      <c r="CZ196" s="52"/>
      <c r="DA196" s="52"/>
      <c r="DB196" s="52"/>
    </row>
    <row r="197" spans="1:106" ht="27" x14ac:dyDescent="0.25">
      <c r="A197" s="411">
        <v>195</v>
      </c>
      <c r="B197" s="412" t="s">
        <v>3469</v>
      </c>
      <c r="C197" s="413" t="s">
        <v>3463</v>
      </c>
      <c r="D197" s="426" t="s">
        <v>445</v>
      </c>
      <c r="E197" s="80">
        <v>1</v>
      </c>
      <c r="F197" s="356">
        <v>36449.462</v>
      </c>
      <c r="G197" s="293"/>
      <c r="H197" s="293"/>
      <c r="I197" s="293"/>
      <c r="J197" s="52"/>
      <c r="K197" s="52"/>
      <c r="L197" s="359"/>
      <c r="M197" s="360"/>
      <c r="N197" s="361"/>
      <c r="O197" s="33"/>
      <c r="P197" s="252"/>
      <c r="Q197" s="113"/>
      <c r="R197" s="113"/>
      <c r="S197" s="113"/>
      <c r="T197" s="52"/>
      <c r="U197" s="5"/>
      <c r="V197" s="231"/>
      <c r="W197" s="231"/>
      <c r="X197" s="231"/>
      <c r="Y197" s="113"/>
      <c r="Z197" s="357"/>
      <c r="AA197" s="118">
        <v>915000</v>
      </c>
      <c r="AB197" s="118">
        <f t="shared" ref="AB197:AB198" si="22">AA197*0.19</f>
        <v>173850</v>
      </c>
      <c r="AC197" s="118">
        <f t="shared" ref="AC197:AC198" si="23">AA197+AB197</f>
        <v>1088850</v>
      </c>
      <c r="AD197" s="361" t="s">
        <v>126</v>
      </c>
      <c r="AE197" s="362">
        <v>1033793110</v>
      </c>
      <c r="AF197" s="358"/>
      <c r="AG197" s="358"/>
      <c r="AH197" s="358"/>
      <c r="AI197" s="358"/>
      <c r="AJ197" s="358"/>
      <c r="AK197" s="113"/>
      <c r="AL197" s="113"/>
      <c r="AM197" s="113"/>
      <c r="AN197" s="113"/>
      <c r="AO197" s="113"/>
      <c r="AP197" s="52"/>
      <c r="AQ197" s="52"/>
      <c r="AR197" s="52"/>
      <c r="AS197" s="52"/>
      <c r="AT197" s="52"/>
      <c r="AU197" s="125"/>
      <c r="AV197" s="125"/>
      <c r="AW197" s="125"/>
      <c r="AX197" s="5"/>
      <c r="AY197" s="5"/>
      <c r="AZ197" s="113"/>
      <c r="BA197" s="113"/>
      <c r="BB197" s="113"/>
      <c r="BC197" s="52"/>
      <c r="BD197" s="52"/>
      <c r="BE197" s="118"/>
      <c r="BF197" s="118"/>
      <c r="BG197" s="118"/>
      <c r="BH197" s="52"/>
      <c r="BI197" s="283"/>
      <c r="BJ197" s="52"/>
      <c r="BK197" s="52"/>
      <c r="BL197" s="52"/>
      <c r="BM197" s="52"/>
      <c r="BN197" s="52"/>
      <c r="BO197" s="52"/>
      <c r="BP197" s="52"/>
      <c r="BQ197" s="52"/>
      <c r="BR197" s="52"/>
      <c r="BS197" s="52"/>
      <c r="BT197" s="52"/>
      <c r="BU197" s="52"/>
      <c r="BV197" s="52"/>
      <c r="BW197" s="52"/>
      <c r="BX197" s="52"/>
      <c r="BY197" s="52"/>
      <c r="BZ197" s="52"/>
      <c r="CA197" s="52"/>
      <c r="CB197" s="52"/>
      <c r="CC197" s="52"/>
      <c r="CD197" s="118"/>
      <c r="CE197" s="52"/>
      <c r="CF197" s="52"/>
      <c r="CG197" s="52"/>
      <c r="CH197" s="52"/>
      <c r="CI197" s="52"/>
      <c r="CJ197" s="52"/>
      <c r="CK197" s="52"/>
      <c r="CL197" s="52"/>
      <c r="CM197" s="52"/>
      <c r="CN197" s="118"/>
      <c r="CO197" s="118"/>
      <c r="CP197" s="118"/>
      <c r="CQ197" s="52"/>
      <c r="CR197" s="52"/>
      <c r="CS197" s="52"/>
      <c r="CT197" s="52"/>
      <c r="CU197" s="52"/>
      <c r="CV197" s="52"/>
      <c r="CW197" s="52"/>
      <c r="CX197" s="52"/>
      <c r="CY197" s="52"/>
      <c r="CZ197" s="52"/>
      <c r="DA197" s="52"/>
      <c r="DB197" s="52"/>
    </row>
    <row r="198" spans="1:106" ht="27" x14ac:dyDescent="0.25">
      <c r="A198" s="411">
        <v>196</v>
      </c>
      <c r="B198" s="412" t="s">
        <v>3470</v>
      </c>
      <c r="C198" s="426" t="s">
        <v>3463</v>
      </c>
      <c r="D198" s="426" t="s">
        <v>445</v>
      </c>
      <c r="E198" s="80">
        <v>1</v>
      </c>
      <c r="F198" s="356">
        <v>43990.73</v>
      </c>
      <c r="G198" s="293">
        <v>47100</v>
      </c>
      <c r="H198" s="293">
        <v>8949</v>
      </c>
      <c r="I198" s="293">
        <v>56049</v>
      </c>
      <c r="J198" s="52" t="s">
        <v>2976</v>
      </c>
      <c r="K198" s="52" t="s">
        <v>3471</v>
      </c>
      <c r="L198" s="359"/>
      <c r="M198" s="360"/>
      <c r="N198" s="361"/>
      <c r="O198" s="33"/>
      <c r="P198" s="252"/>
      <c r="Q198" s="113"/>
      <c r="R198" s="113"/>
      <c r="S198" s="113"/>
      <c r="T198" s="52"/>
      <c r="U198" s="5"/>
      <c r="V198" s="231"/>
      <c r="W198" s="231"/>
      <c r="X198" s="231"/>
      <c r="Y198" s="113"/>
      <c r="Z198" s="357"/>
      <c r="AA198" s="118">
        <v>557000</v>
      </c>
      <c r="AB198" s="118">
        <f t="shared" si="22"/>
        <v>105830</v>
      </c>
      <c r="AC198" s="118">
        <f t="shared" si="23"/>
        <v>662830</v>
      </c>
      <c r="AD198" s="361" t="s">
        <v>126</v>
      </c>
      <c r="AE198" s="362">
        <v>1033793108</v>
      </c>
      <c r="AF198" s="113">
        <v>14850</v>
      </c>
      <c r="AG198" s="113">
        <v>2821.5</v>
      </c>
      <c r="AH198" s="113">
        <v>17671.5</v>
      </c>
      <c r="AI198" s="358" t="s">
        <v>2979</v>
      </c>
      <c r="AJ198" s="358">
        <v>3501070</v>
      </c>
      <c r="AK198" s="113">
        <v>47900</v>
      </c>
      <c r="AL198" s="113">
        <v>9101</v>
      </c>
      <c r="AM198" s="113">
        <v>57001</v>
      </c>
      <c r="AN198" s="113" t="s">
        <v>2980</v>
      </c>
      <c r="AO198" s="113">
        <v>213513801</v>
      </c>
      <c r="AP198" s="52"/>
      <c r="AQ198" s="52"/>
      <c r="AR198" s="52"/>
      <c r="AS198" s="52"/>
      <c r="AT198" s="52"/>
      <c r="AU198" s="125"/>
      <c r="AV198" s="125"/>
      <c r="AW198" s="125"/>
      <c r="AX198" s="5"/>
      <c r="AY198" s="5"/>
      <c r="AZ198" s="113">
        <v>45000</v>
      </c>
      <c r="BA198" s="113">
        <v>8550</v>
      </c>
      <c r="BB198" s="113">
        <v>53550</v>
      </c>
      <c r="BC198" s="52" t="s">
        <v>2925</v>
      </c>
      <c r="BD198" s="52" t="s">
        <v>3472</v>
      </c>
      <c r="BE198" s="118"/>
      <c r="BF198" s="118"/>
      <c r="BG198" s="118"/>
      <c r="BH198" s="52"/>
      <c r="BI198" s="283"/>
      <c r="BJ198" s="52"/>
      <c r="BK198" s="52"/>
      <c r="BL198" s="52"/>
      <c r="BM198" s="52"/>
      <c r="BN198" s="52"/>
      <c r="BO198" s="52"/>
      <c r="BP198" s="52"/>
      <c r="BQ198" s="52"/>
      <c r="BR198" s="52"/>
      <c r="BS198" s="52"/>
      <c r="BT198" s="52"/>
      <c r="BU198" s="52"/>
      <c r="BV198" s="52"/>
      <c r="BW198" s="52"/>
      <c r="BX198" s="52"/>
      <c r="BY198" s="52"/>
      <c r="BZ198" s="52"/>
      <c r="CA198" s="52"/>
      <c r="CB198" s="52"/>
      <c r="CC198" s="52"/>
      <c r="CD198" s="118"/>
      <c r="CE198" s="52"/>
      <c r="CF198" s="52"/>
      <c r="CG198" s="52"/>
      <c r="CH198" s="52"/>
      <c r="CI198" s="52"/>
      <c r="CJ198" s="52"/>
      <c r="CK198" s="52"/>
      <c r="CL198" s="52"/>
      <c r="CM198" s="52"/>
      <c r="CN198" s="118"/>
      <c r="CO198" s="118"/>
      <c r="CP198" s="118"/>
      <c r="CQ198" s="52"/>
      <c r="CR198" s="52"/>
      <c r="CS198" s="52"/>
      <c r="CT198" s="52"/>
      <c r="CU198" s="52"/>
      <c r="CV198" s="52"/>
      <c r="CW198" s="52"/>
      <c r="CX198" s="52"/>
      <c r="CY198" s="52"/>
      <c r="CZ198" s="52"/>
      <c r="DA198" s="52"/>
      <c r="DB198" s="52"/>
    </row>
    <row r="199" spans="1:106" ht="13.5" x14ac:dyDescent="0.25">
      <c r="A199" s="411">
        <v>197</v>
      </c>
      <c r="B199" s="412" t="s">
        <v>3473</v>
      </c>
      <c r="C199" s="413" t="s">
        <v>3323</v>
      </c>
      <c r="D199" s="426" t="s">
        <v>445</v>
      </c>
      <c r="E199" s="80">
        <v>1</v>
      </c>
      <c r="F199" s="356">
        <v>25388.935600000001</v>
      </c>
      <c r="G199" s="293"/>
      <c r="H199" s="293"/>
      <c r="I199" s="293"/>
      <c r="J199" s="52"/>
      <c r="K199" s="52"/>
      <c r="L199" s="359"/>
      <c r="M199" s="360"/>
      <c r="N199" s="361"/>
      <c r="O199" s="33"/>
      <c r="P199" s="252"/>
      <c r="Q199" s="113"/>
      <c r="R199" s="113"/>
      <c r="S199" s="113"/>
      <c r="T199" s="52"/>
      <c r="U199" s="5"/>
      <c r="V199" s="231"/>
      <c r="W199" s="231"/>
      <c r="X199" s="231"/>
      <c r="Y199" s="113"/>
      <c r="Z199" s="357"/>
      <c r="AA199" s="118" t="s">
        <v>2877</v>
      </c>
      <c r="AB199" s="118"/>
      <c r="AC199" s="118"/>
      <c r="AD199" s="52"/>
      <c r="AE199" s="5"/>
      <c r="AF199" s="358"/>
      <c r="AG199" s="358"/>
      <c r="AH199" s="358"/>
      <c r="AI199" s="358"/>
      <c r="AJ199" s="358"/>
      <c r="AK199" s="113"/>
      <c r="AL199" s="113"/>
      <c r="AM199" s="113"/>
      <c r="AN199" s="113"/>
      <c r="AO199" s="113"/>
      <c r="AP199" s="52"/>
      <c r="AQ199" s="52"/>
      <c r="AR199" s="52"/>
      <c r="AS199" s="52"/>
      <c r="AT199" s="52"/>
      <c r="AU199" s="125"/>
      <c r="AV199" s="125"/>
      <c r="AW199" s="125"/>
      <c r="AX199" s="5"/>
      <c r="AY199" s="5"/>
      <c r="AZ199" s="113"/>
      <c r="BA199" s="113"/>
      <c r="BB199" s="113"/>
      <c r="BC199" s="52"/>
      <c r="BD199" s="52"/>
      <c r="BE199" s="118"/>
      <c r="BF199" s="118"/>
      <c r="BG199" s="118"/>
      <c r="BH199" s="52"/>
      <c r="BI199" s="283"/>
      <c r="BJ199" s="52"/>
      <c r="BK199" s="52"/>
      <c r="BL199" s="52"/>
      <c r="BM199" s="52"/>
      <c r="BN199" s="52"/>
      <c r="BO199" s="52"/>
      <c r="BP199" s="52"/>
      <c r="BQ199" s="52"/>
      <c r="BR199" s="52"/>
      <c r="BS199" s="52"/>
      <c r="BT199" s="52"/>
      <c r="BU199" s="52"/>
      <c r="BV199" s="52"/>
      <c r="BW199" s="52"/>
      <c r="BX199" s="52"/>
      <c r="BY199" s="52"/>
      <c r="BZ199" s="52"/>
      <c r="CA199" s="52"/>
      <c r="CB199" s="52"/>
      <c r="CC199" s="52"/>
      <c r="CD199" s="118"/>
      <c r="CE199" s="52"/>
      <c r="CF199" s="52"/>
      <c r="CG199" s="52"/>
      <c r="CH199" s="52"/>
      <c r="CI199" s="52"/>
      <c r="CJ199" s="52"/>
      <c r="CK199" s="52"/>
      <c r="CL199" s="52"/>
      <c r="CM199" s="52"/>
      <c r="CN199" s="118"/>
      <c r="CO199" s="118"/>
      <c r="CP199" s="118"/>
      <c r="CQ199" s="52"/>
      <c r="CR199" s="52"/>
      <c r="CS199" s="52"/>
      <c r="CT199" s="52"/>
      <c r="CU199" s="52"/>
      <c r="CV199" s="52"/>
      <c r="CW199" s="52"/>
      <c r="CX199" s="52"/>
      <c r="CY199" s="52"/>
      <c r="CZ199" s="52"/>
      <c r="DA199" s="52"/>
      <c r="DB199" s="52"/>
    </row>
    <row r="200" spans="1:106" ht="27" x14ac:dyDescent="0.25">
      <c r="A200" s="411">
        <v>198</v>
      </c>
      <c r="B200" s="412" t="s">
        <v>3474</v>
      </c>
      <c r="C200" s="413" t="s">
        <v>3475</v>
      </c>
      <c r="D200" s="426" t="s">
        <v>445</v>
      </c>
      <c r="E200" s="80">
        <v>1</v>
      </c>
      <c r="F200" s="356">
        <v>69128.290000000008</v>
      </c>
      <c r="G200" s="293"/>
      <c r="H200" s="293"/>
      <c r="I200" s="293"/>
      <c r="J200" s="52"/>
      <c r="K200" s="52"/>
      <c r="L200" s="359"/>
      <c r="M200" s="360"/>
      <c r="N200" s="361"/>
      <c r="O200" s="33"/>
      <c r="P200" s="252"/>
      <c r="Q200" s="113"/>
      <c r="R200" s="113"/>
      <c r="S200" s="113"/>
      <c r="T200" s="52"/>
      <c r="U200" s="5"/>
      <c r="V200" s="231"/>
      <c r="W200" s="231"/>
      <c r="X200" s="231"/>
      <c r="Y200" s="113"/>
      <c r="Z200" s="357"/>
      <c r="AA200" s="118" t="s">
        <v>2877</v>
      </c>
      <c r="AB200" s="118"/>
      <c r="AC200" s="118"/>
      <c r="AD200" s="52"/>
      <c r="AE200" s="5"/>
      <c r="AF200" s="358"/>
      <c r="AG200" s="358"/>
      <c r="AH200" s="358"/>
      <c r="AI200" s="358"/>
      <c r="AJ200" s="358"/>
      <c r="AK200" s="113">
        <v>103000</v>
      </c>
      <c r="AL200" s="113">
        <v>19570</v>
      </c>
      <c r="AM200" s="113">
        <v>122570</v>
      </c>
      <c r="AN200" s="113" t="s">
        <v>2980</v>
      </c>
      <c r="AO200" s="113">
        <v>218033653</v>
      </c>
      <c r="AP200" s="52"/>
      <c r="AQ200" s="52"/>
      <c r="AR200" s="52"/>
      <c r="AS200" s="52"/>
      <c r="AT200" s="52"/>
      <c r="AU200" s="125"/>
      <c r="AV200" s="125"/>
      <c r="AW200" s="125"/>
      <c r="AX200" s="5"/>
      <c r="AY200" s="5"/>
      <c r="AZ200" s="113">
        <v>41000</v>
      </c>
      <c r="BA200" s="113">
        <v>7790</v>
      </c>
      <c r="BB200" s="113">
        <v>48790</v>
      </c>
      <c r="BC200" s="52" t="s">
        <v>2925</v>
      </c>
      <c r="BD200" s="52" t="s">
        <v>3476</v>
      </c>
      <c r="BE200" s="118"/>
      <c r="BF200" s="118"/>
      <c r="BG200" s="118"/>
      <c r="BH200" s="52"/>
      <c r="BI200" s="283"/>
      <c r="BJ200" s="52"/>
      <c r="BK200" s="52"/>
      <c r="BL200" s="52"/>
      <c r="BM200" s="52"/>
      <c r="BN200" s="52"/>
      <c r="BO200" s="52"/>
      <c r="BP200" s="52"/>
      <c r="BQ200" s="52"/>
      <c r="BR200" s="52"/>
      <c r="BS200" s="52"/>
      <c r="BT200" s="52"/>
      <c r="BU200" s="52"/>
      <c r="BV200" s="52"/>
      <c r="BW200" s="52"/>
      <c r="BX200" s="52"/>
      <c r="BY200" s="52"/>
      <c r="BZ200" s="52"/>
      <c r="CA200" s="52"/>
      <c r="CB200" s="52"/>
      <c r="CC200" s="52"/>
      <c r="CD200" s="118"/>
      <c r="CE200" s="52"/>
      <c r="CF200" s="52"/>
      <c r="CG200" s="52"/>
      <c r="CH200" s="52"/>
      <c r="CI200" s="52"/>
      <c r="CJ200" s="52"/>
      <c r="CK200" s="52"/>
      <c r="CL200" s="52"/>
      <c r="CM200" s="52"/>
      <c r="CN200" s="118"/>
      <c r="CO200" s="118"/>
      <c r="CP200" s="118"/>
      <c r="CQ200" s="52"/>
      <c r="CR200" s="52"/>
      <c r="CS200" s="52"/>
      <c r="CT200" s="52"/>
      <c r="CU200" s="52"/>
      <c r="CV200" s="52"/>
      <c r="CW200" s="52"/>
      <c r="CX200" s="52"/>
      <c r="CY200" s="52"/>
      <c r="CZ200" s="52"/>
      <c r="DA200" s="52"/>
      <c r="DB200" s="52"/>
    </row>
    <row r="201" spans="1:106" ht="67.5" x14ac:dyDescent="0.25">
      <c r="A201" s="411">
        <v>199</v>
      </c>
      <c r="B201" s="412" t="s">
        <v>3477</v>
      </c>
      <c r="C201" s="413" t="s">
        <v>3463</v>
      </c>
      <c r="D201" s="426" t="s">
        <v>445</v>
      </c>
      <c r="E201" s="80">
        <v>1</v>
      </c>
      <c r="F201" s="356">
        <v>66614.534</v>
      </c>
      <c r="G201" s="293"/>
      <c r="H201" s="293"/>
      <c r="I201" s="293"/>
      <c r="J201" s="52"/>
      <c r="K201" s="52"/>
      <c r="L201" s="359"/>
      <c r="M201" s="360"/>
      <c r="N201" s="361"/>
      <c r="O201" s="33"/>
      <c r="P201" s="252"/>
      <c r="Q201" s="113"/>
      <c r="R201" s="113"/>
      <c r="S201" s="113"/>
      <c r="T201" s="52"/>
      <c r="U201" s="5"/>
      <c r="V201" s="231"/>
      <c r="W201" s="231"/>
      <c r="X201" s="231"/>
      <c r="Y201" s="113"/>
      <c r="Z201" s="357"/>
      <c r="AA201" s="118">
        <v>711000</v>
      </c>
      <c r="AB201" s="118">
        <f t="shared" ref="AB201:AB202" si="24">AA201*0.19</f>
        <v>135090</v>
      </c>
      <c r="AC201" s="118">
        <f t="shared" ref="AC201:AC202" si="25">AA201+AB201</f>
        <v>846090</v>
      </c>
      <c r="AD201" s="361" t="s">
        <v>126</v>
      </c>
      <c r="AE201" s="362">
        <v>1033527509</v>
      </c>
      <c r="AF201" s="113">
        <v>13900</v>
      </c>
      <c r="AG201" s="113">
        <v>2641</v>
      </c>
      <c r="AH201" s="113">
        <v>16541</v>
      </c>
      <c r="AI201" s="358" t="s">
        <v>2930</v>
      </c>
      <c r="AJ201" s="358">
        <v>417106300</v>
      </c>
      <c r="AK201" s="113">
        <v>15700</v>
      </c>
      <c r="AL201" s="113">
        <v>2983</v>
      </c>
      <c r="AM201" s="113">
        <v>18683</v>
      </c>
      <c r="AN201" s="113" t="s">
        <v>2980</v>
      </c>
      <c r="AO201" s="113">
        <v>212263603</v>
      </c>
      <c r="AP201" s="52"/>
      <c r="AQ201" s="52"/>
      <c r="AR201" s="52"/>
      <c r="AS201" s="52"/>
      <c r="AT201" s="52"/>
      <c r="AU201" s="125"/>
      <c r="AV201" s="125"/>
      <c r="AW201" s="125"/>
      <c r="AX201" s="5"/>
      <c r="AY201" s="5"/>
      <c r="AZ201" s="113">
        <v>72000</v>
      </c>
      <c r="BA201" s="113">
        <v>13680</v>
      </c>
      <c r="BB201" s="113">
        <v>85680</v>
      </c>
      <c r="BC201" s="52" t="s">
        <v>2925</v>
      </c>
      <c r="BD201" s="52" t="s">
        <v>3478</v>
      </c>
      <c r="BE201" s="118"/>
      <c r="BF201" s="118"/>
      <c r="BG201" s="118"/>
      <c r="BH201" s="52"/>
      <c r="BI201" s="283"/>
      <c r="BJ201" s="52"/>
      <c r="BK201" s="52"/>
      <c r="BL201" s="52"/>
      <c r="BM201" s="52"/>
      <c r="BN201" s="52"/>
      <c r="BO201" s="52"/>
      <c r="BP201" s="52"/>
      <c r="BQ201" s="52"/>
      <c r="BR201" s="52"/>
      <c r="BS201" s="52"/>
      <c r="BT201" s="52"/>
      <c r="BU201" s="52"/>
      <c r="BV201" s="52"/>
      <c r="BW201" s="52"/>
      <c r="BX201" s="52"/>
      <c r="BY201" s="52"/>
      <c r="BZ201" s="52"/>
      <c r="CA201" s="52"/>
      <c r="CB201" s="52"/>
      <c r="CC201" s="52"/>
      <c r="CD201" s="118"/>
      <c r="CE201" s="52"/>
      <c r="CF201" s="52"/>
      <c r="CG201" s="52"/>
      <c r="CH201" s="52"/>
      <c r="CI201" s="52"/>
      <c r="CJ201" s="52"/>
      <c r="CK201" s="52"/>
      <c r="CL201" s="52"/>
      <c r="CM201" s="52"/>
      <c r="CN201" s="118"/>
      <c r="CO201" s="118"/>
      <c r="CP201" s="118"/>
      <c r="CQ201" s="52"/>
      <c r="CR201" s="52"/>
      <c r="CS201" s="52"/>
      <c r="CT201" s="52"/>
      <c r="CU201" s="52"/>
      <c r="CV201" s="52"/>
      <c r="CW201" s="52"/>
      <c r="CX201" s="52"/>
      <c r="CY201" s="52"/>
      <c r="CZ201" s="52"/>
      <c r="DA201" s="52"/>
      <c r="DB201" s="52"/>
    </row>
    <row r="202" spans="1:106" ht="148.5" x14ac:dyDescent="0.25">
      <c r="A202" s="411">
        <v>200</v>
      </c>
      <c r="B202" s="412" t="s">
        <v>3479</v>
      </c>
      <c r="C202" s="413" t="s">
        <v>3463</v>
      </c>
      <c r="D202" s="426" t="s">
        <v>445</v>
      </c>
      <c r="E202" s="80">
        <v>1</v>
      </c>
      <c r="F202" s="356">
        <v>54045.754000000001</v>
      </c>
      <c r="G202" s="293">
        <v>27100</v>
      </c>
      <c r="H202" s="293">
        <v>5149</v>
      </c>
      <c r="I202" s="293">
        <v>32249</v>
      </c>
      <c r="J202" s="52" t="s">
        <v>2956</v>
      </c>
      <c r="K202" s="52" t="s">
        <v>3480</v>
      </c>
      <c r="L202" s="359"/>
      <c r="M202" s="360"/>
      <c r="N202" s="361"/>
      <c r="O202" s="33"/>
      <c r="P202" s="252"/>
      <c r="Q202" s="113"/>
      <c r="R202" s="113"/>
      <c r="S202" s="113"/>
      <c r="T202" s="52"/>
      <c r="U202" s="5"/>
      <c r="V202" s="231"/>
      <c r="W202" s="231"/>
      <c r="X202" s="231"/>
      <c r="Y202" s="113"/>
      <c r="Z202" s="357"/>
      <c r="AA202" s="118">
        <v>916000</v>
      </c>
      <c r="AB202" s="118">
        <f t="shared" si="24"/>
        <v>174040</v>
      </c>
      <c r="AC202" s="118">
        <f t="shared" si="25"/>
        <v>1090040</v>
      </c>
      <c r="AD202" s="361" t="s">
        <v>126</v>
      </c>
      <c r="AE202" s="362">
        <v>1033527314</v>
      </c>
      <c r="AF202" s="113">
        <v>20500</v>
      </c>
      <c r="AG202" s="113">
        <v>3895</v>
      </c>
      <c r="AH202" s="113">
        <v>24395</v>
      </c>
      <c r="AI202" s="358" t="s">
        <v>2930</v>
      </c>
      <c r="AJ202" s="358">
        <v>417119940</v>
      </c>
      <c r="AK202" s="113">
        <v>27500</v>
      </c>
      <c r="AL202" s="113">
        <v>5225</v>
      </c>
      <c r="AM202" s="113">
        <v>32725</v>
      </c>
      <c r="AN202" s="113" t="s">
        <v>2980</v>
      </c>
      <c r="AO202" s="113">
        <v>212165409</v>
      </c>
      <c r="AP202" s="52"/>
      <c r="AQ202" s="52"/>
      <c r="AR202" s="52"/>
      <c r="AS202" s="52"/>
      <c r="AT202" s="52"/>
      <c r="AU202" s="125"/>
      <c r="AV202" s="125"/>
      <c r="AW202" s="125"/>
      <c r="AX202" s="5"/>
      <c r="AY202" s="5"/>
      <c r="AZ202" s="113">
        <v>160000</v>
      </c>
      <c r="BA202" s="113">
        <v>30400</v>
      </c>
      <c r="BB202" s="113">
        <v>190400</v>
      </c>
      <c r="BC202" s="52" t="s">
        <v>3166</v>
      </c>
      <c r="BD202" s="52" t="s">
        <v>3481</v>
      </c>
      <c r="BE202" s="118"/>
      <c r="BF202" s="118"/>
      <c r="BG202" s="118"/>
      <c r="BH202" s="52"/>
      <c r="BI202" s="283"/>
      <c r="BJ202" s="52"/>
      <c r="BK202" s="52"/>
      <c r="BL202" s="52"/>
      <c r="BM202" s="52"/>
      <c r="BN202" s="52"/>
      <c r="BO202" s="52"/>
      <c r="BP202" s="52"/>
      <c r="BQ202" s="52"/>
      <c r="BR202" s="52"/>
      <c r="BS202" s="52"/>
      <c r="BT202" s="52"/>
      <c r="BU202" s="52"/>
      <c r="BV202" s="52"/>
      <c r="BW202" s="52"/>
      <c r="BX202" s="52"/>
      <c r="BY202" s="52"/>
      <c r="BZ202" s="52"/>
      <c r="CA202" s="52"/>
      <c r="CB202" s="52"/>
      <c r="CC202" s="52"/>
      <c r="CD202" s="118"/>
      <c r="CE202" s="52"/>
      <c r="CF202" s="52"/>
      <c r="CG202" s="52"/>
      <c r="CH202" s="52"/>
      <c r="CI202" s="52"/>
      <c r="CJ202" s="52"/>
      <c r="CK202" s="52"/>
      <c r="CL202" s="52"/>
      <c r="CM202" s="52"/>
      <c r="CN202" s="118"/>
      <c r="CO202" s="118"/>
      <c r="CP202" s="118"/>
      <c r="CQ202" s="52"/>
      <c r="CR202" s="52"/>
      <c r="CS202" s="52"/>
      <c r="CT202" s="52"/>
      <c r="CU202" s="52"/>
      <c r="CV202" s="52"/>
      <c r="CW202" s="52"/>
      <c r="CX202" s="52"/>
      <c r="CY202" s="52"/>
      <c r="CZ202" s="52"/>
      <c r="DA202" s="52"/>
      <c r="DB202" s="52"/>
    </row>
    <row r="203" spans="1:106" ht="148.5" x14ac:dyDescent="0.25">
      <c r="A203" s="411">
        <v>201</v>
      </c>
      <c r="B203" s="412" t="s">
        <v>3482</v>
      </c>
      <c r="C203" s="426" t="s">
        <v>3463</v>
      </c>
      <c r="D203" s="426" t="s">
        <v>445</v>
      </c>
      <c r="E203" s="80">
        <v>1</v>
      </c>
      <c r="F203" s="356">
        <v>35192.584000000003</v>
      </c>
      <c r="G203" s="293"/>
      <c r="H203" s="293"/>
      <c r="I203" s="293"/>
      <c r="J203" s="52"/>
      <c r="K203" s="52"/>
      <c r="L203" s="359"/>
      <c r="M203" s="360"/>
      <c r="N203" s="361"/>
      <c r="O203" s="33"/>
      <c r="P203" s="252"/>
      <c r="Q203" s="113"/>
      <c r="R203" s="113"/>
      <c r="S203" s="113"/>
      <c r="T203" s="52"/>
      <c r="U203" s="5"/>
      <c r="V203" s="231"/>
      <c r="W203" s="231"/>
      <c r="X203" s="231"/>
      <c r="Y203" s="113"/>
      <c r="Z203" s="357"/>
      <c r="AA203" s="118" t="s">
        <v>2877</v>
      </c>
      <c r="AB203" s="118"/>
      <c r="AC203" s="118"/>
      <c r="AD203" s="52"/>
      <c r="AE203" s="5"/>
      <c r="AF203" s="358"/>
      <c r="AG203" s="358"/>
      <c r="AH203" s="358"/>
      <c r="AI203" s="358"/>
      <c r="AJ203" s="358"/>
      <c r="AK203" s="113">
        <v>16600</v>
      </c>
      <c r="AL203" s="113">
        <v>3154</v>
      </c>
      <c r="AM203" s="113">
        <v>19754</v>
      </c>
      <c r="AN203" s="113" t="s">
        <v>2980</v>
      </c>
      <c r="AO203" s="113">
        <v>212162806</v>
      </c>
      <c r="AP203" s="52"/>
      <c r="AQ203" s="52"/>
      <c r="AR203" s="52"/>
      <c r="AS203" s="52"/>
      <c r="AT203" s="52"/>
      <c r="AU203" s="125"/>
      <c r="AV203" s="125"/>
      <c r="AW203" s="125"/>
      <c r="AX203" s="5"/>
      <c r="AY203" s="5"/>
      <c r="AZ203" s="113">
        <v>24000</v>
      </c>
      <c r="BA203" s="113">
        <v>4560</v>
      </c>
      <c r="BB203" s="113">
        <v>28560</v>
      </c>
      <c r="BC203" s="52" t="s">
        <v>3483</v>
      </c>
      <c r="BD203" s="52" t="s">
        <v>3484</v>
      </c>
      <c r="BE203" s="118"/>
      <c r="BF203" s="118"/>
      <c r="BG203" s="118"/>
      <c r="BH203" s="52"/>
      <c r="BI203" s="283"/>
      <c r="BJ203" s="52"/>
      <c r="BK203" s="52"/>
      <c r="BL203" s="52"/>
      <c r="BM203" s="52"/>
      <c r="BN203" s="52"/>
      <c r="BO203" s="52"/>
      <c r="BP203" s="52"/>
      <c r="BQ203" s="52"/>
      <c r="BR203" s="52"/>
      <c r="BS203" s="52"/>
      <c r="BT203" s="52"/>
      <c r="BU203" s="52"/>
      <c r="BV203" s="52"/>
      <c r="BW203" s="52"/>
      <c r="BX203" s="52"/>
      <c r="BY203" s="52"/>
      <c r="BZ203" s="52"/>
      <c r="CA203" s="52"/>
      <c r="CB203" s="52"/>
      <c r="CC203" s="52"/>
      <c r="CD203" s="118"/>
      <c r="CE203" s="52"/>
      <c r="CF203" s="52"/>
      <c r="CG203" s="52"/>
      <c r="CH203" s="52"/>
      <c r="CI203" s="52"/>
      <c r="CJ203" s="52"/>
      <c r="CK203" s="52"/>
      <c r="CL203" s="52"/>
      <c r="CM203" s="52"/>
      <c r="CN203" s="118"/>
      <c r="CO203" s="118"/>
      <c r="CP203" s="118"/>
      <c r="CQ203" s="52"/>
      <c r="CR203" s="52"/>
      <c r="CS203" s="52"/>
      <c r="CT203" s="52"/>
      <c r="CU203" s="52"/>
      <c r="CV203" s="52"/>
      <c r="CW203" s="52"/>
      <c r="CX203" s="52"/>
      <c r="CY203" s="52"/>
      <c r="CZ203" s="52"/>
      <c r="DA203" s="52"/>
      <c r="DB203" s="52"/>
    </row>
    <row r="204" spans="1:106" ht="148.5" x14ac:dyDescent="0.25">
      <c r="A204" s="411">
        <v>202</v>
      </c>
      <c r="B204" s="412" t="s">
        <v>3485</v>
      </c>
      <c r="C204" s="413" t="s">
        <v>3463</v>
      </c>
      <c r="D204" s="426" t="s">
        <v>445</v>
      </c>
      <c r="E204" s="80">
        <v>1</v>
      </c>
      <c r="F204" s="356">
        <v>105577.75200000001</v>
      </c>
      <c r="G204" s="293"/>
      <c r="H204" s="293"/>
      <c r="I204" s="293"/>
      <c r="J204" s="52"/>
      <c r="K204" s="52"/>
      <c r="L204" s="359"/>
      <c r="M204" s="360"/>
      <c r="N204" s="361"/>
      <c r="O204" s="33"/>
      <c r="P204" s="252"/>
      <c r="Q204" s="113"/>
      <c r="R204" s="113"/>
      <c r="S204" s="113"/>
      <c r="T204" s="52"/>
      <c r="U204" s="5"/>
      <c r="V204" s="231"/>
      <c r="W204" s="231"/>
      <c r="X204" s="231"/>
      <c r="Y204" s="113"/>
      <c r="Z204" s="357"/>
      <c r="AA204" s="118">
        <v>1348000</v>
      </c>
      <c r="AB204" s="118">
        <f t="shared" ref="AB204:AB205" si="26">AA204*0.19</f>
        <v>256120</v>
      </c>
      <c r="AC204" s="118">
        <f t="shared" ref="AC204:AC205" si="27">AA204+AB204</f>
        <v>1604120</v>
      </c>
      <c r="AD204" s="361" t="s">
        <v>126</v>
      </c>
      <c r="AE204" s="362">
        <v>1033567315</v>
      </c>
      <c r="AF204" s="113">
        <v>26600</v>
      </c>
      <c r="AG204" s="113">
        <v>5054</v>
      </c>
      <c r="AH204" s="113">
        <v>31654</v>
      </c>
      <c r="AI204" s="358" t="s">
        <v>2930</v>
      </c>
      <c r="AJ204" s="358">
        <v>417119950</v>
      </c>
      <c r="AK204" s="113">
        <v>48900</v>
      </c>
      <c r="AL204" s="113">
        <v>9291</v>
      </c>
      <c r="AM204" s="113">
        <v>58191</v>
      </c>
      <c r="AN204" s="113" t="s">
        <v>2980</v>
      </c>
      <c r="AO204" s="113">
        <v>212166302</v>
      </c>
      <c r="AP204" s="52"/>
      <c r="AQ204" s="52"/>
      <c r="AR204" s="52"/>
      <c r="AS204" s="52"/>
      <c r="AT204" s="52"/>
      <c r="AU204" s="125"/>
      <c r="AV204" s="125"/>
      <c r="AW204" s="125"/>
      <c r="AX204" s="5"/>
      <c r="AY204" s="5"/>
      <c r="AZ204" s="113">
        <v>191000</v>
      </c>
      <c r="BA204" s="113">
        <v>36290</v>
      </c>
      <c r="BB204" s="113">
        <v>227290</v>
      </c>
      <c r="BC204" s="52" t="s">
        <v>3483</v>
      </c>
      <c r="BD204" s="52" t="s">
        <v>3486</v>
      </c>
      <c r="BE204" s="118"/>
      <c r="BF204" s="118"/>
      <c r="BG204" s="118"/>
      <c r="BH204" s="52"/>
      <c r="BI204" s="283"/>
      <c r="BJ204" s="52"/>
      <c r="BK204" s="52"/>
      <c r="BL204" s="52"/>
      <c r="BM204" s="52"/>
      <c r="BN204" s="52"/>
      <c r="BO204" s="52"/>
      <c r="BP204" s="52"/>
      <c r="BQ204" s="52"/>
      <c r="BR204" s="52"/>
      <c r="BS204" s="52"/>
      <c r="BT204" s="52"/>
      <c r="BU204" s="52"/>
      <c r="BV204" s="52"/>
      <c r="BW204" s="52"/>
      <c r="BX204" s="52"/>
      <c r="BY204" s="52"/>
      <c r="BZ204" s="52"/>
      <c r="CA204" s="52"/>
      <c r="CB204" s="52"/>
      <c r="CC204" s="52"/>
      <c r="CD204" s="118"/>
      <c r="CE204" s="52"/>
      <c r="CF204" s="52"/>
      <c r="CG204" s="52"/>
      <c r="CH204" s="52"/>
      <c r="CI204" s="52"/>
      <c r="CJ204" s="52"/>
      <c r="CK204" s="52"/>
      <c r="CL204" s="52"/>
      <c r="CM204" s="52"/>
      <c r="CN204" s="118"/>
      <c r="CO204" s="118"/>
      <c r="CP204" s="118"/>
      <c r="CQ204" s="52"/>
      <c r="CR204" s="52"/>
      <c r="CS204" s="52"/>
      <c r="CT204" s="52"/>
      <c r="CU204" s="52"/>
      <c r="CV204" s="52"/>
      <c r="CW204" s="52"/>
      <c r="CX204" s="52"/>
      <c r="CY204" s="52"/>
      <c r="CZ204" s="52"/>
      <c r="DA204" s="52"/>
      <c r="DB204" s="52"/>
    </row>
    <row r="205" spans="1:106" ht="148.5" x14ac:dyDescent="0.25">
      <c r="A205" s="411">
        <v>203</v>
      </c>
      <c r="B205" s="412" t="s">
        <v>3487</v>
      </c>
      <c r="C205" s="413" t="s">
        <v>3463</v>
      </c>
      <c r="D205" s="426" t="s">
        <v>445</v>
      </c>
      <c r="E205" s="80">
        <v>1</v>
      </c>
      <c r="F205" s="356">
        <v>27651.316000000003</v>
      </c>
      <c r="G205" s="293">
        <v>13600</v>
      </c>
      <c r="H205" s="293">
        <v>2584</v>
      </c>
      <c r="I205" s="293">
        <v>16184</v>
      </c>
      <c r="J205" s="52" t="s">
        <v>2956</v>
      </c>
      <c r="K205" s="52" t="s">
        <v>3488</v>
      </c>
      <c r="L205" s="359"/>
      <c r="M205" s="360"/>
      <c r="N205" s="361"/>
      <c r="O205" s="33"/>
      <c r="P205" s="252"/>
      <c r="Q205" s="113"/>
      <c r="R205" s="113"/>
      <c r="S205" s="113"/>
      <c r="T205" s="52"/>
      <c r="U205" s="5"/>
      <c r="V205" s="231"/>
      <c r="W205" s="231"/>
      <c r="X205" s="231"/>
      <c r="Y205" s="113"/>
      <c r="Z205" s="357"/>
      <c r="AA205" s="118">
        <v>465000</v>
      </c>
      <c r="AB205" s="118">
        <f t="shared" si="26"/>
        <v>88350</v>
      </c>
      <c r="AC205" s="118">
        <f t="shared" si="27"/>
        <v>553350</v>
      </c>
      <c r="AD205" s="361" t="s">
        <v>126</v>
      </c>
      <c r="AE205" s="362">
        <v>1033527308</v>
      </c>
      <c r="AF205" s="113">
        <v>10400</v>
      </c>
      <c r="AG205" s="113">
        <v>1976</v>
      </c>
      <c r="AH205" s="113">
        <v>12376</v>
      </c>
      <c r="AI205" s="358" t="s">
        <v>2930</v>
      </c>
      <c r="AJ205" s="358">
        <v>417119250</v>
      </c>
      <c r="AK205" s="113">
        <v>13800</v>
      </c>
      <c r="AL205" s="113">
        <v>2622</v>
      </c>
      <c r="AM205" s="113">
        <v>16422</v>
      </c>
      <c r="AN205" s="113" t="s">
        <v>2980</v>
      </c>
      <c r="AO205" s="113">
        <v>212163605</v>
      </c>
      <c r="AP205" s="52"/>
      <c r="AQ205" s="52"/>
      <c r="AR205" s="52"/>
      <c r="AS205" s="52"/>
      <c r="AT205" s="52"/>
      <c r="AU205" s="125"/>
      <c r="AV205" s="125"/>
      <c r="AW205" s="125"/>
      <c r="AX205" s="5"/>
      <c r="AY205" s="5"/>
      <c r="AZ205" s="113">
        <v>21000</v>
      </c>
      <c r="BA205" s="113">
        <v>3990</v>
      </c>
      <c r="BB205" s="113">
        <v>24990</v>
      </c>
      <c r="BC205" s="52" t="s">
        <v>3483</v>
      </c>
      <c r="BD205" s="52" t="s">
        <v>3489</v>
      </c>
      <c r="BE205" s="118"/>
      <c r="BF205" s="118"/>
      <c r="BG205" s="118"/>
      <c r="BH205" s="52"/>
      <c r="BI205" s="283"/>
      <c r="BJ205" s="52"/>
      <c r="BK205" s="52"/>
      <c r="BL205" s="52"/>
      <c r="BM205" s="52"/>
      <c r="BN205" s="52"/>
      <c r="BO205" s="52"/>
      <c r="BP205" s="52"/>
      <c r="BQ205" s="52"/>
      <c r="BR205" s="52"/>
      <c r="BS205" s="52"/>
      <c r="BT205" s="52"/>
      <c r="BU205" s="52"/>
      <c r="BV205" s="52"/>
      <c r="BW205" s="52"/>
      <c r="BX205" s="52"/>
      <c r="BY205" s="52"/>
      <c r="BZ205" s="52"/>
      <c r="CA205" s="52"/>
      <c r="CB205" s="52"/>
      <c r="CC205" s="52"/>
      <c r="CD205" s="118"/>
      <c r="CE205" s="52"/>
      <c r="CF205" s="52"/>
      <c r="CG205" s="52"/>
      <c r="CH205" s="52"/>
      <c r="CI205" s="52"/>
      <c r="CJ205" s="52"/>
      <c r="CK205" s="52"/>
      <c r="CL205" s="52"/>
      <c r="CM205" s="52"/>
      <c r="CN205" s="118"/>
      <c r="CO205" s="118"/>
      <c r="CP205" s="118"/>
      <c r="CQ205" s="52"/>
      <c r="CR205" s="52"/>
      <c r="CS205" s="52"/>
      <c r="CT205" s="52"/>
      <c r="CU205" s="52"/>
      <c r="CV205" s="52"/>
      <c r="CW205" s="52"/>
      <c r="CX205" s="52"/>
      <c r="CY205" s="52"/>
      <c r="CZ205" s="52"/>
      <c r="DA205" s="52"/>
      <c r="DB205" s="52"/>
    </row>
    <row r="206" spans="1:106" ht="148.5" x14ac:dyDescent="0.25">
      <c r="A206" s="411">
        <v>204</v>
      </c>
      <c r="B206" s="412" t="s">
        <v>3490</v>
      </c>
      <c r="C206" s="413" t="s">
        <v>3463</v>
      </c>
      <c r="D206" s="426" t="s">
        <v>445</v>
      </c>
      <c r="E206" s="80">
        <v>1</v>
      </c>
      <c r="F206" s="356">
        <v>862240.48820000002</v>
      </c>
      <c r="G206" s="293"/>
      <c r="H206" s="293"/>
      <c r="I206" s="293"/>
      <c r="J206" s="52"/>
      <c r="K206" s="52"/>
      <c r="L206" s="359"/>
      <c r="M206" s="360"/>
      <c r="N206" s="361"/>
      <c r="O206" s="33"/>
      <c r="P206" s="252"/>
      <c r="Q206" s="113"/>
      <c r="R206" s="113"/>
      <c r="S206" s="113"/>
      <c r="T206" s="52"/>
      <c r="U206" s="5"/>
      <c r="V206" s="231"/>
      <c r="W206" s="231"/>
      <c r="X206" s="231"/>
      <c r="Y206" s="113"/>
      <c r="Z206" s="357"/>
      <c r="AA206" s="118" t="s">
        <v>2877</v>
      </c>
      <c r="AB206" s="118"/>
      <c r="AC206" s="118"/>
      <c r="AD206" s="52"/>
      <c r="AE206" s="5"/>
      <c r="AF206" s="358"/>
      <c r="AG206" s="358"/>
      <c r="AH206" s="358"/>
      <c r="AI206" s="358"/>
      <c r="AJ206" s="358"/>
      <c r="AK206" s="113"/>
      <c r="AL206" s="113"/>
      <c r="AM206" s="113"/>
      <c r="AN206" s="113"/>
      <c r="AO206" s="113"/>
      <c r="AP206" s="52"/>
      <c r="AQ206" s="52"/>
      <c r="AR206" s="52"/>
      <c r="AS206" s="52"/>
      <c r="AT206" s="52"/>
      <c r="AU206" s="125"/>
      <c r="AV206" s="125"/>
      <c r="AW206" s="125"/>
      <c r="AX206" s="5"/>
      <c r="AY206" s="5"/>
      <c r="AZ206" s="113">
        <v>580000</v>
      </c>
      <c r="BA206" s="113">
        <v>110200</v>
      </c>
      <c r="BB206" s="113">
        <v>690200</v>
      </c>
      <c r="BC206" s="52" t="s">
        <v>2925</v>
      </c>
      <c r="BD206" s="52" t="s">
        <v>3464</v>
      </c>
      <c r="BE206" s="118"/>
      <c r="BF206" s="118"/>
      <c r="BG206" s="118"/>
      <c r="BH206" s="52"/>
      <c r="BI206" s="283"/>
      <c r="BJ206" s="52"/>
      <c r="BK206" s="52"/>
      <c r="BL206" s="52"/>
      <c r="BM206" s="52"/>
      <c r="BN206" s="52"/>
      <c r="BO206" s="52"/>
      <c r="BP206" s="52"/>
      <c r="BQ206" s="52"/>
      <c r="BR206" s="52"/>
      <c r="BS206" s="52"/>
      <c r="BT206" s="52"/>
      <c r="BU206" s="52"/>
      <c r="BV206" s="52"/>
      <c r="BW206" s="52"/>
      <c r="BX206" s="52"/>
      <c r="BY206" s="52"/>
      <c r="BZ206" s="52"/>
      <c r="CA206" s="52"/>
      <c r="CB206" s="52"/>
      <c r="CC206" s="52"/>
      <c r="CD206" s="118"/>
      <c r="CE206" s="52"/>
      <c r="CF206" s="52"/>
      <c r="CG206" s="52"/>
      <c r="CH206" s="52"/>
      <c r="CI206" s="52"/>
      <c r="CJ206" s="52"/>
      <c r="CK206" s="52"/>
      <c r="CL206" s="52"/>
      <c r="CM206" s="52"/>
      <c r="CN206" s="118"/>
      <c r="CO206" s="118"/>
      <c r="CP206" s="118"/>
      <c r="CQ206" s="52"/>
      <c r="CR206" s="52"/>
      <c r="CS206" s="52"/>
      <c r="CT206" s="52"/>
      <c r="CU206" s="52"/>
      <c r="CV206" s="52"/>
      <c r="CW206" s="52"/>
      <c r="CX206" s="52"/>
      <c r="CY206" s="52"/>
      <c r="CZ206" s="52"/>
      <c r="DA206" s="52"/>
      <c r="DB206" s="52"/>
    </row>
    <row r="207" spans="1:106" ht="148.5" x14ac:dyDescent="0.25">
      <c r="A207" s="411">
        <v>205</v>
      </c>
      <c r="B207" s="412" t="s">
        <v>3491</v>
      </c>
      <c r="C207" s="413" t="s">
        <v>3463</v>
      </c>
      <c r="D207" s="426" t="s">
        <v>445</v>
      </c>
      <c r="E207" s="80">
        <v>1</v>
      </c>
      <c r="F207" s="356">
        <v>33935.705999999998</v>
      </c>
      <c r="G207" s="293"/>
      <c r="H207" s="293"/>
      <c r="I207" s="293"/>
      <c r="J207" s="52"/>
      <c r="K207" s="52"/>
      <c r="L207" s="359"/>
      <c r="M207" s="360"/>
      <c r="N207" s="361"/>
      <c r="O207" s="33"/>
      <c r="P207" s="252"/>
      <c r="Q207" s="113"/>
      <c r="R207" s="113"/>
      <c r="S207" s="113"/>
      <c r="T207" s="52"/>
      <c r="U207" s="5"/>
      <c r="V207" s="231"/>
      <c r="W207" s="231"/>
      <c r="X207" s="231"/>
      <c r="Y207" s="113"/>
      <c r="Z207" s="357"/>
      <c r="AA207" s="118">
        <v>625000</v>
      </c>
      <c r="AB207" s="118">
        <f>AA207*0.19</f>
        <v>118750</v>
      </c>
      <c r="AC207" s="118">
        <f>AA207+AB207</f>
        <v>743750</v>
      </c>
      <c r="AD207" s="361" t="s">
        <v>126</v>
      </c>
      <c r="AE207" s="362">
        <v>1033527311</v>
      </c>
      <c r="AF207" s="113">
        <v>15400</v>
      </c>
      <c r="AG207" s="113">
        <v>2926</v>
      </c>
      <c r="AH207" s="113">
        <v>18326</v>
      </c>
      <c r="AI207" s="358" t="s">
        <v>2930</v>
      </c>
      <c r="AJ207" s="358">
        <v>417119500</v>
      </c>
      <c r="AK207" s="113">
        <v>17700</v>
      </c>
      <c r="AL207" s="113">
        <v>3363</v>
      </c>
      <c r="AM207" s="113">
        <v>21063</v>
      </c>
      <c r="AN207" s="113" t="s">
        <v>2980</v>
      </c>
      <c r="AO207" s="113">
        <v>212164404</v>
      </c>
      <c r="AP207" s="52"/>
      <c r="AQ207" s="52"/>
      <c r="AR207" s="52"/>
      <c r="AS207" s="52"/>
      <c r="AT207" s="52"/>
      <c r="AU207" s="125"/>
      <c r="AV207" s="125"/>
      <c r="AW207" s="125"/>
      <c r="AX207" s="5"/>
      <c r="AY207" s="5"/>
      <c r="AZ207" s="113">
        <v>24000</v>
      </c>
      <c r="BA207" s="113">
        <v>4560</v>
      </c>
      <c r="BB207" s="113">
        <v>28560</v>
      </c>
      <c r="BC207" s="52" t="s">
        <v>3483</v>
      </c>
      <c r="BD207" s="52" t="s">
        <v>3492</v>
      </c>
      <c r="BE207" s="118"/>
      <c r="BF207" s="118"/>
      <c r="BG207" s="118"/>
      <c r="BH207" s="52"/>
      <c r="BI207" s="283"/>
      <c r="BJ207" s="52"/>
      <c r="BK207" s="52"/>
      <c r="BL207" s="52"/>
      <c r="BM207" s="52"/>
      <c r="BN207" s="52"/>
      <c r="BO207" s="52"/>
      <c r="BP207" s="52"/>
      <c r="BQ207" s="52"/>
      <c r="BR207" s="52"/>
      <c r="BS207" s="52"/>
      <c r="BT207" s="52"/>
      <c r="BU207" s="52"/>
      <c r="BV207" s="52"/>
      <c r="BW207" s="52"/>
      <c r="BX207" s="52"/>
      <c r="BY207" s="52"/>
      <c r="BZ207" s="52"/>
      <c r="CA207" s="52"/>
      <c r="CB207" s="52"/>
      <c r="CC207" s="52"/>
      <c r="CD207" s="118"/>
      <c r="CE207" s="52"/>
      <c r="CF207" s="52"/>
      <c r="CG207" s="52"/>
      <c r="CH207" s="52"/>
      <c r="CI207" s="52"/>
      <c r="CJ207" s="52"/>
      <c r="CK207" s="52"/>
      <c r="CL207" s="52"/>
      <c r="CM207" s="52"/>
      <c r="CN207" s="118"/>
      <c r="CO207" s="118"/>
      <c r="CP207" s="118"/>
      <c r="CQ207" s="52"/>
      <c r="CR207" s="52"/>
      <c r="CS207" s="52"/>
      <c r="CT207" s="52"/>
      <c r="CU207" s="52"/>
      <c r="CV207" s="52"/>
      <c r="CW207" s="52"/>
      <c r="CX207" s="52"/>
      <c r="CY207" s="52"/>
      <c r="CZ207" s="52"/>
      <c r="DA207" s="52"/>
      <c r="DB207" s="52"/>
    </row>
    <row r="208" spans="1:106" ht="40.5" x14ac:dyDescent="0.25">
      <c r="A208" s="411">
        <v>206</v>
      </c>
      <c r="B208" s="412" t="s">
        <v>3493</v>
      </c>
      <c r="C208" s="426" t="s">
        <v>3494</v>
      </c>
      <c r="D208" s="426" t="s">
        <v>445</v>
      </c>
      <c r="E208" s="80">
        <v>1</v>
      </c>
      <c r="F208" s="356">
        <v>319247.01199999999</v>
      </c>
      <c r="G208" s="293"/>
      <c r="H208" s="293"/>
      <c r="I208" s="293"/>
      <c r="J208" s="52"/>
      <c r="K208" s="52"/>
      <c r="L208" s="359"/>
      <c r="M208" s="360"/>
      <c r="N208" s="361"/>
      <c r="O208" s="33"/>
      <c r="P208" s="252"/>
      <c r="Q208" s="113"/>
      <c r="R208" s="113"/>
      <c r="S208" s="113"/>
      <c r="T208" s="52"/>
      <c r="U208" s="5"/>
      <c r="V208" s="231"/>
      <c r="W208" s="231"/>
      <c r="X208" s="231"/>
      <c r="Y208" s="113"/>
      <c r="Z208" s="357"/>
      <c r="AA208" s="118" t="s">
        <v>2877</v>
      </c>
      <c r="AB208" s="118"/>
      <c r="AC208" s="118"/>
      <c r="AD208" s="52"/>
      <c r="AE208" s="5"/>
      <c r="AF208" s="358"/>
      <c r="AG208" s="358"/>
      <c r="AH208" s="358"/>
      <c r="AI208" s="358"/>
      <c r="AJ208" s="358"/>
      <c r="AK208" s="113"/>
      <c r="AL208" s="113"/>
      <c r="AM208" s="113"/>
      <c r="AN208" s="113"/>
      <c r="AO208" s="113"/>
      <c r="AP208" s="52"/>
      <c r="AQ208" s="52"/>
      <c r="AR208" s="52"/>
      <c r="AS208" s="52"/>
      <c r="AT208" s="52"/>
      <c r="AU208" s="125"/>
      <c r="AV208" s="125"/>
      <c r="AW208" s="125"/>
      <c r="AX208" s="5"/>
      <c r="AY208" s="5"/>
      <c r="AZ208" s="113">
        <v>280000</v>
      </c>
      <c r="BA208" s="113">
        <v>53200</v>
      </c>
      <c r="BB208" s="113">
        <v>333200</v>
      </c>
      <c r="BC208" s="52" t="s">
        <v>3347</v>
      </c>
      <c r="BD208" s="52">
        <v>110496</v>
      </c>
      <c r="BE208" s="118"/>
      <c r="BF208" s="118"/>
      <c r="BG208" s="118"/>
      <c r="BH208" s="52"/>
      <c r="BI208" s="283"/>
      <c r="BJ208" s="52"/>
      <c r="BK208" s="52"/>
      <c r="BL208" s="52"/>
      <c r="BM208" s="52"/>
      <c r="BN208" s="52"/>
      <c r="BO208" s="52"/>
      <c r="BP208" s="52"/>
      <c r="BQ208" s="52"/>
      <c r="BR208" s="52"/>
      <c r="BS208" s="52"/>
      <c r="BT208" s="52"/>
      <c r="BU208" s="52"/>
      <c r="BV208" s="52"/>
      <c r="BW208" s="52"/>
      <c r="BX208" s="52"/>
      <c r="BY208" s="52"/>
      <c r="BZ208" s="52"/>
      <c r="CA208" s="52"/>
      <c r="CB208" s="52"/>
      <c r="CC208" s="52"/>
      <c r="CD208" s="118"/>
      <c r="CE208" s="52"/>
      <c r="CF208" s="52"/>
      <c r="CG208" s="52"/>
      <c r="CH208" s="52"/>
      <c r="CI208" s="52"/>
      <c r="CJ208" s="52"/>
      <c r="CK208" s="52"/>
      <c r="CL208" s="52"/>
      <c r="CM208" s="52"/>
      <c r="CN208" s="118"/>
      <c r="CO208" s="118"/>
      <c r="CP208" s="118"/>
      <c r="CQ208" s="52"/>
      <c r="CR208" s="52"/>
      <c r="CS208" s="52"/>
      <c r="CT208" s="52"/>
      <c r="CU208" s="52"/>
      <c r="CV208" s="52"/>
      <c r="CW208" s="52"/>
      <c r="CX208" s="52"/>
      <c r="CY208" s="52"/>
      <c r="CZ208" s="52"/>
      <c r="DA208" s="52"/>
      <c r="DB208" s="52"/>
    </row>
    <row r="209" spans="1:106" ht="54" x14ac:dyDescent="0.25">
      <c r="A209" s="411">
        <v>207</v>
      </c>
      <c r="B209" s="412" t="s">
        <v>3495</v>
      </c>
      <c r="C209" s="426" t="s">
        <v>622</v>
      </c>
      <c r="D209" s="426" t="s">
        <v>445</v>
      </c>
      <c r="E209" s="80">
        <v>1</v>
      </c>
      <c r="F209" s="356">
        <v>40220.095999999998</v>
      </c>
      <c r="G209" s="293"/>
      <c r="H209" s="293"/>
      <c r="I209" s="293"/>
      <c r="J209" s="52"/>
      <c r="K209" s="52"/>
      <c r="L209" s="359"/>
      <c r="M209" s="360"/>
      <c r="N209" s="361"/>
      <c r="O209" s="33"/>
      <c r="P209" s="252"/>
      <c r="Q209" s="113"/>
      <c r="R209" s="113"/>
      <c r="S209" s="113"/>
      <c r="T209" s="52"/>
      <c r="U209" s="5"/>
      <c r="V209" s="231"/>
      <c r="W209" s="231"/>
      <c r="X209" s="231"/>
      <c r="Y209" s="113"/>
      <c r="Z209" s="357"/>
      <c r="AA209" s="118" t="s">
        <v>2877</v>
      </c>
      <c r="AB209" s="118"/>
      <c r="AC209" s="118"/>
      <c r="AD209" s="52"/>
      <c r="AE209" s="5"/>
      <c r="AF209" s="358"/>
      <c r="AG209" s="358"/>
      <c r="AH209" s="358"/>
      <c r="AI209" s="358"/>
      <c r="AJ209" s="358"/>
      <c r="AK209" s="113"/>
      <c r="AL209" s="113"/>
      <c r="AM209" s="113"/>
      <c r="AN209" s="113"/>
      <c r="AO209" s="113"/>
      <c r="AP209" s="52"/>
      <c r="AQ209" s="52"/>
      <c r="AR209" s="52"/>
      <c r="AS209" s="52"/>
      <c r="AT209" s="52"/>
      <c r="AU209" s="125"/>
      <c r="AV209" s="125"/>
      <c r="AW209" s="125"/>
      <c r="AX209" s="5"/>
      <c r="AY209" s="5"/>
      <c r="AZ209" s="113"/>
      <c r="BA209" s="113"/>
      <c r="BB209" s="113"/>
      <c r="BC209" s="52"/>
      <c r="BD209" s="52"/>
      <c r="BE209" s="118"/>
      <c r="BF209" s="118"/>
      <c r="BG209" s="118"/>
      <c r="BH209" s="52"/>
      <c r="BI209" s="283"/>
      <c r="BJ209" s="52"/>
      <c r="BK209" s="52"/>
      <c r="BL209" s="52"/>
      <c r="BM209" s="52"/>
      <c r="BN209" s="52"/>
      <c r="BO209" s="52"/>
      <c r="BP209" s="52"/>
      <c r="BQ209" s="52"/>
      <c r="BR209" s="52"/>
      <c r="BS209" s="52"/>
      <c r="BT209" s="52"/>
      <c r="BU209" s="52"/>
      <c r="BV209" s="52"/>
      <c r="BW209" s="52"/>
      <c r="BX209" s="52"/>
      <c r="BY209" s="52"/>
      <c r="BZ209" s="52"/>
      <c r="CA209" s="52"/>
      <c r="CB209" s="52"/>
      <c r="CC209" s="52"/>
      <c r="CD209" s="118"/>
      <c r="CE209" s="52"/>
      <c r="CF209" s="52"/>
      <c r="CG209" s="52"/>
      <c r="CH209" s="52"/>
      <c r="CI209" s="52"/>
      <c r="CJ209" s="52"/>
      <c r="CK209" s="52"/>
      <c r="CL209" s="52"/>
      <c r="CM209" s="52"/>
      <c r="CN209" s="118"/>
      <c r="CO209" s="118"/>
      <c r="CP209" s="118"/>
      <c r="CQ209" s="52"/>
      <c r="CR209" s="52"/>
      <c r="CS209" s="52"/>
      <c r="CT209" s="52"/>
      <c r="CU209" s="52"/>
      <c r="CV209" s="52"/>
      <c r="CW209" s="52"/>
      <c r="CX209" s="52"/>
      <c r="CY209" s="52"/>
      <c r="CZ209" s="52"/>
      <c r="DA209" s="52"/>
      <c r="DB209" s="52"/>
    </row>
    <row r="210" spans="1:106" ht="40.5" x14ac:dyDescent="0.25">
      <c r="A210" s="411">
        <v>208</v>
      </c>
      <c r="B210" s="412" t="s">
        <v>3496</v>
      </c>
      <c r="C210" s="413" t="s">
        <v>3497</v>
      </c>
      <c r="D210" s="426" t="s">
        <v>3498</v>
      </c>
      <c r="E210" s="80">
        <v>1</v>
      </c>
      <c r="F210" s="356">
        <v>319247.01199999999</v>
      </c>
      <c r="G210" s="293"/>
      <c r="H210" s="293"/>
      <c r="I210" s="293"/>
      <c r="J210" s="52"/>
      <c r="K210" s="52"/>
      <c r="L210" s="359"/>
      <c r="M210" s="360"/>
      <c r="N210" s="361"/>
      <c r="O210" s="33"/>
      <c r="P210" s="252"/>
      <c r="Q210" s="113"/>
      <c r="R210" s="113"/>
      <c r="S210" s="113"/>
      <c r="T210" s="52"/>
      <c r="U210" s="5"/>
      <c r="V210" s="231"/>
      <c r="W210" s="231"/>
      <c r="X210" s="231"/>
      <c r="Y210" s="113"/>
      <c r="Z210" s="357"/>
      <c r="AA210" s="118" t="s">
        <v>2877</v>
      </c>
      <c r="AB210" s="118"/>
      <c r="AC210" s="118"/>
      <c r="AD210" s="52"/>
      <c r="AE210" s="5"/>
      <c r="AF210" s="358"/>
      <c r="AG210" s="358"/>
      <c r="AH210" s="358"/>
      <c r="AI210" s="358"/>
      <c r="AJ210" s="358"/>
      <c r="AK210" s="113"/>
      <c r="AL210" s="113"/>
      <c r="AM210" s="113"/>
      <c r="AN210" s="113"/>
      <c r="AO210" s="113"/>
      <c r="AP210" s="52"/>
      <c r="AQ210" s="52"/>
      <c r="AR210" s="52"/>
      <c r="AS210" s="52"/>
      <c r="AT210" s="52"/>
      <c r="AU210" s="125"/>
      <c r="AV210" s="125"/>
      <c r="AW210" s="125"/>
      <c r="AX210" s="5"/>
      <c r="AY210" s="5"/>
      <c r="AZ210" s="113">
        <v>351000</v>
      </c>
      <c r="BA210" s="113">
        <v>66690</v>
      </c>
      <c r="BB210" s="113">
        <v>417690</v>
      </c>
      <c r="BC210" s="52" t="s">
        <v>338</v>
      </c>
      <c r="BD210" s="52" t="s">
        <v>3499</v>
      </c>
      <c r="BE210" s="118"/>
      <c r="BF210" s="118"/>
      <c r="BG210" s="118"/>
      <c r="BH210" s="52"/>
      <c r="BI210" s="283"/>
      <c r="BJ210" s="52"/>
      <c r="BK210" s="52"/>
      <c r="BL210" s="52"/>
      <c r="BM210" s="52"/>
      <c r="BN210" s="52"/>
      <c r="BO210" s="52"/>
      <c r="BP210" s="52"/>
      <c r="BQ210" s="52"/>
      <c r="BR210" s="52"/>
      <c r="BS210" s="52"/>
      <c r="BT210" s="52"/>
      <c r="BU210" s="52"/>
      <c r="BV210" s="52"/>
      <c r="BW210" s="52"/>
      <c r="BX210" s="52"/>
      <c r="BY210" s="52"/>
      <c r="BZ210" s="52"/>
      <c r="CA210" s="52"/>
      <c r="CB210" s="52"/>
      <c r="CC210" s="52"/>
      <c r="CD210" s="118"/>
      <c r="CE210" s="52"/>
      <c r="CF210" s="52"/>
      <c r="CG210" s="52"/>
      <c r="CH210" s="52"/>
      <c r="CI210" s="52"/>
      <c r="CJ210" s="52"/>
      <c r="CK210" s="52"/>
      <c r="CL210" s="52"/>
      <c r="CM210" s="52"/>
      <c r="CN210" s="118"/>
      <c r="CO210" s="118"/>
      <c r="CP210" s="118"/>
      <c r="CQ210" s="52"/>
      <c r="CR210" s="52"/>
      <c r="CS210" s="52"/>
      <c r="CT210" s="52"/>
      <c r="CU210" s="52"/>
      <c r="CV210" s="52"/>
      <c r="CW210" s="52"/>
      <c r="CX210" s="52"/>
      <c r="CY210" s="52"/>
      <c r="CZ210" s="52"/>
      <c r="DA210" s="52"/>
      <c r="DB210" s="52"/>
    </row>
    <row r="211" spans="1:106" ht="27" x14ac:dyDescent="0.25">
      <c r="A211" s="411">
        <v>209</v>
      </c>
      <c r="B211" s="413" t="s">
        <v>3500</v>
      </c>
      <c r="C211" s="413" t="s">
        <v>3501</v>
      </c>
      <c r="D211" s="409" t="s">
        <v>196</v>
      </c>
      <c r="E211" s="80">
        <v>1</v>
      </c>
      <c r="F211" s="356">
        <v>52661.075799999999</v>
      </c>
      <c r="G211" s="293">
        <v>50000</v>
      </c>
      <c r="H211" s="293">
        <v>9500</v>
      </c>
      <c r="I211" s="293">
        <v>59500</v>
      </c>
      <c r="J211" s="52" t="s">
        <v>2956</v>
      </c>
      <c r="K211" s="52" t="s">
        <v>3502</v>
      </c>
      <c r="L211" s="359"/>
      <c r="M211" s="360"/>
      <c r="N211" s="361"/>
      <c r="O211" s="33"/>
      <c r="P211" s="252"/>
      <c r="Q211" s="113"/>
      <c r="R211" s="113"/>
      <c r="S211" s="113"/>
      <c r="T211" s="52"/>
      <c r="U211" s="5"/>
      <c r="V211" s="231"/>
      <c r="W211" s="231"/>
      <c r="X211" s="231"/>
      <c r="Y211" s="113"/>
      <c r="Z211" s="357"/>
      <c r="AA211" s="118" t="s">
        <v>2877</v>
      </c>
      <c r="AB211" s="118"/>
      <c r="AC211" s="118"/>
      <c r="AD211" s="52"/>
      <c r="AE211" s="5"/>
      <c r="AF211" s="358"/>
      <c r="AG211" s="358"/>
      <c r="AH211" s="358"/>
      <c r="AI211" s="358"/>
      <c r="AJ211" s="358"/>
      <c r="AK211" s="113"/>
      <c r="AL211" s="113"/>
      <c r="AM211" s="113"/>
      <c r="AN211" s="113"/>
      <c r="AO211" s="113"/>
      <c r="AP211" s="52"/>
      <c r="AQ211" s="52"/>
      <c r="AR211" s="52"/>
      <c r="AS211" s="52"/>
      <c r="AT211" s="52"/>
      <c r="AU211" s="125"/>
      <c r="AV211" s="125"/>
      <c r="AW211" s="125"/>
      <c r="AX211" s="5"/>
      <c r="AY211" s="5"/>
      <c r="AZ211" s="113"/>
      <c r="BA211" s="113"/>
      <c r="BB211" s="113"/>
      <c r="BC211" s="52"/>
      <c r="BD211" s="52"/>
      <c r="BE211" s="118"/>
      <c r="BF211" s="118"/>
      <c r="BG211" s="118"/>
      <c r="BH211" s="52"/>
      <c r="BI211" s="283"/>
      <c r="BJ211" s="52"/>
      <c r="BK211" s="52"/>
      <c r="BL211" s="52"/>
      <c r="BM211" s="52"/>
      <c r="BN211" s="52"/>
      <c r="BO211" s="52"/>
      <c r="BP211" s="52"/>
      <c r="BQ211" s="52"/>
      <c r="BR211" s="52"/>
      <c r="BS211" s="52"/>
      <c r="BT211" s="52"/>
      <c r="BU211" s="52"/>
      <c r="BV211" s="52"/>
      <c r="BW211" s="52"/>
      <c r="BX211" s="52"/>
      <c r="BY211" s="118">
        <v>56000</v>
      </c>
      <c r="BZ211" s="118">
        <f>+BY211*0.19</f>
        <v>10640</v>
      </c>
      <c r="CA211" s="118">
        <f>+BY211+BZ211</f>
        <v>66640</v>
      </c>
      <c r="CB211" s="52" t="s">
        <v>2956</v>
      </c>
      <c r="CC211" s="52">
        <v>3302</v>
      </c>
      <c r="CD211" s="118"/>
      <c r="CE211" s="52"/>
      <c r="CF211" s="52"/>
      <c r="CG211" s="52"/>
      <c r="CH211" s="52"/>
      <c r="CI211" s="52"/>
      <c r="CJ211" s="52"/>
      <c r="CK211" s="52"/>
      <c r="CL211" s="52"/>
      <c r="CM211" s="52"/>
      <c r="CN211" s="118"/>
      <c r="CO211" s="118"/>
      <c r="CP211" s="118"/>
      <c r="CQ211" s="52"/>
      <c r="CR211" s="52"/>
      <c r="CS211" s="52"/>
      <c r="CT211" s="52"/>
      <c r="CU211" s="52"/>
      <c r="CV211" s="52"/>
      <c r="CW211" s="52"/>
      <c r="CX211" s="52"/>
      <c r="CY211" s="52"/>
      <c r="CZ211" s="52"/>
      <c r="DA211" s="52"/>
      <c r="DB211" s="52"/>
    </row>
    <row r="212" spans="1:106" ht="40.5" x14ac:dyDescent="0.25">
      <c r="A212" s="411">
        <v>210</v>
      </c>
      <c r="B212" s="413" t="s">
        <v>3503</v>
      </c>
      <c r="C212" s="413" t="s">
        <v>3504</v>
      </c>
      <c r="D212" s="409" t="s">
        <v>196</v>
      </c>
      <c r="E212" s="80">
        <v>1</v>
      </c>
      <c r="F212" s="356">
        <v>40220.095999999998</v>
      </c>
      <c r="G212" s="293"/>
      <c r="H212" s="293"/>
      <c r="I212" s="293"/>
      <c r="J212" s="52"/>
      <c r="K212" s="52"/>
      <c r="L212" s="359"/>
      <c r="M212" s="360"/>
      <c r="N212" s="361"/>
      <c r="O212" s="33"/>
      <c r="P212" s="252"/>
      <c r="Q212" s="113"/>
      <c r="R212" s="113"/>
      <c r="S212" s="113"/>
      <c r="T212" s="52"/>
      <c r="U212" s="5"/>
      <c r="V212" s="231"/>
      <c r="W212" s="231"/>
      <c r="X212" s="231"/>
      <c r="Y212" s="113"/>
      <c r="Z212" s="357"/>
      <c r="AA212" s="118" t="s">
        <v>2877</v>
      </c>
      <c r="AB212" s="118"/>
      <c r="AC212" s="118"/>
      <c r="AD212" s="52"/>
      <c r="AE212" s="5"/>
      <c r="AF212" s="358"/>
      <c r="AG212" s="358"/>
      <c r="AH212" s="358"/>
      <c r="AI212" s="358"/>
      <c r="AJ212" s="358"/>
      <c r="AK212" s="113"/>
      <c r="AL212" s="113"/>
      <c r="AM212" s="113"/>
      <c r="AN212" s="113"/>
      <c r="AO212" s="113"/>
      <c r="AP212" s="52"/>
      <c r="AQ212" s="52"/>
      <c r="AR212" s="52"/>
      <c r="AS212" s="52"/>
      <c r="AT212" s="52"/>
      <c r="AU212" s="125"/>
      <c r="AV212" s="125"/>
      <c r="AW212" s="125"/>
      <c r="AX212" s="5"/>
      <c r="AY212" s="5"/>
      <c r="AZ212" s="113">
        <v>40000</v>
      </c>
      <c r="BA212" s="113">
        <v>7600</v>
      </c>
      <c r="BB212" s="113">
        <v>47600</v>
      </c>
      <c r="BC212" s="52" t="s">
        <v>338</v>
      </c>
      <c r="BD212" s="52" t="s">
        <v>3505</v>
      </c>
      <c r="BE212" s="118"/>
      <c r="BF212" s="118"/>
      <c r="BG212" s="118"/>
      <c r="BH212" s="52"/>
      <c r="BI212" s="283"/>
      <c r="BJ212" s="52"/>
      <c r="BK212" s="52"/>
      <c r="BL212" s="52"/>
      <c r="BM212" s="52"/>
      <c r="BN212" s="52"/>
      <c r="BO212" s="52"/>
      <c r="BP212" s="52"/>
      <c r="BQ212" s="52"/>
      <c r="BR212" s="52"/>
      <c r="BS212" s="52"/>
      <c r="BT212" s="52"/>
      <c r="BU212" s="52"/>
      <c r="BV212" s="52"/>
      <c r="BW212" s="52"/>
      <c r="BX212" s="52"/>
      <c r="BY212" s="52"/>
      <c r="BZ212" s="52"/>
      <c r="CA212" s="52"/>
      <c r="CB212" s="52"/>
      <c r="CC212" s="52"/>
      <c r="CD212" s="118"/>
      <c r="CE212" s="52"/>
      <c r="CF212" s="52"/>
      <c r="CG212" s="52"/>
      <c r="CH212" s="52"/>
      <c r="CI212" s="52"/>
      <c r="CJ212" s="52"/>
      <c r="CK212" s="52"/>
      <c r="CL212" s="52"/>
      <c r="CM212" s="52"/>
      <c r="CN212" s="118"/>
      <c r="CO212" s="118"/>
      <c r="CP212" s="118"/>
      <c r="CQ212" s="52"/>
      <c r="CR212" s="52"/>
      <c r="CS212" s="52"/>
      <c r="CT212" s="52"/>
      <c r="CU212" s="52"/>
      <c r="CV212" s="52"/>
      <c r="CW212" s="52"/>
      <c r="CX212" s="52"/>
      <c r="CY212" s="52"/>
      <c r="CZ212" s="52"/>
      <c r="DA212" s="52"/>
      <c r="DB212" s="52"/>
    </row>
    <row r="213" spans="1:106" ht="27" x14ac:dyDescent="0.25">
      <c r="A213" s="411">
        <v>211</v>
      </c>
      <c r="B213" s="409" t="s">
        <v>3506</v>
      </c>
      <c r="C213" s="413" t="s">
        <v>3507</v>
      </c>
      <c r="D213" s="409" t="s">
        <v>510</v>
      </c>
      <c r="E213" s="80">
        <v>1</v>
      </c>
      <c r="F213" s="80"/>
      <c r="G213" s="293"/>
      <c r="H213" s="293"/>
      <c r="I213" s="293"/>
      <c r="J213" s="52"/>
      <c r="K213" s="52"/>
      <c r="L213" s="359"/>
      <c r="M213" s="360"/>
      <c r="N213" s="361"/>
      <c r="O213" s="33"/>
      <c r="P213" s="252"/>
      <c r="Q213" s="113"/>
      <c r="R213" s="113"/>
      <c r="S213" s="113"/>
      <c r="T213" s="52"/>
      <c r="U213" s="5"/>
      <c r="V213" s="231"/>
      <c r="W213" s="231"/>
      <c r="X213" s="231"/>
      <c r="Y213" s="113"/>
      <c r="Z213" s="357"/>
      <c r="AA213" s="118" t="s">
        <v>2877</v>
      </c>
      <c r="AB213" s="118"/>
      <c r="AC213" s="118"/>
      <c r="AD213" s="52"/>
      <c r="AE213" s="5"/>
      <c r="AF213" s="358"/>
      <c r="AG213" s="358"/>
      <c r="AH213" s="358"/>
      <c r="AI213" s="358"/>
      <c r="AJ213" s="358"/>
      <c r="AK213" s="113"/>
      <c r="AL213" s="113"/>
      <c r="AM213" s="113"/>
      <c r="AN213" s="113"/>
      <c r="AO213" s="113"/>
      <c r="AP213" s="52"/>
      <c r="AQ213" s="52"/>
      <c r="AR213" s="52"/>
      <c r="AS213" s="52"/>
      <c r="AT213" s="52"/>
      <c r="AU213" s="125"/>
      <c r="AV213" s="125"/>
      <c r="AW213" s="125"/>
      <c r="AX213" s="5"/>
      <c r="AY213" s="5"/>
      <c r="AZ213" s="113"/>
      <c r="BA213" s="113"/>
      <c r="BB213" s="113"/>
      <c r="BC213" s="52"/>
      <c r="BD213" s="52"/>
      <c r="BE213" s="118"/>
      <c r="BF213" s="118"/>
      <c r="BG213" s="118"/>
      <c r="BH213" s="52"/>
      <c r="BI213" s="283"/>
      <c r="BJ213" s="52"/>
      <c r="BK213" s="52"/>
      <c r="BL213" s="52"/>
      <c r="BM213" s="52"/>
      <c r="BN213" s="52"/>
      <c r="BO213" s="52"/>
      <c r="BP213" s="52"/>
      <c r="BQ213" s="52"/>
      <c r="BR213" s="52"/>
      <c r="BS213" s="52"/>
      <c r="BT213" s="52"/>
      <c r="BU213" s="52"/>
      <c r="BV213" s="52"/>
      <c r="BW213" s="52"/>
      <c r="BX213" s="52"/>
      <c r="BY213" s="52"/>
      <c r="BZ213" s="52"/>
      <c r="CA213" s="52"/>
      <c r="CB213" s="52"/>
      <c r="CC213" s="52"/>
      <c r="CD213" s="118"/>
      <c r="CE213" s="52"/>
      <c r="CF213" s="52"/>
      <c r="CG213" s="52"/>
      <c r="CH213" s="52"/>
      <c r="CI213" s="52"/>
      <c r="CJ213" s="52"/>
      <c r="CK213" s="52"/>
      <c r="CL213" s="52"/>
      <c r="CM213" s="52"/>
      <c r="CN213" s="118">
        <v>3500</v>
      </c>
      <c r="CO213" s="118">
        <f>+CN213*0.19</f>
        <v>665</v>
      </c>
      <c r="CP213" s="118">
        <f>+CN213+CO213</f>
        <v>4165</v>
      </c>
      <c r="CQ213" s="52" t="s">
        <v>3508</v>
      </c>
      <c r="CR213" s="52" t="s">
        <v>3509</v>
      </c>
      <c r="CS213" s="52"/>
      <c r="CT213" s="52"/>
      <c r="CU213" s="52"/>
      <c r="CV213" s="52"/>
      <c r="CW213" s="52"/>
      <c r="CX213" s="52"/>
      <c r="CY213" s="52"/>
      <c r="CZ213" s="52"/>
      <c r="DA213" s="52"/>
      <c r="DB213" s="52"/>
    </row>
    <row r="214" spans="1:106" ht="27" x14ac:dyDescent="0.25">
      <c r="A214" s="411">
        <v>212</v>
      </c>
      <c r="B214" s="412" t="s">
        <v>3510</v>
      </c>
      <c r="C214" s="426" t="s">
        <v>2965</v>
      </c>
      <c r="D214" s="426" t="s">
        <v>445</v>
      </c>
      <c r="E214" s="80">
        <v>1</v>
      </c>
      <c r="F214" s="356">
        <v>217439.894</v>
      </c>
      <c r="G214" s="293"/>
      <c r="H214" s="293"/>
      <c r="I214" s="293"/>
      <c r="J214" s="52"/>
      <c r="K214" s="52"/>
      <c r="L214" s="359"/>
      <c r="M214" s="360"/>
      <c r="N214" s="361"/>
      <c r="O214" s="33"/>
      <c r="P214" s="252"/>
      <c r="Q214" s="113"/>
      <c r="R214" s="113"/>
      <c r="S214" s="113"/>
      <c r="T214" s="52"/>
      <c r="U214" s="5"/>
      <c r="V214" s="231"/>
      <c r="W214" s="231"/>
      <c r="X214" s="231"/>
      <c r="Y214" s="113"/>
      <c r="Z214" s="357"/>
      <c r="AA214" s="118" t="s">
        <v>2877</v>
      </c>
      <c r="AB214" s="118"/>
      <c r="AC214" s="118"/>
      <c r="AD214" s="52"/>
      <c r="AE214" s="5"/>
      <c r="AF214" s="358"/>
      <c r="AG214" s="358"/>
      <c r="AH214" s="358"/>
      <c r="AI214" s="358"/>
      <c r="AJ214" s="358"/>
      <c r="AK214" s="113"/>
      <c r="AL214" s="113"/>
      <c r="AM214" s="113"/>
      <c r="AN214" s="113"/>
      <c r="AO214" s="113"/>
      <c r="AP214" s="52"/>
      <c r="AQ214" s="52"/>
      <c r="AR214" s="52"/>
      <c r="AS214" s="52"/>
      <c r="AT214" s="52"/>
      <c r="AU214" s="125"/>
      <c r="AV214" s="125"/>
      <c r="AW214" s="125"/>
      <c r="AX214" s="5"/>
      <c r="AY214" s="5"/>
      <c r="AZ214" s="113">
        <v>25000</v>
      </c>
      <c r="BA214" s="113">
        <v>4750</v>
      </c>
      <c r="BB214" s="113">
        <v>29750</v>
      </c>
      <c r="BC214" s="52" t="s">
        <v>3511</v>
      </c>
      <c r="BD214" s="52" t="s">
        <v>3512</v>
      </c>
      <c r="BE214" s="118"/>
      <c r="BF214" s="118"/>
      <c r="BG214" s="118"/>
      <c r="BH214" s="52"/>
      <c r="BI214" s="283"/>
      <c r="BJ214" s="52"/>
      <c r="BK214" s="52"/>
      <c r="BL214" s="52"/>
      <c r="BM214" s="52"/>
      <c r="BN214" s="52"/>
      <c r="BO214" s="293">
        <v>55000</v>
      </c>
      <c r="BP214" s="52">
        <f>+BO214*0.19</f>
        <v>10450</v>
      </c>
      <c r="BQ214" s="293">
        <f>+BO214+BP214</f>
        <v>65450</v>
      </c>
      <c r="BR214" s="52" t="s">
        <v>3513</v>
      </c>
      <c r="BS214" s="52" t="s">
        <v>3514</v>
      </c>
      <c r="BT214" s="52"/>
      <c r="BU214" s="52"/>
      <c r="BV214" s="52"/>
      <c r="BW214" s="52"/>
      <c r="BX214" s="52"/>
      <c r="BY214" s="52"/>
      <c r="BZ214" s="52"/>
      <c r="CA214" s="52"/>
      <c r="CB214" s="52"/>
      <c r="CC214" s="52"/>
      <c r="CD214" s="118"/>
      <c r="CE214" s="52"/>
      <c r="CF214" s="52"/>
      <c r="CG214" s="52"/>
      <c r="CH214" s="52"/>
      <c r="CI214" s="52"/>
      <c r="CJ214" s="52"/>
      <c r="CK214" s="52"/>
      <c r="CL214" s="52"/>
      <c r="CM214" s="52"/>
      <c r="CN214" s="118">
        <v>38700</v>
      </c>
      <c r="CO214" s="118">
        <f>+CN214*0.19</f>
        <v>7353</v>
      </c>
      <c r="CP214" s="118">
        <f>+CN214+CO214</f>
        <v>46053</v>
      </c>
      <c r="CQ214" s="52" t="s">
        <v>3515</v>
      </c>
      <c r="CR214" s="52" t="s">
        <v>3516</v>
      </c>
      <c r="CS214" s="52"/>
      <c r="CT214" s="52"/>
      <c r="CU214" s="52"/>
      <c r="CV214" s="52"/>
      <c r="CW214" s="52"/>
      <c r="CX214" s="52"/>
      <c r="CY214" s="52"/>
      <c r="CZ214" s="52"/>
      <c r="DA214" s="52"/>
      <c r="DB214" s="52"/>
    </row>
    <row r="215" spans="1:106" ht="27" x14ac:dyDescent="0.25">
      <c r="A215" s="411">
        <v>213</v>
      </c>
      <c r="B215" s="412" t="s">
        <v>3517</v>
      </c>
      <c r="C215" s="413" t="s">
        <v>622</v>
      </c>
      <c r="D215" s="426" t="s">
        <v>445</v>
      </c>
      <c r="E215" s="80">
        <v>1</v>
      </c>
      <c r="F215" s="356">
        <v>17596.292000000001</v>
      </c>
      <c r="G215" s="293"/>
      <c r="H215" s="293"/>
      <c r="I215" s="293"/>
      <c r="J215" s="52"/>
      <c r="K215" s="52"/>
      <c r="L215" s="359"/>
      <c r="M215" s="360"/>
      <c r="N215" s="361"/>
      <c r="O215" s="33"/>
      <c r="P215" s="252"/>
      <c r="Q215" s="113"/>
      <c r="R215" s="113"/>
      <c r="S215" s="113"/>
      <c r="T215" s="52"/>
      <c r="U215" s="5"/>
      <c r="V215" s="231"/>
      <c r="W215" s="231"/>
      <c r="X215" s="231"/>
      <c r="Y215" s="113"/>
      <c r="Z215" s="357"/>
      <c r="AA215" s="118" t="s">
        <v>2877</v>
      </c>
      <c r="AB215" s="118"/>
      <c r="AC215" s="118"/>
      <c r="AD215" s="52"/>
      <c r="AE215" s="5"/>
      <c r="AF215" s="358"/>
      <c r="AG215" s="358"/>
      <c r="AH215" s="358"/>
      <c r="AI215" s="358"/>
      <c r="AJ215" s="358"/>
      <c r="AK215" s="113"/>
      <c r="AL215" s="113"/>
      <c r="AM215" s="113"/>
      <c r="AN215" s="113"/>
      <c r="AO215" s="113"/>
      <c r="AP215" s="52"/>
      <c r="AQ215" s="52"/>
      <c r="AR215" s="52"/>
      <c r="AS215" s="52"/>
      <c r="AT215" s="52"/>
      <c r="AU215" s="125"/>
      <c r="AV215" s="125"/>
      <c r="AW215" s="125"/>
      <c r="AX215" s="5"/>
      <c r="AY215" s="5"/>
      <c r="AZ215" s="113"/>
      <c r="BA215" s="113"/>
      <c r="BB215" s="113"/>
      <c r="BC215" s="52"/>
      <c r="BD215" s="52"/>
      <c r="BE215" s="118"/>
      <c r="BF215" s="118"/>
      <c r="BG215" s="118"/>
      <c r="BH215" s="52"/>
      <c r="BI215" s="283"/>
      <c r="BJ215" s="52"/>
      <c r="BK215" s="52"/>
      <c r="BL215" s="52"/>
      <c r="BM215" s="52"/>
      <c r="BN215" s="52"/>
      <c r="BO215" s="52"/>
      <c r="BP215" s="52"/>
      <c r="BQ215" s="52"/>
      <c r="BR215" s="52"/>
      <c r="BS215" s="52"/>
      <c r="BT215" s="52"/>
      <c r="BU215" s="52"/>
      <c r="BV215" s="52"/>
      <c r="BW215" s="52"/>
      <c r="BX215" s="52"/>
      <c r="BY215" s="52"/>
      <c r="BZ215" s="52"/>
      <c r="CA215" s="52"/>
      <c r="CB215" s="52"/>
      <c r="CC215" s="52"/>
      <c r="CD215" s="118"/>
      <c r="CE215" s="52"/>
      <c r="CF215" s="52"/>
      <c r="CG215" s="52"/>
      <c r="CH215" s="52"/>
      <c r="CI215" s="52"/>
      <c r="CJ215" s="52"/>
      <c r="CK215" s="52"/>
      <c r="CL215" s="52"/>
      <c r="CM215" s="52"/>
      <c r="CN215" s="118"/>
      <c r="CO215" s="118"/>
      <c r="CP215" s="118"/>
      <c r="CQ215" s="52"/>
      <c r="CR215" s="52"/>
      <c r="CS215" s="52"/>
      <c r="CT215" s="52"/>
      <c r="CU215" s="52"/>
      <c r="CV215" s="52"/>
      <c r="CW215" s="52"/>
      <c r="CX215" s="52"/>
      <c r="CY215" s="52"/>
      <c r="CZ215" s="52"/>
      <c r="DA215" s="52"/>
      <c r="DB215" s="52"/>
    </row>
    <row r="216" spans="1:106" ht="27" x14ac:dyDescent="0.25">
      <c r="A216" s="411">
        <v>214</v>
      </c>
      <c r="B216" s="412" t="s">
        <v>3518</v>
      </c>
      <c r="C216" s="413" t="s">
        <v>622</v>
      </c>
      <c r="D216" s="426" t="s">
        <v>445</v>
      </c>
      <c r="E216" s="80">
        <v>1</v>
      </c>
      <c r="F216" s="356">
        <v>25137.56</v>
      </c>
      <c r="G216" s="293">
        <v>17100</v>
      </c>
      <c r="H216" s="293">
        <v>3249</v>
      </c>
      <c r="I216" s="293">
        <v>20349</v>
      </c>
      <c r="J216" s="52" t="s">
        <v>164</v>
      </c>
      <c r="K216" s="52" t="s">
        <v>3519</v>
      </c>
      <c r="L216" s="359"/>
      <c r="M216" s="360"/>
      <c r="N216" s="361"/>
      <c r="O216" s="33"/>
      <c r="P216" s="252"/>
      <c r="Q216" s="113"/>
      <c r="R216" s="113"/>
      <c r="S216" s="113"/>
      <c r="T216" s="52"/>
      <c r="U216" s="5"/>
      <c r="V216" s="231"/>
      <c r="W216" s="231"/>
      <c r="X216" s="231"/>
      <c r="Y216" s="113"/>
      <c r="Z216" s="357"/>
      <c r="AA216" s="118" t="s">
        <v>2877</v>
      </c>
      <c r="AB216" s="118"/>
      <c r="AC216" s="118"/>
      <c r="AD216" s="52"/>
      <c r="AE216" s="5"/>
      <c r="AF216" s="358"/>
      <c r="AG216" s="358"/>
      <c r="AH216" s="358"/>
      <c r="AI216" s="358"/>
      <c r="AJ216" s="358"/>
      <c r="AK216" s="113"/>
      <c r="AL216" s="113"/>
      <c r="AM216" s="113"/>
      <c r="AN216" s="113"/>
      <c r="AO216" s="113"/>
      <c r="AP216" s="52"/>
      <c r="AQ216" s="52"/>
      <c r="AR216" s="52"/>
      <c r="AS216" s="52"/>
      <c r="AT216" s="52"/>
      <c r="AU216" s="125"/>
      <c r="AV216" s="125"/>
      <c r="AW216" s="125"/>
      <c r="AX216" s="5"/>
      <c r="AY216" s="5"/>
      <c r="AZ216" s="113"/>
      <c r="BA216" s="113"/>
      <c r="BB216" s="113"/>
      <c r="BC216" s="52"/>
      <c r="BD216" s="52"/>
      <c r="BE216" s="118"/>
      <c r="BF216" s="118"/>
      <c r="BG216" s="118"/>
      <c r="BH216" s="52"/>
      <c r="BI216" s="283"/>
      <c r="BJ216" s="52"/>
      <c r="BK216" s="52"/>
      <c r="BL216" s="52"/>
      <c r="BM216" s="52"/>
      <c r="BN216" s="52"/>
      <c r="BO216" s="52"/>
      <c r="BP216" s="52"/>
      <c r="BQ216" s="52"/>
      <c r="BR216" s="52"/>
      <c r="BS216" s="52"/>
      <c r="BT216" s="52"/>
      <c r="BU216" s="52"/>
      <c r="BV216" s="52"/>
      <c r="BW216" s="52"/>
      <c r="BX216" s="52"/>
      <c r="BY216" s="52"/>
      <c r="BZ216" s="52"/>
      <c r="CA216" s="52"/>
      <c r="CB216" s="52"/>
      <c r="CC216" s="52"/>
      <c r="CD216" s="118">
        <v>50421</v>
      </c>
      <c r="CE216" s="118">
        <f>+CD216*0.19</f>
        <v>9579.99</v>
      </c>
      <c r="CF216" s="118">
        <f>+CD216+CE216</f>
        <v>60000.99</v>
      </c>
      <c r="CG216" s="52" t="s">
        <v>3520</v>
      </c>
      <c r="CH216" s="52" t="s">
        <v>3521</v>
      </c>
      <c r="CI216" s="52"/>
      <c r="CJ216" s="52"/>
      <c r="CK216" s="52"/>
      <c r="CL216" s="52"/>
      <c r="CM216" s="52"/>
      <c r="CN216" s="118">
        <v>1245300</v>
      </c>
      <c r="CO216" s="118">
        <f>+CN216*0.19</f>
        <v>236607</v>
      </c>
      <c r="CP216" s="118">
        <f>+CN216+CO216</f>
        <v>1481907</v>
      </c>
      <c r="CQ216" s="118" t="s">
        <v>3516</v>
      </c>
      <c r="CR216" s="118" t="s">
        <v>3522</v>
      </c>
      <c r="CS216" s="52"/>
      <c r="CT216" s="52"/>
      <c r="CU216" s="52"/>
      <c r="CV216" s="52"/>
      <c r="CW216" s="52"/>
      <c r="CX216" s="52"/>
      <c r="CY216" s="52"/>
      <c r="CZ216" s="52"/>
      <c r="DA216" s="52"/>
      <c r="DB216" s="52"/>
    </row>
    <row r="217" spans="1:106" ht="40.5" x14ac:dyDescent="0.25">
      <c r="A217" s="411">
        <v>215</v>
      </c>
      <c r="B217" s="412" t="s">
        <v>3523</v>
      </c>
      <c r="C217" s="426" t="s">
        <v>622</v>
      </c>
      <c r="D217" s="426" t="s">
        <v>445</v>
      </c>
      <c r="E217" s="80">
        <v>1</v>
      </c>
      <c r="F217" s="355">
        <v>87205.153000000006</v>
      </c>
      <c r="G217" s="293"/>
      <c r="H217" s="293"/>
      <c r="I217" s="293"/>
      <c r="J217" s="52"/>
      <c r="K217" s="52"/>
      <c r="L217" s="359"/>
      <c r="M217" s="360"/>
      <c r="N217" s="361"/>
      <c r="O217" s="33"/>
      <c r="P217" s="252"/>
      <c r="Q217" s="113"/>
      <c r="R217" s="113"/>
      <c r="S217" s="113"/>
      <c r="T217" s="52"/>
      <c r="U217" s="5"/>
      <c r="V217" s="231"/>
      <c r="W217" s="231"/>
      <c r="X217" s="231"/>
      <c r="Y217" s="113"/>
      <c r="Z217" s="357"/>
      <c r="AA217" s="118" t="s">
        <v>2877</v>
      </c>
      <c r="AB217" s="118"/>
      <c r="AC217" s="118"/>
      <c r="AD217" s="52"/>
      <c r="AE217" s="5"/>
      <c r="AF217" s="358"/>
      <c r="AG217" s="358"/>
      <c r="AH217" s="358"/>
      <c r="AI217" s="358"/>
      <c r="AJ217" s="358"/>
      <c r="AK217" s="113"/>
      <c r="AL217" s="113"/>
      <c r="AM217" s="113"/>
      <c r="AN217" s="113"/>
      <c r="AO217" s="113"/>
      <c r="AP217" s="52"/>
      <c r="AQ217" s="52"/>
      <c r="AR217" s="52"/>
      <c r="AS217" s="52"/>
      <c r="AT217" s="52"/>
      <c r="AU217" s="125"/>
      <c r="AV217" s="125"/>
      <c r="AW217" s="125"/>
      <c r="AX217" s="5"/>
      <c r="AY217" s="5"/>
      <c r="AZ217" s="113"/>
      <c r="BA217" s="113"/>
      <c r="BB217" s="113"/>
      <c r="BC217" s="52"/>
      <c r="BD217" s="52"/>
      <c r="BE217" s="118"/>
      <c r="BF217" s="118"/>
      <c r="BG217" s="118"/>
      <c r="BH217" s="52"/>
      <c r="BI217" s="283"/>
      <c r="BJ217" s="52"/>
      <c r="BK217" s="52"/>
      <c r="BL217" s="52"/>
      <c r="BM217" s="52"/>
      <c r="BN217" s="52"/>
      <c r="BO217" s="52"/>
      <c r="BP217" s="52"/>
      <c r="BQ217" s="52"/>
      <c r="BR217" s="52"/>
      <c r="BS217" s="52"/>
      <c r="BT217" s="52"/>
      <c r="BU217" s="52"/>
      <c r="BV217" s="52"/>
      <c r="BW217" s="52"/>
      <c r="BX217" s="52"/>
      <c r="BY217" s="52"/>
      <c r="BZ217" s="52"/>
      <c r="CA217" s="52"/>
      <c r="CB217" s="52"/>
      <c r="CC217" s="52"/>
      <c r="CD217" s="118"/>
      <c r="CE217" s="52"/>
      <c r="CF217" s="52"/>
      <c r="CG217" s="52"/>
      <c r="CH217" s="52"/>
      <c r="CI217" s="52"/>
      <c r="CJ217" s="52"/>
      <c r="CK217" s="52"/>
      <c r="CL217" s="52"/>
      <c r="CM217" s="52"/>
      <c r="CN217" s="118"/>
      <c r="CO217" s="118"/>
      <c r="CP217" s="118"/>
      <c r="CQ217" s="52"/>
      <c r="CR217" s="52"/>
      <c r="CS217" s="52"/>
      <c r="CT217" s="52"/>
      <c r="CU217" s="52"/>
      <c r="CV217" s="52"/>
      <c r="CW217" s="52"/>
      <c r="CX217" s="52"/>
      <c r="CY217" s="52"/>
      <c r="CZ217" s="52"/>
      <c r="DA217" s="52"/>
      <c r="DB217" s="52"/>
    </row>
    <row r="218" spans="1:106" ht="40.5" x14ac:dyDescent="0.25">
      <c r="A218" s="411">
        <v>216</v>
      </c>
      <c r="B218" s="412" t="s">
        <v>3524</v>
      </c>
      <c r="C218" s="426" t="s">
        <v>3525</v>
      </c>
      <c r="D218" s="426" t="s">
        <v>2005</v>
      </c>
      <c r="E218" s="80">
        <v>1</v>
      </c>
      <c r="F218" s="356">
        <v>534927.27679999999</v>
      </c>
      <c r="G218" s="293"/>
      <c r="H218" s="293"/>
      <c r="I218" s="293"/>
      <c r="J218" s="52"/>
      <c r="K218" s="52"/>
      <c r="L218" s="359"/>
      <c r="M218" s="360"/>
      <c r="N218" s="361"/>
      <c r="O218" s="33"/>
      <c r="P218" s="252"/>
      <c r="Q218" s="113"/>
      <c r="R218" s="113"/>
      <c r="S218" s="113"/>
      <c r="T218" s="52"/>
      <c r="U218" s="5"/>
      <c r="V218" s="231"/>
      <c r="W218" s="231"/>
      <c r="X218" s="231"/>
      <c r="Y218" s="113"/>
      <c r="Z218" s="357"/>
      <c r="AA218" s="118" t="s">
        <v>2877</v>
      </c>
      <c r="AB218" s="118"/>
      <c r="AC218" s="118"/>
      <c r="AD218" s="52"/>
      <c r="AE218" s="5"/>
      <c r="AF218" s="358"/>
      <c r="AG218" s="358"/>
      <c r="AH218" s="358"/>
      <c r="AI218" s="358"/>
      <c r="AJ218" s="358"/>
      <c r="AK218" s="113"/>
      <c r="AL218" s="113"/>
      <c r="AM218" s="113"/>
      <c r="AN218" s="113"/>
      <c r="AO218" s="113"/>
      <c r="AP218" s="52"/>
      <c r="AQ218" s="52"/>
      <c r="AR218" s="52"/>
      <c r="AS218" s="52"/>
      <c r="AT218" s="52"/>
      <c r="AU218" s="125"/>
      <c r="AV218" s="125"/>
      <c r="AW218" s="125"/>
      <c r="AX218" s="5"/>
      <c r="AY218" s="5"/>
      <c r="AZ218" s="113"/>
      <c r="BA218" s="113"/>
      <c r="BB218" s="113"/>
      <c r="BC218" s="52"/>
      <c r="BD218" s="52"/>
      <c r="BE218" s="118"/>
      <c r="BF218" s="118"/>
      <c r="BG218" s="118"/>
      <c r="BH218" s="52"/>
      <c r="BI218" s="283"/>
      <c r="BJ218" s="52"/>
      <c r="BK218" s="52"/>
      <c r="BL218" s="52"/>
      <c r="BM218" s="52"/>
      <c r="BN218" s="52"/>
      <c r="BO218" s="293">
        <v>45000</v>
      </c>
      <c r="BP218" s="52">
        <f>+BO218*0.19</f>
        <v>8550</v>
      </c>
      <c r="BQ218" s="293">
        <f>+BO218+BP218</f>
        <v>53550</v>
      </c>
      <c r="BR218" s="5" t="s">
        <v>3526</v>
      </c>
      <c r="BS218" s="52" t="s">
        <v>3527</v>
      </c>
      <c r="BT218" s="52"/>
      <c r="BU218" s="52"/>
      <c r="BV218" s="52"/>
      <c r="BW218" s="52"/>
      <c r="BX218" s="52"/>
      <c r="BY218" s="52"/>
      <c r="BZ218" s="52"/>
      <c r="CA218" s="52"/>
      <c r="CB218" s="52"/>
      <c r="CC218" s="52"/>
      <c r="CD218" s="118"/>
      <c r="CE218" s="52"/>
      <c r="CF218" s="52"/>
      <c r="CG218" s="52"/>
      <c r="CH218" s="52"/>
      <c r="CI218" s="52"/>
      <c r="CJ218" s="52"/>
      <c r="CK218" s="52"/>
      <c r="CL218" s="52"/>
      <c r="CM218" s="52"/>
      <c r="CN218" s="118"/>
      <c r="CO218" s="118"/>
      <c r="CP218" s="118"/>
      <c r="CQ218" s="52"/>
      <c r="CR218" s="52"/>
      <c r="CS218" s="52"/>
      <c r="CT218" s="52"/>
      <c r="CU218" s="52"/>
      <c r="CV218" s="52"/>
      <c r="CW218" s="52"/>
      <c r="CX218" s="52"/>
      <c r="CY218" s="52"/>
      <c r="CZ218" s="52"/>
      <c r="DA218" s="52"/>
      <c r="DB218" s="52"/>
    </row>
    <row r="219" spans="1:106" ht="13.5" x14ac:dyDescent="0.25">
      <c r="A219" s="411">
        <v>217</v>
      </c>
      <c r="B219" s="412" t="s">
        <v>3528</v>
      </c>
      <c r="C219" s="561" t="s">
        <v>622</v>
      </c>
      <c r="D219" s="426" t="s">
        <v>3529</v>
      </c>
      <c r="E219" s="80">
        <v>1</v>
      </c>
      <c r="F219" s="355">
        <v>50750.41</v>
      </c>
      <c r="G219" s="293"/>
      <c r="H219" s="293"/>
      <c r="I219" s="293"/>
      <c r="J219" s="52"/>
      <c r="K219" s="52"/>
      <c r="L219" s="359"/>
      <c r="M219" s="360"/>
      <c r="N219" s="361"/>
      <c r="O219" s="33"/>
      <c r="P219" s="252"/>
      <c r="Q219" s="113"/>
      <c r="R219" s="113"/>
      <c r="S219" s="113"/>
      <c r="T219" s="52"/>
      <c r="U219" s="5"/>
      <c r="V219" s="231"/>
      <c r="W219" s="231"/>
      <c r="X219" s="231"/>
      <c r="Y219" s="113"/>
      <c r="Z219" s="357"/>
      <c r="AA219" s="118" t="s">
        <v>2877</v>
      </c>
      <c r="AB219" s="118"/>
      <c r="AC219" s="118"/>
      <c r="AD219" s="52"/>
      <c r="AE219" s="5"/>
      <c r="AF219" s="358"/>
      <c r="AG219" s="358"/>
      <c r="AH219" s="358"/>
      <c r="AI219" s="358"/>
      <c r="AJ219" s="358"/>
      <c r="AK219" s="113"/>
      <c r="AL219" s="113"/>
      <c r="AM219" s="113"/>
      <c r="AN219" s="113"/>
      <c r="AO219" s="113"/>
      <c r="AP219" s="52"/>
      <c r="AQ219" s="52"/>
      <c r="AR219" s="52"/>
      <c r="AS219" s="52"/>
      <c r="AT219" s="52"/>
      <c r="AU219" s="125"/>
      <c r="AV219" s="125"/>
      <c r="AW219" s="125"/>
      <c r="AX219" s="5"/>
      <c r="AY219" s="5"/>
      <c r="AZ219" s="113"/>
      <c r="BA219" s="113"/>
      <c r="BB219" s="113"/>
      <c r="BC219" s="52"/>
      <c r="BD219" s="52"/>
      <c r="BE219" s="118"/>
      <c r="BF219" s="118"/>
      <c r="BG219" s="118"/>
      <c r="BH219" s="52"/>
      <c r="BI219" s="283"/>
      <c r="BJ219" s="52"/>
      <c r="BK219" s="52"/>
      <c r="BL219" s="52"/>
      <c r="BM219" s="52"/>
      <c r="BN219" s="52"/>
      <c r="BO219" s="52"/>
      <c r="BP219" s="52"/>
      <c r="BQ219" s="52"/>
      <c r="BR219" s="52"/>
      <c r="BS219" s="52"/>
      <c r="BT219" s="52"/>
      <c r="BU219" s="52"/>
      <c r="BV219" s="52"/>
      <c r="BW219" s="52"/>
      <c r="BX219" s="52"/>
      <c r="BY219" s="52"/>
      <c r="BZ219" s="52"/>
      <c r="CA219" s="52"/>
      <c r="CB219" s="52"/>
      <c r="CC219" s="52"/>
      <c r="CD219" s="118"/>
      <c r="CE219" s="52"/>
      <c r="CF219" s="52"/>
      <c r="CG219" s="52"/>
      <c r="CH219" s="52"/>
      <c r="CI219" s="52"/>
      <c r="CJ219" s="52"/>
      <c r="CK219" s="52"/>
      <c r="CL219" s="52"/>
      <c r="CM219" s="52"/>
      <c r="CN219" s="118"/>
      <c r="CO219" s="118"/>
      <c r="CP219" s="118"/>
      <c r="CQ219" s="52"/>
      <c r="CR219" s="52"/>
      <c r="CS219" s="52"/>
      <c r="CT219" s="52"/>
      <c r="CU219" s="52"/>
      <c r="CV219" s="52"/>
      <c r="CW219" s="52"/>
      <c r="CX219" s="52"/>
      <c r="CY219" s="52"/>
      <c r="CZ219" s="52"/>
      <c r="DA219" s="52"/>
      <c r="DB219" s="52"/>
    </row>
    <row r="220" spans="1:106" ht="13.5" x14ac:dyDescent="0.25">
      <c r="A220" s="411">
        <v>218</v>
      </c>
      <c r="B220" s="412" t="s">
        <v>3530</v>
      </c>
      <c r="C220" s="561" t="s">
        <v>622</v>
      </c>
      <c r="D220" s="426" t="s">
        <v>445</v>
      </c>
      <c r="E220" s="80">
        <v>1</v>
      </c>
      <c r="F220" s="356">
        <v>650560.05280000006</v>
      </c>
      <c r="G220" s="293"/>
      <c r="H220" s="293"/>
      <c r="I220" s="293"/>
      <c r="J220" s="52"/>
      <c r="K220" s="52"/>
      <c r="L220" s="359"/>
      <c r="M220" s="360"/>
      <c r="N220" s="361"/>
      <c r="O220" s="33"/>
      <c r="P220" s="252"/>
      <c r="Q220" s="113"/>
      <c r="R220" s="113"/>
      <c r="S220" s="113"/>
      <c r="T220" s="52"/>
      <c r="U220" s="5"/>
      <c r="V220" s="231"/>
      <c r="W220" s="231"/>
      <c r="X220" s="231"/>
      <c r="Y220" s="113"/>
      <c r="Z220" s="357"/>
      <c r="AA220" s="118" t="s">
        <v>2877</v>
      </c>
      <c r="AB220" s="118"/>
      <c r="AC220" s="118"/>
      <c r="AD220" s="52"/>
      <c r="AE220" s="5"/>
      <c r="AF220" s="358"/>
      <c r="AG220" s="358"/>
      <c r="AH220" s="358"/>
      <c r="AI220" s="358"/>
      <c r="AJ220" s="358"/>
      <c r="AK220" s="113"/>
      <c r="AL220" s="113"/>
      <c r="AM220" s="113"/>
      <c r="AN220" s="113"/>
      <c r="AO220" s="113"/>
      <c r="AP220" s="52"/>
      <c r="AQ220" s="52"/>
      <c r="AR220" s="52"/>
      <c r="AS220" s="52"/>
      <c r="AT220" s="52"/>
      <c r="AU220" s="125"/>
      <c r="AV220" s="125"/>
      <c r="AW220" s="125"/>
      <c r="AX220" s="5"/>
      <c r="AY220" s="5"/>
      <c r="AZ220" s="113">
        <v>88000</v>
      </c>
      <c r="BA220" s="113">
        <v>16720</v>
      </c>
      <c r="BB220" s="113">
        <v>104720</v>
      </c>
      <c r="BC220" s="52" t="s">
        <v>3531</v>
      </c>
      <c r="BD220" s="52">
        <v>377705</v>
      </c>
      <c r="BE220" s="118"/>
      <c r="BF220" s="118"/>
      <c r="BG220" s="118"/>
      <c r="BH220" s="52"/>
      <c r="BI220" s="283"/>
      <c r="BJ220" s="52"/>
      <c r="BK220" s="52"/>
      <c r="BL220" s="52"/>
      <c r="BM220" s="52"/>
      <c r="BN220" s="52"/>
      <c r="BO220" s="52"/>
      <c r="BP220" s="52"/>
      <c r="BQ220" s="52"/>
      <c r="BR220" s="52"/>
      <c r="BS220" s="52"/>
      <c r="BT220" s="52"/>
      <c r="BU220" s="52"/>
      <c r="BV220" s="52"/>
      <c r="BW220" s="52"/>
      <c r="BX220" s="52"/>
      <c r="BY220" s="52"/>
      <c r="BZ220" s="52"/>
      <c r="CA220" s="52"/>
      <c r="CB220" s="52"/>
      <c r="CC220" s="52"/>
      <c r="CD220" s="118"/>
      <c r="CE220" s="52"/>
      <c r="CF220" s="52"/>
      <c r="CG220" s="52"/>
      <c r="CH220" s="52"/>
      <c r="CI220" s="52"/>
      <c r="CJ220" s="52"/>
      <c r="CK220" s="52"/>
      <c r="CL220" s="52"/>
      <c r="CM220" s="52"/>
      <c r="CN220" s="118"/>
      <c r="CO220" s="118"/>
      <c r="CP220" s="118"/>
      <c r="CQ220" s="52"/>
      <c r="CR220" s="52"/>
      <c r="CS220" s="52"/>
      <c r="CT220" s="52"/>
      <c r="CU220" s="52"/>
      <c r="CV220" s="52"/>
      <c r="CW220" s="52"/>
      <c r="CX220" s="52"/>
      <c r="CY220" s="52"/>
      <c r="CZ220" s="52"/>
      <c r="DA220" s="52"/>
      <c r="DB220" s="52"/>
    </row>
    <row r="221" spans="1:106" ht="27" x14ac:dyDescent="0.25">
      <c r="A221" s="411">
        <v>219</v>
      </c>
      <c r="B221" s="412" t="s">
        <v>3532</v>
      </c>
      <c r="C221" s="567" t="s">
        <v>3533</v>
      </c>
      <c r="D221" s="567" t="s">
        <v>3534</v>
      </c>
      <c r="E221" s="80">
        <v>1</v>
      </c>
      <c r="F221" s="355">
        <v>420453.15220000001</v>
      </c>
      <c r="G221" s="293"/>
      <c r="H221" s="293"/>
      <c r="I221" s="293"/>
      <c r="J221" s="52"/>
      <c r="K221" s="52"/>
      <c r="L221" s="359"/>
      <c r="M221" s="360"/>
      <c r="N221" s="361"/>
      <c r="O221" s="33"/>
      <c r="P221" s="252"/>
      <c r="Q221" s="113"/>
      <c r="R221" s="113"/>
      <c r="S221" s="113"/>
      <c r="T221" s="52"/>
      <c r="U221" s="5"/>
      <c r="V221" s="231"/>
      <c r="W221" s="231"/>
      <c r="X221" s="231"/>
      <c r="Y221" s="113"/>
      <c r="Z221" s="357"/>
      <c r="AA221" s="118" t="s">
        <v>2877</v>
      </c>
      <c r="AB221" s="118"/>
      <c r="AC221" s="118"/>
      <c r="AD221" s="52"/>
      <c r="AE221" s="5"/>
      <c r="AF221" s="358"/>
      <c r="AG221" s="358"/>
      <c r="AH221" s="358"/>
      <c r="AI221" s="358"/>
      <c r="AJ221" s="358"/>
      <c r="AK221" s="113"/>
      <c r="AL221" s="113"/>
      <c r="AM221" s="113"/>
      <c r="AN221" s="113"/>
      <c r="AO221" s="113"/>
      <c r="AP221" s="52"/>
      <c r="AQ221" s="52"/>
      <c r="AR221" s="52"/>
      <c r="AS221" s="52"/>
      <c r="AT221" s="52"/>
      <c r="AU221" s="125"/>
      <c r="AV221" s="125"/>
      <c r="AW221" s="125"/>
      <c r="AX221" s="5"/>
      <c r="AY221" s="5"/>
      <c r="AZ221" s="113">
        <v>939000</v>
      </c>
      <c r="BA221" s="113">
        <v>178410</v>
      </c>
      <c r="BB221" s="113">
        <v>1117410</v>
      </c>
      <c r="BC221" s="52" t="s">
        <v>3535</v>
      </c>
      <c r="BD221" s="52" t="s">
        <v>3536</v>
      </c>
      <c r="BE221" s="118"/>
      <c r="BF221" s="118"/>
      <c r="BG221" s="118"/>
      <c r="BH221" s="52"/>
      <c r="BI221" s="283"/>
      <c r="BJ221" s="52"/>
      <c r="BK221" s="52"/>
      <c r="BL221" s="52"/>
      <c r="BM221" s="52"/>
      <c r="BN221" s="52"/>
      <c r="BO221" s="52"/>
      <c r="BP221" s="52"/>
      <c r="BQ221" s="52"/>
      <c r="BR221" s="52"/>
      <c r="BS221" s="52"/>
      <c r="BT221" s="52"/>
      <c r="BU221" s="52"/>
      <c r="BV221" s="52"/>
      <c r="BW221" s="52"/>
      <c r="BX221" s="52"/>
      <c r="BY221" s="52"/>
      <c r="BZ221" s="52"/>
      <c r="CA221" s="52"/>
      <c r="CB221" s="52"/>
      <c r="CC221" s="52"/>
      <c r="CD221" s="118"/>
      <c r="CE221" s="52"/>
      <c r="CF221" s="52"/>
      <c r="CG221" s="52"/>
      <c r="CH221" s="52"/>
      <c r="CI221" s="52"/>
      <c r="CJ221" s="52"/>
      <c r="CK221" s="52"/>
      <c r="CL221" s="52"/>
      <c r="CM221" s="52"/>
      <c r="CN221" s="118"/>
      <c r="CO221" s="118"/>
      <c r="CP221" s="118"/>
      <c r="CQ221" s="52"/>
      <c r="CR221" s="52"/>
      <c r="CS221" s="52"/>
      <c r="CT221" s="52"/>
      <c r="CU221" s="52"/>
      <c r="CV221" s="52"/>
      <c r="CW221" s="52"/>
      <c r="CX221" s="52"/>
      <c r="CY221" s="52"/>
      <c r="CZ221" s="52"/>
      <c r="DA221" s="52"/>
      <c r="DB221" s="52"/>
    </row>
    <row r="222" spans="1:106" ht="27" x14ac:dyDescent="0.25">
      <c r="A222" s="411">
        <v>220</v>
      </c>
      <c r="B222" s="412" t="s">
        <v>3537</v>
      </c>
      <c r="C222" s="561" t="s">
        <v>3538</v>
      </c>
      <c r="D222" s="562" t="s">
        <v>3539</v>
      </c>
      <c r="E222" s="80">
        <v>1</v>
      </c>
      <c r="F222" s="356">
        <v>486411.78600000002</v>
      </c>
      <c r="G222" s="293"/>
      <c r="H222" s="293"/>
      <c r="I222" s="293"/>
      <c r="J222" s="52"/>
      <c r="K222" s="52"/>
      <c r="L222" s="359"/>
      <c r="M222" s="360"/>
      <c r="N222" s="361"/>
      <c r="O222" s="33"/>
      <c r="P222" s="252"/>
      <c r="Q222" s="113"/>
      <c r="R222" s="113"/>
      <c r="S222" s="113"/>
      <c r="T222" s="52"/>
      <c r="U222" s="5"/>
      <c r="V222" s="231"/>
      <c r="W222" s="231"/>
      <c r="X222" s="231"/>
      <c r="Y222" s="113"/>
      <c r="Z222" s="357"/>
      <c r="AA222" s="118" t="s">
        <v>2877</v>
      </c>
      <c r="AB222" s="118"/>
      <c r="AC222" s="118"/>
      <c r="AD222" s="52"/>
      <c r="AE222" s="5"/>
      <c r="AF222" s="358"/>
      <c r="AG222" s="358"/>
      <c r="AH222" s="358"/>
      <c r="AI222" s="358"/>
      <c r="AJ222" s="358"/>
      <c r="AK222" s="113"/>
      <c r="AL222" s="113"/>
      <c r="AM222" s="113"/>
      <c r="AN222" s="113"/>
      <c r="AO222" s="113"/>
      <c r="AP222" s="52"/>
      <c r="AQ222" s="52"/>
      <c r="AR222" s="52"/>
      <c r="AS222" s="52"/>
      <c r="AT222" s="52"/>
      <c r="AU222" s="125"/>
      <c r="AV222" s="125"/>
      <c r="AW222" s="125"/>
      <c r="AX222" s="5"/>
      <c r="AY222" s="5"/>
      <c r="AZ222" s="113">
        <v>626000</v>
      </c>
      <c r="BA222" s="113">
        <v>118940</v>
      </c>
      <c r="BB222" s="113">
        <v>744940</v>
      </c>
      <c r="BC222" s="52" t="s">
        <v>3535</v>
      </c>
      <c r="BD222" s="52" t="s">
        <v>3540</v>
      </c>
      <c r="BE222" s="118"/>
      <c r="BF222" s="118"/>
      <c r="BG222" s="118"/>
      <c r="BH222" s="52"/>
      <c r="BI222" s="283"/>
      <c r="BJ222" s="52"/>
      <c r="BK222" s="52"/>
      <c r="BL222" s="52"/>
      <c r="BM222" s="52"/>
      <c r="BN222" s="52"/>
      <c r="BO222" s="52"/>
      <c r="BP222" s="52"/>
      <c r="BQ222" s="52"/>
      <c r="BR222" s="52"/>
      <c r="BS222" s="52"/>
      <c r="BT222" s="52"/>
      <c r="BU222" s="52"/>
      <c r="BV222" s="52"/>
      <c r="BW222" s="52"/>
      <c r="BX222" s="52"/>
      <c r="BY222" s="52"/>
      <c r="BZ222" s="52"/>
      <c r="CA222" s="52"/>
      <c r="CB222" s="52"/>
      <c r="CC222" s="52"/>
      <c r="CD222" s="118"/>
      <c r="CE222" s="52"/>
      <c r="CF222" s="52"/>
      <c r="CG222" s="52"/>
      <c r="CH222" s="52"/>
      <c r="CI222" s="52"/>
      <c r="CJ222" s="52"/>
      <c r="CK222" s="52"/>
      <c r="CL222" s="52"/>
      <c r="CM222" s="52"/>
      <c r="CN222" s="118"/>
      <c r="CO222" s="118"/>
      <c r="CP222" s="118"/>
      <c r="CQ222" s="52"/>
      <c r="CR222" s="52"/>
      <c r="CS222" s="52"/>
      <c r="CT222" s="52"/>
      <c r="CU222" s="52"/>
      <c r="CV222" s="52"/>
      <c r="CW222" s="52"/>
      <c r="CX222" s="52"/>
      <c r="CY222" s="52"/>
      <c r="CZ222" s="52"/>
      <c r="DA222" s="52"/>
      <c r="DB222" s="52"/>
    </row>
    <row r="223" spans="1:106" ht="27" x14ac:dyDescent="0.25">
      <c r="A223" s="411">
        <v>221</v>
      </c>
      <c r="B223" s="412" t="s">
        <v>3541</v>
      </c>
      <c r="C223" s="413" t="s">
        <v>3542</v>
      </c>
      <c r="D223" s="426" t="s">
        <v>3543</v>
      </c>
      <c r="E223" s="80">
        <v>1</v>
      </c>
      <c r="F223" s="355">
        <v>357333.58400000003</v>
      </c>
      <c r="G223" s="293"/>
      <c r="H223" s="293"/>
      <c r="I223" s="293"/>
      <c r="J223" s="52"/>
      <c r="K223" s="52"/>
      <c r="L223" s="359"/>
      <c r="M223" s="360"/>
      <c r="N223" s="361"/>
      <c r="O223" s="33"/>
      <c r="P223" s="252"/>
      <c r="Q223" s="113"/>
      <c r="R223" s="113"/>
      <c r="S223" s="113"/>
      <c r="T223" s="52"/>
      <c r="U223" s="5"/>
      <c r="V223" s="231"/>
      <c r="W223" s="231"/>
      <c r="X223" s="231"/>
      <c r="Y223" s="113"/>
      <c r="Z223" s="357"/>
      <c r="AA223" s="118" t="s">
        <v>2877</v>
      </c>
      <c r="AB223" s="118"/>
      <c r="AC223" s="118"/>
      <c r="AD223" s="52"/>
      <c r="AE223" s="5"/>
      <c r="AF223" s="358"/>
      <c r="AG223" s="358"/>
      <c r="AH223" s="358"/>
      <c r="AI223" s="358"/>
      <c r="AJ223" s="358"/>
      <c r="AK223" s="113"/>
      <c r="AL223" s="113"/>
      <c r="AM223" s="113"/>
      <c r="AN223" s="113"/>
      <c r="AO223" s="113"/>
      <c r="AP223" s="52"/>
      <c r="AQ223" s="52"/>
      <c r="AR223" s="52"/>
      <c r="AS223" s="52"/>
      <c r="AT223" s="52"/>
      <c r="AU223" s="125"/>
      <c r="AV223" s="125"/>
      <c r="AW223" s="125"/>
      <c r="AX223" s="5"/>
      <c r="AY223" s="5"/>
      <c r="AZ223" s="113"/>
      <c r="BA223" s="113"/>
      <c r="BB223" s="113"/>
      <c r="BC223" s="52"/>
      <c r="BD223" s="52"/>
      <c r="BE223" s="118"/>
      <c r="BF223" s="118"/>
      <c r="BG223" s="118"/>
      <c r="BH223" s="52"/>
      <c r="BI223" s="283"/>
      <c r="BJ223" s="52"/>
      <c r="BK223" s="52"/>
      <c r="BL223" s="52"/>
      <c r="BM223" s="52"/>
      <c r="BN223" s="52"/>
      <c r="BO223" s="52"/>
      <c r="BP223" s="52"/>
      <c r="BQ223" s="52"/>
      <c r="BR223" s="52"/>
      <c r="BS223" s="52"/>
      <c r="BT223" s="52"/>
      <c r="BU223" s="52"/>
      <c r="BV223" s="52"/>
      <c r="BW223" s="52"/>
      <c r="BX223" s="52"/>
      <c r="BY223" s="52"/>
      <c r="BZ223" s="52"/>
      <c r="CA223" s="52"/>
      <c r="CB223" s="52"/>
      <c r="CC223" s="52"/>
      <c r="CD223" s="118"/>
      <c r="CE223" s="52"/>
      <c r="CF223" s="52"/>
      <c r="CG223" s="52"/>
      <c r="CH223" s="52"/>
      <c r="CI223" s="52"/>
      <c r="CJ223" s="52"/>
      <c r="CK223" s="52"/>
      <c r="CL223" s="52"/>
      <c r="CM223" s="52"/>
      <c r="CN223" s="118"/>
      <c r="CO223" s="118"/>
      <c r="CP223" s="118"/>
      <c r="CQ223" s="52"/>
      <c r="CR223" s="52"/>
      <c r="CS223" s="52"/>
      <c r="CT223" s="52"/>
      <c r="CU223" s="52"/>
      <c r="CV223" s="52"/>
      <c r="CW223" s="52"/>
      <c r="CX223" s="52"/>
      <c r="CY223" s="52"/>
      <c r="CZ223" s="52"/>
      <c r="DA223" s="52"/>
      <c r="DB223" s="52"/>
    </row>
    <row r="224" spans="1:106" ht="27" x14ac:dyDescent="0.25">
      <c r="A224" s="411">
        <v>222</v>
      </c>
      <c r="B224" s="412" t="s">
        <v>3544</v>
      </c>
      <c r="C224" s="413" t="s">
        <v>3542</v>
      </c>
      <c r="D224" s="426" t="s">
        <v>3543</v>
      </c>
      <c r="E224" s="80">
        <v>1</v>
      </c>
      <c r="F224" s="355">
        <v>216937.1428</v>
      </c>
      <c r="G224" s="293"/>
      <c r="H224" s="293"/>
      <c r="I224" s="293"/>
      <c r="J224" s="52"/>
      <c r="K224" s="52"/>
      <c r="L224" s="359"/>
      <c r="M224" s="360"/>
      <c r="N224" s="361"/>
      <c r="O224" s="33"/>
      <c r="P224" s="252"/>
      <c r="Q224" s="113"/>
      <c r="R224" s="113"/>
      <c r="S224" s="113"/>
      <c r="T224" s="52"/>
      <c r="U224" s="5"/>
      <c r="V224" s="231"/>
      <c r="W224" s="231"/>
      <c r="X224" s="231"/>
      <c r="Y224" s="113"/>
      <c r="Z224" s="357"/>
      <c r="AA224" s="118" t="s">
        <v>2877</v>
      </c>
      <c r="AB224" s="118"/>
      <c r="AC224" s="118"/>
      <c r="AD224" s="52"/>
      <c r="AE224" s="5"/>
      <c r="AF224" s="358"/>
      <c r="AG224" s="358"/>
      <c r="AH224" s="358"/>
      <c r="AI224" s="358"/>
      <c r="AJ224" s="358"/>
      <c r="AK224" s="113"/>
      <c r="AL224" s="113"/>
      <c r="AM224" s="113"/>
      <c r="AN224" s="113"/>
      <c r="AO224" s="113"/>
      <c r="AP224" s="52"/>
      <c r="AQ224" s="52"/>
      <c r="AR224" s="52"/>
      <c r="AS224" s="52"/>
      <c r="AT224" s="52"/>
      <c r="AU224" s="125"/>
      <c r="AV224" s="125"/>
      <c r="AW224" s="125"/>
      <c r="AX224" s="5"/>
      <c r="AY224" s="5"/>
      <c r="AZ224" s="113"/>
      <c r="BA224" s="113"/>
      <c r="BB224" s="113"/>
      <c r="BC224" s="52"/>
      <c r="BD224" s="52"/>
      <c r="BE224" s="118"/>
      <c r="BF224" s="118"/>
      <c r="BG224" s="118"/>
      <c r="BH224" s="52"/>
      <c r="BI224" s="283"/>
      <c r="BJ224" s="52"/>
      <c r="BK224" s="52"/>
      <c r="BL224" s="52"/>
      <c r="BM224" s="52"/>
      <c r="BN224" s="52"/>
      <c r="BO224" s="52"/>
      <c r="BP224" s="52"/>
      <c r="BQ224" s="52"/>
      <c r="BR224" s="52"/>
      <c r="BS224" s="52"/>
      <c r="BT224" s="52"/>
      <c r="BU224" s="52"/>
      <c r="BV224" s="52"/>
      <c r="BW224" s="52"/>
      <c r="BX224" s="52"/>
      <c r="BY224" s="52"/>
      <c r="BZ224" s="52"/>
      <c r="CA224" s="52"/>
      <c r="CB224" s="52"/>
      <c r="CC224" s="52"/>
      <c r="CD224" s="118"/>
      <c r="CE224" s="52"/>
      <c r="CF224" s="52"/>
      <c r="CG224" s="52"/>
      <c r="CH224" s="52"/>
      <c r="CI224" s="52"/>
      <c r="CJ224" s="52"/>
      <c r="CK224" s="52"/>
      <c r="CL224" s="52"/>
      <c r="CM224" s="52"/>
      <c r="CN224" s="118"/>
      <c r="CO224" s="118"/>
      <c r="CP224" s="118"/>
      <c r="CQ224" s="52"/>
      <c r="CR224" s="52"/>
      <c r="CS224" s="52"/>
      <c r="CT224" s="52"/>
      <c r="CU224" s="52"/>
      <c r="CV224" s="52"/>
      <c r="CW224" s="52"/>
      <c r="CX224" s="52"/>
      <c r="CY224" s="52"/>
      <c r="CZ224" s="52"/>
      <c r="DA224" s="52"/>
      <c r="DB224" s="52"/>
    </row>
    <row r="225" spans="1:106" ht="51" x14ac:dyDescent="0.25">
      <c r="A225" s="411">
        <v>223</v>
      </c>
      <c r="B225" s="412" t="s">
        <v>3545</v>
      </c>
      <c r="C225" s="426" t="s">
        <v>3546</v>
      </c>
      <c r="D225" s="426" t="s">
        <v>2005</v>
      </c>
      <c r="E225" s="80">
        <v>1</v>
      </c>
      <c r="F225" s="356">
        <v>1417758.3840000001</v>
      </c>
      <c r="G225" s="293"/>
      <c r="H225" s="293"/>
      <c r="I225" s="293"/>
      <c r="J225" s="52"/>
      <c r="K225" s="52"/>
      <c r="L225" s="359"/>
      <c r="M225" s="360"/>
      <c r="N225" s="361"/>
      <c r="O225" s="33"/>
      <c r="P225" s="252"/>
      <c r="Q225" s="113">
        <v>639000</v>
      </c>
      <c r="R225" s="113">
        <v>121410</v>
      </c>
      <c r="S225" s="113">
        <v>760410</v>
      </c>
      <c r="T225" s="52" t="s">
        <v>3547</v>
      </c>
      <c r="U225" s="5" t="s">
        <v>3548</v>
      </c>
      <c r="V225" s="231"/>
      <c r="W225" s="231"/>
      <c r="X225" s="231"/>
      <c r="Y225" s="113"/>
      <c r="Z225" s="357"/>
      <c r="AA225" s="118" t="s">
        <v>2877</v>
      </c>
      <c r="AB225" s="118"/>
      <c r="AC225" s="118"/>
      <c r="AD225" s="52"/>
      <c r="AE225" s="5"/>
      <c r="AF225" s="358"/>
      <c r="AG225" s="358"/>
      <c r="AH225" s="358"/>
      <c r="AI225" s="358"/>
      <c r="AJ225" s="358"/>
      <c r="AK225" s="113"/>
      <c r="AL225" s="113"/>
      <c r="AM225" s="113"/>
      <c r="AN225" s="113"/>
      <c r="AO225" s="113"/>
      <c r="AP225" s="52"/>
      <c r="AQ225" s="52"/>
      <c r="AR225" s="52"/>
      <c r="AS225" s="52"/>
      <c r="AT225" s="52"/>
      <c r="AU225" s="125"/>
      <c r="AV225" s="125"/>
      <c r="AW225" s="125"/>
      <c r="AX225" s="5"/>
      <c r="AY225" s="5"/>
      <c r="AZ225" s="113">
        <v>1100000</v>
      </c>
      <c r="BA225" s="113">
        <v>209000</v>
      </c>
      <c r="BB225" s="113">
        <v>1309000</v>
      </c>
      <c r="BC225" s="52" t="s">
        <v>88</v>
      </c>
      <c r="BD225" s="52" t="s">
        <v>3549</v>
      </c>
      <c r="BE225" s="118"/>
      <c r="BF225" s="118"/>
      <c r="BG225" s="118"/>
      <c r="BH225" s="52"/>
      <c r="BI225" s="283"/>
      <c r="BJ225" s="52"/>
      <c r="BK225" s="52"/>
      <c r="BL225" s="52"/>
      <c r="BM225" s="52"/>
      <c r="BN225" s="52"/>
      <c r="BO225" s="52"/>
      <c r="BP225" s="52"/>
      <c r="BQ225" s="52"/>
      <c r="BR225" s="52"/>
      <c r="BS225" s="52"/>
      <c r="BT225" s="52"/>
      <c r="BU225" s="52"/>
      <c r="BV225" s="52"/>
      <c r="BW225" s="52"/>
      <c r="BX225" s="52"/>
      <c r="BY225" s="52"/>
      <c r="BZ225" s="52"/>
      <c r="CA225" s="52"/>
      <c r="CB225" s="52"/>
      <c r="CC225" s="52"/>
      <c r="CD225" s="118"/>
      <c r="CE225" s="52"/>
      <c r="CF225" s="52"/>
      <c r="CG225" s="52"/>
      <c r="CH225" s="52"/>
      <c r="CI225" s="52"/>
      <c r="CJ225" s="52"/>
      <c r="CK225" s="52"/>
      <c r="CL225" s="52"/>
      <c r="CM225" s="52"/>
      <c r="CN225" s="118"/>
      <c r="CO225" s="118"/>
      <c r="CP225" s="118"/>
      <c r="CQ225" s="52"/>
      <c r="CR225" s="52"/>
      <c r="CS225" s="52"/>
      <c r="CT225" s="52"/>
      <c r="CU225" s="52"/>
      <c r="CV225" s="52"/>
      <c r="CW225" s="52"/>
      <c r="CX225" s="52"/>
      <c r="CY225" s="52"/>
      <c r="CZ225" s="52"/>
      <c r="DA225" s="52"/>
      <c r="DB225" s="52"/>
    </row>
    <row r="226" spans="1:106" ht="51" x14ac:dyDescent="0.25">
      <c r="A226" s="411">
        <v>224</v>
      </c>
      <c r="B226" s="412" t="s">
        <v>3550</v>
      </c>
      <c r="C226" s="426" t="s">
        <v>622</v>
      </c>
      <c r="D226" s="426" t="s">
        <v>3077</v>
      </c>
      <c r="E226" s="80">
        <v>1</v>
      </c>
      <c r="F226" s="356">
        <v>622420.77240000002</v>
      </c>
      <c r="G226" s="293"/>
      <c r="H226" s="293"/>
      <c r="I226" s="293"/>
      <c r="J226" s="52"/>
      <c r="K226" s="52"/>
      <c r="L226" s="359">
        <v>685229</v>
      </c>
      <c r="M226" s="360">
        <v>130193.51</v>
      </c>
      <c r="N226" s="361">
        <v>815422.51</v>
      </c>
      <c r="O226" s="33" t="s">
        <v>3278</v>
      </c>
      <c r="P226" s="252" t="s">
        <v>3551</v>
      </c>
      <c r="Q226" s="113">
        <v>639000</v>
      </c>
      <c r="R226" s="113">
        <v>121410</v>
      </c>
      <c r="S226" s="113">
        <v>760410</v>
      </c>
      <c r="T226" s="52" t="s">
        <v>3547</v>
      </c>
      <c r="U226" s="5" t="s">
        <v>3552</v>
      </c>
      <c r="V226" s="231"/>
      <c r="W226" s="231"/>
      <c r="X226" s="231"/>
      <c r="Y226" s="113"/>
      <c r="Z226" s="357"/>
      <c r="AA226" s="118">
        <v>3425000</v>
      </c>
      <c r="AB226" s="118">
        <f>AA226*0.19</f>
        <v>650750</v>
      </c>
      <c r="AC226" s="118">
        <f>AA226+AB226</f>
        <v>4075750</v>
      </c>
      <c r="AD226" s="361" t="s">
        <v>126</v>
      </c>
      <c r="AE226" s="362" t="s">
        <v>3553</v>
      </c>
      <c r="AF226" s="358"/>
      <c r="AG226" s="358"/>
      <c r="AH226" s="358"/>
      <c r="AI226" s="358"/>
      <c r="AJ226" s="358"/>
      <c r="AK226" s="113"/>
      <c r="AL226" s="113"/>
      <c r="AM226" s="113"/>
      <c r="AN226" s="113"/>
      <c r="AO226" s="113"/>
      <c r="AP226" s="52"/>
      <c r="AQ226" s="52"/>
      <c r="AR226" s="52"/>
      <c r="AS226" s="52"/>
      <c r="AT226" s="52"/>
      <c r="AU226" s="125"/>
      <c r="AV226" s="125"/>
      <c r="AW226" s="125"/>
      <c r="AX226" s="5"/>
      <c r="AY226" s="5"/>
      <c r="AZ226" s="113">
        <v>1517000</v>
      </c>
      <c r="BA226" s="113">
        <v>288230</v>
      </c>
      <c r="BB226" s="113">
        <v>1805230</v>
      </c>
      <c r="BC226" s="52" t="s">
        <v>3336</v>
      </c>
      <c r="BD226" s="52">
        <v>10463412</v>
      </c>
      <c r="BE226" s="118"/>
      <c r="BF226" s="118"/>
      <c r="BG226" s="118"/>
      <c r="BH226" s="52"/>
      <c r="BI226" s="283"/>
      <c r="BJ226" s="52"/>
      <c r="BK226" s="52"/>
      <c r="BL226" s="52"/>
      <c r="BM226" s="52"/>
      <c r="BN226" s="52"/>
      <c r="BO226" s="52"/>
      <c r="BP226" s="52"/>
      <c r="BQ226" s="52"/>
      <c r="BR226" s="52"/>
      <c r="BS226" s="52"/>
      <c r="BT226" s="52"/>
      <c r="BU226" s="52"/>
      <c r="BV226" s="52"/>
      <c r="BW226" s="52"/>
      <c r="BX226" s="52"/>
      <c r="BY226" s="52"/>
      <c r="BZ226" s="52"/>
      <c r="CA226" s="52"/>
      <c r="CB226" s="52"/>
      <c r="CC226" s="52"/>
      <c r="CD226" s="118"/>
      <c r="CE226" s="52"/>
      <c r="CF226" s="52"/>
      <c r="CG226" s="52"/>
      <c r="CH226" s="52"/>
      <c r="CI226" s="52"/>
      <c r="CJ226" s="52"/>
      <c r="CK226" s="52"/>
      <c r="CL226" s="52"/>
      <c r="CM226" s="52"/>
      <c r="CN226" s="118"/>
      <c r="CO226" s="118"/>
      <c r="CP226" s="118"/>
      <c r="CQ226" s="52"/>
      <c r="CR226" s="52"/>
      <c r="CS226" s="52"/>
      <c r="CT226" s="52"/>
      <c r="CU226" s="52"/>
      <c r="CV226" s="52"/>
      <c r="CW226" s="52"/>
      <c r="CX226" s="52"/>
      <c r="CY226" s="52"/>
      <c r="CZ226" s="52"/>
      <c r="DA226" s="52"/>
      <c r="DB226" s="52"/>
    </row>
    <row r="227" spans="1:106" ht="51" x14ac:dyDescent="0.25">
      <c r="A227" s="411">
        <v>225</v>
      </c>
      <c r="B227" s="412" t="s">
        <v>3554</v>
      </c>
      <c r="C227" s="426" t="s">
        <v>3555</v>
      </c>
      <c r="D227" s="426" t="s">
        <v>3077</v>
      </c>
      <c r="E227" s="80">
        <v>1</v>
      </c>
      <c r="F227" s="356">
        <v>408485.35000000003</v>
      </c>
      <c r="G227" s="293"/>
      <c r="H227" s="293"/>
      <c r="I227" s="293"/>
      <c r="J227" s="52"/>
      <c r="K227" s="52"/>
      <c r="L227" s="359">
        <v>750999</v>
      </c>
      <c r="M227" s="360">
        <v>142689.81</v>
      </c>
      <c r="N227" s="361">
        <v>893688.81</v>
      </c>
      <c r="O227" s="33" t="s">
        <v>3278</v>
      </c>
      <c r="P227" s="252" t="s">
        <v>3556</v>
      </c>
      <c r="Q227" s="113">
        <v>901000</v>
      </c>
      <c r="R227" s="113">
        <v>171190</v>
      </c>
      <c r="S227" s="113">
        <v>1072190</v>
      </c>
      <c r="T227" s="52" t="s">
        <v>3547</v>
      </c>
      <c r="U227" s="5" t="s">
        <v>3557</v>
      </c>
      <c r="V227" s="231"/>
      <c r="W227" s="231"/>
      <c r="X227" s="231"/>
      <c r="Y227" s="113"/>
      <c r="Z227" s="357"/>
      <c r="AA227" s="118" t="s">
        <v>2877</v>
      </c>
      <c r="AB227" s="118"/>
      <c r="AC227" s="118"/>
      <c r="AD227" s="52"/>
      <c r="AE227" s="5"/>
      <c r="AF227" s="358"/>
      <c r="AG227" s="358"/>
      <c r="AH227" s="358"/>
      <c r="AI227" s="358"/>
      <c r="AJ227" s="358"/>
      <c r="AK227" s="113"/>
      <c r="AL227" s="113"/>
      <c r="AM227" s="113"/>
      <c r="AN227" s="113"/>
      <c r="AO227" s="113"/>
      <c r="AP227" s="52"/>
      <c r="AQ227" s="52"/>
      <c r="AR227" s="52"/>
      <c r="AS227" s="52"/>
      <c r="AT227" s="52"/>
      <c r="AU227" s="125"/>
      <c r="AV227" s="125"/>
      <c r="AW227" s="125"/>
      <c r="AX227" s="5"/>
      <c r="AY227" s="5"/>
      <c r="AZ227" s="113">
        <v>271000</v>
      </c>
      <c r="BA227" s="113">
        <v>51490</v>
      </c>
      <c r="BB227" s="113">
        <v>322490</v>
      </c>
      <c r="BC227" s="52" t="s">
        <v>3336</v>
      </c>
      <c r="BD227" s="52" t="s">
        <v>3558</v>
      </c>
      <c r="BE227" s="118"/>
      <c r="BF227" s="118"/>
      <c r="BG227" s="118"/>
      <c r="BH227" s="52"/>
      <c r="BI227" s="283"/>
      <c r="BJ227" s="52"/>
      <c r="BK227" s="52"/>
      <c r="BL227" s="52"/>
      <c r="BM227" s="52"/>
      <c r="BN227" s="52"/>
      <c r="BO227" s="52"/>
      <c r="BP227" s="52"/>
      <c r="BQ227" s="52"/>
      <c r="BR227" s="52"/>
      <c r="BS227" s="52"/>
      <c r="BT227" s="52"/>
      <c r="BU227" s="52"/>
      <c r="BV227" s="52"/>
      <c r="BW227" s="52"/>
      <c r="BX227" s="52"/>
      <c r="BY227" s="52"/>
      <c r="BZ227" s="52"/>
      <c r="CA227" s="52"/>
      <c r="CB227" s="52"/>
      <c r="CC227" s="52"/>
      <c r="CD227" s="118"/>
      <c r="CE227" s="52"/>
      <c r="CF227" s="52"/>
      <c r="CG227" s="52"/>
      <c r="CH227" s="52"/>
      <c r="CI227" s="52"/>
      <c r="CJ227" s="52"/>
      <c r="CK227" s="52"/>
      <c r="CL227" s="52"/>
      <c r="CM227" s="52"/>
      <c r="CN227" s="118"/>
      <c r="CO227" s="118"/>
      <c r="CP227" s="118"/>
      <c r="CQ227" s="52"/>
      <c r="CR227" s="52"/>
      <c r="CS227" s="52"/>
      <c r="CT227" s="52"/>
      <c r="CU227" s="52"/>
      <c r="CV227" s="52"/>
      <c r="CW227" s="52"/>
      <c r="CX227" s="52"/>
      <c r="CY227" s="52"/>
      <c r="CZ227" s="52"/>
      <c r="DA227" s="52"/>
      <c r="DB227" s="52"/>
    </row>
    <row r="228" spans="1:106" ht="27" x14ac:dyDescent="0.25">
      <c r="A228" s="411">
        <v>226</v>
      </c>
      <c r="B228" s="412" t="s">
        <v>3559</v>
      </c>
      <c r="C228" s="413" t="s">
        <v>3560</v>
      </c>
      <c r="D228" s="426" t="s">
        <v>3431</v>
      </c>
      <c r="E228" s="80">
        <v>1</v>
      </c>
      <c r="F228" s="356">
        <v>446191.69</v>
      </c>
      <c r="G228" s="293"/>
      <c r="H228" s="293"/>
      <c r="I228" s="293"/>
      <c r="J228" s="52"/>
      <c r="K228" s="52"/>
      <c r="L228" s="359"/>
      <c r="M228" s="360"/>
      <c r="N228" s="361"/>
      <c r="O228" s="33"/>
      <c r="P228" s="252"/>
      <c r="Q228" s="113"/>
      <c r="R228" s="113" t="s">
        <v>3561</v>
      </c>
      <c r="S228" s="113"/>
      <c r="T228" s="52"/>
      <c r="U228" s="5"/>
      <c r="V228" s="231"/>
      <c r="W228" s="231"/>
      <c r="X228" s="231"/>
      <c r="Y228" s="113"/>
      <c r="Z228" s="357"/>
      <c r="AA228" s="118" t="s">
        <v>2877</v>
      </c>
      <c r="AB228" s="118"/>
      <c r="AC228" s="118"/>
      <c r="AD228" s="52"/>
      <c r="AE228" s="5"/>
      <c r="AF228" s="358"/>
      <c r="AG228" s="358"/>
      <c r="AH228" s="358"/>
      <c r="AI228" s="358"/>
      <c r="AJ228" s="358"/>
      <c r="AK228" s="113"/>
      <c r="AL228" s="113"/>
      <c r="AM228" s="113"/>
      <c r="AN228" s="113"/>
      <c r="AO228" s="113"/>
      <c r="AP228" s="52"/>
      <c r="AQ228" s="52"/>
      <c r="AR228" s="52"/>
      <c r="AS228" s="52"/>
      <c r="AT228" s="52"/>
      <c r="AU228" s="125"/>
      <c r="AV228" s="125"/>
      <c r="AW228" s="125"/>
      <c r="AX228" s="5"/>
      <c r="AY228" s="5"/>
      <c r="AZ228" s="113"/>
      <c r="BA228" s="113"/>
      <c r="BB228" s="113"/>
      <c r="BC228" s="52"/>
      <c r="BD228" s="52"/>
      <c r="BE228" s="118"/>
      <c r="BF228" s="118"/>
      <c r="BG228" s="118"/>
      <c r="BH228" s="52"/>
      <c r="BI228" s="283"/>
      <c r="BJ228" s="52"/>
      <c r="BK228" s="52"/>
      <c r="BL228" s="52"/>
      <c r="BM228" s="52"/>
      <c r="BN228" s="52"/>
      <c r="BO228" s="52"/>
      <c r="BP228" s="52"/>
      <c r="BQ228" s="52"/>
      <c r="BR228" s="52"/>
      <c r="BS228" s="52"/>
      <c r="BT228" s="52"/>
      <c r="BU228" s="52"/>
      <c r="BV228" s="52"/>
      <c r="BW228" s="52"/>
      <c r="BX228" s="52"/>
      <c r="BY228" s="52"/>
      <c r="BZ228" s="52"/>
      <c r="CA228" s="52"/>
      <c r="CB228" s="52"/>
      <c r="CC228" s="52"/>
      <c r="CD228" s="118"/>
      <c r="CE228" s="52"/>
      <c r="CF228" s="52"/>
      <c r="CG228" s="52"/>
      <c r="CH228" s="52"/>
      <c r="CI228" s="52"/>
      <c r="CJ228" s="52"/>
      <c r="CK228" s="52"/>
      <c r="CL228" s="52"/>
      <c r="CM228" s="52"/>
      <c r="CN228" s="118"/>
      <c r="CO228" s="118"/>
      <c r="CP228" s="118"/>
      <c r="CQ228" s="52"/>
      <c r="CR228" s="52"/>
      <c r="CS228" s="52"/>
      <c r="CT228" s="52"/>
      <c r="CU228" s="52"/>
      <c r="CV228" s="52"/>
      <c r="CW228" s="52"/>
      <c r="CX228" s="52"/>
      <c r="CY228" s="52"/>
      <c r="CZ228" s="52"/>
      <c r="DA228" s="52"/>
      <c r="DB228" s="52"/>
    </row>
    <row r="229" spans="1:106" ht="27" x14ac:dyDescent="0.25">
      <c r="A229" s="411">
        <v>227</v>
      </c>
      <c r="B229" s="412" t="s">
        <v>3562</v>
      </c>
      <c r="C229" s="413" t="s">
        <v>3563</v>
      </c>
      <c r="D229" s="426" t="s">
        <v>3564</v>
      </c>
      <c r="E229" s="80">
        <v>1</v>
      </c>
      <c r="F229" s="356">
        <v>52194.235399999998</v>
      </c>
      <c r="G229" s="293"/>
      <c r="H229" s="293"/>
      <c r="I229" s="293"/>
      <c r="J229" s="52"/>
      <c r="K229" s="52"/>
      <c r="L229" s="359"/>
      <c r="M229" s="360"/>
      <c r="N229" s="361"/>
      <c r="O229" s="33"/>
      <c r="P229" s="252"/>
      <c r="Q229" s="113"/>
      <c r="R229" s="113"/>
      <c r="S229" s="113"/>
      <c r="T229" s="52"/>
      <c r="U229" s="5"/>
      <c r="V229" s="231"/>
      <c r="W229" s="231"/>
      <c r="X229" s="231"/>
      <c r="Y229" s="113"/>
      <c r="Z229" s="357"/>
      <c r="AA229" s="118" t="s">
        <v>2877</v>
      </c>
      <c r="AB229" s="118"/>
      <c r="AC229" s="118"/>
      <c r="AD229" s="52"/>
      <c r="AE229" s="5"/>
      <c r="AF229" s="358"/>
      <c r="AG229" s="358"/>
      <c r="AH229" s="358"/>
      <c r="AI229" s="358"/>
      <c r="AJ229" s="358"/>
      <c r="AK229" s="113"/>
      <c r="AL229" s="113"/>
      <c r="AM229" s="113"/>
      <c r="AN229" s="113"/>
      <c r="AO229" s="113"/>
      <c r="AP229" s="52"/>
      <c r="AQ229" s="52"/>
      <c r="AR229" s="52"/>
      <c r="AS229" s="52"/>
      <c r="AT229" s="52"/>
      <c r="AU229" s="125"/>
      <c r="AV229" s="125"/>
      <c r="AW229" s="125"/>
      <c r="AX229" s="5"/>
      <c r="AY229" s="5"/>
      <c r="AZ229" s="113">
        <v>55000</v>
      </c>
      <c r="BA229" s="113">
        <v>10450</v>
      </c>
      <c r="BB229" s="113">
        <v>65450</v>
      </c>
      <c r="BC229" s="52" t="s">
        <v>2925</v>
      </c>
      <c r="BD229" s="52" t="s">
        <v>3565</v>
      </c>
      <c r="BE229" s="118"/>
      <c r="BF229" s="118"/>
      <c r="BG229" s="118"/>
      <c r="BH229" s="52"/>
      <c r="BI229" s="283"/>
      <c r="BJ229" s="52"/>
      <c r="BK229" s="52"/>
      <c r="BL229" s="52"/>
      <c r="BM229" s="52"/>
      <c r="BN229" s="52"/>
      <c r="BO229" s="52"/>
      <c r="BP229" s="52"/>
      <c r="BQ229" s="52"/>
      <c r="BR229" s="52"/>
      <c r="BS229" s="52"/>
      <c r="BT229" s="52"/>
      <c r="BU229" s="52"/>
      <c r="BV229" s="52"/>
      <c r="BW229" s="52"/>
      <c r="BX229" s="52"/>
      <c r="BY229" s="52"/>
      <c r="BZ229" s="52"/>
      <c r="CA229" s="52"/>
      <c r="CB229" s="52"/>
      <c r="CC229" s="52"/>
      <c r="CD229" s="118"/>
      <c r="CE229" s="52"/>
      <c r="CF229" s="52"/>
      <c r="CG229" s="52"/>
      <c r="CH229" s="52"/>
      <c r="CI229" s="52"/>
      <c r="CJ229" s="52"/>
      <c r="CK229" s="52"/>
      <c r="CL229" s="52"/>
      <c r="CM229" s="52"/>
      <c r="CN229" s="118"/>
      <c r="CO229" s="118"/>
      <c r="CP229" s="118"/>
      <c r="CQ229" s="52"/>
      <c r="CR229" s="52"/>
      <c r="CS229" s="52"/>
      <c r="CT229" s="52"/>
      <c r="CU229" s="52"/>
      <c r="CV229" s="52"/>
      <c r="CW229" s="52"/>
      <c r="CX229" s="52"/>
      <c r="CY229" s="52"/>
      <c r="CZ229" s="52"/>
      <c r="DA229" s="52"/>
      <c r="DB229" s="52"/>
    </row>
    <row r="230" spans="1:106" ht="54" x14ac:dyDescent="0.25">
      <c r="A230" s="411">
        <v>228</v>
      </c>
      <c r="B230" s="412" t="s">
        <v>3566</v>
      </c>
      <c r="C230" s="413" t="s">
        <v>3567</v>
      </c>
      <c r="D230" s="426" t="s">
        <v>445</v>
      </c>
      <c r="E230" s="80">
        <v>1</v>
      </c>
      <c r="F230" s="80"/>
      <c r="G230" s="293"/>
      <c r="H230" s="293"/>
      <c r="I230" s="293"/>
      <c r="J230" s="52"/>
      <c r="K230" s="52"/>
      <c r="L230" s="359"/>
      <c r="M230" s="360"/>
      <c r="N230" s="361"/>
      <c r="O230" s="33"/>
      <c r="P230" s="252"/>
      <c r="Q230" s="113"/>
      <c r="R230" s="113"/>
      <c r="S230" s="113"/>
      <c r="T230" s="52"/>
      <c r="U230" s="5"/>
      <c r="V230" s="231"/>
      <c r="W230" s="231"/>
      <c r="X230" s="231"/>
      <c r="Y230" s="113"/>
      <c r="Z230" s="357"/>
      <c r="AA230" s="118" t="s">
        <v>2877</v>
      </c>
      <c r="AB230" s="118"/>
      <c r="AC230" s="118"/>
      <c r="AD230" s="52"/>
      <c r="AE230" s="5"/>
      <c r="AF230" s="358"/>
      <c r="AG230" s="358"/>
      <c r="AH230" s="358"/>
      <c r="AI230" s="358"/>
      <c r="AJ230" s="358"/>
      <c r="AK230" s="113"/>
      <c r="AL230" s="113"/>
      <c r="AM230" s="113"/>
      <c r="AN230" s="113"/>
      <c r="AO230" s="113"/>
      <c r="AP230" s="52"/>
      <c r="AQ230" s="52"/>
      <c r="AR230" s="52"/>
      <c r="AS230" s="52"/>
      <c r="AT230" s="52"/>
      <c r="AU230" s="125"/>
      <c r="AV230" s="125"/>
      <c r="AW230" s="125"/>
      <c r="AX230" s="5"/>
      <c r="AY230" s="5"/>
      <c r="AZ230" s="113"/>
      <c r="BA230" s="113"/>
      <c r="BB230" s="113"/>
      <c r="BC230" s="52"/>
      <c r="BD230" s="52"/>
      <c r="BE230" s="118"/>
      <c r="BF230" s="118"/>
      <c r="BG230" s="118"/>
      <c r="BH230" s="52"/>
      <c r="BI230" s="283"/>
      <c r="BJ230" s="118">
        <v>428098</v>
      </c>
      <c r="BK230" s="118">
        <f>+BJ230*0.19</f>
        <v>81338.62</v>
      </c>
      <c r="BL230" s="118">
        <f>+BJ230+BK230</f>
        <v>509436.62</v>
      </c>
      <c r="BM230" s="52" t="s">
        <v>2332</v>
      </c>
      <c r="BN230" s="52" t="s">
        <v>510</v>
      </c>
      <c r="BO230" s="52"/>
      <c r="BP230" s="52"/>
      <c r="BQ230" s="52"/>
      <c r="BR230" s="52"/>
      <c r="BS230" s="52"/>
      <c r="BT230" s="52"/>
      <c r="BU230" s="52"/>
      <c r="BV230" s="52"/>
      <c r="BW230" s="52"/>
      <c r="BX230" s="52"/>
      <c r="BY230" s="52"/>
      <c r="BZ230" s="52"/>
      <c r="CA230" s="52"/>
      <c r="CB230" s="52"/>
      <c r="CC230" s="52"/>
      <c r="CD230" s="118"/>
      <c r="CE230" s="52"/>
      <c r="CF230" s="52"/>
      <c r="CG230" s="52"/>
      <c r="CH230" s="52"/>
      <c r="CI230" s="52"/>
      <c r="CJ230" s="52"/>
      <c r="CK230" s="52"/>
      <c r="CL230" s="52"/>
      <c r="CM230" s="52"/>
      <c r="CN230" s="118"/>
      <c r="CO230" s="118"/>
      <c r="CP230" s="118"/>
      <c r="CQ230" s="52"/>
      <c r="CR230" s="52"/>
      <c r="CS230" s="52"/>
      <c r="CT230" s="52"/>
      <c r="CU230" s="52"/>
      <c r="CV230" s="52"/>
      <c r="CW230" s="52"/>
      <c r="CX230" s="52"/>
      <c r="CY230" s="52"/>
      <c r="CZ230" s="52"/>
      <c r="DA230" s="52"/>
      <c r="DB230" s="52"/>
    </row>
    <row r="231" spans="1:106" ht="51" x14ac:dyDescent="0.25">
      <c r="A231" s="411">
        <v>229</v>
      </c>
      <c r="B231" s="412" t="s">
        <v>3568</v>
      </c>
      <c r="C231" s="426" t="s">
        <v>622</v>
      </c>
      <c r="D231" s="426" t="s">
        <v>3077</v>
      </c>
      <c r="E231" s="80">
        <v>1</v>
      </c>
      <c r="F231" s="356">
        <v>461274.22600000002</v>
      </c>
      <c r="G231" s="293"/>
      <c r="H231" s="293"/>
      <c r="I231" s="293"/>
      <c r="J231" s="52"/>
      <c r="K231" s="52"/>
      <c r="L231" s="359"/>
      <c r="M231" s="360"/>
      <c r="N231" s="361"/>
      <c r="O231" s="33"/>
      <c r="P231" s="252"/>
      <c r="Q231" s="113">
        <v>417000</v>
      </c>
      <c r="R231" s="113">
        <v>79230</v>
      </c>
      <c r="S231" s="113">
        <v>496230</v>
      </c>
      <c r="T231" s="52" t="s">
        <v>3561</v>
      </c>
      <c r="U231" s="5" t="s">
        <v>3569</v>
      </c>
      <c r="V231" s="231"/>
      <c r="W231" s="231"/>
      <c r="X231" s="231"/>
      <c r="Y231" s="113"/>
      <c r="Z231" s="357"/>
      <c r="AA231" s="118" t="s">
        <v>2877</v>
      </c>
      <c r="AB231" s="118"/>
      <c r="AC231" s="118"/>
      <c r="AD231" s="52"/>
      <c r="AE231" s="5"/>
      <c r="AF231" s="358"/>
      <c r="AG231" s="358"/>
      <c r="AH231" s="358"/>
      <c r="AI231" s="358"/>
      <c r="AJ231" s="358"/>
      <c r="AK231" s="113"/>
      <c r="AL231" s="113"/>
      <c r="AM231" s="113"/>
      <c r="AN231" s="113"/>
      <c r="AO231" s="113"/>
      <c r="AP231" s="52"/>
      <c r="AQ231" s="52"/>
      <c r="AR231" s="52"/>
      <c r="AS231" s="52"/>
      <c r="AT231" s="52"/>
      <c r="AU231" s="125"/>
      <c r="AV231" s="125"/>
      <c r="AW231" s="125"/>
      <c r="AX231" s="5"/>
      <c r="AY231" s="5"/>
      <c r="AZ231" s="113"/>
      <c r="BA231" s="113"/>
      <c r="BB231" s="113"/>
      <c r="BC231" s="52"/>
      <c r="BD231" s="52"/>
      <c r="BE231" s="118"/>
      <c r="BF231" s="118"/>
      <c r="BG231" s="118"/>
      <c r="BH231" s="52"/>
      <c r="BI231" s="283"/>
      <c r="BJ231" s="52"/>
      <c r="BK231" s="52"/>
      <c r="BL231" s="52"/>
      <c r="BM231" s="52"/>
      <c r="BN231" s="52"/>
      <c r="BO231" s="52"/>
      <c r="BP231" s="52"/>
      <c r="BQ231" s="52"/>
      <c r="BR231" s="52"/>
      <c r="BS231" s="52"/>
      <c r="BT231" s="52"/>
      <c r="BU231" s="52"/>
      <c r="BV231" s="52"/>
      <c r="BW231" s="52"/>
      <c r="BX231" s="52"/>
      <c r="BY231" s="52"/>
      <c r="BZ231" s="52"/>
      <c r="CA231" s="52"/>
      <c r="CB231" s="52"/>
      <c r="CC231" s="52"/>
      <c r="CD231" s="118"/>
      <c r="CE231" s="52"/>
      <c r="CF231" s="52"/>
      <c r="CG231" s="52"/>
      <c r="CH231" s="52"/>
      <c r="CI231" s="52"/>
      <c r="CJ231" s="52"/>
      <c r="CK231" s="52"/>
      <c r="CL231" s="52"/>
      <c r="CM231" s="52"/>
      <c r="CN231" s="118"/>
      <c r="CO231" s="118"/>
      <c r="CP231" s="118"/>
      <c r="CQ231" s="52"/>
      <c r="CR231" s="52"/>
      <c r="CS231" s="52"/>
      <c r="CT231" s="52"/>
      <c r="CU231" s="52"/>
      <c r="CV231" s="52"/>
      <c r="CW231" s="52"/>
      <c r="CX231" s="52"/>
      <c r="CY231" s="52"/>
      <c r="CZ231" s="52"/>
      <c r="DA231" s="52"/>
      <c r="DB231" s="52"/>
    </row>
    <row r="232" spans="1:106" ht="27" x14ac:dyDescent="0.25">
      <c r="A232" s="411">
        <v>230</v>
      </c>
      <c r="B232" s="412" t="s">
        <v>3570</v>
      </c>
      <c r="C232" s="413" t="s">
        <v>3571</v>
      </c>
      <c r="D232" s="426" t="s">
        <v>3572</v>
      </c>
      <c r="E232" s="80">
        <v>1</v>
      </c>
      <c r="F232" s="356">
        <v>380834.03399999999</v>
      </c>
      <c r="G232" s="293"/>
      <c r="H232" s="293"/>
      <c r="I232" s="293"/>
      <c r="J232" s="52"/>
      <c r="K232" s="52"/>
      <c r="L232" s="359"/>
      <c r="M232" s="360"/>
      <c r="N232" s="361"/>
      <c r="O232" s="33"/>
      <c r="P232" s="252"/>
      <c r="Q232" s="113"/>
      <c r="R232" s="113"/>
      <c r="S232" s="113"/>
      <c r="T232" s="52"/>
      <c r="U232" s="5"/>
      <c r="V232" s="231"/>
      <c r="W232" s="231"/>
      <c r="X232" s="231"/>
      <c r="Y232" s="113"/>
      <c r="Z232" s="357"/>
      <c r="AA232" s="118" t="s">
        <v>2877</v>
      </c>
      <c r="AB232" s="118"/>
      <c r="AC232" s="118"/>
      <c r="AD232" s="52"/>
      <c r="AE232" s="5"/>
      <c r="AF232" s="358"/>
      <c r="AG232" s="358"/>
      <c r="AH232" s="358"/>
      <c r="AI232" s="358"/>
      <c r="AJ232" s="358"/>
      <c r="AK232" s="113"/>
      <c r="AL232" s="113"/>
      <c r="AM232" s="113"/>
      <c r="AN232" s="113"/>
      <c r="AO232" s="113"/>
      <c r="AP232" s="52"/>
      <c r="AQ232" s="52"/>
      <c r="AR232" s="52"/>
      <c r="AS232" s="52"/>
      <c r="AT232" s="52"/>
      <c r="AU232" s="125"/>
      <c r="AV232" s="125"/>
      <c r="AW232" s="125"/>
      <c r="AX232" s="5"/>
      <c r="AY232" s="5"/>
      <c r="AZ232" s="113">
        <v>864000</v>
      </c>
      <c r="BA232" s="113">
        <v>164160</v>
      </c>
      <c r="BB232" s="113">
        <v>1028160</v>
      </c>
      <c r="BC232" s="52" t="s">
        <v>2970</v>
      </c>
      <c r="BD232" s="52"/>
      <c r="BE232" s="118"/>
      <c r="BF232" s="118"/>
      <c r="BG232" s="118"/>
      <c r="BH232" s="52"/>
      <c r="BI232" s="283"/>
      <c r="BJ232" s="52"/>
      <c r="BK232" s="52"/>
      <c r="BL232" s="52"/>
      <c r="BM232" s="52"/>
      <c r="BN232" s="52"/>
      <c r="BO232" s="52"/>
      <c r="BP232" s="52"/>
      <c r="BQ232" s="52"/>
      <c r="BR232" s="52"/>
      <c r="BS232" s="52"/>
      <c r="BT232" s="52"/>
      <c r="BU232" s="52"/>
      <c r="BV232" s="52"/>
      <c r="BW232" s="52"/>
      <c r="BX232" s="52"/>
      <c r="BY232" s="52"/>
      <c r="BZ232" s="52"/>
      <c r="CA232" s="52"/>
      <c r="CB232" s="52"/>
      <c r="CC232" s="52"/>
      <c r="CD232" s="118"/>
      <c r="CE232" s="52"/>
      <c r="CF232" s="52"/>
      <c r="CG232" s="52"/>
      <c r="CH232" s="52"/>
      <c r="CI232" s="52"/>
      <c r="CJ232" s="52"/>
      <c r="CK232" s="52"/>
      <c r="CL232" s="52"/>
      <c r="CM232" s="52"/>
      <c r="CN232" s="118"/>
      <c r="CO232" s="118"/>
      <c r="CP232" s="118"/>
      <c r="CQ232" s="52"/>
      <c r="CR232" s="52"/>
      <c r="CS232" s="52"/>
      <c r="CT232" s="52"/>
      <c r="CU232" s="52"/>
      <c r="CV232" s="52"/>
      <c r="CW232" s="52"/>
      <c r="CX232" s="52"/>
      <c r="CY232" s="52"/>
      <c r="CZ232" s="52"/>
      <c r="DA232" s="52"/>
      <c r="DB232" s="52"/>
    </row>
    <row r="233" spans="1:106" ht="40.5" x14ac:dyDescent="0.25">
      <c r="A233" s="411">
        <v>231</v>
      </c>
      <c r="B233" s="412" t="s">
        <v>3573</v>
      </c>
      <c r="C233" s="413" t="s">
        <v>3574</v>
      </c>
      <c r="D233" s="426" t="s">
        <v>2005</v>
      </c>
      <c r="E233" s="80">
        <v>1</v>
      </c>
      <c r="F233" s="356">
        <v>1711867.8360000001</v>
      </c>
      <c r="G233" s="293"/>
      <c r="H233" s="293"/>
      <c r="I233" s="293"/>
      <c r="J233" s="52"/>
      <c r="K233" s="52"/>
      <c r="L233" s="359"/>
      <c r="M233" s="360"/>
      <c r="N233" s="361"/>
      <c r="O233" s="33"/>
      <c r="P233" s="252"/>
      <c r="Q233" s="113"/>
      <c r="R233" s="113"/>
      <c r="S233" s="113"/>
      <c r="T233" s="52"/>
      <c r="U233" s="5"/>
      <c r="V233" s="231"/>
      <c r="W233" s="231"/>
      <c r="X233" s="231"/>
      <c r="Y233" s="113"/>
      <c r="Z233" s="357"/>
      <c r="AA233" s="118" t="s">
        <v>2877</v>
      </c>
      <c r="AB233" s="118"/>
      <c r="AC233" s="118"/>
      <c r="AD233" s="52"/>
      <c r="AE233" s="5"/>
      <c r="AF233" s="358"/>
      <c r="AG233" s="358"/>
      <c r="AH233" s="358"/>
      <c r="AI233" s="358"/>
      <c r="AJ233" s="358"/>
      <c r="AK233" s="113"/>
      <c r="AL233" s="113"/>
      <c r="AM233" s="113"/>
      <c r="AN233" s="113"/>
      <c r="AO233" s="113"/>
      <c r="AP233" s="52"/>
      <c r="AQ233" s="52"/>
      <c r="AR233" s="52"/>
      <c r="AS233" s="52"/>
      <c r="AT233" s="52"/>
      <c r="AU233" s="125"/>
      <c r="AV233" s="125"/>
      <c r="AW233" s="125"/>
      <c r="AX233" s="5"/>
      <c r="AY233" s="5"/>
      <c r="AZ233" s="113">
        <v>1451000</v>
      </c>
      <c r="BA233" s="113">
        <v>275690</v>
      </c>
      <c r="BB233" s="113">
        <v>1726690</v>
      </c>
      <c r="BC233" s="52" t="s">
        <v>338</v>
      </c>
      <c r="BD233" s="52" t="s">
        <v>3575</v>
      </c>
      <c r="BE233" s="118"/>
      <c r="BF233" s="118"/>
      <c r="BG233" s="118"/>
      <c r="BH233" s="52"/>
      <c r="BI233" s="283"/>
      <c r="BJ233" s="52"/>
      <c r="BK233" s="52"/>
      <c r="BL233" s="52"/>
      <c r="BM233" s="52"/>
      <c r="BN233" s="52"/>
      <c r="BO233" s="52"/>
      <c r="BP233" s="52"/>
      <c r="BQ233" s="52"/>
      <c r="BR233" s="52"/>
      <c r="BS233" s="52"/>
      <c r="BT233" s="52"/>
      <c r="BU233" s="52"/>
      <c r="BV233" s="52"/>
      <c r="BW233" s="52"/>
      <c r="BX233" s="52"/>
      <c r="BY233" s="52"/>
      <c r="BZ233" s="52"/>
      <c r="CA233" s="52"/>
      <c r="CB233" s="52"/>
      <c r="CC233" s="52"/>
      <c r="CD233" s="118"/>
      <c r="CE233" s="52"/>
      <c r="CF233" s="52"/>
      <c r="CG233" s="52"/>
      <c r="CH233" s="52"/>
      <c r="CI233" s="52"/>
      <c r="CJ233" s="52"/>
      <c r="CK233" s="52"/>
      <c r="CL233" s="52"/>
      <c r="CM233" s="52"/>
      <c r="CN233" s="118"/>
      <c r="CO233" s="118"/>
      <c r="CP233" s="118"/>
      <c r="CQ233" s="52"/>
      <c r="CR233" s="52"/>
      <c r="CS233" s="52"/>
      <c r="CT233" s="52"/>
      <c r="CU233" s="52"/>
      <c r="CV233" s="52"/>
      <c r="CW233" s="52"/>
      <c r="CX233" s="52"/>
      <c r="CY233" s="52"/>
      <c r="CZ233" s="52"/>
      <c r="DA233" s="52"/>
      <c r="DB233" s="52"/>
    </row>
    <row r="234" spans="1:106" ht="40.5" x14ac:dyDescent="0.25">
      <c r="A234" s="411">
        <v>232</v>
      </c>
      <c r="B234" s="412" t="s">
        <v>3576</v>
      </c>
      <c r="C234" s="413" t="s">
        <v>3574</v>
      </c>
      <c r="D234" s="426" t="s">
        <v>3431</v>
      </c>
      <c r="E234" s="80">
        <v>1</v>
      </c>
      <c r="F234" s="356">
        <v>1886765.0501999999</v>
      </c>
      <c r="G234" s="293"/>
      <c r="H234" s="293"/>
      <c r="I234" s="293"/>
      <c r="J234" s="52"/>
      <c r="K234" s="52"/>
      <c r="L234" s="359"/>
      <c r="M234" s="360"/>
      <c r="N234" s="361"/>
      <c r="O234" s="33"/>
      <c r="P234" s="252"/>
      <c r="Q234" s="113"/>
      <c r="R234" s="113"/>
      <c r="S234" s="113"/>
      <c r="T234" s="52"/>
      <c r="U234" s="5"/>
      <c r="V234" s="231"/>
      <c r="W234" s="231"/>
      <c r="X234" s="231"/>
      <c r="Y234" s="113"/>
      <c r="Z234" s="357"/>
      <c r="AA234" s="118" t="s">
        <v>2877</v>
      </c>
      <c r="AB234" s="118"/>
      <c r="AC234" s="118"/>
      <c r="AD234" s="52"/>
      <c r="AE234" s="5"/>
      <c r="AF234" s="358"/>
      <c r="AG234" s="358"/>
      <c r="AH234" s="358"/>
      <c r="AI234" s="358"/>
      <c r="AJ234" s="358"/>
      <c r="AK234" s="113"/>
      <c r="AL234" s="113"/>
      <c r="AM234" s="113"/>
      <c r="AN234" s="113"/>
      <c r="AO234" s="113"/>
      <c r="AP234" s="52"/>
      <c r="AQ234" s="52"/>
      <c r="AR234" s="52"/>
      <c r="AS234" s="52"/>
      <c r="AT234" s="52"/>
      <c r="AU234" s="125"/>
      <c r="AV234" s="125"/>
      <c r="AW234" s="125"/>
      <c r="AX234" s="5"/>
      <c r="AY234" s="5"/>
      <c r="AZ234" s="113"/>
      <c r="BA234" s="113"/>
      <c r="BB234" s="113"/>
      <c r="BC234" s="52"/>
      <c r="BD234" s="52"/>
      <c r="BE234" s="118"/>
      <c r="BF234" s="118"/>
      <c r="BG234" s="118"/>
      <c r="BH234" s="52"/>
      <c r="BI234" s="283"/>
      <c r="BJ234" s="52"/>
      <c r="BK234" s="52"/>
      <c r="BL234" s="52"/>
      <c r="BM234" s="52"/>
      <c r="BN234" s="52"/>
      <c r="BO234" s="52"/>
      <c r="BP234" s="52"/>
      <c r="BQ234" s="52"/>
      <c r="BR234" s="52"/>
      <c r="BS234" s="52"/>
      <c r="BT234" s="52"/>
      <c r="BU234" s="52"/>
      <c r="BV234" s="52"/>
      <c r="BW234" s="52"/>
      <c r="BX234" s="52"/>
      <c r="BY234" s="52"/>
      <c r="BZ234" s="52"/>
      <c r="CA234" s="52"/>
      <c r="CB234" s="52"/>
      <c r="CC234" s="52"/>
      <c r="CD234" s="118"/>
      <c r="CE234" s="52"/>
      <c r="CF234" s="52"/>
      <c r="CG234" s="52"/>
      <c r="CH234" s="52"/>
      <c r="CI234" s="52"/>
      <c r="CJ234" s="52"/>
      <c r="CK234" s="52"/>
      <c r="CL234" s="52"/>
      <c r="CM234" s="52"/>
      <c r="CN234" s="118"/>
      <c r="CO234" s="118"/>
      <c r="CP234" s="118"/>
      <c r="CQ234" s="52"/>
      <c r="CR234" s="52"/>
      <c r="CS234" s="52"/>
      <c r="CT234" s="52"/>
      <c r="CU234" s="52"/>
      <c r="CV234" s="52"/>
      <c r="CW234" s="52"/>
      <c r="CX234" s="52"/>
      <c r="CY234" s="52"/>
      <c r="CZ234" s="52"/>
      <c r="DA234" s="52"/>
      <c r="DB234" s="52"/>
    </row>
    <row r="235" spans="1:106" ht="94.5" x14ac:dyDescent="0.25">
      <c r="A235" s="411">
        <v>233</v>
      </c>
      <c r="B235" s="412" t="s">
        <v>3577</v>
      </c>
      <c r="C235" s="426" t="s">
        <v>3578</v>
      </c>
      <c r="D235" s="426" t="s">
        <v>445</v>
      </c>
      <c r="E235" s="80">
        <v>1</v>
      </c>
      <c r="F235" s="356">
        <v>116869.58620000001</v>
      </c>
      <c r="G235" s="293">
        <v>74300</v>
      </c>
      <c r="H235" s="293">
        <v>14117</v>
      </c>
      <c r="I235" s="293">
        <v>88417</v>
      </c>
      <c r="J235" s="52" t="s">
        <v>2956</v>
      </c>
      <c r="K235" s="52" t="s">
        <v>3579</v>
      </c>
      <c r="L235" s="359"/>
      <c r="M235" s="360"/>
      <c r="N235" s="361"/>
      <c r="O235" s="33"/>
      <c r="P235" s="252"/>
      <c r="Q235" s="113"/>
      <c r="R235" s="113"/>
      <c r="S235" s="113"/>
      <c r="T235" s="52"/>
      <c r="U235" s="5"/>
      <c r="V235" s="231"/>
      <c r="W235" s="231"/>
      <c r="X235" s="231"/>
      <c r="Y235" s="113"/>
      <c r="Z235" s="357"/>
      <c r="AA235" s="118" t="s">
        <v>2877</v>
      </c>
      <c r="AB235" s="118"/>
      <c r="AC235" s="118"/>
      <c r="AD235" s="52"/>
      <c r="AE235" s="5"/>
      <c r="AF235" s="113">
        <v>55650</v>
      </c>
      <c r="AG235" s="113">
        <v>10573.5</v>
      </c>
      <c r="AH235" s="113">
        <v>66223.5</v>
      </c>
      <c r="AI235" s="358" t="s">
        <v>2930</v>
      </c>
      <c r="AJ235" s="358">
        <v>414345100</v>
      </c>
      <c r="AK235" s="113">
        <v>88100</v>
      </c>
      <c r="AL235" s="113">
        <v>16739</v>
      </c>
      <c r="AM235" s="113">
        <v>104839</v>
      </c>
      <c r="AN235" s="113" t="s">
        <v>2980</v>
      </c>
      <c r="AO235" s="113">
        <v>218062454</v>
      </c>
      <c r="AP235" s="52"/>
      <c r="AQ235" s="52"/>
      <c r="AR235" s="52"/>
      <c r="AS235" s="52"/>
      <c r="AT235" s="52"/>
      <c r="AU235" s="125"/>
      <c r="AV235" s="125"/>
      <c r="AW235" s="125"/>
      <c r="AX235" s="5"/>
      <c r="AY235" s="5"/>
      <c r="AZ235" s="113">
        <v>85000</v>
      </c>
      <c r="BA235" s="113">
        <v>16150</v>
      </c>
      <c r="BB235" s="113">
        <v>101150</v>
      </c>
      <c r="BC235" s="52" t="s">
        <v>3483</v>
      </c>
      <c r="BD235" s="52" t="s">
        <v>3580</v>
      </c>
      <c r="BE235" s="118"/>
      <c r="BF235" s="118"/>
      <c r="BG235" s="118"/>
      <c r="BH235" s="52"/>
      <c r="BI235" s="283"/>
      <c r="BJ235" s="52"/>
      <c r="BK235" s="52"/>
      <c r="BL235" s="52"/>
      <c r="BM235" s="52"/>
      <c r="BN235" s="52"/>
      <c r="BO235" s="52"/>
      <c r="BP235" s="52"/>
      <c r="BQ235" s="52"/>
      <c r="BR235" s="52"/>
      <c r="BS235" s="52"/>
      <c r="BT235" s="52"/>
      <c r="BU235" s="52"/>
      <c r="BV235" s="52"/>
      <c r="BW235" s="52"/>
      <c r="BX235" s="52"/>
      <c r="BY235" s="52"/>
      <c r="BZ235" s="52"/>
      <c r="CA235" s="52"/>
      <c r="CB235" s="52"/>
      <c r="CC235" s="52"/>
      <c r="CD235" s="118"/>
      <c r="CE235" s="52"/>
      <c r="CF235" s="52"/>
      <c r="CG235" s="52"/>
      <c r="CH235" s="52"/>
      <c r="CI235" s="52"/>
      <c r="CJ235" s="52"/>
      <c r="CK235" s="52"/>
      <c r="CL235" s="52"/>
      <c r="CM235" s="52"/>
      <c r="CN235" s="118"/>
      <c r="CO235" s="118"/>
      <c r="CP235" s="118"/>
      <c r="CQ235" s="52"/>
      <c r="CR235" s="52"/>
      <c r="CS235" s="52"/>
      <c r="CT235" s="52"/>
      <c r="CU235" s="52"/>
      <c r="CV235" s="52"/>
      <c r="CW235" s="52"/>
      <c r="CX235" s="52"/>
      <c r="CY235" s="52"/>
      <c r="CZ235" s="52"/>
      <c r="DA235" s="52"/>
      <c r="DB235" s="52"/>
    </row>
    <row r="236" spans="1:106" ht="40.5" x14ac:dyDescent="0.25">
      <c r="A236" s="411">
        <v>234</v>
      </c>
      <c r="B236" s="412" t="s">
        <v>3581</v>
      </c>
      <c r="C236" s="426" t="s">
        <v>3582</v>
      </c>
      <c r="D236" s="562" t="s">
        <v>445</v>
      </c>
      <c r="E236" s="80">
        <v>1</v>
      </c>
      <c r="F236" s="356">
        <v>177172.269</v>
      </c>
      <c r="G236" s="293">
        <v>162900</v>
      </c>
      <c r="H236" s="293">
        <v>30951</v>
      </c>
      <c r="I236" s="293">
        <v>193851</v>
      </c>
      <c r="J236" s="52" t="s">
        <v>2956</v>
      </c>
      <c r="K236" s="52" t="s">
        <v>3583</v>
      </c>
      <c r="L236" s="359"/>
      <c r="M236" s="360"/>
      <c r="N236" s="361"/>
      <c r="O236" s="33"/>
      <c r="P236" s="252"/>
      <c r="Q236" s="113"/>
      <c r="R236" s="113"/>
      <c r="S236" s="113"/>
      <c r="T236" s="52"/>
      <c r="U236" s="5"/>
      <c r="V236" s="231"/>
      <c r="W236" s="231"/>
      <c r="X236" s="231"/>
      <c r="Y236" s="113"/>
      <c r="Z236" s="357"/>
      <c r="AA236" s="118">
        <v>423000</v>
      </c>
      <c r="AB236" s="118">
        <f>AA236*0.19</f>
        <v>80370</v>
      </c>
      <c r="AC236" s="118">
        <f>AA236+AB236</f>
        <v>503370</v>
      </c>
      <c r="AD236" s="361" t="s">
        <v>126</v>
      </c>
      <c r="AE236" s="362">
        <v>2733799008</v>
      </c>
      <c r="AF236" s="113">
        <v>118450</v>
      </c>
      <c r="AG236" s="113">
        <v>22505.5</v>
      </c>
      <c r="AH236" s="113">
        <v>140955.5</v>
      </c>
      <c r="AI236" s="358" t="s">
        <v>2930</v>
      </c>
      <c r="AJ236" s="358">
        <v>414345940</v>
      </c>
      <c r="AK236" s="113">
        <v>160000</v>
      </c>
      <c r="AL236" s="113">
        <v>30400</v>
      </c>
      <c r="AM236" s="113">
        <v>190400</v>
      </c>
      <c r="AN236" s="113" t="s">
        <v>2980</v>
      </c>
      <c r="AO236" s="113">
        <v>218065451</v>
      </c>
      <c r="AP236" s="52"/>
      <c r="AQ236" s="52"/>
      <c r="AR236" s="52"/>
      <c r="AS236" s="52"/>
      <c r="AT236" s="52"/>
      <c r="AU236" s="125"/>
      <c r="AV236" s="125"/>
      <c r="AW236" s="125"/>
      <c r="AX236" s="5"/>
      <c r="AY236" s="5"/>
      <c r="AZ236" s="113">
        <v>47000</v>
      </c>
      <c r="BA236" s="113">
        <v>8930</v>
      </c>
      <c r="BB236" s="113">
        <v>55930</v>
      </c>
      <c r="BC236" s="52" t="s">
        <v>2925</v>
      </c>
      <c r="BD236" s="52" t="s">
        <v>3584</v>
      </c>
      <c r="BE236" s="118"/>
      <c r="BF236" s="118"/>
      <c r="BG236" s="118"/>
      <c r="BH236" s="52"/>
      <c r="BI236" s="283"/>
      <c r="BJ236" s="52"/>
      <c r="BK236" s="52"/>
      <c r="BL236" s="52"/>
      <c r="BM236" s="52"/>
      <c r="BN236" s="52"/>
      <c r="BO236" s="52"/>
      <c r="BP236" s="52"/>
      <c r="BQ236" s="52"/>
      <c r="BR236" s="52"/>
      <c r="BS236" s="52"/>
      <c r="BT236" s="52"/>
      <c r="BU236" s="52"/>
      <c r="BV236" s="52"/>
      <c r="BW236" s="52"/>
      <c r="BX236" s="52"/>
      <c r="BY236" s="52"/>
      <c r="BZ236" s="52"/>
      <c r="CA236" s="52"/>
      <c r="CB236" s="52"/>
      <c r="CC236" s="52"/>
      <c r="CD236" s="118"/>
      <c r="CE236" s="52"/>
      <c r="CF236" s="52"/>
      <c r="CG236" s="52"/>
      <c r="CH236" s="52"/>
      <c r="CI236" s="52"/>
      <c r="CJ236" s="52"/>
      <c r="CK236" s="52"/>
      <c r="CL236" s="52"/>
      <c r="CM236" s="52"/>
      <c r="CN236" s="118"/>
      <c r="CO236" s="118"/>
      <c r="CP236" s="118"/>
      <c r="CQ236" s="52"/>
      <c r="CR236" s="52"/>
      <c r="CS236" s="52"/>
      <c r="CT236" s="52"/>
      <c r="CU236" s="52"/>
      <c r="CV236" s="52"/>
      <c r="CW236" s="52"/>
      <c r="CX236" s="52"/>
      <c r="CY236" s="52"/>
      <c r="CZ236" s="52"/>
      <c r="DA236" s="52"/>
      <c r="DB236" s="52"/>
    </row>
    <row r="237" spans="1:106" ht="94.5" x14ac:dyDescent="0.25">
      <c r="A237" s="411">
        <v>235</v>
      </c>
      <c r="B237" s="412" t="s">
        <v>3585</v>
      </c>
      <c r="C237" s="413" t="s">
        <v>3582</v>
      </c>
      <c r="D237" s="426" t="s">
        <v>445</v>
      </c>
      <c r="E237" s="80">
        <v>1</v>
      </c>
      <c r="F237" s="356">
        <v>67108.835600000006</v>
      </c>
      <c r="G237" s="293"/>
      <c r="H237" s="293"/>
      <c r="I237" s="293"/>
      <c r="J237" s="52"/>
      <c r="K237" s="52"/>
      <c r="L237" s="359"/>
      <c r="M237" s="360"/>
      <c r="N237" s="361"/>
      <c r="O237" s="33"/>
      <c r="P237" s="252"/>
      <c r="Q237" s="113"/>
      <c r="R237" s="113"/>
      <c r="S237" s="113"/>
      <c r="T237" s="52"/>
      <c r="U237" s="5"/>
      <c r="V237" s="231"/>
      <c r="W237" s="231"/>
      <c r="X237" s="231"/>
      <c r="Y237" s="113"/>
      <c r="Z237" s="357"/>
      <c r="AA237" s="118" t="s">
        <v>2877</v>
      </c>
      <c r="AB237" s="118"/>
      <c r="AC237" s="118"/>
      <c r="AD237" s="52"/>
      <c r="AE237" s="5"/>
      <c r="AF237" s="358"/>
      <c r="AG237" s="358"/>
      <c r="AH237" s="358"/>
      <c r="AI237" s="358"/>
      <c r="AJ237" s="358"/>
      <c r="AK237" s="113"/>
      <c r="AL237" s="113"/>
      <c r="AM237" s="113"/>
      <c r="AN237" s="113"/>
      <c r="AO237" s="113"/>
      <c r="AP237" s="52"/>
      <c r="AQ237" s="52"/>
      <c r="AR237" s="52"/>
      <c r="AS237" s="52"/>
      <c r="AT237" s="52"/>
      <c r="AU237" s="125"/>
      <c r="AV237" s="125"/>
      <c r="AW237" s="125"/>
      <c r="AX237" s="5"/>
      <c r="AY237" s="5"/>
      <c r="AZ237" s="113"/>
      <c r="BA237" s="113"/>
      <c r="BB237" s="113"/>
      <c r="BC237" s="52"/>
      <c r="BD237" s="52"/>
      <c r="BE237" s="118"/>
      <c r="BF237" s="118"/>
      <c r="BG237" s="118"/>
      <c r="BH237" s="52"/>
      <c r="BI237" s="283"/>
      <c r="BJ237" s="52"/>
      <c r="BK237" s="52"/>
      <c r="BL237" s="52"/>
      <c r="BM237" s="52"/>
      <c r="BN237" s="52"/>
      <c r="BO237" s="293">
        <v>55000</v>
      </c>
      <c r="BP237" s="52">
        <f>+BO237*0.19</f>
        <v>10450</v>
      </c>
      <c r="BQ237" s="293">
        <f>+BO237+BP237</f>
        <v>65450</v>
      </c>
      <c r="BR237" s="52" t="s">
        <v>2944</v>
      </c>
      <c r="BS237" s="52" t="s">
        <v>3586</v>
      </c>
      <c r="BT237" s="52"/>
      <c r="BU237" s="52"/>
      <c r="BV237" s="52"/>
      <c r="BW237" s="52"/>
      <c r="BX237" s="52"/>
      <c r="BY237" s="52"/>
      <c r="BZ237" s="52"/>
      <c r="CA237" s="52"/>
      <c r="CB237" s="52"/>
      <c r="CC237" s="52"/>
      <c r="CD237" s="118"/>
      <c r="CE237" s="52"/>
      <c r="CF237" s="52"/>
      <c r="CG237" s="52"/>
      <c r="CH237" s="52"/>
      <c r="CI237" s="52"/>
      <c r="CJ237" s="52"/>
      <c r="CK237" s="52"/>
      <c r="CL237" s="52"/>
      <c r="CM237" s="52"/>
      <c r="CN237" s="118"/>
      <c r="CO237" s="118"/>
      <c r="CP237" s="118"/>
      <c r="CQ237" s="52"/>
      <c r="CR237" s="52"/>
      <c r="CS237" s="52"/>
      <c r="CT237" s="52"/>
      <c r="CU237" s="52"/>
      <c r="CV237" s="52"/>
      <c r="CW237" s="52"/>
      <c r="CX237" s="52"/>
      <c r="CY237" s="52"/>
      <c r="CZ237" s="52"/>
      <c r="DA237" s="52"/>
      <c r="DB237" s="52"/>
    </row>
    <row r="238" spans="1:106" ht="94.5" x14ac:dyDescent="0.25">
      <c r="A238" s="411">
        <v>236</v>
      </c>
      <c r="B238" s="412" t="s">
        <v>3587</v>
      </c>
      <c r="C238" s="426" t="s">
        <v>3582</v>
      </c>
      <c r="D238" s="426" t="s">
        <v>445</v>
      </c>
      <c r="E238" s="80">
        <v>1</v>
      </c>
      <c r="F238" s="356">
        <v>156199.30559999999</v>
      </c>
      <c r="G238" s="293">
        <v>132900</v>
      </c>
      <c r="H238" s="293">
        <v>25251</v>
      </c>
      <c r="I238" s="293">
        <v>158151</v>
      </c>
      <c r="J238" s="52" t="s">
        <v>2956</v>
      </c>
      <c r="K238" s="52" t="s">
        <v>3588</v>
      </c>
      <c r="L238" s="359"/>
      <c r="M238" s="360"/>
      <c r="N238" s="361"/>
      <c r="O238" s="33"/>
      <c r="P238" s="252"/>
      <c r="Q238" s="113"/>
      <c r="R238" s="113"/>
      <c r="S238" s="113"/>
      <c r="T238" s="52"/>
      <c r="U238" s="5"/>
      <c r="V238" s="231"/>
      <c r="W238" s="231"/>
      <c r="X238" s="231"/>
      <c r="Y238" s="113"/>
      <c r="Z238" s="357"/>
      <c r="AA238" s="118" t="s">
        <v>2877</v>
      </c>
      <c r="AB238" s="118"/>
      <c r="AC238" s="118"/>
      <c r="AD238" s="52"/>
      <c r="AE238" s="5"/>
      <c r="AF238" s="113">
        <v>101777</v>
      </c>
      <c r="AG238" s="113">
        <v>19337.63</v>
      </c>
      <c r="AH238" s="113">
        <v>121114.63</v>
      </c>
      <c r="AI238" s="358" t="s">
        <v>2930</v>
      </c>
      <c r="AJ238" s="358">
        <v>414345500</v>
      </c>
      <c r="AK238" s="113">
        <v>114000</v>
      </c>
      <c r="AL238" s="113">
        <v>21660</v>
      </c>
      <c r="AM238" s="113">
        <v>135660</v>
      </c>
      <c r="AN238" s="113" t="s">
        <v>2980</v>
      </c>
      <c r="AO238" s="113">
        <v>218064455</v>
      </c>
      <c r="AP238" s="52"/>
      <c r="AQ238" s="52"/>
      <c r="AR238" s="52"/>
      <c r="AS238" s="52"/>
      <c r="AT238" s="52"/>
      <c r="AU238" s="125"/>
      <c r="AV238" s="125"/>
      <c r="AW238" s="125"/>
      <c r="AX238" s="5"/>
      <c r="AY238" s="5"/>
      <c r="AZ238" s="113">
        <v>95000</v>
      </c>
      <c r="BA238" s="113">
        <v>18050</v>
      </c>
      <c r="BB238" s="113">
        <v>113050</v>
      </c>
      <c r="BC238" s="52" t="s">
        <v>3483</v>
      </c>
      <c r="BD238" s="52" t="s">
        <v>3589</v>
      </c>
      <c r="BE238" s="118"/>
      <c r="BF238" s="118"/>
      <c r="BG238" s="118"/>
      <c r="BH238" s="52"/>
      <c r="BI238" s="283"/>
      <c r="BJ238" s="52"/>
      <c r="BK238" s="52"/>
      <c r="BL238" s="52"/>
      <c r="BM238" s="52"/>
      <c r="BN238" s="52"/>
      <c r="BO238" s="52"/>
      <c r="BP238" s="52"/>
      <c r="BQ238" s="52"/>
      <c r="BR238" s="52"/>
      <c r="BS238" s="52"/>
      <c r="BT238" s="52"/>
      <c r="BU238" s="52"/>
      <c r="BV238" s="52"/>
      <c r="BW238" s="52"/>
      <c r="BX238" s="52"/>
      <c r="BY238" s="52"/>
      <c r="BZ238" s="52"/>
      <c r="CA238" s="52"/>
      <c r="CB238" s="52"/>
      <c r="CC238" s="52"/>
      <c r="CD238" s="118"/>
      <c r="CE238" s="52"/>
      <c r="CF238" s="52"/>
      <c r="CG238" s="52"/>
      <c r="CH238" s="52"/>
      <c r="CI238" s="52"/>
      <c r="CJ238" s="52"/>
      <c r="CK238" s="52"/>
      <c r="CL238" s="52"/>
      <c r="CM238" s="52"/>
      <c r="CN238" s="118"/>
      <c r="CO238" s="118"/>
      <c r="CP238" s="118"/>
      <c r="CQ238" s="52"/>
      <c r="CR238" s="52"/>
      <c r="CS238" s="52"/>
      <c r="CT238" s="52"/>
      <c r="CU238" s="52"/>
      <c r="CV238" s="52"/>
      <c r="CW238" s="52"/>
      <c r="CX238" s="52"/>
      <c r="CY238" s="52"/>
      <c r="CZ238" s="52"/>
      <c r="DA238" s="52"/>
      <c r="DB238" s="52"/>
    </row>
    <row r="239" spans="1:106" ht="40.5" x14ac:dyDescent="0.25">
      <c r="A239" s="411">
        <v>237</v>
      </c>
      <c r="B239" s="412" t="s">
        <v>3590</v>
      </c>
      <c r="C239" s="413" t="s">
        <v>3582</v>
      </c>
      <c r="D239" s="426" t="s">
        <v>445</v>
      </c>
      <c r="E239" s="80">
        <v>1</v>
      </c>
      <c r="F239" s="356">
        <v>280288.01880000002</v>
      </c>
      <c r="G239" s="293">
        <v>231400</v>
      </c>
      <c r="H239" s="293">
        <v>43966</v>
      </c>
      <c r="I239" s="293">
        <v>275366</v>
      </c>
      <c r="J239" s="52" t="s">
        <v>2956</v>
      </c>
      <c r="K239" s="52" t="s">
        <v>3591</v>
      </c>
      <c r="L239" s="359"/>
      <c r="M239" s="360"/>
      <c r="N239" s="361"/>
      <c r="O239" s="33"/>
      <c r="P239" s="252"/>
      <c r="Q239" s="113"/>
      <c r="R239" s="113"/>
      <c r="S239" s="113"/>
      <c r="T239" s="52"/>
      <c r="U239" s="5"/>
      <c r="V239" s="231"/>
      <c r="W239" s="231"/>
      <c r="X239" s="231"/>
      <c r="Y239" s="113"/>
      <c r="Z239" s="357"/>
      <c r="AA239" s="118"/>
      <c r="AB239" s="118"/>
      <c r="AC239" s="118"/>
      <c r="AD239" s="52"/>
      <c r="AE239" s="5"/>
      <c r="AF239" s="113">
        <v>164673</v>
      </c>
      <c r="AG239" s="113">
        <v>31287.87</v>
      </c>
      <c r="AH239" s="113">
        <v>195960.87</v>
      </c>
      <c r="AI239" s="358" t="s">
        <v>2930</v>
      </c>
      <c r="AJ239" s="358">
        <v>414345950</v>
      </c>
      <c r="AK239" s="113"/>
      <c r="AL239" s="113"/>
      <c r="AM239" s="113"/>
      <c r="AN239" s="113"/>
      <c r="AO239" s="113"/>
      <c r="AP239" s="52"/>
      <c r="AQ239" s="52"/>
      <c r="AR239" s="52"/>
      <c r="AS239" s="52"/>
      <c r="AT239" s="52"/>
      <c r="AU239" s="125"/>
      <c r="AV239" s="125"/>
      <c r="AW239" s="125"/>
      <c r="AX239" s="5"/>
      <c r="AY239" s="5"/>
      <c r="AZ239" s="113">
        <v>161000</v>
      </c>
      <c r="BA239" s="113">
        <v>30590</v>
      </c>
      <c r="BB239" s="113">
        <v>191590</v>
      </c>
      <c r="BC239" s="52" t="s">
        <v>3483</v>
      </c>
      <c r="BD239" s="52" t="s">
        <v>3592</v>
      </c>
      <c r="BE239" s="118"/>
      <c r="BF239" s="118"/>
      <c r="BG239" s="118"/>
      <c r="BH239" s="52"/>
      <c r="BI239" s="283"/>
      <c r="BJ239" s="52"/>
      <c r="BK239" s="52"/>
      <c r="BL239" s="52"/>
      <c r="BM239" s="52"/>
      <c r="BN239" s="52"/>
      <c r="BO239" s="52"/>
      <c r="BP239" s="52"/>
      <c r="BQ239" s="52"/>
      <c r="BR239" s="52"/>
      <c r="BS239" s="52"/>
      <c r="BT239" s="52"/>
      <c r="BU239" s="52"/>
      <c r="BV239" s="52"/>
      <c r="BW239" s="52"/>
      <c r="BX239" s="52"/>
      <c r="BY239" s="52"/>
      <c r="BZ239" s="52"/>
      <c r="CA239" s="52"/>
      <c r="CB239" s="52"/>
      <c r="CC239" s="52"/>
      <c r="CD239" s="118"/>
      <c r="CE239" s="52"/>
      <c r="CF239" s="52"/>
      <c r="CG239" s="52"/>
      <c r="CH239" s="52"/>
      <c r="CI239" s="52"/>
      <c r="CJ239" s="52"/>
      <c r="CK239" s="52"/>
      <c r="CL239" s="52"/>
      <c r="CM239" s="52"/>
      <c r="CN239" s="118"/>
      <c r="CO239" s="118"/>
      <c r="CP239" s="118"/>
      <c r="CQ239" s="52"/>
      <c r="CR239" s="52"/>
      <c r="CS239" s="52"/>
      <c r="CT239" s="52"/>
      <c r="CU239" s="52"/>
      <c r="CV239" s="52"/>
      <c r="CW239" s="52"/>
      <c r="CX239" s="52"/>
      <c r="CY239" s="52"/>
      <c r="CZ239" s="52"/>
      <c r="DA239" s="52"/>
      <c r="DB239" s="52"/>
    </row>
    <row r="240" spans="1:106" ht="94.5" x14ac:dyDescent="0.25">
      <c r="A240" s="411">
        <v>238</v>
      </c>
      <c r="B240" s="412" t="s">
        <v>3593</v>
      </c>
      <c r="C240" s="413" t="s">
        <v>3582</v>
      </c>
      <c r="D240" s="426" t="s">
        <v>445</v>
      </c>
      <c r="E240" s="80">
        <v>1</v>
      </c>
      <c r="F240" s="356">
        <v>31818.025000000001</v>
      </c>
      <c r="G240" s="293">
        <v>17000</v>
      </c>
      <c r="H240" s="293">
        <v>3230</v>
      </c>
      <c r="I240" s="293">
        <v>20230</v>
      </c>
      <c r="J240" s="52" t="s">
        <v>2956</v>
      </c>
      <c r="K240" s="52" t="s">
        <v>3594</v>
      </c>
      <c r="L240" s="359"/>
      <c r="M240" s="360"/>
      <c r="N240" s="361"/>
      <c r="O240" s="33"/>
      <c r="P240" s="252"/>
      <c r="Q240" s="113"/>
      <c r="R240" s="113"/>
      <c r="S240" s="113"/>
      <c r="T240" s="52"/>
      <c r="U240" s="5"/>
      <c r="V240" s="231"/>
      <c r="W240" s="231"/>
      <c r="X240" s="231"/>
      <c r="Y240" s="113"/>
      <c r="Z240" s="357"/>
      <c r="AA240" s="118">
        <v>150000</v>
      </c>
      <c r="AB240" s="118">
        <f t="shared" ref="AB240:AB242" si="28">AA240*0.19</f>
        <v>28500</v>
      </c>
      <c r="AC240" s="118">
        <f t="shared" ref="AC240:AC242" si="29">AA240+AB240</f>
        <v>178500</v>
      </c>
      <c r="AD240" s="361" t="s">
        <v>126</v>
      </c>
      <c r="AE240" s="362">
        <v>2733799005</v>
      </c>
      <c r="AF240" s="113">
        <v>10500</v>
      </c>
      <c r="AG240" s="113">
        <v>1995</v>
      </c>
      <c r="AH240" s="113">
        <v>12495</v>
      </c>
      <c r="AI240" s="358" t="s">
        <v>2930</v>
      </c>
      <c r="AJ240" s="358">
        <v>414321100</v>
      </c>
      <c r="AK240" s="113">
        <v>17500</v>
      </c>
      <c r="AL240" s="113">
        <v>3325</v>
      </c>
      <c r="AM240" s="113">
        <v>20825</v>
      </c>
      <c r="AN240" s="113" t="s">
        <v>2980</v>
      </c>
      <c r="AO240" s="113">
        <v>218012458</v>
      </c>
      <c r="AP240" s="52"/>
      <c r="AQ240" s="52"/>
      <c r="AR240" s="52"/>
      <c r="AS240" s="52"/>
      <c r="AT240" s="52"/>
      <c r="AU240" s="125"/>
      <c r="AV240" s="125"/>
      <c r="AW240" s="125"/>
      <c r="AX240" s="5"/>
      <c r="AY240" s="5"/>
      <c r="AZ240" s="113">
        <v>19000</v>
      </c>
      <c r="BA240" s="113">
        <v>3610</v>
      </c>
      <c r="BB240" s="113">
        <v>22610</v>
      </c>
      <c r="BC240" s="52" t="s">
        <v>3483</v>
      </c>
      <c r="BD240" s="52" t="s">
        <v>3595</v>
      </c>
      <c r="BE240" s="118"/>
      <c r="BF240" s="118"/>
      <c r="BG240" s="118"/>
      <c r="BH240" s="52"/>
      <c r="BI240" s="283"/>
      <c r="BJ240" s="52"/>
      <c r="BK240" s="52"/>
      <c r="BL240" s="52"/>
      <c r="BM240" s="52"/>
      <c r="BN240" s="52"/>
      <c r="BO240" s="52"/>
      <c r="BP240" s="52"/>
      <c r="BQ240" s="52"/>
      <c r="BR240" s="52"/>
      <c r="BS240" s="52"/>
      <c r="BT240" s="52"/>
      <c r="BU240" s="52"/>
      <c r="BV240" s="52"/>
      <c r="BW240" s="52"/>
      <c r="BX240" s="52"/>
      <c r="BY240" s="52"/>
      <c r="BZ240" s="52"/>
      <c r="CA240" s="52"/>
      <c r="CB240" s="52"/>
      <c r="CC240" s="52"/>
      <c r="CD240" s="118"/>
      <c r="CE240" s="52"/>
      <c r="CF240" s="52"/>
      <c r="CG240" s="52"/>
      <c r="CH240" s="52"/>
      <c r="CI240" s="52"/>
      <c r="CJ240" s="52"/>
      <c r="CK240" s="52"/>
      <c r="CL240" s="52"/>
      <c r="CM240" s="52"/>
      <c r="CN240" s="118"/>
      <c r="CO240" s="118"/>
      <c r="CP240" s="118"/>
      <c r="CQ240" s="52"/>
      <c r="CR240" s="52"/>
      <c r="CS240" s="52"/>
      <c r="CT240" s="52"/>
      <c r="CU240" s="52"/>
      <c r="CV240" s="52"/>
      <c r="CW240" s="52"/>
      <c r="CX240" s="52"/>
      <c r="CY240" s="52"/>
      <c r="CZ240" s="52"/>
      <c r="DA240" s="52"/>
      <c r="DB240" s="52"/>
    </row>
    <row r="241" spans="1:106" ht="94.5" x14ac:dyDescent="0.25">
      <c r="A241" s="411">
        <v>239</v>
      </c>
      <c r="B241" s="412" t="s">
        <v>3596</v>
      </c>
      <c r="C241" s="413" t="s">
        <v>3582</v>
      </c>
      <c r="D241" s="426" t="s">
        <v>445</v>
      </c>
      <c r="E241" s="80">
        <v>1</v>
      </c>
      <c r="F241" s="356">
        <v>56975.652800000003</v>
      </c>
      <c r="G241" s="293">
        <v>34100</v>
      </c>
      <c r="H241" s="293">
        <v>6479</v>
      </c>
      <c r="I241" s="293">
        <v>40579</v>
      </c>
      <c r="J241" s="52" t="s">
        <v>2956</v>
      </c>
      <c r="K241" s="52" t="s">
        <v>3597</v>
      </c>
      <c r="L241" s="359"/>
      <c r="M241" s="360"/>
      <c r="N241" s="361"/>
      <c r="O241" s="33"/>
      <c r="P241" s="252"/>
      <c r="Q241" s="113"/>
      <c r="R241" s="113"/>
      <c r="S241" s="113"/>
      <c r="T241" s="52"/>
      <c r="U241" s="5"/>
      <c r="V241" s="231"/>
      <c r="W241" s="231"/>
      <c r="X241" s="231"/>
      <c r="Y241" s="113"/>
      <c r="Z241" s="357"/>
      <c r="AA241" s="118">
        <v>2281000</v>
      </c>
      <c r="AB241" s="118">
        <f t="shared" si="28"/>
        <v>433390</v>
      </c>
      <c r="AC241" s="118">
        <f t="shared" si="29"/>
        <v>2714390</v>
      </c>
      <c r="AD241" s="361" t="s">
        <v>126</v>
      </c>
      <c r="AE241" s="362">
        <v>2733799008</v>
      </c>
      <c r="AF241" s="113">
        <v>23650</v>
      </c>
      <c r="AG241" s="113">
        <v>4493.5</v>
      </c>
      <c r="AH241" s="113">
        <v>28143.5</v>
      </c>
      <c r="AI241" s="358" t="s">
        <v>2930</v>
      </c>
      <c r="AJ241" s="358">
        <v>414321940</v>
      </c>
      <c r="AK241" s="113">
        <v>31100</v>
      </c>
      <c r="AL241" s="113">
        <v>5909</v>
      </c>
      <c r="AM241" s="113">
        <v>37009</v>
      </c>
      <c r="AN241" s="113" t="s">
        <v>2980</v>
      </c>
      <c r="AO241" s="113">
        <v>218015455</v>
      </c>
      <c r="AP241" s="52"/>
      <c r="AQ241" s="52"/>
      <c r="AR241" s="52"/>
      <c r="AS241" s="52"/>
      <c r="AT241" s="52"/>
      <c r="AU241" s="125"/>
      <c r="AV241" s="125"/>
      <c r="AW241" s="125"/>
      <c r="AX241" s="5"/>
      <c r="AY241" s="5"/>
      <c r="AZ241" s="113">
        <v>34000</v>
      </c>
      <c r="BA241" s="113">
        <v>6460</v>
      </c>
      <c r="BB241" s="113">
        <v>40460</v>
      </c>
      <c r="BC241" s="52" t="s">
        <v>3483</v>
      </c>
      <c r="BD241" s="52" t="s">
        <v>3598</v>
      </c>
      <c r="BE241" s="118"/>
      <c r="BF241" s="118"/>
      <c r="BG241" s="118"/>
      <c r="BH241" s="52"/>
      <c r="BI241" s="283"/>
      <c r="BJ241" s="52"/>
      <c r="BK241" s="52"/>
      <c r="BL241" s="52"/>
      <c r="BM241" s="52"/>
      <c r="BN241" s="52"/>
      <c r="BO241" s="52"/>
      <c r="BP241" s="52"/>
      <c r="BQ241" s="52"/>
      <c r="BR241" s="52"/>
      <c r="BS241" s="52"/>
      <c r="BT241" s="52"/>
      <c r="BU241" s="52"/>
      <c r="BV241" s="52"/>
      <c r="BW241" s="52"/>
      <c r="BX241" s="52"/>
      <c r="BY241" s="52"/>
      <c r="BZ241" s="52"/>
      <c r="CA241" s="52"/>
      <c r="CB241" s="52"/>
      <c r="CC241" s="52"/>
      <c r="CD241" s="118"/>
      <c r="CE241" s="52"/>
      <c r="CF241" s="52"/>
      <c r="CG241" s="52"/>
      <c r="CH241" s="52"/>
      <c r="CI241" s="52"/>
      <c r="CJ241" s="52"/>
      <c r="CK241" s="52"/>
      <c r="CL241" s="52"/>
      <c r="CM241" s="52"/>
      <c r="CN241" s="118"/>
      <c r="CO241" s="118"/>
      <c r="CP241" s="118"/>
      <c r="CQ241" s="52"/>
      <c r="CR241" s="52"/>
      <c r="CS241" s="52"/>
      <c r="CT241" s="52"/>
      <c r="CU241" s="52"/>
      <c r="CV241" s="52"/>
      <c r="CW241" s="52"/>
      <c r="CX241" s="52"/>
      <c r="CY241" s="52"/>
      <c r="CZ241" s="52"/>
      <c r="DA241" s="52"/>
      <c r="DB241" s="52"/>
    </row>
    <row r="242" spans="1:106" ht="94.5" x14ac:dyDescent="0.25">
      <c r="A242" s="411">
        <v>240</v>
      </c>
      <c r="B242" s="412" t="s">
        <v>3599</v>
      </c>
      <c r="C242" s="426" t="s">
        <v>3582</v>
      </c>
      <c r="D242" s="426" t="s">
        <v>445</v>
      </c>
      <c r="E242" s="80">
        <v>1</v>
      </c>
      <c r="F242" s="356">
        <v>123969.36260000001</v>
      </c>
      <c r="G242" s="293">
        <v>84300</v>
      </c>
      <c r="H242" s="293">
        <v>16017</v>
      </c>
      <c r="I242" s="293">
        <v>100317</v>
      </c>
      <c r="J242" s="52" t="s">
        <v>2956</v>
      </c>
      <c r="K242" s="52" t="s">
        <v>3600</v>
      </c>
      <c r="L242" s="359"/>
      <c r="M242" s="360"/>
      <c r="N242" s="361"/>
      <c r="O242" s="33"/>
      <c r="P242" s="252"/>
      <c r="Q242" s="113"/>
      <c r="R242" s="113"/>
      <c r="S242" s="113"/>
      <c r="T242" s="52"/>
      <c r="U242" s="5"/>
      <c r="V242" s="231"/>
      <c r="W242" s="231"/>
      <c r="X242" s="231"/>
      <c r="Y242" s="113"/>
      <c r="Z242" s="357"/>
      <c r="AA242" s="118">
        <v>2281000</v>
      </c>
      <c r="AB242" s="118">
        <f t="shared" si="28"/>
        <v>433390</v>
      </c>
      <c r="AC242" s="118">
        <f t="shared" si="29"/>
        <v>2714390</v>
      </c>
      <c r="AD242" s="361" t="s">
        <v>126</v>
      </c>
      <c r="AE242" s="362">
        <v>2733799009</v>
      </c>
      <c r="AF242" s="113">
        <v>38900</v>
      </c>
      <c r="AG242" s="113">
        <v>7391</v>
      </c>
      <c r="AH242" s="113">
        <v>46291</v>
      </c>
      <c r="AI242" s="358" t="s">
        <v>2930</v>
      </c>
      <c r="AJ242" s="358">
        <v>414321950</v>
      </c>
      <c r="AK242" s="113">
        <v>64700</v>
      </c>
      <c r="AL242" s="113">
        <v>12293</v>
      </c>
      <c r="AM242" s="113">
        <v>76993</v>
      </c>
      <c r="AN242" s="113" t="s">
        <v>2980</v>
      </c>
      <c r="AO242" s="113">
        <v>218016357</v>
      </c>
      <c r="AP242" s="52"/>
      <c r="AQ242" s="52"/>
      <c r="AR242" s="52"/>
      <c r="AS242" s="52"/>
      <c r="AT242" s="52"/>
      <c r="AU242" s="125"/>
      <c r="AV242" s="125"/>
      <c r="AW242" s="125"/>
      <c r="AX242" s="5"/>
      <c r="AY242" s="5"/>
      <c r="AZ242" s="113">
        <v>73000</v>
      </c>
      <c r="BA242" s="113">
        <v>13870</v>
      </c>
      <c r="BB242" s="113">
        <v>86870</v>
      </c>
      <c r="BC242" s="52" t="s">
        <v>3483</v>
      </c>
      <c r="BD242" s="52" t="s">
        <v>3601</v>
      </c>
      <c r="BE242" s="118"/>
      <c r="BF242" s="118"/>
      <c r="BG242" s="118"/>
      <c r="BH242" s="52"/>
      <c r="BI242" s="283"/>
      <c r="BJ242" s="52"/>
      <c r="BK242" s="52"/>
      <c r="BL242" s="52"/>
      <c r="BM242" s="52"/>
      <c r="BN242" s="52"/>
      <c r="BO242" s="52"/>
      <c r="BP242" s="52"/>
      <c r="BQ242" s="52"/>
      <c r="BR242" s="52"/>
      <c r="BS242" s="52"/>
      <c r="BT242" s="52"/>
      <c r="BU242" s="52"/>
      <c r="BV242" s="52"/>
      <c r="BW242" s="52"/>
      <c r="BX242" s="52"/>
      <c r="BY242" s="52"/>
      <c r="BZ242" s="52"/>
      <c r="CA242" s="52"/>
      <c r="CB242" s="52"/>
      <c r="CC242" s="52"/>
      <c r="CD242" s="118"/>
      <c r="CE242" s="52"/>
      <c r="CF242" s="52"/>
      <c r="CG242" s="52"/>
      <c r="CH242" s="52"/>
      <c r="CI242" s="52"/>
      <c r="CJ242" s="52"/>
      <c r="CK242" s="52"/>
      <c r="CL242" s="52"/>
      <c r="CM242" s="52"/>
      <c r="CN242" s="118"/>
      <c r="CO242" s="118"/>
      <c r="CP242" s="118"/>
      <c r="CQ242" s="52"/>
      <c r="CR242" s="52"/>
      <c r="CS242" s="52"/>
      <c r="CT242" s="52"/>
      <c r="CU242" s="52"/>
      <c r="CV242" s="52"/>
      <c r="CW242" s="52"/>
      <c r="CX242" s="52"/>
      <c r="CY242" s="52"/>
      <c r="CZ242" s="52"/>
      <c r="DA242" s="52"/>
      <c r="DB242" s="52"/>
    </row>
    <row r="243" spans="1:106" ht="81" x14ac:dyDescent="0.25">
      <c r="A243" s="411">
        <v>241</v>
      </c>
      <c r="B243" s="412" t="s">
        <v>3602</v>
      </c>
      <c r="C243" s="413" t="s">
        <v>3582</v>
      </c>
      <c r="D243" s="426" t="s">
        <v>445</v>
      </c>
      <c r="E243" s="80">
        <v>1</v>
      </c>
      <c r="F243" s="356">
        <v>22623.804</v>
      </c>
      <c r="G243" s="293"/>
      <c r="H243" s="293"/>
      <c r="I243" s="293"/>
      <c r="J243" s="52"/>
      <c r="K243" s="52"/>
      <c r="L243" s="359"/>
      <c r="M243" s="360"/>
      <c r="N243" s="361"/>
      <c r="O243" s="33"/>
      <c r="P243" s="252"/>
      <c r="Q243" s="113"/>
      <c r="R243" s="113"/>
      <c r="S243" s="113"/>
      <c r="T243" s="52"/>
      <c r="U243" s="5"/>
      <c r="V243" s="231"/>
      <c r="W243" s="231"/>
      <c r="X243" s="231"/>
      <c r="Y243" s="113"/>
      <c r="Z243" s="357"/>
      <c r="AA243" s="118" t="s">
        <v>2877</v>
      </c>
      <c r="AB243" s="118"/>
      <c r="AC243" s="118"/>
      <c r="AD243" s="52"/>
      <c r="AE243" s="5"/>
      <c r="AF243" s="358"/>
      <c r="AG243" s="358"/>
      <c r="AH243" s="358"/>
      <c r="AI243" s="358"/>
      <c r="AJ243" s="358"/>
      <c r="AK243" s="113">
        <v>16200</v>
      </c>
      <c r="AL243" s="113">
        <v>3078</v>
      </c>
      <c r="AM243" s="113">
        <v>19278</v>
      </c>
      <c r="AN243" s="113" t="s">
        <v>2980</v>
      </c>
      <c r="AO243" s="113">
        <v>218011453</v>
      </c>
      <c r="AP243" s="52"/>
      <c r="AQ243" s="52"/>
      <c r="AR243" s="52"/>
      <c r="AS243" s="52"/>
      <c r="AT243" s="52"/>
      <c r="AU243" s="125"/>
      <c r="AV243" s="125"/>
      <c r="AW243" s="125"/>
      <c r="AX243" s="5"/>
      <c r="AY243" s="5"/>
      <c r="AZ243" s="113">
        <v>56000</v>
      </c>
      <c r="BA243" s="113">
        <v>10640</v>
      </c>
      <c r="BB243" s="113">
        <v>66640</v>
      </c>
      <c r="BC243" s="52" t="s">
        <v>2925</v>
      </c>
      <c r="BD243" s="52" t="s">
        <v>3603</v>
      </c>
      <c r="BE243" s="118"/>
      <c r="BF243" s="118"/>
      <c r="BG243" s="118"/>
      <c r="BH243" s="52"/>
      <c r="BI243" s="283"/>
      <c r="BJ243" s="52"/>
      <c r="BK243" s="52"/>
      <c r="BL243" s="52"/>
      <c r="BM243" s="52"/>
      <c r="BN243" s="52"/>
      <c r="BO243" s="52"/>
      <c r="BP243" s="52"/>
      <c r="BQ243" s="52"/>
      <c r="BR243" s="52"/>
      <c r="BS243" s="52"/>
      <c r="BT243" s="52"/>
      <c r="BU243" s="52"/>
      <c r="BV243" s="52"/>
      <c r="BW243" s="52"/>
      <c r="BX243" s="52"/>
      <c r="BY243" s="52"/>
      <c r="BZ243" s="52"/>
      <c r="CA243" s="52"/>
      <c r="CB243" s="52"/>
      <c r="CC243" s="52"/>
      <c r="CD243" s="118"/>
      <c r="CE243" s="52"/>
      <c r="CF243" s="52"/>
      <c r="CG243" s="52"/>
      <c r="CH243" s="52"/>
      <c r="CI243" s="52"/>
      <c r="CJ243" s="52"/>
      <c r="CK243" s="52"/>
      <c r="CL243" s="52"/>
      <c r="CM243" s="52"/>
      <c r="CN243" s="118"/>
      <c r="CO243" s="118"/>
      <c r="CP243" s="118"/>
      <c r="CQ243" s="52"/>
      <c r="CR243" s="52"/>
      <c r="CS243" s="52"/>
      <c r="CT243" s="52"/>
      <c r="CU243" s="52"/>
      <c r="CV243" s="52"/>
      <c r="CW243" s="52"/>
      <c r="CX243" s="52"/>
      <c r="CY243" s="52"/>
      <c r="CZ243" s="52"/>
      <c r="DA243" s="52"/>
      <c r="DB243" s="52"/>
    </row>
    <row r="244" spans="1:106" ht="94.5" x14ac:dyDescent="0.25">
      <c r="A244" s="411">
        <v>242</v>
      </c>
      <c r="B244" s="412" t="s">
        <v>3604</v>
      </c>
      <c r="C244" s="426" t="s">
        <v>3582</v>
      </c>
      <c r="D244" s="426" t="s">
        <v>445</v>
      </c>
      <c r="E244" s="80">
        <v>1</v>
      </c>
      <c r="F244" s="356">
        <v>34471.199399999998</v>
      </c>
      <c r="G244" s="293">
        <v>19900</v>
      </c>
      <c r="H244" s="293">
        <v>3781</v>
      </c>
      <c r="I244" s="293">
        <v>23681</v>
      </c>
      <c r="J244" s="52" t="s">
        <v>2956</v>
      </c>
      <c r="K244" s="52" t="s">
        <v>3605</v>
      </c>
      <c r="L244" s="359"/>
      <c r="M244" s="360"/>
      <c r="N244" s="361"/>
      <c r="O244" s="33"/>
      <c r="P244" s="252"/>
      <c r="Q244" s="113"/>
      <c r="R244" s="113"/>
      <c r="S244" s="113"/>
      <c r="T244" s="52"/>
      <c r="U244" s="5"/>
      <c r="V244" s="231"/>
      <c r="W244" s="231"/>
      <c r="X244" s="231"/>
      <c r="Y244" s="113"/>
      <c r="Z244" s="357"/>
      <c r="AA244" s="118">
        <v>202000</v>
      </c>
      <c r="AB244" s="118">
        <f>AA244*0.19</f>
        <v>38380</v>
      </c>
      <c r="AC244" s="118">
        <f>AA244+AB244</f>
        <v>240380</v>
      </c>
      <c r="AD244" s="361" t="s">
        <v>126</v>
      </c>
      <c r="AE244" s="362">
        <v>2733799006</v>
      </c>
      <c r="AF244" s="113">
        <v>11654</v>
      </c>
      <c r="AG244" s="113">
        <v>2214.2600000000002</v>
      </c>
      <c r="AH244" s="113">
        <v>13868.26</v>
      </c>
      <c r="AI244" s="358" t="s">
        <v>2930</v>
      </c>
      <c r="AJ244" s="358">
        <v>414321250</v>
      </c>
      <c r="AK244" s="113">
        <v>19700</v>
      </c>
      <c r="AL244" s="113">
        <v>3743</v>
      </c>
      <c r="AM244" s="113">
        <v>23443</v>
      </c>
      <c r="AN244" s="113" t="s">
        <v>2980</v>
      </c>
      <c r="AO244" s="113">
        <v>218013651</v>
      </c>
      <c r="AP244" s="52"/>
      <c r="AQ244" s="52"/>
      <c r="AR244" s="52"/>
      <c r="AS244" s="52"/>
      <c r="AT244" s="52"/>
      <c r="AU244" s="125"/>
      <c r="AV244" s="125"/>
      <c r="AW244" s="125"/>
      <c r="AX244" s="5"/>
      <c r="AY244" s="5"/>
      <c r="AZ244" s="113">
        <v>20000</v>
      </c>
      <c r="BA244" s="113">
        <v>3800</v>
      </c>
      <c r="BB244" s="113">
        <v>23800</v>
      </c>
      <c r="BC244" s="52" t="s">
        <v>3483</v>
      </c>
      <c r="BD244" s="52" t="s">
        <v>3606</v>
      </c>
      <c r="BE244" s="118"/>
      <c r="BF244" s="118"/>
      <c r="BG244" s="118"/>
      <c r="BH244" s="52"/>
      <c r="BI244" s="283"/>
      <c r="BJ244" s="52"/>
      <c r="BK244" s="52"/>
      <c r="BL244" s="52"/>
      <c r="BM244" s="52"/>
      <c r="BN244" s="52"/>
      <c r="BO244" s="52"/>
      <c r="BP244" s="52"/>
      <c r="BQ244" s="52"/>
      <c r="BR244" s="52"/>
      <c r="BS244" s="52"/>
      <c r="BT244" s="52"/>
      <c r="BU244" s="52"/>
      <c r="BV244" s="52"/>
      <c r="BW244" s="52"/>
      <c r="BX244" s="52"/>
      <c r="BY244" s="118">
        <v>80000</v>
      </c>
      <c r="BZ244" s="118">
        <f>+BY244*0.19</f>
        <v>15200</v>
      </c>
      <c r="CA244" s="118">
        <f>+BY244+BZ244</f>
        <v>95200</v>
      </c>
      <c r="CB244" s="52" t="s">
        <v>3607</v>
      </c>
      <c r="CC244" s="52" t="s">
        <v>3608</v>
      </c>
      <c r="CD244" s="118"/>
      <c r="CE244" s="52"/>
      <c r="CF244" s="52"/>
      <c r="CG244" s="52"/>
      <c r="CH244" s="52"/>
      <c r="CI244" s="52"/>
      <c r="CJ244" s="52"/>
      <c r="CK244" s="52"/>
      <c r="CL244" s="52"/>
      <c r="CM244" s="52"/>
      <c r="CN244" s="118"/>
      <c r="CO244" s="118"/>
      <c r="CP244" s="118"/>
      <c r="CQ244" s="52"/>
      <c r="CR244" s="52"/>
      <c r="CS244" s="52"/>
      <c r="CT244" s="52"/>
      <c r="CU244" s="52"/>
      <c r="CV244" s="52"/>
      <c r="CW244" s="52"/>
      <c r="CX244" s="52"/>
      <c r="CY244" s="52"/>
      <c r="CZ244" s="52"/>
      <c r="DA244" s="52"/>
      <c r="DB244" s="52"/>
    </row>
    <row r="245" spans="1:106" ht="94.5" x14ac:dyDescent="0.25">
      <c r="A245" s="411">
        <v>243</v>
      </c>
      <c r="B245" s="412" t="s">
        <v>3609</v>
      </c>
      <c r="C245" s="413" t="s">
        <v>3582</v>
      </c>
      <c r="D245" s="426" t="s">
        <v>445</v>
      </c>
      <c r="E245" s="80">
        <v>1</v>
      </c>
      <c r="F245" s="356">
        <v>22133.727200000001</v>
      </c>
      <c r="G245" s="293">
        <v>26400</v>
      </c>
      <c r="H245" s="293">
        <v>5016</v>
      </c>
      <c r="I245" s="293">
        <v>31416</v>
      </c>
      <c r="J245" s="52" t="s">
        <v>2956</v>
      </c>
      <c r="K245" s="52" t="s">
        <v>3610</v>
      </c>
      <c r="L245" s="359"/>
      <c r="M245" s="360"/>
      <c r="N245" s="361"/>
      <c r="O245" s="33"/>
      <c r="P245" s="252"/>
      <c r="Q245" s="113"/>
      <c r="R245" s="113"/>
      <c r="S245" s="113"/>
      <c r="T245" s="52"/>
      <c r="U245" s="5"/>
      <c r="V245" s="231"/>
      <c r="W245" s="231"/>
      <c r="X245" s="231"/>
      <c r="Y245" s="113"/>
      <c r="Z245" s="357"/>
      <c r="AA245" s="118" t="s">
        <v>2877</v>
      </c>
      <c r="AB245" s="118"/>
      <c r="AC245" s="118"/>
      <c r="AD245" s="52"/>
      <c r="AE245" s="5"/>
      <c r="AF245" s="113">
        <v>14200</v>
      </c>
      <c r="AG245" s="113">
        <v>2698</v>
      </c>
      <c r="AH245" s="113">
        <v>16898</v>
      </c>
      <c r="AI245" s="358" t="s">
        <v>2930</v>
      </c>
      <c r="AJ245" s="358">
        <v>414501050</v>
      </c>
      <c r="AK245" s="113">
        <v>19400</v>
      </c>
      <c r="AL245" s="113">
        <v>3686</v>
      </c>
      <c r="AM245" s="113">
        <v>23086</v>
      </c>
      <c r="AN245" s="113" t="s">
        <v>2980</v>
      </c>
      <c r="AO245" s="113">
        <v>218011753</v>
      </c>
      <c r="AP245" s="52"/>
      <c r="AQ245" s="52"/>
      <c r="AR245" s="52"/>
      <c r="AS245" s="52"/>
      <c r="AT245" s="52"/>
      <c r="AU245" s="125"/>
      <c r="AV245" s="125"/>
      <c r="AW245" s="125"/>
      <c r="AX245" s="5"/>
      <c r="AY245" s="5"/>
      <c r="AZ245" s="113">
        <v>59000</v>
      </c>
      <c r="BA245" s="113">
        <v>11210</v>
      </c>
      <c r="BB245" s="113">
        <v>70210</v>
      </c>
      <c r="BC245" s="52" t="s">
        <v>2925</v>
      </c>
      <c r="BD245" s="52" t="s">
        <v>3611</v>
      </c>
      <c r="BE245" s="118"/>
      <c r="BF245" s="118"/>
      <c r="BG245" s="118"/>
      <c r="BH245" s="52"/>
      <c r="BI245" s="283"/>
      <c r="BJ245" s="52"/>
      <c r="BK245" s="52"/>
      <c r="BL245" s="52"/>
      <c r="BM245" s="52"/>
      <c r="BN245" s="52"/>
      <c r="BO245" s="52"/>
      <c r="BP245" s="52"/>
      <c r="BQ245" s="52"/>
      <c r="BR245" s="52"/>
      <c r="BS245" s="52"/>
      <c r="BT245" s="52"/>
      <c r="BU245" s="52"/>
      <c r="BV245" s="52"/>
      <c r="BW245" s="52"/>
      <c r="BX245" s="52"/>
      <c r="BY245" s="118">
        <v>58000</v>
      </c>
      <c r="BZ245" s="118">
        <f>+BY245*0.19</f>
        <v>11020</v>
      </c>
      <c r="CA245" s="118">
        <f>+BY245+BZ245</f>
        <v>69020</v>
      </c>
      <c r="CB245" s="52" t="s">
        <v>3607</v>
      </c>
      <c r="CC245" s="52" t="s">
        <v>3586</v>
      </c>
      <c r="CD245" s="118">
        <v>64706</v>
      </c>
      <c r="CE245" s="118">
        <f>+CD245*0.19</f>
        <v>12294.14</v>
      </c>
      <c r="CF245" s="118">
        <f>+CD245+CE245</f>
        <v>77000.14</v>
      </c>
      <c r="CG245" s="52" t="s">
        <v>2927</v>
      </c>
      <c r="CH245" s="52" t="s">
        <v>3586</v>
      </c>
      <c r="CI245" s="52"/>
      <c r="CJ245" s="52"/>
      <c r="CK245" s="52"/>
      <c r="CL245" s="52"/>
      <c r="CM245" s="52"/>
      <c r="CN245" s="118">
        <v>44300</v>
      </c>
      <c r="CO245" s="118">
        <f>+CN245*0.19</f>
        <v>8417</v>
      </c>
      <c r="CP245" s="118">
        <f>+CN245+CO245</f>
        <v>52717</v>
      </c>
      <c r="CQ245" s="52" t="s">
        <v>2930</v>
      </c>
      <c r="CR245" s="52" t="s">
        <v>3586</v>
      </c>
      <c r="CS245" s="52"/>
      <c r="CT245" s="52"/>
      <c r="CU245" s="52"/>
      <c r="CV245" s="52"/>
      <c r="CW245" s="52"/>
      <c r="CX245" s="52"/>
      <c r="CY245" s="52"/>
      <c r="CZ245" s="52"/>
      <c r="DA245" s="52"/>
      <c r="DB245" s="52"/>
    </row>
    <row r="246" spans="1:106" ht="94.5" x14ac:dyDescent="0.25">
      <c r="A246" s="411">
        <v>244</v>
      </c>
      <c r="B246" s="412" t="s">
        <v>3612</v>
      </c>
      <c r="C246" s="413" t="s">
        <v>3582</v>
      </c>
      <c r="D246" s="426" t="s">
        <v>445</v>
      </c>
      <c r="E246" s="80">
        <v>1</v>
      </c>
      <c r="F246" s="356">
        <v>40619.339599999999</v>
      </c>
      <c r="G246" s="293">
        <v>24100</v>
      </c>
      <c r="H246" s="293">
        <v>4579</v>
      </c>
      <c r="I246" s="293">
        <v>28679</v>
      </c>
      <c r="J246" s="52" t="s">
        <v>2956</v>
      </c>
      <c r="K246" s="52" t="s">
        <v>3613</v>
      </c>
      <c r="L246" s="359"/>
      <c r="M246" s="360"/>
      <c r="N246" s="361"/>
      <c r="O246" s="33"/>
      <c r="P246" s="252"/>
      <c r="Q246" s="113"/>
      <c r="R246" s="113"/>
      <c r="S246" s="113"/>
      <c r="T246" s="52"/>
      <c r="U246" s="5"/>
      <c r="V246" s="231"/>
      <c r="W246" s="231"/>
      <c r="X246" s="231"/>
      <c r="Y246" s="113"/>
      <c r="Z246" s="357"/>
      <c r="AA246" s="118">
        <v>247000</v>
      </c>
      <c r="AB246" s="118">
        <f>AA246*0.19</f>
        <v>46930</v>
      </c>
      <c r="AC246" s="118">
        <f>AA246+AB246</f>
        <v>293930</v>
      </c>
      <c r="AD246" s="361" t="s">
        <v>126</v>
      </c>
      <c r="AE246" s="362">
        <v>2733799007</v>
      </c>
      <c r="AF246" s="113">
        <v>14400</v>
      </c>
      <c r="AG246" s="113">
        <v>2736</v>
      </c>
      <c r="AH246" s="113">
        <v>17136</v>
      </c>
      <c r="AI246" s="358" t="s">
        <v>2930</v>
      </c>
      <c r="AJ246" s="358">
        <v>414321500</v>
      </c>
      <c r="AK246" s="113">
        <v>22200</v>
      </c>
      <c r="AL246" s="113">
        <v>4218</v>
      </c>
      <c r="AM246" s="113">
        <v>26418</v>
      </c>
      <c r="AN246" s="113" t="s">
        <v>2980</v>
      </c>
      <c r="AO246" s="113">
        <v>218014459</v>
      </c>
      <c r="AP246" s="52"/>
      <c r="AQ246" s="52"/>
      <c r="AR246" s="52"/>
      <c r="AS246" s="52"/>
      <c r="AT246" s="52"/>
      <c r="AU246" s="125"/>
      <c r="AV246" s="125"/>
      <c r="AW246" s="125"/>
      <c r="AX246" s="5"/>
      <c r="AY246" s="5"/>
      <c r="AZ246" s="113">
        <v>24000</v>
      </c>
      <c r="BA246" s="113">
        <v>4560</v>
      </c>
      <c r="BB246" s="113">
        <v>28560</v>
      </c>
      <c r="BC246" s="52" t="s">
        <v>3483</v>
      </c>
      <c r="BD246" s="52" t="s">
        <v>3614</v>
      </c>
      <c r="BE246" s="118"/>
      <c r="BF246" s="118"/>
      <c r="BG246" s="118"/>
      <c r="BH246" s="52"/>
      <c r="BI246" s="283"/>
      <c r="BJ246" s="52"/>
      <c r="BK246" s="52"/>
      <c r="BL246" s="52"/>
      <c r="BM246" s="52"/>
      <c r="BN246" s="52"/>
      <c r="BO246" s="52"/>
      <c r="BP246" s="52"/>
      <c r="BQ246" s="52"/>
      <c r="BR246" s="52"/>
      <c r="BS246" s="52"/>
      <c r="BT246" s="52"/>
      <c r="BU246" s="52"/>
      <c r="BV246" s="52"/>
      <c r="BW246" s="52"/>
      <c r="BX246" s="52"/>
      <c r="BY246" s="52"/>
      <c r="BZ246" s="52"/>
      <c r="CA246" s="52"/>
      <c r="CB246" s="52"/>
      <c r="CC246" s="52"/>
      <c r="CD246" s="118"/>
      <c r="CE246" s="52"/>
      <c r="CF246" s="52"/>
      <c r="CG246" s="52"/>
      <c r="CH246" s="52"/>
      <c r="CI246" s="52"/>
      <c r="CJ246" s="52"/>
      <c r="CK246" s="52"/>
      <c r="CL246" s="52"/>
      <c r="CM246" s="52"/>
      <c r="CN246" s="118"/>
      <c r="CO246" s="118"/>
      <c r="CP246" s="118"/>
      <c r="CQ246" s="52"/>
      <c r="CR246" s="52"/>
      <c r="CS246" s="52"/>
      <c r="CT246" s="52"/>
      <c r="CU246" s="52"/>
      <c r="CV246" s="52"/>
      <c r="CW246" s="52"/>
      <c r="CX246" s="52"/>
      <c r="CY246" s="52"/>
      <c r="CZ246" s="52"/>
      <c r="DA246" s="52"/>
      <c r="DB246" s="52"/>
    </row>
    <row r="247" spans="1:106" ht="27" x14ac:dyDescent="0.25">
      <c r="A247" s="411">
        <v>245</v>
      </c>
      <c r="B247" s="409" t="s">
        <v>3615</v>
      </c>
      <c r="C247" s="413" t="s">
        <v>622</v>
      </c>
      <c r="D247" s="409" t="s">
        <v>445</v>
      </c>
      <c r="E247" s="80">
        <v>1</v>
      </c>
      <c r="F247" s="80"/>
      <c r="G247" s="293"/>
      <c r="H247" s="293"/>
      <c r="I247" s="293"/>
      <c r="J247" s="52"/>
      <c r="K247" s="52"/>
      <c r="L247" s="359"/>
      <c r="M247" s="360"/>
      <c r="N247" s="361"/>
      <c r="O247" s="33"/>
      <c r="P247" s="252"/>
      <c r="Q247" s="113"/>
      <c r="R247" s="113"/>
      <c r="S247" s="113"/>
      <c r="T247" s="52"/>
      <c r="U247" s="5"/>
      <c r="V247" s="231"/>
      <c r="W247" s="231"/>
      <c r="X247" s="231"/>
      <c r="Y247" s="113"/>
      <c r="Z247" s="357"/>
      <c r="AA247" s="118" t="s">
        <v>2877</v>
      </c>
      <c r="AB247" s="118"/>
      <c r="AC247" s="118"/>
      <c r="AD247" s="52"/>
      <c r="AE247" s="5"/>
      <c r="AF247" s="358"/>
      <c r="AG247" s="358"/>
      <c r="AH247" s="358"/>
      <c r="AI247" s="358"/>
      <c r="AJ247" s="358"/>
      <c r="AK247" s="113"/>
      <c r="AL247" s="113"/>
      <c r="AM247" s="113"/>
      <c r="AN247" s="113"/>
      <c r="AO247" s="113"/>
      <c r="AP247" s="52"/>
      <c r="AQ247" s="52"/>
      <c r="AR247" s="52"/>
      <c r="AS247" s="52"/>
      <c r="AT247" s="52"/>
      <c r="AU247" s="125"/>
      <c r="AV247" s="125"/>
      <c r="AW247" s="125"/>
      <c r="AX247" s="5"/>
      <c r="AY247" s="5"/>
      <c r="AZ247" s="113">
        <v>16000</v>
      </c>
      <c r="BA247" s="113">
        <v>3040</v>
      </c>
      <c r="BB247" s="113">
        <v>19040</v>
      </c>
      <c r="BC247" s="52" t="s">
        <v>164</v>
      </c>
      <c r="BD247" s="52"/>
      <c r="BE247" s="118"/>
      <c r="BF247" s="118"/>
      <c r="BG247" s="118"/>
      <c r="BH247" s="52"/>
      <c r="BI247" s="283"/>
      <c r="BJ247" s="52"/>
      <c r="BK247" s="52"/>
      <c r="BL247" s="52"/>
      <c r="BM247" s="52"/>
      <c r="BN247" s="52"/>
      <c r="BO247" s="52"/>
      <c r="BP247" s="52"/>
      <c r="BQ247" s="52"/>
      <c r="BR247" s="52"/>
      <c r="BS247" s="52"/>
      <c r="BT247" s="52"/>
      <c r="BU247" s="52"/>
      <c r="BV247" s="52"/>
      <c r="BW247" s="52"/>
      <c r="BX247" s="52"/>
      <c r="BY247" s="52"/>
      <c r="BZ247" s="52"/>
      <c r="CA247" s="52"/>
      <c r="CB247" s="52"/>
      <c r="CC247" s="52"/>
      <c r="CD247" s="118"/>
      <c r="CE247" s="52"/>
      <c r="CF247" s="52"/>
      <c r="CG247" s="52"/>
      <c r="CH247" s="52"/>
      <c r="CI247" s="52"/>
      <c r="CJ247" s="52"/>
      <c r="CK247" s="52"/>
      <c r="CL247" s="52"/>
      <c r="CM247" s="52"/>
      <c r="CN247" s="118"/>
      <c r="CO247" s="118"/>
      <c r="CP247" s="118"/>
      <c r="CQ247" s="52"/>
      <c r="CR247" s="52"/>
      <c r="CS247" s="52"/>
      <c r="CT247" s="52"/>
      <c r="CU247" s="52"/>
      <c r="CV247" s="52"/>
      <c r="CW247" s="52"/>
      <c r="CX247" s="52"/>
      <c r="CY247" s="52"/>
      <c r="CZ247" s="52"/>
      <c r="DA247" s="52"/>
      <c r="DB247" s="52"/>
    </row>
    <row r="248" spans="1:106" ht="27" x14ac:dyDescent="0.25">
      <c r="A248" s="411">
        <v>246</v>
      </c>
      <c r="B248" s="412" t="s">
        <v>3616</v>
      </c>
      <c r="C248" s="426" t="s">
        <v>3617</v>
      </c>
      <c r="D248" s="426" t="s">
        <v>3618</v>
      </c>
      <c r="E248" s="80">
        <v>1</v>
      </c>
      <c r="F248" s="356">
        <v>69228.629000000001</v>
      </c>
      <c r="G248" s="293"/>
      <c r="H248" s="293"/>
      <c r="I248" s="293"/>
      <c r="J248" s="52"/>
      <c r="K248" s="52"/>
      <c r="L248" s="359"/>
      <c r="M248" s="360"/>
      <c r="N248" s="361"/>
      <c r="O248" s="33"/>
      <c r="P248" s="252"/>
      <c r="Q248" s="113"/>
      <c r="R248" s="113"/>
      <c r="S248" s="113"/>
      <c r="T248" s="52"/>
      <c r="U248" s="5"/>
      <c r="V248" s="231"/>
      <c r="W248" s="231"/>
      <c r="X248" s="231"/>
      <c r="Y248" s="113"/>
      <c r="Z248" s="357"/>
      <c r="AA248" s="118" t="s">
        <v>2877</v>
      </c>
      <c r="AB248" s="118"/>
      <c r="AC248" s="118"/>
      <c r="AD248" s="52"/>
      <c r="AE248" s="5"/>
      <c r="AF248" s="358"/>
      <c r="AG248" s="358"/>
      <c r="AH248" s="358"/>
      <c r="AI248" s="358"/>
      <c r="AJ248" s="358"/>
      <c r="AK248" s="113">
        <v>24200</v>
      </c>
      <c r="AL248" s="113">
        <v>4598</v>
      </c>
      <c r="AM248" s="113">
        <v>28798</v>
      </c>
      <c r="AN248" s="113" t="s">
        <v>3032</v>
      </c>
      <c r="AO248" s="113" t="s">
        <v>3619</v>
      </c>
      <c r="AP248" s="52"/>
      <c r="AQ248" s="52"/>
      <c r="AR248" s="52"/>
      <c r="AS248" s="52"/>
      <c r="AT248" s="52"/>
      <c r="AU248" s="125"/>
      <c r="AV248" s="125"/>
      <c r="AW248" s="125"/>
      <c r="AX248" s="5"/>
      <c r="AY248" s="5"/>
      <c r="AZ248" s="113">
        <v>263000</v>
      </c>
      <c r="BA248" s="113">
        <v>49970</v>
      </c>
      <c r="BB248" s="113">
        <v>312970</v>
      </c>
      <c r="BC248" s="52" t="s">
        <v>338</v>
      </c>
      <c r="BD248" s="52" t="s">
        <v>3620</v>
      </c>
      <c r="BE248" s="118"/>
      <c r="BF248" s="118"/>
      <c r="BG248" s="118"/>
      <c r="BH248" s="52"/>
      <c r="BI248" s="283"/>
      <c r="BJ248" s="52"/>
      <c r="BK248" s="52"/>
      <c r="BL248" s="52"/>
      <c r="BM248" s="52"/>
      <c r="BN248" s="52"/>
      <c r="BO248" s="52"/>
      <c r="BP248" s="52"/>
      <c r="BQ248" s="52"/>
      <c r="BR248" s="52"/>
      <c r="BS248" s="52"/>
      <c r="BT248" s="52"/>
      <c r="BU248" s="52"/>
      <c r="BV248" s="52"/>
      <c r="BW248" s="52"/>
      <c r="BX248" s="52"/>
      <c r="BY248" s="52"/>
      <c r="BZ248" s="52"/>
      <c r="CA248" s="52"/>
      <c r="CB248" s="52"/>
      <c r="CC248" s="52"/>
      <c r="CD248" s="118">
        <v>17648</v>
      </c>
      <c r="CE248" s="118">
        <f>+CD248*0.19</f>
        <v>3353.12</v>
      </c>
      <c r="CF248" s="118">
        <f>+CD248+CE248</f>
        <v>21001.119999999999</v>
      </c>
      <c r="CG248" s="52" t="s">
        <v>3621</v>
      </c>
      <c r="CH248" s="52" t="s">
        <v>3622</v>
      </c>
      <c r="CI248" s="52"/>
      <c r="CJ248" s="52"/>
      <c r="CK248" s="52"/>
      <c r="CL248" s="52"/>
      <c r="CM248" s="52"/>
      <c r="CN248" s="118"/>
      <c r="CO248" s="118"/>
      <c r="CP248" s="118"/>
      <c r="CQ248" s="52"/>
      <c r="CR248" s="52"/>
      <c r="CS248" s="52"/>
      <c r="CT248" s="52"/>
      <c r="CU248" s="52"/>
      <c r="CV248" s="52"/>
      <c r="CW248" s="52"/>
      <c r="CX248" s="52"/>
      <c r="CY248" s="52"/>
      <c r="CZ248" s="52"/>
      <c r="DA248" s="52"/>
      <c r="DB248" s="52"/>
    </row>
    <row r="249" spans="1:106" ht="27" x14ac:dyDescent="0.25">
      <c r="A249" s="411">
        <v>247</v>
      </c>
      <c r="B249" s="412" t="s">
        <v>3623</v>
      </c>
      <c r="C249" s="426" t="s">
        <v>622</v>
      </c>
      <c r="D249" s="426" t="s">
        <v>3618</v>
      </c>
      <c r="E249" s="80">
        <v>1</v>
      </c>
      <c r="F249" s="356">
        <v>79183.313999999998</v>
      </c>
      <c r="G249" s="293"/>
      <c r="H249" s="293"/>
      <c r="I249" s="293"/>
      <c r="J249" s="52"/>
      <c r="K249" s="52"/>
      <c r="L249" s="359"/>
      <c r="M249" s="360"/>
      <c r="N249" s="361"/>
      <c r="O249" s="33"/>
      <c r="P249" s="252"/>
      <c r="Q249" s="113"/>
      <c r="R249" s="113"/>
      <c r="S249" s="113"/>
      <c r="T249" s="52"/>
      <c r="U249" s="5"/>
      <c r="V249" s="231"/>
      <c r="W249" s="231"/>
      <c r="X249" s="231"/>
      <c r="Y249" s="113"/>
      <c r="Z249" s="357"/>
      <c r="AA249" s="118" t="s">
        <v>2877</v>
      </c>
      <c r="AB249" s="118"/>
      <c r="AC249" s="118"/>
      <c r="AD249" s="52"/>
      <c r="AE249" s="5"/>
      <c r="AF249" s="358"/>
      <c r="AG249" s="358"/>
      <c r="AH249" s="358"/>
      <c r="AI249" s="358"/>
      <c r="AJ249" s="358"/>
      <c r="AK249" s="113"/>
      <c r="AL249" s="113"/>
      <c r="AM249" s="113"/>
      <c r="AN249" s="113"/>
      <c r="AO249" s="113"/>
      <c r="AP249" s="52"/>
      <c r="AQ249" s="52"/>
      <c r="AR249" s="52"/>
      <c r="AS249" s="52"/>
      <c r="AT249" s="52"/>
      <c r="AU249" s="125"/>
      <c r="AV249" s="125"/>
      <c r="AW249" s="125"/>
      <c r="AX249" s="5"/>
      <c r="AY249" s="5"/>
      <c r="AZ249" s="113">
        <v>263000</v>
      </c>
      <c r="BA249" s="113">
        <v>49970</v>
      </c>
      <c r="BB249" s="113">
        <v>312970</v>
      </c>
      <c r="BC249" s="52" t="s">
        <v>338</v>
      </c>
      <c r="BD249" s="52" t="s">
        <v>3620</v>
      </c>
      <c r="BE249" s="118"/>
      <c r="BF249" s="118"/>
      <c r="BG249" s="118"/>
      <c r="BH249" s="52"/>
      <c r="BI249" s="283"/>
      <c r="BJ249" s="52"/>
      <c r="BK249" s="52"/>
      <c r="BL249" s="52"/>
      <c r="BM249" s="52"/>
      <c r="BN249" s="52"/>
      <c r="BO249" s="52"/>
      <c r="BP249" s="52"/>
      <c r="BQ249" s="52"/>
      <c r="BR249" s="52"/>
      <c r="BS249" s="52"/>
      <c r="BT249" s="52"/>
      <c r="BU249" s="52"/>
      <c r="BV249" s="52"/>
      <c r="BW249" s="52"/>
      <c r="BX249" s="52"/>
      <c r="BY249" s="52"/>
      <c r="BZ249" s="52"/>
      <c r="CA249" s="52"/>
      <c r="CB249" s="52"/>
      <c r="CC249" s="52"/>
      <c r="CD249" s="118"/>
      <c r="CE249" s="52"/>
      <c r="CF249" s="52"/>
      <c r="CG249" s="52"/>
      <c r="CH249" s="52"/>
      <c r="CI249" s="52"/>
      <c r="CJ249" s="52"/>
      <c r="CK249" s="52"/>
      <c r="CL249" s="52"/>
      <c r="CM249" s="52"/>
      <c r="CN249" s="118"/>
      <c r="CO249" s="118"/>
      <c r="CP249" s="118"/>
      <c r="CQ249" s="52"/>
      <c r="CR249" s="52"/>
      <c r="CS249" s="52"/>
      <c r="CT249" s="52"/>
      <c r="CU249" s="52"/>
      <c r="CV249" s="52"/>
      <c r="CW249" s="52"/>
      <c r="CX249" s="52"/>
      <c r="CY249" s="52"/>
      <c r="CZ249" s="52"/>
      <c r="DA249" s="52"/>
      <c r="DB249" s="52"/>
    </row>
    <row r="250" spans="1:106" ht="27" x14ac:dyDescent="0.25">
      <c r="A250" s="411">
        <v>248</v>
      </c>
      <c r="B250" s="412" t="s">
        <v>3624</v>
      </c>
      <c r="C250" s="413" t="s">
        <v>622</v>
      </c>
      <c r="D250" s="426" t="s">
        <v>445</v>
      </c>
      <c r="E250" s="80">
        <v>1</v>
      </c>
      <c r="F250" s="353">
        <v>123174.04400000001</v>
      </c>
      <c r="G250" s="293"/>
      <c r="H250" s="293"/>
      <c r="I250" s="293"/>
      <c r="J250" s="52"/>
      <c r="K250" s="52"/>
      <c r="L250" s="359"/>
      <c r="M250" s="360"/>
      <c r="N250" s="361"/>
      <c r="O250" s="33"/>
      <c r="P250" s="252"/>
      <c r="Q250" s="113"/>
      <c r="R250" s="113"/>
      <c r="S250" s="113"/>
      <c r="T250" s="52"/>
      <c r="U250" s="5"/>
      <c r="V250" s="231"/>
      <c r="W250" s="231"/>
      <c r="X250" s="231"/>
      <c r="Y250" s="113"/>
      <c r="Z250" s="357"/>
      <c r="AA250" s="118" t="s">
        <v>2877</v>
      </c>
      <c r="AB250" s="118"/>
      <c r="AC250" s="118"/>
      <c r="AD250" s="52"/>
      <c r="AE250" s="5"/>
      <c r="AF250" s="358"/>
      <c r="AG250" s="358"/>
      <c r="AH250" s="358"/>
      <c r="AI250" s="358"/>
      <c r="AJ250" s="358"/>
      <c r="AK250" s="113"/>
      <c r="AL250" s="113"/>
      <c r="AM250" s="113"/>
      <c r="AN250" s="113"/>
      <c r="AO250" s="113"/>
      <c r="AP250" s="52"/>
      <c r="AQ250" s="52"/>
      <c r="AR250" s="52"/>
      <c r="AS250" s="52"/>
      <c r="AT250" s="52"/>
      <c r="AU250" s="125"/>
      <c r="AV250" s="125"/>
      <c r="AW250" s="125"/>
      <c r="AX250" s="5"/>
      <c r="AY250" s="5"/>
      <c r="AZ250" s="113"/>
      <c r="BA250" s="113"/>
      <c r="BB250" s="113"/>
      <c r="BC250" s="52"/>
      <c r="BD250" s="52"/>
      <c r="BE250" s="118"/>
      <c r="BF250" s="118"/>
      <c r="BG250" s="118"/>
      <c r="BH250" s="52"/>
      <c r="BI250" s="283"/>
      <c r="BJ250" s="52"/>
      <c r="BK250" s="52"/>
      <c r="BL250" s="52"/>
      <c r="BM250" s="52"/>
      <c r="BN250" s="52"/>
      <c r="BO250" s="52"/>
      <c r="BP250" s="52"/>
      <c r="BQ250" s="52"/>
      <c r="BR250" s="52"/>
      <c r="BS250" s="52"/>
      <c r="BT250" s="52"/>
      <c r="BU250" s="52"/>
      <c r="BV250" s="52"/>
      <c r="BW250" s="52"/>
      <c r="BX250" s="52"/>
      <c r="BY250" s="52"/>
      <c r="BZ250" s="52"/>
      <c r="CA250" s="52"/>
      <c r="CB250" s="52"/>
      <c r="CC250" s="52"/>
      <c r="CD250" s="118"/>
      <c r="CE250" s="52"/>
      <c r="CF250" s="52"/>
      <c r="CG250" s="52"/>
      <c r="CH250" s="52"/>
      <c r="CI250" s="52"/>
      <c r="CJ250" s="52"/>
      <c r="CK250" s="52"/>
      <c r="CL250" s="52"/>
      <c r="CM250" s="52"/>
      <c r="CN250" s="118"/>
      <c r="CO250" s="118"/>
      <c r="CP250" s="118"/>
      <c r="CQ250" s="52"/>
      <c r="CR250" s="52"/>
      <c r="CS250" s="52"/>
      <c r="CT250" s="52"/>
      <c r="CU250" s="52"/>
      <c r="CV250" s="52"/>
      <c r="CW250" s="52"/>
      <c r="CX250" s="52"/>
      <c r="CY250" s="52"/>
      <c r="CZ250" s="52"/>
      <c r="DA250" s="52"/>
      <c r="DB250" s="52"/>
    </row>
    <row r="251" spans="1:106" ht="27" x14ac:dyDescent="0.25">
      <c r="A251" s="411">
        <v>249</v>
      </c>
      <c r="B251" s="412" t="s">
        <v>3625</v>
      </c>
      <c r="C251" s="413" t="s">
        <v>622</v>
      </c>
      <c r="D251" s="426" t="s">
        <v>445</v>
      </c>
      <c r="E251" s="80">
        <v>1</v>
      </c>
      <c r="F251" s="285">
        <v>817.49880000000007</v>
      </c>
      <c r="G251" s="293"/>
      <c r="H251" s="293"/>
      <c r="I251" s="293"/>
      <c r="J251" s="52"/>
      <c r="K251" s="52"/>
      <c r="L251" s="359"/>
      <c r="M251" s="360"/>
      <c r="N251" s="361"/>
      <c r="O251" s="33"/>
      <c r="P251" s="252"/>
      <c r="Q251" s="113"/>
      <c r="R251" s="113"/>
      <c r="S251" s="113"/>
      <c r="T251" s="52"/>
      <c r="U251" s="5"/>
      <c r="V251" s="231"/>
      <c r="W251" s="231"/>
      <c r="X251" s="231"/>
      <c r="Y251" s="113"/>
      <c r="Z251" s="357"/>
      <c r="AA251" s="118" t="s">
        <v>2877</v>
      </c>
      <c r="AB251" s="118"/>
      <c r="AC251" s="118"/>
      <c r="AD251" s="52"/>
      <c r="AE251" s="5"/>
      <c r="AF251" s="358"/>
      <c r="AG251" s="358"/>
      <c r="AH251" s="358"/>
      <c r="AI251" s="358"/>
      <c r="AJ251" s="358"/>
      <c r="AK251" s="113"/>
      <c r="AL251" s="113"/>
      <c r="AM251" s="113"/>
      <c r="AN251" s="113"/>
      <c r="AO251" s="113"/>
      <c r="AP251" s="52"/>
      <c r="AQ251" s="52"/>
      <c r="AR251" s="52"/>
      <c r="AS251" s="52"/>
      <c r="AT251" s="52"/>
      <c r="AU251" s="125"/>
      <c r="AV251" s="125"/>
      <c r="AW251" s="125"/>
      <c r="AX251" s="5"/>
      <c r="AY251" s="5"/>
      <c r="AZ251" s="113">
        <v>1000</v>
      </c>
      <c r="BA251" s="113">
        <v>190</v>
      </c>
      <c r="BB251" s="113">
        <v>1190</v>
      </c>
      <c r="BC251" s="52" t="s">
        <v>3626</v>
      </c>
      <c r="BD251" s="52" t="s">
        <v>3627</v>
      </c>
      <c r="BE251" s="118"/>
      <c r="BF251" s="118"/>
      <c r="BG251" s="118"/>
      <c r="BH251" s="52"/>
      <c r="BI251" s="283"/>
      <c r="BJ251" s="52"/>
      <c r="BK251" s="52"/>
      <c r="BL251" s="52"/>
      <c r="BM251" s="52"/>
      <c r="BN251" s="52"/>
      <c r="BO251" s="52"/>
      <c r="BP251" s="52"/>
      <c r="BQ251" s="52"/>
      <c r="BR251" s="52"/>
      <c r="BS251" s="52"/>
      <c r="BT251" s="52"/>
      <c r="BU251" s="52"/>
      <c r="BV251" s="52"/>
      <c r="BW251" s="52"/>
      <c r="BX251" s="52"/>
      <c r="BY251" s="52"/>
      <c r="BZ251" s="52"/>
      <c r="CA251" s="52"/>
      <c r="CB251" s="52"/>
      <c r="CC251" s="52"/>
      <c r="CD251" s="118"/>
      <c r="CE251" s="52"/>
      <c r="CF251" s="52"/>
      <c r="CG251" s="52"/>
      <c r="CH251" s="52"/>
      <c r="CI251" s="52"/>
      <c r="CJ251" s="52"/>
      <c r="CK251" s="52"/>
      <c r="CL251" s="52"/>
      <c r="CM251" s="52"/>
      <c r="CN251" s="118"/>
      <c r="CO251" s="118"/>
      <c r="CP251" s="118"/>
      <c r="CQ251" s="52"/>
      <c r="CR251" s="52"/>
      <c r="CS251" s="52"/>
      <c r="CT251" s="52"/>
      <c r="CU251" s="52"/>
      <c r="CV251" s="52"/>
      <c r="CW251" s="52"/>
      <c r="CX251" s="52"/>
      <c r="CY251" s="52"/>
      <c r="CZ251" s="52"/>
      <c r="DA251" s="52"/>
      <c r="DB251" s="52"/>
    </row>
    <row r="252" spans="1:106" ht="54" x14ac:dyDescent="0.25">
      <c r="A252" s="411">
        <v>250</v>
      </c>
      <c r="B252" s="412" t="s">
        <v>3628</v>
      </c>
      <c r="C252" s="413" t="s">
        <v>3629</v>
      </c>
      <c r="D252" s="426" t="s">
        <v>3630</v>
      </c>
      <c r="E252" s="80">
        <v>1</v>
      </c>
      <c r="F252" s="355">
        <v>145150.39740000002</v>
      </c>
      <c r="G252" s="293"/>
      <c r="H252" s="293"/>
      <c r="I252" s="293"/>
      <c r="J252" s="52"/>
      <c r="K252" s="52"/>
      <c r="L252" s="359"/>
      <c r="M252" s="360"/>
      <c r="N252" s="361"/>
      <c r="O252" s="33"/>
      <c r="P252" s="252"/>
      <c r="Q252" s="113"/>
      <c r="R252" s="113"/>
      <c r="S252" s="113"/>
      <c r="T252" s="52"/>
      <c r="U252" s="5"/>
      <c r="V252" s="231"/>
      <c r="W252" s="231"/>
      <c r="X252" s="231"/>
      <c r="Y252" s="113"/>
      <c r="Z252" s="357"/>
      <c r="AA252" s="118" t="s">
        <v>2877</v>
      </c>
      <c r="AB252" s="118"/>
      <c r="AC252" s="118"/>
      <c r="AD252" s="52"/>
      <c r="AE252" s="5"/>
      <c r="AF252" s="358"/>
      <c r="AG252" s="358"/>
      <c r="AH252" s="358"/>
      <c r="AI252" s="358"/>
      <c r="AJ252" s="358"/>
      <c r="AK252" s="113"/>
      <c r="AL252" s="113"/>
      <c r="AM252" s="113"/>
      <c r="AN252" s="113"/>
      <c r="AO252" s="113"/>
      <c r="AP252" s="52"/>
      <c r="AQ252" s="52"/>
      <c r="AR252" s="52"/>
      <c r="AS252" s="52"/>
      <c r="AT252" s="52"/>
      <c r="AU252" s="125"/>
      <c r="AV252" s="125"/>
      <c r="AW252" s="125"/>
      <c r="AX252" s="5"/>
      <c r="AY252" s="5"/>
      <c r="AZ252" s="113"/>
      <c r="BA252" s="113"/>
      <c r="BB252" s="113"/>
      <c r="BC252" s="52"/>
      <c r="BD252" s="52" t="s">
        <v>3631</v>
      </c>
      <c r="BE252" s="118"/>
      <c r="BF252" s="118"/>
      <c r="BG252" s="118"/>
      <c r="BH252" s="52"/>
      <c r="BI252" s="283"/>
      <c r="BJ252" s="52"/>
      <c r="BK252" s="52"/>
      <c r="BL252" s="52"/>
      <c r="BM252" s="52"/>
      <c r="BN252" s="52"/>
      <c r="BO252" s="118">
        <f>15000*10</f>
        <v>150000</v>
      </c>
      <c r="BP252" s="118">
        <f>+BO252*0.19</f>
        <v>28500</v>
      </c>
      <c r="BQ252" s="118">
        <f>+BO252+BP252</f>
        <v>178500</v>
      </c>
      <c r="BR252" s="52" t="s">
        <v>3621</v>
      </c>
      <c r="BS252" s="52" t="s">
        <v>3621</v>
      </c>
      <c r="BT252" s="52"/>
      <c r="BU252" s="52"/>
      <c r="BV252" s="52"/>
      <c r="BW252" s="52"/>
      <c r="BX252" s="52"/>
      <c r="BY252" s="52"/>
      <c r="BZ252" s="52"/>
      <c r="CA252" s="52"/>
      <c r="CB252" s="52"/>
      <c r="CC252" s="52"/>
      <c r="CD252" s="118"/>
      <c r="CE252" s="52"/>
      <c r="CF252" s="52"/>
      <c r="CG252" s="52"/>
      <c r="CH252" s="52"/>
      <c r="CI252" s="52"/>
      <c r="CJ252" s="52"/>
      <c r="CK252" s="52"/>
      <c r="CL252" s="52"/>
      <c r="CM252" s="52"/>
      <c r="CN252" s="118"/>
      <c r="CO252" s="118"/>
      <c r="CP252" s="118"/>
      <c r="CQ252" s="52"/>
      <c r="CR252" s="52"/>
      <c r="CS252" s="52"/>
      <c r="CT252" s="52"/>
      <c r="CU252" s="52"/>
      <c r="CV252" s="52"/>
      <c r="CW252" s="52"/>
      <c r="CX252" s="52"/>
      <c r="CY252" s="52"/>
      <c r="CZ252" s="52"/>
      <c r="DA252" s="52"/>
      <c r="DB252" s="52"/>
    </row>
    <row r="253" spans="1:106" ht="40.5" x14ac:dyDescent="0.25">
      <c r="A253" s="411">
        <v>251</v>
      </c>
      <c r="B253" s="412" t="s">
        <v>3632</v>
      </c>
      <c r="C253" s="413" t="s">
        <v>622</v>
      </c>
      <c r="D253" s="426" t="s">
        <v>445</v>
      </c>
      <c r="E253" s="80">
        <v>1</v>
      </c>
      <c r="F253" s="353">
        <v>16484.113400000002</v>
      </c>
      <c r="G253" s="293"/>
      <c r="H253" s="293"/>
      <c r="I253" s="293"/>
      <c r="J253" s="52"/>
      <c r="K253" s="52"/>
      <c r="L253" s="359"/>
      <c r="M253" s="360"/>
      <c r="N253" s="361"/>
      <c r="O253" s="33"/>
      <c r="P253" s="252"/>
      <c r="Q253" s="113"/>
      <c r="R253" s="113"/>
      <c r="S253" s="113"/>
      <c r="T253" s="52"/>
      <c r="U253" s="5"/>
      <c r="V253" s="231"/>
      <c r="W253" s="231"/>
      <c r="X253" s="231"/>
      <c r="Y253" s="113"/>
      <c r="Z253" s="357"/>
      <c r="AA253" s="118" t="s">
        <v>2877</v>
      </c>
      <c r="AB253" s="118"/>
      <c r="AC253" s="118"/>
      <c r="AD253" s="52"/>
      <c r="AE253" s="5"/>
      <c r="AF253" s="358"/>
      <c r="AG253" s="358"/>
      <c r="AH253" s="358"/>
      <c r="AI253" s="358"/>
      <c r="AJ253" s="358"/>
      <c r="AK253" s="113"/>
      <c r="AL253" s="113"/>
      <c r="AM253" s="113"/>
      <c r="AN253" s="113"/>
      <c r="AO253" s="113"/>
      <c r="AP253" s="52"/>
      <c r="AQ253" s="52"/>
      <c r="AR253" s="52"/>
      <c r="AS253" s="52"/>
      <c r="AT253" s="52"/>
      <c r="AU253" s="125"/>
      <c r="AV253" s="125"/>
      <c r="AW253" s="125"/>
      <c r="AX253" s="5"/>
      <c r="AY253" s="5"/>
      <c r="AZ253" s="113">
        <v>24000</v>
      </c>
      <c r="BA253" s="113">
        <v>4560</v>
      </c>
      <c r="BB253" s="113">
        <v>28560</v>
      </c>
      <c r="BC253" s="52" t="s">
        <v>2970</v>
      </c>
      <c r="BD253" s="52"/>
      <c r="BE253" s="118"/>
      <c r="BF253" s="118"/>
      <c r="BG253" s="118"/>
      <c r="BH253" s="52"/>
      <c r="BI253" s="283"/>
      <c r="BJ253" s="52"/>
      <c r="BK253" s="52"/>
      <c r="BL253" s="52"/>
      <c r="BM253" s="52"/>
      <c r="BN253" s="52"/>
      <c r="BO253" s="52"/>
      <c r="BP253" s="52"/>
      <c r="BQ253" s="52"/>
      <c r="BR253" s="52"/>
      <c r="BS253" s="52"/>
      <c r="BT253" s="52"/>
      <c r="BU253" s="52"/>
      <c r="BV253" s="52"/>
      <c r="BW253" s="52"/>
      <c r="BX253" s="52"/>
      <c r="BY253" s="52"/>
      <c r="BZ253" s="52"/>
      <c r="CA253" s="52"/>
      <c r="CB253" s="52"/>
      <c r="CC253" s="52"/>
      <c r="CD253" s="118"/>
      <c r="CE253" s="52"/>
      <c r="CF253" s="52"/>
      <c r="CG253" s="52"/>
      <c r="CH253" s="52"/>
      <c r="CI253" s="52"/>
      <c r="CJ253" s="52"/>
      <c r="CK253" s="52"/>
      <c r="CL253" s="52"/>
      <c r="CM253" s="52"/>
      <c r="CN253" s="118"/>
      <c r="CO253" s="118"/>
      <c r="CP253" s="118"/>
      <c r="CQ253" s="52"/>
      <c r="CR253" s="52"/>
      <c r="CS253" s="52"/>
      <c r="CT253" s="52"/>
      <c r="CU253" s="52"/>
      <c r="CV253" s="52"/>
      <c r="CW253" s="52"/>
      <c r="CX253" s="52"/>
      <c r="CY253" s="52"/>
      <c r="CZ253" s="52"/>
      <c r="DA253" s="52"/>
      <c r="DB253" s="52"/>
    </row>
    <row r="254" spans="1:106" ht="27" x14ac:dyDescent="0.25">
      <c r="A254" s="411">
        <v>252</v>
      </c>
      <c r="B254" s="412" t="s">
        <v>3633</v>
      </c>
      <c r="C254" s="413" t="s">
        <v>622</v>
      </c>
      <c r="D254" s="426" t="s">
        <v>3094</v>
      </c>
      <c r="E254" s="80">
        <v>1</v>
      </c>
      <c r="F254" s="353">
        <v>279026.91600000003</v>
      </c>
      <c r="G254" s="293"/>
      <c r="H254" s="293"/>
      <c r="I254" s="293"/>
      <c r="J254" s="52"/>
      <c r="K254" s="52"/>
      <c r="L254" s="359"/>
      <c r="M254" s="360"/>
      <c r="N254" s="361"/>
      <c r="O254" s="33"/>
      <c r="P254" s="252"/>
      <c r="Q254" s="113"/>
      <c r="R254" s="113"/>
      <c r="S254" s="113"/>
      <c r="T254" s="52"/>
      <c r="U254" s="5"/>
      <c r="V254" s="231"/>
      <c r="W254" s="231"/>
      <c r="X254" s="231"/>
      <c r="Y254" s="113"/>
      <c r="Z254" s="357"/>
      <c r="AA254" s="118" t="s">
        <v>2877</v>
      </c>
      <c r="AB254" s="118"/>
      <c r="AC254" s="118"/>
      <c r="AD254" s="52"/>
      <c r="AE254" s="5"/>
      <c r="AF254" s="358"/>
      <c r="AG254" s="358"/>
      <c r="AH254" s="358"/>
      <c r="AI254" s="358"/>
      <c r="AJ254" s="358"/>
      <c r="AK254" s="113"/>
      <c r="AL254" s="113"/>
      <c r="AM254" s="113"/>
      <c r="AN254" s="113"/>
      <c r="AO254" s="113"/>
      <c r="AP254" s="52"/>
      <c r="AQ254" s="52"/>
      <c r="AR254" s="52"/>
      <c r="AS254" s="52"/>
      <c r="AT254" s="52"/>
      <c r="AU254" s="125"/>
      <c r="AV254" s="125"/>
      <c r="AW254" s="125"/>
      <c r="AX254" s="5"/>
      <c r="AY254" s="5"/>
      <c r="AZ254" s="113">
        <v>1660000</v>
      </c>
      <c r="BA254" s="113">
        <v>315400</v>
      </c>
      <c r="BB254" s="113">
        <v>1975400</v>
      </c>
      <c r="BC254" s="52" t="s">
        <v>338</v>
      </c>
      <c r="BD254" s="52" t="s">
        <v>3634</v>
      </c>
      <c r="BE254" s="118"/>
      <c r="BF254" s="118"/>
      <c r="BG254" s="118"/>
      <c r="BH254" s="52"/>
      <c r="BI254" s="283"/>
      <c r="BJ254" s="52"/>
      <c r="BK254" s="52"/>
      <c r="BL254" s="52"/>
      <c r="BM254" s="52"/>
      <c r="BN254" s="52"/>
      <c r="BO254" s="52"/>
      <c r="BP254" s="52"/>
      <c r="BQ254" s="52"/>
      <c r="BR254" s="52"/>
      <c r="BS254" s="52"/>
      <c r="BT254" s="52"/>
      <c r="BU254" s="52"/>
      <c r="BV254" s="52"/>
      <c r="BW254" s="52"/>
      <c r="BX254" s="52"/>
      <c r="BY254" s="52"/>
      <c r="BZ254" s="52"/>
      <c r="CA254" s="52"/>
      <c r="CB254" s="52"/>
      <c r="CC254" s="52"/>
      <c r="CD254" s="118"/>
      <c r="CE254" s="52"/>
      <c r="CF254" s="52"/>
      <c r="CG254" s="52"/>
      <c r="CH254" s="52"/>
      <c r="CI254" s="52"/>
      <c r="CJ254" s="52"/>
      <c r="CK254" s="52"/>
      <c r="CL254" s="52"/>
      <c r="CM254" s="52"/>
      <c r="CN254" s="118"/>
      <c r="CO254" s="118"/>
      <c r="CP254" s="118"/>
      <c r="CQ254" s="52"/>
      <c r="CR254" s="52"/>
      <c r="CS254" s="52"/>
      <c r="CT254" s="52"/>
      <c r="CU254" s="52"/>
      <c r="CV254" s="52"/>
      <c r="CW254" s="52"/>
      <c r="CX254" s="52"/>
      <c r="CY254" s="52"/>
      <c r="CZ254" s="52"/>
      <c r="DA254" s="52"/>
      <c r="DB254" s="52"/>
    </row>
    <row r="255" spans="1:106" ht="54" x14ac:dyDescent="0.25">
      <c r="A255" s="411">
        <v>253</v>
      </c>
      <c r="B255" s="412" t="s">
        <v>3635</v>
      </c>
      <c r="C255" s="413" t="s">
        <v>3636</v>
      </c>
      <c r="D255" s="426" t="s">
        <v>3637</v>
      </c>
      <c r="E255" s="80">
        <v>1</v>
      </c>
      <c r="F255" s="355">
        <v>359875.85740000004</v>
      </c>
      <c r="G255" s="293"/>
      <c r="H255" s="293"/>
      <c r="I255" s="293"/>
      <c r="J255" s="52"/>
      <c r="K255" s="52"/>
      <c r="L255" s="359"/>
      <c r="M255" s="360"/>
      <c r="N255" s="361"/>
      <c r="O255" s="33"/>
      <c r="P255" s="252"/>
      <c r="Q255" s="113"/>
      <c r="R255" s="113"/>
      <c r="S255" s="113"/>
      <c r="T255" s="52"/>
      <c r="U255" s="5"/>
      <c r="V255" s="231"/>
      <c r="W255" s="231"/>
      <c r="X255" s="231"/>
      <c r="Y255" s="113"/>
      <c r="Z255" s="357"/>
      <c r="AA255" s="118" t="s">
        <v>2877</v>
      </c>
      <c r="AB255" s="118"/>
      <c r="AC255" s="118"/>
      <c r="AD255" s="52"/>
      <c r="AE255" s="5"/>
      <c r="AF255" s="358"/>
      <c r="AG255" s="358"/>
      <c r="AH255" s="358"/>
      <c r="AI255" s="358"/>
      <c r="AJ255" s="358"/>
      <c r="AK255" s="113"/>
      <c r="AL255" s="113"/>
      <c r="AM255" s="113"/>
      <c r="AN255" s="113"/>
      <c r="AO255" s="113"/>
      <c r="AP255" s="52"/>
      <c r="AQ255" s="52"/>
      <c r="AR255" s="52"/>
      <c r="AS255" s="52"/>
      <c r="AT255" s="52"/>
      <c r="AU255" s="125"/>
      <c r="AV255" s="125"/>
      <c r="AW255" s="125"/>
      <c r="AX255" s="5"/>
      <c r="AY255" s="5"/>
      <c r="AZ255" s="113"/>
      <c r="BA255" s="113"/>
      <c r="BB255" s="113"/>
      <c r="BC255" s="52"/>
      <c r="BD255" s="52"/>
      <c r="BE255" s="118"/>
      <c r="BF255" s="118"/>
      <c r="BG255" s="118"/>
      <c r="BH255" s="52"/>
      <c r="BI255" s="283"/>
      <c r="BJ255" s="52"/>
      <c r="BK255" s="52"/>
      <c r="BL255" s="52"/>
      <c r="BM255" s="52"/>
      <c r="BN255" s="52"/>
      <c r="BO255" s="52"/>
      <c r="BP255" s="52"/>
      <c r="BQ255" s="52"/>
      <c r="BR255" s="52"/>
      <c r="BS255" s="52"/>
      <c r="BT255" s="52"/>
      <c r="BU255" s="52"/>
      <c r="BV255" s="52"/>
      <c r="BW255" s="52"/>
      <c r="BX255" s="52"/>
      <c r="BY255" s="52"/>
      <c r="BZ255" s="52"/>
      <c r="CA255" s="52"/>
      <c r="CB255" s="52"/>
      <c r="CC255" s="52"/>
      <c r="CD255" s="118"/>
      <c r="CE255" s="52"/>
      <c r="CF255" s="52"/>
      <c r="CG255" s="52"/>
      <c r="CH255" s="52"/>
      <c r="CI255" s="52"/>
      <c r="CJ255" s="52"/>
      <c r="CK255" s="52"/>
      <c r="CL255" s="52"/>
      <c r="CM255" s="52"/>
      <c r="CN255" s="118"/>
      <c r="CO255" s="118"/>
      <c r="CP255" s="118"/>
      <c r="CQ255" s="52"/>
      <c r="CR255" s="52"/>
      <c r="CS255" s="52"/>
      <c r="CT255" s="52"/>
      <c r="CU255" s="52"/>
      <c r="CV255" s="52"/>
      <c r="CW255" s="52"/>
      <c r="CX255" s="52"/>
      <c r="CY255" s="52"/>
      <c r="CZ255" s="52"/>
      <c r="DA255" s="52"/>
      <c r="DB255" s="52"/>
    </row>
    <row r="256" spans="1:106" ht="27" x14ac:dyDescent="0.25">
      <c r="A256" s="411">
        <v>254</v>
      </c>
      <c r="B256" s="412" t="s">
        <v>3638</v>
      </c>
      <c r="C256" s="561" t="s">
        <v>622</v>
      </c>
      <c r="D256" s="562" t="s">
        <v>2005</v>
      </c>
      <c r="E256" s="80">
        <v>1</v>
      </c>
      <c r="F256" s="80"/>
      <c r="G256" s="293"/>
      <c r="H256" s="293"/>
      <c r="I256" s="293"/>
      <c r="J256" s="52"/>
      <c r="K256" s="52"/>
      <c r="L256" s="359"/>
      <c r="M256" s="360"/>
      <c r="N256" s="361"/>
      <c r="O256" s="33"/>
      <c r="P256" s="252"/>
      <c r="Q256" s="113"/>
      <c r="R256" s="113"/>
      <c r="S256" s="113"/>
      <c r="T256" s="52"/>
      <c r="U256" s="5"/>
      <c r="V256" s="231"/>
      <c r="W256" s="231"/>
      <c r="X256" s="231"/>
      <c r="Y256" s="113"/>
      <c r="Z256" s="357"/>
      <c r="AA256" s="118" t="s">
        <v>2877</v>
      </c>
      <c r="AB256" s="118"/>
      <c r="AC256" s="118"/>
      <c r="AD256" s="52"/>
      <c r="AE256" s="5"/>
      <c r="AF256" s="358"/>
      <c r="AG256" s="358"/>
      <c r="AH256" s="358"/>
      <c r="AI256" s="358"/>
      <c r="AJ256" s="358"/>
      <c r="AK256" s="113"/>
      <c r="AL256" s="113"/>
      <c r="AM256" s="113"/>
      <c r="AN256" s="113"/>
      <c r="AO256" s="113"/>
      <c r="AP256" s="52"/>
      <c r="AQ256" s="52"/>
      <c r="AR256" s="52"/>
      <c r="AS256" s="52"/>
      <c r="AT256" s="52"/>
      <c r="AU256" s="125"/>
      <c r="AV256" s="125"/>
      <c r="AW256" s="125"/>
      <c r="AX256" s="5"/>
      <c r="AY256" s="5"/>
      <c r="AZ256" s="113">
        <v>1400000</v>
      </c>
      <c r="BA256" s="113">
        <v>266000</v>
      </c>
      <c r="BB256" s="113">
        <v>1666000</v>
      </c>
      <c r="BC256" s="52" t="s">
        <v>2970</v>
      </c>
      <c r="BD256" s="52"/>
      <c r="BE256" s="118"/>
      <c r="BF256" s="118"/>
      <c r="BG256" s="118"/>
      <c r="BH256" s="52"/>
      <c r="BI256" s="283"/>
      <c r="BJ256" s="52"/>
      <c r="BK256" s="52"/>
      <c r="BL256" s="52"/>
      <c r="BM256" s="52"/>
      <c r="BN256" s="52"/>
      <c r="BO256" s="52"/>
      <c r="BP256" s="52"/>
      <c r="BQ256" s="52"/>
      <c r="BR256" s="52"/>
      <c r="BS256" s="52"/>
      <c r="BT256" s="52"/>
      <c r="BU256" s="52"/>
      <c r="BV256" s="52"/>
      <c r="BW256" s="52"/>
      <c r="BX256" s="52"/>
      <c r="BY256" s="52"/>
      <c r="BZ256" s="52"/>
      <c r="CA256" s="52"/>
      <c r="CB256" s="52"/>
      <c r="CC256" s="52"/>
      <c r="CD256" s="118"/>
      <c r="CE256" s="52"/>
      <c r="CF256" s="52"/>
      <c r="CG256" s="52"/>
      <c r="CH256" s="52"/>
      <c r="CI256" s="52"/>
      <c r="CJ256" s="52"/>
      <c r="CK256" s="52"/>
      <c r="CL256" s="52"/>
      <c r="CM256" s="52"/>
      <c r="CN256" s="118"/>
      <c r="CO256" s="118"/>
      <c r="CP256" s="118"/>
      <c r="CQ256" s="52"/>
      <c r="CR256" s="52"/>
      <c r="CS256" s="52"/>
      <c r="CT256" s="52"/>
      <c r="CU256" s="52"/>
      <c r="CV256" s="52"/>
      <c r="CW256" s="52"/>
      <c r="CX256" s="52"/>
      <c r="CY256" s="52"/>
      <c r="CZ256" s="52"/>
      <c r="DA256" s="52"/>
      <c r="DB256" s="52"/>
    </row>
    <row r="257" spans="1:106" ht="27" x14ac:dyDescent="0.25">
      <c r="A257" s="411">
        <v>255</v>
      </c>
      <c r="B257" s="412" t="s">
        <v>3639</v>
      </c>
      <c r="C257" s="426" t="s">
        <v>1340</v>
      </c>
      <c r="D257" s="426" t="s">
        <v>3640</v>
      </c>
      <c r="E257" s="80">
        <v>1</v>
      </c>
      <c r="F257" s="80"/>
      <c r="G257" s="293"/>
      <c r="H257" s="293"/>
      <c r="I257" s="293"/>
      <c r="J257" s="52"/>
      <c r="K257" s="52"/>
      <c r="L257" s="359"/>
      <c r="M257" s="360"/>
      <c r="N257" s="361"/>
      <c r="O257" s="33"/>
      <c r="P257" s="252"/>
      <c r="Q257" s="113"/>
      <c r="R257" s="113"/>
      <c r="S257" s="113"/>
      <c r="T257" s="52"/>
      <c r="U257" s="5"/>
      <c r="V257" s="231"/>
      <c r="W257" s="231"/>
      <c r="X257" s="231"/>
      <c r="Y257" s="113"/>
      <c r="Z257" s="357"/>
      <c r="AA257" s="118" t="s">
        <v>2877</v>
      </c>
      <c r="AB257" s="118"/>
      <c r="AC257" s="118"/>
      <c r="AD257" s="52"/>
      <c r="AE257" s="5"/>
      <c r="AF257" s="358"/>
      <c r="AG257" s="358"/>
      <c r="AH257" s="358"/>
      <c r="AI257" s="358"/>
      <c r="AJ257" s="358"/>
      <c r="AK257" s="113"/>
      <c r="AL257" s="113"/>
      <c r="AM257" s="113"/>
      <c r="AN257" s="113"/>
      <c r="AO257" s="113"/>
      <c r="AP257" s="52"/>
      <c r="AQ257" s="52"/>
      <c r="AR257" s="52"/>
      <c r="AS257" s="52"/>
      <c r="AT257" s="52"/>
      <c r="AU257" s="125"/>
      <c r="AV257" s="125"/>
      <c r="AW257" s="125"/>
      <c r="AX257" s="5"/>
      <c r="AY257" s="5"/>
      <c r="AZ257" s="113">
        <v>204000</v>
      </c>
      <c r="BA257" s="113">
        <v>38760</v>
      </c>
      <c r="BB257" s="113">
        <v>242760</v>
      </c>
      <c r="BC257" s="52" t="s">
        <v>2970</v>
      </c>
      <c r="BD257" s="52"/>
      <c r="BE257" s="118"/>
      <c r="BF257" s="118"/>
      <c r="BG257" s="118"/>
      <c r="BH257" s="52"/>
      <c r="BI257" s="283"/>
      <c r="BJ257" s="52"/>
      <c r="BK257" s="52"/>
      <c r="BL257" s="52"/>
      <c r="BM257" s="52"/>
      <c r="BN257" s="52"/>
      <c r="BO257" s="52"/>
      <c r="BP257" s="52"/>
      <c r="BQ257" s="52"/>
      <c r="BR257" s="52"/>
      <c r="BS257" s="52"/>
      <c r="BT257" s="52"/>
      <c r="BU257" s="52"/>
      <c r="BV257" s="52"/>
      <c r="BW257" s="52"/>
      <c r="BX257" s="52"/>
      <c r="BY257" s="52"/>
      <c r="BZ257" s="52"/>
      <c r="CA257" s="52"/>
      <c r="CB257" s="52"/>
      <c r="CC257" s="52"/>
      <c r="CD257" s="118"/>
      <c r="CE257" s="52"/>
      <c r="CF257" s="52"/>
      <c r="CG257" s="52"/>
      <c r="CH257" s="52"/>
      <c r="CI257" s="52"/>
      <c r="CJ257" s="52"/>
      <c r="CK257" s="52"/>
      <c r="CL257" s="52"/>
      <c r="CM257" s="52"/>
      <c r="CN257" s="118"/>
      <c r="CO257" s="118"/>
      <c r="CP257" s="118"/>
      <c r="CQ257" s="52"/>
      <c r="CR257" s="52"/>
      <c r="CS257" s="52"/>
      <c r="CT257" s="52"/>
      <c r="CU257" s="52"/>
      <c r="CV257" s="52"/>
      <c r="CW257" s="52"/>
      <c r="CX257" s="52"/>
      <c r="CY257" s="52"/>
      <c r="CZ257" s="52"/>
      <c r="DA257" s="52"/>
      <c r="DB257" s="52"/>
    </row>
    <row r="258" spans="1:106" ht="27" x14ac:dyDescent="0.25">
      <c r="A258" s="411">
        <v>256</v>
      </c>
      <c r="B258" s="412" t="s">
        <v>3641</v>
      </c>
      <c r="C258" s="413" t="s">
        <v>622</v>
      </c>
      <c r="D258" s="426" t="s">
        <v>3642</v>
      </c>
      <c r="E258" s="80">
        <v>1</v>
      </c>
      <c r="F258" s="353">
        <v>113119.02</v>
      </c>
      <c r="G258" s="293"/>
      <c r="H258" s="293"/>
      <c r="I258" s="293"/>
      <c r="J258" s="52"/>
      <c r="K258" s="52"/>
      <c r="L258" s="359"/>
      <c r="M258" s="360"/>
      <c r="N258" s="361"/>
      <c r="O258" s="33"/>
      <c r="P258" s="252"/>
      <c r="Q258" s="113"/>
      <c r="R258" s="113"/>
      <c r="S258" s="113"/>
      <c r="T258" s="52"/>
      <c r="U258" s="5"/>
      <c r="V258" s="231"/>
      <c r="W258" s="231"/>
      <c r="X258" s="231"/>
      <c r="Y258" s="113"/>
      <c r="Z258" s="357"/>
      <c r="AA258" s="118" t="s">
        <v>2877</v>
      </c>
      <c r="AB258" s="118"/>
      <c r="AC258" s="118"/>
      <c r="AD258" s="52"/>
      <c r="AE258" s="5"/>
      <c r="AF258" s="358"/>
      <c r="AG258" s="358"/>
      <c r="AH258" s="358"/>
      <c r="AI258" s="358"/>
      <c r="AJ258" s="358"/>
      <c r="AK258" s="113"/>
      <c r="AL258" s="113"/>
      <c r="AM258" s="113"/>
      <c r="AN258" s="113"/>
      <c r="AO258" s="113"/>
      <c r="AP258" s="52"/>
      <c r="AQ258" s="52"/>
      <c r="AR258" s="52"/>
      <c r="AS258" s="52"/>
      <c r="AT258" s="52"/>
      <c r="AU258" s="125"/>
      <c r="AV258" s="125"/>
      <c r="AW258" s="125"/>
      <c r="AX258" s="5"/>
      <c r="AY258" s="5"/>
      <c r="AZ258" s="113">
        <v>1400000</v>
      </c>
      <c r="BA258" s="113">
        <v>266000</v>
      </c>
      <c r="BB258" s="113">
        <v>1666000</v>
      </c>
      <c r="BC258" s="52" t="s">
        <v>2970</v>
      </c>
      <c r="BD258" s="52"/>
      <c r="BE258" s="118"/>
      <c r="BF258" s="118"/>
      <c r="BG258" s="118"/>
      <c r="BH258" s="52"/>
      <c r="BI258" s="283"/>
      <c r="BJ258" s="52"/>
      <c r="BK258" s="52"/>
      <c r="BL258" s="52"/>
      <c r="BM258" s="52"/>
      <c r="BN258" s="52"/>
      <c r="BO258" s="52"/>
      <c r="BP258" s="52"/>
      <c r="BQ258" s="52"/>
      <c r="BR258" s="52"/>
      <c r="BS258" s="52"/>
      <c r="BT258" s="52"/>
      <c r="BU258" s="52"/>
      <c r="BV258" s="52"/>
      <c r="BW258" s="52"/>
      <c r="BX258" s="52"/>
      <c r="BY258" s="52"/>
      <c r="BZ258" s="52"/>
      <c r="CA258" s="52"/>
      <c r="CB258" s="52"/>
      <c r="CC258" s="52"/>
      <c r="CD258" s="118"/>
      <c r="CE258" s="52"/>
      <c r="CF258" s="52"/>
      <c r="CG258" s="52"/>
      <c r="CH258" s="52"/>
      <c r="CI258" s="52"/>
      <c r="CJ258" s="52"/>
      <c r="CK258" s="52"/>
      <c r="CL258" s="52"/>
      <c r="CM258" s="52"/>
      <c r="CN258" s="118"/>
      <c r="CO258" s="118"/>
      <c r="CP258" s="118"/>
      <c r="CQ258" s="52"/>
      <c r="CR258" s="52"/>
      <c r="CS258" s="52"/>
      <c r="CT258" s="52"/>
      <c r="CU258" s="52"/>
      <c r="CV258" s="52"/>
      <c r="CW258" s="52"/>
      <c r="CX258" s="52"/>
      <c r="CY258" s="52"/>
      <c r="CZ258" s="52"/>
      <c r="DA258" s="52"/>
      <c r="DB258" s="52"/>
    </row>
    <row r="259" spans="1:106" ht="27" x14ac:dyDescent="0.25">
      <c r="A259" s="411">
        <v>257</v>
      </c>
      <c r="B259" s="412" t="s">
        <v>3643</v>
      </c>
      <c r="C259" s="413" t="s">
        <v>3644</v>
      </c>
      <c r="D259" s="426" t="s">
        <v>445</v>
      </c>
      <c r="E259" s="80">
        <v>1</v>
      </c>
      <c r="F259" s="353">
        <v>41476.974000000002</v>
      </c>
      <c r="G259" s="293"/>
      <c r="H259" s="293"/>
      <c r="I259" s="293"/>
      <c r="J259" s="52"/>
      <c r="K259" s="52"/>
      <c r="L259" s="359"/>
      <c r="M259" s="360"/>
      <c r="N259" s="361"/>
      <c r="O259" s="33"/>
      <c r="P259" s="252"/>
      <c r="Q259" s="113"/>
      <c r="R259" s="113"/>
      <c r="S259" s="113"/>
      <c r="T259" s="52"/>
      <c r="U259" s="5"/>
      <c r="V259" s="231"/>
      <c r="W259" s="231"/>
      <c r="X259" s="231"/>
      <c r="Y259" s="113"/>
      <c r="Z259" s="357"/>
      <c r="AA259" s="118" t="s">
        <v>2877</v>
      </c>
      <c r="AB259" s="118"/>
      <c r="AC259" s="118"/>
      <c r="AD259" s="52"/>
      <c r="AE259" s="5"/>
      <c r="AF259" s="358"/>
      <c r="AG259" s="358"/>
      <c r="AH259" s="358"/>
      <c r="AI259" s="358"/>
      <c r="AJ259" s="358"/>
      <c r="AK259" s="113"/>
      <c r="AL259" s="113"/>
      <c r="AM259" s="113"/>
      <c r="AN259" s="113"/>
      <c r="AO259" s="113"/>
      <c r="AP259" s="52"/>
      <c r="AQ259" s="52"/>
      <c r="AR259" s="52"/>
      <c r="AS259" s="52"/>
      <c r="AT259" s="52"/>
      <c r="AU259" s="125"/>
      <c r="AV259" s="125"/>
      <c r="AW259" s="125"/>
      <c r="AX259" s="5"/>
      <c r="AY259" s="5"/>
      <c r="AZ259" s="113">
        <v>1000</v>
      </c>
      <c r="BA259" s="113">
        <v>190</v>
      </c>
      <c r="BB259" s="113">
        <v>1190</v>
      </c>
      <c r="BC259" s="52" t="s">
        <v>131</v>
      </c>
      <c r="BD259" s="52" t="s">
        <v>3645</v>
      </c>
      <c r="BE259" s="118"/>
      <c r="BF259" s="118"/>
      <c r="BG259" s="118"/>
      <c r="BH259" s="52"/>
      <c r="BI259" s="283"/>
      <c r="BJ259" s="52"/>
      <c r="BK259" s="52"/>
      <c r="BL259" s="52"/>
      <c r="BM259" s="52"/>
      <c r="BN259" s="52"/>
      <c r="BO259" s="52"/>
      <c r="BP259" s="52"/>
      <c r="BQ259" s="52"/>
      <c r="BR259" s="52"/>
      <c r="BS259" s="52"/>
      <c r="BT259" s="52"/>
      <c r="BU259" s="52"/>
      <c r="BV259" s="52"/>
      <c r="BW259" s="52"/>
      <c r="BX259" s="52"/>
      <c r="BY259" s="52"/>
      <c r="BZ259" s="52"/>
      <c r="CA259" s="52"/>
      <c r="CB259" s="52"/>
      <c r="CC259" s="52"/>
      <c r="CD259" s="118"/>
      <c r="CE259" s="52"/>
      <c r="CF259" s="52"/>
      <c r="CG259" s="52"/>
      <c r="CH259" s="52"/>
      <c r="CI259" s="52"/>
      <c r="CJ259" s="52"/>
      <c r="CK259" s="52"/>
      <c r="CL259" s="52"/>
      <c r="CM259" s="52"/>
      <c r="CN259" s="118"/>
      <c r="CO259" s="118"/>
      <c r="CP259" s="118"/>
      <c r="CQ259" s="52"/>
      <c r="CR259" s="52"/>
      <c r="CS259" s="52"/>
      <c r="CT259" s="52"/>
      <c r="CU259" s="52"/>
      <c r="CV259" s="52"/>
      <c r="CW259" s="52"/>
      <c r="CX259" s="52"/>
      <c r="CY259" s="52"/>
      <c r="CZ259" s="52"/>
      <c r="DA259" s="52"/>
      <c r="DB259" s="52"/>
    </row>
    <row r="260" spans="1:106" ht="27" x14ac:dyDescent="0.25">
      <c r="A260" s="411">
        <v>258</v>
      </c>
      <c r="B260" s="412" t="s">
        <v>3646</v>
      </c>
      <c r="C260" s="413" t="s">
        <v>3647</v>
      </c>
      <c r="D260" s="426" t="s">
        <v>445</v>
      </c>
      <c r="E260" s="80">
        <v>1</v>
      </c>
      <c r="F260" s="353">
        <v>36449.462</v>
      </c>
      <c r="G260" s="293"/>
      <c r="H260" s="293"/>
      <c r="I260" s="293"/>
      <c r="J260" s="52"/>
      <c r="K260" s="52"/>
      <c r="L260" s="359"/>
      <c r="M260" s="360"/>
      <c r="N260" s="361"/>
      <c r="O260" s="33"/>
      <c r="P260" s="252"/>
      <c r="Q260" s="113"/>
      <c r="R260" s="113"/>
      <c r="S260" s="113"/>
      <c r="T260" s="52"/>
      <c r="U260" s="5"/>
      <c r="V260" s="231"/>
      <c r="W260" s="231"/>
      <c r="X260" s="231"/>
      <c r="Y260" s="113"/>
      <c r="Z260" s="357"/>
      <c r="AA260" s="118" t="s">
        <v>2877</v>
      </c>
      <c r="AB260" s="118"/>
      <c r="AC260" s="118"/>
      <c r="AD260" s="52"/>
      <c r="AE260" s="5"/>
      <c r="AF260" s="358"/>
      <c r="AG260" s="358"/>
      <c r="AH260" s="358"/>
      <c r="AI260" s="358"/>
      <c r="AJ260" s="358"/>
      <c r="AK260" s="113"/>
      <c r="AL260" s="113"/>
      <c r="AM260" s="113"/>
      <c r="AN260" s="113"/>
      <c r="AO260" s="113"/>
      <c r="AP260" s="52"/>
      <c r="AQ260" s="52"/>
      <c r="AR260" s="52"/>
      <c r="AS260" s="52"/>
      <c r="AT260" s="52"/>
      <c r="AU260" s="125"/>
      <c r="AV260" s="125"/>
      <c r="AW260" s="125"/>
      <c r="AX260" s="5"/>
      <c r="AY260" s="5"/>
      <c r="AZ260" s="113">
        <v>40000</v>
      </c>
      <c r="BA260" s="113">
        <v>7600</v>
      </c>
      <c r="BB260" s="113">
        <v>47600</v>
      </c>
      <c r="BC260" s="52" t="s">
        <v>3648</v>
      </c>
      <c r="BD260" s="52" t="s">
        <v>3649</v>
      </c>
      <c r="BE260" s="118"/>
      <c r="BF260" s="118"/>
      <c r="BG260" s="118"/>
      <c r="BH260" s="52"/>
      <c r="BI260" s="283"/>
      <c r="BJ260" s="52"/>
      <c r="BK260" s="52"/>
      <c r="BL260" s="52"/>
      <c r="BM260" s="52"/>
      <c r="BN260" s="52"/>
      <c r="BO260" s="52"/>
      <c r="BP260" s="52"/>
      <c r="BQ260" s="52"/>
      <c r="BR260" s="52"/>
      <c r="BS260" s="52"/>
      <c r="BT260" s="52"/>
      <c r="BU260" s="52"/>
      <c r="BV260" s="52"/>
      <c r="BW260" s="52"/>
      <c r="BX260" s="52"/>
      <c r="BY260" s="52"/>
      <c r="BZ260" s="52"/>
      <c r="CA260" s="52"/>
      <c r="CB260" s="52"/>
      <c r="CC260" s="52"/>
      <c r="CD260" s="118"/>
      <c r="CE260" s="52"/>
      <c r="CF260" s="52"/>
      <c r="CG260" s="52"/>
      <c r="CH260" s="52"/>
      <c r="CI260" s="52"/>
      <c r="CJ260" s="52"/>
      <c r="CK260" s="52"/>
      <c r="CL260" s="52"/>
      <c r="CM260" s="52"/>
      <c r="CN260" s="118"/>
      <c r="CO260" s="118"/>
      <c r="CP260" s="118"/>
      <c r="CQ260" s="52"/>
      <c r="CR260" s="52"/>
      <c r="CS260" s="52"/>
      <c r="CT260" s="52"/>
      <c r="CU260" s="52"/>
      <c r="CV260" s="52"/>
      <c r="CW260" s="52"/>
      <c r="CX260" s="52"/>
      <c r="CY260" s="52"/>
      <c r="CZ260" s="52"/>
      <c r="DA260" s="52"/>
      <c r="DB260" s="52"/>
    </row>
    <row r="261" spans="1:106" ht="108" x14ac:dyDescent="0.25">
      <c r="A261" s="411">
        <v>259</v>
      </c>
      <c r="B261" s="412" t="s">
        <v>3650</v>
      </c>
      <c r="C261" s="426" t="s">
        <v>3651</v>
      </c>
      <c r="D261" s="426" t="s">
        <v>445</v>
      </c>
      <c r="E261" s="80">
        <v>1</v>
      </c>
      <c r="F261" s="353">
        <v>101807.118</v>
      </c>
      <c r="G261" s="293"/>
      <c r="H261" s="293"/>
      <c r="I261" s="293"/>
      <c r="J261" s="52"/>
      <c r="K261" s="52"/>
      <c r="L261" s="359"/>
      <c r="M261" s="360"/>
      <c r="N261" s="361"/>
      <c r="O261" s="33"/>
      <c r="P261" s="252"/>
      <c r="Q261" s="113"/>
      <c r="R261" s="113"/>
      <c r="S261" s="113"/>
      <c r="T261" s="52"/>
      <c r="U261" s="5"/>
      <c r="V261" s="231"/>
      <c r="W261" s="231"/>
      <c r="X261" s="231"/>
      <c r="Y261" s="113"/>
      <c r="Z261" s="357"/>
      <c r="AA261" s="118" t="s">
        <v>2877</v>
      </c>
      <c r="AB261" s="118"/>
      <c r="AC261" s="118"/>
      <c r="AD261" s="52"/>
      <c r="AE261" s="5"/>
      <c r="AF261" s="358"/>
      <c r="AG261" s="358"/>
      <c r="AH261" s="358"/>
      <c r="AI261" s="358"/>
      <c r="AJ261" s="358"/>
      <c r="AK261" s="113"/>
      <c r="AL261" s="113"/>
      <c r="AM261" s="113"/>
      <c r="AN261" s="113"/>
      <c r="AO261" s="113"/>
      <c r="AP261" s="52"/>
      <c r="AQ261" s="52"/>
      <c r="AR261" s="52"/>
      <c r="AS261" s="52"/>
      <c r="AT261" s="52"/>
      <c r="AU261" s="125"/>
      <c r="AV261" s="125"/>
      <c r="AW261" s="125"/>
      <c r="AX261" s="5"/>
      <c r="AY261" s="5"/>
      <c r="AZ261" s="113">
        <v>119000</v>
      </c>
      <c r="BA261" s="113">
        <v>22610</v>
      </c>
      <c r="BB261" s="113">
        <v>141610</v>
      </c>
      <c r="BC261" s="52" t="s">
        <v>338</v>
      </c>
      <c r="BD261" s="52" t="s">
        <v>3652</v>
      </c>
      <c r="BE261" s="118"/>
      <c r="BF261" s="118"/>
      <c r="BG261" s="118"/>
      <c r="BH261" s="52"/>
      <c r="BI261" s="283"/>
      <c r="BJ261" s="52"/>
      <c r="BK261" s="52"/>
      <c r="BL261" s="52"/>
      <c r="BM261" s="52"/>
      <c r="BN261" s="52"/>
      <c r="BO261" s="52"/>
      <c r="BP261" s="52"/>
      <c r="BQ261" s="52"/>
      <c r="BR261" s="52"/>
      <c r="BS261" s="52"/>
      <c r="BT261" s="52"/>
      <c r="BU261" s="52"/>
      <c r="BV261" s="52"/>
      <c r="BW261" s="52"/>
      <c r="BX261" s="52"/>
      <c r="BY261" s="52"/>
      <c r="BZ261" s="52"/>
      <c r="CA261" s="52"/>
      <c r="CB261" s="52"/>
      <c r="CC261" s="52"/>
      <c r="CD261" s="118"/>
      <c r="CE261" s="52"/>
      <c r="CF261" s="52"/>
      <c r="CG261" s="52"/>
      <c r="CH261" s="52"/>
      <c r="CI261" s="52"/>
      <c r="CJ261" s="52"/>
      <c r="CK261" s="52"/>
      <c r="CL261" s="52"/>
      <c r="CM261" s="52"/>
      <c r="CN261" s="118"/>
      <c r="CO261" s="118"/>
      <c r="CP261" s="118"/>
      <c r="CQ261" s="52"/>
      <c r="CR261" s="52"/>
      <c r="CS261" s="52"/>
      <c r="CT261" s="52"/>
      <c r="CU261" s="52"/>
      <c r="CV261" s="52"/>
      <c r="CW261" s="52"/>
      <c r="CX261" s="52"/>
      <c r="CY261" s="52"/>
      <c r="CZ261" s="52"/>
      <c r="DA261" s="52"/>
      <c r="DB261" s="52"/>
    </row>
    <row r="262" spans="1:106" ht="27" x14ac:dyDescent="0.25">
      <c r="A262" s="411">
        <v>260</v>
      </c>
      <c r="B262" s="412" t="s">
        <v>3653</v>
      </c>
      <c r="C262" s="413" t="s">
        <v>622</v>
      </c>
      <c r="D262" s="426" t="s">
        <v>445</v>
      </c>
      <c r="E262" s="80">
        <v>1</v>
      </c>
      <c r="F262" s="355">
        <v>138256.58000000002</v>
      </c>
      <c r="G262" s="293"/>
      <c r="H262" s="293"/>
      <c r="I262" s="293"/>
      <c r="J262" s="52"/>
      <c r="K262" s="52"/>
      <c r="L262" s="359"/>
      <c r="M262" s="360"/>
      <c r="N262" s="361"/>
      <c r="O262" s="33"/>
      <c r="P262" s="252"/>
      <c r="Q262" s="113"/>
      <c r="R262" s="113"/>
      <c r="S262" s="113"/>
      <c r="T262" s="52"/>
      <c r="U262" s="5"/>
      <c r="V262" s="231"/>
      <c r="W262" s="231"/>
      <c r="X262" s="231"/>
      <c r="Y262" s="113"/>
      <c r="Z262" s="357"/>
      <c r="AA262" s="118" t="s">
        <v>2877</v>
      </c>
      <c r="AB262" s="118"/>
      <c r="AC262" s="118"/>
      <c r="AD262" s="52"/>
      <c r="AE262" s="5"/>
      <c r="AF262" s="358"/>
      <c r="AG262" s="358"/>
      <c r="AH262" s="358"/>
      <c r="AI262" s="358"/>
      <c r="AJ262" s="358"/>
      <c r="AK262" s="113"/>
      <c r="AL262" s="113"/>
      <c r="AM262" s="113"/>
      <c r="AN262" s="113"/>
      <c r="AO262" s="113"/>
      <c r="AP262" s="52"/>
      <c r="AQ262" s="52"/>
      <c r="AR262" s="52"/>
      <c r="AS262" s="52"/>
      <c r="AT262" s="52"/>
      <c r="AU262" s="125"/>
      <c r="AV262" s="125"/>
      <c r="AW262" s="125"/>
      <c r="AX262" s="5"/>
      <c r="AY262" s="5"/>
      <c r="AZ262" s="113">
        <v>500000</v>
      </c>
      <c r="BA262" s="113">
        <v>95000</v>
      </c>
      <c r="BB262" s="113">
        <v>595000</v>
      </c>
      <c r="BC262" s="52" t="s">
        <v>2970</v>
      </c>
      <c r="BD262" s="52"/>
      <c r="BE262" s="118"/>
      <c r="BF262" s="118"/>
      <c r="BG262" s="118"/>
      <c r="BH262" s="52"/>
      <c r="BI262" s="283"/>
      <c r="BJ262" s="52"/>
      <c r="BK262" s="52"/>
      <c r="BL262" s="52"/>
      <c r="BM262" s="52"/>
      <c r="BN262" s="52"/>
      <c r="BO262" s="52"/>
      <c r="BP262" s="52"/>
      <c r="BQ262" s="52"/>
      <c r="BR262" s="52"/>
      <c r="BS262" s="52"/>
      <c r="BT262" s="52"/>
      <c r="BU262" s="52"/>
      <c r="BV262" s="52"/>
      <c r="BW262" s="52"/>
      <c r="BX262" s="52"/>
      <c r="BY262" s="52"/>
      <c r="BZ262" s="52"/>
      <c r="CA262" s="52"/>
      <c r="CB262" s="52"/>
      <c r="CC262" s="52"/>
      <c r="CD262" s="118"/>
      <c r="CE262" s="52"/>
      <c r="CF262" s="52"/>
      <c r="CG262" s="52"/>
      <c r="CH262" s="52"/>
      <c r="CI262" s="52"/>
      <c r="CJ262" s="52"/>
      <c r="CK262" s="52"/>
      <c r="CL262" s="52"/>
      <c r="CM262" s="52"/>
      <c r="CN262" s="118"/>
      <c r="CO262" s="118"/>
      <c r="CP262" s="118"/>
      <c r="CQ262" s="52"/>
      <c r="CR262" s="52"/>
      <c r="CS262" s="52"/>
      <c r="CT262" s="52"/>
      <c r="CU262" s="52"/>
      <c r="CV262" s="52"/>
      <c r="CW262" s="52"/>
      <c r="CX262" s="52"/>
      <c r="CY262" s="52"/>
      <c r="CZ262" s="52"/>
      <c r="DA262" s="52"/>
      <c r="DB262" s="52"/>
    </row>
    <row r="263" spans="1:106" ht="13.5" x14ac:dyDescent="0.25">
      <c r="A263" s="411">
        <v>261</v>
      </c>
      <c r="B263" s="412" t="s">
        <v>3654</v>
      </c>
      <c r="C263" s="413" t="s">
        <v>622</v>
      </c>
      <c r="D263" s="426" t="s">
        <v>3655</v>
      </c>
      <c r="E263" s="80">
        <v>1</v>
      </c>
      <c r="F263" s="353">
        <v>87981.46</v>
      </c>
      <c r="G263" s="293"/>
      <c r="H263" s="293"/>
      <c r="I263" s="293"/>
      <c r="J263" s="52"/>
      <c r="K263" s="52"/>
      <c r="L263" s="359"/>
      <c r="M263" s="360"/>
      <c r="N263" s="361"/>
      <c r="O263" s="33"/>
      <c r="P263" s="252"/>
      <c r="Q263" s="113"/>
      <c r="R263" s="113"/>
      <c r="S263" s="113"/>
      <c r="T263" s="52"/>
      <c r="U263" s="5"/>
      <c r="V263" s="231"/>
      <c r="W263" s="231"/>
      <c r="X263" s="231"/>
      <c r="Y263" s="113"/>
      <c r="Z263" s="357"/>
      <c r="AA263" s="118" t="s">
        <v>2877</v>
      </c>
      <c r="AB263" s="118"/>
      <c r="AC263" s="118"/>
      <c r="AD263" s="52"/>
      <c r="AE263" s="5"/>
      <c r="AF263" s="358"/>
      <c r="AG263" s="358"/>
      <c r="AH263" s="358"/>
      <c r="AI263" s="358"/>
      <c r="AJ263" s="358"/>
      <c r="AK263" s="113"/>
      <c r="AL263" s="113"/>
      <c r="AM263" s="113"/>
      <c r="AN263" s="113"/>
      <c r="AO263" s="113"/>
      <c r="AP263" s="52"/>
      <c r="AQ263" s="52"/>
      <c r="AR263" s="52"/>
      <c r="AS263" s="52"/>
      <c r="AT263" s="52"/>
      <c r="AU263" s="125"/>
      <c r="AV263" s="125"/>
      <c r="AW263" s="125"/>
      <c r="AX263" s="5"/>
      <c r="AY263" s="5"/>
      <c r="AZ263" s="113">
        <v>110000</v>
      </c>
      <c r="BA263" s="113">
        <v>20900</v>
      </c>
      <c r="BB263" s="113">
        <v>130900</v>
      </c>
      <c r="BC263" s="52" t="s">
        <v>3656</v>
      </c>
      <c r="BD263" s="52" t="s">
        <v>3657</v>
      </c>
      <c r="BE263" s="118"/>
      <c r="BF263" s="118"/>
      <c r="BG263" s="118"/>
      <c r="BH263" s="52"/>
      <c r="BI263" s="283"/>
      <c r="BJ263" s="52"/>
      <c r="BK263" s="52"/>
      <c r="BL263" s="52"/>
      <c r="BM263" s="52"/>
      <c r="BN263" s="52"/>
      <c r="BO263" s="52"/>
      <c r="BP263" s="52"/>
      <c r="BQ263" s="52"/>
      <c r="BR263" s="52"/>
      <c r="BS263" s="52"/>
      <c r="BT263" s="52"/>
      <c r="BU263" s="52"/>
      <c r="BV263" s="52"/>
      <c r="BW263" s="52"/>
      <c r="BX263" s="52"/>
      <c r="BY263" s="52"/>
      <c r="BZ263" s="52"/>
      <c r="CA263" s="52"/>
      <c r="CB263" s="52"/>
      <c r="CC263" s="52"/>
      <c r="CD263" s="118"/>
      <c r="CE263" s="52"/>
      <c r="CF263" s="52"/>
      <c r="CG263" s="52"/>
      <c r="CH263" s="52"/>
      <c r="CI263" s="52"/>
      <c r="CJ263" s="52"/>
      <c r="CK263" s="52"/>
      <c r="CL263" s="52"/>
      <c r="CM263" s="52"/>
      <c r="CN263" s="118"/>
      <c r="CO263" s="118"/>
      <c r="CP263" s="118"/>
      <c r="CQ263" s="52"/>
      <c r="CR263" s="52"/>
      <c r="CS263" s="52"/>
      <c r="CT263" s="52"/>
      <c r="CU263" s="52"/>
      <c r="CV263" s="52"/>
      <c r="CW263" s="52"/>
      <c r="CX263" s="52"/>
      <c r="CY263" s="52"/>
      <c r="CZ263" s="52"/>
      <c r="DA263" s="52"/>
      <c r="DB263" s="52"/>
    </row>
    <row r="264" spans="1:106" ht="27" x14ac:dyDescent="0.25">
      <c r="A264" s="411">
        <v>262</v>
      </c>
      <c r="B264" s="412" t="s">
        <v>3658</v>
      </c>
      <c r="C264" s="413" t="s">
        <v>622</v>
      </c>
      <c r="D264" s="426" t="s">
        <v>3659</v>
      </c>
      <c r="E264" s="80">
        <v>1</v>
      </c>
      <c r="F264" s="353">
        <v>199450.69560000001</v>
      </c>
      <c r="G264" s="293"/>
      <c r="H264" s="293"/>
      <c r="I264" s="293"/>
      <c r="J264" s="52"/>
      <c r="K264" s="52"/>
      <c r="L264" s="359"/>
      <c r="M264" s="360"/>
      <c r="N264" s="361"/>
      <c r="O264" s="33"/>
      <c r="P264" s="252"/>
      <c r="Q264" s="113"/>
      <c r="R264" s="113"/>
      <c r="S264" s="113"/>
      <c r="T264" s="52"/>
      <c r="U264" s="5"/>
      <c r="V264" s="231"/>
      <c r="W264" s="231"/>
      <c r="X264" s="231"/>
      <c r="Y264" s="113"/>
      <c r="Z264" s="357"/>
      <c r="AA264" s="118" t="s">
        <v>2877</v>
      </c>
      <c r="AB264" s="118"/>
      <c r="AC264" s="118"/>
      <c r="AD264" s="52"/>
      <c r="AE264" s="5"/>
      <c r="AF264" s="358"/>
      <c r="AG264" s="358"/>
      <c r="AH264" s="358"/>
      <c r="AI264" s="358"/>
      <c r="AJ264" s="358"/>
      <c r="AK264" s="113"/>
      <c r="AL264" s="113"/>
      <c r="AM264" s="113"/>
      <c r="AN264" s="113"/>
      <c r="AO264" s="113"/>
      <c r="AP264" s="52"/>
      <c r="AQ264" s="52"/>
      <c r="AR264" s="52"/>
      <c r="AS264" s="52"/>
      <c r="AT264" s="52"/>
      <c r="AU264" s="125"/>
      <c r="AV264" s="125"/>
      <c r="AW264" s="125"/>
      <c r="AX264" s="5"/>
      <c r="AY264" s="5"/>
      <c r="AZ264" s="113">
        <v>318000</v>
      </c>
      <c r="BA264" s="113">
        <v>60420</v>
      </c>
      <c r="BB264" s="113">
        <v>378420</v>
      </c>
      <c r="BC264" s="52" t="s">
        <v>2970</v>
      </c>
      <c r="BD264" s="52"/>
      <c r="BE264" s="118"/>
      <c r="BF264" s="118"/>
      <c r="BG264" s="118"/>
      <c r="BH264" s="52"/>
      <c r="BI264" s="283"/>
      <c r="BJ264" s="52"/>
      <c r="BK264" s="52"/>
      <c r="BL264" s="52"/>
      <c r="BM264" s="52"/>
      <c r="BN264" s="52"/>
      <c r="BO264" s="52"/>
      <c r="BP264" s="52"/>
      <c r="BQ264" s="52"/>
      <c r="BR264" s="52"/>
      <c r="BS264" s="52"/>
      <c r="BT264" s="52"/>
      <c r="BU264" s="52"/>
      <c r="BV264" s="52"/>
      <c r="BW264" s="52"/>
      <c r="BX264" s="52"/>
      <c r="BY264" s="52"/>
      <c r="BZ264" s="52"/>
      <c r="CA264" s="52"/>
      <c r="CB264" s="52"/>
      <c r="CC264" s="52"/>
      <c r="CD264" s="118"/>
      <c r="CE264" s="52"/>
      <c r="CF264" s="52"/>
      <c r="CG264" s="52"/>
      <c r="CH264" s="52"/>
      <c r="CI264" s="52"/>
      <c r="CJ264" s="52"/>
      <c r="CK264" s="52"/>
      <c r="CL264" s="52"/>
      <c r="CM264" s="52"/>
      <c r="CN264" s="118"/>
      <c r="CO264" s="118"/>
      <c r="CP264" s="118"/>
      <c r="CQ264" s="52"/>
      <c r="CR264" s="52"/>
      <c r="CS264" s="52"/>
      <c r="CT264" s="52"/>
      <c r="CU264" s="52"/>
      <c r="CV264" s="52"/>
      <c r="CW264" s="52"/>
      <c r="CX264" s="52"/>
      <c r="CY264" s="52"/>
      <c r="CZ264" s="52"/>
      <c r="DA264" s="52"/>
      <c r="DB264" s="52"/>
    </row>
    <row r="265" spans="1:106" ht="27" x14ac:dyDescent="0.25">
      <c r="A265" s="411">
        <v>263</v>
      </c>
      <c r="B265" s="412" t="s">
        <v>3660</v>
      </c>
      <c r="C265" s="413" t="s">
        <v>622</v>
      </c>
      <c r="D265" s="426" t="s">
        <v>3661</v>
      </c>
      <c r="E265" s="80">
        <v>1</v>
      </c>
      <c r="F265" s="353">
        <v>199843.60200000001</v>
      </c>
      <c r="G265" s="293"/>
      <c r="H265" s="293"/>
      <c r="I265" s="293"/>
      <c r="J265" s="52"/>
      <c r="K265" s="52"/>
      <c r="L265" s="359"/>
      <c r="M265" s="360"/>
      <c r="N265" s="361"/>
      <c r="O265" s="33"/>
      <c r="P265" s="252"/>
      <c r="Q265" s="113"/>
      <c r="R265" s="113"/>
      <c r="S265" s="113"/>
      <c r="T265" s="52"/>
      <c r="U265" s="5"/>
      <c r="V265" s="231"/>
      <c r="W265" s="231"/>
      <c r="X265" s="231"/>
      <c r="Y265" s="113"/>
      <c r="Z265" s="357"/>
      <c r="AA265" s="118" t="s">
        <v>2877</v>
      </c>
      <c r="AB265" s="118"/>
      <c r="AC265" s="118"/>
      <c r="AD265" s="52"/>
      <c r="AE265" s="5"/>
      <c r="AF265" s="358"/>
      <c r="AG265" s="358"/>
      <c r="AH265" s="358"/>
      <c r="AI265" s="358"/>
      <c r="AJ265" s="358"/>
      <c r="AK265" s="113"/>
      <c r="AL265" s="113"/>
      <c r="AM265" s="113"/>
      <c r="AN265" s="113"/>
      <c r="AO265" s="113"/>
      <c r="AP265" s="52"/>
      <c r="AQ265" s="52"/>
      <c r="AR265" s="52"/>
      <c r="AS265" s="52"/>
      <c r="AT265" s="52"/>
      <c r="AU265" s="125"/>
      <c r="AV265" s="125"/>
      <c r="AW265" s="125"/>
      <c r="AX265" s="5"/>
      <c r="AY265" s="5"/>
      <c r="AZ265" s="113">
        <v>1000000</v>
      </c>
      <c r="BA265" s="113">
        <v>190000</v>
      </c>
      <c r="BB265" s="113">
        <v>1190000</v>
      </c>
      <c r="BC265" s="52" t="s">
        <v>2970</v>
      </c>
      <c r="BD265" s="52"/>
      <c r="BE265" s="118"/>
      <c r="BF265" s="118"/>
      <c r="BG265" s="118"/>
      <c r="BH265" s="52"/>
      <c r="BI265" s="283"/>
      <c r="BJ265" s="52"/>
      <c r="BK265" s="52"/>
      <c r="BL265" s="52"/>
      <c r="BM265" s="52"/>
      <c r="BN265" s="52"/>
      <c r="BO265" s="52"/>
      <c r="BP265" s="52"/>
      <c r="BQ265" s="52"/>
      <c r="BR265" s="52"/>
      <c r="BS265" s="52"/>
      <c r="BT265" s="52"/>
      <c r="BU265" s="52"/>
      <c r="BV265" s="52"/>
      <c r="BW265" s="52"/>
      <c r="BX265" s="52"/>
      <c r="BY265" s="52"/>
      <c r="BZ265" s="52"/>
      <c r="CA265" s="52"/>
      <c r="CB265" s="52"/>
      <c r="CC265" s="52"/>
      <c r="CD265" s="118"/>
      <c r="CE265" s="52"/>
      <c r="CF265" s="52"/>
      <c r="CG265" s="52"/>
      <c r="CH265" s="52"/>
      <c r="CI265" s="52"/>
      <c r="CJ265" s="52"/>
      <c r="CK265" s="52"/>
      <c r="CL265" s="52"/>
      <c r="CM265" s="52"/>
      <c r="CN265" s="118"/>
      <c r="CO265" s="118"/>
      <c r="CP265" s="118"/>
      <c r="CQ265" s="52"/>
      <c r="CR265" s="52"/>
      <c r="CS265" s="52"/>
      <c r="CT265" s="52"/>
      <c r="CU265" s="52"/>
      <c r="CV265" s="52"/>
      <c r="CW265" s="52"/>
      <c r="CX265" s="52"/>
      <c r="CY265" s="52"/>
      <c r="CZ265" s="52"/>
      <c r="DA265" s="52"/>
      <c r="DB265" s="52"/>
    </row>
    <row r="266" spans="1:106" ht="27" x14ac:dyDescent="0.25">
      <c r="A266" s="411">
        <v>264</v>
      </c>
      <c r="B266" s="412" t="s">
        <v>3662</v>
      </c>
      <c r="C266" s="413" t="s">
        <v>622</v>
      </c>
      <c r="D266" s="426" t="s">
        <v>2938</v>
      </c>
      <c r="E266" s="80">
        <v>1</v>
      </c>
      <c r="F266" s="355">
        <v>66240.639200000005</v>
      </c>
      <c r="G266" s="293"/>
      <c r="H266" s="293"/>
      <c r="I266" s="293"/>
      <c r="J266" s="52"/>
      <c r="K266" s="52"/>
      <c r="L266" s="359"/>
      <c r="M266" s="360"/>
      <c r="N266" s="361"/>
      <c r="O266" s="33"/>
      <c r="P266" s="252"/>
      <c r="Q266" s="113"/>
      <c r="R266" s="113"/>
      <c r="S266" s="113"/>
      <c r="T266" s="52"/>
      <c r="U266" s="5"/>
      <c r="V266" s="231"/>
      <c r="W266" s="231"/>
      <c r="X266" s="231"/>
      <c r="Y266" s="113"/>
      <c r="Z266" s="357"/>
      <c r="AA266" s="118" t="s">
        <v>2877</v>
      </c>
      <c r="AB266" s="118"/>
      <c r="AC266" s="118"/>
      <c r="AD266" s="52"/>
      <c r="AE266" s="5"/>
      <c r="AF266" s="358"/>
      <c r="AG266" s="358"/>
      <c r="AH266" s="358"/>
      <c r="AI266" s="358"/>
      <c r="AJ266" s="358"/>
      <c r="AK266" s="113"/>
      <c r="AL266" s="113"/>
      <c r="AM266" s="113"/>
      <c r="AN266" s="113"/>
      <c r="AO266" s="113"/>
      <c r="AP266" s="52"/>
      <c r="AQ266" s="52"/>
      <c r="AR266" s="52"/>
      <c r="AS266" s="52"/>
      <c r="AT266" s="52"/>
      <c r="AU266" s="125"/>
      <c r="AV266" s="125"/>
      <c r="AW266" s="125"/>
      <c r="AX266" s="5"/>
      <c r="AY266" s="5"/>
      <c r="AZ266" s="113">
        <v>60000</v>
      </c>
      <c r="BA266" s="113">
        <v>11400</v>
      </c>
      <c r="BB266" s="113">
        <v>71400</v>
      </c>
      <c r="BC266" s="52" t="s">
        <v>2970</v>
      </c>
      <c r="BD266" s="52" t="s">
        <v>3663</v>
      </c>
      <c r="BE266" s="118"/>
      <c r="BF266" s="118"/>
      <c r="BG266" s="118"/>
      <c r="BH266" s="52"/>
      <c r="BI266" s="283"/>
      <c r="BJ266" s="52"/>
      <c r="BK266" s="52"/>
      <c r="BL266" s="52"/>
      <c r="BM266" s="52"/>
      <c r="BN266" s="52"/>
      <c r="BO266" s="52"/>
      <c r="BP266" s="52"/>
      <c r="BQ266" s="52"/>
      <c r="BR266" s="52"/>
      <c r="BS266" s="52"/>
      <c r="BT266" s="52"/>
      <c r="BU266" s="52"/>
      <c r="BV266" s="52"/>
      <c r="BW266" s="52"/>
      <c r="BX266" s="52"/>
      <c r="BY266" s="52"/>
      <c r="BZ266" s="52"/>
      <c r="CA266" s="52"/>
      <c r="CB266" s="52"/>
      <c r="CC266" s="52"/>
      <c r="CD266" s="118"/>
      <c r="CE266" s="52"/>
      <c r="CF266" s="52"/>
      <c r="CG266" s="52"/>
      <c r="CH266" s="52"/>
      <c r="CI266" s="52"/>
      <c r="CJ266" s="52"/>
      <c r="CK266" s="52"/>
      <c r="CL266" s="52"/>
      <c r="CM266" s="52"/>
      <c r="CN266" s="118"/>
      <c r="CO266" s="118"/>
      <c r="CP266" s="118"/>
      <c r="CQ266" s="52"/>
      <c r="CR266" s="52"/>
      <c r="CS266" s="52"/>
      <c r="CT266" s="52"/>
      <c r="CU266" s="52"/>
      <c r="CV266" s="52"/>
      <c r="CW266" s="52"/>
      <c r="CX266" s="52"/>
      <c r="CY266" s="52"/>
      <c r="CZ266" s="52"/>
      <c r="DA266" s="52"/>
      <c r="DB266" s="52"/>
    </row>
    <row r="267" spans="1:106" ht="27" x14ac:dyDescent="0.25">
      <c r="A267" s="411">
        <v>265</v>
      </c>
      <c r="B267" s="412" t="s">
        <v>3664</v>
      </c>
      <c r="C267" s="413" t="s">
        <v>622</v>
      </c>
      <c r="D267" s="426" t="s">
        <v>445</v>
      </c>
      <c r="E267" s="80">
        <v>1</v>
      </c>
      <c r="F267" s="355">
        <v>2045.8594000000001</v>
      </c>
      <c r="G267" s="293"/>
      <c r="H267" s="293"/>
      <c r="I267" s="293"/>
      <c r="J267" s="52"/>
      <c r="K267" s="52"/>
      <c r="L267" s="359"/>
      <c r="M267" s="360"/>
      <c r="N267" s="361"/>
      <c r="O267" s="33"/>
      <c r="P267" s="252"/>
      <c r="Q267" s="113"/>
      <c r="R267" s="113"/>
      <c r="S267" s="113"/>
      <c r="T267" s="52"/>
      <c r="U267" s="5"/>
      <c r="V267" s="231"/>
      <c r="W267" s="231"/>
      <c r="X267" s="231"/>
      <c r="Y267" s="113"/>
      <c r="Z267" s="357"/>
      <c r="AA267" s="118" t="s">
        <v>2877</v>
      </c>
      <c r="AB267" s="118"/>
      <c r="AC267" s="118"/>
      <c r="AD267" s="52"/>
      <c r="AE267" s="5"/>
      <c r="AF267" s="358"/>
      <c r="AG267" s="358"/>
      <c r="AH267" s="358"/>
      <c r="AI267" s="358"/>
      <c r="AJ267" s="358"/>
      <c r="AK267" s="113"/>
      <c r="AL267" s="113"/>
      <c r="AM267" s="113"/>
      <c r="AN267" s="113"/>
      <c r="AO267" s="113"/>
      <c r="AP267" s="52"/>
      <c r="AQ267" s="52"/>
      <c r="AR267" s="52"/>
      <c r="AS267" s="52"/>
      <c r="AT267" s="52"/>
      <c r="AU267" s="125"/>
      <c r="AV267" s="125"/>
      <c r="AW267" s="125"/>
      <c r="AX267" s="5"/>
      <c r="AY267" s="5"/>
      <c r="AZ267" s="113">
        <v>6000</v>
      </c>
      <c r="BA267" s="113">
        <v>1140</v>
      </c>
      <c r="BB267" s="113">
        <v>7140</v>
      </c>
      <c r="BC267" s="52" t="s">
        <v>3665</v>
      </c>
      <c r="BD267" s="52"/>
      <c r="BE267" s="118"/>
      <c r="BF267" s="118"/>
      <c r="BG267" s="118"/>
      <c r="BH267" s="52"/>
      <c r="BI267" s="283"/>
      <c r="BJ267" s="52"/>
      <c r="BK267" s="52"/>
      <c r="BL267" s="52"/>
      <c r="BM267" s="52"/>
      <c r="BN267" s="52"/>
      <c r="BO267" s="52"/>
      <c r="BP267" s="52"/>
      <c r="BQ267" s="52"/>
      <c r="BR267" s="52"/>
      <c r="BS267" s="52"/>
      <c r="BT267" s="52"/>
      <c r="BU267" s="52"/>
      <c r="BV267" s="52"/>
      <c r="BW267" s="52"/>
      <c r="BX267" s="52"/>
      <c r="BY267" s="52"/>
      <c r="BZ267" s="52"/>
      <c r="CA267" s="52"/>
      <c r="CB267" s="52"/>
      <c r="CC267" s="52"/>
      <c r="CD267" s="118"/>
      <c r="CE267" s="52"/>
      <c r="CF267" s="52"/>
      <c r="CG267" s="52"/>
      <c r="CH267" s="52"/>
      <c r="CI267" s="52"/>
      <c r="CJ267" s="52"/>
      <c r="CK267" s="52"/>
      <c r="CL267" s="52"/>
      <c r="CM267" s="52"/>
      <c r="CN267" s="118"/>
      <c r="CO267" s="118"/>
      <c r="CP267" s="118"/>
      <c r="CQ267" s="52"/>
      <c r="CR267" s="52"/>
      <c r="CS267" s="52"/>
      <c r="CT267" s="52"/>
      <c r="CU267" s="52"/>
      <c r="CV267" s="52"/>
      <c r="CW267" s="52"/>
      <c r="CX267" s="52"/>
      <c r="CY267" s="52"/>
      <c r="CZ267" s="52"/>
      <c r="DA267" s="52"/>
      <c r="DB267" s="52"/>
    </row>
    <row r="268" spans="1:106" ht="27" x14ac:dyDescent="0.25">
      <c r="A268" s="411">
        <v>266</v>
      </c>
      <c r="B268" s="412" t="s">
        <v>3666</v>
      </c>
      <c r="C268" s="413" t="s">
        <v>3667</v>
      </c>
      <c r="D268" s="426" t="s">
        <v>3668</v>
      </c>
      <c r="E268" s="80">
        <v>1</v>
      </c>
      <c r="F268" s="355">
        <v>299424.25040000002</v>
      </c>
      <c r="G268" s="293"/>
      <c r="H268" s="293"/>
      <c r="I268" s="293"/>
      <c r="J268" s="52"/>
      <c r="K268" s="52"/>
      <c r="L268" s="359"/>
      <c r="M268" s="360"/>
      <c r="N268" s="361"/>
      <c r="O268" s="33"/>
      <c r="P268" s="252"/>
      <c r="Q268" s="113"/>
      <c r="R268" s="113"/>
      <c r="S268" s="113"/>
      <c r="T268" s="52"/>
      <c r="U268" s="5"/>
      <c r="V268" s="231"/>
      <c r="W268" s="231"/>
      <c r="X268" s="231"/>
      <c r="Y268" s="113"/>
      <c r="Z268" s="357"/>
      <c r="AA268" s="118" t="s">
        <v>2877</v>
      </c>
      <c r="AB268" s="118"/>
      <c r="AC268" s="118"/>
      <c r="AD268" s="52"/>
      <c r="AE268" s="5"/>
      <c r="AF268" s="358"/>
      <c r="AG268" s="358"/>
      <c r="AH268" s="358"/>
      <c r="AI268" s="358"/>
      <c r="AJ268" s="358"/>
      <c r="AK268" s="113"/>
      <c r="AL268" s="113"/>
      <c r="AM268" s="113"/>
      <c r="AN268" s="113"/>
      <c r="AO268" s="113"/>
      <c r="AP268" s="52"/>
      <c r="AQ268" s="52"/>
      <c r="AR268" s="52"/>
      <c r="AS268" s="52"/>
      <c r="AT268" s="52"/>
      <c r="AU268" s="125"/>
      <c r="AV268" s="125"/>
      <c r="AW268" s="125"/>
      <c r="AX268" s="5"/>
      <c r="AY268" s="5"/>
      <c r="AZ268" s="113"/>
      <c r="BA268" s="113"/>
      <c r="BB268" s="113"/>
      <c r="BC268" s="52"/>
      <c r="BD268" s="52"/>
      <c r="BE268" s="118"/>
      <c r="BF268" s="118"/>
      <c r="BG268" s="118"/>
      <c r="BH268" s="52"/>
      <c r="BI268" s="283"/>
      <c r="BJ268" s="52"/>
      <c r="BK268" s="52"/>
      <c r="BL268" s="52"/>
      <c r="BM268" s="52"/>
      <c r="BN268" s="52"/>
      <c r="BO268" s="52"/>
      <c r="BP268" s="52"/>
      <c r="BQ268" s="52"/>
      <c r="BR268" s="52"/>
      <c r="BS268" s="52"/>
      <c r="BT268" s="52"/>
      <c r="BU268" s="52"/>
      <c r="BV268" s="52"/>
      <c r="BW268" s="52"/>
      <c r="BX268" s="52"/>
      <c r="BY268" s="52"/>
      <c r="BZ268" s="52"/>
      <c r="CA268" s="52"/>
      <c r="CB268" s="52"/>
      <c r="CC268" s="52"/>
      <c r="CD268" s="118"/>
      <c r="CE268" s="52"/>
      <c r="CF268" s="52"/>
      <c r="CG268" s="52"/>
      <c r="CH268" s="52"/>
      <c r="CI268" s="52"/>
      <c r="CJ268" s="52"/>
      <c r="CK268" s="52"/>
      <c r="CL268" s="52"/>
      <c r="CM268" s="52"/>
      <c r="CN268" s="118"/>
      <c r="CO268" s="118"/>
      <c r="CP268" s="118"/>
      <c r="CQ268" s="52"/>
      <c r="CR268" s="52"/>
      <c r="CS268" s="52"/>
      <c r="CT268" s="52"/>
      <c r="CU268" s="52"/>
      <c r="CV268" s="52"/>
      <c r="CW268" s="52"/>
      <c r="CX268" s="52"/>
      <c r="CY268" s="52"/>
      <c r="CZ268" s="52"/>
      <c r="DA268" s="52"/>
      <c r="DB268" s="52"/>
    </row>
    <row r="269" spans="1:106" ht="27" x14ac:dyDescent="0.25">
      <c r="A269" s="411">
        <v>267</v>
      </c>
      <c r="B269" s="412" t="s">
        <v>3669</v>
      </c>
      <c r="C269" s="426" t="s">
        <v>622</v>
      </c>
      <c r="D269" s="426" t="s">
        <v>445</v>
      </c>
      <c r="E269" s="80">
        <v>1</v>
      </c>
      <c r="F269" s="353">
        <v>109348.386</v>
      </c>
      <c r="G269" s="293"/>
      <c r="H269" s="293"/>
      <c r="I269" s="293"/>
      <c r="J269" s="52"/>
      <c r="K269" s="52"/>
      <c r="L269" s="359"/>
      <c r="M269" s="360"/>
      <c r="N269" s="361"/>
      <c r="O269" s="33"/>
      <c r="P269" s="252"/>
      <c r="Q269" s="113"/>
      <c r="R269" s="113"/>
      <c r="S269" s="113"/>
      <c r="T269" s="52"/>
      <c r="U269" s="5"/>
      <c r="V269" s="231"/>
      <c r="W269" s="231"/>
      <c r="X269" s="231"/>
      <c r="Y269" s="113"/>
      <c r="Z269" s="357"/>
      <c r="AA269" s="118" t="s">
        <v>2877</v>
      </c>
      <c r="AB269" s="118"/>
      <c r="AC269" s="118"/>
      <c r="AD269" s="52"/>
      <c r="AE269" s="5"/>
      <c r="AF269" s="358"/>
      <c r="AG269" s="358"/>
      <c r="AH269" s="358"/>
      <c r="AI269" s="358"/>
      <c r="AJ269" s="358"/>
      <c r="AK269" s="113"/>
      <c r="AL269" s="113"/>
      <c r="AM269" s="113"/>
      <c r="AN269" s="113"/>
      <c r="AO269" s="113"/>
      <c r="AP269" s="52"/>
      <c r="AQ269" s="52"/>
      <c r="AR269" s="52"/>
      <c r="AS269" s="52"/>
      <c r="AT269" s="52"/>
      <c r="AU269" s="125"/>
      <c r="AV269" s="125"/>
      <c r="AW269" s="125"/>
      <c r="AX269" s="5"/>
      <c r="AY269" s="5"/>
      <c r="AZ269" s="113">
        <v>70000</v>
      </c>
      <c r="BA269" s="113">
        <v>13300</v>
      </c>
      <c r="BB269" s="113">
        <v>83300</v>
      </c>
      <c r="BC269" s="52" t="s">
        <v>3670</v>
      </c>
      <c r="BD269" s="52" t="s">
        <v>3671</v>
      </c>
      <c r="BE269" s="118"/>
      <c r="BF269" s="118"/>
      <c r="BG269" s="118"/>
      <c r="BH269" s="52"/>
      <c r="BI269" s="283"/>
      <c r="BJ269" s="52"/>
      <c r="BK269" s="52"/>
      <c r="BL269" s="52"/>
      <c r="BM269" s="52"/>
      <c r="BN269" s="52"/>
      <c r="BO269" s="52"/>
      <c r="BP269" s="52"/>
      <c r="BQ269" s="52"/>
      <c r="BR269" s="52"/>
      <c r="BS269" s="52"/>
      <c r="BT269" s="52"/>
      <c r="BU269" s="52"/>
      <c r="BV269" s="52"/>
      <c r="BW269" s="52"/>
      <c r="BX269" s="52"/>
      <c r="BY269" s="52"/>
      <c r="BZ269" s="52"/>
      <c r="CA269" s="52"/>
      <c r="CB269" s="52"/>
      <c r="CC269" s="52"/>
      <c r="CD269" s="118">
        <v>66639</v>
      </c>
      <c r="CE269" s="118">
        <f>+CD269*0.19</f>
        <v>12661.41</v>
      </c>
      <c r="CF269" s="118">
        <f>+CD269+CE269</f>
        <v>79300.41</v>
      </c>
      <c r="CG269" s="52" t="s">
        <v>3672</v>
      </c>
      <c r="CH269" s="52" t="s">
        <v>3673</v>
      </c>
      <c r="CI269" s="52"/>
      <c r="CJ269" s="52"/>
      <c r="CK269" s="52"/>
      <c r="CL269" s="52"/>
      <c r="CM269" s="52"/>
      <c r="CN269" s="118"/>
      <c r="CO269" s="118"/>
      <c r="CP269" s="118"/>
      <c r="CQ269" s="52"/>
      <c r="CR269" s="52"/>
      <c r="CS269" s="52"/>
      <c r="CT269" s="52"/>
      <c r="CU269" s="52"/>
      <c r="CV269" s="52"/>
      <c r="CW269" s="52"/>
      <c r="CX269" s="52"/>
      <c r="CY269" s="52"/>
      <c r="CZ269" s="52"/>
      <c r="DA269" s="52"/>
      <c r="DB269" s="52"/>
    </row>
    <row r="270" spans="1:106" ht="40.5" x14ac:dyDescent="0.25">
      <c r="A270" s="411">
        <v>268</v>
      </c>
      <c r="B270" s="412" t="s">
        <v>3674</v>
      </c>
      <c r="C270" s="413" t="s">
        <v>622</v>
      </c>
      <c r="D270" s="426" t="s">
        <v>445</v>
      </c>
      <c r="E270" s="80">
        <v>1</v>
      </c>
      <c r="F270" s="353">
        <v>115632.776</v>
      </c>
      <c r="G270" s="293"/>
      <c r="H270" s="293"/>
      <c r="I270" s="293"/>
      <c r="J270" s="52"/>
      <c r="K270" s="52"/>
      <c r="L270" s="359"/>
      <c r="M270" s="360"/>
      <c r="N270" s="361"/>
      <c r="O270" s="33"/>
      <c r="P270" s="252"/>
      <c r="Q270" s="113"/>
      <c r="R270" s="113"/>
      <c r="S270" s="113"/>
      <c r="T270" s="52"/>
      <c r="U270" s="5"/>
      <c r="V270" s="231"/>
      <c r="W270" s="231"/>
      <c r="X270" s="231"/>
      <c r="Y270" s="113"/>
      <c r="Z270" s="357"/>
      <c r="AA270" s="118" t="s">
        <v>2877</v>
      </c>
      <c r="AB270" s="118"/>
      <c r="AC270" s="118"/>
      <c r="AD270" s="52"/>
      <c r="AE270" s="5"/>
      <c r="AF270" s="358"/>
      <c r="AG270" s="358"/>
      <c r="AH270" s="358"/>
      <c r="AI270" s="358"/>
      <c r="AJ270" s="358"/>
      <c r="AK270" s="113">
        <v>53200</v>
      </c>
      <c r="AL270" s="113">
        <v>10108</v>
      </c>
      <c r="AM270" s="113">
        <v>63308</v>
      </c>
      <c r="AN270" s="113" t="s">
        <v>3032</v>
      </c>
      <c r="AO270" s="113" t="s">
        <v>3675</v>
      </c>
      <c r="AP270" s="52"/>
      <c r="AQ270" s="52"/>
      <c r="AR270" s="52"/>
      <c r="AS270" s="52"/>
      <c r="AT270" s="52"/>
      <c r="AU270" s="125"/>
      <c r="AV270" s="125"/>
      <c r="AW270" s="125"/>
      <c r="AX270" s="5"/>
      <c r="AY270" s="5"/>
      <c r="AZ270" s="113">
        <v>247000</v>
      </c>
      <c r="BA270" s="113">
        <v>46930</v>
      </c>
      <c r="BB270" s="113">
        <v>293930</v>
      </c>
      <c r="BC270" s="52" t="s">
        <v>3676</v>
      </c>
      <c r="BD270" s="52" t="s">
        <v>3677</v>
      </c>
      <c r="BE270" s="118"/>
      <c r="BF270" s="118"/>
      <c r="BG270" s="118"/>
      <c r="BH270" s="52"/>
      <c r="BI270" s="283"/>
      <c r="BJ270" s="52"/>
      <c r="BK270" s="52"/>
      <c r="BL270" s="52"/>
      <c r="BM270" s="52"/>
      <c r="BN270" s="52"/>
      <c r="BO270" s="52"/>
      <c r="BP270" s="52"/>
      <c r="BQ270" s="52"/>
      <c r="BR270" s="52"/>
      <c r="BS270" s="52"/>
      <c r="BT270" s="52"/>
      <c r="BU270" s="52"/>
      <c r="BV270" s="52"/>
      <c r="BW270" s="52"/>
      <c r="BX270" s="52"/>
      <c r="BY270" s="52"/>
      <c r="BZ270" s="52"/>
      <c r="CA270" s="52"/>
      <c r="CB270" s="52"/>
      <c r="CC270" s="52"/>
      <c r="CD270" s="118"/>
      <c r="CE270" s="52"/>
      <c r="CF270" s="52"/>
      <c r="CG270" s="52"/>
      <c r="CH270" s="52"/>
      <c r="CI270" s="52"/>
      <c r="CJ270" s="52"/>
      <c r="CK270" s="52"/>
      <c r="CL270" s="52"/>
      <c r="CM270" s="52"/>
      <c r="CN270" s="118"/>
      <c r="CO270" s="118"/>
      <c r="CP270" s="118"/>
      <c r="CQ270" s="52"/>
      <c r="CR270" s="52"/>
      <c r="CS270" s="52"/>
      <c r="CT270" s="52"/>
      <c r="CU270" s="52"/>
      <c r="CV270" s="52"/>
      <c r="CW270" s="52"/>
      <c r="CX270" s="52"/>
      <c r="CY270" s="52"/>
      <c r="CZ270" s="52"/>
      <c r="DA270" s="52"/>
      <c r="DB270" s="52"/>
    </row>
    <row r="271" spans="1:106" ht="27" x14ac:dyDescent="0.25">
      <c r="A271" s="411">
        <v>269</v>
      </c>
      <c r="B271" s="409" t="s">
        <v>3678</v>
      </c>
      <c r="C271" s="426" t="s">
        <v>3679</v>
      </c>
      <c r="D271" s="409" t="s">
        <v>445</v>
      </c>
      <c r="E271" s="80">
        <v>1</v>
      </c>
      <c r="F271" s="353">
        <v>326546.41019999998</v>
      </c>
      <c r="G271" s="293"/>
      <c r="H271" s="293"/>
      <c r="I271" s="293"/>
      <c r="J271" s="52"/>
      <c r="K271" s="52"/>
      <c r="L271" s="359"/>
      <c r="M271" s="360"/>
      <c r="N271" s="361"/>
      <c r="O271" s="33"/>
      <c r="P271" s="252"/>
      <c r="Q271" s="113"/>
      <c r="R271" s="113"/>
      <c r="S271" s="113"/>
      <c r="T271" s="52"/>
      <c r="U271" s="5"/>
      <c r="V271" s="231"/>
      <c r="W271" s="231"/>
      <c r="X271" s="231"/>
      <c r="Y271" s="113"/>
      <c r="Z271" s="357"/>
      <c r="AA271" s="118" t="s">
        <v>2877</v>
      </c>
      <c r="AB271" s="118"/>
      <c r="AC271" s="118"/>
      <c r="AD271" s="52"/>
      <c r="AE271" s="5"/>
      <c r="AF271" s="358"/>
      <c r="AG271" s="358"/>
      <c r="AH271" s="358"/>
      <c r="AI271" s="358"/>
      <c r="AJ271" s="358"/>
      <c r="AK271" s="113"/>
      <c r="AL271" s="113"/>
      <c r="AM271" s="113"/>
      <c r="AN271" s="113"/>
      <c r="AO271" s="113"/>
      <c r="AP271" s="52"/>
      <c r="AQ271" s="52"/>
      <c r="AR271" s="52"/>
      <c r="AS271" s="52"/>
      <c r="AT271" s="52"/>
      <c r="AU271" s="125"/>
      <c r="AV271" s="125"/>
      <c r="AW271" s="125"/>
      <c r="AX271" s="5"/>
      <c r="AY271" s="5"/>
      <c r="AZ271" s="113">
        <v>183000</v>
      </c>
      <c r="BA271" s="113">
        <v>34770</v>
      </c>
      <c r="BB271" s="113">
        <v>217770</v>
      </c>
      <c r="BC271" s="52" t="s">
        <v>3670</v>
      </c>
      <c r="BD271" s="52" t="s">
        <v>3680</v>
      </c>
      <c r="BE271" s="118"/>
      <c r="BF271" s="118"/>
      <c r="BG271" s="118"/>
      <c r="BH271" s="52"/>
      <c r="BI271" s="283"/>
      <c r="BJ271" s="52"/>
      <c r="BK271" s="52"/>
      <c r="BL271" s="52"/>
      <c r="BM271" s="52"/>
      <c r="BN271" s="52"/>
      <c r="BO271" s="52"/>
      <c r="BP271" s="52"/>
      <c r="BQ271" s="52"/>
      <c r="BR271" s="52"/>
      <c r="BS271" s="52"/>
      <c r="BT271" s="52"/>
      <c r="BU271" s="52"/>
      <c r="BV271" s="52"/>
      <c r="BW271" s="52"/>
      <c r="BX271" s="52"/>
      <c r="BY271" s="52"/>
      <c r="BZ271" s="52"/>
      <c r="CA271" s="52"/>
      <c r="CB271" s="52"/>
      <c r="CC271" s="52"/>
      <c r="CD271" s="118"/>
      <c r="CE271" s="52"/>
      <c r="CF271" s="52"/>
      <c r="CG271" s="52"/>
      <c r="CH271" s="52"/>
      <c r="CI271" s="52"/>
      <c r="CJ271" s="52"/>
      <c r="CK271" s="52"/>
      <c r="CL271" s="52"/>
      <c r="CM271" s="52"/>
      <c r="CN271" s="118"/>
      <c r="CO271" s="118"/>
      <c r="CP271" s="118"/>
      <c r="CQ271" s="52"/>
      <c r="CR271" s="52"/>
      <c r="CS271" s="52"/>
      <c r="CT271" s="52"/>
      <c r="CU271" s="52"/>
      <c r="CV271" s="52"/>
      <c r="CW271" s="52"/>
      <c r="CX271" s="52"/>
      <c r="CY271" s="52"/>
      <c r="CZ271" s="52"/>
      <c r="DA271" s="52"/>
      <c r="DB271" s="52"/>
    </row>
    <row r="272" spans="1:106" ht="27" x14ac:dyDescent="0.25">
      <c r="A272" s="411">
        <v>270</v>
      </c>
      <c r="B272" s="412" t="s">
        <v>3681</v>
      </c>
      <c r="C272" s="413" t="s">
        <v>622</v>
      </c>
      <c r="D272" s="426" t="s">
        <v>3682</v>
      </c>
      <c r="E272" s="80">
        <v>1</v>
      </c>
      <c r="F272" s="353">
        <v>678714.12</v>
      </c>
      <c r="G272" s="293"/>
      <c r="H272" s="293"/>
      <c r="I272" s="293"/>
      <c r="J272" s="52"/>
      <c r="K272" s="52"/>
      <c r="L272" s="359"/>
      <c r="M272" s="360"/>
      <c r="N272" s="361"/>
      <c r="O272" s="33"/>
      <c r="P272" s="252"/>
      <c r="Q272" s="113"/>
      <c r="R272" s="113"/>
      <c r="S272" s="113"/>
      <c r="T272" s="52"/>
      <c r="U272" s="5"/>
      <c r="V272" s="231"/>
      <c r="W272" s="231"/>
      <c r="X272" s="231"/>
      <c r="Y272" s="113"/>
      <c r="Z272" s="357"/>
      <c r="AA272" s="118" t="s">
        <v>2877</v>
      </c>
      <c r="AB272" s="118"/>
      <c r="AC272" s="118"/>
      <c r="AD272" s="52"/>
      <c r="AE272" s="5"/>
      <c r="AF272" s="358"/>
      <c r="AG272" s="358"/>
      <c r="AH272" s="358"/>
      <c r="AI272" s="358"/>
      <c r="AJ272" s="358"/>
      <c r="AK272" s="113">
        <v>51900</v>
      </c>
      <c r="AL272" s="113">
        <v>9861</v>
      </c>
      <c r="AM272" s="113">
        <v>61761</v>
      </c>
      <c r="AN272" s="113" t="s">
        <v>3032</v>
      </c>
      <c r="AO272" s="113" t="s">
        <v>3683</v>
      </c>
      <c r="AP272" s="52"/>
      <c r="AQ272" s="52"/>
      <c r="AR272" s="52"/>
      <c r="AS272" s="52"/>
      <c r="AT272" s="52"/>
      <c r="AU272" s="125"/>
      <c r="AV272" s="125"/>
      <c r="AW272" s="125"/>
      <c r="AX272" s="5"/>
      <c r="AY272" s="5"/>
      <c r="AZ272" s="113">
        <v>929000</v>
      </c>
      <c r="BA272" s="113">
        <v>176510</v>
      </c>
      <c r="BB272" s="113">
        <v>1105510</v>
      </c>
      <c r="BC272" s="52" t="s">
        <v>3670</v>
      </c>
      <c r="BD272" s="52" t="s">
        <v>3684</v>
      </c>
      <c r="BE272" s="118"/>
      <c r="BF272" s="118"/>
      <c r="BG272" s="118"/>
      <c r="BH272" s="52"/>
      <c r="BI272" s="283"/>
      <c r="BJ272" s="52"/>
      <c r="BK272" s="52"/>
      <c r="BL272" s="52"/>
      <c r="BM272" s="52"/>
      <c r="BN272" s="52"/>
      <c r="BO272" s="52"/>
      <c r="BP272" s="52"/>
      <c r="BQ272" s="52"/>
      <c r="BR272" s="52"/>
      <c r="BS272" s="52"/>
      <c r="BT272" s="52"/>
      <c r="BU272" s="52"/>
      <c r="BV272" s="52"/>
      <c r="BW272" s="52"/>
      <c r="BX272" s="52"/>
      <c r="BY272" s="52"/>
      <c r="BZ272" s="52"/>
      <c r="CA272" s="52"/>
      <c r="CB272" s="52"/>
      <c r="CC272" s="52"/>
      <c r="CD272" s="118"/>
      <c r="CE272" s="118"/>
      <c r="CF272" s="118"/>
      <c r="CG272" s="52"/>
      <c r="CH272" s="52"/>
      <c r="CI272" s="52"/>
      <c r="CJ272" s="52"/>
      <c r="CK272" s="52"/>
      <c r="CL272" s="52"/>
      <c r="CM272" s="52"/>
      <c r="CN272" s="118"/>
      <c r="CO272" s="118"/>
      <c r="CP272" s="118"/>
      <c r="CQ272" s="52"/>
      <c r="CR272" s="52"/>
      <c r="CS272" s="52"/>
      <c r="CT272" s="52"/>
      <c r="CU272" s="52"/>
      <c r="CV272" s="52"/>
      <c r="CW272" s="52"/>
      <c r="CX272" s="52"/>
      <c r="CY272" s="52"/>
      <c r="CZ272" s="52"/>
      <c r="DA272" s="52"/>
      <c r="DB272" s="52"/>
    </row>
    <row r="273" spans="1:106" ht="27" x14ac:dyDescent="0.25">
      <c r="A273" s="411">
        <v>271</v>
      </c>
      <c r="B273" s="412" t="s">
        <v>3685</v>
      </c>
      <c r="C273" s="413" t="s">
        <v>622</v>
      </c>
      <c r="D273" s="426" t="s">
        <v>445</v>
      </c>
      <c r="E273" s="80">
        <v>1</v>
      </c>
      <c r="F273" s="355">
        <v>168440.6636</v>
      </c>
      <c r="G273" s="293"/>
      <c r="H273" s="293"/>
      <c r="I273" s="293"/>
      <c r="J273" s="52"/>
      <c r="K273" s="52"/>
      <c r="L273" s="359"/>
      <c r="M273" s="360"/>
      <c r="N273" s="361"/>
      <c r="O273" s="33"/>
      <c r="P273" s="252"/>
      <c r="Q273" s="113"/>
      <c r="R273" s="113"/>
      <c r="S273" s="113"/>
      <c r="T273" s="52"/>
      <c r="U273" s="5"/>
      <c r="V273" s="231"/>
      <c r="W273" s="231"/>
      <c r="X273" s="231"/>
      <c r="Y273" s="113"/>
      <c r="Z273" s="357"/>
      <c r="AA273" s="118" t="s">
        <v>2877</v>
      </c>
      <c r="AB273" s="118"/>
      <c r="AC273" s="118"/>
      <c r="AD273" s="52"/>
      <c r="AE273" s="5"/>
      <c r="AF273" s="358"/>
      <c r="AG273" s="358"/>
      <c r="AH273" s="358"/>
      <c r="AI273" s="358"/>
      <c r="AJ273" s="358"/>
      <c r="AK273" s="113"/>
      <c r="AL273" s="113"/>
      <c r="AM273" s="113"/>
      <c r="AN273" s="113"/>
      <c r="AO273" s="113"/>
      <c r="AP273" s="52"/>
      <c r="AQ273" s="52"/>
      <c r="AR273" s="52"/>
      <c r="AS273" s="52"/>
      <c r="AT273" s="52"/>
      <c r="AU273" s="125"/>
      <c r="AV273" s="125"/>
      <c r="AW273" s="125"/>
      <c r="AX273" s="5"/>
      <c r="AY273" s="5"/>
      <c r="AZ273" s="113"/>
      <c r="BA273" s="113"/>
      <c r="BB273" s="113"/>
      <c r="BC273" s="52"/>
      <c r="BD273" s="52"/>
      <c r="BE273" s="118"/>
      <c r="BF273" s="118"/>
      <c r="BG273" s="118"/>
      <c r="BH273" s="52"/>
      <c r="BI273" s="283"/>
      <c r="BJ273" s="52"/>
      <c r="BK273" s="52"/>
      <c r="BL273" s="52"/>
      <c r="BM273" s="52"/>
      <c r="BN273" s="52"/>
      <c r="BO273" s="52"/>
      <c r="BP273" s="52"/>
      <c r="BQ273" s="52"/>
      <c r="BR273" s="52"/>
      <c r="BS273" s="52"/>
      <c r="BT273" s="52"/>
      <c r="BU273" s="52"/>
      <c r="BV273" s="52"/>
      <c r="BW273" s="52"/>
      <c r="BX273" s="52"/>
      <c r="BY273" s="52"/>
      <c r="BZ273" s="52"/>
      <c r="CA273" s="52"/>
      <c r="CB273" s="52"/>
      <c r="CC273" s="52"/>
      <c r="CD273" s="118"/>
      <c r="CE273" s="52"/>
      <c r="CF273" s="52"/>
      <c r="CG273" s="52"/>
      <c r="CH273" s="52"/>
      <c r="CI273" s="52"/>
      <c r="CJ273" s="52"/>
      <c r="CK273" s="52"/>
      <c r="CL273" s="52"/>
      <c r="CM273" s="52"/>
      <c r="CN273" s="118"/>
      <c r="CO273" s="118"/>
      <c r="CP273" s="118"/>
      <c r="CQ273" s="52"/>
      <c r="CR273" s="52"/>
      <c r="CS273" s="52"/>
      <c r="CT273" s="52"/>
      <c r="CU273" s="52"/>
      <c r="CV273" s="52"/>
      <c r="CW273" s="52"/>
      <c r="CX273" s="52"/>
      <c r="CY273" s="52"/>
      <c r="CZ273" s="52"/>
      <c r="DA273" s="52"/>
      <c r="DB273" s="52"/>
    </row>
    <row r="274" spans="1:106" ht="27" x14ac:dyDescent="0.25">
      <c r="A274" s="411">
        <v>272</v>
      </c>
      <c r="B274" s="412" t="s">
        <v>3686</v>
      </c>
      <c r="C274" s="413" t="s">
        <v>622</v>
      </c>
      <c r="D274" s="426" t="s">
        <v>3209</v>
      </c>
      <c r="E274" s="80">
        <v>1</v>
      </c>
      <c r="F274" s="353">
        <v>228751.796</v>
      </c>
      <c r="G274" s="293"/>
      <c r="H274" s="293"/>
      <c r="I274" s="293"/>
      <c r="J274" s="52"/>
      <c r="K274" s="52"/>
      <c r="L274" s="359"/>
      <c r="M274" s="360"/>
      <c r="N274" s="361"/>
      <c r="O274" s="33"/>
      <c r="P274" s="252"/>
      <c r="Q274" s="113"/>
      <c r="R274" s="113"/>
      <c r="S274" s="113"/>
      <c r="T274" s="52"/>
      <c r="U274" s="5"/>
      <c r="V274" s="231"/>
      <c r="W274" s="231"/>
      <c r="X274" s="231"/>
      <c r="Y274" s="113"/>
      <c r="Z274" s="357"/>
      <c r="AA274" s="118" t="s">
        <v>2877</v>
      </c>
      <c r="AB274" s="118"/>
      <c r="AC274" s="118"/>
      <c r="AD274" s="52"/>
      <c r="AE274" s="5"/>
      <c r="AF274" s="358"/>
      <c r="AG274" s="358"/>
      <c r="AH274" s="358"/>
      <c r="AI274" s="358"/>
      <c r="AJ274" s="358"/>
      <c r="AK274" s="113"/>
      <c r="AL274" s="113"/>
      <c r="AM274" s="113"/>
      <c r="AN274" s="113"/>
      <c r="AO274" s="113"/>
      <c r="AP274" s="52"/>
      <c r="AQ274" s="52"/>
      <c r="AR274" s="52"/>
      <c r="AS274" s="52"/>
      <c r="AT274" s="52"/>
      <c r="AU274" s="125"/>
      <c r="AV274" s="125"/>
      <c r="AW274" s="125"/>
      <c r="AX274" s="5"/>
      <c r="AY274" s="5"/>
      <c r="AZ274" s="113"/>
      <c r="BA274" s="113"/>
      <c r="BB274" s="113"/>
      <c r="BC274" s="52"/>
      <c r="BD274" s="52" t="s">
        <v>3687</v>
      </c>
      <c r="BE274" s="118"/>
      <c r="BF274" s="118"/>
      <c r="BG274" s="118"/>
      <c r="BH274" s="52"/>
      <c r="BI274" s="283"/>
      <c r="BJ274" s="52"/>
      <c r="BK274" s="52"/>
      <c r="BL274" s="52"/>
      <c r="BM274" s="52"/>
      <c r="BN274" s="52"/>
      <c r="BO274" s="52"/>
      <c r="BP274" s="52"/>
      <c r="BQ274" s="52"/>
      <c r="BR274" s="52"/>
      <c r="BS274" s="52"/>
      <c r="BT274" s="52"/>
      <c r="BU274" s="52"/>
      <c r="BV274" s="52"/>
      <c r="BW274" s="52"/>
      <c r="BX274" s="52"/>
      <c r="BY274" s="52"/>
      <c r="BZ274" s="52"/>
      <c r="CA274" s="52"/>
      <c r="CB274" s="52"/>
      <c r="CC274" s="52"/>
      <c r="CD274" s="118">
        <v>75631</v>
      </c>
      <c r="CE274" s="118">
        <f>+CD274*0.19</f>
        <v>14369.89</v>
      </c>
      <c r="CF274" s="118">
        <f>+CD274+CE274</f>
        <v>90000.89</v>
      </c>
      <c r="CG274" s="52" t="s">
        <v>3688</v>
      </c>
      <c r="CH274" s="33">
        <v>563</v>
      </c>
      <c r="CI274" s="52"/>
      <c r="CJ274" s="52"/>
      <c r="CK274" s="52"/>
      <c r="CL274" s="52"/>
      <c r="CM274" s="52"/>
      <c r="CN274" s="118"/>
      <c r="CO274" s="118"/>
      <c r="CP274" s="118"/>
      <c r="CQ274" s="52"/>
      <c r="CR274" s="52"/>
      <c r="CS274" s="52"/>
      <c r="CT274" s="52"/>
      <c r="CU274" s="52"/>
      <c r="CV274" s="52"/>
      <c r="CW274" s="52"/>
      <c r="CX274" s="52"/>
      <c r="CY274" s="52"/>
      <c r="CZ274" s="52"/>
      <c r="DA274" s="52"/>
      <c r="DB274" s="52"/>
    </row>
    <row r="275" spans="1:106" ht="13.5" x14ac:dyDescent="0.25">
      <c r="A275" s="411">
        <v>273</v>
      </c>
      <c r="B275" s="412" t="s">
        <v>3689</v>
      </c>
      <c r="C275" s="413" t="s">
        <v>622</v>
      </c>
      <c r="D275" s="426" t="s">
        <v>445</v>
      </c>
      <c r="E275" s="80">
        <v>1</v>
      </c>
      <c r="F275" s="353">
        <v>138256.58000000002</v>
      </c>
      <c r="G275" s="293"/>
      <c r="H275" s="293"/>
      <c r="I275" s="293"/>
      <c r="J275" s="52"/>
      <c r="K275" s="52"/>
      <c r="L275" s="359"/>
      <c r="M275" s="360"/>
      <c r="N275" s="361"/>
      <c r="O275" s="33"/>
      <c r="P275" s="252"/>
      <c r="Q275" s="113"/>
      <c r="R275" s="113"/>
      <c r="S275" s="113"/>
      <c r="T275" s="52"/>
      <c r="U275" s="5"/>
      <c r="V275" s="231"/>
      <c r="W275" s="231"/>
      <c r="X275" s="231"/>
      <c r="Y275" s="113"/>
      <c r="Z275" s="357"/>
      <c r="AA275" s="118" t="s">
        <v>2877</v>
      </c>
      <c r="AB275" s="118"/>
      <c r="AC275" s="118"/>
      <c r="AD275" s="52"/>
      <c r="AE275" s="5"/>
      <c r="AF275" s="358"/>
      <c r="AG275" s="358"/>
      <c r="AH275" s="358"/>
      <c r="AI275" s="358"/>
      <c r="AJ275" s="358"/>
      <c r="AK275" s="113"/>
      <c r="AL275" s="113"/>
      <c r="AM275" s="113"/>
      <c r="AN275" s="113"/>
      <c r="AO275" s="113"/>
      <c r="AP275" s="52"/>
      <c r="AQ275" s="52"/>
      <c r="AR275" s="52"/>
      <c r="AS275" s="52"/>
      <c r="AT275" s="52"/>
      <c r="AU275" s="125"/>
      <c r="AV275" s="125"/>
      <c r="AW275" s="125"/>
      <c r="AX275" s="5"/>
      <c r="AY275" s="5"/>
      <c r="AZ275" s="113"/>
      <c r="BA275" s="113"/>
      <c r="BB275" s="113"/>
      <c r="BC275" s="52"/>
      <c r="BD275" s="52"/>
      <c r="BE275" s="118"/>
      <c r="BF275" s="118"/>
      <c r="BG275" s="118"/>
      <c r="BH275" s="52"/>
      <c r="BI275" s="283"/>
      <c r="BJ275" s="52"/>
      <c r="BK275" s="52"/>
      <c r="BL275" s="52"/>
      <c r="BM275" s="52"/>
      <c r="BN275" s="52"/>
      <c r="BO275" s="52"/>
      <c r="BP275" s="52"/>
      <c r="BQ275" s="52"/>
      <c r="BR275" s="52"/>
      <c r="BS275" s="52"/>
      <c r="BT275" s="52"/>
      <c r="BU275" s="52"/>
      <c r="BV275" s="52"/>
      <c r="BW275" s="52"/>
      <c r="BX275" s="52"/>
      <c r="BY275" s="52"/>
      <c r="BZ275" s="52"/>
      <c r="CA275" s="52"/>
      <c r="CB275" s="52"/>
      <c r="CC275" s="52"/>
      <c r="CD275" s="118"/>
      <c r="CE275" s="52"/>
      <c r="CF275" s="52"/>
      <c r="CG275" s="52"/>
      <c r="CH275" s="52"/>
      <c r="CI275" s="52"/>
      <c r="CJ275" s="52"/>
      <c r="CK275" s="52"/>
      <c r="CL275" s="52"/>
      <c r="CM275" s="52"/>
      <c r="CN275" s="118"/>
      <c r="CO275" s="118"/>
      <c r="CP275" s="118"/>
      <c r="CQ275" s="52"/>
      <c r="CR275" s="52"/>
      <c r="CS275" s="52"/>
      <c r="CT275" s="52"/>
      <c r="CU275" s="52"/>
      <c r="CV275" s="52"/>
      <c r="CW275" s="52"/>
      <c r="CX275" s="52"/>
      <c r="CY275" s="52"/>
      <c r="CZ275" s="52"/>
      <c r="DA275" s="52"/>
      <c r="DB275" s="52"/>
    </row>
    <row r="276" spans="1:106" ht="27" x14ac:dyDescent="0.25">
      <c r="A276" s="411">
        <v>274</v>
      </c>
      <c r="B276" s="412" t="s">
        <v>3690</v>
      </c>
      <c r="C276" s="413" t="s">
        <v>622</v>
      </c>
      <c r="D276" s="426" t="s">
        <v>445</v>
      </c>
      <c r="E276" s="80">
        <v>1</v>
      </c>
      <c r="F276" s="355">
        <v>59083.828000000001</v>
      </c>
      <c r="G276" s="293"/>
      <c r="H276" s="293"/>
      <c r="I276" s="293"/>
      <c r="J276" s="52"/>
      <c r="K276" s="52"/>
      <c r="L276" s="359"/>
      <c r="M276" s="360"/>
      <c r="N276" s="361"/>
      <c r="O276" s="33"/>
      <c r="P276" s="252"/>
      <c r="Q276" s="113"/>
      <c r="R276" s="113"/>
      <c r="S276" s="113"/>
      <c r="T276" s="52"/>
      <c r="U276" s="5"/>
      <c r="V276" s="231">
        <v>19000</v>
      </c>
      <c r="W276" s="231">
        <f t="shared" ref="W276" si="30">V276*0.19</f>
        <v>3610</v>
      </c>
      <c r="X276" s="231">
        <f t="shared" ref="X276" si="31">V276*1.19</f>
        <v>22610</v>
      </c>
      <c r="Y276" s="113" t="s">
        <v>3378</v>
      </c>
      <c r="Z276" s="357" t="s">
        <v>3691</v>
      </c>
      <c r="AA276" s="118" t="s">
        <v>2877</v>
      </c>
      <c r="AB276" s="118"/>
      <c r="AC276" s="118"/>
      <c r="AD276" s="52"/>
      <c r="AE276" s="5"/>
      <c r="AF276" s="358"/>
      <c r="AG276" s="358"/>
      <c r="AH276" s="358"/>
      <c r="AI276" s="358"/>
      <c r="AJ276" s="358"/>
      <c r="AK276" s="113">
        <v>53200</v>
      </c>
      <c r="AL276" s="113">
        <v>10108</v>
      </c>
      <c r="AM276" s="113">
        <v>63308</v>
      </c>
      <c r="AN276" s="113" t="s">
        <v>3032</v>
      </c>
      <c r="AO276" s="113" t="s">
        <v>3675</v>
      </c>
      <c r="AP276" s="52"/>
      <c r="AQ276" s="52"/>
      <c r="AR276" s="52"/>
      <c r="AS276" s="52"/>
      <c r="AT276" s="52"/>
      <c r="AU276" s="125"/>
      <c r="AV276" s="125"/>
      <c r="AW276" s="125"/>
      <c r="AX276" s="5"/>
      <c r="AY276" s="5"/>
      <c r="AZ276" s="113"/>
      <c r="BA276" s="113"/>
      <c r="BB276" s="113"/>
      <c r="BC276" s="52"/>
      <c r="BD276" s="52"/>
      <c r="BE276" s="118"/>
      <c r="BF276" s="118"/>
      <c r="BG276" s="118"/>
      <c r="BH276" s="52"/>
      <c r="BI276" s="283"/>
      <c r="BJ276" s="52"/>
      <c r="BK276" s="52"/>
      <c r="BL276" s="52"/>
      <c r="BM276" s="52"/>
      <c r="BN276" s="52"/>
      <c r="BO276" s="52"/>
      <c r="BP276" s="52"/>
      <c r="BQ276" s="52"/>
      <c r="BR276" s="52"/>
      <c r="BS276" s="52"/>
      <c r="BT276" s="52"/>
      <c r="BU276" s="52"/>
      <c r="BV276" s="52"/>
      <c r="BW276" s="52"/>
      <c r="BX276" s="52"/>
      <c r="BY276" s="52"/>
      <c r="BZ276" s="52"/>
      <c r="CA276" s="52"/>
      <c r="CB276" s="52"/>
      <c r="CC276" s="52"/>
      <c r="CD276" s="118"/>
      <c r="CE276" s="52"/>
      <c r="CF276" s="52"/>
      <c r="CG276" s="52"/>
      <c r="CH276" s="52"/>
      <c r="CI276" s="52"/>
      <c r="CJ276" s="52"/>
      <c r="CK276" s="52"/>
      <c r="CL276" s="52"/>
      <c r="CM276" s="52"/>
      <c r="CN276" s="118"/>
      <c r="CO276" s="118"/>
      <c r="CP276" s="118"/>
      <c r="CQ276" s="52"/>
      <c r="CR276" s="52"/>
      <c r="CS276" s="52"/>
      <c r="CT276" s="52"/>
      <c r="CU276" s="52"/>
      <c r="CV276" s="52"/>
      <c r="CW276" s="52"/>
      <c r="CX276" s="52"/>
      <c r="CY276" s="52"/>
      <c r="CZ276" s="52"/>
      <c r="DA276" s="52"/>
      <c r="DB276" s="52"/>
    </row>
    <row r="277" spans="1:106" ht="27" x14ac:dyDescent="0.25">
      <c r="A277" s="411">
        <v>275</v>
      </c>
      <c r="B277" s="409" t="s">
        <v>3692</v>
      </c>
      <c r="C277" s="413" t="s">
        <v>622</v>
      </c>
      <c r="D277" s="409" t="s">
        <v>2891</v>
      </c>
      <c r="E277" s="80">
        <v>1</v>
      </c>
      <c r="F277" s="353">
        <v>43903.065399999999</v>
      </c>
      <c r="G277" s="293"/>
      <c r="H277" s="293"/>
      <c r="I277" s="293"/>
      <c r="J277" s="52"/>
      <c r="K277" s="52"/>
      <c r="L277" s="359"/>
      <c r="M277" s="360"/>
      <c r="N277" s="361"/>
      <c r="O277" s="33"/>
      <c r="P277" s="252"/>
      <c r="Q277" s="113"/>
      <c r="R277" s="113"/>
      <c r="S277" s="113"/>
      <c r="T277" s="52"/>
      <c r="U277" s="5"/>
      <c r="V277" s="231"/>
      <c r="W277" s="231"/>
      <c r="X277" s="231"/>
      <c r="Y277" s="113"/>
      <c r="Z277" s="357"/>
      <c r="AA277" s="118" t="s">
        <v>2877</v>
      </c>
      <c r="AB277" s="118"/>
      <c r="AC277" s="118"/>
      <c r="AD277" s="52"/>
      <c r="AE277" s="5"/>
      <c r="AF277" s="358"/>
      <c r="AG277" s="358"/>
      <c r="AH277" s="358"/>
      <c r="AI277" s="358"/>
      <c r="AJ277" s="358"/>
      <c r="AK277" s="113">
        <v>53200</v>
      </c>
      <c r="AL277" s="113">
        <v>10108</v>
      </c>
      <c r="AM277" s="113">
        <v>63308</v>
      </c>
      <c r="AN277" s="113" t="s">
        <v>3032</v>
      </c>
      <c r="AO277" s="113" t="s">
        <v>3693</v>
      </c>
      <c r="AP277" s="52"/>
      <c r="AQ277" s="52"/>
      <c r="AR277" s="52"/>
      <c r="AS277" s="52"/>
      <c r="AT277" s="52"/>
      <c r="AU277" s="125"/>
      <c r="AV277" s="125"/>
      <c r="AW277" s="125"/>
      <c r="AX277" s="5"/>
      <c r="AY277" s="5"/>
      <c r="AZ277" s="113"/>
      <c r="BA277" s="113"/>
      <c r="BB277" s="113"/>
      <c r="BC277" s="52"/>
      <c r="BD277" s="52"/>
      <c r="BE277" s="118"/>
      <c r="BF277" s="118"/>
      <c r="BG277" s="118"/>
      <c r="BH277" s="52"/>
      <c r="BI277" s="283"/>
      <c r="BJ277" s="52"/>
      <c r="BK277" s="52"/>
      <c r="BL277" s="52"/>
      <c r="BM277" s="52"/>
      <c r="BN277" s="52"/>
      <c r="BO277" s="52"/>
      <c r="BP277" s="52"/>
      <c r="BQ277" s="52"/>
      <c r="BR277" s="52"/>
      <c r="BS277" s="52"/>
      <c r="BT277" s="52"/>
      <c r="BU277" s="52"/>
      <c r="BV277" s="52"/>
      <c r="BW277" s="52"/>
      <c r="BX277" s="52"/>
      <c r="BY277" s="52"/>
      <c r="BZ277" s="52"/>
      <c r="CA277" s="52"/>
      <c r="CB277" s="52"/>
      <c r="CC277" s="52"/>
      <c r="CD277" s="118"/>
      <c r="CE277" s="52"/>
      <c r="CF277" s="52"/>
      <c r="CG277" s="52"/>
      <c r="CH277" s="52"/>
      <c r="CI277" s="52"/>
      <c r="CJ277" s="52"/>
      <c r="CK277" s="52"/>
      <c r="CL277" s="52"/>
      <c r="CM277" s="52"/>
      <c r="CN277" s="118"/>
      <c r="CO277" s="118"/>
      <c r="CP277" s="118"/>
      <c r="CQ277" s="52"/>
      <c r="CR277" s="52"/>
      <c r="CS277" s="52"/>
      <c r="CT277" s="52"/>
      <c r="CU277" s="52"/>
      <c r="CV277" s="52"/>
      <c r="CW277" s="52"/>
      <c r="CX277" s="52"/>
      <c r="CY277" s="52"/>
      <c r="CZ277" s="52"/>
      <c r="DA277" s="52"/>
      <c r="DB277" s="52"/>
    </row>
    <row r="278" spans="1:106" ht="27" x14ac:dyDescent="0.25">
      <c r="A278" s="411">
        <v>276</v>
      </c>
      <c r="B278" s="412" t="s">
        <v>3694</v>
      </c>
      <c r="C278" s="561" t="s">
        <v>3695</v>
      </c>
      <c r="D278" s="562" t="s">
        <v>445</v>
      </c>
      <c r="E278" s="80">
        <v>1</v>
      </c>
      <c r="F278" s="355">
        <v>165128.4204</v>
      </c>
      <c r="G278" s="293"/>
      <c r="H278" s="293"/>
      <c r="I278" s="293"/>
      <c r="J278" s="52"/>
      <c r="K278" s="52"/>
      <c r="L278" s="359"/>
      <c r="M278" s="360"/>
      <c r="N278" s="361"/>
      <c r="O278" s="33"/>
      <c r="P278" s="252"/>
      <c r="Q278" s="113"/>
      <c r="R278" s="113"/>
      <c r="S278" s="113"/>
      <c r="T278" s="52"/>
      <c r="U278" s="5"/>
      <c r="V278" s="231"/>
      <c r="W278" s="231"/>
      <c r="X278" s="231"/>
      <c r="Y278" s="113"/>
      <c r="Z278" s="357"/>
      <c r="AA278" s="118" t="s">
        <v>2877</v>
      </c>
      <c r="AB278" s="118"/>
      <c r="AC278" s="118"/>
      <c r="AD278" s="52"/>
      <c r="AE278" s="5"/>
      <c r="AF278" s="358"/>
      <c r="AG278" s="358"/>
      <c r="AH278" s="358"/>
      <c r="AI278" s="358"/>
      <c r="AJ278" s="358"/>
      <c r="AK278" s="113"/>
      <c r="AL278" s="113"/>
      <c r="AM278" s="113"/>
      <c r="AN278" s="113"/>
      <c r="AO278" s="113"/>
      <c r="AP278" s="52"/>
      <c r="AQ278" s="52"/>
      <c r="AR278" s="52"/>
      <c r="AS278" s="52"/>
      <c r="AT278" s="52"/>
      <c r="AU278" s="125"/>
      <c r="AV278" s="125"/>
      <c r="AW278" s="125"/>
      <c r="AX278" s="5"/>
      <c r="AY278" s="5"/>
      <c r="AZ278" s="113"/>
      <c r="BA278" s="113"/>
      <c r="BB278" s="113"/>
      <c r="BC278" s="52"/>
      <c r="BD278" s="52"/>
      <c r="BE278" s="118"/>
      <c r="BF278" s="118"/>
      <c r="BG278" s="118"/>
      <c r="BH278" s="52"/>
      <c r="BI278" s="283"/>
      <c r="BJ278" s="52"/>
      <c r="BK278" s="52"/>
      <c r="BL278" s="52"/>
      <c r="BM278" s="52"/>
      <c r="BN278" s="52"/>
      <c r="BO278" s="52"/>
      <c r="BP278" s="52"/>
      <c r="BQ278" s="52"/>
      <c r="BR278" s="52"/>
      <c r="BS278" s="52"/>
      <c r="BT278" s="52"/>
      <c r="BU278" s="52"/>
      <c r="BV278" s="52"/>
      <c r="BW278" s="52"/>
      <c r="BX278" s="52"/>
      <c r="BY278" s="52"/>
      <c r="BZ278" s="52"/>
      <c r="CA278" s="52"/>
      <c r="CB278" s="52"/>
      <c r="CC278" s="52"/>
      <c r="CD278" s="118"/>
      <c r="CE278" s="52"/>
      <c r="CF278" s="52"/>
      <c r="CG278" s="52"/>
      <c r="CH278" s="52"/>
      <c r="CI278" s="52"/>
      <c r="CJ278" s="52"/>
      <c r="CK278" s="52"/>
      <c r="CL278" s="52"/>
      <c r="CM278" s="52"/>
      <c r="CN278" s="118"/>
      <c r="CO278" s="118"/>
      <c r="CP278" s="118"/>
      <c r="CQ278" s="52"/>
      <c r="CR278" s="52"/>
      <c r="CS278" s="52"/>
      <c r="CT278" s="52"/>
      <c r="CU278" s="52"/>
      <c r="CV278" s="52"/>
      <c r="CW278" s="52"/>
      <c r="CX278" s="52"/>
      <c r="CY278" s="52"/>
      <c r="CZ278" s="52"/>
      <c r="DA278" s="52"/>
      <c r="DB278" s="52"/>
    </row>
    <row r="279" spans="1:106" ht="54" x14ac:dyDescent="0.25">
      <c r="A279" s="411">
        <v>277</v>
      </c>
      <c r="B279" s="412" t="s">
        <v>3696</v>
      </c>
      <c r="C279" s="413" t="s">
        <v>3697</v>
      </c>
      <c r="D279" s="426" t="s">
        <v>2005</v>
      </c>
      <c r="E279" s="80">
        <v>1</v>
      </c>
      <c r="F279" s="355">
        <v>64738.722800000003</v>
      </c>
      <c r="G279" s="293"/>
      <c r="H279" s="293"/>
      <c r="I279" s="293"/>
      <c r="J279" s="52"/>
      <c r="K279" s="52"/>
      <c r="L279" s="359"/>
      <c r="M279" s="360"/>
      <c r="N279" s="361"/>
      <c r="O279" s="33"/>
      <c r="P279" s="252"/>
      <c r="Q279" s="113"/>
      <c r="R279" s="113"/>
      <c r="S279" s="113"/>
      <c r="T279" s="52"/>
      <c r="U279" s="5"/>
      <c r="V279" s="231"/>
      <c r="W279" s="231"/>
      <c r="X279" s="231"/>
      <c r="Y279" s="113"/>
      <c r="Z279" s="357"/>
      <c r="AA279" s="118" t="s">
        <v>2877</v>
      </c>
      <c r="AB279" s="118"/>
      <c r="AC279" s="118"/>
      <c r="AD279" s="52"/>
      <c r="AE279" s="5"/>
      <c r="AF279" s="358"/>
      <c r="AG279" s="358"/>
      <c r="AH279" s="358"/>
      <c r="AI279" s="358"/>
      <c r="AJ279" s="358"/>
      <c r="AK279" s="113"/>
      <c r="AL279" s="113"/>
      <c r="AM279" s="113"/>
      <c r="AN279" s="113"/>
      <c r="AO279" s="113"/>
      <c r="AP279" s="52"/>
      <c r="AQ279" s="52"/>
      <c r="AR279" s="52"/>
      <c r="AS279" s="52"/>
      <c r="AT279" s="52"/>
      <c r="AU279" s="125"/>
      <c r="AV279" s="125"/>
      <c r="AW279" s="125"/>
      <c r="AX279" s="5"/>
      <c r="AY279" s="5"/>
      <c r="AZ279" s="113"/>
      <c r="BA279" s="113"/>
      <c r="BB279" s="113"/>
      <c r="BC279" s="52"/>
      <c r="BD279" s="52"/>
      <c r="BE279" s="118"/>
      <c r="BF279" s="118"/>
      <c r="BG279" s="118"/>
      <c r="BH279" s="52"/>
      <c r="BI279" s="283"/>
      <c r="BJ279" s="52"/>
      <c r="BK279" s="52"/>
      <c r="BL279" s="52"/>
      <c r="BM279" s="52"/>
      <c r="BN279" s="52"/>
      <c r="BO279" s="52"/>
      <c r="BP279" s="52"/>
      <c r="BQ279" s="52"/>
      <c r="BR279" s="52"/>
      <c r="BS279" s="52"/>
      <c r="BT279" s="52"/>
      <c r="BU279" s="52"/>
      <c r="BV279" s="52"/>
      <c r="BW279" s="52"/>
      <c r="BX279" s="52"/>
      <c r="BY279" s="52"/>
      <c r="BZ279" s="52"/>
      <c r="CA279" s="52"/>
      <c r="CB279" s="52"/>
      <c r="CC279" s="52"/>
      <c r="CD279" s="118"/>
      <c r="CE279" s="52"/>
      <c r="CF279" s="52"/>
      <c r="CG279" s="52"/>
      <c r="CH279" s="52"/>
      <c r="CI279" s="52"/>
      <c r="CJ279" s="52"/>
      <c r="CK279" s="52"/>
      <c r="CL279" s="52"/>
      <c r="CM279" s="52"/>
      <c r="CN279" s="118"/>
      <c r="CO279" s="118"/>
      <c r="CP279" s="118"/>
      <c r="CQ279" s="52"/>
      <c r="CR279" s="52"/>
      <c r="CS279" s="52"/>
      <c r="CT279" s="52"/>
      <c r="CU279" s="52"/>
      <c r="CV279" s="52"/>
      <c r="CW279" s="52"/>
      <c r="CX279" s="52"/>
      <c r="CY279" s="52"/>
      <c r="CZ279" s="52"/>
      <c r="DA279" s="52"/>
      <c r="DB279" s="52"/>
    </row>
    <row r="280" spans="1:106" ht="54" x14ac:dyDescent="0.25">
      <c r="A280" s="411">
        <v>278</v>
      </c>
      <c r="B280" s="412" t="s">
        <v>3698</v>
      </c>
      <c r="C280" s="413" t="s">
        <v>3697</v>
      </c>
      <c r="D280" s="426" t="s">
        <v>2005</v>
      </c>
      <c r="E280" s="80">
        <v>1</v>
      </c>
      <c r="F280" s="355">
        <v>64826.3874</v>
      </c>
      <c r="G280" s="293"/>
      <c r="H280" s="293"/>
      <c r="I280" s="293"/>
      <c r="J280" s="52"/>
      <c r="K280" s="52"/>
      <c r="L280" s="359"/>
      <c r="M280" s="360"/>
      <c r="N280" s="361"/>
      <c r="O280" s="33"/>
      <c r="P280" s="252"/>
      <c r="Q280" s="113"/>
      <c r="R280" s="113"/>
      <c r="S280" s="113"/>
      <c r="T280" s="52"/>
      <c r="U280" s="5"/>
      <c r="V280" s="231"/>
      <c r="W280" s="231"/>
      <c r="X280" s="231"/>
      <c r="Y280" s="113"/>
      <c r="Z280" s="357"/>
      <c r="AA280" s="118" t="s">
        <v>2877</v>
      </c>
      <c r="AB280" s="118"/>
      <c r="AC280" s="118"/>
      <c r="AD280" s="52"/>
      <c r="AE280" s="5"/>
      <c r="AF280" s="358"/>
      <c r="AG280" s="358"/>
      <c r="AH280" s="358"/>
      <c r="AI280" s="358"/>
      <c r="AJ280" s="358"/>
      <c r="AK280" s="113"/>
      <c r="AL280" s="113"/>
      <c r="AM280" s="113"/>
      <c r="AN280" s="113"/>
      <c r="AO280" s="113"/>
      <c r="AP280" s="52"/>
      <c r="AQ280" s="52"/>
      <c r="AR280" s="52"/>
      <c r="AS280" s="52"/>
      <c r="AT280" s="52"/>
      <c r="AU280" s="125"/>
      <c r="AV280" s="125"/>
      <c r="AW280" s="125"/>
      <c r="AX280" s="5"/>
      <c r="AY280" s="5"/>
      <c r="AZ280" s="113"/>
      <c r="BA280" s="113"/>
      <c r="BB280" s="113"/>
      <c r="BC280" s="52"/>
      <c r="BD280" s="52"/>
      <c r="BE280" s="118"/>
      <c r="BF280" s="118"/>
      <c r="BG280" s="118"/>
      <c r="BH280" s="52"/>
      <c r="BI280" s="283"/>
      <c r="BJ280" s="52"/>
      <c r="BK280" s="52"/>
      <c r="BL280" s="52"/>
      <c r="BM280" s="52"/>
      <c r="BN280" s="52"/>
      <c r="BO280" s="52"/>
      <c r="BP280" s="52"/>
      <c r="BQ280" s="52"/>
      <c r="BR280" s="52"/>
      <c r="BS280" s="52"/>
      <c r="BT280" s="52"/>
      <c r="BU280" s="52"/>
      <c r="BV280" s="52"/>
      <c r="BW280" s="52"/>
      <c r="BX280" s="52"/>
      <c r="BY280" s="52"/>
      <c r="BZ280" s="52"/>
      <c r="CA280" s="52"/>
      <c r="CB280" s="52"/>
      <c r="CC280" s="52"/>
      <c r="CD280" s="118"/>
      <c r="CE280" s="52"/>
      <c r="CF280" s="52"/>
      <c r="CG280" s="52"/>
      <c r="CH280" s="52"/>
      <c r="CI280" s="52"/>
      <c r="CJ280" s="52"/>
      <c r="CK280" s="52"/>
      <c r="CL280" s="52"/>
      <c r="CM280" s="52"/>
      <c r="CN280" s="118"/>
      <c r="CO280" s="118"/>
      <c r="CP280" s="118"/>
      <c r="CQ280" s="52"/>
      <c r="CR280" s="52"/>
      <c r="CS280" s="52"/>
      <c r="CT280" s="52"/>
      <c r="CU280" s="52"/>
      <c r="CV280" s="52"/>
      <c r="CW280" s="52"/>
      <c r="CX280" s="52"/>
      <c r="CY280" s="52"/>
      <c r="CZ280" s="52"/>
      <c r="DA280" s="52"/>
      <c r="DB280" s="52"/>
    </row>
    <row r="281" spans="1:106" ht="27" x14ac:dyDescent="0.25">
      <c r="A281" s="411">
        <v>279</v>
      </c>
      <c r="B281" s="409" t="s">
        <v>3699</v>
      </c>
      <c r="C281" s="426" t="s">
        <v>622</v>
      </c>
      <c r="D281" s="409" t="s">
        <v>3700</v>
      </c>
      <c r="E281" s="80">
        <v>1</v>
      </c>
      <c r="F281" s="353">
        <v>94265.85</v>
      </c>
      <c r="G281" s="293"/>
      <c r="H281" s="293"/>
      <c r="I281" s="293"/>
      <c r="J281" s="52"/>
      <c r="K281" s="52"/>
      <c r="L281" s="359"/>
      <c r="M281" s="360"/>
      <c r="N281" s="361"/>
      <c r="O281" s="33"/>
      <c r="P281" s="252"/>
      <c r="Q281" s="113"/>
      <c r="R281" s="113"/>
      <c r="S281" s="113"/>
      <c r="T281" s="52"/>
      <c r="U281" s="5"/>
      <c r="V281" s="231"/>
      <c r="W281" s="231"/>
      <c r="X281" s="231"/>
      <c r="Y281" s="113"/>
      <c r="Z281" s="357"/>
      <c r="AA281" s="118" t="s">
        <v>2877</v>
      </c>
      <c r="AB281" s="118"/>
      <c r="AC281" s="118"/>
      <c r="AD281" s="52"/>
      <c r="AE281" s="5"/>
      <c r="AF281" s="358"/>
      <c r="AG281" s="358"/>
      <c r="AH281" s="358"/>
      <c r="AI281" s="358"/>
      <c r="AJ281" s="358"/>
      <c r="AK281" s="113"/>
      <c r="AL281" s="113"/>
      <c r="AM281" s="113"/>
      <c r="AN281" s="113"/>
      <c r="AO281" s="113"/>
      <c r="AP281" s="52"/>
      <c r="AQ281" s="52"/>
      <c r="AR281" s="52"/>
      <c r="AS281" s="52"/>
      <c r="AT281" s="52"/>
      <c r="AU281" s="125"/>
      <c r="AV281" s="125"/>
      <c r="AW281" s="125"/>
      <c r="AX281" s="5"/>
      <c r="AY281" s="5"/>
      <c r="AZ281" s="113"/>
      <c r="BA281" s="113"/>
      <c r="BB281" s="113"/>
      <c r="BC281" s="52"/>
      <c r="BD281" s="52"/>
      <c r="BE281" s="118"/>
      <c r="BF281" s="118"/>
      <c r="BG281" s="118"/>
      <c r="BH281" s="52"/>
      <c r="BI281" s="283"/>
      <c r="BJ281" s="52"/>
      <c r="BK281" s="52"/>
      <c r="BL281" s="52"/>
      <c r="BM281" s="52"/>
      <c r="BN281" s="52"/>
      <c r="BO281" s="52"/>
      <c r="BP281" s="52"/>
      <c r="BQ281" s="52"/>
      <c r="BR281" s="52"/>
      <c r="BS281" s="52"/>
      <c r="BT281" s="52"/>
      <c r="BU281" s="52"/>
      <c r="BV281" s="52"/>
      <c r="BW281" s="52"/>
      <c r="BX281" s="52"/>
      <c r="BY281" s="52"/>
      <c r="BZ281" s="52"/>
      <c r="CA281" s="52"/>
      <c r="CB281" s="52"/>
      <c r="CC281" s="52"/>
      <c r="CD281" s="118"/>
      <c r="CE281" s="52"/>
      <c r="CF281" s="52"/>
      <c r="CG281" s="52"/>
      <c r="CH281" s="52"/>
      <c r="CI281" s="52"/>
      <c r="CJ281" s="52"/>
      <c r="CK281" s="52"/>
      <c r="CL281" s="52"/>
      <c r="CM281" s="52"/>
      <c r="CN281" s="118"/>
      <c r="CO281" s="118"/>
      <c r="CP281" s="118"/>
      <c r="CQ281" s="52"/>
      <c r="CR281" s="52"/>
      <c r="CS281" s="52"/>
      <c r="CT281" s="52"/>
      <c r="CU281" s="52"/>
      <c r="CV281" s="52"/>
      <c r="CW281" s="52"/>
      <c r="CX281" s="52"/>
      <c r="CY281" s="52"/>
      <c r="CZ281" s="52"/>
      <c r="DA281" s="52"/>
      <c r="DB281" s="52"/>
    </row>
    <row r="282" spans="1:106" ht="67.5" x14ac:dyDescent="0.25">
      <c r="A282" s="411">
        <v>280</v>
      </c>
      <c r="B282" s="412" t="s">
        <v>3701</v>
      </c>
      <c r="C282" s="413" t="s">
        <v>3697</v>
      </c>
      <c r="D282" s="426" t="s">
        <v>2005</v>
      </c>
      <c r="E282" s="80">
        <v>1</v>
      </c>
      <c r="F282" s="355">
        <v>78386.939200000008</v>
      </c>
      <c r="G282" s="293"/>
      <c r="H282" s="293"/>
      <c r="I282" s="293"/>
      <c r="J282" s="52"/>
      <c r="K282" s="52"/>
      <c r="L282" s="359"/>
      <c r="M282" s="360"/>
      <c r="N282" s="361"/>
      <c r="O282" s="33"/>
      <c r="P282" s="252"/>
      <c r="Q282" s="113"/>
      <c r="R282" s="113"/>
      <c r="S282" s="113"/>
      <c r="T282" s="52"/>
      <c r="U282" s="5"/>
      <c r="V282" s="231"/>
      <c r="W282" s="231"/>
      <c r="X282" s="231"/>
      <c r="Y282" s="113"/>
      <c r="Z282" s="357"/>
      <c r="AA282" s="118" t="s">
        <v>2877</v>
      </c>
      <c r="AB282" s="118"/>
      <c r="AC282" s="118"/>
      <c r="AD282" s="52"/>
      <c r="AE282" s="5"/>
      <c r="AF282" s="358"/>
      <c r="AG282" s="358"/>
      <c r="AH282" s="358"/>
      <c r="AI282" s="358"/>
      <c r="AJ282" s="358"/>
      <c r="AK282" s="113"/>
      <c r="AL282" s="113"/>
      <c r="AM282" s="113"/>
      <c r="AN282" s="113"/>
      <c r="AO282" s="113"/>
      <c r="AP282" s="52"/>
      <c r="AQ282" s="52"/>
      <c r="AR282" s="52"/>
      <c r="AS282" s="52"/>
      <c r="AT282" s="52"/>
      <c r="AU282" s="125"/>
      <c r="AV282" s="125"/>
      <c r="AW282" s="125"/>
      <c r="AX282" s="5"/>
      <c r="AY282" s="5"/>
      <c r="AZ282" s="113"/>
      <c r="BA282" s="113"/>
      <c r="BB282" s="113"/>
      <c r="BC282" s="52"/>
      <c r="BD282" s="52"/>
      <c r="BE282" s="118"/>
      <c r="BF282" s="118"/>
      <c r="BG282" s="118"/>
      <c r="BH282" s="52"/>
      <c r="BI282" s="283"/>
      <c r="BJ282" s="52"/>
      <c r="BK282" s="52"/>
      <c r="BL282" s="52"/>
      <c r="BM282" s="52"/>
      <c r="BN282" s="52"/>
      <c r="BO282" s="52"/>
      <c r="BP282" s="52"/>
      <c r="BQ282" s="52"/>
      <c r="BR282" s="52"/>
      <c r="BS282" s="52"/>
      <c r="BT282" s="52"/>
      <c r="BU282" s="52"/>
      <c r="BV282" s="52"/>
      <c r="BW282" s="52"/>
      <c r="BX282" s="52"/>
      <c r="BY282" s="52"/>
      <c r="BZ282" s="52"/>
      <c r="CA282" s="52"/>
      <c r="CB282" s="52"/>
      <c r="CC282" s="52"/>
      <c r="CD282" s="118"/>
      <c r="CE282" s="52"/>
      <c r="CF282" s="52"/>
      <c r="CG282" s="52"/>
      <c r="CH282" s="52"/>
      <c r="CI282" s="52"/>
      <c r="CJ282" s="52"/>
      <c r="CK282" s="52"/>
      <c r="CL282" s="52"/>
      <c r="CM282" s="52"/>
      <c r="CN282" s="118"/>
      <c r="CO282" s="118"/>
      <c r="CP282" s="118"/>
      <c r="CQ282" s="52"/>
      <c r="CR282" s="52"/>
      <c r="CS282" s="52"/>
      <c r="CT282" s="52"/>
      <c r="CU282" s="52"/>
      <c r="CV282" s="52"/>
      <c r="CW282" s="52"/>
      <c r="CX282" s="52"/>
      <c r="CY282" s="52"/>
      <c r="CZ282" s="52"/>
      <c r="DA282" s="52"/>
      <c r="DB282" s="52"/>
    </row>
    <row r="283" spans="1:106" ht="67.5" x14ac:dyDescent="0.25">
      <c r="A283" s="411">
        <v>281</v>
      </c>
      <c r="B283" s="412" t="s">
        <v>3702</v>
      </c>
      <c r="C283" s="413" t="s">
        <v>3697</v>
      </c>
      <c r="D283" s="426" t="s">
        <v>3703</v>
      </c>
      <c r="E283" s="80">
        <v>1</v>
      </c>
      <c r="F283" s="355">
        <v>77395.167400000006</v>
      </c>
      <c r="G283" s="293"/>
      <c r="H283" s="293"/>
      <c r="I283" s="293"/>
      <c r="J283" s="52"/>
      <c r="K283" s="52"/>
      <c r="L283" s="359"/>
      <c r="M283" s="360"/>
      <c r="N283" s="361"/>
      <c r="O283" s="33"/>
      <c r="P283" s="252"/>
      <c r="Q283" s="113"/>
      <c r="R283" s="113"/>
      <c r="S283" s="113"/>
      <c r="T283" s="52"/>
      <c r="U283" s="5"/>
      <c r="V283" s="231"/>
      <c r="W283" s="231"/>
      <c r="X283" s="231"/>
      <c r="Y283" s="113"/>
      <c r="Z283" s="357"/>
      <c r="AA283" s="118" t="s">
        <v>2877</v>
      </c>
      <c r="AB283" s="118"/>
      <c r="AC283" s="118"/>
      <c r="AD283" s="52"/>
      <c r="AE283" s="5"/>
      <c r="AF283" s="358"/>
      <c r="AG283" s="358"/>
      <c r="AH283" s="358"/>
      <c r="AI283" s="358"/>
      <c r="AJ283" s="358"/>
      <c r="AK283" s="113"/>
      <c r="AL283" s="113"/>
      <c r="AM283" s="113"/>
      <c r="AN283" s="113"/>
      <c r="AO283" s="113"/>
      <c r="AP283" s="52"/>
      <c r="AQ283" s="52"/>
      <c r="AR283" s="52"/>
      <c r="AS283" s="52"/>
      <c r="AT283" s="52"/>
      <c r="AU283" s="125"/>
      <c r="AV283" s="125"/>
      <c r="AW283" s="125"/>
      <c r="AX283" s="5"/>
      <c r="AY283" s="5"/>
      <c r="AZ283" s="113"/>
      <c r="BA283" s="113"/>
      <c r="BB283" s="113"/>
      <c r="BC283" s="52"/>
      <c r="BD283" s="52"/>
      <c r="BE283" s="118"/>
      <c r="BF283" s="118"/>
      <c r="BG283" s="118"/>
      <c r="BH283" s="52"/>
      <c r="BI283" s="283"/>
      <c r="BJ283" s="52"/>
      <c r="BK283" s="52"/>
      <c r="BL283" s="52"/>
      <c r="BM283" s="52"/>
      <c r="BN283" s="52"/>
      <c r="BO283" s="52"/>
      <c r="BP283" s="52"/>
      <c r="BQ283" s="52"/>
      <c r="BR283" s="52"/>
      <c r="BS283" s="52"/>
      <c r="BT283" s="52"/>
      <c r="BU283" s="52"/>
      <c r="BV283" s="52"/>
      <c r="BW283" s="52"/>
      <c r="BX283" s="52"/>
      <c r="BY283" s="52"/>
      <c r="BZ283" s="52"/>
      <c r="CA283" s="52"/>
      <c r="CB283" s="52"/>
      <c r="CC283" s="52"/>
      <c r="CD283" s="118"/>
      <c r="CE283" s="52"/>
      <c r="CF283" s="52"/>
      <c r="CG283" s="52"/>
      <c r="CH283" s="52"/>
      <c r="CI283" s="52"/>
      <c r="CJ283" s="52"/>
      <c r="CK283" s="52"/>
      <c r="CL283" s="52"/>
      <c r="CM283" s="52"/>
      <c r="CN283" s="118"/>
      <c r="CO283" s="118"/>
      <c r="CP283" s="118"/>
      <c r="CQ283" s="52"/>
      <c r="CR283" s="52"/>
      <c r="CS283" s="52"/>
      <c r="CT283" s="52"/>
      <c r="CU283" s="52"/>
      <c r="CV283" s="52"/>
      <c r="CW283" s="52"/>
      <c r="CX283" s="52"/>
      <c r="CY283" s="52"/>
      <c r="CZ283" s="52"/>
      <c r="DA283" s="52"/>
      <c r="DB283" s="52"/>
    </row>
    <row r="284" spans="1:106" ht="67.5" x14ac:dyDescent="0.25">
      <c r="A284" s="411">
        <v>282</v>
      </c>
      <c r="B284" s="412" t="s">
        <v>3704</v>
      </c>
      <c r="C284" s="413" t="s">
        <v>3697</v>
      </c>
      <c r="D284" s="426" t="s">
        <v>2005</v>
      </c>
      <c r="E284" s="80">
        <v>1</v>
      </c>
      <c r="F284" s="355">
        <v>83559.150600000008</v>
      </c>
      <c r="G284" s="293"/>
      <c r="H284" s="293"/>
      <c r="I284" s="293"/>
      <c r="J284" s="52"/>
      <c r="K284" s="52"/>
      <c r="L284" s="359"/>
      <c r="M284" s="360"/>
      <c r="N284" s="361"/>
      <c r="O284" s="33"/>
      <c r="P284" s="252"/>
      <c r="Q284" s="113"/>
      <c r="R284" s="113"/>
      <c r="S284" s="113"/>
      <c r="T284" s="52"/>
      <c r="U284" s="5"/>
      <c r="V284" s="231"/>
      <c r="W284" s="231"/>
      <c r="X284" s="231"/>
      <c r="Y284" s="113"/>
      <c r="Z284" s="357"/>
      <c r="AA284" s="118" t="s">
        <v>2877</v>
      </c>
      <c r="AB284" s="118"/>
      <c r="AC284" s="118"/>
      <c r="AD284" s="52"/>
      <c r="AE284" s="5"/>
      <c r="AF284" s="358"/>
      <c r="AG284" s="358"/>
      <c r="AH284" s="358"/>
      <c r="AI284" s="358"/>
      <c r="AJ284" s="358"/>
      <c r="AK284" s="113"/>
      <c r="AL284" s="113"/>
      <c r="AM284" s="113"/>
      <c r="AN284" s="113"/>
      <c r="AO284" s="113"/>
      <c r="AP284" s="52"/>
      <c r="AQ284" s="52"/>
      <c r="AR284" s="52"/>
      <c r="AS284" s="52"/>
      <c r="AT284" s="52"/>
      <c r="AU284" s="125"/>
      <c r="AV284" s="125"/>
      <c r="AW284" s="125"/>
      <c r="AX284" s="5"/>
      <c r="AY284" s="5"/>
      <c r="AZ284" s="113"/>
      <c r="BA284" s="113"/>
      <c r="BB284" s="113"/>
      <c r="BC284" s="52"/>
      <c r="BD284" s="52"/>
      <c r="BE284" s="118"/>
      <c r="BF284" s="118"/>
      <c r="BG284" s="118"/>
      <c r="BH284" s="52"/>
      <c r="BI284" s="283"/>
      <c r="BJ284" s="52"/>
      <c r="BK284" s="52"/>
      <c r="BL284" s="52"/>
      <c r="BM284" s="52"/>
      <c r="BN284" s="52"/>
      <c r="BO284" s="52"/>
      <c r="BP284" s="52"/>
      <c r="BQ284" s="52"/>
      <c r="BR284" s="52"/>
      <c r="BS284" s="52"/>
      <c r="BT284" s="52"/>
      <c r="BU284" s="52"/>
      <c r="BV284" s="52"/>
      <c r="BW284" s="52"/>
      <c r="BX284" s="52"/>
      <c r="BY284" s="52"/>
      <c r="BZ284" s="52"/>
      <c r="CA284" s="52"/>
      <c r="CB284" s="52"/>
      <c r="CC284" s="52"/>
      <c r="CD284" s="118"/>
      <c r="CE284" s="52"/>
      <c r="CF284" s="52"/>
      <c r="CG284" s="52"/>
      <c r="CH284" s="52"/>
      <c r="CI284" s="52"/>
      <c r="CJ284" s="52"/>
      <c r="CK284" s="52"/>
      <c r="CL284" s="52"/>
      <c r="CM284" s="52"/>
      <c r="CN284" s="118"/>
      <c r="CO284" s="118"/>
      <c r="CP284" s="118"/>
      <c r="CQ284" s="52"/>
      <c r="CR284" s="52"/>
      <c r="CS284" s="52"/>
      <c r="CT284" s="52"/>
      <c r="CU284" s="52"/>
      <c r="CV284" s="52"/>
      <c r="CW284" s="52"/>
      <c r="CX284" s="52"/>
      <c r="CY284" s="52"/>
      <c r="CZ284" s="52"/>
      <c r="DA284" s="52"/>
      <c r="DB284" s="52"/>
    </row>
    <row r="285" spans="1:106" ht="40.5" x14ac:dyDescent="0.25">
      <c r="A285" s="411">
        <v>283</v>
      </c>
      <c r="B285" s="412" t="s">
        <v>3705</v>
      </c>
      <c r="C285" s="413" t="s">
        <v>3706</v>
      </c>
      <c r="D285" s="409" t="s">
        <v>3707</v>
      </c>
      <c r="E285" s="80">
        <v>1</v>
      </c>
      <c r="F285" s="355">
        <v>153087.74040000001</v>
      </c>
      <c r="G285" s="293"/>
      <c r="H285" s="293"/>
      <c r="I285" s="293"/>
      <c r="J285" s="52"/>
      <c r="K285" s="52"/>
      <c r="L285" s="359"/>
      <c r="M285" s="360"/>
      <c r="N285" s="361"/>
      <c r="O285" s="33"/>
      <c r="P285" s="252"/>
      <c r="Q285" s="113"/>
      <c r="R285" s="113"/>
      <c r="S285" s="113"/>
      <c r="T285" s="52"/>
      <c r="U285" s="5"/>
      <c r="V285" s="231"/>
      <c r="W285" s="231"/>
      <c r="X285" s="231"/>
      <c r="Y285" s="113"/>
      <c r="Z285" s="357"/>
      <c r="AA285" s="118" t="s">
        <v>2877</v>
      </c>
      <c r="AB285" s="118"/>
      <c r="AC285" s="118"/>
      <c r="AD285" s="52"/>
      <c r="AE285" s="5"/>
      <c r="AF285" s="358"/>
      <c r="AG285" s="358"/>
      <c r="AH285" s="358"/>
      <c r="AI285" s="358"/>
      <c r="AJ285" s="358"/>
      <c r="AK285" s="113"/>
      <c r="AL285" s="113"/>
      <c r="AM285" s="113"/>
      <c r="AN285" s="113"/>
      <c r="AO285" s="113"/>
      <c r="AP285" s="52"/>
      <c r="AQ285" s="52"/>
      <c r="AR285" s="52"/>
      <c r="AS285" s="52"/>
      <c r="AT285" s="52"/>
      <c r="AU285" s="125"/>
      <c r="AV285" s="125"/>
      <c r="AW285" s="125"/>
      <c r="AX285" s="5"/>
      <c r="AY285" s="5"/>
      <c r="AZ285" s="113"/>
      <c r="BA285" s="113"/>
      <c r="BB285" s="113"/>
      <c r="BC285" s="52"/>
      <c r="BD285" s="52"/>
      <c r="BE285" s="118"/>
      <c r="BF285" s="118"/>
      <c r="BG285" s="118"/>
      <c r="BH285" s="52"/>
      <c r="BI285" s="283"/>
      <c r="BJ285" s="52"/>
      <c r="BK285" s="52"/>
      <c r="BL285" s="52"/>
      <c r="BM285" s="52"/>
      <c r="BN285" s="52"/>
      <c r="BO285" s="118">
        <v>190000</v>
      </c>
      <c r="BP285" s="118">
        <f>+BO285*0.19</f>
        <v>36100</v>
      </c>
      <c r="BQ285" s="118">
        <f>+BO285+BP285</f>
        <v>226100</v>
      </c>
      <c r="BR285" s="52" t="s">
        <v>3708</v>
      </c>
      <c r="BS285" s="52" t="s">
        <v>3709</v>
      </c>
      <c r="BT285" s="52"/>
      <c r="BU285" s="52"/>
      <c r="BV285" s="52"/>
      <c r="BW285" s="52"/>
      <c r="BX285" s="52"/>
      <c r="BY285" s="118">
        <f>181000*2</f>
        <v>362000</v>
      </c>
      <c r="BZ285" s="118">
        <f>+BY285*0.19</f>
        <v>68780</v>
      </c>
      <c r="CA285" s="364">
        <f>+BY285+BZ285</f>
        <v>430780</v>
      </c>
      <c r="CB285" s="52" t="s">
        <v>3710</v>
      </c>
      <c r="CC285" s="52" t="s">
        <v>3711</v>
      </c>
      <c r="CD285" s="118"/>
      <c r="CE285" s="52"/>
      <c r="CF285" s="52"/>
      <c r="CG285" s="52"/>
      <c r="CH285" s="52"/>
      <c r="CI285" s="52"/>
      <c r="CJ285" s="52"/>
      <c r="CK285" s="52"/>
      <c r="CL285" s="52"/>
      <c r="CM285" s="52"/>
      <c r="CN285" s="118"/>
      <c r="CO285" s="118"/>
      <c r="CP285" s="118"/>
      <c r="CQ285" s="52"/>
      <c r="CR285" s="52"/>
      <c r="CS285" s="52"/>
      <c r="CT285" s="52"/>
      <c r="CU285" s="52"/>
      <c r="CV285" s="52"/>
      <c r="CW285" s="52"/>
      <c r="CX285" s="52"/>
      <c r="CY285" s="52"/>
      <c r="CZ285" s="52"/>
      <c r="DA285" s="52"/>
      <c r="DB285" s="52"/>
    </row>
    <row r="286" spans="1:106" ht="54" x14ac:dyDescent="0.25">
      <c r="A286" s="411">
        <v>284</v>
      </c>
      <c r="B286" s="412" t="s">
        <v>3712</v>
      </c>
      <c r="C286" s="426" t="s">
        <v>3713</v>
      </c>
      <c r="D286" s="409" t="s">
        <v>3707</v>
      </c>
      <c r="E286" s="80">
        <v>1</v>
      </c>
      <c r="F286" s="355">
        <v>157318.87760000001</v>
      </c>
      <c r="G286" s="293"/>
      <c r="H286" s="293"/>
      <c r="I286" s="293"/>
      <c r="J286" s="52"/>
      <c r="K286" s="52"/>
      <c r="L286" s="359"/>
      <c r="M286" s="360"/>
      <c r="N286" s="361"/>
      <c r="O286" s="33"/>
      <c r="P286" s="252"/>
      <c r="Q286" s="113"/>
      <c r="R286" s="113"/>
      <c r="S286" s="113"/>
      <c r="T286" s="52"/>
      <c r="U286" s="5"/>
      <c r="V286" s="231"/>
      <c r="W286" s="231"/>
      <c r="X286" s="231"/>
      <c r="Y286" s="113"/>
      <c r="Z286" s="357"/>
      <c r="AA286" s="118" t="s">
        <v>2877</v>
      </c>
      <c r="AB286" s="118"/>
      <c r="AC286" s="118"/>
      <c r="AD286" s="52"/>
      <c r="AE286" s="5"/>
      <c r="AF286" s="358"/>
      <c r="AG286" s="358"/>
      <c r="AH286" s="358"/>
      <c r="AI286" s="358"/>
      <c r="AJ286" s="358"/>
      <c r="AK286" s="113"/>
      <c r="AL286" s="113"/>
      <c r="AM286" s="113"/>
      <c r="AN286" s="113"/>
      <c r="AO286" s="113"/>
      <c r="AP286" s="52"/>
      <c r="AQ286" s="52"/>
      <c r="AR286" s="52"/>
      <c r="AS286" s="52"/>
      <c r="AT286" s="52"/>
      <c r="AU286" s="125"/>
      <c r="AV286" s="125"/>
      <c r="AW286" s="125"/>
      <c r="AX286" s="5"/>
      <c r="AY286" s="5"/>
      <c r="AZ286" s="113"/>
      <c r="BA286" s="113"/>
      <c r="BB286" s="113"/>
      <c r="BC286" s="52"/>
      <c r="BD286" s="52"/>
      <c r="BE286" s="118"/>
      <c r="BF286" s="118"/>
      <c r="BG286" s="118"/>
      <c r="BH286" s="52"/>
      <c r="BI286" s="283"/>
      <c r="BJ286" s="52"/>
      <c r="BK286" s="52"/>
      <c r="BL286" s="52"/>
      <c r="BM286" s="52"/>
      <c r="BN286" s="52"/>
      <c r="BO286" s="118">
        <v>190000</v>
      </c>
      <c r="BP286" s="118">
        <f>+BO286*0.19</f>
        <v>36100</v>
      </c>
      <c r="BQ286" s="118">
        <f>+BO286+BP286</f>
        <v>226100</v>
      </c>
      <c r="BR286" s="52" t="s">
        <v>3708</v>
      </c>
      <c r="BS286" s="52" t="s">
        <v>3714</v>
      </c>
      <c r="BT286" s="52"/>
      <c r="BU286" s="52"/>
      <c r="BV286" s="52"/>
      <c r="BW286" s="52"/>
      <c r="BX286" s="52"/>
      <c r="BY286" s="118">
        <f>181000*2</f>
        <v>362000</v>
      </c>
      <c r="BZ286" s="118">
        <f>+BY286*0.19</f>
        <v>68780</v>
      </c>
      <c r="CA286" s="364">
        <f>+BY286+BZ286</f>
        <v>430780</v>
      </c>
      <c r="CB286" s="52" t="s">
        <v>3710</v>
      </c>
      <c r="CC286" s="52" t="s">
        <v>3715</v>
      </c>
      <c r="CD286" s="118"/>
      <c r="CE286" s="52"/>
      <c r="CF286" s="52"/>
      <c r="CG286" s="52"/>
      <c r="CH286" s="52"/>
      <c r="CI286" s="52"/>
      <c r="CJ286" s="52"/>
      <c r="CK286" s="52"/>
      <c r="CL286" s="52"/>
      <c r="CM286" s="52"/>
      <c r="CN286" s="118"/>
      <c r="CO286" s="118"/>
      <c r="CP286" s="118"/>
      <c r="CQ286" s="52"/>
      <c r="CR286" s="52"/>
      <c r="CS286" s="52"/>
      <c r="CT286" s="52"/>
      <c r="CU286" s="52"/>
      <c r="CV286" s="52"/>
      <c r="CW286" s="52"/>
      <c r="CX286" s="52"/>
      <c r="CY286" s="52"/>
      <c r="CZ286" s="52"/>
      <c r="DA286" s="52"/>
      <c r="DB286" s="52"/>
    </row>
    <row r="287" spans="1:106" ht="54" x14ac:dyDescent="0.25">
      <c r="A287" s="411">
        <v>285</v>
      </c>
      <c r="B287" s="412" t="s">
        <v>3716</v>
      </c>
      <c r="C287" s="426" t="s">
        <v>3717</v>
      </c>
      <c r="D287" s="409" t="s">
        <v>3707</v>
      </c>
      <c r="E287" s="80">
        <v>1</v>
      </c>
      <c r="F287" s="355">
        <v>157318.87760000001</v>
      </c>
      <c r="G287" s="293"/>
      <c r="H287" s="293"/>
      <c r="I287" s="293"/>
      <c r="J287" s="52"/>
      <c r="K287" s="52"/>
      <c r="L287" s="359"/>
      <c r="M287" s="360"/>
      <c r="N287" s="361"/>
      <c r="O287" s="33"/>
      <c r="P287" s="252"/>
      <c r="Q287" s="113"/>
      <c r="R287" s="113"/>
      <c r="S287" s="113"/>
      <c r="T287" s="52"/>
      <c r="U287" s="5"/>
      <c r="V287" s="231"/>
      <c r="W287" s="231"/>
      <c r="X287" s="231"/>
      <c r="Y287" s="113"/>
      <c r="Z287" s="357"/>
      <c r="AA287" s="118" t="s">
        <v>2877</v>
      </c>
      <c r="AB287" s="118"/>
      <c r="AC287" s="118"/>
      <c r="AD287" s="52"/>
      <c r="AE287" s="5"/>
      <c r="AF287" s="358"/>
      <c r="AG287" s="358"/>
      <c r="AH287" s="358"/>
      <c r="AI287" s="358"/>
      <c r="AJ287" s="358"/>
      <c r="AK287" s="113"/>
      <c r="AL287" s="113"/>
      <c r="AM287" s="113"/>
      <c r="AN287" s="113"/>
      <c r="AO287" s="113"/>
      <c r="AP287" s="52"/>
      <c r="AQ287" s="52"/>
      <c r="AR287" s="52"/>
      <c r="AS287" s="52"/>
      <c r="AT287" s="52"/>
      <c r="AU287" s="125"/>
      <c r="AV287" s="125"/>
      <c r="AW287" s="125"/>
      <c r="AX287" s="5"/>
      <c r="AY287" s="5"/>
      <c r="AZ287" s="113"/>
      <c r="BA287" s="113"/>
      <c r="BB287" s="113"/>
      <c r="BC287" s="52"/>
      <c r="BD287" s="52"/>
      <c r="BE287" s="118"/>
      <c r="BF287" s="118"/>
      <c r="BG287" s="118"/>
      <c r="BH287" s="52"/>
      <c r="BI287" s="283"/>
      <c r="BJ287" s="52"/>
      <c r="BK287" s="52"/>
      <c r="BL287" s="52"/>
      <c r="BM287" s="52"/>
      <c r="BN287" s="52"/>
      <c r="BO287" s="118">
        <v>190000</v>
      </c>
      <c r="BP287" s="118">
        <f>+BO287*0.19</f>
        <v>36100</v>
      </c>
      <c r="BQ287" s="118">
        <f>+BO287+BP287</f>
        <v>226100</v>
      </c>
      <c r="BR287" s="52" t="s">
        <v>3708</v>
      </c>
      <c r="BS287" s="52" t="s">
        <v>3718</v>
      </c>
      <c r="BT287" s="52"/>
      <c r="BU287" s="52"/>
      <c r="BV287" s="52"/>
      <c r="BW287" s="52"/>
      <c r="BX287" s="52"/>
      <c r="BY287" s="118">
        <f>181000*2</f>
        <v>362000</v>
      </c>
      <c r="BZ287" s="118">
        <f>+BY287*0.19</f>
        <v>68780</v>
      </c>
      <c r="CA287" s="364">
        <f>+BY287+BZ287</f>
        <v>430780</v>
      </c>
      <c r="CB287" s="52" t="s">
        <v>3710</v>
      </c>
      <c r="CC287" s="52" t="s">
        <v>3719</v>
      </c>
      <c r="CD287" s="118"/>
      <c r="CE287" s="52"/>
      <c r="CF287" s="52"/>
      <c r="CG287" s="52"/>
      <c r="CH287" s="52"/>
      <c r="CI287" s="52"/>
      <c r="CJ287" s="52"/>
      <c r="CK287" s="52"/>
      <c r="CL287" s="52"/>
      <c r="CM287" s="52"/>
      <c r="CN287" s="118"/>
      <c r="CO287" s="118"/>
      <c r="CP287" s="118"/>
      <c r="CQ287" s="52"/>
      <c r="CR287" s="52"/>
      <c r="CS287" s="52"/>
      <c r="CT287" s="52"/>
      <c r="CU287" s="52"/>
      <c r="CV287" s="52"/>
      <c r="CW287" s="52"/>
      <c r="CX287" s="52"/>
      <c r="CY287" s="52"/>
      <c r="CZ287" s="52"/>
      <c r="DA287" s="52"/>
      <c r="DB287" s="52"/>
    </row>
    <row r="288" spans="1:106" ht="13.5" x14ac:dyDescent="0.25">
      <c r="A288" s="411">
        <v>286</v>
      </c>
      <c r="B288" s="412" t="s">
        <v>3720</v>
      </c>
      <c r="C288" s="413" t="s">
        <v>622</v>
      </c>
      <c r="D288" s="426" t="s">
        <v>3721</v>
      </c>
      <c r="E288" s="80">
        <v>1</v>
      </c>
      <c r="F288" s="353">
        <v>17596.292000000001</v>
      </c>
      <c r="G288" s="293"/>
      <c r="H288" s="293"/>
      <c r="I288" s="293"/>
      <c r="J288" s="52"/>
      <c r="K288" s="52"/>
      <c r="L288" s="359"/>
      <c r="M288" s="360"/>
      <c r="N288" s="361"/>
      <c r="O288" s="33"/>
      <c r="P288" s="252"/>
      <c r="Q288" s="113"/>
      <c r="R288" s="113"/>
      <c r="S288" s="113"/>
      <c r="T288" s="52"/>
      <c r="U288" s="5"/>
      <c r="V288" s="231"/>
      <c r="W288" s="231"/>
      <c r="X288" s="231"/>
      <c r="Y288" s="113"/>
      <c r="Z288" s="357"/>
      <c r="AA288" s="118" t="s">
        <v>2877</v>
      </c>
      <c r="AB288" s="118"/>
      <c r="AC288" s="118"/>
      <c r="AD288" s="52"/>
      <c r="AE288" s="5"/>
      <c r="AF288" s="358"/>
      <c r="AG288" s="358"/>
      <c r="AH288" s="358"/>
      <c r="AI288" s="358"/>
      <c r="AJ288" s="358"/>
      <c r="AK288" s="113"/>
      <c r="AL288" s="113"/>
      <c r="AM288" s="113"/>
      <c r="AN288" s="113"/>
      <c r="AO288" s="113"/>
      <c r="AP288" s="52"/>
      <c r="AQ288" s="52"/>
      <c r="AR288" s="52"/>
      <c r="AS288" s="52"/>
      <c r="AT288" s="52"/>
      <c r="AU288" s="125"/>
      <c r="AV288" s="125"/>
      <c r="AW288" s="125"/>
      <c r="AX288" s="5"/>
      <c r="AY288" s="5"/>
      <c r="AZ288" s="113">
        <v>16000</v>
      </c>
      <c r="BA288" s="113">
        <v>3040</v>
      </c>
      <c r="BB288" s="113">
        <v>19040</v>
      </c>
      <c r="BC288" s="52" t="s">
        <v>3722</v>
      </c>
      <c r="BD288" s="52">
        <v>330478</v>
      </c>
      <c r="BE288" s="118"/>
      <c r="BF288" s="118"/>
      <c r="BG288" s="118"/>
      <c r="BH288" s="52"/>
      <c r="BI288" s="283"/>
      <c r="BJ288" s="52"/>
      <c r="BK288" s="52"/>
      <c r="BL288" s="52"/>
      <c r="BM288" s="52"/>
      <c r="BN288" s="52"/>
      <c r="BO288" s="52"/>
      <c r="BP288" s="52"/>
      <c r="BQ288" s="52"/>
      <c r="BR288" s="52"/>
      <c r="BS288" s="52"/>
      <c r="BT288" s="52"/>
      <c r="BU288" s="52"/>
      <c r="BV288" s="52"/>
      <c r="BW288" s="52"/>
      <c r="BX288" s="52"/>
      <c r="BY288" s="52"/>
      <c r="BZ288" s="52"/>
      <c r="CA288" s="52"/>
      <c r="CB288" s="52"/>
      <c r="CC288" s="52"/>
      <c r="CD288" s="118"/>
      <c r="CE288" s="52"/>
      <c r="CF288" s="52"/>
      <c r="CG288" s="52"/>
      <c r="CH288" s="52"/>
      <c r="CI288" s="52"/>
      <c r="CJ288" s="52"/>
      <c r="CK288" s="52"/>
      <c r="CL288" s="52"/>
      <c r="CM288" s="52"/>
      <c r="CN288" s="118"/>
      <c r="CO288" s="118"/>
      <c r="CP288" s="118"/>
      <c r="CQ288" s="52"/>
      <c r="CR288" s="52"/>
      <c r="CS288" s="52"/>
      <c r="CT288" s="52"/>
      <c r="CU288" s="52"/>
      <c r="CV288" s="52"/>
      <c r="CW288" s="52"/>
      <c r="CX288" s="52"/>
      <c r="CY288" s="52"/>
      <c r="CZ288" s="52"/>
      <c r="DA288" s="52"/>
      <c r="DB288" s="52"/>
    </row>
    <row r="289" spans="1:106" ht="13.5" x14ac:dyDescent="0.25">
      <c r="A289" s="411">
        <v>287</v>
      </c>
      <c r="B289" s="412" t="s">
        <v>3723</v>
      </c>
      <c r="C289" s="413" t="s">
        <v>622</v>
      </c>
      <c r="D289" s="426" t="s">
        <v>3721</v>
      </c>
      <c r="E289" s="80">
        <v>1</v>
      </c>
      <c r="F289" s="353">
        <v>18853.170000000002</v>
      </c>
      <c r="G289" s="293"/>
      <c r="H289" s="293"/>
      <c r="I289" s="293"/>
      <c r="J289" s="52"/>
      <c r="K289" s="52"/>
      <c r="L289" s="359"/>
      <c r="M289" s="360"/>
      <c r="N289" s="361"/>
      <c r="O289" s="33"/>
      <c r="P289" s="252"/>
      <c r="Q289" s="113"/>
      <c r="R289" s="113"/>
      <c r="S289" s="113"/>
      <c r="T289" s="52"/>
      <c r="U289" s="5"/>
      <c r="V289" s="231"/>
      <c r="W289" s="231"/>
      <c r="X289" s="231"/>
      <c r="Y289" s="113"/>
      <c r="Z289" s="357"/>
      <c r="AA289" s="118" t="s">
        <v>2877</v>
      </c>
      <c r="AB289" s="118"/>
      <c r="AC289" s="118"/>
      <c r="AD289" s="52"/>
      <c r="AE289" s="5"/>
      <c r="AF289" s="358"/>
      <c r="AG289" s="358"/>
      <c r="AH289" s="358"/>
      <c r="AI289" s="358"/>
      <c r="AJ289" s="358"/>
      <c r="AK289" s="113"/>
      <c r="AL289" s="113"/>
      <c r="AM289" s="113"/>
      <c r="AN289" s="113"/>
      <c r="AO289" s="113"/>
      <c r="AP289" s="52"/>
      <c r="AQ289" s="52"/>
      <c r="AR289" s="52"/>
      <c r="AS289" s="52"/>
      <c r="AT289" s="52"/>
      <c r="AU289" s="125"/>
      <c r="AV289" s="125"/>
      <c r="AW289" s="125"/>
      <c r="AX289" s="5"/>
      <c r="AY289" s="5"/>
      <c r="AZ289" s="113">
        <v>14000</v>
      </c>
      <c r="BA289" s="113">
        <v>2660</v>
      </c>
      <c r="BB289" s="113">
        <v>16660</v>
      </c>
      <c r="BC289" s="52" t="s">
        <v>3722</v>
      </c>
      <c r="BD289" s="52">
        <v>166285</v>
      </c>
      <c r="BE289" s="118"/>
      <c r="BF289" s="118"/>
      <c r="BG289" s="118"/>
      <c r="BH289" s="52"/>
      <c r="BI289" s="283"/>
      <c r="BJ289" s="52"/>
      <c r="BK289" s="52"/>
      <c r="BL289" s="52"/>
      <c r="BM289" s="52"/>
      <c r="BN289" s="52"/>
      <c r="BO289" s="52"/>
      <c r="BP289" s="52"/>
      <c r="BQ289" s="52"/>
      <c r="BR289" s="52"/>
      <c r="BS289" s="52"/>
      <c r="BT289" s="52"/>
      <c r="BU289" s="52"/>
      <c r="BV289" s="52"/>
      <c r="BW289" s="52"/>
      <c r="BX289" s="52"/>
      <c r="BY289" s="52"/>
      <c r="BZ289" s="52"/>
      <c r="CA289" s="52"/>
      <c r="CB289" s="52"/>
      <c r="CC289" s="52"/>
      <c r="CD289" s="118"/>
      <c r="CE289" s="52"/>
      <c r="CF289" s="52"/>
      <c r="CG289" s="52"/>
      <c r="CH289" s="52"/>
      <c r="CI289" s="52"/>
      <c r="CJ289" s="52"/>
      <c r="CK289" s="52"/>
      <c r="CL289" s="52"/>
      <c r="CM289" s="52"/>
      <c r="CN289" s="118"/>
      <c r="CO289" s="118"/>
      <c r="CP289" s="118"/>
      <c r="CQ289" s="52"/>
      <c r="CR289" s="52"/>
      <c r="CS289" s="52"/>
      <c r="CT289" s="52"/>
      <c r="CU289" s="52"/>
      <c r="CV289" s="52"/>
      <c r="CW289" s="52"/>
      <c r="CX289" s="52"/>
      <c r="CY289" s="52"/>
      <c r="CZ289" s="52"/>
      <c r="DA289" s="52"/>
      <c r="DB289" s="52"/>
    </row>
    <row r="290" spans="1:106" ht="40.5" x14ac:dyDescent="0.25">
      <c r="A290" s="411">
        <v>288</v>
      </c>
      <c r="B290" s="412" t="s">
        <v>3724</v>
      </c>
      <c r="C290" s="413" t="s">
        <v>3725</v>
      </c>
      <c r="D290" s="426" t="s">
        <v>3077</v>
      </c>
      <c r="E290" s="80">
        <v>1</v>
      </c>
      <c r="F290" s="353">
        <v>90620.9038</v>
      </c>
      <c r="G290" s="293"/>
      <c r="H290" s="293"/>
      <c r="I290" s="293"/>
      <c r="J290" s="52"/>
      <c r="K290" s="52"/>
      <c r="L290" s="359"/>
      <c r="M290" s="360"/>
      <c r="N290" s="361"/>
      <c r="O290" s="33"/>
      <c r="P290" s="252"/>
      <c r="Q290" s="113"/>
      <c r="R290" s="113"/>
      <c r="S290" s="113"/>
      <c r="T290" s="52"/>
      <c r="U290" s="5"/>
      <c r="V290" s="231"/>
      <c r="W290" s="231"/>
      <c r="X290" s="231"/>
      <c r="Y290" s="113"/>
      <c r="Z290" s="357"/>
      <c r="AA290" s="118" t="s">
        <v>2877</v>
      </c>
      <c r="AB290" s="118"/>
      <c r="AC290" s="118"/>
      <c r="AD290" s="52"/>
      <c r="AE290" s="5"/>
      <c r="AF290" s="358"/>
      <c r="AG290" s="358"/>
      <c r="AH290" s="358"/>
      <c r="AI290" s="358"/>
      <c r="AJ290" s="358"/>
      <c r="AK290" s="113"/>
      <c r="AL290" s="113"/>
      <c r="AM290" s="113"/>
      <c r="AN290" s="113"/>
      <c r="AO290" s="113"/>
      <c r="AP290" s="52"/>
      <c r="AQ290" s="52"/>
      <c r="AR290" s="52"/>
      <c r="AS290" s="52"/>
      <c r="AT290" s="52"/>
      <c r="AU290" s="125"/>
      <c r="AV290" s="125"/>
      <c r="AW290" s="125"/>
      <c r="AX290" s="5"/>
      <c r="AY290" s="5"/>
      <c r="AZ290" s="113"/>
      <c r="BA290" s="113"/>
      <c r="BB290" s="113"/>
      <c r="BC290" s="52"/>
      <c r="BD290" s="52"/>
      <c r="BE290" s="118"/>
      <c r="BF290" s="118"/>
      <c r="BG290" s="118"/>
      <c r="BH290" s="52"/>
      <c r="BI290" s="283"/>
      <c r="BJ290" s="52"/>
      <c r="BK290" s="52"/>
      <c r="BL290" s="52"/>
      <c r="BM290" s="52"/>
      <c r="BN290" s="52"/>
      <c r="BO290" s="52"/>
      <c r="BP290" s="52"/>
      <c r="BQ290" s="52"/>
      <c r="BR290" s="52"/>
      <c r="BS290" s="52"/>
      <c r="BT290" s="52"/>
      <c r="BU290" s="52"/>
      <c r="BV290" s="52"/>
      <c r="BW290" s="52"/>
      <c r="BX290" s="52"/>
      <c r="BY290" s="52"/>
      <c r="BZ290" s="52"/>
      <c r="CA290" s="52"/>
      <c r="CB290" s="52"/>
      <c r="CC290" s="52"/>
      <c r="CD290" s="118"/>
      <c r="CE290" s="52"/>
      <c r="CF290" s="52"/>
      <c r="CG290" s="52"/>
      <c r="CH290" s="52"/>
      <c r="CI290" s="52"/>
      <c r="CJ290" s="52"/>
      <c r="CK290" s="52"/>
      <c r="CL290" s="52"/>
      <c r="CM290" s="52"/>
      <c r="CN290" s="118"/>
      <c r="CO290" s="118"/>
      <c r="CP290" s="118"/>
      <c r="CQ290" s="52"/>
      <c r="CR290" s="52"/>
      <c r="CS290" s="52"/>
      <c r="CT290" s="52"/>
      <c r="CU290" s="52"/>
      <c r="CV290" s="52"/>
      <c r="CW290" s="52"/>
      <c r="CX290" s="52"/>
      <c r="CY290" s="52"/>
      <c r="CZ290" s="52"/>
      <c r="DA290" s="52"/>
      <c r="DB290" s="52"/>
    </row>
    <row r="291" spans="1:106" ht="40.5" x14ac:dyDescent="0.25">
      <c r="A291" s="411">
        <v>289</v>
      </c>
      <c r="B291" s="412" t="s">
        <v>3726</v>
      </c>
      <c r="C291" s="413" t="s">
        <v>3725</v>
      </c>
      <c r="D291" s="426" t="s">
        <v>3077</v>
      </c>
      <c r="E291" s="80">
        <v>1</v>
      </c>
      <c r="F291" s="355">
        <v>174376.50760000001</v>
      </c>
      <c r="G291" s="293"/>
      <c r="H291" s="293"/>
      <c r="I291" s="293"/>
      <c r="J291" s="52"/>
      <c r="K291" s="52"/>
      <c r="L291" s="359"/>
      <c r="M291" s="360"/>
      <c r="N291" s="361"/>
      <c r="O291" s="33"/>
      <c r="P291" s="252"/>
      <c r="Q291" s="113"/>
      <c r="R291" s="113"/>
      <c r="S291" s="113"/>
      <c r="T291" s="52"/>
      <c r="U291" s="5"/>
      <c r="V291" s="231"/>
      <c r="W291" s="231"/>
      <c r="X291" s="231"/>
      <c r="Y291" s="113"/>
      <c r="Z291" s="357"/>
      <c r="AA291" s="118" t="s">
        <v>2877</v>
      </c>
      <c r="AB291" s="118"/>
      <c r="AC291" s="118"/>
      <c r="AD291" s="52"/>
      <c r="AE291" s="5"/>
      <c r="AF291" s="358"/>
      <c r="AG291" s="358"/>
      <c r="AH291" s="358"/>
      <c r="AI291" s="358"/>
      <c r="AJ291" s="358"/>
      <c r="AK291" s="113"/>
      <c r="AL291" s="113"/>
      <c r="AM291" s="113"/>
      <c r="AN291" s="113"/>
      <c r="AO291" s="113"/>
      <c r="AP291" s="52"/>
      <c r="AQ291" s="52"/>
      <c r="AR291" s="52"/>
      <c r="AS291" s="52"/>
      <c r="AT291" s="52"/>
      <c r="AU291" s="125"/>
      <c r="AV291" s="125"/>
      <c r="AW291" s="125"/>
      <c r="AX291" s="5"/>
      <c r="AY291" s="5"/>
      <c r="AZ291" s="113"/>
      <c r="BA291" s="113"/>
      <c r="BB291" s="113"/>
      <c r="BC291" s="52"/>
      <c r="BD291" s="52"/>
      <c r="BE291" s="118"/>
      <c r="BF291" s="118"/>
      <c r="BG291" s="118"/>
      <c r="BH291" s="52"/>
      <c r="BI291" s="283"/>
      <c r="BJ291" s="52"/>
      <c r="BK291" s="52"/>
      <c r="BL291" s="52"/>
      <c r="BM291" s="52"/>
      <c r="BN291" s="52"/>
      <c r="BO291" s="52"/>
      <c r="BP291" s="52"/>
      <c r="BQ291" s="52"/>
      <c r="BR291" s="52"/>
      <c r="BS291" s="52"/>
      <c r="BT291" s="52"/>
      <c r="BU291" s="52"/>
      <c r="BV291" s="52"/>
      <c r="BW291" s="52"/>
      <c r="BX291" s="52"/>
      <c r="BY291" s="52"/>
      <c r="BZ291" s="52"/>
      <c r="CA291" s="52"/>
      <c r="CB291" s="52"/>
      <c r="CC291" s="52"/>
      <c r="CD291" s="118"/>
      <c r="CE291" s="52"/>
      <c r="CF291" s="52"/>
      <c r="CG291" s="52"/>
      <c r="CH291" s="52"/>
      <c r="CI291" s="52"/>
      <c r="CJ291" s="52"/>
      <c r="CK291" s="52"/>
      <c r="CL291" s="52"/>
      <c r="CM291" s="52"/>
      <c r="CN291" s="118"/>
      <c r="CO291" s="118"/>
      <c r="CP291" s="118"/>
      <c r="CQ291" s="52"/>
      <c r="CR291" s="52"/>
      <c r="CS291" s="52"/>
      <c r="CT291" s="52"/>
      <c r="CU291" s="52"/>
      <c r="CV291" s="52"/>
      <c r="CW291" s="52"/>
      <c r="CX291" s="52"/>
      <c r="CY291" s="52"/>
      <c r="CZ291" s="52"/>
      <c r="DA291" s="52"/>
      <c r="DB291" s="52"/>
    </row>
    <row r="292" spans="1:106" ht="40.5" x14ac:dyDescent="0.25">
      <c r="A292" s="411">
        <v>290</v>
      </c>
      <c r="B292" s="415" t="s">
        <v>5101</v>
      </c>
      <c r="C292" s="413" t="s">
        <v>622</v>
      </c>
      <c r="D292" s="426" t="s">
        <v>3721</v>
      </c>
      <c r="E292" s="80">
        <v>1</v>
      </c>
      <c r="F292" s="353">
        <v>87013.980800000005</v>
      </c>
      <c r="G292" s="293"/>
      <c r="H292" s="293"/>
      <c r="I292" s="293"/>
      <c r="J292" s="52"/>
      <c r="K292" s="52"/>
      <c r="L292" s="359"/>
      <c r="M292" s="360"/>
      <c r="N292" s="361"/>
      <c r="O292" s="33"/>
      <c r="P292" s="252"/>
      <c r="Q292" s="113"/>
      <c r="R292" s="113"/>
      <c r="S292" s="113"/>
      <c r="T292" s="52"/>
      <c r="U292" s="5"/>
      <c r="V292" s="231"/>
      <c r="W292" s="231"/>
      <c r="X292" s="231"/>
      <c r="Y292" s="113"/>
      <c r="Z292" s="357"/>
      <c r="AA292" s="118" t="s">
        <v>2877</v>
      </c>
      <c r="AB292" s="118"/>
      <c r="AC292" s="118"/>
      <c r="AD292" s="52"/>
      <c r="AE292" s="5"/>
      <c r="AF292" s="358"/>
      <c r="AG292" s="358"/>
      <c r="AH292" s="358"/>
      <c r="AI292" s="358"/>
      <c r="AJ292" s="358"/>
      <c r="AK292" s="113"/>
      <c r="AL292" s="113"/>
      <c r="AM292" s="113"/>
      <c r="AN292" s="113"/>
      <c r="AO292" s="113"/>
      <c r="AP292" s="52"/>
      <c r="AQ292" s="52"/>
      <c r="AR292" s="52"/>
      <c r="AS292" s="52"/>
      <c r="AT292" s="52"/>
      <c r="AU292" s="125"/>
      <c r="AV292" s="125"/>
      <c r="AW292" s="125"/>
      <c r="AX292" s="5"/>
      <c r="AY292" s="5"/>
      <c r="AZ292" s="113">
        <v>120000</v>
      </c>
      <c r="BA292" s="113">
        <v>22800</v>
      </c>
      <c r="BB292" s="113">
        <v>142800</v>
      </c>
      <c r="BC292" s="52" t="s">
        <v>3727</v>
      </c>
      <c r="BD292" s="52">
        <v>411240</v>
      </c>
      <c r="BE292" s="118"/>
      <c r="BF292" s="118"/>
      <c r="BG292" s="118"/>
      <c r="BH292" s="52"/>
      <c r="BI292" s="283"/>
      <c r="BJ292" s="52"/>
      <c r="BK292" s="52"/>
      <c r="BL292" s="52"/>
      <c r="BM292" s="52"/>
      <c r="BN292" s="52"/>
      <c r="BO292" s="52"/>
      <c r="BP292" s="52"/>
      <c r="BQ292" s="52"/>
      <c r="BR292" s="52"/>
      <c r="BS292" s="52"/>
      <c r="BT292" s="52"/>
      <c r="BU292" s="52"/>
      <c r="BV292" s="52"/>
      <c r="BW292" s="52"/>
      <c r="BX292" s="52"/>
      <c r="BY292" s="52"/>
      <c r="BZ292" s="52"/>
      <c r="CA292" s="52"/>
      <c r="CB292" s="52"/>
      <c r="CC292" s="52"/>
      <c r="CD292" s="118"/>
      <c r="CE292" s="52"/>
      <c r="CF292" s="52"/>
      <c r="CG292" s="52"/>
      <c r="CH292" s="52"/>
      <c r="CI292" s="52"/>
      <c r="CJ292" s="52"/>
      <c r="CK292" s="52"/>
      <c r="CL292" s="52"/>
      <c r="CM292" s="52"/>
      <c r="CN292" s="118"/>
      <c r="CO292" s="118"/>
      <c r="CP292" s="118"/>
      <c r="CQ292" s="52"/>
      <c r="CR292" s="52"/>
      <c r="CS292" s="52"/>
      <c r="CT292" s="52"/>
      <c r="CU292" s="52"/>
      <c r="CV292" s="52"/>
      <c r="CW292" s="52"/>
      <c r="CX292" s="52"/>
      <c r="CY292" s="52"/>
      <c r="CZ292" s="52"/>
      <c r="DA292" s="52"/>
      <c r="DB292" s="52"/>
    </row>
    <row r="293" spans="1:106" ht="27" x14ac:dyDescent="0.25">
      <c r="A293" s="411">
        <v>291</v>
      </c>
      <c r="B293" s="412" t="s">
        <v>3728</v>
      </c>
      <c r="C293" s="413" t="s">
        <v>3729</v>
      </c>
      <c r="D293" s="426" t="s">
        <v>2966</v>
      </c>
      <c r="E293" s="80">
        <v>1</v>
      </c>
      <c r="F293" s="353">
        <v>422481.05619999999</v>
      </c>
      <c r="G293" s="293"/>
      <c r="H293" s="293"/>
      <c r="I293" s="293"/>
      <c r="J293" s="52"/>
      <c r="K293" s="52"/>
      <c r="L293" s="359"/>
      <c r="M293" s="360"/>
      <c r="N293" s="361"/>
      <c r="O293" s="33"/>
      <c r="P293" s="252"/>
      <c r="Q293" s="113"/>
      <c r="R293" s="113"/>
      <c r="S293" s="113"/>
      <c r="T293" s="52"/>
      <c r="U293" s="5"/>
      <c r="V293" s="231"/>
      <c r="W293" s="231"/>
      <c r="X293" s="231"/>
      <c r="Y293" s="113"/>
      <c r="Z293" s="357"/>
      <c r="AA293" s="113" t="s">
        <v>2877</v>
      </c>
      <c r="AB293" s="113"/>
      <c r="AC293" s="113"/>
      <c r="AD293" s="52"/>
      <c r="AE293" s="5"/>
      <c r="AF293" s="358"/>
      <c r="AG293" s="358"/>
      <c r="AH293" s="358"/>
      <c r="AI293" s="358"/>
      <c r="AJ293" s="358"/>
      <c r="AK293" s="113"/>
      <c r="AL293" s="113"/>
      <c r="AM293" s="113"/>
      <c r="AN293" s="113"/>
      <c r="AO293" s="113"/>
      <c r="AP293" s="52"/>
      <c r="AQ293" s="52"/>
      <c r="AR293" s="52"/>
      <c r="AS293" s="52"/>
      <c r="AT293" s="52"/>
      <c r="AU293" s="125"/>
      <c r="AV293" s="125"/>
      <c r="AW293" s="125"/>
      <c r="AX293" s="5"/>
      <c r="AY293" s="5"/>
      <c r="AZ293" s="113">
        <v>660000</v>
      </c>
      <c r="BA293" s="113">
        <v>125400</v>
      </c>
      <c r="BB293" s="113">
        <v>785400</v>
      </c>
      <c r="BC293" s="52"/>
      <c r="BD293" s="52"/>
      <c r="BE293" s="118"/>
      <c r="BF293" s="118"/>
      <c r="BG293" s="118"/>
      <c r="BH293" s="52"/>
      <c r="BI293" s="283"/>
      <c r="BJ293" s="52"/>
      <c r="BK293" s="52"/>
      <c r="BL293" s="52"/>
      <c r="BM293" s="52"/>
      <c r="BN293" s="52"/>
      <c r="BO293" s="52"/>
      <c r="BP293" s="52"/>
      <c r="BQ293" s="52"/>
      <c r="BR293" s="52"/>
      <c r="BS293" s="52"/>
      <c r="BT293" s="52"/>
      <c r="BU293" s="52"/>
      <c r="BV293" s="52"/>
      <c r="BW293" s="52"/>
      <c r="BX293" s="52"/>
      <c r="BY293" s="52"/>
      <c r="BZ293" s="52"/>
      <c r="CA293" s="52"/>
      <c r="CB293" s="52"/>
      <c r="CC293" s="52"/>
      <c r="CD293" s="118">
        <v>144538</v>
      </c>
      <c r="CE293" s="118">
        <f>+CD293*0.19</f>
        <v>27462.22</v>
      </c>
      <c r="CF293" s="118">
        <f>+CD293+CE293</f>
        <v>172000.22</v>
      </c>
      <c r="CG293" s="395"/>
      <c r="CH293" s="52" t="s">
        <v>3730</v>
      </c>
      <c r="CI293" s="52"/>
      <c r="CJ293" s="52"/>
      <c r="CK293" s="52"/>
      <c r="CL293" s="52"/>
      <c r="CM293" s="52"/>
      <c r="CN293" s="118"/>
      <c r="CO293" s="118"/>
      <c r="CP293" s="118"/>
      <c r="CQ293" s="52"/>
      <c r="CR293" s="52"/>
      <c r="CS293" s="52"/>
      <c r="CT293" s="52"/>
      <c r="CU293" s="52"/>
      <c r="CV293" s="52"/>
      <c r="CW293" s="52"/>
      <c r="CX293" s="52"/>
      <c r="CY293" s="52"/>
      <c r="CZ293" s="52"/>
      <c r="DA293" s="52"/>
      <c r="DB293" s="52"/>
    </row>
    <row r="294" spans="1:106" ht="13.5" x14ac:dyDescent="0.25">
      <c r="A294" s="411">
        <v>292</v>
      </c>
      <c r="B294" s="412" t="s">
        <v>3731</v>
      </c>
      <c r="C294" s="426" t="s">
        <v>622</v>
      </c>
      <c r="D294" s="426" t="s">
        <v>3732</v>
      </c>
      <c r="E294" s="80">
        <v>1</v>
      </c>
      <c r="F294" s="353">
        <v>140770.33600000001</v>
      </c>
      <c r="G294" s="293"/>
      <c r="H294" s="293"/>
      <c r="I294" s="293"/>
      <c r="J294" s="52"/>
      <c r="K294" s="52"/>
      <c r="L294" s="359"/>
      <c r="M294" s="360"/>
      <c r="N294" s="361"/>
      <c r="O294" s="33"/>
      <c r="P294" s="252"/>
      <c r="Q294" s="113"/>
      <c r="R294" s="113"/>
      <c r="S294" s="113"/>
      <c r="T294" s="52"/>
      <c r="U294" s="5"/>
      <c r="V294" s="231"/>
      <c r="W294" s="231"/>
      <c r="X294" s="231"/>
      <c r="Y294" s="113"/>
      <c r="Z294" s="357"/>
      <c r="AA294" s="113">
        <v>633000</v>
      </c>
      <c r="AB294" s="113">
        <f>AA294*0.19</f>
        <v>120270</v>
      </c>
      <c r="AC294" s="113">
        <f>AA294+AB294</f>
        <v>753270</v>
      </c>
      <c r="AD294" s="52" t="s">
        <v>2121</v>
      </c>
      <c r="AE294" s="5" t="s">
        <v>3733</v>
      </c>
      <c r="AF294" s="358"/>
      <c r="AG294" s="358"/>
      <c r="AH294" s="358"/>
      <c r="AI294" s="358"/>
      <c r="AJ294" s="358"/>
      <c r="AK294" s="113"/>
      <c r="AL294" s="113"/>
      <c r="AM294" s="113"/>
      <c r="AN294" s="113"/>
      <c r="AO294" s="113"/>
      <c r="AP294" s="52"/>
      <c r="AQ294" s="52"/>
      <c r="AR294" s="52"/>
      <c r="AS294" s="52"/>
      <c r="AT294" s="52"/>
      <c r="AU294" s="125"/>
      <c r="AV294" s="125"/>
      <c r="AW294" s="125"/>
      <c r="AX294" s="5"/>
      <c r="AY294" s="5"/>
      <c r="AZ294" s="113"/>
      <c r="BA294" s="113"/>
      <c r="BB294" s="113"/>
      <c r="BC294" s="52"/>
      <c r="BD294" s="52"/>
      <c r="BE294" s="118"/>
      <c r="BF294" s="118"/>
      <c r="BG294" s="118"/>
      <c r="BH294" s="52"/>
      <c r="BI294" s="283"/>
      <c r="BJ294" s="52"/>
      <c r="BK294" s="52"/>
      <c r="BL294" s="52"/>
      <c r="BM294" s="52"/>
      <c r="BN294" s="52"/>
      <c r="BO294" s="52"/>
      <c r="BP294" s="52"/>
      <c r="BQ294" s="52"/>
      <c r="BR294" s="52"/>
      <c r="BS294" s="52"/>
      <c r="BT294" s="52"/>
      <c r="BU294" s="52"/>
      <c r="BV294" s="52"/>
      <c r="BW294" s="52"/>
      <c r="BX294" s="52"/>
      <c r="BY294" s="52"/>
      <c r="BZ294" s="52"/>
      <c r="CA294" s="52"/>
      <c r="CB294" s="52"/>
      <c r="CC294" s="52"/>
      <c r="CD294" s="118"/>
      <c r="CE294" s="52"/>
      <c r="CF294" s="52"/>
      <c r="CG294" s="52"/>
      <c r="CH294" s="52"/>
      <c r="CI294" s="52"/>
      <c r="CJ294" s="52"/>
      <c r="CK294" s="52"/>
      <c r="CL294" s="52"/>
      <c r="CM294" s="52"/>
      <c r="CN294" s="118"/>
      <c r="CO294" s="118"/>
      <c r="CP294" s="118"/>
      <c r="CQ294" s="52"/>
      <c r="CR294" s="52"/>
      <c r="CS294" s="52"/>
      <c r="CT294" s="52"/>
      <c r="CU294" s="52"/>
      <c r="CV294" s="52"/>
      <c r="CW294" s="52"/>
      <c r="CX294" s="52"/>
      <c r="CY294" s="52"/>
      <c r="CZ294" s="52"/>
      <c r="DA294" s="52"/>
      <c r="DB294" s="52"/>
    </row>
    <row r="295" spans="1:106" ht="27" x14ac:dyDescent="0.25">
      <c r="A295" s="411">
        <v>293</v>
      </c>
      <c r="B295" s="412" t="s">
        <v>3734</v>
      </c>
      <c r="C295" s="413" t="s">
        <v>622</v>
      </c>
      <c r="D295" s="426" t="s">
        <v>3077</v>
      </c>
      <c r="E295" s="80">
        <v>1</v>
      </c>
      <c r="F295" s="355">
        <v>272493.26280000003</v>
      </c>
      <c r="G295" s="293"/>
      <c r="H295" s="293"/>
      <c r="I295" s="293"/>
      <c r="J295" s="52"/>
      <c r="K295" s="52"/>
      <c r="L295" s="359"/>
      <c r="M295" s="360"/>
      <c r="N295" s="361"/>
      <c r="O295" s="33"/>
      <c r="P295" s="252"/>
      <c r="Q295" s="113"/>
      <c r="R295" s="113"/>
      <c r="S295" s="113"/>
      <c r="T295" s="52"/>
      <c r="U295" s="5"/>
      <c r="V295" s="231"/>
      <c r="W295" s="231"/>
      <c r="X295" s="231"/>
      <c r="Y295" s="113"/>
      <c r="Z295" s="357"/>
      <c r="AA295" s="118" t="s">
        <v>2877</v>
      </c>
      <c r="AB295" s="118"/>
      <c r="AC295" s="118"/>
      <c r="AD295" s="52"/>
      <c r="AE295" s="5"/>
      <c r="AF295" s="358"/>
      <c r="AG295" s="358"/>
      <c r="AH295" s="358"/>
      <c r="AI295" s="358"/>
      <c r="AJ295" s="358"/>
      <c r="AK295" s="113"/>
      <c r="AL295" s="113"/>
      <c r="AM295" s="113"/>
      <c r="AN295" s="113"/>
      <c r="AO295" s="113"/>
      <c r="AP295" s="52"/>
      <c r="AQ295" s="52"/>
      <c r="AR295" s="52"/>
      <c r="AS295" s="52"/>
      <c r="AT295" s="52"/>
      <c r="AU295" s="125"/>
      <c r="AV295" s="125"/>
      <c r="AW295" s="125"/>
      <c r="AX295" s="5"/>
      <c r="AY295" s="5"/>
      <c r="AZ295" s="113"/>
      <c r="BA295" s="113"/>
      <c r="BB295" s="113"/>
      <c r="BC295" s="52"/>
      <c r="BD295" s="52"/>
      <c r="BE295" s="118"/>
      <c r="BF295" s="118"/>
      <c r="BG295" s="118"/>
      <c r="BH295" s="52"/>
      <c r="BI295" s="283"/>
      <c r="BJ295" s="52"/>
      <c r="BK295" s="52"/>
      <c r="BL295" s="52"/>
      <c r="BM295" s="52"/>
      <c r="BN295" s="52"/>
      <c r="BO295" s="118">
        <v>15000</v>
      </c>
      <c r="BP295" s="118">
        <f>+BO295*0.19</f>
        <v>2850</v>
      </c>
      <c r="BQ295" s="118">
        <f>+BO295+BP295</f>
        <v>17850</v>
      </c>
      <c r="BR295" s="52" t="s">
        <v>3735</v>
      </c>
      <c r="BS295" s="52" t="s">
        <v>3736</v>
      </c>
      <c r="BT295" s="52"/>
      <c r="BU295" s="52"/>
      <c r="BV295" s="52"/>
      <c r="BW295" s="52"/>
      <c r="BX295" s="52"/>
      <c r="BY295" s="118">
        <v>138000</v>
      </c>
      <c r="BZ295" s="118">
        <f>+BY295*0.19</f>
        <v>26220</v>
      </c>
      <c r="CA295" s="364">
        <f>+BY295+BZ295</f>
        <v>164220</v>
      </c>
      <c r="CB295" s="52" t="s">
        <v>3737</v>
      </c>
      <c r="CC295" s="52" t="s">
        <v>3736</v>
      </c>
      <c r="CD295" s="118"/>
      <c r="CE295" s="52"/>
      <c r="CF295" s="52"/>
      <c r="CG295" s="52"/>
      <c r="CH295" s="52"/>
      <c r="CI295" s="52"/>
      <c r="CJ295" s="52"/>
      <c r="CK295" s="52"/>
      <c r="CL295" s="52"/>
      <c r="CM295" s="52"/>
      <c r="CN295" s="118"/>
      <c r="CO295" s="118"/>
      <c r="CP295" s="118"/>
      <c r="CQ295" s="52"/>
      <c r="CR295" s="52"/>
      <c r="CS295" s="52"/>
      <c r="CT295" s="52"/>
      <c r="CU295" s="52"/>
      <c r="CV295" s="52"/>
      <c r="CW295" s="52"/>
      <c r="CX295" s="52"/>
      <c r="CY295" s="52"/>
      <c r="CZ295" s="52"/>
      <c r="DA295" s="52"/>
      <c r="DB295" s="52"/>
    </row>
    <row r="296" spans="1:106" ht="27" x14ac:dyDescent="0.25">
      <c r="A296" s="411">
        <v>294</v>
      </c>
      <c r="B296" s="412" t="s">
        <v>3738</v>
      </c>
      <c r="C296" s="413" t="s">
        <v>1278</v>
      </c>
      <c r="D296" s="426" t="s">
        <v>3739</v>
      </c>
      <c r="E296" s="80">
        <v>1</v>
      </c>
      <c r="F296" s="355">
        <v>816272.55180000002</v>
      </c>
      <c r="G296" s="293"/>
      <c r="H296" s="293"/>
      <c r="I296" s="293"/>
      <c r="J296" s="52"/>
      <c r="K296" s="52"/>
      <c r="L296" s="359"/>
      <c r="M296" s="360"/>
      <c r="N296" s="361"/>
      <c r="O296" s="33"/>
      <c r="P296" s="252"/>
      <c r="Q296" s="113"/>
      <c r="R296" s="113"/>
      <c r="S296" s="113"/>
      <c r="T296" s="52"/>
      <c r="U296" s="5"/>
      <c r="V296" s="231"/>
      <c r="W296" s="231"/>
      <c r="X296" s="231"/>
      <c r="Y296" s="113"/>
      <c r="Z296" s="357"/>
      <c r="AA296" s="118" t="s">
        <v>2877</v>
      </c>
      <c r="AB296" s="118"/>
      <c r="AC296" s="118"/>
      <c r="AD296" s="52"/>
      <c r="AE296" s="5"/>
      <c r="AF296" s="358"/>
      <c r="AG296" s="358"/>
      <c r="AH296" s="358"/>
      <c r="AI296" s="358"/>
      <c r="AJ296" s="358"/>
      <c r="AK296" s="113"/>
      <c r="AL296" s="113"/>
      <c r="AM296" s="113"/>
      <c r="AN296" s="113"/>
      <c r="AO296" s="113"/>
      <c r="AP296" s="52"/>
      <c r="AQ296" s="52"/>
      <c r="AR296" s="52"/>
      <c r="AS296" s="52"/>
      <c r="AT296" s="52"/>
      <c r="AU296" s="125"/>
      <c r="AV296" s="125"/>
      <c r="AW296" s="125"/>
      <c r="AX296" s="5"/>
      <c r="AY296" s="5"/>
      <c r="AZ296" s="113">
        <v>1223000</v>
      </c>
      <c r="BA296" s="113">
        <v>232370</v>
      </c>
      <c r="BB296" s="113">
        <v>1455370</v>
      </c>
      <c r="BC296" s="52" t="s">
        <v>363</v>
      </c>
      <c r="BD296" s="52" t="s">
        <v>3740</v>
      </c>
      <c r="BE296" s="118"/>
      <c r="BF296" s="118"/>
      <c r="BG296" s="118"/>
      <c r="BH296" s="52"/>
      <c r="BI296" s="283"/>
      <c r="BJ296" s="52"/>
      <c r="BK296" s="52"/>
      <c r="BL296" s="52"/>
      <c r="BM296" s="52"/>
      <c r="BN296" s="52"/>
      <c r="BO296" s="118">
        <v>350000</v>
      </c>
      <c r="BP296" s="118">
        <f>+BO296*0.19</f>
        <v>66500</v>
      </c>
      <c r="BQ296" s="118">
        <f>+BO296+BP296</f>
        <v>416500</v>
      </c>
      <c r="BR296" s="52" t="s">
        <v>3741</v>
      </c>
      <c r="BS296" s="52" t="s">
        <v>3742</v>
      </c>
      <c r="BT296" s="52"/>
      <c r="BU296" s="52"/>
      <c r="BV296" s="52"/>
      <c r="BW296" s="52"/>
      <c r="BX296" s="52"/>
      <c r="BY296" s="118">
        <v>286000</v>
      </c>
      <c r="BZ296" s="118">
        <f>+BY296*0.19</f>
        <v>54340</v>
      </c>
      <c r="CA296" s="364">
        <f>+BY296+BZ296</f>
        <v>340340</v>
      </c>
      <c r="CB296" s="52" t="s">
        <v>3743</v>
      </c>
      <c r="CC296" s="52" t="s">
        <v>3742</v>
      </c>
      <c r="CD296" s="118"/>
      <c r="CE296" s="52"/>
      <c r="CF296" s="52"/>
      <c r="CG296" s="52"/>
      <c r="CH296" s="52"/>
      <c r="CI296" s="52"/>
      <c r="CJ296" s="52"/>
      <c r="CK296" s="52"/>
      <c r="CL296" s="52"/>
      <c r="CM296" s="52"/>
      <c r="CN296" s="118"/>
      <c r="CO296" s="118"/>
      <c r="CP296" s="118"/>
      <c r="CQ296" s="52"/>
      <c r="CR296" s="52"/>
      <c r="CS296" s="399">
        <v>610785</v>
      </c>
      <c r="CT296" s="118">
        <f>+CS296*0.19</f>
        <v>116049.15</v>
      </c>
      <c r="CU296" s="118">
        <f>+CS296+CT296</f>
        <v>726834.15</v>
      </c>
      <c r="CV296" s="52" t="s">
        <v>3744</v>
      </c>
      <c r="CW296" s="52">
        <v>6432</v>
      </c>
      <c r="CX296" s="52"/>
      <c r="CY296" s="52"/>
      <c r="CZ296" s="52"/>
      <c r="DA296" s="52"/>
      <c r="DB296" s="52"/>
    </row>
    <row r="297" spans="1:106" ht="27" x14ac:dyDescent="0.25">
      <c r="A297" s="411">
        <v>295</v>
      </c>
      <c r="B297" s="414" t="s">
        <v>3745</v>
      </c>
      <c r="C297" s="560" t="s">
        <v>3746</v>
      </c>
      <c r="D297" s="414" t="s">
        <v>3747</v>
      </c>
      <c r="E297" s="80">
        <v>1</v>
      </c>
      <c r="F297" s="80"/>
      <c r="G297" s="293"/>
      <c r="H297" s="293"/>
      <c r="I297" s="293"/>
      <c r="J297" s="52"/>
      <c r="K297" s="52"/>
      <c r="L297" s="359"/>
      <c r="M297" s="360"/>
      <c r="N297" s="361"/>
      <c r="O297" s="33"/>
      <c r="P297" s="252"/>
      <c r="Q297" s="113"/>
      <c r="R297" s="113"/>
      <c r="S297" s="113"/>
      <c r="T297" s="52"/>
      <c r="U297" s="5"/>
      <c r="V297" s="231"/>
      <c r="W297" s="231"/>
      <c r="X297" s="231"/>
      <c r="Y297" s="113"/>
      <c r="Z297" s="357"/>
      <c r="AA297" s="113">
        <v>106000</v>
      </c>
      <c r="AB297" s="113">
        <f>AA297*0.19</f>
        <v>20140</v>
      </c>
      <c r="AC297" s="113">
        <f>AA297+AB297</f>
        <v>126140</v>
      </c>
      <c r="AD297" s="52" t="s">
        <v>2121</v>
      </c>
      <c r="AE297" s="5" t="s">
        <v>3748</v>
      </c>
      <c r="AF297" s="358"/>
      <c r="AG297" s="358"/>
      <c r="AH297" s="358"/>
      <c r="AI297" s="358"/>
      <c r="AJ297" s="358"/>
      <c r="AK297" s="113"/>
      <c r="AL297" s="113"/>
      <c r="AM297" s="113"/>
      <c r="AN297" s="113"/>
      <c r="AO297" s="113"/>
      <c r="AP297" s="52"/>
      <c r="AQ297" s="52"/>
      <c r="AR297" s="52"/>
      <c r="AS297" s="52"/>
      <c r="AT297" s="52"/>
      <c r="AU297" s="125"/>
      <c r="AV297" s="125"/>
      <c r="AW297" s="125"/>
      <c r="AX297" s="5"/>
      <c r="AY297" s="5"/>
      <c r="AZ297" s="113"/>
      <c r="BA297" s="113"/>
      <c r="BB297" s="113"/>
      <c r="BC297" s="52"/>
      <c r="BD297" s="52"/>
      <c r="BE297" s="118"/>
      <c r="BF297" s="118"/>
      <c r="BG297" s="118"/>
      <c r="BH297" s="52"/>
      <c r="BI297" s="283"/>
      <c r="BJ297" s="52"/>
      <c r="BK297" s="52"/>
      <c r="BL297" s="52"/>
      <c r="BM297" s="52"/>
      <c r="BN297" s="52"/>
      <c r="BO297" s="52"/>
      <c r="BP297" s="52"/>
      <c r="BQ297" s="52"/>
      <c r="BR297" s="52"/>
      <c r="BS297" s="52"/>
      <c r="BT297" s="52"/>
      <c r="BU297" s="52"/>
      <c r="BV297" s="52"/>
      <c r="BW297" s="52"/>
      <c r="BX297" s="52"/>
      <c r="BY297" s="52"/>
      <c r="BZ297" s="52"/>
      <c r="CA297" s="52"/>
      <c r="CB297" s="52"/>
      <c r="CC297" s="52"/>
      <c r="CD297" s="118"/>
      <c r="CE297" s="52"/>
      <c r="CF297" s="52"/>
      <c r="CG297" s="52"/>
      <c r="CH297" s="52"/>
      <c r="CI297" s="52"/>
      <c r="CJ297" s="52"/>
      <c r="CK297" s="52"/>
      <c r="CL297" s="52"/>
      <c r="CM297" s="52"/>
      <c r="CN297" s="118"/>
      <c r="CO297" s="118"/>
      <c r="CP297" s="118"/>
      <c r="CQ297" s="52"/>
      <c r="CR297" s="52"/>
      <c r="CS297" s="52"/>
      <c r="CT297" s="52"/>
      <c r="CU297" s="52"/>
      <c r="CV297" s="52"/>
      <c r="CW297" s="52"/>
      <c r="CX297" s="52"/>
      <c r="CY297" s="52"/>
      <c r="CZ297" s="52"/>
      <c r="DA297" s="52"/>
      <c r="DB297" s="52"/>
    </row>
    <row r="298" spans="1:106" ht="27" x14ac:dyDescent="0.25">
      <c r="A298" s="411">
        <v>296</v>
      </c>
      <c r="B298" s="414" t="s">
        <v>3749</v>
      </c>
      <c r="C298" s="560" t="s">
        <v>1077</v>
      </c>
      <c r="D298" s="414" t="s">
        <v>3750</v>
      </c>
      <c r="E298" s="80">
        <v>1</v>
      </c>
      <c r="F298" s="353"/>
      <c r="G298" s="293"/>
      <c r="H298" s="293"/>
      <c r="I298" s="293"/>
      <c r="J298" s="52"/>
      <c r="K298" s="52"/>
      <c r="L298" s="359"/>
      <c r="M298" s="360"/>
      <c r="N298" s="361"/>
      <c r="O298" s="33"/>
      <c r="P298" s="252"/>
      <c r="Q298" s="113"/>
      <c r="R298" s="113"/>
      <c r="S298" s="113"/>
      <c r="T298" s="52"/>
      <c r="U298" s="5"/>
      <c r="V298" s="231"/>
      <c r="W298" s="231"/>
      <c r="X298" s="231"/>
      <c r="Y298" s="113"/>
      <c r="Z298" s="357"/>
      <c r="AA298" s="118" t="s">
        <v>2877</v>
      </c>
      <c r="AB298" s="118"/>
      <c r="AC298" s="118"/>
      <c r="AD298" s="52"/>
      <c r="AE298" s="5"/>
      <c r="AF298" s="358"/>
      <c r="AG298" s="358"/>
      <c r="AH298" s="358"/>
      <c r="AI298" s="358"/>
      <c r="AJ298" s="358"/>
      <c r="AK298" s="113"/>
      <c r="AL298" s="113"/>
      <c r="AM298" s="113"/>
      <c r="AN298" s="113"/>
      <c r="AO298" s="113"/>
      <c r="AP298" s="52"/>
      <c r="AQ298" s="52"/>
      <c r="AR298" s="52"/>
      <c r="AS298" s="52"/>
      <c r="AT298" s="52"/>
      <c r="AU298" s="125"/>
      <c r="AV298" s="125"/>
      <c r="AW298" s="125"/>
      <c r="AX298" s="5"/>
      <c r="AY298" s="5"/>
      <c r="AZ298" s="113"/>
      <c r="BA298" s="113"/>
      <c r="BB298" s="113"/>
      <c r="BC298" s="52"/>
      <c r="BD298" s="52"/>
      <c r="BE298" s="118"/>
      <c r="BF298" s="118"/>
      <c r="BG298" s="118"/>
      <c r="BH298" s="52"/>
      <c r="BI298" s="283"/>
      <c r="BJ298" s="52"/>
      <c r="BK298" s="52"/>
      <c r="BL298" s="52"/>
      <c r="BM298" s="52"/>
      <c r="BN298" s="52"/>
      <c r="BO298" s="118">
        <v>100000</v>
      </c>
      <c r="BP298" s="118">
        <f>+BO298*0.19</f>
        <v>19000</v>
      </c>
      <c r="BQ298" s="118">
        <f>+BO298+BP298</f>
        <v>119000</v>
      </c>
      <c r="BR298" s="52" t="s">
        <v>3751</v>
      </c>
      <c r="BS298" s="52" t="s">
        <v>3752</v>
      </c>
      <c r="BT298" s="52"/>
      <c r="BU298" s="52"/>
      <c r="BV298" s="52"/>
      <c r="BW298" s="52"/>
      <c r="BX298" s="52"/>
      <c r="BY298" s="52"/>
      <c r="BZ298" s="52"/>
      <c r="CA298" s="52"/>
      <c r="CB298" s="52"/>
      <c r="CC298" s="52"/>
      <c r="CD298" s="118"/>
      <c r="CE298" s="52"/>
      <c r="CF298" s="52"/>
      <c r="CG298" s="52"/>
      <c r="CH298" s="52"/>
      <c r="CI298" s="52"/>
      <c r="CJ298" s="52"/>
      <c r="CK298" s="52"/>
      <c r="CL298" s="52"/>
      <c r="CM298" s="52"/>
      <c r="CN298" s="118"/>
      <c r="CO298" s="118"/>
      <c r="CP298" s="118"/>
      <c r="CQ298" s="52"/>
      <c r="CR298" s="52"/>
      <c r="CS298" s="52"/>
      <c r="CT298" s="52"/>
      <c r="CU298" s="52"/>
      <c r="CV298" s="52"/>
      <c r="CW298" s="52"/>
      <c r="CX298" s="52"/>
      <c r="CY298" s="52"/>
      <c r="CZ298" s="52"/>
      <c r="DA298" s="52"/>
      <c r="DB298" s="52"/>
    </row>
    <row r="299" spans="1:106" ht="40.5" x14ac:dyDescent="0.25">
      <c r="A299" s="411">
        <v>297</v>
      </c>
      <c r="B299" s="412" t="s">
        <v>3753</v>
      </c>
      <c r="C299" s="426" t="s">
        <v>622</v>
      </c>
      <c r="D299" s="426" t="s">
        <v>3077</v>
      </c>
      <c r="E299" s="80">
        <v>1</v>
      </c>
      <c r="F299" s="353">
        <v>272742.52600000001</v>
      </c>
      <c r="G299" s="293"/>
      <c r="H299" s="293"/>
      <c r="I299" s="293"/>
      <c r="J299" s="52"/>
      <c r="K299" s="52"/>
      <c r="L299" s="359"/>
      <c r="M299" s="360"/>
      <c r="N299" s="361"/>
      <c r="O299" s="33"/>
      <c r="P299" s="252"/>
      <c r="Q299" s="113"/>
      <c r="R299" s="113"/>
      <c r="S299" s="113"/>
      <c r="T299" s="52"/>
      <c r="U299" s="5"/>
      <c r="V299" s="231"/>
      <c r="W299" s="231"/>
      <c r="X299" s="231"/>
      <c r="Y299" s="113"/>
      <c r="Z299" s="357"/>
      <c r="AA299" s="118" t="s">
        <v>2877</v>
      </c>
      <c r="AB299" s="118"/>
      <c r="AC299" s="118"/>
      <c r="AD299" s="52"/>
      <c r="AE299" s="5"/>
      <c r="AF299" s="358"/>
      <c r="AG299" s="358"/>
      <c r="AH299" s="358"/>
      <c r="AI299" s="358"/>
      <c r="AJ299" s="358"/>
      <c r="AK299" s="113"/>
      <c r="AL299" s="113"/>
      <c r="AM299" s="113"/>
      <c r="AN299" s="113"/>
      <c r="AO299" s="113"/>
      <c r="AP299" s="52"/>
      <c r="AQ299" s="52"/>
      <c r="AR299" s="52"/>
      <c r="AS299" s="52"/>
      <c r="AT299" s="52"/>
      <c r="AU299" s="125"/>
      <c r="AV299" s="125"/>
      <c r="AW299" s="125"/>
      <c r="AX299" s="5"/>
      <c r="AY299" s="5"/>
      <c r="AZ299" s="113"/>
      <c r="BA299" s="113"/>
      <c r="BB299" s="113"/>
      <c r="BC299" s="52"/>
      <c r="BD299" s="52"/>
      <c r="BE299" s="118"/>
      <c r="BF299" s="118"/>
      <c r="BG299" s="118"/>
      <c r="BH299" s="52"/>
      <c r="BI299" s="283"/>
      <c r="BJ299" s="52"/>
      <c r="BK299" s="52"/>
      <c r="BL299" s="52"/>
      <c r="BM299" s="52"/>
      <c r="BN299" s="52"/>
      <c r="BO299" s="52"/>
      <c r="BP299" s="52"/>
      <c r="BQ299" s="52"/>
      <c r="BR299" s="52"/>
      <c r="BS299" s="52"/>
      <c r="BT299" s="52"/>
      <c r="BU299" s="52"/>
      <c r="BV299" s="52"/>
      <c r="BW299" s="52"/>
      <c r="BX299" s="52"/>
      <c r="BY299" s="118">
        <v>200000</v>
      </c>
      <c r="BZ299" s="118">
        <f>+BY299*0.19</f>
        <v>38000</v>
      </c>
      <c r="CA299" s="364">
        <f>+BY299+BZ299</f>
        <v>238000</v>
      </c>
      <c r="CB299" s="52" t="s">
        <v>3754</v>
      </c>
      <c r="CC299" s="52"/>
      <c r="CD299" s="118"/>
      <c r="CE299" s="52"/>
      <c r="CF299" s="52"/>
      <c r="CG299" s="52"/>
      <c r="CH299" s="52"/>
      <c r="CI299" s="52"/>
      <c r="CJ299" s="52"/>
      <c r="CK299" s="52"/>
      <c r="CL299" s="52"/>
      <c r="CM299" s="52"/>
      <c r="CN299" s="118"/>
      <c r="CO299" s="118"/>
      <c r="CP299" s="118"/>
      <c r="CQ299" s="52"/>
      <c r="CR299" s="52"/>
      <c r="CS299" s="52"/>
      <c r="CT299" s="52"/>
      <c r="CU299" s="52"/>
      <c r="CV299" s="52"/>
      <c r="CW299" s="52"/>
      <c r="CX299" s="52"/>
      <c r="CY299" s="52"/>
      <c r="CZ299" s="52"/>
      <c r="DA299" s="52"/>
      <c r="DB299" s="52"/>
    </row>
    <row r="300" spans="1:106" ht="13.5" x14ac:dyDescent="0.25">
      <c r="A300" s="411">
        <v>298</v>
      </c>
      <c r="B300" s="412" t="s">
        <v>3755</v>
      </c>
      <c r="C300" s="561" t="s">
        <v>622</v>
      </c>
      <c r="D300" s="562" t="s">
        <v>3756</v>
      </c>
      <c r="E300" s="80">
        <v>1</v>
      </c>
      <c r="F300" s="80"/>
      <c r="G300" s="293"/>
      <c r="H300" s="293"/>
      <c r="I300" s="293"/>
      <c r="J300" s="52"/>
      <c r="K300" s="52"/>
      <c r="L300" s="359"/>
      <c r="M300" s="360"/>
      <c r="N300" s="361"/>
      <c r="O300" s="33"/>
      <c r="P300" s="252"/>
      <c r="Q300" s="113"/>
      <c r="R300" s="113"/>
      <c r="S300" s="113"/>
      <c r="T300" s="52"/>
      <c r="U300" s="5"/>
      <c r="V300" s="231"/>
      <c r="W300" s="231"/>
      <c r="X300" s="231"/>
      <c r="Y300" s="113"/>
      <c r="Z300" s="357"/>
      <c r="AA300" s="118" t="s">
        <v>2877</v>
      </c>
      <c r="AB300" s="118"/>
      <c r="AC300" s="118"/>
      <c r="AD300" s="52"/>
      <c r="AE300" s="5"/>
      <c r="AF300" s="358"/>
      <c r="AG300" s="358"/>
      <c r="AH300" s="358"/>
      <c r="AI300" s="358"/>
      <c r="AJ300" s="358"/>
      <c r="AK300" s="113"/>
      <c r="AL300" s="113"/>
      <c r="AM300" s="113"/>
      <c r="AN300" s="113"/>
      <c r="AO300" s="113"/>
      <c r="AP300" s="52"/>
      <c r="AQ300" s="52"/>
      <c r="AR300" s="52"/>
      <c r="AS300" s="52"/>
      <c r="AT300" s="52"/>
      <c r="AU300" s="125"/>
      <c r="AV300" s="125"/>
      <c r="AW300" s="125"/>
      <c r="AX300" s="5"/>
      <c r="AY300" s="5"/>
      <c r="AZ300" s="113">
        <v>32000</v>
      </c>
      <c r="BA300" s="113">
        <v>6080</v>
      </c>
      <c r="BB300" s="113">
        <v>38080</v>
      </c>
      <c r="BC300" s="52" t="s">
        <v>3757</v>
      </c>
      <c r="BD300" s="52">
        <v>3139</v>
      </c>
      <c r="BE300" s="118"/>
      <c r="BF300" s="118"/>
      <c r="BG300" s="118"/>
      <c r="BH300" s="52"/>
      <c r="BI300" s="283"/>
      <c r="BJ300" s="52"/>
      <c r="BK300" s="52"/>
      <c r="BL300" s="52"/>
      <c r="BM300" s="52"/>
      <c r="BN300" s="52"/>
      <c r="BO300" s="52"/>
      <c r="BP300" s="52"/>
      <c r="BQ300" s="52"/>
      <c r="BR300" s="52"/>
      <c r="BS300" s="52"/>
      <c r="BT300" s="52"/>
      <c r="BU300" s="52"/>
      <c r="BV300" s="52"/>
      <c r="BW300" s="52"/>
      <c r="BX300" s="52"/>
      <c r="BY300" s="52"/>
      <c r="BZ300" s="52"/>
      <c r="CA300" s="52"/>
      <c r="CB300" s="52"/>
      <c r="CC300" s="52"/>
      <c r="CD300" s="118"/>
      <c r="CE300" s="52"/>
      <c r="CF300" s="52"/>
      <c r="CG300" s="52"/>
      <c r="CH300" s="52"/>
      <c r="CI300" s="52"/>
      <c r="CJ300" s="52"/>
      <c r="CK300" s="52"/>
      <c r="CL300" s="52"/>
      <c r="CM300" s="52"/>
      <c r="CN300" s="118"/>
      <c r="CO300" s="118"/>
      <c r="CP300" s="118"/>
      <c r="CQ300" s="52"/>
      <c r="CR300" s="52"/>
      <c r="CS300" s="52"/>
      <c r="CT300" s="52"/>
      <c r="CU300" s="52"/>
      <c r="CV300" s="52"/>
      <c r="CW300" s="52"/>
      <c r="CX300" s="52"/>
      <c r="CY300" s="52"/>
      <c r="CZ300" s="52"/>
      <c r="DA300" s="52"/>
      <c r="DB300" s="52"/>
    </row>
    <row r="301" spans="1:106" ht="40.5" x14ac:dyDescent="0.25">
      <c r="A301" s="411">
        <v>299</v>
      </c>
      <c r="B301" s="409" t="s">
        <v>3758</v>
      </c>
      <c r="C301" s="413" t="s">
        <v>3759</v>
      </c>
      <c r="D301" s="409" t="s">
        <v>196</v>
      </c>
      <c r="E301" s="80">
        <v>1</v>
      </c>
      <c r="F301" s="80"/>
      <c r="G301" s="293"/>
      <c r="H301" s="293"/>
      <c r="I301" s="293"/>
      <c r="J301" s="52"/>
      <c r="K301" s="52"/>
      <c r="L301" s="359"/>
      <c r="M301" s="360"/>
      <c r="N301" s="361"/>
      <c r="O301" s="33"/>
      <c r="P301" s="252"/>
      <c r="Q301" s="113"/>
      <c r="R301" s="113"/>
      <c r="S301" s="113"/>
      <c r="T301" s="52"/>
      <c r="U301" s="5"/>
      <c r="V301" s="231"/>
      <c r="W301" s="231"/>
      <c r="X301" s="231"/>
      <c r="Y301" s="113"/>
      <c r="Z301" s="357"/>
      <c r="AA301" s="118" t="s">
        <v>2877</v>
      </c>
      <c r="AB301" s="118"/>
      <c r="AC301" s="118"/>
      <c r="AD301" s="52"/>
      <c r="AE301" s="5"/>
      <c r="AF301" s="358"/>
      <c r="AG301" s="358"/>
      <c r="AH301" s="358"/>
      <c r="AI301" s="358"/>
      <c r="AJ301" s="358"/>
      <c r="AK301" s="113"/>
      <c r="AL301" s="113"/>
      <c r="AM301" s="113"/>
      <c r="AN301" s="113"/>
      <c r="AO301" s="113"/>
      <c r="AP301" s="52"/>
      <c r="AQ301" s="52"/>
      <c r="AR301" s="52"/>
      <c r="AS301" s="52"/>
      <c r="AT301" s="52"/>
      <c r="AU301" s="125"/>
      <c r="AV301" s="125"/>
      <c r="AW301" s="125"/>
      <c r="AX301" s="5"/>
      <c r="AY301" s="5"/>
      <c r="AZ301" s="113"/>
      <c r="BA301" s="113"/>
      <c r="BB301" s="113"/>
      <c r="BC301" s="52"/>
      <c r="BD301" s="52"/>
      <c r="BE301" s="118"/>
      <c r="BF301" s="118"/>
      <c r="BG301" s="118"/>
      <c r="BH301" s="52"/>
      <c r="BI301" s="283"/>
      <c r="BJ301" s="52"/>
      <c r="BK301" s="52"/>
      <c r="BL301" s="52"/>
      <c r="BM301" s="52"/>
      <c r="BN301" s="52"/>
      <c r="BO301" s="52"/>
      <c r="BP301" s="52"/>
      <c r="BQ301" s="52"/>
      <c r="BR301" s="52"/>
      <c r="BS301" s="52"/>
      <c r="BT301" s="52"/>
      <c r="BU301" s="52"/>
      <c r="BV301" s="52"/>
      <c r="BW301" s="52"/>
      <c r="BX301" s="52"/>
      <c r="BY301" s="52"/>
      <c r="BZ301" s="52"/>
      <c r="CA301" s="52"/>
      <c r="CB301" s="52"/>
      <c r="CC301" s="52"/>
      <c r="CD301" s="118">
        <v>65547</v>
      </c>
      <c r="CE301" s="118">
        <f>+CD301*0.19</f>
        <v>12453.93</v>
      </c>
      <c r="CF301" s="118">
        <f>+CD301+CE301</f>
        <v>78000.929999999993</v>
      </c>
      <c r="CG301" s="52" t="s">
        <v>3760</v>
      </c>
      <c r="CH301" s="52">
        <v>1090</v>
      </c>
      <c r="CI301" s="52"/>
      <c r="CJ301" s="52"/>
      <c r="CK301" s="52"/>
      <c r="CL301" s="52"/>
      <c r="CM301" s="52"/>
      <c r="CN301" s="118"/>
      <c r="CO301" s="118"/>
      <c r="CP301" s="118"/>
      <c r="CQ301" s="52"/>
      <c r="CR301" s="52"/>
      <c r="CS301" s="52"/>
      <c r="CT301" s="52"/>
      <c r="CU301" s="52"/>
      <c r="CV301" s="52"/>
      <c r="CW301" s="52"/>
      <c r="CX301" s="52"/>
      <c r="CY301" s="52"/>
      <c r="CZ301" s="52"/>
      <c r="DA301" s="52"/>
      <c r="DB301" s="52"/>
    </row>
    <row r="302" spans="1:106" ht="27" x14ac:dyDescent="0.25">
      <c r="A302" s="411">
        <v>300</v>
      </c>
      <c r="B302" s="412" t="s">
        <v>3761</v>
      </c>
      <c r="C302" s="413" t="s">
        <v>2898</v>
      </c>
      <c r="D302" s="426" t="s">
        <v>2901</v>
      </c>
      <c r="E302" s="80">
        <v>1</v>
      </c>
      <c r="F302" s="355">
        <v>69959.519400000005</v>
      </c>
      <c r="G302" s="293"/>
      <c r="H302" s="293"/>
      <c r="I302" s="293"/>
      <c r="J302" s="52"/>
      <c r="K302" s="52"/>
      <c r="L302" s="359"/>
      <c r="M302" s="360"/>
      <c r="N302" s="361"/>
      <c r="O302" s="33"/>
      <c r="P302" s="252"/>
      <c r="Q302" s="113"/>
      <c r="R302" s="113"/>
      <c r="S302" s="113"/>
      <c r="T302" s="52"/>
      <c r="U302" s="5"/>
      <c r="V302" s="231"/>
      <c r="W302" s="231"/>
      <c r="X302" s="231"/>
      <c r="Y302" s="113"/>
      <c r="Z302" s="357"/>
      <c r="AA302" s="118" t="s">
        <v>2877</v>
      </c>
      <c r="AB302" s="118"/>
      <c r="AC302" s="118"/>
      <c r="AD302" s="52"/>
      <c r="AE302" s="5"/>
      <c r="AF302" s="358"/>
      <c r="AG302" s="358"/>
      <c r="AH302" s="358"/>
      <c r="AI302" s="358"/>
      <c r="AJ302" s="358"/>
      <c r="AK302" s="113"/>
      <c r="AL302" s="113"/>
      <c r="AM302" s="113"/>
      <c r="AN302" s="113"/>
      <c r="AO302" s="113"/>
      <c r="AP302" s="52"/>
      <c r="AQ302" s="52"/>
      <c r="AR302" s="52"/>
      <c r="AS302" s="52"/>
      <c r="AT302" s="52"/>
      <c r="AU302" s="125"/>
      <c r="AV302" s="125"/>
      <c r="AW302" s="125"/>
      <c r="AX302" s="5"/>
      <c r="AY302" s="5"/>
      <c r="AZ302" s="113">
        <v>166000</v>
      </c>
      <c r="BA302" s="113">
        <v>31540</v>
      </c>
      <c r="BB302" s="113">
        <v>197540</v>
      </c>
      <c r="BC302" s="52" t="s">
        <v>131</v>
      </c>
      <c r="BD302" s="52" t="s">
        <v>3762</v>
      </c>
      <c r="BE302" s="118"/>
      <c r="BF302" s="118"/>
      <c r="BG302" s="118"/>
      <c r="BH302" s="52"/>
      <c r="BI302" s="283"/>
      <c r="BJ302" s="52"/>
      <c r="BK302" s="52"/>
      <c r="BL302" s="52"/>
      <c r="BM302" s="52"/>
      <c r="BN302" s="52"/>
      <c r="BO302" s="52"/>
      <c r="BP302" s="52"/>
      <c r="BQ302" s="52"/>
      <c r="BR302" s="52"/>
      <c r="BS302" s="52"/>
      <c r="BT302" s="52"/>
      <c r="BU302" s="52"/>
      <c r="BV302" s="52"/>
      <c r="BW302" s="52"/>
      <c r="BX302" s="52"/>
      <c r="BY302" s="52"/>
      <c r="BZ302" s="52"/>
      <c r="CA302" s="52"/>
      <c r="CB302" s="52"/>
      <c r="CC302" s="52"/>
      <c r="CD302" s="118"/>
      <c r="CE302" s="52"/>
      <c r="CF302" s="52"/>
      <c r="CG302" s="52"/>
      <c r="CH302" s="52"/>
      <c r="CI302" s="52"/>
      <c r="CJ302" s="52"/>
      <c r="CK302" s="52"/>
      <c r="CL302" s="52"/>
      <c r="CM302" s="52"/>
      <c r="CN302" s="118"/>
      <c r="CO302" s="118"/>
      <c r="CP302" s="118"/>
      <c r="CQ302" s="52"/>
      <c r="CR302" s="52"/>
      <c r="CS302" s="52"/>
      <c r="CT302" s="52"/>
      <c r="CU302" s="52"/>
      <c r="CV302" s="52"/>
      <c r="CW302" s="52"/>
      <c r="CX302" s="52"/>
      <c r="CY302" s="52"/>
      <c r="CZ302" s="52"/>
      <c r="DA302" s="52"/>
      <c r="DB302" s="52"/>
    </row>
    <row r="303" spans="1:106" ht="40.5" x14ac:dyDescent="0.25">
      <c r="A303" s="411">
        <v>301</v>
      </c>
      <c r="B303" s="412" t="s">
        <v>3763</v>
      </c>
      <c r="C303" s="426" t="s">
        <v>3764</v>
      </c>
      <c r="D303" s="426" t="s">
        <v>2901</v>
      </c>
      <c r="E303" s="80">
        <v>1</v>
      </c>
      <c r="F303" s="355">
        <v>78654.157800000001</v>
      </c>
      <c r="G303" s="293"/>
      <c r="H303" s="293"/>
      <c r="I303" s="293"/>
      <c r="J303" s="52"/>
      <c r="K303" s="52"/>
      <c r="L303" s="359"/>
      <c r="M303" s="360"/>
      <c r="N303" s="361"/>
      <c r="O303" s="33"/>
      <c r="P303" s="252"/>
      <c r="Q303" s="113"/>
      <c r="R303" s="113"/>
      <c r="S303" s="113"/>
      <c r="T303" s="52"/>
      <c r="U303" s="5"/>
      <c r="V303" s="231"/>
      <c r="W303" s="231"/>
      <c r="X303" s="231"/>
      <c r="Y303" s="113"/>
      <c r="Z303" s="357"/>
      <c r="AA303" s="118" t="s">
        <v>2877</v>
      </c>
      <c r="AB303" s="118"/>
      <c r="AC303" s="118"/>
      <c r="AD303" s="52"/>
      <c r="AE303" s="5"/>
      <c r="AF303" s="358"/>
      <c r="AG303" s="358"/>
      <c r="AH303" s="358"/>
      <c r="AI303" s="358"/>
      <c r="AJ303" s="358"/>
      <c r="AK303" s="113"/>
      <c r="AL303" s="113"/>
      <c r="AM303" s="113"/>
      <c r="AN303" s="113"/>
      <c r="AO303" s="113"/>
      <c r="AP303" s="52"/>
      <c r="AQ303" s="52"/>
      <c r="AR303" s="52"/>
      <c r="AS303" s="52"/>
      <c r="AT303" s="52"/>
      <c r="AU303" s="125"/>
      <c r="AV303" s="125"/>
      <c r="AW303" s="125"/>
      <c r="AX303" s="5"/>
      <c r="AY303" s="5"/>
      <c r="AZ303" s="113">
        <v>94000</v>
      </c>
      <c r="BA303" s="113">
        <v>17860</v>
      </c>
      <c r="BB303" s="113">
        <v>111860</v>
      </c>
      <c r="BC303" s="52" t="s">
        <v>131</v>
      </c>
      <c r="BD303" s="52">
        <v>301001</v>
      </c>
      <c r="BE303" s="118"/>
      <c r="BF303" s="118"/>
      <c r="BG303" s="118"/>
      <c r="BH303" s="52"/>
      <c r="BI303" s="283"/>
      <c r="BJ303" s="52"/>
      <c r="BK303" s="52"/>
      <c r="BL303" s="52"/>
      <c r="BM303" s="52"/>
      <c r="BN303" s="52"/>
      <c r="BO303" s="52"/>
      <c r="BP303" s="52"/>
      <c r="BQ303" s="52"/>
      <c r="BR303" s="52"/>
      <c r="BS303" s="52"/>
      <c r="BT303" s="52"/>
      <c r="BU303" s="52"/>
      <c r="BV303" s="52"/>
      <c r="BW303" s="52"/>
      <c r="BX303" s="52"/>
      <c r="BY303" s="52"/>
      <c r="BZ303" s="52"/>
      <c r="CA303" s="52"/>
      <c r="CB303" s="52"/>
      <c r="CC303" s="52"/>
      <c r="CD303" s="118"/>
      <c r="CE303" s="52"/>
      <c r="CF303" s="52"/>
      <c r="CG303" s="52"/>
      <c r="CH303" s="52"/>
      <c r="CI303" s="52"/>
      <c r="CJ303" s="52"/>
      <c r="CK303" s="52"/>
      <c r="CL303" s="52"/>
      <c r="CM303" s="52"/>
      <c r="CN303" s="118"/>
      <c r="CO303" s="118"/>
      <c r="CP303" s="118"/>
      <c r="CQ303" s="52"/>
      <c r="CR303" s="52"/>
      <c r="CS303" s="52"/>
      <c r="CT303" s="52"/>
      <c r="CU303" s="52"/>
      <c r="CV303" s="52"/>
      <c r="CW303" s="52"/>
      <c r="CX303" s="52"/>
      <c r="CY303" s="52"/>
      <c r="CZ303" s="52"/>
      <c r="DA303" s="52"/>
      <c r="DB303" s="52"/>
    </row>
    <row r="304" spans="1:106" ht="27" x14ac:dyDescent="0.25">
      <c r="A304" s="411">
        <v>302</v>
      </c>
      <c r="B304" s="412" t="s">
        <v>3765</v>
      </c>
      <c r="C304" s="413" t="s">
        <v>3766</v>
      </c>
      <c r="D304" s="426" t="s">
        <v>2901</v>
      </c>
      <c r="E304" s="80">
        <v>1</v>
      </c>
      <c r="F304" s="353">
        <v>54045.754000000001</v>
      </c>
      <c r="G304" s="293"/>
      <c r="H304" s="293"/>
      <c r="I304" s="293"/>
      <c r="J304" s="52"/>
      <c r="K304" s="52"/>
      <c r="L304" s="359"/>
      <c r="M304" s="360"/>
      <c r="N304" s="361"/>
      <c r="O304" s="33"/>
      <c r="P304" s="252"/>
      <c r="Q304" s="113"/>
      <c r="R304" s="113"/>
      <c r="S304" s="113"/>
      <c r="T304" s="52"/>
      <c r="U304" s="5"/>
      <c r="V304" s="231"/>
      <c r="W304" s="231"/>
      <c r="X304" s="231"/>
      <c r="Y304" s="113"/>
      <c r="Z304" s="357"/>
      <c r="AA304" s="118" t="s">
        <v>2877</v>
      </c>
      <c r="AB304" s="118"/>
      <c r="AC304" s="118"/>
      <c r="AD304" s="52"/>
      <c r="AE304" s="5"/>
      <c r="AF304" s="358"/>
      <c r="AG304" s="358"/>
      <c r="AH304" s="358"/>
      <c r="AI304" s="358"/>
      <c r="AJ304" s="358"/>
      <c r="AK304" s="113"/>
      <c r="AL304" s="113"/>
      <c r="AM304" s="113"/>
      <c r="AN304" s="113"/>
      <c r="AO304" s="113"/>
      <c r="AP304" s="52"/>
      <c r="AQ304" s="52"/>
      <c r="AR304" s="52"/>
      <c r="AS304" s="52"/>
      <c r="AT304" s="52"/>
      <c r="AU304" s="125"/>
      <c r="AV304" s="125"/>
      <c r="AW304" s="125"/>
      <c r="AX304" s="5"/>
      <c r="AY304" s="5"/>
      <c r="AZ304" s="113">
        <v>62000</v>
      </c>
      <c r="BA304" s="113">
        <v>11780</v>
      </c>
      <c r="BB304" s="113">
        <v>73780</v>
      </c>
      <c r="BC304" s="52" t="s">
        <v>131</v>
      </c>
      <c r="BD304" s="52" t="s">
        <v>3767</v>
      </c>
      <c r="BE304" s="118"/>
      <c r="BF304" s="118"/>
      <c r="BG304" s="118"/>
      <c r="BH304" s="52"/>
      <c r="BI304" s="283"/>
      <c r="BJ304" s="52"/>
      <c r="BK304" s="52"/>
      <c r="BL304" s="52"/>
      <c r="BM304" s="52"/>
      <c r="BN304" s="52"/>
      <c r="BO304" s="52"/>
      <c r="BP304" s="52"/>
      <c r="BQ304" s="52"/>
      <c r="BR304" s="52"/>
      <c r="BS304" s="52"/>
      <c r="BT304" s="52"/>
      <c r="BU304" s="52"/>
      <c r="BV304" s="52"/>
      <c r="BW304" s="52"/>
      <c r="BX304" s="52"/>
      <c r="BY304" s="52"/>
      <c r="BZ304" s="52"/>
      <c r="CA304" s="52"/>
      <c r="CB304" s="52"/>
      <c r="CC304" s="52"/>
      <c r="CD304" s="118"/>
      <c r="CE304" s="52"/>
      <c r="CF304" s="52"/>
      <c r="CG304" s="52"/>
      <c r="CH304" s="52"/>
      <c r="CI304" s="52"/>
      <c r="CJ304" s="52"/>
      <c r="CK304" s="52"/>
      <c r="CL304" s="52"/>
      <c r="CM304" s="52"/>
      <c r="CN304" s="118"/>
      <c r="CO304" s="118"/>
      <c r="CP304" s="118"/>
      <c r="CQ304" s="52"/>
      <c r="CR304" s="52"/>
      <c r="CS304" s="52"/>
      <c r="CT304" s="52"/>
      <c r="CU304" s="52"/>
      <c r="CV304" s="52"/>
      <c r="CW304" s="52"/>
      <c r="CX304" s="52"/>
      <c r="CY304" s="52"/>
      <c r="CZ304" s="52"/>
      <c r="DA304" s="52"/>
      <c r="DB304" s="52"/>
    </row>
    <row r="305" spans="1:106" ht="13.5" x14ac:dyDescent="0.25">
      <c r="A305" s="411">
        <v>303</v>
      </c>
      <c r="B305" s="412" t="s">
        <v>3768</v>
      </c>
      <c r="C305" s="413" t="s">
        <v>2898</v>
      </c>
      <c r="D305" s="426" t="s">
        <v>2005</v>
      </c>
      <c r="E305" s="80">
        <v>1</v>
      </c>
      <c r="F305" s="355">
        <v>40252.838199999998</v>
      </c>
      <c r="G305" s="293"/>
      <c r="H305" s="293"/>
      <c r="I305" s="293"/>
      <c r="J305" s="52"/>
      <c r="K305" s="52"/>
      <c r="L305" s="359"/>
      <c r="M305" s="360"/>
      <c r="N305" s="361"/>
      <c r="O305" s="33"/>
      <c r="P305" s="252"/>
      <c r="Q305" s="113"/>
      <c r="R305" s="113"/>
      <c r="S305" s="113"/>
      <c r="T305" s="52"/>
      <c r="U305" s="5"/>
      <c r="V305" s="231"/>
      <c r="W305" s="231"/>
      <c r="X305" s="231"/>
      <c r="Y305" s="113"/>
      <c r="Z305" s="357"/>
      <c r="AA305" s="118" t="s">
        <v>2877</v>
      </c>
      <c r="AB305" s="118"/>
      <c r="AC305" s="118"/>
      <c r="AD305" s="52"/>
      <c r="AE305" s="5"/>
      <c r="AF305" s="358"/>
      <c r="AG305" s="358"/>
      <c r="AH305" s="358"/>
      <c r="AI305" s="358"/>
      <c r="AJ305" s="358"/>
      <c r="AK305" s="113"/>
      <c r="AL305" s="113"/>
      <c r="AM305" s="113"/>
      <c r="AN305" s="113"/>
      <c r="AO305" s="113"/>
      <c r="AP305" s="52"/>
      <c r="AQ305" s="52"/>
      <c r="AR305" s="52"/>
      <c r="AS305" s="52"/>
      <c r="AT305" s="52"/>
      <c r="AU305" s="125"/>
      <c r="AV305" s="125"/>
      <c r="AW305" s="125"/>
      <c r="AX305" s="5"/>
      <c r="AY305" s="5"/>
      <c r="AZ305" s="113">
        <v>62000</v>
      </c>
      <c r="BA305" s="113">
        <v>11780</v>
      </c>
      <c r="BB305" s="113">
        <v>73780</v>
      </c>
      <c r="BC305" s="52" t="s">
        <v>131</v>
      </c>
      <c r="BD305" s="52" t="s">
        <v>3767</v>
      </c>
      <c r="BE305" s="118"/>
      <c r="BF305" s="118"/>
      <c r="BG305" s="118"/>
      <c r="BH305" s="52"/>
      <c r="BI305" s="283"/>
      <c r="BJ305" s="52"/>
      <c r="BK305" s="52"/>
      <c r="BL305" s="52"/>
      <c r="BM305" s="52"/>
      <c r="BN305" s="52"/>
      <c r="BO305" s="52"/>
      <c r="BP305" s="52"/>
      <c r="BQ305" s="52"/>
      <c r="BR305" s="52"/>
      <c r="BS305" s="52"/>
      <c r="BT305" s="52"/>
      <c r="BU305" s="52"/>
      <c r="BV305" s="52"/>
      <c r="BW305" s="52"/>
      <c r="BX305" s="52"/>
      <c r="BY305" s="52"/>
      <c r="BZ305" s="52"/>
      <c r="CA305" s="52"/>
      <c r="CB305" s="52"/>
      <c r="CC305" s="52"/>
      <c r="CD305" s="118"/>
      <c r="CE305" s="52"/>
      <c r="CF305" s="52"/>
      <c r="CG305" s="52"/>
      <c r="CH305" s="52"/>
      <c r="CI305" s="52"/>
      <c r="CJ305" s="52"/>
      <c r="CK305" s="52"/>
      <c r="CL305" s="52"/>
      <c r="CM305" s="52"/>
      <c r="CN305" s="118"/>
      <c r="CO305" s="118"/>
      <c r="CP305" s="118"/>
      <c r="CQ305" s="52"/>
      <c r="CR305" s="52"/>
      <c r="CS305" s="52"/>
      <c r="CT305" s="52"/>
      <c r="CU305" s="52"/>
      <c r="CV305" s="52"/>
      <c r="CW305" s="52"/>
      <c r="CX305" s="52"/>
      <c r="CY305" s="52"/>
      <c r="CZ305" s="52"/>
      <c r="DA305" s="52"/>
      <c r="DB305" s="52"/>
    </row>
    <row r="306" spans="1:106" ht="27" x14ac:dyDescent="0.25">
      <c r="A306" s="411">
        <v>304</v>
      </c>
      <c r="B306" s="412" t="s">
        <v>3769</v>
      </c>
      <c r="C306" s="413" t="s">
        <v>2898</v>
      </c>
      <c r="D306" s="426" t="s">
        <v>2005</v>
      </c>
      <c r="E306" s="80">
        <v>1</v>
      </c>
      <c r="F306" s="353">
        <v>46659.7474</v>
      </c>
      <c r="G306" s="293"/>
      <c r="H306" s="293"/>
      <c r="I306" s="293"/>
      <c r="J306" s="52"/>
      <c r="K306" s="52"/>
      <c r="L306" s="359"/>
      <c r="M306" s="360"/>
      <c r="N306" s="361"/>
      <c r="O306" s="33"/>
      <c r="P306" s="252"/>
      <c r="Q306" s="113"/>
      <c r="R306" s="113"/>
      <c r="S306" s="113"/>
      <c r="T306" s="52"/>
      <c r="U306" s="5"/>
      <c r="V306" s="231"/>
      <c r="W306" s="231"/>
      <c r="X306" s="231"/>
      <c r="Y306" s="113"/>
      <c r="Z306" s="357"/>
      <c r="AA306" s="118" t="s">
        <v>2877</v>
      </c>
      <c r="AB306" s="118"/>
      <c r="AC306" s="118"/>
      <c r="AD306" s="52"/>
      <c r="AE306" s="5"/>
      <c r="AF306" s="358"/>
      <c r="AG306" s="358"/>
      <c r="AH306" s="358"/>
      <c r="AI306" s="358"/>
      <c r="AJ306" s="358"/>
      <c r="AK306" s="113"/>
      <c r="AL306" s="113"/>
      <c r="AM306" s="113"/>
      <c r="AN306" s="113"/>
      <c r="AO306" s="113"/>
      <c r="AP306" s="52"/>
      <c r="AQ306" s="52"/>
      <c r="AR306" s="52"/>
      <c r="AS306" s="52"/>
      <c r="AT306" s="52"/>
      <c r="AU306" s="125"/>
      <c r="AV306" s="125"/>
      <c r="AW306" s="125"/>
      <c r="AX306" s="5"/>
      <c r="AY306" s="5"/>
      <c r="AZ306" s="113">
        <v>82000</v>
      </c>
      <c r="BA306" s="113">
        <v>15580</v>
      </c>
      <c r="BB306" s="113">
        <v>97580</v>
      </c>
      <c r="BC306" s="52" t="s">
        <v>131</v>
      </c>
      <c r="BD306" s="52" t="s">
        <v>3770</v>
      </c>
      <c r="BE306" s="118"/>
      <c r="BF306" s="118"/>
      <c r="BG306" s="118"/>
      <c r="BH306" s="52"/>
      <c r="BI306" s="283"/>
      <c r="BJ306" s="52"/>
      <c r="BK306" s="52"/>
      <c r="BL306" s="52"/>
      <c r="BM306" s="52"/>
      <c r="BN306" s="52"/>
      <c r="BO306" s="52"/>
      <c r="BP306" s="52"/>
      <c r="BQ306" s="52"/>
      <c r="BR306" s="52"/>
      <c r="BS306" s="52"/>
      <c r="BT306" s="52"/>
      <c r="BU306" s="52"/>
      <c r="BV306" s="52"/>
      <c r="BW306" s="52"/>
      <c r="BX306" s="52"/>
      <c r="BY306" s="52"/>
      <c r="BZ306" s="52"/>
      <c r="CA306" s="52"/>
      <c r="CB306" s="52"/>
      <c r="CC306" s="52"/>
      <c r="CD306" s="118"/>
      <c r="CE306" s="52"/>
      <c r="CF306" s="52"/>
      <c r="CG306" s="52"/>
      <c r="CH306" s="52"/>
      <c r="CI306" s="52"/>
      <c r="CJ306" s="52"/>
      <c r="CK306" s="52"/>
      <c r="CL306" s="52"/>
      <c r="CM306" s="52"/>
      <c r="CN306" s="118"/>
      <c r="CO306" s="118"/>
      <c r="CP306" s="118"/>
      <c r="CQ306" s="52"/>
      <c r="CR306" s="52"/>
      <c r="CS306" s="52"/>
      <c r="CT306" s="52"/>
      <c r="CU306" s="52"/>
      <c r="CV306" s="52"/>
      <c r="CW306" s="52"/>
      <c r="CX306" s="52"/>
      <c r="CY306" s="52"/>
      <c r="CZ306" s="52"/>
      <c r="DA306" s="52"/>
      <c r="DB306" s="52"/>
    </row>
    <row r="307" spans="1:106" ht="40.5" x14ac:dyDescent="0.25">
      <c r="A307" s="411">
        <v>305</v>
      </c>
      <c r="B307" s="412" t="s">
        <v>3771</v>
      </c>
      <c r="C307" s="426" t="s">
        <v>2898</v>
      </c>
      <c r="D307" s="426" t="s">
        <v>2901</v>
      </c>
      <c r="E307" s="80">
        <v>1</v>
      </c>
      <c r="F307" s="353">
        <v>40135.599999999999</v>
      </c>
      <c r="G307" s="293"/>
      <c r="H307" s="293"/>
      <c r="I307" s="293"/>
      <c r="J307" s="52"/>
      <c r="K307" s="52"/>
      <c r="L307" s="359"/>
      <c r="M307" s="360"/>
      <c r="N307" s="361"/>
      <c r="O307" s="33"/>
      <c r="P307" s="252"/>
      <c r="Q307" s="113"/>
      <c r="R307" s="113"/>
      <c r="S307" s="113"/>
      <c r="T307" s="52"/>
      <c r="U307" s="5"/>
      <c r="V307" s="231"/>
      <c r="W307" s="231"/>
      <c r="X307" s="231"/>
      <c r="Y307" s="113"/>
      <c r="Z307" s="357"/>
      <c r="AA307" s="118" t="s">
        <v>2877</v>
      </c>
      <c r="AB307" s="118"/>
      <c r="AC307" s="118"/>
      <c r="AD307" s="52"/>
      <c r="AE307" s="5"/>
      <c r="AF307" s="358"/>
      <c r="AG307" s="358"/>
      <c r="AH307" s="358"/>
      <c r="AI307" s="358"/>
      <c r="AJ307" s="358"/>
      <c r="AK307" s="113"/>
      <c r="AL307" s="113"/>
      <c r="AM307" s="113"/>
      <c r="AN307" s="113"/>
      <c r="AO307" s="113"/>
      <c r="AP307" s="52"/>
      <c r="AQ307" s="52"/>
      <c r="AR307" s="52"/>
      <c r="AS307" s="52"/>
      <c r="AT307" s="52"/>
      <c r="AU307" s="125"/>
      <c r="AV307" s="125"/>
      <c r="AW307" s="125"/>
      <c r="AX307" s="5"/>
      <c r="AY307" s="5"/>
      <c r="AZ307" s="113">
        <v>68000</v>
      </c>
      <c r="BA307" s="113">
        <v>12920</v>
      </c>
      <c r="BB307" s="113">
        <v>80920</v>
      </c>
      <c r="BC307" s="52" t="s">
        <v>131</v>
      </c>
      <c r="BD307" s="52" t="s">
        <v>3772</v>
      </c>
      <c r="BE307" s="118"/>
      <c r="BF307" s="118"/>
      <c r="BG307" s="118"/>
      <c r="BH307" s="52"/>
      <c r="BI307" s="283"/>
      <c r="BJ307" s="52"/>
      <c r="BK307" s="52"/>
      <c r="BL307" s="52"/>
      <c r="BM307" s="52"/>
      <c r="BN307" s="52"/>
      <c r="BO307" s="52"/>
      <c r="BP307" s="52"/>
      <c r="BQ307" s="52"/>
      <c r="BR307" s="52"/>
      <c r="BS307" s="52"/>
      <c r="BT307" s="52"/>
      <c r="BU307" s="52"/>
      <c r="BV307" s="52"/>
      <c r="BW307" s="52"/>
      <c r="BX307" s="52"/>
      <c r="BY307" s="52"/>
      <c r="BZ307" s="52"/>
      <c r="CA307" s="52"/>
      <c r="CB307" s="52"/>
      <c r="CC307" s="52"/>
      <c r="CD307" s="118"/>
      <c r="CE307" s="52"/>
      <c r="CF307" s="52"/>
      <c r="CG307" s="52"/>
      <c r="CH307" s="52"/>
      <c r="CI307" s="52"/>
      <c r="CJ307" s="52"/>
      <c r="CK307" s="52"/>
      <c r="CL307" s="52"/>
      <c r="CM307" s="52"/>
      <c r="CN307" s="118"/>
      <c r="CO307" s="118"/>
      <c r="CP307" s="118"/>
      <c r="CQ307" s="52"/>
      <c r="CR307" s="52"/>
      <c r="CS307" s="52"/>
      <c r="CT307" s="52"/>
      <c r="CU307" s="52"/>
      <c r="CV307" s="52"/>
      <c r="CW307" s="52"/>
      <c r="CX307" s="52"/>
      <c r="CY307" s="52"/>
      <c r="CZ307" s="52"/>
      <c r="DA307" s="52"/>
      <c r="DB307" s="52"/>
    </row>
    <row r="308" spans="1:106" ht="27" x14ac:dyDescent="0.25">
      <c r="A308" s="411">
        <v>306</v>
      </c>
      <c r="B308" s="409" t="s">
        <v>3773</v>
      </c>
      <c r="C308" s="426" t="s">
        <v>3774</v>
      </c>
      <c r="D308" s="409" t="s">
        <v>3775</v>
      </c>
      <c r="E308" s="80">
        <v>1</v>
      </c>
      <c r="F308" s="353">
        <v>819484.45600000001</v>
      </c>
      <c r="G308" s="293"/>
      <c r="H308" s="293"/>
      <c r="I308" s="293"/>
      <c r="J308" s="52"/>
      <c r="K308" s="52"/>
      <c r="L308" s="359"/>
      <c r="M308" s="360"/>
      <c r="N308" s="361"/>
      <c r="O308" s="33"/>
      <c r="P308" s="252"/>
      <c r="Q308" s="113"/>
      <c r="R308" s="113"/>
      <c r="S308" s="113"/>
      <c r="T308" s="52"/>
      <c r="U308" s="5"/>
      <c r="V308" s="231"/>
      <c r="W308" s="231"/>
      <c r="X308" s="231"/>
      <c r="Y308" s="113"/>
      <c r="Z308" s="357"/>
      <c r="AA308" s="118" t="s">
        <v>2877</v>
      </c>
      <c r="AB308" s="118"/>
      <c r="AC308" s="118"/>
      <c r="AD308" s="52"/>
      <c r="AE308" s="5"/>
      <c r="AF308" s="358"/>
      <c r="AG308" s="358"/>
      <c r="AH308" s="358"/>
      <c r="AI308" s="358"/>
      <c r="AJ308" s="358"/>
      <c r="AK308" s="113"/>
      <c r="AL308" s="113"/>
      <c r="AM308" s="113"/>
      <c r="AN308" s="113"/>
      <c r="AO308" s="113"/>
      <c r="AP308" s="52"/>
      <c r="AQ308" s="52"/>
      <c r="AR308" s="52"/>
      <c r="AS308" s="52"/>
      <c r="AT308" s="52"/>
      <c r="AU308" s="125"/>
      <c r="AV308" s="125"/>
      <c r="AW308" s="125"/>
      <c r="AX308" s="5"/>
      <c r="AY308" s="5"/>
      <c r="AZ308" s="113">
        <v>111000</v>
      </c>
      <c r="BA308" s="113">
        <v>21090</v>
      </c>
      <c r="BB308" s="113">
        <v>132090</v>
      </c>
      <c r="BC308" s="52" t="s">
        <v>3776</v>
      </c>
      <c r="BD308" s="52" t="s">
        <v>3777</v>
      </c>
      <c r="BE308" s="118"/>
      <c r="BF308" s="118"/>
      <c r="BG308" s="118"/>
      <c r="BH308" s="52"/>
      <c r="BI308" s="283"/>
      <c r="BJ308" s="52"/>
      <c r="BK308" s="52"/>
      <c r="BL308" s="52"/>
      <c r="BM308" s="52"/>
      <c r="BN308" s="52"/>
      <c r="BO308" s="52"/>
      <c r="BP308" s="52"/>
      <c r="BQ308" s="52"/>
      <c r="BR308" s="52"/>
      <c r="BS308" s="52"/>
      <c r="BT308" s="52"/>
      <c r="BU308" s="52"/>
      <c r="BV308" s="52"/>
      <c r="BW308" s="52"/>
      <c r="BX308" s="52"/>
      <c r="BY308" s="52"/>
      <c r="BZ308" s="52"/>
      <c r="CA308" s="52"/>
      <c r="CB308" s="52"/>
      <c r="CC308" s="52"/>
      <c r="CD308" s="118"/>
      <c r="CE308" s="52"/>
      <c r="CF308" s="52"/>
      <c r="CG308" s="52"/>
      <c r="CH308" s="52"/>
      <c r="CI308" s="52"/>
      <c r="CJ308" s="52"/>
      <c r="CK308" s="52"/>
      <c r="CL308" s="52"/>
      <c r="CM308" s="52"/>
      <c r="CN308" s="118"/>
      <c r="CO308" s="118"/>
      <c r="CP308" s="118"/>
      <c r="CQ308" s="52"/>
      <c r="CR308" s="52"/>
      <c r="CS308" s="52"/>
      <c r="CT308" s="52"/>
      <c r="CU308" s="52"/>
      <c r="CV308" s="52"/>
      <c r="CW308" s="52"/>
      <c r="CX308" s="52"/>
      <c r="CY308" s="52"/>
      <c r="CZ308" s="52"/>
      <c r="DA308" s="52"/>
      <c r="DB308" s="52"/>
    </row>
    <row r="309" spans="1:106" ht="13.5" x14ac:dyDescent="0.25">
      <c r="A309" s="411">
        <v>307</v>
      </c>
      <c r="B309" s="412" t="s">
        <v>3778</v>
      </c>
      <c r="C309" s="413" t="s">
        <v>2898</v>
      </c>
      <c r="D309" s="426" t="s">
        <v>3779</v>
      </c>
      <c r="E309" s="80">
        <v>1</v>
      </c>
      <c r="F309" s="353">
        <v>87483.989799999996</v>
      </c>
      <c r="G309" s="293"/>
      <c r="H309" s="293"/>
      <c r="I309" s="293"/>
      <c r="J309" s="52"/>
      <c r="K309" s="52"/>
      <c r="L309" s="359"/>
      <c r="M309" s="360"/>
      <c r="N309" s="361"/>
      <c r="O309" s="33"/>
      <c r="P309" s="252"/>
      <c r="Q309" s="113"/>
      <c r="R309" s="113"/>
      <c r="S309" s="113"/>
      <c r="T309" s="52"/>
      <c r="U309" s="5"/>
      <c r="V309" s="231"/>
      <c r="W309" s="231"/>
      <c r="X309" s="231"/>
      <c r="Y309" s="113"/>
      <c r="Z309" s="357"/>
      <c r="AA309" s="118" t="s">
        <v>2877</v>
      </c>
      <c r="AB309" s="118"/>
      <c r="AC309" s="118"/>
      <c r="AD309" s="52"/>
      <c r="AE309" s="5"/>
      <c r="AF309" s="358"/>
      <c r="AG309" s="358"/>
      <c r="AH309" s="358"/>
      <c r="AI309" s="358"/>
      <c r="AJ309" s="358"/>
      <c r="AK309" s="113"/>
      <c r="AL309" s="113"/>
      <c r="AM309" s="113"/>
      <c r="AN309" s="113"/>
      <c r="AO309" s="113"/>
      <c r="AP309" s="52"/>
      <c r="AQ309" s="52"/>
      <c r="AR309" s="52"/>
      <c r="AS309" s="52"/>
      <c r="AT309" s="52"/>
      <c r="AU309" s="125"/>
      <c r="AV309" s="125"/>
      <c r="AW309" s="125"/>
      <c r="AX309" s="5"/>
      <c r="AY309" s="5"/>
      <c r="AZ309" s="113">
        <v>90000</v>
      </c>
      <c r="BA309" s="113">
        <v>17100</v>
      </c>
      <c r="BB309" s="113">
        <v>107100</v>
      </c>
      <c r="BC309" s="52" t="s">
        <v>131</v>
      </c>
      <c r="BD309" s="52" t="s">
        <v>3780</v>
      </c>
      <c r="BE309" s="118"/>
      <c r="BF309" s="118"/>
      <c r="BG309" s="118"/>
      <c r="BH309" s="52"/>
      <c r="BI309" s="283"/>
      <c r="BJ309" s="52"/>
      <c r="BK309" s="52"/>
      <c r="BL309" s="52"/>
      <c r="BM309" s="52"/>
      <c r="BN309" s="52"/>
      <c r="BO309" s="52"/>
      <c r="BP309" s="52"/>
      <c r="BQ309" s="52"/>
      <c r="BR309" s="52"/>
      <c r="BS309" s="52"/>
      <c r="BT309" s="52"/>
      <c r="BU309" s="52"/>
      <c r="BV309" s="52"/>
      <c r="BW309" s="52"/>
      <c r="BX309" s="52"/>
      <c r="BY309" s="52"/>
      <c r="BZ309" s="52"/>
      <c r="CA309" s="52"/>
      <c r="CB309" s="52"/>
      <c r="CC309" s="52"/>
      <c r="CD309" s="118"/>
      <c r="CE309" s="52"/>
      <c r="CF309" s="52"/>
      <c r="CG309" s="52"/>
      <c r="CH309" s="52"/>
      <c r="CI309" s="52"/>
      <c r="CJ309" s="52"/>
      <c r="CK309" s="52"/>
      <c r="CL309" s="52"/>
      <c r="CM309" s="52"/>
      <c r="CN309" s="118"/>
      <c r="CO309" s="118"/>
      <c r="CP309" s="118"/>
      <c r="CQ309" s="52"/>
      <c r="CR309" s="52"/>
      <c r="CS309" s="52"/>
      <c r="CT309" s="52"/>
      <c r="CU309" s="52"/>
      <c r="CV309" s="52"/>
      <c r="CW309" s="52"/>
      <c r="CX309" s="52"/>
      <c r="CY309" s="52"/>
      <c r="CZ309" s="52"/>
      <c r="DA309" s="52"/>
      <c r="DB309" s="52"/>
    </row>
    <row r="310" spans="1:106" ht="27" x14ac:dyDescent="0.25">
      <c r="A310" s="411">
        <v>308</v>
      </c>
      <c r="B310" s="412" t="s">
        <v>3781</v>
      </c>
      <c r="C310" s="413" t="s">
        <v>622</v>
      </c>
      <c r="D310" s="426" t="s">
        <v>3782</v>
      </c>
      <c r="E310" s="80">
        <v>1</v>
      </c>
      <c r="F310" s="353">
        <v>1822473.1</v>
      </c>
      <c r="G310" s="293"/>
      <c r="H310" s="293"/>
      <c r="I310" s="293"/>
      <c r="J310" s="52"/>
      <c r="K310" s="52"/>
      <c r="L310" s="359"/>
      <c r="M310" s="360"/>
      <c r="N310" s="361"/>
      <c r="O310" s="33"/>
      <c r="P310" s="252"/>
      <c r="Q310" s="113"/>
      <c r="R310" s="113"/>
      <c r="S310" s="113"/>
      <c r="T310" s="52"/>
      <c r="U310" s="5"/>
      <c r="V310" s="231"/>
      <c r="W310" s="231"/>
      <c r="X310" s="231"/>
      <c r="Y310" s="113"/>
      <c r="Z310" s="357"/>
      <c r="AA310" s="118" t="s">
        <v>2877</v>
      </c>
      <c r="AB310" s="118"/>
      <c r="AC310" s="118"/>
      <c r="AD310" s="52"/>
      <c r="AE310" s="5"/>
      <c r="AF310" s="358"/>
      <c r="AG310" s="358"/>
      <c r="AH310" s="358"/>
      <c r="AI310" s="358"/>
      <c r="AJ310" s="358"/>
      <c r="AK310" s="113"/>
      <c r="AL310" s="113"/>
      <c r="AM310" s="113"/>
      <c r="AN310" s="113"/>
      <c r="AO310" s="113"/>
      <c r="AP310" s="52"/>
      <c r="AQ310" s="52"/>
      <c r="AR310" s="52"/>
      <c r="AS310" s="52"/>
      <c r="AT310" s="52"/>
      <c r="AU310" s="125"/>
      <c r="AV310" s="125"/>
      <c r="AW310" s="125"/>
      <c r="AX310" s="5"/>
      <c r="AY310" s="5"/>
      <c r="AZ310" s="113">
        <v>2400000</v>
      </c>
      <c r="BA310" s="113">
        <v>456000</v>
      </c>
      <c r="BB310" s="113">
        <v>2856000</v>
      </c>
      <c r="BC310" s="52"/>
      <c r="BD310" s="52"/>
      <c r="BE310" s="118"/>
      <c r="BF310" s="118"/>
      <c r="BG310" s="118"/>
      <c r="BH310" s="52"/>
      <c r="BI310" s="283"/>
      <c r="BJ310" s="52"/>
      <c r="BK310" s="52"/>
      <c r="BL310" s="52"/>
      <c r="BM310" s="52"/>
      <c r="BN310" s="52"/>
      <c r="BO310" s="52"/>
      <c r="BP310" s="52"/>
      <c r="BQ310" s="52"/>
      <c r="BR310" s="52"/>
      <c r="BS310" s="52"/>
      <c r="BT310" s="52"/>
      <c r="BU310" s="52"/>
      <c r="BV310" s="52"/>
      <c r="BW310" s="52"/>
      <c r="BX310" s="52"/>
      <c r="BY310" s="52"/>
      <c r="BZ310" s="52"/>
      <c r="CA310" s="52"/>
      <c r="CB310" s="52"/>
      <c r="CC310" s="52"/>
      <c r="CD310" s="118"/>
      <c r="CE310" s="52"/>
      <c r="CF310" s="52"/>
      <c r="CG310" s="52"/>
      <c r="CH310" s="52"/>
      <c r="CI310" s="52"/>
      <c r="CJ310" s="52"/>
      <c r="CK310" s="52"/>
      <c r="CL310" s="52"/>
      <c r="CM310" s="52"/>
      <c r="CN310" s="118"/>
      <c r="CO310" s="118"/>
      <c r="CP310" s="118"/>
      <c r="CQ310" s="52"/>
      <c r="CR310" s="52"/>
      <c r="CS310" s="52"/>
      <c r="CT310" s="52"/>
      <c r="CU310" s="52"/>
      <c r="CV310" s="52"/>
      <c r="CW310" s="52"/>
      <c r="CX310" s="52"/>
      <c r="CY310" s="52"/>
      <c r="CZ310" s="52"/>
      <c r="DA310" s="52"/>
      <c r="DB310" s="52"/>
    </row>
    <row r="311" spans="1:106" ht="81" x14ac:dyDescent="0.25">
      <c r="A311" s="411">
        <v>309</v>
      </c>
      <c r="B311" s="412" t="s">
        <v>3783</v>
      </c>
      <c r="C311" s="413" t="s">
        <v>3784</v>
      </c>
      <c r="D311" s="426" t="s">
        <v>3785</v>
      </c>
      <c r="E311" s="80">
        <v>1</v>
      </c>
      <c r="F311" s="353">
        <v>3807819.6334000002</v>
      </c>
      <c r="G311" s="293"/>
      <c r="H311" s="293"/>
      <c r="I311" s="293"/>
      <c r="J311" s="52"/>
      <c r="K311" s="52"/>
      <c r="L311" s="359"/>
      <c r="M311" s="360"/>
      <c r="N311" s="361"/>
      <c r="O311" s="33"/>
      <c r="P311" s="252"/>
      <c r="Q311" s="113"/>
      <c r="R311" s="113"/>
      <c r="S311" s="113"/>
      <c r="T311" s="52"/>
      <c r="U311" s="5"/>
      <c r="V311" s="231"/>
      <c r="W311" s="231"/>
      <c r="X311" s="231"/>
      <c r="Y311" s="113"/>
      <c r="Z311" s="357"/>
      <c r="AA311" s="118" t="s">
        <v>2877</v>
      </c>
      <c r="AB311" s="118"/>
      <c r="AC311" s="118"/>
      <c r="AD311" s="52"/>
      <c r="AE311" s="5"/>
      <c r="AF311" s="358"/>
      <c r="AG311" s="358"/>
      <c r="AH311" s="358"/>
      <c r="AI311" s="358"/>
      <c r="AJ311" s="358"/>
      <c r="AK311" s="113"/>
      <c r="AL311" s="113"/>
      <c r="AM311" s="113"/>
      <c r="AN311" s="113"/>
      <c r="AO311" s="113"/>
      <c r="AP311" s="52"/>
      <c r="AQ311" s="52"/>
      <c r="AR311" s="52"/>
      <c r="AS311" s="52"/>
      <c r="AT311" s="52"/>
      <c r="AU311" s="125"/>
      <c r="AV311" s="125"/>
      <c r="AW311" s="125"/>
      <c r="AX311" s="5"/>
      <c r="AY311" s="5"/>
      <c r="AZ311" s="113"/>
      <c r="BA311" s="113"/>
      <c r="BB311" s="113"/>
      <c r="BC311" s="52"/>
      <c r="BD311" s="52"/>
      <c r="BE311" s="118"/>
      <c r="BF311" s="118"/>
      <c r="BG311" s="118"/>
      <c r="BH311" s="52"/>
      <c r="BI311" s="283"/>
      <c r="BJ311" s="52"/>
      <c r="BK311" s="52"/>
      <c r="BL311" s="52"/>
      <c r="BM311" s="52"/>
      <c r="BN311" s="52"/>
      <c r="BO311" s="118">
        <v>4500000</v>
      </c>
      <c r="BP311" s="118">
        <f>+BO311*0.19</f>
        <v>855000</v>
      </c>
      <c r="BQ311" s="364">
        <f>+BO311+BP311</f>
        <v>5355000</v>
      </c>
      <c r="BR311" s="52" t="s">
        <v>3786</v>
      </c>
      <c r="BS311" s="52" t="s">
        <v>3787</v>
      </c>
      <c r="BT311" s="52"/>
      <c r="BU311" s="52"/>
      <c r="BV311" s="52"/>
      <c r="BW311" s="52"/>
      <c r="BX311" s="52"/>
      <c r="BY311" s="52"/>
      <c r="BZ311" s="52"/>
      <c r="CA311" s="52"/>
      <c r="CB311" s="52"/>
      <c r="CC311" s="52"/>
      <c r="CD311" s="118"/>
      <c r="CE311" s="52"/>
      <c r="CF311" s="52"/>
      <c r="CG311" s="52"/>
      <c r="CH311" s="52"/>
      <c r="CI311" s="52"/>
      <c r="CJ311" s="52"/>
      <c r="CK311" s="52"/>
      <c r="CL311" s="52"/>
      <c r="CM311" s="52"/>
      <c r="CN311" s="118"/>
      <c r="CO311" s="118"/>
      <c r="CP311" s="118"/>
      <c r="CQ311" s="52"/>
      <c r="CR311" s="52"/>
      <c r="CS311" s="52"/>
      <c r="CT311" s="52"/>
      <c r="CU311" s="52"/>
      <c r="CV311" s="52"/>
      <c r="CW311" s="52"/>
      <c r="CX311" s="52"/>
      <c r="CY311" s="52"/>
      <c r="CZ311" s="52"/>
      <c r="DA311" s="52"/>
      <c r="DB311" s="52"/>
    </row>
    <row r="312" spans="1:106" ht="51" x14ac:dyDescent="0.25">
      <c r="A312" s="411">
        <v>310</v>
      </c>
      <c r="B312" s="412" t="s">
        <v>3788</v>
      </c>
      <c r="C312" s="413" t="s">
        <v>622</v>
      </c>
      <c r="D312" s="426" t="s">
        <v>3789</v>
      </c>
      <c r="E312" s="80">
        <v>1</v>
      </c>
      <c r="F312" s="353">
        <v>1014300.546</v>
      </c>
      <c r="G312" s="293"/>
      <c r="H312" s="293"/>
      <c r="I312" s="293"/>
      <c r="J312" s="52"/>
      <c r="K312" s="52"/>
      <c r="L312" s="359"/>
      <c r="M312" s="360"/>
      <c r="N312" s="361"/>
      <c r="O312" s="33"/>
      <c r="P312" s="252"/>
      <c r="Q312" s="113"/>
      <c r="R312" s="113"/>
      <c r="S312" s="113"/>
      <c r="T312" s="52"/>
      <c r="U312" s="5"/>
      <c r="V312" s="231"/>
      <c r="W312" s="231"/>
      <c r="X312" s="231"/>
      <c r="Y312" s="113"/>
      <c r="Z312" s="357"/>
      <c r="AA312" s="118" t="s">
        <v>2877</v>
      </c>
      <c r="AB312" s="118"/>
      <c r="AC312" s="118"/>
      <c r="AD312" s="52"/>
      <c r="AE312" s="5"/>
      <c r="AF312" s="358"/>
      <c r="AG312" s="358"/>
      <c r="AH312" s="358"/>
      <c r="AI312" s="358"/>
      <c r="AJ312" s="358"/>
      <c r="AK312" s="113"/>
      <c r="AL312" s="113"/>
      <c r="AM312" s="113"/>
      <c r="AN312" s="113"/>
      <c r="AO312" s="113"/>
      <c r="AP312" s="52"/>
      <c r="AQ312" s="52"/>
      <c r="AR312" s="52"/>
      <c r="AS312" s="52"/>
      <c r="AT312" s="52"/>
      <c r="AU312" s="125"/>
      <c r="AV312" s="125"/>
      <c r="AW312" s="125"/>
      <c r="AX312" s="5"/>
      <c r="AY312" s="5"/>
      <c r="AZ312" s="113"/>
      <c r="BA312" s="113"/>
      <c r="BB312" s="113"/>
      <c r="BC312" s="52"/>
      <c r="BD312" s="52"/>
      <c r="BE312" s="118"/>
      <c r="BF312" s="118"/>
      <c r="BG312" s="118"/>
      <c r="BH312" s="52"/>
      <c r="BI312" s="283"/>
      <c r="BJ312" s="52"/>
      <c r="BK312" s="52"/>
      <c r="BL312" s="52"/>
      <c r="BM312" s="52"/>
      <c r="BN312" s="52"/>
      <c r="BO312" s="118">
        <v>4000000</v>
      </c>
      <c r="BP312" s="118">
        <f>+BO312*0.19</f>
        <v>760000</v>
      </c>
      <c r="BQ312" s="364">
        <f>+BO312+BP312</f>
        <v>4760000</v>
      </c>
      <c r="BR312" s="52" t="s">
        <v>3786</v>
      </c>
      <c r="BS312" s="5" t="s">
        <v>3790</v>
      </c>
      <c r="BT312" s="52"/>
      <c r="BU312" s="52"/>
      <c r="BV312" s="52"/>
      <c r="BW312" s="52"/>
      <c r="BX312" s="52"/>
      <c r="BY312" s="118">
        <v>2000000</v>
      </c>
      <c r="BZ312" s="118">
        <f>+BY312*0.19</f>
        <v>380000</v>
      </c>
      <c r="CA312" s="364">
        <f>+BY312+BZ312</f>
        <v>2380000</v>
      </c>
      <c r="CB312" s="52" t="s">
        <v>3791</v>
      </c>
      <c r="CC312" s="52" t="s">
        <v>3792</v>
      </c>
      <c r="CD312" s="118"/>
      <c r="CE312" s="52"/>
      <c r="CF312" s="52"/>
      <c r="CG312" s="52"/>
      <c r="CH312" s="52"/>
      <c r="CI312" s="52"/>
      <c r="CJ312" s="52"/>
      <c r="CK312" s="52"/>
      <c r="CL312" s="52"/>
      <c r="CM312" s="52"/>
      <c r="CN312" s="118"/>
      <c r="CO312" s="118"/>
      <c r="CP312" s="118"/>
      <c r="CQ312" s="52"/>
      <c r="CR312" s="52"/>
      <c r="CS312" s="52"/>
      <c r="CT312" s="52"/>
      <c r="CU312" s="52"/>
      <c r="CV312" s="52"/>
      <c r="CW312" s="52"/>
      <c r="CX312" s="52"/>
      <c r="CY312" s="52"/>
      <c r="CZ312" s="52"/>
      <c r="DA312" s="52"/>
      <c r="DB312" s="52"/>
    </row>
    <row r="313" spans="1:106" ht="297" x14ac:dyDescent="0.25">
      <c r="A313" s="411">
        <v>311</v>
      </c>
      <c r="B313" s="415" t="s">
        <v>3793</v>
      </c>
      <c r="C313" s="413" t="s">
        <v>622</v>
      </c>
      <c r="D313" s="426" t="s">
        <v>445</v>
      </c>
      <c r="E313" s="80">
        <v>1</v>
      </c>
      <c r="F313" s="355">
        <v>2661439.165</v>
      </c>
      <c r="G313" s="293"/>
      <c r="H313" s="293"/>
      <c r="I313" s="293"/>
      <c r="J313" s="52"/>
      <c r="K313" s="52"/>
      <c r="L313" s="359"/>
      <c r="M313" s="360"/>
      <c r="N313" s="361"/>
      <c r="O313" s="33"/>
      <c r="P313" s="252"/>
      <c r="Q313" s="113"/>
      <c r="R313" s="113"/>
      <c r="S313" s="113"/>
      <c r="T313" s="52"/>
      <c r="U313" s="5"/>
      <c r="V313" s="231"/>
      <c r="W313" s="231"/>
      <c r="X313" s="231"/>
      <c r="Y313" s="113"/>
      <c r="Z313" s="357"/>
      <c r="AA313" s="118" t="s">
        <v>2877</v>
      </c>
      <c r="AB313" s="118"/>
      <c r="AC313" s="118"/>
      <c r="AD313" s="52"/>
      <c r="AE313" s="5"/>
      <c r="AF313" s="358"/>
      <c r="AG313" s="358"/>
      <c r="AH313" s="358"/>
      <c r="AI313" s="358"/>
      <c r="AJ313" s="358"/>
      <c r="AK313" s="113"/>
      <c r="AL313" s="113"/>
      <c r="AM313" s="113"/>
      <c r="AN313" s="113"/>
      <c r="AO313" s="113"/>
      <c r="AP313" s="113">
        <v>2690000</v>
      </c>
      <c r="AQ313" s="52">
        <f>+AP313*0.19</f>
        <v>511100</v>
      </c>
      <c r="AR313" s="364">
        <f>+AP313+AQ313</f>
        <v>3201100</v>
      </c>
      <c r="AS313" s="52" t="s">
        <v>2927</v>
      </c>
      <c r="AT313" s="52"/>
      <c r="AU313" s="125"/>
      <c r="AV313" s="125"/>
      <c r="AW313" s="125"/>
      <c r="AX313" s="5"/>
      <c r="AY313" s="5"/>
      <c r="AZ313" s="113"/>
      <c r="BA313" s="113"/>
      <c r="BB313" s="113"/>
      <c r="BC313" s="52"/>
      <c r="BD313" s="52"/>
      <c r="BE313" s="118"/>
      <c r="BF313" s="118"/>
      <c r="BG313" s="118"/>
      <c r="BH313" s="52"/>
      <c r="BI313" s="283"/>
      <c r="BJ313" s="52"/>
      <c r="BK313" s="52"/>
      <c r="BL313" s="52"/>
      <c r="BM313" s="52"/>
      <c r="BN313" s="52"/>
      <c r="BO313" s="52"/>
      <c r="BP313" s="52"/>
      <c r="BQ313" s="52"/>
      <c r="BR313" s="52"/>
      <c r="BS313" s="52"/>
      <c r="BT313" s="52"/>
      <c r="BU313" s="52"/>
      <c r="BV313" s="52"/>
      <c r="BW313" s="52"/>
      <c r="BX313" s="52"/>
      <c r="BY313" s="52"/>
      <c r="BZ313" s="52"/>
      <c r="CA313" s="52"/>
      <c r="CB313" s="52"/>
      <c r="CC313" s="52"/>
      <c r="CD313" s="118"/>
      <c r="CE313" s="52"/>
      <c r="CF313" s="52"/>
      <c r="CG313" s="52"/>
      <c r="CH313" s="52"/>
      <c r="CI313" s="52"/>
      <c r="CJ313" s="52"/>
      <c r="CK313" s="52"/>
      <c r="CL313" s="52"/>
      <c r="CM313" s="52"/>
      <c r="CN313" s="118"/>
      <c r="CO313" s="118"/>
      <c r="CP313" s="118"/>
      <c r="CQ313" s="52"/>
      <c r="CR313" s="52"/>
      <c r="CS313" s="52"/>
      <c r="CT313" s="52"/>
      <c r="CU313" s="52"/>
      <c r="CV313" s="52"/>
      <c r="CW313" s="52"/>
      <c r="CX313" s="52"/>
      <c r="CY313" s="52"/>
      <c r="CZ313" s="52"/>
      <c r="DA313" s="52"/>
      <c r="DB313" s="52"/>
    </row>
    <row r="314" spans="1:106" ht="162" x14ac:dyDescent="0.25">
      <c r="A314" s="411">
        <v>312</v>
      </c>
      <c r="B314" s="415" t="s">
        <v>3794</v>
      </c>
      <c r="C314" s="413" t="s">
        <v>622</v>
      </c>
      <c r="D314" s="426" t="s">
        <v>445</v>
      </c>
      <c r="E314" s="80">
        <v>1</v>
      </c>
      <c r="F314" s="353">
        <v>1194034.1000000001</v>
      </c>
      <c r="G314" s="293"/>
      <c r="H314" s="293"/>
      <c r="I314" s="293"/>
      <c r="J314" s="52"/>
      <c r="K314" s="52"/>
      <c r="L314" s="359"/>
      <c r="M314" s="360"/>
      <c r="N314" s="361"/>
      <c r="O314" s="33"/>
      <c r="P314" s="252"/>
      <c r="Q314" s="113"/>
      <c r="R314" s="113"/>
      <c r="S314" s="113"/>
      <c r="T314" s="52"/>
      <c r="U314" s="5"/>
      <c r="V314" s="231"/>
      <c r="W314" s="231"/>
      <c r="X314" s="231"/>
      <c r="Y314" s="113"/>
      <c r="Z314" s="357"/>
      <c r="AA314" s="118" t="s">
        <v>2877</v>
      </c>
      <c r="AB314" s="118"/>
      <c r="AC314" s="118"/>
      <c r="AD314" s="52"/>
      <c r="AE314" s="5"/>
      <c r="AF314" s="358"/>
      <c r="AG314" s="358"/>
      <c r="AH314" s="358"/>
      <c r="AI314" s="358"/>
      <c r="AJ314" s="358"/>
      <c r="AK314" s="113"/>
      <c r="AL314" s="113"/>
      <c r="AM314" s="113"/>
      <c r="AN314" s="113"/>
      <c r="AO314" s="113"/>
      <c r="AP314" s="52"/>
      <c r="AQ314" s="52"/>
      <c r="AR314" s="52"/>
      <c r="AS314" s="52"/>
      <c r="AT314" s="52"/>
      <c r="AU314" s="125"/>
      <c r="AV314" s="125"/>
      <c r="AW314" s="125"/>
      <c r="AX314" s="5"/>
      <c r="AY314" s="5"/>
      <c r="AZ314" s="113"/>
      <c r="BA314" s="113"/>
      <c r="BB314" s="113"/>
      <c r="BC314" s="52"/>
      <c r="BD314" s="52"/>
      <c r="BE314" s="118"/>
      <c r="BF314" s="118"/>
      <c r="BG314" s="118"/>
      <c r="BH314" s="52"/>
      <c r="BI314" s="283"/>
      <c r="BJ314" s="52"/>
      <c r="BK314" s="52"/>
      <c r="BL314" s="52"/>
      <c r="BM314" s="52"/>
      <c r="BN314" s="52"/>
      <c r="BO314" s="52"/>
      <c r="BP314" s="52"/>
      <c r="BQ314" s="52"/>
      <c r="BR314" s="52"/>
      <c r="BS314" s="52"/>
      <c r="BT314" s="52"/>
      <c r="BU314" s="52"/>
      <c r="BV314" s="52"/>
      <c r="BW314" s="52"/>
      <c r="BX314" s="52"/>
      <c r="BY314" s="52"/>
      <c r="BZ314" s="52"/>
      <c r="CA314" s="52"/>
      <c r="CB314" s="52"/>
      <c r="CC314" s="52"/>
      <c r="CD314" s="118"/>
      <c r="CE314" s="52"/>
      <c r="CF314" s="52"/>
      <c r="CG314" s="52"/>
      <c r="CH314" s="52"/>
      <c r="CI314" s="52"/>
      <c r="CJ314" s="52"/>
      <c r="CK314" s="52"/>
      <c r="CL314" s="52"/>
      <c r="CM314" s="52"/>
      <c r="CN314" s="118"/>
      <c r="CO314" s="118"/>
      <c r="CP314" s="118"/>
      <c r="CQ314" s="52"/>
      <c r="CR314" s="52"/>
      <c r="CS314" s="52"/>
      <c r="CT314" s="52"/>
      <c r="CU314" s="52"/>
      <c r="CV314" s="52"/>
      <c r="CW314" s="52"/>
      <c r="CX314" s="52"/>
      <c r="CY314" s="52"/>
      <c r="CZ314" s="52"/>
      <c r="DA314" s="52"/>
      <c r="DB314" s="52"/>
    </row>
    <row r="315" spans="1:106" ht="175.5" x14ac:dyDescent="0.25">
      <c r="A315" s="411">
        <v>313</v>
      </c>
      <c r="B315" s="412" t="s">
        <v>3795</v>
      </c>
      <c r="C315" s="413" t="s">
        <v>622</v>
      </c>
      <c r="D315" s="426" t="s">
        <v>497</v>
      </c>
      <c r="E315" s="80">
        <v>1</v>
      </c>
      <c r="F315" s="353">
        <v>785548.75</v>
      </c>
      <c r="G315" s="293"/>
      <c r="H315" s="293"/>
      <c r="I315" s="293"/>
      <c r="J315" s="52"/>
      <c r="K315" s="52"/>
      <c r="L315" s="359"/>
      <c r="M315" s="360"/>
      <c r="N315" s="361"/>
      <c r="O315" s="33"/>
      <c r="P315" s="252"/>
      <c r="Q315" s="113"/>
      <c r="R315" s="113"/>
      <c r="S315" s="113"/>
      <c r="T315" s="52"/>
      <c r="U315" s="5"/>
      <c r="V315" s="231"/>
      <c r="W315" s="231"/>
      <c r="X315" s="231"/>
      <c r="Y315" s="113"/>
      <c r="Z315" s="357"/>
      <c r="AA315" s="118" t="s">
        <v>2877</v>
      </c>
      <c r="AB315" s="118"/>
      <c r="AC315" s="118"/>
      <c r="AD315" s="52"/>
      <c r="AE315" s="5"/>
      <c r="AF315" s="358"/>
      <c r="AG315" s="358"/>
      <c r="AH315" s="358"/>
      <c r="AI315" s="358"/>
      <c r="AJ315" s="358"/>
      <c r="AK315" s="113"/>
      <c r="AL315" s="113"/>
      <c r="AM315" s="113"/>
      <c r="AN315" s="113"/>
      <c r="AO315" s="113"/>
      <c r="AP315" s="113">
        <v>780000</v>
      </c>
      <c r="AQ315" s="113">
        <f>+AP315*0.19</f>
        <v>148200</v>
      </c>
      <c r="AR315" s="113">
        <f>+AP315+AQ315</f>
        <v>928200</v>
      </c>
      <c r="AS315" s="52" t="s">
        <v>2927</v>
      </c>
      <c r="AT315" s="52"/>
      <c r="AU315" s="125"/>
      <c r="AV315" s="125"/>
      <c r="AW315" s="125"/>
      <c r="AX315" s="5"/>
      <c r="AY315" s="5"/>
      <c r="AZ315" s="113"/>
      <c r="BA315" s="113"/>
      <c r="BB315" s="113"/>
      <c r="BC315" s="52"/>
      <c r="BD315" s="52"/>
      <c r="BE315" s="118"/>
      <c r="BF315" s="118"/>
      <c r="BG315" s="118"/>
      <c r="BH315" s="52"/>
      <c r="BI315" s="283"/>
      <c r="BJ315" s="52"/>
      <c r="BK315" s="52"/>
      <c r="BL315" s="52"/>
      <c r="BM315" s="52"/>
      <c r="BN315" s="52"/>
      <c r="BO315" s="52"/>
      <c r="BP315" s="52"/>
      <c r="BQ315" s="52"/>
      <c r="BR315" s="52"/>
      <c r="BS315" s="52"/>
      <c r="BT315" s="52"/>
      <c r="BU315" s="52"/>
      <c r="BV315" s="52"/>
      <c r="BW315" s="52"/>
      <c r="BX315" s="52"/>
      <c r="BY315" s="52"/>
      <c r="BZ315" s="52"/>
      <c r="CA315" s="52"/>
      <c r="CB315" s="52"/>
      <c r="CC315" s="52"/>
      <c r="CD315" s="118"/>
      <c r="CE315" s="52"/>
      <c r="CF315" s="52"/>
      <c r="CG315" s="52"/>
      <c r="CH315" s="52"/>
      <c r="CI315" s="52"/>
      <c r="CJ315" s="52"/>
      <c r="CK315" s="52"/>
      <c r="CL315" s="52"/>
      <c r="CM315" s="52"/>
      <c r="CN315" s="118"/>
      <c r="CO315" s="118"/>
      <c r="CP315" s="118"/>
      <c r="CQ315" s="52"/>
      <c r="CR315" s="52"/>
      <c r="CS315" s="52"/>
      <c r="CT315" s="52"/>
      <c r="CU315" s="52"/>
      <c r="CV315" s="52"/>
      <c r="CW315" s="52"/>
      <c r="CX315" s="52"/>
      <c r="CY315" s="52"/>
      <c r="CZ315" s="52"/>
      <c r="DA315" s="52"/>
      <c r="DB315" s="52"/>
    </row>
    <row r="316" spans="1:106" ht="54" x14ac:dyDescent="0.25">
      <c r="A316" s="411">
        <v>314</v>
      </c>
      <c r="B316" s="412" t="s">
        <v>3796</v>
      </c>
      <c r="C316" s="413" t="s">
        <v>3797</v>
      </c>
      <c r="D316" s="426" t="s">
        <v>3798</v>
      </c>
      <c r="E316" s="80">
        <v>1</v>
      </c>
      <c r="F316" s="353">
        <v>720191.09400000004</v>
      </c>
      <c r="G316" s="293"/>
      <c r="H316" s="293"/>
      <c r="I316" s="293"/>
      <c r="J316" s="52"/>
      <c r="K316" s="52"/>
      <c r="L316" s="359"/>
      <c r="M316" s="360"/>
      <c r="N316" s="361"/>
      <c r="O316" s="33"/>
      <c r="P316" s="252"/>
      <c r="Q316" s="113"/>
      <c r="R316" s="113"/>
      <c r="S316" s="113"/>
      <c r="T316" s="52"/>
      <c r="U316" s="5"/>
      <c r="V316" s="231"/>
      <c r="W316" s="231"/>
      <c r="X316" s="231"/>
      <c r="Y316" s="113"/>
      <c r="Z316" s="357"/>
      <c r="AA316" s="118" t="s">
        <v>2877</v>
      </c>
      <c r="AB316" s="118"/>
      <c r="AC316" s="118"/>
      <c r="AD316" s="52"/>
      <c r="AE316" s="5"/>
      <c r="AF316" s="358"/>
      <c r="AG316" s="358"/>
      <c r="AH316" s="358"/>
      <c r="AI316" s="358"/>
      <c r="AJ316" s="358"/>
      <c r="AK316" s="113"/>
      <c r="AL316" s="113"/>
      <c r="AM316" s="113"/>
      <c r="AN316" s="113"/>
      <c r="AO316" s="113"/>
      <c r="AP316" s="52"/>
      <c r="AQ316" s="52"/>
      <c r="AR316" s="52"/>
      <c r="AS316" s="52"/>
      <c r="AT316" s="52"/>
      <c r="AU316" s="125"/>
      <c r="AV316" s="125"/>
      <c r="AW316" s="125"/>
      <c r="AX316" s="5"/>
      <c r="AY316" s="5"/>
      <c r="AZ316" s="113">
        <v>1466000</v>
      </c>
      <c r="BA316" s="113">
        <v>278540</v>
      </c>
      <c r="BB316" s="113">
        <v>1744540</v>
      </c>
      <c r="BC316" s="52" t="s">
        <v>338</v>
      </c>
      <c r="BD316" s="52" t="s">
        <v>3799</v>
      </c>
      <c r="BE316" s="118"/>
      <c r="BF316" s="118"/>
      <c r="BG316" s="118"/>
      <c r="BH316" s="52"/>
      <c r="BI316" s="283"/>
      <c r="BJ316" s="52"/>
      <c r="BK316" s="52"/>
      <c r="BL316" s="52"/>
      <c r="BM316" s="52"/>
      <c r="BN316" s="52"/>
      <c r="BO316" s="52"/>
      <c r="BP316" s="52"/>
      <c r="BQ316" s="52"/>
      <c r="BR316" s="52"/>
      <c r="BS316" s="52"/>
      <c r="BT316" s="52"/>
      <c r="BU316" s="52"/>
      <c r="BV316" s="52"/>
      <c r="BW316" s="52"/>
      <c r="BX316" s="52"/>
      <c r="BY316" s="52"/>
      <c r="BZ316" s="52"/>
      <c r="CA316" s="52"/>
      <c r="CB316" s="52"/>
      <c r="CC316" s="52"/>
      <c r="CD316" s="118"/>
      <c r="CE316" s="52"/>
      <c r="CF316" s="52"/>
      <c r="CG316" s="52"/>
      <c r="CH316" s="52"/>
      <c r="CI316" s="52"/>
      <c r="CJ316" s="52"/>
      <c r="CK316" s="52"/>
      <c r="CL316" s="52"/>
      <c r="CM316" s="52"/>
      <c r="CN316" s="118"/>
      <c r="CO316" s="118"/>
      <c r="CP316" s="118"/>
      <c r="CQ316" s="52"/>
      <c r="CR316" s="52"/>
      <c r="CS316" s="52"/>
      <c r="CT316" s="52"/>
      <c r="CU316" s="52"/>
      <c r="CV316" s="52"/>
      <c r="CW316" s="52"/>
      <c r="CX316" s="52"/>
      <c r="CY316" s="52"/>
      <c r="CZ316" s="52"/>
      <c r="DA316" s="52"/>
      <c r="DB316" s="52"/>
    </row>
    <row r="317" spans="1:106" ht="27" x14ac:dyDescent="0.25">
      <c r="A317" s="411">
        <v>315</v>
      </c>
      <c r="B317" s="412" t="s">
        <v>3800</v>
      </c>
      <c r="C317" s="413" t="s">
        <v>622</v>
      </c>
      <c r="D317" s="426" t="s">
        <v>3739</v>
      </c>
      <c r="E317" s="80">
        <v>1</v>
      </c>
      <c r="F317" s="353">
        <v>6284.39</v>
      </c>
      <c r="G317" s="293">
        <v>6300</v>
      </c>
      <c r="H317" s="293">
        <v>1197</v>
      </c>
      <c r="I317" s="293">
        <v>7497</v>
      </c>
      <c r="J317" s="52" t="s">
        <v>3244</v>
      </c>
      <c r="K317" s="52" t="s">
        <v>3801</v>
      </c>
      <c r="L317" s="359"/>
      <c r="M317" s="360"/>
      <c r="N317" s="361"/>
      <c r="O317" s="33"/>
      <c r="P317" s="252"/>
      <c r="Q317" s="113"/>
      <c r="R317" s="113"/>
      <c r="S317" s="113"/>
      <c r="T317" s="52"/>
      <c r="U317" s="5"/>
      <c r="V317" s="231"/>
      <c r="W317" s="231"/>
      <c r="X317" s="231"/>
      <c r="Y317" s="113"/>
      <c r="Z317" s="357"/>
      <c r="AA317" s="118" t="s">
        <v>2877</v>
      </c>
      <c r="AB317" s="118"/>
      <c r="AC317" s="118"/>
      <c r="AD317" s="52"/>
      <c r="AE317" s="5"/>
      <c r="AF317" s="358"/>
      <c r="AG317" s="358"/>
      <c r="AH317" s="358"/>
      <c r="AI317" s="358"/>
      <c r="AJ317" s="358"/>
      <c r="AK317" s="113">
        <v>8500</v>
      </c>
      <c r="AL317" s="113">
        <v>1615</v>
      </c>
      <c r="AM317" s="113">
        <v>10115</v>
      </c>
      <c r="AN317" s="113" t="s">
        <v>3171</v>
      </c>
      <c r="AO317" s="113" t="s">
        <v>3802</v>
      </c>
      <c r="AP317" s="52"/>
      <c r="AQ317" s="52"/>
      <c r="AR317" s="52"/>
      <c r="AS317" s="52"/>
      <c r="AT317" s="52"/>
      <c r="AU317" s="125"/>
      <c r="AV317" s="125"/>
      <c r="AW317" s="125"/>
      <c r="AX317" s="5"/>
      <c r="AY317" s="5"/>
      <c r="AZ317" s="113">
        <v>20000</v>
      </c>
      <c r="BA317" s="113">
        <v>3800</v>
      </c>
      <c r="BB317" s="113">
        <v>23800</v>
      </c>
      <c r="BC317" s="52" t="s">
        <v>2925</v>
      </c>
      <c r="BD317" s="52" t="s">
        <v>3803</v>
      </c>
      <c r="BE317" s="118"/>
      <c r="BF317" s="118"/>
      <c r="BG317" s="118"/>
      <c r="BH317" s="52"/>
      <c r="BI317" s="283"/>
      <c r="BJ317" s="52"/>
      <c r="BK317" s="52"/>
      <c r="BL317" s="52"/>
      <c r="BM317" s="52"/>
      <c r="BN317" s="52"/>
      <c r="BO317" s="52"/>
      <c r="BP317" s="52"/>
      <c r="BQ317" s="52"/>
      <c r="BR317" s="52"/>
      <c r="BS317" s="52"/>
      <c r="BT317" s="52"/>
      <c r="BU317" s="52"/>
      <c r="BV317" s="52"/>
      <c r="BW317" s="52"/>
      <c r="BX317" s="52"/>
      <c r="BY317" s="52"/>
      <c r="BZ317" s="118"/>
      <c r="CA317" s="364"/>
      <c r="CB317" s="52"/>
      <c r="CC317" s="52"/>
      <c r="CD317" s="118"/>
      <c r="CE317" s="52"/>
      <c r="CF317" s="52"/>
      <c r="CG317" s="52"/>
      <c r="CH317" s="52"/>
      <c r="CI317" s="52"/>
      <c r="CJ317" s="52"/>
      <c r="CK317" s="52"/>
      <c r="CL317" s="52"/>
      <c r="CM317" s="52"/>
      <c r="CN317" s="118">
        <v>3700</v>
      </c>
      <c r="CO317" s="118">
        <f>+CN317*0.19</f>
        <v>703</v>
      </c>
      <c r="CP317" s="118">
        <f>+CN317+CO317</f>
        <v>4403</v>
      </c>
      <c r="CQ317" s="52" t="s">
        <v>3305</v>
      </c>
      <c r="CR317" s="52">
        <v>217102</v>
      </c>
      <c r="CS317" s="52"/>
      <c r="CT317" s="52"/>
      <c r="CU317" s="52"/>
      <c r="CV317" s="52"/>
      <c r="CW317" s="52"/>
      <c r="CX317" s="52"/>
      <c r="CY317" s="52"/>
      <c r="CZ317" s="52"/>
      <c r="DA317" s="52"/>
      <c r="DB317" s="52"/>
    </row>
    <row r="318" spans="1:106" ht="27" x14ac:dyDescent="0.25">
      <c r="A318" s="411">
        <v>316</v>
      </c>
      <c r="B318" s="412" t="s">
        <v>3804</v>
      </c>
      <c r="C318" s="413" t="s">
        <v>622</v>
      </c>
      <c r="D318" s="426" t="s">
        <v>3739</v>
      </c>
      <c r="E318" s="80">
        <v>1</v>
      </c>
      <c r="F318" s="353">
        <v>23377.930800000002</v>
      </c>
      <c r="G318" s="293"/>
      <c r="H318" s="293"/>
      <c r="I318" s="293"/>
      <c r="J318" s="52"/>
      <c r="K318" s="52"/>
      <c r="L318" s="359"/>
      <c r="M318" s="360"/>
      <c r="N318" s="361"/>
      <c r="O318" s="33"/>
      <c r="P318" s="252"/>
      <c r="Q318" s="113"/>
      <c r="R318" s="113"/>
      <c r="S318" s="113"/>
      <c r="T318" s="52"/>
      <c r="U318" s="5"/>
      <c r="V318" s="231"/>
      <c r="W318" s="231"/>
      <c r="X318" s="231"/>
      <c r="Y318" s="113"/>
      <c r="Z318" s="357"/>
      <c r="AA318" s="118" t="s">
        <v>2877</v>
      </c>
      <c r="AB318" s="118"/>
      <c r="AC318" s="118"/>
      <c r="AD318" s="52"/>
      <c r="AE318" s="5"/>
      <c r="AF318" s="358"/>
      <c r="AG318" s="358"/>
      <c r="AH318" s="358"/>
      <c r="AI318" s="358"/>
      <c r="AJ318" s="358"/>
      <c r="AK318" s="113">
        <v>8500</v>
      </c>
      <c r="AL318" s="113">
        <v>1615</v>
      </c>
      <c r="AM318" s="113">
        <v>10115</v>
      </c>
      <c r="AN318" s="113" t="s">
        <v>3171</v>
      </c>
      <c r="AO318" s="113" t="s">
        <v>3802</v>
      </c>
      <c r="AP318" s="52"/>
      <c r="AQ318" s="52"/>
      <c r="AR318" s="52"/>
      <c r="AS318" s="52"/>
      <c r="AT318" s="52"/>
      <c r="AU318" s="125"/>
      <c r="AV318" s="125"/>
      <c r="AW318" s="125"/>
      <c r="AX318" s="5"/>
      <c r="AY318" s="5"/>
      <c r="AZ318" s="113">
        <v>33000</v>
      </c>
      <c r="BA318" s="113">
        <v>6270</v>
      </c>
      <c r="BB318" s="113">
        <v>39270</v>
      </c>
      <c r="BC318" s="52" t="s">
        <v>2925</v>
      </c>
      <c r="BD318" s="52" t="s">
        <v>3805</v>
      </c>
      <c r="BE318" s="118"/>
      <c r="BF318" s="118"/>
      <c r="BG318" s="118"/>
      <c r="BH318" s="52"/>
      <c r="BI318" s="283"/>
      <c r="BJ318" s="52"/>
      <c r="BK318" s="52"/>
      <c r="BL318" s="52"/>
      <c r="BM318" s="52"/>
      <c r="BN318" s="52"/>
      <c r="BO318" s="52"/>
      <c r="BP318" s="52"/>
      <c r="BQ318" s="52"/>
      <c r="BR318" s="52"/>
      <c r="BS318" s="52"/>
      <c r="BT318" s="52"/>
      <c r="BU318" s="52"/>
      <c r="BV318" s="52"/>
      <c r="BW318" s="52"/>
      <c r="BX318" s="52"/>
      <c r="BY318" s="52"/>
      <c r="BZ318" s="52"/>
      <c r="CA318" s="52"/>
      <c r="CB318" s="52"/>
      <c r="CC318" s="52"/>
      <c r="CD318" s="118"/>
      <c r="CE318" s="52"/>
      <c r="CF318" s="52"/>
      <c r="CG318" s="52"/>
      <c r="CH318" s="52"/>
      <c r="CI318" s="52"/>
      <c r="CJ318" s="52"/>
      <c r="CK318" s="52"/>
      <c r="CL318" s="52"/>
      <c r="CM318" s="52"/>
      <c r="CN318" s="118"/>
      <c r="CO318" s="118"/>
      <c r="CP318" s="118"/>
      <c r="CQ318" s="52"/>
      <c r="CR318" s="52"/>
      <c r="CS318" s="52"/>
      <c r="CT318" s="52"/>
      <c r="CU318" s="52"/>
      <c r="CV318" s="52"/>
      <c r="CW318" s="52"/>
      <c r="CX318" s="52"/>
      <c r="CY318" s="52"/>
      <c r="CZ318" s="52"/>
      <c r="DA318" s="52"/>
      <c r="DB318" s="52"/>
    </row>
    <row r="319" spans="1:106" ht="27" x14ac:dyDescent="0.25">
      <c r="A319" s="411">
        <v>317</v>
      </c>
      <c r="B319" s="409" t="s">
        <v>3806</v>
      </c>
      <c r="C319" s="413" t="s">
        <v>622</v>
      </c>
      <c r="D319" s="426" t="s">
        <v>930</v>
      </c>
      <c r="E319" s="80">
        <v>1</v>
      </c>
      <c r="F319" s="353">
        <v>86096.142999999996</v>
      </c>
      <c r="G319" s="293"/>
      <c r="H319" s="293"/>
      <c r="I319" s="293"/>
      <c r="J319" s="52"/>
      <c r="K319" s="52"/>
      <c r="L319" s="359"/>
      <c r="M319" s="360"/>
      <c r="N319" s="361"/>
      <c r="O319" s="33"/>
      <c r="P319" s="252"/>
      <c r="Q319" s="113"/>
      <c r="R319" s="113"/>
      <c r="S319" s="113"/>
      <c r="T319" s="52"/>
      <c r="U319" s="5"/>
      <c r="V319" s="231"/>
      <c r="W319" s="231"/>
      <c r="X319" s="231"/>
      <c r="Y319" s="113"/>
      <c r="Z319" s="357"/>
      <c r="AA319" s="118" t="s">
        <v>2877</v>
      </c>
      <c r="AB319" s="118"/>
      <c r="AC319" s="118"/>
      <c r="AD319" s="52"/>
      <c r="AE319" s="5"/>
      <c r="AF319" s="358"/>
      <c r="AG319" s="358"/>
      <c r="AH319" s="358"/>
      <c r="AI319" s="358"/>
      <c r="AJ319" s="358"/>
      <c r="AK319" s="113"/>
      <c r="AL319" s="113"/>
      <c r="AM319" s="113"/>
      <c r="AN319" s="113"/>
      <c r="AO319" s="113"/>
      <c r="AP319" s="52"/>
      <c r="AQ319" s="52"/>
      <c r="AR319" s="52"/>
      <c r="AS319" s="52"/>
      <c r="AT319" s="52"/>
      <c r="AU319" s="125"/>
      <c r="AV319" s="125"/>
      <c r="AW319" s="125"/>
      <c r="AX319" s="5"/>
      <c r="AY319" s="5"/>
      <c r="AZ319" s="113"/>
      <c r="BA319" s="113"/>
      <c r="BB319" s="113"/>
      <c r="BC319" s="52"/>
      <c r="BD319" s="52"/>
      <c r="BE319" s="118"/>
      <c r="BF319" s="118"/>
      <c r="BG319" s="118"/>
      <c r="BH319" s="52"/>
      <c r="BI319" s="283"/>
      <c r="BJ319" s="52"/>
      <c r="BK319" s="52"/>
      <c r="BL319" s="52"/>
      <c r="BM319" s="52"/>
      <c r="BN319" s="52"/>
      <c r="BO319" s="52"/>
      <c r="BP319" s="52"/>
      <c r="BQ319" s="52"/>
      <c r="BR319" s="52"/>
      <c r="BS319" s="52"/>
      <c r="BT319" s="52"/>
      <c r="BU319" s="52"/>
      <c r="BV319" s="52"/>
      <c r="BW319" s="52"/>
      <c r="BX319" s="52"/>
      <c r="BY319" s="118">
        <f>+(23000/50)*10</f>
        <v>4600</v>
      </c>
      <c r="BZ319" s="118">
        <f>+BY319*0.19</f>
        <v>874</v>
      </c>
      <c r="CA319" s="364">
        <f>+BY319+BZ319</f>
        <v>5474</v>
      </c>
      <c r="CB319" s="52" t="s">
        <v>3737</v>
      </c>
      <c r="CC319" s="52" t="s">
        <v>3807</v>
      </c>
      <c r="CD319" s="118"/>
      <c r="CE319" s="52"/>
      <c r="CF319" s="52"/>
      <c r="CG319" s="52"/>
      <c r="CH319" s="52"/>
      <c r="CI319" s="52"/>
      <c r="CJ319" s="52"/>
      <c r="CK319" s="52"/>
      <c r="CL319" s="52"/>
      <c r="CM319" s="52"/>
      <c r="CN319" s="118"/>
      <c r="CO319" s="118"/>
      <c r="CP319" s="118"/>
      <c r="CQ319" s="52"/>
      <c r="CR319" s="52"/>
      <c r="CS319" s="52"/>
      <c r="CT319" s="52"/>
      <c r="CU319" s="52"/>
      <c r="CV319" s="52"/>
      <c r="CW319" s="52"/>
      <c r="CX319" s="52"/>
      <c r="CY319" s="52"/>
      <c r="CZ319" s="52"/>
      <c r="DA319" s="52"/>
      <c r="DB319" s="52"/>
    </row>
    <row r="320" spans="1:106" ht="13.5" x14ac:dyDescent="0.25">
      <c r="A320" s="411">
        <v>318</v>
      </c>
      <c r="B320" s="412" t="s">
        <v>3808</v>
      </c>
      <c r="C320" s="413" t="s">
        <v>622</v>
      </c>
      <c r="D320" s="426" t="s">
        <v>2005</v>
      </c>
      <c r="E320" s="80">
        <v>1</v>
      </c>
      <c r="F320" s="353">
        <v>73527.362999999998</v>
      </c>
      <c r="G320" s="293"/>
      <c r="H320" s="293"/>
      <c r="I320" s="293"/>
      <c r="J320" s="52"/>
      <c r="K320" s="52"/>
      <c r="L320" s="359"/>
      <c r="M320" s="360"/>
      <c r="N320" s="361"/>
      <c r="O320" s="33"/>
      <c r="P320" s="252"/>
      <c r="Q320" s="113"/>
      <c r="R320" s="113"/>
      <c r="S320" s="113"/>
      <c r="T320" s="52"/>
      <c r="U320" s="5"/>
      <c r="V320" s="231"/>
      <c r="W320" s="231"/>
      <c r="X320" s="231"/>
      <c r="Y320" s="113"/>
      <c r="Z320" s="357"/>
      <c r="AA320" s="118" t="s">
        <v>2877</v>
      </c>
      <c r="AB320" s="118"/>
      <c r="AC320" s="118"/>
      <c r="AD320" s="52"/>
      <c r="AE320" s="5"/>
      <c r="AF320" s="358"/>
      <c r="AG320" s="358"/>
      <c r="AH320" s="358"/>
      <c r="AI320" s="358"/>
      <c r="AJ320" s="358"/>
      <c r="AK320" s="113"/>
      <c r="AL320" s="113"/>
      <c r="AM320" s="113"/>
      <c r="AN320" s="113"/>
      <c r="AO320" s="113"/>
      <c r="AP320" s="52"/>
      <c r="AQ320" s="52"/>
      <c r="AR320" s="52"/>
      <c r="AS320" s="52"/>
      <c r="AT320" s="52"/>
      <c r="AU320" s="125"/>
      <c r="AV320" s="125"/>
      <c r="AW320" s="125"/>
      <c r="AX320" s="5"/>
      <c r="AY320" s="5"/>
      <c r="AZ320" s="113">
        <v>203000</v>
      </c>
      <c r="BA320" s="113">
        <v>38570</v>
      </c>
      <c r="BB320" s="113">
        <v>241570</v>
      </c>
      <c r="BC320" s="52" t="s">
        <v>338</v>
      </c>
      <c r="BD320" s="52" t="s">
        <v>3809</v>
      </c>
      <c r="BE320" s="118"/>
      <c r="BF320" s="118"/>
      <c r="BG320" s="118"/>
      <c r="BH320" s="52"/>
      <c r="BI320" s="283"/>
      <c r="BJ320" s="52"/>
      <c r="BK320" s="52"/>
      <c r="BL320" s="52"/>
      <c r="BM320" s="52"/>
      <c r="BN320" s="52"/>
      <c r="BO320" s="118">
        <v>8000</v>
      </c>
      <c r="BP320" s="118">
        <f>+BO320*0.19</f>
        <v>1520</v>
      </c>
      <c r="BQ320" s="118">
        <f>+BO320+BP320</f>
        <v>9520</v>
      </c>
      <c r="BR320" s="52" t="s">
        <v>3735</v>
      </c>
      <c r="BS320" s="52">
        <v>217102</v>
      </c>
      <c r="BT320" s="52"/>
      <c r="BU320" s="52"/>
      <c r="BV320" s="52"/>
      <c r="BW320" s="52"/>
      <c r="BX320" s="52"/>
      <c r="BY320" s="52"/>
      <c r="BZ320" s="52"/>
      <c r="CA320" s="52"/>
      <c r="CB320" s="52"/>
      <c r="CC320" s="52"/>
      <c r="CD320" s="118"/>
      <c r="CE320" s="52"/>
      <c r="CF320" s="52"/>
      <c r="CG320" s="52"/>
      <c r="CH320" s="52"/>
      <c r="CI320" s="52"/>
      <c r="CJ320" s="52"/>
      <c r="CK320" s="52"/>
      <c r="CL320" s="52"/>
      <c r="CM320" s="52"/>
      <c r="CN320" s="118"/>
      <c r="CO320" s="118"/>
      <c r="CP320" s="118"/>
      <c r="CQ320" s="52"/>
      <c r="CR320" s="52"/>
      <c r="CS320" s="52"/>
      <c r="CT320" s="52"/>
      <c r="CU320" s="52"/>
      <c r="CV320" s="52"/>
      <c r="CW320" s="52"/>
      <c r="CX320" s="52"/>
      <c r="CY320" s="52"/>
      <c r="CZ320" s="52"/>
      <c r="DA320" s="52"/>
      <c r="DB320" s="52"/>
    </row>
    <row r="321" spans="1:106" ht="13.5" x14ac:dyDescent="0.25">
      <c r="A321" s="411">
        <v>319</v>
      </c>
      <c r="B321" s="412" t="s">
        <v>3810</v>
      </c>
      <c r="C321" s="413" t="s">
        <v>622</v>
      </c>
      <c r="D321" s="426" t="s">
        <v>2901</v>
      </c>
      <c r="E321" s="80">
        <v>1</v>
      </c>
      <c r="F321" s="353">
        <v>7541.268</v>
      </c>
      <c r="G321" s="293">
        <v>4400</v>
      </c>
      <c r="H321" s="293">
        <v>836</v>
      </c>
      <c r="I321" s="293">
        <v>5236</v>
      </c>
      <c r="J321" s="52" t="s">
        <v>3244</v>
      </c>
      <c r="K321" s="52" t="s">
        <v>3811</v>
      </c>
      <c r="L321" s="359"/>
      <c r="M321" s="360"/>
      <c r="N321" s="361"/>
      <c r="O321" s="33"/>
      <c r="P321" s="252"/>
      <c r="Q321" s="113"/>
      <c r="R321" s="113"/>
      <c r="S321" s="113"/>
      <c r="T321" s="52"/>
      <c r="U321" s="5"/>
      <c r="V321" s="231"/>
      <c r="W321" s="231"/>
      <c r="X321" s="231"/>
      <c r="Y321" s="113"/>
      <c r="Z321" s="357"/>
      <c r="AA321" s="118" t="s">
        <v>2877</v>
      </c>
      <c r="AB321" s="118"/>
      <c r="AC321" s="118"/>
      <c r="AD321" s="52"/>
      <c r="AE321" s="5"/>
      <c r="AF321" s="358"/>
      <c r="AG321" s="358"/>
      <c r="AH321" s="358"/>
      <c r="AI321" s="358"/>
      <c r="AJ321" s="358"/>
      <c r="AK321" s="113">
        <v>4400</v>
      </c>
      <c r="AL321" s="113">
        <v>836</v>
      </c>
      <c r="AM321" s="113">
        <v>5236</v>
      </c>
      <c r="AN321" s="113" t="s">
        <v>3171</v>
      </c>
      <c r="AO321" s="113" t="s">
        <v>3812</v>
      </c>
      <c r="AP321" s="52"/>
      <c r="AQ321" s="52"/>
      <c r="AR321" s="52"/>
      <c r="AS321" s="52"/>
      <c r="AT321" s="52"/>
      <c r="AU321" s="125"/>
      <c r="AV321" s="125"/>
      <c r="AW321" s="125"/>
      <c r="AX321" s="5"/>
      <c r="AY321" s="5"/>
      <c r="AZ321" s="113">
        <v>3000</v>
      </c>
      <c r="BA321" s="113">
        <v>570</v>
      </c>
      <c r="BB321" s="113">
        <v>3570</v>
      </c>
      <c r="BC321" s="52" t="s">
        <v>3813</v>
      </c>
      <c r="BD321" s="52" t="s">
        <v>3814</v>
      </c>
      <c r="BE321" s="118"/>
      <c r="BF321" s="118"/>
      <c r="BG321" s="118"/>
      <c r="BH321" s="52"/>
      <c r="BI321" s="283"/>
      <c r="BJ321" s="52"/>
      <c r="BK321" s="52"/>
      <c r="BL321" s="52"/>
      <c r="BM321" s="52"/>
      <c r="BN321" s="52"/>
      <c r="BO321" s="118"/>
      <c r="BP321" s="118"/>
      <c r="BQ321" s="118"/>
      <c r="BR321" s="52"/>
      <c r="BS321" s="52"/>
      <c r="BT321" s="52"/>
      <c r="BU321" s="52"/>
      <c r="BV321" s="52"/>
      <c r="BW321" s="52"/>
      <c r="BX321" s="52"/>
      <c r="BY321" s="52"/>
      <c r="BZ321" s="52"/>
      <c r="CA321" s="52"/>
      <c r="CB321" s="52"/>
      <c r="CC321" s="52"/>
      <c r="CD321" s="118"/>
      <c r="CE321" s="52"/>
      <c r="CF321" s="52"/>
      <c r="CG321" s="52"/>
      <c r="CH321" s="52"/>
      <c r="CI321" s="52"/>
      <c r="CJ321" s="52"/>
      <c r="CK321" s="52"/>
      <c r="CL321" s="52"/>
      <c r="CM321" s="52"/>
      <c r="CN321" s="118">
        <v>3100</v>
      </c>
      <c r="CO321" s="118">
        <f>+CN321*0.19</f>
        <v>589</v>
      </c>
      <c r="CP321" s="118">
        <f>+CN321+CO321</f>
        <v>3689</v>
      </c>
      <c r="CQ321" s="52" t="s">
        <v>3815</v>
      </c>
      <c r="CR321" s="52" t="s">
        <v>3816</v>
      </c>
      <c r="CS321" s="52"/>
      <c r="CT321" s="52"/>
      <c r="CU321" s="52"/>
      <c r="CV321" s="52"/>
      <c r="CW321" s="52"/>
      <c r="CX321" s="52"/>
      <c r="CY321" s="52"/>
      <c r="CZ321" s="52"/>
      <c r="DA321" s="52"/>
      <c r="DB321" s="52"/>
    </row>
    <row r="322" spans="1:106" ht="13.5" x14ac:dyDescent="0.25">
      <c r="A322" s="411">
        <v>320</v>
      </c>
      <c r="B322" s="412" t="s">
        <v>3817</v>
      </c>
      <c r="C322" s="426" t="s">
        <v>622</v>
      </c>
      <c r="D322" s="426" t="s">
        <v>2901</v>
      </c>
      <c r="E322" s="80">
        <v>1</v>
      </c>
      <c r="F322" s="353">
        <v>13197.219000000001</v>
      </c>
      <c r="G322" s="293"/>
      <c r="H322" s="293"/>
      <c r="I322" s="293"/>
      <c r="J322" s="52"/>
      <c r="K322" s="52"/>
      <c r="L322" s="359"/>
      <c r="M322" s="360"/>
      <c r="N322" s="361"/>
      <c r="O322" s="33"/>
      <c r="P322" s="252"/>
      <c r="Q322" s="113"/>
      <c r="R322" s="113"/>
      <c r="S322" s="113"/>
      <c r="T322" s="52"/>
      <c r="U322" s="5"/>
      <c r="V322" s="231"/>
      <c r="W322" s="231"/>
      <c r="X322" s="231"/>
      <c r="Y322" s="113"/>
      <c r="Z322" s="357"/>
      <c r="AA322" s="118" t="s">
        <v>2877</v>
      </c>
      <c r="AB322" s="118"/>
      <c r="AC322" s="118"/>
      <c r="AD322" s="52"/>
      <c r="AE322" s="5"/>
      <c r="AF322" s="358"/>
      <c r="AG322" s="358"/>
      <c r="AH322" s="358"/>
      <c r="AI322" s="358"/>
      <c r="AJ322" s="358"/>
      <c r="AK322" s="113"/>
      <c r="AL322" s="113"/>
      <c r="AM322" s="113"/>
      <c r="AN322" s="113"/>
      <c r="AO322" s="113"/>
      <c r="AP322" s="52"/>
      <c r="AQ322" s="52"/>
      <c r="AR322" s="52"/>
      <c r="AS322" s="52"/>
      <c r="AT322" s="52"/>
      <c r="AU322" s="125"/>
      <c r="AV322" s="125"/>
      <c r="AW322" s="125"/>
      <c r="AX322" s="5"/>
      <c r="AY322" s="5"/>
      <c r="AZ322" s="113"/>
      <c r="BA322" s="113"/>
      <c r="BB322" s="113"/>
      <c r="BC322" s="52"/>
      <c r="BD322" s="52"/>
      <c r="BE322" s="118"/>
      <c r="BF322" s="118"/>
      <c r="BG322" s="118"/>
      <c r="BH322" s="52"/>
      <c r="BI322" s="283"/>
      <c r="BJ322" s="52"/>
      <c r="BK322" s="52"/>
      <c r="BL322" s="52"/>
      <c r="BM322" s="52"/>
      <c r="BN322" s="52"/>
      <c r="BO322" s="118">
        <v>8000</v>
      </c>
      <c r="BP322" s="118">
        <f>+BO322*0.19</f>
        <v>1520</v>
      </c>
      <c r="BQ322" s="118">
        <f>+BO322+BP322</f>
        <v>9520</v>
      </c>
      <c r="BR322" s="52" t="s">
        <v>3735</v>
      </c>
      <c r="BS322" s="52">
        <v>217102</v>
      </c>
      <c r="BT322" s="52"/>
      <c r="BU322" s="52"/>
      <c r="BV322" s="52"/>
      <c r="BW322" s="52"/>
      <c r="BX322" s="52"/>
      <c r="BY322" s="52"/>
      <c r="BZ322" s="52"/>
      <c r="CA322" s="52"/>
      <c r="CB322" s="52"/>
      <c r="CC322" s="52"/>
      <c r="CD322" s="118">
        <v>10085</v>
      </c>
      <c r="CE322" s="118">
        <f>+CD322*0.19</f>
        <v>1916.15</v>
      </c>
      <c r="CF322" s="118">
        <f>+CD322+CE322</f>
        <v>12001.15</v>
      </c>
      <c r="CG322" s="52"/>
      <c r="CH322" s="118" t="s">
        <v>3818</v>
      </c>
      <c r="CI322" s="52"/>
      <c r="CJ322" s="52"/>
      <c r="CK322" s="52"/>
      <c r="CL322" s="52"/>
      <c r="CM322" s="52"/>
      <c r="CN322" s="118"/>
      <c r="CO322" s="118"/>
      <c r="CP322" s="118"/>
      <c r="CQ322" s="52"/>
      <c r="CR322" s="52"/>
      <c r="CS322" s="52"/>
      <c r="CT322" s="52"/>
      <c r="CU322" s="52"/>
      <c r="CV322" s="52"/>
      <c r="CW322" s="52"/>
      <c r="CX322" s="52"/>
      <c r="CY322" s="52"/>
      <c r="CZ322" s="52"/>
      <c r="DA322" s="52"/>
      <c r="DB322" s="52"/>
    </row>
    <row r="323" spans="1:106" ht="13.5" x14ac:dyDescent="0.25">
      <c r="A323" s="411">
        <v>321</v>
      </c>
      <c r="B323" s="412" t="s">
        <v>3819</v>
      </c>
      <c r="C323" s="426" t="s">
        <v>622</v>
      </c>
      <c r="D323" s="426" t="s">
        <v>2901</v>
      </c>
      <c r="E323" s="80">
        <v>1</v>
      </c>
      <c r="F323" s="353">
        <v>10657.058000000001</v>
      </c>
      <c r="G323" s="293"/>
      <c r="H323" s="293"/>
      <c r="I323" s="293"/>
      <c r="J323" s="52"/>
      <c r="K323" s="52"/>
      <c r="L323" s="359"/>
      <c r="M323" s="360"/>
      <c r="N323" s="361"/>
      <c r="O323" s="33"/>
      <c r="P323" s="252"/>
      <c r="Q323" s="113"/>
      <c r="R323" s="113"/>
      <c r="S323" s="113"/>
      <c r="T323" s="52"/>
      <c r="U323" s="5"/>
      <c r="V323" s="231"/>
      <c r="W323" s="231"/>
      <c r="X323" s="231"/>
      <c r="Y323" s="113"/>
      <c r="Z323" s="357"/>
      <c r="AA323" s="118" t="s">
        <v>2877</v>
      </c>
      <c r="AB323" s="118"/>
      <c r="AC323" s="118"/>
      <c r="AD323" s="52"/>
      <c r="AE323" s="5"/>
      <c r="AF323" s="358"/>
      <c r="AG323" s="358"/>
      <c r="AH323" s="358"/>
      <c r="AI323" s="358"/>
      <c r="AJ323" s="358"/>
      <c r="AK323" s="113"/>
      <c r="AL323" s="113"/>
      <c r="AM323" s="113"/>
      <c r="AN323" s="113"/>
      <c r="AO323" s="113"/>
      <c r="AP323" s="52"/>
      <c r="AQ323" s="52"/>
      <c r="AR323" s="52"/>
      <c r="AS323" s="52"/>
      <c r="AT323" s="52"/>
      <c r="AU323" s="125"/>
      <c r="AV323" s="125"/>
      <c r="AW323" s="125"/>
      <c r="AX323" s="5"/>
      <c r="AY323" s="5"/>
      <c r="AZ323" s="113"/>
      <c r="BA323" s="113"/>
      <c r="BB323" s="113"/>
      <c r="BC323" s="52"/>
      <c r="BD323" s="52"/>
      <c r="BE323" s="118"/>
      <c r="BF323" s="118"/>
      <c r="BG323" s="118"/>
      <c r="BH323" s="52"/>
      <c r="BI323" s="283"/>
      <c r="BJ323" s="52"/>
      <c r="BK323" s="52"/>
      <c r="BL323" s="52"/>
      <c r="BM323" s="52"/>
      <c r="BN323" s="52"/>
      <c r="BO323" s="118"/>
      <c r="BP323" s="118"/>
      <c r="BQ323" s="118"/>
      <c r="BR323" s="52"/>
      <c r="BS323" s="52"/>
      <c r="BT323" s="52"/>
      <c r="BU323" s="52"/>
      <c r="BV323" s="52"/>
      <c r="BW323" s="52"/>
      <c r="BX323" s="52"/>
      <c r="BY323" s="52"/>
      <c r="BZ323" s="52"/>
      <c r="CA323" s="52"/>
      <c r="CB323" s="52"/>
      <c r="CC323" s="52"/>
      <c r="CD323" s="118"/>
      <c r="CE323" s="52"/>
      <c r="CF323" s="52"/>
      <c r="CG323" s="52"/>
      <c r="CH323" s="52"/>
      <c r="CI323" s="52"/>
      <c r="CJ323" s="52"/>
      <c r="CK323" s="52"/>
      <c r="CL323" s="52"/>
      <c r="CM323" s="52"/>
      <c r="CN323" s="118"/>
      <c r="CO323" s="118"/>
      <c r="CP323" s="118"/>
      <c r="CQ323" s="52"/>
      <c r="CR323" s="52"/>
      <c r="CS323" s="52"/>
      <c r="CT323" s="52"/>
      <c r="CU323" s="52"/>
      <c r="CV323" s="52"/>
      <c r="CW323" s="52"/>
      <c r="CX323" s="52"/>
      <c r="CY323" s="52"/>
      <c r="CZ323" s="52"/>
      <c r="DA323" s="52"/>
      <c r="DB323" s="52"/>
    </row>
    <row r="324" spans="1:106" ht="13.5" x14ac:dyDescent="0.25">
      <c r="A324" s="411">
        <v>322</v>
      </c>
      <c r="B324" s="412" t="s">
        <v>3820</v>
      </c>
      <c r="C324" s="413" t="s">
        <v>622</v>
      </c>
      <c r="D324" s="426" t="s">
        <v>3739</v>
      </c>
      <c r="E324" s="80">
        <v>1</v>
      </c>
      <c r="F324" s="353">
        <v>66697.973800000007</v>
      </c>
      <c r="G324" s="293"/>
      <c r="H324" s="293"/>
      <c r="I324" s="293"/>
      <c r="J324" s="52"/>
      <c r="K324" s="52"/>
      <c r="L324" s="359"/>
      <c r="M324" s="360"/>
      <c r="N324" s="361"/>
      <c r="O324" s="33"/>
      <c r="P324" s="252"/>
      <c r="Q324" s="113"/>
      <c r="R324" s="113"/>
      <c r="S324" s="113"/>
      <c r="T324" s="52"/>
      <c r="U324" s="5"/>
      <c r="V324" s="231"/>
      <c r="W324" s="231"/>
      <c r="X324" s="231"/>
      <c r="Y324" s="113"/>
      <c r="Z324" s="357"/>
      <c r="AA324" s="118" t="s">
        <v>2877</v>
      </c>
      <c r="AB324" s="118"/>
      <c r="AC324" s="118"/>
      <c r="AD324" s="52"/>
      <c r="AE324" s="5"/>
      <c r="AF324" s="358"/>
      <c r="AG324" s="358"/>
      <c r="AH324" s="358"/>
      <c r="AI324" s="358"/>
      <c r="AJ324" s="358"/>
      <c r="AK324" s="113"/>
      <c r="AL324" s="113"/>
      <c r="AM324" s="113"/>
      <c r="AN324" s="113"/>
      <c r="AO324" s="113"/>
      <c r="AP324" s="52"/>
      <c r="AQ324" s="52"/>
      <c r="AR324" s="52"/>
      <c r="AS324" s="52"/>
      <c r="AT324" s="52"/>
      <c r="AU324" s="125"/>
      <c r="AV324" s="125"/>
      <c r="AW324" s="125"/>
      <c r="AX324" s="5"/>
      <c r="AY324" s="5"/>
      <c r="AZ324" s="113"/>
      <c r="BA324" s="113"/>
      <c r="BB324" s="113"/>
      <c r="BC324" s="52"/>
      <c r="BD324" s="52"/>
      <c r="BE324" s="118"/>
      <c r="BF324" s="118"/>
      <c r="BG324" s="118"/>
      <c r="BH324" s="52"/>
      <c r="BI324" s="283"/>
      <c r="BJ324" s="52"/>
      <c r="BK324" s="52"/>
      <c r="BL324" s="52"/>
      <c r="BM324" s="52"/>
      <c r="BN324" s="52"/>
      <c r="BO324" s="118"/>
      <c r="BP324" s="118"/>
      <c r="BQ324" s="118"/>
      <c r="BR324" s="52"/>
      <c r="BS324" s="52"/>
      <c r="BT324" s="52"/>
      <c r="BU324" s="52"/>
      <c r="BV324" s="52"/>
      <c r="BW324" s="52"/>
      <c r="BX324" s="52"/>
      <c r="BY324" s="52"/>
      <c r="BZ324" s="52"/>
      <c r="CA324" s="52"/>
      <c r="CB324" s="52"/>
      <c r="CC324" s="52"/>
      <c r="CD324" s="118"/>
      <c r="CE324" s="52"/>
      <c r="CF324" s="52"/>
      <c r="CG324" s="52"/>
      <c r="CH324" s="52"/>
      <c r="CI324" s="52"/>
      <c r="CJ324" s="52"/>
      <c r="CK324" s="52"/>
      <c r="CL324" s="52"/>
      <c r="CM324" s="52"/>
      <c r="CN324" s="118"/>
      <c r="CO324" s="118"/>
      <c r="CP324" s="118"/>
      <c r="CQ324" s="52"/>
      <c r="CR324" s="52"/>
      <c r="CS324" s="52"/>
      <c r="CT324" s="52"/>
      <c r="CU324" s="52"/>
      <c r="CV324" s="52"/>
      <c r="CW324" s="52"/>
      <c r="CX324" s="52"/>
      <c r="CY324" s="52"/>
      <c r="CZ324" s="52"/>
      <c r="DA324" s="52"/>
      <c r="DB324" s="52"/>
    </row>
    <row r="325" spans="1:106" ht="13.5" x14ac:dyDescent="0.25">
      <c r="A325" s="411">
        <v>323</v>
      </c>
      <c r="B325" s="412" t="s">
        <v>3821</v>
      </c>
      <c r="C325" s="413" t="s">
        <v>622</v>
      </c>
      <c r="D325" s="426" t="s">
        <v>2005</v>
      </c>
      <c r="E325" s="80">
        <v>1</v>
      </c>
      <c r="F325" s="353">
        <v>1238052.2912000001</v>
      </c>
      <c r="G325" s="293"/>
      <c r="H325" s="293"/>
      <c r="I325" s="293"/>
      <c r="J325" s="52"/>
      <c r="K325" s="52"/>
      <c r="L325" s="359"/>
      <c r="M325" s="360"/>
      <c r="N325" s="361"/>
      <c r="O325" s="33"/>
      <c r="P325" s="252"/>
      <c r="Q325" s="113"/>
      <c r="R325" s="113"/>
      <c r="S325" s="113"/>
      <c r="T325" s="52"/>
      <c r="U325" s="5"/>
      <c r="V325" s="231"/>
      <c r="W325" s="231"/>
      <c r="X325" s="231"/>
      <c r="Y325" s="113"/>
      <c r="Z325" s="357"/>
      <c r="AA325" s="118" t="s">
        <v>2877</v>
      </c>
      <c r="AB325" s="118"/>
      <c r="AC325" s="118"/>
      <c r="AD325" s="52"/>
      <c r="AE325" s="5"/>
      <c r="AF325" s="358"/>
      <c r="AG325" s="358"/>
      <c r="AH325" s="358"/>
      <c r="AI325" s="358"/>
      <c r="AJ325" s="358"/>
      <c r="AK325" s="113"/>
      <c r="AL325" s="113"/>
      <c r="AM325" s="113"/>
      <c r="AN325" s="113"/>
      <c r="AO325" s="113"/>
      <c r="AP325" s="52"/>
      <c r="AQ325" s="52"/>
      <c r="AR325" s="52"/>
      <c r="AS325" s="52"/>
      <c r="AT325" s="52"/>
      <c r="AU325" s="125"/>
      <c r="AV325" s="125"/>
      <c r="AW325" s="125"/>
      <c r="AX325" s="5"/>
      <c r="AY325" s="5"/>
      <c r="AZ325" s="113"/>
      <c r="BA325" s="113"/>
      <c r="BB325" s="113"/>
      <c r="BC325" s="52"/>
      <c r="BD325" s="52"/>
      <c r="BE325" s="118"/>
      <c r="BF325" s="118"/>
      <c r="BG325" s="118"/>
      <c r="BH325" s="52"/>
      <c r="BI325" s="283"/>
      <c r="BJ325" s="52"/>
      <c r="BK325" s="52"/>
      <c r="BL325" s="52"/>
      <c r="BM325" s="52"/>
      <c r="BN325" s="52"/>
      <c r="BO325" s="118">
        <v>100000</v>
      </c>
      <c r="BP325" s="118">
        <f>+BO325*0.19</f>
        <v>19000</v>
      </c>
      <c r="BQ325" s="118">
        <f>+BO325+BP325</f>
        <v>119000</v>
      </c>
      <c r="BR325" s="52" t="s">
        <v>3822</v>
      </c>
      <c r="BS325" s="52">
        <v>4402840</v>
      </c>
      <c r="BT325" s="52"/>
      <c r="BU325" s="52"/>
      <c r="BV325" s="52"/>
      <c r="BW325" s="52"/>
      <c r="BX325" s="52"/>
      <c r="BY325" s="52"/>
      <c r="BZ325" s="52"/>
      <c r="CA325" s="52"/>
      <c r="CB325" s="52"/>
      <c r="CC325" s="52"/>
      <c r="CD325" s="118"/>
      <c r="CE325" s="52"/>
      <c r="CF325" s="52"/>
      <c r="CG325" s="52"/>
      <c r="CH325" s="52"/>
      <c r="CI325" s="52"/>
      <c r="CJ325" s="52"/>
      <c r="CK325" s="52"/>
      <c r="CL325" s="52"/>
      <c r="CM325" s="52"/>
      <c r="CN325" s="118"/>
      <c r="CO325" s="118"/>
      <c r="CP325" s="118"/>
      <c r="CQ325" s="52"/>
      <c r="CR325" s="52"/>
      <c r="CS325" s="52"/>
      <c r="CT325" s="52"/>
      <c r="CU325" s="52"/>
      <c r="CV325" s="52"/>
      <c r="CW325" s="52"/>
      <c r="CX325" s="52"/>
      <c r="CY325" s="52"/>
      <c r="CZ325" s="52"/>
      <c r="DA325" s="52"/>
      <c r="DB325" s="52"/>
    </row>
    <row r="326" spans="1:106" ht="13.5" x14ac:dyDescent="0.25">
      <c r="A326" s="411">
        <v>324</v>
      </c>
      <c r="B326" s="412" t="s">
        <v>3823</v>
      </c>
      <c r="C326" s="426" t="s">
        <v>3824</v>
      </c>
      <c r="D326" s="426" t="s">
        <v>3825</v>
      </c>
      <c r="E326" s="80">
        <v>1</v>
      </c>
      <c r="F326" s="353">
        <v>47196.296999999999</v>
      </c>
      <c r="G326" s="293"/>
      <c r="H326" s="293"/>
      <c r="I326" s="293"/>
      <c r="J326" s="52"/>
      <c r="K326" s="52"/>
      <c r="L326" s="359"/>
      <c r="M326" s="360"/>
      <c r="N326" s="361"/>
      <c r="O326" s="33"/>
      <c r="P326" s="252"/>
      <c r="Q326" s="113"/>
      <c r="R326" s="113"/>
      <c r="S326" s="113"/>
      <c r="T326" s="52"/>
      <c r="U326" s="5"/>
      <c r="V326" s="231"/>
      <c r="W326" s="231"/>
      <c r="X326" s="231"/>
      <c r="Y326" s="113"/>
      <c r="Z326" s="357"/>
      <c r="AA326" s="118" t="s">
        <v>2877</v>
      </c>
      <c r="AB326" s="118"/>
      <c r="AC326" s="118"/>
      <c r="AD326" s="52"/>
      <c r="AE326" s="5"/>
      <c r="AF326" s="358"/>
      <c r="AG326" s="358"/>
      <c r="AH326" s="358"/>
      <c r="AI326" s="358"/>
      <c r="AJ326" s="358"/>
      <c r="AK326" s="113"/>
      <c r="AL326" s="113"/>
      <c r="AM326" s="113"/>
      <c r="AN326" s="113"/>
      <c r="AO326" s="113"/>
      <c r="AP326" s="52"/>
      <c r="AQ326" s="52"/>
      <c r="AR326" s="52"/>
      <c r="AS326" s="52"/>
      <c r="AT326" s="52"/>
      <c r="AU326" s="125"/>
      <c r="AV326" s="125"/>
      <c r="AW326" s="125"/>
      <c r="AX326" s="5"/>
      <c r="AY326" s="5"/>
      <c r="AZ326" s="113"/>
      <c r="BA326" s="113"/>
      <c r="BB326" s="113"/>
      <c r="BC326" s="52"/>
      <c r="BD326" s="52"/>
      <c r="BE326" s="118"/>
      <c r="BF326" s="118"/>
      <c r="BG326" s="118"/>
      <c r="BH326" s="52"/>
      <c r="BI326" s="283"/>
      <c r="BJ326" s="52"/>
      <c r="BK326" s="52"/>
      <c r="BL326" s="52"/>
      <c r="BM326" s="52"/>
      <c r="BN326" s="52"/>
      <c r="BO326" s="118"/>
      <c r="BP326" s="118"/>
      <c r="BQ326" s="118"/>
      <c r="BR326" s="52"/>
      <c r="BS326" s="52"/>
      <c r="BT326" s="52"/>
      <c r="BU326" s="52"/>
      <c r="BV326" s="52"/>
      <c r="BW326" s="52"/>
      <c r="BX326" s="52"/>
      <c r="BY326" s="293">
        <v>468000</v>
      </c>
      <c r="BZ326" s="118">
        <f>+BY326*0.19</f>
        <v>88920</v>
      </c>
      <c r="CA326" s="364">
        <f>+BY326+BZ326</f>
        <v>556920</v>
      </c>
      <c r="CB326" s="52" t="s">
        <v>2956</v>
      </c>
      <c r="CC326" s="52" t="s">
        <v>3230</v>
      </c>
      <c r="CD326" s="118"/>
      <c r="CE326" s="52"/>
      <c r="CF326" s="52"/>
      <c r="CG326" s="52"/>
      <c r="CH326" s="52"/>
      <c r="CI326" s="52"/>
      <c r="CJ326" s="52"/>
      <c r="CK326" s="52"/>
      <c r="CL326" s="52"/>
      <c r="CM326" s="52"/>
      <c r="CN326" s="118"/>
      <c r="CO326" s="118"/>
      <c r="CP326" s="118"/>
      <c r="CQ326" s="52"/>
      <c r="CR326" s="52"/>
      <c r="CS326" s="52"/>
      <c r="CT326" s="52"/>
      <c r="CU326" s="52"/>
      <c r="CV326" s="52"/>
      <c r="CW326" s="52"/>
      <c r="CX326" s="52"/>
      <c r="CY326" s="52"/>
      <c r="CZ326" s="52"/>
      <c r="DA326" s="52"/>
      <c r="DB326" s="52"/>
    </row>
    <row r="327" spans="1:106" ht="54" x14ac:dyDescent="0.25">
      <c r="A327" s="411">
        <v>325</v>
      </c>
      <c r="B327" s="412" t="s">
        <v>3826</v>
      </c>
      <c r="C327" s="413" t="s">
        <v>3827</v>
      </c>
      <c r="D327" s="426" t="s">
        <v>445</v>
      </c>
      <c r="E327" s="80">
        <v>1</v>
      </c>
      <c r="F327" s="355">
        <v>149975.11900000001</v>
      </c>
      <c r="G327" s="293"/>
      <c r="H327" s="293"/>
      <c r="I327" s="293"/>
      <c r="J327" s="52"/>
      <c r="K327" s="52"/>
      <c r="L327" s="359"/>
      <c r="M327" s="360"/>
      <c r="N327" s="361"/>
      <c r="O327" s="33"/>
      <c r="P327" s="252"/>
      <c r="Q327" s="113"/>
      <c r="R327" s="113"/>
      <c r="S327" s="113"/>
      <c r="T327" s="52"/>
      <c r="U327" s="5"/>
      <c r="V327" s="231"/>
      <c r="W327" s="231"/>
      <c r="X327" s="231"/>
      <c r="Y327" s="113"/>
      <c r="Z327" s="357"/>
      <c r="AA327" s="118" t="s">
        <v>2877</v>
      </c>
      <c r="AB327" s="118"/>
      <c r="AC327" s="118"/>
      <c r="AD327" s="52"/>
      <c r="AE327" s="5"/>
      <c r="AF327" s="358"/>
      <c r="AG327" s="358"/>
      <c r="AH327" s="358"/>
      <c r="AI327" s="358"/>
      <c r="AJ327" s="358"/>
      <c r="AK327" s="113"/>
      <c r="AL327" s="113"/>
      <c r="AM327" s="113"/>
      <c r="AN327" s="113"/>
      <c r="AO327" s="113"/>
      <c r="AP327" s="52"/>
      <c r="AQ327" s="52"/>
      <c r="AR327" s="52"/>
      <c r="AS327" s="52"/>
      <c r="AT327" s="52"/>
      <c r="AU327" s="125"/>
      <c r="AV327" s="125"/>
      <c r="AW327" s="125"/>
      <c r="AX327" s="5"/>
      <c r="AY327" s="5"/>
      <c r="AZ327" s="113">
        <v>180000</v>
      </c>
      <c r="BA327" s="113">
        <v>34200</v>
      </c>
      <c r="BB327" s="113">
        <v>214200</v>
      </c>
      <c r="BC327" s="52" t="s">
        <v>3828</v>
      </c>
      <c r="BD327" s="52" t="s">
        <v>3829</v>
      </c>
      <c r="BE327" s="118"/>
      <c r="BF327" s="118"/>
      <c r="BG327" s="118"/>
      <c r="BH327" s="52"/>
      <c r="BI327" s="283"/>
      <c r="BJ327" s="52"/>
      <c r="BK327" s="52"/>
      <c r="BL327" s="52"/>
      <c r="BM327" s="52"/>
      <c r="BN327" s="52"/>
      <c r="BO327" s="118">
        <v>200000</v>
      </c>
      <c r="BP327" s="118">
        <f>+BO327*0.19</f>
        <v>38000</v>
      </c>
      <c r="BQ327" s="118">
        <f>+BO327+BP327</f>
        <v>238000</v>
      </c>
      <c r="BR327" s="52" t="s">
        <v>2944</v>
      </c>
      <c r="BS327" s="52">
        <v>2950</v>
      </c>
      <c r="BT327" s="52"/>
      <c r="BU327" s="52"/>
      <c r="BV327" s="52"/>
      <c r="BW327" s="52"/>
      <c r="BX327" s="52"/>
      <c r="BY327" s="293">
        <v>188000</v>
      </c>
      <c r="BZ327" s="118">
        <f>+BY327*0.19</f>
        <v>35720</v>
      </c>
      <c r="CA327" s="364">
        <f>+BY327+BZ327</f>
        <v>223720</v>
      </c>
      <c r="CB327" s="52" t="s">
        <v>3245</v>
      </c>
      <c r="CC327" s="33">
        <v>2950</v>
      </c>
      <c r="CD327" s="118"/>
      <c r="CE327" s="52"/>
      <c r="CF327" s="52"/>
      <c r="CG327" s="52"/>
      <c r="CH327" s="52"/>
      <c r="CI327" s="52"/>
      <c r="CJ327" s="52"/>
      <c r="CK327" s="52"/>
      <c r="CL327" s="52"/>
      <c r="CM327" s="52"/>
      <c r="CN327" s="118"/>
      <c r="CO327" s="118"/>
      <c r="CP327" s="118"/>
      <c r="CQ327" s="52"/>
      <c r="CR327" s="52"/>
      <c r="CS327" s="52"/>
      <c r="CT327" s="52"/>
      <c r="CU327" s="52"/>
      <c r="CV327" s="52"/>
      <c r="CW327" s="52"/>
      <c r="CX327" s="52"/>
      <c r="CY327" s="52"/>
      <c r="CZ327" s="52"/>
      <c r="DA327" s="52"/>
      <c r="DB327" s="52"/>
    </row>
    <row r="328" spans="1:106" ht="13.5" x14ac:dyDescent="0.25">
      <c r="A328" s="411">
        <v>326</v>
      </c>
      <c r="B328" s="414" t="s">
        <v>3830</v>
      </c>
      <c r="C328" s="560" t="s">
        <v>622</v>
      </c>
      <c r="D328" s="414" t="s">
        <v>445</v>
      </c>
      <c r="E328" s="80">
        <v>1</v>
      </c>
      <c r="F328" s="80"/>
      <c r="G328" s="293"/>
      <c r="H328" s="293"/>
      <c r="I328" s="293"/>
      <c r="J328" s="52"/>
      <c r="K328" s="52"/>
      <c r="L328" s="359"/>
      <c r="M328" s="360"/>
      <c r="N328" s="361"/>
      <c r="O328" s="33"/>
      <c r="P328" s="252"/>
      <c r="Q328" s="113"/>
      <c r="R328" s="113"/>
      <c r="S328" s="113"/>
      <c r="T328" s="52"/>
      <c r="U328" s="5"/>
      <c r="V328" s="231"/>
      <c r="W328" s="231"/>
      <c r="X328" s="231"/>
      <c r="Y328" s="113"/>
      <c r="Z328" s="357"/>
      <c r="AA328" s="118" t="s">
        <v>2877</v>
      </c>
      <c r="AB328" s="118"/>
      <c r="AC328" s="118"/>
      <c r="AD328" s="52"/>
      <c r="AE328" s="5"/>
      <c r="AF328" s="358"/>
      <c r="AG328" s="358"/>
      <c r="AH328" s="358"/>
      <c r="AI328" s="358"/>
      <c r="AJ328" s="358"/>
      <c r="AK328" s="113"/>
      <c r="AL328" s="113"/>
      <c r="AM328" s="113"/>
      <c r="AN328" s="113"/>
      <c r="AO328" s="113"/>
      <c r="AP328" s="52"/>
      <c r="AQ328" s="52"/>
      <c r="AR328" s="52"/>
      <c r="AS328" s="52"/>
      <c r="AT328" s="52"/>
      <c r="AU328" s="125"/>
      <c r="AV328" s="125"/>
      <c r="AW328" s="125"/>
      <c r="AX328" s="5"/>
      <c r="AY328" s="5"/>
      <c r="AZ328" s="113">
        <v>114000</v>
      </c>
      <c r="BA328" s="113">
        <v>21660</v>
      </c>
      <c r="BB328" s="113">
        <v>135660</v>
      </c>
      <c r="BC328" s="52" t="s">
        <v>3831</v>
      </c>
      <c r="BD328" s="52">
        <v>312738</v>
      </c>
      <c r="BE328" s="118"/>
      <c r="BF328" s="118"/>
      <c r="BG328" s="118"/>
      <c r="BH328" s="52"/>
      <c r="BI328" s="283"/>
      <c r="BJ328" s="52"/>
      <c r="BK328" s="52"/>
      <c r="BL328" s="52"/>
      <c r="BM328" s="52"/>
      <c r="BN328" s="52"/>
      <c r="BO328" s="52"/>
      <c r="BP328" s="52"/>
      <c r="BQ328" s="52"/>
      <c r="BR328" s="52"/>
      <c r="BS328" s="52"/>
      <c r="BT328" s="52"/>
      <c r="BU328" s="52"/>
      <c r="BV328" s="52"/>
      <c r="BW328" s="52"/>
      <c r="BX328" s="52"/>
      <c r="BY328" s="52"/>
      <c r="BZ328" s="52"/>
      <c r="CA328" s="52"/>
      <c r="CB328" s="52"/>
      <c r="CC328" s="52"/>
      <c r="CD328" s="118"/>
      <c r="CE328" s="52"/>
      <c r="CF328" s="52"/>
      <c r="CG328" s="52"/>
      <c r="CH328" s="52"/>
      <c r="CI328" s="52"/>
      <c r="CJ328" s="52"/>
      <c r="CK328" s="52"/>
      <c r="CL328" s="52"/>
      <c r="CM328" s="52"/>
      <c r="CN328" s="118"/>
      <c r="CO328" s="118"/>
      <c r="CP328" s="118"/>
      <c r="CQ328" s="52"/>
      <c r="CR328" s="52"/>
      <c r="CS328" s="52"/>
      <c r="CT328" s="52"/>
      <c r="CU328" s="52"/>
      <c r="CV328" s="52"/>
      <c r="CW328" s="52"/>
      <c r="CX328" s="52"/>
      <c r="CY328" s="52"/>
      <c r="CZ328" s="52"/>
      <c r="DA328" s="52"/>
      <c r="DB328" s="52"/>
    </row>
    <row r="329" spans="1:106" ht="13.5" x14ac:dyDescent="0.25">
      <c r="A329" s="411">
        <v>327</v>
      </c>
      <c r="B329" s="412" t="s">
        <v>3832</v>
      </c>
      <c r="C329" s="413" t="s">
        <v>622</v>
      </c>
      <c r="D329" s="426" t="s">
        <v>445</v>
      </c>
      <c r="E329" s="80">
        <v>1</v>
      </c>
      <c r="F329" s="353">
        <v>207384.87</v>
      </c>
      <c r="G329" s="293"/>
      <c r="H329" s="293"/>
      <c r="I329" s="293"/>
      <c r="J329" s="52"/>
      <c r="K329" s="52"/>
      <c r="L329" s="359"/>
      <c r="M329" s="360"/>
      <c r="N329" s="361"/>
      <c r="O329" s="33"/>
      <c r="P329" s="252"/>
      <c r="Q329" s="113"/>
      <c r="R329" s="113"/>
      <c r="S329" s="113"/>
      <c r="T329" s="52"/>
      <c r="U329" s="5"/>
      <c r="V329" s="231"/>
      <c r="W329" s="231"/>
      <c r="X329" s="231"/>
      <c r="Y329" s="113"/>
      <c r="Z329" s="357"/>
      <c r="AA329" s="118" t="s">
        <v>2877</v>
      </c>
      <c r="AB329" s="118"/>
      <c r="AC329" s="118"/>
      <c r="AD329" s="52"/>
      <c r="AE329" s="5"/>
      <c r="AF329" s="358"/>
      <c r="AG329" s="358"/>
      <c r="AH329" s="358"/>
      <c r="AI329" s="358"/>
      <c r="AJ329" s="358"/>
      <c r="AK329" s="113"/>
      <c r="AL329" s="113"/>
      <c r="AM329" s="113"/>
      <c r="AN329" s="113"/>
      <c r="AO329" s="113"/>
      <c r="AP329" s="52"/>
      <c r="AQ329" s="52"/>
      <c r="AR329" s="52"/>
      <c r="AS329" s="52"/>
      <c r="AT329" s="52"/>
      <c r="AU329" s="125"/>
      <c r="AV329" s="125"/>
      <c r="AW329" s="125"/>
      <c r="AX329" s="5"/>
      <c r="AY329" s="5"/>
      <c r="AZ329" s="113">
        <v>140000</v>
      </c>
      <c r="BA329" s="113">
        <v>26600</v>
      </c>
      <c r="BB329" s="113">
        <v>166600</v>
      </c>
      <c r="BC329" s="52" t="s">
        <v>3833</v>
      </c>
      <c r="BD329" s="52" t="s">
        <v>3834</v>
      </c>
      <c r="BE329" s="118"/>
      <c r="BF329" s="118"/>
      <c r="BG329" s="118"/>
      <c r="BH329" s="52"/>
      <c r="BI329" s="283"/>
      <c r="BJ329" s="52"/>
      <c r="BK329" s="52"/>
      <c r="BL329" s="52"/>
      <c r="BM329" s="52"/>
      <c r="BN329" s="52"/>
      <c r="BO329" s="52"/>
      <c r="BP329" s="52"/>
      <c r="BQ329" s="52"/>
      <c r="BR329" s="52"/>
      <c r="BS329" s="52"/>
      <c r="BT329" s="52"/>
      <c r="BU329" s="52"/>
      <c r="BV329" s="52"/>
      <c r="BW329" s="52"/>
      <c r="BX329" s="52"/>
      <c r="BY329" s="52"/>
      <c r="BZ329" s="52"/>
      <c r="CA329" s="52"/>
      <c r="CB329" s="52"/>
      <c r="CC329" s="52"/>
      <c r="CD329" s="118"/>
      <c r="CE329" s="52"/>
      <c r="CF329" s="52"/>
      <c r="CG329" s="52"/>
      <c r="CH329" s="52"/>
      <c r="CI329" s="52"/>
      <c r="CJ329" s="52"/>
      <c r="CK329" s="52"/>
      <c r="CL329" s="52"/>
      <c r="CM329" s="52"/>
      <c r="CN329" s="118"/>
      <c r="CO329" s="118"/>
      <c r="CP329" s="118"/>
      <c r="CQ329" s="52"/>
      <c r="CR329" s="52"/>
      <c r="CS329" s="52"/>
      <c r="CT329" s="52"/>
      <c r="CU329" s="52"/>
      <c r="CV329" s="52"/>
      <c r="CW329" s="52"/>
      <c r="CX329" s="52"/>
      <c r="CY329" s="52"/>
      <c r="CZ329" s="52"/>
      <c r="DA329" s="52"/>
      <c r="DB329" s="52"/>
    </row>
    <row r="330" spans="1:106" ht="27" x14ac:dyDescent="0.25">
      <c r="A330" s="411">
        <v>328</v>
      </c>
      <c r="B330" s="412" t="s">
        <v>3835</v>
      </c>
      <c r="C330" s="413" t="s">
        <v>3836</v>
      </c>
      <c r="D330" s="413" t="s">
        <v>3837</v>
      </c>
      <c r="E330" s="80">
        <v>1</v>
      </c>
      <c r="F330" s="353">
        <v>1432840.92</v>
      </c>
      <c r="G330" s="293"/>
      <c r="H330" s="293"/>
      <c r="I330" s="293"/>
      <c r="J330" s="52"/>
      <c r="K330" s="52"/>
      <c r="L330" s="359"/>
      <c r="M330" s="360"/>
      <c r="N330" s="361"/>
      <c r="O330" s="33"/>
      <c r="P330" s="252"/>
      <c r="Q330" s="113"/>
      <c r="R330" s="113"/>
      <c r="S330" s="113"/>
      <c r="T330" s="52"/>
      <c r="U330" s="5"/>
      <c r="V330" s="231"/>
      <c r="W330" s="231"/>
      <c r="X330" s="231"/>
      <c r="Y330" s="113"/>
      <c r="Z330" s="357"/>
      <c r="AA330" s="118" t="s">
        <v>2877</v>
      </c>
      <c r="AB330" s="118"/>
      <c r="AC330" s="118"/>
      <c r="AD330" s="52"/>
      <c r="AE330" s="5"/>
      <c r="AF330" s="358"/>
      <c r="AG330" s="358"/>
      <c r="AH330" s="358"/>
      <c r="AI330" s="358"/>
      <c r="AJ330" s="358"/>
      <c r="AK330" s="113"/>
      <c r="AL330" s="113"/>
      <c r="AM330" s="113"/>
      <c r="AN330" s="113"/>
      <c r="AO330" s="113"/>
      <c r="AP330" s="52"/>
      <c r="AQ330" s="52"/>
      <c r="AR330" s="52"/>
      <c r="AS330" s="52"/>
      <c r="AT330" s="52"/>
      <c r="AU330" s="125"/>
      <c r="AV330" s="125"/>
      <c r="AW330" s="125"/>
      <c r="AX330" s="5"/>
      <c r="AY330" s="5"/>
      <c r="AZ330" s="113">
        <v>1973000</v>
      </c>
      <c r="BA330" s="113">
        <v>374870</v>
      </c>
      <c r="BB330" s="113">
        <v>2347870</v>
      </c>
      <c r="BC330" s="52" t="s">
        <v>2878</v>
      </c>
      <c r="BD330" s="52" t="s">
        <v>3838</v>
      </c>
      <c r="BE330" s="118"/>
      <c r="BF330" s="118"/>
      <c r="BG330" s="118"/>
      <c r="BH330" s="52"/>
      <c r="BI330" s="283"/>
      <c r="BJ330" s="52"/>
      <c r="BK330" s="52"/>
      <c r="BL330" s="52"/>
      <c r="BM330" s="52"/>
      <c r="BN330" s="52"/>
      <c r="BO330" s="52"/>
      <c r="BP330" s="52"/>
      <c r="BQ330" s="52"/>
      <c r="BR330" s="52"/>
      <c r="BS330" s="52"/>
      <c r="BT330" s="52"/>
      <c r="BU330" s="52"/>
      <c r="BV330" s="52"/>
      <c r="BW330" s="52"/>
      <c r="BX330" s="52"/>
      <c r="BY330" s="52"/>
      <c r="BZ330" s="52"/>
      <c r="CA330" s="52"/>
      <c r="CB330" s="52"/>
      <c r="CC330" s="52"/>
      <c r="CD330" s="118"/>
      <c r="CE330" s="52"/>
      <c r="CF330" s="52"/>
      <c r="CG330" s="52"/>
      <c r="CH330" s="52"/>
      <c r="CI330" s="52"/>
      <c r="CJ330" s="52"/>
      <c r="CK330" s="52"/>
      <c r="CL330" s="52"/>
      <c r="CM330" s="52"/>
      <c r="CN330" s="118"/>
      <c r="CO330" s="118"/>
      <c r="CP330" s="118"/>
      <c r="CQ330" s="52"/>
      <c r="CR330" s="52"/>
      <c r="CS330" s="52"/>
      <c r="CT330" s="52"/>
      <c r="CU330" s="52"/>
      <c r="CV330" s="52"/>
      <c r="CW330" s="52"/>
      <c r="CX330" s="52"/>
      <c r="CY330" s="52"/>
      <c r="CZ330" s="52"/>
      <c r="DA330" s="52"/>
      <c r="DB330" s="52"/>
    </row>
    <row r="331" spans="1:106" ht="27" x14ac:dyDescent="0.25">
      <c r="A331" s="411">
        <v>329</v>
      </c>
      <c r="B331" s="412" t="s">
        <v>3839</v>
      </c>
      <c r="C331" s="413" t="s">
        <v>3840</v>
      </c>
      <c r="D331" s="413" t="s">
        <v>3841</v>
      </c>
      <c r="E331" s="80">
        <v>1</v>
      </c>
      <c r="F331" s="353">
        <v>6239142.392</v>
      </c>
      <c r="G331" s="293"/>
      <c r="H331" s="293"/>
      <c r="I331" s="293"/>
      <c r="J331" s="52"/>
      <c r="K331" s="52"/>
      <c r="L331" s="359"/>
      <c r="M331" s="360"/>
      <c r="N331" s="361"/>
      <c r="O331" s="33"/>
      <c r="P331" s="252"/>
      <c r="Q331" s="113"/>
      <c r="R331" s="113"/>
      <c r="S331" s="113"/>
      <c r="T331" s="52"/>
      <c r="U331" s="5"/>
      <c r="V331" s="231"/>
      <c r="W331" s="231"/>
      <c r="X331" s="231"/>
      <c r="Y331" s="113"/>
      <c r="Z331" s="357"/>
      <c r="AA331" s="118" t="s">
        <v>2877</v>
      </c>
      <c r="AB331" s="118"/>
      <c r="AC331" s="118"/>
      <c r="AD331" s="52"/>
      <c r="AE331" s="5"/>
      <c r="AF331" s="358"/>
      <c r="AG331" s="358"/>
      <c r="AH331" s="358"/>
      <c r="AI331" s="358"/>
      <c r="AJ331" s="358"/>
      <c r="AK331" s="113"/>
      <c r="AL331" s="113"/>
      <c r="AM331" s="113"/>
      <c r="AN331" s="113"/>
      <c r="AO331" s="113"/>
      <c r="AP331" s="52"/>
      <c r="AQ331" s="52"/>
      <c r="AR331" s="52"/>
      <c r="AS331" s="52"/>
      <c r="AT331" s="52"/>
      <c r="AU331" s="125"/>
      <c r="AV331" s="125"/>
      <c r="AW331" s="125"/>
      <c r="AX331" s="5"/>
      <c r="AY331" s="5"/>
      <c r="AZ331" s="113">
        <v>2077000</v>
      </c>
      <c r="BA331" s="113">
        <v>394630</v>
      </c>
      <c r="BB331" s="113">
        <v>2471630</v>
      </c>
      <c r="BC331" s="52" t="s">
        <v>2878</v>
      </c>
      <c r="BD331" s="52" t="s">
        <v>3842</v>
      </c>
      <c r="BE331" s="118"/>
      <c r="BF331" s="118"/>
      <c r="BG331" s="118"/>
      <c r="BH331" s="52"/>
      <c r="BI331" s="283"/>
      <c r="BJ331" s="52"/>
      <c r="BK331" s="52"/>
      <c r="BL331" s="52"/>
      <c r="BM331" s="52"/>
      <c r="BN331" s="52"/>
      <c r="BO331" s="52"/>
      <c r="BP331" s="52"/>
      <c r="BQ331" s="52"/>
      <c r="BR331" s="52"/>
      <c r="BS331" s="52"/>
      <c r="BT331" s="52"/>
      <c r="BU331" s="52"/>
      <c r="BV331" s="52"/>
      <c r="BW331" s="52"/>
      <c r="BX331" s="52"/>
      <c r="BY331" s="52"/>
      <c r="BZ331" s="52"/>
      <c r="CA331" s="52"/>
      <c r="CB331" s="52"/>
      <c r="CC331" s="52"/>
      <c r="CD331" s="118"/>
      <c r="CE331" s="52"/>
      <c r="CF331" s="52"/>
      <c r="CG331" s="52"/>
      <c r="CH331" s="52"/>
      <c r="CI331" s="52"/>
      <c r="CJ331" s="52"/>
      <c r="CK331" s="52"/>
      <c r="CL331" s="52"/>
      <c r="CM331" s="52"/>
      <c r="CN331" s="118"/>
      <c r="CO331" s="118"/>
      <c r="CP331" s="118"/>
      <c r="CQ331" s="52"/>
      <c r="CR331" s="52"/>
      <c r="CS331" s="52"/>
      <c r="CT331" s="52"/>
      <c r="CU331" s="52"/>
      <c r="CV331" s="52"/>
      <c r="CW331" s="52"/>
      <c r="CX331" s="52"/>
      <c r="CY331" s="52"/>
      <c r="CZ331" s="52"/>
      <c r="DA331" s="52"/>
      <c r="DB331" s="52"/>
    </row>
    <row r="332" spans="1:106" ht="13.5" x14ac:dyDescent="0.25">
      <c r="A332" s="411">
        <v>330</v>
      </c>
      <c r="B332" s="412" t="s">
        <v>3843</v>
      </c>
      <c r="C332" s="413" t="s">
        <v>3844</v>
      </c>
      <c r="D332" s="426" t="s">
        <v>3630</v>
      </c>
      <c r="E332" s="80">
        <v>1</v>
      </c>
      <c r="F332" s="353">
        <v>144540.97</v>
      </c>
      <c r="G332" s="293"/>
      <c r="H332" s="293"/>
      <c r="I332" s="293"/>
      <c r="J332" s="52"/>
      <c r="K332" s="52"/>
      <c r="L332" s="359"/>
      <c r="M332" s="360"/>
      <c r="N332" s="361"/>
      <c r="O332" s="33"/>
      <c r="P332" s="252"/>
      <c r="Q332" s="113"/>
      <c r="R332" s="113"/>
      <c r="S332" s="113"/>
      <c r="T332" s="52"/>
      <c r="U332" s="5"/>
      <c r="V332" s="231"/>
      <c r="W332" s="231"/>
      <c r="X332" s="231"/>
      <c r="Y332" s="113"/>
      <c r="Z332" s="357"/>
      <c r="AA332" s="118" t="s">
        <v>2877</v>
      </c>
      <c r="AB332" s="118"/>
      <c r="AC332" s="118"/>
      <c r="AD332" s="52"/>
      <c r="AE332" s="5"/>
      <c r="AF332" s="358"/>
      <c r="AG332" s="358"/>
      <c r="AH332" s="358"/>
      <c r="AI332" s="358"/>
      <c r="AJ332" s="358"/>
      <c r="AK332" s="113"/>
      <c r="AL332" s="113"/>
      <c r="AM332" s="113"/>
      <c r="AN332" s="113"/>
      <c r="AO332" s="113"/>
      <c r="AP332" s="52"/>
      <c r="AQ332" s="52"/>
      <c r="AR332" s="52"/>
      <c r="AS332" s="52"/>
      <c r="AT332" s="52"/>
      <c r="AU332" s="125"/>
      <c r="AV332" s="125"/>
      <c r="AW332" s="125"/>
      <c r="AX332" s="5"/>
      <c r="AY332" s="5"/>
      <c r="AZ332" s="113"/>
      <c r="BA332" s="113"/>
      <c r="BB332" s="113"/>
      <c r="BC332" s="52"/>
      <c r="BD332" s="52"/>
      <c r="BE332" s="118"/>
      <c r="BF332" s="118"/>
      <c r="BG332" s="118"/>
      <c r="BH332" s="52"/>
      <c r="BI332" s="283"/>
      <c r="BJ332" s="52"/>
      <c r="BK332" s="52"/>
      <c r="BL332" s="52"/>
      <c r="BM332" s="52"/>
      <c r="BN332" s="52"/>
      <c r="BO332" s="52"/>
      <c r="BP332" s="52"/>
      <c r="BQ332" s="52"/>
      <c r="BR332" s="52"/>
      <c r="BS332" s="52"/>
      <c r="BT332" s="52"/>
      <c r="BU332" s="52"/>
      <c r="BV332" s="52"/>
      <c r="BW332" s="52"/>
      <c r="BX332" s="52"/>
      <c r="BY332" s="52"/>
      <c r="BZ332" s="52"/>
      <c r="CA332" s="52"/>
      <c r="CB332" s="52"/>
      <c r="CC332" s="52"/>
      <c r="CD332" s="118"/>
      <c r="CE332" s="52"/>
      <c r="CF332" s="52"/>
      <c r="CG332" s="52"/>
      <c r="CH332" s="52"/>
      <c r="CI332" s="52"/>
      <c r="CJ332" s="52"/>
      <c r="CK332" s="52"/>
      <c r="CL332" s="52"/>
      <c r="CM332" s="52"/>
      <c r="CN332" s="118"/>
      <c r="CO332" s="118"/>
      <c r="CP332" s="118"/>
      <c r="CQ332" s="52"/>
      <c r="CR332" s="52"/>
      <c r="CS332" s="52"/>
      <c r="CT332" s="52"/>
      <c r="CU332" s="52"/>
      <c r="CV332" s="52"/>
      <c r="CW332" s="52"/>
      <c r="CX332" s="52"/>
      <c r="CY332" s="52"/>
      <c r="CZ332" s="52"/>
      <c r="DA332" s="52"/>
      <c r="DB332" s="52"/>
    </row>
    <row r="333" spans="1:106" ht="13.5" x14ac:dyDescent="0.25">
      <c r="A333" s="411">
        <v>331</v>
      </c>
      <c r="B333" s="412" t="s">
        <v>3845</v>
      </c>
      <c r="C333" s="413" t="s">
        <v>622</v>
      </c>
      <c r="D333" s="426" t="s">
        <v>3721</v>
      </c>
      <c r="E333" s="80">
        <v>1</v>
      </c>
      <c r="F333" s="80"/>
      <c r="G333" s="293"/>
      <c r="H333" s="293"/>
      <c r="I333" s="293"/>
      <c r="J333" s="52"/>
      <c r="K333" s="52"/>
      <c r="L333" s="359"/>
      <c r="M333" s="360"/>
      <c r="N333" s="361"/>
      <c r="O333" s="33"/>
      <c r="P333" s="252"/>
      <c r="Q333" s="113"/>
      <c r="R333" s="113"/>
      <c r="S333" s="113"/>
      <c r="T333" s="52"/>
      <c r="U333" s="5"/>
      <c r="V333" s="231"/>
      <c r="W333" s="231"/>
      <c r="X333" s="231"/>
      <c r="Y333" s="113"/>
      <c r="Z333" s="357"/>
      <c r="AA333" s="118" t="s">
        <v>2877</v>
      </c>
      <c r="AB333" s="118"/>
      <c r="AC333" s="118"/>
      <c r="AD333" s="52"/>
      <c r="AE333" s="5"/>
      <c r="AF333" s="358"/>
      <c r="AG333" s="358"/>
      <c r="AH333" s="358"/>
      <c r="AI333" s="358"/>
      <c r="AJ333" s="358"/>
      <c r="AK333" s="113"/>
      <c r="AL333" s="113"/>
      <c r="AM333" s="113"/>
      <c r="AN333" s="113"/>
      <c r="AO333" s="113"/>
      <c r="AP333" s="52"/>
      <c r="AQ333" s="52"/>
      <c r="AR333" s="52"/>
      <c r="AS333" s="52"/>
      <c r="AT333" s="52"/>
      <c r="AU333" s="125"/>
      <c r="AV333" s="125"/>
      <c r="AW333" s="125"/>
      <c r="AX333" s="5"/>
      <c r="AY333" s="5"/>
      <c r="AZ333" s="113">
        <v>4000</v>
      </c>
      <c r="BA333" s="113">
        <v>760</v>
      </c>
      <c r="BB333" s="113">
        <v>4760</v>
      </c>
      <c r="BC333" s="52" t="s">
        <v>2970</v>
      </c>
      <c r="BD333" s="52" t="s">
        <v>3846</v>
      </c>
      <c r="BE333" s="118"/>
      <c r="BF333" s="118"/>
      <c r="BG333" s="118"/>
      <c r="BH333" s="52"/>
      <c r="BI333" s="283"/>
      <c r="BJ333" s="52"/>
      <c r="BK333" s="52"/>
      <c r="BL333" s="52"/>
      <c r="BM333" s="52"/>
      <c r="BN333" s="52"/>
      <c r="BO333" s="52"/>
      <c r="BP333" s="52"/>
      <c r="BQ333" s="52"/>
      <c r="BR333" s="52"/>
      <c r="BS333" s="52"/>
      <c r="BT333" s="52"/>
      <c r="BU333" s="52"/>
      <c r="BV333" s="52"/>
      <c r="BW333" s="52"/>
      <c r="BX333" s="52"/>
      <c r="BY333" s="52"/>
      <c r="BZ333" s="52"/>
      <c r="CA333" s="52"/>
      <c r="CB333" s="52"/>
      <c r="CC333" s="52"/>
      <c r="CD333" s="118"/>
      <c r="CE333" s="52"/>
      <c r="CF333" s="52"/>
      <c r="CG333" s="52"/>
      <c r="CH333" s="52"/>
      <c r="CI333" s="52"/>
      <c r="CJ333" s="52"/>
      <c r="CK333" s="52"/>
      <c r="CL333" s="52"/>
      <c r="CM333" s="52"/>
      <c r="CN333" s="118"/>
      <c r="CO333" s="118"/>
      <c r="CP333" s="118"/>
      <c r="CQ333" s="52"/>
      <c r="CR333" s="52"/>
      <c r="CS333" s="52"/>
      <c r="CT333" s="52"/>
      <c r="CU333" s="52"/>
      <c r="CV333" s="52"/>
      <c r="CW333" s="52"/>
      <c r="CX333" s="52"/>
      <c r="CY333" s="52"/>
      <c r="CZ333" s="52"/>
      <c r="DA333" s="52"/>
      <c r="DB333" s="52"/>
    </row>
    <row r="334" spans="1:106" ht="13.5" x14ac:dyDescent="0.25">
      <c r="A334" s="411">
        <v>332</v>
      </c>
      <c r="B334" s="412" t="s">
        <v>3847</v>
      </c>
      <c r="C334" s="413" t="s">
        <v>3848</v>
      </c>
      <c r="D334" s="426" t="s">
        <v>445</v>
      </c>
      <c r="E334" s="80">
        <v>1</v>
      </c>
      <c r="F334" s="353">
        <v>10055.023999999999</v>
      </c>
      <c r="G334" s="293"/>
      <c r="H334" s="293"/>
      <c r="I334" s="293"/>
      <c r="J334" s="52"/>
      <c r="K334" s="52"/>
      <c r="L334" s="359"/>
      <c r="M334" s="360"/>
      <c r="N334" s="361"/>
      <c r="O334" s="33"/>
      <c r="P334" s="252"/>
      <c r="Q334" s="113"/>
      <c r="R334" s="113"/>
      <c r="S334" s="113"/>
      <c r="T334" s="52"/>
      <c r="U334" s="5"/>
      <c r="V334" s="231"/>
      <c r="W334" s="231"/>
      <c r="X334" s="231"/>
      <c r="Y334" s="113"/>
      <c r="Z334" s="357"/>
      <c r="AA334" s="118" t="s">
        <v>2877</v>
      </c>
      <c r="AB334" s="118"/>
      <c r="AC334" s="118"/>
      <c r="AD334" s="52"/>
      <c r="AE334" s="5"/>
      <c r="AF334" s="358"/>
      <c r="AG334" s="358"/>
      <c r="AH334" s="358"/>
      <c r="AI334" s="358"/>
      <c r="AJ334" s="358"/>
      <c r="AK334" s="113"/>
      <c r="AL334" s="113"/>
      <c r="AM334" s="113"/>
      <c r="AN334" s="113"/>
      <c r="AO334" s="113"/>
      <c r="AP334" s="52"/>
      <c r="AQ334" s="52"/>
      <c r="AR334" s="52"/>
      <c r="AS334" s="52"/>
      <c r="AT334" s="52"/>
      <c r="AU334" s="125"/>
      <c r="AV334" s="125"/>
      <c r="AW334" s="125"/>
      <c r="AX334" s="5"/>
      <c r="AY334" s="5"/>
      <c r="AZ334" s="113">
        <v>7000</v>
      </c>
      <c r="BA334" s="113">
        <v>1330</v>
      </c>
      <c r="BB334" s="113">
        <v>8330</v>
      </c>
      <c r="BC334" s="52" t="s">
        <v>3849</v>
      </c>
      <c r="BD334" s="52" t="s">
        <v>3850</v>
      </c>
      <c r="BE334" s="118"/>
      <c r="BF334" s="118"/>
      <c r="BG334" s="118"/>
      <c r="BH334" s="52"/>
      <c r="BI334" s="283"/>
      <c r="BJ334" s="52"/>
      <c r="BK334" s="52"/>
      <c r="BL334" s="52"/>
      <c r="BM334" s="52"/>
      <c r="BN334" s="52"/>
      <c r="BO334" s="52"/>
      <c r="BP334" s="52"/>
      <c r="BQ334" s="52"/>
      <c r="BR334" s="52"/>
      <c r="BS334" s="52"/>
      <c r="BT334" s="52"/>
      <c r="BU334" s="52"/>
      <c r="BV334" s="52"/>
      <c r="BW334" s="52"/>
      <c r="BX334" s="52"/>
      <c r="BY334" s="52"/>
      <c r="BZ334" s="52"/>
      <c r="CA334" s="52"/>
      <c r="CB334" s="52"/>
      <c r="CC334" s="52"/>
      <c r="CD334" s="118"/>
      <c r="CE334" s="52"/>
      <c r="CF334" s="52"/>
      <c r="CG334" s="52"/>
      <c r="CH334" s="52"/>
      <c r="CI334" s="52"/>
      <c r="CJ334" s="52"/>
      <c r="CK334" s="52"/>
      <c r="CL334" s="52"/>
      <c r="CM334" s="52"/>
      <c r="CN334" s="118"/>
      <c r="CO334" s="118"/>
      <c r="CP334" s="118"/>
      <c r="CQ334" s="52"/>
      <c r="CR334" s="52"/>
      <c r="CS334" s="52"/>
      <c r="CT334" s="52"/>
      <c r="CU334" s="52"/>
      <c r="CV334" s="52"/>
      <c r="CW334" s="52"/>
      <c r="CX334" s="52"/>
      <c r="CY334" s="52"/>
      <c r="CZ334" s="52"/>
      <c r="DA334" s="52"/>
      <c r="DB334" s="52"/>
    </row>
    <row r="335" spans="1:106" ht="13.5" x14ac:dyDescent="0.25">
      <c r="A335" s="411">
        <v>333</v>
      </c>
      <c r="B335" s="412" t="s">
        <v>3851</v>
      </c>
      <c r="C335" s="413" t="s">
        <v>3848</v>
      </c>
      <c r="D335" s="426" t="s">
        <v>445</v>
      </c>
      <c r="E335" s="80">
        <v>1</v>
      </c>
      <c r="F335" s="353">
        <v>17596.292000000001</v>
      </c>
      <c r="G335" s="293"/>
      <c r="H335" s="293"/>
      <c r="I335" s="293"/>
      <c r="J335" s="52"/>
      <c r="K335" s="52"/>
      <c r="L335" s="359"/>
      <c r="M335" s="360"/>
      <c r="N335" s="361"/>
      <c r="O335" s="33"/>
      <c r="P335" s="252"/>
      <c r="Q335" s="113"/>
      <c r="R335" s="113"/>
      <c r="S335" s="113"/>
      <c r="T335" s="52"/>
      <c r="U335" s="5"/>
      <c r="V335" s="231"/>
      <c r="W335" s="231"/>
      <c r="X335" s="231"/>
      <c r="Y335" s="113"/>
      <c r="Z335" s="357"/>
      <c r="AA335" s="118" t="s">
        <v>2877</v>
      </c>
      <c r="AB335" s="118"/>
      <c r="AC335" s="118"/>
      <c r="AD335" s="52"/>
      <c r="AE335" s="5"/>
      <c r="AF335" s="358"/>
      <c r="AG335" s="358"/>
      <c r="AH335" s="358"/>
      <c r="AI335" s="358"/>
      <c r="AJ335" s="358"/>
      <c r="AK335" s="113"/>
      <c r="AL335" s="113"/>
      <c r="AM335" s="113"/>
      <c r="AN335" s="113"/>
      <c r="AO335" s="113"/>
      <c r="AP335" s="52"/>
      <c r="AQ335" s="52"/>
      <c r="AR335" s="52"/>
      <c r="AS335" s="52"/>
      <c r="AT335" s="52"/>
      <c r="AU335" s="125"/>
      <c r="AV335" s="125"/>
      <c r="AW335" s="125"/>
      <c r="AX335" s="5"/>
      <c r="AY335" s="5"/>
      <c r="AZ335" s="113">
        <v>38000</v>
      </c>
      <c r="BA335" s="113">
        <v>7220</v>
      </c>
      <c r="BB335" s="113">
        <v>45220</v>
      </c>
      <c r="BC335" s="52" t="s">
        <v>3852</v>
      </c>
      <c r="BD335" s="52" t="s">
        <v>3853</v>
      </c>
      <c r="BE335" s="118"/>
      <c r="BF335" s="118"/>
      <c r="BG335" s="118"/>
      <c r="BH335" s="52"/>
      <c r="BI335" s="283"/>
      <c r="BJ335" s="52"/>
      <c r="BK335" s="52"/>
      <c r="BL335" s="52"/>
      <c r="BM335" s="52"/>
      <c r="BN335" s="52"/>
      <c r="BO335" s="52"/>
      <c r="BP335" s="52"/>
      <c r="BQ335" s="52"/>
      <c r="BR335" s="52"/>
      <c r="BS335" s="52"/>
      <c r="BT335" s="52"/>
      <c r="BU335" s="52"/>
      <c r="BV335" s="52"/>
      <c r="BW335" s="52"/>
      <c r="BX335" s="52"/>
      <c r="BY335" s="52"/>
      <c r="BZ335" s="52"/>
      <c r="CA335" s="52"/>
      <c r="CB335" s="52"/>
      <c r="CC335" s="52"/>
      <c r="CD335" s="118"/>
      <c r="CE335" s="52"/>
      <c r="CF335" s="52"/>
      <c r="CG335" s="52"/>
      <c r="CH335" s="52"/>
      <c r="CI335" s="52"/>
      <c r="CJ335" s="52"/>
      <c r="CK335" s="52"/>
      <c r="CL335" s="52"/>
      <c r="CM335" s="52"/>
      <c r="CN335" s="118"/>
      <c r="CO335" s="118"/>
      <c r="CP335" s="118"/>
      <c r="CQ335" s="52"/>
      <c r="CR335" s="52"/>
      <c r="CS335" s="52"/>
      <c r="CT335" s="52"/>
      <c r="CU335" s="52"/>
      <c r="CV335" s="52"/>
      <c r="CW335" s="52"/>
      <c r="CX335" s="52"/>
      <c r="CY335" s="52"/>
      <c r="CZ335" s="52"/>
      <c r="DA335" s="52"/>
      <c r="DB335" s="52"/>
    </row>
    <row r="336" spans="1:106" ht="40.5" x14ac:dyDescent="0.25">
      <c r="A336" s="411">
        <v>334</v>
      </c>
      <c r="B336" s="412" t="s">
        <v>3854</v>
      </c>
      <c r="C336" s="413" t="s">
        <v>622</v>
      </c>
      <c r="D336" s="426" t="s">
        <v>3855</v>
      </c>
      <c r="E336" s="80">
        <v>1</v>
      </c>
      <c r="F336" s="353">
        <v>408485.35000000003</v>
      </c>
      <c r="G336" s="293"/>
      <c r="H336" s="293"/>
      <c r="I336" s="293"/>
      <c r="J336" s="52"/>
      <c r="K336" s="52"/>
      <c r="L336" s="359"/>
      <c r="M336" s="360"/>
      <c r="N336" s="361"/>
      <c r="O336" s="33"/>
      <c r="P336" s="252"/>
      <c r="Q336" s="113"/>
      <c r="R336" s="113"/>
      <c r="S336" s="113"/>
      <c r="T336" s="52"/>
      <c r="U336" s="5"/>
      <c r="V336" s="231"/>
      <c r="W336" s="231"/>
      <c r="X336" s="231"/>
      <c r="Y336" s="113"/>
      <c r="Z336" s="357"/>
      <c r="AA336" s="118" t="s">
        <v>2877</v>
      </c>
      <c r="AB336" s="118"/>
      <c r="AC336" s="118"/>
      <c r="AD336" s="52"/>
      <c r="AE336" s="5"/>
      <c r="AF336" s="358"/>
      <c r="AG336" s="358"/>
      <c r="AH336" s="358"/>
      <c r="AI336" s="358"/>
      <c r="AJ336" s="358"/>
      <c r="AK336" s="113"/>
      <c r="AL336" s="113"/>
      <c r="AM336" s="113"/>
      <c r="AN336" s="113"/>
      <c r="AO336" s="113"/>
      <c r="AP336" s="52"/>
      <c r="AQ336" s="52"/>
      <c r="AR336" s="52"/>
      <c r="AS336" s="52"/>
      <c r="AT336" s="52"/>
      <c r="AU336" s="125"/>
      <c r="AV336" s="125"/>
      <c r="AW336" s="125"/>
      <c r="AX336" s="5"/>
      <c r="AY336" s="5"/>
      <c r="AZ336" s="113"/>
      <c r="BA336" s="113"/>
      <c r="BB336" s="113"/>
      <c r="BC336" s="52"/>
      <c r="BD336" s="52"/>
      <c r="BE336" s="118"/>
      <c r="BF336" s="118"/>
      <c r="BG336" s="118"/>
      <c r="BH336" s="52"/>
      <c r="BI336" s="283"/>
      <c r="BJ336" s="52"/>
      <c r="BK336" s="52"/>
      <c r="BL336" s="52"/>
      <c r="BM336" s="52"/>
      <c r="BN336" s="52"/>
      <c r="BO336" s="52"/>
      <c r="BP336" s="52"/>
      <c r="BQ336" s="52"/>
      <c r="BR336" s="52"/>
      <c r="BS336" s="52"/>
      <c r="BT336" s="52"/>
      <c r="BU336" s="52"/>
      <c r="BV336" s="52"/>
      <c r="BW336" s="52"/>
      <c r="BX336" s="52"/>
      <c r="BY336" s="52"/>
      <c r="BZ336" s="52"/>
      <c r="CA336" s="52"/>
      <c r="CB336" s="52"/>
      <c r="CC336" s="52"/>
      <c r="CD336" s="118"/>
      <c r="CE336" s="52"/>
      <c r="CF336" s="52"/>
      <c r="CG336" s="52"/>
      <c r="CH336" s="52"/>
      <c r="CI336" s="52"/>
      <c r="CJ336" s="52"/>
      <c r="CK336" s="52"/>
      <c r="CL336" s="52"/>
      <c r="CM336" s="52"/>
      <c r="CN336" s="118"/>
      <c r="CO336" s="118"/>
      <c r="CP336" s="118"/>
      <c r="CQ336" s="52"/>
      <c r="CR336" s="52"/>
      <c r="CS336" s="52"/>
      <c r="CT336" s="52"/>
      <c r="CU336" s="52"/>
      <c r="CV336" s="52"/>
      <c r="CW336" s="52"/>
      <c r="CX336" s="52"/>
      <c r="CY336" s="52"/>
      <c r="CZ336" s="52"/>
      <c r="DA336" s="52"/>
      <c r="DB336" s="52"/>
    </row>
    <row r="337" spans="1:106" ht="13.5" x14ac:dyDescent="0.25">
      <c r="A337" s="411">
        <v>335</v>
      </c>
      <c r="B337" s="412" t="s">
        <v>3856</v>
      </c>
      <c r="C337" s="413" t="s">
        <v>3857</v>
      </c>
      <c r="D337" s="426" t="s">
        <v>445</v>
      </c>
      <c r="E337" s="80">
        <v>1</v>
      </c>
      <c r="F337" s="353">
        <v>107086.0056</v>
      </c>
      <c r="G337" s="293"/>
      <c r="H337" s="293"/>
      <c r="I337" s="293"/>
      <c r="J337" s="52"/>
      <c r="K337" s="52"/>
      <c r="L337" s="359"/>
      <c r="M337" s="360"/>
      <c r="N337" s="361"/>
      <c r="O337" s="33"/>
      <c r="P337" s="252"/>
      <c r="Q337" s="113"/>
      <c r="R337" s="113"/>
      <c r="S337" s="113"/>
      <c r="T337" s="52"/>
      <c r="U337" s="5"/>
      <c r="V337" s="231"/>
      <c r="W337" s="231"/>
      <c r="X337" s="231"/>
      <c r="Y337" s="113"/>
      <c r="Z337" s="357"/>
      <c r="AA337" s="118" t="s">
        <v>2877</v>
      </c>
      <c r="AB337" s="118"/>
      <c r="AC337" s="118"/>
      <c r="AD337" s="52"/>
      <c r="AE337" s="5"/>
      <c r="AF337" s="358"/>
      <c r="AG337" s="358"/>
      <c r="AH337" s="358"/>
      <c r="AI337" s="358"/>
      <c r="AJ337" s="358"/>
      <c r="AK337" s="113"/>
      <c r="AL337" s="113"/>
      <c r="AM337" s="113"/>
      <c r="AN337" s="113"/>
      <c r="AO337" s="113"/>
      <c r="AP337" s="52"/>
      <c r="AQ337" s="52"/>
      <c r="AR337" s="52"/>
      <c r="AS337" s="52"/>
      <c r="AT337" s="52"/>
      <c r="AU337" s="125"/>
      <c r="AV337" s="125"/>
      <c r="AW337" s="125"/>
      <c r="AX337" s="5"/>
      <c r="AY337" s="5"/>
      <c r="AZ337" s="113"/>
      <c r="BA337" s="113"/>
      <c r="BB337" s="113"/>
      <c r="BC337" s="52"/>
      <c r="BD337" s="52"/>
      <c r="BE337" s="118"/>
      <c r="BF337" s="118"/>
      <c r="BG337" s="118"/>
      <c r="BH337" s="52"/>
      <c r="BI337" s="283"/>
      <c r="BJ337" s="52"/>
      <c r="BK337" s="52"/>
      <c r="BL337" s="52"/>
      <c r="BM337" s="52"/>
      <c r="BN337" s="52"/>
      <c r="BO337" s="52"/>
      <c r="BP337" s="52"/>
      <c r="BQ337" s="52"/>
      <c r="BR337" s="52"/>
      <c r="BS337" s="52"/>
      <c r="BT337" s="52"/>
      <c r="BU337" s="52"/>
      <c r="BV337" s="52"/>
      <c r="BW337" s="52"/>
      <c r="BX337" s="52"/>
      <c r="BY337" s="52"/>
      <c r="BZ337" s="52"/>
      <c r="CA337" s="52"/>
      <c r="CB337" s="52"/>
      <c r="CC337" s="52"/>
      <c r="CD337" s="118"/>
      <c r="CE337" s="52"/>
      <c r="CF337" s="52"/>
      <c r="CG337" s="52"/>
      <c r="CH337" s="52"/>
      <c r="CI337" s="52"/>
      <c r="CJ337" s="52"/>
      <c r="CK337" s="52"/>
      <c r="CL337" s="52"/>
      <c r="CM337" s="52"/>
      <c r="CN337" s="118"/>
      <c r="CO337" s="118"/>
      <c r="CP337" s="118"/>
      <c r="CQ337" s="52"/>
      <c r="CR337" s="52"/>
      <c r="CS337" s="52"/>
      <c r="CT337" s="52"/>
      <c r="CU337" s="52"/>
      <c r="CV337" s="52"/>
      <c r="CW337" s="52"/>
      <c r="CX337" s="52"/>
      <c r="CY337" s="52"/>
      <c r="CZ337" s="52"/>
      <c r="DA337" s="52"/>
      <c r="DB337" s="52"/>
    </row>
    <row r="338" spans="1:106" ht="13.5" x14ac:dyDescent="0.25">
      <c r="A338" s="411">
        <v>336</v>
      </c>
      <c r="B338" s="412" t="s">
        <v>3858</v>
      </c>
      <c r="C338" s="413" t="s">
        <v>3859</v>
      </c>
      <c r="D338" s="426" t="s">
        <v>445</v>
      </c>
      <c r="E338" s="80">
        <v>1</v>
      </c>
      <c r="F338" s="353">
        <v>751613.04399999999</v>
      </c>
      <c r="G338" s="293"/>
      <c r="H338" s="293"/>
      <c r="I338" s="293"/>
      <c r="J338" s="52"/>
      <c r="K338" s="52"/>
      <c r="L338" s="359"/>
      <c r="M338" s="360"/>
      <c r="N338" s="361"/>
      <c r="O338" s="33"/>
      <c r="P338" s="252"/>
      <c r="Q338" s="113"/>
      <c r="R338" s="113"/>
      <c r="S338" s="113"/>
      <c r="T338" s="52"/>
      <c r="U338" s="5"/>
      <c r="V338" s="231"/>
      <c r="W338" s="231"/>
      <c r="X338" s="231"/>
      <c r="Y338" s="113"/>
      <c r="Z338" s="357"/>
      <c r="AA338" s="118" t="s">
        <v>2877</v>
      </c>
      <c r="AB338" s="118"/>
      <c r="AC338" s="118"/>
      <c r="AD338" s="52"/>
      <c r="AE338" s="5"/>
      <c r="AF338" s="358"/>
      <c r="AG338" s="358"/>
      <c r="AH338" s="358"/>
      <c r="AI338" s="358"/>
      <c r="AJ338" s="358"/>
      <c r="AK338" s="113"/>
      <c r="AL338" s="113"/>
      <c r="AM338" s="113"/>
      <c r="AN338" s="113"/>
      <c r="AO338" s="113"/>
      <c r="AP338" s="52"/>
      <c r="AQ338" s="52"/>
      <c r="AR338" s="52"/>
      <c r="AS338" s="52"/>
      <c r="AT338" s="52"/>
      <c r="AU338" s="125"/>
      <c r="AV338" s="125"/>
      <c r="AW338" s="125"/>
      <c r="AX338" s="5"/>
      <c r="AY338" s="5"/>
      <c r="AZ338" s="113">
        <v>285000</v>
      </c>
      <c r="BA338" s="113">
        <f t="shared" ref="BA338" si="32">AZ338*19%</f>
        <v>54150</v>
      </c>
      <c r="BB338" s="113">
        <f t="shared" ref="BB338" si="33">AZ338+BA338</f>
        <v>339150</v>
      </c>
      <c r="BC338" s="52" t="s">
        <v>3253</v>
      </c>
      <c r="BD338" s="52" t="s">
        <v>3860</v>
      </c>
      <c r="BE338" s="118"/>
      <c r="BF338" s="118"/>
      <c r="BG338" s="118"/>
      <c r="BH338" s="52"/>
      <c r="BI338" s="283"/>
      <c r="BJ338" s="52"/>
      <c r="BK338" s="52"/>
      <c r="BL338" s="52"/>
      <c r="BM338" s="52"/>
      <c r="BN338" s="52"/>
      <c r="BO338" s="293">
        <v>250000</v>
      </c>
      <c r="BP338" s="118">
        <f>+BO338*0.19</f>
        <v>47500</v>
      </c>
      <c r="BQ338" s="118">
        <f>+BO338+BP338</f>
        <v>297500</v>
      </c>
      <c r="BR338" s="52" t="s">
        <v>3786</v>
      </c>
      <c r="BS338" s="52" t="s">
        <v>178</v>
      </c>
      <c r="BT338" s="52"/>
      <c r="BU338" s="52"/>
      <c r="BV338" s="52"/>
      <c r="BW338" s="52"/>
      <c r="BX338" s="52"/>
      <c r="BY338" s="293">
        <v>600000</v>
      </c>
      <c r="BZ338" s="118">
        <f>+BY338*0.19</f>
        <v>114000</v>
      </c>
      <c r="CA338" s="364">
        <f>+BY338+BZ338</f>
        <v>714000</v>
      </c>
      <c r="CB338" s="52" t="s">
        <v>363</v>
      </c>
      <c r="CC338" s="52">
        <v>6800</v>
      </c>
      <c r="CD338" s="118"/>
      <c r="CE338" s="52"/>
      <c r="CF338" s="52"/>
      <c r="CG338" s="52"/>
      <c r="CH338" s="52"/>
      <c r="CI338" s="52"/>
      <c r="CJ338" s="52"/>
      <c r="CK338" s="52"/>
      <c r="CL338" s="52"/>
      <c r="CM338" s="52"/>
      <c r="CN338" s="118"/>
      <c r="CO338" s="118"/>
      <c r="CP338" s="118"/>
      <c r="CQ338" s="52"/>
      <c r="CR338" s="52"/>
      <c r="CS338" s="52"/>
      <c r="CT338" s="52"/>
      <c r="CU338" s="52"/>
      <c r="CV338" s="52"/>
      <c r="CW338" s="52"/>
      <c r="CX338" s="52"/>
      <c r="CY338" s="52"/>
      <c r="CZ338" s="52"/>
      <c r="DA338" s="52"/>
      <c r="DB338" s="52"/>
    </row>
    <row r="339" spans="1:106" ht="175.5" x14ac:dyDescent="0.25">
      <c r="A339" s="411">
        <v>337</v>
      </c>
      <c r="B339" s="412" t="s">
        <v>3861</v>
      </c>
      <c r="C339" s="413" t="s">
        <v>3862</v>
      </c>
      <c r="D339" s="426" t="s">
        <v>445</v>
      </c>
      <c r="E339" s="80">
        <v>1</v>
      </c>
      <c r="F339" s="355">
        <v>193245.52060000002</v>
      </c>
      <c r="G339" s="293"/>
      <c r="H339" s="293"/>
      <c r="I339" s="293"/>
      <c r="J339" s="52"/>
      <c r="K339" s="52"/>
      <c r="L339" s="359"/>
      <c r="M339" s="360"/>
      <c r="N339" s="361"/>
      <c r="O339" s="33"/>
      <c r="P339" s="252"/>
      <c r="Q339" s="113"/>
      <c r="R339" s="113"/>
      <c r="S339" s="113"/>
      <c r="T339" s="52"/>
      <c r="U339" s="5"/>
      <c r="V339" s="231"/>
      <c r="W339" s="231"/>
      <c r="X339" s="231"/>
      <c r="Y339" s="113"/>
      <c r="Z339" s="357"/>
      <c r="AA339" s="118" t="s">
        <v>2877</v>
      </c>
      <c r="AB339" s="118"/>
      <c r="AC339" s="118"/>
      <c r="AD339" s="52"/>
      <c r="AE339" s="5"/>
      <c r="AF339" s="358"/>
      <c r="AG339" s="358"/>
      <c r="AH339" s="358"/>
      <c r="AI339" s="358"/>
      <c r="AJ339" s="358"/>
      <c r="AK339" s="113"/>
      <c r="AL339" s="113"/>
      <c r="AM339" s="113"/>
      <c r="AN339" s="113"/>
      <c r="AO339" s="113"/>
      <c r="AP339" s="52"/>
      <c r="AQ339" s="52"/>
      <c r="AR339" s="52"/>
      <c r="AS339" s="52"/>
      <c r="AT339" s="52"/>
      <c r="AU339" s="125"/>
      <c r="AV339" s="125"/>
      <c r="AW339" s="125"/>
      <c r="AX339" s="5"/>
      <c r="AY339" s="5"/>
      <c r="AZ339" s="113"/>
      <c r="BA339" s="113"/>
      <c r="BB339" s="113"/>
      <c r="BC339" s="52"/>
      <c r="BD339" s="52"/>
      <c r="BE339" s="118"/>
      <c r="BF339" s="118"/>
      <c r="BG339" s="118"/>
      <c r="BH339" s="52"/>
      <c r="BI339" s="283"/>
      <c r="BJ339" s="52"/>
      <c r="BK339" s="52"/>
      <c r="BL339" s="52"/>
      <c r="BM339" s="52"/>
      <c r="BN339" s="52"/>
      <c r="BO339" s="293">
        <v>200000</v>
      </c>
      <c r="BP339" s="118">
        <f>+BO339*0.19</f>
        <v>38000</v>
      </c>
      <c r="BQ339" s="118">
        <f>+BO339+BP339</f>
        <v>238000</v>
      </c>
      <c r="BR339" s="52" t="s">
        <v>3863</v>
      </c>
      <c r="BS339" s="52" t="s">
        <v>363</v>
      </c>
      <c r="BT339" s="52"/>
      <c r="BU339" s="52"/>
      <c r="BV339" s="52"/>
      <c r="BW339" s="52"/>
      <c r="BX339" s="52"/>
      <c r="BY339" s="293">
        <v>300000</v>
      </c>
      <c r="BZ339" s="118">
        <f>+BY339*0.19</f>
        <v>57000</v>
      </c>
      <c r="CA339" s="364">
        <f>+BY339+BZ339</f>
        <v>357000</v>
      </c>
      <c r="CB339" s="52" t="s">
        <v>363</v>
      </c>
      <c r="CC339" s="52">
        <v>6200</v>
      </c>
      <c r="CD339" s="118"/>
      <c r="CE339" s="52"/>
      <c r="CF339" s="52"/>
      <c r="CG339" s="52"/>
      <c r="CH339" s="52"/>
      <c r="CI339" s="52"/>
      <c r="CJ339" s="52"/>
      <c r="CK339" s="52"/>
      <c r="CL339" s="52"/>
      <c r="CM339" s="52"/>
      <c r="CN339" s="118"/>
      <c r="CO339" s="118"/>
      <c r="CP339" s="118"/>
      <c r="CQ339" s="52"/>
      <c r="CR339" s="52"/>
      <c r="CS339" s="52"/>
      <c r="CT339" s="52"/>
      <c r="CU339" s="52"/>
      <c r="CV339" s="52"/>
      <c r="CW339" s="52"/>
      <c r="CX339" s="52"/>
      <c r="CY339" s="52"/>
      <c r="CZ339" s="52"/>
      <c r="DA339" s="52"/>
      <c r="DB339" s="52"/>
    </row>
    <row r="340" spans="1:106" ht="13.5" x14ac:dyDescent="0.25">
      <c r="A340" s="411">
        <v>338</v>
      </c>
      <c r="B340" s="419" t="s">
        <v>3864</v>
      </c>
      <c r="C340" s="413" t="s">
        <v>3865</v>
      </c>
      <c r="D340" s="426" t="s">
        <v>1049</v>
      </c>
      <c r="E340" s="80">
        <v>1</v>
      </c>
      <c r="F340" s="353">
        <v>192302.334</v>
      </c>
      <c r="G340" s="293"/>
      <c r="H340" s="293"/>
      <c r="I340" s="293"/>
      <c r="J340" s="52"/>
      <c r="K340" s="52"/>
      <c r="L340" s="359"/>
      <c r="M340" s="360"/>
      <c r="N340" s="361"/>
      <c r="O340" s="33"/>
      <c r="P340" s="252"/>
      <c r="Q340" s="113"/>
      <c r="R340" s="113"/>
      <c r="S340" s="113"/>
      <c r="T340" s="52"/>
      <c r="U340" s="5"/>
      <c r="V340" s="231"/>
      <c r="W340" s="231"/>
      <c r="X340" s="231"/>
      <c r="Y340" s="113"/>
      <c r="Z340" s="357"/>
      <c r="AA340" s="118" t="s">
        <v>2877</v>
      </c>
      <c r="AB340" s="118"/>
      <c r="AC340" s="118"/>
      <c r="AD340" s="52"/>
      <c r="AE340" s="5"/>
      <c r="AF340" s="358"/>
      <c r="AG340" s="358"/>
      <c r="AH340" s="358"/>
      <c r="AI340" s="358"/>
      <c r="AJ340" s="358"/>
      <c r="AK340" s="113"/>
      <c r="AL340" s="113"/>
      <c r="AM340" s="113"/>
      <c r="AN340" s="113"/>
      <c r="AO340" s="113"/>
      <c r="AP340" s="52"/>
      <c r="AQ340" s="52"/>
      <c r="AR340" s="52"/>
      <c r="AS340" s="52"/>
      <c r="AT340" s="52"/>
      <c r="AU340" s="125"/>
      <c r="AV340" s="125"/>
      <c r="AW340" s="125"/>
      <c r="AX340" s="5"/>
      <c r="AY340" s="5"/>
      <c r="AZ340" s="113">
        <v>280000</v>
      </c>
      <c r="BA340" s="113">
        <v>53200</v>
      </c>
      <c r="BB340" s="113">
        <v>333200</v>
      </c>
      <c r="BC340" s="52" t="s">
        <v>2970</v>
      </c>
      <c r="BD340" s="52" t="s">
        <v>3866</v>
      </c>
      <c r="BE340" s="118"/>
      <c r="BF340" s="118"/>
      <c r="BG340" s="118"/>
      <c r="BH340" s="52"/>
      <c r="BI340" s="283"/>
      <c r="BJ340" s="52"/>
      <c r="BK340" s="52"/>
      <c r="BL340" s="52"/>
      <c r="BM340" s="52"/>
      <c r="BN340" s="52"/>
      <c r="BO340" s="52"/>
      <c r="BP340" s="52"/>
      <c r="BQ340" s="52"/>
      <c r="BR340" s="52"/>
      <c r="BS340" s="52"/>
      <c r="BT340" s="52"/>
      <c r="BU340" s="52"/>
      <c r="BV340" s="52"/>
      <c r="BW340" s="52"/>
      <c r="BX340" s="52"/>
      <c r="BY340" s="52"/>
      <c r="BZ340" s="52"/>
      <c r="CA340" s="52"/>
      <c r="CB340" s="52"/>
      <c r="CC340" s="52"/>
      <c r="CD340" s="118"/>
      <c r="CE340" s="52"/>
      <c r="CF340" s="52"/>
      <c r="CG340" s="52"/>
      <c r="CH340" s="52"/>
      <c r="CI340" s="52"/>
      <c r="CJ340" s="52"/>
      <c r="CK340" s="52"/>
      <c r="CL340" s="52"/>
      <c r="CM340" s="52"/>
      <c r="CN340" s="118"/>
      <c r="CO340" s="118"/>
      <c r="CP340" s="118"/>
      <c r="CQ340" s="52"/>
      <c r="CR340" s="52"/>
      <c r="CS340" s="52"/>
      <c r="CT340" s="52"/>
      <c r="CU340" s="52"/>
      <c r="CV340" s="52"/>
      <c r="CW340" s="52"/>
      <c r="CX340" s="52"/>
      <c r="CY340" s="52"/>
      <c r="CZ340" s="52"/>
      <c r="DA340" s="52"/>
      <c r="DB340" s="52"/>
    </row>
    <row r="341" spans="1:106" ht="13.5" x14ac:dyDescent="0.25">
      <c r="A341" s="411">
        <v>339</v>
      </c>
      <c r="B341" s="412" t="s">
        <v>3867</v>
      </c>
      <c r="C341" s="413" t="s">
        <v>622</v>
      </c>
      <c r="D341" s="426" t="s">
        <v>3868</v>
      </c>
      <c r="E341" s="80">
        <v>1</v>
      </c>
      <c r="F341" s="353">
        <v>14956.8482</v>
      </c>
      <c r="G341" s="293"/>
      <c r="H341" s="293"/>
      <c r="I341" s="293"/>
      <c r="J341" s="52"/>
      <c r="K341" s="52"/>
      <c r="L341" s="359"/>
      <c r="M341" s="360"/>
      <c r="N341" s="361"/>
      <c r="O341" s="33"/>
      <c r="P341" s="252"/>
      <c r="Q341" s="113"/>
      <c r="R341" s="113"/>
      <c r="S341" s="113"/>
      <c r="T341" s="52"/>
      <c r="U341" s="5"/>
      <c r="V341" s="231"/>
      <c r="W341" s="231"/>
      <c r="X341" s="231"/>
      <c r="Y341" s="113"/>
      <c r="Z341" s="357"/>
      <c r="AA341" s="118" t="s">
        <v>2877</v>
      </c>
      <c r="AB341" s="118"/>
      <c r="AC341" s="118"/>
      <c r="AD341" s="52"/>
      <c r="AE341" s="5"/>
      <c r="AF341" s="358"/>
      <c r="AG341" s="358"/>
      <c r="AH341" s="358"/>
      <c r="AI341" s="358"/>
      <c r="AJ341" s="358"/>
      <c r="AK341" s="113"/>
      <c r="AL341" s="113"/>
      <c r="AM341" s="113"/>
      <c r="AN341" s="113"/>
      <c r="AO341" s="113"/>
      <c r="AP341" s="52"/>
      <c r="AQ341" s="52"/>
      <c r="AR341" s="52"/>
      <c r="AS341" s="52"/>
      <c r="AT341" s="52"/>
      <c r="AU341" s="125"/>
      <c r="AV341" s="125"/>
      <c r="AW341" s="125"/>
      <c r="AX341" s="5"/>
      <c r="AY341" s="5"/>
      <c r="AZ341" s="113"/>
      <c r="BA341" s="113"/>
      <c r="BB341" s="113"/>
      <c r="BC341" s="52"/>
      <c r="BD341" s="52"/>
      <c r="BE341" s="118"/>
      <c r="BF341" s="118"/>
      <c r="BG341" s="118"/>
      <c r="BH341" s="52"/>
      <c r="BI341" s="283"/>
      <c r="BJ341" s="52"/>
      <c r="BK341" s="52"/>
      <c r="BL341" s="52"/>
      <c r="BM341" s="52"/>
      <c r="BN341" s="52"/>
      <c r="BO341" s="52"/>
      <c r="BP341" s="52"/>
      <c r="BQ341" s="52"/>
      <c r="BR341" s="52"/>
      <c r="BS341" s="52"/>
      <c r="BT341" s="52"/>
      <c r="BU341" s="52"/>
      <c r="BV341" s="52"/>
      <c r="BW341" s="52"/>
      <c r="BX341" s="52"/>
      <c r="BY341" s="52"/>
      <c r="BZ341" s="52"/>
      <c r="CA341" s="52"/>
      <c r="CB341" s="52"/>
      <c r="CC341" s="52"/>
      <c r="CD341" s="118"/>
      <c r="CE341" s="52"/>
      <c r="CF341" s="52"/>
      <c r="CG341" s="52"/>
      <c r="CH341" s="52"/>
      <c r="CI341" s="52"/>
      <c r="CJ341" s="52"/>
      <c r="CK341" s="52"/>
      <c r="CL341" s="52"/>
      <c r="CM341" s="52"/>
      <c r="CN341" s="118"/>
      <c r="CO341" s="118"/>
      <c r="CP341" s="118"/>
      <c r="CQ341" s="52"/>
      <c r="CR341" s="52"/>
      <c r="CS341" s="52"/>
      <c r="CT341" s="52"/>
      <c r="CU341" s="52"/>
      <c r="CV341" s="52"/>
      <c r="CW341" s="52"/>
      <c r="CX341" s="52"/>
      <c r="CY341" s="52"/>
      <c r="CZ341" s="52"/>
      <c r="DA341" s="52"/>
      <c r="DB341" s="52"/>
    </row>
    <row r="342" spans="1:106" ht="51" x14ac:dyDescent="0.25">
      <c r="A342" s="411">
        <v>340</v>
      </c>
      <c r="B342" s="412" t="s">
        <v>3869</v>
      </c>
      <c r="C342" s="426" t="s">
        <v>3870</v>
      </c>
      <c r="D342" s="426" t="s">
        <v>3871</v>
      </c>
      <c r="E342" s="80">
        <v>1</v>
      </c>
      <c r="F342" s="353">
        <v>2232132.9443999999</v>
      </c>
      <c r="G342" s="293"/>
      <c r="H342" s="293"/>
      <c r="I342" s="293"/>
      <c r="J342" s="52"/>
      <c r="K342" s="52"/>
      <c r="L342" s="359">
        <v>1967437</v>
      </c>
      <c r="M342" s="360">
        <v>373813.03</v>
      </c>
      <c r="N342" s="361">
        <v>2341250.0300000003</v>
      </c>
      <c r="O342" s="33" t="s">
        <v>3278</v>
      </c>
      <c r="P342" s="252" t="s">
        <v>3872</v>
      </c>
      <c r="Q342" s="113">
        <v>473000</v>
      </c>
      <c r="R342" s="113">
        <v>89870</v>
      </c>
      <c r="S342" s="113">
        <v>562870</v>
      </c>
      <c r="T342" s="52" t="s">
        <v>3547</v>
      </c>
      <c r="U342" s="5" t="s">
        <v>3873</v>
      </c>
      <c r="V342" s="231"/>
      <c r="W342" s="231"/>
      <c r="X342" s="231"/>
      <c r="Y342" s="113"/>
      <c r="Z342" s="357"/>
      <c r="AA342" s="118" t="s">
        <v>2877</v>
      </c>
      <c r="AB342" s="118"/>
      <c r="AC342" s="118"/>
      <c r="AD342" s="52"/>
      <c r="AE342" s="5"/>
      <c r="AF342" s="358"/>
      <c r="AG342" s="358"/>
      <c r="AH342" s="358"/>
      <c r="AI342" s="358"/>
      <c r="AJ342" s="358"/>
      <c r="AK342" s="113"/>
      <c r="AL342" s="113"/>
      <c r="AM342" s="113"/>
      <c r="AN342" s="113"/>
      <c r="AO342" s="113"/>
      <c r="AP342" s="52"/>
      <c r="AQ342" s="52"/>
      <c r="AR342" s="52"/>
      <c r="AS342" s="52"/>
      <c r="AT342" s="52"/>
      <c r="AU342" s="125"/>
      <c r="AV342" s="125"/>
      <c r="AW342" s="125"/>
      <c r="AX342" s="5"/>
      <c r="AY342" s="5"/>
      <c r="AZ342" s="113"/>
      <c r="BA342" s="113"/>
      <c r="BB342" s="113"/>
      <c r="BC342" s="52"/>
      <c r="BD342" s="52"/>
      <c r="BE342" s="118"/>
      <c r="BF342" s="118"/>
      <c r="BG342" s="118"/>
      <c r="BH342" s="52"/>
      <c r="BI342" s="283"/>
      <c r="BJ342" s="52"/>
      <c r="BK342" s="52"/>
      <c r="BL342" s="52"/>
      <c r="BM342" s="52"/>
      <c r="BN342" s="52"/>
      <c r="BO342" s="52"/>
      <c r="BP342" s="52"/>
      <c r="BQ342" s="52"/>
      <c r="BR342" s="52"/>
      <c r="BS342" s="52"/>
      <c r="BT342" s="52"/>
      <c r="BU342" s="52"/>
      <c r="BV342" s="52"/>
      <c r="BW342" s="52"/>
      <c r="BX342" s="52"/>
      <c r="BY342" s="52"/>
      <c r="BZ342" s="52"/>
      <c r="CA342" s="52"/>
      <c r="CB342" s="52"/>
      <c r="CC342" s="52"/>
      <c r="CD342" s="118"/>
      <c r="CE342" s="52"/>
      <c r="CF342" s="52"/>
      <c r="CG342" s="52"/>
      <c r="CH342" s="52"/>
      <c r="CI342" s="52"/>
      <c r="CJ342" s="52"/>
      <c r="CK342" s="52"/>
      <c r="CL342" s="52"/>
      <c r="CM342" s="52"/>
      <c r="CN342" s="118"/>
      <c r="CO342" s="118"/>
      <c r="CP342" s="118"/>
      <c r="CQ342" s="52"/>
      <c r="CR342" s="52"/>
      <c r="CS342" s="52"/>
      <c r="CT342" s="52"/>
      <c r="CU342" s="52"/>
      <c r="CV342" s="52"/>
      <c r="CW342" s="52"/>
      <c r="CX342" s="52"/>
      <c r="CY342" s="52"/>
      <c r="CZ342" s="52"/>
      <c r="DA342" s="52"/>
      <c r="DB342" s="52"/>
    </row>
    <row r="343" spans="1:106" ht="51" x14ac:dyDescent="0.25">
      <c r="A343" s="411">
        <v>341</v>
      </c>
      <c r="B343" s="412" t="s">
        <v>3874</v>
      </c>
      <c r="C343" s="426" t="s">
        <v>3875</v>
      </c>
      <c r="D343" s="413" t="s">
        <v>3876</v>
      </c>
      <c r="E343" s="80">
        <v>1</v>
      </c>
      <c r="F343" s="353">
        <v>613356.46400000004</v>
      </c>
      <c r="G343" s="293"/>
      <c r="H343" s="293"/>
      <c r="I343" s="293"/>
      <c r="J343" s="52"/>
      <c r="K343" s="52"/>
      <c r="L343" s="359">
        <v>1019973</v>
      </c>
      <c r="M343" s="360">
        <v>193794.87</v>
      </c>
      <c r="N343" s="361">
        <v>1213767.8700000001</v>
      </c>
      <c r="O343" s="33" t="s">
        <v>3278</v>
      </c>
      <c r="P343" s="252" t="s">
        <v>3877</v>
      </c>
      <c r="Q343" s="113">
        <v>365000</v>
      </c>
      <c r="R343" s="113">
        <v>69350</v>
      </c>
      <c r="S343" s="113">
        <v>434350</v>
      </c>
      <c r="T343" s="52" t="s">
        <v>3547</v>
      </c>
      <c r="U343" s="5" t="s">
        <v>3878</v>
      </c>
      <c r="V343" s="231"/>
      <c r="W343" s="231"/>
      <c r="X343" s="231"/>
      <c r="Y343" s="113"/>
      <c r="Z343" s="357"/>
      <c r="AA343" s="118" t="s">
        <v>2877</v>
      </c>
      <c r="AB343" s="118"/>
      <c r="AC343" s="118"/>
      <c r="AD343" s="52"/>
      <c r="AE343" s="5"/>
      <c r="AF343" s="358"/>
      <c r="AG343" s="358"/>
      <c r="AH343" s="358"/>
      <c r="AI343" s="358"/>
      <c r="AJ343" s="358"/>
      <c r="AK343" s="113"/>
      <c r="AL343" s="113"/>
      <c r="AM343" s="113"/>
      <c r="AN343" s="113"/>
      <c r="AO343" s="113"/>
      <c r="AP343" s="52"/>
      <c r="AQ343" s="52"/>
      <c r="AR343" s="52"/>
      <c r="AS343" s="52"/>
      <c r="AT343" s="52"/>
      <c r="AU343" s="125"/>
      <c r="AV343" s="125"/>
      <c r="AW343" s="125"/>
      <c r="AX343" s="5"/>
      <c r="AY343" s="5"/>
      <c r="AZ343" s="113"/>
      <c r="BA343" s="113"/>
      <c r="BB343" s="113"/>
      <c r="BC343" s="52"/>
      <c r="BD343" s="52"/>
      <c r="BE343" s="118"/>
      <c r="BF343" s="118"/>
      <c r="BG343" s="118"/>
      <c r="BH343" s="52"/>
      <c r="BI343" s="283"/>
      <c r="BJ343" s="52"/>
      <c r="BK343" s="52"/>
      <c r="BL343" s="52"/>
      <c r="BM343" s="52"/>
      <c r="BN343" s="52"/>
      <c r="BO343" s="52"/>
      <c r="BP343" s="52"/>
      <c r="BQ343" s="52"/>
      <c r="BR343" s="52"/>
      <c r="BS343" s="52"/>
      <c r="BT343" s="52"/>
      <c r="BU343" s="52"/>
      <c r="BV343" s="52"/>
      <c r="BW343" s="52"/>
      <c r="BX343" s="52"/>
      <c r="BY343" s="52"/>
      <c r="BZ343" s="52"/>
      <c r="CA343" s="52"/>
      <c r="CB343" s="52"/>
      <c r="CC343" s="52"/>
      <c r="CD343" s="118"/>
      <c r="CE343" s="52"/>
      <c r="CF343" s="52"/>
      <c r="CG343" s="52"/>
      <c r="CH343" s="52"/>
      <c r="CI343" s="52"/>
      <c r="CJ343" s="52"/>
      <c r="CK343" s="52"/>
      <c r="CL343" s="52"/>
      <c r="CM343" s="52"/>
      <c r="CN343" s="118"/>
      <c r="CO343" s="118"/>
      <c r="CP343" s="118"/>
      <c r="CQ343" s="52"/>
      <c r="CR343" s="52"/>
      <c r="CS343" s="52"/>
      <c r="CT343" s="52"/>
      <c r="CU343" s="52"/>
      <c r="CV343" s="52"/>
      <c r="CW343" s="52"/>
      <c r="CX343" s="52"/>
      <c r="CY343" s="52"/>
      <c r="CZ343" s="52"/>
      <c r="DA343" s="52"/>
      <c r="DB343" s="52"/>
    </row>
    <row r="344" spans="1:106" ht="13.5" x14ac:dyDescent="0.25">
      <c r="A344" s="411">
        <v>342</v>
      </c>
      <c r="B344" s="412" t="s">
        <v>3879</v>
      </c>
      <c r="C344" s="426" t="s">
        <v>3880</v>
      </c>
      <c r="D344" s="426" t="s">
        <v>445</v>
      </c>
      <c r="E344" s="80">
        <v>1</v>
      </c>
      <c r="F344" s="353">
        <v>28279.755000000001</v>
      </c>
      <c r="G344" s="293"/>
      <c r="H344" s="293"/>
      <c r="I344" s="293"/>
      <c r="J344" s="52"/>
      <c r="K344" s="52"/>
      <c r="L344" s="359"/>
      <c r="M344" s="360"/>
      <c r="N344" s="361"/>
      <c r="O344" s="33"/>
      <c r="P344" s="252"/>
      <c r="Q344" s="113"/>
      <c r="R344" s="113"/>
      <c r="S344" s="113"/>
      <c r="T344" s="52"/>
      <c r="U344" s="5"/>
      <c r="V344" s="231"/>
      <c r="W344" s="231"/>
      <c r="X344" s="231"/>
      <c r="Y344" s="113"/>
      <c r="Z344" s="357"/>
      <c r="AA344" s="118" t="s">
        <v>2877</v>
      </c>
      <c r="AB344" s="118"/>
      <c r="AC344" s="118"/>
      <c r="AD344" s="52"/>
      <c r="AE344" s="5"/>
      <c r="AF344" s="358"/>
      <c r="AG344" s="358"/>
      <c r="AH344" s="358"/>
      <c r="AI344" s="358"/>
      <c r="AJ344" s="358"/>
      <c r="AK344" s="113"/>
      <c r="AL344" s="113"/>
      <c r="AM344" s="113"/>
      <c r="AN344" s="113"/>
      <c r="AO344" s="113"/>
      <c r="AP344" s="52"/>
      <c r="AQ344" s="52"/>
      <c r="AR344" s="52"/>
      <c r="AS344" s="52"/>
      <c r="AT344" s="52"/>
      <c r="AU344" s="125"/>
      <c r="AV344" s="125"/>
      <c r="AW344" s="125"/>
      <c r="AX344" s="5"/>
      <c r="AY344" s="5"/>
      <c r="AZ344" s="113">
        <v>38000</v>
      </c>
      <c r="BA344" s="113">
        <v>7220</v>
      </c>
      <c r="BB344" s="113">
        <v>45220</v>
      </c>
      <c r="BC344" s="52" t="s">
        <v>3881</v>
      </c>
      <c r="BD344" s="52" t="s">
        <v>3882</v>
      </c>
      <c r="BE344" s="118"/>
      <c r="BF344" s="118"/>
      <c r="BG344" s="118"/>
      <c r="BH344" s="52"/>
      <c r="BI344" s="283"/>
      <c r="BJ344" s="52"/>
      <c r="BK344" s="52"/>
      <c r="BL344" s="52"/>
      <c r="BM344" s="52"/>
      <c r="BN344" s="52"/>
      <c r="BO344" s="52"/>
      <c r="BP344" s="52"/>
      <c r="BQ344" s="52"/>
      <c r="BR344" s="52"/>
      <c r="BS344" s="52"/>
      <c r="BT344" s="52"/>
      <c r="BU344" s="52"/>
      <c r="BV344" s="52"/>
      <c r="BW344" s="52"/>
      <c r="BX344" s="52"/>
      <c r="BY344" s="52"/>
      <c r="BZ344" s="52"/>
      <c r="CA344" s="52"/>
      <c r="CB344" s="52"/>
      <c r="CC344" s="52"/>
      <c r="CD344" s="118"/>
      <c r="CE344" s="52"/>
      <c r="CF344" s="52"/>
      <c r="CG344" s="52"/>
      <c r="CH344" s="52"/>
      <c r="CI344" s="52"/>
      <c r="CJ344" s="52"/>
      <c r="CK344" s="52"/>
      <c r="CL344" s="52"/>
      <c r="CM344" s="52"/>
      <c r="CN344" s="118"/>
      <c r="CO344" s="118"/>
      <c r="CP344" s="118"/>
      <c r="CQ344" s="52"/>
      <c r="CR344" s="52"/>
      <c r="CS344" s="52"/>
      <c r="CT344" s="52"/>
      <c r="CU344" s="52"/>
      <c r="CV344" s="52"/>
      <c r="CW344" s="52"/>
      <c r="CX344" s="52"/>
      <c r="CY344" s="52"/>
      <c r="CZ344" s="52"/>
      <c r="DA344" s="52"/>
      <c r="DB344" s="52"/>
    </row>
    <row r="345" spans="1:106" ht="40.5" x14ac:dyDescent="0.25">
      <c r="A345" s="411">
        <v>343</v>
      </c>
      <c r="B345" s="409" t="s">
        <v>3883</v>
      </c>
      <c r="C345" s="413" t="s">
        <v>3884</v>
      </c>
      <c r="D345" s="409" t="s">
        <v>196</v>
      </c>
      <c r="E345" s="80">
        <v>1</v>
      </c>
      <c r="F345" s="353">
        <v>56659.849000000002</v>
      </c>
      <c r="G345" s="293">
        <v>51400</v>
      </c>
      <c r="H345" s="293">
        <v>9766</v>
      </c>
      <c r="I345" s="293">
        <v>61166</v>
      </c>
      <c r="J345" s="52" t="s">
        <v>2956</v>
      </c>
      <c r="K345" s="52" t="s">
        <v>3885</v>
      </c>
      <c r="L345" s="359"/>
      <c r="M345" s="360"/>
      <c r="N345" s="361"/>
      <c r="O345" s="33"/>
      <c r="P345" s="252"/>
      <c r="Q345" s="113"/>
      <c r="R345" s="113"/>
      <c r="S345" s="113"/>
      <c r="T345" s="52"/>
      <c r="U345" s="5"/>
      <c r="V345" s="231"/>
      <c r="W345" s="231"/>
      <c r="X345" s="231"/>
      <c r="Y345" s="113"/>
      <c r="Z345" s="357"/>
      <c r="AA345" s="118" t="s">
        <v>2877</v>
      </c>
      <c r="AB345" s="118"/>
      <c r="AC345" s="118"/>
      <c r="AD345" s="52"/>
      <c r="AE345" s="5"/>
      <c r="AF345" s="113">
        <v>47250</v>
      </c>
      <c r="AG345" s="113">
        <v>8977.5</v>
      </c>
      <c r="AH345" s="113">
        <v>56227.5</v>
      </c>
      <c r="AI345" s="358" t="s">
        <v>2956</v>
      </c>
      <c r="AJ345" s="358">
        <v>3302</v>
      </c>
      <c r="AK345" s="113"/>
      <c r="AL345" s="113"/>
      <c r="AM345" s="113"/>
      <c r="AN345" s="113"/>
      <c r="AO345" s="113"/>
      <c r="AP345" s="52"/>
      <c r="AQ345" s="52"/>
      <c r="AR345" s="52"/>
      <c r="AS345" s="52"/>
      <c r="AT345" s="52"/>
      <c r="AU345" s="125"/>
      <c r="AV345" s="125"/>
      <c r="AW345" s="125"/>
      <c r="AX345" s="5"/>
      <c r="AY345" s="5"/>
      <c r="AZ345" s="113"/>
      <c r="BA345" s="113"/>
      <c r="BB345" s="113"/>
      <c r="BC345" s="52"/>
      <c r="BD345" s="52"/>
      <c r="BE345" s="118"/>
      <c r="BF345" s="118"/>
      <c r="BG345" s="118"/>
      <c r="BH345" s="52"/>
      <c r="BI345" s="283"/>
      <c r="BJ345" s="52"/>
      <c r="BK345" s="52"/>
      <c r="BL345" s="52"/>
      <c r="BM345" s="52"/>
      <c r="BN345" s="52"/>
      <c r="BO345" s="52"/>
      <c r="BP345" s="52"/>
      <c r="BQ345" s="52"/>
      <c r="BR345" s="52"/>
      <c r="BS345" s="52"/>
      <c r="BT345" s="52"/>
      <c r="BU345" s="52"/>
      <c r="BV345" s="52"/>
      <c r="BW345" s="52"/>
      <c r="BX345" s="52"/>
      <c r="BY345" s="52"/>
      <c r="BZ345" s="52"/>
      <c r="CA345" s="52"/>
      <c r="CB345" s="52"/>
      <c r="CC345" s="52"/>
      <c r="CD345" s="118">
        <v>15127</v>
      </c>
      <c r="CE345" s="118">
        <f>+CD345*0.19</f>
        <v>2874.13</v>
      </c>
      <c r="CF345" s="118">
        <f>+CD345+CE345</f>
        <v>18001.13</v>
      </c>
      <c r="CG345" s="52" t="s">
        <v>2927</v>
      </c>
      <c r="CH345" s="52" t="s">
        <v>3886</v>
      </c>
      <c r="CI345" s="52"/>
      <c r="CJ345" s="52"/>
      <c r="CK345" s="52"/>
      <c r="CL345" s="52"/>
      <c r="CM345" s="52"/>
      <c r="CN345" s="118"/>
      <c r="CO345" s="118"/>
      <c r="CP345" s="118"/>
      <c r="CQ345" s="52"/>
      <c r="CR345" s="52"/>
      <c r="CS345" s="52"/>
      <c r="CT345" s="52"/>
      <c r="CU345" s="52"/>
      <c r="CV345" s="52"/>
      <c r="CW345" s="52"/>
      <c r="CX345" s="52"/>
      <c r="CY345" s="52"/>
      <c r="CZ345" s="52"/>
      <c r="DA345" s="52"/>
      <c r="DB345" s="52"/>
    </row>
    <row r="346" spans="1:106" ht="51" x14ac:dyDescent="0.25">
      <c r="A346" s="411">
        <v>344</v>
      </c>
      <c r="B346" s="412" t="s">
        <v>3887</v>
      </c>
      <c r="C346" s="426" t="s">
        <v>3888</v>
      </c>
      <c r="D346" s="426" t="s">
        <v>445</v>
      </c>
      <c r="E346" s="80">
        <v>1</v>
      </c>
      <c r="F346" s="353">
        <v>2183197.0860000001</v>
      </c>
      <c r="G346" s="293"/>
      <c r="H346" s="293"/>
      <c r="I346" s="293"/>
      <c r="J346" s="52"/>
      <c r="K346" s="52"/>
      <c r="L346" s="359"/>
      <c r="M346" s="360"/>
      <c r="N346" s="361"/>
      <c r="O346" s="33"/>
      <c r="P346" s="252"/>
      <c r="Q346" s="113"/>
      <c r="R346" s="113"/>
      <c r="S346" s="113"/>
      <c r="T346" s="52"/>
      <c r="U346" s="5"/>
      <c r="V346" s="231">
        <v>1423000</v>
      </c>
      <c r="W346" s="231">
        <f t="shared" ref="W346:W357" si="34">V346*0.19</f>
        <v>270370</v>
      </c>
      <c r="X346" s="231">
        <f t="shared" ref="X346:X357" si="35">V346*1.19</f>
        <v>1693370</v>
      </c>
      <c r="Y346" s="113" t="s">
        <v>3445</v>
      </c>
      <c r="Z346" s="357">
        <v>835.1</v>
      </c>
      <c r="AA346" s="118" t="s">
        <v>2877</v>
      </c>
      <c r="AB346" s="118"/>
      <c r="AC346" s="118"/>
      <c r="AD346" s="52"/>
      <c r="AE346" s="5"/>
      <c r="AF346" s="113">
        <v>1013880</v>
      </c>
      <c r="AG346" s="113">
        <v>192637.2</v>
      </c>
      <c r="AH346" s="113">
        <v>1206517.2</v>
      </c>
      <c r="AI346" s="358" t="s">
        <v>2925</v>
      </c>
      <c r="AJ346" s="358" t="s">
        <v>3889</v>
      </c>
      <c r="AK346" s="113">
        <v>895000</v>
      </c>
      <c r="AL346" s="113">
        <v>170050</v>
      </c>
      <c r="AM346" s="113">
        <v>1065050</v>
      </c>
      <c r="AN346" s="113" t="s">
        <v>2887</v>
      </c>
      <c r="AO346" s="113" t="s">
        <v>3890</v>
      </c>
      <c r="AP346" s="52"/>
      <c r="AQ346" s="52"/>
      <c r="AR346" s="52"/>
      <c r="AS346" s="52"/>
      <c r="AT346" s="52"/>
      <c r="AU346" s="125">
        <v>2869100</v>
      </c>
      <c r="AV346" s="125">
        <v>545129</v>
      </c>
      <c r="AW346" s="125">
        <v>3414229</v>
      </c>
      <c r="AX346" s="5" t="s">
        <v>3195</v>
      </c>
      <c r="AY346" s="5" t="s">
        <v>3891</v>
      </c>
      <c r="AZ346" s="113">
        <v>1724000</v>
      </c>
      <c r="BA346" s="113">
        <v>327560</v>
      </c>
      <c r="BB346" s="113">
        <v>2051560</v>
      </c>
      <c r="BC346" s="52" t="s">
        <v>2925</v>
      </c>
      <c r="BD346" s="52" t="s">
        <v>3892</v>
      </c>
      <c r="BE346" s="118"/>
      <c r="BF346" s="118"/>
      <c r="BG346" s="118"/>
      <c r="BH346" s="52"/>
      <c r="BI346" s="283"/>
      <c r="BJ346" s="52"/>
      <c r="BK346" s="52"/>
      <c r="BL346" s="52"/>
      <c r="BM346" s="52"/>
      <c r="BN346" s="52"/>
      <c r="BO346" s="52"/>
      <c r="BP346" s="52"/>
      <c r="BQ346" s="52"/>
      <c r="BR346" s="52"/>
      <c r="BS346" s="52"/>
      <c r="BT346" s="52"/>
      <c r="BU346" s="52"/>
      <c r="BV346" s="52"/>
      <c r="BW346" s="52"/>
      <c r="BX346" s="52"/>
      <c r="BY346" s="52"/>
      <c r="BZ346" s="52"/>
      <c r="CA346" s="52"/>
      <c r="CB346" s="52"/>
      <c r="CC346" s="52"/>
      <c r="CD346" s="118"/>
      <c r="CE346" s="52"/>
      <c r="CF346" s="52"/>
      <c r="CG346" s="52"/>
      <c r="CH346" s="52"/>
      <c r="CI346" s="52"/>
      <c r="CJ346" s="52"/>
      <c r="CK346" s="52"/>
      <c r="CL346" s="52"/>
      <c r="CM346" s="52"/>
      <c r="CN346" s="118"/>
      <c r="CO346" s="118"/>
      <c r="CP346" s="118"/>
      <c r="CQ346" s="52"/>
      <c r="CR346" s="52"/>
      <c r="CS346" s="52"/>
      <c r="CT346" s="52"/>
      <c r="CU346" s="52"/>
      <c r="CV346" s="52"/>
      <c r="CW346" s="52"/>
      <c r="CX346" s="52"/>
      <c r="CY346" s="52"/>
      <c r="CZ346" s="52"/>
      <c r="DA346" s="52"/>
      <c r="DB346" s="52"/>
    </row>
    <row r="347" spans="1:106" ht="63.75" x14ac:dyDescent="0.25">
      <c r="A347" s="411">
        <v>345</v>
      </c>
      <c r="B347" s="412" t="s">
        <v>3893</v>
      </c>
      <c r="C347" s="426" t="s">
        <v>3894</v>
      </c>
      <c r="D347" s="426" t="s">
        <v>445</v>
      </c>
      <c r="E347" s="80">
        <v>1</v>
      </c>
      <c r="F347" s="353">
        <v>2105899.0890000002</v>
      </c>
      <c r="G347" s="293">
        <v>792900</v>
      </c>
      <c r="H347" s="293">
        <v>150651</v>
      </c>
      <c r="I347" s="293">
        <v>943551</v>
      </c>
      <c r="J347" s="52" t="s">
        <v>2948</v>
      </c>
      <c r="K347" s="52" t="s">
        <v>3895</v>
      </c>
      <c r="L347" s="359"/>
      <c r="M347" s="360"/>
      <c r="N347" s="361"/>
      <c r="O347" s="33"/>
      <c r="P347" s="252"/>
      <c r="Q347" s="113"/>
      <c r="R347" s="113"/>
      <c r="S347" s="113"/>
      <c r="T347" s="52"/>
      <c r="U347" s="5"/>
      <c r="V347" s="231">
        <v>1400000</v>
      </c>
      <c r="W347" s="231">
        <f t="shared" si="34"/>
        <v>266000</v>
      </c>
      <c r="X347" s="231">
        <f t="shared" si="35"/>
        <v>1666000</v>
      </c>
      <c r="Y347" s="113" t="s">
        <v>3445</v>
      </c>
      <c r="Z347" s="357">
        <v>826.1</v>
      </c>
      <c r="AA347" s="118" t="s">
        <v>2877</v>
      </c>
      <c r="AB347" s="118"/>
      <c r="AC347" s="118"/>
      <c r="AD347" s="52"/>
      <c r="AE347" s="5"/>
      <c r="AF347" s="358"/>
      <c r="AG347" s="358"/>
      <c r="AH347" s="358"/>
      <c r="AI347" s="358"/>
      <c r="AJ347" s="358"/>
      <c r="AK347" s="113">
        <v>695000</v>
      </c>
      <c r="AL347" s="113">
        <v>132050</v>
      </c>
      <c r="AM347" s="113">
        <v>827050</v>
      </c>
      <c r="AN347" s="113">
        <v>0</v>
      </c>
      <c r="AO347" s="113">
        <v>7030511014</v>
      </c>
      <c r="AP347" s="52"/>
      <c r="AQ347" s="52"/>
      <c r="AR347" s="52"/>
      <c r="AS347" s="52"/>
      <c r="AT347" s="52"/>
      <c r="AU347" s="125">
        <v>2869100</v>
      </c>
      <c r="AV347" s="125">
        <v>545129</v>
      </c>
      <c r="AW347" s="125">
        <v>3414229</v>
      </c>
      <c r="AX347" s="5" t="s">
        <v>3195</v>
      </c>
      <c r="AY347" s="5" t="s">
        <v>3896</v>
      </c>
      <c r="AZ347" s="113">
        <v>2985000</v>
      </c>
      <c r="BA347" s="113">
        <v>567150</v>
      </c>
      <c r="BB347" s="113">
        <v>3552150</v>
      </c>
      <c r="BC347" s="52" t="s">
        <v>3897</v>
      </c>
      <c r="BD347" s="52" t="s">
        <v>3898</v>
      </c>
      <c r="BE347" s="320">
        <v>1417000</v>
      </c>
      <c r="BF347" s="320">
        <f t="shared" ref="BF347:BF351" si="36">BE347*0.19</f>
        <v>269230</v>
      </c>
      <c r="BG347" s="320">
        <f t="shared" ref="BG347:BG351" si="37">BE347+BF347</f>
        <v>1686230</v>
      </c>
      <c r="BH347" s="4" t="s">
        <v>2887</v>
      </c>
      <c r="BI347" s="286" t="s">
        <v>3899</v>
      </c>
      <c r="BJ347" s="52"/>
      <c r="BK347" s="52"/>
      <c r="BL347" s="52"/>
      <c r="BM347" s="52"/>
      <c r="BN347" s="52"/>
      <c r="BO347" s="52"/>
      <c r="BP347" s="52"/>
      <c r="BQ347" s="52"/>
      <c r="BR347" s="52"/>
      <c r="BS347" s="52"/>
      <c r="BT347" s="52"/>
      <c r="BU347" s="52"/>
      <c r="BV347" s="52"/>
      <c r="BW347" s="52"/>
      <c r="BX347" s="52"/>
      <c r="BY347" s="52"/>
      <c r="BZ347" s="52"/>
      <c r="CA347" s="52"/>
      <c r="CB347" s="52"/>
      <c r="CC347" s="52"/>
      <c r="CD347" s="118"/>
      <c r="CE347" s="52"/>
      <c r="CF347" s="52"/>
      <c r="CG347" s="52"/>
      <c r="CH347" s="52"/>
      <c r="CI347" s="52"/>
      <c r="CJ347" s="52"/>
      <c r="CK347" s="52"/>
      <c r="CL347" s="52"/>
      <c r="CM347" s="52"/>
      <c r="CN347" s="118"/>
      <c r="CO347" s="118"/>
      <c r="CP347" s="118"/>
      <c r="CQ347" s="52"/>
      <c r="CR347" s="52"/>
      <c r="CS347" s="52"/>
      <c r="CT347" s="52"/>
      <c r="CU347" s="52"/>
      <c r="CV347" s="52"/>
      <c r="CW347" s="52"/>
      <c r="CX347" s="52"/>
      <c r="CY347" s="52"/>
      <c r="CZ347" s="52"/>
      <c r="DA347" s="52"/>
      <c r="DB347" s="52"/>
    </row>
    <row r="348" spans="1:106" ht="63.75" x14ac:dyDescent="0.25">
      <c r="A348" s="411">
        <v>346</v>
      </c>
      <c r="B348" s="412" t="s">
        <v>3900</v>
      </c>
      <c r="C348" s="413" t="s">
        <v>3901</v>
      </c>
      <c r="D348" s="426" t="s">
        <v>445</v>
      </c>
      <c r="E348" s="80">
        <v>1</v>
      </c>
      <c r="F348" s="353">
        <v>1860218.5194000001</v>
      </c>
      <c r="G348" s="293">
        <v>792900</v>
      </c>
      <c r="H348" s="293">
        <v>150651</v>
      </c>
      <c r="I348" s="293">
        <v>943551</v>
      </c>
      <c r="J348" s="52" t="s">
        <v>2948</v>
      </c>
      <c r="K348" s="52" t="s">
        <v>3895</v>
      </c>
      <c r="L348" s="359"/>
      <c r="M348" s="360"/>
      <c r="N348" s="361"/>
      <c r="O348" s="33"/>
      <c r="P348" s="252"/>
      <c r="Q348" s="113"/>
      <c r="R348" s="113"/>
      <c r="S348" s="113"/>
      <c r="T348" s="52"/>
      <c r="U348" s="5"/>
      <c r="V348" s="231">
        <v>1400000</v>
      </c>
      <c r="W348" s="231">
        <f t="shared" si="34"/>
        <v>266000</v>
      </c>
      <c r="X348" s="231">
        <f t="shared" si="35"/>
        <v>1666000</v>
      </c>
      <c r="Y348" s="113" t="s">
        <v>3445</v>
      </c>
      <c r="Z348" s="357">
        <v>826.1</v>
      </c>
      <c r="AA348" s="118" t="s">
        <v>2877</v>
      </c>
      <c r="AB348" s="118"/>
      <c r="AC348" s="118"/>
      <c r="AD348" s="52"/>
      <c r="AE348" s="5"/>
      <c r="AF348" s="113">
        <v>916697</v>
      </c>
      <c r="AG348" s="113">
        <v>174172.43</v>
      </c>
      <c r="AH348" s="113">
        <v>1090869.43</v>
      </c>
      <c r="AI348" s="358" t="s">
        <v>2925</v>
      </c>
      <c r="AJ348" s="358" t="s">
        <v>3902</v>
      </c>
      <c r="AK348" s="113">
        <v>695000</v>
      </c>
      <c r="AL348" s="113">
        <v>132050</v>
      </c>
      <c r="AM348" s="113">
        <v>827050</v>
      </c>
      <c r="AN348" s="113">
        <v>0</v>
      </c>
      <c r="AO348" s="113">
        <v>7030511014</v>
      </c>
      <c r="AP348" s="52"/>
      <c r="AQ348" s="52"/>
      <c r="AR348" s="52"/>
      <c r="AS348" s="52"/>
      <c r="AT348" s="52"/>
      <c r="AU348" s="125">
        <v>2869100</v>
      </c>
      <c r="AV348" s="125">
        <v>545129</v>
      </c>
      <c r="AW348" s="125">
        <v>3414229</v>
      </c>
      <c r="AX348" s="5" t="s">
        <v>3195</v>
      </c>
      <c r="AY348" s="5" t="s">
        <v>3896</v>
      </c>
      <c r="AZ348" s="113">
        <v>2985000</v>
      </c>
      <c r="BA348" s="113">
        <v>567150</v>
      </c>
      <c r="BB348" s="113">
        <v>3552150</v>
      </c>
      <c r="BC348" s="52" t="s">
        <v>3897</v>
      </c>
      <c r="BD348" s="52" t="s">
        <v>3898</v>
      </c>
      <c r="BE348" s="320">
        <v>1417000</v>
      </c>
      <c r="BF348" s="320">
        <f t="shared" si="36"/>
        <v>269230</v>
      </c>
      <c r="BG348" s="320">
        <f t="shared" si="37"/>
        <v>1686230</v>
      </c>
      <c r="BH348" s="4" t="s">
        <v>2887</v>
      </c>
      <c r="BI348" s="286" t="s">
        <v>3903</v>
      </c>
      <c r="BJ348" s="52"/>
      <c r="BK348" s="52"/>
      <c r="BL348" s="52"/>
      <c r="BM348" s="52"/>
      <c r="BN348" s="52"/>
      <c r="BO348" s="52"/>
      <c r="BP348" s="52"/>
      <c r="BQ348" s="52"/>
      <c r="BR348" s="52"/>
      <c r="BS348" s="52"/>
      <c r="BT348" s="52"/>
      <c r="BU348" s="52"/>
      <c r="BV348" s="52"/>
      <c r="BW348" s="52"/>
      <c r="BX348" s="52"/>
      <c r="BY348" s="52"/>
      <c r="BZ348" s="52"/>
      <c r="CA348" s="52"/>
      <c r="CB348" s="52"/>
      <c r="CC348" s="52"/>
      <c r="CD348" s="118"/>
      <c r="CE348" s="52"/>
      <c r="CF348" s="52"/>
      <c r="CG348" s="52"/>
      <c r="CH348" s="52"/>
      <c r="CI348" s="52"/>
      <c r="CJ348" s="52"/>
      <c r="CK348" s="52"/>
      <c r="CL348" s="52"/>
      <c r="CM348" s="52"/>
      <c r="CN348" s="118"/>
      <c r="CO348" s="118"/>
      <c r="CP348" s="118"/>
      <c r="CQ348" s="52"/>
      <c r="CR348" s="52"/>
      <c r="CS348" s="52"/>
      <c r="CT348" s="52"/>
      <c r="CU348" s="52"/>
      <c r="CV348" s="52"/>
      <c r="CW348" s="52"/>
      <c r="CX348" s="52"/>
      <c r="CY348" s="52"/>
      <c r="CZ348" s="52"/>
      <c r="DA348" s="52"/>
      <c r="DB348" s="52"/>
    </row>
    <row r="349" spans="1:106" ht="51" x14ac:dyDescent="0.25">
      <c r="A349" s="411">
        <v>347</v>
      </c>
      <c r="B349" s="412" t="s">
        <v>3904</v>
      </c>
      <c r="C349" s="413" t="s">
        <v>3905</v>
      </c>
      <c r="D349" s="426" t="s">
        <v>445</v>
      </c>
      <c r="E349" s="80">
        <v>1</v>
      </c>
      <c r="F349" s="353">
        <v>2018546.068</v>
      </c>
      <c r="G349" s="293">
        <v>792900</v>
      </c>
      <c r="H349" s="293">
        <v>150651</v>
      </c>
      <c r="I349" s="293">
        <v>943551</v>
      </c>
      <c r="J349" s="52" t="s">
        <v>2948</v>
      </c>
      <c r="K349" s="52" t="s">
        <v>3895</v>
      </c>
      <c r="L349" s="359"/>
      <c r="M349" s="360"/>
      <c r="N349" s="361"/>
      <c r="O349" s="33"/>
      <c r="P349" s="252"/>
      <c r="Q349" s="113"/>
      <c r="R349" s="113"/>
      <c r="S349" s="113"/>
      <c r="T349" s="52"/>
      <c r="U349" s="5"/>
      <c r="V349" s="231">
        <v>1400000</v>
      </c>
      <c r="W349" s="231">
        <f t="shared" si="34"/>
        <v>266000</v>
      </c>
      <c r="X349" s="231">
        <f t="shared" si="35"/>
        <v>1666000</v>
      </c>
      <c r="Y349" s="113" t="s">
        <v>3445</v>
      </c>
      <c r="Z349" s="357">
        <v>826.01</v>
      </c>
      <c r="AA349" s="118" t="s">
        <v>2877</v>
      </c>
      <c r="AB349" s="118"/>
      <c r="AC349" s="118"/>
      <c r="AD349" s="52"/>
      <c r="AE349" s="5"/>
      <c r="AF349" s="113">
        <v>916697</v>
      </c>
      <c r="AG349" s="113">
        <v>174172.43</v>
      </c>
      <c r="AH349" s="113">
        <v>1090869.43</v>
      </c>
      <c r="AI349" s="358" t="s">
        <v>2925</v>
      </c>
      <c r="AJ349" s="358" t="s">
        <v>3906</v>
      </c>
      <c r="AK349" s="113">
        <v>695000</v>
      </c>
      <c r="AL349" s="113">
        <v>132050</v>
      </c>
      <c r="AM349" s="113">
        <v>827050</v>
      </c>
      <c r="AN349" s="113">
        <v>0</v>
      </c>
      <c r="AO349" s="113">
        <v>7030511008</v>
      </c>
      <c r="AP349" s="52"/>
      <c r="AQ349" s="52"/>
      <c r="AR349" s="52"/>
      <c r="AS349" s="52"/>
      <c r="AT349" s="52"/>
      <c r="AU349" s="125">
        <v>2869100</v>
      </c>
      <c r="AV349" s="125">
        <v>545129</v>
      </c>
      <c r="AW349" s="125">
        <v>3414229</v>
      </c>
      <c r="AX349" s="5" t="s">
        <v>3195</v>
      </c>
      <c r="AY349" s="5" t="s">
        <v>3907</v>
      </c>
      <c r="AZ349" s="113">
        <v>1774000</v>
      </c>
      <c r="BA349" s="113">
        <v>337060</v>
      </c>
      <c r="BB349" s="113">
        <v>2111060</v>
      </c>
      <c r="BC349" s="52" t="s">
        <v>3897</v>
      </c>
      <c r="BD349" s="52" t="s">
        <v>3908</v>
      </c>
      <c r="BE349" s="320">
        <v>1417000</v>
      </c>
      <c r="BF349" s="320">
        <f t="shared" si="36"/>
        <v>269230</v>
      </c>
      <c r="BG349" s="320">
        <f t="shared" si="37"/>
        <v>1686230</v>
      </c>
      <c r="BH349" s="4" t="s">
        <v>2887</v>
      </c>
      <c r="BI349" s="286" t="s">
        <v>3909</v>
      </c>
      <c r="BJ349" s="52"/>
      <c r="BK349" s="52"/>
      <c r="BL349" s="52"/>
      <c r="BM349" s="52"/>
      <c r="BN349" s="52"/>
      <c r="BO349" s="52"/>
      <c r="BP349" s="52"/>
      <c r="BQ349" s="52"/>
      <c r="BR349" s="52"/>
      <c r="BS349" s="52"/>
      <c r="BT349" s="52"/>
      <c r="BU349" s="52"/>
      <c r="BV349" s="52"/>
      <c r="BW349" s="52"/>
      <c r="BX349" s="52"/>
      <c r="BY349" s="52"/>
      <c r="BZ349" s="52"/>
      <c r="CA349" s="52"/>
      <c r="CB349" s="52"/>
      <c r="CC349" s="52"/>
      <c r="CD349" s="118"/>
      <c r="CE349" s="52"/>
      <c r="CF349" s="52"/>
      <c r="CG349" s="52"/>
      <c r="CH349" s="52"/>
      <c r="CI349" s="52"/>
      <c r="CJ349" s="52"/>
      <c r="CK349" s="52"/>
      <c r="CL349" s="52"/>
      <c r="CM349" s="52"/>
      <c r="CN349" s="118"/>
      <c r="CO349" s="118"/>
      <c r="CP349" s="118"/>
      <c r="CQ349" s="52"/>
      <c r="CR349" s="52"/>
      <c r="CS349" s="52"/>
      <c r="CT349" s="52"/>
      <c r="CU349" s="52"/>
      <c r="CV349" s="52"/>
      <c r="CW349" s="52"/>
      <c r="CX349" s="52"/>
      <c r="CY349" s="52"/>
      <c r="CZ349" s="52"/>
      <c r="DA349" s="52"/>
      <c r="DB349" s="52"/>
    </row>
    <row r="350" spans="1:106" ht="51" x14ac:dyDescent="0.25">
      <c r="A350" s="411">
        <v>348</v>
      </c>
      <c r="B350" s="412" t="s">
        <v>3910</v>
      </c>
      <c r="C350" s="413" t="s">
        <v>3905</v>
      </c>
      <c r="D350" s="426" t="s">
        <v>445</v>
      </c>
      <c r="E350" s="80">
        <v>1</v>
      </c>
      <c r="F350" s="353">
        <v>1885317</v>
      </c>
      <c r="G350" s="293">
        <v>792900</v>
      </c>
      <c r="H350" s="293">
        <v>150651</v>
      </c>
      <c r="I350" s="293">
        <v>943551</v>
      </c>
      <c r="J350" s="52" t="s">
        <v>2948</v>
      </c>
      <c r="K350" s="52" t="s">
        <v>3911</v>
      </c>
      <c r="L350" s="359"/>
      <c r="M350" s="360"/>
      <c r="N350" s="361"/>
      <c r="O350" s="33"/>
      <c r="P350" s="252"/>
      <c r="Q350" s="113"/>
      <c r="R350" s="113"/>
      <c r="S350" s="113"/>
      <c r="T350" s="52"/>
      <c r="U350" s="5"/>
      <c r="V350" s="231">
        <v>1472000</v>
      </c>
      <c r="W350" s="231">
        <f t="shared" si="34"/>
        <v>279680</v>
      </c>
      <c r="X350" s="231">
        <f t="shared" si="35"/>
        <v>1751680</v>
      </c>
      <c r="Y350" s="113" t="s">
        <v>3445</v>
      </c>
      <c r="Z350" s="365" t="s">
        <v>3912</v>
      </c>
      <c r="AA350" s="118" t="s">
        <v>2877</v>
      </c>
      <c r="AB350" s="118"/>
      <c r="AC350" s="118"/>
      <c r="AD350" s="52"/>
      <c r="AE350" s="5"/>
      <c r="AF350" s="358"/>
      <c r="AG350" s="358"/>
      <c r="AH350" s="358"/>
      <c r="AI350" s="358"/>
      <c r="AJ350" s="358"/>
      <c r="AK350" s="113">
        <v>850000</v>
      </c>
      <c r="AL350" s="113">
        <v>161500</v>
      </c>
      <c r="AM350" s="113">
        <v>1011500</v>
      </c>
      <c r="AN350" s="113" t="s">
        <v>2887</v>
      </c>
      <c r="AO350" s="113" t="s">
        <v>3913</v>
      </c>
      <c r="AP350" s="52"/>
      <c r="AQ350" s="52"/>
      <c r="AR350" s="52"/>
      <c r="AS350" s="52"/>
      <c r="AT350" s="52"/>
      <c r="AU350" s="125">
        <v>2869100</v>
      </c>
      <c r="AV350" s="125">
        <v>545129</v>
      </c>
      <c r="AW350" s="125">
        <v>3414229</v>
      </c>
      <c r="AX350" s="5" t="s">
        <v>3195</v>
      </c>
      <c r="AY350" s="5" t="s">
        <v>3914</v>
      </c>
      <c r="AZ350" s="113">
        <v>2985000</v>
      </c>
      <c r="BA350" s="113">
        <v>567150</v>
      </c>
      <c r="BB350" s="113">
        <v>3552150</v>
      </c>
      <c r="BC350" s="52" t="s">
        <v>3897</v>
      </c>
      <c r="BD350" s="52" t="s">
        <v>3915</v>
      </c>
      <c r="BE350" s="320">
        <v>1417000</v>
      </c>
      <c r="BF350" s="320">
        <f t="shared" si="36"/>
        <v>269230</v>
      </c>
      <c r="BG350" s="320">
        <f t="shared" si="37"/>
        <v>1686230</v>
      </c>
      <c r="BH350" s="4" t="s">
        <v>2887</v>
      </c>
      <c r="BI350" s="286" t="s">
        <v>3916</v>
      </c>
      <c r="BJ350" s="52"/>
      <c r="BK350" s="52"/>
      <c r="BL350" s="52"/>
      <c r="BM350" s="52"/>
      <c r="BN350" s="52"/>
      <c r="BO350" s="52"/>
      <c r="BP350" s="52"/>
      <c r="BQ350" s="52"/>
      <c r="BR350" s="52"/>
      <c r="BS350" s="52"/>
      <c r="BT350" s="52"/>
      <c r="BU350" s="52"/>
      <c r="BV350" s="52"/>
      <c r="BW350" s="52"/>
      <c r="BX350" s="52"/>
      <c r="BY350" s="52"/>
      <c r="BZ350" s="52"/>
      <c r="CA350" s="52"/>
      <c r="CB350" s="52"/>
      <c r="CC350" s="52"/>
      <c r="CD350" s="118"/>
      <c r="CE350" s="52"/>
      <c r="CF350" s="52"/>
      <c r="CG350" s="52"/>
      <c r="CH350" s="52"/>
      <c r="CI350" s="52"/>
      <c r="CJ350" s="52"/>
      <c r="CK350" s="52"/>
      <c r="CL350" s="52"/>
      <c r="CM350" s="52"/>
      <c r="CN350" s="118"/>
      <c r="CO350" s="118"/>
      <c r="CP350" s="118"/>
      <c r="CQ350" s="52"/>
      <c r="CR350" s="52"/>
      <c r="CS350" s="52"/>
      <c r="CT350" s="52"/>
      <c r="CU350" s="52"/>
      <c r="CV350" s="52"/>
      <c r="CW350" s="52"/>
      <c r="CX350" s="52"/>
      <c r="CY350" s="52"/>
      <c r="CZ350" s="52"/>
      <c r="DA350" s="52"/>
      <c r="DB350" s="52"/>
    </row>
    <row r="351" spans="1:106" ht="51" x14ac:dyDescent="0.25">
      <c r="A351" s="411">
        <v>349</v>
      </c>
      <c r="B351" s="412" t="s">
        <v>3917</v>
      </c>
      <c r="C351" s="413" t="s">
        <v>3905</v>
      </c>
      <c r="D351" s="426" t="s">
        <v>445</v>
      </c>
      <c r="E351" s="80">
        <v>1</v>
      </c>
      <c r="F351" s="353">
        <v>1960729.6800000002</v>
      </c>
      <c r="G351" s="293">
        <v>792900</v>
      </c>
      <c r="H351" s="293">
        <v>150651</v>
      </c>
      <c r="I351" s="293">
        <v>943551</v>
      </c>
      <c r="J351" s="52" t="s">
        <v>2948</v>
      </c>
      <c r="K351" s="52" t="s">
        <v>3918</v>
      </c>
      <c r="L351" s="359"/>
      <c r="M351" s="360"/>
      <c r="N351" s="361"/>
      <c r="O351" s="33"/>
      <c r="P351" s="252"/>
      <c r="Q351" s="113"/>
      <c r="R351" s="113"/>
      <c r="S351" s="113"/>
      <c r="T351" s="52"/>
      <c r="U351" s="5"/>
      <c r="V351" s="231">
        <v>1400000</v>
      </c>
      <c r="W351" s="231">
        <f t="shared" si="34"/>
        <v>266000</v>
      </c>
      <c r="X351" s="231">
        <f t="shared" si="35"/>
        <v>1666000</v>
      </c>
      <c r="Y351" s="113" t="s">
        <v>3445</v>
      </c>
      <c r="Z351" s="357">
        <v>826.00199999999995</v>
      </c>
      <c r="AA351" s="118" t="s">
        <v>2877</v>
      </c>
      <c r="AB351" s="118"/>
      <c r="AC351" s="118"/>
      <c r="AD351" s="52"/>
      <c r="AE351" s="5"/>
      <c r="AF351" s="358"/>
      <c r="AG351" s="358"/>
      <c r="AH351" s="358"/>
      <c r="AI351" s="358"/>
      <c r="AJ351" s="358"/>
      <c r="AK351" s="113">
        <v>695000</v>
      </c>
      <c r="AL351" s="113">
        <v>132050</v>
      </c>
      <c r="AM351" s="113">
        <v>827050</v>
      </c>
      <c r="AN351" s="113">
        <v>0</v>
      </c>
      <c r="AO351" s="113">
        <v>7030511005</v>
      </c>
      <c r="AP351" s="52"/>
      <c r="AQ351" s="52"/>
      <c r="AR351" s="52"/>
      <c r="AS351" s="52"/>
      <c r="AT351" s="52"/>
      <c r="AU351" s="125">
        <v>2869100</v>
      </c>
      <c r="AV351" s="125">
        <v>545129</v>
      </c>
      <c r="AW351" s="125">
        <v>3414229</v>
      </c>
      <c r="AX351" s="5" t="s">
        <v>3195</v>
      </c>
      <c r="AY351" s="5" t="s">
        <v>3919</v>
      </c>
      <c r="AZ351" s="113">
        <v>2985000</v>
      </c>
      <c r="BA351" s="113">
        <v>567150</v>
      </c>
      <c r="BB351" s="113">
        <v>3552150</v>
      </c>
      <c r="BC351" s="52" t="s">
        <v>3897</v>
      </c>
      <c r="BD351" s="52" t="s">
        <v>3920</v>
      </c>
      <c r="BE351" s="320">
        <v>1417000</v>
      </c>
      <c r="BF351" s="320">
        <f t="shared" si="36"/>
        <v>269230</v>
      </c>
      <c r="BG351" s="320">
        <f t="shared" si="37"/>
        <v>1686230</v>
      </c>
      <c r="BH351" s="4" t="s">
        <v>2887</v>
      </c>
      <c r="BI351" s="286" t="s">
        <v>3921</v>
      </c>
      <c r="BJ351" s="52"/>
      <c r="BK351" s="52"/>
      <c r="BL351" s="52"/>
      <c r="BM351" s="52"/>
      <c r="BN351" s="52"/>
      <c r="BO351" s="52"/>
      <c r="BP351" s="52"/>
      <c r="BQ351" s="52"/>
      <c r="BR351" s="52"/>
      <c r="BS351" s="52"/>
      <c r="BT351" s="52"/>
      <c r="BU351" s="52"/>
      <c r="BV351" s="52"/>
      <c r="BW351" s="52"/>
      <c r="BX351" s="52"/>
      <c r="BY351" s="52"/>
      <c r="BZ351" s="52"/>
      <c r="CA351" s="52"/>
      <c r="CB351" s="52"/>
      <c r="CC351" s="52"/>
      <c r="CD351" s="118"/>
      <c r="CE351" s="52"/>
      <c r="CF351" s="52"/>
      <c r="CG351" s="52"/>
      <c r="CH351" s="52"/>
      <c r="CI351" s="52"/>
      <c r="CJ351" s="52"/>
      <c r="CK351" s="52"/>
      <c r="CL351" s="52"/>
      <c r="CM351" s="52"/>
      <c r="CN351" s="118"/>
      <c r="CO351" s="118"/>
      <c r="CP351" s="118"/>
      <c r="CQ351" s="52"/>
      <c r="CR351" s="52"/>
      <c r="CS351" s="52"/>
      <c r="CT351" s="52"/>
      <c r="CU351" s="52"/>
      <c r="CV351" s="52"/>
      <c r="CW351" s="52"/>
      <c r="CX351" s="52"/>
      <c r="CY351" s="52"/>
      <c r="CZ351" s="52"/>
      <c r="DA351" s="52"/>
      <c r="DB351" s="52"/>
    </row>
    <row r="352" spans="1:106" ht="81" x14ac:dyDescent="0.25">
      <c r="A352" s="411">
        <v>350</v>
      </c>
      <c r="B352" s="412" t="s">
        <v>3922</v>
      </c>
      <c r="C352" s="561" t="s">
        <v>3923</v>
      </c>
      <c r="D352" s="562" t="s">
        <v>445</v>
      </c>
      <c r="E352" s="80">
        <v>1</v>
      </c>
      <c r="F352" s="353">
        <v>2375499.42</v>
      </c>
      <c r="G352" s="293"/>
      <c r="H352" s="293"/>
      <c r="I352" s="293"/>
      <c r="J352" s="52"/>
      <c r="K352" s="52"/>
      <c r="L352" s="359"/>
      <c r="M352" s="360"/>
      <c r="N352" s="361"/>
      <c r="O352" s="33"/>
      <c r="P352" s="252"/>
      <c r="Q352" s="113"/>
      <c r="R352" s="113"/>
      <c r="S352" s="113"/>
      <c r="T352" s="52"/>
      <c r="U352" s="5"/>
      <c r="V352" s="231">
        <v>1472000</v>
      </c>
      <c r="W352" s="231">
        <f t="shared" si="34"/>
        <v>279680</v>
      </c>
      <c r="X352" s="231">
        <f t="shared" si="35"/>
        <v>1751680</v>
      </c>
      <c r="Y352" s="113" t="s">
        <v>3445</v>
      </c>
      <c r="Z352" s="365" t="s">
        <v>3912</v>
      </c>
      <c r="AA352" s="118" t="s">
        <v>2877</v>
      </c>
      <c r="AB352" s="118"/>
      <c r="AC352" s="118"/>
      <c r="AD352" s="52"/>
      <c r="AE352" s="5"/>
      <c r="AF352" s="358"/>
      <c r="AG352" s="358"/>
      <c r="AH352" s="358"/>
      <c r="AI352" s="358"/>
      <c r="AJ352" s="358"/>
      <c r="AK352" s="113">
        <v>941000</v>
      </c>
      <c r="AL352" s="113">
        <v>178790</v>
      </c>
      <c r="AM352" s="113">
        <v>1119790</v>
      </c>
      <c r="AN352" s="113" t="s">
        <v>2887</v>
      </c>
      <c r="AO352" s="113" t="s">
        <v>3913</v>
      </c>
      <c r="AP352" s="52"/>
      <c r="AQ352" s="52"/>
      <c r="AR352" s="52"/>
      <c r="AS352" s="52"/>
      <c r="AT352" s="52"/>
      <c r="AU352" s="125">
        <v>2869100</v>
      </c>
      <c r="AV352" s="125">
        <v>545129</v>
      </c>
      <c r="AW352" s="125">
        <v>3414229</v>
      </c>
      <c r="AX352" s="5" t="s">
        <v>3195</v>
      </c>
      <c r="AY352" s="5" t="s">
        <v>3914</v>
      </c>
      <c r="AZ352" s="113">
        <v>2985000</v>
      </c>
      <c r="BA352" s="113">
        <v>567150</v>
      </c>
      <c r="BB352" s="113">
        <v>3552150</v>
      </c>
      <c r="BC352" s="52" t="s">
        <v>3897</v>
      </c>
      <c r="BD352" s="52" t="s">
        <v>3915</v>
      </c>
      <c r="BE352" s="118"/>
      <c r="BF352" s="118"/>
      <c r="BG352" s="118"/>
      <c r="BH352" s="52"/>
      <c r="BI352" s="283"/>
      <c r="BJ352" s="52"/>
      <c r="BK352" s="52"/>
      <c r="BL352" s="52"/>
      <c r="BM352" s="52"/>
      <c r="BN352" s="52"/>
      <c r="BO352" s="52"/>
      <c r="BP352" s="52"/>
      <c r="BQ352" s="52"/>
      <c r="BR352" s="52"/>
      <c r="BS352" s="52"/>
      <c r="BT352" s="52"/>
      <c r="BU352" s="52"/>
      <c r="BV352" s="52"/>
      <c r="BW352" s="52"/>
      <c r="BX352" s="52"/>
      <c r="BY352" s="52"/>
      <c r="BZ352" s="52"/>
      <c r="CA352" s="52"/>
      <c r="CB352" s="52"/>
      <c r="CC352" s="52"/>
      <c r="CD352" s="118"/>
      <c r="CE352" s="52"/>
      <c r="CF352" s="52"/>
      <c r="CG352" s="52"/>
      <c r="CH352" s="52"/>
      <c r="CI352" s="52"/>
      <c r="CJ352" s="52"/>
      <c r="CK352" s="52"/>
      <c r="CL352" s="52"/>
      <c r="CM352" s="52"/>
      <c r="CN352" s="118"/>
      <c r="CO352" s="118"/>
      <c r="CP352" s="118"/>
      <c r="CQ352" s="52"/>
      <c r="CR352" s="52"/>
      <c r="CS352" s="52"/>
      <c r="CT352" s="52"/>
      <c r="CU352" s="52"/>
      <c r="CV352" s="52"/>
      <c r="CW352" s="52"/>
      <c r="CX352" s="52"/>
      <c r="CY352" s="52"/>
      <c r="CZ352" s="52"/>
      <c r="DA352" s="52"/>
      <c r="DB352" s="52"/>
    </row>
    <row r="353" spans="1:106" ht="175.5" x14ac:dyDescent="0.25">
      <c r="A353" s="411">
        <v>351</v>
      </c>
      <c r="B353" s="412" t="s">
        <v>3924</v>
      </c>
      <c r="C353" s="561" t="s">
        <v>3925</v>
      </c>
      <c r="D353" s="562" t="s">
        <v>445</v>
      </c>
      <c r="E353" s="80">
        <v>1</v>
      </c>
      <c r="F353" s="353">
        <v>4247852.6211999999</v>
      </c>
      <c r="G353" s="293"/>
      <c r="H353" s="293"/>
      <c r="I353" s="293"/>
      <c r="J353" s="52"/>
      <c r="K353" s="52"/>
      <c r="L353" s="359"/>
      <c r="M353" s="360"/>
      <c r="N353" s="361"/>
      <c r="O353" s="33"/>
      <c r="P353" s="252"/>
      <c r="Q353" s="113"/>
      <c r="R353" s="113"/>
      <c r="S353" s="113"/>
      <c r="T353" s="52"/>
      <c r="U353" s="5"/>
      <c r="V353" s="231"/>
      <c r="W353" s="231"/>
      <c r="X353" s="231"/>
      <c r="Y353" s="113"/>
      <c r="Z353" s="357"/>
      <c r="AA353" s="118" t="s">
        <v>2877</v>
      </c>
      <c r="AB353" s="118"/>
      <c r="AC353" s="118"/>
      <c r="AD353" s="52"/>
      <c r="AE353" s="5"/>
      <c r="AF353" s="358"/>
      <c r="AG353" s="358"/>
      <c r="AH353" s="358"/>
      <c r="AI353" s="358"/>
      <c r="AJ353" s="358"/>
      <c r="AK353" s="113"/>
      <c r="AL353" s="113"/>
      <c r="AM353" s="113"/>
      <c r="AN353" s="113"/>
      <c r="AO353" s="113"/>
      <c r="AP353" s="52"/>
      <c r="AQ353" s="52"/>
      <c r="AR353" s="52"/>
      <c r="AS353" s="52"/>
      <c r="AT353" s="52"/>
      <c r="AU353" s="125">
        <v>2869100</v>
      </c>
      <c r="AV353" s="125">
        <v>545129</v>
      </c>
      <c r="AW353" s="125">
        <v>3414229</v>
      </c>
      <c r="AX353" s="5" t="s">
        <v>3195</v>
      </c>
      <c r="AY353" s="5" t="s">
        <v>3926</v>
      </c>
      <c r="AZ353" s="113"/>
      <c r="BA353" s="113"/>
      <c r="BB353" s="113"/>
      <c r="BC353" s="52"/>
      <c r="BD353" s="52"/>
      <c r="BE353" s="118"/>
      <c r="BF353" s="118"/>
      <c r="BG353" s="118"/>
      <c r="BH353" s="52"/>
      <c r="BI353" s="283"/>
      <c r="BJ353" s="52"/>
      <c r="BK353" s="52"/>
      <c r="BL353" s="52"/>
      <c r="BM353" s="52"/>
      <c r="BN353" s="52"/>
      <c r="BO353" s="52"/>
      <c r="BP353" s="52"/>
      <c r="BQ353" s="52"/>
      <c r="BR353" s="52"/>
      <c r="BS353" s="52"/>
      <c r="BT353" s="52"/>
      <c r="BU353" s="52"/>
      <c r="BV353" s="52"/>
      <c r="BW353" s="52"/>
      <c r="BX353" s="52"/>
      <c r="BY353" s="52"/>
      <c r="BZ353" s="52"/>
      <c r="CA353" s="52"/>
      <c r="CB353" s="52"/>
      <c r="CC353" s="52"/>
      <c r="CD353" s="118"/>
      <c r="CE353" s="52"/>
      <c r="CF353" s="52"/>
      <c r="CG353" s="52"/>
      <c r="CH353" s="52"/>
      <c r="CI353" s="52"/>
      <c r="CJ353" s="52"/>
      <c r="CK353" s="52"/>
      <c r="CL353" s="52"/>
      <c r="CM353" s="52"/>
      <c r="CN353" s="118"/>
      <c r="CO353" s="118"/>
      <c r="CP353" s="118"/>
      <c r="CQ353" s="52"/>
      <c r="CR353" s="52"/>
      <c r="CS353" s="52"/>
      <c r="CT353" s="52"/>
      <c r="CU353" s="52"/>
      <c r="CV353" s="52"/>
      <c r="CW353" s="52"/>
      <c r="CX353" s="52"/>
      <c r="CY353" s="52"/>
      <c r="CZ353" s="52"/>
      <c r="DA353" s="52"/>
      <c r="DB353" s="52"/>
    </row>
    <row r="354" spans="1:106" ht="51" x14ac:dyDescent="0.25">
      <c r="A354" s="411">
        <v>352</v>
      </c>
      <c r="B354" s="412" t="s">
        <v>3927</v>
      </c>
      <c r="C354" s="413" t="s">
        <v>3928</v>
      </c>
      <c r="D354" s="426" t="s">
        <v>445</v>
      </c>
      <c r="E354" s="80">
        <v>1</v>
      </c>
      <c r="F354" s="80"/>
      <c r="G354" s="293"/>
      <c r="H354" s="293"/>
      <c r="I354" s="293"/>
      <c r="J354" s="52"/>
      <c r="K354" s="52"/>
      <c r="L354" s="359"/>
      <c r="M354" s="360"/>
      <c r="N354" s="361"/>
      <c r="O354" s="33"/>
      <c r="P354" s="252"/>
      <c r="Q354" s="113"/>
      <c r="R354" s="113"/>
      <c r="S354" s="113"/>
      <c r="T354" s="52"/>
      <c r="U354" s="5"/>
      <c r="V354" s="231">
        <v>1400000</v>
      </c>
      <c r="W354" s="231">
        <f t="shared" si="34"/>
        <v>266000</v>
      </c>
      <c r="X354" s="231">
        <f t="shared" si="35"/>
        <v>1666000</v>
      </c>
      <c r="Y354" s="113" t="s">
        <v>3445</v>
      </c>
      <c r="Z354" s="357">
        <v>826.02</v>
      </c>
      <c r="AA354" s="118" t="s">
        <v>2877</v>
      </c>
      <c r="AB354" s="118"/>
      <c r="AC354" s="118"/>
      <c r="AD354" s="52"/>
      <c r="AE354" s="5"/>
      <c r="AF354" s="358"/>
      <c r="AG354" s="358"/>
      <c r="AH354" s="358"/>
      <c r="AI354" s="358"/>
      <c r="AJ354" s="358"/>
      <c r="AK354" s="113">
        <v>941000</v>
      </c>
      <c r="AL354" s="113">
        <v>178790</v>
      </c>
      <c r="AM354" s="113">
        <v>1119790</v>
      </c>
      <c r="AN354" s="113">
        <v>0</v>
      </c>
      <c r="AO354" s="113">
        <v>7030511009</v>
      </c>
      <c r="AP354" s="52"/>
      <c r="AQ354" s="52"/>
      <c r="AR354" s="52"/>
      <c r="AS354" s="52"/>
      <c r="AT354" s="52"/>
      <c r="AU354" s="125">
        <v>2869100</v>
      </c>
      <c r="AV354" s="125">
        <v>545129</v>
      </c>
      <c r="AW354" s="125">
        <v>3414229</v>
      </c>
      <c r="AX354" s="5" t="s">
        <v>3195</v>
      </c>
      <c r="AY354" s="5" t="s">
        <v>3929</v>
      </c>
      <c r="AZ354" s="113">
        <v>2985000</v>
      </c>
      <c r="BA354" s="113">
        <v>567150</v>
      </c>
      <c r="BB354" s="113">
        <v>3552150</v>
      </c>
      <c r="BC354" s="52" t="s">
        <v>2925</v>
      </c>
      <c r="BD354" s="52" t="s">
        <v>3930</v>
      </c>
      <c r="BE354" s="118"/>
      <c r="BF354" s="118"/>
      <c r="BG354" s="118"/>
      <c r="BH354" s="52"/>
      <c r="BI354" s="283"/>
      <c r="BJ354" s="52"/>
      <c r="BK354" s="52"/>
      <c r="BL354" s="52"/>
      <c r="BM354" s="52"/>
      <c r="BN354" s="52"/>
      <c r="BO354" s="52"/>
      <c r="BP354" s="52"/>
      <c r="BQ354" s="52"/>
      <c r="BR354" s="52"/>
      <c r="BS354" s="52"/>
      <c r="BT354" s="52"/>
      <c r="BU354" s="52"/>
      <c r="BV354" s="52"/>
      <c r="BW354" s="52"/>
      <c r="BX354" s="52"/>
      <c r="BY354" s="52"/>
      <c r="BZ354" s="52"/>
      <c r="CA354" s="52"/>
      <c r="CB354" s="52"/>
      <c r="CC354" s="52"/>
      <c r="CD354" s="118"/>
      <c r="CE354" s="52"/>
      <c r="CF354" s="52"/>
      <c r="CG354" s="52"/>
      <c r="CH354" s="52"/>
      <c r="CI354" s="52"/>
      <c r="CJ354" s="52"/>
      <c r="CK354" s="52"/>
      <c r="CL354" s="52"/>
      <c r="CM354" s="52"/>
      <c r="CN354" s="118"/>
      <c r="CO354" s="118"/>
      <c r="CP354" s="118"/>
      <c r="CQ354" s="52"/>
      <c r="CR354" s="52"/>
      <c r="CS354" s="52"/>
      <c r="CT354" s="52"/>
      <c r="CU354" s="52"/>
      <c r="CV354" s="52"/>
      <c r="CW354" s="52"/>
      <c r="CX354" s="52"/>
      <c r="CY354" s="52"/>
      <c r="CZ354" s="52"/>
      <c r="DA354" s="52"/>
      <c r="DB354" s="52"/>
    </row>
    <row r="355" spans="1:106" ht="189" x14ac:dyDescent="0.25">
      <c r="A355" s="411">
        <v>353</v>
      </c>
      <c r="B355" s="412" t="s">
        <v>3931</v>
      </c>
      <c r="C355" s="561" t="s">
        <v>3925</v>
      </c>
      <c r="D355" s="562" t="s">
        <v>445</v>
      </c>
      <c r="E355" s="80">
        <v>1</v>
      </c>
      <c r="F355" s="353">
        <v>4379073.8530000001</v>
      </c>
      <c r="G355" s="293"/>
      <c r="H355" s="293"/>
      <c r="I355" s="293"/>
      <c r="J355" s="52"/>
      <c r="K355" s="52"/>
      <c r="L355" s="359"/>
      <c r="M355" s="360"/>
      <c r="N355" s="361"/>
      <c r="O355" s="33"/>
      <c r="P355" s="252"/>
      <c r="Q355" s="113"/>
      <c r="R355" s="113"/>
      <c r="S355" s="113"/>
      <c r="T355" s="52"/>
      <c r="U355" s="5"/>
      <c r="V355" s="231">
        <v>3748000</v>
      </c>
      <c r="W355" s="231">
        <f t="shared" si="34"/>
        <v>712120</v>
      </c>
      <c r="X355" s="231">
        <f t="shared" si="35"/>
        <v>4460120</v>
      </c>
      <c r="Y355" s="113" t="s">
        <v>3445</v>
      </c>
      <c r="Z355" s="357" t="s">
        <v>3932</v>
      </c>
      <c r="AA355" s="118" t="s">
        <v>2877</v>
      </c>
      <c r="AB355" s="118"/>
      <c r="AC355" s="118"/>
      <c r="AD355" s="52"/>
      <c r="AE355" s="5"/>
      <c r="AF355" s="358"/>
      <c r="AG355" s="358"/>
      <c r="AH355" s="358"/>
      <c r="AI355" s="358"/>
      <c r="AJ355" s="358"/>
      <c r="AK355" s="113">
        <v>2325000</v>
      </c>
      <c r="AL355" s="113">
        <v>441750</v>
      </c>
      <c r="AM355" s="113">
        <v>2766750</v>
      </c>
      <c r="AN355" s="113" t="s">
        <v>3933</v>
      </c>
      <c r="AO355" s="113">
        <v>7016201001</v>
      </c>
      <c r="AP355" s="52"/>
      <c r="AQ355" s="52"/>
      <c r="AR355" s="52"/>
      <c r="AS355" s="52"/>
      <c r="AT355" s="52"/>
      <c r="AU355" s="125">
        <v>5943900</v>
      </c>
      <c r="AV355" s="125">
        <v>1129341</v>
      </c>
      <c r="AW355" s="125">
        <v>7073241</v>
      </c>
      <c r="AX355" s="5" t="s">
        <v>3195</v>
      </c>
      <c r="AY355" s="5" t="s">
        <v>3934</v>
      </c>
      <c r="AZ355" s="113"/>
      <c r="BA355" s="113"/>
      <c r="BB355" s="113"/>
      <c r="BC355" s="52"/>
      <c r="BD355" s="52"/>
      <c r="BE355" s="320">
        <v>2520013</v>
      </c>
      <c r="BF355" s="320">
        <f t="shared" ref="BF355" si="38">BE355*0.19</f>
        <v>478802.47000000003</v>
      </c>
      <c r="BG355" s="320">
        <f t="shared" ref="BG355" si="39">BE355+BF355</f>
        <v>2998815.47</v>
      </c>
      <c r="BH355" s="4" t="s">
        <v>2887</v>
      </c>
      <c r="BI355" s="286" t="s">
        <v>3935</v>
      </c>
      <c r="BJ355" s="52"/>
      <c r="BK355" s="52"/>
      <c r="BL355" s="52"/>
      <c r="BM355" s="52"/>
      <c r="BN355" s="52"/>
      <c r="BO355" s="52"/>
      <c r="BP355" s="52"/>
      <c r="BQ355" s="52"/>
      <c r="BR355" s="52"/>
      <c r="BS355" s="52"/>
      <c r="BT355" s="52"/>
      <c r="BU355" s="52"/>
      <c r="BV355" s="52"/>
      <c r="BW355" s="52"/>
      <c r="BX355" s="52"/>
      <c r="BY355" s="52"/>
      <c r="BZ355" s="52"/>
      <c r="CA355" s="52"/>
      <c r="CB355" s="52"/>
      <c r="CC355" s="52"/>
      <c r="CD355" s="118"/>
      <c r="CE355" s="52"/>
      <c r="CF355" s="52"/>
      <c r="CG355" s="52"/>
      <c r="CH355" s="52"/>
      <c r="CI355" s="52"/>
      <c r="CJ355" s="52"/>
      <c r="CK355" s="52"/>
      <c r="CL355" s="52"/>
      <c r="CM355" s="52"/>
      <c r="CN355" s="118"/>
      <c r="CO355" s="118"/>
      <c r="CP355" s="118"/>
      <c r="CQ355" s="52"/>
      <c r="CR355" s="52"/>
      <c r="CS355" s="52"/>
      <c r="CT355" s="52"/>
      <c r="CU355" s="52"/>
      <c r="CV355" s="52"/>
      <c r="CW355" s="52"/>
      <c r="CX355" s="52"/>
      <c r="CY355" s="52"/>
      <c r="CZ355" s="52"/>
      <c r="DA355" s="52"/>
      <c r="DB355" s="52"/>
    </row>
    <row r="356" spans="1:106" ht="189" x14ac:dyDescent="0.25">
      <c r="A356" s="411">
        <v>354</v>
      </c>
      <c r="B356" s="412" t="s">
        <v>3936</v>
      </c>
      <c r="C356" s="561" t="s">
        <v>3925</v>
      </c>
      <c r="D356" s="562" t="s">
        <v>445</v>
      </c>
      <c r="E356" s="80">
        <v>1</v>
      </c>
      <c r="F356" s="353">
        <v>4267330.0054000001</v>
      </c>
      <c r="G356" s="293"/>
      <c r="H356" s="293"/>
      <c r="I356" s="293"/>
      <c r="J356" s="52"/>
      <c r="K356" s="52"/>
      <c r="L356" s="359"/>
      <c r="M356" s="360"/>
      <c r="N356" s="361"/>
      <c r="O356" s="33"/>
      <c r="P356" s="252"/>
      <c r="Q356" s="113"/>
      <c r="R356" s="113"/>
      <c r="S356" s="113"/>
      <c r="T356" s="52"/>
      <c r="U356" s="5"/>
      <c r="V356" s="231">
        <v>3748000</v>
      </c>
      <c r="W356" s="231">
        <f t="shared" si="34"/>
        <v>712120</v>
      </c>
      <c r="X356" s="231">
        <f t="shared" si="35"/>
        <v>4460120</v>
      </c>
      <c r="Y356" s="113" t="s">
        <v>3445</v>
      </c>
      <c r="Z356" s="357" t="s">
        <v>3937</v>
      </c>
      <c r="AA356" s="118" t="s">
        <v>2877</v>
      </c>
      <c r="AB356" s="118"/>
      <c r="AC356" s="118"/>
      <c r="AD356" s="52"/>
      <c r="AE356" s="5"/>
      <c r="AF356" s="358"/>
      <c r="AG356" s="358"/>
      <c r="AH356" s="358"/>
      <c r="AI356" s="358"/>
      <c r="AJ356" s="358"/>
      <c r="AK356" s="113">
        <v>2232000</v>
      </c>
      <c r="AL356" s="113">
        <v>424080</v>
      </c>
      <c r="AM356" s="113">
        <v>2656080</v>
      </c>
      <c r="AN356" s="113" t="s">
        <v>2887</v>
      </c>
      <c r="AO356" s="113" t="s">
        <v>3938</v>
      </c>
      <c r="AP356" s="52"/>
      <c r="AQ356" s="52"/>
      <c r="AR356" s="52"/>
      <c r="AS356" s="52"/>
      <c r="AT356" s="52"/>
      <c r="AU356" s="125"/>
      <c r="AV356" s="125"/>
      <c r="AW356" s="125"/>
      <c r="AX356" s="5"/>
      <c r="AY356" s="5"/>
      <c r="AZ356" s="113"/>
      <c r="BA356" s="113"/>
      <c r="BB356" s="113"/>
      <c r="BC356" s="52"/>
      <c r="BD356" s="52"/>
      <c r="BE356" s="118"/>
      <c r="BF356" s="118"/>
      <c r="BG356" s="118"/>
      <c r="BH356" s="52"/>
      <c r="BI356" s="283"/>
      <c r="BJ356" s="52"/>
      <c r="BK356" s="52"/>
      <c r="BL356" s="52"/>
      <c r="BM356" s="52"/>
      <c r="BN356" s="52"/>
      <c r="BO356" s="52"/>
      <c r="BP356" s="52"/>
      <c r="BQ356" s="52"/>
      <c r="BR356" s="52"/>
      <c r="BS356" s="52"/>
      <c r="BT356" s="52"/>
      <c r="BU356" s="52"/>
      <c r="BV356" s="52"/>
      <c r="BW356" s="52"/>
      <c r="BX356" s="52"/>
      <c r="BY356" s="52"/>
      <c r="BZ356" s="52"/>
      <c r="CA356" s="52"/>
      <c r="CB356" s="52"/>
      <c r="CC356" s="52"/>
      <c r="CD356" s="118"/>
      <c r="CE356" s="52"/>
      <c r="CF356" s="52"/>
      <c r="CG356" s="52"/>
      <c r="CH356" s="52"/>
      <c r="CI356" s="52"/>
      <c r="CJ356" s="52"/>
      <c r="CK356" s="52"/>
      <c r="CL356" s="52"/>
      <c r="CM356" s="52"/>
      <c r="CN356" s="118"/>
      <c r="CO356" s="118"/>
      <c r="CP356" s="118"/>
      <c r="CQ356" s="52"/>
      <c r="CR356" s="52"/>
      <c r="CS356" s="52"/>
      <c r="CT356" s="52"/>
      <c r="CU356" s="52"/>
      <c r="CV356" s="52"/>
      <c r="CW356" s="52"/>
      <c r="CX356" s="52"/>
      <c r="CY356" s="52"/>
      <c r="CZ356" s="52"/>
      <c r="DA356" s="52"/>
      <c r="DB356" s="52"/>
    </row>
    <row r="357" spans="1:106" ht="94.5" x14ac:dyDescent="0.25">
      <c r="A357" s="411">
        <v>355</v>
      </c>
      <c r="B357" s="412" t="s">
        <v>3939</v>
      </c>
      <c r="C357" s="413" t="s">
        <v>3940</v>
      </c>
      <c r="D357" s="426" t="s">
        <v>445</v>
      </c>
      <c r="E357" s="80">
        <v>1</v>
      </c>
      <c r="F357" s="353">
        <v>2398087.3132000002</v>
      </c>
      <c r="G357" s="293"/>
      <c r="H357" s="293"/>
      <c r="I357" s="293"/>
      <c r="J357" s="52"/>
      <c r="K357" s="52"/>
      <c r="L357" s="359"/>
      <c r="M357" s="360"/>
      <c r="N357" s="361"/>
      <c r="O357" s="33"/>
      <c r="P357" s="252"/>
      <c r="Q357" s="113"/>
      <c r="R357" s="113"/>
      <c r="S357" s="113"/>
      <c r="T357" s="52"/>
      <c r="U357" s="5"/>
      <c r="V357" s="231">
        <v>1423000</v>
      </c>
      <c r="W357" s="231">
        <f t="shared" si="34"/>
        <v>270370</v>
      </c>
      <c r="X357" s="231">
        <f t="shared" si="35"/>
        <v>1693370</v>
      </c>
      <c r="Y357" s="113" t="s">
        <v>3445</v>
      </c>
      <c r="Z357" s="357">
        <v>835.05</v>
      </c>
      <c r="AA357" s="118" t="s">
        <v>2877</v>
      </c>
      <c r="AB357" s="118"/>
      <c r="AC357" s="118"/>
      <c r="AD357" s="52"/>
      <c r="AE357" s="5"/>
      <c r="AF357" s="358"/>
      <c r="AG357" s="358"/>
      <c r="AH357" s="358"/>
      <c r="AI357" s="358"/>
      <c r="AJ357" s="358"/>
      <c r="AK357" s="113">
        <v>900000</v>
      </c>
      <c r="AL357" s="113">
        <v>171000</v>
      </c>
      <c r="AM357" s="113">
        <v>1071000</v>
      </c>
      <c r="AN357" s="113" t="s">
        <v>2887</v>
      </c>
      <c r="AO357" s="113" t="s">
        <v>3941</v>
      </c>
      <c r="AP357" s="52"/>
      <c r="AQ357" s="52"/>
      <c r="AR357" s="52"/>
      <c r="AS357" s="52"/>
      <c r="AT357" s="52"/>
      <c r="AU357" s="125">
        <v>2869100</v>
      </c>
      <c r="AV357" s="125">
        <v>545129</v>
      </c>
      <c r="AW357" s="125">
        <v>3414229</v>
      </c>
      <c r="AX357" s="5" t="s">
        <v>3195</v>
      </c>
      <c r="AY357" s="5" t="s">
        <v>3942</v>
      </c>
      <c r="AZ357" s="113">
        <v>1916000</v>
      </c>
      <c r="BA357" s="113">
        <v>364040</v>
      </c>
      <c r="BB357" s="113">
        <v>2280040</v>
      </c>
      <c r="BC357" s="52" t="s">
        <v>2925</v>
      </c>
      <c r="BD357" s="52" t="s">
        <v>3943</v>
      </c>
      <c r="BE357" s="118"/>
      <c r="BF357" s="118"/>
      <c r="BG357" s="118"/>
      <c r="BH357" s="52"/>
      <c r="BI357" s="283"/>
      <c r="BJ357" s="52"/>
      <c r="BK357" s="52"/>
      <c r="BL357" s="52"/>
      <c r="BM357" s="52"/>
      <c r="BN357" s="52"/>
      <c r="BO357" s="52"/>
      <c r="BP357" s="52"/>
      <c r="BQ357" s="52"/>
      <c r="BR357" s="52"/>
      <c r="BS357" s="52"/>
      <c r="BT357" s="52"/>
      <c r="BU357" s="52"/>
      <c r="BV357" s="52"/>
      <c r="BW357" s="52"/>
      <c r="BX357" s="52"/>
      <c r="BY357" s="52"/>
      <c r="BZ357" s="52"/>
      <c r="CA357" s="52"/>
      <c r="CB357" s="52"/>
      <c r="CC357" s="52"/>
      <c r="CD357" s="118"/>
      <c r="CE357" s="52"/>
      <c r="CF357" s="52"/>
      <c r="CG357" s="52"/>
      <c r="CH357" s="52"/>
      <c r="CI357" s="52"/>
      <c r="CJ357" s="52"/>
      <c r="CK357" s="52"/>
      <c r="CL357" s="52"/>
      <c r="CM357" s="52"/>
      <c r="CN357" s="118"/>
      <c r="CO357" s="118"/>
      <c r="CP357" s="118"/>
      <c r="CQ357" s="52"/>
      <c r="CR357" s="52"/>
      <c r="CS357" s="52"/>
      <c r="CT357" s="52"/>
      <c r="CU357" s="52"/>
      <c r="CV357" s="52"/>
      <c r="CW357" s="52"/>
      <c r="CX357" s="52"/>
      <c r="CY357" s="52"/>
      <c r="CZ357" s="52"/>
      <c r="DA357" s="52"/>
      <c r="DB357" s="52"/>
    </row>
    <row r="358" spans="1:106" ht="13.5" x14ac:dyDescent="0.25">
      <c r="A358" s="411">
        <v>356</v>
      </c>
      <c r="B358" s="412" t="s">
        <v>3944</v>
      </c>
      <c r="C358" s="413" t="s">
        <v>2965</v>
      </c>
      <c r="D358" s="413" t="s">
        <v>2005</v>
      </c>
      <c r="E358" s="80">
        <v>1</v>
      </c>
      <c r="F358" s="353">
        <v>2288774.838</v>
      </c>
      <c r="G358" s="293"/>
      <c r="H358" s="293"/>
      <c r="I358" s="293"/>
      <c r="J358" s="52"/>
      <c r="K358" s="52"/>
      <c r="L358" s="359"/>
      <c r="M358" s="360"/>
      <c r="N358" s="361"/>
      <c r="O358" s="33"/>
      <c r="P358" s="252"/>
      <c r="Q358" s="113"/>
      <c r="R358" s="113"/>
      <c r="S358" s="113"/>
      <c r="T358" s="52"/>
      <c r="U358" s="5"/>
      <c r="V358" s="231"/>
      <c r="W358" s="231"/>
      <c r="X358" s="231"/>
      <c r="Y358" s="113"/>
      <c r="Z358" s="357"/>
      <c r="AA358" s="118" t="s">
        <v>2877</v>
      </c>
      <c r="AB358" s="118"/>
      <c r="AC358" s="118"/>
      <c r="AD358" s="52"/>
      <c r="AE358" s="5"/>
      <c r="AF358" s="358"/>
      <c r="AG358" s="358"/>
      <c r="AH358" s="358"/>
      <c r="AI358" s="358"/>
      <c r="AJ358" s="358"/>
      <c r="AK358" s="113"/>
      <c r="AL358" s="113"/>
      <c r="AM358" s="113"/>
      <c r="AN358" s="113"/>
      <c r="AO358" s="113"/>
      <c r="AP358" s="52"/>
      <c r="AQ358" s="52"/>
      <c r="AR358" s="52"/>
      <c r="AS358" s="52"/>
      <c r="AT358" s="52"/>
      <c r="AU358" s="125"/>
      <c r="AV358" s="125"/>
      <c r="AW358" s="125"/>
      <c r="AX358" s="5"/>
      <c r="AY358" s="5"/>
      <c r="AZ358" s="113">
        <v>1138000</v>
      </c>
      <c r="BA358" s="113">
        <v>216220</v>
      </c>
      <c r="BB358" s="113">
        <v>1354220</v>
      </c>
      <c r="BC358" s="52" t="s">
        <v>3670</v>
      </c>
      <c r="BD358" s="52" t="s">
        <v>3945</v>
      </c>
      <c r="BE358" s="118"/>
      <c r="BF358" s="118"/>
      <c r="BG358" s="118"/>
      <c r="BH358" s="52"/>
      <c r="BI358" s="283"/>
      <c r="BJ358" s="52"/>
      <c r="BK358" s="52"/>
      <c r="BL358" s="52"/>
      <c r="BM358" s="52"/>
      <c r="BN358" s="52"/>
      <c r="BO358" s="52"/>
      <c r="BP358" s="52"/>
      <c r="BQ358" s="52"/>
      <c r="BR358" s="52"/>
      <c r="BS358" s="52"/>
      <c r="BT358" s="52"/>
      <c r="BU358" s="52"/>
      <c r="BV358" s="52"/>
      <c r="BW358" s="52"/>
      <c r="BX358" s="52"/>
      <c r="BY358" s="52"/>
      <c r="BZ358" s="52"/>
      <c r="CA358" s="52"/>
      <c r="CB358" s="52"/>
      <c r="CC358" s="52"/>
      <c r="CD358" s="118"/>
      <c r="CE358" s="52"/>
      <c r="CF358" s="52"/>
      <c r="CG358" s="52"/>
      <c r="CH358" s="52"/>
      <c r="CI358" s="52"/>
      <c r="CJ358" s="52"/>
      <c r="CK358" s="52"/>
      <c r="CL358" s="52"/>
      <c r="CM358" s="52"/>
      <c r="CN358" s="118"/>
      <c r="CO358" s="118"/>
      <c r="CP358" s="118"/>
      <c r="CQ358" s="52"/>
      <c r="CR358" s="52"/>
      <c r="CS358" s="52"/>
      <c r="CT358" s="52"/>
      <c r="CU358" s="52"/>
      <c r="CV358" s="52"/>
      <c r="CW358" s="52"/>
      <c r="CX358" s="52"/>
      <c r="CY358" s="52"/>
      <c r="CZ358" s="52"/>
      <c r="DA358" s="52"/>
      <c r="DB358" s="52"/>
    </row>
    <row r="359" spans="1:106" ht="13.5" x14ac:dyDescent="0.25">
      <c r="A359" s="411">
        <v>357</v>
      </c>
      <c r="B359" s="412" t="s">
        <v>3946</v>
      </c>
      <c r="C359" s="413" t="s">
        <v>3947</v>
      </c>
      <c r="D359" s="426" t="s">
        <v>3431</v>
      </c>
      <c r="E359" s="80">
        <v>1</v>
      </c>
      <c r="F359" s="353">
        <v>1958220.1488000001</v>
      </c>
      <c r="G359" s="293"/>
      <c r="H359" s="293"/>
      <c r="I359" s="293"/>
      <c r="J359" s="52"/>
      <c r="K359" s="52"/>
      <c r="L359" s="359"/>
      <c r="M359" s="360"/>
      <c r="N359" s="361"/>
      <c r="O359" s="33"/>
      <c r="P359" s="252"/>
      <c r="Q359" s="113"/>
      <c r="R359" s="113"/>
      <c r="S359" s="113"/>
      <c r="T359" s="52"/>
      <c r="U359" s="5"/>
      <c r="V359" s="231"/>
      <c r="W359" s="231"/>
      <c r="X359" s="231"/>
      <c r="Y359" s="113"/>
      <c r="Z359" s="357"/>
      <c r="AA359" s="118" t="s">
        <v>2877</v>
      </c>
      <c r="AB359" s="118"/>
      <c r="AC359" s="118"/>
      <c r="AD359" s="52"/>
      <c r="AE359" s="5"/>
      <c r="AF359" s="358"/>
      <c r="AG359" s="358"/>
      <c r="AH359" s="358"/>
      <c r="AI359" s="358"/>
      <c r="AJ359" s="358"/>
      <c r="AK359" s="113"/>
      <c r="AL359" s="113"/>
      <c r="AM359" s="113"/>
      <c r="AN359" s="113"/>
      <c r="AO359" s="113"/>
      <c r="AP359" s="52"/>
      <c r="AQ359" s="52"/>
      <c r="AR359" s="52"/>
      <c r="AS359" s="52"/>
      <c r="AT359" s="52"/>
      <c r="AU359" s="125"/>
      <c r="AV359" s="125"/>
      <c r="AW359" s="125"/>
      <c r="AX359" s="5"/>
      <c r="AY359" s="5"/>
      <c r="AZ359" s="113">
        <v>2114000</v>
      </c>
      <c r="BA359" s="113">
        <v>401660</v>
      </c>
      <c r="BB359" s="113">
        <v>2515660</v>
      </c>
      <c r="BC359" s="52" t="s">
        <v>2925</v>
      </c>
      <c r="BD359" s="52" t="s">
        <v>3948</v>
      </c>
      <c r="BE359" s="118"/>
      <c r="BF359" s="118"/>
      <c r="BG359" s="118"/>
      <c r="BH359" s="52"/>
      <c r="BI359" s="283"/>
      <c r="BJ359" s="52"/>
      <c r="BK359" s="52"/>
      <c r="BL359" s="52"/>
      <c r="BM359" s="52"/>
      <c r="BN359" s="52"/>
      <c r="BO359" s="52"/>
      <c r="BP359" s="52"/>
      <c r="BQ359" s="52"/>
      <c r="BR359" s="52"/>
      <c r="BS359" s="52"/>
      <c r="BT359" s="52"/>
      <c r="BU359" s="52"/>
      <c r="BV359" s="52"/>
      <c r="BW359" s="52"/>
      <c r="BX359" s="52"/>
      <c r="BY359" s="52"/>
      <c r="BZ359" s="52"/>
      <c r="CA359" s="52"/>
      <c r="CB359" s="52"/>
      <c r="CC359" s="52"/>
      <c r="CD359" s="118"/>
      <c r="CE359" s="52"/>
      <c r="CF359" s="52"/>
      <c r="CG359" s="52"/>
      <c r="CH359" s="52"/>
      <c r="CI359" s="52"/>
      <c r="CJ359" s="52"/>
      <c r="CK359" s="52"/>
      <c r="CL359" s="52"/>
      <c r="CM359" s="52"/>
      <c r="CN359" s="118"/>
      <c r="CO359" s="118"/>
      <c r="CP359" s="118"/>
      <c r="CQ359" s="52"/>
      <c r="CR359" s="52"/>
      <c r="CS359" s="52"/>
      <c r="CT359" s="52"/>
      <c r="CU359" s="52"/>
      <c r="CV359" s="52"/>
      <c r="CW359" s="52"/>
      <c r="CX359" s="52"/>
      <c r="CY359" s="52"/>
      <c r="CZ359" s="52"/>
      <c r="DA359" s="52"/>
      <c r="DB359" s="52"/>
    </row>
    <row r="360" spans="1:106" ht="27" x14ac:dyDescent="0.25">
      <c r="A360" s="411">
        <v>358</v>
      </c>
      <c r="B360" s="412" t="s">
        <v>3949</v>
      </c>
      <c r="C360" s="564" t="s">
        <v>3950</v>
      </c>
      <c r="D360" s="426" t="s">
        <v>3951</v>
      </c>
      <c r="E360" s="80">
        <v>1</v>
      </c>
      <c r="F360" s="353">
        <v>1181465.32</v>
      </c>
      <c r="G360" s="293"/>
      <c r="H360" s="293"/>
      <c r="I360" s="293"/>
      <c r="J360" s="52"/>
      <c r="K360" s="52"/>
      <c r="L360" s="359"/>
      <c r="M360" s="360"/>
      <c r="N360" s="361"/>
      <c r="O360" s="33"/>
      <c r="P360" s="252"/>
      <c r="Q360" s="113"/>
      <c r="R360" s="113"/>
      <c r="S360" s="113"/>
      <c r="T360" s="52"/>
      <c r="U360" s="5"/>
      <c r="V360" s="231"/>
      <c r="W360" s="231"/>
      <c r="X360" s="231"/>
      <c r="Y360" s="113"/>
      <c r="Z360" s="357"/>
      <c r="AA360" s="118" t="s">
        <v>2877</v>
      </c>
      <c r="AB360" s="118"/>
      <c r="AC360" s="118"/>
      <c r="AD360" s="52"/>
      <c r="AE360" s="5"/>
      <c r="AF360" s="358"/>
      <c r="AG360" s="358"/>
      <c r="AH360" s="358"/>
      <c r="AI360" s="358"/>
      <c r="AJ360" s="358"/>
      <c r="AK360" s="113"/>
      <c r="AL360" s="113"/>
      <c r="AM360" s="113"/>
      <c r="AN360" s="113"/>
      <c r="AO360" s="113"/>
      <c r="AP360" s="52"/>
      <c r="AQ360" s="52"/>
      <c r="AR360" s="52"/>
      <c r="AS360" s="52"/>
      <c r="AT360" s="52"/>
      <c r="AU360" s="125"/>
      <c r="AV360" s="125"/>
      <c r="AW360" s="125"/>
      <c r="AX360" s="5"/>
      <c r="AY360" s="5"/>
      <c r="AZ360" s="113">
        <v>755000</v>
      </c>
      <c r="BA360" s="113">
        <v>143450</v>
      </c>
      <c r="BB360" s="113">
        <v>898450</v>
      </c>
      <c r="BC360" s="52" t="s">
        <v>3897</v>
      </c>
      <c r="BD360" s="52" t="s">
        <v>3952</v>
      </c>
      <c r="BE360" s="118"/>
      <c r="BF360" s="118"/>
      <c r="BG360" s="118"/>
      <c r="BH360" s="52"/>
      <c r="BI360" s="283"/>
      <c r="BJ360" s="52"/>
      <c r="BK360" s="52"/>
      <c r="BL360" s="52"/>
      <c r="BM360" s="52"/>
      <c r="BN360" s="52"/>
      <c r="BO360" s="52"/>
      <c r="BP360" s="52"/>
      <c r="BQ360" s="52"/>
      <c r="BR360" s="52"/>
      <c r="BS360" s="52"/>
      <c r="BT360" s="52"/>
      <c r="BU360" s="52"/>
      <c r="BV360" s="52"/>
      <c r="BW360" s="52"/>
      <c r="BX360" s="52"/>
      <c r="BY360" s="52"/>
      <c r="BZ360" s="52"/>
      <c r="CA360" s="52"/>
      <c r="CB360" s="52"/>
      <c r="CC360" s="52"/>
      <c r="CD360" s="118"/>
      <c r="CE360" s="52"/>
      <c r="CF360" s="52"/>
      <c r="CG360" s="52"/>
      <c r="CH360" s="52"/>
      <c r="CI360" s="52"/>
      <c r="CJ360" s="52"/>
      <c r="CK360" s="52"/>
      <c r="CL360" s="52"/>
      <c r="CM360" s="52"/>
      <c r="CN360" s="118"/>
      <c r="CO360" s="118"/>
      <c r="CP360" s="118"/>
      <c r="CQ360" s="52"/>
      <c r="CR360" s="52"/>
      <c r="CS360" s="52"/>
      <c r="CT360" s="52"/>
      <c r="CU360" s="52"/>
      <c r="CV360" s="52"/>
      <c r="CW360" s="52"/>
      <c r="CX360" s="52"/>
      <c r="CY360" s="52"/>
      <c r="CZ360" s="52"/>
      <c r="DA360" s="52"/>
      <c r="DB360" s="52"/>
    </row>
    <row r="361" spans="1:106" ht="40.5" x14ac:dyDescent="0.25">
      <c r="A361" s="411">
        <v>359</v>
      </c>
      <c r="B361" s="412" t="s">
        <v>3953</v>
      </c>
      <c r="C361" s="413" t="s">
        <v>3954</v>
      </c>
      <c r="D361" s="426" t="s">
        <v>2901</v>
      </c>
      <c r="E361" s="80">
        <v>1</v>
      </c>
      <c r="F361" s="353">
        <v>1974555.338</v>
      </c>
      <c r="G361" s="293"/>
      <c r="H361" s="293"/>
      <c r="I361" s="293"/>
      <c r="J361" s="52"/>
      <c r="K361" s="52"/>
      <c r="L361" s="359"/>
      <c r="M361" s="360"/>
      <c r="N361" s="361"/>
      <c r="O361" s="33"/>
      <c r="P361" s="252"/>
      <c r="Q361" s="113"/>
      <c r="R361" s="113"/>
      <c r="S361" s="113"/>
      <c r="T361" s="52"/>
      <c r="U361" s="5"/>
      <c r="V361" s="231"/>
      <c r="W361" s="231"/>
      <c r="X361" s="231"/>
      <c r="Y361" s="113"/>
      <c r="Z361" s="357"/>
      <c r="AA361" s="118" t="s">
        <v>2877</v>
      </c>
      <c r="AB361" s="118"/>
      <c r="AC361" s="118"/>
      <c r="AD361" s="52"/>
      <c r="AE361" s="5"/>
      <c r="AF361" s="358"/>
      <c r="AG361" s="358"/>
      <c r="AH361" s="358"/>
      <c r="AI361" s="358"/>
      <c r="AJ361" s="358"/>
      <c r="AK361" s="113"/>
      <c r="AL361" s="113"/>
      <c r="AM361" s="113"/>
      <c r="AN361" s="113"/>
      <c r="AO361" s="113"/>
      <c r="AP361" s="52"/>
      <c r="AQ361" s="52"/>
      <c r="AR361" s="52"/>
      <c r="AS361" s="52"/>
      <c r="AT361" s="52"/>
      <c r="AU361" s="125"/>
      <c r="AV361" s="125"/>
      <c r="AW361" s="125"/>
      <c r="AX361" s="5"/>
      <c r="AY361" s="5"/>
      <c r="AZ361" s="113">
        <v>2238000</v>
      </c>
      <c r="BA361" s="113">
        <v>425220</v>
      </c>
      <c r="BB361" s="113">
        <v>2663220</v>
      </c>
      <c r="BC361" s="52" t="s">
        <v>3955</v>
      </c>
      <c r="BD361" s="52" t="s">
        <v>3956</v>
      </c>
      <c r="BE361" s="118"/>
      <c r="BF361" s="118"/>
      <c r="BG361" s="118"/>
      <c r="BH361" s="52"/>
      <c r="BI361" s="283"/>
      <c r="BJ361" s="52"/>
      <c r="BK361" s="52"/>
      <c r="BL361" s="52"/>
      <c r="BM361" s="52"/>
      <c r="BN361" s="52"/>
      <c r="BO361" s="52"/>
      <c r="BP361" s="52"/>
      <c r="BQ361" s="52"/>
      <c r="BR361" s="52"/>
      <c r="BS361" s="52"/>
      <c r="BT361" s="52"/>
      <c r="BU361" s="52"/>
      <c r="BV361" s="52"/>
      <c r="BW361" s="52"/>
      <c r="BX361" s="52"/>
      <c r="BY361" s="52"/>
      <c r="BZ361" s="52"/>
      <c r="CA361" s="52"/>
      <c r="CB361" s="52"/>
      <c r="CC361" s="52"/>
      <c r="CD361" s="118"/>
      <c r="CE361" s="52"/>
      <c r="CF361" s="52"/>
      <c r="CG361" s="52"/>
      <c r="CH361" s="52"/>
      <c r="CI361" s="52"/>
      <c r="CJ361" s="52"/>
      <c r="CK361" s="52"/>
      <c r="CL361" s="52"/>
      <c r="CM361" s="52"/>
      <c r="CN361" s="118"/>
      <c r="CO361" s="118"/>
      <c r="CP361" s="118"/>
      <c r="CQ361" s="52"/>
      <c r="CR361" s="52"/>
      <c r="CS361" s="52"/>
      <c r="CT361" s="52"/>
      <c r="CU361" s="52"/>
      <c r="CV361" s="52"/>
      <c r="CW361" s="52"/>
      <c r="CX361" s="52"/>
      <c r="CY361" s="52"/>
      <c r="CZ361" s="52"/>
      <c r="DA361" s="52"/>
      <c r="DB361" s="52"/>
    </row>
    <row r="362" spans="1:106" ht="40.5" x14ac:dyDescent="0.25">
      <c r="A362" s="411">
        <v>360</v>
      </c>
      <c r="B362" s="412" t="s">
        <v>3957</v>
      </c>
      <c r="C362" s="413" t="s">
        <v>3574</v>
      </c>
      <c r="D362" s="426" t="s">
        <v>3739</v>
      </c>
      <c r="E362" s="80">
        <v>1</v>
      </c>
      <c r="F362" s="353">
        <v>860961.43</v>
      </c>
      <c r="G362" s="293"/>
      <c r="H362" s="293"/>
      <c r="I362" s="293"/>
      <c r="J362" s="52"/>
      <c r="K362" s="52"/>
      <c r="L362" s="359"/>
      <c r="M362" s="360"/>
      <c r="N362" s="361"/>
      <c r="O362" s="33"/>
      <c r="P362" s="252"/>
      <c r="Q362" s="113"/>
      <c r="R362" s="113"/>
      <c r="S362" s="113"/>
      <c r="T362" s="52"/>
      <c r="U362" s="5"/>
      <c r="V362" s="231"/>
      <c r="W362" s="231"/>
      <c r="X362" s="231"/>
      <c r="Y362" s="113"/>
      <c r="Z362" s="357"/>
      <c r="AA362" s="118" t="s">
        <v>2877</v>
      </c>
      <c r="AB362" s="118"/>
      <c r="AC362" s="118"/>
      <c r="AD362" s="52"/>
      <c r="AE362" s="5"/>
      <c r="AF362" s="358"/>
      <c r="AG362" s="358"/>
      <c r="AH362" s="358"/>
      <c r="AI362" s="358"/>
      <c r="AJ362" s="358"/>
      <c r="AK362" s="113"/>
      <c r="AL362" s="113"/>
      <c r="AM362" s="113"/>
      <c r="AN362" s="113"/>
      <c r="AO362" s="113"/>
      <c r="AP362" s="52"/>
      <c r="AQ362" s="52"/>
      <c r="AR362" s="52"/>
      <c r="AS362" s="52"/>
      <c r="AT362" s="52"/>
      <c r="AU362" s="125"/>
      <c r="AV362" s="125"/>
      <c r="AW362" s="125"/>
      <c r="AX362" s="5"/>
      <c r="AY362" s="5"/>
      <c r="AZ362" s="113">
        <v>600000</v>
      </c>
      <c r="BA362" s="113">
        <v>114000</v>
      </c>
      <c r="BB362" s="113">
        <v>714000</v>
      </c>
      <c r="BC362" s="52" t="s">
        <v>2925</v>
      </c>
      <c r="BD362" s="52" t="s">
        <v>3958</v>
      </c>
      <c r="BE362" s="118"/>
      <c r="BF362" s="118"/>
      <c r="BG362" s="118"/>
      <c r="BH362" s="52"/>
      <c r="BI362" s="283"/>
      <c r="BJ362" s="52"/>
      <c r="BK362" s="52"/>
      <c r="BL362" s="52"/>
      <c r="BM362" s="52"/>
      <c r="BN362" s="52"/>
      <c r="BO362" s="52"/>
      <c r="BP362" s="52"/>
      <c r="BQ362" s="52"/>
      <c r="BR362" s="52"/>
      <c r="BS362" s="52"/>
      <c r="BT362" s="52"/>
      <c r="BU362" s="52"/>
      <c r="BV362" s="52"/>
      <c r="BW362" s="52"/>
      <c r="BX362" s="52"/>
      <c r="BY362" s="52"/>
      <c r="BZ362" s="52"/>
      <c r="CA362" s="52"/>
      <c r="CB362" s="52"/>
      <c r="CC362" s="52"/>
      <c r="CD362" s="118"/>
      <c r="CE362" s="52"/>
      <c r="CF362" s="52"/>
      <c r="CG362" s="52"/>
      <c r="CH362" s="52"/>
      <c r="CI362" s="52"/>
      <c r="CJ362" s="52"/>
      <c r="CK362" s="52"/>
      <c r="CL362" s="52"/>
      <c r="CM362" s="52"/>
      <c r="CN362" s="118"/>
      <c r="CO362" s="118"/>
      <c r="CP362" s="118"/>
      <c r="CQ362" s="52"/>
      <c r="CR362" s="52"/>
      <c r="CS362" s="52"/>
      <c r="CT362" s="52"/>
      <c r="CU362" s="52"/>
      <c r="CV362" s="52"/>
      <c r="CW362" s="52"/>
      <c r="CX362" s="52"/>
      <c r="CY362" s="52"/>
      <c r="CZ362" s="52"/>
      <c r="DA362" s="52"/>
      <c r="DB362" s="52"/>
    </row>
    <row r="363" spans="1:106" ht="27" x14ac:dyDescent="0.25">
      <c r="A363" s="411">
        <v>361</v>
      </c>
      <c r="B363" s="412" t="s">
        <v>3959</v>
      </c>
      <c r="C363" s="413" t="s">
        <v>3960</v>
      </c>
      <c r="D363" s="426" t="s">
        <v>3961</v>
      </c>
      <c r="E363" s="80">
        <v>1</v>
      </c>
      <c r="F363" s="353">
        <v>1988380.996</v>
      </c>
      <c r="G363" s="293"/>
      <c r="H363" s="293"/>
      <c r="I363" s="293"/>
      <c r="J363" s="52"/>
      <c r="K363" s="52"/>
      <c r="L363" s="359"/>
      <c r="M363" s="360"/>
      <c r="N363" s="361"/>
      <c r="O363" s="33"/>
      <c r="P363" s="252"/>
      <c r="Q363" s="113"/>
      <c r="R363" s="113"/>
      <c r="S363" s="113"/>
      <c r="T363" s="52"/>
      <c r="U363" s="5"/>
      <c r="V363" s="231"/>
      <c r="W363" s="231"/>
      <c r="X363" s="231"/>
      <c r="Y363" s="113"/>
      <c r="Z363" s="357"/>
      <c r="AA363" s="118" t="s">
        <v>2877</v>
      </c>
      <c r="AB363" s="118"/>
      <c r="AC363" s="118"/>
      <c r="AD363" s="52"/>
      <c r="AE363" s="5"/>
      <c r="AF363" s="358"/>
      <c r="AG363" s="358"/>
      <c r="AH363" s="358"/>
      <c r="AI363" s="358"/>
      <c r="AJ363" s="358"/>
      <c r="AK363" s="113"/>
      <c r="AL363" s="113"/>
      <c r="AM363" s="113"/>
      <c r="AN363" s="113"/>
      <c r="AO363" s="113"/>
      <c r="AP363" s="52"/>
      <c r="AQ363" s="52"/>
      <c r="AR363" s="52"/>
      <c r="AS363" s="52"/>
      <c r="AT363" s="52"/>
      <c r="AU363" s="125"/>
      <c r="AV363" s="125"/>
      <c r="AW363" s="125"/>
      <c r="AX363" s="5"/>
      <c r="AY363" s="5"/>
      <c r="AZ363" s="113">
        <v>4002000</v>
      </c>
      <c r="BA363" s="113">
        <v>760380</v>
      </c>
      <c r="BB363" s="113">
        <v>4762380</v>
      </c>
      <c r="BC363" s="52" t="s">
        <v>3962</v>
      </c>
      <c r="BD363" s="52" t="s">
        <v>3963</v>
      </c>
      <c r="BE363" s="118"/>
      <c r="BF363" s="118"/>
      <c r="BG363" s="118"/>
      <c r="BH363" s="52"/>
      <c r="BI363" s="283"/>
      <c r="BJ363" s="52"/>
      <c r="BK363" s="52"/>
      <c r="BL363" s="52"/>
      <c r="BM363" s="52"/>
      <c r="BN363" s="52"/>
      <c r="BO363" s="52"/>
      <c r="BP363" s="52"/>
      <c r="BQ363" s="52"/>
      <c r="BR363" s="52"/>
      <c r="BS363" s="52"/>
      <c r="BT363" s="52"/>
      <c r="BU363" s="52"/>
      <c r="BV363" s="52"/>
      <c r="BW363" s="52"/>
      <c r="BX363" s="52"/>
      <c r="BY363" s="52"/>
      <c r="BZ363" s="52"/>
      <c r="CA363" s="52"/>
      <c r="CB363" s="52"/>
      <c r="CC363" s="52"/>
      <c r="CD363" s="118"/>
      <c r="CE363" s="52"/>
      <c r="CF363" s="52"/>
      <c r="CG363" s="52"/>
      <c r="CH363" s="52"/>
      <c r="CI363" s="52"/>
      <c r="CJ363" s="52"/>
      <c r="CK363" s="52"/>
      <c r="CL363" s="52"/>
      <c r="CM363" s="52"/>
      <c r="CN363" s="118"/>
      <c r="CO363" s="118"/>
      <c r="CP363" s="118"/>
      <c r="CQ363" s="52"/>
      <c r="CR363" s="52"/>
      <c r="CS363" s="52"/>
      <c r="CT363" s="52"/>
      <c r="CU363" s="52"/>
      <c r="CV363" s="52"/>
      <c r="CW363" s="52"/>
      <c r="CX363" s="52"/>
      <c r="CY363" s="52"/>
      <c r="CZ363" s="52"/>
      <c r="DA363" s="52"/>
      <c r="DB363" s="52"/>
    </row>
    <row r="364" spans="1:106" ht="54" x14ac:dyDescent="0.25">
      <c r="A364" s="411">
        <v>362</v>
      </c>
      <c r="B364" s="412" t="s">
        <v>3964</v>
      </c>
      <c r="C364" s="564" t="s">
        <v>3950</v>
      </c>
      <c r="D364" s="564" t="s">
        <v>3431</v>
      </c>
      <c r="E364" s="80">
        <v>1</v>
      </c>
      <c r="F364" s="353">
        <v>2054995.53</v>
      </c>
      <c r="G364" s="293"/>
      <c r="H364" s="293"/>
      <c r="I364" s="293"/>
      <c r="J364" s="52"/>
      <c r="K364" s="52"/>
      <c r="L364" s="359"/>
      <c r="M364" s="360"/>
      <c r="N364" s="361"/>
      <c r="O364" s="33"/>
      <c r="P364" s="252"/>
      <c r="Q364" s="113"/>
      <c r="R364" s="113"/>
      <c r="S364" s="113"/>
      <c r="T364" s="52"/>
      <c r="U364" s="5"/>
      <c r="V364" s="231"/>
      <c r="W364" s="231"/>
      <c r="X364" s="231"/>
      <c r="Y364" s="113"/>
      <c r="Z364" s="357"/>
      <c r="AA364" s="118" t="s">
        <v>2877</v>
      </c>
      <c r="AB364" s="118"/>
      <c r="AC364" s="118"/>
      <c r="AD364" s="52"/>
      <c r="AE364" s="5"/>
      <c r="AF364" s="358"/>
      <c r="AG364" s="358"/>
      <c r="AH364" s="358"/>
      <c r="AI364" s="358"/>
      <c r="AJ364" s="358"/>
      <c r="AK364" s="113"/>
      <c r="AL364" s="113"/>
      <c r="AM364" s="113"/>
      <c r="AN364" s="113"/>
      <c r="AO364" s="113"/>
      <c r="AP364" s="52"/>
      <c r="AQ364" s="52"/>
      <c r="AR364" s="52"/>
      <c r="AS364" s="52"/>
      <c r="AT364" s="52"/>
      <c r="AU364" s="125"/>
      <c r="AV364" s="125"/>
      <c r="AW364" s="125"/>
      <c r="AX364" s="5"/>
      <c r="AY364" s="5"/>
      <c r="AZ364" s="113">
        <v>1980000</v>
      </c>
      <c r="BA364" s="113">
        <v>376200</v>
      </c>
      <c r="BB364" s="113">
        <v>2356200</v>
      </c>
      <c r="BC364" s="52" t="s">
        <v>2925</v>
      </c>
      <c r="BD364" s="52" t="s">
        <v>3965</v>
      </c>
      <c r="BE364" s="118"/>
      <c r="BF364" s="118"/>
      <c r="BG364" s="118"/>
      <c r="BH364" s="52"/>
      <c r="BI364" s="283"/>
      <c r="BJ364" s="52"/>
      <c r="BK364" s="52"/>
      <c r="BL364" s="52"/>
      <c r="BM364" s="52"/>
      <c r="BN364" s="52"/>
      <c r="BO364" s="52"/>
      <c r="BP364" s="52"/>
      <c r="BQ364" s="52"/>
      <c r="BR364" s="52"/>
      <c r="BS364" s="52"/>
      <c r="BT364" s="52"/>
      <c r="BU364" s="52"/>
      <c r="BV364" s="52"/>
      <c r="BW364" s="52"/>
      <c r="BX364" s="52"/>
      <c r="BY364" s="52"/>
      <c r="BZ364" s="52"/>
      <c r="CA364" s="52"/>
      <c r="CB364" s="52"/>
      <c r="CC364" s="52"/>
      <c r="CD364" s="118"/>
      <c r="CE364" s="52"/>
      <c r="CF364" s="52"/>
      <c r="CG364" s="52"/>
      <c r="CH364" s="52"/>
      <c r="CI364" s="52"/>
      <c r="CJ364" s="52"/>
      <c r="CK364" s="52"/>
      <c r="CL364" s="52"/>
      <c r="CM364" s="52"/>
      <c r="CN364" s="118"/>
      <c r="CO364" s="118"/>
      <c r="CP364" s="118"/>
      <c r="CQ364" s="52"/>
      <c r="CR364" s="52"/>
      <c r="CS364" s="52"/>
      <c r="CT364" s="52"/>
      <c r="CU364" s="52"/>
      <c r="CV364" s="52"/>
      <c r="CW364" s="52"/>
      <c r="CX364" s="52"/>
      <c r="CY364" s="52"/>
      <c r="CZ364" s="52"/>
      <c r="DA364" s="52"/>
      <c r="DB364" s="52"/>
    </row>
    <row r="365" spans="1:106" ht="54" x14ac:dyDescent="0.25">
      <c r="A365" s="411">
        <v>363</v>
      </c>
      <c r="B365" s="412" t="s">
        <v>3966</v>
      </c>
      <c r="C365" s="561" t="s">
        <v>3967</v>
      </c>
      <c r="D365" s="562" t="s">
        <v>3968</v>
      </c>
      <c r="E365" s="80">
        <v>1</v>
      </c>
      <c r="F365" s="353">
        <v>1563556.2320000001</v>
      </c>
      <c r="G365" s="293"/>
      <c r="H365" s="293"/>
      <c r="I365" s="293"/>
      <c r="J365" s="52"/>
      <c r="K365" s="52"/>
      <c r="L365" s="359"/>
      <c r="M365" s="360"/>
      <c r="N365" s="361"/>
      <c r="O365" s="33"/>
      <c r="P365" s="252"/>
      <c r="Q365" s="113"/>
      <c r="R365" s="113"/>
      <c r="S365" s="113"/>
      <c r="T365" s="52"/>
      <c r="U365" s="5"/>
      <c r="V365" s="231"/>
      <c r="W365" s="231"/>
      <c r="X365" s="231"/>
      <c r="Y365" s="113"/>
      <c r="Z365" s="357"/>
      <c r="AA365" s="118" t="s">
        <v>2877</v>
      </c>
      <c r="AB365" s="118"/>
      <c r="AC365" s="118"/>
      <c r="AD365" s="52"/>
      <c r="AE365" s="5"/>
      <c r="AF365" s="358"/>
      <c r="AG365" s="358"/>
      <c r="AH365" s="358"/>
      <c r="AI365" s="358"/>
      <c r="AJ365" s="358"/>
      <c r="AK365" s="113"/>
      <c r="AL365" s="113"/>
      <c r="AM365" s="113"/>
      <c r="AN365" s="113"/>
      <c r="AO365" s="113"/>
      <c r="AP365" s="52"/>
      <c r="AQ365" s="52"/>
      <c r="AR365" s="52"/>
      <c r="AS365" s="52"/>
      <c r="AT365" s="52"/>
      <c r="AU365" s="125"/>
      <c r="AV365" s="125"/>
      <c r="AW365" s="125"/>
      <c r="AX365" s="5"/>
      <c r="AY365" s="5"/>
      <c r="AZ365" s="113">
        <v>425000</v>
      </c>
      <c r="BA365" s="113">
        <v>80750</v>
      </c>
      <c r="BB365" s="113">
        <v>505750</v>
      </c>
      <c r="BC365" s="52" t="s">
        <v>2925</v>
      </c>
      <c r="BD365" s="52" t="s">
        <v>3969</v>
      </c>
      <c r="BE365" s="118"/>
      <c r="BF365" s="118"/>
      <c r="BG365" s="118"/>
      <c r="BH365" s="52"/>
      <c r="BI365" s="283"/>
      <c r="BJ365" s="52"/>
      <c r="BK365" s="52"/>
      <c r="BL365" s="52"/>
      <c r="BM365" s="52"/>
      <c r="BN365" s="52"/>
      <c r="BO365" s="52"/>
      <c r="BP365" s="52"/>
      <c r="BQ365" s="52"/>
      <c r="BR365" s="52"/>
      <c r="BS365" s="52"/>
      <c r="BT365" s="52"/>
      <c r="BU365" s="52"/>
      <c r="BV365" s="52"/>
      <c r="BW365" s="52"/>
      <c r="BX365" s="52"/>
      <c r="BY365" s="52"/>
      <c r="BZ365" s="52"/>
      <c r="CA365" s="52"/>
      <c r="CB365" s="52"/>
      <c r="CC365" s="52"/>
      <c r="CD365" s="118"/>
      <c r="CE365" s="52"/>
      <c r="CF365" s="52"/>
      <c r="CG365" s="52"/>
      <c r="CH365" s="52"/>
      <c r="CI365" s="52"/>
      <c r="CJ365" s="52"/>
      <c r="CK365" s="52"/>
      <c r="CL365" s="52"/>
      <c r="CM365" s="52"/>
      <c r="CN365" s="118"/>
      <c r="CO365" s="118"/>
      <c r="CP365" s="118"/>
      <c r="CQ365" s="52"/>
      <c r="CR365" s="52"/>
      <c r="CS365" s="52"/>
      <c r="CT365" s="52"/>
      <c r="CU365" s="52"/>
      <c r="CV365" s="52"/>
      <c r="CW365" s="52"/>
      <c r="CX365" s="52"/>
      <c r="CY365" s="52"/>
      <c r="CZ365" s="52"/>
      <c r="DA365" s="52"/>
      <c r="DB365" s="52"/>
    </row>
    <row r="366" spans="1:106" ht="121.5" x14ac:dyDescent="0.25">
      <c r="A366" s="411">
        <v>364</v>
      </c>
      <c r="B366" s="414" t="s">
        <v>3970</v>
      </c>
      <c r="C366" s="413" t="s">
        <v>3971</v>
      </c>
      <c r="D366" s="562" t="s">
        <v>3972</v>
      </c>
      <c r="E366" s="80">
        <v>1</v>
      </c>
      <c r="F366" s="80"/>
      <c r="G366" s="293"/>
      <c r="H366" s="293"/>
      <c r="I366" s="293"/>
      <c r="J366" s="52"/>
      <c r="K366" s="52"/>
      <c r="L366" s="359"/>
      <c r="M366" s="360"/>
      <c r="N366" s="361"/>
      <c r="O366" s="33"/>
      <c r="P366" s="252"/>
      <c r="Q366" s="113"/>
      <c r="R366" s="113"/>
      <c r="S366" s="113"/>
      <c r="T366" s="52"/>
      <c r="U366" s="5"/>
      <c r="V366" s="231"/>
      <c r="W366" s="231"/>
      <c r="X366" s="231"/>
      <c r="Y366" s="113"/>
      <c r="Z366" s="357"/>
      <c r="AA366" s="118" t="s">
        <v>2877</v>
      </c>
      <c r="AB366" s="118"/>
      <c r="AC366" s="118"/>
      <c r="AD366" s="52"/>
      <c r="AE366" s="5"/>
      <c r="AF366" s="358"/>
      <c r="AG366" s="358"/>
      <c r="AH366" s="358"/>
      <c r="AI366" s="358"/>
      <c r="AJ366" s="358"/>
      <c r="AK366" s="113"/>
      <c r="AL366" s="113"/>
      <c r="AM366" s="113"/>
      <c r="AN366" s="113"/>
      <c r="AO366" s="113"/>
      <c r="AP366" s="52"/>
      <c r="AQ366" s="52"/>
      <c r="AR366" s="52"/>
      <c r="AS366" s="52"/>
      <c r="AT366" s="52"/>
      <c r="AU366" s="125"/>
      <c r="AV366" s="125"/>
      <c r="AW366" s="125"/>
      <c r="AX366" s="5"/>
      <c r="AY366" s="5"/>
      <c r="AZ366" s="113">
        <v>971000</v>
      </c>
      <c r="BA366" s="113">
        <v>184490</v>
      </c>
      <c r="BB366" s="113">
        <v>1155490</v>
      </c>
      <c r="BC366" s="52" t="s">
        <v>2925</v>
      </c>
      <c r="BD366" s="52" t="s">
        <v>3973</v>
      </c>
      <c r="BE366" s="118"/>
      <c r="BF366" s="118"/>
      <c r="BG366" s="118"/>
      <c r="BH366" s="52"/>
      <c r="BI366" s="283"/>
      <c r="BJ366" s="52"/>
      <c r="BK366" s="52"/>
      <c r="BL366" s="52"/>
      <c r="BM366" s="52"/>
      <c r="BN366" s="52"/>
      <c r="BO366" s="52"/>
      <c r="BP366" s="52"/>
      <c r="BQ366" s="52"/>
      <c r="BR366" s="52"/>
      <c r="BS366" s="52"/>
      <c r="BT366" s="52"/>
      <c r="BU366" s="52"/>
      <c r="BV366" s="52"/>
      <c r="BW366" s="52"/>
      <c r="BX366" s="52"/>
      <c r="BY366" s="52"/>
      <c r="BZ366" s="52"/>
      <c r="CA366" s="52"/>
      <c r="CB366" s="52"/>
      <c r="CC366" s="52"/>
      <c r="CD366" s="118"/>
      <c r="CE366" s="52"/>
      <c r="CF366" s="52"/>
      <c r="CG366" s="52"/>
      <c r="CH366" s="52"/>
      <c r="CI366" s="52"/>
      <c r="CJ366" s="52"/>
      <c r="CK366" s="52"/>
      <c r="CL366" s="52"/>
      <c r="CM366" s="52"/>
      <c r="CN366" s="118"/>
      <c r="CO366" s="118"/>
      <c r="CP366" s="118"/>
      <c r="CQ366" s="52"/>
      <c r="CR366" s="52"/>
      <c r="CS366" s="52"/>
      <c r="CT366" s="52"/>
      <c r="CU366" s="52"/>
      <c r="CV366" s="52"/>
      <c r="CW366" s="52"/>
      <c r="CX366" s="52"/>
      <c r="CY366" s="52"/>
      <c r="CZ366" s="52"/>
      <c r="DA366" s="52"/>
      <c r="DB366" s="52"/>
    </row>
    <row r="367" spans="1:106" ht="40.5" x14ac:dyDescent="0.25">
      <c r="A367" s="411">
        <v>365</v>
      </c>
      <c r="B367" s="412" t="s">
        <v>3974</v>
      </c>
      <c r="C367" s="413" t="s">
        <v>622</v>
      </c>
      <c r="D367" s="426" t="s">
        <v>445</v>
      </c>
      <c r="E367" s="80">
        <v>1</v>
      </c>
      <c r="F367" s="353">
        <v>165907.89600000001</v>
      </c>
      <c r="G367" s="293">
        <v>64300</v>
      </c>
      <c r="H367" s="293">
        <v>12217</v>
      </c>
      <c r="I367" s="293">
        <v>76517</v>
      </c>
      <c r="J367" s="52" t="s">
        <v>3408</v>
      </c>
      <c r="K367" s="52" t="s">
        <v>3975</v>
      </c>
      <c r="L367" s="359"/>
      <c r="M367" s="360"/>
      <c r="N367" s="361"/>
      <c r="O367" s="33"/>
      <c r="P367" s="252"/>
      <c r="Q367" s="113"/>
      <c r="R367" s="113"/>
      <c r="S367" s="113"/>
      <c r="T367" s="52"/>
      <c r="U367" s="5"/>
      <c r="V367" s="231"/>
      <c r="W367" s="231"/>
      <c r="X367" s="231"/>
      <c r="Y367" s="113"/>
      <c r="Z367" s="357"/>
      <c r="AA367" s="118" t="s">
        <v>2877</v>
      </c>
      <c r="AB367" s="118"/>
      <c r="AC367" s="118"/>
      <c r="AD367" s="52"/>
      <c r="AE367" s="5"/>
      <c r="AF367" s="358"/>
      <c r="AG367" s="358"/>
      <c r="AH367" s="358"/>
      <c r="AI367" s="358"/>
      <c r="AJ367" s="358"/>
      <c r="AK367" s="113"/>
      <c r="AL367" s="113"/>
      <c r="AM367" s="113"/>
      <c r="AN367" s="113"/>
      <c r="AO367" s="113"/>
      <c r="AP367" s="52"/>
      <c r="AQ367" s="52"/>
      <c r="AR367" s="52"/>
      <c r="AS367" s="52"/>
      <c r="AT367" s="52"/>
      <c r="AU367" s="125"/>
      <c r="AV367" s="125"/>
      <c r="AW367" s="125"/>
      <c r="AX367" s="5"/>
      <c r="AY367" s="5"/>
      <c r="AZ367" s="113"/>
      <c r="BA367" s="113"/>
      <c r="BB367" s="113"/>
      <c r="BC367" s="52"/>
      <c r="BD367" s="52"/>
      <c r="BE367" s="118"/>
      <c r="BF367" s="118"/>
      <c r="BG367" s="118"/>
      <c r="BH367" s="52"/>
      <c r="BI367" s="283"/>
      <c r="BJ367" s="52"/>
      <c r="BK367" s="52"/>
      <c r="BL367" s="52"/>
      <c r="BM367" s="52"/>
      <c r="BN367" s="52"/>
      <c r="BO367" s="52"/>
      <c r="BP367" s="52"/>
      <c r="BQ367" s="52"/>
      <c r="BR367" s="52"/>
      <c r="BS367" s="52"/>
      <c r="BT367" s="52"/>
      <c r="BU367" s="52"/>
      <c r="BV367" s="52"/>
      <c r="BW367" s="52"/>
      <c r="BX367" s="52"/>
      <c r="BY367" s="52"/>
      <c r="BZ367" s="52"/>
      <c r="CA367" s="52"/>
      <c r="CB367" s="52"/>
      <c r="CC367" s="52"/>
      <c r="CD367" s="118"/>
      <c r="CE367" s="52"/>
      <c r="CF367" s="52"/>
      <c r="CG367" s="52"/>
      <c r="CH367" s="52"/>
      <c r="CI367" s="52"/>
      <c r="CJ367" s="52"/>
      <c r="CK367" s="52"/>
      <c r="CL367" s="52"/>
      <c r="CM367" s="52"/>
      <c r="CN367" s="118"/>
      <c r="CO367" s="118"/>
      <c r="CP367" s="118"/>
      <c r="CQ367" s="52"/>
      <c r="CR367" s="52"/>
      <c r="CS367" s="52"/>
      <c r="CT367" s="52"/>
      <c r="CU367" s="52"/>
      <c r="CV367" s="52"/>
      <c r="CW367" s="52"/>
      <c r="CX367" s="52"/>
      <c r="CY367" s="52"/>
      <c r="CZ367" s="52"/>
      <c r="DA367" s="52"/>
      <c r="DB367" s="52"/>
    </row>
    <row r="368" spans="1:106" ht="27" x14ac:dyDescent="0.25">
      <c r="A368" s="411">
        <v>366</v>
      </c>
      <c r="B368" s="412" t="s">
        <v>3976</v>
      </c>
      <c r="C368" s="426" t="s">
        <v>3977</v>
      </c>
      <c r="D368" s="409" t="s">
        <v>445</v>
      </c>
      <c r="E368" s="80">
        <v>1</v>
      </c>
      <c r="F368" s="353">
        <v>94265.85</v>
      </c>
      <c r="G368" s="293"/>
      <c r="H368" s="293"/>
      <c r="I368" s="293"/>
      <c r="J368" s="52"/>
      <c r="K368" s="52"/>
      <c r="L368" s="359"/>
      <c r="M368" s="360"/>
      <c r="N368" s="361"/>
      <c r="O368" s="33"/>
      <c r="P368" s="252"/>
      <c r="Q368" s="113"/>
      <c r="R368" s="113"/>
      <c r="S368" s="113"/>
      <c r="T368" s="52"/>
      <c r="U368" s="5"/>
      <c r="V368" s="231"/>
      <c r="W368" s="231"/>
      <c r="X368" s="231"/>
      <c r="Y368" s="113"/>
      <c r="Z368" s="357"/>
      <c r="AA368" s="118" t="s">
        <v>2877</v>
      </c>
      <c r="AB368" s="118"/>
      <c r="AC368" s="118"/>
      <c r="AD368" s="52"/>
      <c r="AE368" s="5"/>
      <c r="AF368" s="358"/>
      <c r="AG368" s="358"/>
      <c r="AH368" s="358"/>
      <c r="AI368" s="358"/>
      <c r="AJ368" s="358"/>
      <c r="AK368" s="113"/>
      <c r="AL368" s="113"/>
      <c r="AM368" s="113"/>
      <c r="AN368" s="113"/>
      <c r="AO368" s="113"/>
      <c r="AP368" s="52"/>
      <c r="AQ368" s="52"/>
      <c r="AR368" s="52"/>
      <c r="AS368" s="52"/>
      <c r="AT368" s="52"/>
      <c r="AU368" s="125"/>
      <c r="AV368" s="125"/>
      <c r="AW368" s="125"/>
      <c r="AX368" s="5"/>
      <c r="AY368" s="5"/>
      <c r="AZ368" s="113">
        <v>66000</v>
      </c>
      <c r="BA368" s="113">
        <v>12540</v>
      </c>
      <c r="BB368" s="113">
        <v>78540</v>
      </c>
      <c r="BC368" s="52" t="s">
        <v>3978</v>
      </c>
      <c r="BD368" s="52" t="s">
        <v>3979</v>
      </c>
      <c r="BE368" s="118"/>
      <c r="BF368" s="118"/>
      <c r="BG368" s="118"/>
      <c r="BH368" s="52"/>
      <c r="BI368" s="283"/>
      <c r="BJ368" s="52"/>
      <c r="BK368" s="52"/>
      <c r="BL368" s="52"/>
      <c r="BM368" s="52"/>
      <c r="BN368" s="52"/>
      <c r="BO368" s="52"/>
      <c r="BP368" s="52"/>
      <c r="BQ368" s="52"/>
      <c r="BR368" s="52"/>
      <c r="BS368" s="52"/>
      <c r="BT368" s="52"/>
      <c r="BU368" s="52"/>
      <c r="BV368" s="52"/>
      <c r="BW368" s="52"/>
      <c r="BX368" s="52"/>
      <c r="BY368" s="52"/>
      <c r="BZ368" s="52"/>
      <c r="CA368" s="52"/>
      <c r="CB368" s="52"/>
      <c r="CC368" s="52"/>
      <c r="CD368" s="118"/>
      <c r="CE368" s="52"/>
      <c r="CF368" s="52"/>
      <c r="CG368" s="52"/>
      <c r="CH368" s="52"/>
      <c r="CI368" s="52"/>
      <c r="CJ368" s="52"/>
      <c r="CK368" s="52"/>
      <c r="CL368" s="52"/>
      <c r="CM368" s="52"/>
      <c r="CN368" s="118">
        <v>57000</v>
      </c>
      <c r="CO368" s="118">
        <f>+CN368*0.19</f>
        <v>10830</v>
      </c>
      <c r="CP368" s="118">
        <f>+CN368+CO368</f>
        <v>67830</v>
      </c>
      <c r="CQ368" s="52" t="s">
        <v>3508</v>
      </c>
      <c r="CR368" s="52" t="s">
        <v>3980</v>
      </c>
      <c r="CS368" s="52"/>
      <c r="CT368" s="52"/>
      <c r="CU368" s="52"/>
      <c r="CV368" s="52"/>
      <c r="CW368" s="52"/>
      <c r="CX368" s="52"/>
      <c r="CY368" s="52"/>
      <c r="CZ368" s="52"/>
      <c r="DA368" s="52"/>
      <c r="DB368" s="52"/>
    </row>
    <row r="369" spans="1:106" ht="27" x14ac:dyDescent="0.25">
      <c r="A369" s="411">
        <v>367</v>
      </c>
      <c r="B369" s="412" t="s">
        <v>3981</v>
      </c>
      <c r="C369" s="413" t="s">
        <v>622</v>
      </c>
      <c r="D369" s="426" t="s">
        <v>445</v>
      </c>
      <c r="E369" s="80">
        <v>1</v>
      </c>
      <c r="F369" s="353">
        <v>309191.98800000001</v>
      </c>
      <c r="G369" s="293"/>
      <c r="H369" s="293"/>
      <c r="I369" s="293"/>
      <c r="J369" s="52"/>
      <c r="K369" s="52"/>
      <c r="L369" s="359"/>
      <c r="M369" s="360"/>
      <c r="N369" s="361"/>
      <c r="O369" s="33"/>
      <c r="P369" s="252"/>
      <c r="Q369" s="113"/>
      <c r="R369" s="113"/>
      <c r="S369" s="113"/>
      <c r="T369" s="52"/>
      <c r="U369" s="5"/>
      <c r="V369" s="231"/>
      <c r="W369" s="231"/>
      <c r="X369" s="231"/>
      <c r="Y369" s="113"/>
      <c r="Z369" s="357"/>
      <c r="AA369" s="118" t="s">
        <v>2877</v>
      </c>
      <c r="AB369" s="118"/>
      <c r="AC369" s="118"/>
      <c r="AD369" s="52"/>
      <c r="AE369" s="5"/>
      <c r="AF369" s="358"/>
      <c r="AG369" s="358"/>
      <c r="AH369" s="358"/>
      <c r="AI369" s="358"/>
      <c r="AJ369" s="358"/>
      <c r="AK369" s="113"/>
      <c r="AL369" s="113"/>
      <c r="AM369" s="113"/>
      <c r="AN369" s="113"/>
      <c r="AO369" s="113"/>
      <c r="AP369" s="52"/>
      <c r="AQ369" s="52"/>
      <c r="AR369" s="52"/>
      <c r="AS369" s="52"/>
      <c r="AT369" s="52"/>
      <c r="AU369" s="125"/>
      <c r="AV369" s="125"/>
      <c r="AW369" s="125"/>
      <c r="AX369" s="5"/>
      <c r="AY369" s="5"/>
      <c r="AZ369" s="113">
        <v>154000</v>
      </c>
      <c r="BA369" s="113">
        <v>29260</v>
      </c>
      <c r="BB369" s="113">
        <v>183260</v>
      </c>
      <c r="BC369" s="52" t="s">
        <v>3982</v>
      </c>
      <c r="BD369" s="52">
        <v>279785</v>
      </c>
      <c r="BE369" s="118"/>
      <c r="BF369" s="118"/>
      <c r="BG369" s="118"/>
      <c r="BH369" s="52"/>
      <c r="BI369" s="283"/>
      <c r="BJ369" s="52"/>
      <c r="BK369" s="52"/>
      <c r="BL369" s="52"/>
      <c r="BM369" s="52"/>
      <c r="BN369" s="52"/>
      <c r="BO369" s="52"/>
      <c r="BP369" s="52"/>
      <c r="BQ369" s="52"/>
      <c r="BR369" s="52"/>
      <c r="BS369" s="52"/>
      <c r="BT369" s="52"/>
      <c r="BU369" s="52"/>
      <c r="BV369" s="52"/>
      <c r="BW369" s="52"/>
      <c r="BX369" s="52"/>
      <c r="BY369" s="52"/>
      <c r="BZ369" s="52"/>
      <c r="CA369" s="52"/>
      <c r="CB369" s="52"/>
      <c r="CC369" s="52"/>
      <c r="CD369" s="118"/>
      <c r="CE369" s="52"/>
      <c r="CF369" s="52"/>
      <c r="CG369" s="52"/>
      <c r="CH369" s="52"/>
      <c r="CI369" s="52"/>
      <c r="CJ369" s="52"/>
      <c r="CK369" s="52"/>
      <c r="CL369" s="52"/>
      <c r="CM369" s="52"/>
      <c r="CN369" s="118"/>
      <c r="CO369" s="118"/>
      <c r="CP369" s="118"/>
      <c r="CQ369" s="52"/>
      <c r="CR369" s="52"/>
      <c r="CS369" s="52"/>
      <c r="CT369" s="52"/>
      <c r="CU369" s="52"/>
      <c r="CV369" s="52"/>
      <c r="CW369" s="52"/>
      <c r="CX369" s="52"/>
      <c r="CY369" s="52"/>
      <c r="CZ369" s="52"/>
      <c r="DA369" s="52"/>
      <c r="DB369" s="52"/>
    </row>
    <row r="370" spans="1:106" ht="27" x14ac:dyDescent="0.25">
      <c r="A370" s="411">
        <v>368</v>
      </c>
      <c r="B370" s="409" t="s">
        <v>3983</v>
      </c>
      <c r="C370" s="413" t="s">
        <v>622</v>
      </c>
      <c r="D370" s="409" t="s">
        <v>2193</v>
      </c>
      <c r="E370" s="80">
        <v>1</v>
      </c>
      <c r="F370" s="80"/>
      <c r="G370" s="293"/>
      <c r="H370" s="293"/>
      <c r="I370" s="293"/>
      <c r="J370" s="52"/>
      <c r="K370" s="52"/>
      <c r="L370" s="359"/>
      <c r="M370" s="360"/>
      <c r="N370" s="361"/>
      <c r="O370" s="33"/>
      <c r="P370" s="252"/>
      <c r="Q370" s="113"/>
      <c r="R370" s="113"/>
      <c r="S370" s="113"/>
      <c r="T370" s="52"/>
      <c r="U370" s="5"/>
      <c r="V370" s="231"/>
      <c r="W370" s="231"/>
      <c r="X370" s="231"/>
      <c r="Y370" s="113"/>
      <c r="Z370" s="357"/>
      <c r="AA370" s="118" t="s">
        <v>2877</v>
      </c>
      <c r="AB370" s="118"/>
      <c r="AC370" s="118"/>
      <c r="AD370" s="52"/>
      <c r="AE370" s="5"/>
      <c r="AF370" s="358"/>
      <c r="AG370" s="358"/>
      <c r="AH370" s="358"/>
      <c r="AI370" s="358"/>
      <c r="AJ370" s="358"/>
      <c r="AK370" s="113"/>
      <c r="AL370" s="113"/>
      <c r="AM370" s="113"/>
      <c r="AN370" s="113"/>
      <c r="AO370" s="113"/>
      <c r="AP370" s="52"/>
      <c r="AQ370" s="52"/>
      <c r="AR370" s="52"/>
      <c r="AS370" s="52"/>
      <c r="AT370" s="52"/>
      <c r="AU370" s="125"/>
      <c r="AV370" s="125"/>
      <c r="AW370" s="125"/>
      <c r="AX370" s="5"/>
      <c r="AY370" s="5"/>
      <c r="AZ370" s="113"/>
      <c r="BA370" s="113"/>
      <c r="BB370" s="113"/>
      <c r="BC370" s="52"/>
      <c r="BD370" s="52"/>
      <c r="BE370" s="118"/>
      <c r="BF370" s="118"/>
      <c r="BG370" s="118"/>
      <c r="BH370" s="52"/>
      <c r="BI370" s="283"/>
      <c r="BJ370" s="52"/>
      <c r="BK370" s="52"/>
      <c r="BL370" s="52"/>
      <c r="BM370" s="52"/>
      <c r="BN370" s="52"/>
      <c r="BO370" s="52"/>
      <c r="BP370" s="52"/>
      <c r="BQ370" s="52"/>
      <c r="BR370" s="52"/>
      <c r="BS370" s="52"/>
      <c r="BT370" s="52"/>
      <c r="BU370" s="52"/>
      <c r="BV370" s="52"/>
      <c r="BW370" s="52"/>
      <c r="BX370" s="52"/>
      <c r="BY370" s="52"/>
      <c r="BZ370" s="52"/>
      <c r="CA370" s="52"/>
      <c r="CB370" s="52"/>
      <c r="CC370" s="52"/>
      <c r="CD370" s="118">
        <v>37816</v>
      </c>
      <c r="CE370" s="118">
        <f t="shared" ref="CE370:CE372" si="40">+CD370*0.19</f>
        <v>7185.04</v>
      </c>
      <c r="CF370" s="118">
        <f t="shared" ref="CF370:CF372" si="41">+CD370+CE370</f>
        <v>45001.04</v>
      </c>
      <c r="CG370" s="52" t="s">
        <v>3984</v>
      </c>
      <c r="CH370" s="52"/>
      <c r="CI370" s="52"/>
      <c r="CJ370" s="52"/>
      <c r="CK370" s="52"/>
      <c r="CL370" s="52"/>
      <c r="CM370" s="52"/>
      <c r="CN370" s="118"/>
      <c r="CO370" s="118"/>
      <c r="CP370" s="118"/>
      <c r="CQ370" s="52"/>
      <c r="CR370" s="52"/>
      <c r="CS370" s="52"/>
      <c r="CT370" s="52"/>
      <c r="CU370" s="52"/>
      <c r="CV370" s="52"/>
      <c r="CW370" s="52"/>
      <c r="CX370" s="52"/>
      <c r="CY370" s="52"/>
      <c r="CZ370" s="52"/>
      <c r="DA370" s="52"/>
      <c r="DB370" s="52"/>
    </row>
    <row r="371" spans="1:106" ht="40.5" x14ac:dyDescent="0.25">
      <c r="A371" s="411">
        <v>369</v>
      </c>
      <c r="B371" s="412" t="s">
        <v>3985</v>
      </c>
      <c r="C371" s="564" t="s">
        <v>3986</v>
      </c>
      <c r="D371" s="564" t="s">
        <v>445</v>
      </c>
      <c r="E371" s="80">
        <v>1</v>
      </c>
      <c r="F371" s="353">
        <v>99823.574399999998</v>
      </c>
      <c r="G371" s="293"/>
      <c r="H371" s="293"/>
      <c r="I371" s="293"/>
      <c r="J371" s="52"/>
      <c r="K371" s="52"/>
      <c r="L371" s="359"/>
      <c r="M371" s="360"/>
      <c r="N371" s="361"/>
      <c r="O371" s="33"/>
      <c r="P371" s="252"/>
      <c r="Q371" s="113"/>
      <c r="R371" s="113"/>
      <c r="S371" s="113"/>
      <c r="T371" s="52"/>
      <c r="U371" s="5"/>
      <c r="V371" s="231"/>
      <c r="W371" s="231"/>
      <c r="X371" s="231"/>
      <c r="Y371" s="113"/>
      <c r="Z371" s="357"/>
      <c r="AA371" s="118" t="s">
        <v>2877</v>
      </c>
      <c r="AB371" s="118"/>
      <c r="AC371" s="118"/>
      <c r="AD371" s="52"/>
      <c r="AE371" s="5"/>
      <c r="AF371" s="358"/>
      <c r="AG371" s="358"/>
      <c r="AH371" s="358"/>
      <c r="AI371" s="358"/>
      <c r="AJ371" s="358"/>
      <c r="AK371" s="113"/>
      <c r="AL371" s="113"/>
      <c r="AM371" s="113"/>
      <c r="AN371" s="113"/>
      <c r="AO371" s="113"/>
      <c r="AP371" s="52"/>
      <c r="AQ371" s="52"/>
      <c r="AR371" s="52"/>
      <c r="AS371" s="52"/>
      <c r="AT371" s="52"/>
      <c r="AU371" s="125"/>
      <c r="AV371" s="125"/>
      <c r="AW371" s="125"/>
      <c r="AX371" s="5"/>
      <c r="AY371" s="5"/>
      <c r="AZ371" s="113">
        <v>74000</v>
      </c>
      <c r="BA371" s="113">
        <v>14060</v>
      </c>
      <c r="BB371" s="113">
        <v>88060</v>
      </c>
      <c r="BC371" s="52" t="s">
        <v>3987</v>
      </c>
      <c r="BD371" s="52" t="s">
        <v>3988</v>
      </c>
      <c r="BE371" s="118"/>
      <c r="BF371" s="118"/>
      <c r="BG371" s="118"/>
      <c r="BH371" s="52"/>
      <c r="BI371" s="283"/>
      <c r="BJ371" s="52"/>
      <c r="BK371" s="52"/>
      <c r="BL371" s="52"/>
      <c r="BM371" s="52"/>
      <c r="BN371" s="52"/>
      <c r="BO371" s="52"/>
      <c r="BP371" s="52"/>
      <c r="BQ371" s="52"/>
      <c r="BR371" s="52"/>
      <c r="BS371" s="52"/>
      <c r="BT371" s="52"/>
      <c r="BU371" s="52"/>
      <c r="BV371" s="52"/>
      <c r="BW371" s="52"/>
      <c r="BX371" s="52"/>
      <c r="BY371" s="52"/>
      <c r="BZ371" s="52"/>
      <c r="CA371" s="52"/>
      <c r="CB371" s="52"/>
      <c r="CC371" s="52"/>
      <c r="CD371" s="118">
        <v>37816</v>
      </c>
      <c r="CE371" s="118">
        <f t="shared" si="40"/>
        <v>7185.04</v>
      </c>
      <c r="CF371" s="118">
        <f t="shared" si="41"/>
        <v>45001.04</v>
      </c>
      <c r="CG371" s="52" t="s">
        <v>3984</v>
      </c>
      <c r="CH371" s="52"/>
      <c r="CI371" s="52"/>
      <c r="CJ371" s="52"/>
      <c r="CK371" s="52"/>
      <c r="CL371" s="52"/>
      <c r="CM371" s="52"/>
      <c r="CN371" s="118"/>
      <c r="CO371" s="118"/>
      <c r="CP371" s="118"/>
      <c r="CQ371" s="52"/>
      <c r="CR371" s="52"/>
      <c r="CS371" s="52"/>
      <c r="CT371" s="52"/>
      <c r="CU371" s="52"/>
      <c r="CV371" s="52"/>
      <c r="CW371" s="52"/>
      <c r="CX371" s="52"/>
      <c r="CY371" s="52"/>
      <c r="CZ371" s="52"/>
      <c r="DA371" s="52"/>
      <c r="DB371" s="52"/>
    </row>
    <row r="372" spans="1:106" ht="40.5" x14ac:dyDescent="0.25">
      <c r="A372" s="411">
        <v>370</v>
      </c>
      <c r="B372" s="412" t="s">
        <v>3989</v>
      </c>
      <c r="C372" s="564" t="s">
        <v>3986</v>
      </c>
      <c r="D372" s="564" t="s">
        <v>445</v>
      </c>
      <c r="E372" s="80">
        <v>1</v>
      </c>
      <c r="F372" s="353">
        <v>97819.963000000003</v>
      </c>
      <c r="G372" s="293"/>
      <c r="H372" s="293"/>
      <c r="I372" s="293"/>
      <c r="J372" s="52"/>
      <c r="K372" s="52"/>
      <c r="L372" s="359"/>
      <c r="M372" s="360"/>
      <c r="N372" s="361"/>
      <c r="O372" s="33"/>
      <c r="P372" s="252"/>
      <c r="Q372" s="113"/>
      <c r="R372" s="113"/>
      <c r="S372" s="113"/>
      <c r="T372" s="52"/>
      <c r="U372" s="5"/>
      <c r="V372" s="231"/>
      <c r="W372" s="231"/>
      <c r="X372" s="231"/>
      <c r="Y372" s="113"/>
      <c r="Z372" s="357"/>
      <c r="AA372" s="118" t="s">
        <v>2877</v>
      </c>
      <c r="AB372" s="118"/>
      <c r="AC372" s="118"/>
      <c r="AD372" s="52"/>
      <c r="AE372" s="5"/>
      <c r="AF372" s="358"/>
      <c r="AG372" s="358"/>
      <c r="AH372" s="358"/>
      <c r="AI372" s="358"/>
      <c r="AJ372" s="358"/>
      <c r="AK372" s="113"/>
      <c r="AL372" s="113"/>
      <c r="AM372" s="113"/>
      <c r="AN372" s="113"/>
      <c r="AO372" s="113"/>
      <c r="AP372" s="52"/>
      <c r="AQ372" s="52"/>
      <c r="AR372" s="52"/>
      <c r="AS372" s="52"/>
      <c r="AT372" s="52"/>
      <c r="AU372" s="125"/>
      <c r="AV372" s="125"/>
      <c r="AW372" s="125"/>
      <c r="AX372" s="5"/>
      <c r="AY372" s="5"/>
      <c r="AZ372" s="113">
        <v>74000</v>
      </c>
      <c r="BA372" s="113">
        <v>14060</v>
      </c>
      <c r="BB372" s="113">
        <v>88060</v>
      </c>
      <c r="BC372" s="52" t="s">
        <v>3987</v>
      </c>
      <c r="BD372" s="52" t="s">
        <v>3990</v>
      </c>
      <c r="BE372" s="118"/>
      <c r="BF372" s="118"/>
      <c r="BG372" s="118"/>
      <c r="BH372" s="52"/>
      <c r="BI372" s="283"/>
      <c r="BJ372" s="52"/>
      <c r="BK372" s="52"/>
      <c r="BL372" s="52"/>
      <c r="BM372" s="52"/>
      <c r="BN372" s="52"/>
      <c r="BO372" s="52"/>
      <c r="BP372" s="52"/>
      <c r="BQ372" s="52"/>
      <c r="BR372" s="52"/>
      <c r="BS372" s="52"/>
      <c r="BT372" s="52"/>
      <c r="BU372" s="52"/>
      <c r="BV372" s="52"/>
      <c r="BW372" s="52"/>
      <c r="BX372" s="52"/>
      <c r="BY372" s="52"/>
      <c r="BZ372" s="52"/>
      <c r="CA372" s="52"/>
      <c r="CB372" s="52"/>
      <c r="CC372" s="52"/>
      <c r="CD372" s="118">
        <v>37816</v>
      </c>
      <c r="CE372" s="118">
        <f t="shared" si="40"/>
        <v>7185.04</v>
      </c>
      <c r="CF372" s="118">
        <f t="shared" si="41"/>
        <v>45001.04</v>
      </c>
      <c r="CG372" s="52" t="s">
        <v>3984</v>
      </c>
      <c r="CH372" s="52"/>
      <c r="CI372" s="52"/>
      <c r="CJ372" s="52"/>
      <c r="CK372" s="52"/>
      <c r="CL372" s="52"/>
      <c r="CM372" s="52"/>
      <c r="CN372" s="118"/>
      <c r="CO372" s="118"/>
      <c r="CP372" s="118"/>
      <c r="CQ372" s="52"/>
      <c r="CR372" s="52"/>
      <c r="CS372" s="52"/>
      <c r="CT372" s="52"/>
      <c r="CU372" s="52"/>
      <c r="CV372" s="52"/>
      <c r="CW372" s="52"/>
      <c r="CX372" s="52"/>
      <c r="CY372" s="52"/>
      <c r="CZ372" s="52"/>
      <c r="DA372" s="52"/>
      <c r="DB372" s="52"/>
    </row>
    <row r="373" spans="1:106" ht="13.5" x14ac:dyDescent="0.25">
      <c r="A373" s="411">
        <v>371</v>
      </c>
      <c r="B373" s="412" t="s">
        <v>3991</v>
      </c>
      <c r="C373" s="426" t="s">
        <v>3992</v>
      </c>
      <c r="D373" s="426" t="s">
        <v>445</v>
      </c>
      <c r="E373" s="80">
        <v>1</v>
      </c>
      <c r="F373" s="355">
        <v>385552.07939999999</v>
      </c>
      <c r="G373" s="293"/>
      <c r="H373" s="293"/>
      <c r="I373" s="293"/>
      <c r="J373" s="52"/>
      <c r="K373" s="52"/>
      <c r="L373" s="359"/>
      <c r="M373" s="360"/>
      <c r="N373" s="361"/>
      <c r="O373" s="33"/>
      <c r="P373" s="252"/>
      <c r="Q373" s="113"/>
      <c r="R373" s="113"/>
      <c r="S373" s="113"/>
      <c r="T373" s="52"/>
      <c r="U373" s="5"/>
      <c r="V373" s="231"/>
      <c r="W373" s="231"/>
      <c r="X373" s="231"/>
      <c r="Y373" s="113"/>
      <c r="Z373" s="357"/>
      <c r="AA373" s="118" t="s">
        <v>2877</v>
      </c>
      <c r="AB373" s="118"/>
      <c r="AC373" s="118"/>
      <c r="AD373" s="52"/>
      <c r="AE373" s="5"/>
      <c r="AF373" s="358"/>
      <c r="AG373" s="358"/>
      <c r="AH373" s="358"/>
      <c r="AI373" s="358"/>
      <c r="AJ373" s="358"/>
      <c r="AK373" s="113"/>
      <c r="AL373" s="113"/>
      <c r="AM373" s="113"/>
      <c r="AN373" s="113"/>
      <c r="AO373" s="113"/>
      <c r="AP373" s="52"/>
      <c r="AQ373" s="52"/>
      <c r="AR373" s="52"/>
      <c r="AS373" s="52"/>
      <c r="AT373" s="52"/>
      <c r="AU373" s="125"/>
      <c r="AV373" s="125"/>
      <c r="AW373" s="125"/>
      <c r="AX373" s="5"/>
      <c r="AY373" s="5"/>
      <c r="AZ373" s="113"/>
      <c r="BA373" s="113"/>
      <c r="BB373" s="113"/>
      <c r="BC373" s="52"/>
      <c r="BD373" s="52"/>
      <c r="BE373" s="118"/>
      <c r="BF373" s="118"/>
      <c r="BG373" s="118"/>
      <c r="BH373" s="52"/>
      <c r="BI373" s="283"/>
      <c r="BJ373" s="52"/>
      <c r="BK373" s="52"/>
      <c r="BL373" s="52"/>
      <c r="BM373" s="52"/>
      <c r="BN373" s="52"/>
      <c r="BO373" s="52"/>
      <c r="BP373" s="52"/>
      <c r="BQ373" s="52"/>
      <c r="BR373" s="52"/>
      <c r="BS373" s="52"/>
      <c r="BT373" s="52"/>
      <c r="BU373" s="52"/>
      <c r="BV373" s="52"/>
      <c r="BW373" s="52"/>
      <c r="BX373" s="52"/>
      <c r="BY373" s="52"/>
      <c r="BZ373" s="52"/>
      <c r="CA373" s="52"/>
      <c r="CB373" s="52"/>
      <c r="CC373" s="52"/>
      <c r="CD373" s="118"/>
      <c r="CE373" s="52"/>
      <c r="CF373" s="52"/>
      <c r="CG373" s="52"/>
      <c r="CH373" s="52"/>
      <c r="CI373" s="52"/>
      <c r="CJ373" s="52"/>
      <c r="CK373" s="52"/>
      <c r="CL373" s="52"/>
      <c r="CM373" s="52"/>
      <c r="CN373" s="118"/>
      <c r="CO373" s="118"/>
      <c r="CP373" s="118"/>
      <c r="CQ373" s="52"/>
      <c r="CR373" s="52"/>
      <c r="CS373" s="52"/>
      <c r="CT373" s="52"/>
      <c r="CU373" s="52"/>
      <c r="CV373" s="52"/>
      <c r="CW373" s="52"/>
      <c r="CX373" s="52"/>
      <c r="CY373" s="52"/>
      <c r="CZ373" s="52"/>
      <c r="DA373" s="52"/>
      <c r="DB373" s="52"/>
    </row>
    <row r="374" spans="1:106" ht="54" x14ac:dyDescent="0.25">
      <c r="A374" s="411">
        <v>372</v>
      </c>
      <c r="B374" s="412" t="s">
        <v>3993</v>
      </c>
      <c r="C374" s="413" t="s">
        <v>622</v>
      </c>
      <c r="D374" s="426" t="s">
        <v>3994</v>
      </c>
      <c r="E374" s="80">
        <v>1</v>
      </c>
      <c r="F374" s="353">
        <v>27022.877</v>
      </c>
      <c r="G374" s="293"/>
      <c r="H374" s="293"/>
      <c r="I374" s="293"/>
      <c r="J374" s="52"/>
      <c r="K374" s="52"/>
      <c r="L374" s="359"/>
      <c r="M374" s="360"/>
      <c r="N374" s="361"/>
      <c r="O374" s="33"/>
      <c r="P374" s="252"/>
      <c r="Q374" s="113"/>
      <c r="R374" s="113"/>
      <c r="S374" s="113"/>
      <c r="T374" s="52"/>
      <c r="U374" s="5"/>
      <c r="V374" s="231"/>
      <c r="W374" s="231"/>
      <c r="X374" s="231"/>
      <c r="Y374" s="113"/>
      <c r="Z374" s="357"/>
      <c r="AA374" s="118" t="s">
        <v>2877</v>
      </c>
      <c r="AB374" s="118"/>
      <c r="AC374" s="118"/>
      <c r="AD374" s="52"/>
      <c r="AE374" s="5"/>
      <c r="AF374" s="358"/>
      <c r="AG374" s="358"/>
      <c r="AH374" s="358"/>
      <c r="AI374" s="358"/>
      <c r="AJ374" s="358"/>
      <c r="AK374" s="113"/>
      <c r="AL374" s="113"/>
      <c r="AM374" s="113"/>
      <c r="AN374" s="113"/>
      <c r="AO374" s="113"/>
      <c r="AP374" s="52"/>
      <c r="AQ374" s="52"/>
      <c r="AR374" s="52"/>
      <c r="AS374" s="52"/>
      <c r="AT374" s="52"/>
      <c r="AU374" s="125"/>
      <c r="AV374" s="125"/>
      <c r="AW374" s="125"/>
      <c r="AX374" s="5"/>
      <c r="AY374" s="5"/>
      <c r="AZ374" s="113">
        <v>30000</v>
      </c>
      <c r="BA374" s="113">
        <v>5700</v>
      </c>
      <c r="BB374" s="113">
        <v>35700</v>
      </c>
      <c r="BC374" s="52" t="s">
        <v>2970</v>
      </c>
      <c r="BD374" s="52"/>
      <c r="BE374" s="118"/>
      <c r="BF374" s="118"/>
      <c r="BG374" s="118"/>
      <c r="BH374" s="52"/>
      <c r="BI374" s="283"/>
      <c r="BJ374" s="52"/>
      <c r="BK374" s="52"/>
      <c r="BL374" s="52"/>
      <c r="BM374" s="52"/>
      <c r="BN374" s="52"/>
      <c r="BO374" s="52"/>
      <c r="BP374" s="52"/>
      <c r="BQ374" s="52"/>
      <c r="BR374" s="52"/>
      <c r="BS374" s="52"/>
      <c r="BT374" s="52"/>
      <c r="BU374" s="52"/>
      <c r="BV374" s="52"/>
      <c r="BW374" s="52"/>
      <c r="BX374" s="52"/>
      <c r="BY374" s="52"/>
      <c r="BZ374" s="52"/>
      <c r="CA374" s="52"/>
      <c r="CB374" s="52"/>
      <c r="CC374" s="52"/>
      <c r="CD374" s="118"/>
      <c r="CE374" s="52"/>
      <c r="CF374" s="52"/>
      <c r="CG374" s="52"/>
      <c r="CH374" s="52"/>
      <c r="CI374" s="52"/>
      <c r="CJ374" s="52"/>
      <c r="CK374" s="52"/>
      <c r="CL374" s="52"/>
      <c r="CM374" s="52"/>
      <c r="CN374" s="118"/>
      <c r="CO374" s="118"/>
      <c r="CP374" s="118"/>
      <c r="CQ374" s="52"/>
      <c r="CR374" s="52"/>
      <c r="CS374" s="52"/>
      <c r="CT374" s="52"/>
      <c r="CU374" s="52"/>
      <c r="CV374" s="52"/>
      <c r="CW374" s="52"/>
      <c r="CX374" s="52"/>
      <c r="CY374" s="52"/>
      <c r="CZ374" s="52"/>
      <c r="DA374" s="52"/>
      <c r="DB374" s="52"/>
    </row>
    <row r="375" spans="1:106" ht="27" x14ac:dyDescent="0.25">
      <c r="A375" s="411">
        <v>373</v>
      </c>
      <c r="B375" s="412" t="s">
        <v>3995</v>
      </c>
      <c r="C375" s="561" t="s">
        <v>3996</v>
      </c>
      <c r="D375" s="562" t="s">
        <v>3997</v>
      </c>
      <c r="E375" s="80">
        <v>1</v>
      </c>
      <c r="F375" s="353">
        <v>4342513.49</v>
      </c>
      <c r="G375" s="293"/>
      <c r="H375" s="293"/>
      <c r="I375" s="293"/>
      <c r="J375" s="52"/>
      <c r="K375" s="52"/>
      <c r="L375" s="359"/>
      <c r="M375" s="360"/>
      <c r="N375" s="361"/>
      <c r="O375" s="33"/>
      <c r="P375" s="252"/>
      <c r="Q375" s="113"/>
      <c r="R375" s="113"/>
      <c r="S375" s="113"/>
      <c r="T375" s="52"/>
      <c r="U375" s="5"/>
      <c r="V375" s="231"/>
      <c r="W375" s="231"/>
      <c r="X375" s="231"/>
      <c r="Y375" s="113"/>
      <c r="Z375" s="357"/>
      <c r="AA375" s="118" t="s">
        <v>2877</v>
      </c>
      <c r="AB375" s="118"/>
      <c r="AC375" s="118"/>
      <c r="AD375" s="52"/>
      <c r="AE375" s="5"/>
      <c r="AF375" s="358"/>
      <c r="AG375" s="358"/>
      <c r="AH375" s="358"/>
      <c r="AI375" s="358"/>
      <c r="AJ375" s="358"/>
      <c r="AK375" s="113"/>
      <c r="AL375" s="113"/>
      <c r="AM375" s="113"/>
      <c r="AN375" s="113"/>
      <c r="AO375" s="113"/>
      <c r="AP375" s="52"/>
      <c r="AQ375" s="52"/>
      <c r="AR375" s="52"/>
      <c r="AS375" s="52"/>
      <c r="AT375" s="52"/>
      <c r="AU375" s="125"/>
      <c r="AV375" s="125"/>
      <c r="AW375" s="125"/>
      <c r="AX375" s="5"/>
      <c r="AY375" s="5"/>
      <c r="AZ375" s="113"/>
      <c r="BA375" s="113"/>
      <c r="BB375" s="113"/>
      <c r="BC375" s="52"/>
      <c r="BD375" s="52"/>
      <c r="BE375" s="118"/>
      <c r="BF375" s="118"/>
      <c r="BG375" s="118"/>
      <c r="BH375" s="52"/>
      <c r="BI375" s="283"/>
      <c r="BJ375" s="52"/>
      <c r="BK375" s="52"/>
      <c r="BL375" s="52"/>
      <c r="BM375" s="52"/>
      <c r="BN375" s="52"/>
      <c r="BO375" s="52"/>
      <c r="BP375" s="52"/>
      <c r="BQ375" s="52"/>
      <c r="BR375" s="52"/>
      <c r="BS375" s="52"/>
      <c r="BT375" s="52"/>
      <c r="BU375" s="52"/>
      <c r="BV375" s="52"/>
      <c r="BW375" s="52"/>
      <c r="BX375" s="52"/>
      <c r="BY375" s="52"/>
      <c r="BZ375" s="52"/>
      <c r="CA375" s="52"/>
      <c r="CB375" s="52"/>
      <c r="CC375" s="52"/>
      <c r="CD375" s="118"/>
      <c r="CE375" s="52"/>
      <c r="CF375" s="52"/>
      <c r="CG375" s="52"/>
      <c r="CH375" s="52"/>
      <c r="CI375" s="52"/>
      <c r="CJ375" s="52"/>
      <c r="CK375" s="52"/>
      <c r="CL375" s="52"/>
      <c r="CM375" s="52"/>
      <c r="CN375" s="118"/>
      <c r="CO375" s="118"/>
      <c r="CP375" s="118"/>
      <c r="CQ375" s="52"/>
      <c r="CR375" s="52"/>
      <c r="CS375" s="52"/>
      <c r="CT375" s="52"/>
      <c r="CU375" s="52"/>
      <c r="CV375" s="52"/>
      <c r="CW375" s="52"/>
      <c r="CX375" s="52"/>
      <c r="CY375" s="52"/>
      <c r="CZ375" s="52"/>
      <c r="DA375" s="52"/>
      <c r="DB375" s="52"/>
    </row>
    <row r="376" spans="1:106" ht="40.5" x14ac:dyDescent="0.25">
      <c r="A376" s="411">
        <v>374</v>
      </c>
      <c r="B376" s="412" t="s">
        <v>3998</v>
      </c>
      <c r="C376" s="413" t="s">
        <v>3999</v>
      </c>
      <c r="D376" s="426" t="s">
        <v>4000</v>
      </c>
      <c r="E376" s="80">
        <v>1</v>
      </c>
      <c r="F376" s="353">
        <v>1484372.9180000001</v>
      </c>
      <c r="G376" s="293"/>
      <c r="H376" s="293"/>
      <c r="I376" s="293"/>
      <c r="J376" s="52"/>
      <c r="K376" s="52"/>
      <c r="L376" s="359"/>
      <c r="M376" s="360"/>
      <c r="N376" s="361"/>
      <c r="O376" s="33"/>
      <c r="P376" s="252"/>
      <c r="Q376" s="113"/>
      <c r="R376" s="113"/>
      <c r="S376" s="113"/>
      <c r="T376" s="52"/>
      <c r="U376" s="5"/>
      <c r="V376" s="231"/>
      <c r="W376" s="231"/>
      <c r="X376" s="231"/>
      <c r="Y376" s="113"/>
      <c r="Z376" s="357"/>
      <c r="AA376" s="118" t="s">
        <v>2877</v>
      </c>
      <c r="AB376" s="118"/>
      <c r="AC376" s="118"/>
      <c r="AD376" s="52"/>
      <c r="AE376" s="5"/>
      <c r="AF376" s="358"/>
      <c r="AG376" s="358"/>
      <c r="AH376" s="358"/>
      <c r="AI376" s="358"/>
      <c r="AJ376" s="358"/>
      <c r="AK376" s="113"/>
      <c r="AL376" s="113"/>
      <c r="AM376" s="113"/>
      <c r="AN376" s="113"/>
      <c r="AO376" s="113"/>
      <c r="AP376" s="52"/>
      <c r="AQ376" s="52"/>
      <c r="AR376" s="52"/>
      <c r="AS376" s="52"/>
      <c r="AT376" s="52"/>
      <c r="AU376" s="125"/>
      <c r="AV376" s="125"/>
      <c r="AW376" s="125"/>
      <c r="AX376" s="5"/>
      <c r="AY376" s="5"/>
      <c r="AZ376" s="113">
        <v>4163000</v>
      </c>
      <c r="BA376" s="113">
        <v>790970</v>
      </c>
      <c r="BB376" s="113">
        <v>4953970</v>
      </c>
      <c r="BC376" s="52" t="s">
        <v>3962</v>
      </c>
      <c r="BD376" s="52" t="s">
        <v>4001</v>
      </c>
      <c r="BE376" s="118"/>
      <c r="BF376" s="118"/>
      <c r="BG376" s="118"/>
      <c r="BH376" s="52"/>
      <c r="BI376" s="283"/>
      <c r="BJ376" s="52"/>
      <c r="BK376" s="52"/>
      <c r="BL376" s="52"/>
      <c r="BM376" s="52"/>
      <c r="BN376" s="52"/>
      <c r="BO376" s="52"/>
      <c r="BP376" s="52"/>
      <c r="BQ376" s="52"/>
      <c r="BR376" s="52"/>
      <c r="BS376" s="52"/>
      <c r="BT376" s="52"/>
      <c r="BU376" s="52"/>
      <c r="BV376" s="52"/>
      <c r="BW376" s="52"/>
      <c r="BX376" s="52"/>
      <c r="BY376" s="52"/>
      <c r="BZ376" s="52"/>
      <c r="CA376" s="52"/>
      <c r="CB376" s="52"/>
      <c r="CC376" s="52"/>
      <c r="CD376" s="118"/>
      <c r="CE376" s="52"/>
      <c r="CF376" s="52"/>
      <c r="CG376" s="52"/>
      <c r="CH376" s="52"/>
      <c r="CI376" s="52"/>
      <c r="CJ376" s="52"/>
      <c r="CK376" s="52"/>
      <c r="CL376" s="52"/>
      <c r="CM376" s="52"/>
      <c r="CN376" s="118"/>
      <c r="CO376" s="118"/>
      <c r="CP376" s="118"/>
      <c r="CQ376" s="52"/>
      <c r="CR376" s="52"/>
      <c r="CS376" s="52"/>
      <c r="CT376" s="52"/>
      <c r="CU376" s="52"/>
      <c r="CV376" s="52"/>
      <c r="CW376" s="52"/>
      <c r="CX376" s="52"/>
      <c r="CY376" s="52"/>
      <c r="CZ376" s="52"/>
      <c r="DA376" s="52"/>
      <c r="DB376" s="52"/>
    </row>
    <row r="377" spans="1:106" ht="27" x14ac:dyDescent="0.25">
      <c r="A377" s="411">
        <v>375</v>
      </c>
      <c r="B377" s="412" t="s">
        <v>4002</v>
      </c>
      <c r="C377" s="565" t="s">
        <v>4003</v>
      </c>
      <c r="D377" s="426" t="s">
        <v>4004</v>
      </c>
      <c r="E377" s="80">
        <v>1</v>
      </c>
      <c r="F377" s="353">
        <v>189788.57800000001</v>
      </c>
      <c r="G377" s="293"/>
      <c r="H377" s="293"/>
      <c r="I377" s="293"/>
      <c r="J377" s="52"/>
      <c r="K377" s="52"/>
      <c r="L377" s="359"/>
      <c r="M377" s="360"/>
      <c r="N377" s="361"/>
      <c r="O377" s="33"/>
      <c r="P377" s="252"/>
      <c r="Q377" s="113"/>
      <c r="R377" s="113"/>
      <c r="S377" s="113"/>
      <c r="T377" s="52"/>
      <c r="U377" s="5"/>
      <c r="V377" s="231"/>
      <c r="W377" s="231"/>
      <c r="X377" s="231"/>
      <c r="Y377" s="113"/>
      <c r="Z377" s="357"/>
      <c r="AA377" s="118" t="s">
        <v>2877</v>
      </c>
      <c r="AB377" s="118"/>
      <c r="AC377" s="118"/>
      <c r="AD377" s="52"/>
      <c r="AE377" s="5"/>
      <c r="AF377" s="358"/>
      <c r="AG377" s="358"/>
      <c r="AH377" s="358"/>
      <c r="AI377" s="358"/>
      <c r="AJ377" s="358"/>
      <c r="AK377" s="113"/>
      <c r="AL377" s="113"/>
      <c r="AM377" s="113"/>
      <c r="AN377" s="113"/>
      <c r="AO377" s="113"/>
      <c r="AP377" s="52"/>
      <c r="AQ377" s="52"/>
      <c r="AR377" s="52"/>
      <c r="AS377" s="52"/>
      <c r="AT377" s="52"/>
      <c r="AU377" s="125"/>
      <c r="AV377" s="125"/>
      <c r="AW377" s="125"/>
      <c r="AX377" s="5"/>
      <c r="AY377" s="5"/>
      <c r="AZ377" s="113">
        <v>114000</v>
      </c>
      <c r="BA377" s="113">
        <v>21660</v>
      </c>
      <c r="BB377" s="113">
        <v>135660</v>
      </c>
      <c r="BC377" s="52" t="s">
        <v>4005</v>
      </c>
      <c r="BD377" s="52" t="s">
        <v>4006</v>
      </c>
      <c r="BE377" s="118"/>
      <c r="BF377" s="118"/>
      <c r="BG377" s="118"/>
      <c r="BH377" s="52"/>
      <c r="BI377" s="283"/>
      <c r="BJ377" s="52"/>
      <c r="BK377" s="52"/>
      <c r="BL377" s="52"/>
      <c r="BM377" s="52"/>
      <c r="BN377" s="52"/>
      <c r="BO377" s="52"/>
      <c r="BP377" s="52"/>
      <c r="BQ377" s="52"/>
      <c r="BR377" s="52"/>
      <c r="BS377" s="52"/>
      <c r="BT377" s="52"/>
      <c r="BU377" s="52"/>
      <c r="BV377" s="52"/>
      <c r="BW377" s="52"/>
      <c r="BX377" s="52"/>
      <c r="BY377" s="52"/>
      <c r="BZ377" s="52"/>
      <c r="CA377" s="52"/>
      <c r="CB377" s="52"/>
      <c r="CC377" s="52"/>
      <c r="CD377" s="118"/>
      <c r="CE377" s="52"/>
      <c r="CF377" s="52"/>
      <c r="CG377" s="52"/>
      <c r="CH377" s="52"/>
      <c r="CI377" s="52"/>
      <c r="CJ377" s="52"/>
      <c r="CK377" s="52"/>
      <c r="CL377" s="52"/>
      <c r="CM377" s="52"/>
      <c r="CN377" s="118"/>
      <c r="CO377" s="118"/>
      <c r="CP377" s="118"/>
      <c r="CQ377" s="52"/>
      <c r="CR377" s="52"/>
      <c r="CS377" s="52"/>
      <c r="CT377" s="52"/>
      <c r="CU377" s="52"/>
      <c r="CV377" s="52"/>
      <c r="CW377" s="52"/>
      <c r="CX377" s="52"/>
      <c r="CY377" s="52"/>
      <c r="CZ377" s="52"/>
      <c r="DA377" s="52"/>
      <c r="DB377" s="52"/>
    </row>
    <row r="378" spans="1:106" ht="13.5" x14ac:dyDescent="0.25">
      <c r="A378" s="411">
        <v>376</v>
      </c>
      <c r="B378" s="412" t="s">
        <v>4007</v>
      </c>
      <c r="C378" s="413" t="s">
        <v>622</v>
      </c>
      <c r="D378" s="426" t="s">
        <v>4008</v>
      </c>
      <c r="E378" s="80">
        <v>1</v>
      </c>
      <c r="F378" s="353">
        <v>37706.340000000004</v>
      </c>
      <c r="G378" s="293"/>
      <c r="H378" s="293"/>
      <c r="I378" s="293"/>
      <c r="J378" s="52"/>
      <c r="K378" s="52"/>
      <c r="L378" s="359"/>
      <c r="M378" s="360"/>
      <c r="N378" s="361"/>
      <c r="O378" s="33"/>
      <c r="P378" s="252"/>
      <c r="Q378" s="113"/>
      <c r="R378" s="113"/>
      <c r="S378" s="113"/>
      <c r="T378" s="52"/>
      <c r="U378" s="5"/>
      <c r="V378" s="231"/>
      <c r="W378" s="231"/>
      <c r="X378" s="231"/>
      <c r="Y378" s="113"/>
      <c r="Z378" s="357"/>
      <c r="AA378" s="118" t="s">
        <v>2877</v>
      </c>
      <c r="AB378" s="118"/>
      <c r="AC378" s="118"/>
      <c r="AD378" s="52"/>
      <c r="AE378" s="5"/>
      <c r="AF378" s="358"/>
      <c r="AG378" s="358"/>
      <c r="AH378" s="358"/>
      <c r="AI378" s="358"/>
      <c r="AJ378" s="358"/>
      <c r="AK378" s="113"/>
      <c r="AL378" s="113"/>
      <c r="AM378" s="113"/>
      <c r="AN378" s="113"/>
      <c r="AO378" s="113"/>
      <c r="AP378" s="52"/>
      <c r="AQ378" s="52"/>
      <c r="AR378" s="52"/>
      <c r="AS378" s="52"/>
      <c r="AT378" s="52"/>
      <c r="AU378" s="125"/>
      <c r="AV378" s="125"/>
      <c r="AW378" s="125"/>
      <c r="AX378" s="5"/>
      <c r="AY378" s="5"/>
      <c r="AZ378" s="113">
        <v>26000</v>
      </c>
      <c r="BA378" s="113">
        <v>4940</v>
      </c>
      <c r="BB378" s="113">
        <v>30940</v>
      </c>
      <c r="BC378" s="52" t="s">
        <v>2970</v>
      </c>
      <c r="BD378" s="52">
        <v>3259888</v>
      </c>
      <c r="BE378" s="118"/>
      <c r="BF378" s="118"/>
      <c r="BG378" s="118"/>
      <c r="BH378" s="52"/>
      <c r="BI378" s="283"/>
      <c r="BJ378" s="52"/>
      <c r="BK378" s="52"/>
      <c r="BL378" s="52"/>
      <c r="BM378" s="52"/>
      <c r="BN378" s="52"/>
      <c r="BO378" s="52"/>
      <c r="BP378" s="52"/>
      <c r="BQ378" s="52"/>
      <c r="BR378" s="52"/>
      <c r="BS378" s="52"/>
      <c r="BT378" s="52"/>
      <c r="BU378" s="52"/>
      <c r="BV378" s="52"/>
      <c r="BW378" s="52"/>
      <c r="BX378" s="52"/>
      <c r="BY378" s="52"/>
      <c r="BZ378" s="52"/>
      <c r="CA378" s="52"/>
      <c r="CB378" s="52"/>
      <c r="CC378" s="52"/>
      <c r="CD378" s="118"/>
      <c r="CE378" s="52"/>
      <c r="CF378" s="52"/>
      <c r="CG378" s="52"/>
      <c r="CH378" s="52"/>
      <c r="CI378" s="52"/>
      <c r="CJ378" s="52"/>
      <c r="CK378" s="52"/>
      <c r="CL378" s="52"/>
      <c r="CM378" s="52"/>
      <c r="CN378" s="118"/>
      <c r="CO378" s="118"/>
      <c r="CP378" s="118"/>
      <c r="CQ378" s="52"/>
      <c r="CR378" s="52"/>
      <c r="CS378" s="52"/>
      <c r="CT378" s="52"/>
      <c r="CU378" s="52"/>
      <c r="CV378" s="52"/>
      <c r="CW378" s="52"/>
      <c r="CX378" s="52"/>
      <c r="CY378" s="52"/>
      <c r="CZ378" s="52"/>
      <c r="DA378" s="52"/>
      <c r="DB378" s="52"/>
    </row>
    <row r="379" spans="1:106" ht="13.5" x14ac:dyDescent="0.25">
      <c r="A379" s="411">
        <v>377</v>
      </c>
      <c r="B379" s="412" t="s">
        <v>4009</v>
      </c>
      <c r="C379" s="413" t="s">
        <v>622</v>
      </c>
      <c r="D379" s="426" t="s">
        <v>4010</v>
      </c>
      <c r="E379" s="80">
        <v>1</v>
      </c>
      <c r="F379" s="353">
        <v>226238.04</v>
      </c>
      <c r="G379" s="293"/>
      <c r="H379" s="293"/>
      <c r="I379" s="293"/>
      <c r="J379" s="52"/>
      <c r="K379" s="52"/>
      <c r="L379" s="359"/>
      <c r="M379" s="360"/>
      <c r="N379" s="361"/>
      <c r="O379" s="33"/>
      <c r="P379" s="252"/>
      <c r="Q379" s="113"/>
      <c r="R379" s="113"/>
      <c r="S379" s="113"/>
      <c r="T379" s="52"/>
      <c r="U379" s="5"/>
      <c r="V379" s="231"/>
      <c r="W379" s="231"/>
      <c r="X379" s="231"/>
      <c r="Y379" s="113"/>
      <c r="Z379" s="357"/>
      <c r="AA379" s="118" t="s">
        <v>2877</v>
      </c>
      <c r="AB379" s="118"/>
      <c r="AC379" s="118"/>
      <c r="AD379" s="52"/>
      <c r="AE379" s="5"/>
      <c r="AF379" s="358"/>
      <c r="AG379" s="358"/>
      <c r="AH379" s="358"/>
      <c r="AI379" s="358"/>
      <c r="AJ379" s="358"/>
      <c r="AK379" s="113"/>
      <c r="AL379" s="113"/>
      <c r="AM379" s="113"/>
      <c r="AN379" s="113"/>
      <c r="AO379" s="113"/>
      <c r="AP379" s="52"/>
      <c r="AQ379" s="52"/>
      <c r="AR379" s="52"/>
      <c r="AS379" s="52"/>
      <c r="AT379" s="52"/>
      <c r="AU379" s="125"/>
      <c r="AV379" s="125"/>
      <c r="AW379" s="125"/>
      <c r="AX379" s="5"/>
      <c r="AY379" s="5"/>
      <c r="AZ379" s="113">
        <v>140000</v>
      </c>
      <c r="BA379" s="113">
        <v>26600</v>
      </c>
      <c r="BB379" s="113">
        <v>166600</v>
      </c>
      <c r="BC379" s="52" t="s">
        <v>4011</v>
      </c>
      <c r="BD379" s="52" t="s">
        <v>4012</v>
      </c>
      <c r="BE379" s="118"/>
      <c r="BF379" s="118"/>
      <c r="BG379" s="118"/>
      <c r="BH379" s="52"/>
      <c r="BI379" s="283"/>
      <c r="BJ379" s="52"/>
      <c r="BK379" s="52"/>
      <c r="BL379" s="52"/>
      <c r="BM379" s="52"/>
      <c r="BN379" s="52"/>
      <c r="BO379" s="52"/>
      <c r="BP379" s="52"/>
      <c r="BQ379" s="52"/>
      <c r="BR379" s="52"/>
      <c r="BS379" s="52"/>
      <c r="BT379" s="52"/>
      <c r="BU379" s="52"/>
      <c r="BV379" s="52"/>
      <c r="BW379" s="52"/>
      <c r="BX379" s="52"/>
      <c r="BY379" s="52"/>
      <c r="BZ379" s="52"/>
      <c r="CA379" s="52"/>
      <c r="CB379" s="52"/>
      <c r="CC379" s="52"/>
      <c r="CD379" s="118"/>
      <c r="CE379" s="52"/>
      <c r="CF379" s="52"/>
      <c r="CG379" s="52"/>
      <c r="CH379" s="52"/>
      <c r="CI379" s="52"/>
      <c r="CJ379" s="52"/>
      <c r="CK379" s="52"/>
      <c r="CL379" s="52"/>
      <c r="CM379" s="52"/>
      <c r="CN379" s="118"/>
      <c r="CO379" s="118"/>
      <c r="CP379" s="118"/>
      <c r="CQ379" s="52"/>
      <c r="CR379" s="52"/>
      <c r="CS379" s="52"/>
      <c r="CT379" s="52"/>
      <c r="CU379" s="52"/>
      <c r="CV379" s="52"/>
      <c r="CW379" s="52"/>
      <c r="CX379" s="52"/>
      <c r="CY379" s="52"/>
      <c r="CZ379" s="52"/>
      <c r="DA379" s="52"/>
      <c r="DB379" s="52"/>
    </row>
    <row r="380" spans="1:106" ht="27" x14ac:dyDescent="0.25">
      <c r="A380" s="411">
        <v>378</v>
      </c>
      <c r="B380" s="412" t="s">
        <v>4013</v>
      </c>
      <c r="C380" s="413" t="s">
        <v>4003</v>
      </c>
      <c r="D380" s="426" t="s">
        <v>4014</v>
      </c>
      <c r="E380" s="80">
        <v>1</v>
      </c>
      <c r="F380" s="353">
        <v>173449.16400000002</v>
      </c>
      <c r="G380" s="293"/>
      <c r="H380" s="293"/>
      <c r="I380" s="293"/>
      <c r="J380" s="52"/>
      <c r="K380" s="52"/>
      <c r="L380" s="359"/>
      <c r="M380" s="360"/>
      <c r="N380" s="361"/>
      <c r="O380" s="33"/>
      <c r="P380" s="252"/>
      <c r="Q380" s="113"/>
      <c r="R380" s="113"/>
      <c r="S380" s="113"/>
      <c r="T380" s="52"/>
      <c r="U380" s="5"/>
      <c r="V380" s="231"/>
      <c r="W380" s="231"/>
      <c r="X380" s="231"/>
      <c r="Y380" s="113"/>
      <c r="Z380" s="357"/>
      <c r="AA380" s="118" t="s">
        <v>2877</v>
      </c>
      <c r="AB380" s="118"/>
      <c r="AC380" s="118"/>
      <c r="AD380" s="52"/>
      <c r="AE380" s="5"/>
      <c r="AF380" s="358"/>
      <c r="AG380" s="358"/>
      <c r="AH380" s="358"/>
      <c r="AI380" s="358"/>
      <c r="AJ380" s="358"/>
      <c r="AK380" s="113"/>
      <c r="AL380" s="113"/>
      <c r="AM380" s="113"/>
      <c r="AN380" s="113"/>
      <c r="AO380" s="113"/>
      <c r="AP380" s="52"/>
      <c r="AQ380" s="52"/>
      <c r="AR380" s="52"/>
      <c r="AS380" s="52"/>
      <c r="AT380" s="52"/>
      <c r="AU380" s="125"/>
      <c r="AV380" s="125"/>
      <c r="AW380" s="125"/>
      <c r="AX380" s="5"/>
      <c r="AY380" s="5"/>
      <c r="AZ380" s="113">
        <v>200000</v>
      </c>
      <c r="BA380" s="113">
        <v>38000</v>
      </c>
      <c r="BB380" s="113">
        <v>238000</v>
      </c>
      <c r="BC380" s="52" t="s">
        <v>338</v>
      </c>
      <c r="BD380" s="52" t="s">
        <v>4015</v>
      </c>
      <c r="BE380" s="118"/>
      <c r="BF380" s="118"/>
      <c r="BG380" s="118"/>
      <c r="BH380" s="52"/>
      <c r="BI380" s="283"/>
      <c r="BJ380" s="52"/>
      <c r="BK380" s="52"/>
      <c r="BL380" s="52"/>
      <c r="BM380" s="52"/>
      <c r="BN380" s="52"/>
      <c r="BO380" s="52"/>
      <c r="BP380" s="52"/>
      <c r="BQ380" s="52"/>
      <c r="BR380" s="52"/>
      <c r="BS380" s="52"/>
      <c r="BT380" s="52"/>
      <c r="BU380" s="52"/>
      <c r="BV380" s="52"/>
      <c r="BW380" s="52"/>
      <c r="BX380" s="52"/>
      <c r="BY380" s="52"/>
      <c r="BZ380" s="52"/>
      <c r="CA380" s="52"/>
      <c r="CB380" s="52"/>
      <c r="CC380" s="52"/>
      <c r="CD380" s="118"/>
      <c r="CE380" s="52"/>
      <c r="CF380" s="52"/>
      <c r="CG380" s="52"/>
      <c r="CH380" s="52"/>
      <c r="CI380" s="52"/>
      <c r="CJ380" s="52"/>
      <c r="CK380" s="52"/>
      <c r="CL380" s="52"/>
      <c r="CM380" s="52"/>
      <c r="CN380" s="118"/>
      <c r="CO380" s="118"/>
      <c r="CP380" s="118"/>
      <c r="CQ380" s="52"/>
      <c r="CR380" s="52"/>
      <c r="CS380" s="52"/>
      <c r="CT380" s="52"/>
      <c r="CU380" s="52"/>
      <c r="CV380" s="52"/>
      <c r="CW380" s="52"/>
      <c r="CX380" s="52"/>
      <c r="CY380" s="52"/>
      <c r="CZ380" s="52"/>
      <c r="DA380" s="52"/>
      <c r="DB380" s="52"/>
    </row>
    <row r="381" spans="1:106" ht="51" x14ac:dyDescent="0.25">
      <c r="A381" s="411">
        <v>379</v>
      </c>
      <c r="B381" s="409" t="s">
        <v>4016</v>
      </c>
      <c r="C381" s="563" t="s">
        <v>4017</v>
      </c>
      <c r="D381" s="416" t="s">
        <v>2005</v>
      </c>
      <c r="E381" s="80">
        <v>1</v>
      </c>
      <c r="F381" s="353">
        <v>242577.454</v>
      </c>
      <c r="G381" s="293"/>
      <c r="H381" s="293"/>
      <c r="I381" s="293"/>
      <c r="J381" s="52"/>
      <c r="K381" s="52"/>
      <c r="L381" s="359"/>
      <c r="M381" s="360"/>
      <c r="N381" s="361"/>
      <c r="O381" s="33"/>
      <c r="P381" s="252"/>
      <c r="Q381" s="113">
        <v>248000</v>
      </c>
      <c r="R381" s="113">
        <v>47120</v>
      </c>
      <c r="S381" s="113">
        <v>295120</v>
      </c>
      <c r="T381" s="52" t="s">
        <v>3547</v>
      </c>
      <c r="U381" s="5" t="s">
        <v>4018</v>
      </c>
      <c r="V381" s="231"/>
      <c r="W381" s="231"/>
      <c r="X381" s="231"/>
      <c r="Y381" s="113"/>
      <c r="Z381" s="357"/>
      <c r="AA381" s="118" t="s">
        <v>2877</v>
      </c>
      <c r="AB381" s="118"/>
      <c r="AC381" s="118"/>
      <c r="AD381" s="52"/>
      <c r="AE381" s="5"/>
      <c r="AF381" s="358"/>
      <c r="AG381" s="358"/>
      <c r="AH381" s="358"/>
      <c r="AI381" s="358"/>
      <c r="AJ381" s="358"/>
      <c r="AK381" s="113"/>
      <c r="AL381" s="113"/>
      <c r="AM381" s="113"/>
      <c r="AN381" s="113"/>
      <c r="AO381" s="113"/>
      <c r="AP381" s="52"/>
      <c r="AQ381" s="52"/>
      <c r="AR381" s="52"/>
      <c r="AS381" s="52"/>
      <c r="AT381" s="52"/>
      <c r="AU381" s="125"/>
      <c r="AV381" s="125"/>
      <c r="AW381" s="125"/>
      <c r="AX381" s="5"/>
      <c r="AY381" s="5"/>
      <c r="AZ381" s="113"/>
      <c r="BA381" s="113"/>
      <c r="BB381" s="113"/>
      <c r="BC381" s="52"/>
      <c r="BD381" s="52"/>
      <c r="BE381" s="118"/>
      <c r="BF381" s="118"/>
      <c r="BG381" s="118"/>
      <c r="BH381" s="52"/>
      <c r="BI381" s="283"/>
      <c r="BJ381" s="52"/>
      <c r="BK381" s="52"/>
      <c r="BL381" s="52"/>
      <c r="BM381" s="52"/>
      <c r="BN381" s="52"/>
      <c r="BO381" s="52"/>
      <c r="BP381" s="52"/>
      <c r="BQ381" s="52"/>
      <c r="BR381" s="52"/>
      <c r="BS381" s="52"/>
      <c r="BT381" s="52"/>
      <c r="BU381" s="52"/>
      <c r="BV381" s="52"/>
      <c r="BW381" s="52"/>
      <c r="BX381" s="52"/>
      <c r="BY381" s="52"/>
      <c r="BZ381" s="52"/>
      <c r="CA381" s="52"/>
      <c r="CB381" s="52"/>
      <c r="CC381" s="52"/>
      <c r="CD381" s="118"/>
      <c r="CE381" s="52"/>
      <c r="CF381" s="52"/>
      <c r="CG381" s="52"/>
      <c r="CH381" s="52"/>
      <c r="CI381" s="52"/>
      <c r="CJ381" s="52"/>
      <c r="CK381" s="52"/>
      <c r="CL381" s="52"/>
      <c r="CM381" s="52"/>
      <c r="CN381" s="118"/>
      <c r="CO381" s="118"/>
      <c r="CP381" s="118"/>
      <c r="CQ381" s="52"/>
      <c r="CR381" s="52"/>
      <c r="CS381" s="52"/>
      <c r="CT381" s="52"/>
      <c r="CU381" s="52"/>
      <c r="CV381" s="52"/>
      <c r="CW381" s="52"/>
      <c r="CX381" s="52"/>
      <c r="CY381" s="52"/>
      <c r="CZ381" s="52"/>
      <c r="DA381" s="52"/>
      <c r="DB381" s="52"/>
    </row>
    <row r="382" spans="1:106" ht="51" x14ac:dyDescent="0.25">
      <c r="A382" s="411">
        <v>380</v>
      </c>
      <c r="B382" s="409" t="s">
        <v>4019</v>
      </c>
      <c r="C382" s="563" t="s">
        <v>4017</v>
      </c>
      <c r="D382" s="416" t="s">
        <v>2005</v>
      </c>
      <c r="E382" s="80">
        <v>1</v>
      </c>
      <c r="F382" s="80"/>
      <c r="G382" s="293"/>
      <c r="H382" s="293"/>
      <c r="I382" s="293"/>
      <c r="J382" s="52"/>
      <c r="K382" s="52"/>
      <c r="L382" s="359"/>
      <c r="M382" s="360"/>
      <c r="N382" s="361"/>
      <c r="O382" s="33"/>
      <c r="P382" s="252"/>
      <c r="Q382" s="113">
        <v>248000</v>
      </c>
      <c r="R382" s="113">
        <v>47120</v>
      </c>
      <c r="S382" s="113">
        <v>295120</v>
      </c>
      <c r="T382" s="52" t="s">
        <v>3547</v>
      </c>
      <c r="U382" s="5" t="s">
        <v>4020</v>
      </c>
      <c r="V382" s="231"/>
      <c r="W382" s="231"/>
      <c r="X382" s="231"/>
      <c r="Y382" s="113"/>
      <c r="Z382" s="357"/>
      <c r="AA382" s="118" t="s">
        <v>2877</v>
      </c>
      <c r="AB382" s="118"/>
      <c r="AC382" s="118"/>
      <c r="AD382" s="52"/>
      <c r="AE382" s="5"/>
      <c r="AF382" s="358"/>
      <c r="AG382" s="358"/>
      <c r="AH382" s="358"/>
      <c r="AI382" s="358"/>
      <c r="AJ382" s="358"/>
      <c r="AK382" s="113"/>
      <c r="AL382" s="113"/>
      <c r="AM382" s="113"/>
      <c r="AN382" s="113"/>
      <c r="AO382" s="113"/>
      <c r="AP382" s="52"/>
      <c r="AQ382" s="52"/>
      <c r="AR382" s="52"/>
      <c r="AS382" s="52"/>
      <c r="AT382" s="52"/>
      <c r="AU382" s="125"/>
      <c r="AV382" s="125"/>
      <c r="AW382" s="125"/>
      <c r="AX382" s="5"/>
      <c r="AY382" s="5"/>
      <c r="AZ382" s="113"/>
      <c r="BA382" s="113"/>
      <c r="BB382" s="113"/>
      <c r="BC382" s="52"/>
      <c r="BD382" s="52"/>
      <c r="BE382" s="118"/>
      <c r="BF382" s="118"/>
      <c r="BG382" s="118"/>
      <c r="BH382" s="52"/>
      <c r="BI382" s="283"/>
      <c r="BJ382" s="52"/>
      <c r="BK382" s="52"/>
      <c r="BL382" s="52"/>
      <c r="BM382" s="52"/>
      <c r="BN382" s="52"/>
      <c r="BO382" s="52"/>
      <c r="BP382" s="52"/>
      <c r="BQ382" s="52"/>
      <c r="BR382" s="52"/>
      <c r="BS382" s="52"/>
      <c r="BT382" s="52"/>
      <c r="BU382" s="52"/>
      <c r="BV382" s="52"/>
      <c r="BW382" s="52"/>
      <c r="BX382" s="52"/>
      <c r="BY382" s="52"/>
      <c r="BZ382" s="52"/>
      <c r="CA382" s="52"/>
      <c r="CB382" s="52"/>
      <c r="CC382" s="52"/>
      <c r="CD382" s="118"/>
      <c r="CE382" s="52"/>
      <c r="CF382" s="52"/>
      <c r="CG382" s="52"/>
      <c r="CH382" s="52"/>
      <c r="CI382" s="52"/>
      <c r="CJ382" s="52"/>
      <c r="CK382" s="52"/>
      <c r="CL382" s="52"/>
      <c r="CM382" s="52"/>
      <c r="CN382" s="118"/>
      <c r="CO382" s="118"/>
      <c r="CP382" s="118"/>
      <c r="CQ382" s="52"/>
      <c r="CR382" s="52"/>
      <c r="CS382" s="52"/>
      <c r="CT382" s="52"/>
      <c r="CU382" s="52"/>
      <c r="CV382" s="52"/>
      <c r="CW382" s="52"/>
      <c r="CX382" s="52"/>
      <c r="CY382" s="52"/>
      <c r="CZ382" s="52"/>
      <c r="DA382" s="52"/>
      <c r="DB382" s="52"/>
    </row>
    <row r="383" spans="1:106" ht="51" x14ac:dyDescent="0.25">
      <c r="A383" s="411">
        <v>381</v>
      </c>
      <c r="B383" s="409" t="s">
        <v>4021</v>
      </c>
      <c r="C383" s="563" t="s">
        <v>4017</v>
      </c>
      <c r="D383" s="416" t="s">
        <v>2005</v>
      </c>
      <c r="E383" s="80">
        <v>1</v>
      </c>
      <c r="F383" s="80"/>
      <c r="G383" s="293"/>
      <c r="H383" s="293"/>
      <c r="I383" s="293"/>
      <c r="J383" s="52"/>
      <c r="K383" s="52"/>
      <c r="L383" s="359"/>
      <c r="M383" s="360"/>
      <c r="N383" s="361"/>
      <c r="O383" s="33"/>
      <c r="P383" s="252"/>
      <c r="Q383" s="113">
        <v>268000</v>
      </c>
      <c r="R383" s="113">
        <v>50920</v>
      </c>
      <c r="S383" s="113">
        <v>318920</v>
      </c>
      <c r="T383" s="52" t="s">
        <v>3547</v>
      </c>
      <c r="U383" s="5" t="s">
        <v>4022</v>
      </c>
      <c r="V383" s="231"/>
      <c r="W383" s="231"/>
      <c r="X383" s="231"/>
      <c r="Y383" s="113"/>
      <c r="Z383" s="357"/>
      <c r="AA383" s="118" t="s">
        <v>2877</v>
      </c>
      <c r="AB383" s="118"/>
      <c r="AC383" s="118"/>
      <c r="AD383" s="52"/>
      <c r="AE383" s="5"/>
      <c r="AF383" s="358"/>
      <c r="AG383" s="358"/>
      <c r="AH383" s="358"/>
      <c r="AI383" s="358"/>
      <c r="AJ383" s="358"/>
      <c r="AK383" s="113"/>
      <c r="AL383" s="113"/>
      <c r="AM383" s="113"/>
      <c r="AN383" s="113"/>
      <c r="AO383" s="113"/>
      <c r="AP383" s="52"/>
      <c r="AQ383" s="52"/>
      <c r="AR383" s="52"/>
      <c r="AS383" s="52"/>
      <c r="AT383" s="52"/>
      <c r="AU383" s="125"/>
      <c r="AV383" s="125"/>
      <c r="AW383" s="125"/>
      <c r="AX383" s="5"/>
      <c r="AY383" s="5"/>
      <c r="AZ383" s="113"/>
      <c r="BA383" s="113"/>
      <c r="BB383" s="113"/>
      <c r="BC383" s="52"/>
      <c r="BD383" s="52"/>
      <c r="BE383" s="118"/>
      <c r="BF383" s="118"/>
      <c r="BG383" s="118"/>
      <c r="BH383" s="52"/>
      <c r="BI383" s="283"/>
      <c r="BJ383" s="52"/>
      <c r="BK383" s="52"/>
      <c r="BL383" s="52"/>
      <c r="BM383" s="52"/>
      <c r="BN383" s="52"/>
      <c r="BO383" s="52"/>
      <c r="BP383" s="52"/>
      <c r="BQ383" s="52"/>
      <c r="BR383" s="52"/>
      <c r="BS383" s="52"/>
      <c r="BT383" s="52"/>
      <c r="BU383" s="52"/>
      <c r="BV383" s="52"/>
      <c r="BW383" s="52"/>
      <c r="BX383" s="52"/>
      <c r="BY383" s="52"/>
      <c r="BZ383" s="52"/>
      <c r="CA383" s="52"/>
      <c r="CB383" s="52"/>
      <c r="CC383" s="52"/>
      <c r="CD383" s="118"/>
      <c r="CE383" s="52"/>
      <c r="CF383" s="52"/>
      <c r="CG383" s="52"/>
      <c r="CH383" s="52"/>
      <c r="CI383" s="52"/>
      <c r="CJ383" s="52"/>
      <c r="CK383" s="52"/>
      <c r="CL383" s="52"/>
      <c r="CM383" s="52"/>
      <c r="CN383" s="118"/>
      <c r="CO383" s="118"/>
      <c r="CP383" s="118"/>
      <c r="CQ383" s="52"/>
      <c r="CR383" s="52"/>
      <c r="CS383" s="52"/>
      <c r="CT383" s="52"/>
      <c r="CU383" s="52"/>
      <c r="CV383" s="52"/>
      <c r="CW383" s="52"/>
      <c r="CX383" s="52"/>
      <c r="CY383" s="52"/>
      <c r="CZ383" s="52"/>
      <c r="DA383" s="52"/>
      <c r="DB383" s="52"/>
    </row>
    <row r="384" spans="1:106" ht="51" x14ac:dyDescent="0.25">
      <c r="A384" s="411">
        <v>382</v>
      </c>
      <c r="B384" s="412" t="s">
        <v>4023</v>
      </c>
      <c r="C384" s="413" t="s">
        <v>4017</v>
      </c>
      <c r="D384" s="426" t="s">
        <v>2901</v>
      </c>
      <c r="E384" s="80">
        <v>1</v>
      </c>
      <c r="F384" s="80"/>
      <c r="G384" s="293"/>
      <c r="H384" s="293"/>
      <c r="I384" s="293"/>
      <c r="J384" s="52"/>
      <c r="K384" s="52"/>
      <c r="L384" s="359"/>
      <c r="M384" s="360"/>
      <c r="N384" s="361"/>
      <c r="O384" s="33"/>
      <c r="P384" s="252"/>
      <c r="Q384" s="113">
        <v>268000</v>
      </c>
      <c r="R384" s="113">
        <v>50920</v>
      </c>
      <c r="S384" s="113">
        <v>318920</v>
      </c>
      <c r="T384" s="52" t="s">
        <v>3547</v>
      </c>
      <c r="U384" s="5" t="s">
        <v>4024</v>
      </c>
      <c r="V384" s="231"/>
      <c r="W384" s="231"/>
      <c r="X384" s="231"/>
      <c r="Y384" s="113"/>
      <c r="Z384" s="357"/>
      <c r="AA384" s="118" t="s">
        <v>2877</v>
      </c>
      <c r="AB384" s="118"/>
      <c r="AC384" s="118"/>
      <c r="AD384" s="52"/>
      <c r="AE384" s="5"/>
      <c r="AF384" s="358"/>
      <c r="AG384" s="358"/>
      <c r="AH384" s="358"/>
      <c r="AI384" s="358"/>
      <c r="AJ384" s="358"/>
      <c r="AK384" s="113"/>
      <c r="AL384" s="113"/>
      <c r="AM384" s="113"/>
      <c r="AN384" s="113"/>
      <c r="AO384" s="113"/>
      <c r="AP384" s="52"/>
      <c r="AQ384" s="52"/>
      <c r="AR384" s="52"/>
      <c r="AS384" s="52"/>
      <c r="AT384" s="52"/>
      <c r="AU384" s="125"/>
      <c r="AV384" s="125"/>
      <c r="AW384" s="125"/>
      <c r="AX384" s="5"/>
      <c r="AY384" s="5"/>
      <c r="AZ384" s="113">
        <v>131000</v>
      </c>
      <c r="BA384" s="113">
        <v>24890</v>
      </c>
      <c r="BB384" s="113">
        <v>155890</v>
      </c>
      <c r="BC384" s="52" t="s">
        <v>2895</v>
      </c>
      <c r="BD384" s="52" t="s">
        <v>4025</v>
      </c>
      <c r="BE384" s="118"/>
      <c r="BF384" s="118"/>
      <c r="BG384" s="118"/>
      <c r="BH384" s="52"/>
      <c r="BI384" s="283"/>
      <c r="BJ384" s="52"/>
      <c r="BK384" s="52"/>
      <c r="BL384" s="52"/>
      <c r="BM384" s="52"/>
      <c r="BN384" s="52"/>
      <c r="BO384" s="52"/>
      <c r="BP384" s="52"/>
      <c r="BQ384" s="52"/>
      <c r="BR384" s="52"/>
      <c r="BS384" s="52"/>
      <c r="BT384" s="52"/>
      <c r="BU384" s="52"/>
      <c r="BV384" s="52"/>
      <c r="BW384" s="52"/>
      <c r="BX384" s="52"/>
      <c r="BY384" s="52"/>
      <c r="BZ384" s="52"/>
      <c r="CA384" s="52"/>
      <c r="CB384" s="52"/>
      <c r="CC384" s="52"/>
      <c r="CD384" s="118"/>
      <c r="CE384" s="52"/>
      <c r="CF384" s="52"/>
      <c r="CG384" s="52"/>
      <c r="CH384" s="52"/>
      <c r="CI384" s="52"/>
      <c r="CJ384" s="52"/>
      <c r="CK384" s="52"/>
      <c r="CL384" s="52"/>
      <c r="CM384" s="52"/>
      <c r="CN384" s="118"/>
      <c r="CO384" s="118"/>
      <c r="CP384" s="118"/>
      <c r="CQ384" s="52"/>
      <c r="CR384" s="52"/>
      <c r="CS384" s="52"/>
      <c r="CT384" s="52"/>
      <c r="CU384" s="52"/>
      <c r="CV384" s="52"/>
      <c r="CW384" s="52"/>
      <c r="CX384" s="52"/>
      <c r="CY384" s="52"/>
      <c r="CZ384" s="52"/>
      <c r="DA384" s="52"/>
      <c r="DB384" s="52"/>
    </row>
    <row r="385" spans="1:106" ht="51" x14ac:dyDescent="0.25">
      <c r="A385" s="411">
        <v>383</v>
      </c>
      <c r="B385" s="412" t="s">
        <v>4026</v>
      </c>
      <c r="C385" s="413" t="s">
        <v>4017</v>
      </c>
      <c r="D385" s="426" t="s">
        <v>2005</v>
      </c>
      <c r="E385" s="80">
        <v>1</v>
      </c>
      <c r="F385" s="353">
        <v>108091.508</v>
      </c>
      <c r="G385" s="293"/>
      <c r="H385" s="293"/>
      <c r="I385" s="293"/>
      <c r="J385" s="52"/>
      <c r="K385" s="52"/>
      <c r="L385" s="359"/>
      <c r="M385" s="360"/>
      <c r="N385" s="361"/>
      <c r="O385" s="33"/>
      <c r="P385" s="252"/>
      <c r="Q385" s="113">
        <v>248000</v>
      </c>
      <c r="R385" s="113">
        <v>47120</v>
      </c>
      <c r="S385" s="113">
        <v>295120</v>
      </c>
      <c r="T385" s="52" t="s">
        <v>3547</v>
      </c>
      <c r="U385" s="5" t="s">
        <v>4027</v>
      </c>
      <c r="V385" s="231"/>
      <c r="W385" s="231"/>
      <c r="X385" s="231"/>
      <c r="Y385" s="113"/>
      <c r="Z385" s="357"/>
      <c r="AA385" s="118" t="s">
        <v>2877</v>
      </c>
      <c r="AB385" s="118"/>
      <c r="AC385" s="118"/>
      <c r="AD385" s="52"/>
      <c r="AE385" s="5"/>
      <c r="AF385" s="358"/>
      <c r="AG385" s="358"/>
      <c r="AH385" s="358"/>
      <c r="AI385" s="358"/>
      <c r="AJ385" s="358"/>
      <c r="AK385" s="113"/>
      <c r="AL385" s="113"/>
      <c r="AM385" s="113"/>
      <c r="AN385" s="113"/>
      <c r="AO385" s="113"/>
      <c r="AP385" s="52"/>
      <c r="AQ385" s="52"/>
      <c r="AR385" s="52"/>
      <c r="AS385" s="52"/>
      <c r="AT385" s="52"/>
      <c r="AU385" s="125"/>
      <c r="AV385" s="125"/>
      <c r="AW385" s="125"/>
      <c r="AX385" s="5"/>
      <c r="AY385" s="5"/>
      <c r="AZ385" s="113">
        <v>53000</v>
      </c>
      <c r="BA385" s="113">
        <v>10070</v>
      </c>
      <c r="BB385" s="113">
        <v>63070</v>
      </c>
      <c r="BC385" s="52" t="s">
        <v>2895</v>
      </c>
      <c r="BD385" s="52" t="s">
        <v>4028</v>
      </c>
      <c r="BE385" s="118"/>
      <c r="BF385" s="118"/>
      <c r="BG385" s="118"/>
      <c r="BH385" s="52"/>
      <c r="BI385" s="283"/>
      <c r="BJ385" s="52"/>
      <c r="BK385" s="52"/>
      <c r="BL385" s="52"/>
      <c r="BM385" s="52"/>
      <c r="BN385" s="52"/>
      <c r="BO385" s="52"/>
      <c r="BP385" s="52"/>
      <c r="BQ385" s="52"/>
      <c r="BR385" s="52"/>
      <c r="BS385" s="52"/>
      <c r="BT385" s="52"/>
      <c r="BU385" s="52"/>
      <c r="BV385" s="52"/>
      <c r="BW385" s="52"/>
      <c r="BX385" s="52"/>
      <c r="BY385" s="52"/>
      <c r="BZ385" s="52"/>
      <c r="CA385" s="52"/>
      <c r="CB385" s="52"/>
      <c r="CC385" s="52"/>
      <c r="CD385" s="118"/>
      <c r="CE385" s="52"/>
      <c r="CF385" s="52"/>
      <c r="CG385" s="52"/>
      <c r="CH385" s="52"/>
      <c r="CI385" s="52"/>
      <c r="CJ385" s="52"/>
      <c r="CK385" s="52"/>
      <c r="CL385" s="52"/>
      <c r="CM385" s="52"/>
      <c r="CN385" s="118"/>
      <c r="CO385" s="118"/>
      <c r="CP385" s="118"/>
      <c r="CQ385" s="52"/>
      <c r="CR385" s="52"/>
      <c r="CS385" s="52"/>
      <c r="CT385" s="52"/>
      <c r="CU385" s="52"/>
      <c r="CV385" s="52"/>
      <c r="CW385" s="52"/>
      <c r="CX385" s="52"/>
      <c r="CY385" s="52"/>
      <c r="CZ385" s="52"/>
      <c r="DA385" s="52"/>
      <c r="DB385" s="52"/>
    </row>
    <row r="386" spans="1:106" ht="51" x14ac:dyDescent="0.25">
      <c r="A386" s="411">
        <v>384</v>
      </c>
      <c r="B386" s="412" t="s">
        <v>4029</v>
      </c>
      <c r="C386" s="413" t="s">
        <v>4017</v>
      </c>
      <c r="D386" s="426" t="s">
        <v>2901</v>
      </c>
      <c r="E386" s="80">
        <v>1</v>
      </c>
      <c r="F386" s="353">
        <v>120660.288</v>
      </c>
      <c r="G386" s="293"/>
      <c r="H386" s="293"/>
      <c r="I386" s="293"/>
      <c r="J386" s="52"/>
      <c r="K386" s="52"/>
      <c r="L386" s="359"/>
      <c r="M386" s="360"/>
      <c r="N386" s="361"/>
      <c r="O386" s="33"/>
      <c r="P386" s="252"/>
      <c r="Q386" s="113">
        <v>248000</v>
      </c>
      <c r="R386" s="113">
        <v>47120</v>
      </c>
      <c r="S386" s="113">
        <v>295120</v>
      </c>
      <c r="T386" s="52" t="s">
        <v>3547</v>
      </c>
      <c r="U386" s="5" t="s">
        <v>4030</v>
      </c>
      <c r="V386" s="231"/>
      <c r="W386" s="231"/>
      <c r="X386" s="231"/>
      <c r="Y386" s="113"/>
      <c r="Z386" s="357"/>
      <c r="AA386" s="118" t="s">
        <v>2877</v>
      </c>
      <c r="AB386" s="118"/>
      <c r="AC386" s="118"/>
      <c r="AD386" s="52"/>
      <c r="AE386" s="5"/>
      <c r="AF386" s="358"/>
      <c r="AG386" s="358"/>
      <c r="AH386" s="358"/>
      <c r="AI386" s="358"/>
      <c r="AJ386" s="358"/>
      <c r="AK386" s="113"/>
      <c r="AL386" s="113"/>
      <c r="AM386" s="113"/>
      <c r="AN386" s="113"/>
      <c r="AO386" s="113"/>
      <c r="AP386" s="52"/>
      <c r="AQ386" s="52"/>
      <c r="AR386" s="52"/>
      <c r="AS386" s="52"/>
      <c r="AT386" s="52"/>
      <c r="AU386" s="125"/>
      <c r="AV386" s="125"/>
      <c r="AW386" s="125"/>
      <c r="AX386" s="5"/>
      <c r="AY386" s="5"/>
      <c r="AZ386" s="113">
        <v>56000</v>
      </c>
      <c r="BA386" s="113">
        <v>10640</v>
      </c>
      <c r="BB386" s="113">
        <v>66640</v>
      </c>
      <c r="BC386" s="52" t="s">
        <v>2895</v>
      </c>
      <c r="BD386" s="52" t="s">
        <v>4031</v>
      </c>
      <c r="BE386" s="118"/>
      <c r="BF386" s="118"/>
      <c r="BG386" s="118"/>
      <c r="BH386" s="52"/>
      <c r="BI386" s="283"/>
      <c r="BJ386" s="52"/>
      <c r="BK386" s="52"/>
      <c r="BL386" s="52"/>
      <c r="BM386" s="52"/>
      <c r="BN386" s="52"/>
      <c r="BO386" s="52"/>
      <c r="BP386" s="52"/>
      <c r="BQ386" s="52"/>
      <c r="BR386" s="52"/>
      <c r="BS386" s="52"/>
      <c r="BT386" s="52"/>
      <c r="BU386" s="52"/>
      <c r="BV386" s="52"/>
      <c r="BW386" s="52"/>
      <c r="BX386" s="52"/>
      <c r="BY386" s="52"/>
      <c r="BZ386" s="52"/>
      <c r="CA386" s="52"/>
      <c r="CB386" s="52"/>
      <c r="CC386" s="52"/>
      <c r="CD386" s="118"/>
      <c r="CE386" s="52"/>
      <c r="CF386" s="52"/>
      <c r="CG386" s="52"/>
      <c r="CH386" s="52"/>
      <c r="CI386" s="52"/>
      <c r="CJ386" s="52"/>
      <c r="CK386" s="52"/>
      <c r="CL386" s="52"/>
      <c r="CM386" s="52"/>
      <c r="CN386" s="118"/>
      <c r="CO386" s="118"/>
      <c r="CP386" s="118"/>
      <c r="CQ386" s="52"/>
      <c r="CR386" s="52"/>
      <c r="CS386" s="52"/>
      <c r="CT386" s="52"/>
      <c r="CU386" s="52"/>
      <c r="CV386" s="52"/>
      <c r="CW386" s="52"/>
      <c r="CX386" s="52"/>
      <c r="CY386" s="52"/>
      <c r="CZ386" s="52"/>
      <c r="DA386" s="52"/>
      <c r="DB386" s="52"/>
    </row>
    <row r="387" spans="1:106" ht="51" x14ac:dyDescent="0.25">
      <c r="A387" s="411">
        <v>385</v>
      </c>
      <c r="B387" s="412" t="s">
        <v>5102</v>
      </c>
      <c r="C387" s="413" t="s">
        <v>4017</v>
      </c>
      <c r="D387" s="426" t="s">
        <v>2901</v>
      </c>
      <c r="E387" s="80">
        <v>1</v>
      </c>
      <c r="F387" s="353">
        <v>149568.48200000002</v>
      </c>
      <c r="G387" s="293"/>
      <c r="H387" s="293"/>
      <c r="I387" s="293"/>
      <c r="J387" s="52"/>
      <c r="K387" s="52"/>
      <c r="L387" s="359"/>
      <c r="M387" s="360"/>
      <c r="N387" s="361"/>
      <c r="O387" s="33"/>
      <c r="P387" s="252"/>
      <c r="Q387" s="113">
        <v>248000</v>
      </c>
      <c r="R387" s="113">
        <v>47120</v>
      </c>
      <c r="S387" s="113">
        <v>295120</v>
      </c>
      <c r="T387" s="52" t="s">
        <v>3547</v>
      </c>
      <c r="U387" s="5" t="s">
        <v>4032</v>
      </c>
      <c r="V387" s="231"/>
      <c r="W387" s="231"/>
      <c r="X387" s="231"/>
      <c r="Y387" s="113"/>
      <c r="Z387" s="357"/>
      <c r="AA387" s="118" t="s">
        <v>2877</v>
      </c>
      <c r="AB387" s="118"/>
      <c r="AC387" s="118"/>
      <c r="AD387" s="52"/>
      <c r="AE387" s="5"/>
      <c r="AF387" s="358"/>
      <c r="AG387" s="358"/>
      <c r="AH387" s="358"/>
      <c r="AI387" s="358"/>
      <c r="AJ387" s="358"/>
      <c r="AK387" s="113"/>
      <c r="AL387" s="113"/>
      <c r="AM387" s="113"/>
      <c r="AN387" s="113"/>
      <c r="AO387" s="113"/>
      <c r="AP387" s="52"/>
      <c r="AQ387" s="52"/>
      <c r="AR387" s="52"/>
      <c r="AS387" s="52"/>
      <c r="AT387" s="52"/>
      <c r="AU387" s="125"/>
      <c r="AV387" s="125"/>
      <c r="AW387" s="125"/>
      <c r="AX387" s="5"/>
      <c r="AY387" s="5"/>
      <c r="AZ387" s="113">
        <v>94000</v>
      </c>
      <c r="BA387" s="113">
        <v>17860</v>
      </c>
      <c r="BB387" s="113">
        <v>111860</v>
      </c>
      <c r="BC387" s="52" t="s">
        <v>2895</v>
      </c>
      <c r="BD387" s="52" t="s">
        <v>4033</v>
      </c>
      <c r="BE387" s="118"/>
      <c r="BF387" s="118"/>
      <c r="BG387" s="118"/>
      <c r="BH387" s="52"/>
      <c r="BI387" s="283"/>
      <c r="BJ387" s="52"/>
      <c r="BK387" s="52"/>
      <c r="BL387" s="52"/>
      <c r="BM387" s="52"/>
      <c r="BN387" s="52"/>
      <c r="BO387" s="52"/>
      <c r="BP387" s="52"/>
      <c r="BQ387" s="52"/>
      <c r="BR387" s="52"/>
      <c r="BS387" s="52"/>
      <c r="BT387" s="52"/>
      <c r="BU387" s="52"/>
      <c r="BV387" s="52"/>
      <c r="BW387" s="52"/>
      <c r="BX387" s="52"/>
      <c r="BY387" s="52"/>
      <c r="BZ387" s="52"/>
      <c r="CA387" s="52"/>
      <c r="CB387" s="52"/>
      <c r="CC387" s="52"/>
      <c r="CD387" s="118"/>
      <c r="CE387" s="52"/>
      <c r="CF387" s="52"/>
      <c r="CG387" s="52"/>
      <c r="CH387" s="52"/>
      <c r="CI387" s="52"/>
      <c r="CJ387" s="52"/>
      <c r="CK387" s="52"/>
      <c r="CL387" s="52"/>
      <c r="CM387" s="52"/>
      <c r="CN387" s="118"/>
      <c r="CO387" s="118"/>
      <c r="CP387" s="118"/>
      <c r="CQ387" s="52"/>
      <c r="CR387" s="52"/>
      <c r="CS387" s="52"/>
      <c r="CT387" s="52"/>
      <c r="CU387" s="52"/>
      <c r="CV387" s="52"/>
      <c r="CW387" s="52"/>
      <c r="CX387" s="52"/>
      <c r="CY387" s="52"/>
      <c r="CZ387" s="52"/>
      <c r="DA387" s="52"/>
      <c r="DB387" s="52"/>
    </row>
    <row r="388" spans="1:106" ht="27" x14ac:dyDescent="0.25">
      <c r="A388" s="411">
        <v>386</v>
      </c>
      <c r="B388" s="412" t="s">
        <v>4034</v>
      </c>
      <c r="C388" s="413" t="s">
        <v>4035</v>
      </c>
      <c r="D388" s="426" t="s">
        <v>3400</v>
      </c>
      <c r="E388" s="80">
        <v>1</v>
      </c>
      <c r="F388" s="353">
        <v>2280230.1800000002</v>
      </c>
      <c r="G388" s="293"/>
      <c r="H388" s="293"/>
      <c r="I388" s="293"/>
      <c r="J388" s="52"/>
      <c r="K388" s="52"/>
      <c r="L388" s="359"/>
      <c r="M388" s="360"/>
      <c r="N388" s="361"/>
      <c r="O388" s="33"/>
      <c r="P388" s="252"/>
      <c r="Q388" s="113"/>
      <c r="R388" s="113"/>
      <c r="S388" s="113"/>
      <c r="T388" s="52"/>
      <c r="U388" s="5"/>
      <c r="V388" s="231"/>
      <c r="W388" s="231"/>
      <c r="X388" s="231"/>
      <c r="Y388" s="113"/>
      <c r="Z388" s="357"/>
      <c r="AA388" s="118" t="s">
        <v>2877</v>
      </c>
      <c r="AB388" s="118"/>
      <c r="AC388" s="118"/>
      <c r="AD388" s="52"/>
      <c r="AE388" s="5"/>
      <c r="AF388" s="358"/>
      <c r="AG388" s="358"/>
      <c r="AH388" s="358"/>
      <c r="AI388" s="358"/>
      <c r="AJ388" s="358"/>
      <c r="AK388" s="113"/>
      <c r="AL388" s="113"/>
      <c r="AM388" s="113"/>
      <c r="AN388" s="113"/>
      <c r="AO388" s="113"/>
      <c r="AP388" s="52"/>
      <c r="AQ388" s="52"/>
      <c r="AR388" s="52"/>
      <c r="AS388" s="52"/>
      <c r="AT388" s="52"/>
      <c r="AU388" s="125"/>
      <c r="AV388" s="125"/>
      <c r="AW388" s="125"/>
      <c r="AX388" s="5"/>
      <c r="AY388" s="5"/>
      <c r="AZ388" s="113">
        <v>1230000</v>
      </c>
      <c r="BA388" s="113">
        <v>233700</v>
      </c>
      <c r="BB388" s="113">
        <v>1463700</v>
      </c>
      <c r="BC388" s="52" t="s">
        <v>4036</v>
      </c>
      <c r="BD388" s="52" t="s">
        <v>4037</v>
      </c>
      <c r="BE388" s="118"/>
      <c r="BF388" s="118"/>
      <c r="BG388" s="118"/>
      <c r="BH388" s="52"/>
      <c r="BI388" s="283"/>
      <c r="BJ388" s="52"/>
      <c r="BK388" s="52"/>
      <c r="BL388" s="52"/>
      <c r="BM388" s="52"/>
      <c r="BN388" s="52"/>
      <c r="BO388" s="52"/>
      <c r="BP388" s="52"/>
      <c r="BQ388" s="52"/>
      <c r="BR388" s="52"/>
      <c r="BS388" s="52"/>
      <c r="BT388" s="52"/>
      <c r="BU388" s="52"/>
      <c r="BV388" s="52"/>
      <c r="BW388" s="52"/>
      <c r="BX388" s="52"/>
      <c r="BY388" s="52"/>
      <c r="BZ388" s="52"/>
      <c r="CA388" s="52"/>
      <c r="CB388" s="52"/>
      <c r="CC388" s="52"/>
      <c r="CD388" s="118"/>
      <c r="CE388" s="52"/>
      <c r="CF388" s="52"/>
      <c r="CG388" s="52"/>
      <c r="CH388" s="52"/>
      <c r="CI388" s="52"/>
      <c r="CJ388" s="52"/>
      <c r="CK388" s="52"/>
      <c r="CL388" s="52"/>
      <c r="CM388" s="52"/>
      <c r="CN388" s="118"/>
      <c r="CO388" s="118"/>
      <c r="CP388" s="118"/>
      <c r="CQ388" s="52"/>
      <c r="CR388" s="52"/>
      <c r="CS388" s="52"/>
      <c r="CT388" s="52"/>
      <c r="CU388" s="52"/>
      <c r="CV388" s="52"/>
      <c r="CW388" s="52"/>
      <c r="CX388" s="52"/>
      <c r="CY388" s="52"/>
      <c r="CZ388" s="52"/>
      <c r="DA388" s="52"/>
      <c r="DB388" s="52"/>
    </row>
    <row r="389" spans="1:106" ht="13.5" x14ac:dyDescent="0.25">
      <c r="A389" s="411">
        <v>387</v>
      </c>
      <c r="B389" s="412" t="s">
        <v>4038</v>
      </c>
      <c r="C389" s="413" t="s">
        <v>4017</v>
      </c>
      <c r="D389" s="426" t="s">
        <v>4039</v>
      </c>
      <c r="E389" s="80">
        <v>1</v>
      </c>
      <c r="F389" s="353">
        <v>460907.72460000002</v>
      </c>
      <c r="G389" s="293"/>
      <c r="H389" s="293"/>
      <c r="I389" s="293"/>
      <c r="J389" s="52"/>
      <c r="K389" s="52"/>
      <c r="L389" s="359"/>
      <c r="M389" s="360"/>
      <c r="N389" s="361"/>
      <c r="O389" s="33"/>
      <c r="P389" s="252"/>
      <c r="Q389" s="113"/>
      <c r="R389" s="113"/>
      <c r="S389" s="113"/>
      <c r="T389" s="52"/>
      <c r="U389" s="5"/>
      <c r="V389" s="231"/>
      <c r="W389" s="231"/>
      <c r="X389" s="231"/>
      <c r="Y389" s="113"/>
      <c r="Z389" s="357"/>
      <c r="AA389" s="118" t="s">
        <v>2877</v>
      </c>
      <c r="AB389" s="118"/>
      <c r="AC389" s="118"/>
      <c r="AD389" s="52"/>
      <c r="AE389" s="5"/>
      <c r="AF389" s="358"/>
      <c r="AG389" s="358"/>
      <c r="AH389" s="358"/>
      <c r="AI389" s="358"/>
      <c r="AJ389" s="358"/>
      <c r="AK389" s="113"/>
      <c r="AL389" s="113"/>
      <c r="AM389" s="113"/>
      <c r="AN389" s="113"/>
      <c r="AO389" s="113"/>
      <c r="AP389" s="52"/>
      <c r="AQ389" s="52"/>
      <c r="AR389" s="52"/>
      <c r="AS389" s="52"/>
      <c r="AT389" s="52"/>
      <c r="AU389" s="125"/>
      <c r="AV389" s="125"/>
      <c r="AW389" s="125"/>
      <c r="AX389" s="5"/>
      <c r="AY389" s="5"/>
      <c r="AZ389" s="113"/>
      <c r="BA389" s="113"/>
      <c r="BB389" s="113"/>
      <c r="BC389" s="52"/>
      <c r="BD389" s="52"/>
      <c r="BE389" s="118"/>
      <c r="BF389" s="118"/>
      <c r="BG389" s="118"/>
      <c r="BH389" s="52"/>
      <c r="BI389" s="283"/>
      <c r="BJ389" s="52"/>
      <c r="BK389" s="52"/>
      <c r="BL389" s="52"/>
      <c r="BM389" s="52"/>
      <c r="BN389" s="52"/>
      <c r="BO389" s="52"/>
      <c r="BP389" s="52"/>
      <c r="BQ389" s="52"/>
      <c r="BR389" s="52"/>
      <c r="BS389" s="52"/>
      <c r="BT389" s="52"/>
      <c r="BU389" s="52"/>
      <c r="BV389" s="52"/>
      <c r="BW389" s="52"/>
      <c r="BX389" s="52"/>
      <c r="BY389" s="52"/>
      <c r="BZ389" s="52"/>
      <c r="CA389" s="52"/>
      <c r="CB389" s="52"/>
      <c r="CC389" s="52"/>
      <c r="CD389" s="118"/>
      <c r="CE389" s="52"/>
      <c r="CF389" s="52"/>
      <c r="CG389" s="52"/>
      <c r="CH389" s="52"/>
      <c r="CI389" s="52"/>
      <c r="CJ389" s="52"/>
      <c r="CK389" s="52"/>
      <c r="CL389" s="52"/>
      <c r="CM389" s="52"/>
      <c r="CN389" s="118"/>
      <c r="CO389" s="118"/>
      <c r="CP389" s="118"/>
      <c r="CQ389" s="52"/>
      <c r="CR389" s="52"/>
      <c r="CS389" s="52"/>
      <c r="CT389" s="52"/>
      <c r="CU389" s="52"/>
      <c r="CV389" s="52"/>
      <c r="CW389" s="52"/>
      <c r="CX389" s="52"/>
      <c r="CY389" s="52"/>
      <c r="CZ389" s="52"/>
      <c r="DA389" s="52"/>
      <c r="DB389" s="52"/>
    </row>
    <row r="390" spans="1:106" ht="27" x14ac:dyDescent="0.25">
      <c r="A390" s="411">
        <v>388</v>
      </c>
      <c r="B390" s="420" t="s">
        <v>4040</v>
      </c>
      <c r="C390" s="561" t="s">
        <v>4041</v>
      </c>
      <c r="D390" s="426" t="s">
        <v>2023</v>
      </c>
      <c r="E390" s="80">
        <v>1</v>
      </c>
      <c r="F390" s="353">
        <v>121917.166</v>
      </c>
      <c r="G390" s="293"/>
      <c r="H390" s="293"/>
      <c r="I390" s="293"/>
      <c r="J390" s="52"/>
      <c r="K390" s="52"/>
      <c r="L390" s="359"/>
      <c r="M390" s="360"/>
      <c r="N390" s="361"/>
      <c r="O390" s="33"/>
      <c r="P390" s="252"/>
      <c r="Q390" s="113"/>
      <c r="R390" s="113"/>
      <c r="S390" s="113"/>
      <c r="T390" s="52"/>
      <c r="U390" s="5"/>
      <c r="V390" s="231"/>
      <c r="W390" s="231"/>
      <c r="X390" s="231"/>
      <c r="Y390" s="113"/>
      <c r="Z390" s="357"/>
      <c r="AA390" s="118" t="s">
        <v>2877</v>
      </c>
      <c r="AB390" s="118"/>
      <c r="AC390" s="118"/>
      <c r="AD390" s="52"/>
      <c r="AE390" s="5"/>
      <c r="AF390" s="358"/>
      <c r="AG390" s="358"/>
      <c r="AH390" s="358"/>
      <c r="AI390" s="358"/>
      <c r="AJ390" s="358"/>
      <c r="AK390" s="113"/>
      <c r="AL390" s="113"/>
      <c r="AM390" s="113"/>
      <c r="AN390" s="113"/>
      <c r="AO390" s="113"/>
      <c r="AP390" s="52"/>
      <c r="AQ390" s="52"/>
      <c r="AR390" s="52"/>
      <c r="AS390" s="52"/>
      <c r="AT390" s="52"/>
      <c r="AU390" s="125"/>
      <c r="AV390" s="125"/>
      <c r="AW390" s="125"/>
      <c r="AX390" s="5"/>
      <c r="AY390" s="5"/>
      <c r="AZ390" s="113">
        <v>63000</v>
      </c>
      <c r="BA390" s="113">
        <v>11970</v>
      </c>
      <c r="BB390" s="113">
        <v>74970</v>
      </c>
      <c r="BC390" s="52" t="s">
        <v>2895</v>
      </c>
      <c r="BD390" s="52" t="s">
        <v>4042</v>
      </c>
      <c r="BE390" s="118"/>
      <c r="BF390" s="118"/>
      <c r="BG390" s="118"/>
      <c r="BH390" s="52"/>
      <c r="BI390" s="283"/>
      <c r="BJ390" s="52"/>
      <c r="BK390" s="52"/>
      <c r="BL390" s="52"/>
      <c r="BM390" s="52"/>
      <c r="BN390" s="52"/>
      <c r="BO390" s="52"/>
      <c r="BP390" s="52"/>
      <c r="BQ390" s="52"/>
      <c r="BR390" s="52"/>
      <c r="BS390" s="52"/>
      <c r="BT390" s="52"/>
      <c r="BU390" s="52"/>
      <c r="BV390" s="52"/>
      <c r="BW390" s="52"/>
      <c r="BX390" s="52"/>
      <c r="BY390" s="52"/>
      <c r="BZ390" s="52"/>
      <c r="CA390" s="52"/>
      <c r="CB390" s="52"/>
      <c r="CC390" s="52"/>
      <c r="CD390" s="118"/>
      <c r="CE390" s="52"/>
      <c r="CF390" s="52"/>
      <c r="CG390" s="52"/>
      <c r="CH390" s="52"/>
      <c r="CI390" s="52"/>
      <c r="CJ390" s="52"/>
      <c r="CK390" s="52"/>
      <c r="CL390" s="52"/>
      <c r="CM390" s="52"/>
      <c r="CN390" s="118"/>
      <c r="CO390" s="118"/>
      <c r="CP390" s="118"/>
      <c r="CQ390" s="52"/>
      <c r="CR390" s="52"/>
      <c r="CS390" s="52"/>
      <c r="CT390" s="52"/>
      <c r="CU390" s="52"/>
      <c r="CV390" s="52"/>
      <c r="CW390" s="52"/>
      <c r="CX390" s="52"/>
      <c r="CY390" s="52"/>
      <c r="CZ390" s="52"/>
      <c r="DA390" s="52"/>
      <c r="DB390" s="52"/>
    </row>
    <row r="391" spans="1:106" ht="27" x14ac:dyDescent="0.25">
      <c r="A391" s="411">
        <v>389</v>
      </c>
      <c r="B391" s="412" t="s">
        <v>4043</v>
      </c>
      <c r="C391" s="413" t="s">
        <v>622</v>
      </c>
      <c r="D391" s="426" t="s">
        <v>4044</v>
      </c>
      <c r="E391" s="80">
        <v>1</v>
      </c>
      <c r="F391" s="353">
        <v>99293.362000000008</v>
      </c>
      <c r="G391" s="293"/>
      <c r="H391" s="293"/>
      <c r="I391" s="293"/>
      <c r="J391" s="52"/>
      <c r="K391" s="52"/>
      <c r="L391" s="359"/>
      <c r="M391" s="360"/>
      <c r="N391" s="361"/>
      <c r="O391" s="33"/>
      <c r="P391" s="252"/>
      <c r="Q391" s="113"/>
      <c r="R391" s="113"/>
      <c r="S391" s="113"/>
      <c r="T391" s="52"/>
      <c r="U391" s="5"/>
      <c r="V391" s="231"/>
      <c r="W391" s="231"/>
      <c r="X391" s="231"/>
      <c r="Y391" s="113"/>
      <c r="Z391" s="357"/>
      <c r="AA391" s="118" t="s">
        <v>2877</v>
      </c>
      <c r="AB391" s="118"/>
      <c r="AC391" s="118"/>
      <c r="AD391" s="52"/>
      <c r="AE391" s="5"/>
      <c r="AF391" s="358"/>
      <c r="AG391" s="358"/>
      <c r="AH391" s="358"/>
      <c r="AI391" s="358"/>
      <c r="AJ391" s="358"/>
      <c r="AK391" s="113"/>
      <c r="AL391" s="113"/>
      <c r="AM391" s="113"/>
      <c r="AN391" s="113"/>
      <c r="AO391" s="113"/>
      <c r="AP391" s="52"/>
      <c r="AQ391" s="52"/>
      <c r="AR391" s="52"/>
      <c r="AS391" s="52"/>
      <c r="AT391" s="52"/>
      <c r="AU391" s="125"/>
      <c r="AV391" s="125"/>
      <c r="AW391" s="125"/>
      <c r="AX391" s="5"/>
      <c r="AY391" s="5"/>
      <c r="AZ391" s="113"/>
      <c r="BA391" s="113"/>
      <c r="BB391" s="113"/>
      <c r="BC391" s="52"/>
      <c r="BD391" s="52">
        <v>526</v>
      </c>
      <c r="BE391" s="118"/>
      <c r="BF391" s="118"/>
      <c r="BG391" s="118"/>
      <c r="BH391" s="52"/>
      <c r="BI391" s="283"/>
      <c r="BJ391" s="52"/>
      <c r="BK391" s="52"/>
      <c r="BL391" s="52"/>
      <c r="BM391" s="52"/>
      <c r="BN391" s="52"/>
      <c r="BO391" s="52"/>
      <c r="BP391" s="52"/>
      <c r="BQ391" s="52"/>
      <c r="BR391" s="52"/>
      <c r="BS391" s="52"/>
      <c r="BT391" s="52"/>
      <c r="BU391" s="52"/>
      <c r="BV391" s="52"/>
      <c r="BW391" s="52"/>
      <c r="BX391" s="52"/>
      <c r="BY391" s="52"/>
      <c r="BZ391" s="52"/>
      <c r="CA391" s="52"/>
      <c r="CB391" s="52"/>
      <c r="CC391" s="52"/>
      <c r="CD391" s="118"/>
      <c r="CE391" s="52"/>
      <c r="CF391" s="52"/>
      <c r="CG391" s="52"/>
      <c r="CH391" s="52"/>
      <c r="CI391" s="52"/>
      <c r="CJ391" s="52"/>
      <c r="CK391" s="52"/>
      <c r="CL391" s="52"/>
      <c r="CM391" s="52"/>
      <c r="CN391" s="118"/>
      <c r="CO391" s="118"/>
      <c r="CP391" s="118"/>
      <c r="CQ391" s="52"/>
      <c r="CR391" s="52"/>
      <c r="CS391" s="52"/>
      <c r="CT391" s="52"/>
      <c r="CU391" s="52"/>
      <c r="CV391" s="52"/>
      <c r="CW391" s="52"/>
      <c r="CX391" s="52"/>
      <c r="CY391" s="52"/>
      <c r="CZ391" s="52"/>
      <c r="DA391" s="52"/>
      <c r="DB391" s="52"/>
    </row>
    <row r="392" spans="1:106" ht="13.5" x14ac:dyDescent="0.25">
      <c r="A392" s="411">
        <v>390</v>
      </c>
      <c r="B392" s="412" t="s">
        <v>4045</v>
      </c>
      <c r="C392" s="413" t="s">
        <v>622</v>
      </c>
      <c r="D392" s="426" t="s">
        <v>4046</v>
      </c>
      <c r="E392" s="80">
        <v>1</v>
      </c>
      <c r="F392" s="355">
        <v>389447.34500000003</v>
      </c>
      <c r="G392" s="293"/>
      <c r="H392" s="293"/>
      <c r="I392" s="293"/>
      <c r="J392" s="52"/>
      <c r="K392" s="52"/>
      <c r="L392" s="359"/>
      <c r="M392" s="360"/>
      <c r="N392" s="361"/>
      <c r="O392" s="33"/>
      <c r="P392" s="252"/>
      <c r="Q392" s="113"/>
      <c r="R392" s="113"/>
      <c r="S392" s="113"/>
      <c r="T392" s="52"/>
      <c r="U392" s="5"/>
      <c r="V392" s="231"/>
      <c r="W392" s="231"/>
      <c r="X392" s="231"/>
      <c r="Y392" s="113"/>
      <c r="Z392" s="357"/>
      <c r="AA392" s="118" t="s">
        <v>2877</v>
      </c>
      <c r="AB392" s="118"/>
      <c r="AC392" s="118"/>
      <c r="AD392" s="52"/>
      <c r="AE392" s="5"/>
      <c r="AF392" s="358"/>
      <c r="AG392" s="358"/>
      <c r="AH392" s="358"/>
      <c r="AI392" s="358"/>
      <c r="AJ392" s="358"/>
      <c r="AK392" s="113"/>
      <c r="AL392" s="113"/>
      <c r="AM392" s="113"/>
      <c r="AN392" s="113"/>
      <c r="AO392" s="113"/>
      <c r="AP392" s="52"/>
      <c r="AQ392" s="52"/>
      <c r="AR392" s="52"/>
      <c r="AS392" s="52"/>
      <c r="AT392" s="52"/>
      <c r="AU392" s="125"/>
      <c r="AV392" s="125"/>
      <c r="AW392" s="125"/>
      <c r="AX392" s="5"/>
      <c r="AY392" s="5"/>
      <c r="AZ392" s="113"/>
      <c r="BA392" s="113"/>
      <c r="BB392" s="113"/>
      <c r="BC392" s="52"/>
      <c r="BD392" s="52"/>
      <c r="BE392" s="118"/>
      <c r="BF392" s="118"/>
      <c r="BG392" s="118"/>
      <c r="BH392" s="52"/>
      <c r="BI392" s="283"/>
      <c r="BJ392" s="52"/>
      <c r="BK392" s="52"/>
      <c r="BL392" s="52"/>
      <c r="BM392" s="52"/>
      <c r="BN392" s="52"/>
      <c r="BO392" s="52"/>
      <c r="BP392" s="52"/>
      <c r="BQ392" s="52"/>
      <c r="BR392" s="52"/>
      <c r="BS392" s="52"/>
      <c r="BT392" s="52"/>
      <c r="BU392" s="52"/>
      <c r="BV392" s="52"/>
      <c r="BW392" s="52"/>
      <c r="BX392" s="52"/>
      <c r="BY392" s="52"/>
      <c r="BZ392" s="52"/>
      <c r="CA392" s="52"/>
      <c r="CB392" s="52"/>
      <c r="CC392" s="52"/>
      <c r="CD392" s="118"/>
      <c r="CE392" s="52"/>
      <c r="CF392" s="52"/>
      <c r="CG392" s="52"/>
      <c r="CH392" s="52"/>
      <c r="CI392" s="52"/>
      <c r="CJ392" s="52"/>
      <c r="CK392" s="52"/>
      <c r="CL392" s="52"/>
      <c r="CM392" s="52"/>
      <c r="CN392" s="118"/>
      <c r="CO392" s="118"/>
      <c r="CP392" s="118"/>
      <c r="CQ392" s="52"/>
      <c r="CR392" s="52"/>
      <c r="CS392" s="52"/>
      <c r="CT392" s="52"/>
      <c r="CU392" s="52"/>
      <c r="CV392" s="52"/>
      <c r="CW392" s="52"/>
      <c r="CX392" s="52"/>
      <c r="CY392" s="52"/>
      <c r="CZ392" s="52"/>
      <c r="DA392" s="52"/>
      <c r="DB392" s="52"/>
    </row>
    <row r="393" spans="1:106" ht="13.5" x14ac:dyDescent="0.25">
      <c r="A393" s="411">
        <v>391</v>
      </c>
      <c r="B393" s="412" t="s">
        <v>4047</v>
      </c>
      <c r="C393" s="413" t="s">
        <v>622</v>
      </c>
      <c r="D393" s="426" t="s">
        <v>4048</v>
      </c>
      <c r="E393" s="80">
        <v>1</v>
      </c>
      <c r="F393" s="353">
        <v>191045.45600000001</v>
      </c>
      <c r="G393" s="293"/>
      <c r="H393" s="293"/>
      <c r="I393" s="293"/>
      <c r="J393" s="52"/>
      <c r="K393" s="52"/>
      <c r="L393" s="359"/>
      <c r="M393" s="360"/>
      <c r="N393" s="361"/>
      <c r="O393" s="33"/>
      <c r="P393" s="252"/>
      <c r="Q393" s="113"/>
      <c r="R393" s="113"/>
      <c r="S393" s="113"/>
      <c r="T393" s="52"/>
      <c r="U393" s="5"/>
      <c r="V393" s="231"/>
      <c r="W393" s="231"/>
      <c r="X393" s="231"/>
      <c r="Y393" s="113"/>
      <c r="Z393" s="357"/>
      <c r="AA393" s="118" t="s">
        <v>2877</v>
      </c>
      <c r="AB393" s="118"/>
      <c r="AC393" s="118"/>
      <c r="AD393" s="52"/>
      <c r="AE393" s="5"/>
      <c r="AF393" s="358"/>
      <c r="AG393" s="358"/>
      <c r="AH393" s="358"/>
      <c r="AI393" s="358"/>
      <c r="AJ393" s="358"/>
      <c r="AK393" s="113"/>
      <c r="AL393" s="113"/>
      <c r="AM393" s="113"/>
      <c r="AN393" s="113"/>
      <c r="AO393" s="113"/>
      <c r="AP393" s="52"/>
      <c r="AQ393" s="52"/>
      <c r="AR393" s="52"/>
      <c r="AS393" s="52"/>
      <c r="AT393" s="52"/>
      <c r="AU393" s="125"/>
      <c r="AV393" s="125"/>
      <c r="AW393" s="125"/>
      <c r="AX393" s="5"/>
      <c r="AY393" s="5"/>
      <c r="AZ393" s="113">
        <v>175000</v>
      </c>
      <c r="BA393" s="113">
        <v>33250</v>
      </c>
      <c r="BB393" s="113">
        <v>208250</v>
      </c>
      <c r="BC393" s="52" t="s">
        <v>3897</v>
      </c>
      <c r="BD393" s="52" t="s">
        <v>4049</v>
      </c>
      <c r="BE393" s="118"/>
      <c r="BF393" s="118"/>
      <c r="BG393" s="118"/>
      <c r="BH393" s="52"/>
      <c r="BI393" s="283"/>
      <c r="BJ393" s="52"/>
      <c r="BK393" s="52"/>
      <c r="BL393" s="52"/>
      <c r="BM393" s="52"/>
      <c r="BN393" s="52"/>
      <c r="BO393" s="52"/>
      <c r="BP393" s="52"/>
      <c r="BQ393" s="52"/>
      <c r="BR393" s="52"/>
      <c r="BS393" s="52"/>
      <c r="BT393" s="52"/>
      <c r="BU393" s="52"/>
      <c r="BV393" s="52"/>
      <c r="BW393" s="52"/>
      <c r="BX393" s="52"/>
      <c r="BY393" s="52"/>
      <c r="BZ393" s="52"/>
      <c r="CA393" s="52"/>
      <c r="CB393" s="52"/>
      <c r="CC393" s="52"/>
      <c r="CD393" s="118"/>
      <c r="CE393" s="52"/>
      <c r="CF393" s="52"/>
      <c r="CG393" s="52"/>
      <c r="CH393" s="52"/>
      <c r="CI393" s="52"/>
      <c r="CJ393" s="52"/>
      <c r="CK393" s="52"/>
      <c r="CL393" s="52"/>
      <c r="CM393" s="52"/>
      <c r="CN393" s="118"/>
      <c r="CO393" s="118"/>
      <c r="CP393" s="118"/>
      <c r="CQ393" s="52"/>
      <c r="CR393" s="52"/>
      <c r="CS393" s="52"/>
      <c r="CT393" s="52"/>
      <c r="CU393" s="52"/>
      <c r="CV393" s="52"/>
      <c r="CW393" s="52"/>
      <c r="CX393" s="52"/>
      <c r="CY393" s="52"/>
      <c r="CZ393" s="52"/>
      <c r="DA393" s="52"/>
      <c r="DB393" s="52"/>
    </row>
    <row r="394" spans="1:106" ht="13.5" x14ac:dyDescent="0.25">
      <c r="A394" s="411">
        <v>392</v>
      </c>
      <c r="B394" s="412" t="s">
        <v>4050</v>
      </c>
      <c r="C394" s="413" t="s">
        <v>622</v>
      </c>
      <c r="D394" s="426" t="s">
        <v>413</v>
      </c>
      <c r="E394" s="80">
        <v>1</v>
      </c>
      <c r="F394" s="353">
        <v>243872.35520000002</v>
      </c>
      <c r="G394" s="293">
        <v>168600</v>
      </c>
      <c r="H394" s="293">
        <v>32034</v>
      </c>
      <c r="I394" s="293">
        <v>200634</v>
      </c>
      <c r="J394" s="52" t="s">
        <v>4051</v>
      </c>
      <c r="K394" s="52" t="s">
        <v>4052</v>
      </c>
      <c r="L394" s="359"/>
      <c r="M394" s="360"/>
      <c r="N394" s="361"/>
      <c r="O394" s="33"/>
      <c r="P394" s="252"/>
      <c r="Q394" s="113"/>
      <c r="R394" s="113"/>
      <c r="S394" s="113"/>
      <c r="T394" s="52"/>
      <c r="U394" s="5"/>
      <c r="V394" s="231"/>
      <c r="W394" s="231"/>
      <c r="X394" s="231"/>
      <c r="Y394" s="113"/>
      <c r="Z394" s="357"/>
      <c r="AA394" s="118" t="s">
        <v>2877</v>
      </c>
      <c r="AB394" s="118"/>
      <c r="AC394" s="118"/>
      <c r="AD394" s="52"/>
      <c r="AE394" s="5"/>
      <c r="AF394" s="358"/>
      <c r="AG394" s="358"/>
      <c r="AH394" s="358"/>
      <c r="AI394" s="358"/>
      <c r="AJ394" s="358"/>
      <c r="AK394" s="113"/>
      <c r="AL394" s="113"/>
      <c r="AM394" s="113"/>
      <c r="AN394" s="113"/>
      <c r="AO394" s="113"/>
      <c r="AP394" s="52"/>
      <c r="AQ394" s="52"/>
      <c r="AR394" s="52"/>
      <c r="AS394" s="52"/>
      <c r="AT394" s="52"/>
      <c r="AU394" s="125"/>
      <c r="AV394" s="125"/>
      <c r="AW394" s="125"/>
      <c r="AX394" s="5"/>
      <c r="AY394" s="5"/>
      <c r="AZ394" s="113"/>
      <c r="BA394" s="113"/>
      <c r="BB394" s="113"/>
      <c r="BC394" s="52"/>
      <c r="BD394" s="52"/>
      <c r="BE394" s="118"/>
      <c r="BF394" s="118"/>
      <c r="BG394" s="118"/>
      <c r="BH394" s="52"/>
      <c r="BI394" s="283"/>
      <c r="BJ394" s="52"/>
      <c r="BK394" s="52"/>
      <c r="BL394" s="52"/>
      <c r="BM394" s="52"/>
      <c r="BN394" s="52"/>
      <c r="BO394" s="52"/>
      <c r="BP394" s="52"/>
      <c r="BQ394" s="52"/>
      <c r="BR394" s="52"/>
      <c r="BS394" s="52"/>
      <c r="BT394" s="52"/>
      <c r="BU394" s="52"/>
      <c r="BV394" s="52"/>
      <c r="BW394" s="52"/>
      <c r="BX394" s="52"/>
      <c r="BY394" s="52"/>
      <c r="BZ394" s="52"/>
      <c r="CA394" s="52"/>
      <c r="CB394" s="52"/>
      <c r="CC394" s="52"/>
      <c r="CD394" s="118">
        <v>121849</v>
      </c>
      <c r="CE394" s="118">
        <f t="shared" ref="CE394" si="42">+CD394*0.19</f>
        <v>23151.31</v>
      </c>
      <c r="CF394" s="118">
        <f t="shared" ref="CF394" si="43">+CD394+CE394</f>
        <v>145000.31</v>
      </c>
      <c r="CG394" s="52" t="s">
        <v>4053</v>
      </c>
      <c r="CH394" s="52">
        <v>4901004</v>
      </c>
      <c r="CI394" s="52"/>
      <c r="CJ394" s="52"/>
      <c r="CK394" s="52"/>
      <c r="CL394" s="52"/>
      <c r="CM394" s="52"/>
      <c r="CN394" s="118"/>
      <c r="CO394" s="118"/>
      <c r="CP394" s="118"/>
      <c r="CQ394" s="52"/>
      <c r="CR394" s="52"/>
      <c r="CS394" s="52"/>
      <c r="CT394" s="52"/>
      <c r="CU394" s="52"/>
      <c r="CV394" s="52"/>
      <c r="CW394" s="52"/>
      <c r="CX394" s="52"/>
      <c r="CY394" s="52"/>
      <c r="CZ394" s="52"/>
      <c r="DA394" s="52"/>
      <c r="DB394" s="52"/>
    </row>
    <row r="395" spans="1:106" ht="27" x14ac:dyDescent="0.25">
      <c r="A395" s="411">
        <v>393</v>
      </c>
      <c r="B395" s="412" t="s">
        <v>4054</v>
      </c>
      <c r="C395" s="413" t="s">
        <v>622</v>
      </c>
      <c r="D395" s="426" t="s">
        <v>4055</v>
      </c>
      <c r="E395" s="80">
        <v>1</v>
      </c>
      <c r="F395" s="355">
        <v>569477.6912</v>
      </c>
      <c r="G395" s="293"/>
      <c r="H395" s="293"/>
      <c r="I395" s="293"/>
      <c r="J395" s="52"/>
      <c r="K395" s="52"/>
      <c r="L395" s="359"/>
      <c r="M395" s="360"/>
      <c r="N395" s="361"/>
      <c r="O395" s="33"/>
      <c r="P395" s="252"/>
      <c r="Q395" s="113"/>
      <c r="R395" s="113"/>
      <c r="S395" s="113"/>
      <c r="T395" s="52"/>
      <c r="U395" s="5"/>
      <c r="V395" s="231"/>
      <c r="W395" s="231"/>
      <c r="X395" s="231"/>
      <c r="Y395" s="113"/>
      <c r="Z395" s="357"/>
      <c r="AA395" s="118" t="s">
        <v>2877</v>
      </c>
      <c r="AB395" s="118"/>
      <c r="AC395" s="118"/>
      <c r="AD395" s="52"/>
      <c r="AE395" s="5"/>
      <c r="AF395" s="358"/>
      <c r="AG395" s="358"/>
      <c r="AH395" s="358"/>
      <c r="AI395" s="358"/>
      <c r="AJ395" s="358"/>
      <c r="AK395" s="113"/>
      <c r="AL395" s="113"/>
      <c r="AM395" s="113"/>
      <c r="AN395" s="113"/>
      <c r="AO395" s="113"/>
      <c r="AP395" s="52"/>
      <c r="AQ395" s="52"/>
      <c r="AR395" s="52"/>
      <c r="AS395" s="52"/>
      <c r="AT395" s="52"/>
      <c r="AU395" s="125"/>
      <c r="AV395" s="125"/>
      <c r="AW395" s="125"/>
      <c r="AX395" s="5"/>
      <c r="AY395" s="5"/>
      <c r="AZ395" s="113"/>
      <c r="BA395" s="113"/>
      <c r="BB395" s="113"/>
      <c r="BC395" s="52"/>
      <c r="BD395" s="52"/>
      <c r="BE395" s="118"/>
      <c r="BF395" s="118"/>
      <c r="BG395" s="118"/>
      <c r="BH395" s="52"/>
      <c r="BI395" s="283"/>
      <c r="BJ395" s="52"/>
      <c r="BK395" s="52"/>
      <c r="BL395" s="52"/>
      <c r="BM395" s="52"/>
      <c r="BN395" s="52"/>
      <c r="BO395" s="52"/>
      <c r="BP395" s="52"/>
      <c r="BQ395" s="52"/>
      <c r="BR395" s="52"/>
      <c r="BS395" s="52"/>
      <c r="BT395" s="52"/>
      <c r="BU395" s="52"/>
      <c r="BV395" s="52"/>
      <c r="BW395" s="52"/>
      <c r="BX395" s="52"/>
      <c r="BY395" s="52"/>
      <c r="BZ395" s="52"/>
      <c r="CA395" s="52"/>
      <c r="CB395" s="52"/>
      <c r="CC395" s="52"/>
      <c r="CD395" s="118"/>
      <c r="CE395" s="52"/>
      <c r="CF395" s="52"/>
      <c r="CG395" s="52"/>
      <c r="CH395" s="52"/>
      <c r="CI395" s="52"/>
      <c r="CJ395" s="52"/>
      <c r="CK395" s="52"/>
      <c r="CL395" s="52"/>
      <c r="CM395" s="52"/>
      <c r="CN395" s="118"/>
      <c r="CO395" s="118"/>
      <c r="CP395" s="118"/>
      <c r="CQ395" s="52"/>
      <c r="CR395" s="52"/>
      <c r="CS395" s="52"/>
      <c r="CT395" s="52"/>
      <c r="CU395" s="52"/>
      <c r="CV395" s="52"/>
      <c r="CW395" s="52"/>
      <c r="CX395" s="52"/>
      <c r="CY395" s="52"/>
      <c r="CZ395" s="52"/>
      <c r="DA395" s="52"/>
      <c r="DB395" s="52"/>
    </row>
    <row r="396" spans="1:106" ht="27" x14ac:dyDescent="0.25">
      <c r="A396" s="411">
        <v>394</v>
      </c>
      <c r="B396" s="412" t="s">
        <v>4056</v>
      </c>
      <c r="C396" s="413" t="s">
        <v>622</v>
      </c>
      <c r="D396" s="426" t="s">
        <v>445</v>
      </c>
      <c r="E396" s="80">
        <v>1</v>
      </c>
      <c r="F396" s="355">
        <v>44279.0726</v>
      </c>
      <c r="G396" s="293"/>
      <c r="H396" s="293"/>
      <c r="I396" s="293"/>
      <c r="J396" s="52"/>
      <c r="K396" s="52"/>
      <c r="L396" s="359"/>
      <c r="M396" s="360"/>
      <c r="N396" s="361"/>
      <c r="O396" s="33"/>
      <c r="P396" s="252"/>
      <c r="Q396" s="113"/>
      <c r="R396" s="113"/>
      <c r="S396" s="113"/>
      <c r="T396" s="52"/>
      <c r="U396" s="5"/>
      <c r="V396" s="231"/>
      <c r="W396" s="231"/>
      <c r="X396" s="231"/>
      <c r="Y396" s="113"/>
      <c r="Z396" s="357"/>
      <c r="AA396" s="118" t="s">
        <v>2877</v>
      </c>
      <c r="AB396" s="118"/>
      <c r="AC396" s="118"/>
      <c r="AD396" s="52"/>
      <c r="AE396" s="5"/>
      <c r="AF396" s="358"/>
      <c r="AG396" s="358"/>
      <c r="AH396" s="358"/>
      <c r="AI396" s="358"/>
      <c r="AJ396" s="358"/>
      <c r="AK396" s="113"/>
      <c r="AL396" s="113"/>
      <c r="AM396" s="113"/>
      <c r="AN396" s="113"/>
      <c r="AO396" s="113"/>
      <c r="AP396" s="52"/>
      <c r="AQ396" s="52"/>
      <c r="AR396" s="52"/>
      <c r="AS396" s="52"/>
      <c r="AT396" s="52"/>
      <c r="AU396" s="125"/>
      <c r="AV396" s="125"/>
      <c r="AW396" s="125"/>
      <c r="AX396" s="5"/>
      <c r="AY396" s="5"/>
      <c r="AZ396" s="113"/>
      <c r="BA396" s="113"/>
      <c r="BB396" s="113"/>
      <c r="BC396" s="52"/>
      <c r="BD396" s="52"/>
      <c r="BE396" s="118"/>
      <c r="BF396" s="118"/>
      <c r="BG396" s="118"/>
      <c r="BH396" s="52"/>
      <c r="BI396" s="283"/>
      <c r="BJ396" s="52"/>
      <c r="BK396" s="52"/>
      <c r="BL396" s="52"/>
      <c r="BM396" s="52"/>
      <c r="BN396" s="52"/>
      <c r="BO396" s="52"/>
      <c r="BP396" s="52"/>
      <c r="BQ396" s="52"/>
      <c r="BR396" s="52"/>
      <c r="BS396" s="52"/>
      <c r="BT396" s="52"/>
      <c r="BU396" s="52"/>
      <c r="BV396" s="52"/>
      <c r="BW396" s="52"/>
      <c r="BX396" s="52"/>
      <c r="BY396" s="52"/>
      <c r="BZ396" s="52"/>
      <c r="CA396" s="52"/>
      <c r="CB396" s="52"/>
      <c r="CC396" s="52"/>
      <c r="CD396" s="118"/>
      <c r="CE396" s="52"/>
      <c r="CF396" s="52"/>
      <c r="CG396" s="52"/>
      <c r="CH396" s="52"/>
      <c r="CI396" s="52"/>
      <c r="CJ396" s="52"/>
      <c r="CK396" s="52"/>
      <c r="CL396" s="52"/>
      <c r="CM396" s="52"/>
      <c r="CN396" s="118"/>
      <c r="CO396" s="118"/>
      <c r="CP396" s="118"/>
      <c r="CQ396" s="52"/>
      <c r="CR396" s="52"/>
      <c r="CS396" s="52"/>
      <c r="CT396" s="52"/>
      <c r="CU396" s="52"/>
      <c r="CV396" s="52"/>
      <c r="CW396" s="52"/>
      <c r="CX396" s="52"/>
      <c r="CY396" s="52"/>
      <c r="CZ396" s="52"/>
      <c r="DA396" s="52"/>
      <c r="DB396" s="52"/>
    </row>
    <row r="397" spans="1:106" ht="13.5" x14ac:dyDescent="0.25">
      <c r="A397" s="411">
        <v>395</v>
      </c>
      <c r="B397" s="409" t="s">
        <v>4057</v>
      </c>
      <c r="C397" s="563" t="s">
        <v>622</v>
      </c>
      <c r="D397" s="409" t="s">
        <v>445</v>
      </c>
      <c r="E397" s="80">
        <v>1</v>
      </c>
      <c r="F397" s="80"/>
      <c r="G397" s="293"/>
      <c r="H397" s="293"/>
      <c r="I397" s="293"/>
      <c r="J397" s="52"/>
      <c r="K397" s="52"/>
      <c r="L397" s="359"/>
      <c r="M397" s="360"/>
      <c r="N397" s="361"/>
      <c r="O397" s="33"/>
      <c r="P397" s="252"/>
      <c r="Q397" s="113"/>
      <c r="R397" s="113"/>
      <c r="S397" s="113"/>
      <c r="T397" s="52"/>
      <c r="U397" s="5"/>
      <c r="V397" s="231"/>
      <c r="W397" s="231"/>
      <c r="X397" s="231"/>
      <c r="Y397" s="113"/>
      <c r="Z397" s="357"/>
      <c r="AA397" s="118" t="s">
        <v>2877</v>
      </c>
      <c r="AB397" s="118"/>
      <c r="AC397" s="118"/>
      <c r="AD397" s="52"/>
      <c r="AE397" s="5"/>
      <c r="AF397" s="358"/>
      <c r="AG397" s="358"/>
      <c r="AH397" s="358"/>
      <c r="AI397" s="358"/>
      <c r="AJ397" s="358"/>
      <c r="AK397" s="113"/>
      <c r="AL397" s="113"/>
      <c r="AM397" s="113"/>
      <c r="AN397" s="113"/>
      <c r="AO397" s="113"/>
      <c r="AP397" s="52"/>
      <c r="AQ397" s="52"/>
      <c r="AR397" s="52"/>
      <c r="AS397" s="52"/>
      <c r="AT397" s="52"/>
      <c r="AU397" s="125"/>
      <c r="AV397" s="125"/>
      <c r="AW397" s="125"/>
      <c r="AX397" s="5"/>
      <c r="AY397" s="5"/>
      <c r="AZ397" s="113">
        <v>57000</v>
      </c>
      <c r="BA397" s="113">
        <v>10830</v>
      </c>
      <c r="BB397" s="113">
        <v>67830</v>
      </c>
      <c r="BC397" s="52" t="s">
        <v>4058</v>
      </c>
      <c r="BD397" s="52" t="s">
        <v>4059</v>
      </c>
      <c r="BE397" s="118"/>
      <c r="BF397" s="118"/>
      <c r="BG397" s="118"/>
      <c r="BH397" s="52"/>
      <c r="BI397" s="283"/>
      <c r="BJ397" s="52"/>
      <c r="BK397" s="52"/>
      <c r="BL397" s="52"/>
      <c r="BM397" s="52"/>
      <c r="BN397" s="52"/>
      <c r="BO397" s="52"/>
      <c r="BP397" s="52"/>
      <c r="BQ397" s="52"/>
      <c r="BR397" s="52"/>
      <c r="BS397" s="52"/>
      <c r="BT397" s="52"/>
      <c r="BU397" s="52"/>
      <c r="BV397" s="52"/>
      <c r="BW397" s="52"/>
      <c r="BX397" s="52"/>
      <c r="BY397" s="52"/>
      <c r="BZ397" s="52"/>
      <c r="CA397" s="52"/>
      <c r="CB397" s="52"/>
      <c r="CC397" s="52"/>
      <c r="CD397" s="118"/>
      <c r="CE397" s="52"/>
      <c r="CF397" s="52"/>
      <c r="CG397" s="52"/>
      <c r="CH397" s="52"/>
      <c r="CI397" s="52"/>
      <c r="CJ397" s="52"/>
      <c r="CK397" s="52"/>
      <c r="CL397" s="52"/>
      <c r="CM397" s="52"/>
      <c r="CN397" s="118"/>
      <c r="CO397" s="118"/>
      <c r="CP397" s="118"/>
      <c r="CQ397" s="52"/>
      <c r="CR397" s="52"/>
      <c r="CS397" s="52"/>
      <c r="CT397" s="52"/>
      <c r="CU397" s="52"/>
      <c r="CV397" s="52"/>
      <c r="CW397" s="52"/>
      <c r="CX397" s="52"/>
      <c r="CY397" s="52"/>
      <c r="CZ397" s="52"/>
      <c r="DA397" s="52"/>
      <c r="DB397" s="52"/>
    </row>
    <row r="398" spans="1:106" ht="13.5" x14ac:dyDescent="0.25">
      <c r="A398" s="411">
        <v>396</v>
      </c>
      <c r="B398" s="412" t="s">
        <v>4060</v>
      </c>
      <c r="C398" s="413" t="s">
        <v>622</v>
      </c>
      <c r="D398" s="426" t="s">
        <v>445</v>
      </c>
      <c r="E398" s="80">
        <v>1</v>
      </c>
      <c r="F398" s="353">
        <v>55302.632000000005</v>
      </c>
      <c r="G398" s="293"/>
      <c r="H398" s="293"/>
      <c r="I398" s="293"/>
      <c r="J398" s="52"/>
      <c r="K398" s="52"/>
      <c r="L398" s="359"/>
      <c r="M398" s="360"/>
      <c r="N398" s="361"/>
      <c r="O398" s="33"/>
      <c r="P398" s="252"/>
      <c r="Q398" s="113"/>
      <c r="R398" s="113"/>
      <c r="S398" s="113"/>
      <c r="T398" s="52"/>
      <c r="U398" s="5"/>
      <c r="V398" s="231"/>
      <c r="W398" s="231"/>
      <c r="X398" s="231"/>
      <c r="Y398" s="113"/>
      <c r="Z398" s="357"/>
      <c r="AA398" s="118" t="s">
        <v>2877</v>
      </c>
      <c r="AB398" s="118"/>
      <c r="AC398" s="118"/>
      <c r="AD398" s="52"/>
      <c r="AE398" s="5"/>
      <c r="AF398" s="358"/>
      <c r="AG398" s="358"/>
      <c r="AH398" s="358"/>
      <c r="AI398" s="358"/>
      <c r="AJ398" s="358"/>
      <c r="AK398" s="113"/>
      <c r="AL398" s="113"/>
      <c r="AM398" s="113"/>
      <c r="AN398" s="113"/>
      <c r="AO398" s="113"/>
      <c r="AP398" s="52"/>
      <c r="AQ398" s="52"/>
      <c r="AR398" s="52"/>
      <c r="AS398" s="52"/>
      <c r="AT398" s="52"/>
      <c r="AU398" s="125"/>
      <c r="AV398" s="125"/>
      <c r="AW398" s="125"/>
      <c r="AX398" s="5"/>
      <c r="AY398" s="5"/>
      <c r="AZ398" s="113">
        <v>40000</v>
      </c>
      <c r="BA398" s="113">
        <v>7600</v>
      </c>
      <c r="BB398" s="113">
        <v>47600</v>
      </c>
      <c r="BC398" s="52" t="s">
        <v>4061</v>
      </c>
      <c r="BD398" s="52">
        <v>1525</v>
      </c>
      <c r="BE398" s="118"/>
      <c r="BF398" s="118"/>
      <c r="BG398" s="118"/>
      <c r="BH398" s="52"/>
      <c r="BI398" s="283"/>
      <c r="BJ398" s="52"/>
      <c r="BK398" s="52"/>
      <c r="BL398" s="52"/>
      <c r="BM398" s="52"/>
      <c r="BN398" s="52"/>
      <c r="BO398" s="52"/>
      <c r="BP398" s="52"/>
      <c r="BQ398" s="52"/>
      <c r="BR398" s="52"/>
      <c r="BS398" s="52"/>
      <c r="BT398" s="52"/>
      <c r="BU398" s="52"/>
      <c r="BV398" s="52"/>
      <c r="BW398" s="52"/>
      <c r="BX398" s="52"/>
      <c r="BY398" s="52"/>
      <c r="BZ398" s="52"/>
      <c r="CA398" s="52"/>
      <c r="CB398" s="52"/>
      <c r="CC398" s="52"/>
      <c r="CD398" s="118"/>
      <c r="CE398" s="52"/>
      <c r="CF398" s="52"/>
      <c r="CG398" s="52"/>
      <c r="CH398" s="52"/>
      <c r="CI398" s="52"/>
      <c r="CJ398" s="52"/>
      <c r="CK398" s="52"/>
      <c r="CL398" s="52"/>
      <c r="CM398" s="52"/>
      <c r="CN398" s="118"/>
      <c r="CO398" s="118"/>
      <c r="CP398" s="118"/>
      <c r="CQ398" s="52"/>
      <c r="CR398" s="52"/>
      <c r="CS398" s="52"/>
      <c r="CT398" s="52"/>
      <c r="CU398" s="52"/>
      <c r="CV398" s="52"/>
      <c r="CW398" s="52"/>
      <c r="CX398" s="52"/>
      <c r="CY398" s="52"/>
      <c r="CZ398" s="52"/>
      <c r="DA398" s="52"/>
      <c r="DB398" s="52"/>
    </row>
    <row r="399" spans="1:106" ht="13.5" x14ac:dyDescent="0.25">
      <c r="A399" s="411">
        <v>397</v>
      </c>
      <c r="B399" s="409" t="s">
        <v>4062</v>
      </c>
      <c r="C399" s="563" t="s">
        <v>622</v>
      </c>
      <c r="D399" s="409" t="s">
        <v>3721</v>
      </c>
      <c r="E399" s="80">
        <v>1</v>
      </c>
      <c r="F399" s="353">
        <v>46504.486000000004</v>
      </c>
      <c r="G399" s="293"/>
      <c r="H399" s="293"/>
      <c r="I399" s="293"/>
      <c r="J399" s="52"/>
      <c r="K399" s="52"/>
      <c r="L399" s="359"/>
      <c r="M399" s="360"/>
      <c r="N399" s="361"/>
      <c r="O399" s="33"/>
      <c r="P399" s="252"/>
      <c r="Q399" s="113"/>
      <c r="R399" s="113"/>
      <c r="S399" s="113"/>
      <c r="T399" s="52"/>
      <c r="U399" s="5"/>
      <c r="V399" s="231"/>
      <c r="W399" s="231"/>
      <c r="X399" s="231"/>
      <c r="Y399" s="113"/>
      <c r="Z399" s="357"/>
      <c r="AA399" s="118" t="s">
        <v>2877</v>
      </c>
      <c r="AB399" s="118"/>
      <c r="AC399" s="118"/>
      <c r="AD399" s="52"/>
      <c r="AE399" s="5"/>
      <c r="AF399" s="358"/>
      <c r="AG399" s="358"/>
      <c r="AH399" s="358"/>
      <c r="AI399" s="358"/>
      <c r="AJ399" s="358"/>
      <c r="AK399" s="113"/>
      <c r="AL399" s="113"/>
      <c r="AM399" s="113"/>
      <c r="AN399" s="113"/>
      <c r="AO399" s="113"/>
      <c r="AP399" s="52"/>
      <c r="AQ399" s="52"/>
      <c r="AR399" s="52"/>
      <c r="AS399" s="52"/>
      <c r="AT399" s="52"/>
      <c r="AU399" s="125"/>
      <c r="AV399" s="125"/>
      <c r="AW399" s="125"/>
      <c r="AX399" s="5"/>
      <c r="AY399" s="5"/>
      <c r="AZ399" s="113"/>
      <c r="BA399" s="113"/>
      <c r="BB399" s="113"/>
      <c r="BC399" s="52"/>
      <c r="BD399" s="52"/>
      <c r="BE399" s="118"/>
      <c r="BF399" s="118"/>
      <c r="BG399" s="118"/>
      <c r="BH399" s="52"/>
      <c r="BI399" s="283"/>
      <c r="BJ399" s="52"/>
      <c r="BK399" s="52"/>
      <c r="BL399" s="52"/>
      <c r="BM399" s="52"/>
      <c r="BN399" s="52"/>
      <c r="BO399" s="52"/>
      <c r="BP399" s="52"/>
      <c r="BQ399" s="52"/>
      <c r="BR399" s="52"/>
      <c r="BS399" s="52"/>
      <c r="BT399" s="52"/>
      <c r="BU399" s="52"/>
      <c r="BV399" s="52"/>
      <c r="BW399" s="52"/>
      <c r="BX399" s="52"/>
      <c r="BY399" s="52"/>
      <c r="BZ399" s="52"/>
      <c r="CA399" s="52"/>
      <c r="CB399" s="52"/>
      <c r="CC399" s="52"/>
      <c r="CD399" s="118"/>
      <c r="CE399" s="52"/>
      <c r="CF399" s="52"/>
      <c r="CG399" s="52"/>
      <c r="CH399" s="52"/>
      <c r="CI399" s="52"/>
      <c r="CJ399" s="52"/>
      <c r="CK399" s="52"/>
      <c r="CL399" s="52"/>
      <c r="CM399" s="52"/>
      <c r="CN399" s="118"/>
      <c r="CO399" s="118"/>
      <c r="CP399" s="118"/>
      <c r="CQ399" s="52"/>
      <c r="CR399" s="52"/>
      <c r="CS399" s="52"/>
      <c r="CT399" s="52"/>
      <c r="CU399" s="52"/>
      <c r="CV399" s="52"/>
      <c r="CW399" s="52"/>
      <c r="CX399" s="52"/>
      <c r="CY399" s="52"/>
      <c r="CZ399" s="52"/>
      <c r="DA399" s="52"/>
      <c r="DB399" s="52"/>
    </row>
    <row r="400" spans="1:106" ht="13.5" x14ac:dyDescent="0.25">
      <c r="A400" s="411">
        <v>398</v>
      </c>
      <c r="B400" s="412" t="s">
        <v>4063</v>
      </c>
      <c r="C400" s="413" t="s">
        <v>622</v>
      </c>
      <c r="D400" s="426" t="s">
        <v>3721</v>
      </c>
      <c r="E400" s="80">
        <v>1</v>
      </c>
      <c r="F400" s="353">
        <v>52788.876000000004</v>
      </c>
      <c r="G400" s="293"/>
      <c r="H400" s="293"/>
      <c r="I400" s="293"/>
      <c r="J400" s="52"/>
      <c r="K400" s="52"/>
      <c r="L400" s="359"/>
      <c r="M400" s="360"/>
      <c r="N400" s="361"/>
      <c r="O400" s="33"/>
      <c r="P400" s="252"/>
      <c r="Q400" s="113"/>
      <c r="R400" s="113"/>
      <c r="S400" s="113"/>
      <c r="T400" s="52"/>
      <c r="U400" s="5"/>
      <c r="V400" s="231"/>
      <c r="W400" s="231"/>
      <c r="X400" s="231"/>
      <c r="Y400" s="113"/>
      <c r="Z400" s="357"/>
      <c r="AA400" s="118" t="s">
        <v>2877</v>
      </c>
      <c r="AB400" s="118"/>
      <c r="AC400" s="118"/>
      <c r="AD400" s="52"/>
      <c r="AE400" s="5"/>
      <c r="AF400" s="358"/>
      <c r="AG400" s="358"/>
      <c r="AH400" s="358"/>
      <c r="AI400" s="358"/>
      <c r="AJ400" s="358"/>
      <c r="AK400" s="113"/>
      <c r="AL400" s="113"/>
      <c r="AM400" s="113"/>
      <c r="AN400" s="113"/>
      <c r="AO400" s="113"/>
      <c r="AP400" s="52"/>
      <c r="AQ400" s="52"/>
      <c r="AR400" s="52"/>
      <c r="AS400" s="52"/>
      <c r="AT400" s="52"/>
      <c r="AU400" s="125"/>
      <c r="AV400" s="125"/>
      <c r="AW400" s="125"/>
      <c r="AX400" s="5"/>
      <c r="AY400" s="5"/>
      <c r="AZ400" s="113">
        <v>56000</v>
      </c>
      <c r="BA400" s="113">
        <v>10640</v>
      </c>
      <c r="BB400" s="113">
        <v>66640</v>
      </c>
      <c r="BC400" s="52" t="s">
        <v>4064</v>
      </c>
      <c r="BD400" s="52">
        <v>2482</v>
      </c>
      <c r="BE400" s="118"/>
      <c r="BF400" s="118"/>
      <c r="BG400" s="118"/>
      <c r="BH400" s="52"/>
      <c r="BI400" s="283"/>
      <c r="BJ400" s="52"/>
      <c r="BK400" s="52"/>
      <c r="BL400" s="52"/>
      <c r="BM400" s="52"/>
      <c r="BN400" s="52"/>
      <c r="BO400" s="52"/>
      <c r="BP400" s="52"/>
      <c r="BQ400" s="52"/>
      <c r="BR400" s="52"/>
      <c r="BS400" s="52"/>
      <c r="BT400" s="52"/>
      <c r="BU400" s="52"/>
      <c r="BV400" s="52"/>
      <c r="BW400" s="52"/>
      <c r="BX400" s="52"/>
      <c r="BY400" s="52"/>
      <c r="BZ400" s="52"/>
      <c r="CA400" s="52"/>
      <c r="CB400" s="52"/>
      <c r="CC400" s="52"/>
      <c r="CD400" s="118"/>
      <c r="CE400" s="52"/>
      <c r="CF400" s="52"/>
      <c r="CG400" s="52"/>
      <c r="CH400" s="52"/>
      <c r="CI400" s="52"/>
      <c r="CJ400" s="52"/>
      <c r="CK400" s="52"/>
      <c r="CL400" s="52"/>
      <c r="CM400" s="52"/>
      <c r="CN400" s="118"/>
      <c r="CO400" s="118"/>
      <c r="CP400" s="118"/>
      <c r="CQ400" s="52"/>
      <c r="CR400" s="52"/>
      <c r="CS400" s="52"/>
      <c r="CT400" s="52"/>
      <c r="CU400" s="52"/>
      <c r="CV400" s="52"/>
      <c r="CW400" s="52"/>
      <c r="CX400" s="52"/>
      <c r="CY400" s="52"/>
      <c r="CZ400" s="52"/>
      <c r="DA400" s="52"/>
      <c r="DB400" s="52"/>
    </row>
    <row r="401" spans="1:106" ht="13.5" x14ac:dyDescent="0.25">
      <c r="A401" s="411">
        <v>399</v>
      </c>
      <c r="B401" s="412" t="s">
        <v>4065</v>
      </c>
      <c r="C401" s="413" t="s">
        <v>622</v>
      </c>
      <c r="D401" s="426" t="s">
        <v>3721</v>
      </c>
      <c r="E401" s="80">
        <v>1</v>
      </c>
      <c r="F401" s="353"/>
      <c r="G401" s="293"/>
      <c r="H401" s="293"/>
      <c r="I401" s="293"/>
      <c r="J401" s="52"/>
      <c r="K401" s="52"/>
      <c r="L401" s="359"/>
      <c r="M401" s="360"/>
      <c r="N401" s="361"/>
      <c r="O401" s="33"/>
      <c r="P401" s="252"/>
      <c r="Q401" s="113"/>
      <c r="R401" s="113"/>
      <c r="S401" s="113"/>
      <c r="T401" s="52"/>
      <c r="U401" s="5"/>
      <c r="V401" s="231"/>
      <c r="W401" s="231"/>
      <c r="X401" s="231"/>
      <c r="Y401" s="113"/>
      <c r="Z401" s="357"/>
      <c r="AA401" s="118" t="s">
        <v>2877</v>
      </c>
      <c r="AB401" s="118"/>
      <c r="AC401" s="118"/>
      <c r="AD401" s="52"/>
      <c r="AE401" s="5"/>
      <c r="AF401" s="358"/>
      <c r="AG401" s="358"/>
      <c r="AH401" s="358"/>
      <c r="AI401" s="358"/>
      <c r="AJ401" s="358"/>
      <c r="AK401" s="113"/>
      <c r="AL401" s="113"/>
      <c r="AM401" s="113"/>
      <c r="AN401" s="113"/>
      <c r="AO401" s="113"/>
      <c r="AP401" s="52"/>
      <c r="AQ401" s="52"/>
      <c r="AR401" s="52"/>
      <c r="AS401" s="52"/>
      <c r="AT401" s="52"/>
      <c r="AU401" s="125"/>
      <c r="AV401" s="125"/>
      <c r="AW401" s="125"/>
      <c r="AX401" s="5"/>
      <c r="AY401" s="5"/>
      <c r="AZ401" s="113">
        <v>46000</v>
      </c>
      <c r="BA401" s="113">
        <v>8740</v>
      </c>
      <c r="BB401" s="113">
        <v>54740</v>
      </c>
      <c r="BC401" s="52" t="s">
        <v>4064</v>
      </c>
      <c r="BD401" s="52" t="s">
        <v>4066</v>
      </c>
      <c r="BE401" s="118"/>
      <c r="BF401" s="118"/>
      <c r="BG401" s="118"/>
      <c r="BH401" s="52"/>
      <c r="BI401" s="283"/>
      <c r="BJ401" s="52"/>
      <c r="BK401" s="52"/>
      <c r="BL401" s="52"/>
      <c r="BM401" s="52"/>
      <c r="BN401" s="52"/>
      <c r="BO401" s="52"/>
      <c r="BP401" s="52"/>
      <c r="BQ401" s="52"/>
      <c r="BR401" s="52"/>
      <c r="BS401" s="52"/>
      <c r="BT401" s="52"/>
      <c r="BU401" s="52"/>
      <c r="BV401" s="52"/>
      <c r="BW401" s="52"/>
      <c r="BX401" s="52"/>
      <c r="BY401" s="52"/>
      <c r="BZ401" s="52"/>
      <c r="CA401" s="52"/>
      <c r="CB401" s="52"/>
      <c r="CC401" s="52"/>
      <c r="CD401" s="118"/>
      <c r="CE401" s="52"/>
      <c r="CF401" s="52"/>
      <c r="CG401" s="52"/>
      <c r="CH401" s="52"/>
      <c r="CI401" s="52"/>
      <c r="CJ401" s="52"/>
      <c r="CK401" s="52"/>
      <c r="CL401" s="52"/>
      <c r="CM401" s="52"/>
      <c r="CN401" s="118"/>
      <c r="CO401" s="118"/>
      <c r="CP401" s="118"/>
      <c r="CQ401" s="52"/>
      <c r="CR401" s="52"/>
      <c r="CS401" s="52"/>
      <c r="CT401" s="52"/>
      <c r="CU401" s="52"/>
      <c r="CV401" s="52"/>
      <c r="CW401" s="52"/>
      <c r="CX401" s="52"/>
      <c r="CY401" s="52"/>
      <c r="CZ401" s="52"/>
      <c r="DA401" s="52"/>
      <c r="DB401" s="52"/>
    </row>
    <row r="402" spans="1:106" ht="13.5" x14ac:dyDescent="0.25">
      <c r="A402" s="411">
        <v>400</v>
      </c>
      <c r="B402" s="412" t="s">
        <v>4067</v>
      </c>
      <c r="C402" s="413" t="s">
        <v>4068</v>
      </c>
      <c r="D402" s="426" t="s">
        <v>3721</v>
      </c>
      <c r="E402" s="80">
        <v>1</v>
      </c>
      <c r="F402" s="353">
        <v>10055.023999999999</v>
      </c>
      <c r="G402" s="293"/>
      <c r="H402" s="293"/>
      <c r="I402" s="293"/>
      <c r="J402" s="52"/>
      <c r="K402" s="52"/>
      <c r="L402" s="359"/>
      <c r="M402" s="360"/>
      <c r="N402" s="361"/>
      <c r="O402" s="33"/>
      <c r="P402" s="252"/>
      <c r="Q402" s="113"/>
      <c r="R402" s="113"/>
      <c r="S402" s="113"/>
      <c r="T402" s="52"/>
      <c r="U402" s="5"/>
      <c r="V402" s="231"/>
      <c r="W402" s="231"/>
      <c r="X402" s="231"/>
      <c r="Y402" s="113"/>
      <c r="Z402" s="357"/>
      <c r="AA402" s="118" t="s">
        <v>2877</v>
      </c>
      <c r="AB402" s="118"/>
      <c r="AC402" s="118"/>
      <c r="AD402" s="52"/>
      <c r="AE402" s="5"/>
      <c r="AF402" s="358"/>
      <c r="AG402" s="358"/>
      <c r="AH402" s="358"/>
      <c r="AI402" s="358"/>
      <c r="AJ402" s="358"/>
      <c r="AK402" s="113"/>
      <c r="AL402" s="113"/>
      <c r="AM402" s="113"/>
      <c r="AN402" s="113"/>
      <c r="AO402" s="113"/>
      <c r="AP402" s="52"/>
      <c r="AQ402" s="52"/>
      <c r="AR402" s="52"/>
      <c r="AS402" s="52"/>
      <c r="AT402" s="52"/>
      <c r="AU402" s="125"/>
      <c r="AV402" s="125"/>
      <c r="AW402" s="125"/>
      <c r="AX402" s="5"/>
      <c r="AY402" s="5"/>
      <c r="AZ402" s="113">
        <v>10000</v>
      </c>
      <c r="BA402" s="113">
        <v>1900</v>
      </c>
      <c r="BB402" s="113">
        <v>11900</v>
      </c>
      <c r="BC402" s="52" t="s">
        <v>4069</v>
      </c>
      <c r="BD402" s="52">
        <v>154403</v>
      </c>
      <c r="BE402" s="118"/>
      <c r="BF402" s="118"/>
      <c r="BG402" s="118"/>
      <c r="BH402" s="52"/>
      <c r="BI402" s="283"/>
      <c r="BJ402" s="52"/>
      <c r="BK402" s="52"/>
      <c r="BL402" s="52"/>
      <c r="BM402" s="52"/>
      <c r="BN402" s="52"/>
      <c r="BO402" s="52"/>
      <c r="BP402" s="52"/>
      <c r="BQ402" s="52"/>
      <c r="BR402" s="52"/>
      <c r="BS402" s="52"/>
      <c r="BT402" s="52"/>
      <c r="BU402" s="52"/>
      <c r="BV402" s="52"/>
      <c r="BW402" s="52"/>
      <c r="BX402" s="52"/>
      <c r="BY402" s="52"/>
      <c r="BZ402" s="52"/>
      <c r="CA402" s="52"/>
      <c r="CB402" s="52"/>
      <c r="CC402" s="52"/>
      <c r="CD402" s="118"/>
      <c r="CE402" s="52"/>
      <c r="CF402" s="52"/>
      <c r="CG402" s="52"/>
      <c r="CH402" s="52"/>
      <c r="CI402" s="52"/>
      <c r="CJ402" s="52"/>
      <c r="CK402" s="52"/>
      <c r="CL402" s="52"/>
      <c r="CM402" s="52"/>
      <c r="CN402" s="118"/>
      <c r="CO402" s="118"/>
      <c r="CP402" s="118"/>
      <c r="CQ402" s="52"/>
      <c r="CR402" s="52"/>
      <c r="CS402" s="52"/>
      <c r="CT402" s="52"/>
      <c r="CU402" s="52"/>
      <c r="CV402" s="52"/>
      <c r="CW402" s="52"/>
      <c r="CX402" s="52"/>
      <c r="CY402" s="52"/>
      <c r="CZ402" s="52"/>
      <c r="DA402" s="52"/>
      <c r="DB402" s="52"/>
    </row>
    <row r="403" spans="1:106" ht="13.5" x14ac:dyDescent="0.25">
      <c r="A403" s="411">
        <v>401</v>
      </c>
      <c r="B403" s="412" t="s">
        <v>4070</v>
      </c>
      <c r="C403" s="413" t="s">
        <v>622</v>
      </c>
      <c r="D403" s="426" t="s">
        <v>445</v>
      </c>
      <c r="E403" s="80">
        <v>1</v>
      </c>
      <c r="F403" s="355">
        <v>8446.4313999999995</v>
      </c>
      <c r="G403" s="293"/>
      <c r="H403" s="293"/>
      <c r="I403" s="293"/>
      <c r="J403" s="52"/>
      <c r="K403" s="52"/>
      <c r="L403" s="359"/>
      <c r="M403" s="360"/>
      <c r="N403" s="361"/>
      <c r="O403" s="33"/>
      <c r="P403" s="252"/>
      <c r="Q403" s="113"/>
      <c r="R403" s="113"/>
      <c r="S403" s="113"/>
      <c r="T403" s="52"/>
      <c r="U403" s="5"/>
      <c r="V403" s="231"/>
      <c r="W403" s="231"/>
      <c r="X403" s="231"/>
      <c r="Y403" s="113"/>
      <c r="Z403" s="357"/>
      <c r="AA403" s="118" t="s">
        <v>2877</v>
      </c>
      <c r="AB403" s="118"/>
      <c r="AC403" s="118"/>
      <c r="AD403" s="52"/>
      <c r="AE403" s="5"/>
      <c r="AF403" s="358"/>
      <c r="AG403" s="358"/>
      <c r="AH403" s="358"/>
      <c r="AI403" s="358"/>
      <c r="AJ403" s="358"/>
      <c r="AK403" s="113"/>
      <c r="AL403" s="113"/>
      <c r="AM403" s="113"/>
      <c r="AN403" s="113"/>
      <c r="AO403" s="113"/>
      <c r="AP403" s="52"/>
      <c r="AQ403" s="52"/>
      <c r="AR403" s="52"/>
      <c r="AS403" s="52"/>
      <c r="AT403" s="52"/>
      <c r="AU403" s="125"/>
      <c r="AV403" s="125"/>
      <c r="AW403" s="125"/>
      <c r="AX403" s="5"/>
      <c r="AY403" s="5"/>
      <c r="AZ403" s="113"/>
      <c r="BA403" s="113"/>
      <c r="BB403" s="113"/>
      <c r="BC403" s="52"/>
      <c r="BD403" s="52"/>
      <c r="BE403" s="118"/>
      <c r="BF403" s="118"/>
      <c r="BG403" s="118"/>
      <c r="BH403" s="52"/>
      <c r="BI403" s="283"/>
      <c r="BJ403" s="52"/>
      <c r="BK403" s="52"/>
      <c r="BL403" s="52"/>
      <c r="BM403" s="52"/>
      <c r="BN403" s="52"/>
      <c r="BO403" s="52"/>
      <c r="BP403" s="52"/>
      <c r="BQ403" s="52"/>
      <c r="BR403" s="52"/>
      <c r="BS403" s="52"/>
      <c r="BT403" s="52"/>
      <c r="BU403" s="52"/>
      <c r="BV403" s="52"/>
      <c r="BW403" s="52"/>
      <c r="BX403" s="52"/>
      <c r="BY403" s="52"/>
      <c r="BZ403" s="52"/>
      <c r="CA403" s="52"/>
      <c r="CB403" s="52"/>
      <c r="CC403" s="52"/>
      <c r="CD403" s="118"/>
      <c r="CE403" s="52"/>
      <c r="CF403" s="52"/>
      <c r="CG403" s="52"/>
      <c r="CH403" s="52"/>
      <c r="CI403" s="52"/>
      <c r="CJ403" s="52"/>
      <c r="CK403" s="52"/>
      <c r="CL403" s="52"/>
      <c r="CM403" s="52"/>
      <c r="CN403" s="118"/>
      <c r="CO403" s="118"/>
      <c r="CP403" s="118"/>
      <c r="CQ403" s="52"/>
      <c r="CR403" s="52"/>
      <c r="CS403" s="52"/>
      <c r="CT403" s="52"/>
      <c r="CU403" s="52"/>
      <c r="CV403" s="52"/>
      <c r="CW403" s="52"/>
      <c r="CX403" s="52"/>
      <c r="CY403" s="52"/>
      <c r="CZ403" s="52"/>
      <c r="DA403" s="52"/>
      <c r="DB403" s="52"/>
    </row>
    <row r="404" spans="1:106" ht="13.5" x14ac:dyDescent="0.25">
      <c r="A404" s="411">
        <v>402</v>
      </c>
      <c r="B404" s="412" t="s">
        <v>4071</v>
      </c>
      <c r="C404" s="413" t="s">
        <v>622</v>
      </c>
      <c r="D404" s="426" t="s">
        <v>445</v>
      </c>
      <c r="E404" s="80">
        <v>1</v>
      </c>
      <c r="F404" s="355">
        <v>9963.1345999999994</v>
      </c>
      <c r="G404" s="293"/>
      <c r="H404" s="293"/>
      <c r="I404" s="293"/>
      <c r="J404" s="52"/>
      <c r="K404" s="52"/>
      <c r="L404" s="359"/>
      <c r="M404" s="360"/>
      <c r="N404" s="361"/>
      <c r="O404" s="33"/>
      <c r="P404" s="252"/>
      <c r="Q404" s="113"/>
      <c r="R404" s="113"/>
      <c r="S404" s="113"/>
      <c r="T404" s="52"/>
      <c r="U404" s="5"/>
      <c r="V404" s="231"/>
      <c r="W404" s="231"/>
      <c r="X404" s="231"/>
      <c r="Y404" s="113"/>
      <c r="Z404" s="357"/>
      <c r="AA404" s="118" t="s">
        <v>2877</v>
      </c>
      <c r="AB404" s="118"/>
      <c r="AC404" s="118"/>
      <c r="AD404" s="52"/>
      <c r="AE404" s="5"/>
      <c r="AF404" s="358"/>
      <c r="AG404" s="358"/>
      <c r="AH404" s="358"/>
      <c r="AI404" s="358"/>
      <c r="AJ404" s="358"/>
      <c r="AK404" s="113"/>
      <c r="AL404" s="113"/>
      <c r="AM404" s="113"/>
      <c r="AN404" s="113"/>
      <c r="AO404" s="113"/>
      <c r="AP404" s="52"/>
      <c r="AQ404" s="52"/>
      <c r="AR404" s="52"/>
      <c r="AS404" s="52"/>
      <c r="AT404" s="52"/>
      <c r="AU404" s="125"/>
      <c r="AV404" s="125"/>
      <c r="AW404" s="125"/>
      <c r="AX404" s="5"/>
      <c r="AY404" s="5"/>
      <c r="AZ404" s="113"/>
      <c r="BA404" s="113"/>
      <c r="BB404" s="113"/>
      <c r="BC404" s="52"/>
      <c r="BD404" s="52"/>
      <c r="BE404" s="118"/>
      <c r="BF404" s="118"/>
      <c r="BG404" s="118"/>
      <c r="BH404" s="52"/>
      <c r="BI404" s="283"/>
      <c r="BJ404" s="52"/>
      <c r="BK404" s="52"/>
      <c r="BL404" s="52"/>
      <c r="BM404" s="52"/>
      <c r="BN404" s="52"/>
      <c r="BO404" s="52"/>
      <c r="BP404" s="52"/>
      <c r="BQ404" s="52"/>
      <c r="BR404" s="52"/>
      <c r="BS404" s="52"/>
      <c r="BT404" s="52"/>
      <c r="BU404" s="52"/>
      <c r="BV404" s="52"/>
      <c r="BW404" s="52"/>
      <c r="BX404" s="52"/>
      <c r="BY404" s="52"/>
      <c r="BZ404" s="52"/>
      <c r="CA404" s="52"/>
      <c r="CB404" s="52"/>
      <c r="CC404" s="52"/>
      <c r="CD404" s="118"/>
      <c r="CE404" s="52"/>
      <c r="CF404" s="52"/>
      <c r="CG404" s="52"/>
      <c r="CH404" s="52"/>
      <c r="CI404" s="52"/>
      <c r="CJ404" s="52"/>
      <c r="CK404" s="52"/>
      <c r="CL404" s="52"/>
      <c r="CM404" s="52"/>
      <c r="CN404" s="118"/>
      <c r="CO404" s="118"/>
      <c r="CP404" s="118"/>
      <c r="CQ404" s="52"/>
      <c r="CR404" s="52"/>
      <c r="CS404" s="52"/>
      <c r="CT404" s="52"/>
      <c r="CU404" s="52"/>
      <c r="CV404" s="52"/>
      <c r="CW404" s="52"/>
      <c r="CX404" s="52"/>
      <c r="CY404" s="52"/>
      <c r="CZ404" s="52"/>
      <c r="DA404" s="52"/>
      <c r="DB404" s="52"/>
    </row>
    <row r="405" spans="1:106" ht="13.5" x14ac:dyDescent="0.25">
      <c r="A405" s="411">
        <v>403</v>
      </c>
      <c r="B405" s="412" t="s">
        <v>4072</v>
      </c>
      <c r="C405" s="413" t="s">
        <v>622</v>
      </c>
      <c r="D405" s="426" t="s">
        <v>445</v>
      </c>
      <c r="E405" s="80">
        <v>1</v>
      </c>
      <c r="F405" s="355">
        <v>12743.053</v>
      </c>
      <c r="G405" s="293"/>
      <c r="H405" s="293"/>
      <c r="I405" s="293"/>
      <c r="J405" s="52"/>
      <c r="K405" s="52"/>
      <c r="L405" s="359"/>
      <c r="M405" s="360"/>
      <c r="N405" s="361"/>
      <c r="O405" s="33"/>
      <c r="P405" s="252"/>
      <c r="Q405" s="113"/>
      <c r="R405" s="113"/>
      <c r="S405" s="113"/>
      <c r="T405" s="52"/>
      <c r="U405" s="5"/>
      <c r="V405" s="231"/>
      <c r="W405" s="231"/>
      <c r="X405" s="231"/>
      <c r="Y405" s="113"/>
      <c r="Z405" s="357"/>
      <c r="AA405" s="118" t="s">
        <v>2877</v>
      </c>
      <c r="AB405" s="118"/>
      <c r="AC405" s="118"/>
      <c r="AD405" s="52"/>
      <c r="AE405" s="5"/>
      <c r="AF405" s="358"/>
      <c r="AG405" s="358"/>
      <c r="AH405" s="358"/>
      <c r="AI405" s="358"/>
      <c r="AJ405" s="358"/>
      <c r="AK405" s="113"/>
      <c r="AL405" s="113"/>
      <c r="AM405" s="113"/>
      <c r="AN405" s="113"/>
      <c r="AO405" s="113"/>
      <c r="AP405" s="52"/>
      <c r="AQ405" s="52"/>
      <c r="AR405" s="52"/>
      <c r="AS405" s="52"/>
      <c r="AT405" s="52"/>
      <c r="AU405" s="125"/>
      <c r="AV405" s="125"/>
      <c r="AW405" s="125"/>
      <c r="AX405" s="5"/>
      <c r="AY405" s="5"/>
      <c r="AZ405" s="113"/>
      <c r="BA405" s="113"/>
      <c r="BB405" s="113"/>
      <c r="BC405" s="52"/>
      <c r="BD405" s="52"/>
      <c r="BE405" s="118"/>
      <c r="BF405" s="118"/>
      <c r="BG405" s="118"/>
      <c r="BH405" s="52"/>
      <c r="BI405" s="283"/>
      <c r="BJ405" s="52"/>
      <c r="BK405" s="52"/>
      <c r="BL405" s="52"/>
      <c r="BM405" s="52"/>
      <c r="BN405" s="52"/>
      <c r="BO405" s="52"/>
      <c r="BP405" s="52"/>
      <c r="BQ405" s="52"/>
      <c r="BR405" s="52"/>
      <c r="BS405" s="52"/>
      <c r="BT405" s="52"/>
      <c r="BU405" s="52"/>
      <c r="BV405" s="52"/>
      <c r="BW405" s="52"/>
      <c r="BX405" s="52"/>
      <c r="BY405" s="52"/>
      <c r="BZ405" s="52"/>
      <c r="CA405" s="52"/>
      <c r="CB405" s="52"/>
      <c r="CC405" s="52"/>
      <c r="CD405" s="118"/>
      <c r="CE405" s="52"/>
      <c r="CF405" s="52"/>
      <c r="CG405" s="52"/>
      <c r="CH405" s="52"/>
      <c r="CI405" s="52"/>
      <c r="CJ405" s="52"/>
      <c r="CK405" s="52"/>
      <c r="CL405" s="52"/>
      <c r="CM405" s="52"/>
      <c r="CN405" s="118"/>
      <c r="CO405" s="118"/>
      <c r="CP405" s="118"/>
      <c r="CQ405" s="52"/>
      <c r="CR405" s="52"/>
      <c r="CS405" s="52"/>
      <c r="CT405" s="52"/>
      <c r="CU405" s="52"/>
      <c r="CV405" s="52"/>
      <c r="CW405" s="52"/>
      <c r="CX405" s="52"/>
      <c r="CY405" s="52"/>
      <c r="CZ405" s="52"/>
      <c r="DA405" s="52"/>
      <c r="DB405" s="52"/>
    </row>
    <row r="406" spans="1:106" ht="13.5" x14ac:dyDescent="0.25">
      <c r="A406" s="411">
        <v>404</v>
      </c>
      <c r="B406" s="412" t="s">
        <v>4073</v>
      </c>
      <c r="C406" s="413" t="s">
        <v>622</v>
      </c>
      <c r="D406" s="413" t="s">
        <v>445</v>
      </c>
      <c r="E406" s="80">
        <v>1</v>
      </c>
      <c r="F406" s="355">
        <v>10664.4514</v>
      </c>
      <c r="G406" s="293"/>
      <c r="H406" s="293"/>
      <c r="I406" s="293"/>
      <c r="J406" s="52"/>
      <c r="K406" s="52"/>
      <c r="L406" s="359"/>
      <c r="M406" s="360"/>
      <c r="N406" s="361"/>
      <c r="O406" s="33"/>
      <c r="P406" s="252"/>
      <c r="Q406" s="113"/>
      <c r="R406" s="113"/>
      <c r="S406" s="113"/>
      <c r="T406" s="52"/>
      <c r="U406" s="5"/>
      <c r="V406" s="231"/>
      <c r="W406" s="231"/>
      <c r="X406" s="231"/>
      <c r="Y406" s="113"/>
      <c r="Z406" s="357"/>
      <c r="AA406" s="118" t="s">
        <v>2877</v>
      </c>
      <c r="AB406" s="118"/>
      <c r="AC406" s="118"/>
      <c r="AD406" s="52"/>
      <c r="AE406" s="5"/>
      <c r="AF406" s="358"/>
      <c r="AG406" s="358"/>
      <c r="AH406" s="358"/>
      <c r="AI406" s="358"/>
      <c r="AJ406" s="358"/>
      <c r="AK406" s="113"/>
      <c r="AL406" s="113"/>
      <c r="AM406" s="113"/>
      <c r="AN406" s="113"/>
      <c r="AO406" s="113"/>
      <c r="AP406" s="52"/>
      <c r="AQ406" s="52"/>
      <c r="AR406" s="52"/>
      <c r="AS406" s="52"/>
      <c r="AT406" s="52"/>
      <c r="AU406" s="125"/>
      <c r="AV406" s="125"/>
      <c r="AW406" s="125"/>
      <c r="AX406" s="5"/>
      <c r="AY406" s="5"/>
      <c r="AZ406" s="113"/>
      <c r="BA406" s="113"/>
      <c r="BB406" s="113"/>
      <c r="BC406" s="52"/>
      <c r="BD406" s="52"/>
      <c r="BE406" s="118"/>
      <c r="BF406" s="118"/>
      <c r="BG406" s="118"/>
      <c r="BH406" s="52"/>
      <c r="BI406" s="283"/>
      <c r="BJ406" s="52"/>
      <c r="BK406" s="52"/>
      <c r="BL406" s="52"/>
      <c r="BM406" s="52"/>
      <c r="BN406" s="52"/>
      <c r="BO406" s="52"/>
      <c r="BP406" s="52"/>
      <c r="BQ406" s="52"/>
      <c r="BR406" s="52"/>
      <c r="BS406" s="52"/>
      <c r="BT406" s="52"/>
      <c r="BU406" s="52"/>
      <c r="BV406" s="52"/>
      <c r="BW406" s="52"/>
      <c r="BX406" s="52"/>
      <c r="BY406" s="52"/>
      <c r="BZ406" s="52"/>
      <c r="CA406" s="52"/>
      <c r="CB406" s="52"/>
      <c r="CC406" s="52"/>
      <c r="CD406" s="118"/>
      <c r="CE406" s="52"/>
      <c r="CF406" s="52"/>
      <c r="CG406" s="52"/>
      <c r="CH406" s="52"/>
      <c r="CI406" s="52"/>
      <c r="CJ406" s="52"/>
      <c r="CK406" s="52"/>
      <c r="CL406" s="52"/>
      <c r="CM406" s="52"/>
      <c r="CN406" s="118"/>
      <c r="CO406" s="118"/>
      <c r="CP406" s="118"/>
      <c r="CQ406" s="52"/>
      <c r="CR406" s="52"/>
      <c r="CS406" s="52"/>
      <c r="CT406" s="52"/>
      <c r="CU406" s="52"/>
      <c r="CV406" s="52"/>
      <c r="CW406" s="52"/>
      <c r="CX406" s="52"/>
      <c r="CY406" s="52"/>
      <c r="CZ406" s="52"/>
      <c r="DA406" s="52"/>
      <c r="DB406" s="52"/>
    </row>
    <row r="407" spans="1:106" ht="27" x14ac:dyDescent="0.25">
      <c r="A407" s="411">
        <v>405</v>
      </c>
      <c r="B407" s="412" t="s">
        <v>4074</v>
      </c>
      <c r="C407" s="413" t="s">
        <v>622</v>
      </c>
      <c r="D407" s="426" t="s">
        <v>445</v>
      </c>
      <c r="E407" s="80">
        <v>1</v>
      </c>
      <c r="F407" s="355">
        <v>27591.1126</v>
      </c>
      <c r="G407" s="293"/>
      <c r="H407" s="293"/>
      <c r="I407" s="293"/>
      <c r="J407" s="52"/>
      <c r="K407" s="52"/>
      <c r="L407" s="359"/>
      <c r="M407" s="360"/>
      <c r="N407" s="361"/>
      <c r="O407" s="33"/>
      <c r="P407" s="252"/>
      <c r="Q407" s="113"/>
      <c r="R407" s="113"/>
      <c r="S407" s="113"/>
      <c r="T407" s="52"/>
      <c r="U407" s="5"/>
      <c r="V407" s="231"/>
      <c r="W407" s="231"/>
      <c r="X407" s="231"/>
      <c r="Y407" s="113"/>
      <c r="Z407" s="357"/>
      <c r="AA407" s="118" t="s">
        <v>2877</v>
      </c>
      <c r="AB407" s="118"/>
      <c r="AC407" s="118"/>
      <c r="AD407" s="52"/>
      <c r="AE407" s="5"/>
      <c r="AF407" s="358"/>
      <c r="AG407" s="358"/>
      <c r="AH407" s="358"/>
      <c r="AI407" s="358"/>
      <c r="AJ407" s="358"/>
      <c r="AK407" s="113"/>
      <c r="AL407" s="113"/>
      <c r="AM407" s="113"/>
      <c r="AN407" s="113"/>
      <c r="AO407" s="113"/>
      <c r="AP407" s="52"/>
      <c r="AQ407" s="52"/>
      <c r="AR407" s="52"/>
      <c r="AS407" s="52"/>
      <c r="AT407" s="52"/>
      <c r="AU407" s="125"/>
      <c r="AV407" s="125"/>
      <c r="AW407" s="125"/>
      <c r="AX407" s="5"/>
      <c r="AY407" s="5"/>
      <c r="AZ407" s="113"/>
      <c r="BA407" s="113"/>
      <c r="BB407" s="113"/>
      <c r="BC407" s="52"/>
      <c r="BD407" s="52"/>
      <c r="BE407" s="118"/>
      <c r="BF407" s="118"/>
      <c r="BG407" s="118"/>
      <c r="BH407" s="52"/>
      <c r="BI407" s="283"/>
      <c r="BJ407" s="52"/>
      <c r="BK407" s="52"/>
      <c r="BL407" s="52"/>
      <c r="BM407" s="52"/>
      <c r="BN407" s="52"/>
      <c r="BO407" s="293">
        <v>30000</v>
      </c>
      <c r="BP407" s="118">
        <f>+BO407*0.19</f>
        <v>5700</v>
      </c>
      <c r="BQ407" s="118">
        <f>+BO407+BP407</f>
        <v>35700</v>
      </c>
      <c r="BR407" s="52" t="s">
        <v>2944</v>
      </c>
      <c r="BS407" s="52" t="s">
        <v>4075</v>
      </c>
      <c r="BT407" s="52"/>
      <c r="BU407" s="52"/>
      <c r="BV407" s="52"/>
      <c r="BW407" s="52"/>
      <c r="BX407" s="52"/>
      <c r="BY407" s="118">
        <v>23000</v>
      </c>
      <c r="BZ407" s="118">
        <f>+BY407*0.19</f>
        <v>4370</v>
      </c>
      <c r="CA407" s="364">
        <f>+BY407+BZ407</f>
        <v>27370</v>
      </c>
      <c r="CB407" s="52" t="s">
        <v>3245</v>
      </c>
      <c r="CC407" s="52" t="s">
        <v>4075</v>
      </c>
      <c r="CD407" s="118"/>
      <c r="CE407" s="52"/>
      <c r="CF407" s="52"/>
      <c r="CG407" s="52"/>
      <c r="CH407" s="52"/>
      <c r="CI407" s="52"/>
      <c r="CJ407" s="52"/>
      <c r="CK407" s="52"/>
      <c r="CL407" s="52"/>
      <c r="CM407" s="52"/>
      <c r="CN407" s="118"/>
      <c r="CO407" s="118"/>
      <c r="CP407" s="118"/>
      <c r="CQ407" s="52"/>
      <c r="CR407" s="52"/>
      <c r="CS407" s="52"/>
      <c r="CT407" s="52"/>
      <c r="CU407" s="52"/>
      <c r="CV407" s="52"/>
      <c r="CW407" s="52"/>
      <c r="CX407" s="52"/>
      <c r="CY407" s="52"/>
      <c r="CZ407" s="52"/>
      <c r="DA407" s="52"/>
      <c r="DB407" s="52"/>
    </row>
    <row r="408" spans="1:106" ht="27" x14ac:dyDescent="0.25">
      <c r="A408" s="411">
        <v>406</v>
      </c>
      <c r="B408" s="412" t="s">
        <v>4076</v>
      </c>
      <c r="C408" s="413" t="s">
        <v>622</v>
      </c>
      <c r="D408" s="426" t="s">
        <v>445</v>
      </c>
      <c r="E408" s="80">
        <v>1</v>
      </c>
      <c r="F408" s="353">
        <v>11311.902</v>
      </c>
      <c r="G408" s="293"/>
      <c r="H408" s="293"/>
      <c r="I408" s="293"/>
      <c r="J408" s="52"/>
      <c r="K408" s="52"/>
      <c r="L408" s="359"/>
      <c r="M408" s="360"/>
      <c r="N408" s="361"/>
      <c r="O408" s="33"/>
      <c r="P408" s="252"/>
      <c r="Q408" s="113"/>
      <c r="R408" s="113"/>
      <c r="S408" s="113"/>
      <c r="T408" s="52"/>
      <c r="U408" s="5"/>
      <c r="V408" s="231"/>
      <c r="W408" s="231"/>
      <c r="X408" s="231"/>
      <c r="Y408" s="113"/>
      <c r="Z408" s="357"/>
      <c r="AA408" s="118" t="s">
        <v>2877</v>
      </c>
      <c r="AB408" s="118"/>
      <c r="AC408" s="118"/>
      <c r="AD408" s="52"/>
      <c r="AE408" s="5"/>
      <c r="AF408" s="358"/>
      <c r="AG408" s="358"/>
      <c r="AH408" s="358"/>
      <c r="AI408" s="358"/>
      <c r="AJ408" s="358"/>
      <c r="AK408" s="113"/>
      <c r="AL408" s="113"/>
      <c r="AM408" s="113"/>
      <c r="AN408" s="113"/>
      <c r="AO408" s="113"/>
      <c r="AP408" s="52"/>
      <c r="AQ408" s="52"/>
      <c r="AR408" s="52"/>
      <c r="AS408" s="52"/>
      <c r="AT408" s="52"/>
      <c r="AU408" s="125"/>
      <c r="AV408" s="125"/>
      <c r="AW408" s="125"/>
      <c r="AX408" s="5"/>
      <c r="AY408" s="5"/>
      <c r="AZ408" s="113">
        <v>9000</v>
      </c>
      <c r="BA408" s="113">
        <v>1710</v>
      </c>
      <c r="BB408" s="113">
        <v>10710</v>
      </c>
      <c r="BC408" s="52" t="s">
        <v>3849</v>
      </c>
      <c r="BD408" s="52" t="s">
        <v>4077</v>
      </c>
      <c r="BE408" s="118"/>
      <c r="BF408" s="118"/>
      <c r="BG408" s="118"/>
      <c r="BH408" s="52"/>
      <c r="BI408" s="283"/>
      <c r="BJ408" s="52"/>
      <c r="BK408" s="52"/>
      <c r="BL408" s="52"/>
      <c r="BM408" s="52"/>
      <c r="BN408" s="52"/>
      <c r="BO408" s="52"/>
      <c r="BP408" s="52"/>
      <c r="BQ408" s="52"/>
      <c r="BR408" s="52"/>
      <c r="BS408" s="52"/>
      <c r="BT408" s="52"/>
      <c r="BU408" s="52"/>
      <c r="BV408" s="52"/>
      <c r="BW408" s="52"/>
      <c r="BX408" s="52"/>
      <c r="BY408" s="52"/>
      <c r="BZ408" s="52"/>
      <c r="CA408" s="52"/>
      <c r="CB408" s="52"/>
      <c r="CC408" s="52"/>
      <c r="CD408" s="118"/>
      <c r="CE408" s="52"/>
      <c r="CF408" s="52"/>
      <c r="CG408" s="52"/>
      <c r="CH408" s="52"/>
      <c r="CI408" s="52"/>
      <c r="CJ408" s="52"/>
      <c r="CK408" s="52"/>
      <c r="CL408" s="52"/>
      <c r="CM408" s="52"/>
      <c r="CN408" s="118"/>
      <c r="CO408" s="118"/>
      <c r="CP408" s="118"/>
      <c r="CQ408" s="52"/>
      <c r="CR408" s="52"/>
      <c r="CS408" s="52"/>
      <c r="CT408" s="52"/>
      <c r="CU408" s="52"/>
      <c r="CV408" s="52"/>
      <c r="CW408" s="52"/>
      <c r="CX408" s="52"/>
      <c r="CY408" s="52"/>
      <c r="CZ408" s="52"/>
      <c r="DA408" s="52"/>
      <c r="DB408" s="52"/>
    </row>
    <row r="409" spans="1:106" ht="27" x14ac:dyDescent="0.25">
      <c r="A409" s="411">
        <v>407</v>
      </c>
      <c r="B409" s="412" t="s">
        <v>4078</v>
      </c>
      <c r="C409" s="413" t="s">
        <v>622</v>
      </c>
      <c r="D409" s="426" t="s">
        <v>445</v>
      </c>
      <c r="E409" s="80">
        <v>1</v>
      </c>
      <c r="F409" s="353">
        <v>20110.047999999999</v>
      </c>
      <c r="G409" s="293"/>
      <c r="H409" s="293"/>
      <c r="I409" s="293"/>
      <c r="J409" s="52"/>
      <c r="K409" s="52"/>
      <c r="L409" s="359"/>
      <c r="M409" s="360"/>
      <c r="N409" s="361"/>
      <c r="O409" s="33"/>
      <c r="P409" s="252"/>
      <c r="Q409" s="113"/>
      <c r="R409" s="113"/>
      <c r="S409" s="113"/>
      <c r="T409" s="52"/>
      <c r="U409" s="5"/>
      <c r="V409" s="231"/>
      <c r="W409" s="231"/>
      <c r="X409" s="231"/>
      <c r="Y409" s="113"/>
      <c r="Z409" s="357"/>
      <c r="AA409" s="118" t="s">
        <v>2877</v>
      </c>
      <c r="AB409" s="118"/>
      <c r="AC409" s="118"/>
      <c r="AD409" s="52"/>
      <c r="AE409" s="5"/>
      <c r="AF409" s="358"/>
      <c r="AG409" s="358"/>
      <c r="AH409" s="358"/>
      <c r="AI409" s="358"/>
      <c r="AJ409" s="358"/>
      <c r="AK409" s="113"/>
      <c r="AL409" s="113"/>
      <c r="AM409" s="113"/>
      <c r="AN409" s="113"/>
      <c r="AO409" s="113"/>
      <c r="AP409" s="52"/>
      <c r="AQ409" s="52"/>
      <c r="AR409" s="52"/>
      <c r="AS409" s="52"/>
      <c r="AT409" s="52"/>
      <c r="AU409" s="125"/>
      <c r="AV409" s="125"/>
      <c r="AW409" s="125"/>
      <c r="AX409" s="5"/>
      <c r="AY409" s="5"/>
      <c r="AZ409" s="113">
        <v>8000</v>
      </c>
      <c r="BA409" s="113">
        <v>1520</v>
      </c>
      <c r="BB409" s="113">
        <v>9520</v>
      </c>
      <c r="BC409" s="52" t="s">
        <v>3849</v>
      </c>
      <c r="BD409" s="52" t="s">
        <v>4079</v>
      </c>
      <c r="BE409" s="118"/>
      <c r="BF409" s="118"/>
      <c r="BG409" s="118"/>
      <c r="BH409" s="52"/>
      <c r="BI409" s="283"/>
      <c r="BJ409" s="52"/>
      <c r="BK409" s="52"/>
      <c r="BL409" s="52"/>
      <c r="BM409" s="52"/>
      <c r="BN409" s="52"/>
      <c r="BO409" s="52"/>
      <c r="BP409" s="52"/>
      <c r="BQ409" s="52"/>
      <c r="BR409" s="52"/>
      <c r="BS409" s="52"/>
      <c r="BT409" s="52"/>
      <c r="BU409" s="52"/>
      <c r="BV409" s="52"/>
      <c r="BW409" s="52"/>
      <c r="BX409" s="52"/>
      <c r="BY409" s="52"/>
      <c r="BZ409" s="52"/>
      <c r="CA409" s="52"/>
      <c r="CB409" s="52"/>
      <c r="CC409" s="52"/>
      <c r="CD409" s="118"/>
      <c r="CE409" s="52"/>
      <c r="CF409" s="52"/>
      <c r="CG409" s="52"/>
      <c r="CH409" s="52"/>
      <c r="CI409" s="52"/>
      <c r="CJ409" s="52"/>
      <c r="CK409" s="52"/>
      <c r="CL409" s="52"/>
      <c r="CM409" s="52"/>
      <c r="CN409" s="118"/>
      <c r="CO409" s="118"/>
      <c r="CP409" s="118"/>
      <c r="CQ409" s="52"/>
      <c r="CR409" s="52"/>
      <c r="CS409" s="52"/>
      <c r="CT409" s="52"/>
      <c r="CU409" s="52"/>
      <c r="CV409" s="52"/>
      <c r="CW409" s="52"/>
      <c r="CX409" s="52"/>
      <c r="CY409" s="52"/>
      <c r="CZ409" s="52"/>
      <c r="DA409" s="52"/>
      <c r="DB409" s="52"/>
    </row>
    <row r="410" spans="1:106" ht="27" x14ac:dyDescent="0.25">
      <c r="A410" s="411">
        <v>408</v>
      </c>
      <c r="B410" s="412" t="s">
        <v>4080</v>
      </c>
      <c r="C410" s="413" t="s">
        <v>622</v>
      </c>
      <c r="D410" s="426" t="s">
        <v>445</v>
      </c>
      <c r="E410" s="80">
        <v>1</v>
      </c>
      <c r="F410" s="353">
        <v>31421.95</v>
      </c>
      <c r="G410" s="293"/>
      <c r="H410" s="293"/>
      <c r="I410" s="293"/>
      <c r="J410" s="52"/>
      <c r="K410" s="52"/>
      <c r="L410" s="359"/>
      <c r="M410" s="360"/>
      <c r="N410" s="361"/>
      <c r="O410" s="33"/>
      <c r="P410" s="252"/>
      <c r="Q410" s="113"/>
      <c r="R410" s="113"/>
      <c r="S410" s="113"/>
      <c r="T410" s="52"/>
      <c r="U410" s="5"/>
      <c r="V410" s="231"/>
      <c r="W410" s="231"/>
      <c r="X410" s="231"/>
      <c r="Y410" s="113"/>
      <c r="Z410" s="357"/>
      <c r="AA410" s="118" t="s">
        <v>2877</v>
      </c>
      <c r="AB410" s="118"/>
      <c r="AC410" s="118"/>
      <c r="AD410" s="52"/>
      <c r="AE410" s="5"/>
      <c r="AF410" s="358"/>
      <c r="AG410" s="358"/>
      <c r="AH410" s="358"/>
      <c r="AI410" s="358"/>
      <c r="AJ410" s="358"/>
      <c r="AK410" s="113"/>
      <c r="AL410" s="113"/>
      <c r="AM410" s="113"/>
      <c r="AN410" s="113"/>
      <c r="AO410" s="113"/>
      <c r="AP410" s="52"/>
      <c r="AQ410" s="52"/>
      <c r="AR410" s="52"/>
      <c r="AS410" s="52"/>
      <c r="AT410" s="52"/>
      <c r="AU410" s="125"/>
      <c r="AV410" s="125"/>
      <c r="AW410" s="125"/>
      <c r="AX410" s="5"/>
      <c r="AY410" s="5"/>
      <c r="AZ410" s="113">
        <v>16000</v>
      </c>
      <c r="BA410" s="113">
        <v>3040</v>
      </c>
      <c r="BB410" s="113">
        <v>19040</v>
      </c>
      <c r="BC410" s="52" t="s">
        <v>3849</v>
      </c>
      <c r="BD410" s="52" t="s">
        <v>4081</v>
      </c>
      <c r="BE410" s="118"/>
      <c r="BF410" s="118"/>
      <c r="BG410" s="118"/>
      <c r="BH410" s="52"/>
      <c r="BI410" s="283"/>
      <c r="BJ410" s="52"/>
      <c r="BK410" s="52"/>
      <c r="BL410" s="52"/>
      <c r="BM410" s="52"/>
      <c r="BN410" s="52"/>
      <c r="BO410" s="52"/>
      <c r="BP410" s="52"/>
      <c r="BQ410" s="52"/>
      <c r="BR410" s="52"/>
      <c r="BS410" s="52"/>
      <c r="BT410" s="52"/>
      <c r="BU410" s="52"/>
      <c r="BV410" s="52"/>
      <c r="BW410" s="52"/>
      <c r="BX410" s="52"/>
      <c r="BY410" s="52"/>
      <c r="BZ410" s="52"/>
      <c r="CA410" s="52"/>
      <c r="CB410" s="52"/>
      <c r="CC410" s="52"/>
      <c r="CD410" s="118"/>
      <c r="CE410" s="52"/>
      <c r="CF410" s="52"/>
      <c r="CG410" s="52"/>
      <c r="CH410" s="52"/>
      <c r="CI410" s="52"/>
      <c r="CJ410" s="52"/>
      <c r="CK410" s="52"/>
      <c r="CL410" s="52"/>
      <c r="CM410" s="52"/>
      <c r="CN410" s="118"/>
      <c r="CO410" s="118"/>
      <c r="CP410" s="118"/>
      <c r="CQ410" s="52"/>
      <c r="CR410" s="52"/>
      <c r="CS410" s="52"/>
      <c r="CT410" s="52"/>
      <c r="CU410" s="52"/>
      <c r="CV410" s="52"/>
      <c r="CW410" s="52"/>
      <c r="CX410" s="52"/>
      <c r="CY410" s="52"/>
      <c r="CZ410" s="52"/>
      <c r="DA410" s="52"/>
      <c r="DB410" s="52"/>
    </row>
    <row r="411" spans="1:106" ht="27" x14ac:dyDescent="0.25">
      <c r="A411" s="411">
        <v>409</v>
      </c>
      <c r="B411" s="412" t="s">
        <v>4082</v>
      </c>
      <c r="C411" s="413" t="s">
        <v>622</v>
      </c>
      <c r="D411" s="426" t="s">
        <v>445</v>
      </c>
      <c r="E411" s="80">
        <v>1</v>
      </c>
      <c r="F411" s="353">
        <v>47761.364000000001</v>
      </c>
      <c r="G411" s="293"/>
      <c r="H411" s="293"/>
      <c r="I411" s="293"/>
      <c r="J411" s="52"/>
      <c r="K411" s="52"/>
      <c r="L411" s="359"/>
      <c r="M411" s="360"/>
      <c r="N411" s="361"/>
      <c r="O411" s="33"/>
      <c r="P411" s="252"/>
      <c r="Q411" s="113"/>
      <c r="R411" s="113"/>
      <c r="S411" s="113"/>
      <c r="T411" s="52"/>
      <c r="U411" s="5"/>
      <c r="V411" s="231"/>
      <c r="W411" s="231"/>
      <c r="X411" s="231"/>
      <c r="Y411" s="113"/>
      <c r="Z411" s="357"/>
      <c r="AA411" s="118" t="s">
        <v>2877</v>
      </c>
      <c r="AB411" s="118"/>
      <c r="AC411" s="118"/>
      <c r="AD411" s="52"/>
      <c r="AE411" s="5"/>
      <c r="AF411" s="358"/>
      <c r="AG411" s="358"/>
      <c r="AH411" s="358"/>
      <c r="AI411" s="358"/>
      <c r="AJ411" s="358"/>
      <c r="AK411" s="113"/>
      <c r="AL411" s="113"/>
      <c r="AM411" s="113"/>
      <c r="AN411" s="113"/>
      <c r="AO411" s="113"/>
      <c r="AP411" s="52"/>
      <c r="AQ411" s="52"/>
      <c r="AR411" s="52"/>
      <c r="AS411" s="52"/>
      <c r="AT411" s="52"/>
      <c r="AU411" s="125"/>
      <c r="AV411" s="125"/>
      <c r="AW411" s="125"/>
      <c r="AX411" s="5"/>
      <c r="AY411" s="5"/>
      <c r="AZ411" s="113">
        <v>40000</v>
      </c>
      <c r="BA411" s="113">
        <v>7600</v>
      </c>
      <c r="BB411" s="113">
        <v>47600</v>
      </c>
      <c r="BC411" s="52" t="s">
        <v>3852</v>
      </c>
      <c r="BD411" s="52" t="s">
        <v>4083</v>
      </c>
      <c r="BE411" s="118"/>
      <c r="BF411" s="118"/>
      <c r="BG411" s="118"/>
      <c r="BH411" s="52"/>
      <c r="BI411" s="283"/>
      <c r="BJ411" s="52"/>
      <c r="BK411" s="52"/>
      <c r="BL411" s="52"/>
      <c r="BM411" s="52"/>
      <c r="BN411" s="52"/>
      <c r="BO411" s="52"/>
      <c r="BP411" s="52"/>
      <c r="BQ411" s="52"/>
      <c r="BR411" s="52"/>
      <c r="BS411" s="52"/>
      <c r="BT411" s="52"/>
      <c r="BU411" s="52"/>
      <c r="BV411" s="52"/>
      <c r="BW411" s="52"/>
      <c r="BX411" s="52"/>
      <c r="BY411" s="52"/>
      <c r="BZ411" s="52"/>
      <c r="CA411" s="52"/>
      <c r="CB411" s="52"/>
      <c r="CC411" s="52"/>
      <c r="CD411" s="118"/>
      <c r="CE411" s="52"/>
      <c r="CF411" s="52"/>
      <c r="CG411" s="52"/>
      <c r="CH411" s="52"/>
      <c r="CI411" s="52"/>
      <c r="CJ411" s="52"/>
      <c r="CK411" s="52"/>
      <c r="CL411" s="52"/>
      <c r="CM411" s="52"/>
      <c r="CN411" s="118"/>
      <c r="CO411" s="118"/>
      <c r="CP411" s="118"/>
      <c r="CQ411" s="52"/>
      <c r="CR411" s="52"/>
      <c r="CS411" s="52"/>
      <c r="CT411" s="52"/>
      <c r="CU411" s="52"/>
      <c r="CV411" s="52"/>
      <c r="CW411" s="52"/>
      <c r="CX411" s="52"/>
      <c r="CY411" s="52"/>
      <c r="CZ411" s="52"/>
      <c r="DA411" s="52"/>
      <c r="DB411" s="52"/>
    </row>
    <row r="412" spans="1:106" ht="13.5" x14ac:dyDescent="0.25">
      <c r="A412" s="411">
        <v>410</v>
      </c>
      <c r="B412" s="412" t="s">
        <v>4084</v>
      </c>
      <c r="C412" s="413" t="s">
        <v>622</v>
      </c>
      <c r="D412" s="426" t="s">
        <v>445</v>
      </c>
      <c r="E412" s="80">
        <v>1</v>
      </c>
      <c r="F412" s="353">
        <v>32050.388999999999</v>
      </c>
      <c r="G412" s="293"/>
      <c r="H412" s="293"/>
      <c r="I412" s="293"/>
      <c r="J412" s="52"/>
      <c r="K412" s="52"/>
      <c r="L412" s="359"/>
      <c r="M412" s="360"/>
      <c r="N412" s="361"/>
      <c r="O412" s="33"/>
      <c r="P412" s="252"/>
      <c r="Q412" s="113"/>
      <c r="R412" s="113"/>
      <c r="S412" s="113"/>
      <c r="T412" s="52"/>
      <c r="U412" s="5"/>
      <c r="V412" s="231"/>
      <c r="W412" s="231"/>
      <c r="X412" s="231"/>
      <c r="Y412" s="113"/>
      <c r="Z412" s="357"/>
      <c r="AA412" s="118" t="s">
        <v>2877</v>
      </c>
      <c r="AB412" s="118"/>
      <c r="AC412" s="118"/>
      <c r="AD412" s="52"/>
      <c r="AE412" s="5"/>
      <c r="AF412" s="358"/>
      <c r="AG412" s="358"/>
      <c r="AH412" s="358"/>
      <c r="AI412" s="358"/>
      <c r="AJ412" s="358"/>
      <c r="AK412" s="113"/>
      <c r="AL412" s="113"/>
      <c r="AM412" s="113"/>
      <c r="AN412" s="113"/>
      <c r="AO412" s="113"/>
      <c r="AP412" s="52"/>
      <c r="AQ412" s="52"/>
      <c r="AR412" s="52"/>
      <c r="AS412" s="52"/>
      <c r="AT412" s="52"/>
      <c r="AU412" s="125"/>
      <c r="AV412" s="125"/>
      <c r="AW412" s="125"/>
      <c r="AX412" s="5"/>
      <c r="AY412" s="5"/>
      <c r="AZ412" s="113">
        <v>40000</v>
      </c>
      <c r="BA412" s="113">
        <v>7600</v>
      </c>
      <c r="BB412" s="113">
        <v>47600</v>
      </c>
      <c r="BC412" s="52" t="s">
        <v>3833</v>
      </c>
      <c r="BD412" s="52" t="s">
        <v>4085</v>
      </c>
      <c r="BE412" s="118"/>
      <c r="BF412" s="118"/>
      <c r="BG412" s="118"/>
      <c r="BH412" s="52"/>
      <c r="BI412" s="283"/>
      <c r="BJ412" s="52"/>
      <c r="BK412" s="52"/>
      <c r="BL412" s="52"/>
      <c r="BM412" s="52"/>
      <c r="BN412" s="52"/>
      <c r="BO412" s="52"/>
      <c r="BP412" s="52"/>
      <c r="BQ412" s="52"/>
      <c r="BR412" s="52"/>
      <c r="BS412" s="52"/>
      <c r="BT412" s="52"/>
      <c r="BU412" s="52"/>
      <c r="BV412" s="52"/>
      <c r="BW412" s="52"/>
      <c r="BX412" s="52"/>
      <c r="BY412" s="52"/>
      <c r="BZ412" s="52"/>
      <c r="CA412" s="52"/>
      <c r="CB412" s="52"/>
      <c r="CC412" s="52"/>
      <c r="CD412" s="118"/>
      <c r="CE412" s="52"/>
      <c r="CF412" s="52"/>
      <c r="CG412" s="52"/>
      <c r="CH412" s="52"/>
      <c r="CI412" s="52"/>
      <c r="CJ412" s="52"/>
      <c r="CK412" s="52"/>
      <c r="CL412" s="52"/>
      <c r="CM412" s="52"/>
      <c r="CN412" s="118"/>
      <c r="CO412" s="118"/>
      <c r="CP412" s="118"/>
      <c r="CQ412" s="52"/>
      <c r="CR412" s="52"/>
      <c r="CS412" s="52"/>
      <c r="CT412" s="52"/>
      <c r="CU412" s="52"/>
      <c r="CV412" s="52"/>
      <c r="CW412" s="52"/>
      <c r="CX412" s="52"/>
      <c r="CY412" s="52"/>
      <c r="CZ412" s="52"/>
      <c r="DA412" s="52"/>
      <c r="DB412" s="52"/>
    </row>
    <row r="413" spans="1:106" ht="27" x14ac:dyDescent="0.25">
      <c r="A413" s="411">
        <v>411</v>
      </c>
      <c r="B413" s="412" t="s">
        <v>4086</v>
      </c>
      <c r="C413" s="413" t="s">
        <v>622</v>
      </c>
      <c r="D413" s="413" t="s">
        <v>445</v>
      </c>
      <c r="E413" s="80">
        <v>1</v>
      </c>
      <c r="F413" s="355">
        <v>79526.578999999998</v>
      </c>
      <c r="G413" s="293"/>
      <c r="H413" s="293"/>
      <c r="I413" s="293"/>
      <c r="J413" s="52"/>
      <c r="K413" s="52"/>
      <c r="L413" s="359"/>
      <c r="M413" s="360"/>
      <c r="N413" s="361"/>
      <c r="O413" s="33"/>
      <c r="P413" s="252"/>
      <c r="Q413" s="113"/>
      <c r="R413" s="113"/>
      <c r="S413" s="113"/>
      <c r="T413" s="52"/>
      <c r="U413" s="5"/>
      <c r="V413" s="231"/>
      <c r="W413" s="231"/>
      <c r="X413" s="231"/>
      <c r="Y413" s="113"/>
      <c r="Z413" s="357"/>
      <c r="AA413" s="118" t="s">
        <v>2877</v>
      </c>
      <c r="AB413" s="118"/>
      <c r="AC413" s="118"/>
      <c r="AD413" s="52"/>
      <c r="AE413" s="5"/>
      <c r="AF413" s="358"/>
      <c r="AG413" s="358"/>
      <c r="AH413" s="358"/>
      <c r="AI413" s="358"/>
      <c r="AJ413" s="358"/>
      <c r="AK413" s="113"/>
      <c r="AL413" s="113"/>
      <c r="AM413" s="113"/>
      <c r="AN413" s="113"/>
      <c r="AO413" s="113"/>
      <c r="AP413" s="52"/>
      <c r="AQ413" s="52"/>
      <c r="AR413" s="52"/>
      <c r="AS413" s="52"/>
      <c r="AT413" s="52"/>
      <c r="AU413" s="125"/>
      <c r="AV413" s="125"/>
      <c r="AW413" s="125"/>
      <c r="AX413" s="5"/>
      <c r="AY413" s="5"/>
      <c r="AZ413" s="113"/>
      <c r="BA413" s="113"/>
      <c r="BB413" s="113"/>
      <c r="BC413" s="52"/>
      <c r="BD413" s="52"/>
      <c r="BE413" s="118"/>
      <c r="BF413" s="118"/>
      <c r="BG413" s="118"/>
      <c r="BH413" s="52"/>
      <c r="BI413" s="283"/>
      <c r="BJ413" s="52"/>
      <c r="BK413" s="52"/>
      <c r="BL413" s="52"/>
      <c r="BM413" s="52"/>
      <c r="BN413" s="52"/>
      <c r="BO413" s="52"/>
      <c r="BP413" s="52"/>
      <c r="BQ413" s="52"/>
      <c r="BR413" s="52"/>
      <c r="BS413" s="52"/>
      <c r="BT413" s="52"/>
      <c r="BU413" s="52"/>
      <c r="BV413" s="52"/>
      <c r="BW413" s="52"/>
      <c r="BX413" s="52"/>
      <c r="BY413" s="52"/>
      <c r="BZ413" s="52"/>
      <c r="CA413" s="52"/>
      <c r="CB413" s="52"/>
      <c r="CC413" s="52"/>
      <c r="CD413" s="118"/>
      <c r="CE413" s="52"/>
      <c r="CF413" s="52"/>
      <c r="CG413" s="52"/>
      <c r="CH413" s="52"/>
      <c r="CI413" s="52"/>
      <c r="CJ413" s="52"/>
      <c r="CK413" s="52"/>
      <c r="CL413" s="52"/>
      <c r="CM413" s="52"/>
      <c r="CN413" s="118"/>
      <c r="CO413" s="118"/>
      <c r="CP413" s="118"/>
      <c r="CQ413" s="52"/>
      <c r="CR413" s="52"/>
      <c r="CS413" s="52"/>
      <c r="CT413" s="52"/>
      <c r="CU413" s="52"/>
      <c r="CV413" s="52"/>
      <c r="CW413" s="52"/>
      <c r="CX413" s="52"/>
      <c r="CY413" s="52"/>
      <c r="CZ413" s="52"/>
      <c r="DA413" s="52"/>
      <c r="DB413" s="52"/>
    </row>
    <row r="414" spans="1:106" ht="27" x14ac:dyDescent="0.25">
      <c r="A414" s="411">
        <v>412</v>
      </c>
      <c r="B414" s="412" t="s">
        <v>4087</v>
      </c>
      <c r="C414" s="413" t="s">
        <v>622</v>
      </c>
      <c r="D414" s="426" t="s">
        <v>445</v>
      </c>
      <c r="E414" s="80">
        <v>1</v>
      </c>
      <c r="F414" s="353">
        <v>75286.992200000008</v>
      </c>
      <c r="G414" s="293"/>
      <c r="H414" s="293"/>
      <c r="I414" s="293"/>
      <c r="J414" s="52"/>
      <c r="K414" s="52"/>
      <c r="L414" s="359"/>
      <c r="M414" s="360"/>
      <c r="N414" s="361"/>
      <c r="O414" s="33"/>
      <c r="P414" s="252"/>
      <c r="Q414" s="113"/>
      <c r="R414" s="113"/>
      <c r="S414" s="113"/>
      <c r="T414" s="52"/>
      <c r="U414" s="5"/>
      <c r="V414" s="231"/>
      <c r="W414" s="231"/>
      <c r="X414" s="231"/>
      <c r="Y414" s="113"/>
      <c r="Z414" s="357"/>
      <c r="AA414" s="118" t="s">
        <v>2877</v>
      </c>
      <c r="AB414" s="118"/>
      <c r="AC414" s="118"/>
      <c r="AD414" s="52"/>
      <c r="AE414" s="5"/>
      <c r="AF414" s="358"/>
      <c r="AG414" s="358"/>
      <c r="AH414" s="358"/>
      <c r="AI414" s="358"/>
      <c r="AJ414" s="358"/>
      <c r="AK414" s="113"/>
      <c r="AL414" s="113"/>
      <c r="AM414" s="113"/>
      <c r="AN414" s="113"/>
      <c r="AO414" s="113"/>
      <c r="AP414" s="52"/>
      <c r="AQ414" s="52"/>
      <c r="AR414" s="52"/>
      <c r="AS414" s="52"/>
      <c r="AT414" s="52"/>
      <c r="AU414" s="125"/>
      <c r="AV414" s="125"/>
      <c r="AW414" s="125"/>
      <c r="AX414" s="5"/>
      <c r="AY414" s="5"/>
      <c r="AZ414" s="113"/>
      <c r="BA414" s="113"/>
      <c r="BB414" s="113"/>
      <c r="BC414" s="52"/>
      <c r="BD414" s="52"/>
      <c r="BE414" s="118"/>
      <c r="BF414" s="118"/>
      <c r="BG414" s="118"/>
      <c r="BH414" s="52"/>
      <c r="BI414" s="283"/>
      <c r="BJ414" s="52"/>
      <c r="BK414" s="52"/>
      <c r="BL414" s="52"/>
      <c r="BM414" s="52"/>
      <c r="BN414" s="52"/>
      <c r="BO414" s="52"/>
      <c r="BP414" s="52"/>
      <c r="BQ414" s="52"/>
      <c r="BR414" s="52"/>
      <c r="BS414" s="52"/>
      <c r="BT414" s="52"/>
      <c r="BU414" s="52"/>
      <c r="BV414" s="52"/>
      <c r="BW414" s="52"/>
      <c r="BX414" s="52"/>
      <c r="BY414" s="52"/>
      <c r="BZ414" s="52"/>
      <c r="CA414" s="52"/>
      <c r="CB414" s="52"/>
      <c r="CC414" s="52"/>
      <c r="CD414" s="118"/>
      <c r="CE414" s="52"/>
      <c r="CF414" s="52"/>
      <c r="CG414" s="52"/>
      <c r="CH414" s="52"/>
      <c r="CI414" s="52"/>
      <c r="CJ414" s="52"/>
      <c r="CK414" s="52"/>
      <c r="CL414" s="52"/>
      <c r="CM414" s="52"/>
      <c r="CN414" s="118"/>
      <c r="CO414" s="118"/>
      <c r="CP414" s="118"/>
      <c r="CQ414" s="52"/>
      <c r="CR414" s="52"/>
      <c r="CS414" s="52"/>
      <c r="CT414" s="52"/>
      <c r="CU414" s="52"/>
      <c r="CV414" s="52"/>
      <c r="CW414" s="52"/>
      <c r="CX414" s="52"/>
      <c r="CY414" s="52"/>
      <c r="CZ414" s="52"/>
      <c r="DA414" s="52"/>
      <c r="DB414" s="52"/>
    </row>
    <row r="415" spans="1:106" ht="27" x14ac:dyDescent="0.25">
      <c r="A415" s="411">
        <v>413</v>
      </c>
      <c r="B415" s="412" t="s">
        <v>4088</v>
      </c>
      <c r="C415" s="413" t="s">
        <v>622</v>
      </c>
      <c r="D415" s="426" t="s">
        <v>445</v>
      </c>
      <c r="E415" s="80">
        <v>1</v>
      </c>
      <c r="F415" s="353">
        <v>75286.992200000008</v>
      </c>
      <c r="G415" s="293"/>
      <c r="H415" s="293"/>
      <c r="I415" s="293"/>
      <c r="J415" s="52"/>
      <c r="K415" s="52"/>
      <c r="L415" s="359"/>
      <c r="M415" s="360"/>
      <c r="N415" s="361"/>
      <c r="O415" s="33"/>
      <c r="P415" s="252"/>
      <c r="Q415" s="113"/>
      <c r="R415" s="113"/>
      <c r="S415" s="113"/>
      <c r="T415" s="52"/>
      <c r="U415" s="5"/>
      <c r="V415" s="231"/>
      <c r="W415" s="231"/>
      <c r="X415" s="231"/>
      <c r="Y415" s="113"/>
      <c r="Z415" s="357"/>
      <c r="AA415" s="118" t="s">
        <v>2877</v>
      </c>
      <c r="AB415" s="118"/>
      <c r="AC415" s="118"/>
      <c r="AD415" s="52"/>
      <c r="AE415" s="5"/>
      <c r="AF415" s="358"/>
      <c r="AG415" s="358"/>
      <c r="AH415" s="358"/>
      <c r="AI415" s="358"/>
      <c r="AJ415" s="358"/>
      <c r="AK415" s="113"/>
      <c r="AL415" s="113"/>
      <c r="AM415" s="113"/>
      <c r="AN415" s="113"/>
      <c r="AO415" s="113"/>
      <c r="AP415" s="52"/>
      <c r="AQ415" s="52"/>
      <c r="AR415" s="52"/>
      <c r="AS415" s="52"/>
      <c r="AT415" s="52"/>
      <c r="AU415" s="125"/>
      <c r="AV415" s="125"/>
      <c r="AW415" s="125"/>
      <c r="AX415" s="5"/>
      <c r="AY415" s="5"/>
      <c r="AZ415" s="113"/>
      <c r="BA415" s="113"/>
      <c r="BB415" s="113"/>
      <c r="BC415" s="52"/>
      <c r="BD415" s="52"/>
      <c r="BE415" s="118"/>
      <c r="BF415" s="118"/>
      <c r="BG415" s="118"/>
      <c r="BH415" s="52"/>
      <c r="BI415" s="283"/>
      <c r="BJ415" s="52"/>
      <c r="BK415" s="52"/>
      <c r="BL415" s="52"/>
      <c r="BM415" s="52"/>
      <c r="BN415" s="52"/>
      <c r="BO415" s="52"/>
      <c r="BP415" s="52"/>
      <c r="BQ415" s="52"/>
      <c r="BR415" s="52"/>
      <c r="BS415" s="52"/>
      <c r="BT415" s="52"/>
      <c r="BU415" s="52"/>
      <c r="BV415" s="52"/>
      <c r="BW415" s="52"/>
      <c r="BX415" s="52"/>
      <c r="BY415" s="52"/>
      <c r="BZ415" s="52"/>
      <c r="CA415" s="52"/>
      <c r="CB415" s="52"/>
      <c r="CC415" s="52"/>
      <c r="CD415" s="118"/>
      <c r="CE415" s="52"/>
      <c r="CF415" s="52"/>
      <c r="CG415" s="52"/>
      <c r="CH415" s="52"/>
      <c r="CI415" s="52"/>
      <c r="CJ415" s="52"/>
      <c r="CK415" s="52"/>
      <c r="CL415" s="52"/>
      <c r="CM415" s="52"/>
      <c r="CN415" s="118"/>
      <c r="CO415" s="118"/>
      <c r="CP415" s="118"/>
      <c r="CQ415" s="52"/>
      <c r="CR415" s="52"/>
      <c r="CS415" s="52"/>
      <c r="CT415" s="52"/>
      <c r="CU415" s="52"/>
      <c r="CV415" s="52"/>
      <c r="CW415" s="52"/>
      <c r="CX415" s="52"/>
      <c r="CY415" s="52"/>
      <c r="CZ415" s="52"/>
      <c r="DA415" s="52"/>
      <c r="DB415" s="52"/>
    </row>
    <row r="416" spans="1:106" ht="27" x14ac:dyDescent="0.25">
      <c r="A416" s="411">
        <v>414</v>
      </c>
      <c r="B416" s="412" t="s">
        <v>4089</v>
      </c>
      <c r="C416" s="413" t="s">
        <v>622</v>
      </c>
      <c r="D416" s="413" t="s">
        <v>445</v>
      </c>
      <c r="E416" s="80">
        <v>1</v>
      </c>
      <c r="F416" s="355">
        <v>84180.196200000006</v>
      </c>
      <c r="G416" s="293"/>
      <c r="H416" s="293"/>
      <c r="I416" s="293"/>
      <c r="J416" s="52"/>
      <c r="K416" s="52"/>
      <c r="L416" s="359"/>
      <c r="M416" s="360"/>
      <c r="N416" s="361"/>
      <c r="O416" s="33"/>
      <c r="P416" s="252"/>
      <c r="Q416" s="113"/>
      <c r="R416" s="113"/>
      <c r="S416" s="113"/>
      <c r="T416" s="52"/>
      <c r="U416" s="5"/>
      <c r="V416" s="231"/>
      <c r="W416" s="231"/>
      <c r="X416" s="231"/>
      <c r="Y416" s="113"/>
      <c r="Z416" s="357"/>
      <c r="AA416" s="118" t="s">
        <v>2877</v>
      </c>
      <c r="AB416" s="118"/>
      <c r="AC416" s="118"/>
      <c r="AD416" s="52"/>
      <c r="AE416" s="5"/>
      <c r="AF416" s="358"/>
      <c r="AG416" s="358"/>
      <c r="AH416" s="358"/>
      <c r="AI416" s="358"/>
      <c r="AJ416" s="358"/>
      <c r="AK416" s="113"/>
      <c r="AL416" s="113"/>
      <c r="AM416" s="113"/>
      <c r="AN416" s="113"/>
      <c r="AO416" s="113"/>
      <c r="AP416" s="52"/>
      <c r="AQ416" s="52"/>
      <c r="AR416" s="52"/>
      <c r="AS416" s="52"/>
      <c r="AT416" s="52"/>
      <c r="AU416" s="125"/>
      <c r="AV416" s="125"/>
      <c r="AW416" s="125"/>
      <c r="AX416" s="5"/>
      <c r="AY416" s="5"/>
      <c r="AZ416" s="113"/>
      <c r="BA416" s="113"/>
      <c r="BB416" s="113"/>
      <c r="BC416" s="52"/>
      <c r="BD416" s="52"/>
      <c r="BE416" s="118"/>
      <c r="BF416" s="118"/>
      <c r="BG416" s="118"/>
      <c r="BH416" s="52"/>
      <c r="BI416" s="283"/>
      <c r="BJ416" s="52"/>
      <c r="BK416" s="52"/>
      <c r="BL416" s="52"/>
      <c r="BM416" s="52"/>
      <c r="BN416" s="52"/>
      <c r="BO416" s="52"/>
      <c r="BP416" s="52"/>
      <c r="BQ416" s="52"/>
      <c r="BR416" s="52"/>
      <c r="BS416" s="52"/>
      <c r="BT416" s="52"/>
      <c r="BU416" s="52"/>
      <c r="BV416" s="52"/>
      <c r="BW416" s="52"/>
      <c r="BX416" s="52"/>
      <c r="BY416" s="52"/>
      <c r="BZ416" s="52"/>
      <c r="CA416" s="52"/>
      <c r="CB416" s="52"/>
      <c r="CC416" s="52"/>
      <c r="CD416" s="118">
        <v>63026</v>
      </c>
      <c r="CE416" s="118">
        <f t="shared" ref="CE416" si="44">+CD416*0.19</f>
        <v>11974.94</v>
      </c>
      <c r="CF416" s="118">
        <f t="shared" ref="CF416" si="45">+CD416+CE416</f>
        <v>75000.94</v>
      </c>
      <c r="CG416" s="52"/>
      <c r="CH416" s="52">
        <v>3110</v>
      </c>
      <c r="CI416" s="52"/>
      <c r="CJ416" s="52"/>
      <c r="CK416" s="52"/>
      <c r="CL416" s="52"/>
      <c r="CM416" s="52"/>
      <c r="CN416" s="118"/>
      <c r="CO416" s="118"/>
      <c r="CP416" s="118"/>
      <c r="CQ416" s="52"/>
      <c r="CR416" s="52"/>
      <c r="CS416" s="52"/>
      <c r="CT416" s="52"/>
      <c r="CU416" s="52"/>
      <c r="CV416" s="52"/>
      <c r="CW416" s="52"/>
      <c r="CX416" s="52"/>
      <c r="CY416" s="52"/>
      <c r="CZ416" s="52"/>
      <c r="DA416" s="52"/>
      <c r="DB416" s="52"/>
    </row>
    <row r="417" spans="1:106" ht="27" x14ac:dyDescent="0.25">
      <c r="A417" s="411">
        <v>415</v>
      </c>
      <c r="B417" s="412" t="s">
        <v>4090</v>
      </c>
      <c r="C417" s="413" t="s">
        <v>622</v>
      </c>
      <c r="D417" s="426" t="s">
        <v>445</v>
      </c>
      <c r="E417" s="80">
        <v>1</v>
      </c>
      <c r="F417" s="353">
        <v>78330.960600000006</v>
      </c>
      <c r="G417" s="293"/>
      <c r="H417" s="293"/>
      <c r="I417" s="293"/>
      <c r="J417" s="52"/>
      <c r="K417" s="52"/>
      <c r="L417" s="359"/>
      <c r="M417" s="360"/>
      <c r="N417" s="361"/>
      <c r="O417" s="33"/>
      <c r="P417" s="252"/>
      <c r="Q417" s="113"/>
      <c r="R417" s="113"/>
      <c r="S417" s="113"/>
      <c r="T417" s="52"/>
      <c r="U417" s="5"/>
      <c r="V417" s="231"/>
      <c r="W417" s="231"/>
      <c r="X417" s="231"/>
      <c r="Y417" s="113"/>
      <c r="Z417" s="357"/>
      <c r="AA417" s="118" t="s">
        <v>2877</v>
      </c>
      <c r="AB417" s="118"/>
      <c r="AC417" s="118"/>
      <c r="AD417" s="52"/>
      <c r="AE417" s="5"/>
      <c r="AF417" s="358"/>
      <c r="AG417" s="358"/>
      <c r="AH417" s="358"/>
      <c r="AI417" s="358"/>
      <c r="AJ417" s="358"/>
      <c r="AK417" s="113"/>
      <c r="AL417" s="113"/>
      <c r="AM417" s="113"/>
      <c r="AN417" s="113"/>
      <c r="AO417" s="113"/>
      <c r="AP417" s="52"/>
      <c r="AQ417" s="52"/>
      <c r="AR417" s="52"/>
      <c r="AS417" s="52"/>
      <c r="AT417" s="52"/>
      <c r="AU417" s="125"/>
      <c r="AV417" s="125"/>
      <c r="AW417" s="125"/>
      <c r="AX417" s="5"/>
      <c r="AY417" s="5"/>
      <c r="AZ417" s="113"/>
      <c r="BA417" s="113"/>
      <c r="BB417" s="113"/>
      <c r="BC417" s="52"/>
      <c r="BD417" s="52"/>
      <c r="BE417" s="118"/>
      <c r="BF417" s="118"/>
      <c r="BG417" s="118"/>
      <c r="BH417" s="52"/>
      <c r="BI417" s="283"/>
      <c r="BJ417" s="52"/>
      <c r="BK417" s="52"/>
      <c r="BL417" s="52"/>
      <c r="BM417" s="52"/>
      <c r="BN417" s="52"/>
      <c r="BO417" s="52"/>
      <c r="BP417" s="52"/>
      <c r="BQ417" s="52"/>
      <c r="BR417" s="52"/>
      <c r="BS417" s="52"/>
      <c r="BT417" s="52"/>
      <c r="BU417" s="52"/>
      <c r="BV417" s="52"/>
      <c r="BW417" s="52"/>
      <c r="BX417" s="52"/>
      <c r="BY417" s="52"/>
      <c r="BZ417" s="52"/>
      <c r="CA417" s="52"/>
      <c r="CB417" s="52"/>
      <c r="CC417" s="52"/>
      <c r="CD417" s="118"/>
      <c r="CE417" s="52"/>
      <c r="CF417" s="52"/>
      <c r="CG417" s="52"/>
      <c r="CH417" s="52"/>
      <c r="CI417" s="52"/>
      <c r="CJ417" s="52"/>
      <c r="CK417" s="52"/>
      <c r="CL417" s="52"/>
      <c r="CM417" s="52"/>
      <c r="CN417" s="118"/>
      <c r="CO417" s="118"/>
      <c r="CP417" s="118"/>
      <c r="CQ417" s="52"/>
      <c r="CR417" s="52"/>
      <c r="CS417" s="52"/>
      <c r="CT417" s="52"/>
      <c r="CU417" s="52"/>
      <c r="CV417" s="52"/>
      <c r="CW417" s="52"/>
      <c r="CX417" s="52"/>
      <c r="CY417" s="52"/>
      <c r="CZ417" s="52"/>
      <c r="DA417" s="52"/>
      <c r="DB417" s="52"/>
    </row>
    <row r="418" spans="1:106" ht="27" x14ac:dyDescent="0.25">
      <c r="A418" s="411">
        <v>416</v>
      </c>
      <c r="B418" s="412" t="s">
        <v>4091</v>
      </c>
      <c r="C418" s="413" t="s">
        <v>622</v>
      </c>
      <c r="D418" s="426" t="s">
        <v>445</v>
      </c>
      <c r="E418" s="80">
        <v>1</v>
      </c>
      <c r="F418" s="355">
        <v>90736.029600000009</v>
      </c>
      <c r="G418" s="293"/>
      <c r="H418" s="293"/>
      <c r="I418" s="293"/>
      <c r="J418" s="52"/>
      <c r="K418" s="52"/>
      <c r="L418" s="359"/>
      <c r="M418" s="360"/>
      <c r="N418" s="361"/>
      <c r="O418" s="33"/>
      <c r="P418" s="252"/>
      <c r="Q418" s="113"/>
      <c r="R418" s="113"/>
      <c r="S418" s="113"/>
      <c r="T418" s="52"/>
      <c r="U418" s="5"/>
      <c r="V418" s="231"/>
      <c r="W418" s="231"/>
      <c r="X418" s="231"/>
      <c r="Y418" s="113"/>
      <c r="Z418" s="357"/>
      <c r="AA418" s="118" t="s">
        <v>2877</v>
      </c>
      <c r="AB418" s="118"/>
      <c r="AC418" s="118"/>
      <c r="AD418" s="52"/>
      <c r="AE418" s="5"/>
      <c r="AF418" s="358"/>
      <c r="AG418" s="358"/>
      <c r="AH418" s="358"/>
      <c r="AI418" s="358"/>
      <c r="AJ418" s="358"/>
      <c r="AK418" s="113"/>
      <c r="AL418" s="113"/>
      <c r="AM418" s="113"/>
      <c r="AN418" s="113"/>
      <c r="AO418" s="113"/>
      <c r="AP418" s="52"/>
      <c r="AQ418" s="52"/>
      <c r="AR418" s="52"/>
      <c r="AS418" s="52"/>
      <c r="AT418" s="52"/>
      <c r="AU418" s="125"/>
      <c r="AV418" s="125"/>
      <c r="AW418" s="125"/>
      <c r="AX418" s="5"/>
      <c r="AY418" s="5"/>
      <c r="AZ418" s="113"/>
      <c r="BA418" s="113"/>
      <c r="BB418" s="113"/>
      <c r="BC418" s="52"/>
      <c r="BD418" s="52"/>
      <c r="BE418" s="118"/>
      <c r="BF418" s="118"/>
      <c r="BG418" s="118"/>
      <c r="BH418" s="52"/>
      <c r="BI418" s="283"/>
      <c r="BJ418" s="52"/>
      <c r="BK418" s="52"/>
      <c r="BL418" s="52"/>
      <c r="BM418" s="52"/>
      <c r="BN418" s="52"/>
      <c r="BO418" s="52"/>
      <c r="BP418" s="52"/>
      <c r="BQ418" s="52"/>
      <c r="BR418" s="52"/>
      <c r="BS418" s="52"/>
      <c r="BT418" s="52"/>
      <c r="BU418" s="52"/>
      <c r="BV418" s="52"/>
      <c r="BW418" s="52"/>
      <c r="BX418" s="52"/>
      <c r="BY418" s="52"/>
      <c r="BZ418" s="52"/>
      <c r="CA418" s="52"/>
      <c r="CB418" s="52"/>
      <c r="CC418" s="52"/>
      <c r="CD418" s="118"/>
      <c r="CE418" s="52"/>
      <c r="CF418" s="52"/>
      <c r="CG418" s="52"/>
      <c r="CH418" s="52"/>
      <c r="CI418" s="52"/>
      <c r="CJ418" s="52"/>
      <c r="CK418" s="52"/>
      <c r="CL418" s="52"/>
      <c r="CM418" s="52"/>
      <c r="CN418" s="118"/>
      <c r="CO418" s="118"/>
      <c r="CP418" s="118"/>
      <c r="CQ418" s="52"/>
      <c r="CR418" s="52"/>
      <c r="CS418" s="52"/>
      <c r="CT418" s="52"/>
      <c r="CU418" s="52"/>
      <c r="CV418" s="52"/>
      <c r="CW418" s="52"/>
      <c r="CX418" s="52"/>
      <c r="CY418" s="52"/>
      <c r="CZ418" s="52"/>
      <c r="DA418" s="52"/>
      <c r="DB418" s="52"/>
    </row>
    <row r="419" spans="1:106" ht="27" x14ac:dyDescent="0.25">
      <c r="A419" s="411">
        <v>417</v>
      </c>
      <c r="B419" s="412" t="s">
        <v>4092</v>
      </c>
      <c r="C419" s="413" t="s">
        <v>622</v>
      </c>
      <c r="D419" s="426" t="s">
        <v>445</v>
      </c>
      <c r="E419" s="80">
        <v>1</v>
      </c>
      <c r="F419" s="353">
        <v>332992.39880000002</v>
      </c>
      <c r="G419" s="293">
        <v>87100</v>
      </c>
      <c r="H419" s="293">
        <v>16549</v>
      </c>
      <c r="I419" s="293">
        <v>103649</v>
      </c>
      <c r="J419" s="52" t="s">
        <v>2956</v>
      </c>
      <c r="K419" s="52" t="s">
        <v>4093</v>
      </c>
      <c r="L419" s="359"/>
      <c r="M419" s="360"/>
      <c r="N419" s="361"/>
      <c r="O419" s="33"/>
      <c r="P419" s="252"/>
      <c r="Q419" s="113"/>
      <c r="R419" s="113"/>
      <c r="S419" s="113"/>
      <c r="T419" s="52"/>
      <c r="U419" s="5"/>
      <c r="V419" s="231"/>
      <c r="W419" s="231"/>
      <c r="X419" s="231"/>
      <c r="Y419" s="113"/>
      <c r="Z419" s="357"/>
      <c r="AA419" s="118" t="s">
        <v>2877</v>
      </c>
      <c r="AB419" s="118"/>
      <c r="AC419" s="118"/>
      <c r="AD419" s="52"/>
      <c r="AE419" s="5"/>
      <c r="AF419" s="358"/>
      <c r="AG419" s="358"/>
      <c r="AH419" s="358"/>
      <c r="AI419" s="358"/>
      <c r="AJ419" s="358"/>
      <c r="AK419" s="113"/>
      <c r="AL419" s="113"/>
      <c r="AM419" s="113"/>
      <c r="AN419" s="113"/>
      <c r="AO419" s="113"/>
      <c r="AP419" s="52"/>
      <c r="AQ419" s="52"/>
      <c r="AR419" s="52"/>
      <c r="AS419" s="52"/>
      <c r="AT419" s="52"/>
      <c r="AU419" s="125"/>
      <c r="AV419" s="125"/>
      <c r="AW419" s="125"/>
      <c r="AX419" s="5"/>
      <c r="AY419" s="5"/>
      <c r="AZ419" s="113"/>
      <c r="BA419" s="113"/>
      <c r="BB419" s="113"/>
      <c r="BC419" s="52"/>
      <c r="BD419" s="52"/>
      <c r="BE419" s="118"/>
      <c r="BF419" s="118"/>
      <c r="BG419" s="118"/>
      <c r="BH419" s="52"/>
      <c r="BI419" s="283"/>
      <c r="BJ419" s="52"/>
      <c r="BK419" s="52"/>
      <c r="BL419" s="52"/>
      <c r="BM419" s="52"/>
      <c r="BN419" s="52"/>
      <c r="BO419" s="52"/>
      <c r="BP419" s="52"/>
      <c r="BQ419" s="52"/>
      <c r="BR419" s="52"/>
      <c r="BS419" s="52"/>
      <c r="BT419" s="52"/>
      <c r="BU419" s="52"/>
      <c r="BV419" s="52"/>
      <c r="BW419" s="52"/>
      <c r="BX419" s="52"/>
      <c r="BY419" s="52"/>
      <c r="BZ419" s="52"/>
      <c r="CA419" s="52"/>
      <c r="CB419" s="52"/>
      <c r="CC419" s="52"/>
      <c r="CD419" s="118"/>
      <c r="CE419" s="52"/>
      <c r="CF419" s="52"/>
      <c r="CG419" s="52"/>
      <c r="CH419" s="52"/>
      <c r="CI419" s="52"/>
      <c r="CJ419" s="52"/>
      <c r="CK419" s="52"/>
      <c r="CL419" s="52"/>
      <c r="CM419" s="52"/>
      <c r="CN419" s="118"/>
      <c r="CO419" s="118"/>
      <c r="CP419" s="118"/>
      <c r="CQ419" s="52"/>
      <c r="CR419" s="52"/>
      <c r="CS419" s="52"/>
      <c r="CT419" s="52"/>
      <c r="CU419" s="52"/>
      <c r="CV419" s="52"/>
      <c r="CW419" s="52"/>
      <c r="CX419" s="52"/>
      <c r="CY419" s="52"/>
      <c r="CZ419" s="52"/>
      <c r="DA419" s="52"/>
      <c r="DB419" s="52"/>
    </row>
    <row r="420" spans="1:106" ht="27" x14ac:dyDescent="0.25">
      <c r="A420" s="411">
        <v>418</v>
      </c>
      <c r="B420" s="412" t="s">
        <v>4094</v>
      </c>
      <c r="C420" s="413" t="s">
        <v>622</v>
      </c>
      <c r="D420" s="426" t="s">
        <v>445</v>
      </c>
      <c r="E420" s="80">
        <v>1</v>
      </c>
      <c r="F420" s="353">
        <v>85990.523000000001</v>
      </c>
      <c r="G420" s="293"/>
      <c r="H420" s="293"/>
      <c r="I420" s="293"/>
      <c r="J420" s="52"/>
      <c r="K420" s="52"/>
      <c r="L420" s="359"/>
      <c r="M420" s="360"/>
      <c r="N420" s="361"/>
      <c r="O420" s="33"/>
      <c r="P420" s="252"/>
      <c r="Q420" s="113"/>
      <c r="R420" s="113"/>
      <c r="S420" s="113"/>
      <c r="T420" s="52"/>
      <c r="U420" s="5"/>
      <c r="V420" s="231"/>
      <c r="W420" s="231"/>
      <c r="X420" s="231"/>
      <c r="Y420" s="113"/>
      <c r="Z420" s="357"/>
      <c r="AA420" s="118" t="s">
        <v>2877</v>
      </c>
      <c r="AB420" s="118"/>
      <c r="AC420" s="118"/>
      <c r="AD420" s="52"/>
      <c r="AE420" s="5"/>
      <c r="AF420" s="358"/>
      <c r="AG420" s="358"/>
      <c r="AH420" s="358"/>
      <c r="AI420" s="358"/>
      <c r="AJ420" s="358"/>
      <c r="AK420" s="113"/>
      <c r="AL420" s="113"/>
      <c r="AM420" s="113"/>
      <c r="AN420" s="113"/>
      <c r="AO420" s="113"/>
      <c r="AP420" s="52"/>
      <c r="AQ420" s="52"/>
      <c r="AR420" s="52"/>
      <c r="AS420" s="52"/>
      <c r="AT420" s="52"/>
      <c r="AU420" s="125"/>
      <c r="AV420" s="125"/>
      <c r="AW420" s="125"/>
      <c r="AX420" s="5"/>
      <c r="AY420" s="5"/>
      <c r="AZ420" s="113"/>
      <c r="BA420" s="113"/>
      <c r="BB420" s="113"/>
      <c r="BC420" s="52"/>
      <c r="BD420" s="52"/>
      <c r="BE420" s="118"/>
      <c r="BF420" s="118"/>
      <c r="BG420" s="118"/>
      <c r="BH420" s="52"/>
      <c r="BI420" s="283"/>
      <c r="BJ420" s="52"/>
      <c r="BK420" s="52"/>
      <c r="BL420" s="52"/>
      <c r="BM420" s="52"/>
      <c r="BN420" s="52"/>
      <c r="BO420" s="52"/>
      <c r="BP420" s="52"/>
      <c r="BQ420" s="52"/>
      <c r="BR420" s="52"/>
      <c r="BS420" s="52"/>
      <c r="BT420" s="52"/>
      <c r="BU420" s="52"/>
      <c r="BV420" s="52"/>
      <c r="BW420" s="52"/>
      <c r="BX420" s="52"/>
      <c r="BY420" s="52"/>
      <c r="BZ420" s="52"/>
      <c r="CA420" s="52"/>
      <c r="CB420" s="52"/>
      <c r="CC420" s="52"/>
      <c r="CD420" s="118"/>
      <c r="CE420" s="52"/>
      <c r="CF420" s="52"/>
      <c r="CG420" s="52"/>
      <c r="CH420" s="52"/>
      <c r="CI420" s="52"/>
      <c r="CJ420" s="52"/>
      <c r="CK420" s="52"/>
      <c r="CL420" s="52"/>
      <c r="CM420" s="52"/>
      <c r="CN420" s="118"/>
      <c r="CO420" s="118"/>
      <c r="CP420" s="118"/>
      <c r="CQ420" s="52"/>
      <c r="CR420" s="52"/>
      <c r="CS420" s="52"/>
      <c r="CT420" s="52"/>
      <c r="CU420" s="52"/>
      <c r="CV420" s="52"/>
      <c r="CW420" s="52"/>
      <c r="CX420" s="52"/>
      <c r="CY420" s="52"/>
      <c r="CZ420" s="52"/>
      <c r="DA420" s="52"/>
      <c r="DB420" s="52"/>
    </row>
    <row r="421" spans="1:106" ht="13.5" x14ac:dyDescent="0.25">
      <c r="A421" s="411">
        <v>419</v>
      </c>
      <c r="B421" s="412" t="s">
        <v>4095</v>
      </c>
      <c r="C421" s="413" t="s">
        <v>622</v>
      </c>
      <c r="D421" s="562" t="s">
        <v>445</v>
      </c>
      <c r="E421" s="80">
        <v>1</v>
      </c>
      <c r="F421" s="353">
        <v>22875.179599999999</v>
      </c>
      <c r="G421" s="293"/>
      <c r="H421" s="293"/>
      <c r="I421" s="293"/>
      <c r="J421" s="52"/>
      <c r="K421" s="52"/>
      <c r="L421" s="359"/>
      <c r="M421" s="360"/>
      <c r="N421" s="361"/>
      <c r="O421" s="33"/>
      <c r="P421" s="252"/>
      <c r="Q421" s="113"/>
      <c r="R421" s="113"/>
      <c r="S421" s="113"/>
      <c r="T421" s="52"/>
      <c r="U421" s="5"/>
      <c r="V421" s="231"/>
      <c r="W421" s="231"/>
      <c r="X421" s="231"/>
      <c r="Y421" s="113"/>
      <c r="Z421" s="357"/>
      <c r="AA421" s="118" t="s">
        <v>2877</v>
      </c>
      <c r="AB421" s="118"/>
      <c r="AC421" s="118"/>
      <c r="AD421" s="52"/>
      <c r="AE421" s="5"/>
      <c r="AF421" s="358"/>
      <c r="AG421" s="358"/>
      <c r="AH421" s="358"/>
      <c r="AI421" s="358"/>
      <c r="AJ421" s="358"/>
      <c r="AK421" s="113"/>
      <c r="AL421" s="113"/>
      <c r="AM421" s="113"/>
      <c r="AN421" s="113"/>
      <c r="AO421" s="113"/>
      <c r="AP421" s="52"/>
      <c r="AQ421" s="52"/>
      <c r="AR421" s="52"/>
      <c r="AS421" s="52"/>
      <c r="AT421" s="52"/>
      <c r="AU421" s="125"/>
      <c r="AV421" s="125"/>
      <c r="AW421" s="125"/>
      <c r="AX421" s="5"/>
      <c r="AY421" s="5"/>
      <c r="AZ421" s="113"/>
      <c r="BA421" s="113"/>
      <c r="BB421" s="113"/>
      <c r="BC421" s="52"/>
      <c r="BD421" s="52"/>
      <c r="BE421" s="118"/>
      <c r="BF421" s="118"/>
      <c r="BG421" s="118"/>
      <c r="BH421" s="52"/>
      <c r="BI421" s="283"/>
      <c r="BJ421" s="52"/>
      <c r="BK421" s="52"/>
      <c r="BL421" s="52"/>
      <c r="BM421" s="52"/>
      <c r="BN421" s="52"/>
      <c r="BO421" s="52"/>
      <c r="BP421" s="52"/>
      <c r="BQ421" s="52"/>
      <c r="BR421" s="52"/>
      <c r="BS421" s="52"/>
      <c r="BT421" s="52"/>
      <c r="BU421" s="52"/>
      <c r="BV421" s="52"/>
      <c r="BW421" s="52"/>
      <c r="BX421" s="52"/>
      <c r="BY421" s="52"/>
      <c r="BZ421" s="52"/>
      <c r="CA421" s="52"/>
      <c r="CB421" s="52"/>
      <c r="CC421" s="52"/>
      <c r="CD421" s="118">
        <v>35295</v>
      </c>
      <c r="CE421" s="118">
        <f t="shared" ref="CE421" si="46">+CD421*0.19</f>
        <v>6706.05</v>
      </c>
      <c r="CF421" s="118">
        <f t="shared" ref="CF421" si="47">+CD421+CE421</f>
        <v>42001.05</v>
      </c>
      <c r="CG421" s="52" t="s">
        <v>4096</v>
      </c>
      <c r="CH421" s="52">
        <v>40103305</v>
      </c>
      <c r="CI421" s="52"/>
      <c r="CJ421" s="52"/>
      <c r="CK421" s="52"/>
      <c r="CL421" s="52"/>
      <c r="CM421" s="52"/>
      <c r="CN421" s="118"/>
      <c r="CO421" s="118"/>
      <c r="CP421" s="118"/>
      <c r="CQ421" s="52"/>
      <c r="CR421" s="52"/>
      <c r="CS421" s="293">
        <v>16000</v>
      </c>
      <c r="CT421" s="118">
        <f>+CS421*0.19</f>
        <v>3040</v>
      </c>
      <c r="CU421" s="118">
        <f>+CS421+CT421</f>
        <v>19040</v>
      </c>
      <c r="CV421" s="52" t="s">
        <v>3453</v>
      </c>
      <c r="CW421" s="52" t="s">
        <v>4097</v>
      </c>
      <c r="CX421" s="52"/>
      <c r="CY421" s="52"/>
      <c r="CZ421" s="52"/>
      <c r="DA421" s="52"/>
      <c r="DB421" s="52"/>
    </row>
    <row r="422" spans="1:106" ht="81" x14ac:dyDescent="0.25">
      <c r="A422" s="411">
        <v>420</v>
      </c>
      <c r="B422" s="415" t="s">
        <v>4098</v>
      </c>
      <c r="C422" s="561" t="s">
        <v>4099</v>
      </c>
      <c r="D422" s="426" t="s">
        <v>445</v>
      </c>
      <c r="E422" s="80">
        <v>1</v>
      </c>
      <c r="F422" s="353">
        <v>26394.438000000002</v>
      </c>
      <c r="G422" s="293">
        <v>18300</v>
      </c>
      <c r="H422" s="293">
        <v>3477</v>
      </c>
      <c r="I422" s="293">
        <v>21777</v>
      </c>
      <c r="J422" s="52" t="s">
        <v>2976</v>
      </c>
      <c r="K422" s="52" t="s">
        <v>4100</v>
      </c>
      <c r="L422" s="359"/>
      <c r="M422" s="360"/>
      <c r="N422" s="361"/>
      <c r="O422" s="33"/>
      <c r="P422" s="252"/>
      <c r="Q422" s="113"/>
      <c r="R422" s="113"/>
      <c r="S422" s="113"/>
      <c r="T422" s="52"/>
      <c r="U422" s="5"/>
      <c r="V422" s="231"/>
      <c r="W422" s="231"/>
      <c r="X422" s="231"/>
      <c r="Y422" s="113"/>
      <c r="Z422" s="357"/>
      <c r="AA422" s="118">
        <v>60000</v>
      </c>
      <c r="AB422" s="118">
        <f t="shared" ref="AB422:AB426" si="48">AA422*0.19</f>
        <v>11400</v>
      </c>
      <c r="AC422" s="118">
        <f t="shared" ref="AC422:AC426" si="49">AA422+AB422</f>
        <v>71400</v>
      </c>
      <c r="AD422" s="361" t="s">
        <v>126</v>
      </c>
      <c r="AE422" s="362" t="s">
        <v>4101</v>
      </c>
      <c r="AF422" s="358"/>
      <c r="AG422" s="358"/>
      <c r="AH422" s="358"/>
      <c r="AI422" s="358"/>
      <c r="AJ422" s="358"/>
      <c r="AK422" s="113">
        <v>19200</v>
      </c>
      <c r="AL422" s="113">
        <v>3648</v>
      </c>
      <c r="AM422" s="113">
        <v>22848</v>
      </c>
      <c r="AN422" s="113" t="s">
        <v>2980</v>
      </c>
      <c r="AO422" s="113">
        <v>233390208</v>
      </c>
      <c r="AP422" s="52"/>
      <c r="AQ422" s="52"/>
      <c r="AR422" s="52"/>
      <c r="AS422" s="52"/>
      <c r="AT422" s="52"/>
      <c r="AU422" s="125"/>
      <c r="AV422" s="125"/>
      <c r="AW422" s="125"/>
      <c r="AX422" s="5"/>
      <c r="AY422" s="5"/>
      <c r="AZ422" s="113">
        <v>21000</v>
      </c>
      <c r="BA422" s="113">
        <v>3990</v>
      </c>
      <c r="BB422" s="113">
        <v>24990</v>
      </c>
      <c r="BC422" s="52" t="s">
        <v>2925</v>
      </c>
      <c r="BD422" s="52" t="s">
        <v>4102</v>
      </c>
      <c r="BE422" s="118"/>
      <c r="BF422" s="118"/>
      <c r="BG422" s="118"/>
      <c r="BH422" s="52"/>
      <c r="BI422" s="283"/>
      <c r="BJ422" s="52"/>
      <c r="BK422" s="52"/>
      <c r="BL422" s="52"/>
      <c r="BM422" s="52"/>
      <c r="BN422" s="52"/>
      <c r="BO422" s="52"/>
      <c r="BP422" s="52"/>
      <c r="BQ422" s="52"/>
      <c r="BR422" s="52"/>
      <c r="BS422" s="52"/>
      <c r="BT422" s="52"/>
      <c r="BU422" s="52"/>
      <c r="BV422" s="52"/>
      <c r="BW422" s="52"/>
      <c r="BX422" s="52"/>
      <c r="BY422" s="52"/>
      <c r="BZ422" s="52"/>
      <c r="CA422" s="52"/>
      <c r="CB422" s="52"/>
      <c r="CC422" s="52"/>
      <c r="CD422" s="118"/>
      <c r="CE422" s="52"/>
      <c r="CF422" s="52"/>
      <c r="CG422" s="52"/>
      <c r="CH422" s="52"/>
      <c r="CI422" s="52"/>
      <c r="CJ422" s="52"/>
      <c r="CK422" s="52"/>
      <c r="CL422" s="52"/>
      <c r="CM422" s="52"/>
      <c r="CN422" s="118"/>
      <c r="CO422" s="118"/>
      <c r="CP422" s="118"/>
      <c r="CQ422" s="52"/>
      <c r="CR422" s="52"/>
      <c r="CS422" s="52"/>
      <c r="CT422" s="52"/>
      <c r="CU422" s="52"/>
      <c r="CV422" s="52"/>
      <c r="CW422" s="52"/>
      <c r="CX422" s="52"/>
      <c r="CY422" s="52"/>
      <c r="CZ422" s="52"/>
      <c r="DA422" s="52"/>
      <c r="DB422" s="52"/>
    </row>
    <row r="423" spans="1:106" ht="81" x14ac:dyDescent="0.25">
      <c r="A423" s="411">
        <v>421</v>
      </c>
      <c r="B423" s="415" t="s">
        <v>4103</v>
      </c>
      <c r="C423" s="561" t="s">
        <v>4099</v>
      </c>
      <c r="D423" s="426" t="s">
        <v>445</v>
      </c>
      <c r="E423" s="80">
        <v>1</v>
      </c>
      <c r="F423" s="353">
        <v>43990.73</v>
      </c>
      <c r="G423" s="293">
        <v>28900</v>
      </c>
      <c r="H423" s="293">
        <v>5491</v>
      </c>
      <c r="I423" s="293">
        <v>34391</v>
      </c>
      <c r="J423" s="52" t="s">
        <v>2976</v>
      </c>
      <c r="K423" s="52" t="s">
        <v>4104</v>
      </c>
      <c r="L423" s="359"/>
      <c r="M423" s="360"/>
      <c r="N423" s="361"/>
      <c r="O423" s="33"/>
      <c r="P423" s="252"/>
      <c r="Q423" s="113"/>
      <c r="R423" s="113"/>
      <c r="S423" s="113"/>
      <c r="T423" s="52"/>
      <c r="U423" s="5"/>
      <c r="V423" s="231"/>
      <c r="W423" s="231"/>
      <c r="X423" s="231"/>
      <c r="Y423" s="113"/>
      <c r="Z423" s="357"/>
      <c r="AA423" s="118">
        <v>447000</v>
      </c>
      <c r="AB423" s="118">
        <f t="shared" si="48"/>
        <v>84930</v>
      </c>
      <c r="AC423" s="118">
        <f t="shared" si="49"/>
        <v>531930</v>
      </c>
      <c r="AD423" s="361" t="s">
        <v>126</v>
      </c>
      <c r="AE423" s="362" t="s">
        <v>4105</v>
      </c>
      <c r="AF423" s="358"/>
      <c r="AG423" s="358"/>
      <c r="AH423" s="358"/>
      <c r="AI423" s="358"/>
      <c r="AJ423" s="358"/>
      <c r="AK423" s="113">
        <v>33400</v>
      </c>
      <c r="AL423" s="113">
        <v>6346</v>
      </c>
      <c r="AM423" s="113">
        <v>39746</v>
      </c>
      <c r="AN423" s="113" t="s">
        <v>2980</v>
      </c>
      <c r="AO423" s="113">
        <v>233392003</v>
      </c>
      <c r="AP423" s="52"/>
      <c r="AQ423" s="52"/>
      <c r="AR423" s="52"/>
      <c r="AS423" s="52"/>
      <c r="AT423" s="52"/>
      <c r="AU423" s="125"/>
      <c r="AV423" s="125"/>
      <c r="AW423" s="125"/>
      <c r="AX423" s="5"/>
      <c r="AY423" s="5"/>
      <c r="AZ423" s="113"/>
      <c r="BA423" s="113"/>
      <c r="BB423" s="113"/>
      <c r="BC423" s="52"/>
      <c r="BD423" s="52"/>
      <c r="BE423" s="118"/>
      <c r="BF423" s="118"/>
      <c r="BG423" s="118"/>
      <c r="BH423" s="52"/>
      <c r="BI423" s="283"/>
      <c r="BJ423" s="52"/>
      <c r="BK423" s="52"/>
      <c r="BL423" s="52"/>
      <c r="BM423" s="52"/>
      <c r="BN423" s="52"/>
      <c r="BO423" s="52"/>
      <c r="BP423" s="52"/>
      <c r="BQ423" s="52"/>
      <c r="BR423" s="52"/>
      <c r="BS423" s="52"/>
      <c r="BT423" s="52"/>
      <c r="BU423" s="52"/>
      <c r="BV423" s="52"/>
      <c r="BW423" s="52"/>
      <c r="BX423" s="52"/>
      <c r="BY423" s="52"/>
      <c r="BZ423" s="52"/>
      <c r="CA423" s="52"/>
      <c r="CB423" s="52"/>
      <c r="CC423" s="52"/>
      <c r="CD423" s="118"/>
      <c r="CE423" s="52"/>
      <c r="CF423" s="52"/>
      <c r="CG423" s="52"/>
      <c r="CH423" s="52"/>
      <c r="CI423" s="52"/>
      <c r="CJ423" s="52"/>
      <c r="CK423" s="52"/>
      <c r="CL423" s="52"/>
      <c r="CM423" s="52"/>
      <c r="CN423" s="118"/>
      <c r="CO423" s="118"/>
      <c r="CP423" s="118"/>
      <c r="CQ423" s="52"/>
      <c r="CR423" s="52"/>
      <c r="CS423" s="52"/>
      <c r="CT423" s="52"/>
      <c r="CU423" s="52"/>
      <c r="CV423" s="52"/>
      <c r="CW423" s="52"/>
      <c r="CX423" s="52"/>
      <c r="CY423" s="52"/>
      <c r="CZ423" s="52"/>
      <c r="DA423" s="52"/>
      <c r="DB423" s="52"/>
    </row>
    <row r="424" spans="1:106" ht="81" x14ac:dyDescent="0.25">
      <c r="A424" s="411">
        <v>422</v>
      </c>
      <c r="B424" s="415" t="s">
        <v>4106</v>
      </c>
      <c r="C424" s="561" t="s">
        <v>4099</v>
      </c>
      <c r="D424" s="426" t="s">
        <v>445</v>
      </c>
      <c r="E424" s="80">
        <v>1</v>
      </c>
      <c r="F424" s="353">
        <v>40220.095999999998</v>
      </c>
      <c r="G424" s="293">
        <v>32900</v>
      </c>
      <c r="H424" s="293">
        <v>6251</v>
      </c>
      <c r="I424" s="293">
        <v>39151</v>
      </c>
      <c r="J424" s="52" t="s">
        <v>2976</v>
      </c>
      <c r="K424" s="52" t="s">
        <v>4107</v>
      </c>
      <c r="L424" s="359"/>
      <c r="M424" s="360"/>
      <c r="N424" s="361"/>
      <c r="O424" s="33"/>
      <c r="P424" s="252"/>
      <c r="Q424" s="113"/>
      <c r="R424" s="113"/>
      <c r="S424" s="113"/>
      <c r="T424" s="52"/>
      <c r="U424" s="5"/>
      <c r="V424" s="231"/>
      <c r="W424" s="231"/>
      <c r="X424" s="231"/>
      <c r="Y424" s="113"/>
      <c r="Z424" s="357"/>
      <c r="AA424" s="118">
        <v>456000</v>
      </c>
      <c r="AB424" s="118">
        <f t="shared" si="48"/>
        <v>86640</v>
      </c>
      <c r="AC424" s="118">
        <f t="shared" si="49"/>
        <v>542640</v>
      </c>
      <c r="AD424" s="361" t="s">
        <v>126</v>
      </c>
      <c r="AE424" s="362" t="s">
        <v>4108</v>
      </c>
      <c r="AF424" s="358"/>
      <c r="AG424" s="358"/>
      <c r="AH424" s="358"/>
      <c r="AI424" s="358"/>
      <c r="AJ424" s="358"/>
      <c r="AK424" s="113"/>
      <c r="AL424" s="113"/>
      <c r="AM424" s="113"/>
      <c r="AN424" s="113"/>
      <c r="AO424" s="113"/>
      <c r="AP424" s="52"/>
      <c r="AQ424" s="52"/>
      <c r="AR424" s="52"/>
      <c r="AS424" s="52"/>
      <c r="AT424" s="52"/>
      <c r="AU424" s="125"/>
      <c r="AV424" s="125"/>
      <c r="AW424" s="125"/>
      <c r="AX424" s="5"/>
      <c r="AY424" s="5"/>
      <c r="AZ424" s="113">
        <v>37000</v>
      </c>
      <c r="BA424" s="113">
        <v>7030</v>
      </c>
      <c r="BB424" s="113">
        <v>44030</v>
      </c>
      <c r="BC424" s="52" t="s">
        <v>2925</v>
      </c>
      <c r="BD424" s="52" t="s">
        <v>4109</v>
      </c>
      <c r="BE424" s="118"/>
      <c r="BF424" s="118"/>
      <c r="BG424" s="118"/>
      <c r="BH424" s="52"/>
      <c r="BI424" s="283"/>
      <c r="BJ424" s="52"/>
      <c r="BK424" s="52"/>
      <c r="BL424" s="52"/>
      <c r="BM424" s="52"/>
      <c r="BN424" s="52"/>
      <c r="BO424" s="52"/>
      <c r="BP424" s="52"/>
      <c r="BQ424" s="52"/>
      <c r="BR424" s="52"/>
      <c r="BS424" s="52"/>
      <c r="BT424" s="52"/>
      <c r="BU424" s="52"/>
      <c r="BV424" s="52"/>
      <c r="BW424" s="52"/>
      <c r="BX424" s="52"/>
      <c r="BY424" s="52"/>
      <c r="BZ424" s="52"/>
      <c r="CA424" s="52"/>
      <c r="CB424" s="52"/>
      <c r="CC424" s="52"/>
      <c r="CD424" s="118"/>
      <c r="CE424" s="52"/>
      <c r="CF424" s="52"/>
      <c r="CG424" s="52"/>
      <c r="CH424" s="52"/>
      <c r="CI424" s="52"/>
      <c r="CJ424" s="52"/>
      <c r="CK424" s="52"/>
      <c r="CL424" s="52"/>
      <c r="CM424" s="52"/>
      <c r="CN424" s="118"/>
      <c r="CO424" s="118"/>
      <c r="CP424" s="118"/>
      <c r="CQ424" s="52"/>
      <c r="CR424" s="52"/>
      <c r="CS424" s="52"/>
      <c r="CT424" s="52"/>
      <c r="CU424" s="52"/>
      <c r="CV424" s="52"/>
      <c r="CW424" s="52"/>
      <c r="CX424" s="52"/>
      <c r="CY424" s="52"/>
      <c r="CZ424" s="52"/>
      <c r="DA424" s="52"/>
      <c r="DB424" s="52"/>
    </row>
    <row r="425" spans="1:106" ht="94.5" x14ac:dyDescent="0.25">
      <c r="A425" s="411">
        <v>423</v>
      </c>
      <c r="B425" s="412" t="s">
        <v>4110</v>
      </c>
      <c r="C425" s="561" t="s">
        <v>4099</v>
      </c>
      <c r="D425" s="426" t="s">
        <v>445</v>
      </c>
      <c r="E425" s="80">
        <v>1</v>
      </c>
      <c r="F425" s="353">
        <v>37903.849399999999</v>
      </c>
      <c r="G425" s="293">
        <v>13400</v>
      </c>
      <c r="H425" s="293">
        <v>2546</v>
      </c>
      <c r="I425" s="293">
        <v>15946</v>
      </c>
      <c r="J425" s="52" t="s">
        <v>2976</v>
      </c>
      <c r="K425" s="52" t="s">
        <v>4111</v>
      </c>
      <c r="L425" s="359"/>
      <c r="M425" s="360"/>
      <c r="N425" s="361"/>
      <c r="O425" s="33"/>
      <c r="P425" s="252"/>
      <c r="Q425" s="113"/>
      <c r="R425" s="113"/>
      <c r="S425" s="113"/>
      <c r="T425" s="52"/>
      <c r="U425" s="5"/>
      <c r="V425" s="231"/>
      <c r="W425" s="231"/>
      <c r="X425" s="231"/>
      <c r="Y425" s="113"/>
      <c r="Z425" s="357"/>
      <c r="AA425" s="118">
        <v>50000</v>
      </c>
      <c r="AB425" s="118">
        <f t="shared" si="48"/>
        <v>9500</v>
      </c>
      <c r="AC425" s="118">
        <f t="shared" si="49"/>
        <v>59500</v>
      </c>
      <c r="AD425" s="361" t="s">
        <v>126</v>
      </c>
      <c r="AE425" s="362" t="s">
        <v>4112</v>
      </c>
      <c r="AF425" s="358"/>
      <c r="AG425" s="358"/>
      <c r="AH425" s="358"/>
      <c r="AI425" s="358"/>
      <c r="AJ425" s="358"/>
      <c r="AK425" s="113">
        <v>14800</v>
      </c>
      <c r="AL425" s="113">
        <v>2812</v>
      </c>
      <c r="AM425" s="113">
        <v>17612</v>
      </c>
      <c r="AN425" s="113" t="s">
        <v>2980</v>
      </c>
      <c r="AO425" s="113">
        <v>233492901</v>
      </c>
      <c r="AP425" s="52"/>
      <c r="AQ425" s="52"/>
      <c r="AR425" s="52"/>
      <c r="AS425" s="52"/>
      <c r="AT425" s="52"/>
      <c r="AU425" s="125"/>
      <c r="AV425" s="125"/>
      <c r="AW425" s="125"/>
      <c r="AX425" s="5"/>
      <c r="AY425" s="5"/>
      <c r="AZ425" s="113">
        <v>23000</v>
      </c>
      <c r="BA425" s="113">
        <v>4370</v>
      </c>
      <c r="BB425" s="113">
        <v>27370</v>
      </c>
      <c r="BC425" s="52" t="s">
        <v>2925</v>
      </c>
      <c r="BD425" s="52" t="s">
        <v>4113</v>
      </c>
      <c r="BE425" s="118"/>
      <c r="BF425" s="118"/>
      <c r="BG425" s="118"/>
      <c r="BH425" s="52"/>
      <c r="BI425" s="283"/>
      <c r="BJ425" s="52"/>
      <c r="BK425" s="52"/>
      <c r="BL425" s="52"/>
      <c r="BM425" s="52"/>
      <c r="BN425" s="52"/>
      <c r="BO425" s="52"/>
      <c r="BP425" s="52"/>
      <c r="BQ425" s="52"/>
      <c r="BR425" s="52"/>
      <c r="BS425" s="52"/>
      <c r="BT425" s="52"/>
      <c r="BU425" s="52"/>
      <c r="BV425" s="52"/>
      <c r="BW425" s="52"/>
      <c r="BX425" s="52"/>
      <c r="BY425" s="52"/>
      <c r="BZ425" s="52"/>
      <c r="CA425" s="52"/>
      <c r="CB425" s="52"/>
      <c r="CC425" s="52"/>
      <c r="CD425" s="118"/>
      <c r="CE425" s="52"/>
      <c r="CF425" s="52"/>
      <c r="CG425" s="52"/>
      <c r="CH425" s="52"/>
      <c r="CI425" s="52"/>
      <c r="CJ425" s="52"/>
      <c r="CK425" s="52"/>
      <c r="CL425" s="52"/>
      <c r="CM425" s="52"/>
      <c r="CN425" s="118"/>
      <c r="CO425" s="118"/>
      <c r="CP425" s="118"/>
      <c r="CQ425" s="52"/>
      <c r="CR425" s="52"/>
      <c r="CS425" s="52"/>
      <c r="CT425" s="52"/>
      <c r="CU425" s="52"/>
      <c r="CV425" s="52"/>
      <c r="CW425" s="52"/>
      <c r="CX425" s="52"/>
      <c r="CY425" s="52"/>
      <c r="CZ425" s="52"/>
      <c r="DA425" s="52"/>
      <c r="DB425" s="52"/>
    </row>
    <row r="426" spans="1:106" ht="40.5" x14ac:dyDescent="0.25">
      <c r="A426" s="411">
        <v>424</v>
      </c>
      <c r="B426" s="412" t="s">
        <v>4114</v>
      </c>
      <c r="C426" s="561" t="s">
        <v>4099</v>
      </c>
      <c r="D426" s="426" t="s">
        <v>445</v>
      </c>
      <c r="E426" s="80">
        <v>1</v>
      </c>
      <c r="F426" s="355">
        <v>60347.0432</v>
      </c>
      <c r="G426" s="293"/>
      <c r="H426" s="293"/>
      <c r="I426" s="293"/>
      <c r="J426" s="52"/>
      <c r="K426" s="52"/>
      <c r="L426" s="359"/>
      <c r="M426" s="360"/>
      <c r="N426" s="361"/>
      <c r="O426" s="33"/>
      <c r="P426" s="252"/>
      <c r="Q426" s="113"/>
      <c r="R426" s="113"/>
      <c r="S426" s="113"/>
      <c r="T426" s="52"/>
      <c r="U426" s="5"/>
      <c r="V426" s="231"/>
      <c r="W426" s="231"/>
      <c r="X426" s="231"/>
      <c r="Y426" s="113"/>
      <c r="Z426" s="357"/>
      <c r="AA426" s="118">
        <v>45000</v>
      </c>
      <c r="AB426" s="118">
        <f t="shared" si="48"/>
        <v>8550</v>
      </c>
      <c r="AC426" s="118">
        <f t="shared" si="49"/>
        <v>53550</v>
      </c>
      <c r="AD426" s="361" t="s">
        <v>126</v>
      </c>
      <c r="AE426" s="362" t="s">
        <v>4115</v>
      </c>
      <c r="AF426" s="358"/>
      <c r="AG426" s="358"/>
      <c r="AH426" s="358"/>
      <c r="AI426" s="358"/>
      <c r="AJ426" s="358"/>
      <c r="AK426" s="113"/>
      <c r="AL426" s="113"/>
      <c r="AM426" s="113"/>
      <c r="AN426" s="113"/>
      <c r="AO426" s="113"/>
      <c r="AP426" s="52"/>
      <c r="AQ426" s="52"/>
      <c r="AR426" s="52"/>
      <c r="AS426" s="52"/>
      <c r="AT426" s="52"/>
      <c r="AU426" s="125"/>
      <c r="AV426" s="125"/>
      <c r="AW426" s="125"/>
      <c r="AX426" s="5"/>
      <c r="AY426" s="5"/>
      <c r="AZ426" s="113"/>
      <c r="BA426" s="113"/>
      <c r="BB426" s="113"/>
      <c r="BC426" s="52"/>
      <c r="BD426" s="52"/>
      <c r="BE426" s="118"/>
      <c r="BF426" s="118"/>
      <c r="BG426" s="118"/>
      <c r="BH426" s="52"/>
      <c r="BI426" s="283"/>
      <c r="BJ426" s="52"/>
      <c r="BK426" s="52"/>
      <c r="BL426" s="52"/>
      <c r="BM426" s="52"/>
      <c r="BN426" s="52"/>
      <c r="BO426" s="52"/>
      <c r="BP426" s="52"/>
      <c r="BQ426" s="52"/>
      <c r="BR426" s="52"/>
      <c r="BS426" s="52"/>
      <c r="BT426" s="52"/>
      <c r="BU426" s="52"/>
      <c r="BV426" s="52"/>
      <c r="BW426" s="52"/>
      <c r="BX426" s="52"/>
      <c r="BY426" s="52"/>
      <c r="BZ426" s="52"/>
      <c r="CA426" s="52"/>
      <c r="CB426" s="52"/>
      <c r="CC426" s="52"/>
      <c r="CD426" s="118"/>
      <c r="CE426" s="52"/>
      <c r="CF426" s="52"/>
      <c r="CG426" s="52"/>
      <c r="CH426" s="52"/>
      <c r="CI426" s="52"/>
      <c r="CJ426" s="52"/>
      <c r="CK426" s="52"/>
      <c r="CL426" s="52"/>
      <c r="CM426" s="52"/>
      <c r="CN426" s="118"/>
      <c r="CO426" s="118"/>
      <c r="CP426" s="118"/>
      <c r="CQ426" s="52"/>
      <c r="CR426" s="52"/>
      <c r="CS426" s="52"/>
      <c r="CT426" s="52"/>
      <c r="CU426" s="52"/>
      <c r="CV426" s="52"/>
      <c r="CW426" s="52"/>
      <c r="CX426" s="52"/>
      <c r="CY426" s="52"/>
      <c r="CZ426" s="52"/>
      <c r="DA426" s="52"/>
      <c r="DB426" s="52"/>
    </row>
    <row r="427" spans="1:106" ht="40.5" x14ac:dyDescent="0.25">
      <c r="A427" s="411">
        <v>425</v>
      </c>
      <c r="B427" s="412" t="s">
        <v>4116</v>
      </c>
      <c r="C427" s="413" t="s">
        <v>4117</v>
      </c>
      <c r="D427" s="426" t="s">
        <v>4118</v>
      </c>
      <c r="E427" s="80">
        <v>1</v>
      </c>
      <c r="F427" s="353">
        <v>732670.09700000007</v>
      </c>
      <c r="G427" s="293"/>
      <c r="H427" s="293"/>
      <c r="I427" s="293"/>
      <c r="J427" s="52"/>
      <c r="K427" s="52"/>
      <c r="L427" s="359"/>
      <c r="M427" s="360"/>
      <c r="N427" s="361"/>
      <c r="O427" s="33"/>
      <c r="P427" s="252"/>
      <c r="Q427" s="113"/>
      <c r="R427" s="113"/>
      <c r="S427" s="113"/>
      <c r="T427" s="52"/>
      <c r="U427" s="5"/>
      <c r="V427" s="231"/>
      <c r="W427" s="231"/>
      <c r="X427" s="231"/>
      <c r="Y427" s="113"/>
      <c r="Z427" s="357"/>
      <c r="AA427" s="118" t="s">
        <v>2877</v>
      </c>
      <c r="AB427" s="118"/>
      <c r="AC427" s="118"/>
      <c r="AD427" s="52"/>
      <c r="AE427" s="5"/>
      <c r="AF427" s="358"/>
      <c r="AG427" s="358"/>
      <c r="AH427" s="358"/>
      <c r="AI427" s="358"/>
      <c r="AJ427" s="358"/>
      <c r="AK427" s="113"/>
      <c r="AL427" s="113"/>
      <c r="AM427" s="113"/>
      <c r="AN427" s="113"/>
      <c r="AO427" s="113"/>
      <c r="AP427" s="52"/>
      <c r="AQ427" s="52"/>
      <c r="AR427" s="52"/>
      <c r="AS427" s="52"/>
      <c r="AT427" s="52"/>
      <c r="AU427" s="125"/>
      <c r="AV427" s="125"/>
      <c r="AW427" s="125"/>
      <c r="AX427" s="5"/>
      <c r="AY427" s="5"/>
      <c r="AZ427" s="113"/>
      <c r="BA427" s="113"/>
      <c r="BB427" s="113"/>
      <c r="BC427" s="52"/>
      <c r="BD427" s="52"/>
      <c r="BE427" s="118"/>
      <c r="BF427" s="118"/>
      <c r="BG427" s="118"/>
      <c r="BH427" s="52"/>
      <c r="BI427" s="283"/>
      <c r="BJ427" s="52"/>
      <c r="BK427" s="52"/>
      <c r="BL427" s="52"/>
      <c r="BM427" s="52"/>
      <c r="BN427" s="52"/>
      <c r="BO427" s="52"/>
      <c r="BP427" s="52"/>
      <c r="BQ427" s="52"/>
      <c r="BR427" s="52"/>
      <c r="BS427" s="52"/>
      <c r="BT427" s="52"/>
      <c r="BU427" s="52"/>
      <c r="BV427" s="52"/>
      <c r="BW427" s="52"/>
      <c r="BX427" s="52"/>
      <c r="BY427" s="52"/>
      <c r="BZ427" s="52"/>
      <c r="CA427" s="52"/>
      <c r="CB427" s="52"/>
      <c r="CC427" s="52"/>
      <c r="CD427" s="118"/>
      <c r="CE427" s="52"/>
      <c r="CF427" s="52"/>
      <c r="CG427" s="52"/>
      <c r="CH427" s="52"/>
      <c r="CI427" s="52"/>
      <c r="CJ427" s="52"/>
      <c r="CK427" s="52"/>
      <c r="CL427" s="52"/>
      <c r="CM427" s="52"/>
      <c r="CN427" s="118"/>
      <c r="CO427" s="118"/>
      <c r="CP427" s="118"/>
      <c r="CQ427" s="52"/>
      <c r="CR427" s="52"/>
      <c r="CS427" s="52"/>
      <c r="CT427" s="52"/>
      <c r="CU427" s="52"/>
      <c r="CV427" s="52"/>
      <c r="CW427" s="52"/>
      <c r="CX427" s="52"/>
      <c r="CY427" s="52"/>
      <c r="CZ427" s="52"/>
      <c r="DA427" s="52"/>
      <c r="DB427" s="52"/>
    </row>
    <row r="428" spans="1:106" ht="27" x14ac:dyDescent="0.25">
      <c r="A428" s="411">
        <v>426</v>
      </c>
      <c r="B428" s="409" t="s">
        <v>4119</v>
      </c>
      <c r="C428" s="413" t="s">
        <v>3200</v>
      </c>
      <c r="D428" s="409" t="s">
        <v>4120</v>
      </c>
      <c r="E428" s="80">
        <v>1</v>
      </c>
      <c r="F428" s="80"/>
      <c r="G428" s="293"/>
      <c r="H428" s="293"/>
      <c r="I428" s="293"/>
      <c r="J428" s="52"/>
      <c r="K428" s="52"/>
      <c r="L428" s="359"/>
      <c r="M428" s="360"/>
      <c r="N428" s="361"/>
      <c r="O428" s="33"/>
      <c r="P428" s="252"/>
      <c r="Q428" s="113"/>
      <c r="R428" s="113"/>
      <c r="S428" s="113"/>
      <c r="T428" s="52"/>
      <c r="U428" s="5"/>
      <c r="V428" s="231">
        <v>52000</v>
      </c>
      <c r="W428" s="231">
        <f t="shared" ref="W428:W431" si="50">V428*0.19</f>
        <v>9880</v>
      </c>
      <c r="X428" s="231">
        <f t="shared" ref="X428:X431" si="51">V428*1.19</f>
        <v>61880</v>
      </c>
      <c r="Y428" s="113" t="s">
        <v>4121</v>
      </c>
      <c r="Z428" s="357">
        <v>184378</v>
      </c>
      <c r="AA428" s="118" t="s">
        <v>2877</v>
      </c>
      <c r="AB428" s="118"/>
      <c r="AC428" s="118"/>
      <c r="AD428" s="52"/>
      <c r="AE428" s="5"/>
      <c r="AF428" s="358"/>
      <c r="AG428" s="358"/>
      <c r="AH428" s="358"/>
      <c r="AI428" s="358"/>
      <c r="AJ428" s="358"/>
      <c r="AK428" s="113">
        <v>57500</v>
      </c>
      <c r="AL428" s="113">
        <v>10925</v>
      </c>
      <c r="AM428" s="113">
        <v>68425</v>
      </c>
      <c r="AN428" s="113" t="s">
        <v>3171</v>
      </c>
      <c r="AO428" s="113" t="s">
        <v>4122</v>
      </c>
      <c r="AP428" s="52"/>
      <c r="AQ428" s="52"/>
      <c r="AR428" s="52"/>
      <c r="AS428" s="52"/>
      <c r="AT428" s="52"/>
      <c r="AU428" s="125"/>
      <c r="AV428" s="125"/>
      <c r="AW428" s="125"/>
      <c r="AX428" s="5"/>
      <c r="AY428" s="5"/>
      <c r="AZ428" s="113"/>
      <c r="BA428" s="113"/>
      <c r="BB428" s="113"/>
      <c r="BC428" s="52"/>
      <c r="BD428" s="52"/>
      <c r="BE428" s="118"/>
      <c r="BF428" s="118"/>
      <c r="BG428" s="118"/>
      <c r="BH428" s="52"/>
      <c r="BI428" s="283"/>
      <c r="BJ428" s="52"/>
      <c r="BK428" s="52"/>
      <c r="BL428" s="52"/>
      <c r="BM428" s="52"/>
      <c r="BN428" s="52"/>
      <c r="BO428" s="52"/>
      <c r="BP428" s="52"/>
      <c r="BQ428" s="52"/>
      <c r="BR428" s="52"/>
      <c r="BS428" s="52"/>
      <c r="BT428" s="52"/>
      <c r="BU428" s="52"/>
      <c r="BV428" s="52"/>
      <c r="BW428" s="52"/>
      <c r="BX428" s="52"/>
      <c r="BY428" s="52"/>
      <c r="BZ428" s="52"/>
      <c r="CA428" s="52"/>
      <c r="CB428" s="52"/>
      <c r="CC428" s="52"/>
      <c r="CD428" s="118"/>
      <c r="CE428" s="52"/>
      <c r="CF428" s="52"/>
      <c r="CG428" s="52"/>
      <c r="CH428" s="52"/>
      <c r="CI428" s="52"/>
      <c r="CJ428" s="52"/>
      <c r="CK428" s="52"/>
      <c r="CL428" s="52"/>
      <c r="CM428" s="52"/>
      <c r="CN428" s="118"/>
      <c r="CO428" s="118"/>
      <c r="CP428" s="118"/>
      <c r="CQ428" s="52"/>
      <c r="CR428" s="52"/>
      <c r="CS428" s="52"/>
      <c r="CT428" s="52"/>
      <c r="CU428" s="52"/>
      <c r="CV428" s="52"/>
      <c r="CW428" s="52"/>
      <c r="CX428" s="52"/>
      <c r="CY428" s="52"/>
      <c r="CZ428" s="52"/>
      <c r="DA428" s="52"/>
      <c r="DB428" s="52"/>
    </row>
    <row r="429" spans="1:106" ht="27" x14ac:dyDescent="0.25">
      <c r="A429" s="411">
        <v>427</v>
      </c>
      <c r="B429" s="409" t="s">
        <v>4123</v>
      </c>
      <c r="C429" s="413" t="s">
        <v>3200</v>
      </c>
      <c r="D429" s="409" t="s">
        <v>4120</v>
      </c>
      <c r="E429" s="80">
        <v>1</v>
      </c>
      <c r="F429" s="80"/>
      <c r="G429" s="293">
        <v>92900</v>
      </c>
      <c r="H429" s="293">
        <v>17651</v>
      </c>
      <c r="I429" s="293">
        <v>110551</v>
      </c>
      <c r="J429" s="52" t="s">
        <v>2948</v>
      </c>
      <c r="K429" s="52" t="s">
        <v>4124</v>
      </c>
      <c r="L429" s="359"/>
      <c r="M429" s="360"/>
      <c r="N429" s="361"/>
      <c r="O429" s="33"/>
      <c r="P429" s="252"/>
      <c r="Q429" s="113"/>
      <c r="R429" s="113"/>
      <c r="S429" s="113"/>
      <c r="T429" s="52"/>
      <c r="U429" s="5"/>
      <c r="V429" s="231">
        <v>97500</v>
      </c>
      <c r="W429" s="231">
        <f t="shared" si="50"/>
        <v>18525</v>
      </c>
      <c r="X429" s="231">
        <f t="shared" si="51"/>
        <v>116025</v>
      </c>
      <c r="Y429" s="113" t="s">
        <v>4121</v>
      </c>
      <c r="Z429" s="357">
        <v>18432</v>
      </c>
      <c r="AA429" s="118" t="s">
        <v>2877</v>
      </c>
      <c r="AB429" s="118"/>
      <c r="AC429" s="118"/>
      <c r="AD429" s="52"/>
      <c r="AE429" s="5"/>
      <c r="AF429" s="358"/>
      <c r="AG429" s="358"/>
      <c r="AH429" s="358"/>
      <c r="AI429" s="358"/>
      <c r="AJ429" s="358"/>
      <c r="AK429" s="113">
        <v>57500</v>
      </c>
      <c r="AL429" s="113">
        <v>10925</v>
      </c>
      <c r="AM429" s="113">
        <v>68425</v>
      </c>
      <c r="AN429" s="113" t="s">
        <v>3171</v>
      </c>
      <c r="AO429" s="113" t="s">
        <v>4125</v>
      </c>
      <c r="AP429" s="52"/>
      <c r="AQ429" s="52"/>
      <c r="AR429" s="52"/>
      <c r="AS429" s="52"/>
      <c r="AT429" s="52"/>
      <c r="AU429" s="125"/>
      <c r="AV429" s="125"/>
      <c r="AW429" s="125"/>
      <c r="AX429" s="5"/>
      <c r="AY429" s="5"/>
      <c r="AZ429" s="113"/>
      <c r="BA429" s="113"/>
      <c r="BB429" s="113"/>
      <c r="BC429" s="52"/>
      <c r="BD429" s="52"/>
      <c r="BE429" s="118"/>
      <c r="BF429" s="118"/>
      <c r="BG429" s="118"/>
      <c r="BH429" s="52"/>
      <c r="BI429" s="283"/>
      <c r="BJ429" s="52"/>
      <c r="BK429" s="52"/>
      <c r="BL429" s="52"/>
      <c r="BM429" s="52"/>
      <c r="BN429" s="52"/>
      <c r="BO429" s="52"/>
      <c r="BP429" s="52"/>
      <c r="BQ429" s="52"/>
      <c r="BR429" s="52"/>
      <c r="BS429" s="52"/>
      <c r="BT429" s="52"/>
      <c r="BU429" s="52"/>
      <c r="BV429" s="52"/>
      <c r="BW429" s="52"/>
      <c r="BX429" s="52"/>
      <c r="BY429" s="52"/>
      <c r="BZ429" s="52"/>
      <c r="CA429" s="52"/>
      <c r="CB429" s="52"/>
      <c r="CC429" s="52"/>
      <c r="CD429" s="118"/>
      <c r="CE429" s="52"/>
      <c r="CF429" s="52"/>
      <c r="CG429" s="52"/>
      <c r="CH429" s="52"/>
      <c r="CI429" s="52"/>
      <c r="CJ429" s="52"/>
      <c r="CK429" s="52"/>
      <c r="CL429" s="52"/>
      <c r="CM429" s="52"/>
      <c r="CN429" s="118"/>
      <c r="CO429" s="118"/>
      <c r="CP429" s="118"/>
      <c r="CQ429" s="52"/>
      <c r="CR429" s="52"/>
      <c r="CS429" s="52"/>
      <c r="CT429" s="52"/>
      <c r="CU429" s="52"/>
      <c r="CV429" s="52"/>
      <c r="CW429" s="52"/>
      <c r="CX429" s="52"/>
      <c r="CY429" s="52"/>
      <c r="CZ429" s="52"/>
      <c r="DA429" s="52"/>
      <c r="DB429" s="52"/>
    </row>
    <row r="430" spans="1:106" ht="27" x14ac:dyDescent="0.25">
      <c r="A430" s="411">
        <v>428</v>
      </c>
      <c r="B430" s="412" t="s">
        <v>4126</v>
      </c>
      <c r="C430" s="426" t="s">
        <v>4127</v>
      </c>
      <c r="D430" s="426" t="s">
        <v>2966</v>
      </c>
      <c r="E430" s="80">
        <v>1</v>
      </c>
      <c r="F430" s="353">
        <v>935117.23200000008</v>
      </c>
      <c r="G430" s="293"/>
      <c r="H430" s="293"/>
      <c r="I430" s="293"/>
      <c r="J430" s="52"/>
      <c r="K430" s="52"/>
      <c r="L430" s="359"/>
      <c r="M430" s="360"/>
      <c r="N430" s="361"/>
      <c r="O430" s="33"/>
      <c r="P430" s="252"/>
      <c r="Q430" s="113"/>
      <c r="R430" s="113"/>
      <c r="S430" s="113"/>
      <c r="T430" s="52"/>
      <c r="U430" s="5"/>
      <c r="V430" s="231"/>
      <c r="W430" s="231"/>
      <c r="X430" s="231"/>
      <c r="Y430" s="113"/>
      <c r="Z430" s="357"/>
      <c r="AA430" s="118" t="s">
        <v>2877</v>
      </c>
      <c r="AB430" s="118"/>
      <c r="AC430" s="118"/>
      <c r="AD430" s="52"/>
      <c r="AE430" s="5"/>
      <c r="AF430" s="358"/>
      <c r="AG430" s="358"/>
      <c r="AH430" s="358"/>
      <c r="AI430" s="358"/>
      <c r="AJ430" s="358"/>
      <c r="AK430" s="113"/>
      <c r="AL430" s="113"/>
      <c r="AM430" s="113"/>
      <c r="AN430" s="113"/>
      <c r="AO430" s="113"/>
      <c r="AP430" s="52"/>
      <c r="AQ430" s="52"/>
      <c r="AR430" s="52"/>
      <c r="AS430" s="52"/>
      <c r="AT430" s="52"/>
      <c r="AU430" s="125"/>
      <c r="AV430" s="125"/>
      <c r="AW430" s="125"/>
      <c r="AX430" s="5"/>
      <c r="AY430" s="5"/>
      <c r="AZ430" s="113"/>
      <c r="BA430" s="113"/>
      <c r="BB430" s="113"/>
      <c r="BC430" s="52"/>
      <c r="BD430" s="52"/>
      <c r="BE430" s="118"/>
      <c r="BF430" s="118"/>
      <c r="BG430" s="118"/>
      <c r="BH430" s="52"/>
      <c r="BI430" s="283"/>
      <c r="BJ430" s="52"/>
      <c r="BK430" s="52"/>
      <c r="BL430" s="52"/>
      <c r="BM430" s="52"/>
      <c r="BN430" s="52"/>
      <c r="BO430" s="52"/>
      <c r="BP430" s="52"/>
      <c r="BQ430" s="52"/>
      <c r="BR430" s="52"/>
      <c r="BS430" s="52"/>
      <c r="BT430" s="52"/>
      <c r="BU430" s="52"/>
      <c r="BV430" s="52"/>
      <c r="BW430" s="52"/>
      <c r="BX430" s="52"/>
      <c r="BY430" s="52"/>
      <c r="BZ430" s="52"/>
      <c r="CA430" s="52"/>
      <c r="CB430" s="52"/>
      <c r="CC430" s="52"/>
      <c r="CD430" s="118">
        <v>110085</v>
      </c>
      <c r="CE430" s="118">
        <f t="shared" ref="CE430" si="52">+CD430*0.19</f>
        <v>20916.150000000001</v>
      </c>
      <c r="CF430" s="118">
        <f t="shared" ref="CF430" si="53">+CD430+CE430</f>
        <v>131001.15</v>
      </c>
      <c r="CG430" s="52" t="s">
        <v>3737</v>
      </c>
      <c r="CH430" s="52">
        <v>88337</v>
      </c>
      <c r="CI430" s="52"/>
      <c r="CJ430" s="52"/>
      <c r="CK430" s="52"/>
      <c r="CL430" s="52"/>
      <c r="CM430" s="52"/>
      <c r="CN430" s="118">
        <v>63200</v>
      </c>
      <c r="CO430" s="118">
        <f>+CN430*0.19</f>
        <v>12008</v>
      </c>
      <c r="CP430" s="118">
        <f>+CN430+CO430</f>
        <v>75208</v>
      </c>
      <c r="CQ430" s="52" t="s">
        <v>3305</v>
      </c>
      <c r="CR430" s="52">
        <v>88337</v>
      </c>
      <c r="CS430" s="52"/>
      <c r="CT430" s="52"/>
      <c r="CU430" s="52"/>
      <c r="CV430" s="52"/>
      <c r="CW430" s="52"/>
      <c r="CX430" s="52"/>
      <c r="CY430" s="52"/>
      <c r="CZ430" s="52"/>
      <c r="DA430" s="52"/>
      <c r="DB430" s="52"/>
    </row>
    <row r="431" spans="1:106" ht="13.5" x14ac:dyDescent="0.25">
      <c r="A431" s="411">
        <v>429</v>
      </c>
      <c r="B431" s="412" t="s">
        <v>4128</v>
      </c>
      <c r="C431" s="426" t="s">
        <v>622</v>
      </c>
      <c r="D431" s="426" t="s">
        <v>2966</v>
      </c>
      <c r="E431" s="80">
        <v>1</v>
      </c>
      <c r="F431" s="353">
        <v>142027.21400000001</v>
      </c>
      <c r="G431" s="293"/>
      <c r="H431" s="293"/>
      <c r="I431" s="293"/>
      <c r="J431" s="52"/>
      <c r="K431" s="52"/>
      <c r="L431" s="359"/>
      <c r="M431" s="360"/>
      <c r="N431" s="361"/>
      <c r="O431" s="33"/>
      <c r="P431" s="252"/>
      <c r="Q431" s="113"/>
      <c r="R431" s="113"/>
      <c r="S431" s="113"/>
      <c r="T431" s="52"/>
      <c r="U431" s="5"/>
      <c r="V431" s="231">
        <v>52000</v>
      </c>
      <c r="W431" s="231">
        <f t="shared" si="50"/>
        <v>9880</v>
      </c>
      <c r="X431" s="231">
        <f t="shared" si="51"/>
        <v>61880</v>
      </c>
      <c r="Y431" s="113" t="s">
        <v>4121</v>
      </c>
      <c r="Z431" s="357">
        <v>184378</v>
      </c>
      <c r="AA431" s="118" t="s">
        <v>2877</v>
      </c>
      <c r="AB431" s="118"/>
      <c r="AC431" s="118"/>
      <c r="AD431" s="52"/>
      <c r="AE431" s="5"/>
      <c r="AF431" s="358"/>
      <c r="AG431" s="358"/>
      <c r="AH431" s="358"/>
      <c r="AI431" s="358"/>
      <c r="AJ431" s="358"/>
      <c r="AK431" s="113">
        <v>57500</v>
      </c>
      <c r="AL431" s="113">
        <v>10925</v>
      </c>
      <c r="AM431" s="113">
        <v>68425</v>
      </c>
      <c r="AN431" s="113" t="s">
        <v>3171</v>
      </c>
      <c r="AO431" s="113" t="s">
        <v>4122</v>
      </c>
      <c r="AP431" s="52"/>
      <c r="AQ431" s="52"/>
      <c r="AR431" s="52"/>
      <c r="AS431" s="52"/>
      <c r="AT431" s="52"/>
      <c r="AU431" s="125"/>
      <c r="AV431" s="125"/>
      <c r="AW431" s="125"/>
      <c r="AX431" s="5"/>
      <c r="AY431" s="5"/>
      <c r="AZ431" s="113"/>
      <c r="BA431" s="113"/>
      <c r="BB431" s="113"/>
      <c r="BC431" s="52"/>
      <c r="BD431" s="52"/>
      <c r="BE431" s="118"/>
      <c r="BF431" s="118"/>
      <c r="BG431" s="118"/>
      <c r="BH431" s="52"/>
      <c r="BI431" s="283"/>
      <c r="BJ431" s="52"/>
      <c r="BK431" s="52"/>
      <c r="BL431" s="52"/>
      <c r="BM431" s="52"/>
      <c r="BN431" s="52"/>
      <c r="BO431" s="52"/>
      <c r="BP431" s="52"/>
      <c r="BQ431" s="52"/>
      <c r="BR431" s="52"/>
      <c r="BS431" s="52"/>
      <c r="BT431" s="52"/>
      <c r="BU431" s="52"/>
      <c r="BV431" s="52"/>
      <c r="BW431" s="52"/>
      <c r="BX431" s="52"/>
      <c r="BY431" s="52"/>
      <c r="BZ431" s="52"/>
      <c r="CA431" s="52"/>
      <c r="CB431" s="52"/>
      <c r="CC431" s="52"/>
      <c r="CD431" s="118"/>
      <c r="CE431" s="52"/>
      <c r="CF431" s="52"/>
      <c r="CG431" s="52"/>
      <c r="CH431" s="52"/>
      <c r="CI431" s="52"/>
      <c r="CJ431" s="52"/>
      <c r="CK431" s="52"/>
      <c r="CL431" s="52"/>
      <c r="CM431" s="52"/>
      <c r="CN431" s="118"/>
      <c r="CO431" s="118"/>
      <c r="CP431" s="118"/>
      <c r="CQ431" s="52"/>
      <c r="CR431" s="52"/>
      <c r="CS431" s="52"/>
      <c r="CT431" s="52"/>
      <c r="CU431" s="52"/>
      <c r="CV431" s="52"/>
      <c r="CW431" s="52"/>
      <c r="CX431" s="52"/>
      <c r="CY431" s="52"/>
      <c r="CZ431" s="52"/>
      <c r="DA431" s="52"/>
      <c r="DB431" s="52"/>
    </row>
    <row r="432" spans="1:106" ht="27" x14ac:dyDescent="0.25">
      <c r="A432" s="411">
        <v>430</v>
      </c>
      <c r="B432" s="415" t="s">
        <v>4129</v>
      </c>
      <c r="C432" s="426" t="s">
        <v>622</v>
      </c>
      <c r="D432" s="426" t="s">
        <v>3064</v>
      </c>
      <c r="E432" s="80">
        <v>1</v>
      </c>
      <c r="F432" s="353">
        <v>443677.93400000001</v>
      </c>
      <c r="G432" s="293"/>
      <c r="H432" s="293"/>
      <c r="I432" s="293"/>
      <c r="J432" s="52"/>
      <c r="K432" s="52"/>
      <c r="L432" s="359"/>
      <c r="M432" s="360"/>
      <c r="N432" s="361"/>
      <c r="O432" s="33"/>
      <c r="P432" s="252"/>
      <c r="Q432" s="113"/>
      <c r="R432" s="113"/>
      <c r="S432" s="113"/>
      <c r="T432" s="52"/>
      <c r="U432" s="5"/>
      <c r="V432" s="231"/>
      <c r="W432" s="231"/>
      <c r="X432" s="231"/>
      <c r="Y432" s="113"/>
      <c r="Z432" s="357"/>
      <c r="AA432" s="118" t="s">
        <v>2877</v>
      </c>
      <c r="AB432" s="118"/>
      <c r="AC432" s="118"/>
      <c r="AD432" s="52"/>
      <c r="AE432" s="5"/>
      <c r="AF432" s="358"/>
      <c r="AG432" s="358"/>
      <c r="AH432" s="358"/>
      <c r="AI432" s="358"/>
      <c r="AJ432" s="358"/>
      <c r="AK432" s="113"/>
      <c r="AL432" s="113"/>
      <c r="AM432" s="113"/>
      <c r="AN432" s="113"/>
      <c r="AO432" s="113"/>
      <c r="AP432" s="52"/>
      <c r="AQ432" s="52"/>
      <c r="AR432" s="52"/>
      <c r="AS432" s="52"/>
      <c r="AT432" s="52"/>
      <c r="AU432" s="125"/>
      <c r="AV432" s="125"/>
      <c r="AW432" s="125"/>
      <c r="AX432" s="5"/>
      <c r="AY432" s="5"/>
      <c r="AZ432" s="113"/>
      <c r="BA432" s="113"/>
      <c r="BB432" s="113"/>
      <c r="BC432" s="52"/>
      <c r="BD432" s="52"/>
      <c r="BE432" s="118"/>
      <c r="BF432" s="118"/>
      <c r="BG432" s="118"/>
      <c r="BH432" s="52"/>
      <c r="BI432" s="283"/>
      <c r="BJ432" s="52"/>
      <c r="BK432" s="52"/>
      <c r="BL432" s="52"/>
      <c r="BM432" s="52"/>
      <c r="BN432" s="52"/>
      <c r="BO432" s="52"/>
      <c r="BP432" s="52"/>
      <c r="BQ432" s="52"/>
      <c r="BR432" s="52"/>
      <c r="BS432" s="52"/>
      <c r="BT432" s="52"/>
      <c r="BU432" s="52"/>
      <c r="BV432" s="52"/>
      <c r="BW432" s="52"/>
      <c r="BX432" s="52"/>
      <c r="BY432" s="52"/>
      <c r="BZ432" s="52"/>
      <c r="CA432" s="52"/>
      <c r="CB432" s="52"/>
      <c r="CC432" s="52"/>
      <c r="CD432" s="118"/>
      <c r="CE432" s="52"/>
      <c r="CF432" s="52"/>
      <c r="CG432" s="52"/>
      <c r="CH432" s="52"/>
      <c r="CI432" s="52"/>
      <c r="CJ432" s="52"/>
      <c r="CK432" s="52"/>
      <c r="CL432" s="52"/>
      <c r="CM432" s="52"/>
      <c r="CN432" s="118"/>
      <c r="CO432" s="118"/>
      <c r="CP432" s="118"/>
      <c r="CQ432" s="52"/>
      <c r="CR432" s="52"/>
      <c r="CS432" s="52"/>
      <c r="CT432" s="52"/>
      <c r="CU432" s="52"/>
      <c r="CV432" s="52"/>
      <c r="CW432" s="52"/>
      <c r="CX432" s="52"/>
      <c r="CY432" s="52"/>
      <c r="CZ432" s="52"/>
      <c r="DA432" s="52"/>
      <c r="DB432" s="52"/>
    </row>
    <row r="433" spans="1:106" ht="27" x14ac:dyDescent="0.25">
      <c r="A433" s="411">
        <v>431</v>
      </c>
      <c r="B433" s="415" t="s">
        <v>4130</v>
      </c>
      <c r="C433" s="426" t="s">
        <v>622</v>
      </c>
      <c r="D433" s="426" t="s">
        <v>3064</v>
      </c>
      <c r="E433" s="80">
        <v>1</v>
      </c>
      <c r="F433" s="353">
        <v>462079.05040000001</v>
      </c>
      <c r="G433" s="293"/>
      <c r="H433" s="293"/>
      <c r="I433" s="293"/>
      <c r="J433" s="52"/>
      <c r="K433" s="52"/>
      <c r="L433" s="359"/>
      <c r="M433" s="360"/>
      <c r="N433" s="361"/>
      <c r="O433" s="33"/>
      <c r="P433" s="252"/>
      <c r="Q433" s="113"/>
      <c r="R433" s="113"/>
      <c r="S433" s="113"/>
      <c r="T433" s="52"/>
      <c r="U433" s="5"/>
      <c r="V433" s="231"/>
      <c r="W433" s="231"/>
      <c r="X433" s="231"/>
      <c r="Y433" s="113"/>
      <c r="Z433" s="357"/>
      <c r="AA433" s="118" t="s">
        <v>2877</v>
      </c>
      <c r="AB433" s="118"/>
      <c r="AC433" s="118"/>
      <c r="AD433" s="52"/>
      <c r="AE433" s="5"/>
      <c r="AF433" s="358"/>
      <c r="AG433" s="358"/>
      <c r="AH433" s="358"/>
      <c r="AI433" s="358"/>
      <c r="AJ433" s="358"/>
      <c r="AK433" s="113"/>
      <c r="AL433" s="113"/>
      <c r="AM433" s="113"/>
      <c r="AN433" s="113"/>
      <c r="AO433" s="113"/>
      <c r="AP433" s="52"/>
      <c r="AQ433" s="52"/>
      <c r="AR433" s="52"/>
      <c r="AS433" s="52"/>
      <c r="AT433" s="52"/>
      <c r="AU433" s="125"/>
      <c r="AV433" s="125"/>
      <c r="AW433" s="125"/>
      <c r="AX433" s="5"/>
      <c r="AY433" s="5"/>
      <c r="AZ433" s="113"/>
      <c r="BA433" s="113"/>
      <c r="BB433" s="113"/>
      <c r="BC433" s="52"/>
      <c r="BD433" s="52"/>
      <c r="BE433" s="118"/>
      <c r="BF433" s="118"/>
      <c r="BG433" s="118"/>
      <c r="BH433" s="52"/>
      <c r="BI433" s="283"/>
      <c r="BJ433" s="52"/>
      <c r="BK433" s="52"/>
      <c r="BL433" s="52"/>
      <c r="BM433" s="52"/>
      <c r="BN433" s="52"/>
      <c r="BO433" s="52"/>
      <c r="BP433" s="52"/>
      <c r="BQ433" s="52"/>
      <c r="BR433" s="52"/>
      <c r="BS433" s="52"/>
      <c r="BT433" s="52"/>
      <c r="BU433" s="52"/>
      <c r="BV433" s="52"/>
      <c r="BW433" s="52"/>
      <c r="BX433" s="52"/>
      <c r="BY433" s="52"/>
      <c r="BZ433" s="52"/>
      <c r="CA433" s="52"/>
      <c r="CB433" s="52"/>
      <c r="CC433" s="52"/>
      <c r="CD433" s="118"/>
      <c r="CE433" s="52"/>
      <c r="CF433" s="52"/>
      <c r="CG433" s="52"/>
      <c r="CH433" s="52"/>
      <c r="CI433" s="52"/>
      <c r="CJ433" s="52"/>
      <c r="CK433" s="52"/>
      <c r="CL433" s="52"/>
      <c r="CM433" s="52"/>
      <c r="CN433" s="118"/>
      <c r="CO433" s="118"/>
      <c r="CP433" s="118"/>
      <c r="CQ433" s="52"/>
      <c r="CR433" s="52"/>
      <c r="CS433" s="52"/>
      <c r="CT433" s="52"/>
      <c r="CU433" s="52"/>
      <c r="CV433" s="52"/>
      <c r="CW433" s="52"/>
      <c r="CX433" s="52"/>
      <c r="CY433" s="52"/>
      <c r="CZ433" s="52"/>
      <c r="DA433" s="52"/>
      <c r="DB433" s="52"/>
    </row>
    <row r="434" spans="1:106" ht="27" x14ac:dyDescent="0.25">
      <c r="A434" s="411">
        <v>432</v>
      </c>
      <c r="B434" s="412" t="s">
        <v>4131</v>
      </c>
      <c r="C434" s="426" t="s">
        <v>622</v>
      </c>
      <c r="D434" s="426" t="s">
        <v>3064</v>
      </c>
      <c r="E434" s="80">
        <v>1</v>
      </c>
      <c r="F434" s="353">
        <v>503830.63640000002</v>
      </c>
      <c r="G434" s="293"/>
      <c r="H434" s="293"/>
      <c r="I434" s="293"/>
      <c r="J434" s="52"/>
      <c r="K434" s="52"/>
      <c r="L434" s="359"/>
      <c r="M434" s="360"/>
      <c r="N434" s="361"/>
      <c r="O434" s="33"/>
      <c r="P434" s="252"/>
      <c r="Q434" s="113"/>
      <c r="R434" s="113"/>
      <c r="S434" s="113"/>
      <c r="T434" s="52"/>
      <c r="U434" s="5"/>
      <c r="V434" s="231"/>
      <c r="W434" s="231"/>
      <c r="X434" s="231"/>
      <c r="Y434" s="113"/>
      <c r="Z434" s="357"/>
      <c r="AA434" s="118" t="s">
        <v>2877</v>
      </c>
      <c r="AB434" s="118"/>
      <c r="AC434" s="118"/>
      <c r="AD434" s="52"/>
      <c r="AE434" s="5"/>
      <c r="AF434" s="358"/>
      <c r="AG434" s="358"/>
      <c r="AH434" s="358"/>
      <c r="AI434" s="358"/>
      <c r="AJ434" s="358"/>
      <c r="AK434" s="113"/>
      <c r="AL434" s="113"/>
      <c r="AM434" s="113"/>
      <c r="AN434" s="113"/>
      <c r="AO434" s="113"/>
      <c r="AP434" s="52"/>
      <c r="AQ434" s="52"/>
      <c r="AR434" s="52"/>
      <c r="AS434" s="52"/>
      <c r="AT434" s="52"/>
      <c r="AU434" s="125"/>
      <c r="AV434" s="125"/>
      <c r="AW434" s="125"/>
      <c r="AX434" s="5"/>
      <c r="AY434" s="5"/>
      <c r="AZ434" s="113"/>
      <c r="BA434" s="113"/>
      <c r="BB434" s="113"/>
      <c r="BC434" s="52"/>
      <c r="BD434" s="52"/>
      <c r="BE434" s="118"/>
      <c r="BF434" s="118"/>
      <c r="BG434" s="118"/>
      <c r="BH434" s="52"/>
      <c r="BI434" s="283"/>
      <c r="BJ434" s="52"/>
      <c r="BK434" s="52"/>
      <c r="BL434" s="52"/>
      <c r="BM434" s="52"/>
      <c r="BN434" s="52"/>
      <c r="BO434" s="52"/>
      <c r="BP434" s="52"/>
      <c r="BQ434" s="52"/>
      <c r="BR434" s="52"/>
      <c r="BS434" s="52"/>
      <c r="BT434" s="52"/>
      <c r="BU434" s="52"/>
      <c r="BV434" s="52"/>
      <c r="BW434" s="52"/>
      <c r="BX434" s="52"/>
      <c r="BY434" s="52"/>
      <c r="BZ434" s="52"/>
      <c r="CA434" s="52"/>
      <c r="CB434" s="52"/>
      <c r="CC434" s="52"/>
      <c r="CD434" s="118"/>
      <c r="CE434" s="52"/>
      <c r="CF434" s="52"/>
      <c r="CG434" s="52"/>
      <c r="CH434" s="52"/>
      <c r="CI434" s="52"/>
      <c r="CJ434" s="52"/>
      <c r="CK434" s="52"/>
      <c r="CL434" s="52"/>
      <c r="CM434" s="52"/>
      <c r="CN434" s="118"/>
      <c r="CO434" s="118"/>
      <c r="CP434" s="118"/>
      <c r="CQ434" s="52"/>
      <c r="CR434" s="52"/>
      <c r="CS434" s="52"/>
      <c r="CT434" s="52"/>
      <c r="CU434" s="52"/>
      <c r="CV434" s="52"/>
      <c r="CW434" s="52"/>
      <c r="CX434" s="52"/>
      <c r="CY434" s="52"/>
      <c r="CZ434" s="52"/>
      <c r="DA434" s="52"/>
      <c r="DB434" s="52"/>
    </row>
    <row r="435" spans="1:106" ht="40.5" x14ac:dyDescent="0.25">
      <c r="A435" s="411">
        <v>433</v>
      </c>
      <c r="B435" s="412" t="s">
        <v>4132</v>
      </c>
      <c r="C435" s="426" t="s">
        <v>622</v>
      </c>
      <c r="D435" s="426" t="s">
        <v>2966</v>
      </c>
      <c r="E435" s="80">
        <v>1</v>
      </c>
      <c r="F435" s="353">
        <v>506521.83400000003</v>
      </c>
      <c r="G435" s="293"/>
      <c r="H435" s="293"/>
      <c r="I435" s="293"/>
      <c r="J435" s="52"/>
      <c r="K435" s="52"/>
      <c r="L435" s="359"/>
      <c r="M435" s="360"/>
      <c r="N435" s="361"/>
      <c r="O435" s="33"/>
      <c r="P435" s="252"/>
      <c r="Q435" s="113"/>
      <c r="R435" s="113"/>
      <c r="S435" s="113"/>
      <c r="T435" s="52"/>
      <c r="U435" s="5"/>
      <c r="V435" s="231"/>
      <c r="W435" s="231"/>
      <c r="X435" s="231"/>
      <c r="Y435" s="113"/>
      <c r="Z435" s="357"/>
      <c r="AA435" s="118" t="s">
        <v>2877</v>
      </c>
      <c r="AB435" s="118"/>
      <c r="AC435" s="118"/>
      <c r="AD435" s="52"/>
      <c r="AE435" s="5"/>
      <c r="AF435" s="358"/>
      <c r="AG435" s="358"/>
      <c r="AH435" s="358"/>
      <c r="AI435" s="358"/>
      <c r="AJ435" s="358"/>
      <c r="AK435" s="113"/>
      <c r="AL435" s="113"/>
      <c r="AM435" s="113"/>
      <c r="AN435" s="113"/>
      <c r="AO435" s="113"/>
      <c r="AP435" s="52"/>
      <c r="AQ435" s="52"/>
      <c r="AR435" s="52"/>
      <c r="AS435" s="52"/>
      <c r="AT435" s="52"/>
      <c r="AU435" s="125"/>
      <c r="AV435" s="125"/>
      <c r="AW435" s="125"/>
      <c r="AX435" s="5"/>
      <c r="AY435" s="5"/>
      <c r="AZ435" s="113"/>
      <c r="BA435" s="113"/>
      <c r="BB435" s="113"/>
      <c r="BC435" s="52"/>
      <c r="BD435" s="52"/>
      <c r="BE435" s="118"/>
      <c r="BF435" s="118"/>
      <c r="BG435" s="118"/>
      <c r="BH435" s="52"/>
      <c r="BI435" s="283"/>
      <c r="BJ435" s="52"/>
      <c r="BK435" s="52"/>
      <c r="BL435" s="52"/>
      <c r="BM435" s="52"/>
      <c r="BN435" s="52"/>
      <c r="BO435" s="52"/>
      <c r="BP435" s="52"/>
      <c r="BQ435" s="52"/>
      <c r="BR435" s="52"/>
      <c r="BS435" s="52"/>
      <c r="BT435" s="52"/>
      <c r="BU435" s="52"/>
      <c r="BV435" s="52"/>
      <c r="BW435" s="52"/>
      <c r="BX435" s="52"/>
      <c r="BY435" s="52"/>
      <c r="BZ435" s="52"/>
      <c r="CA435" s="52"/>
      <c r="CB435" s="52"/>
      <c r="CC435" s="52"/>
      <c r="CD435" s="118"/>
      <c r="CE435" s="52"/>
      <c r="CF435" s="52"/>
      <c r="CG435" s="52"/>
      <c r="CH435" s="52"/>
      <c r="CI435" s="52"/>
      <c r="CJ435" s="52"/>
      <c r="CK435" s="52"/>
      <c r="CL435" s="52"/>
      <c r="CM435" s="52"/>
      <c r="CN435" s="118"/>
      <c r="CO435" s="118"/>
      <c r="CP435" s="118"/>
      <c r="CQ435" s="52"/>
      <c r="CR435" s="52"/>
      <c r="CS435" s="52"/>
      <c r="CT435" s="52"/>
      <c r="CU435" s="52"/>
      <c r="CV435" s="52"/>
      <c r="CW435" s="52"/>
      <c r="CX435" s="52"/>
      <c r="CY435" s="52"/>
      <c r="CZ435" s="52"/>
      <c r="DA435" s="52"/>
      <c r="DB435" s="52"/>
    </row>
    <row r="436" spans="1:106" ht="27" x14ac:dyDescent="0.25">
      <c r="A436" s="411">
        <v>434</v>
      </c>
      <c r="B436" s="412" t="s">
        <v>4133</v>
      </c>
      <c r="C436" s="413" t="s">
        <v>4134</v>
      </c>
      <c r="D436" s="426" t="s">
        <v>445</v>
      </c>
      <c r="E436" s="80">
        <v>1</v>
      </c>
      <c r="F436" s="353">
        <v>266468.69800000003</v>
      </c>
      <c r="G436" s="293"/>
      <c r="H436" s="293"/>
      <c r="I436" s="293"/>
      <c r="J436" s="52"/>
      <c r="K436" s="52"/>
      <c r="L436" s="359"/>
      <c r="M436" s="360"/>
      <c r="N436" s="361"/>
      <c r="O436" s="33"/>
      <c r="P436" s="252"/>
      <c r="Q436" s="113"/>
      <c r="R436" s="113"/>
      <c r="S436" s="113"/>
      <c r="T436" s="52"/>
      <c r="U436" s="5"/>
      <c r="V436" s="231"/>
      <c r="W436" s="231"/>
      <c r="X436" s="231"/>
      <c r="Y436" s="113"/>
      <c r="Z436" s="357"/>
      <c r="AA436" s="118" t="s">
        <v>2877</v>
      </c>
      <c r="AB436" s="118"/>
      <c r="AC436" s="118"/>
      <c r="AD436" s="52"/>
      <c r="AE436" s="5"/>
      <c r="AF436" s="358"/>
      <c r="AG436" s="358"/>
      <c r="AH436" s="358"/>
      <c r="AI436" s="358"/>
      <c r="AJ436" s="358"/>
      <c r="AK436" s="113"/>
      <c r="AL436" s="113"/>
      <c r="AM436" s="113"/>
      <c r="AN436" s="113"/>
      <c r="AO436" s="113"/>
      <c r="AP436" s="52"/>
      <c r="AQ436" s="52"/>
      <c r="AR436" s="52"/>
      <c r="AS436" s="52"/>
      <c r="AT436" s="52"/>
      <c r="AU436" s="125"/>
      <c r="AV436" s="125"/>
      <c r="AW436" s="125"/>
      <c r="AX436" s="5"/>
      <c r="AY436" s="5"/>
      <c r="AZ436" s="113"/>
      <c r="BA436" s="113"/>
      <c r="BB436" s="113"/>
      <c r="BC436" s="52"/>
      <c r="BD436" s="52"/>
      <c r="BE436" s="118"/>
      <c r="BF436" s="118"/>
      <c r="BG436" s="118"/>
      <c r="BH436" s="52"/>
      <c r="BI436" s="283"/>
      <c r="BJ436" s="52"/>
      <c r="BK436" s="52"/>
      <c r="BL436" s="52"/>
      <c r="BM436" s="52"/>
      <c r="BN436" s="52"/>
      <c r="BO436" s="293">
        <v>40000</v>
      </c>
      <c r="BP436" s="118">
        <f>+BO436*0.19</f>
        <v>7600</v>
      </c>
      <c r="BQ436" s="118">
        <f>+BO436+BP436</f>
        <v>47600</v>
      </c>
      <c r="BR436" s="52" t="s">
        <v>4135</v>
      </c>
      <c r="BS436" s="52">
        <v>101</v>
      </c>
      <c r="BT436" s="52"/>
      <c r="BU436" s="52"/>
      <c r="BV436" s="52"/>
      <c r="BW436" s="52"/>
      <c r="BX436" s="52"/>
      <c r="BY436" s="118">
        <v>35000</v>
      </c>
      <c r="BZ436" s="118">
        <f>+BY436*0.19</f>
        <v>6650</v>
      </c>
      <c r="CA436" s="364">
        <f>+BY436+BZ436</f>
        <v>41650</v>
      </c>
      <c r="CB436" s="52" t="s">
        <v>4136</v>
      </c>
      <c r="CC436" s="52">
        <v>101</v>
      </c>
      <c r="CD436" s="118"/>
      <c r="CE436" s="52"/>
      <c r="CF436" s="52"/>
      <c r="CG436" s="52"/>
      <c r="CH436" s="52"/>
      <c r="CI436" s="52"/>
      <c r="CJ436" s="52"/>
      <c r="CK436" s="52"/>
      <c r="CL436" s="52"/>
      <c r="CM436" s="52"/>
      <c r="CN436" s="118"/>
      <c r="CO436" s="118"/>
      <c r="CP436" s="118"/>
      <c r="CQ436" s="52"/>
      <c r="CR436" s="52"/>
      <c r="CS436" s="52"/>
      <c r="CT436" s="52"/>
      <c r="CU436" s="52"/>
      <c r="CV436" s="52"/>
      <c r="CW436" s="52"/>
      <c r="CX436" s="52"/>
      <c r="CY436" s="52"/>
      <c r="CZ436" s="52"/>
      <c r="DA436" s="52"/>
      <c r="DB436" s="52"/>
    </row>
    <row r="437" spans="1:106" ht="51" x14ac:dyDescent="0.25">
      <c r="A437" s="411">
        <v>435</v>
      </c>
      <c r="B437" s="412" t="s">
        <v>4137</v>
      </c>
      <c r="C437" s="413" t="s">
        <v>622</v>
      </c>
      <c r="D437" s="426" t="s">
        <v>445</v>
      </c>
      <c r="E437" s="80">
        <v>1</v>
      </c>
      <c r="F437" s="353">
        <v>31421.95</v>
      </c>
      <c r="G437" s="293">
        <v>35700</v>
      </c>
      <c r="H437" s="293">
        <v>6783</v>
      </c>
      <c r="I437" s="293">
        <v>42483</v>
      </c>
      <c r="J437" s="52" t="s">
        <v>2956</v>
      </c>
      <c r="K437" s="52" t="s">
        <v>4138</v>
      </c>
      <c r="L437" s="359"/>
      <c r="M437" s="360"/>
      <c r="N437" s="361"/>
      <c r="O437" s="33"/>
      <c r="P437" s="252"/>
      <c r="Q437" s="113"/>
      <c r="R437" s="113"/>
      <c r="S437" s="113"/>
      <c r="T437" s="52"/>
      <c r="U437" s="5"/>
      <c r="V437" s="231">
        <v>83000</v>
      </c>
      <c r="W437" s="231">
        <f t="shared" ref="W437:W486" si="54">V437*0.19</f>
        <v>15770</v>
      </c>
      <c r="X437" s="231">
        <f t="shared" ref="X437:X486" si="55">V437*1.19</f>
        <v>98770</v>
      </c>
      <c r="Y437" s="113" t="s">
        <v>4139</v>
      </c>
      <c r="Z437" s="357" t="s">
        <v>4140</v>
      </c>
      <c r="AA437" s="118" t="s">
        <v>2877</v>
      </c>
      <c r="AB437" s="118"/>
      <c r="AC437" s="118"/>
      <c r="AD437" s="52"/>
      <c r="AE437" s="5"/>
      <c r="AF437" s="358"/>
      <c r="AG437" s="358"/>
      <c r="AH437" s="358"/>
      <c r="AI437" s="358"/>
      <c r="AJ437" s="358"/>
      <c r="AK437" s="113">
        <v>27300</v>
      </c>
      <c r="AL437" s="113">
        <v>5187</v>
      </c>
      <c r="AM437" s="113">
        <v>32487</v>
      </c>
      <c r="AN437" s="113" t="s">
        <v>3933</v>
      </c>
      <c r="AO437" s="113">
        <v>7013300002</v>
      </c>
      <c r="AP437" s="52"/>
      <c r="AQ437" s="52"/>
      <c r="AR437" s="52"/>
      <c r="AS437" s="52"/>
      <c r="AT437" s="52"/>
      <c r="AU437" s="125">
        <v>2629300</v>
      </c>
      <c r="AV437" s="125">
        <v>499567</v>
      </c>
      <c r="AW437" s="125">
        <v>3128867</v>
      </c>
      <c r="AX437" s="5" t="s">
        <v>3195</v>
      </c>
      <c r="AY437" s="5" t="s">
        <v>4141</v>
      </c>
      <c r="AZ437" s="113"/>
      <c r="BA437" s="113"/>
      <c r="BB437" s="113"/>
      <c r="BC437" s="52"/>
      <c r="BD437" s="52"/>
      <c r="BE437" s="118"/>
      <c r="BF437" s="118"/>
      <c r="BG437" s="118"/>
      <c r="BH437" s="52"/>
      <c r="BI437" s="283"/>
      <c r="BJ437" s="52"/>
      <c r="BK437" s="52"/>
      <c r="BL437" s="52"/>
      <c r="BM437" s="52"/>
      <c r="BN437" s="52"/>
      <c r="BO437" s="52"/>
      <c r="BP437" s="52"/>
      <c r="BQ437" s="52"/>
      <c r="BR437" s="52"/>
      <c r="BS437" s="52"/>
      <c r="BT437" s="52"/>
      <c r="BU437" s="52"/>
      <c r="BV437" s="52"/>
      <c r="BW437" s="52"/>
      <c r="BX437" s="52"/>
      <c r="BY437" s="52"/>
      <c r="BZ437" s="52"/>
      <c r="CA437" s="52"/>
      <c r="CB437" s="52"/>
      <c r="CC437" s="52"/>
      <c r="CD437" s="118"/>
      <c r="CE437" s="52"/>
      <c r="CF437" s="52"/>
      <c r="CG437" s="52"/>
      <c r="CH437" s="52"/>
      <c r="CI437" s="52"/>
      <c r="CJ437" s="52"/>
      <c r="CK437" s="52"/>
      <c r="CL437" s="52"/>
      <c r="CM437" s="52"/>
      <c r="CN437" s="118"/>
      <c r="CO437" s="118"/>
      <c r="CP437" s="118"/>
      <c r="CQ437" s="52"/>
      <c r="CR437" s="52"/>
      <c r="CS437" s="52"/>
      <c r="CT437" s="52"/>
      <c r="CU437" s="52"/>
      <c r="CV437" s="52"/>
      <c r="CW437" s="52"/>
      <c r="CX437" s="52"/>
      <c r="CY437" s="52"/>
      <c r="CZ437" s="52"/>
      <c r="DA437" s="52"/>
      <c r="DB437" s="52"/>
    </row>
    <row r="438" spans="1:106" ht="27" x14ac:dyDescent="0.25">
      <c r="A438" s="411">
        <v>436</v>
      </c>
      <c r="B438" s="412" t="s">
        <v>4142</v>
      </c>
      <c r="C438" s="413" t="s">
        <v>4143</v>
      </c>
      <c r="D438" s="426" t="s">
        <v>445</v>
      </c>
      <c r="E438" s="80">
        <v>1</v>
      </c>
      <c r="F438" s="353">
        <v>522486.29700000002</v>
      </c>
      <c r="G438" s="293"/>
      <c r="H438" s="293"/>
      <c r="I438" s="293"/>
      <c r="J438" s="52"/>
      <c r="K438" s="52"/>
      <c r="L438" s="359"/>
      <c r="M438" s="360"/>
      <c r="N438" s="361"/>
      <c r="O438" s="33"/>
      <c r="P438" s="252"/>
      <c r="Q438" s="113"/>
      <c r="R438" s="113"/>
      <c r="S438" s="113"/>
      <c r="T438" s="52"/>
      <c r="U438" s="5"/>
      <c r="V438" s="231"/>
      <c r="W438" s="231"/>
      <c r="X438" s="231"/>
      <c r="Y438" s="113"/>
      <c r="Z438" s="357"/>
      <c r="AA438" s="118" t="s">
        <v>2877</v>
      </c>
      <c r="AB438" s="118"/>
      <c r="AC438" s="118"/>
      <c r="AD438" s="52"/>
      <c r="AE438" s="5"/>
      <c r="AF438" s="358"/>
      <c r="AG438" s="358"/>
      <c r="AH438" s="358"/>
      <c r="AI438" s="358"/>
      <c r="AJ438" s="358"/>
      <c r="AK438" s="113"/>
      <c r="AL438" s="113"/>
      <c r="AM438" s="113"/>
      <c r="AN438" s="113"/>
      <c r="AO438" s="113"/>
      <c r="AP438" s="52"/>
      <c r="AQ438" s="52"/>
      <c r="AR438" s="52"/>
      <c r="AS438" s="52"/>
      <c r="AT438" s="52"/>
      <c r="AU438" s="125"/>
      <c r="AV438" s="125"/>
      <c r="AW438" s="125"/>
      <c r="AX438" s="5"/>
      <c r="AY438" s="5"/>
      <c r="AZ438" s="113"/>
      <c r="BA438" s="113"/>
      <c r="BB438" s="113"/>
      <c r="BC438" s="52"/>
      <c r="BD438" s="52"/>
      <c r="BE438" s="118"/>
      <c r="BF438" s="118"/>
      <c r="BG438" s="118"/>
      <c r="BH438" s="52"/>
      <c r="BI438" s="283"/>
      <c r="BJ438" s="52"/>
      <c r="BK438" s="52"/>
      <c r="BL438" s="52"/>
      <c r="BM438" s="52"/>
      <c r="BN438" s="52"/>
      <c r="BO438" s="52"/>
      <c r="BP438" s="52"/>
      <c r="BQ438" s="52"/>
      <c r="BR438" s="52"/>
      <c r="BS438" s="52"/>
      <c r="BT438" s="52"/>
      <c r="BU438" s="52"/>
      <c r="BV438" s="52"/>
      <c r="BW438" s="52"/>
      <c r="BX438" s="52"/>
      <c r="BY438" s="52"/>
      <c r="BZ438" s="52"/>
      <c r="CA438" s="52"/>
      <c r="CB438" s="52"/>
      <c r="CC438" s="52"/>
      <c r="CD438" s="118">
        <v>71429</v>
      </c>
      <c r="CE438" s="118">
        <f t="shared" ref="CE438:CE439" si="56">+CD438*0.19</f>
        <v>13571.51</v>
      </c>
      <c r="CF438" s="118">
        <f t="shared" ref="CF438" si="57">+CD438+CE438</f>
        <v>85000.51</v>
      </c>
      <c r="CG438" s="52"/>
      <c r="CH438" s="52">
        <v>213500</v>
      </c>
      <c r="CI438" s="52"/>
      <c r="CJ438" s="52"/>
      <c r="CK438" s="52"/>
      <c r="CL438" s="52"/>
      <c r="CM438" s="52"/>
      <c r="CN438" s="118"/>
      <c r="CO438" s="118"/>
      <c r="CP438" s="118"/>
      <c r="CQ438" s="52"/>
      <c r="CR438" s="52"/>
      <c r="CS438" s="52"/>
      <c r="CT438" s="52"/>
      <c r="CU438" s="52"/>
      <c r="CV438" s="52"/>
      <c r="CW438" s="52"/>
      <c r="CX438" s="52"/>
      <c r="CY438" s="52"/>
      <c r="CZ438" s="52"/>
      <c r="DA438" s="52"/>
      <c r="DB438" s="52"/>
    </row>
    <row r="439" spans="1:106" ht="38.25" customHeight="1" x14ac:dyDescent="0.25">
      <c r="A439" s="411">
        <v>437</v>
      </c>
      <c r="B439" s="409" t="s">
        <v>4144</v>
      </c>
      <c r="C439" s="413" t="s">
        <v>622</v>
      </c>
      <c r="D439" s="426" t="s">
        <v>4145</v>
      </c>
      <c r="E439" s="80">
        <v>1</v>
      </c>
      <c r="F439" s="355">
        <v>3024287.1691999999</v>
      </c>
      <c r="G439" s="293"/>
      <c r="H439" s="293"/>
      <c r="I439" s="293"/>
      <c r="J439" s="52"/>
      <c r="K439" s="52"/>
      <c r="L439" s="359"/>
      <c r="M439" s="360"/>
      <c r="N439" s="361"/>
      <c r="O439" s="33"/>
      <c r="P439" s="252"/>
      <c r="Q439" s="113"/>
      <c r="R439" s="113"/>
      <c r="S439" s="113"/>
      <c r="T439" s="52"/>
      <c r="U439" s="5"/>
      <c r="V439" s="231"/>
      <c r="W439" s="231"/>
      <c r="X439" s="231"/>
      <c r="Y439" s="113"/>
      <c r="Z439" s="357"/>
      <c r="AA439" s="118" t="s">
        <v>2877</v>
      </c>
      <c r="AB439" s="118"/>
      <c r="AC439" s="118"/>
      <c r="AD439" s="52"/>
      <c r="AE439" s="5"/>
      <c r="AF439" s="358"/>
      <c r="AG439" s="358"/>
      <c r="AH439" s="358"/>
      <c r="AI439" s="358"/>
      <c r="AJ439" s="358"/>
      <c r="AK439" s="113"/>
      <c r="AL439" s="113"/>
      <c r="AM439" s="113"/>
      <c r="AN439" s="113"/>
      <c r="AO439" s="113"/>
      <c r="AP439" s="52"/>
      <c r="AQ439" s="52"/>
      <c r="AR439" s="52"/>
      <c r="AS439" s="52"/>
      <c r="AT439" s="52"/>
      <c r="AU439" s="125"/>
      <c r="AV439" s="125"/>
      <c r="AW439" s="125"/>
      <c r="AX439" s="5"/>
      <c r="AY439" s="5"/>
      <c r="AZ439" s="113"/>
      <c r="BA439" s="113"/>
      <c r="BB439" s="113"/>
      <c r="BC439" s="52"/>
      <c r="BD439" s="52"/>
      <c r="BE439" s="118"/>
      <c r="BF439" s="118"/>
      <c r="BG439" s="118"/>
      <c r="BH439" s="52"/>
      <c r="BI439" s="283"/>
      <c r="BJ439" s="52"/>
      <c r="BK439" s="52"/>
      <c r="BL439" s="52"/>
      <c r="BM439" s="52"/>
      <c r="BN439" s="52"/>
      <c r="BO439" s="52"/>
      <c r="BP439" s="52"/>
      <c r="BQ439" s="52"/>
      <c r="BR439" s="52"/>
      <c r="BS439" s="52"/>
      <c r="BT439" s="52"/>
      <c r="BU439" s="52"/>
      <c r="BV439" s="52"/>
      <c r="BW439" s="52"/>
      <c r="BX439" s="52"/>
      <c r="BY439" s="52"/>
      <c r="BZ439" s="52"/>
      <c r="CA439" s="52"/>
      <c r="CB439" s="52"/>
      <c r="CC439" s="52"/>
      <c r="CD439" s="118">
        <v>22690</v>
      </c>
      <c r="CE439" s="118">
        <f t="shared" si="56"/>
        <v>4311.1000000000004</v>
      </c>
      <c r="CF439" s="118">
        <f t="shared" ref="CF439" si="58">+CD439+CE439</f>
        <v>27001.1</v>
      </c>
      <c r="CG439" s="52"/>
      <c r="CH439" s="52" t="s">
        <v>4146</v>
      </c>
      <c r="CI439" s="52"/>
      <c r="CJ439" s="52"/>
      <c r="CK439" s="52"/>
      <c r="CL439" s="52"/>
      <c r="CM439" s="52"/>
      <c r="CN439" s="118"/>
      <c r="CO439" s="118"/>
      <c r="CP439" s="118"/>
      <c r="CQ439" s="52"/>
      <c r="CR439" s="52"/>
      <c r="CS439" s="52"/>
      <c r="CT439" s="52"/>
      <c r="CU439" s="52"/>
      <c r="CV439" s="52"/>
      <c r="CW439" s="52"/>
      <c r="CX439" s="52"/>
      <c r="CY439" s="52"/>
      <c r="CZ439" s="52"/>
      <c r="DA439" s="52"/>
      <c r="DB439" s="52"/>
    </row>
    <row r="440" spans="1:106" ht="67.5" x14ac:dyDescent="0.25">
      <c r="A440" s="411">
        <v>438</v>
      </c>
      <c r="B440" s="415" t="s">
        <v>4147</v>
      </c>
      <c r="C440" s="561" t="s">
        <v>4148</v>
      </c>
      <c r="D440" s="426" t="s">
        <v>4149</v>
      </c>
      <c r="E440" s="80">
        <v>1</v>
      </c>
      <c r="F440" s="353">
        <v>516576.85800000001</v>
      </c>
      <c r="G440" s="293"/>
      <c r="H440" s="293"/>
      <c r="I440" s="293"/>
      <c r="J440" s="52"/>
      <c r="K440" s="52"/>
      <c r="L440" s="359"/>
      <c r="M440" s="360"/>
      <c r="N440" s="361"/>
      <c r="O440" s="33"/>
      <c r="P440" s="252"/>
      <c r="Q440" s="113"/>
      <c r="R440" s="113"/>
      <c r="S440" s="113"/>
      <c r="T440" s="52"/>
      <c r="U440" s="5"/>
      <c r="V440" s="231"/>
      <c r="W440" s="231"/>
      <c r="X440" s="231"/>
      <c r="Y440" s="113"/>
      <c r="Z440" s="357"/>
      <c r="AA440" s="118" t="s">
        <v>2877</v>
      </c>
      <c r="AB440" s="118"/>
      <c r="AC440" s="118"/>
      <c r="AD440" s="52"/>
      <c r="AE440" s="5"/>
      <c r="AF440" s="358"/>
      <c r="AG440" s="358"/>
      <c r="AH440" s="358"/>
      <c r="AI440" s="358"/>
      <c r="AJ440" s="358"/>
      <c r="AK440" s="113"/>
      <c r="AL440" s="113"/>
      <c r="AM440" s="113"/>
      <c r="AN440" s="113"/>
      <c r="AO440" s="113"/>
      <c r="AP440" s="52"/>
      <c r="AQ440" s="52"/>
      <c r="AR440" s="52"/>
      <c r="AS440" s="52"/>
      <c r="AT440" s="52"/>
      <c r="AU440" s="125"/>
      <c r="AV440" s="125"/>
      <c r="AW440" s="125"/>
      <c r="AX440" s="5"/>
      <c r="AY440" s="5"/>
      <c r="AZ440" s="113"/>
      <c r="BA440" s="113"/>
      <c r="BB440" s="113"/>
      <c r="BC440" s="52"/>
      <c r="BD440" s="52"/>
      <c r="BE440" s="118"/>
      <c r="BF440" s="118"/>
      <c r="BG440" s="118"/>
      <c r="BH440" s="52"/>
      <c r="BI440" s="283"/>
      <c r="BJ440" s="52"/>
      <c r="BK440" s="52"/>
      <c r="BL440" s="52"/>
      <c r="BM440" s="52"/>
      <c r="BN440" s="52"/>
      <c r="BO440" s="118">
        <v>350000</v>
      </c>
      <c r="BP440" s="118">
        <f>+BO440*0.19</f>
        <v>66500</v>
      </c>
      <c r="BQ440" s="118">
        <f>+BO440+BP440</f>
        <v>416500</v>
      </c>
      <c r="BR440" s="52" t="s">
        <v>4135</v>
      </c>
      <c r="BS440" s="52" t="s">
        <v>178</v>
      </c>
      <c r="BT440" s="52"/>
      <c r="BU440" s="52"/>
      <c r="BV440" s="52"/>
      <c r="BW440" s="52"/>
      <c r="BX440" s="52"/>
      <c r="BY440" s="293">
        <f>14000*25</f>
        <v>350000</v>
      </c>
      <c r="BZ440" s="118">
        <f>+BY440*0.19</f>
        <v>66500</v>
      </c>
      <c r="CA440" s="364">
        <f>+BY440+BZ440</f>
        <v>416500</v>
      </c>
      <c r="CB440" s="52" t="s">
        <v>3737</v>
      </c>
      <c r="CC440" s="52">
        <v>41004141</v>
      </c>
      <c r="CD440" s="118"/>
      <c r="CE440" s="52"/>
      <c r="CF440" s="52"/>
      <c r="CG440" s="52"/>
      <c r="CH440" s="52"/>
      <c r="CI440" s="52"/>
      <c r="CJ440" s="52"/>
      <c r="CK440" s="52"/>
      <c r="CL440" s="52"/>
      <c r="CM440" s="52"/>
      <c r="CN440" s="118"/>
      <c r="CO440" s="118"/>
      <c r="CP440" s="118"/>
      <c r="CQ440" s="52"/>
      <c r="CR440" s="52"/>
      <c r="CS440" s="52"/>
      <c r="CT440" s="52"/>
      <c r="CU440" s="52"/>
      <c r="CV440" s="52"/>
      <c r="CW440" s="52"/>
      <c r="CX440" s="52"/>
      <c r="CY440" s="52"/>
      <c r="CZ440" s="52"/>
      <c r="DA440" s="52"/>
      <c r="DB440" s="52"/>
    </row>
    <row r="441" spans="1:106" ht="54" x14ac:dyDescent="0.25">
      <c r="A441" s="411">
        <v>439</v>
      </c>
      <c r="B441" s="412" t="s">
        <v>4150</v>
      </c>
      <c r="C441" s="561" t="s">
        <v>622</v>
      </c>
      <c r="D441" s="426" t="s">
        <v>445</v>
      </c>
      <c r="E441" s="80">
        <v>1</v>
      </c>
      <c r="F441" s="355">
        <v>479712.30940000003</v>
      </c>
      <c r="G441" s="293"/>
      <c r="H441" s="293"/>
      <c r="I441" s="293"/>
      <c r="J441" s="52"/>
      <c r="K441" s="52"/>
      <c r="L441" s="359"/>
      <c r="M441" s="360"/>
      <c r="N441" s="361"/>
      <c r="O441" s="33"/>
      <c r="P441" s="252"/>
      <c r="Q441" s="113"/>
      <c r="R441" s="113"/>
      <c r="S441" s="113"/>
      <c r="T441" s="52"/>
      <c r="U441" s="5"/>
      <c r="V441" s="231"/>
      <c r="W441" s="231"/>
      <c r="X441" s="231"/>
      <c r="Y441" s="113"/>
      <c r="Z441" s="357"/>
      <c r="AA441" s="118" t="s">
        <v>2877</v>
      </c>
      <c r="AB441" s="118"/>
      <c r="AC441" s="118"/>
      <c r="AD441" s="52"/>
      <c r="AE441" s="5"/>
      <c r="AF441" s="358"/>
      <c r="AG441" s="358"/>
      <c r="AH441" s="358"/>
      <c r="AI441" s="358"/>
      <c r="AJ441" s="358"/>
      <c r="AK441" s="113"/>
      <c r="AL441" s="113"/>
      <c r="AM441" s="113"/>
      <c r="AN441" s="113"/>
      <c r="AO441" s="113"/>
      <c r="AP441" s="52"/>
      <c r="AQ441" s="52"/>
      <c r="AR441" s="52"/>
      <c r="AS441" s="52"/>
      <c r="AT441" s="52"/>
      <c r="AU441" s="125"/>
      <c r="AV441" s="125"/>
      <c r="AW441" s="125"/>
      <c r="AX441" s="5"/>
      <c r="AY441" s="5"/>
      <c r="AZ441" s="113"/>
      <c r="BA441" s="113"/>
      <c r="BB441" s="113"/>
      <c r="BC441" s="52"/>
      <c r="BD441" s="52"/>
      <c r="BE441" s="118"/>
      <c r="BF441" s="118"/>
      <c r="BG441" s="118"/>
      <c r="BH441" s="52"/>
      <c r="BI441" s="283"/>
      <c r="BJ441" s="52"/>
      <c r="BK441" s="52"/>
      <c r="BL441" s="52"/>
      <c r="BM441" s="52"/>
      <c r="BN441" s="52"/>
      <c r="BO441" s="52"/>
      <c r="BP441" s="52"/>
      <c r="BQ441" s="52"/>
      <c r="BR441" s="52"/>
      <c r="BS441" s="52"/>
      <c r="BT441" s="52"/>
      <c r="BU441" s="52"/>
      <c r="BV441" s="52"/>
      <c r="BW441" s="52"/>
      <c r="BX441" s="52"/>
      <c r="BY441" s="52"/>
      <c r="BZ441" s="52"/>
      <c r="CA441" s="52"/>
      <c r="CB441" s="52"/>
      <c r="CC441" s="52"/>
      <c r="CD441" s="118"/>
      <c r="CE441" s="52"/>
      <c r="CF441" s="52"/>
      <c r="CG441" s="52"/>
      <c r="CH441" s="52"/>
      <c r="CI441" s="52"/>
      <c r="CJ441" s="52"/>
      <c r="CK441" s="52"/>
      <c r="CL441" s="52"/>
      <c r="CM441" s="52"/>
      <c r="CN441" s="118"/>
      <c r="CO441" s="118"/>
      <c r="CP441" s="118"/>
      <c r="CQ441" s="52"/>
      <c r="CR441" s="52"/>
      <c r="CS441" s="52"/>
      <c r="CT441" s="52"/>
      <c r="CU441" s="52"/>
      <c r="CV441" s="52"/>
      <c r="CW441" s="52"/>
      <c r="CX441" s="52"/>
      <c r="CY441" s="52"/>
      <c r="CZ441" s="52"/>
      <c r="DA441" s="52"/>
      <c r="DB441" s="52"/>
    </row>
    <row r="442" spans="1:106" ht="94.5" x14ac:dyDescent="0.25">
      <c r="A442" s="411">
        <v>440</v>
      </c>
      <c r="B442" s="412" t="s">
        <v>4151</v>
      </c>
      <c r="C442" s="561" t="s">
        <v>4152</v>
      </c>
      <c r="D442" s="426" t="s">
        <v>445</v>
      </c>
      <c r="E442" s="80">
        <v>1</v>
      </c>
      <c r="F442" s="353">
        <v>37039.877800000002</v>
      </c>
      <c r="G442" s="293">
        <v>41400</v>
      </c>
      <c r="H442" s="293">
        <v>7866</v>
      </c>
      <c r="I442" s="293">
        <v>49266</v>
      </c>
      <c r="J442" s="52" t="s">
        <v>2976</v>
      </c>
      <c r="K442" s="52" t="s">
        <v>4153</v>
      </c>
      <c r="L442" s="359"/>
      <c r="M442" s="360"/>
      <c r="N442" s="361"/>
      <c r="O442" s="33"/>
      <c r="P442" s="252"/>
      <c r="Q442" s="113"/>
      <c r="R442" s="113"/>
      <c r="S442" s="113"/>
      <c r="T442" s="52"/>
      <c r="U442" s="5"/>
      <c r="V442" s="231"/>
      <c r="W442" s="231"/>
      <c r="X442" s="231"/>
      <c r="Y442" s="113"/>
      <c r="Z442" s="357"/>
      <c r="AA442" s="118">
        <v>628000</v>
      </c>
      <c r="AB442" s="118">
        <f t="shared" ref="AB442:AB445" si="59">AA442*0.19</f>
        <v>119320</v>
      </c>
      <c r="AC442" s="118">
        <f t="shared" ref="AC442:AC445" si="60">AA442+AB442</f>
        <v>747320</v>
      </c>
      <c r="AD442" s="361" t="s">
        <v>126</v>
      </c>
      <c r="AE442" s="362" t="s">
        <v>4154</v>
      </c>
      <c r="AF442" s="358"/>
      <c r="AG442" s="358"/>
      <c r="AH442" s="358"/>
      <c r="AI442" s="358"/>
      <c r="AJ442" s="358"/>
      <c r="AK442" s="113">
        <v>32900</v>
      </c>
      <c r="AL442" s="113">
        <v>6251</v>
      </c>
      <c r="AM442" s="113">
        <v>39151</v>
      </c>
      <c r="AN442" s="113" t="s">
        <v>2980</v>
      </c>
      <c r="AO442" s="113">
        <v>213901406</v>
      </c>
      <c r="AP442" s="52"/>
      <c r="AQ442" s="52"/>
      <c r="AR442" s="52"/>
      <c r="AS442" s="52"/>
      <c r="AT442" s="52"/>
      <c r="AU442" s="125"/>
      <c r="AV442" s="125"/>
      <c r="AW442" s="125"/>
      <c r="AX442" s="5"/>
      <c r="AY442" s="5"/>
      <c r="AZ442" s="113"/>
      <c r="BA442" s="113"/>
      <c r="BB442" s="113"/>
      <c r="BC442" s="52"/>
      <c r="BD442" s="52"/>
      <c r="BE442" s="118"/>
      <c r="BF442" s="118"/>
      <c r="BG442" s="118"/>
      <c r="BH442" s="52"/>
      <c r="BI442" s="283"/>
      <c r="BJ442" s="52"/>
      <c r="BK442" s="52"/>
      <c r="BL442" s="52"/>
      <c r="BM442" s="52"/>
      <c r="BN442" s="52"/>
      <c r="BO442" s="52"/>
      <c r="BP442" s="52"/>
      <c r="BQ442" s="52"/>
      <c r="BR442" s="52"/>
      <c r="BS442" s="52"/>
      <c r="BT442" s="52"/>
      <c r="BU442" s="52"/>
      <c r="BV442" s="52"/>
      <c r="BW442" s="52"/>
      <c r="BX442" s="52"/>
      <c r="BY442" s="52"/>
      <c r="BZ442" s="52"/>
      <c r="CA442" s="52"/>
      <c r="CB442" s="52"/>
      <c r="CC442" s="52"/>
      <c r="CD442" s="118"/>
      <c r="CE442" s="52"/>
      <c r="CF442" s="52"/>
      <c r="CG442" s="52"/>
      <c r="CH442" s="52"/>
      <c r="CI442" s="52"/>
      <c r="CJ442" s="52"/>
      <c r="CK442" s="52"/>
      <c r="CL442" s="52"/>
      <c r="CM442" s="52"/>
      <c r="CN442" s="118"/>
      <c r="CO442" s="118"/>
      <c r="CP442" s="118"/>
      <c r="CQ442" s="52"/>
      <c r="CR442" s="52"/>
      <c r="CS442" s="52"/>
      <c r="CT442" s="52"/>
      <c r="CU442" s="52"/>
      <c r="CV442" s="52"/>
      <c r="CW442" s="52"/>
      <c r="CX442" s="52"/>
      <c r="CY442" s="52"/>
      <c r="CZ442" s="52"/>
      <c r="DA442" s="52"/>
      <c r="DB442" s="52"/>
    </row>
    <row r="443" spans="1:106" ht="81" x14ac:dyDescent="0.25">
      <c r="A443" s="411">
        <v>441</v>
      </c>
      <c r="B443" s="412" t="s">
        <v>4155</v>
      </c>
      <c r="C443" s="561" t="s">
        <v>4152</v>
      </c>
      <c r="D443" s="426" t="s">
        <v>445</v>
      </c>
      <c r="E443" s="80">
        <v>1</v>
      </c>
      <c r="F443" s="353">
        <v>145797.848</v>
      </c>
      <c r="G443" s="293">
        <v>97100</v>
      </c>
      <c r="H443" s="293">
        <v>18449</v>
      </c>
      <c r="I443" s="293">
        <v>115549</v>
      </c>
      <c r="J443" s="52" t="s">
        <v>2976</v>
      </c>
      <c r="K443" s="52" t="s">
        <v>4156</v>
      </c>
      <c r="L443" s="359"/>
      <c r="M443" s="360"/>
      <c r="N443" s="361"/>
      <c r="O443" s="33"/>
      <c r="P443" s="252"/>
      <c r="Q443" s="113"/>
      <c r="R443" s="113"/>
      <c r="S443" s="113"/>
      <c r="T443" s="52"/>
      <c r="U443" s="5"/>
      <c r="V443" s="231"/>
      <c r="W443" s="231"/>
      <c r="X443" s="231"/>
      <c r="Y443" s="113"/>
      <c r="Z443" s="357"/>
      <c r="AA443" s="118">
        <v>1185000</v>
      </c>
      <c r="AB443" s="118">
        <f t="shared" si="59"/>
        <v>225150</v>
      </c>
      <c r="AC443" s="118">
        <f t="shared" si="60"/>
        <v>1410150</v>
      </c>
      <c r="AD443" s="361" t="s">
        <v>126</v>
      </c>
      <c r="AE443" s="362" t="s">
        <v>4157</v>
      </c>
      <c r="AF443" s="358"/>
      <c r="AG443" s="358"/>
      <c r="AH443" s="358"/>
      <c r="AI443" s="358"/>
      <c r="AJ443" s="358"/>
      <c r="AK443" s="113">
        <v>63700</v>
      </c>
      <c r="AL443" s="113">
        <v>12103</v>
      </c>
      <c r="AM443" s="113">
        <v>75803</v>
      </c>
      <c r="AN443" s="113" t="s">
        <v>2980</v>
      </c>
      <c r="AO443" s="113">
        <v>213964409</v>
      </c>
      <c r="AP443" s="52"/>
      <c r="AQ443" s="52"/>
      <c r="AR443" s="52"/>
      <c r="AS443" s="52"/>
      <c r="AT443" s="52"/>
      <c r="AU443" s="125"/>
      <c r="AV443" s="125"/>
      <c r="AW443" s="125"/>
      <c r="AX443" s="5"/>
      <c r="AY443" s="5"/>
      <c r="AZ443" s="113">
        <v>193000</v>
      </c>
      <c r="BA443" s="113">
        <v>36670</v>
      </c>
      <c r="BB443" s="113">
        <v>229670</v>
      </c>
      <c r="BC443" s="52" t="s">
        <v>2925</v>
      </c>
      <c r="BD443" s="52" t="s">
        <v>4158</v>
      </c>
      <c r="BE443" s="118"/>
      <c r="BF443" s="118"/>
      <c r="BG443" s="118"/>
      <c r="BH443" s="52"/>
      <c r="BI443" s="283"/>
      <c r="BJ443" s="52"/>
      <c r="BK443" s="52"/>
      <c r="BL443" s="52"/>
      <c r="BM443" s="52"/>
      <c r="BN443" s="52"/>
      <c r="BO443" s="52"/>
      <c r="BP443" s="52"/>
      <c r="BQ443" s="52"/>
      <c r="BR443" s="52"/>
      <c r="BS443" s="52"/>
      <c r="BT443" s="52"/>
      <c r="BU443" s="52"/>
      <c r="BV443" s="52"/>
      <c r="BW443" s="52"/>
      <c r="BX443" s="52"/>
      <c r="BY443" s="52"/>
      <c r="BZ443" s="52"/>
      <c r="CA443" s="52"/>
      <c r="CB443" s="52"/>
      <c r="CC443" s="52"/>
      <c r="CD443" s="118"/>
      <c r="CE443" s="52"/>
      <c r="CF443" s="52"/>
      <c r="CG443" s="52"/>
      <c r="CH443" s="52"/>
      <c r="CI443" s="52"/>
      <c r="CJ443" s="52"/>
      <c r="CK443" s="52"/>
      <c r="CL443" s="52"/>
      <c r="CM443" s="52"/>
      <c r="CN443" s="118"/>
      <c r="CO443" s="118"/>
      <c r="CP443" s="118"/>
      <c r="CQ443" s="52"/>
      <c r="CR443" s="52"/>
      <c r="CS443" s="52"/>
      <c r="CT443" s="52"/>
      <c r="CU443" s="52"/>
      <c r="CV443" s="52"/>
      <c r="CW443" s="52"/>
      <c r="CX443" s="52"/>
      <c r="CY443" s="52"/>
      <c r="CZ443" s="52"/>
      <c r="DA443" s="52"/>
      <c r="DB443" s="52"/>
    </row>
    <row r="444" spans="1:106" ht="54" x14ac:dyDescent="0.25">
      <c r="A444" s="411">
        <v>442</v>
      </c>
      <c r="B444" s="416" t="s">
        <v>4159</v>
      </c>
      <c r="C444" s="413" t="s">
        <v>3460</v>
      </c>
      <c r="D444" s="416" t="s">
        <v>445</v>
      </c>
      <c r="E444" s="80">
        <v>1</v>
      </c>
      <c r="F444" s="353">
        <v>55302.632000000005</v>
      </c>
      <c r="G444" s="293">
        <v>47100</v>
      </c>
      <c r="H444" s="293">
        <v>8949</v>
      </c>
      <c r="I444" s="293">
        <v>56049</v>
      </c>
      <c r="J444" s="52" t="s">
        <v>2976</v>
      </c>
      <c r="K444" s="52" t="s">
        <v>4160</v>
      </c>
      <c r="L444" s="359"/>
      <c r="M444" s="360"/>
      <c r="N444" s="361"/>
      <c r="O444" s="33"/>
      <c r="P444" s="252"/>
      <c r="Q444" s="113"/>
      <c r="R444" s="113"/>
      <c r="S444" s="113"/>
      <c r="T444" s="52"/>
      <c r="U444" s="5"/>
      <c r="V444" s="231"/>
      <c r="W444" s="231"/>
      <c r="X444" s="231"/>
      <c r="Y444" s="113"/>
      <c r="Z444" s="357"/>
      <c r="AA444" s="118">
        <v>272000</v>
      </c>
      <c r="AB444" s="118">
        <f t="shared" si="59"/>
        <v>51680</v>
      </c>
      <c r="AC444" s="118">
        <f t="shared" si="60"/>
        <v>323680</v>
      </c>
      <c r="AD444" s="361" t="s">
        <v>126</v>
      </c>
      <c r="AE444" s="362" t="s">
        <v>4161</v>
      </c>
      <c r="AF444" s="358"/>
      <c r="AG444" s="358"/>
      <c r="AH444" s="358"/>
      <c r="AI444" s="358"/>
      <c r="AJ444" s="358"/>
      <c r="AK444" s="113">
        <v>36100</v>
      </c>
      <c r="AL444" s="113">
        <v>6859</v>
      </c>
      <c r="AM444" s="113">
        <v>42959</v>
      </c>
      <c r="AN444" s="113" t="s">
        <v>2980</v>
      </c>
      <c r="AO444" s="113">
        <v>213902402</v>
      </c>
      <c r="AP444" s="52"/>
      <c r="AQ444" s="52"/>
      <c r="AR444" s="52"/>
      <c r="AS444" s="52"/>
      <c r="AT444" s="52"/>
      <c r="AU444" s="125"/>
      <c r="AV444" s="125"/>
      <c r="AW444" s="125"/>
      <c r="AX444" s="5"/>
      <c r="AY444" s="5"/>
      <c r="AZ444" s="113">
        <v>154000</v>
      </c>
      <c r="BA444" s="113">
        <v>29260</v>
      </c>
      <c r="BB444" s="113">
        <v>183260</v>
      </c>
      <c r="BC444" s="52" t="s">
        <v>2925</v>
      </c>
      <c r="BD444" s="52" t="s">
        <v>4162</v>
      </c>
      <c r="BE444" s="118"/>
      <c r="BF444" s="118"/>
      <c r="BG444" s="118"/>
      <c r="BH444" s="52"/>
      <c r="BI444" s="283"/>
      <c r="BJ444" s="52"/>
      <c r="BK444" s="52"/>
      <c r="BL444" s="52"/>
      <c r="BM444" s="52"/>
      <c r="BN444" s="52"/>
      <c r="BO444" s="52"/>
      <c r="BP444" s="52"/>
      <c r="BQ444" s="52"/>
      <c r="BR444" s="52"/>
      <c r="BS444" s="52"/>
      <c r="BT444" s="52"/>
      <c r="BU444" s="52"/>
      <c r="BV444" s="52"/>
      <c r="BW444" s="52"/>
      <c r="BX444" s="52"/>
      <c r="BY444" s="52"/>
      <c r="BZ444" s="52"/>
      <c r="CA444" s="52"/>
      <c r="CB444" s="52"/>
      <c r="CC444" s="52"/>
      <c r="CD444" s="118"/>
      <c r="CE444" s="52"/>
      <c r="CF444" s="52"/>
      <c r="CG444" s="52"/>
      <c r="CH444" s="52"/>
      <c r="CI444" s="52"/>
      <c r="CJ444" s="52"/>
      <c r="CK444" s="52"/>
      <c r="CL444" s="52"/>
      <c r="CM444" s="52"/>
      <c r="CN444" s="118"/>
      <c r="CO444" s="118"/>
      <c r="CP444" s="118"/>
      <c r="CQ444" s="52"/>
      <c r="CR444" s="52"/>
      <c r="CS444" s="52"/>
      <c r="CT444" s="52"/>
      <c r="CU444" s="52"/>
      <c r="CV444" s="52"/>
      <c r="CW444" s="52"/>
      <c r="CX444" s="52"/>
      <c r="CY444" s="52"/>
      <c r="CZ444" s="52"/>
      <c r="DA444" s="52"/>
      <c r="DB444" s="52"/>
    </row>
    <row r="445" spans="1:106" ht="54" x14ac:dyDescent="0.25">
      <c r="A445" s="411">
        <v>443</v>
      </c>
      <c r="B445" s="416" t="s">
        <v>4163</v>
      </c>
      <c r="C445" s="413" t="s">
        <v>3460</v>
      </c>
      <c r="D445" s="416" t="s">
        <v>445</v>
      </c>
      <c r="E445" s="80">
        <v>1</v>
      </c>
      <c r="F445" s="80"/>
      <c r="G445" s="293">
        <v>65700</v>
      </c>
      <c r="H445" s="293">
        <v>12483</v>
      </c>
      <c r="I445" s="293">
        <v>78183</v>
      </c>
      <c r="J445" s="52" t="s">
        <v>2976</v>
      </c>
      <c r="K445" s="52" t="s">
        <v>4164</v>
      </c>
      <c r="L445" s="359"/>
      <c r="M445" s="360"/>
      <c r="N445" s="361"/>
      <c r="O445" s="33"/>
      <c r="P445" s="252"/>
      <c r="Q445" s="113"/>
      <c r="R445" s="113"/>
      <c r="S445" s="113"/>
      <c r="T445" s="52"/>
      <c r="U445" s="5"/>
      <c r="V445" s="231"/>
      <c r="W445" s="231"/>
      <c r="X445" s="231"/>
      <c r="Y445" s="113"/>
      <c r="Z445" s="357"/>
      <c r="AA445" s="118">
        <v>383000</v>
      </c>
      <c r="AB445" s="118">
        <f t="shared" si="59"/>
        <v>72770</v>
      </c>
      <c r="AC445" s="118">
        <f t="shared" si="60"/>
        <v>455770</v>
      </c>
      <c r="AD445" s="361" t="s">
        <v>126</v>
      </c>
      <c r="AE445" s="362" t="s">
        <v>4165</v>
      </c>
      <c r="AF445" s="358"/>
      <c r="AG445" s="358"/>
      <c r="AH445" s="358"/>
      <c r="AI445" s="358"/>
      <c r="AJ445" s="358"/>
      <c r="AK445" s="113">
        <v>54100</v>
      </c>
      <c r="AL445" s="113">
        <v>10279</v>
      </c>
      <c r="AM445" s="113">
        <v>64379</v>
      </c>
      <c r="AN445" s="113" t="s">
        <v>2980</v>
      </c>
      <c r="AO445" s="113">
        <v>213903604</v>
      </c>
      <c r="AP445" s="52"/>
      <c r="AQ445" s="52"/>
      <c r="AR445" s="52"/>
      <c r="AS445" s="52"/>
      <c r="AT445" s="52"/>
      <c r="AU445" s="125"/>
      <c r="AV445" s="125"/>
      <c r="AW445" s="125"/>
      <c r="AX445" s="5"/>
      <c r="AY445" s="5"/>
      <c r="AZ445" s="113">
        <v>224000</v>
      </c>
      <c r="BA445" s="113">
        <v>42560</v>
      </c>
      <c r="BB445" s="113">
        <v>266560</v>
      </c>
      <c r="BC445" s="52" t="s">
        <v>2925</v>
      </c>
      <c r="BD445" s="52" t="s">
        <v>4166</v>
      </c>
      <c r="BE445" s="118"/>
      <c r="BF445" s="118"/>
      <c r="BG445" s="118"/>
      <c r="BH445" s="52"/>
      <c r="BI445" s="283"/>
      <c r="BJ445" s="52"/>
      <c r="BK445" s="52"/>
      <c r="BL445" s="52"/>
      <c r="BM445" s="52"/>
      <c r="BN445" s="52"/>
      <c r="BO445" s="52"/>
      <c r="BP445" s="52"/>
      <c r="BQ445" s="52"/>
      <c r="BR445" s="52"/>
      <c r="BS445" s="52"/>
      <c r="BT445" s="52"/>
      <c r="BU445" s="52"/>
      <c r="BV445" s="52"/>
      <c r="BW445" s="52"/>
      <c r="BX445" s="52"/>
      <c r="BY445" s="52"/>
      <c r="BZ445" s="52"/>
      <c r="CA445" s="52"/>
      <c r="CB445" s="52"/>
      <c r="CC445" s="52"/>
      <c r="CD445" s="118"/>
      <c r="CE445" s="52"/>
      <c r="CF445" s="52"/>
      <c r="CG445" s="52"/>
      <c r="CH445" s="52"/>
      <c r="CI445" s="52"/>
      <c r="CJ445" s="52"/>
      <c r="CK445" s="52"/>
      <c r="CL445" s="52"/>
      <c r="CM445" s="52"/>
      <c r="CN445" s="118"/>
      <c r="CO445" s="118"/>
      <c r="CP445" s="118"/>
      <c r="CQ445" s="52"/>
      <c r="CR445" s="52"/>
      <c r="CS445" s="52"/>
      <c r="CT445" s="52"/>
      <c r="CU445" s="52"/>
      <c r="CV445" s="52"/>
      <c r="CW445" s="52"/>
      <c r="CX445" s="52"/>
      <c r="CY445" s="52"/>
      <c r="CZ445" s="52"/>
      <c r="DA445" s="52"/>
      <c r="DB445" s="52"/>
    </row>
    <row r="446" spans="1:106" ht="40.5" x14ac:dyDescent="0.25">
      <c r="A446" s="411">
        <v>444</v>
      </c>
      <c r="B446" s="412" t="s">
        <v>4167</v>
      </c>
      <c r="C446" s="561" t="s">
        <v>4168</v>
      </c>
      <c r="D446" s="426" t="s">
        <v>445</v>
      </c>
      <c r="E446" s="80">
        <v>1</v>
      </c>
      <c r="F446" s="80"/>
      <c r="G446" s="293">
        <v>40700</v>
      </c>
      <c r="H446" s="293">
        <v>7733</v>
      </c>
      <c r="I446" s="293">
        <v>48433</v>
      </c>
      <c r="J446" s="52" t="s">
        <v>2976</v>
      </c>
      <c r="K446" s="52" t="s">
        <v>4169</v>
      </c>
      <c r="L446" s="359"/>
      <c r="M446" s="360"/>
      <c r="N446" s="361"/>
      <c r="O446" s="33"/>
      <c r="P446" s="252"/>
      <c r="Q446" s="113"/>
      <c r="R446" s="113"/>
      <c r="S446" s="113"/>
      <c r="T446" s="52"/>
      <c r="U446" s="5"/>
      <c r="V446" s="231"/>
      <c r="W446" s="231"/>
      <c r="X446" s="231"/>
      <c r="Y446" s="113"/>
      <c r="Z446" s="357"/>
      <c r="AA446" s="118" t="s">
        <v>2877</v>
      </c>
      <c r="AB446" s="118"/>
      <c r="AC446" s="118"/>
      <c r="AD446" s="52"/>
      <c r="AE446" s="5"/>
      <c r="AF446" s="358"/>
      <c r="AG446" s="358"/>
      <c r="AH446" s="358"/>
      <c r="AI446" s="358"/>
      <c r="AJ446" s="358"/>
      <c r="AK446" s="113">
        <v>32200</v>
      </c>
      <c r="AL446" s="113">
        <v>6118</v>
      </c>
      <c r="AM446" s="113">
        <v>38318</v>
      </c>
      <c r="AN446" s="113" t="s">
        <v>2980</v>
      </c>
      <c r="AO446" s="113">
        <v>213962408</v>
      </c>
      <c r="AP446" s="52"/>
      <c r="AQ446" s="52"/>
      <c r="AR446" s="52"/>
      <c r="AS446" s="52"/>
      <c r="AT446" s="52"/>
      <c r="AU446" s="125"/>
      <c r="AV446" s="125"/>
      <c r="AW446" s="125"/>
      <c r="AX446" s="5"/>
      <c r="AY446" s="5"/>
      <c r="AZ446" s="113">
        <v>59000</v>
      </c>
      <c r="BA446" s="113">
        <v>11210</v>
      </c>
      <c r="BB446" s="113">
        <v>70210</v>
      </c>
      <c r="BC446" s="52" t="s">
        <v>2925</v>
      </c>
      <c r="BD446" s="52" t="s">
        <v>4170</v>
      </c>
      <c r="BE446" s="118"/>
      <c r="BF446" s="118"/>
      <c r="BG446" s="118"/>
      <c r="BH446" s="52"/>
      <c r="BI446" s="283"/>
      <c r="BJ446" s="52"/>
      <c r="BK446" s="52"/>
      <c r="BL446" s="52"/>
      <c r="BM446" s="52"/>
      <c r="BN446" s="52"/>
      <c r="BO446" s="52"/>
      <c r="BP446" s="52"/>
      <c r="BQ446" s="52"/>
      <c r="BR446" s="52"/>
      <c r="BS446" s="52"/>
      <c r="BT446" s="52"/>
      <c r="BU446" s="52"/>
      <c r="BV446" s="52"/>
      <c r="BW446" s="52"/>
      <c r="BX446" s="52"/>
      <c r="BY446" s="52"/>
      <c r="BZ446" s="52"/>
      <c r="CA446" s="52"/>
      <c r="CB446" s="52"/>
      <c r="CC446" s="52"/>
      <c r="CD446" s="118"/>
      <c r="CE446" s="52"/>
      <c r="CF446" s="52"/>
      <c r="CG446" s="52"/>
      <c r="CH446" s="52"/>
      <c r="CI446" s="52"/>
      <c r="CJ446" s="52"/>
      <c r="CK446" s="52"/>
      <c r="CL446" s="52"/>
      <c r="CM446" s="52"/>
      <c r="CN446" s="118"/>
      <c r="CO446" s="118"/>
      <c r="CP446" s="118"/>
      <c r="CQ446" s="52"/>
      <c r="CR446" s="52"/>
      <c r="CS446" s="52"/>
      <c r="CT446" s="52"/>
      <c r="CU446" s="52"/>
      <c r="CV446" s="52"/>
      <c r="CW446" s="52"/>
      <c r="CX446" s="52"/>
      <c r="CY446" s="52"/>
      <c r="CZ446" s="52"/>
      <c r="DA446" s="52"/>
      <c r="DB446" s="52"/>
    </row>
    <row r="447" spans="1:106" ht="40.5" x14ac:dyDescent="0.25">
      <c r="A447" s="411">
        <v>445</v>
      </c>
      <c r="B447" s="412" t="s">
        <v>4171</v>
      </c>
      <c r="C447" s="561" t="s">
        <v>4168</v>
      </c>
      <c r="D447" s="426" t="s">
        <v>445</v>
      </c>
      <c r="E447" s="80">
        <v>1</v>
      </c>
      <c r="F447" s="353">
        <v>45247.608</v>
      </c>
      <c r="G447" s="293">
        <v>35100</v>
      </c>
      <c r="H447" s="293">
        <v>6669</v>
      </c>
      <c r="I447" s="293">
        <v>41769</v>
      </c>
      <c r="J447" s="52" t="s">
        <v>2976</v>
      </c>
      <c r="K447" s="52" t="s">
        <v>4172</v>
      </c>
      <c r="L447" s="359"/>
      <c r="M447" s="360"/>
      <c r="N447" s="361"/>
      <c r="O447" s="33"/>
      <c r="P447" s="252"/>
      <c r="Q447" s="113"/>
      <c r="R447" s="113"/>
      <c r="S447" s="113"/>
      <c r="T447" s="52"/>
      <c r="U447" s="5"/>
      <c r="V447" s="231"/>
      <c r="W447" s="231"/>
      <c r="X447" s="231"/>
      <c r="Y447" s="113"/>
      <c r="Z447" s="357"/>
      <c r="AA447" s="118" t="s">
        <v>2877</v>
      </c>
      <c r="AB447" s="118"/>
      <c r="AC447" s="118"/>
      <c r="AD447" s="52"/>
      <c r="AE447" s="5"/>
      <c r="AF447" s="358"/>
      <c r="AG447" s="358"/>
      <c r="AH447" s="358"/>
      <c r="AI447" s="358"/>
      <c r="AJ447" s="358"/>
      <c r="AK447" s="113">
        <v>29400</v>
      </c>
      <c r="AL447" s="113">
        <v>5586</v>
      </c>
      <c r="AM447" s="113">
        <v>34986</v>
      </c>
      <c r="AN447" s="113" t="s">
        <v>2980</v>
      </c>
      <c r="AO447" s="113">
        <v>213961403</v>
      </c>
      <c r="AP447" s="52"/>
      <c r="AQ447" s="52"/>
      <c r="AR447" s="52"/>
      <c r="AS447" s="52"/>
      <c r="AT447" s="52"/>
      <c r="AU447" s="125"/>
      <c r="AV447" s="125"/>
      <c r="AW447" s="125"/>
      <c r="AX447" s="5"/>
      <c r="AY447" s="5"/>
      <c r="AZ447" s="113">
        <v>50000</v>
      </c>
      <c r="BA447" s="113">
        <v>9500</v>
      </c>
      <c r="BB447" s="113">
        <v>59500</v>
      </c>
      <c r="BC447" s="52" t="s">
        <v>2925</v>
      </c>
      <c r="BD447" s="52" t="s">
        <v>4173</v>
      </c>
      <c r="BE447" s="118"/>
      <c r="BF447" s="118"/>
      <c r="BG447" s="118"/>
      <c r="BH447" s="52"/>
      <c r="BI447" s="283"/>
      <c r="BJ447" s="52"/>
      <c r="BK447" s="52"/>
      <c r="BL447" s="52"/>
      <c r="BM447" s="52"/>
      <c r="BN447" s="52"/>
      <c r="BO447" s="52"/>
      <c r="BP447" s="52"/>
      <c r="BQ447" s="52"/>
      <c r="BR447" s="52"/>
      <c r="BS447" s="52"/>
      <c r="BT447" s="52"/>
      <c r="BU447" s="52"/>
      <c r="BV447" s="52"/>
      <c r="BW447" s="52"/>
      <c r="BX447" s="52"/>
      <c r="BY447" s="52"/>
      <c r="BZ447" s="52"/>
      <c r="CA447" s="52"/>
      <c r="CB447" s="52"/>
      <c r="CC447" s="52"/>
      <c r="CD447" s="118"/>
      <c r="CE447" s="52"/>
      <c r="CF447" s="52"/>
      <c r="CG447" s="52"/>
      <c r="CH447" s="52"/>
      <c r="CI447" s="52"/>
      <c r="CJ447" s="52"/>
      <c r="CK447" s="52"/>
      <c r="CL447" s="52"/>
      <c r="CM447" s="52"/>
      <c r="CN447" s="118"/>
      <c r="CO447" s="118"/>
      <c r="CP447" s="118"/>
      <c r="CQ447" s="52"/>
      <c r="CR447" s="52"/>
      <c r="CS447" s="52"/>
      <c r="CT447" s="52"/>
      <c r="CU447" s="52"/>
      <c r="CV447" s="52"/>
      <c r="CW447" s="52"/>
      <c r="CX447" s="52"/>
      <c r="CY447" s="52"/>
      <c r="CZ447" s="52"/>
      <c r="DA447" s="52"/>
      <c r="DB447" s="52"/>
    </row>
    <row r="448" spans="1:106" ht="40.5" x14ac:dyDescent="0.25">
      <c r="A448" s="411">
        <v>446</v>
      </c>
      <c r="B448" s="412" t="s">
        <v>4174</v>
      </c>
      <c r="C448" s="561" t="s">
        <v>4168</v>
      </c>
      <c r="D448" s="426" t="s">
        <v>445</v>
      </c>
      <c r="E448" s="80">
        <v>1</v>
      </c>
      <c r="F448" s="353">
        <v>111862.14200000001</v>
      </c>
      <c r="G448" s="293">
        <v>60000</v>
      </c>
      <c r="H448" s="293">
        <v>11400</v>
      </c>
      <c r="I448" s="293">
        <v>71400</v>
      </c>
      <c r="J448" s="52" t="s">
        <v>2976</v>
      </c>
      <c r="K448" s="52" t="s">
        <v>4175</v>
      </c>
      <c r="L448" s="359"/>
      <c r="M448" s="360"/>
      <c r="N448" s="361"/>
      <c r="O448" s="33"/>
      <c r="P448" s="252"/>
      <c r="Q448" s="113"/>
      <c r="R448" s="113"/>
      <c r="S448" s="113"/>
      <c r="T448" s="52"/>
      <c r="U448" s="5"/>
      <c r="V448" s="231"/>
      <c r="W448" s="231"/>
      <c r="X448" s="231"/>
      <c r="Y448" s="113"/>
      <c r="Z448" s="357"/>
      <c r="AA448" s="118" t="s">
        <v>2877</v>
      </c>
      <c r="AB448" s="118"/>
      <c r="AC448" s="118"/>
      <c r="AD448" s="52"/>
      <c r="AE448" s="5"/>
      <c r="AF448" s="358"/>
      <c r="AG448" s="358"/>
      <c r="AH448" s="358"/>
      <c r="AI448" s="358"/>
      <c r="AJ448" s="358"/>
      <c r="AK448" s="113">
        <v>47700</v>
      </c>
      <c r="AL448" s="113">
        <v>9063</v>
      </c>
      <c r="AM448" s="113">
        <v>56763</v>
      </c>
      <c r="AN448" s="113" t="s">
        <v>2980</v>
      </c>
      <c r="AO448" s="113">
        <v>213963601</v>
      </c>
      <c r="AP448" s="52"/>
      <c r="AQ448" s="52"/>
      <c r="AR448" s="52"/>
      <c r="AS448" s="52"/>
      <c r="AT448" s="52"/>
      <c r="AU448" s="125"/>
      <c r="AV448" s="125"/>
      <c r="AW448" s="125"/>
      <c r="AX448" s="5"/>
      <c r="AY448" s="5"/>
      <c r="AZ448" s="113">
        <v>113000</v>
      </c>
      <c r="BA448" s="113">
        <v>21470</v>
      </c>
      <c r="BB448" s="113">
        <v>134470</v>
      </c>
      <c r="BC448" s="52" t="s">
        <v>2925</v>
      </c>
      <c r="BD448" s="52" t="s">
        <v>4176</v>
      </c>
      <c r="BE448" s="118"/>
      <c r="BF448" s="118"/>
      <c r="BG448" s="118"/>
      <c r="BH448" s="52"/>
      <c r="BI448" s="283"/>
      <c r="BJ448" s="52"/>
      <c r="BK448" s="52"/>
      <c r="BL448" s="52"/>
      <c r="BM448" s="52"/>
      <c r="BN448" s="52"/>
      <c r="BO448" s="52"/>
      <c r="BP448" s="52"/>
      <c r="BQ448" s="52"/>
      <c r="BR448" s="52"/>
      <c r="BS448" s="52"/>
      <c r="BT448" s="52"/>
      <c r="BU448" s="52"/>
      <c r="BV448" s="52"/>
      <c r="BW448" s="52"/>
      <c r="BX448" s="52"/>
      <c r="BY448" s="52"/>
      <c r="BZ448" s="52"/>
      <c r="CA448" s="52"/>
      <c r="CB448" s="52"/>
      <c r="CC448" s="52"/>
      <c r="CD448" s="118"/>
      <c r="CE448" s="52"/>
      <c r="CF448" s="52"/>
      <c r="CG448" s="52"/>
      <c r="CH448" s="52"/>
      <c r="CI448" s="52"/>
      <c r="CJ448" s="52"/>
      <c r="CK448" s="52"/>
      <c r="CL448" s="52"/>
      <c r="CM448" s="52"/>
      <c r="CN448" s="118"/>
      <c r="CO448" s="118"/>
      <c r="CP448" s="118"/>
      <c r="CQ448" s="52"/>
      <c r="CR448" s="52"/>
      <c r="CS448" s="52"/>
      <c r="CT448" s="52"/>
      <c r="CU448" s="52"/>
      <c r="CV448" s="52"/>
      <c r="CW448" s="52"/>
      <c r="CX448" s="52"/>
      <c r="CY448" s="52"/>
      <c r="CZ448" s="52"/>
      <c r="DA448" s="52"/>
      <c r="DB448" s="52"/>
    </row>
    <row r="449" spans="1:106" ht="40.5" x14ac:dyDescent="0.25">
      <c r="A449" s="411">
        <v>447</v>
      </c>
      <c r="B449" s="412" t="s">
        <v>4177</v>
      </c>
      <c r="C449" s="561" t="s">
        <v>4168</v>
      </c>
      <c r="D449" s="426" t="s">
        <v>445</v>
      </c>
      <c r="E449" s="80">
        <v>1</v>
      </c>
      <c r="F449" s="353">
        <v>45247.608</v>
      </c>
      <c r="G449" s="293">
        <v>37100</v>
      </c>
      <c r="H449" s="293">
        <v>7049</v>
      </c>
      <c r="I449" s="293">
        <v>44149</v>
      </c>
      <c r="J449" s="52" t="s">
        <v>2976</v>
      </c>
      <c r="K449" s="52" t="s">
        <v>4178</v>
      </c>
      <c r="L449" s="359"/>
      <c r="M449" s="360"/>
      <c r="N449" s="361"/>
      <c r="O449" s="33"/>
      <c r="P449" s="252"/>
      <c r="Q449" s="113"/>
      <c r="R449" s="113"/>
      <c r="S449" s="113"/>
      <c r="T449" s="52"/>
      <c r="U449" s="5"/>
      <c r="V449" s="231"/>
      <c r="W449" s="231"/>
      <c r="X449" s="231"/>
      <c r="Y449" s="113"/>
      <c r="Z449" s="357"/>
      <c r="AA449" s="118" t="s">
        <v>2877</v>
      </c>
      <c r="AB449" s="118"/>
      <c r="AC449" s="118"/>
      <c r="AD449" s="52"/>
      <c r="AE449" s="5"/>
      <c r="AF449" s="358"/>
      <c r="AG449" s="358"/>
      <c r="AH449" s="358"/>
      <c r="AI449" s="358"/>
      <c r="AJ449" s="358"/>
      <c r="AK449" s="113">
        <v>31000</v>
      </c>
      <c r="AL449" s="113">
        <v>5890</v>
      </c>
      <c r="AM449" s="113">
        <v>36890</v>
      </c>
      <c r="AN449" s="113" t="s">
        <v>2980</v>
      </c>
      <c r="AO449" s="113">
        <v>213961703</v>
      </c>
      <c r="AP449" s="52"/>
      <c r="AQ449" s="52"/>
      <c r="AR449" s="52"/>
      <c r="AS449" s="52"/>
      <c r="AT449" s="52"/>
      <c r="AU449" s="125"/>
      <c r="AV449" s="125"/>
      <c r="AW449" s="125"/>
      <c r="AX449" s="5"/>
      <c r="AY449" s="5"/>
      <c r="AZ449" s="113">
        <v>56000</v>
      </c>
      <c r="BA449" s="113">
        <v>10640</v>
      </c>
      <c r="BB449" s="113">
        <v>66640</v>
      </c>
      <c r="BC449" s="52" t="s">
        <v>2925</v>
      </c>
      <c r="BD449" s="52" t="s">
        <v>4179</v>
      </c>
      <c r="BE449" s="118"/>
      <c r="BF449" s="118"/>
      <c r="BG449" s="118"/>
      <c r="BH449" s="52"/>
      <c r="BI449" s="283"/>
      <c r="BJ449" s="52"/>
      <c r="BK449" s="52"/>
      <c r="BL449" s="52"/>
      <c r="BM449" s="52"/>
      <c r="BN449" s="52"/>
      <c r="BO449" s="52"/>
      <c r="BP449" s="52"/>
      <c r="BQ449" s="52"/>
      <c r="BR449" s="52"/>
      <c r="BS449" s="52"/>
      <c r="BT449" s="52"/>
      <c r="BU449" s="52"/>
      <c r="BV449" s="52"/>
      <c r="BW449" s="52"/>
      <c r="BX449" s="52"/>
      <c r="BY449" s="52"/>
      <c r="BZ449" s="52"/>
      <c r="CA449" s="52"/>
      <c r="CB449" s="52"/>
      <c r="CC449" s="52"/>
      <c r="CD449" s="118"/>
      <c r="CE449" s="52"/>
      <c r="CF449" s="52"/>
      <c r="CG449" s="52"/>
      <c r="CH449" s="52"/>
      <c r="CI449" s="52"/>
      <c r="CJ449" s="52"/>
      <c r="CK449" s="52"/>
      <c r="CL449" s="52"/>
      <c r="CM449" s="52"/>
      <c r="CN449" s="118"/>
      <c r="CO449" s="118"/>
      <c r="CP449" s="118"/>
      <c r="CQ449" s="52"/>
      <c r="CR449" s="52"/>
      <c r="CS449" s="52"/>
      <c r="CT449" s="52"/>
      <c r="CU449" s="52"/>
      <c r="CV449" s="52"/>
      <c r="CW449" s="52"/>
      <c r="CX449" s="52"/>
      <c r="CY449" s="52"/>
      <c r="CZ449" s="52"/>
      <c r="DA449" s="52"/>
      <c r="DB449" s="52"/>
    </row>
    <row r="450" spans="1:106" ht="121.5" x14ac:dyDescent="0.25">
      <c r="A450" s="411">
        <v>448</v>
      </c>
      <c r="B450" s="415" t="s">
        <v>4180</v>
      </c>
      <c r="C450" s="568" t="s">
        <v>4168</v>
      </c>
      <c r="D450" s="426" t="s">
        <v>445</v>
      </c>
      <c r="E450" s="80">
        <v>1</v>
      </c>
      <c r="F450" s="353">
        <v>50275.12</v>
      </c>
      <c r="G450" s="293">
        <v>40000</v>
      </c>
      <c r="H450" s="293">
        <v>7600</v>
      </c>
      <c r="I450" s="293">
        <v>47600</v>
      </c>
      <c r="J450" s="52" t="s">
        <v>2976</v>
      </c>
      <c r="K450" s="52" t="s">
        <v>4181</v>
      </c>
      <c r="L450" s="359"/>
      <c r="M450" s="360"/>
      <c r="N450" s="361"/>
      <c r="O450" s="33"/>
      <c r="P450" s="252"/>
      <c r="Q450" s="113"/>
      <c r="R450" s="113"/>
      <c r="S450" s="113"/>
      <c r="T450" s="52"/>
      <c r="U450" s="5"/>
      <c r="V450" s="231"/>
      <c r="W450" s="231"/>
      <c r="X450" s="231"/>
      <c r="Y450" s="113"/>
      <c r="Z450" s="357"/>
      <c r="AA450" s="118">
        <v>607000</v>
      </c>
      <c r="AB450" s="118">
        <f t="shared" ref="AB450:AB451" si="61">AA450*0.19</f>
        <v>115330</v>
      </c>
      <c r="AC450" s="118">
        <f t="shared" ref="AC450:AC451" si="62">AA450+AB450</f>
        <v>722330</v>
      </c>
      <c r="AD450" s="361" t="s">
        <v>126</v>
      </c>
      <c r="AE450" s="362" t="s">
        <v>4182</v>
      </c>
      <c r="AF450" s="358"/>
      <c r="AG450" s="358"/>
      <c r="AH450" s="358"/>
      <c r="AI450" s="358"/>
      <c r="AJ450" s="358"/>
      <c r="AK450" s="113">
        <v>33500</v>
      </c>
      <c r="AL450" s="113">
        <v>6365</v>
      </c>
      <c r="AM450" s="113">
        <v>39865</v>
      </c>
      <c r="AN450" s="113" t="s">
        <v>2980</v>
      </c>
      <c r="AO450" s="113">
        <v>213900804</v>
      </c>
      <c r="AP450" s="52"/>
      <c r="AQ450" s="52"/>
      <c r="AR450" s="52"/>
      <c r="AS450" s="52"/>
      <c r="AT450" s="52"/>
      <c r="AU450" s="125"/>
      <c r="AV450" s="125"/>
      <c r="AW450" s="125"/>
      <c r="AX450" s="5"/>
      <c r="AY450" s="5"/>
      <c r="AZ450" s="113">
        <v>48000</v>
      </c>
      <c r="BA450" s="113">
        <v>9120</v>
      </c>
      <c r="BB450" s="113">
        <v>57120</v>
      </c>
      <c r="BC450" s="52" t="s">
        <v>2925</v>
      </c>
      <c r="BD450" s="52" t="s">
        <v>4183</v>
      </c>
      <c r="BE450" s="118"/>
      <c r="BF450" s="118"/>
      <c r="BG450" s="118"/>
      <c r="BH450" s="52"/>
      <c r="BI450" s="283"/>
      <c r="BJ450" s="52"/>
      <c r="BK450" s="52"/>
      <c r="BL450" s="52"/>
      <c r="BM450" s="52"/>
      <c r="BN450" s="52"/>
      <c r="BO450" s="52"/>
      <c r="BP450" s="52"/>
      <c r="BQ450" s="52"/>
      <c r="BR450" s="52"/>
      <c r="BS450" s="52"/>
      <c r="BT450" s="52"/>
      <c r="BU450" s="52"/>
      <c r="BV450" s="52"/>
      <c r="BW450" s="52"/>
      <c r="BX450" s="52"/>
      <c r="BY450" s="52"/>
      <c r="BZ450" s="52"/>
      <c r="CA450" s="52"/>
      <c r="CB450" s="52"/>
      <c r="CC450" s="52"/>
      <c r="CD450" s="118"/>
      <c r="CE450" s="52"/>
      <c r="CF450" s="52"/>
      <c r="CG450" s="52"/>
      <c r="CH450" s="52"/>
      <c r="CI450" s="52"/>
      <c r="CJ450" s="52"/>
      <c r="CK450" s="52"/>
      <c r="CL450" s="52"/>
      <c r="CM450" s="52"/>
      <c r="CN450" s="118"/>
      <c r="CO450" s="118"/>
      <c r="CP450" s="118"/>
      <c r="CQ450" s="52"/>
      <c r="CR450" s="52"/>
      <c r="CS450" s="52"/>
      <c r="CT450" s="52"/>
      <c r="CU450" s="52"/>
      <c r="CV450" s="52"/>
      <c r="CW450" s="52"/>
      <c r="CX450" s="52"/>
      <c r="CY450" s="52"/>
      <c r="CZ450" s="52"/>
      <c r="DA450" s="52"/>
      <c r="DB450" s="52"/>
    </row>
    <row r="451" spans="1:106" ht="108" x14ac:dyDescent="0.25">
      <c r="A451" s="411">
        <v>449</v>
      </c>
      <c r="B451" s="415" t="s">
        <v>4184</v>
      </c>
      <c r="C451" s="561" t="s">
        <v>4168</v>
      </c>
      <c r="D451" s="426" t="s">
        <v>445</v>
      </c>
      <c r="E451" s="80">
        <v>1</v>
      </c>
      <c r="F451" s="353">
        <v>56559.51</v>
      </c>
      <c r="G451" s="293">
        <v>47100</v>
      </c>
      <c r="H451" s="293">
        <v>8949</v>
      </c>
      <c r="I451" s="293">
        <v>56049</v>
      </c>
      <c r="J451" s="52" t="s">
        <v>2976</v>
      </c>
      <c r="K451" s="52" t="s">
        <v>4160</v>
      </c>
      <c r="L451" s="359"/>
      <c r="M451" s="360"/>
      <c r="N451" s="361"/>
      <c r="O451" s="33"/>
      <c r="P451" s="252"/>
      <c r="Q451" s="113"/>
      <c r="R451" s="113"/>
      <c r="S451" s="113"/>
      <c r="T451" s="52"/>
      <c r="U451" s="5"/>
      <c r="V451" s="231"/>
      <c r="W451" s="231"/>
      <c r="X451" s="231"/>
      <c r="Y451" s="113"/>
      <c r="Z451" s="357"/>
      <c r="AA451" s="118">
        <v>573000</v>
      </c>
      <c r="AB451" s="118">
        <f t="shared" si="61"/>
        <v>108870</v>
      </c>
      <c r="AC451" s="118">
        <f t="shared" si="62"/>
        <v>681870</v>
      </c>
      <c r="AD451" s="361" t="s">
        <v>126</v>
      </c>
      <c r="AE451" s="362" t="s">
        <v>4185</v>
      </c>
      <c r="AF451" s="358"/>
      <c r="AG451" s="358"/>
      <c r="AH451" s="358"/>
      <c r="AI451" s="358"/>
      <c r="AJ451" s="358"/>
      <c r="AK451" s="113">
        <v>36100</v>
      </c>
      <c r="AL451" s="113">
        <v>6859</v>
      </c>
      <c r="AM451" s="113">
        <v>42959</v>
      </c>
      <c r="AN451" s="113" t="s">
        <v>2980</v>
      </c>
      <c r="AO451" s="113">
        <v>213902402</v>
      </c>
      <c r="AP451" s="52"/>
      <c r="AQ451" s="52"/>
      <c r="AR451" s="52"/>
      <c r="AS451" s="52"/>
      <c r="AT451" s="52"/>
      <c r="AU451" s="125"/>
      <c r="AV451" s="125"/>
      <c r="AW451" s="125"/>
      <c r="AX451" s="5"/>
      <c r="AY451" s="5"/>
      <c r="AZ451" s="113">
        <v>59000</v>
      </c>
      <c r="BA451" s="113">
        <v>11210</v>
      </c>
      <c r="BB451" s="113">
        <v>70210</v>
      </c>
      <c r="BC451" s="52" t="s">
        <v>2925</v>
      </c>
      <c r="BD451" s="52" t="s">
        <v>4170</v>
      </c>
      <c r="BE451" s="118"/>
      <c r="BF451" s="118"/>
      <c r="BG451" s="118"/>
      <c r="BH451" s="52"/>
      <c r="BI451" s="283"/>
      <c r="BJ451" s="52"/>
      <c r="BK451" s="52"/>
      <c r="BL451" s="52"/>
      <c r="BM451" s="52"/>
      <c r="BN451" s="52"/>
      <c r="BO451" s="52"/>
      <c r="BP451" s="52"/>
      <c r="BQ451" s="52"/>
      <c r="BR451" s="52"/>
      <c r="BS451" s="52"/>
      <c r="BT451" s="52"/>
      <c r="BU451" s="52"/>
      <c r="BV451" s="52"/>
      <c r="BW451" s="52"/>
      <c r="BX451" s="52"/>
      <c r="BY451" s="52"/>
      <c r="BZ451" s="52"/>
      <c r="CA451" s="52"/>
      <c r="CB451" s="52"/>
      <c r="CC451" s="52"/>
      <c r="CD451" s="118"/>
      <c r="CE451" s="52"/>
      <c r="CF451" s="52"/>
      <c r="CG451" s="52"/>
      <c r="CH451" s="52"/>
      <c r="CI451" s="52"/>
      <c r="CJ451" s="52"/>
      <c r="CK451" s="52"/>
      <c r="CL451" s="52"/>
      <c r="CM451" s="52"/>
      <c r="CN451" s="118"/>
      <c r="CO451" s="118"/>
      <c r="CP451" s="118"/>
      <c r="CQ451" s="52"/>
      <c r="CR451" s="52"/>
      <c r="CS451" s="52"/>
      <c r="CT451" s="52"/>
      <c r="CU451" s="52"/>
      <c r="CV451" s="52"/>
      <c r="CW451" s="52"/>
      <c r="CX451" s="52"/>
      <c r="CY451" s="52"/>
      <c r="CZ451" s="52"/>
      <c r="DA451" s="52"/>
      <c r="DB451" s="52"/>
    </row>
    <row r="452" spans="1:106" ht="121.5" x14ac:dyDescent="0.25">
      <c r="A452" s="411">
        <v>450</v>
      </c>
      <c r="B452" s="415" t="s">
        <v>4186</v>
      </c>
      <c r="C452" s="561" t="s">
        <v>4168</v>
      </c>
      <c r="D452" s="426" t="s">
        <v>445</v>
      </c>
      <c r="E452" s="80">
        <v>1</v>
      </c>
      <c r="F452" s="353">
        <v>422311.00800000003</v>
      </c>
      <c r="G452" s="293">
        <v>294300</v>
      </c>
      <c r="H452" s="293">
        <v>55917</v>
      </c>
      <c r="I452" s="293">
        <v>350217</v>
      </c>
      <c r="J452" s="52" t="s">
        <v>2976</v>
      </c>
      <c r="K452" s="52" t="s">
        <v>4187</v>
      </c>
      <c r="L452" s="359"/>
      <c r="M452" s="360"/>
      <c r="N452" s="361"/>
      <c r="O452" s="33"/>
      <c r="P452" s="252"/>
      <c r="Q452" s="113"/>
      <c r="R452" s="113"/>
      <c r="S452" s="113"/>
      <c r="T452" s="52"/>
      <c r="U452" s="5"/>
      <c r="V452" s="231"/>
      <c r="W452" s="231"/>
      <c r="X452" s="231"/>
      <c r="Y452" s="113"/>
      <c r="Z452" s="357"/>
      <c r="AA452" s="118" t="s">
        <v>2877</v>
      </c>
      <c r="AB452" s="118"/>
      <c r="AC452" s="118"/>
      <c r="AD452" s="52"/>
      <c r="AE452" s="5"/>
      <c r="AF452" s="358"/>
      <c r="AG452" s="358"/>
      <c r="AH452" s="358"/>
      <c r="AI452" s="358"/>
      <c r="AJ452" s="358"/>
      <c r="AK452" s="113">
        <v>266000</v>
      </c>
      <c r="AL452" s="113">
        <v>50540</v>
      </c>
      <c r="AM452" s="113">
        <v>316540</v>
      </c>
      <c r="AN452" s="113" t="s">
        <v>2980</v>
      </c>
      <c r="AO452" s="113">
        <v>213906301</v>
      </c>
      <c r="AP452" s="52"/>
      <c r="AQ452" s="52"/>
      <c r="AR452" s="52"/>
      <c r="AS452" s="52"/>
      <c r="AT452" s="52"/>
      <c r="AU452" s="125"/>
      <c r="AV452" s="125"/>
      <c r="AW452" s="125"/>
      <c r="AX452" s="5"/>
      <c r="AY452" s="5"/>
      <c r="AZ452" s="113">
        <v>510000</v>
      </c>
      <c r="BA452" s="113">
        <v>96900</v>
      </c>
      <c r="BB452" s="113">
        <v>606900</v>
      </c>
      <c r="BC452" s="52" t="s">
        <v>2925</v>
      </c>
      <c r="BD452" s="52" t="s">
        <v>4188</v>
      </c>
      <c r="BE452" s="118"/>
      <c r="BF452" s="118"/>
      <c r="BG452" s="118"/>
      <c r="BH452" s="52"/>
      <c r="BI452" s="283"/>
      <c r="BJ452" s="52"/>
      <c r="BK452" s="52"/>
      <c r="BL452" s="52"/>
      <c r="BM452" s="52"/>
      <c r="BN452" s="52"/>
      <c r="BO452" s="52"/>
      <c r="BP452" s="52"/>
      <c r="BQ452" s="52"/>
      <c r="BR452" s="52"/>
      <c r="BS452" s="52"/>
      <c r="BT452" s="52"/>
      <c r="BU452" s="52"/>
      <c r="BV452" s="52"/>
      <c r="BW452" s="52"/>
      <c r="BX452" s="52"/>
      <c r="BY452" s="52"/>
      <c r="BZ452" s="52"/>
      <c r="CA452" s="52"/>
      <c r="CB452" s="52"/>
      <c r="CC452" s="52"/>
      <c r="CD452" s="118"/>
      <c r="CE452" s="52"/>
      <c r="CF452" s="52"/>
      <c r="CG452" s="52"/>
      <c r="CH452" s="52"/>
      <c r="CI452" s="52"/>
      <c r="CJ452" s="52"/>
      <c r="CK452" s="52"/>
      <c r="CL452" s="52"/>
      <c r="CM452" s="52"/>
      <c r="CN452" s="118"/>
      <c r="CO452" s="118"/>
      <c r="CP452" s="118"/>
      <c r="CQ452" s="52"/>
      <c r="CR452" s="52"/>
      <c r="CS452" s="52"/>
      <c r="CT452" s="52"/>
      <c r="CU452" s="52"/>
      <c r="CV452" s="52"/>
      <c r="CW452" s="52"/>
      <c r="CX452" s="52"/>
      <c r="CY452" s="52"/>
      <c r="CZ452" s="52"/>
      <c r="DA452" s="52"/>
      <c r="DB452" s="52"/>
    </row>
    <row r="453" spans="1:106" ht="40.5" x14ac:dyDescent="0.25">
      <c r="A453" s="411">
        <v>451</v>
      </c>
      <c r="B453" s="412" t="s">
        <v>4189</v>
      </c>
      <c r="C453" s="561" t="s">
        <v>4168</v>
      </c>
      <c r="D453" s="426" t="s">
        <v>445</v>
      </c>
      <c r="E453" s="80">
        <v>1</v>
      </c>
      <c r="F453" s="353">
        <v>50275.12</v>
      </c>
      <c r="G453" s="293"/>
      <c r="H453" s="293"/>
      <c r="I453" s="293"/>
      <c r="J453" s="52"/>
      <c r="K453" s="52"/>
      <c r="L453" s="359"/>
      <c r="M453" s="360"/>
      <c r="N453" s="361"/>
      <c r="O453" s="33"/>
      <c r="P453" s="252"/>
      <c r="Q453" s="113"/>
      <c r="R453" s="113"/>
      <c r="S453" s="113"/>
      <c r="T453" s="52"/>
      <c r="U453" s="5"/>
      <c r="V453" s="231"/>
      <c r="W453" s="231"/>
      <c r="X453" s="231"/>
      <c r="Y453" s="113"/>
      <c r="Z453" s="357"/>
      <c r="AA453" s="118" t="s">
        <v>2877</v>
      </c>
      <c r="AB453" s="118"/>
      <c r="AC453" s="118"/>
      <c r="AD453" s="52"/>
      <c r="AE453" s="5"/>
      <c r="AF453" s="358"/>
      <c r="AG453" s="358"/>
      <c r="AH453" s="358"/>
      <c r="AI453" s="358"/>
      <c r="AJ453" s="358"/>
      <c r="AK453" s="113">
        <v>42100</v>
      </c>
      <c r="AL453" s="113">
        <v>7999</v>
      </c>
      <c r="AM453" s="113">
        <v>50099</v>
      </c>
      <c r="AN453" s="113" t="s">
        <v>2980</v>
      </c>
      <c r="AO453" s="113">
        <v>213900701</v>
      </c>
      <c r="AP453" s="52"/>
      <c r="AQ453" s="52"/>
      <c r="AR453" s="52"/>
      <c r="AS453" s="52"/>
      <c r="AT453" s="52"/>
      <c r="AU453" s="125"/>
      <c r="AV453" s="125"/>
      <c r="AW453" s="125"/>
      <c r="AX453" s="5"/>
      <c r="AY453" s="5"/>
      <c r="AZ453" s="113">
        <v>48000</v>
      </c>
      <c r="BA453" s="113">
        <v>9120</v>
      </c>
      <c r="BB453" s="113">
        <v>57120</v>
      </c>
      <c r="BC453" s="52" t="s">
        <v>2925</v>
      </c>
      <c r="BD453" s="52" t="s">
        <v>4190</v>
      </c>
      <c r="BE453" s="118"/>
      <c r="BF453" s="118"/>
      <c r="BG453" s="118"/>
      <c r="BH453" s="52"/>
      <c r="BI453" s="283"/>
      <c r="BJ453" s="52"/>
      <c r="BK453" s="52"/>
      <c r="BL453" s="52"/>
      <c r="BM453" s="52"/>
      <c r="BN453" s="52"/>
      <c r="BO453" s="52"/>
      <c r="BP453" s="52"/>
      <c r="BQ453" s="52"/>
      <c r="BR453" s="52"/>
      <c r="BS453" s="52"/>
      <c r="BT453" s="52"/>
      <c r="BU453" s="52"/>
      <c r="BV453" s="52"/>
      <c r="BW453" s="52"/>
      <c r="BX453" s="52"/>
      <c r="BY453" s="52"/>
      <c r="BZ453" s="52"/>
      <c r="CA453" s="52"/>
      <c r="CB453" s="52"/>
      <c r="CC453" s="52"/>
      <c r="CD453" s="118"/>
      <c r="CE453" s="52"/>
      <c r="CF453" s="52"/>
      <c r="CG453" s="52"/>
      <c r="CH453" s="52"/>
      <c r="CI453" s="52"/>
      <c r="CJ453" s="52"/>
      <c r="CK453" s="52"/>
      <c r="CL453" s="52"/>
      <c r="CM453" s="52"/>
      <c r="CN453" s="118"/>
      <c r="CO453" s="118"/>
      <c r="CP453" s="118"/>
      <c r="CQ453" s="52"/>
      <c r="CR453" s="52"/>
      <c r="CS453" s="52"/>
      <c r="CT453" s="52"/>
      <c r="CU453" s="52"/>
      <c r="CV453" s="52"/>
      <c r="CW453" s="52"/>
      <c r="CX453" s="52"/>
      <c r="CY453" s="52"/>
      <c r="CZ453" s="52"/>
      <c r="DA453" s="52"/>
      <c r="DB453" s="52"/>
    </row>
    <row r="454" spans="1:106" ht="94.5" x14ac:dyDescent="0.25">
      <c r="A454" s="411">
        <v>452</v>
      </c>
      <c r="B454" s="412" t="s">
        <v>4191</v>
      </c>
      <c r="C454" s="561" t="s">
        <v>4168</v>
      </c>
      <c r="D454" s="426" t="s">
        <v>445</v>
      </c>
      <c r="E454" s="80">
        <v>1</v>
      </c>
      <c r="F454" s="353">
        <v>256403.11199999999</v>
      </c>
      <c r="G454" s="293">
        <v>157100</v>
      </c>
      <c r="H454" s="293">
        <v>29849</v>
      </c>
      <c r="I454" s="293">
        <v>186949</v>
      </c>
      <c r="J454" s="52" t="s">
        <v>2976</v>
      </c>
      <c r="K454" s="52" t="s">
        <v>4192</v>
      </c>
      <c r="L454" s="359"/>
      <c r="M454" s="360"/>
      <c r="N454" s="361"/>
      <c r="O454" s="33"/>
      <c r="P454" s="252"/>
      <c r="Q454" s="113"/>
      <c r="R454" s="113"/>
      <c r="S454" s="113"/>
      <c r="T454" s="52"/>
      <c r="U454" s="5"/>
      <c r="V454" s="231"/>
      <c r="W454" s="231"/>
      <c r="X454" s="231"/>
      <c r="Y454" s="113"/>
      <c r="Z454" s="357"/>
      <c r="AA454" s="118">
        <v>2398000</v>
      </c>
      <c r="AB454" s="118">
        <f t="shared" ref="AB454:AB457" si="63">AA454*0.19</f>
        <v>455620</v>
      </c>
      <c r="AC454" s="118">
        <f t="shared" ref="AC454:AC457" si="64">AA454+AB454</f>
        <v>2853620</v>
      </c>
      <c r="AD454" s="361" t="s">
        <v>126</v>
      </c>
      <c r="AE454" s="362" t="s">
        <v>4193</v>
      </c>
      <c r="AF454" s="358"/>
      <c r="AG454" s="358"/>
      <c r="AH454" s="358"/>
      <c r="AI454" s="358"/>
      <c r="AJ454" s="358"/>
      <c r="AK454" s="113">
        <v>113000</v>
      </c>
      <c r="AL454" s="113">
        <v>21470</v>
      </c>
      <c r="AM454" s="113">
        <v>134470</v>
      </c>
      <c r="AN454" s="113" t="s">
        <v>2980</v>
      </c>
      <c r="AO454" s="113">
        <v>213905408</v>
      </c>
      <c r="AP454" s="52"/>
      <c r="AQ454" s="52"/>
      <c r="AR454" s="52"/>
      <c r="AS454" s="52"/>
      <c r="AT454" s="52"/>
      <c r="AU454" s="125"/>
      <c r="AV454" s="125"/>
      <c r="AW454" s="125"/>
      <c r="AX454" s="5"/>
      <c r="AY454" s="5"/>
      <c r="AZ454" s="113">
        <v>118000</v>
      </c>
      <c r="BA454" s="113">
        <f>+AZ454*0.19</f>
        <v>22420</v>
      </c>
      <c r="BB454" s="113">
        <f>+AZ454+BA454</f>
        <v>140420</v>
      </c>
      <c r="BC454" s="52" t="s">
        <v>2925</v>
      </c>
      <c r="BD454" s="52" t="s">
        <v>4194</v>
      </c>
      <c r="BE454" s="118"/>
      <c r="BF454" s="118"/>
      <c r="BG454" s="118"/>
      <c r="BH454" s="52"/>
      <c r="BI454" s="283"/>
      <c r="BJ454" s="52"/>
      <c r="BK454" s="52"/>
      <c r="BL454" s="52"/>
      <c r="BM454" s="52"/>
      <c r="BN454" s="52"/>
      <c r="BO454" s="52"/>
      <c r="BP454" s="52"/>
      <c r="BQ454" s="52"/>
      <c r="BR454" s="52"/>
      <c r="BS454" s="52"/>
      <c r="BT454" s="52"/>
      <c r="BU454" s="52"/>
      <c r="BV454" s="52"/>
      <c r="BW454" s="52"/>
      <c r="BX454" s="52"/>
      <c r="BY454" s="52"/>
      <c r="BZ454" s="52"/>
      <c r="CA454" s="52"/>
      <c r="CB454" s="52"/>
      <c r="CC454" s="52"/>
      <c r="CD454" s="118"/>
      <c r="CE454" s="52"/>
      <c r="CF454" s="52"/>
      <c r="CG454" s="52"/>
      <c r="CH454" s="52"/>
      <c r="CI454" s="52"/>
      <c r="CJ454" s="52"/>
      <c r="CK454" s="52"/>
      <c r="CL454" s="52"/>
      <c r="CM454" s="52"/>
      <c r="CN454" s="118"/>
      <c r="CO454" s="118"/>
      <c r="CP454" s="118"/>
      <c r="CQ454" s="52"/>
      <c r="CR454" s="52"/>
      <c r="CS454" s="52"/>
      <c r="CT454" s="52"/>
      <c r="CU454" s="52"/>
      <c r="CV454" s="52"/>
      <c r="CW454" s="52"/>
      <c r="CX454" s="52"/>
      <c r="CY454" s="52"/>
      <c r="CZ454" s="52"/>
      <c r="DA454" s="52"/>
      <c r="DB454" s="52"/>
    </row>
    <row r="455" spans="1:106" ht="94.5" x14ac:dyDescent="0.25">
      <c r="A455" s="411">
        <v>453</v>
      </c>
      <c r="B455" s="412" t="s">
        <v>4195</v>
      </c>
      <c r="C455" s="561" t="s">
        <v>4168</v>
      </c>
      <c r="D455" s="426" t="s">
        <v>445</v>
      </c>
      <c r="E455" s="80">
        <v>1</v>
      </c>
      <c r="F455" s="353">
        <v>113119.02</v>
      </c>
      <c r="G455" s="293">
        <v>65700</v>
      </c>
      <c r="H455" s="293">
        <v>12483</v>
      </c>
      <c r="I455" s="293">
        <v>78183</v>
      </c>
      <c r="J455" s="52" t="s">
        <v>2976</v>
      </c>
      <c r="K455" s="52" t="s">
        <v>4164</v>
      </c>
      <c r="L455" s="359"/>
      <c r="M455" s="360"/>
      <c r="N455" s="361"/>
      <c r="O455" s="33"/>
      <c r="P455" s="252"/>
      <c r="Q455" s="113"/>
      <c r="R455" s="113"/>
      <c r="S455" s="113"/>
      <c r="T455" s="52"/>
      <c r="U455" s="5"/>
      <c r="V455" s="231"/>
      <c r="W455" s="231"/>
      <c r="X455" s="231"/>
      <c r="Y455" s="113"/>
      <c r="Z455" s="357"/>
      <c r="AA455" s="118">
        <v>1100000</v>
      </c>
      <c r="AB455" s="118">
        <f t="shared" si="63"/>
        <v>209000</v>
      </c>
      <c r="AC455" s="118">
        <f t="shared" si="64"/>
        <v>1309000</v>
      </c>
      <c r="AD455" s="361" t="s">
        <v>126</v>
      </c>
      <c r="AE455" s="362" t="s">
        <v>4196</v>
      </c>
      <c r="AF455" s="358"/>
      <c r="AG455" s="358"/>
      <c r="AH455" s="358"/>
      <c r="AI455" s="358"/>
      <c r="AJ455" s="358"/>
      <c r="AK455" s="113">
        <v>54100</v>
      </c>
      <c r="AL455" s="113">
        <v>10279</v>
      </c>
      <c r="AM455" s="113">
        <v>64379</v>
      </c>
      <c r="AN455" s="113" t="s">
        <v>2980</v>
      </c>
      <c r="AO455" s="113">
        <v>213903604</v>
      </c>
      <c r="AP455" s="52"/>
      <c r="AQ455" s="52"/>
      <c r="AR455" s="52"/>
      <c r="AS455" s="52"/>
      <c r="AT455" s="52"/>
      <c r="AU455" s="125"/>
      <c r="AV455" s="125"/>
      <c r="AW455" s="125"/>
      <c r="AX455" s="5"/>
      <c r="AY455" s="5"/>
      <c r="AZ455" s="113">
        <v>113000</v>
      </c>
      <c r="BA455" s="113">
        <v>21470</v>
      </c>
      <c r="BB455" s="113">
        <v>134470</v>
      </c>
      <c r="BC455" s="52" t="s">
        <v>2925</v>
      </c>
      <c r="BD455" s="52" t="s">
        <v>4176</v>
      </c>
      <c r="BE455" s="118"/>
      <c r="BF455" s="118"/>
      <c r="BG455" s="118"/>
      <c r="BH455" s="52"/>
      <c r="BI455" s="283"/>
      <c r="BJ455" s="52"/>
      <c r="BK455" s="52"/>
      <c r="BL455" s="52"/>
      <c r="BM455" s="52"/>
      <c r="BN455" s="52"/>
      <c r="BO455" s="52"/>
      <c r="BP455" s="52"/>
      <c r="BQ455" s="52"/>
      <c r="BR455" s="52"/>
      <c r="BS455" s="52"/>
      <c r="BT455" s="52"/>
      <c r="BU455" s="52"/>
      <c r="BV455" s="52"/>
      <c r="BW455" s="52"/>
      <c r="BX455" s="52"/>
      <c r="BY455" s="52"/>
      <c r="BZ455" s="52"/>
      <c r="CA455" s="52"/>
      <c r="CB455" s="52"/>
      <c r="CC455" s="52"/>
      <c r="CD455" s="118"/>
      <c r="CE455" s="52"/>
      <c r="CF455" s="52"/>
      <c r="CG455" s="52"/>
      <c r="CH455" s="52"/>
      <c r="CI455" s="52"/>
      <c r="CJ455" s="52"/>
      <c r="CK455" s="52"/>
      <c r="CL455" s="52"/>
      <c r="CM455" s="52"/>
      <c r="CN455" s="118"/>
      <c r="CO455" s="118"/>
      <c r="CP455" s="118"/>
      <c r="CQ455" s="52"/>
      <c r="CR455" s="52"/>
      <c r="CS455" s="52"/>
      <c r="CT455" s="52"/>
      <c r="CU455" s="52"/>
      <c r="CV455" s="52"/>
      <c r="CW455" s="52"/>
      <c r="CX455" s="52"/>
      <c r="CY455" s="52"/>
      <c r="CZ455" s="52"/>
      <c r="DA455" s="52"/>
      <c r="DB455" s="52"/>
    </row>
    <row r="456" spans="1:106" ht="94.5" x14ac:dyDescent="0.25">
      <c r="A456" s="411">
        <v>454</v>
      </c>
      <c r="B456" s="415" t="s">
        <v>4197</v>
      </c>
      <c r="C456" s="561" t="s">
        <v>4168</v>
      </c>
      <c r="D456" s="426" t="s">
        <v>445</v>
      </c>
      <c r="E456" s="80">
        <v>1</v>
      </c>
      <c r="F456" s="353">
        <v>177219.79800000001</v>
      </c>
      <c r="G456" s="293">
        <v>104300</v>
      </c>
      <c r="H456" s="293">
        <v>19817</v>
      </c>
      <c r="I456" s="293">
        <v>124117</v>
      </c>
      <c r="J456" s="52" t="s">
        <v>2976</v>
      </c>
      <c r="K456" s="52" t="s">
        <v>4198</v>
      </c>
      <c r="L456" s="359"/>
      <c r="M456" s="360"/>
      <c r="N456" s="361"/>
      <c r="O456" s="33"/>
      <c r="P456" s="252"/>
      <c r="Q456" s="113"/>
      <c r="R456" s="113"/>
      <c r="S456" s="113"/>
      <c r="T456" s="52"/>
      <c r="U456" s="5"/>
      <c r="V456" s="231"/>
      <c r="W456" s="231"/>
      <c r="X456" s="231"/>
      <c r="Y456" s="113"/>
      <c r="Z456" s="357"/>
      <c r="AA456" s="118">
        <v>1185000</v>
      </c>
      <c r="AB456" s="118">
        <f t="shared" si="63"/>
        <v>225150</v>
      </c>
      <c r="AC456" s="118">
        <f t="shared" si="64"/>
        <v>1410150</v>
      </c>
      <c r="AD456" s="361" t="s">
        <v>126</v>
      </c>
      <c r="AE456" s="362" t="s">
        <v>4157</v>
      </c>
      <c r="AF456" s="358"/>
      <c r="AG456" s="358"/>
      <c r="AH456" s="358"/>
      <c r="AI456" s="358"/>
      <c r="AJ456" s="358"/>
      <c r="AK456" s="113">
        <v>74800</v>
      </c>
      <c r="AL456" s="113">
        <v>14212</v>
      </c>
      <c r="AM456" s="113">
        <v>89012</v>
      </c>
      <c r="AN456" s="113" t="s">
        <v>2980</v>
      </c>
      <c r="AO456" s="113">
        <v>213904403</v>
      </c>
      <c r="AP456" s="52"/>
      <c r="AQ456" s="52"/>
      <c r="AR456" s="52"/>
      <c r="AS456" s="52"/>
      <c r="AT456" s="52"/>
      <c r="AU456" s="125"/>
      <c r="AV456" s="125"/>
      <c r="AW456" s="125"/>
      <c r="AX456" s="5"/>
      <c r="AY456" s="5"/>
      <c r="AZ456" s="113">
        <v>193000</v>
      </c>
      <c r="BA456" s="113">
        <v>36670</v>
      </c>
      <c r="BB456" s="113">
        <v>229670</v>
      </c>
      <c r="BC456" s="52" t="s">
        <v>2925</v>
      </c>
      <c r="BD456" s="52" t="s">
        <v>4158</v>
      </c>
      <c r="BE456" s="118"/>
      <c r="BF456" s="118"/>
      <c r="BG456" s="118"/>
      <c r="BH456" s="52"/>
      <c r="BI456" s="283"/>
      <c r="BJ456" s="52"/>
      <c r="BK456" s="52"/>
      <c r="BL456" s="52"/>
      <c r="BM456" s="52"/>
      <c r="BN456" s="52"/>
      <c r="BO456" s="52"/>
      <c r="BP456" s="52"/>
      <c r="BQ456" s="52"/>
      <c r="BR456" s="52"/>
      <c r="BS456" s="52"/>
      <c r="BT456" s="52"/>
      <c r="BU456" s="52"/>
      <c r="BV456" s="52"/>
      <c r="BW456" s="52"/>
      <c r="BX456" s="52"/>
      <c r="BY456" s="52"/>
      <c r="BZ456" s="52"/>
      <c r="CA456" s="52"/>
      <c r="CB456" s="52"/>
      <c r="CC456" s="52"/>
      <c r="CD456" s="118"/>
      <c r="CE456" s="52"/>
      <c r="CF456" s="52"/>
      <c r="CG456" s="52"/>
      <c r="CH456" s="52"/>
      <c r="CI456" s="52"/>
      <c r="CJ456" s="52"/>
      <c r="CK456" s="52"/>
      <c r="CL456" s="52"/>
      <c r="CM456" s="52"/>
      <c r="CN456" s="118"/>
      <c r="CO456" s="118"/>
      <c r="CP456" s="118"/>
      <c r="CQ456" s="52"/>
      <c r="CR456" s="52"/>
      <c r="CS456" s="52"/>
      <c r="CT456" s="52"/>
      <c r="CU456" s="52"/>
      <c r="CV456" s="52"/>
      <c r="CW456" s="52"/>
      <c r="CX456" s="52"/>
      <c r="CY456" s="52"/>
      <c r="CZ456" s="52"/>
      <c r="DA456" s="52"/>
      <c r="DB456" s="52"/>
    </row>
    <row r="457" spans="1:106" ht="108" x14ac:dyDescent="0.25">
      <c r="A457" s="411">
        <v>455</v>
      </c>
      <c r="B457" s="412" t="s">
        <v>4199</v>
      </c>
      <c r="C457" s="561" t="s">
        <v>4168</v>
      </c>
      <c r="D457" s="426" t="s">
        <v>445</v>
      </c>
      <c r="E457" s="80">
        <v>1</v>
      </c>
      <c r="F457" s="353">
        <v>72525.029200000004</v>
      </c>
      <c r="G457" s="293"/>
      <c r="H457" s="293"/>
      <c r="I457" s="293"/>
      <c r="J457" s="52"/>
      <c r="K457" s="52"/>
      <c r="L457" s="359"/>
      <c r="M457" s="360"/>
      <c r="N457" s="361"/>
      <c r="O457" s="33"/>
      <c r="P457" s="252"/>
      <c r="Q457" s="113"/>
      <c r="R457" s="113"/>
      <c r="S457" s="113"/>
      <c r="T457" s="52"/>
      <c r="U457" s="5"/>
      <c r="V457" s="231"/>
      <c r="W457" s="231"/>
      <c r="X457" s="231"/>
      <c r="Y457" s="113"/>
      <c r="Z457" s="357"/>
      <c r="AA457" s="118">
        <v>243000</v>
      </c>
      <c r="AB457" s="118">
        <f t="shared" si="63"/>
        <v>46170</v>
      </c>
      <c r="AC457" s="118">
        <f t="shared" si="64"/>
        <v>289170</v>
      </c>
      <c r="AD457" s="361" t="s">
        <v>126</v>
      </c>
      <c r="AE457" s="362" t="s">
        <v>4200</v>
      </c>
      <c r="AF457" s="358"/>
      <c r="AG457" s="358"/>
      <c r="AH457" s="358"/>
      <c r="AI457" s="358"/>
      <c r="AJ457" s="358"/>
      <c r="AK457" s="113">
        <v>35000</v>
      </c>
      <c r="AL457" s="113">
        <v>6650</v>
      </c>
      <c r="AM457" s="113">
        <v>41650</v>
      </c>
      <c r="AN457" s="113" t="s">
        <v>2980</v>
      </c>
      <c r="AO457" s="113">
        <v>213901706</v>
      </c>
      <c r="AP457" s="52"/>
      <c r="AQ457" s="52"/>
      <c r="AR457" s="52"/>
      <c r="AS457" s="52"/>
      <c r="AT457" s="52"/>
      <c r="AU457" s="125"/>
      <c r="AV457" s="125"/>
      <c r="AW457" s="125"/>
      <c r="AX457" s="5"/>
      <c r="AY457" s="5"/>
      <c r="AZ457" s="113">
        <v>140000</v>
      </c>
      <c r="BA457" s="113">
        <v>26600</v>
      </c>
      <c r="BB457" s="113">
        <v>166600</v>
      </c>
      <c r="BC457" s="52" t="s">
        <v>2925</v>
      </c>
      <c r="BD457" s="52" t="s">
        <v>4201</v>
      </c>
      <c r="BE457" s="118"/>
      <c r="BF457" s="118"/>
      <c r="BG457" s="118"/>
      <c r="BH457" s="52"/>
      <c r="BI457" s="283"/>
      <c r="BJ457" s="52"/>
      <c r="BK457" s="52"/>
      <c r="BL457" s="52"/>
      <c r="BM457" s="52"/>
      <c r="BN457" s="52"/>
      <c r="BO457" s="52"/>
      <c r="BP457" s="52"/>
      <c r="BQ457" s="52"/>
      <c r="BR457" s="52"/>
      <c r="BS457" s="52"/>
      <c r="BT457" s="52"/>
      <c r="BU457" s="52"/>
      <c r="BV457" s="52"/>
      <c r="BW457" s="52"/>
      <c r="BX457" s="52"/>
      <c r="BY457" s="52"/>
      <c r="BZ457" s="52"/>
      <c r="CA457" s="52"/>
      <c r="CB457" s="52"/>
      <c r="CC457" s="52"/>
      <c r="CD457" s="118"/>
      <c r="CE457" s="52"/>
      <c r="CF457" s="52"/>
      <c r="CG457" s="52"/>
      <c r="CH457" s="52"/>
      <c r="CI457" s="52"/>
      <c r="CJ457" s="52"/>
      <c r="CK457" s="52"/>
      <c r="CL457" s="52"/>
      <c r="CM457" s="52"/>
      <c r="CN457" s="118"/>
      <c r="CO457" s="118"/>
      <c r="CP457" s="118"/>
      <c r="CQ457" s="52"/>
      <c r="CR457" s="52"/>
      <c r="CS457" s="52"/>
      <c r="CT457" s="52"/>
      <c r="CU457" s="52"/>
      <c r="CV457" s="52"/>
      <c r="CW457" s="52"/>
      <c r="CX457" s="52"/>
      <c r="CY457" s="52"/>
      <c r="CZ457" s="52"/>
      <c r="DA457" s="52"/>
      <c r="DB457" s="52"/>
    </row>
    <row r="458" spans="1:106" ht="27" x14ac:dyDescent="0.25">
      <c r="A458" s="411">
        <v>456</v>
      </c>
      <c r="B458" s="412" t="s">
        <v>4202</v>
      </c>
      <c r="C458" s="413" t="s">
        <v>4203</v>
      </c>
      <c r="D458" s="426" t="s">
        <v>445</v>
      </c>
      <c r="E458" s="80">
        <v>1</v>
      </c>
      <c r="F458" s="353">
        <v>22623.804</v>
      </c>
      <c r="G458" s="293">
        <v>15000</v>
      </c>
      <c r="H458" s="293">
        <v>2850</v>
      </c>
      <c r="I458" s="293">
        <v>17850</v>
      </c>
      <c r="J458" s="52" t="s">
        <v>2948</v>
      </c>
      <c r="K458" s="52" t="s">
        <v>4204</v>
      </c>
      <c r="L458" s="359"/>
      <c r="M458" s="360"/>
      <c r="N458" s="361"/>
      <c r="O458" s="33"/>
      <c r="P458" s="252"/>
      <c r="Q458" s="113"/>
      <c r="R458" s="113"/>
      <c r="S458" s="113"/>
      <c r="T458" s="52"/>
      <c r="U458" s="5"/>
      <c r="V458" s="231"/>
      <c r="W458" s="231"/>
      <c r="X458" s="231"/>
      <c r="Y458" s="113"/>
      <c r="Z458" s="357"/>
      <c r="AA458" s="118" t="s">
        <v>2877</v>
      </c>
      <c r="AB458" s="118"/>
      <c r="AC458" s="118"/>
      <c r="AD458" s="52"/>
      <c r="AE458" s="5"/>
      <c r="AF458" s="358"/>
      <c r="AG458" s="358"/>
      <c r="AH458" s="358"/>
      <c r="AI458" s="358"/>
      <c r="AJ458" s="358"/>
      <c r="AK458" s="113">
        <v>6800</v>
      </c>
      <c r="AL458" s="113">
        <v>1292</v>
      </c>
      <c r="AM458" s="113">
        <v>8092</v>
      </c>
      <c r="AN458" s="113" t="s">
        <v>3032</v>
      </c>
      <c r="AO458" s="113" t="s">
        <v>4205</v>
      </c>
      <c r="AP458" s="52"/>
      <c r="AQ458" s="52"/>
      <c r="AR458" s="52"/>
      <c r="AS458" s="52"/>
      <c r="AT458" s="52"/>
      <c r="AU458" s="125"/>
      <c r="AV458" s="125"/>
      <c r="AW458" s="125"/>
      <c r="AX458" s="5"/>
      <c r="AY458" s="5"/>
      <c r="AZ458" s="113">
        <v>14000</v>
      </c>
      <c r="BA458" s="113">
        <v>2660</v>
      </c>
      <c r="BB458" s="113">
        <v>16660</v>
      </c>
      <c r="BC458" s="52" t="s">
        <v>2925</v>
      </c>
      <c r="BD458" s="52" t="s">
        <v>4206</v>
      </c>
      <c r="BE458" s="118"/>
      <c r="BF458" s="118"/>
      <c r="BG458" s="118"/>
      <c r="BH458" s="52"/>
      <c r="BI458" s="283"/>
      <c r="BJ458" s="52"/>
      <c r="BK458" s="52"/>
      <c r="BL458" s="52"/>
      <c r="BM458" s="52"/>
      <c r="BN458" s="52"/>
      <c r="BO458" s="52"/>
      <c r="BP458" s="52"/>
      <c r="BQ458" s="52"/>
      <c r="BR458" s="52"/>
      <c r="BS458" s="52"/>
      <c r="BT458" s="52"/>
      <c r="BU458" s="52"/>
      <c r="BV458" s="52"/>
      <c r="BW458" s="52"/>
      <c r="BX458" s="52"/>
      <c r="BY458" s="52"/>
      <c r="BZ458" s="52"/>
      <c r="CA458" s="52"/>
      <c r="CB458" s="52"/>
      <c r="CC458" s="52"/>
      <c r="CD458" s="118"/>
      <c r="CE458" s="52"/>
      <c r="CF458" s="52"/>
      <c r="CG458" s="52"/>
      <c r="CH458" s="52"/>
      <c r="CI458" s="52"/>
      <c r="CJ458" s="52"/>
      <c r="CK458" s="52"/>
      <c r="CL458" s="52"/>
      <c r="CM458" s="52"/>
      <c r="CN458" s="118"/>
      <c r="CO458" s="118"/>
      <c r="CP458" s="118"/>
      <c r="CQ458" s="52"/>
      <c r="CR458" s="52"/>
      <c r="CS458" s="52"/>
      <c r="CT458" s="52"/>
      <c r="CU458" s="52"/>
      <c r="CV458" s="52"/>
      <c r="CW458" s="52"/>
      <c r="CX458" s="52"/>
      <c r="CY458" s="52"/>
      <c r="CZ458" s="52"/>
      <c r="DA458" s="52"/>
      <c r="DB458" s="52"/>
    </row>
    <row r="459" spans="1:106" ht="27" x14ac:dyDescent="0.25">
      <c r="A459" s="411">
        <v>457</v>
      </c>
      <c r="B459" s="409" t="s">
        <v>4207</v>
      </c>
      <c r="C459" s="413" t="s">
        <v>4203</v>
      </c>
      <c r="D459" s="409" t="s">
        <v>445</v>
      </c>
      <c r="E459" s="80">
        <v>1</v>
      </c>
      <c r="F459" s="80"/>
      <c r="G459" s="293">
        <v>57100</v>
      </c>
      <c r="H459" s="293">
        <v>10849</v>
      </c>
      <c r="I459" s="293">
        <v>67949</v>
      </c>
      <c r="J459" s="52" t="s">
        <v>2948</v>
      </c>
      <c r="K459" s="52" t="s">
        <v>4208</v>
      </c>
      <c r="L459" s="359"/>
      <c r="M459" s="360"/>
      <c r="N459" s="361"/>
      <c r="O459" s="33"/>
      <c r="P459" s="252"/>
      <c r="Q459" s="113"/>
      <c r="R459" s="113"/>
      <c r="S459" s="113"/>
      <c r="T459" s="52"/>
      <c r="U459" s="5"/>
      <c r="V459" s="231"/>
      <c r="W459" s="231"/>
      <c r="X459" s="231"/>
      <c r="Y459" s="113"/>
      <c r="Z459" s="357"/>
      <c r="AA459" s="118" t="s">
        <v>2877</v>
      </c>
      <c r="AB459" s="118"/>
      <c r="AC459" s="118"/>
      <c r="AD459" s="52"/>
      <c r="AE459" s="5"/>
      <c r="AF459" s="358"/>
      <c r="AG459" s="358"/>
      <c r="AH459" s="358"/>
      <c r="AI459" s="358"/>
      <c r="AJ459" s="358"/>
      <c r="AK459" s="113">
        <v>41100</v>
      </c>
      <c r="AL459" s="113">
        <v>7809</v>
      </c>
      <c r="AM459" s="113">
        <v>48909</v>
      </c>
      <c r="AN459" s="113" t="s">
        <v>3032</v>
      </c>
      <c r="AO459" s="113" t="s">
        <v>4209</v>
      </c>
      <c r="AP459" s="52"/>
      <c r="AQ459" s="52"/>
      <c r="AR459" s="52"/>
      <c r="AS459" s="52"/>
      <c r="AT459" s="52"/>
      <c r="AU459" s="125"/>
      <c r="AV459" s="125"/>
      <c r="AW459" s="125"/>
      <c r="AX459" s="5"/>
      <c r="AY459" s="5"/>
      <c r="AZ459" s="113">
        <v>24000</v>
      </c>
      <c r="BA459" s="113">
        <v>4560</v>
      </c>
      <c r="BB459" s="113">
        <v>28560</v>
      </c>
      <c r="BC459" s="52" t="s">
        <v>2925</v>
      </c>
      <c r="BD459" s="52" t="s">
        <v>4210</v>
      </c>
      <c r="BE459" s="118"/>
      <c r="BF459" s="118"/>
      <c r="BG459" s="118"/>
      <c r="BH459" s="52"/>
      <c r="BI459" s="283"/>
      <c r="BJ459" s="52"/>
      <c r="BK459" s="52"/>
      <c r="BL459" s="52"/>
      <c r="BM459" s="52"/>
      <c r="BN459" s="52"/>
      <c r="BO459" s="52"/>
      <c r="BP459" s="52"/>
      <c r="BQ459" s="52"/>
      <c r="BR459" s="52"/>
      <c r="BS459" s="52"/>
      <c r="BT459" s="52"/>
      <c r="BU459" s="52"/>
      <c r="BV459" s="52"/>
      <c r="BW459" s="52"/>
      <c r="BX459" s="52"/>
      <c r="BY459" s="52"/>
      <c r="BZ459" s="52"/>
      <c r="CA459" s="52"/>
      <c r="CB459" s="52"/>
      <c r="CC459" s="52"/>
      <c r="CD459" s="118"/>
      <c r="CE459" s="52"/>
      <c r="CF459" s="52"/>
      <c r="CG459" s="52"/>
      <c r="CH459" s="52"/>
      <c r="CI459" s="52"/>
      <c r="CJ459" s="52"/>
      <c r="CK459" s="52"/>
      <c r="CL459" s="52"/>
      <c r="CM459" s="52"/>
      <c r="CN459" s="118"/>
      <c r="CO459" s="118"/>
      <c r="CP459" s="118"/>
      <c r="CQ459" s="52"/>
      <c r="CR459" s="52"/>
      <c r="CS459" s="52"/>
      <c r="CT459" s="52"/>
      <c r="CU459" s="52"/>
      <c r="CV459" s="52"/>
      <c r="CW459" s="52"/>
      <c r="CX459" s="52"/>
      <c r="CY459" s="52"/>
      <c r="CZ459" s="52"/>
      <c r="DA459" s="52"/>
      <c r="DB459" s="52"/>
    </row>
    <row r="460" spans="1:106" ht="27" x14ac:dyDescent="0.25">
      <c r="A460" s="411">
        <v>458</v>
      </c>
      <c r="B460" s="412" t="s">
        <v>4211</v>
      </c>
      <c r="C460" s="413" t="s">
        <v>4203</v>
      </c>
      <c r="D460" s="426" t="s">
        <v>445</v>
      </c>
      <c r="E460" s="80">
        <v>1</v>
      </c>
      <c r="F460" s="353">
        <v>15082.536</v>
      </c>
      <c r="G460" s="293">
        <v>17900</v>
      </c>
      <c r="H460" s="293">
        <v>3401</v>
      </c>
      <c r="I460" s="293">
        <v>21301</v>
      </c>
      <c r="J460" s="52" t="s">
        <v>2948</v>
      </c>
      <c r="K460" s="52" t="s">
        <v>4212</v>
      </c>
      <c r="L460" s="359"/>
      <c r="M460" s="360"/>
      <c r="N460" s="361"/>
      <c r="O460" s="33"/>
      <c r="P460" s="252"/>
      <c r="Q460" s="113"/>
      <c r="R460" s="113"/>
      <c r="S460" s="113"/>
      <c r="T460" s="52"/>
      <c r="U460" s="5"/>
      <c r="V460" s="231"/>
      <c r="W460" s="231"/>
      <c r="X460" s="231"/>
      <c r="Y460" s="113"/>
      <c r="Z460" s="357"/>
      <c r="AA460" s="118" t="s">
        <v>2877</v>
      </c>
      <c r="AB460" s="118"/>
      <c r="AC460" s="118"/>
      <c r="AD460" s="52"/>
      <c r="AE460" s="5"/>
      <c r="AF460" s="358"/>
      <c r="AG460" s="358"/>
      <c r="AH460" s="358"/>
      <c r="AI460" s="358"/>
      <c r="AJ460" s="358"/>
      <c r="AK460" s="113">
        <v>7800</v>
      </c>
      <c r="AL460" s="113">
        <v>1482</v>
      </c>
      <c r="AM460" s="113">
        <v>9282</v>
      </c>
      <c r="AN460" s="113" t="s">
        <v>3032</v>
      </c>
      <c r="AO460" s="113" t="s">
        <v>4213</v>
      </c>
      <c r="AP460" s="52"/>
      <c r="AQ460" s="52"/>
      <c r="AR460" s="52"/>
      <c r="AS460" s="52"/>
      <c r="AT460" s="52"/>
      <c r="AU460" s="125"/>
      <c r="AV460" s="125"/>
      <c r="AW460" s="125"/>
      <c r="AX460" s="5"/>
      <c r="AY460" s="5"/>
      <c r="AZ460" s="113">
        <v>17000</v>
      </c>
      <c r="BA460" s="113">
        <v>3230</v>
      </c>
      <c r="BB460" s="113">
        <v>20230</v>
      </c>
      <c r="BC460" s="52" t="s">
        <v>2925</v>
      </c>
      <c r="BD460" s="52" t="s">
        <v>4214</v>
      </c>
      <c r="BE460" s="118"/>
      <c r="BF460" s="118"/>
      <c r="BG460" s="118"/>
      <c r="BH460" s="52"/>
      <c r="BI460" s="283"/>
      <c r="BJ460" s="52"/>
      <c r="BK460" s="52"/>
      <c r="BL460" s="52"/>
      <c r="BM460" s="52"/>
      <c r="BN460" s="52"/>
      <c r="BO460" s="52"/>
      <c r="BP460" s="52"/>
      <c r="BQ460" s="52"/>
      <c r="BR460" s="52"/>
      <c r="BS460" s="52"/>
      <c r="BT460" s="52"/>
      <c r="BU460" s="52"/>
      <c r="BV460" s="52"/>
      <c r="BW460" s="52"/>
      <c r="BX460" s="52"/>
      <c r="BY460" s="52"/>
      <c r="BZ460" s="52"/>
      <c r="CA460" s="52"/>
      <c r="CB460" s="52"/>
      <c r="CC460" s="52"/>
      <c r="CD460" s="118"/>
      <c r="CE460" s="52"/>
      <c r="CF460" s="52"/>
      <c r="CG460" s="52"/>
      <c r="CH460" s="52"/>
      <c r="CI460" s="52"/>
      <c r="CJ460" s="52"/>
      <c r="CK460" s="52"/>
      <c r="CL460" s="52"/>
      <c r="CM460" s="52"/>
      <c r="CN460" s="118"/>
      <c r="CO460" s="118"/>
      <c r="CP460" s="118"/>
      <c r="CQ460" s="52"/>
      <c r="CR460" s="52"/>
      <c r="CS460" s="52"/>
      <c r="CT460" s="52"/>
      <c r="CU460" s="52"/>
      <c r="CV460" s="52"/>
      <c r="CW460" s="52"/>
      <c r="CX460" s="52"/>
      <c r="CY460" s="52"/>
      <c r="CZ460" s="52"/>
      <c r="DA460" s="52"/>
      <c r="DB460" s="52"/>
    </row>
    <row r="461" spans="1:106" ht="27" x14ac:dyDescent="0.25">
      <c r="A461" s="411">
        <v>459</v>
      </c>
      <c r="B461" s="412" t="s">
        <v>4215</v>
      </c>
      <c r="C461" s="413" t="s">
        <v>4216</v>
      </c>
      <c r="D461" s="426" t="s">
        <v>445</v>
      </c>
      <c r="E461" s="80">
        <v>1</v>
      </c>
      <c r="F461" s="353">
        <v>21366.925999999999</v>
      </c>
      <c r="G461" s="293">
        <v>18600</v>
      </c>
      <c r="H461" s="293">
        <v>3534</v>
      </c>
      <c r="I461" s="293">
        <v>22134</v>
      </c>
      <c r="J461" s="52" t="s">
        <v>2948</v>
      </c>
      <c r="K461" s="52" t="s">
        <v>4217</v>
      </c>
      <c r="L461" s="359"/>
      <c r="M461" s="360"/>
      <c r="N461" s="361"/>
      <c r="O461" s="33"/>
      <c r="P461" s="252"/>
      <c r="Q461" s="113"/>
      <c r="R461" s="113"/>
      <c r="S461" s="113"/>
      <c r="T461" s="52"/>
      <c r="U461" s="5"/>
      <c r="V461" s="231"/>
      <c r="W461" s="231"/>
      <c r="X461" s="231"/>
      <c r="Y461" s="113"/>
      <c r="Z461" s="357"/>
      <c r="AA461" s="118" t="s">
        <v>2877</v>
      </c>
      <c r="AB461" s="118"/>
      <c r="AC461" s="118"/>
      <c r="AD461" s="52"/>
      <c r="AE461" s="5"/>
      <c r="AF461" s="358"/>
      <c r="AG461" s="358"/>
      <c r="AH461" s="358"/>
      <c r="AI461" s="358"/>
      <c r="AJ461" s="358"/>
      <c r="AK461" s="113">
        <v>8600</v>
      </c>
      <c r="AL461" s="113">
        <v>1634</v>
      </c>
      <c r="AM461" s="113">
        <v>10234</v>
      </c>
      <c r="AN461" s="113" t="s">
        <v>3032</v>
      </c>
      <c r="AO461" s="113" t="s">
        <v>4218</v>
      </c>
      <c r="AP461" s="52"/>
      <c r="AQ461" s="52"/>
      <c r="AR461" s="52"/>
      <c r="AS461" s="52"/>
      <c r="AT461" s="52"/>
      <c r="AU461" s="125"/>
      <c r="AV461" s="125"/>
      <c r="AW461" s="125"/>
      <c r="AX461" s="5"/>
      <c r="AY461" s="5"/>
      <c r="AZ461" s="113">
        <v>30000</v>
      </c>
      <c r="BA461" s="113">
        <v>5700</v>
      </c>
      <c r="BB461" s="113">
        <v>35700</v>
      </c>
      <c r="BC461" s="52" t="s">
        <v>2925</v>
      </c>
      <c r="BD461" s="52" t="s">
        <v>4219</v>
      </c>
      <c r="BE461" s="118"/>
      <c r="BF461" s="118"/>
      <c r="BG461" s="118"/>
      <c r="BH461" s="52"/>
      <c r="BI461" s="283"/>
      <c r="BJ461" s="52"/>
      <c r="BK461" s="52"/>
      <c r="BL461" s="52"/>
      <c r="BM461" s="52"/>
      <c r="BN461" s="52"/>
      <c r="BO461" s="52"/>
      <c r="BP461" s="52"/>
      <c r="BQ461" s="52"/>
      <c r="BR461" s="52"/>
      <c r="BS461" s="52"/>
      <c r="BT461" s="52"/>
      <c r="BU461" s="52"/>
      <c r="BV461" s="52"/>
      <c r="BW461" s="52"/>
      <c r="BX461" s="52"/>
      <c r="BY461" s="52"/>
      <c r="BZ461" s="52"/>
      <c r="CA461" s="52"/>
      <c r="CB461" s="52"/>
      <c r="CC461" s="52"/>
      <c r="CD461" s="118"/>
      <c r="CE461" s="52"/>
      <c r="CF461" s="52"/>
      <c r="CG461" s="52"/>
      <c r="CH461" s="52"/>
      <c r="CI461" s="52"/>
      <c r="CJ461" s="52"/>
      <c r="CK461" s="52"/>
      <c r="CL461" s="52"/>
      <c r="CM461" s="52"/>
      <c r="CN461" s="118"/>
      <c r="CO461" s="118"/>
      <c r="CP461" s="118"/>
      <c r="CQ461" s="52"/>
      <c r="CR461" s="52"/>
      <c r="CS461" s="52"/>
      <c r="CT461" s="52"/>
      <c r="CU461" s="52"/>
      <c r="CV461" s="52"/>
      <c r="CW461" s="52"/>
      <c r="CX461" s="52"/>
      <c r="CY461" s="52"/>
      <c r="CZ461" s="52"/>
      <c r="DA461" s="52"/>
      <c r="DB461" s="52"/>
    </row>
    <row r="462" spans="1:106" ht="27" x14ac:dyDescent="0.25">
      <c r="A462" s="411">
        <v>460</v>
      </c>
      <c r="B462" s="412" t="s">
        <v>4220</v>
      </c>
      <c r="C462" s="413" t="s">
        <v>4221</v>
      </c>
      <c r="D462" s="426" t="s">
        <v>445</v>
      </c>
      <c r="E462" s="80">
        <v>1</v>
      </c>
      <c r="F462" s="353">
        <v>379577.15600000002</v>
      </c>
      <c r="G462" s="293"/>
      <c r="H462" s="293"/>
      <c r="I462" s="293"/>
      <c r="J462" s="52"/>
      <c r="K462" s="52"/>
      <c r="L462" s="359"/>
      <c r="M462" s="360"/>
      <c r="N462" s="361"/>
      <c r="O462" s="33"/>
      <c r="P462" s="252"/>
      <c r="Q462" s="113"/>
      <c r="R462" s="113"/>
      <c r="S462" s="113"/>
      <c r="T462" s="52"/>
      <c r="U462" s="5"/>
      <c r="V462" s="231"/>
      <c r="W462" s="231"/>
      <c r="X462" s="231"/>
      <c r="Y462" s="113"/>
      <c r="Z462" s="357"/>
      <c r="AA462" s="118" t="s">
        <v>2877</v>
      </c>
      <c r="AB462" s="118"/>
      <c r="AC462" s="118"/>
      <c r="AD462" s="52"/>
      <c r="AE462" s="5"/>
      <c r="AF462" s="358"/>
      <c r="AG462" s="358"/>
      <c r="AH462" s="358"/>
      <c r="AI462" s="358"/>
      <c r="AJ462" s="358"/>
      <c r="AK462" s="113"/>
      <c r="AL462" s="113"/>
      <c r="AM462" s="113"/>
      <c r="AN462" s="113"/>
      <c r="AO462" s="113"/>
      <c r="AP462" s="52"/>
      <c r="AQ462" s="52"/>
      <c r="AR462" s="52"/>
      <c r="AS462" s="52"/>
      <c r="AT462" s="52"/>
      <c r="AU462" s="125"/>
      <c r="AV462" s="125"/>
      <c r="AW462" s="125"/>
      <c r="AX462" s="5"/>
      <c r="AY462" s="5"/>
      <c r="AZ462" s="113">
        <v>54000</v>
      </c>
      <c r="BA462" s="113">
        <v>10260</v>
      </c>
      <c r="BB462" s="113">
        <v>64260</v>
      </c>
      <c r="BC462" s="52" t="s">
        <v>3186</v>
      </c>
      <c r="BD462" s="52">
        <v>137017</v>
      </c>
      <c r="BE462" s="118"/>
      <c r="BF462" s="118"/>
      <c r="BG462" s="118"/>
      <c r="BH462" s="52"/>
      <c r="BI462" s="283"/>
      <c r="BJ462" s="52"/>
      <c r="BK462" s="52"/>
      <c r="BL462" s="52"/>
      <c r="BM462" s="52"/>
      <c r="BN462" s="52"/>
      <c r="BO462" s="52"/>
      <c r="BP462" s="52"/>
      <c r="BQ462" s="52"/>
      <c r="BR462" s="52"/>
      <c r="BS462" s="52"/>
      <c r="BT462" s="52"/>
      <c r="BU462" s="52"/>
      <c r="BV462" s="52"/>
      <c r="BW462" s="52"/>
      <c r="BX462" s="52"/>
      <c r="BY462" s="52"/>
      <c r="BZ462" s="52"/>
      <c r="CA462" s="52"/>
      <c r="CB462" s="52"/>
      <c r="CC462" s="52"/>
      <c r="CD462" s="118"/>
      <c r="CE462" s="52"/>
      <c r="CF462" s="52"/>
      <c r="CG462" s="52"/>
      <c r="CH462" s="52"/>
      <c r="CI462" s="52"/>
      <c r="CJ462" s="52"/>
      <c r="CK462" s="52"/>
      <c r="CL462" s="52"/>
      <c r="CM462" s="52"/>
      <c r="CN462" s="118"/>
      <c r="CO462" s="118"/>
      <c r="CP462" s="118"/>
      <c r="CQ462" s="52"/>
      <c r="CR462" s="52"/>
      <c r="CS462" s="52"/>
      <c r="CT462" s="52"/>
      <c r="CU462" s="52"/>
      <c r="CV462" s="52"/>
      <c r="CW462" s="52"/>
      <c r="CX462" s="52"/>
      <c r="CY462" s="52"/>
      <c r="CZ462" s="52"/>
      <c r="DA462" s="52"/>
      <c r="DB462" s="52"/>
    </row>
    <row r="463" spans="1:106" ht="51" x14ac:dyDescent="0.25">
      <c r="A463" s="411">
        <v>461</v>
      </c>
      <c r="B463" s="412" t="s">
        <v>4222</v>
      </c>
      <c r="C463" s="413" t="s">
        <v>4223</v>
      </c>
      <c r="D463" s="426" t="s">
        <v>4224</v>
      </c>
      <c r="E463" s="80">
        <v>1</v>
      </c>
      <c r="F463" s="353">
        <v>549255.68599999999</v>
      </c>
      <c r="G463" s="293"/>
      <c r="H463" s="293"/>
      <c r="I463" s="293"/>
      <c r="J463" s="52"/>
      <c r="K463" s="52"/>
      <c r="L463" s="359"/>
      <c r="M463" s="360"/>
      <c r="N463" s="361"/>
      <c r="O463" s="33"/>
      <c r="P463" s="252"/>
      <c r="Q463" s="113"/>
      <c r="R463" s="113"/>
      <c r="S463" s="113"/>
      <c r="T463" s="52"/>
      <c r="U463" s="5"/>
      <c r="V463" s="231">
        <v>550000</v>
      </c>
      <c r="W463" s="231">
        <f t="shared" si="54"/>
        <v>104500</v>
      </c>
      <c r="X463" s="231">
        <f t="shared" si="55"/>
        <v>654500</v>
      </c>
      <c r="Y463" s="113" t="s">
        <v>3378</v>
      </c>
      <c r="Z463" s="357" t="s">
        <v>4225</v>
      </c>
      <c r="AA463" s="118" t="s">
        <v>2877</v>
      </c>
      <c r="AB463" s="118"/>
      <c r="AC463" s="118"/>
      <c r="AD463" s="52"/>
      <c r="AE463" s="5"/>
      <c r="AF463" s="358"/>
      <c r="AG463" s="358"/>
      <c r="AH463" s="358"/>
      <c r="AI463" s="358"/>
      <c r="AJ463" s="358"/>
      <c r="AK463" s="113">
        <v>460000</v>
      </c>
      <c r="AL463" s="113">
        <v>87400</v>
      </c>
      <c r="AM463" s="113">
        <v>547400</v>
      </c>
      <c r="AN463" s="113" t="s">
        <v>2887</v>
      </c>
      <c r="AO463" s="113" t="s">
        <v>4226</v>
      </c>
      <c r="AP463" s="52"/>
      <c r="AQ463" s="52"/>
      <c r="AR463" s="52"/>
      <c r="AS463" s="52"/>
      <c r="AT463" s="52"/>
      <c r="AU463" s="125">
        <v>628600</v>
      </c>
      <c r="AV463" s="125">
        <v>119434</v>
      </c>
      <c r="AW463" s="125">
        <v>748034</v>
      </c>
      <c r="AX463" s="5" t="s">
        <v>3195</v>
      </c>
      <c r="AY463" s="5" t="s">
        <v>4227</v>
      </c>
      <c r="AZ463" s="113"/>
      <c r="BA463" s="113"/>
      <c r="BB463" s="113"/>
      <c r="BC463" s="52"/>
      <c r="BD463" s="52"/>
      <c r="BE463" s="320">
        <v>1806369</v>
      </c>
      <c r="BF463" s="320">
        <f t="shared" ref="BF463:BF465" si="65">BE463*0.19</f>
        <v>343210.11</v>
      </c>
      <c r="BG463" s="320">
        <f t="shared" ref="BG463:BG465" si="66">BE463+BF463</f>
        <v>2149579.11</v>
      </c>
      <c r="BH463" s="4" t="s">
        <v>2887</v>
      </c>
      <c r="BI463" s="286" t="s">
        <v>4226</v>
      </c>
      <c r="BJ463" s="52"/>
      <c r="BK463" s="52"/>
      <c r="BL463" s="52"/>
      <c r="BM463" s="52"/>
      <c r="BN463" s="52"/>
      <c r="BO463" s="52"/>
      <c r="BP463" s="52"/>
      <c r="BQ463" s="52"/>
      <c r="BR463" s="52"/>
      <c r="BS463" s="52"/>
      <c r="BT463" s="52"/>
      <c r="BU463" s="52"/>
      <c r="BV463" s="52"/>
      <c r="BW463" s="52"/>
      <c r="BX463" s="52"/>
      <c r="BY463" s="52"/>
      <c r="BZ463" s="52"/>
      <c r="CA463" s="52"/>
      <c r="CB463" s="52"/>
      <c r="CC463" s="52"/>
      <c r="CD463" s="118"/>
      <c r="CE463" s="52"/>
      <c r="CF463" s="52"/>
      <c r="CG463" s="52"/>
      <c r="CH463" s="52"/>
      <c r="CI463" s="52"/>
      <c r="CJ463" s="52"/>
      <c r="CK463" s="52"/>
      <c r="CL463" s="52"/>
      <c r="CM463" s="52"/>
      <c r="CN463" s="118"/>
      <c r="CO463" s="118"/>
      <c r="CP463" s="118"/>
      <c r="CQ463" s="52"/>
      <c r="CR463" s="52"/>
      <c r="CS463" s="52"/>
      <c r="CT463" s="52"/>
      <c r="CU463" s="52"/>
      <c r="CV463" s="52"/>
      <c r="CW463" s="52"/>
      <c r="CX463" s="52"/>
      <c r="CY463" s="52"/>
      <c r="CZ463" s="52"/>
      <c r="DA463" s="52"/>
      <c r="DB463" s="52"/>
    </row>
    <row r="464" spans="1:106" ht="38.25" x14ac:dyDescent="0.25">
      <c r="A464" s="411">
        <v>462</v>
      </c>
      <c r="B464" s="412" t="s">
        <v>4228</v>
      </c>
      <c r="C464" s="413" t="s">
        <v>4229</v>
      </c>
      <c r="D464" s="426" t="s">
        <v>4224</v>
      </c>
      <c r="E464" s="80">
        <v>1</v>
      </c>
      <c r="F464" s="355">
        <v>190982.084</v>
      </c>
      <c r="G464" s="293"/>
      <c r="H464" s="293"/>
      <c r="I464" s="293"/>
      <c r="J464" s="52"/>
      <c r="K464" s="52"/>
      <c r="L464" s="359"/>
      <c r="M464" s="360"/>
      <c r="N464" s="361"/>
      <c r="O464" s="33"/>
      <c r="P464" s="252"/>
      <c r="Q464" s="113"/>
      <c r="R464" s="113"/>
      <c r="S464" s="113"/>
      <c r="T464" s="52"/>
      <c r="U464" s="5"/>
      <c r="V464" s="231">
        <v>330000</v>
      </c>
      <c r="W464" s="231">
        <v>62700</v>
      </c>
      <c r="X464" s="231">
        <v>392700</v>
      </c>
      <c r="Y464" s="113" t="s">
        <v>3112</v>
      </c>
      <c r="Z464" s="357" t="s">
        <v>4230</v>
      </c>
      <c r="AA464" s="118" t="s">
        <v>2877</v>
      </c>
      <c r="AB464" s="118"/>
      <c r="AC464" s="118"/>
      <c r="AD464" s="52"/>
      <c r="AE464" s="5"/>
      <c r="AF464" s="358"/>
      <c r="AG464" s="358"/>
      <c r="AH464" s="358"/>
      <c r="AI464" s="358"/>
      <c r="AJ464" s="358"/>
      <c r="AK464" s="113">
        <v>300000</v>
      </c>
      <c r="AL464" s="113">
        <v>57000</v>
      </c>
      <c r="AM464" s="113">
        <v>357000</v>
      </c>
      <c r="AN464" s="113" t="s">
        <v>2887</v>
      </c>
      <c r="AO464" s="113" t="s">
        <v>3192</v>
      </c>
      <c r="AP464" s="52"/>
      <c r="AQ464" s="52"/>
      <c r="AR464" s="52"/>
      <c r="AS464" s="52"/>
      <c r="AT464" s="52"/>
      <c r="AU464" s="125">
        <v>349400</v>
      </c>
      <c r="AV464" s="125">
        <v>66386</v>
      </c>
      <c r="AW464" s="125">
        <v>415786</v>
      </c>
      <c r="AX464" s="5" t="s">
        <v>3195</v>
      </c>
      <c r="AY464" s="5" t="s">
        <v>4231</v>
      </c>
      <c r="AZ464" s="113"/>
      <c r="BA464" s="113"/>
      <c r="BB464" s="113"/>
      <c r="BC464" s="52"/>
      <c r="BD464" s="52"/>
      <c r="BE464" s="320">
        <v>1108914</v>
      </c>
      <c r="BF464" s="320">
        <f t="shared" si="65"/>
        <v>210693.66</v>
      </c>
      <c r="BG464" s="320">
        <f t="shared" si="66"/>
        <v>1319607.6599999999</v>
      </c>
      <c r="BH464" s="4" t="s">
        <v>2887</v>
      </c>
      <c r="BI464" s="286" t="s">
        <v>3192</v>
      </c>
      <c r="BJ464" s="52"/>
      <c r="BK464" s="52"/>
      <c r="BL464" s="52"/>
      <c r="BM464" s="52"/>
      <c r="BN464" s="52"/>
      <c r="BO464" s="52"/>
      <c r="BP464" s="52"/>
      <c r="BQ464" s="52"/>
      <c r="BR464" s="52"/>
      <c r="BS464" s="52"/>
      <c r="BT464" s="52"/>
      <c r="BU464" s="52"/>
      <c r="BV464" s="52"/>
      <c r="BW464" s="52"/>
      <c r="BX464" s="52"/>
      <c r="BY464" s="52"/>
      <c r="BZ464" s="52"/>
      <c r="CA464" s="52"/>
      <c r="CB464" s="52"/>
      <c r="CC464" s="52"/>
      <c r="CD464" s="118"/>
      <c r="CE464" s="52"/>
      <c r="CF464" s="52"/>
      <c r="CG464" s="52"/>
      <c r="CH464" s="52"/>
      <c r="CI464" s="52"/>
      <c r="CJ464" s="52"/>
      <c r="CK464" s="52"/>
      <c r="CL464" s="52"/>
      <c r="CM464" s="52"/>
      <c r="CN464" s="118"/>
      <c r="CO464" s="118"/>
      <c r="CP464" s="118"/>
      <c r="CQ464" s="52"/>
      <c r="CR464" s="52"/>
      <c r="CS464" s="52"/>
      <c r="CT464" s="52"/>
      <c r="CU464" s="52"/>
      <c r="CV464" s="52"/>
      <c r="CW464" s="52"/>
      <c r="CX464" s="52"/>
      <c r="CY464" s="52"/>
      <c r="CZ464" s="52"/>
      <c r="DA464" s="52"/>
      <c r="DB464" s="52"/>
    </row>
    <row r="465" spans="1:106" ht="51" x14ac:dyDescent="0.25">
      <c r="A465" s="411">
        <v>463</v>
      </c>
      <c r="B465" s="412" t="s">
        <v>4232</v>
      </c>
      <c r="C465" s="413" t="s">
        <v>4233</v>
      </c>
      <c r="D465" s="426" t="s">
        <v>4224</v>
      </c>
      <c r="E465" s="80">
        <v>1</v>
      </c>
      <c r="F465" s="353">
        <v>390889.05800000002</v>
      </c>
      <c r="G465" s="293"/>
      <c r="H465" s="293"/>
      <c r="I465" s="293"/>
      <c r="J465" s="52"/>
      <c r="K465" s="52"/>
      <c r="L465" s="359"/>
      <c r="M465" s="360"/>
      <c r="N465" s="361"/>
      <c r="O465" s="33"/>
      <c r="P465" s="252"/>
      <c r="Q465" s="113"/>
      <c r="R465" s="113"/>
      <c r="S465" s="113"/>
      <c r="T465" s="52"/>
      <c r="U465" s="5"/>
      <c r="V465" s="231"/>
      <c r="W465" s="231"/>
      <c r="X465" s="231"/>
      <c r="Y465" s="113"/>
      <c r="Z465" s="357"/>
      <c r="AA465" s="118" t="s">
        <v>2877</v>
      </c>
      <c r="AB465" s="118"/>
      <c r="AC465" s="118"/>
      <c r="AD465" s="52"/>
      <c r="AE465" s="5"/>
      <c r="AF465" s="358"/>
      <c r="AG465" s="358"/>
      <c r="AH465" s="358"/>
      <c r="AI465" s="358"/>
      <c r="AJ465" s="358"/>
      <c r="AK465" s="113"/>
      <c r="AL465" s="113"/>
      <c r="AM465" s="113"/>
      <c r="AN465" s="113"/>
      <c r="AO465" s="113"/>
      <c r="AP465" s="52"/>
      <c r="AQ465" s="52"/>
      <c r="AR465" s="52"/>
      <c r="AS465" s="52"/>
      <c r="AT465" s="52"/>
      <c r="AU465" s="125">
        <v>628600</v>
      </c>
      <c r="AV465" s="125">
        <v>119434</v>
      </c>
      <c r="AW465" s="125">
        <v>748034</v>
      </c>
      <c r="AX465" s="5" t="s">
        <v>3195</v>
      </c>
      <c r="AY465" s="5" t="s">
        <v>4234</v>
      </c>
      <c r="AZ465" s="113">
        <v>272000</v>
      </c>
      <c r="BA465" s="113">
        <v>51680</v>
      </c>
      <c r="BB465" s="113">
        <v>323680</v>
      </c>
      <c r="BC465" s="52" t="s">
        <v>2925</v>
      </c>
      <c r="BD465" s="52" t="s">
        <v>4235</v>
      </c>
      <c r="BE465" s="320">
        <v>384770</v>
      </c>
      <c r="BF465" s="320">
        <f t="shared" si="65"/>
        <v>73106.3</v>
      </c>
      <c r="BG465" s="320">
        <f t="shared" si="66"/>
        <v>457876.3</v>
      </c>
      <c r="BH465" s="4" t="s">
        <v>2887</v>
      </c>
      <c r="BI465" s="286" t="s">
        <v>4236</v>
      </c>
      <c r="BJ465" s="52"/>
      <c r="BK465" s="52"/>
      <c r="BL465" s="52"/>
      <c r="BM465" s="52"/>
      <c r="BN465" s="52"/>
      <c r="BO465" s="52"/>
      <c r="BP465" s="52"/>
      <c r="BQ465" s="52"/>
      <c r="BR465" s="52"/>
      <c r="BS465" s="52"/>
      <c r="BT465" s="52"/>
      <c r="BU465" s="52"/>
      <c r="BV465" s="52"/>
      <c r="BW465" s="52"/>
      <c r="BX465" s="52"/>
      <c r="BY465" s="52"/>
      <c r="BZ465" s="52"/>
      <c r="CA465" s="52"/>
      <c r="CB465" s="52"/>
      <c r="CC465" s="52"/>
      <c r="CD465" s="118"/>
      <c r="CE465" s="52"/>
      <c r="CF465" s="52"/>
      <c r="CG465" s="52"/>
      <c r="CH465" s="52"/>
      <c r="CI465" s="52"/>
      <c r="CJ465" s="52"/>
      <c r="CK465" s="52"/>
      <c r="CL465" s="52"/>
      <c r="CM465" s="52"/>
      <c r="CN465" s="118"/>
      <c r="CO465" s="118"/>
      <c r="CP465" s="118"/>
      <c r="CQ465" s="52"/>
      <c r="CR465" s="52"/>
      <c r="CS465" s="52"/>
      <c r="CT465" s="52"/>
      <c r="CU465" s="52"/>
      <c r="CV465" s="52"/>
      <c r="CW465" s="52"/>
      <c r="CX465" s="52"/>
      <c r="CY465" s="52"/>
      <c r="CZ465" s="52"/>
      <c r="DA465" s="52"/>
      <c r="DB465" s="52"/>
    </row>
    <row r="466" spans="1:106" ht="13.5" x14ac:dyDescent="0.25">
      <c r="A466" s="411">
        <v>464</v>
      </c>
      <c r="B466" s="412" t="s">
        <v>4237</v>
      </c>
      <c r="C466" s="413" t="s">
        <v>4238</v>
      </c>
      <c r="D466" s="426" t="s">
        <v>4239</v>
      </c>
      <c r="E466" s="80">
        <v>1</v>
      </c>
      <c r="F466" s="353">
        <v>305421.35399999999</v>
      </c>
      <c r="G466" s="293"/>
      <c r="H466" s="293"/>
      <c r="I466" s="293"/>
      <c r="J466" s="52"/>
      <c r="K466" s="52"/>
      <c r="L466" s="359"/>
      <c r="M466" s="360"/>
      <c r="N466" s="361"/>
      <c r="O466" s="33"/>
      <c r="P466" s="252"/>
      <c r="Q466" s="113"/>
      <c r="R466" s="113"/>
      <c r="S466" s="113"/>
      <c r="T466" s="52"/>
      <c r="U466" s="5"/>
      <c r="V466" s="231">
        <v>223800</v>
      </c>
      <c r="W466" s="231">
        <f t="shared" si="54"/>
        <v>42522</v>
      </c>
      <c r="X466" s="231">
        <f t="shared" si="55"/>
        <v>266322</v>
      </c>
      <c r="Y466" s="113" t="s">
        <v>3445</v>
      </c>
      <c r="Z466" s="357" t="s">
        <v>4240</v>
      </c>
      <c r="AA466" s="118" t="s">
        <v>2877</v>
      </c>
      <c r="AB466" s="118"/>
      <c r="AC466" s="118"/>
      <c r="AD466" s="52"/>
      <c r="AE466" s="5"/>
      <c r="AF466" s="358"/>
      <c r="AG466" s="358"/>
      <c r="AH466" s="358"/>
      <c r="AI466" s="358"/>
      <c r="AJ466" s="358"/>
      <c r="AK466" s="113"/>
      <c r="AL466" s="113"/>
      <c r="AM466" s="113"/>
      <c r="AN466" s="113"/>
      <c r="AO466" s="113"/>
      <c r="AP466" s="52"/>
      <c r="AQ466" s="52"/>
      <c r="AR466" s="52"/>
      <c r="AS466" s="52"/>
      <c r="AT466" s="52"/>
      <c r="AU466" s="125"/>
      <c r="AV466" s="125"/>
      <c r="AW466" s="125"/>
      <c r="AX466" s="5"/>
      <c r="AY466" s="5"/>
      <c r="AZ466" s="113">
        <v>736000</v>
      </c>
      <c r="BA466" s="113">
        <v>139840</v>
      </c>
      <c r="BB466" s="113">
        <v>875840</v>
      </c>
      <c r="BC466" s="52" t="s">
        <v>2925</v>
      </c>
      <c r="BD466" s="52" t="s">
        <v>4241</v>
      </c>
      <c r="BE466" s="118"/>
      <c r="BF466" s="118"/>
      <c r="BG466" s="118"/>
      <c r="BH466" s="52"/>
      <c r="BI466" s="283"/>
      <c r="BJ466" s="52"/>
      <c r="BK466" s="52"/>
      <c r="BL466" s="52"/>
      <c r="BM466" s="52"/>
      <c r="BN466" s="52"/>
      <c r="BO466" s="52"/>
      <c r="BP466" s="52"/>
      <c r="BQ466" s="52"/>
      <c r="BR466" s="52"/>
      <c r="BS466" s="52"/>
      <c r="BT466" s="52"/>
      <c r="BU466" s="52"/>
      <c r="BV466" s="52"/>
      <c r="BW466" s="52"/>
      <c r="BX466" s="52"/>
      <c r="BY466" s="52"/>
      <c r="BZ466" s="52"/>
      <c r="CA466" s="52"/>
      <c r="CB466" s="52"/>
      <c r="CC466" s="52"/>
      <c r="CD466" s="118"/>
      <c r="CE466" s="52"/>
      <c r="CF466" s="52"/>
      <c r="CG466" s="52"/>
      <c r="CH466" s="52"/>
      <c r="CI466" s="52"/>
      <c r="CJ466" s="52"/>
      <c r="CK466" s="52"/>
      <c r="CL466" s="52"/>
      <c r="CM466" s="52"/>
      <c r="CN466" s="118"/>
      <c r="CO466" s="118"/>
      <c r="CP466" s="118"/>
      <c r="CQ466" s="52"/>
      <c r="CR466" s="52"/>
      <c r="CS466" s="52"/>
      <c r="CT466" s="52"/>
      <c r="CU466" s="52"/>
      <c r="CV466" s="52"/>
      <c r="CW466" s="52"/>
      <c r="CX466" s="52"/>
      <c r="CY466" s="52"/>
      <c r="CZ466" s="52"/>
      <c r="DA466" s="52"/>
      <c r="DB466" s="52"/>
    </row>
    <row r="467" spans="1:106" ht="27" x14ac:dyDescent="0.25">
      <c r="A467" s="411">
        <v>465</v>
      </c>
      <c r="B467" s="412" t="s">
        <v>4242</v>
      </c>
      <c r="C467" s="413" t="s">
        <v>4243</v>
      </c>
      <c r="D467" s="426" t="s">
        <v>2005</v>
      </c>
      <c r="E467" s="80">
        <v>1</v>
      </c>
      <c r="F467" s="353">
        <v>1539688.2243999999</v>
      </c>
      <c r="G467" s="293"/>
      <c r="H467" s="293"/>
      <c r="I467" s="293"/>
      <c r="J467" s="52"/>
      <c r="K467" s="52"/>
      <c r="L467" s="359"/>
      <c r="M467" s="360"/>
      <c r="N467" s="361"/>
      <c r="O467" s="33"/>
      <c r="P467" s="252"/>
      <c r="Q467" s="113"/>
      <c r="R467" s="113"/>
      <c r="S467" s="113"/>
      <c r="T467" s="52"/>
      <c r="U467" s="5"/>
      <c r="V467" s="231"/>
      <c r="W467" s="231"/>
      <c r="X467" s="231"/>
      <c r="Y467" s="113"/>
      <c r="Z467" s="357"/>
      <c r="AA467" s="118" t="s">
        <v>2877</v>
      </c>
      <c r="AB467" s="118"/>
      <c r="AC467" s="118"/>
      <c r="AD467" s="52"/>
      <c r="AE467" s="5"/>
      <c r="AF467" s="358"/>
      <c r="AG467" s="358"/>
      <c r="AH467" s="358"/>
      <c r="AI467" s="358"/>
      <c r="AJ467" s="358"/>
      <c r="AK467" s="113"/>
      <c r="AL467" s="113"/>
      <c r="AM467" s="113"/>
      <c r="AN467" s="113"/>
      <c r="AO467" s="113"/>
      <c r="AP467" s="52"/>
      <c r="AQ467" s="52"/>
      <c r="AR467" s="52"/>
      <c r="AS467" s="52"/>
      <c r="AT467" s="52"/>
      <c r="AU467" s="125"/>
      <c r="AV467" s="125"/>
      <c r="AW467" s="125"/>
      <c r="AX467" s="5"/>
      <c r="AY467" s="5"/>
      <c r="AZ467" s="113">
        <v>951000</v>
      </c>
      <c r="BA467" s="113">
        <v>180690</v>
      </c>
      <c r="BB467" s="113">
        <v>1131690</v>
      </c>
      <c r="BC467" s="52" t="s">
        <v>2925</v>
      </c>
      <c r="BD467" s="52" t="s">
        <v>4244</v>
      </c>
      <c r="BE467" s="118"/>
      <c r="BF467" s="118"/>
      <c r="BG467" s="118"/>
      <c r="BH467" s="52"/>
      <c r="BI467" s="283"/>
      <c r="BJ467" s="52"/>
      <c r="BK467" s="52"/>
      <c r="BL467" s="52"/>
      <c r="BM467" s="52"/>
      <c r="BN467" s="52"/>
      <c r="BO467" s="52"/>
      <c r="BP467" s="52"/>
      <c r="BQ467" s="52"/>
      <c r="BR467" s="52"/>
      <c r="BS467" s="52"/>
      <c r="BT467" s="52"/>
      <c r="BU467" s="52"/>
      <c r="BV467" s="52"/>
      <c r="BW467" s="52"/>
      <c r="BX467" s="52"/>
      <c r="BY467" s="52"/>
      <c r="BZ467" s="52"/>
      <c r="CA467" s="52"/>
      <c r="CB467" s="52"/>
      <c r="CC467" s="52"/>
      <c r="CD467" s="118"/>
      <c r="CE467" s="52"/>
      <c r="CF467" s="52"/>
      <c r="CG467" s="52"/>
      <c r="CH467" s="52"/>
      <c r="CI467" s="52"/>
      <c r="CJ467" s="52"/>
      <c r="CK467" s="52"/>
      <c r="CL467" s="52"/>
      <c r="CM467" s="52"/>
      <c r="CN467" s="118"/>
      <c r="CO467" s="118"/>
      <c r="CP467" s="118"/>
      <c r="CQ467" s="52"/>
      <c r="CR467" s="52"/>
      <c r="CS467" s="52"/>
      <c r="CT467" s="52"/>
      <c r="CU467" s="52"/>
      <c r="CV467" s="52"/>
      <c r="CW467" s="52"/>
      <c r="CX467" s="52"/>
      <c r="CY467" s="52"/>
      <c r="CZ467" s="52"/>
      <c r="DA467" s="52"/>
      <c r="DB467" s="52"/>
    </row>
    <row r="468" spans="1:106" ht="38.25" x14ac:dyDescent="0.25">
      <c r="A468" s="411">
        <v>466</v>
      </c>
      <c r="B468" s="412" t="s">
        <v>4245</v>
      </c>
      <c r="C468" s="413" t="s">
        <v>4246</v>
      </c>
      <c r="D468" s="426" t="s">
        <v>4247</v>
      </c>
      <c r="E468" s="80">
        <v>1</v>
      </c>
      <c r="F468" s="355">
        <v>224381.24040000001</v>
      </c>
      <c r="G468" s="293"/>
      <c r="H468" s="293"/>
      <c r="I468" s="293"/>
      <c r="J468" s="52"/>
      <c r="K468" s="52"/>
      <c r="L468" s="359"/>
      <c r="M468" s="360"/>
      <c r="N468" s="361"/>
      <c r="O468" s="33"/>
      <c r="P468" s="252"/>
      <c r="Q468" s="113"/>
      <c r="R468" s="113"/>
      <c r="S468" s="113"/>
      <c r="T468" s="52"/>
      <c r="U468" s="5"/>
      <c r="V468" s="231">
        <v>65300</v>
      </c>
      <c r="W468" s="231">
        <f t="shared" si="54"/>
        <v>12407</v>
      </c>
      <c r="X468" s="231">
        <f t="shared" si="55"/>
        <v>77707</v>
      </c>
      <c r="Y468" s="113" t="s">
        <v>4248</v>
      </c>
      <c r="Z468" s="357" t="s">
        <v>4249</v>
      </c>
      <c r="AA468" s="118" t="s">
        <v>2877</v>
      </c>
      <c r="AB468" s="118"/>
      <c r="AC468" s="118"/>
      <c r="AD468" s="52"/>
      <c r="AE468" s="5"/>
      <c r="AF468" s="358"/>
      <c r="AG468" s="358"/>
      <c r="AH468" s="358"/>
      <c r="AI468" s="358"/>
      <c r="AJ468" s="358"/>
      <c r="AK468" s="113">
        <v>68600</v>
      </c>
      <c r="AL468" s="113">
        <v>13034</v>
      </c>
      <c r="AM468" s="113">
        <v>81634</v>
      </c>
      <c r="AN468" s="113" t="s">
        <v>2887</v>
      </c>
      <c r="AO468" s="113" t="s">
        <v>4250</v>
      </c>
      <c r="AP468" s="52"/>
      <c r="AQ468" s="52"/>
      <c r="AR468" s="52"/>
      <c r="AS468" s="52"/>
      <c r="AT468" s="52"/>
      <c r="AU468" s="125">
        <v>272500</v>
      </c>
      <c r="AV468" s="125">
        <v>51775</v>
      </c>
      <c r="AW468" s="125">
        <v>324275</v>
      </c>
      <c r="AX468" s="5" t="s">
        <v>3195</v>
      </c>
      <c r="AY468" s="5" t="s">
        <v>4251</v>
      </c>
      <c r="AZ468" s="113"/>
      <c r="BA468" s="113"/>
      <c r="BB468" s="113"/>
      <c r="BC468" s="52"/>
      <c r="BD468" s="52"/>
      <c r="BE468" s="320">
        <v>54500</v>
      </c>
      <c r="BF468" s="320">
        <f>BE468*0.19</f>
        <v>10355</v>
      </c>
      <c r="BG468" s="320">
        <f>BE468+BF468</f>
        <v>64855</v>
      </c>
      <c r="BH468" s="4" t="s">
        <v>2887</v>
      </c>
      <c r="BI468" s="286" t="s">
        <v>4250</v>
      </c>
      <c r="BJ468" s="52"/>
      <c r="BK468" s="52"/>
      <c r="BL468" s="52"/>
      <c r="BM468" s="52"/>
      <c r="BN468" s="52"/>
      <c r="BO468" s="52"/>
      <c r="BP468" s="52"/>
      <c r="BQ468" s="52"/>
      <c r="BR468" s="52"/>
      <c r="BS468" s="52"/>
      <c r="BT468" s="52"/>
      <c r="BU468" s="52"/>
      <c r="BV468" s="52"/>
      <c r="BW468" s="52"/>
      <c r="BX468" s="52"/>
      <c r="BY468" s="52"/>
      <c r="BZ468" s="52"/>
      <c r="CA468" s="52"/>
      <c r="CB468" s="52"/>
      <c r="CC468" s="52"/>
      <c r="CD468" s="118"/>
      <c r="CE468" s="52"/>
      <c r="CF468" s="52"/>
      <c r="CG468" s="52"/>
      <c r="CH468" s="52"/>
      <c r="CI468" s="52"/>
      <c r="CJ468" s="52"/>
      <c r="CK468" s="52"/>
      <c r="CL468" s="52"/>
      <c r="CM468" s="52"/>
      <c r="CN468" s="118"/>
      <c r="CO468" s="118"/>
      <c r="CP468" s="118"/>
      <c r="CQ468" s="52"/>
      <c r="CR468" s="52"/>
      <c r="CS468" s="52"/>
      <c r="CT468" s="52"/>
      <c r="CU468" s="52"/>
      <c r="CV468" s="52"/>
      <c r="CW468" s="52"/>
      <c r="CX468" s="52"/>
      <c r="CY468" s="52"/>
      <c r="CZ468" s="52"/>
      <c r="DA468" s="52"/>
      <c r="DB468" s="52"/>
    </row>
    <row r="469" spans="1:106" ht="40.5" x14ac:dyDescent="0.25">
      <c r="A469" s="411">
        <v>467</v>
      </c>
      <c r="B469" s="412" t="s">
        <v>4252</v>
      </c>
      <c r="C469" s="413" t="s">
        <v>4253</v>
      </c>
      <c r="D469" s="426" t="s">
        <v>4254</v>
      </c>
      <c r="E469" s="80">
        <v>1</v>
      </c>
      <c r="F469" s="353">
        <v>233656.78880000001</v>
      </c>
      <c r="G469" s="293"/>
      <c r="H469" s="293"/>
      <c r="I469" s="293"/>
      <c r="J469" s="52"/>
      <c r="K469" s="52"/>
      <c r="L469" s="359"/>
      <c r="M469" s="360"/>
      <c r="N469" s="361"/>
      <c r="O469" s="33"/>
      <c r="P469" s="252"/>
      <c r="Q469" s="113"/>
      <c r="R469" s="113"/>
      <c r="S469" s="113"/>
      <c r="T469" s="52"/>
      <c r="U469" s="5"/>
      <c r="V469" s="231"/>
      <c r="W469" s="231"/>
      <c r="X469" s="231"/>
      <c r="Y469" s="113"/>
      <c r="Z469" s="357"/>
      <c r="AA469" s="118" t="s">
        <v>2877</v>
      </c>
      <c r="AB469" s="118"/>
      <c r="AC469" s="118"/>
      <c r="AD469" s="52"/>
      <c r="AE469" s="5"/>
      <c r="AF469" s="358"/>
      <c r="AG469" s="358"/>
      <c r="AH469" s="358"/>
      <c r="AI469" s="358"/>
      <c r="AJ469" s="358"/>
      <c r="AK469" s="113"/>
      <c r="AL469" s="113"/>
      <c r="AM469" s="113"/>
      <c r="AN469" s="113"/>
      <c r="AO469" s="113"/>
      <c r="AP469" s="52"/>
      <c r="AQ469" s="52"/>
      <c r="AR469" s="52"/>
      <c r="AS469" s="52"/>
      <c r="AT469" s="52"/>
      <c r="AU469" s="125"/>
      <c r="AV469" s="125"/>
      <c r="AW469" s="125"/>
      <c r="AX469" s="5"/>
      <c r="AY469" s="5"/>
      <c r="AZ469" s="113">
        <v>344000</v>
      </c>
      <c r="BA469" s="113">
        <v>65360</v>
      </c>
      <c r="BB469" s="113">
        <v>409360</v>
      </c>
      <c r="BC469" s="52" t="s">
        <v>2925</v>
      </c>
      <c r="BD469" s="52" t="s">
        <v>4255</v>
      </c>
      <c r="BE469" s="118"/>
      <c r="BF469" s="118"/>
      <c r="BG469" s="118"/>
      <c r="BH469" s="52"/>
      <c r="BI469" s="283"/>
      <c r="BJ469" s="52"/>
      <c r="BK469" s="52"/>
      <c r="BL469" s="52"/>
      <c r="BM469" s="52"/>
      <c r="BN469" s="52"/>
      <c r="BO469" s="52"/>
      <c r="BP469" s="52"/>
      <c r="BQ469" s="52"/>
      <c r="BR469" s="52"/>
      <c r="BS469" s="52"/>
      <c r="BT469" s="52"/>
      <c r="BU469" s="52"/>
      <c r="BV469" s="52"/>
      <c r="BW469" s="52"/>
      <c r="BX469" s="52"/>
      <c r="BY469" s="52"/>
      <c r="BZ469" s="52"/>
      <c r="CA469" s="52"/>
      <c r="CB469" s="52"/>
      <c r="CC469" s="52"/>
      <c r="CD469" s="118"/>
      <c r="CE469" s="52"/>
      <c r="CF469" s="52"/>
      <c r="CG469" s="52"/>
      <c r="CH469" s="52"/>
      <c r="CI469" s="52"/>
      <c r="CJ469" s="52"/>
      <c r="CK469" s="52"/>
      <c r="CL469" s="52"/>
      <c r="CM469" s="52"/>
      <c r="CN469" s="118"/>
      <c r="CO469" s="118"/>
      <c r="CP469" s="118"/>
      <c r="CQ469" s="52"/>
      <c r="CR469" s="52"/>
      <c r="CS469" s="52"/>
      <c r="CT469" s="52"/>
      <c r="CU469" s="52"/>
      <c r="CV469" s="52"/>
      <c r="CW469" s="52"/>
      <c r="CX469" s="52"/>
      <c r="CY469" s="52"/>
      <c r="CZ469" s="52"/>
      <c r="DA469" s="52"/>
      <c r="DB469" s="52"/>
    </row>
    <row r="470" spans="1:106" ht="40.5" x14ac:dyDescent="0.25">
      <c r="A470" s="411">
        <v>468</v>
      </c>
      <c r="B470" s="409" t="s">
        <v>4256</v>
      </c>
      <c r="C470" s="413" t="s">
        <v>4257</v>
      </c>
      <c r="D470" s="426" t="s">
        <v>4247</v>
      </c>
      <c r="E470" s="80">
        <v>1</v>
      </c>
      <c r="F470" s="80"/>
      <c r="G470" s="293"/>
      <c r="H470" s="293"/>
      <c r="I470" s="293"/>
      <c r="J470" s="52"/>
      <c r="K470" s="52"/>
      <c r="L470" s="359"/>
      <c r="M470" s="360"/>
      <c r="N470" s="361"/>
      <c r="O470" s="33"/>
      <c r="P470" s="252"/>
      <c r="Q470" s="113"/>
      <c r="R470" s="113"/>
      <c r="S470" s="113"/>
      <c r="T470" s="52"/>
      <c r="U470" s="5"/>
      <c r="V470" s="231"/>
      <c r="W470" s="231"/>
      <c r="X470" s="231"/>
      <c r="Y470" s="113"/>
      <c r="Z470" s="357"/>
      <c r="AA470" s="113" t="s">
        <v>2877</v>
      </c>
      <c r="AB470" s="113"/>
      <c r="AC470" s="113"/>
      <c r="AD470" s="52"/>
      <c r="AE470" s="5"/>
      <c r="AF470" s="358"/>
      <c r="AG470" s="358"/>
      <c r="AH470" s="358"/>
      <c r="AI470" s="358"/>
      <c r="AJ470" s="358"/>
      <c r="AK470" s="113"/>
      <c r="AL470" s="113"/>
      <c r="AM470" s="113"/>
      <c r="AN470" s="113"/>
      <c r="AO470" s="113"/>
      <c r="AP470" s="52"/>
      <c r="AQ470" s="52"/>
      <c r="AR470" s="52"/>
      <c r="AS470" s="52"/>
      <c r="AT470" s="52"/>
      <c r="AU470" s="125"/>
      <c r="AV470" s="125"/>
      <c r="AW470" s="125"/>
      <c r="AX470" s="5"/>
      <c r="AY470" s="5"/>
      <c r="AZ470" s="113">
        <v>500000</v>
      </c>
      <c r="BA470" s="113">
        <v>95000</v>
      </c>
      <c r="BB470" s="113">
        <v>595000</v>
      </c>
      <c r="BC470" s="52" t="s">
        <v>2925</v>
      </c>
      <c r="BD470" s="52" t="s">
        <v>4258</v>
      </c>
      <c r="BE470" s="118"/>
      <c r="BF470" s="118"/>
      <c r="BG470" s="118"/>
      <c r="BH470" s="52"/>
      <c r="BI470" s="283"/>
      <c r="BJ470" s="52"/>
      <c r="BK470" s="52"/>
      <c r="BL470" s="52"/>
      <c r="BM470" s="52"/>
      <c r="BN470" s="52"/>
      <c r="BO470" s="52"/>
      <c r="BP470" s="52"/>
      <c r="BQ470" s="52"/>
      <c r="BR470" s="52"/>
      <c r="BS470" s="52"/>
      <c r="BT470" s="52"/>
      <c r="BU470" s="52"/>
      <c r="BV470" s="52"/>
      <c r="BW470" s="52"/>
      <c r="BX470" s="52"/>
      <c r="BY470" s="52"/>
      <c r="BZ470" s="52"/>
      <c r="CA470" s="52"/>
      <c r="CB470" s="52"/>
      <c r="CC470" s="52"/>
      <c r="CD470" s="118"/>
      <c r="CE470" s="52"/>
      <c r="CF470" s="52"/>
      <c r="CG470" s="52"/>
      <c r="CH470" s="52"/>
      <c r="CI470" s="52"/>
      <c r="CJ470" s="52"/>
      <c r="CK470" s="52"/>
      <c r="CL470" s="52"/>
      <c r="CM470" s="52"/>
      <c r="CN470" s="118"/>
      <c r="CO470" s="118"/>
      <c r="CP470" s="118"/>
      <c r="CQ470" s="52"/>
      <c r="CR470" s="52"/>
      <c r="CS470" s="52"/>
      <c r="CT470" s="52"/>
      <c r="CU470" s="52"/>
      <c r="CV470" s="52"/>
      <c r="CW470" s="52"/>
      <c r="CX470" s="52"/>
      <c r="CY470" s="52"/>
      <c r="CZ470" s="52"/>
      <c r="DA470" s="52"/>
      <c r="DB470" s="52"/>
    </row>
    <row r="471" spans="1:106" ht="54" x14ac:dyDescent="0.25">
      <c r="A471" s="411">
        <v>469</v>
      </c>
      <c r="B471" s="412" t="s">
        <v>4259</v>
      </c>
      <c r="C471" s="413" t="s">
        <v>4260</v>
      </c>
      <c r="D471" s="426" t="s">
        <v>4224</v>
      </c>
      <c r="E471" s="80">
        <v>1</v>
      </c>
      <c r="F471" s="355">
        <v>382214.48739999998</v>
      </c>
      <c r="G471" s="293"/>
      <c r="H471" s="293"/>
      <c r="I471" s="293"/>
      <c r="J471" s="52"/>
      <c r="K471" s="52"/>
      <c r="L471" s="359"/>
      <c r="M471" s="360"/>
      <c r="N471" s="361"/>
      <c r="O471" s="33"/>
      <c r="P471" s="252"/>
      <c r="Q471" s="113"/>
      <c r="R471" s="113"/>
      <c r="S471" s="113"/>
      <c r="T471" s="52"/>
      <c r="U471" s="5"/>
      <c r="V471" s="231">
        <v>595000</v>
      </c>
      <c r="W471" s="231">
        <f t="shared" si="54"/>
        <v>113050</v>
      </c>
      <c r="X471" s="231">
        <f t="shared" si="55"/>
        <v>708050</v>
      </c>
      <c r="Y471" s="113" t="s">
        <v>3378</v>
      </c>
      <c r="Z471" s="357" t="s">
        <v>4261</v>
      </c>
      <c r="AA471" s="113">
        <v>499000</v>
      </c>
      <c r="AB471" s="113">
        <f>AA471*0.19</f>
        <v>94810</v>
      </c>
      <c r="AC471" s="113">
        <f>AA471+AB471</f>
        <v>593810</v>
      </c>
      <c r="AD471" s="52" t="s">
        <v>3166</v>
      </c>
      <c r="AE471" s="5" t="s">
        <v>4262</v>
      </c>
      <c r="AF471" s="358"/>
      <c r="AG471" s="358"/>
      <c r="AH471" s="358"/>
      <c r="AI471" s="358"/>
      <c r="AJ471" s="358"/>
      <c r="AK471" s="113">
        <v>556000</v>
      </c>
      <c r="AL471" s="113">
        <v>105640</v>
      </c>
      <c r="AM471" s="113">
        <v>661640</v>
      </c>
      <c r="AN471" s="113" t="s">
        <v>2887</v>
      </c>
      <c r="AO471" s="113" t="s">
        <v>4263</v>
      </c>
      <c r="AP471" s="52"/>
      <c r="AQ471" s="52"/>
      <c r="AR471" s="52"/>
      <c r="AS471" s="52"/>
      <c r="AT471" s="52"/>
      <c r="AU471" s="125">
        <v>502200</v>
      </c>
      <c r="AV471" s="125">
        <v>95418</v>
      </c>
      <c r="AW471" s="125">
        <v>597618</v>
      </c>
      <c r="AX471" s="5" t="s">
        <v>3195</v>
      </c>
      <c r="AY471" s="5" t="s">
        <v>4264</v>
      </c>
      <c r="AZ471" s="113">
        <v>304000</v>
      </c>
      <c r="BA471" s="113">
        <v>57760</v>
      </c>
      <c r="BB471" s="113">
        <v>361760</v>
      </c>
      <c r="BC471" s="52" t="s">
        <v>2925</v>
      </c>
      <c r="BD471" s="52" t="s">
        <v>4265</v>
      </c>
      <c r="BE471" s="320">
        <v>384770</v>
      </c>
      <c r="BF471" s="320">
        <f>BE471*0.19</f>
        <v>73106.3</v>
      </c>
      <c r="BG471" s="320">
        <f>BE471+BF471</f>
        <v>457876.3</v>
      </c>
      <c r="BH471" s="4" t="s">
        <v>2887</v>
      </c>
      <c r="BI471" s="286" t="s">
        <v>4263</v>
      </c>
      <c r="BJ471" s="52"/>
      <c r="BK471" s="52"/>
      <c r="BL471" s="52"/>
      <c r="BM471" s="52"/>
      <c r="BN471" s="52"/>
      <c r="BO471" s="52"/>
      <c r="BP471" s="52"/>
      <c r="BQ471" s="52"/>
      <c r="BR471" s="52"/>
      <c r="BS471" s="52"/>
      <c r="BT471" s="52"/>
      <c r="BU471" s="52"/>
      <c r="BV471" s="52"/>
      <c r="BW471" s="52"/>
      <c r="BX471" s="52"/>
      <c r="BY471" s="52"/>
      <c r="BZ471" s="52"/>
      <c r="CA471" s="52"/>
      <c r="CB471" s="52"/>
      <c r="CC471" s="52"/>
      <c r="CD471" s="118"/>
      <c r="CE471" s="52"/>
      <c r="CF471" s="52"/>
      <c r="CG471" s="52"/>
      <c r="CH471" s="52"/>
      <c r="CI471" s="52"/>
      <c r="CJ471" s="52"/>
      <c r="CK471" s="52"/>
      <c r="CL471" s="52"/>
      <c r="CM471" s="52"/>
      <c r="CN471" s="118"/>
      <c r="CO471" s="118"/>
      <c r="CP471" s="118"/>
      <c r="CQ471" s="52"/>
      <c r="CR471" s="52"/>
      <c r="CS471" s="52"/>
      <c r="CT471" s="52"/>
      <c r="CU471" s="52"/>
      <c r="CV471" s="52"/>
      <c r="CW471" s="52"/>
      <c r="CX471" s="52"/>
      <c r="CY471" s="52"/>
      <c r="CZ471" s="52"/>
      <c r="DA471" s="52"/>
      <c r="DB471" s="52"/>
    </row>
    <row r="472" spans="1:106" ht="51" x14ac:dyDescent="0.25">
      <c r="A472" s="411">
        <v>470</v>
      </c>
      <c r="B472" s="412" t="s">
        <v>4266</v>
      </c>
      <c r="C472" s="413" t="s">
        <v>4267</v>
      </c>
      <c r="D472" s="426" t="s">
        <v>4268</v>
      </c>
      <c r="E472" s="80">
        <v>1</v>
      </c>
      <c r="F472" s="355">
        <v>446905.68119999999</v>
      </c>
      <c r="G472" s="293"/>
      <c r="H472" s="293"/>
      <c r="I472" s="293"/>
      <c r="J472" s="52"/>
      <c r="K472" s="52"/>
      <c r="L472" s="359"/>
      <c r="M472" s="360"/>
      <c r="N472" s="361"/>
      <c r="O472" s="33"/>
      <c r="P472" s="252"/>
      <c r="Q472" s="113"/>
      <c r="R472" s="113"/>
      <c r="S472" s="113"/>
      <c r="T472" s="52"/>
      <c r="U472" s="5"/>
      <c r="V472" s="231"/>
      <c r="W472" s="231"/>
      <c r="X472" s="231"/>
      <c r="Y472" s="113"/>
      <c r="Z472" s="357"/>
      <c r="AA472" s="113" t="s">
        <v>2877</v>
      </c>
      <c r="AB472" s="113"/>
      <c r="AC472" s="113"/>
      <c r="AD472" s="52"/>
      <c r="AE472" s="5"/>
      <c r="AF472" s="358"/>
      <c r="AG472" s="358"/>
      <c r="AH472" s="358"/>
      <c r="AI472" s="358"/>
      <c r="AJ472" s="358"/>
      <c r="AK472" s="113">
        <v>320000</v>
      </c>
      <c r="AL472" s="113">
        <v>60800</v>
      </c>
      <c r="AM472" s="113">
        <v>380800</v>
      </c>
      <c r="AN472" s="113" t="s">
        <v>2887</v>
      </c>
      <c r="AO472" s="113" t="s">
        <v>3203</v>
      </c>
      <c r="AP472" s="52"/>
      <c r="AQ472" s="52"/>
      <c r="AR472" s="52"/>
      <c r="AS472" s="52"/>
      <c r="AT472" s="52"/>
      <c r="AU472" s="125">
        <v>331100</v>
      </c>
      <c r="AV472" s="125">
        <v>62909</v>
      </c>
      <c r="AW472" s="125">
        <v>394009</v>
      </c>
      <c r="AX472" s="5" t="s">
        <v>3195</v>
      </c>
      <c r="AY472" s="5" t="s">
        <v>4269</v>
      </c>
      <c r="AZ472" s="113">
        <v>304000</v>
      </c>
      <c r="BA472" s="113">
        <v>57760</v>
      </c>
      <c r="BB472" s="113">
        <v>361760</v>
      </c>
      <c r="BC472" s="52" t="s">
        <v>2925</v>
      </c>
      <c r="BD472" s="52" t="s">
        <v>4265</v>
      </c>
      <c r="BE472" s="118"/>
      <c r="BF472" s="118"/>
      <c r="BG472" s="118"/>
      <c r="BH472" s="52"/>
      <c r="BI472" s="283"/>
      <c r="BJ472" s="52"/>
      <c r="BK472" s="52"/>
      <c r="BL472" s="52"/>
      <c r="BM472" s="52"/>
      <c r="BN472" s="52"/>
      <c r="BO472" s="52"/>
      <c r="BP472" s="52"/>
      <c r="BQ472" s="52"/>
      <c r="BR472" s="52"/>
      <c r="BS472" s="52"/>
      <c r="BT472" s="52"/>
      <c r="BU472" s="52"/>
      <c r="BV472" s="52"/>
      <c r="BW472" s="52"/>
      <c r="BX472" s="52"/>
      <c r="BY472" s="52"/>
      <c r="BZ472" s="52"/>
      <c r="CA472" s="52"/>
      <c r="CB472" s="52"/>
      <c r="CC472" s="52"/>
      <c r="CD472" s="118"/>
      <c r="CE472" s="52"/>
      <c r="CF472" s="52"/>
      <c r="CG472" s="52"/>
      <c r="CH472" s="52"/>
      <c r="CI472" s="52"/>
      <c r="CJ472" s="52"/>
      <c r="CK472" s="52"/>
      <c r="CL472" s="52"/>
      <c r="CM472" s="52"/>
      <c r="CN472" s="118"/>
      <c r="CO472" s="118"/>
      <c r="CP472" s="118"/>
      <c r="CQ472" s="52"/>
      <c r="CR472" s="52"/>
      <c r="CS472" s="52"/>
      <c r="CT472" s="52"/>
      <c r="CU472" s="52"/>
      <c r="CV472" s="52"/>
      <c r="CW472" s="52"/>
      <c r="CX472" s="52"/>
      <c r="CY472" s="52"/>
      <c r="CZ472" s="52"/>
      <c r="DA472" s="52"/>
      <c r="DB472" s="52"/>
    </row>
    <row r="473" spans="1:106" ht="13.5" x14ac:dyDescent="0.25">
      <c r="A473" s="411">
        <v>471</v>
      </c>
      <c r="B473" s="412" t="s">
        <v>4270</v>
      </c>
      <c r="C473" s="413" t="s">
        <v>3200</v>
      </c>
      <c r="D473" s="562" t="s">
        <v>4224</v>
      </c>
      <c r="E473" s="80">
        <v>1</v>
      </c>
      <c r="F473" s="355">
        <v>425703.52240000002</v>
      </c>
      <c r="G473" s="293"/>
      <c r="H473" s="293"/>
      <c r="I473" s="293"/>
      <c r="J473" s="52"/>
      <c r="K473" s="52"/>
      <c r="L473" s="359"/>
      <c r="M473" s="360"/>
      <c r="N473" s="361"/>
      <c r="O473" s="33"/>
      <c r="P473" s="252"/>
      <c r="Q473" s="113"/>
      <c r="R473" s="113"/>
      <c r="S473" s="113"/>
      <c r="T473" s="52"/>
      <c r="U473" s="5"/>
      <c r="V473" s="231"/>
      <c r="W473" s="231"/>
      <c r="X473" s="231"/>
      <c r="Y473" s="113"/>
      <c r="Z473" s="357"/>
      <c r="AA473" s="113">
        <v>97000</v>
      </c>
      <c r="AB473" s="113">
        <f>AA473*0.19</f>
        <v>18430</v>
      </c>
      <c r="AC473" s="113">
        <f>AA473+AB473</f>
        <v>115430</v>
      </c>
      <c r="AD473" s="52" t="s">
        <v>3166</v>
      </c>
      <c r="AE473" s="5" t="s">
        <v>4271</v>
      </c>
      <c r="AF473" s="358"/>
      <c r="AG473" s="358"/>
      <c r="AH473" s="358"/>
      <c r="AI473" s="358"/>
      <c r="AJ473" s="358"/>
      <c r="AK473" s="113"/>
      <c r="AL473" s="113"/>
      <c r="AM473" s="113"/>
      <c r="AN473" s="113"/>
      <c r="AO473" s="113"/>
      <c r="AP473" s="52"/>
      <c r="AQ473" s="52"/>
      <c r="AR473" s="52"/>
      <c r="AS473" s="52"/>
      <c r="AT473" s="52"/>
      <c r="AU473" s="125"/>
      <c r="AV473" s="125"/>
      <c r="AW473" s="125"/>
      <c r="AX473" s="5"/>
      <c r="AY473" s="5"/>
      <c r="AZ473" s="113">
        <v>500000</v>
      </c>
      <c r="BA473" s="113">
        <v>95000</v>
      </c>
      <c r="BB473" s="113">
        <v>595000</v>
      </c>
      <c r="BC473" s="52" t="s">
        <v>2925</v>
      </c>
      <c r="BD473" s="52" t="s">
        <v>4258</v>
      </c>
      <c r="BE473" s="118"/>
      <c r="BF473" s="118"/>
      <c r="BG473" s="118"/>
      <c r="BH473" s="52"/>
      <c r="BI473" s="283"/>
      <c r="BJ473" s="52"/>
      <c r="BK473" s="52"/>
      <c r="BL473" s="52"/>
      <c r="BM473" s="52"/>
      <c r="BN473" s="52"/>
      <c r="BO473" s="52"/>
      <c r="BP473" s="52"/>
      <c r="BQ473" s="52"/>
      <c r="BR473" s="52"/>
      <c r="BS473" s="52"/>
      <c r="BT473" s="52"/>
      <c r="BU473" s="52"/>
      <c r="BV473" s="52"/>
      <c r="BW473" s="52"/>
      <c r="BX473" s="52"/>
      <c r="BY473" s="52"/>
      <c r="BZ473" s="52"/>
      <c r="CA473" s="52"/>
      <c r="CB473" s="52"/>
      <c r="CC473" s="52"/>
      <c r="CD473" s="118"/>
      <c r="CE473" s="52"/>
      <c r="CF473" s="52"/>
      <c r="CG473" s="52"/>
      <c r="CH473" s="52"/>
      <c r="CI473" s="52"/>
      <c r="CJ473" s="52"/>
      <c r="CK473" s="52"/>
      <c r="CL473" s="52"/>
      <c r="CM473" s="52"/>
      <c r="CN473" s="118"/>
      <c r="CO473" s="118"/>
      <c r="CP473" s="118"/>
      <c r="CQ473" s="52"/>
      <c r="CR473" s="52"/>
      <c r="CS473" s="52"/>
      <c r="CT473" s="52"/>
      <c r="CU473" s="52"/>
      <c r="CV473" s="52"/>
      <c r="CW473" s="52"/>
      <c r="CX473" s="52"/>
      <c r="CY473" s="52"/>
      <c r="CZ473" s="52"/>
      <c r="DA473" s="52"/>
      <c r="DB473" s="52"/>
    </row>
    <row r="474" spans="1:106" ht="51" x14ac:dyDescent="0.25">
      <c r="A474" s="411">
        <v>472</v>
      </c>
      <c r="B474" s="412" t="s">
        <v>4272</v>
      </c>
      <c r="C474" s="413" t="s">
        <v>4260</v>
      </c>
      <c r="D474" s="426" t="s">
        <v>4224</v>
      </c>
      <c r="E474" s="80">
        <v>1</v>
      </c>
      <c r="F474" s="355">
        <v>475828.66200000001</v>
      </c>
      <c r="G474" s="293"/>
      <c r="H474" s="293"/>
      <c r="I474" s="293"/>
      <c r="J474" s="52"/>
      <c r="K474" s="52"/>
      <c r="L474" s="359"/>
      <c r="M474" s="360"/>
      <c r="N474" s="361"/>
      <c r="O474" s="33"/>
      <c r="P474" s="252"/>
      <c r="Q474" s="113"/>
      <c r="R474" s="113"/>
      <c r="S474" s="113"/>
      <c r="T474" s="52"/>
      <c r="U474" s="5"/>
      <c r="V474" s="231">
        <v>550000</v>
      </c>
      <c r="W474" s="231">
        <f t="shared" si="54"/>
        <v>104500</v>
      </c>
      <c r="X474" s="231">
        <f t="shared" si="55"/>
        <v>654500</v>
      </c>
      <c r="Y474" s="113" t="s">
        <v>3378</v>
      </c>
      <c r="Z474" s="357" t="s">
        <v>4273</v>
      </c>
      <c r="AA474" s="113"/>
      <c r="AB474" s="113"/>
      <c r="AC474" s="113"/>
      <c r="AD474" s="52"/>
      <c r="AE474" s="5"/>
      <c r="AF474" s="358"/>
      <c r="AG474" s="358"/>
      <c r="AH474" s="358"/>
      <c r="AI474" s="358"/>
      <c r="AJ474" s="358"/>
      <c r="AK474" s="113">
        <v>460000</v>
      </c>
      <c r="AL474" s="113">
        <v>87400</v>
      </c>
      <c r="AM474" s="113">
        <v>547400</v>
      </c>
      <c r="AN474" s="113" t="s">
        <v>2887</v>
      </c>
      <c r="AO474" s="113" t="s">
        <v>4226</v>
      </c>
      <c r="AP474" s="52"/>
      <c r="AQ474" s="52"/>
      <c r="AR474" s="52"/>
      <c r="AS474" s="52"/>
      <c r="AT474" s="52"/>
      <c r="AU474" s="125">
        <v>628600</v>
      </c>
      <c r="AV474" s="125">
        <v>119434</v>
      </c>
      <c r="AW474" s="125">
        <v>748034</v>
      </c>
      <c r="AX474" s="5" t="s">
        <v>3195</v>
      </c>
      <c r="AY474" s="5" t="s">
        <v>4227</v>
      </c>
      <c r="AZ474" s="113">
        <v>566000</v>
      </c>
      <c r="BA474" s="113">
        <v>107540</v>
      </c>
      <c r="BB474" s="113">
        <v>673540</v>
      </c>
      <c r="BC474" s="52" t="s">
        <v>2925</v>
      </c>
      <c r="BD474" s="52" t="s">
        <v>4274</v>
      </c>
      <c r="BE474" s="118"/>
      <c r="BF474" s="118"/>
      <c r="BG474" s="118"/>
      <c r="BH474" s="52"/>
      <c r="BI474" s="283"/>
      <c r="BJ474" s="52"/>
      <c r="BK474" s="52"/>
      <c r="BL474" s="52"/>
      <c r="BM474" s="52"/>
      <c r="BN474" s="52"/>
      <c r="BO474" s="52"/>
      <c r="BP474" s="52"/>
      <c r="BQ474" s="52"/>
      <c r="BR474" s="52"/>
      <c r="BS474" s="52"/>
      <c r="BT474" s="52"/>
      <c r="BU474" s="52"/>
      <c r="BV474" s="52"/>
      <c r="BW474" s="52"/>
      <c r="BX474" s="52"/>
      <c r="BY474" s="52"/>
      <c r="BZ474" s="52"/>
      <c r="CA474" s="52"/>
      <c r="CB474" s="52"/>
      <c r="CC474" s="52"/>
      <c r="CD474" s="118"/>
      <c r="CE474" s="52"/>
      <c r="CF474" s="52"/>
      <c r="CG474" s="52"/>
      <c r="CH474" s="52"/>
      <c r="CI474" s="52"/>
      <c r="CJ474" s="52"/>
      <c r="CK474" s="52"/>
      <c r="CL474" s="52"/>
      <c r="CM474" s="52"/>
      <c r="CN474" s="118"/>
      <c r="CO474" s="118"/>
      <c r="CP474" s="118"/>
      <c r="CQ474" s="52"/>
      <c r="CR474" s="52"/>
      <c r="CS474" s="52"/>
      <c r="CT474" s="52"/>
      <c r="CU474" s="52"/>
      <c r="CV474" s="52"/>
      <c r="CW474" s="52"/>
      <c r="CX474" s="52"/>
      <c r="CY474" s="52"/>
      <c r="CZ474" s="52"/>
      <c r="DA474" s="52"/>
      <c r="DB474" s="52"/>
    </row>
    <row r="475" spans="1:106" ht="27" x14ac:dyDescent="0.25">
      <c r="A475" s="411">
        <v>473</v>
      </c>
      <c r="B475" s="412" t="s">
        <v>4275</v>
      </c>
      <c r="C475" s="413" t="s">
        <v>4276</v>
      </c>
      <c r="D475" s="426" t="s">
        <v>4239</v>
      </c>
      <c r="E475" s="80">
        <v>1</v>
      </c>
      <c r="F475" s="353">
        <v>398786.26540000003</v>
      </c>
      <c r="G475" s="293"/>
      <c r="H475" s="293"/>
      <c r="I475" s="293"/>
      <c r="J475" s="52"/>
      <c r="K475" s="52"/>
      <c r="L475" s="359"/>
      <c r="M475" s="360"/>
      <c r="N475" s="361"/>
      <c r="O475" s="33"/>
      <c r="P475" s="252"/>
      <c r="Q475" s="113"/>
      <c r="R475" s="113"/>
      <c r="S475" s="113"/>
      <c r="T475" s="52"/>
      <c r="U475" s="5"/>
      <c r="V475" s="231"/>
      <c r="W475" s="231"/>
      <c r="X475" s="231"/>
      <c r="Y475" s="113"/>
      <c r="Z475" s="357"/>
      <c r="AA475" s="113" t="s">
        <v>2877</v>
      </c>
      <c r="AB475" s="113"/>
      <c r="AC475" s="113"/>
      <c r="AD475" s="52"/>
      <c r="AE475" s="5"/>
      <c r="AF475" s="358"/>
      <c r="AG475" s="358"/>
      <c r="AH475" s="358"/>
      <c r="AI475" s="358"/>
      <c r="AJ475" s="358"/>
      <c r="AK475" s="113"/>
      <c r="AL475" s="113"/>
      <c r="AM475" s="113"/>
      <c r="AN475" s="113"/>
      <c r="AO475" s="113"/>
      <c r="AP475" s="52"/>
      <c r="AQ475" s="52"/>
      <c r="AR475" s="52"/>
      <c r="AS475" s="52"/>
      <c r="AT475" s="52"/>
      <c r="AU475" s="125"/>
      <c r="AV475" s="125"/>
      <c r="AW475" s="125"/>
      <c r="AX475" s="5"/>
      <c r="AY475" s="5"/>
      <c r="AZ475" s="113">
        <v>1376000</v>
      </c>
      <c r="BA475" s="113">
        <v>261440</v>
      </c>
      <c r="BB475" s="113">
        <v>1637440</v>
      </c>
      <c r="BC475" s="52" t="s">
        <v>2925</v>
      </c>
      <c r="BD475" s="52" t="s">
        <v>4277</v>
      </c>
      <c r="BE475" s="118"/>
      <c r="BF475" s="118"/>
      <c r="BG475" s="118"/>
      <c r="BH475" s="52"/>
      <c r="BI475" s="283"/>
      <c r="BJ475" s="52"/>
      <c r="BK475" s="52"/>
      <c r="BL475" s="52"/>
      <c r="BM475" s="52"/>
      <c r="BN475" s="52"/>
      <c r="BO475" s="52"/>
      <c r="BP475" s="52"/>
      <c r="BQ475" s="52"/>
      <c r="BR475" s="52"/>
      <c r="BS475" s="52"/>
      <c r="BT475" s="52"/>
      <c r="BU475" s="52"/>
      <c r="BV475" s="52"/>
      <c r="BW475" s="52"/>
      <c r="BX475" s="52"/>
      <c r="BY475" s="52"/>
      <c r="BZ475" s="52"/>
      <c r="CA475" s="52"/>
      <c r="CB475" s="52"/>
      <c r="CC475" s="52"/>
      <c r="CD475" s="118"/>
      <c r="CE475" s="52"/>
      <c r="CF475" s="52"/>
      <c r="CG475" s="52"/>
      <c r="CH475" s="52"/>
      <c r="CI475" s="52"/>
      <c r="CJ475" s="52"/>
      <c r="CK475" s="52"/>
      <c r="CL475" s="52"/>
      <c r="CM475" s="52"/>
      <c r="CN475" s="118"/>
      <c r="CO475" s="118"/>
      <c r="CP475" s="118"/>
      <c r="CQ475" s="52"/>
      <c r="CR475" s="52"/>
      <c r="CS475" s="52"/>
      <c r="CT475" s="52"/>
      <c r="CU475" s="52"/>
      <c r="CV475" s="52"/>
      <c r="CW475" s="52"/>
      <c r="CX475" s="52"/>
      <c r="CY475" s="52"/>
      <c r="CZ475" s="52"/>
      <c r="DA475" s="52"/>
      <c r="DB475" s="52"/>
    </row>
    <row r="476" spans="1:106" ht="51" x14ac:dyDescent="0.25">
      <c r="A476" s="411">
        <v>474</v>
      </c>
      <c r="B476" s="412" t="s">
        <v>4278</v>
      </c>
      <c r="C476" s="413" t="s">
        <v>4260</v>
      </c>
      <c r="D476" s="426" t="s">
        <v>4224</v>
      </c>
      <c r="E476" s="80">
        <v>1</v>
      </c>
      <c r="F476" s="355">
        <v>490990.413</v>
      </c>
      <c r="G476" s="293"/>
      <c r="H476" s="293"/>
      <c r="I476" s="293"/>
      <c r="J476" s="52"/>
      <c r="K476" s="52"/>
      <c r="L476" s="359"/>
      <c r="M476" s="360"/>
      <c r="N476" s="361"/>
      <c r="O476" s="33"/>
      <c r="P476" s="252"/>
      <c r="Q476" s="113"/>
      <c r="R476" s="113"/>
      <c r="S476" s="113"/>
      <c r="T476" s="52"/>
      <c r="U476" s="5"/>
      <c r="V476" s="231">
        <v>420000</v>
      </c>
      <c r="W476" s="231">
        <f t="shared" si="54"/>
        <v>79800</v>
      </c>
      <c r="X476" s="231">
        <f t="shared" si="55"/>
        <v>499800</v>
      </c>
      <c r="Y476" s="113" t="s">
        <v>4248</v>
      </c>
      <c r="Z476" s="357" t="s">
        <v>4279</v>
      </c>
      <c r="AA476" s="113" t="s">
        <v>2877</v>
      </c>
      <c r="AB476" s="113"/>
      <c r="AC476" s="113"/>
      <c r="AD476" s="52"/>
      <c r="AE476" s="5"/>
      <c r="AF476" s="358"/>
      <c r="AG476" s="358"/>
      <c r="AH476" s="358"/>
      <c r="AI476" s="358"/>
      <c r="AJ476" s="358"/>
      <c r="AK476" s="113">
        <v>460000</v>
      </c>
      <c r="AL476" s="113">
        <v>87400</v>
      </c>
      <c r="AM476" s="113">
        <v>547400</v>
      </c>
      <c r="AN476" s="113" t="s">
        <v>2887</v>
      </c>
      <c r="AO476" s="113" t="s">
        <v>3198</v>
      </c>
      <c r="AP476" s="52"/>
      <c r="AQ476" s="52"/>
      <c r="AR476" s="52"/>
      <c r="AS476" s="52"/>
      <c r="AT476" s="52"/>
      <c r="AU476" s="125">
        <v>628600</v>
      </c>
      <c r="AV476" s="125">
        <v>119434</v>
      </c>
      <c r="AW476" s="125">
        <v>748034</v>
      </c>
      <c r="AX476" s="5" t="s">
        <v>3195</v>
      </c>
      <c r="AY476" s="5" t="s">
        <v>4280</v>
      </c>
      <c r="AZ476" s="113">
        <v>500000</v>
      </c>
      <c r="BA476" s="113">
        <v>95000</v>
      </c>
      <c r="BB476" s="113">
        <v>595000</v>
      </c>
      <c r="BC476" s="52" t="s">
        <v>2925</v>
      </c>
      <c r="BD476" s="52" t="s">
        <v>4258</v>
      </c>
      <c r="BE476" s="118"/>
      <c r="BF476" s="118"/>
      <c r="BG476" s="118"/>
      <c r="BH476" s="52"/>
      <c r="BI476" s="283"/>
      <c r="BJ476" s="52"/>
      <c r="BK476" s="52"/>
      <c r="BL476" s="52"/>
      <c r="BM476" s="52"/>
      <c r="BN476" s="52"/>
      <c r="BO476" s="52"/>
      <c r="BP476" s="52"/>
      <c r="BQ476" s="52"/>
      <c r="BR476" s="52"/>
      <c r="BS476" s="52"/>
      <c r="BT476" s="52"/>
      <c r="BU476" s="52"/>
      <c r="BV476" s="52"/>
      <c r="BW476" s="52"/>
      <c r="BX476" s="52"/>
      <c r="BY476" s="52"/>
      <c r="BZ476" s="52"/>
      <c r="CA476" s="52"/>
      <c r="CB476" s="52"/>
      <c r="CC476" s="52"/>
      <c r="CD476" s="118"/>
      <c r="CE476" s="52"/>
      <c r="CF476" s="52"/>
      <c r="CG476" s="52"/>
      <c r="CH476" s="52"/>
      <c r="CI476" s="52"/>
      <c r="CJ476" s="52"/>
      <c r="CK476" s="52"/>
      <c r="CL476" s="52"/>
      <c r="CM476" s="52"/>
      <c r="CN476" s="118"/>
      <c r="CO476" s="118"/>
      <c r="CP476" s="118"/>
      <c r="CQ476" s="52"/>
      <c r="CR476" s="52"/>
      <c r="CS476" s="52"/>
      <c r="CT476" s="52"/>
      <c r="CU476" s="52"/>
      <c r="CV476" s="52"/>
      <c r="CW476" s="52"/>
      <c r="CX476" s="52"/>
      <c r="CY476" s="52"/>
      <c r="CZ476" s="52"/>
      <c r="DA476" s="52"/>
      <c r="DB476" s="52"/>
    </row>
    <row r="477" spans="1:106" ht="51" x14ac:dyDescent="0.25">
      <c r="A477" s="411">
        <v>475</v>
      </c>
      <c r="B477" s="412" t="s">
        <v>4281</v>
      </c>
      <c r="C477" s="426" t="s">
        <v>4282</v>
      </c>
      <c r="D477" s="426" t="s">
        <v>4224</v>
      </c>
      <c r="E477" s="80">
        <v>1</v>
      </c>
      <c r="F477" s="355">
        <v>501547.13200000004</v>
      </c>
      <c r="G477" s="293"/>
      <c r="H477" s="293"/>
      <c r="I477" s="293"/>
      <c r="J477" s="52"/>
      <c r="K477" s="52"/>
      <c r="L477" s="359"/>
      <c r="M477" s="360"/>
      <c r="N477" s="361"/>
      <c r="O477" s="33"/>
      <c r="P477" s="252"/>
      <c r="Q477" s="113"/>
      <c r="R477" s="113"/>
      <c r="S477" s="113"/>
      <c r="T477" s="52"/>
      <c r="U477" s="5"/>
      <c r="V477" s="231">
        <v>420000</v>
      </c>
      <c r="W477" s="231">
        <f t="shared" si="54"/>
        <v>79800</v>
      </c>
      <c r="X477" s="231">
        <f t="shared" si="55"/>
        <v>499800</v>
      </c>
      <c r="Y477" s="113" t="s">
        <v>4248</v>
      </c>
      <c r="Z477" s="357" t="s">
        <v>4283</v>
      </c>
      <c r="AA477" s="118" t="s">
        <v>2877</v>
      </c>
      <c r="AB477" s="118"/>
      <c r="AC477" s="118"/>
      <c r="AD477" s="52"/>
      <c r="AE477" s="5"/>
      <c r="AF477" s="358"/>
      <c r="AG477" s="358"/>
      <c r="AH477" s="358"/>
      <c r="AI477" s="358"/>
      <c r="AJ477" s="358"/>
      <c r="AK477" s="113">
        <v>460000</v>
      </c>
      <c r="AL477" s="113">
        <v>87400</v>
      </c>
      <c r="AM477" s="113">
        <v>547400</v>
      </c>
      <c r="AN477" s="113" t="s">
        <v>2887</v>
      </c>
      <c r="AO477" s="113" t="s">
        <v>4284</v>
      </c>
      <c r="AP477" s="52"/>
      <c r="AQ477" s="52"/>
      <c r="AR477" s="52"/>
      <c r="AS477" s="52"/>
      <c r="AT477" s="52"/>
      <c r="AU477" s="125">
        <v>628600</v>
      </c>
      <c r="AV477" s="125">
        <v>119434</v>
      </c>
      <c r="AW477" s="125">
        <v>748034</v>
      </c>
      <c r="AX477" s="5" t="s">
        <v>3195</v>
      </c>
      <c r="AY477" s="5" t="s">
        <v>4234</v>
      </c>
      <c r="AZ477" s="113">
        <v>566000</v>
      </c>
      <c r="BA477" s="113">
        <v>107540</v>
      </c>
      <c r="BB477" s="113">
        <v>673540</v>
      </c>
      <c r="BC477" s="52" t="s">
        <v>2925</v>
      </c>
      <c r="BD477" s="52" t="s">
        <v>4285</v>
      </c>
      <c r="BE477" s="118"/>
      <c r="BF477" s="118"/>
      <c r="BG477" s="118"/>
      <c r="BH477" s="52"/>
      <c r="BI477" s="283"/>
      <c r="BJ477" s="52"/>
      <c r="BK477" s="52"/>
      <c r="BL477" s="52"/>
      <c r="BM477" s="52"/>
      <c r="BN477" s="52"/>
      <c r="BO477" s="52"/>
      <c r="BP477" s="52"/>
      <c r="BQ477" s="52"/>
      <c r="BR477" s="52"/>
      <c r="BS477" s="52"/>
      <c r="BT477" s="52"/>
      <c r="BU477" s="52"/>
      <c r="BV477" s="52"/>
      <c r="BW477" s="52"/>
      <c r="BX477" s="52"/>
      <c r="BY477" s="52"/>
      <c r="BZ477" s="52"/>
      <c r="CA477" s="52"/>
      <c r="CB477" s="52"/>
      <c r="CC477" s="52"/>
      <c r="CD477" s="118"/>
      <c r="CE477" s="52"/>
      <c r="CF477" s="52"/>
      <c r="CG477" s="52"/>
      <c r="CH477" s="52"/>
      <c r="CI477" s="52"/>
      <c r="CJ477" s="52"/>
      <c r="CK477" s="52"/>
      <c r="CL477" s="52"/>
      <c r="CM477" s="52"/>
      <c r="CN477" s="118"/>
      <c r="CO477" s="118"/>
      <c r="CP477" s="118"/>
      <c r="CQ477" s="52"/>
      <c r="CR477" s="52"/>
      <c r="CS477" s="52"/>
      <c r="CT477" s="52"/>
      <c r="CU477" s="52"/>
      <c r="CV477" s="52"/>
      <c r="CW477" s="52"/>
      <c r="CX477" s="52"/>
      <c r="CY477" s="52"/>
      <c r="CZ477" s="52"/>
      <c r="DA477" s="52"/>
      <c r="DB477" s="52"/>
    </row>
    <row r="478" spans="1:106" ht="27" x14ac:dyDescent="0.25">
      <c r="A478" s="411">
        <v>476</v>
      </c>
      <c r="B478" s="412" t="s">
        <v>4286</v>
      </c>
      <c r="C478" s="413" t="s">
        <v>4287</v>
      </c>
      <c r="D478" s="426" t="s">
        <v>4288</v>
      </c>
      <c r="E478" s="80">
        <v>1</v>
      </c>
      <c r="F478" s="353">
        <v>4248688.0754000004</v>
      </c>
      <c r="G478" s="293"/>
      <c r="H478" s="293"/>
      <c r="I478" s="293"/>
      <c r="J478" s="52"/>
      <c r="K478" s="52"/>
      <c r="L478" s="359"/>
      <c r="M478" s="360"/>
      <c r="N478" s="361"/>
      <c r="O478" s="33"/>
      <c r="P478" s="252"/>
      <c r="Q478" s="113"/>
      <c r="R478" s="113"/>
      <c r="S478" s="113"/>
      <c r="T478" s="52"/>
      <c r="U478" s="5"/>
      <c r="V478" s="231"/>
      <c r="W478" s="231"/>
      <c r="X478" s="231"/>
      <c r="Y478" s="113"/>
      <c r="Z478" s="357"/>
      <c r="AA478" s="118" t="s">
        <v>2877</v>
      </c>
      <c r="AB478" s="118"/>
      <c r="AC478" s="118"/>
      <c r="AD478" s="52"/>
      <c r="AE478" s="5"/>
      <c r="AF478" s="358"/>
      <c r="AG478" s="358"/>
      <c r="AH478" s="358"/>
      <c r="AI478" s="358"/>
      <c r="AJ478" s="358"/>
      <c r="AK478" s="113">
        <v>460000</v>
      </c>
      <c r="AL478" s="113">
        <v>87400</v>
      </c>
      <c r="AM478" s="113">
        <v>547400</v>
      </c>
      <c r="AN478" s="113" t="s">
        <v>2887</v>
      </c>
      <c r="AO478" s="113" t="s">
        <v>4284</v>
      </c>
      <c r="AP478" s="52"/>
      <c r="AQ478" s="52"/>
      <c r="AR478" s="52"/>
      <c r="AS478" s="52"/>
      <c r="AT478" s="52"/>
      <c r="AU478" s="125"/>
      <c r="AV478" s="125"/>
      <c r="AW478" s="125"/>
      <c r="AX478" s="5"/>
      <c r="AY478" s="5"/>
      <c r="AZ478" s="113">
        <v>1241000</v>
      </c>
      <c r="BA478" s="113">
        <v>235790</v>
      </c>
      <c r="BB478" s="113">
        <v>1476790</v>
      </c>
      <c r="BC478" s="52" t="s">
        <v>2925</v>
      </c>
      <c r="BD478" s="52" t="s">
        <v>4289</v>
      </c>
      <c r="BE478" s="118"/>
      <c r="BF478" s="118"/>
      <c r="BG478" s="118"/>
      <c r="BH478" s="52"/>
      <c r="BI478" s="283"/>
      <c r="BJ478" s="52"/>
      <c r="BK478" s="52"/>
      <c r="BL478" s="52"/>
      <c r="BM478" s="52"/>
      <c r="BN478" s="52"/>
      <c r="BO478" s="52"/>
      <c r="BP478" s="52"/>
      <c r="BQ478" s="52"/>
      <c r="BR478" s="52"/>
      <c r="BS478" s="52"/>
      <c r="BT478" s="52"/>
      <c r="BU478" s="52"/>
      <c r="BV478" s="52"/>
      <c r="BW478" s="52"/>
      <c r="BX478" s="52"/>
      <c r="BY478" s="52"/>
      <c r="BZ478" s="52"/>
      <c r="CA478" s="52"/>
      <c r="CB478" s="52"/>
      <c r="CC478" s="52"/>
      <c r="CD478" s="118"/>
      <c r="CE478" s="52"/>
      <c r="CF478" s="52"/>
      <c r="CG478" s="52"/>
      <c r="CH478" s="52"/>
      <c r="CI478" s="52"/>
      <c r="CJ478" s="52"/>
      <c r="CK478" s="52"/>
      <c r="CL478" s="52"/>
      <c r="CM478" s="52"/>
      <c r="CN478" s="118"/>
      <c r="CO478" s="118"/>
      <c r="CP478" s="118"/>
      <c r="CQ478" s="52"/>
      <c r="CR478" s="52"/>
      <c r="CS478" s="52"/>
      <c r="CT478" s="52"/>
      <c r="CU478" s="52"/>
      <c r="CV478" s="52"/>
      <c r="CW478" s="52"/>
      <c r="CX478" s="52"/>
      <c r="CY478" s="52"/>
      <c r="CZ478" s="52"/>
      <c r="DA478" s="52"/>
      <c r="DB478" s="52"/>
    </row>
    <row r="479" spans="1:106" ht="51" x14ac:dyDescent="0.25">
      <c r="A479" s="411">
        <v>477</v>
      </c>
      <c r="B479" s="412" t="s">
        <v>4290</v>
      </c>
      <c r="C479" s="413" t="s">
        <v>4291</v>
      </c>
      <c r="D479" s="426" t="s">
        <v>4288</v>
      </c>
      <c r="E479" s="80">
        <v>1</v>
      </c>
      <c r="F479" s="353">
        <v>6948688.0461999997</v>
      </c>
      <c r="G479" s="293"/>
      <c r="H479" s="293"/>
      <c r="I479" s="293"/>
      <c r="J479" s="52"/>
      <c r="K479" s="52"/>
      <c r="L479" s="359"/>
      <c r="M479" s="360"/>
      <c r="N479" s="361"/>
      <c r="O479" s="33"/>
      <c r="P479" s="252"/>
      <c r="Q479" s="113"/>
      <c r="R479" s="113"/>
      <c r="S479" s="113"/>
      <c r="T479" s="52"/>
      <c r="U479" s="5"/>
      <c r="V479" s="231">
        <v>420000</v>
      </c>
      <c r="W479" s="231">
        <f t="shared" si="54"/>
        <v>79800</v>
      </c>
      <c r="X479" s="231">
        <f t="shared" si="55"/>
        <v>499800</v>
      </c>
      <c r="Y479" s="113" t="s">
        <v>4248</v>
      </c>
      <c r="Z479" s="357" t="s">
        <v>4283</v>
      </c>
      <c r="AA479" s="118" t="s">
        <v>2877</v>
      </c>
      <c r="AB479" s="118"/>
      <c r="AC479" s="118"/>
      <c r="AD479" s="52"/>
      <c r="AE479" s="5"/>
      <c r="AF479" s="358"/>
      <c r="AG479" s="358"/>
      <c r="AH479" s="358"/>
      <c r="AI479" s="358"/>
      <c r="AJ479" s="358"/>
      <c r="AK479" s="113">
        <v>460000</v>
      </c>
      <c r="AL479" s="113">
        <v>87400</v>
      </c>
      <c r="AM479" s="113">
        <v>547400</v>
      </c>
      <c r="AN479" s="113" t="s">
        <v>2887</v>
      </c>
      <c r="AO479" s="113" t="s">
        <v>4284</v>
      </c>
      <c r="AP479" s="52"/>
      <c r="AQ479" s="52"/>
      <c r="AR479" s="52"/>
      <c r="AS479" s="52"/>
      <c r="AT479" s="52"/>
      <c r="AU479" s="125">
        <v>628600</v>
      </c>
      <c r="AV479" s="125">
        <v>119434</v>
      </c>
      <c r="AW479" s="125">
        <v>748034</v>
      </c>
      <c r="AX479" s="5" t="s">
        <v>3195</v>
      </c>
      <c r="AY479" s="5" t="s">
        <v>4234</v>
      </c>
      <c r="AZ479" s="113">
        <v>2266000</v>
      </c>
      <c r="BA479" s="113">
        <v>430540</v>
      </c>
      <c r="BB479" s="113">
        <v>2696540</v>
      </c>
      <c r="BC479" s="52" t="s">
        <v>2925</v>
      </c>
      <c r="BD479" s="52" t="s">
        <v>4285</v>
      </c>
      <c r="BE479" s="118"/>
      <c r="BF479" s="118"/>
      <c r="BG479" s="118"/>
      <c r="BH479" s="52"/>
      <c r="BI479" s="283"/>
      <c r="BJ479" s="52"/>
      <c r="BK479" s="52"/>
      <c r="BL479" s="52"/>
      <c r="BM479" s="52"/>
      <c r="BN479" s="52"/>
      <c r="BO479" s="52"/>
      <c r="BP479" s="52"/>
      <c r="BQ479" s="52"/>
      <c r="BR479" s="52"/>
      <c r="BS479" s="52"/>
      <c r="BT479" s="52"/>
      <c r="BU479" s="52"/>
      <c r="BV479" s="52"/>
      <c r="BW479" s="52"/>
      <c r="BX479" s="52"/>
      <c r="BY479" s="52"/>
      <c r="BZ479" s="52"/>
      <c r="CA479" s="52"/>
      <c r="CB479" s="52"/>
      <c r="CC479" s="52"/>
      <c r="CD479" s="118"/>
      <c r="CE479" s="52"/>
      <c r="CF479" s="52"/>
      <c r="CG479" s="52"/>
      <c r="CH479" s="52"/>
      <c r="CI479" s="52"/>
      <c r="CJ479" s="52"/>
      <c r="CK479" s="52"/>
      <c r="CL479" s="52"/>
      <c r="CM479" s="52"/>
      <c r="CN479" s="118"/>
      <c r="CO479" s="118"/>
      <c r="CP479" s="118"/>
      <c r="CQ479" s="52"/>
      <c r="CR479" s="52"/>
      <c r="CS479" s="52"/>
      <c r="CT479" s="52"/>
      <c r="CU479" s="52"/>
      <c r="CV479" s="52"/>
      <c r="CW479" s="52"/>
      <c r="CX479" s="52"/>
      <c r="CY479" s="52"/>
      <c r="CZ479" s="52"/>
      <c r="DA479" s="52"/>
      <c r="DB479" s="52"/>
    </row>
    <row r="480" spans="1:106" ht="40.5" x14ac:dyDescent="0.25">
      <c r="A480" s="411">
        <v>478</v>
      </c>
      <c r="B480" s="412" t="s">
        <v>4292</v>
      </c>
      <c r="C480" s="413" t="s">
        <v>4293</v>
      </c>
      <c r="D480" s="426" t="s">
        <v>3732</v>
      </c>
      <c r="E480" s="80">
        <v>1</v>
      </c>
      <c r="F480" s="353">
        <v>109348.386</v>
      </c>
      <c r="G480" s="293"/>
      <c r="H480" s="293"/>
      <c r="I480" s="293"/>
      <c r="J480" s="52"/>
      <c r="K480" s="52"/>
      <c r="L480" s="359"/>
      <c r="M480" s="360"/>
      <c r="N480" s="361"/>
      <c r="O480" s="33"/>
      <c r="P480" s="252"/>
      <c r="Q480" s="113"/>
      <c r="R480" s="113"/>
      <c r="S480" s="113"/>
      <c r="T480" s="52"/>
      <c r="U480" s="5"/>
      <c r="V480" s="231">
        <v>86000</v>
      </c>
      <c r="W480" s="231">
        <f t="shared" si="54"/>
        <v>16340</v>
      </c>
      <c r="X480" s="231">
        <f t="shared" si="55"/>
        <v>102340</v>
      </c>
      <c r="Y480" s="118" t="s">
        <v>3112</v>
      </c>
      <c r="Z480" s="363" t="s">
        <v>4294</v>
      </c>
      <c r="AA480" s="118" t="s">
        <v>2877</v>
      </c>
      <c r="AB480" s="118"/>
      <c r="AC480" s="118"/>
      <c r="AD480" s="52"/>
      <c r="AE480" s="5"/>
      <c r="AF480" s="358"/>
      <c r="AG480" s="358"/>
      <c r="AH480" s="358"/>
      <c r="AI480" s="358"/>
      <c r="AJ480" s="358"/>
      <c r="AK480" s="113">
        <v>67900</v>
      </c>
      <c r="AL480" s="113">
        <v>12901</v>
      </c>
      <c r="AM480" s="113">
        <v>80801</v>
      </c>
      <c r="AN480" s="113" t="s">
        <v>2887</v>
      </c>
      <c r="AO480" s="113" t="s">
        <v>4295</v>
      </c>
      <c r="AP480" s="52"/>
      <c r="AQ480" s="52"/>
      <c r="AR480" s="52"/>
      <c r="AS480" s="52"/>
      <c r="AT480" s="52"/>
      <c r="AU480" s="125">
        <v>225000</v>
      </c>
      <c r="AV480" s="125">
        <v>42750</v>
      </c>
      <c r="AW480" s="125">
        <v>267750</v>
      </c>
      <c r="AX480" s="5" t="s">
        <v>3195</v>
      </c>
      <c r="AY480" s="5" t="s">
        <v>4296</v>
      </c>
      <c r="AZ480" s="113">
        <v>92000</v>
      </c>
      <c r="BA480" s="113">
        <v>17480</v>
      </c>
      <c r="BB480" s="113">
        <v>109480</v>
      </c>
      <c r="BC480" s="52" t="s">
        <v>2925</v>
      </c>
      <c r="BD480" s="52" t="s">
        <v>4297</v>
      </c>
      <c r="BE480" s="118"/>
      <c r="BF480" s="118"/>
      <c r="BG480" s="118"/>
      <c r="BH480" s="52"/>
      <c r="BI480" s="283"/>
      <c r="BJ480" s="52"/>
      <c r="BK480" s="52"/>
      <c r="BL480" s="52"/>
      <c r="BM480" s="52"/>
      <c r="BN480" s="52"/>
      <c r="BO480" s="52"/>
      <c r="BP480" s="52"/>
      <c r="BQ480" s="52"/>
      <c r="BR480" s="52"/>
      <c r="BS480" s="52"/>
      <c r="BT480" s="52"/>
      <c r="BU480" s="52"/>
      <c r="BV480" s="52"/>
      <c r="BW480" s="52"/>
      <c r="BX480" s="52"/>
      <c r="BY480" s="52"/>
      <c r="BZ480" s="52"/>
      <c r="CA480" s="52"/>
      <c r="CB480" s="52"/>
      <c r="CC480" s="52"/>
      <c r="CD480" s="118"/>
      <c r="CE480" s="52"/>
      <c r="CF480" s="52"/>
      <c r="CG480" s="52"/>
      <c r="CH480" s="52"/>
      <c r="CI480" s="52"/>
      <c r="CJ480" s="52"/>
      <c r="CK480" s="52"/>
      <c r="CL480" s="52"/>
      <c r="CM480" s="52"/>
      <c r="CN480" s="118"/>
      <c r="CO480" s="118"/>
      <c r="CP480" s="118"/>
      <c r="CQ480" s="52"/>
      <c r="CR480" s="52"/>
      <c r="CS480" s="52"/>
      <c r="CT480" s="52"/>
      <c r="CU480" s="52"/>
      <c r="CV480" s="52"/>
      <c r="CW480" s="52"/>
      <c r="CX480" s="52"/>
      <c r="CY480" s="52"/>
      <c r="CZ480" s="52"/>
      <c r="DA480" s="52"/>
      <c r="DB480" s="52"/>
    </row>
    <row r="481" spans="1:106" ht="51" x14ac:dyDescent="0.25">
      <c r="A481" s="411">
        <v>479</v>
      </c>
      <c r="B481" s="412" t="s">
        <v>4298</v>
      </c>
      <c r="C481" s="413" t="s">
        <v>4260</v>
      </c>
      <c r="D481" s="426" t="s">
        <v>4224</v>
      </c>
      <c r="E481" s="80">
        <v>1</v>
      </c>
      <c r="F481" s="353">
        <v>410999.10600000003</v>
      </c>
      <c r="G481" s="293"/>
      <c r="H481" s="293"/>
      <c r="I481" s="293"/>
      <c r="J481" s="52"/>
      <c r="K481" s="52"/>
      <c r="L481" s="359"/>
      <c r="M481" s="360"/>
      <c r="N481" s="361"/>
      <c r="O481" s="33"/>
      <c r="P481" s="252"/>
      <c r="Q481" s="113"/>
      <c r="R481" s="113"/>
      <c r="S481" s="113"/>
      <c r="T481" s="52"/>
      <c r="U481" s="5"/>
      <c r="V481" s="231"/>
      <c r="W481" s="231"/>
      <c r="X481" s="231"/>
      <c r="Y481" s="113"/>
      <c r="Z481" s="357"/>
      <c r="AA481" s="118" t="s">
        <v>2877</v>
      </c>
      <c r="AB481" s="118"/>
      <c r="AC481" s="118"/>
      <c r="AD481" s="52"/>
      <c r="AE481" s="5"/>
      <c r="AF481" s="358"/>
      <c r="AG481" s="358"/>
      <c r="AH481" s="358"/>
      <c r="AI481" s="358"/>
      <c r="AJ481" s="358"/>
      <c r="AK481" s="113">
        <v>460000</v>
      </c>
      <c r="AL481" s="113">
        <v>87400</v>
      </c>
      <c r="AM481" s="113">
        <v>547400</v>
      </c>
      <c r="AN481" s="113" t="s">
        <v>2887</v>
      </c>
      <c r="AO481" s="113" t="s">
        <v>4299</v>
      </c>
      <c r="AP481" s="52"/>
      <c r="AQ481" s="52"/>
      <c r="AR481" s="52"/>
      <c r="AS481" s="52"/>
      <c r="AT481" s="52"/>
      <c r="AU481" s="125">
        <v>628600</v>
      </c>
      <c r="AV481" s="125">
        <v>119434</v>
      </c>
      <c r="AW481" s="125">
        <v>748034</v>
      </c>
      <c r="AX481" s="5" t="s">
        <v>3195</v>
      </c>
      <c r="AY481" s="5" t="s">
        <v>4300</v>
      </c>
      <c r="AZ481" s="113">
        <v>500000</v>
      </c>
      <c r="BA481" s="113">
        <v>95000</v>
      </c>
      <c r="BB481" s="113">
        <v>595000</v>
      </c>
      <c r="BC481" s="52" t="s">
        <v>2925</v>
      </c>
      <c r="BD481" s="52" t="s">
        <v>4301</v>
      </c>
      <c r="BE481" s="118"/>
      <c r="BF481" s="118"/>
      <c r="BG481" s="118"/>
      <c r="BH481" s="52"/>
      <c r="BI481" s="283"/>
      <c r="BJ481" s="52"/>
      <c r="BK481" s="52"/>
      <c r="BL481" s="52"/>
      <c r="BM481" s="52"/>
      <c r="BN481" s="52"/>
      <c r="BO481" s="52"/>
      <c r="BP481" s="52"/>
      <c r="BQ481" s="52"/>
      <c r="BR481" s="52"/>
      <c r="BS481" s="52"/>
      <c r="BT481" s="52"/>
      <c r="BU481" s="52"/>
      <c r="BV481" s="52"/>
      <c r="BW481" s="52"/>
      <c r="BX481" s="52"/>
      <c r="BY481" s="52"/>
      <c r="BZ481" s="52"/>
      <c r="CA481" s="52"/>
      <c r="CB481" s="52"/>
      <c r="CC481" s="52"/>
      <c r="CD481" s="118"/>
      <c r="CE481" s="52"/>
      <c r="CF481" s="52"/>
      <c r="CG481" s="52"/>
      <c r="CH481" s="52"/>
      <c r="CI481" s="52"/>
      <c r="CJ481" s="52"/>
      <c r="CK481" s="52"/>
      <c r="CL481" s="52"/>
      <c r="CM481" s="52"/>
      <c r="CN481" s="118"/>
      <c r="CO481" s="118"/>
      <c r="CP481" s="118"/>
      <c r="CQ481" s="52"/>
      <c r="CR481" s="52"/>
      <c r="CS481" s="52"/>
      <c r="CT481" s="52"/>
      <c r="CU481" s="52"/>
      <c r="CV481" s="52"/>
      <c r="CW481" s="52"/>
      <c r="CX481" s="52"/>
      <c r="CY481" s="52"/>
      <c r="CZ481" s="52"/>
      <c r="DA481" s="52"/>
      <c r="DB481" s="52"/>
    </row>
    <row r="482" spans="1:106" ht="51" x14ac:dyDescent="0.25">
      <c r="A482" s="411">
        <v>480</v>
      </c>
      <c r="B482" s="412" t="s">
        <v>4302</v>
      </c>
      <c r="C482" s="413" t="s">
        <v>4303</v>
      </c>
      <c r="D482" s="426" t="s">
        <v>4224</v>
      </c>
      <c r="E482" s="80">
        <v>1</v>
      </c>
      <c r="F482" s="353">
        <v>428972.46140000003</v>
      </c>
      <c r="G482" s="293"/>
      <c r="H482" s="293"/>
      <c r="I482" s="293"/>
      <c r="J482" s="52"/>
      <c r="K482" s="52"/>
      <c r="L482" s="359"/>
      <c r="M482" s="360"/>
      <c r="N482" s="361"/>
      <c r="O482" s="33"/>
      <c r="P482" s="252"/>
      <c r="Q482" s="113"/>
      <c r="R482" s="113"/>
      <c r="S482" s="113"/>
      <c r="T482" s="52"/>
      <c r="U482" s="5"/>
      <c r="V482" s="231">
        <v>420000</v>
      </c>
      <c r="W482" s="231">
        <f t="shared" si="54"/>
        <v>79800</v>
      </c>
      <c r="X482" s="231">
        <f t="shared" si="55"/>
        <v>499800</v>
      </c>
      <c r="Y482" s="113" t="s">
        <v>4248</v>
      </c>
      <c r="Z482" s="357" t="s">
        <v>4279</v>
      </c>
      <c r="AA482" s="118" t="s">
        <v>2877</v>
      </c>
      <c r="AB482" s="118"/>
      <c r="AC482" s="118"/>
      <c r="AD482" s="52"/>
      <c r="AE482" s="5"/>
      <c r="AF482" s="358"/>
      <c r="AG482" s="358"/>
      <c r="AH482" s="358"/>
      <c r="AI482" s="358"/>
      <c r="AJ482" s="358"/>
      <c r="AK482" s="113"/>
      <c r="AL482" s="113"/>
      <c r="AM482" s="113"/>
      <c r="AN482" s="113"/>
      <c r="AO482" s="113"/>
      <c r="AP482" s="52"/>
      <c r="AQ482" s="52"/>
      <c r="AR482" s="52"/>
      <c r="AS482" s="52"/>
      <c r="AT482" s="52"/>
      <c r="AU482" s="125">
        <v>628600</v>
      </c>
      <c r="AV482" s="125">
        <v>119434</v>
      </c>
      <c r="AW482" s="125">
        <v>748034</v>
      </c>
      <c r="AX482" s="5" t="s">
        <v>3195</v>
      </c>
      <c r="AY482" s="5" t="s">
        <v>4280</v>
      </c>
      <c r="AZ482" s="113">
        <v>500000</v>
      </c>
      <c r="BA482" s="113">
        <v>95000</v>
      </c>
      <c r="BB482" s="113">
        <v>595000</v>
      </c>
      <c r="BC482" s="52" t="s">
        <v>2925</v>
      </c>
      <c r="BD482" s="52" t="s">
        <v>4258</v>
      </c>
      <c r="BE482" s="118"/>
      <c r="BF482" s="118"/>
      <c r="BG482" s="118"/>
      <c r="BH482" s="52"/>
      <c r="BI482" s="283"/>
      <c r="BJ482" s="52"/>
      <c r="BK482" s="52"/>
      <c r="BL482" s="52"/>
      <c r="BM482" s="52"/>
      <c r="BN482" s="52"/>
      <c r="BO482" s="52"/>
      <c r="BP482" s="52"/>
      <c r="BQ482" s="52"/>
      <c r="BR482" s="52"/>
      <c r="BS482" s="52"/>
      <c r="BT482" s="52"/>
      <c r="BU482" s="52"/>
      <c r="BV482" s="52"/>
      <c r="BW482" s="52"/>
      <c r="BX482" s="52"/>
      <c r="BY482" s="52"/>
      <c r="BZ482" s="52"/>
      <c r="CA482" s="52"/>
      <c r="CB482" s="52"/>
      <c r="CC482" s="52"/>
      <c r="CD482" s="118"/>
      <c r="CE482" s="52"/>
      <c r="CF482" s="52"/>
      <c r="CG482" s="52"/>
      <c r="CH482" s="52"/>
      <c r="CI482" s="52"/>
      <c r="CJ482" s="52"/>
      <c r="CK482" s="52"/>
      <c r="CL482" s="52"/>
      <c r="CM482" s="52"/>
      <c r="CN482" s="118"/>
      <c r="CO482" s="118"/>
      <c r="CP482" s="118"/>
      <c r="CQ482" s="52"/>
      <c r="CR482" s="52"/>
      <c r="CS482" s="52"/>
      <c r="CT482" s="52"/>
      <c r="CU482" s="52"/>
      <c r="CV482" s="52"/>
      <c r="CW482" s="52"/>
      <c r="CX482" s="52"/>
      <c r="CY482" s="52"/>
      <c r="CZ482" s="52"/>
      <c r="DA482" s="52"/>
      <c r="DB482" s="52"/>
    </row>
    <row r="483" spans="1:106" ht="51" x14ac:dyDescent="0.25">
      <c r="A483" s="411">
        <v>481</v>
      </c>
      <c r="B483" s="412" t="s">
        <v>4304</v>
      </c>
      <c r="C483" s="413" t="s">
        <v>4305</v>
      </c>
      <c r="D483" s="426" t="s">
        <v>4224</v>
      </c>
      <c r="E483" s="80">
        <v>1</v>
      </c>
      <c r="F483" s="353">
        <v>412255.984</v>
      </c>
      <c r="G483" s="293"/>
      <c r="H483" s="293"/>
      <c r="I483" s="293"/>
      <c r="J483" s="52"/>
      <c r="K483" s="52"/>
      <c r="L483" s="359"/>
      <c r="M483" s="360"/>
      <c r="N483" s="361"/>
      <c r="O483" s="33"/>
      <c r="P483" s="252"/>
      <c r="Q483" s="113"/>
      <c r="R483" s="113"/>
      <c r="S483" s="113"/>
      <c r="T483" s="52"/>
      <c r="U483" s="5"/>
      <c r="V483" s="231">
        <v>420000</v>
      </c>
      <c r="W483" s="231">
        <f t="shared" si="54"/>
        <v>79800</v>
      </c>
      <c r="X483" s="231">
        <f t="shared" si="55"/>
        <v>499800</v>
      </c>
      <c r="Y483" s="113" t="s">
        <v>4248</v>
      </c>
      <c r="Z483" s="357" t="s">
        <v>4283</v>
      </c>
      <c r="AA483" s="118" t="s">
        <v>2877</v>
      </c>
      <c r="AB483" s="118"/>
      <c r="AC483" s="118"/>
      <c r="AD483" s="52"/>
      <c r="AE483" s="5"/>
      <c r="AF483" s="358"/>
      <c r="AG483" s="358"/>
      <c r="AH483" s="358"/>
      <c r="AI483" s="358"/>
      <c r="AJ483" s="358"/>
      <c r="AK483" s="113"/>
      <c r="AL483" s="113"/>
      <c r="AM483" s="113"/>
      <c r="AN483" s="113"/>
      <c r="AO483" s="113"/>
      <c r="AP483" s="52"/>
      <c r="AQ483" s="52"/>
      <c r="AR483" s="52"/>
      <c r="AS483" s="52"/>
      <c r="AT483" s="52"/>
      <c r="AU483" s="125">
        <v>628600</v>
      </c>
      <c r="AV483" s="125">
        <v>119434</v>
      </c>
      <c r="AW483" s="125">
        <v>748034</v>
      </c>
      <c r="AX483" s="5" t="s">
        <v>3195</v>
      </c>
      <c r="AY483" s="5" t="s">
        <v>4234</v>
      </c>
      <c r="AZ483" s="113">
        <v>566000</v>
      </c>
      <c r="BA483" s="113">
        <v>107540</v>
      </c>
      <c r="BB483" s="113">
        <v>673540</v>
      </c>
      <c r="BC483" s="52" t="s">
        <v>2925</v>
      </c>
      <c r="BD483" s="52" t="s">
        <v>4285</v>
      </c>
      <c r="BE483" s="118"/>
      <c r="BF483" s="118"/>
      <c r="BG483" s="118"/>
      <c r="BH483" s="52"/>
      <c r="BI483" s="283"/>
      <c r="BJ483" s="52"/>
      <c r="BK483" s="52"/>
      <c r="BL483" s="52"/>
      <c r="BM483" s="52"/>
      <c r="BN483" s="52"/>
      <c r="BO483" s="52"/>
      <c r="BP483" s="52"/>
      <c r="BQ483" s="52"/>
      <c r="BR483" s="52"/>
      <c r="BS483" s="52"/>
      <c r="BT483" s="52"/>
      <c r="BU483" s="52"/>
      <c r="BV483" s="52"/>
      <c r="BW483" s="52"/>
      <c r="BX483" s="52"/>
      <c r="BY483" s="52"/>
      <c r="BZ483" s="52"/>
      <c r="CA483" s="52"/>
      <c r="CB483" s="52"/>
      <c r="CC483" s="52"/>
      <c r="CD483" s="118"/>
      <c r="CE483" s="52"/>
      <c r="CF483" s="52"/>
      <c r="CG483" s="52"/>
      <c r="CH483" s="52"/>
      <c r="CI483" s="52"/>
      <c r="CJ483" s="52"/>
      <c r="CK483" s="52"/>
      <c r="CL483" s="52"/>
      <c r="CM483" s="52"/>
      <c r="CN483" s="118"/>
      <c r="CO483" s="118"/>
      <c r="CP483" s="118"/>
      <c r="CQ483" s="52"/>
      <c r="CR483" s="52"/>
      <c r="CS483" s="52"/>
      <c r="CT483" s="52"/>
      <c r="CU483" s="52"/>
      <c r="CV483" s="52"/>
      <c r="CW483" s="52"/>
      <c r="CX483" s="52"/>
      <c r="CY483" s="52"/>
      <c r="CZ483" s="52"/>
      <c r="DA483" s="52"/>
      <c r="DB483" s="52"/>
    </row>
    <row r="484" spans="1:106" ht="40.5" x14ac:dyDescent="0.25">
      <c r="A484" s="411">
        <v>482</v>
      </c>
      <c r="B484" s="412" t="s">
        <v>4306</v>
      </c>
      <c r="C484" s="413" t="s">
        <v>4307</v>
      </c>
      <c r="D484" s="426" t="s">
        <v>4224</v>
      </c>
      <c r="E484" s="80">
        <v>1</v>
      </c>
      <c r="F484" s="353">
        <v>502122.761</v>
      </c>
      <c r="G484" s="293"/>
      <c r="H484" s="293"/>
      <c r="I484" s="293"/>
      <c r="J484" s="52"/>
      <c r="K484" s="52"/>
      <c r="L484" s="359"/>
      <c r="M484" s="360"/>
      <c r="N484" s="361"/>
      <c r="O484" s="33"/>
      <c r="P484" s="252"/>
      <c r="Q484" s="113"/>
      <c r="R484" s="113"/>
      <c r="S484" s="113"/>
      <c r="T484" s="52"/>
      <c r="U484" s="5"/>
      <c r="V484" s="231"/>
      <c r="W484" s="231"/>
      <c r="X484" s="231"/>
      <c r="Y484" s="113"/>
      <c r="Z484" s="357"/>
      <c r="AA484" s="118" t="s">
        <v>2877</v>
      </c>
      <c r="AB484" s="118"/>
      <c r="AC484" s="118"/>
      <c r="AD484" s="52"/>
      <c r="AE484" s="5"/>
      <c r="AF484" s="358"/>
      <c r="AG484" s="358"/>
      <c r="AH484" s="358"/>
      <c r="AI484" s="358"/>
      <c r="AJ484" s="358"/>
      <c r="AK484" s="113"/>
      <c r="AL484" s="113"/>
      <c r="AM484" s="113"/>
      <c r="AN484" s="113"/>
      <c r="AO484" s="113"/>
      <c r="AP484" s="52"/>
      <c r="AQ484" s="52"/>
      <c r="AR484" s="52"/>
      <c r="AS484" s="52"/>
      <c r="AT484" s="52"/>
      <c r="AU484" s="125">
        <v>225000</v>
      </c>
      <c r="AV484" s="125">
        <v>42750</v>
      </c>
      <c r="AW484" s="125">
        <v>267750</v>
      </c>
      <c r="AX484" s="5" t="s">
        <v>3195</v>
      </c>
      <c r="AY484" s="5" t="s">
        <v>4296</v>
      </c>
      <c r="AZ484" s="113"/>
      <c r="BA484" s="113"/>
      <c r="BB484" s="113"/>
      <c r="BC484" s="52"/>
      <c r="BD484" s="52"/>
      <c r="BE484" s="118"/>
      <c r="BF484" s="118"/>
      <c r="BG484" s="118"/>
      <c r="BH484" s="52"/>
      <c r="BI484" s="283"/>
      <c r="BJ484" s="52"/>
      <c r="BK484" s="52"/>
      <c r="BL484" s="52"/>
      <c r="BM484" s="52"/>
      <c r="BN484" s="52"/>
      <c r="BO484" s="52"/>
      <c r="BP484" s="52"/>
      <c r="BQ484" s="52"/>
      <c r="BR484" s="52"/>
      <c r="BS484" s="52"/>
      <c r="BT484" s="52"/>
      <c r="BU484" s="52"/>
      <c r="BV484" s="52"/>
      <c r="BW484" s="52"/>
      <c r="BX484" s="52"/>
      <c r="BY484" s="52"/>
      <c r="BZ484" s="52"/>
      <c r="CA484" s="52"/>
      <c r="CB484" s="52"/>
      <c r="CC484" s="52"/>
      <c r="CD484" s="118"/>
      <c r="CE484" s="52"/>
      <c r="CF484" s="52"/>
      <c r="CG484" s="52"/>
      <c r="CH484" s="52"/>
      <c r="CI484" s="52"/>
      <c r="CJ484" s="52"/>
      <c r="CK484" s="52"/>
      <c r="CL484" s="52"/>
      <c r="CM484" s="52"/>
      <c r="CN484" s="118"/>
      <c r="CO484" s="118"/>
      <c r="CP484" s="118"/>
      <c r="CQ484" s="52"/>
      <c r="CR484" s="52"/>
      <c r="CS484" s="52"/>
      <c r="CT484" s="52"/>
      <c r="CU484" s="52"/>
      <c r="CV484" s="52"/>
      <c r="CW484" s="52"/>
      <c r="CX484" s="52"/>
      <c r="CY484" s="52"/>
      <c r="CZ484" s="52"/>
      <c r="DA484" s="52"/>
      <c r="DB484" s="52"/>
    </row>
    <row r="485" spans="1:106" ht="38.25" x14ac:dyDescent="0.25">
      <c r="A485" s="411">
        <v>483</v>
      </c>
      <c r="B485" s="412" t="s">
        <v>4308</v>
      </c>
      <c r="C485" s="413" t="s">
        <v>4309</v>
      </c>
      <c r="D485" s="426" t="s">
        <v>3732</v>
      </c>
      <c r="E485" s="80">
        <v>1</v>
      </c>
      <c r="F485" s="353">
        <v>480693.51920000004</v>
      </c>
      <c r="G485" s="293"/>
      <c r="H485" s="293"/>
      <c r="I485" s="293"/>
      <c r="J485" s="52"/>
      <c r="K485" s="52"/>
      <c r="L485" s="359"/>
      <c r="M485" s="360"/>
      <c r="N485" s="361"/>
      <c r="O485" s="33"/>
      <c r="P485" s="252"/>
      <c r="Q485" s="113"/>
      <c r="R485" s="113"/>
      <c r="S485" s="113"/>
      <c r="T485" s="52"/>
      <c r="U485" s="5"/>
      <c r="V485" s="231"/>
      <c r="W485" s="231"/>
      <c r="X485" s="231"/>
      <c r="Y485" s="113"/>
      <c r="Z485" s="357"/>
      <c r="AA485" s="118" t="s">
        <v>2877</v>
      </c>
      <c r="AB485" s="118"/>
      <c r="AC485" s="118"/>
      <c r="AD485" s="52"/>
      <c r="AE485" s="5"/>
      <c r="AF485" s="358"/>
      <c r="AG485" s="358"/>
      <c r="AH485" s="358"/>
      <c r="AI485" s="358"/>
      <c r="AJ485" s="358"/>
      <c r="AK485" s="113"/>
      <c r="AL485" s="113"/>
      <c r="AM485" s="113"/>
      <c r="AN485" s="113"/>
      <c r="AO485" s="113"/>
      <c r="AP485" s="52"/>
      <c r="AQ485" s="52"/>
      <c r="AR485" s="52"/>
      <c r="AS485" s="52"/>
      <c r="AT485" s="52"/>
      <c r="AU485" s="125">
        <v>225000</v>
      </c>
      <c r="AV485" s="125">
        <v>42750</v>
      </c>
      <c r="AW485" s="125">
        <v>267750</v>
      </c>
      <c r="AX485" s="5" t="s">
        <v>3195</v>
      </c>
      <c r="AY485" s="5" t="s">
        <v>4296</v>
      </c>
      <c r="AZ485" s="113"/>
      <c r="BA485" s="113"/>
      <c r="BB485" s="113"/>
      <c r="BC485" s="52"/>
      <c r="BD485" s="52"/>
      <c r="BE485" s="118"/>
      <c r="BF485" s="118"/>
      <c r="BG485" s="118"/>
      <c r="BH485" s="52"/>
      <c r="BI485" s="283"/>
      <c r="BJ485" s="52"/>
      <c r="BK485" s="52"/>
      <c r="BL485" s="52"/>
      <c r="BM485" s="52"/>
      <c r="BN485" s="52"/>
      <c r="BO485" s="52"/>
      <c r="BP485" s="52"/>
      <c r="BQ485" s="52"/>
      <c r="BR485" s="52"/>
      <c r="BS485" s="52"/>
      <c r="BT485" s="52"/>
      <c r="BU485" s="52"/>
      <c r="BV485" s="52"/>
      <c r="BW485" s="52"/>
      <c r="BX485" s="52"/>
      <c r="BY485" s="52"/>
      <c r="BZ485" s="52"/>
      <c r="CA485" s="52"/>
      <c r="CB485" s="52"/>
      <c r="CC485" s="52"/>
      <c r="CD485" s="118"/>
      <c r="CE485" s="52"/>
      <c r="CF485" s="52"/>
      <c r="CG485" s="52"/>
      <c r="CH485" s="52"/>
      <c r="CI485" s="52"/>
      <c r="CJ485" s="52"/>
      <c r="CK485" s="52"/>
      <c r="CL485" s="52"/>
      <c r="CM485" s="52"/>
      <c r="CN485" s="118"/>
      <c r="CO485" s="118"/>
      <c r="CP485" s="118"/>
      <c r="CQ485" s="52"/>
      <c r="CR485" s="52"/>
      <c r="CS485" s="52"/>
      <c r="CT485" s="52"/>
      <c r="CU485" s="52"/>
      <c r="CV485" s="52"/>
      <c r="CW485" s="52"/>
      <c r="CX485" s="52"/>
      <c r="CY485" s="52"/>
      <c r="CZ485" s="52"/>
      <c r="DA485" s="52"/>
      <c r="DB485" s="52"/>
    </row>
    <row r="486" spans="1:106" ht="38.25" x14ac:dyDescent="0.25">
      <c r="A486" s="411">
        <v>484</v>
      </c>
      <c r="B486" s="412" t="s">
        <v>4310</v>
      </c>
      <c r="C486" s="426" t="s">
        <v>4311</v>
      </c>
      <c r="D486" s="426" t="s">
        <v>3732</v>
      </c>
      <c r="E486" s="80">
        <v>1</v>
      </c>
      <c r="F486" s="353">
        <v>672442.4044</v>
      </c>
      <c r="G486" s="293"/>
      <c r="H486" s="293"/>
      <c r="I486" s="293"/>
      <c r="J486" s="52"/>
      <c r="K486" s="52"/>
      <c r="L486" s="359"/>
      <c r="M486" s="360"/>
      <c r="N486" s="361"/>
      <c r="O486" s="33"/>
      <c r="P486" s="252"/>
      <c r="Q486" s="113"/>
      <c r="R486" s="113"/>
      <c r="S486" s="113"/>
      <c r="T486" s="52"/>
      <c r="U486" s="5"/>
      <c r="V486" s="231">
        <v>92100</v>
      </c>
      <c r="W486" s="231">
        <f t="shared" si="54"/>
        <v>17499</v>
      </c>
      <c r="X486" s="231">
        <f t="shared" si="55"/>
        <v>109599</v>
      </c>
      <c r="Y486" s="113" t="s">
        <v>4248</v>
      </c>
      <c r="Z486" s="357" t="s">
        <v>4312</v>
      </c>
      <c r="AA486" s="118" t="s">
        <v>2877</v>
      </c>
      <c r="AB486" s="118"/>
      <c r="AC486" s="118"/>
      <c r="AD486" s="52"/>
      <c r="AE486" s="5"/>
      <c r="AF486" s="358"/>
      <c r="AG486" s="358"/>
      <c r="AH486" s="358"/>
      <c r="AI486" s="358"/>
      <c r="AJ486" s="358"/>
      <c r="AK486" s="113"/>
      <c r="AL486" s="113"/>
      <c r="AM486" s="113"/>
      <c r="AN486" s="113"/>
      <c r="AO486" s="113"/>
      <c r="AP486" s="52"/>
      <c r="AQ486" s="52"/>
      <c r="AR486" s="52"/>
      <c r="AS486" s="52"/>
      <c r="AT486" s="52"/>
      <c r="AU486" s="125">
        <v>318900</v>
      </c>
      <c r="AV486" s="125">
        <v>60591</v>
      </c>
      <c r="AW486" s="125">
        <v>379491</v>
      </c>
      <c r="AX486" s="5" t="s">
        <v>3195</v>
      </c>
      <c r="AY486" s="5" t="s">
        <v>4313</v>
      </c>
      <c r="AZ486" s="113">
        <v>111000</v>
      </c>
      <c r="BA486" s="113">
        <v>21090</v>
      </c>
      <c r="BB486" s="113">
        <v>132090</v>
      </c>
      <c r="BC486" s="52" t="s">
        <v>2925</v>
      </c>
      <c r="BD486" s="52" t="s">
        <v>4314</v>
      </c>
      <c r="BE486" s="118"/>
      <c r="BF486" s="118"/>
      <c r="BG486" s="118"/>
      <c r="BH486" s="52"/>
      <c r="BI486" s="283"/>
      <c r="BJ486" s="52"/>
      <c r="BK486" s="52"/>
      <c r="BL486" s="52"/>
      <c r="BM486" s="52"/>
      <c r="BN486" s="52"/>
      <c r="BO486" s="52"/>
      <c r="BP486" s="52"/>
      <c r="BQ486" s="52"/>
      <c r="BR486" s="52"/>
      <c r="BS486" s="52"/>
      <c r="BT486" s="52"/>
      <c r="BU486" s="52"/>
      <c r="BV486" s="52"/>
      <c r="BW486" s="52"/>
      <c r="BX486" s="52"/>
      <c r="BY486" s="52"/>
      <c r="BZ486" s="52"/>
      <c r="CA486" s="52"/>
      <c r="CB486" s="52"/>
      <c r="CC486" s="52"/>
      <c r="CD486" s="118"/>
      <c r="CE486" s="52"/>
      <c r="CF486" s="52"/>
      <c r="CG486" s="52"/>
      <c r="CH486" s="52"/>
      <c r="CI486" s="52"/>
      <c r="CJ486" s="52"/>
      <c r="CK486" s="52"/>
      <c r="CL486" s="52"/>
      <c r="CM486" s="52"/>
      <c r="CN486" s="118"/>
      <c r="CO486" s="118"/>
      <c r="CP486" s="118"/>
      <c r="CQ486" s="52"/>
      <c r="CR486" s="52"/>
      <c r="CS486" s="52"/>
      <c r="CT486" s="52"/>
      <c r="CU486" s="52"/>
      <c r="CV486" s="52"/>
      <c r="CW486" s="52"/>
      <c r="CX486" s="52"/>
      <c r="CY486" s="52"/>
      <c r="CZ486" s="52"/>
      <c r="DA486" s="52"/>
      <c r="DB486" s="52"/>
    </row>
    <row r="487" spans="1:106" ht="51" x14ac:dyDescent="0.25">
      <c r="A487" s="411">
        <v>485</v>
      </c>
      <c r="B487" s="412" t="s">
        <v>4315</v>
      </c>
      <c r="C487" s="413" t="s">
        <v>4316</v>
      </c>
      <c r="D487" s="426" t="s">
        <v>4224</v>
      </c>
      <c r="E487" s="80">
        <v>1</v>
      </c>
      <c r="F487" s="353">
        <v>714158.07960000006</v>
      </c>
      <c r="G487" s="293"/>
      <c r="H487" s="293"/>
      <c r="I487" s="293"/>
      <c r="J487" s="52"/>
      <c r="K487" s="52"/>
      <c r="L487" s="359"/>
      <c r="M487" s="360"/>
      <c r="N487" s="361"/>
      <c r="O487" s="33"/>
      <c r="P487" s="252"/>
      <c r="Q487" s="113"/>
      <c r="R487" s="113"/>
      <c r="S487" s="113"/>
      <c r="T487" s="52"/>
      <c r="U487" s="5"/>
      <c r="V487" s="231"/>
      <c r="W487" s="231"/>
      <c r="X487" s="231"/>
      <c r="Y487" s="113"/>
      <c r="Z487" s="357"/>
      <c r="AA487" s="118" t="s">
        <v>2877</v>
      </c>
      <c r="AB487" s="118"/>
      <c r="AC487" s="118"/>
      <c r="AD487" s="52"/>
      <c r="AE487" s="5"/>
      <c r="AF487" s="358"/>
      <c r="AG487" s="358"/>
      <c r="AH487" s="358"/>
      <c r="AI487" s="358"/>
      <c r="AJ487" s="358"/>
      <c r="AK487" s="113"/>
      <c r="AL487" s="113"/>
      <c r="AM487" s="113"/>
      <c r="AN487" s="113"/>
      <c r="AO487" s="113"/>
      <c r="AP487" s="52"/>
      <c r="AQ487" s="52"/>
      <c r="AR487" s="52"/>
      <c r="AS487" s="52"/>
      <c r="AT487" s="52"/>
      <c r="AU487" s="125">
        <v>628600</v>
      </c>
      <c r="AV487" s="125">
        <v>119434</v>
      </c>
      <c r="AW487" s="125">
        <v>748034</v>
      </c>
      <c r="AX487" s="5" t="s">
        <v>3195</v>
      </c>
      <c r="AY487" s="5" t="s">
        <v>4317</v>
      </c>
      <c r="AZ487" s="113">
        <v>287000</v>
      </c>
      <c r="BA487" s="113">
        <v>54530</v>
      </c>
      <c r="BB487" s="113">
        <v>341530</v>
      </c>
      <c r="BC487" s="52" t="s">
        <v>2925</v>
      </c>
      <c r="BD487" s="52" t="s">
        <v>4318</v>
      </c>
      <c r="BE487" s="118"/>
      <c r="BF487" s="118"/>
      <c r="BG487" s="118"/>
      <c r="BH487" s="52"/>
      <c r="BI487" s="283"/>
      <c r="BJ487" s="52"/>
      <c r="BK487" s="52"/>
      <c r="BL487" s="52"/>
      <c r="BM487" s="52"/>
      <c r="BN487" s="52"/>
      <c r="BO487" s="52"/>
      <c r="BP487" s="52"/>
      <c r="BQ487" s="52"/>
      <c r="BR487" s="52"/>
      <c r="BS487" s="52"/>
      <c r="BT487" s="52"/>
      <c r="BU487" s="52"/>
      <c r="BV487" s="52"/>
      <c r="BW487" s="52"/>
      <c r="BX487" s="52"/>
      <c r="BY487" s="52"/>
      <c r="BZ487" s="52"/>
      <c r="CA487" s="52"/>
      <c r="CB487" s="52"/>
      <c r="CC487" s="52"/>
      <c r="CD487" s="118"/>
      <c r="CE487" s="52"/>
      <c r="CF487" s="52"/>
      <c r="CG487" s="52"/>
      <c r="CH487" s="52"/>
      <c r="CI487" s="52"/>
      <c r="CJ487" s="52"/>
      <c r="CK487" s="52"/>
      <c r="CL487" s="52"/>
      <c r="CM487" s="52"/>
      <c r="CN487" s="118"/>
      <c r="CO487" s="118"/>
      <c r="CP487" s="118"/>
      <c r="CQ487" s="52"/>
      <c r="CR487" s="52"/>
      <c r="CS487" s="52"/>
      <c r="CT487" s="52"/>
      <c r="CU487" s="52"/>
      <c r="CV487" s="52"/>
      <c r="CW487" s="52"/>
      <c r="CX487" s="52"/>
      <c r="CY487" s="52"/>
      <c r="CZ487" s="52"/>
      <c r="DA487" s="52"/>
      <c r="DB487" s="52"/>
    </row>
    <row r="488" spans="1:106" ht="38.25" x14ac:dyDescent="0.25">
      <c r="A488" s="411">
        <v>486</v>
      </c>
      <c r="B488" s="412" t="s">
        <v>4319</v>
      </c>
      <c r="C488" s="413" t="s">
        <v>4320</v>
      </c>
      <c r="D488" s="426" t="s">
        <v>3732</v>
      </c>
      <c r="E488" s="80">
        <v>1</v>
      </c>
      <c r="F488" s="353">
        <v>136999.70199999999</v>
      </c>
      <c r="G488" s="293"/>
      <c r="H488" s="293"/>
      <c r="I488" s="293"/>
      <c r="J488" s="52"/>
      <c r="K488" s="52"/>
      <c r="L488" s="359"/>
      <c r="M488" s="360"/>
      <c r="N488" s="361"/>
      <c r="O488" s="33"/>
      <c r="P488" s="252"/>
      <c r="Q488" s="113"/>
      <c r="R488" s="113"/>
      <c r="S488" s="113"/>
      <c r="T488" s="52"/>
      <c r="U488" s="5"/>
      <c r="V488" s="231"/>
      <c r="W488" s="231"/>
      <c r="X488" s="231"/>
      <c r="Y488" s="113"/>
      <c r="Z488" s="357"/>
      <c r="AA488" s="118" t="s">
        <v>2877</v>
      </c>
      <c r="AB488" s="118"/>
      <c r="AC488" s="118"/>
      <c r="AD488" s="52"/>
      <c r="AE488" s="5"/>
      <c r="AF488" s="358"/>
      <c r="AG488" s="358"/>
      <c r="AH488" s="358"/>
      <c r="AI488" s="358"/>
      <c r="AJ488" s="358"/>
      <c r="AK488" s="113"/>
      <c r="AL488" s="113"/>
      <c r="AM488" s="113"/>
      <c r="AN488" s="113"/>
      <c r="AO488" s="113"/>
      <c r="AP488" s="52"/>
      <c r="AQ488" s="52"/>
      <c r="AR488" s="52"/>
      <c r="AS488" s="52"/>
      <c r="AT488" s="52"/>
      <c r="AU488" s="125">
        <v>272500</v>
      </c>
      <c r="AV488" s="125">
        <v>51775</v>
      </c>
      <c r="AW488" s="125">
        <v>324275</v>
      </c>
      <c r="AX488" s="5" t="s">
        <v>3195</v>
      </c>
      <c r="AY488" s="5" t="s">
        <v>4321</v>
      </c>
      <c r="AZ488" s="113">
        <v>104000</v>
      </c>
      <c r="BA488" s="113">
        <v>19760</v>
      </c>
      <c r="BB488" s="113">
        <v>123760</v>
      </c>
      <c r="BC488" s="52" t="s">
        <v>2925</v>
      </c>
      <c r="BD488" s="52" t="s">
        <v>4322</v>
      </c>
      <c r="BE488" s="118"/>
      <c r="BF488" s="118"/>
      <c r="BG488" s="118"/>
      <c r="BH488" s="52"/>
      <c r="BI488" s="283"/>
      <c r="BJ488" s="52"/>
      <c r="BK488" s="52"/>
      <c r="BL488" s="52"/>
      <c r="BM488" s="52"/>
      <c r="BN488" s="52"/>
      <c r="BO488" s="52"/>
      <c r="BP488" s="52"/>
      <c r="BQ488" s="52"/>
      <c r="BR488" s="52"/>
      <c r="BS488" s="52"/>
      <c r="BT488" s="52"/>
      <c r="BU488" s="52"/>
      <c r="BV488" s="52"/>
      <c r="BW488" s="52"/>
      <c r="BX488" s="52"/>
      <c r="BY488" s="52"/>
      <c r="BZ488" s="52"/>
      <c r="CA488" s="52"/>
      <c r="CB488" s="52"/>
      <c r="CC488" s="52"/>
      <c r="CD488" s="118"/>
      <c r="CE488" s="52"/>
      <c r="CF488" s="52"/>
      <c r="CG488" s="52"/>
      <c r="CH488" s="52"/>
      <c r="CI488" s="52"/>
      <c r="CJ488" s="52"/>
      <c r="CK488" s="52"/>
      <c r="CL488" s="52"/>
      <c r="CM488" s="52"/>
      <c r="CN488" s="118"/>
      <c r="CO488" s="118"/>
      <c r="CP488" s="118"/>
      <c r="CQ488" s="52"/>
      <c r="CR488" s="52"/>
      <c r="CS488" s="52"/>
      <c r="CT488" s="52"/>
      <c r="CU488" s="52"/>
      <c r="CV488" s="52"/>
      <c r="CW488" s="52"/>
      <c r="CX488" s="52"/>
      <c r="CY488" s="52"/>
      <c r="CZ488" s="52"/>
      <c r="DA488" s="52"/>
      <c r="DB488" s="52"/>
    </row>
    <row r="489" spans="1:106" ht="13.5" x14ac:dyDescent="0.25">
      <c r="A489" s="411">
        <v>487</v>
      </c>
      <c r="B489" s="412" t="s">
        <v>4323</v>
      </c>
      <c r="C489" s="561" t="s">
        <v>3200</v>
      </c>
      <c r="D489" s="562" t="s">
        <v>4324</v>
      </c>
      <c r="E489" s="80">
        <v>1</v>
      </c>
      <c r="F489" s="353">
        <v>417283.49599999998</v>
      </c>
      <c r="G489" s="293"/>
      <c r="H489" s="293"/>
      <c r="I489" s="293"/>
      <c r="J489" s="52"/>
      <c r="K489" s="52"/>
      <c r="L489" s="359"/>
      <c r="M489" s="360"/>
      <c r="N489" s="361"/>
      <c r="O489" s="33"/>
      <c r="P489" s="252"/>
      <c r="Q489" s="113"/>
      <c r="R489" s="113"/>
      <c r="S489" s="113"/>
      <c r="T489" s="52"/>
      <c r="U489" s="5"/>
      <c r="V489" s="231">
        <v>126000</v>
      </c>
      <c r="W489" s="231">
        <f t="shared" ref="W489:W522" si="67">V489*0.19</f>
        <v>23940</v>
      </c>
      <c r="X489" s="231">
        <f t="shared" ref="X489:X522" si="68">V489*1.19</f>
        <v>149940</v>
      </c>
      <c r="Y489" s="113" t="s">
        <v>4248</v>
      </c>
      <c r="Z489" s="357" t="s">
        <v>4325</v>
      </c>
      <c r="AA489" s="118" t="s">
        <v>2877</v>
      </c>
      <c r="AB489" s="118"/>
      <c r="AC489" s="118"/>
      <c r="AD489" s="52"/>
      <c r="AE489" s="5"/>
      <c r="AF489" s="358"/>
      <c r="AG489" s="358"/>
      <c r="AH489" s="358"/>
      <c r="AI489" s="358"/>
      <c r="AJ489" s="358"/>
      <c r="AK489" s="113"/>
      <c r="AL489" s="113"/>
      <c r="AM489" s="113"/>
      <c r="AN489" s="113"/>
      <c r="AO489" s="113"/>
      <c r="AP489" s="52"/>
      <c r="AQ489" s="52"/>
      <c r="AR489" s="52"/>
      <c r="AS489" s="52"/>
      <c r="AT489" s="52"/>
      <c r="AU489" s="125"/>
      <c r="AV489" s="125"/>
      <c r="AW489" s="125"/>
      <c r="AX489" s="5"/>
      <c r="AY489" s="5"/>
      <c r="AZ489" s="113">
        <v>290000</v>
      </c>
      <c r="BA489" s="113">
        <v>55100</v>
      </c>
      <c r="BB489" s="113">
        <v>345100</v>
      </c>
      <c r="BC489" s="52" t="s">
        <v>2925</v>
      </c>
      <c r="BD489" s="52" t="s">
        <v>4326</v>
      </c>
      <c r="BE489" s="118"/>
      <c r="BF489" s="118"/>
      <c r="BG489" s="118"/>
      <c r="BH489" s="52"/>
      <c r="BI489" s="283"/>
      <c r="BJ489" s="52"/>
      <c r="BK489" s="52"/>
      <c r="BL489" s="52"/>
      <c r="BM489" s="52"/>
      <c r="BN489" s="52"/>
      <c r="BO489" s="52"/>
      <c r="BP489" s="52"/>
      <c r="BQ489" s="52"/>
      <c r="BR489" s="52"/>
      <c r="BS489" s="52"/>
      <c r="BT489" s="52"/>
      <c r="BU489" s="52"/>
      <c r="BV489" s="52"/>
      <c r="BW489" s="52"/>
      <c r="BX489" s="52"/>
      <c r="BY489" s="52"/>
      <c r="BZ489" s="52"/>
      <c r="CA489" s="52"/>
      <c r="CB489" s="52"/>
      <c r="CC489" s="52"/>
      <c r="CD489" s="118"/>
      <c r="CE489" s="52"/>
      <c r="CF489" s="52"/>
      <c r="CG489" s="52"/>
      <c r="CH489" s="52"/>
      <c r="CI489" s="52"/>
      <c r="CJ489" s="52"/>
      <c r="CK489" s="52"/>
      <c r="CL489" s="52"/>
      <c r="CM489" s="52"/>
      <c r="CN489" s="118"/>
      <c r="CO489" s="118"/>
      <c r="CP489" s="118"/>
      <c r="CQ489" s="52"/>
      <c r="CR489" s="52"/>
      <c r="CS489" s="52"/>
      <c r="CT489" s="52"/>
      <c r="CU489" s="52"/>
      <c r="CV489" s="52"/>
      <c r="CW489" s="52"/>
      <c r="CX489" s="52"/>
      <c r="CY489" s="52"/>
      <c r="CZ489" s="52"/>
      <c r="DA489" s="52"/>
      <c r="DB489" s="52"/>
    </row>
    <row r="490" spans="1:106" ht="13.5" x14ac:dyDescent="0.25">
      <c r="A490" s="411">
        <v>488</v>
      </c>
      <c r="B490" s="412" t="s">
        <v>4327</v>
      </c>
      <c r="C490" s="561" t="s">
        <v>3200</v>
      </c>
      <c r="D490" s="562" t="s">
        <v>4324</v>
      </c>
      <c r="E490" s="80">
        <v>1</v>
      </c>
      <c r="F490" s="353">
        <v>393402.81400000001</v>
      </c>
      <c r="G490" s="293"/>
      <c r="H490" s="293"/>
      <c r="I490" s="293"/>
      <c r="J490" s="52"/>
      <c r="K490" s="52"/>
      <c r="L490" s="359"/>
      <c r="M490" s="360"/>
      <c r="N490" s="361"/>
      <c r="O490" s="33"/>
      <c r="P490" s="252"/>
      <c r="Q490" s="113"/>
      <c r="R490" s="113"/>
      <c r="S490" s="113"/>
      <c r="T490" s="52"/>
      <c r="U490" s="5"/>
      <c r="V490" s="231"/>
      <c r="W490" s="231"/>
      <c r="X490" s="231"/>
      <c r="Y490" s="113"/>
      <c r="Z490" s="357"/>
      <c r="AA490" s="118" t="s">
        <v>2877</v>
      </c>
      <c r="AB490" s="118"/>
      <c r="AC490" s="118"/>
      <c r="AD490" s="52"/>
      <c r="AE490" s="5"/>
      <c r="AF490" s="358"/>
      <c r="AG490" s="358"/>
      <c r="AH490" s="358"/>
      <c r="AI490" s="358"/>
      <c r="AJ490" s="358"/>
      <c r="AK490" s="113"/>
      <c r="AL490" s="113"/>
      <c r="AM490" s="113"/>
      <c r="AN490" s="113"/>
      <c r="AO490" s="113"/>
      <c r="AP490" s="52"/>
      <c r="AQ490" s="52"/>
      <c r="AR490" s="52"/>
      <c r="AS490" s="52"/>
      <c r="AT490" s="52"/>
      <c r="AU490" s="125"/>
      <c r="AV490" s="125"/>
      <c r="AW490" s="125"/>
      <c r="AX490" s="5"/>
      <c r="AY490" s="5"/>
      <c r="AZ490" s="113">
        <v>318000</v>
      </c>
      <c r="BA490" s="113">
        <v>60420</v>
      </c>
      <c r="BB490" s="113">
        <v>378420</v>
      </c>
      <c r="BC490" s="52" t="s">
        <v>2925</v>
      </c>
      <c r="BD490" s="52" t="s">
        <v>4328</v>
      </c>
      <c r="BE490" s="118"/>
      <c r="BF490" s="118"/>
      <c r="BG490" s="118"/>
      <c r="BH490" s="52"/>
      <c r="BI490" s="283"/>
      <c r="BJ490" s="52"/>
      <c r="BK490" s="52"/>
      <c r="BL490" s="52"/>
      <c r="BM490" s="52"/>
      <c r="BN490" s="52"/>
      <c r="BO490" s="52"/>
      <c r="BP490" s="52"/>
      <c r="BQ490" s="52"/>
      <c r="BR490" s="52"/>
      <c r="BS490" s="52"/>
      <c r="BT490" s="52"/>
      <c r="BU490" s="52"/>
      <c r="BV490" s="52"/>
      <c r="BW490" s="52"/>
      <c r="BX490" s="52"/>
      <c r="BY490" s="52"/>
      <c r="BZ490" s="52"/>
      <c r="CA490" s="52"/>
      <c r="CB490" s="52"/>
      <c r="CC490" s="52"/>
      <c r="CD490" s="118"/>
      <c r="CE490" s="52"/>
      <c r="CF490" s="52"/>
      <c r="CG490" s="52"/>
      <c r="CH490" s="52"/>
      <c r="CI490" s="52"/>
      <c r="CJ490" s="52"/>
      <c r="CK490" s="52"/>
      <c r="CL490" s="52"/>
      <c r="CM490" s="52"/>
      <c r="CN490" s="118"/>
      <c r="CO490" s="118"/>
      <c r="CP490" s="118"/>
      <c r="CQ490" s="52"/>
      <c r="CR490" s="52"/>
      <c r="CS490" s="52"/>
      <c r="CT490" s="52"/>
      <c r="CU490" s="52"/>
      <c r="CV490" s="52"/>
      <c r="CW490" s="52"/>
      <c r="CX490" s="52"/>
      <c r="CY490" s="52"/>
      <c r="CZ490" s="52"/>
      <c r="DA490" s="52"/>
      <c r="DB490" s="52"/>
    </row>
    <row r="491" spans="1:106" ht="51" x14ac:dyDescent="0.25">
      <c r="A491" s="411">
        <v>489</v>
      </c>
      <c r="B491" s="412" t="s">
        <v>4329</v>
      </c>
      <c r="C491" s="562" t="s">
        <v>3200</v>
      </c>
      <c r="D491" s="562" t="s">
        <v>4324</v>
      </c>
      <c r="E491" s="80">
        <v>1</v>
      </c>
      <c r="F491" s="353">
        <v>397173.44800000003</v>
      </c>
      <c r="G491" s="293"/>
      <c r="H491" s="293"/>
      <c r="I491" s="293"/>
      <c r="J491" s="52"/>
      <c r="K491" s="52"/>
      <c r="L491" s="359"/>
      <c r="M491" s="360"/>
      <c r="N491" s="361"/>
      <c r="O491" s="33"/>
      <c r="P491" s="252"/>
      <c r="Q491" s="113"/>
      <c r="R491" s="113"/>
      <c r="S491" s="113"/>
      <c r="T491" s="52"/>
      <c r="U491" s="5"/>
      <c r="V491" s="231"/>
      <c r="W491" s="231"/>
      <c r="X491" s="231"/>
      <c r="Y491" s="113"/>
      <c r="Z491" s="357"/>
      <c r="AA491" s="118" t="s">
        <v>2877</v>
      </c>
      <c r="AB491" s="118"/>
      <c r="AC491" s="118"/>
      <c r="AD491" s="52"/>
      <c r="AE491" s="5"/>
      <c r="AF491" s="358"/>
      <c r="AG491" s="358"/>
      <c r="AH491" s="358"/>
      <c r="AI491" s="358"/>
      <c r="AJ491" s="358"/>
      <c r="AK491" s="113"/>
      <c r="AL491" s="113"/>
      <c r="AM491" s="113"/>
      <c r="AN491" s="113"/>
      <c r="AO491" s="113"/>
      <c r="AP491" s="52"/>
      <c r="AQ491" s="52"/>
      <c r="AR491" s="52"/>
      <c r="AS491" s="52"/>
      <c r="AT491" s="52"/>
      <c r="AU491" s="125">
        <v>331100</v>
      </c>
      <c r="AV491" s="125">
        <v>62909</v>
      </c>
      <c r="AW491" s="125">
        <v>394009</v>
      </c>
      <c r="AX491" s="5" t="s">
        <v>3195</v>
      </c>
      <c r="AY491" s="5" t="s">
        <v>4269</v>
      </c>
      <c r="AZ491" s="113">
        <v>266000</v>
      </c>
      <c r="BA491" s="113">
        <v>50540</v>
      </c>
      <c r="BB491" s="113">
        <v>316540</v>
      </c>
      <c r="BC491" s="52" t="s">
        <v>2925</v>
      </c>
      <c r="BD491" s="52" t="s">
        <v>4330</v>
      </c>
      <c r="BE491" s="118"/>
      <c r="BF491" s="118"/>
      <c r="BG491" s="118"/>
      <c r="BH491" s="52"/>
      <c r="BI491" s="283"/>
      <c r="BJ491" s="52"/>
      <c r="BK491" s="52"/>
      <c r="BL491" s="52"/>
      <c r="BM491" s="52"/>
      <c r="BN491" s="52"/>
      <c r="BO491" s="52"/>
      <c r="BP491" s="52"/>
      <c r="BQ491" s="52"/>
      <c r="BR491" s="52"/>
      <c r="BS491" s="52"/>
      <c r="BT491" s="52"/>
      <c r="BU491" s="52"/>
      <c r="BV491" s="52"/>
      <c r="BW491" s="52"/>
      <c r="BX491" s="52"/>
      <c r="BY491" s="52"/>
      <c r="BZ491" s="52"/>
      <c r="CA491" s="52"/>
      <c r="CB491" s="52"/>
      <c r="CC491" s="52"/>
      <c r="CD491" s="118"/>
      <c r="CE491" s="52"/>
      <c r="CF491" s="52"/>
      <c r="CG491" s="52"/>
      <c r="CH491" s="52"/>
      <c r="CI491" s="52"/>
      <c r="CJ491" s="52"/>
      <c r="CK491" s="52"/>
      <c r="CL491" s="52"/>
      <c r="CM491" s="52"/>
      <c r="CN491" s="118"/>
      <c r="CO491" s="118"/>
      <c r="CP491" s="118"/>
      <c r="CQ491" s="52"/>
      <c r="CR491" s="52"/>
      <c r="CS491" s="52"/>
      <c r="CT491" s="52"/>
      <c r="CU491" s="52"/>
      <c r="CV491" s="52"/>
      <c r="CW491" s="52"/>
      <c r="CX491" s="52"/>
      <c r="CY491" s="52"/>
      <c r="CZ491" s="52"/>
      <c r="DA491" s="52"/>
      <c r="DB491" s="52"/>
    </row>
    <row r="492" spans="1:106" ht="27" x14ac:dyDescent="0.25">
      <c r="A492" s="411">
        <v>490</v>
      </c>
      <c r="B492" s="412" t="s">
        <v>4331</v>
      </c>
      <c r="C492" s="566" t="s">
        <v>4332</v>
      </c>
      <c r="D492" s="426" t="s">
        <v>4333</v>
      </c>
      <c r="E492" s="80">
        <v>1</v>
      </c>
      <c r="F492" s="353">
        <v>1101968.3145999999</v>
      </c>
      <c r="G492" s="293"/>
      <c r="H492" s="293"/>
      <c r="I492" s="293"/>
      <c r="J492" s="52"/>
      <c r="K492" s="52"/>
      <c r="L492" s="359"/>
      <c r="M492" s="360"/>
      <c r="N492" s="361"/>
      <c r="O492" s="33"/>
      <c r="P492" s="252"/>
      <c r="Q492" s="113"/>
      <c r="R492" s="113"/>
      <c r="S492" s="113"/>
      <c r="T492" s="52"/>
      <c r="U492" s="5"/>
      <c r="V492" s="231"/>
      <c r="W492" s="231"/>
      <c r="X492" s="231"/>
      <c r="Y492" s="113"/>
      <c r="Z492" s="357"/>
      <c r="AA492" s="118" t="s">
        <v>2877</v>
      </c>
      <c r="AB492" s="118"/>
      <c r="AC492" s="118"/>
      <c r="AD492" s="52"/>
      <c r="AE492" s="5"/>
      <c r="AF492" s="358"/>
      <c r="AG492" s="358"/>
      <c r="AH492" s="358"/>
      <c r="AI492" s="358"/>
      <c r="AJ492" s="358"/>
      <c r="AK492" s="113"/>
      <c r="AL492" s="113"/>
      <c r="AM492" s="113"/>
      <c r="AN492" s="113"/>
      <c r="AO492" s="113"/>
      <c r="AP492" s="52"/>
      <c r="AQ492" s="52"/>
      <c r="AR492" s="52"/>
      <c r="AS492" s="52"/>
      <c r="AT492" s="52"/>
      <c r="AU492" s="125"/>
      <c r="AV492" s="125"/>
      <c r="AW492" s="125"/>
      <c r="AX492" s="5"/>
      <c r="AY492" s="5"/>
      <c r="AZ492" s="113">
        <v>951000</v>
      </c>
      <c r="BA492" s="113">
        <v>180690</v>
      </c>
      <c r="BB492" s="113">
        <v>1131690</v>
      </c>
      <c r="BC492" s="52" t="s">
        <v>2925</v>
      </c>
      <c r="BD492" s="52" t="s">
        <v>4334</v>
      </c>
      <c r="BE492" s="118"/>
      <c r="BF492" s="118"/>
      <c r="BG492" s="118"/>
      <c r="BH492" s="52"/>
      <c r="BI492" s="283"/>
      <c r="BJ492" s="52"/>
      <c r="BK492" s="52"/>
      <c r="BL492" s="52"/>
      <c r="BM492" s="52"/>
      <c r="BN492" s="52"/>
      <c r="BO492" s="52"/>
      <c r="BP492" s="52"/>
      <c r="BQ492" s="52"/>
      <c r="BR492" s="52"/>
      <c r="BS492" s="52"/>
      <c r="BT492" s="52"/>
      <c r="BU492" s="52"/>
      <c r="BV492" s="52"/>
      <c r="BW492" s="52"/>
      <c r="BX492" s="52"/>
      <c r="BY492" s="52"/>
      <c r="BZ492" s="52"/>
      <c r="CA492" s="52"/>
      <c r="CB492" s="52"/>
      <c r="CC492" s="52"/>
      <c r="CD492" s="118"/>
      <c r="CE492" s="52"/>
      <c r="CF492" s="52"/>
      <c r="CG492" s="52"/>
      <c r="CH492" s="52"/>
      <c r="CI492" s="52"/>
      <c r="CJ492" s="52"/>
      <c r="CK492" s="52"/>
      <c r="CL492" s="52"/>
      <c r="CM492" s="52"/>
      <c r="CN492" s="118"/>
      <c r="CO492" s="118"/>
      <c r="CP492" s="118"/>
      <c r="CQ492" s="52"/>
      <c r="CR492" s="52"/>
      <c r="CS492" s="52"/>
      <c r="CT492" s="52"/>
      <c r="CU492" s="52"/>
      <c r="CV492" s="52"/>
      <c r="CW492" s="52"/>
      <c r="CX492" s="52"/>
      <c r="CY492" s="52"/>
      <c r="CZ492" s="52"/>
      <c r="DA492" s="52"/>
      <c r="DB492" s="52"/>
    </row>
    <row r="493" spans="1:106" ht="13.5" x14ac:dyDescent="0.25">
      <c r="A493" s="411">
        <v>491</v>
      </c>
      <c r="B493" s="412" t="s">
        <v>4335</v>
      </c>
      <c r="C493" s="413" t="s">
        <v>3200</v>
      </c>
      <c r="D493" s="426" t="s">
        <v>4336</v>
      </c>
      <c r="E493" s="80">
        <v>1</v>
      </c>
      <c r="F493" s="353">
        <v>113119.02</v>
      </c>
      <c r="G493" s="293"/>
      <c r="H493" s="293"/>
      <c r="I493" s="293"/>
      <c r="J493" s="52"/>
      <c r="K493" s="52"/>
      <c r="L493" s="359"/>
      <c r="M493" s="360"/>
      <c r="N493" s="361"/>
      <c r="O493" s="33"/>
      <c r="P493" s="252"/>
      <c r="Q493" s="113"/>
      <c r="R493" s="113"/>
      <c r="S493" s="113"/>
      <c r="T493" s="52"/>
      <c r="U493" s="5"/>
      <c r="V493" s="231">
        <v>38000</v>
      </c>
      <c r="W493" s="231">
        <f t="shared" si="67"/>
        <v>7220</v>
      </c>
      <c r="X493" s="231">
        <f t="shared" si="68"/>
        <v>45220</v>
      </c>
      <c r="Y493" s="113" t="s">
        <v>4337</v>
      </c>
      <c r="Z493" s="357">
        <v>18260</v>
      </c>
      <c r="AA493" s="118" t="s">
        <v>2877</v>
      </c>
      <c r="AB493" s="118"/>
      <c r="AC493" s="118"/>
      <c r="AD493" s="52"/>
      <c r="AE493" s="5"/>
      <c r="AF493" s="358"/>
      <c r="AG493" s="358"/>
      <c r="AH493" s="358"/>
      <c r="AI493" s="358"/>
      <c r="AJ493" s="358"/>
      <c r="AK493" s="113"/>
      <c r="AL493" s="113"/>
      <c r="AM493" s="113"/>
      <c r="AN493" s="113"/>
      <c r="AO493" s="113"/>
      <c r="AP493" s="52"/>
      <c r="AQ493" s="52"/>
      <c r="AR493" s="52"/>
      <c r="AS493" s="52"/>
      <c r="AT493" s="52"/>
      <c r="AU493" s="125"/>
      <c r="AV493" s="125"/>
      <c r="AW493" s="125"/>
      <c r="AX493" s="5"/>
      <c r="AY493" s="5"/>
      <c r="AZ493" s="113">
        <v>92000</v>
      </c>
      <c r="BA493" s="113">
        <v>17480</v>
      </c>
      <c r="BB493" s="113">
        <v>109480</v>
      </c>
      <c r="BC493" s="52" t="s">
        <v>2925</v>
      </c>
      <c r="BD493" s="52" t="s">
        <v>4297</v>
      </c>
      <c r="BE493" s="118"/>
      <c r="BF493" s="118"/>
      <c r="BG493" s="118"/>
      <c r="BH493" s="52"/>
      <c r="BI493" s="283"/>
      <c r="BJ493" s="52"/>
      <c r="BK493" s="52"/>
      <c r="BL493" s="52"/>
      <c r="BM493" s="52"/>
      <c r="BN493" s="52"/>
      <c r="BO493" s="52"/>
      <c r="BP493" s="52"/>
      <c r="BQ493" s="52"/>
      <c r="BR493" s="52"/>
      <c r="BS493" s="52"/>
      <c r="BT493" s="52"/>
      <c r="BU493" s="52"/>
      <c r="BV493" s="52"/>
      <c r="BW493" s="52"/>
      <c r="BX493" s="52"/>
      <c r="BY493" s="52"/>
      <c r="BZ493" s="52"/>
      <c r="CA493" s="52"/>
      <c r="CB493" s="52"/>
      <c r="CC493" s="52"/>
      <c r="CD493" s="118"/>
      <c r="CE493" s="52"/>
      <c r="CF493" s="52"/>
      <c r="CG493" s="52"/>
      <c r="CH493" s="52"/>
      <c r="CI493" s="52"/>
      <c r="CJ493" s="52"/>
      <c r="CK493" s="52"/>
      <c r="CL493" s="52"/>
      <c r="CM493" s="52"/>
      <c r="CN493" s="118"/>
      <c r="CO493" s="118"/>
      <c r="CP493" s="118"/>
      <c r="CQ493" s="52"/>
      <c r="CR493" s="52"/>
      <c r="CS493" s="52"/>
      <c r="CT493" s="52"/>
      <c r="CU493" s="52"/>
      <c r="CV493" s="52"/>
      <c r="CW493" s="52"/>
      <c r="CX493" s="52"/>
      <c r="CY493" s="52"/>
      <c r="CZ493" s="52"/>
      <c r="DA493" s="52"/>
      <c r="DB493" s="52"/>
    </row>
    <row r="494" spans="1:106" ht="40.5" x14ac:dyDescent="0.25">
      <c r="A494" s="411">
        <v>492</v>
      </c>
      <c r="B494" s="412" t="s">
        <v>4338</v>
      </c>
      <c r="C494" s="413" t="s">
        <v>4339</v>
      </c>
      <c r="D494" s="426" t="s">
        <v>2882</v>
      </c>
      <c r="E494" s="80">
        <v>1</v>
      </c>
      <c r="F494" s="353">
        <v>356650.22260000004</v>
      </c>
      <c r="G494" s="293"/>
      <c r="H494" s="293"/>
      <c r="I494" s="293"/>
      <c r="J494" s="52"/>
      <c r="K494" s="52"/>
      <c r="L494" s="359"/>
      <c r="M494" s="360"/>
      <c r="N494" s="361"/>
      <c r="O494" s="33"/>
      <c r="P494" s="252"/>
      <c r="Q494" s="113"/>
      <c r="R494" s="113"/>
      <c r="S494" s="113"/>
      <c r="T494" s="52"/>
      <c r="U494" s="5"/>
      <c r="V494" s="231"/>
      <c r="W494" s="231"/>
      <c r="X494" s="231"/>
      <c r="Y494" s="113"/>
      <c r="Z494" s="357"/>
      <c r="AA494" s="118" t="s">
        <v>2877</v>
      </c>
      <c r="AB494" s="118"/>
      <c r="AC494" s="118"/>
      <c r="AD494" s="52"/>
      <c r="AE494" s="5"/>
      <c r="AF494" s="358"/>
      <c r="AG494" s="358"/>
      <c r="AH494" s="358"/>
      <c r="AI494" s="358"/>
      <c r="AJ494" s="358"/>
      <c r="AK494" s="113"/>
      <c r="AL494" s="113"/>
      <c r="AM494" s="113"/>
      <c r="AN494" s="113"/>
      <c r="AO494" s="113"/>
      <c r="AP494" s="52"/>
      <c r="AQ494" s="52"/>
      <c r="AR494" s="52"/>
      <c r="AS494" s="52"/>
      <c r="AT494" s="52"/>
      <c r="AU494" s="125"/>
      <c r="AV494" s="125"/>
      <c r="AW494" s="125"/>
      <c r="AX494" s="5"/>
      <c r="AY494" s="5"/>
      <c r="AZ494" s="113">
        <v>499000</v>
      </c>
      <c r="BA494" s="113">
        <v>94810</v>
      </c>
      <c r="BB494" s="113">
        <v>593810</v>
      </c>
      <c r="BC494" s="52" t="s">
        <v>2925</v>
      </c>
      <c r="BD494" s="52" t="s">
        <v>4340</v>
      </c>
      <c r="BE494" s="118"/>
      <c r="BF494" s="118"/>
      <c r="BG494" s="118"/>
      <c r="BH494" s="52"/>
      <c r="BI494" s="283"/>
      <c r="BJ494" s="52"/>
      <c r="BK494" s="52"/>
      <c r="BL494" s="52"/>
      <c r="BM494" s="52"/>
      <c r="BN494" s="52"/>
      <c r="BO494" s="52"/>
      <c r="BP494" s="52"/>
      <c r="BQ494" s="52"/>
      <c r="BR494" s="52"/>
      <c r="BS494" s="52"/>
      <c r="BT494" s="52"/>
      <c r="BU494" s="52"/>
      <c r="BV494" s="52"/>
      <c r="BW494" s="52"/>
      <c r="BX494" s="52"/>
      <c r="BY494" s="52"/>
      <c r="BZ494" s="52"/>
      <c r="CA494" s="52"/>
      <c r="CB494" s="52"/>
      <c r="CC494" s="52"/>
      <c r="CD494" s="118"/>
      <c r="CE494" s="52"/>
      <c r="CF494" s="52"/>
      <c r="CG494" s="52"/>
      <c r="CH494" s="52"/>
      <c r="CI494" s="52"/>
      <c r="CJ494" s="52"/>
      <c r="CK494" s="52"/>
      <c r="CL494" s="52"/>
      <c r="CM494" s="52"/>
      <c r="CN494" s="118"/>
      <c r="CO494" s="118"/>
      <c r="CP494" s="118"/>
      <c r="CQ494" s="52"/>
      <c r="CR494" s="52"/>
      <c r="CS494" s="52"/>
      <c r="CT494" s="52"/>
      <c r="CU494" s="52"/>
      <c r="CV494" s="52"/>
      <c r="CW494" s="52"/>
      <c r="CX494" s="52"/>
      <c r="CY494" s="52"/>
      <c r="CZ494" s="52"/>
      <c r="DA494" s="52"/>
      <c r="DB494" s="52"/>
    </row>
    <row r="495" spans="1:106" ht="40.5" x14ac:dyDescent="0.25">
      <c r="A495" s="411">
        <v>493</v>
      </c>
      <c r="B495" s="412" t="s">
        <v>4341</v>
      </c>
      <c r="C495" s="413" t="s">
        <v>4342</v>
      </c>
      <c r="D495" s="426" t="s">
        <v>3564</v>
      </c>
      <c r="E495" s="80">
        <v>1</v>
      </c>
      <c r="F495" s="353">
        <v>198039.61240000001</v>
      </c>
      <c r="G495" s="293"/>
      <c r="H495" s="293"/>
      <c r="I495" s="293"/>
      <c r="J495" s="52"/>
      <c r="K495" s="52"/>
      <c r="L495" s="359"/>
      <c r="M495" s="360"/>
      <c r="N495" s="361"/>
      <c r="O495" s="33"/>
      <c r="P495" s="252"/>
      <c r="Q495" s="113"/>
      <c r="R495" s="113"/>
      <c r="S495" s="113"/>
      <c r="T495" s="52"/>
      <c r="U495" s="5"/>
      <c r="V495" s="231"/>
      <c r="W495" s="231"/>
      <c r="X495" s="231"/>
      <c r="Y495" s="113"/>
      <c r="Z495" s="357"/>
      <c r="AA495" s="118" t="s">
        <v>2877</v>
      </c>
      <c r="AB495" s="118"/>
      <c r="AC495" s="118"/>
      <c r="AD495" s="52"/>
      <c r="AE495" s="5"/>
      <c r="AF495" s="358"/>
      <c r="AG495" s="358"/>
      <c r="AH495" s="358"/>
      <c r="AI495" s="358"/>
      <c r="AJ495" s="358"/>
      <c r="AK495" s="113"/>
      <c r="AL495" s="113"/>
      <c r="AM495" s="113"/>
      <c r="AN495" s="113"/>
      <c r="AO495" s="113"/>
      <c r="AP495" s="52"/>
      <c r="AQ495" s="52"/>
      <c r="AR495" s="52"/>
      <c r="AS495" s="52"/>
      <c r="AT495" s="52"/>
      <c r="AU495" s="125"/>
      <c r="AV495" s="125"/>
      <c r="AW495" s="125"/>
      <c r="AX495" s="5"/>
      <c r="AY495" s="5"/>
      <c r="AZ495" s="113">
        <v>538000</v>
      </c>
      <c r="BA495" s="113">
        <v>102220</v>
      </c>
      <c r="BB495" s="113">
        <v>640220</v>
      </c>
      <c r="BC495" s="52" t="s">
        <v>2925</v>
      </c>
      <c r="BD495" s="52" t="s">
        <v>4343</v>
      </c>
      <c r="BE495" s="118"/>
      <c r="BF495" s="118"/>
      <c r="BG495" s="118"/>
      <c r="BH495" s="52"/>
      <c r="BI495" s="283"/>
      <c r="BJ495" s="52"/>
      <c r="BK495" s="52"/>
      <c r="BL495" s="52"/>
      <c r="BM495" s="52"/>
      <c r="BN495" s="52"/>
      <c r="BO495" s="52"/>
      <c r="BP495" s="52"/>
      <c r="BQ495" s="52"/>
      <c r="BR495" s="52"/>
      <c r="BS495" s="52"/>
      <c r="BT495" s="52"/>
      <c r="BU495" s="52"/>
      <c r="BV495" s="52"/>
      <c r="BW495" s="52"/>
      <c r="BX495" s="52"/>
      <c r="BY495" s="52"/>
      <c r="BZ495" s="52"/>
      <c r="CA495" s="52"/>
      <c r="CB495" s="52"/>
      <c r="CC495" s="52"/>
      <c r="CD495" s="118"/>
      <c r="CE495" s="52"/>
      <c r="CF495" s="52"/>
      <c r="CG495" s="52"/>
      <c r="CH495" s="52"/>
      <c r="CI495" s="52"/>
      <c r="CJ495" s="52"/>
      <c r="CK495" s="52"/>
      <c r="CL495" s="52"/>
      <c r="CM495" s="52"/>
      <c r="CN495" s="118"/>
      <c r="CO495" s="118"/>
      <c r="CP495" s="118"/>
      <c r="CQ495" s="52"/>
      <c r="CR495" s="52"/>
      <c r="CS495" s="52"/>
      <c r="CT495" s="52"/>
      <c r="CU495" s="52"/>
      <c r="CV495" s="52"/>
      <c r="CW495" s="52"/>
      <c r="CX495" s="52"/>
      <c r="CY495" s="52"/>
      <c r="CZ495" s="52"/>
      <c r="DA495" s="52"/>
      <c r="DB495" s="52"/>
    </row>
    <row r="496" spans="1:106" ht="51" x14ac:dyDescent="0.25">
      <c r="A496" s="411">
        <v>494</v>
      </c>
      <c r="B496" s="412" t="s">
        <v>4344</v>
      </c>
      <c r="C496" s="413" t="s">
        <v>4345</v>
      </c>
      <c r="D496" s="562" t="s">
        <v>4346</v>
      </c>
      <c r="E496" s="80">
        <v>1</v>
      </c>
      <c r="F496" s="355">
        <v>416305.45480000001</v>
      </c>
      <c r="G496" s="293"/>
      <c r="H496" s="293"/>
      <c r="I496" s="293"/>
      <c r="J496" s="52"/>
      <c r="K496" s="52"/>
      <c r="L496" s="359"/>
      <c r="M496" s="360"/>
      <c r="N496" s="361"/>
      <c r="O496" s="33"/>
      <c r="P496" s="252"/>
      <c r="Q496" s="113"/>
      <c r="R496" s="113"/>
      <c r="S496" s="113"/>
      <c r="T496" s="52"/>
      <c r="U496" s="5"/>
      <c r="V496" s="231">
        <v>490000</v>
      </c>
      <c r="W496" s="231">
        <f t="shared" si="67"/>
        <v>93100</v>
      </c>
      <c r="X496" s="231">
        <f t="shared" si="68"/>
        <v>583100</v>
      </c>
      <c r="Y496" s="231" t="s">
        <v>3112</v>
      </c>
      <c r="Z496" s="357" t="s">
        <v>4347</v>
      </c>
      <c r="AA496" s="118" t="s">
        <v>2877</v>
      </c>
      <c r="AB496" s="118"/>
      <c r="AC496" s="118"/>
      <c r="AD496" s="52"/>
      <c r="AE496" s="5"/>
      <c r="AF496" s="358"/>
      <c r="AG496" s="358"/>
      <c r="AH496" s="358"/>
      <c r="AI496" s="358"/>
      <c r="AJ496" s="358"/>
      <c r="AK496" s="113"/>
      <c r="AL496" s="113"/>
      <c r="AM496" s="113"/>
      <c r="AN496" s="113"/>
      <c r="AO496" s="113"/>
      <c r="AP496" s="52"/>
      <c r="AQ496" s="52"/>
      <c r="AR496" s="52"/>
      <c r="AS496" s="52"/>
      <c r="AT496" s="52"/>
      <c r="AU496" s="125">
        <v>628600</v>
      </c>
      <c r="AV496" s="125">
        <v>119434</v>
      </c>
      <c r="AW496" s="125">
        <v>748034</v>
      </c>
      <c r="AX496" s="5" t="s">
        <v>3195</v>
      </c>
      <c r="AY496" s="5" t="s">
        <v>4227</v>
      </c>
      <c r="AZ496" s="113">
        <v>566000</v>
      </c>
      <c r="BA496" s="113">
        <v>107540</v>
      </c>
      <c r="BB496" s="113">
        <v>673540</v>
      </c>
      <c r="BC496" s="52" t="s">
        <v>2925</v>
      </c>
      <c r="BD496" s="52" t="s">
        <v>4274</v>
      </c>
      <c r="BE496" s="118"/>
      <c r="BF496" s="118"/>
      <c r="BG496" s="118"/>
      <c r="BH496" s="52"/>
      <c r="BI496" s="283"/>
      <c r="BJ496" s="52"/>
      <c r="BK496" s="52"/>
      <c r="BL496" s="52"/>
      <c r="BM496" s="52"/>
      <c r="BN496" s="52"/>
      <c r="BO496" s="52"/>
      <c r="BP496" s="52"/>
      <c r="BQ496" s="52"/>
      <c r="BR496" s="52"/>
      <c r="BS496" s="52"/>
      <c r="BT496" s="52"/>
      <c r="BU496" s="52"/>
      <c r="BV496" s="52"/>
      <c r="BW496" s="52"/>
      <c r="BX496" s="52"/>
      <c r="BY496" s="52"/>
      <c r="BZ496" s="52"/>
      <c r="CA496" s="52"/>
      <c r="CB496" s="52"/>
      <c r="CC496" s="52"/>
      <c r="CD496" s="118"/>
      <c r="CE496" s="52"/>
      <c r="CF496" s="52"/>
      <c r="CG496" s="52"/>
      <c r="CH496" s="52"/>
      <c r="CI496" s="52"/>
      <c r="CJ496" s="52"/>
      <c r="CK496" s="52"/>
      <c r="CL496" s="52"/>
      <c r="CM496" s="52"/>
      <c r="CN496" s="118"/>
      <c r="CO496" s="118"/>
      <c r="CP496" s="118"/>
      <c r="CQ496" s="52"/>
      <c r="CR496" s="52"/>
      <c r="CS496" s="52"/>
      <c r="CT496" s="52"/>
      <c r="CU496" s="52"/>
      <c r="CV496" s="52"/>
      <c r="CW496" s="52"/>
      <c r="CX496" s="52"/>
      <c r="CY496" s="52"/>
      <c r="CZ496" s="52"/>
      <c r="DA496" s="52"/>
      <c r="DB496" s="52"/>
    </row>
    <row r="497" spans="1:106" ht="67.5" x14ac:dyDescent="0.25">
      <c r="A497" s="411">
        <v>495</v>
      </c>
      <c r="B497" s="412" t="s">
        <v>4348</v>
      </c>
      <c r="C497" s="413" t="s">
        <v>4349</v>
      </c>
      <c r="D497" s="562" t="s">
        <v>4224</v>
      </c>
      <c r="E497" s="80">
        <v>1</v>
      </c>
      <c r="F497" s="353">
        <v>208641.74799999999</v>
      </c>
      <c r="G497" s="293"/>
      <c r="H497" s="293"/>
      <c r="I497" s="293"/>
      <c r="J497" s="52"/>
      <c r="K497" s="52"/>
      <c r="L497" s="359"/>
      <c r="M497" s="360"/>
      <c r="N497" s="361"/>
      <c r="O497" s="33"/>
      <c r="P497" s="252"/>
      <c r="Q497" s="113"/>
      <c r="R497" s="113"/>
      <c r="S497" s="113"/>
      <c r="T497" s="52"/>
      <c r="U497" s="5"/>
      <c r="V497" s="231"/>
      <c r="W497" s="231"/>
      <c r="X497" s="231"/>
      <c r="Y497" s="113"/>
      <c r="Z497" s="357"/>
      <c r="AA497" s="118" t="s">
        <v>2877</v>
      </c>
      <c r="AB497" s="118"/>
      <c r="AC497" s="118"/>
      <c r="AD497" s="52"/>
      <c r="AE497" s="5"/>
      <c r="AF497" s="358"/>
      <c r="AG497" s="358"/>
      <c r="AH497" s="358"/>
      <c r="AI497" s="358"/>
      <c r="AJ497" s="358"/>
      <c r="AK497" s="113"/>
      <c r="AL497" s="113"/>
      <c r="AM497" s="113"/>
      <c r="AN497" s="113"/>
      <c r="AO497" s="113"/>
      <c r="AP497" s="52"/>
      <c r="AQ497" s="52"/>
      <c r="AR497" s="52"/>
      <c r="AS497" s="52"/>
      <c r="AT497" s="52"/>
      <c r="AU497" s="125">
        <v>628600</v>
      </c>
      <c r="AV497" s="125">
        <v>119434</v>
      </c>
      <c r="AW497" s="125">
        <v>748034</v>
      </c>
      <c r="AX497" s="5" t="s">
        <v>3195</v>
      </c>
      <c r="AY497" s="5" t="s">
        <v>4227</v>
      </c>
      <c r="AZ497" s="113">
        <v>747000</v>
      </c>
      <c r="BA497" s="113">
        <v>141930</v>
      </c>
      <c r="BB497" s="113">
        <v>888930</v>
      </c>
      <c r="BC497" s="52" t="s">
        <v>2925</v>
      </c>
      <c r="BD497" s="52" t="s">
        <v>4350</v>
      </c>
      <c r="BE497" s="118"/>
      <c r="BF497" s="118"/>
      <c r="BG497" s="118"/>
      <c r="BH497" s="52"/>
      <c r="BI497" s="283"/>
      <c r="BJ497" s="52"/>
      <c r="BK497" s="52"/>
      <c r="BL497" s="52"/>
      <c r="BM497" s="52"/>
      <c r="BN497" s="52"/>
      <c r="BO497" s="52"/>
      <c r="BP497" s="52"/>
      <c r="BQ497" s="52"/>
      <c r="BR497" s="52"/>
      <c r="BS497" s="52"/>
      <c r="BT497" s="52"/>
      <c r="BU497" s="52"/>
      <c r="BV497" s="52"/>
      <c r="BW497" s="52"/>
      <c r="BX497" s="52"/>
      <c r="BY497" s="52"/>
      <c r="BZ497" s="52"/>
      <c r="CA497" s="52"/>
      <c r="CB497" s="52"/>
      <c r="CC497" s="52"/>
      <c r="CD497" s="118"/>
      <c r="CE497" s="52"/>
      <c r="CF497" s="52"/>
      <c r="CG497" s="52"/>
      <c r="CH497" s="52"/>
      <c r="CI497" s="52"/>
      <c r="CJ497" s="52"/>
      <c r="CK497" s="52"/>
      <c r="CL497" s="52"/>
      <c r="CM497" s="52"/>
      <c r="CN497" s="118"/>
      <c r="CO497" s="118"/>
      <c r="CP497" s="118"/>
      <c r="CQ497" s="52"/>
      <c r="CR497" s="52"/>
      <c r="CS497" s="52"/>
      <c r="CT497" s="52"/>
      <c r="CU497" s="52"/>
      <c r="CV497" s="52"/>
      <c r="CW497" s="52"/>
      <c r="CX497" s="52"/>
      <c r="CY497" s="52"/>
      <c r="CZ497" s="52"/>
      <c r="DA497" s="52"/>
      <c r="DB497" s="52"/>
    </row>
    <row r="498" spans="1:106" ht="54" x14ac:dyDescent="0.25">
      <c r="A498" s="411">
        <v>496</v>
      </c>
      <c r="B498" s="412" t="s">
        <v>4351</v>
      </c>
      <c r="C498" s="413" t="s">
        <v>4352</v>
      </c>
      <c r="D498" s="562" t="s">
        <v>4224</v>
      </c>
      <c r="E498" s="80">
        <v>1</v>
      </c>
      <c r="F498" s="353">
        <v>129458.43400000001</v>
      </c>
      <c r="G498" s="293"/>
      <c r="H498" s="293"/>
      <c r="I498" s="293"/>
      <c r="J498" s="52"/>
      <c r="K498" s="52"/>
      <c r="L498" s="359"/>
      <c r="M498" s="360"/>
      <c r="N498" s="361"/>
      <c r="O498" s="33"/>
      <c r="P498" s="252"/>
      <c r="Q498" s="113"/>
      <c r="R498" s="113"/>
      <c r="S498" s="113"/>
      <c r="T498" s="52"/>
      <c r="U498" s="5"/>
      <c r="V498" s="231"/>
      <c r="W498" s="231"/>
      <c r="X498" s="231"/>
      <c r="Y498" s="113"/>
      <c r="Z498" s="357"/>
      <c r="AA498" s="118" t="s">
        <v>2877</v>
      </c>
      <c r="AB498" s="118"/>
      <c r="AC498" s="118"/>
      <c r="AD498" s="52"/>
      <c r="AE498" s="5"/>
      <c r="AF498" s="358"/>
      <c r="AG498" s="358"/>
      <c r="AH498" s="358"/>
      <c r="AI498" s="358"/>
      <c r="AJ498" s="358"/>
      <c r="AK498" s="113"/>
      <c r="AL498" s="113"/>
      <c r="AM498" s="113"/>
      <c r="AN498" s="113"/>
      <c r="AO498" s="113"/>
      <c r="AP498" s="52"/>
      <c r="AQ498" s="52"/>
      <c r="AR498" s="52"/>
      <c r="AS498" s="52"/>
      <c r="AT498" s="52"/>
      <c r="AU498" s="125">
        <v>225000</v>
      </c>
      <c r="AV498" s="125">
        <v>42750</v>
      </c>
      <c r="AW498" s="125">
        <v>267750</v>
      </c>
      <c r="AX498" s="5" t="s">
        <v>3195</v>
      </c>
      <c r="AY498" s="5" t="s">
        <v>4296</v>
      </c>
      <c r="AZ498" s="113">
        <v>544000</v>
      </c>
      <c r="BA498" s="113">
        <v>103360</v>
      </c>
      <c r="BB498" s="113">
        <v>647360</v>
      </c>
      <c r="BC498" s="52" t="s">
        <v>2925</v>
      </c>
      <c r="BD498" s="52" t="s">
        <v>4353</v>
      </c>
      <c r="BE498" s="118"/>
      <c r="BF498" s="118"/>
      <c r="BG498" s="118"/>
      <c r="BH498" s="52"/>
      <c r="BI498" s="283"/>
      <c r="BJ498" s="52"/>
      <c r="BK498" s="52"/>
      <c r="BL498" s="52"/>
      <c r="BM498" s="52"/>
      <c r="BN498" s="52"/>
      <c r="BO498" s="52"/>
      <c r="BP498" s="52"/>
      <c r="BQ498" s="52"/>
      <c r="BR498" s="52"/>
      <c r="BS498" s="52"/>
      <c r="BT498" s="52"/>
      <c r="BU498" s="52"/>
      <c r="BV498" s="52"/>
      <c r="BW498" s="52"/>
      <c r="BX498" s="52"/>
      <c r="BY498" s="52"/>
      <c r="BZ498" s="52"/>
      <c r="CA498" s="52"/>
      <c r="CB498" s="52"/>
      <c r="CC498" s="52"/>
      <c r="CD498" s="118"/>
      <c r="CE498" s="52"/>
      <c r="CF498" s="52"/>
      <c r="CG498" s="52"/>
      <c r="CH498" s="52"/>
      <c r="CI498" s="52"/>
      <c r="CJ498" s="52"/>
      <c r="CK498" s="52"/>
      <c r="CL498" s="52"/>
      <c r="CM498" s="52"/>
      <c r="CN498" s="118"/>
      <c r="CO498" s="118"/>
      <c r="CP498" s="118"/>
      <c r="CQ498" s="52"/>
      <c r="CR498" s="52"/>
      <c r="CS498" s="52"/>
      <c r="CT498" s="52"/>
      <c r="CU498" s="52"/>
      <c r="CV498" s="52"/>
      <c r="CW498" s="52"/>
      <c r="CX498" s="52"/>
      <c r="CY498" s="52"/>
      <c r="CZ498" s="52"/>
      <c r="DA498" s="52"/>
      <c r="DB498" s="52"/>
    </row>
    <row r="499" spans="1:106" ht="54" x14ac:dyDescent="0.25">
      <c r="A499" s="411">
        <v>497</v>
      </c>
      <c r="B499" s="412" t="s">
        <v>4354</v>
      </c>
      <c r="C499" s="413" t="s">
        <v>4355</v>
      </c>
      <c r="D499" s="562" t="s">
        <v>4224</v>
      </c>
      <c r="E499" s="80">
        <v>1</v>
      </c>
      <c r="F499" s="355">
        <v>152662.09179999999</v>
      </c>
      <c r="G499" s="293"/>
      <c r="H499" s="293"/>
      <c r="I499" s="293"/>
      <c r="J499" s="52"/>
      <c r="K499" s="52"/>
      <c r="L499" s="359"/>
      <c r="M499" s="360"/>
      <c r="N499" s="361"/>
      <c r="O499" s="33"/>
      <c r="P499" s="252"/>
      <c r="Q499" s="113"/>
      <c r="R499" s="113"/>
      <c r="S499" s="113"/>
      <c r="T499" s="52"/>
      <c r="U499" s="5"/>
      <c r="V499" s="231"/>
      <c r="W499" s="231"/>
      <c r="X499" s="231"/>
      <c r="Y499" s="113"/>
      <c r="Z499" s="357"/>
      <c r="AA499" s="118" t="s">
        <v>2877</v>
      </c>
      <c r="AB499" s="118"/>
      <c r="AC499" s="118"/>
      <c r="AD499" s="52"/>
      <c r="AE499" s="5"/>
      <c r="AF499" s="358"/>
      <c r="AG499" s="358"/>
      <c r="AH499" s="358"/>
      <c r="AI499" s="358"/>
      <c r="AJ499" s="358"/>
      <c r="AK499" s="113"/>
      <c r="AL499" s="113"/>
      <c r="AM499" s="113"/>
      <c r="AN499" s="113"/>
      <c r="AO499" s="113"/>
      <c r="AP499" s="52"/>
      <c r="AQ499" s="52"/>
      <c r="AR499" s="52"/>
      <c r="AS499" s="52"/>
      <c r="AT499" s="52"/>
      <c r="AU499" s="125"/>
      <c r="AV499" s="125"/>
      <c r="AW499" s="125"/>
      <c r="AX499" s="5"/>
      <c r="AY499" s="5"/>
      <c r="AZ499" s="113">
        <v>661000</v>
      </c>
      <c r="BA499" s="113">
        <v>125590</v>
      </c>
      <c r="BB499" s="113">
        <v>786590</v>
      </c>
      <c r="BC499" s="52" t="s">
        <v>2925</v>
      </c>
      <c r="BD499" s="52" t="s">
        <v>4356</v>
      </c>
      <c r="BE499" s="118"/>
      <c r="BF499" s="118"/>
      <c r="BG499" s="118"/>
      <c r="BH499" s="52"/>
      <c r="BI499" s="283"/>
      <c r="BJ499" s="52"/>
      <c r="BK499" s="52"/>
      <c r="BL499" s="52"/>
      <c r="BM499" s="52"/>
      <c r="BN499" s="52"/>
      <c r="BO499" s="52"/>
      <c r="BP499" s="52"/>
      <c r="BQ499" s="52"/>
      <c r="BR499" s="52"/>
      <c r="BS499" s="52"/>
      <c r="BT499" s="52"/>
      <c r="BU499" s="52"/>
      <c r="BV499" s="52"/>
      <c r="BW499" s="52"/>
      <c r="BX499" s="52"/>
      <c r="BY499" s="52"/>
      <c r="BZ499" s="52"/>
      <c r="CA499" s="52"/>
      <c r="CB499" s="52"/>
      <c r="CC499" s="52"/>
      <c r="CD499" s="118"/>
      <c r="CE499" s="52"/>
      <c r="CF499" s="52"/>
      <c r="CG499" s="52"/>
      <c r="CH499" s="52"/>
      <c r="CI499" s="52"/>
      <c r="CJ499" s="52"/>
      <c r="CK499" s="52"/>
      <c r="CL499" s="52"/>
      <c r="CM499" s="52"/>
      <c r="CN499" s="118"/>
      <c r="CO499" s="118"/>
      <c r="CP499" s="118"/>
      <c r="CQ499" s="52"/>
      <c r="CR499" s="52"/>
      <c r="CS499" s="52"/>
      <c r="CT499" s="52"/>
      <c r="CU499" s="52"/>
      <c r="CV499" s="52"/>
      <c r="CW499" s="52"/>
      <c r="CX499" s="52"/>
      <c r="CY499" s="52"/>
      <c r="CZ499" s="52"/>
      <c r="DA499" s="52"/>
      <c r="DB499" s="52"/>
    </row>
    <row r="500" spans="1:106" ht="40.5" x14ac:dyDescent="0.25">
      <c r="A500" s="411">
        <v>498</v>
      </c>
      <c r="B500" s="412" t="s">
        <v>4357</v>
      </c>
      <c r="C500" s="413" t="s">
        <v>4358</v>
      </c>
      <c r="D500" s="426" t="s">
        <v>3732</v>
      </c>
      <c r="E500" s="80">
        <v>1</v>
      </c>
      <c r="F500" s="353">
        <v>113119.02</v>
      </c>
      <c r="G500" s="293"/>
      <c r="H500" s="293"/>
      <c r="I500" s="293"/>
      <c r="J500" s="52"/>
      <c r="K500" s="52"/>
      <c r="L500" s="359"/>
      <c r="M500" s="360"/>
      <c r="N500" s="361"/>
      <c r="O500" s="33"/>
      <c r="P500" s="252"/>
      <c r="Q500" s="113"/>
      <c r="R500" s="113"/>
      <c r="S500" s="113"/>
      <c r="T500" s="52"/>
      <c r="U500" s="5"/>
      <c r="V500" s="231">
        <v>38000</v>
      </c>
      <c r="W500" s="231">
        <f t="shared" si="67"/>
        <v>7220</v>
      </c>
      <c r="X500" s="231">
        <f t="shared" si="68"/>
        <v>45220</v>
      </c>
      <c r="Y500" s="113" t="s">
        <v>4337</v>
      </c>
      <c r="Z500" s="357">
        <v>18260</v>
      </c>
      <c r="AA500" s="118" t="s">
        <v>2877</v>
      </c>
      <c r="AB500" s="118"/>
      <c r="AC500" s="118"/>
      <c r="AD500" s="52"/>
      <c r="AE500" s="5"/>
      <c r="AF500" s="358"/>
      <c r="AG500" s="358"/>
      <c r="AH500" s="358"/>
      <c r="AI500" s="358"/>
      <c r="AJ500" s="358"/>
      <c r="AK500" s="113"/>
      <c r="AL500" s="113"/>
      <c r="AM500" s="113"/>
      <c r="AN500" s="113"/>
      <c r="AO500" s="113"/>
      <c r="AP500" s="52"/>
      <c r="AQ500" s="52"/>
      <c r="AR500" s="52"/>
      <c r="AS500" s="52"/>
      <c r="AT500" s="52"/>
      <c r="AU500" s="125"/>
      <c r="AV500" s="125"/>
      <c r="AW500" s="125"/>
      <c r="AX500" s="5"/>
      <c r="AY500" s="5"/>
      <c r="AZ500" s="113">
        <v>92000</v>
      </c>
      <c r="BA500" s="113">
        <v>17480</v>
      </c>
      <c r="BB500" s="113">
        <v>109480</v>
      </c>
      <c r="BC500" s="52" t="s">
        <v>2925</v>
      </c>
      <c r="BD500" s="52" t="s">
        <v>4297</v>
      </c>
      <c r="BE500" s="118"/>
      <c r="BF500" s="118"/>
      <c r="BG500" s="118"/>
      <c r="BH500" s="52"/>
      <c r="BI500" s="283"/>
      <c r="BJ500" s="52"/>
      <c r="BK500" s="52"/>
      <c r="BL500" s="52"/>
      <c r="BM500" s="52"/>
      <c r="BN500" s="52"/>
      <c r="BO500" s="52"/>
      <c r="BP500" s="52"/>
      <c r="BQ500" s="52"/>
      <c r="BR500" s="52"/>
      <c r="BS500" s="52"/>
      <c r="BT500" s="52"/>
      <c r="BU500" s="52"/>
      <c r="BV500" s="52"/>
      <c r="BW500" s="52"/>
      <c r="BX500" s="52"/>
      <c r="BY500" s="52"/>
      <c r="BZ500" s="52"/>
      <c r="CA500" s="52"/>
      <c r="CB500" s="52"/>
      <c r="CC500" s="52"/>
      <c r="CD500" s="118"/>
      <c r="CE500" s="52"/>
      <c r="CF500" s="52"/>
      <c r="CG500" s="52"/>
      <c r="CH500" s="52"/>
      <c r="CI500" s="52"/>
      <c r="CJ500" s="52"/>
      <c r="CK500" s="52"/>
      <c r="CL500" s="52"/>
      <c r="CM500" s="52"/>
      <c r="CN500" s="118"/>
      <c r="CO500" s="118"/>
      <c r="CP500" s="118"/>
      <c r="CQ500" s="52"/>
      <c r="CR500" s="52"/>
      <c r="CS500" s="52"/>
      <c r="CT500" s="52"/>
      <c r="CU500" s="52"/>
      <c r="CV500" s="52"/>
      <c r="CW500" s="52"/>
      <c r="CX500" s="52"/>
      <c r="CY500" s="52"/>
      <c r="CZ500" s="52"/>
      <c r="DA500" s="52"/>
      <c r="DB500" s="52"/>
    </row>
    <row r="501" spans="1:106" ht="51" x14ac:dyDescent="0.25">
      <c r="A501" s="411">
        <v>499</v>
      </c>
      <c r="B501" s="416" t="s">
        <v>4359</v>
      </c>
      <c r="C501" s="563" t="s">
        <v>3200</v>
      </c>
      <c r="D501" s="416" t="s">
        <v>4360</v>
      </c>
      <c r="E501" s="80">
        <v>1</v>
      </c>
      <c r="F501" s="80"/>
      <c r="G501" s="293"/>
      <c r="H501" s="293"/>
      <c r="I501" s="293"/>
      <c r="J501" s="52"/>
      <c r="K501" s="52"/>
      <c r="L501" s="359"/>
      <c r="M501" s="360"/>
      <c r="N501" s="361"/>
      <c r="O501" s="33"/>
      <c r="P501" s="252"/>
      <c r="Q501" s="113"/>
      <c r="R501" s="113"/>
      <c r="S501" s="113"/>
      <c r="T501" s="52"/>
      <c r="U501" s="5"/>
      <c r="V501" s="231">
        <v>595000</v>
      </c>
      <c r="W501" s="231">
        <f t="shared" si="67"/>
        <v>113050</v>
      </c>
      <c r="X501" s="231">
        <f t="shared" si="68"/>
        <v>708050</v>
      </c>
      <c r="Y501" s="113" t="s">
        <v>3378</v>
      </c>
      <c r="Z501" s="357" t="s">
        <v>4261</v>
      </c>
      <c r="AA501" s="118" t="s">
        <v>2877</v>
      </c>
      <c r="AB501" s="118"/>
      <c r="AC501" s="118"/>
      <c r="AD501" s="52"/>
      <c r="AE501" s="5"/>
      <c r="AF501" s="358"/>
      <c r="AG501" s="358"/>
      <c r="AH501" s="358"/>
      <c r="AI501" s="358"/>
      <c r="AJ501" s="358"/>
      <c r="AK501" s="113"/>
      <c r="AL501" s="113"/>
      <c r="AM501" s="113"/>
      <c r="AN501" s="113"/>
      <c r="AO501" s="113"/>
      <c r="AP501" s="52"/>
      <c r="AQ501" s="52"/>
      <c r="AR501" s="52"/>
      <c r="AS501" s="52"/>
      <c r="AT501" s="52"/>
      <c r="AU501" s="125">
        <v>502200</v>
      </c>
      <c r="AV501" s="125">
        <v>95418</v>
      </c>
      <c r="AW501" s="125">
        <v>597618</v>
      </c>
      <c r="AX501" s="5" t="s">
        <v>3195</v>
      </c>
      <c r="AY501" s="5" t="s">
        <v>4264</v>
      </c>
      <c r="AZ501" s="113">
        <v>781000</v>
      </c>
      <c r="BA501" s="113">
        <v>148390</v>
      </c>
      <c r="BB501" s="113">
        <v>929390</v>
      </c>
      <c r="BC501" s="52" t="s">
        <v>2925</v>
      </c>
      <c r="BD501" s="52" t="s">
        <v>4361</v>
      </c>
      <c r="BE501" s="118"/>
      <c r="BF501" s="118"/>
      <c r="BG501" s="118"/>
      <c r="BH501" s="52"/>
      <c r="BI501" s="283"/>
      <c r="BJ501" s="52"/>
      <c r="BK501" s="52"/>
      <c r="BL501" s="52"/>
      <c r="BM501" s="52"/>
      <c r="BN501" s="52"/>
      <c r="BO501" s="52"/>
      <c r="BP501" s="52"/>
      <c r="BQ501" s="52"/>
      <c r="BR501" s="52"/>
      <c r="BS501" s="52"/>
      <c r="BT501" s="52"/>
      <c r="BU501" s="52"/>
      <c r="BV501" s="52"/>
      <c r="BW501" s="52"/>
      <c r="BX501" s="52"/>
      <c r="BY501" s="52"/>
      <c r="BZ501" s="52"/>
      <c r="CA501" s="52"/>
      <c r="CB501" s="52"/>
      <c r="CC501" s="52"/>
      <c r="CD501" s="118"/>
      <c r="CE501" s="52"/>
      <c r="CF501" s="52"/>
      <c r="CG501" s="52"/>
      <c r="CH501" s="52"/>
      <c r="CI501" s="52"/>
      <c r="CJ501" s="52"/>
      <c r="CK501" s="52"/>
      <c r="CL501" s="52"/>
      <c r="CM501" s="52"/>
      <c r="CN501" s="118"/>
      <c r="CO501" s="118"/>
      <c r="CP501" s="118"/>
      <c r="CQ501" s="52"/>
      <c r="CR501" s="52"/>
      <c r="CS501" s="52"/>
      <c r="CT501" s="52"/>
      <c r="CU501" s="52"/>
      <c r="CV501" s="52"/>
      <c r="CW501" s="52"/>
      <c r="CX501" s="52"/>
      <c r="CY501" s="52"/>
      <c r="CZ501" s="52"/>
      <c r="DA501" s="52"/>
      <c r="DB501" s="52"/>
    </row>
    <row r="502" spans="1:106" ht="38.25" x14ac:dyDescent="0.25">
      <c r="A502" s="411">
        <v>500</v>
      </c>
      <c r="B502" s="409" t="s">
        <v>5103</v>
      </c>
      <c r="C502" s="413" t="s">
        <v>3897</v>
      </c>
      <c r="D502" s="409" t="s">
        <v>4362</v>
      </c>
      <c r="E502" s="80">
        <v>1</v>
      </c>
      <c r="F502" s="80"/>
      <c r="G502" s="293"/>
      <c r="H502" s="293"/>
      <c r="I502" s="293"/>
      <c r="J502" s="52"/>
      <c r="K502" s="52"/>
      <c r="L502" s="359"/>
      <c r="M502" s="360"/>
      <c r="N502" s="361"/>
      <c r="O502" s="33"/>
      <c r="P502" s="252"/>
      <c r="Q502" s="113"/>
      <c r="R502" s="113"/>
      <c r="S502" s="113"/>
      <c r="T502" s="52"/>
      <c r="U502" s="5"/>
      <c r="V502" s="231">
        <v>92100</v>
      </c>
      <c r="W502" s="231">
        <f t="shared" si="67"/>
        <v>17499</v>
      </c>
      <c r="X502" s="231">
        <f t="shared" si="68"/>
        <v>109599</v>
      </c>
      <c r="Y502" s="113" t="s">
        <v>4248</v>
      </c>
      <c r="Z502" s="357" t="s">
        <v>4312</v>
      </c>
      <c r="AA502" s="118" t="s">
        <v>2877</v>
      </c>
      <c r="AB502" s="118"/>
      <c r="AC502" s="118"/>
      <c r="AD502" s="52"/>
      <c r="AE502" s="5"/>
      <c r="AF502" s="358"/>
      <c r="AG502" s="358"/>
      <c r="AH502" s="358"/>
      <c r="AI502" s="358"/>
      <c r="AJ502" s="358"/>
      <c r="AK502" s="113"/>
      <c r="AL502" s="113"/>
      <c r="AM502" s="113"/>
      <c r="AN502" s="113"/>
      <c r="AO502" s="113"/>
      <c r="AP502" s="52"/>
      <c r="AQ502" s="52"/>
      <c r="AR502" s="52"/>
      <c r="AS502" s="52"/>
      <c r="AT502" s="52"/>
      <c r="AU502" s="125">
        <v>318900</v>
      </c>
      <c r="AV502" s="125">
        <v>60591</v>
      </c>
      <c r="AW502" s="125">
        <v>379491</v>
      </c>
      <c r="AX502" s="5" t="s">
        <v>3195</v>
      </c>
      <c r="AY502" s="5" t="s">
        <v>4313</v>
      </c>
      <c r="AZ502" s="113">
        <v>111000</v>
      </c>
      <c r="BA502" s="113">
        <v>21090</v>
      </c>
      <c r="BB502" s="113">
        <v>132090</v>
      </c>
      <c r="BC502" s="52" t="s">
        <v>2925</v>
      </c>
      <c r="BD502" s="52" t="s">
        <v>4314</v>
      </c>
      <c r="BE502" s="118"/>
      <c r="BF502" s="118"/>
      <c r="BG502" s="118"/>
      <c r="BH502" s="52"/>
      <c r="BI502" s="283"/>
      <c r="BJ502" s="52"/>
      <c r="BK502" s="52"/>
      <c r="BL502" s="52"/>
      <c r="BM502" s="52"/>
      <c r="BN502" s="52"/>
      <c r="BO502" s="52"/>
      <c r="BP502" s="52"/>
      <c r="BQ502" s="52"/>
      <c r="BR502" s="52"/>
      <c r="BS502" s="52"/>
      <c r="BT502" s="52"/>
      <c r="BU502" s="52"/>
      <c r="BV502" s="52"/>
      <c r="BW502" s="52"/>
      <c r="BX502" s="52"/>
      <c r="BY502" s="52"/>
      <c r="BZ502" s="52"/>
      <c r="CA502" s="52"/>
      <c r="CB502" s="52"/>
      <c r="CC502" s="52"/>
      <c r="CD502" s="118"/>
      <c r="CE502" s="52"/>
      <c r="CF502" s="52"/>
      <c r="CG502" s="52"/>
      <c r="CH502" s="52"/>
      <c r="CI502" s="52"/>
      <c r="CJ502" s="52"/>
      <c r="CK502" s="52"/>
      <c r="CL502" s="52"/>
      <c r="CM502" s="52"/>
      <c r="CN502" s="118"/>
      <c r="CO502" s="118"/>
      <c r="CP502" s="118"/>
      <c r="CQ502" s="52"/>
      <c r="CR502" s="52"/>
      <c r="CS502" s="52"/>
      <c r="CT502" s="52"/>
      <c r="CU502" s="52"/>
      <c r="CV502" s="52"/>
      <c r="CW502" s="52"/>
      <c r="CX502" s="52"/>
      <c r="CY502" s="52"/>
      <c r="CZ502" s="52"/>
      <c r="DA502" s="52"/>
      <c r="DB502" s="52"/>
    </row>
    <row r="503" spans="1:106" ht="27" x14ac:dyDescent="0.25">
      <c r="A503" s="411">
        <v>501</v>
      </c>
      <c r="B503" s="412" t="s">
        <v>4363</v>
      </c>
      <c r="C503" s="413" t="s">
        <v>4364</v>
      </c>
      <c r="D503" s="426" t="s">
        <v>445</v>
      </c>
      <c r="E503" s="80">
        <v>1</v>
      </c>
      <c r="F503" s="353">
        <v>50052.2618</v>
      </c>
      <c r="G503" s="293"/>
      <c r="H503" s="293"/>
      <c r="I503" s="293"/>
      <c r="J503" s="52"/>
      <c r="K503" s="52"/>
      <c r="L503" s="359"/>
      <c r="M503" s="360"/>
      <c r="N503" s="361"/>
      <c r="O503" s="33"/>
      <c r="P503" s="252"/>
      <c r="Q503" s="113"/>
      <c r="R503" s="113"/>
      <c r="S503" s="113"/>
      <c r="T503" s="52"/>
      <c r="U503" s="5"/>
      <c r="V503" s="231"/>
      <c r="W503" s="231"/>
      <c r="X503" s="231"/>
      <c r="Y503" s="113"/>
      <c r="Z503" s="357"/>
      <c r="AA503" s="118" t="s">
        <v>2877</v>
      </c>
      <c r="AB503" s="118"/>
      <c r="AC503" s="118"/>
      <c r="AD503" s="52"/>
      <c r="AE503" s="5"/>
      <c r="AF503" s="358"/>
      <c r="AG503" s="358"/>
      <c r="AH503" s="358"/>
      <c r="AI503" s="358"/>
      <c r="AJ503" s="358"/>
      <c r="AK503" s="113"/>
      <c r="AL503" s="113"/>
      <c r="AM503" s="113"/>
      <c r="AN503" s="113"/>
      <c r="AO503" s="113"/>
      <c r="AP503" s="52"/>
      <c r="AQ503" s="52"/>
      <c r="AR503" s="52"/>
      <c r="AS503" s="52"/>
      <c r="AT503" s="52"/>
      <c r="AU503" s="125"/>
      <c r="AV503" s="125"/>
      <c r="AW503" s="125"/>
      <c r="AX503" s="5"/>
      <c r="AY503" s="5"/>
      <c r="AZ503" s="113"/>
      <c r="BA503" s="113"/>
      <c r="BB503" s="113"/>
      <c r="BC503" s="52"/>
      <c r="BD503" s="52"/>
      <c r="BE503" s="118"/>
      <c r="BF503" s="118"/>
      <c r="BG503" s="118"/>
      <c r="BH503" s="52"/>
      <c r="BI503" s="283"/>
      <c r="BJ503" s="52"/>
      <c r="BK503" s="52"/>
      <c r="BL503" s="52"/>
      <c r="BM503" s="52"/>
      <c r="BN503" s="52"/>
      <c r="BO503" s="293">
        <v>80000</v>
      </c>
      <c r="BP503" s="118">
        <f>+BO503*0.19</f>
        <v>15200</v>
      </c>
      <c r="BQ503" s="118">
        <f>+BO503+BP503</f>
        <v>95200</v>
      </c>
      <c r="BR503" s="52" t="s">
        <v>2944</v>
      </c>
      <c r="BS503" s="52" t="s">
        <v>178</v>
      </c>
      <c r="BT503" s="52"/>
      <c r="BU503" s="52"/>
      <c r="BV503" s="52"/>
      <c r="BW503" s="52"/>
      <c r="BX503" s="52"/>
      <c r="BY503" s="293">
        <v>25000</v>
      </c>
      <c r="BZ503" s="118">
        <f>+BY503*0.19</f>
        <v>4750</v>
      </c>
      <c r="CA503" s="364">
        <f>+BY503+BZ503</f>
        <v>29750</v>
      </c>
      <c r="CB503" s="52" t="s">
        <v>3245</v>
      </c>
      <c r="CC503" s="52" t="s">
        <v>4365</v>
      </c>
      <c r="CD503" s="118"/>
      <c r="CE503" s="52"/>
      <c r="CF503" s="52"/>
      <c r="CG503" s="52"/>
      <c r="CH503" s="52"/>
      <c r="CI503" s="52"/>
      <c r="CJ503" s="52"/>
      <c r="CK503" s="52"/>
      <c r="CL503" s="52"/>
      <c r="CM503" s="52"/>
      <c r="CN503" s="118"/>
      <c r="CO503" s="118"/>
      <c r="CP503" s="118"/>
      <c r="CQ503" s="52"/>
      <c r="CR503" s="52"/>
      <c r="CS503" s="52"/>
      <c r="CT503" s="52"/>
      <c r="CU503" s="52"/>
      <c r="CV503" s="52"/>
      <c r="CW503" s="52"/>
      <c r="CX503" s="52"/>
      <c r="CY503" s="52"/>
      <c r="CZ503" s="52"/>
      <c r="DA503" s="52"/>
      <c r="DB503" s="52"/>
    </row>
    <row r="504" spans="1:106" ht="40.5" x14ac:dyDescent="0.25">
      <c r="A504" s="411">
        <v>502</v>
      </c>
      <c r="B504" s="412" t="s">
        <v>4366</v>
      </c>
      <c r="C504" s="413" t="s">
        <v>1340</v>
      </c>
      <c r="D504" s="426" t="s">
        <v>4367</v>
      </c>
      <c r="E504" s="80">
        <v>1</v>
      </c>
      <c r="F504" s="353">
        <v>671172.85200000007</v>
      </c>
      <c r="G504" s="293"/>
      <c r="H504" s="293"/>
      <c r="I504" s="293"/>
      <c r="J504" s="52"/>
      <c r="K504" s="52"/>
      <c r="L504" s="359"/>
      <c r="M504" s="360"/>
      <c r="N504" s="361"/>
      <c r="O504" s="33"/>
      <c r="P504" s="252"/>
      <c r="Q504" s="113"/>
      <c r="R504" s="113"/>
      <c r="S504" s="113"/>
      <c r="T504" s="52"/>
      <c r="U504" s="5"/>
      <c r="V504" s="231"/>
      <c r="W504" s="231"/>
      <c r="X504" s="231"/>
      <c r="Y504" s="113"/>
      <c r="Z504" s="357"/>
      <c r="AA504" s="118" t="s">
        <v>2877</v>
      </c>
      <c r="AB504" s="118"/>
      <c r="AC504" s="118"/>
      <c r="AD504" s="52"/>
      <c r="AE504" s="5"/>
      <c r="AF504" s="358"/>
      <c r="AG504" s="358"/>
      <c r="AH504" s="358"/>
      <c r="AI504" s="358"/>
      <c r="AJ504" s="358"/>
      <c r="AK504" s="113"/>
      <c r="AL504" s="113"/>
      <c r="AM504" s="113"/>
      <c r="AN504" s="113"/>
      <c r="AO504" s="113"/>
      <c r="AP504" s="52"/>
      <c r="AQ504" s="52"/>
      <c r="AR504" s="52"/>
      <c r="AS504" s="52"/>
      <c r="AT504" s="52"/>
      <c r="AU504" s="125"/>
      <c r="AV504" s="125"/>
      <c r="AW504" s="125"/>
      <c r="AX504" s="5"/>
      <c r="AY504" s="5"/>
      <c r="AZ504" s="113">
        <v>260000</v>
      </c>
      <c r="BA504" s="113">
        <v>49400</v>
      </c>
      <c r="BB504" s="113">
        <v>309400</v>
      </c>
      <c r="BC504" s="52" t="s">
        <v>2925</v>
      </c>
      <c r="BD504" s="52" t="s">
        <v>4368</v>
      </c>
      <c r="BE504" s="118"/>
      <c r="BF504" s="118"/>
      <c r="BG504" s="118"/>
      <c r="BH504" s="52"/>
      <c r="BI504" s="283"/>
      <c r="BJ504" s="52"/>
      <c r="BK504" s="52"/>
      <c r="BL504" s="52"/>
      <c r="BM504" s="52"/>
      <c r="BN504" s="52"/>
      <c r="BO504" s="52"/>
      <c r="BP504" s="52"/>
      <c r="BQ504" s="52"/>
      <c r="BR504" s="52"/>
      <c r="BS504" s="52"/>
      <c r="BT504" s="52"/>
      <c r="BU504" s="52"/>
      <c r="BV504" s="52"/>
      <c r="BW504" s="52"/>
      <c r="BX504" s="52"/>
      <c r="BY504" s="52"/>
      <c r="BZ504" s="52"/>
      <c r="CA504" s="52"/>
      <c r="CB504" s="52"/>
      <c r="CC504" s="52"/>
      <c r="CD504" s="118"/>
      <c r="CE504" s="52"/>
      <c r="CF504" s="52"/>
      <c r="CG504" s="52"/>
      <c r="CH504" s="52"/>
      <c r="CI504" s="52"/>
      <c r="CJ504" s="52"/>
      <c r="CK504" s="52"/>
      <c r="CL504" s="52"/>
      <c r="CM504" s="52"/>
      <c r="CN504" s="118"/>
      <c r="CO504" s="118"/>
      <c r="CP504" s="118"/>
      <c r="CQ504" s="52"/>
      <c r="CR504" s="52"/>
      <c r="CS504" s="52"/>
      <c r="CT504" s="52"/>
      <c r="CU504" s="52"/>
      <c r="CV504" s="52"/>
      <c r="CW504" s="52"/>
      <c r="CX504" s="52"/>
      <c r="CY504" s="52"/>
      <c r="CZ504" s="52"/>
      <c r="DA504" s="52"/>
      <c r="DB504" s="52"/>
    </row>
    <row r="505" spans="1:106" ht="27" x14ac:dyDescent="0.25">
      <c r="A505" s="411">
        <v>503</v>
      </c>
      <c r="B505" s="412" t="s">
        <v>4369</v>
      </c>
      <c r="C505" s="413" t="s">
        <v>622</v>
      </c>
      <c r="D505" s="426" t="s">
        <v>2877</v>
      </c>
      <c r="E505" s="80">
        <v>1</v>
      </c>
      <c r="F505" s="353">
        <v>6284.39</v>
      </c>
      <c r="G505" s="293"/>
      <c r="H505" s="293"/>
      <c r="I505" s="293"/>
      <c r="J505" s="52"/>
      <c r="K505" s="52"/>
      <c r="L505" s="359"/>
      <c r="M505" s="360"/>
      <c r="N505" s="361"/>
      <c r="O505" s="33"/>
      <c r="P505" s="252"/>
      <c r="Q505" s="113"/>
      <c r="R505" s="113"/>
      <c r="S505" s="113"/>
      <c r="T505" s="52"/>
      <c r="U505" s="5"/>
      <c r="V505" s="231"/>
      <c r="W505" s="231"/>
      <c r="X505" s="231"/>
      <c r="Y505" s="113"/>
      <c r="Z505" s="357"/>
      <c r="AA505" s="118" t="s">
        <v>2877</v>
      </c>
      <c r="AB505" s="118"/>
      <c r="AC505" s="118"/>
      <c r="AD505" s="52"/>
      <c r="AE505" s="5"/>
      <c r="AF505" s="358"/>
      <c r="AG505" s="358"/>
      <c r="AH505" s="358"/>
      <c r="AI505" s="358"/>
      <c r="AJ505" s="358"/>
      <c r="AK505" s="113"/>
      <c r="AL505" s="113"/>
      <c r="AM505" s="113"/>
      <c r="AN505" s="113"/>
      <c r="AO505" s="113"/>
      <c r="AP505" s="52"/>
      <c r="AQ505" s="52"/>
      <c r="AR505" s="52"/>
      <c r="AS505" s="52"/>
      <c r="AT505" s="52"/>
      <c r="AU505" s="125"/>
      <c r="AV505" s="125"/>
      <c r="AW505" s="125"/>
      <c r="AX505" s="5"/>
      <c r="AY505" s="5"/>
      <c r="AZ505" s="113"/>
      <c r="BA505" s="113"/>
      <c r="BB505" s="113"/>
      <c r="BC505" s="52"/>
      <c r="BD505" s="52"/>
      <c r="BE505" s="118"/>
      <c r="BF505" s="118"/>
      <c r="BG505" s="118"/>
      <c r="BH505" s="52"/>
      <c r="BI505" s="283"/>
      <c r="BJ505" s="52"/>
      <c r="BK505" s="52"/>
      <c r="BL505" s="52"/>
      <c r="BM505" s="52"/>
      <c r="BN505" s="52"/>
      <c r="BO505" s="52"/>
      <c r="BP505" s="52"/>
      <c r="BQ505" s="52"/>
      <c r="BR505" s="52"/>
      <c r="BS505" s="52"/>
      <c r="BT505" s="52"/>
      <c r="BU505" s="52"/>
      <c r="BV505" s="52"/>
      <c r="BW505" s="52"/>
      <c r="BX505" s="52"/>
      <c r="BY505" s="52"/>
      <c r="BZ505" s="52"/>
      <c r="CA505" s="52"/>
      <c r="CB505" s="52"/>
      <c r="CC505" s="52"/>
      <c r="CD505" s="118"/>
      <c r="CE505" s="52"/>
      <c r="CF505" s="52"/>
      <c r="CG505" s="52"/>
      <c r="CH505" s="52"/>
      <c r="CI505" s="52"/>
      <c r="CJ505" s="52"/>
      <c r="CK505" s="52"/>
      <c r="CL505" s="52"/>
      <c r="CM505" s="52"/>
      <c r="CN505" s="118"/>
      <c r="CO505" s="118"/>
      <c r="CP505" s="118"/>
      <c r="CQ505" s="52"/>
      <c r="CR505" s="52"/>
      <c r="CS505" s="52"/>
      <c r="CT505" s="52"/>
      <c r="CU505" s="52"/>
      <c r="CV505" s="52"/>
      <c r="CW505" s="52"/>
      <c r="CX505" s="52"/>
      <c r="CY505" s="52"/>
      <c r="CZ505" s="52"/>
      <c r="DA505" s="52"/>
      <c r="DB505" s="52"/>
    </row>
    <row r="506" spans="1:106" ht="27" x14ac:dyDescent="0.25">
      <c r="A506" s="411">
        <v>504</v>
      </c>
      <c r="B506" s="412" t="s">
        <v>4370</v>
      </c>
      <c r="C506" s="413" t="s">
        <v>3212</v>
      </c>
      <c r="D506" s="426" t="s">
        <v>445</v>
      </c>
      <c r="E506" s="80">
        <v>1</v>
      </c>
      <c r="F506" s="355">
        <v>165588.92360000001</v>
      </c>
      <c r="G506" s="293"/>
      <c r="H506" s="293"/>
      <c r="I506" s="293"/>
      <c r="J506" s="52"/>
      <c r="K506" s="52"/>
      <c r="L506" s="359"/>
      <c r="M506" s="360"/>
      <c r="N506" s="361"/>
      <c r="O506" s="33"/>
      <c r="P506" s="252"/>
      <c r="Q506" s="113"/>
      <c r="R506" s="113"/>
      <c r="S506" s="113"/>
      <c r="T506" s="52"/>
      <c r="U506" s="5"/>
      <c r="V506" s="231"/>
      <c r="W506" s="231"/>
      <c r="X506" s="231"/>
      <c r="Y506" s="113"/>
      <c r="Z506" s="357"/>
      <c r="AA506" s="118" t="s">
        <v>2877</v>
      </c>
      <c r="AB506" s="118"/>
      <c r="AC506" s="118"/>
      <c r="AD506" s="52"/>
      <c r="AE506" s="5"/>
      <c r="AF506" s="358"/>
      <c r="AG506" s="358"/>
      <c r="AH506" s="358"/>
      <c r="AI506" s="358"/>
      <c r="AJ506" s="358"/>
      <c r="AK506" s="113"/>
      <c r="AL506" s="113"/>
      <c r="AM506" s="113"/>
      <c r="AN506" s="113"/>
      <c r="AO506" s="113"/>
      <c r="AP506" s="52"/>
      <c r="AQ506" s="52"/>
      <c r="AR506" s="52"/>
      <c r="AS506" s="52"/>
      <c r="AT506" s="52"/>
      <c r="AU506" s="125"/>
      <c r="AV506" s="125"/>
      <c r="AW506" s="125"/>
      <c r="AX506" s="5"/>
      <c r="AY506" s="5"/>
      <c r="AZ506" s="113"/>
      <c r="BA506" s="113"/>
      <c r="BB506" s="113"/>
      <c r="BC506" s="52"/>
      <c r="BD506" s="52"/>
      <c r="BE506" s="118"/>
      <c r="BF506" s="118"/>
      <c r="BG506" s="118"/>
      <c r="BH506" s="52"/>
      <c r="BI506" s="283"/>
      <c r="BJ506" s="52"/>
      <c r="BK506" s="52"/>
      <c r="BL506" s="52"/>
      <c r="BM506" s="52"/>
      <c r="BN506" s="52"/>
      <c r="BO506" s="52"/>
      <c r="BP506" s="52"/>
      <c r="BQ506" s="52"/>
      <c r="BR506" s="52"/>
      <c r="BS506" s="52"/>
      <c r="BT506" s="52"/>
      <c r="BU506" s="52"/>
      <c r="BV506" s="52"/>
      <c r="BW506" s="52"/>
      <c r="BX506" s="52"/>
      <c r="BY506" s="52"/>
      <c r="BZ506" s="52"/>
      <c r="CA506" s="52"/>
      <c r="CB506" s="52"/>
      <c r="CC506" s="52"/>
      <c r="CD506" s="118"/>
      <c r="CE506" s="52"/>
      <c r="CF506" s="52"/>
      <c r="CG506" s="52"/>
      <c r="CH506" s="52"/>
      <c r="CI506" s="52"/>
      <c r="CJ506" s="52"/>
      <c r="CK506" s="52"/>
      <c r="CL506" s="52"/>
      <c r="CM506" s="52"/>
      <c r="CN506" s="118"/>
      <c r="CO506" s="118"/>
      <c r="CP506" s="118"/>
      <c r="CQ506" s="52"/>
      <c r="CR506" s="52"/>
      <c r="CS506" s="52"/>
      <c r="CT506" s="52"/>
      <c r="CU506" s="52"/>
      <c r="CV506" s="52"/>
      <c r="CW506" s="52"/>
      <c r="CX506" s="52"/>
      <c r="CY506" s="52"/>
      <c r="CZ506" s="52"/>
      <c r="DA506" s="52"/>
      <c r="DB506" s="52"/>
    </row>
    <row r="507" spans="1:106" ht="54" x14ac:dyDescent="0.25">
      <c r="A507" s="411">
        <v>505</v>
      </c>
      <c r="B507" s="412" t="s">
        <v>4371</v>
      </c>
      <c r="C507" s="413" t="s">
        <v>622</v>
      </c>
      <c r="D507" s="426" t="s">
        <v>445</v>
      </c>
      <c r="E507" s="80">
        <v>1</v>
      </c>
      <c r="F507" s="353">
        <v>7541.268</v>
      </c>
      <c r="G507" s="293"/>
      <c r="H507" s="293"/>
      <c r="I507" s="293"/>
      <c r="J507" s="52"/>
      <c r="K507" s="52"/>
      <c r="L507" s="359"/>
      <c r="M507" s="360"/>
      <c r="N507" s="361"/>
      <c r="O507" s="33"/>
      <c r="P507" s="252"/>
      <c r="Q507" s="113"/>
      <c r="R507" s="113"/>
      <c r="S507" s="113"/>
      <c r="T507" s="52"/>
      <c r="U507" s="5"/>
      <c r="V507" s="231"/>
      <c r="W507" s="231"/>
      <c r="X507" s="231"/>
      <c r="Y507" s="113"/>
      <c r="Z507" s="357"/>
      <c r="AA507" s="118" t="s">
        <v>2877</v>
      </c>
      <c r="AB507" s="118"/>
      <c r="AC507" s="118"/>
      <c r="AD507" s="52"/>
      <c r="AE507" s="5"/>
      <c r="AF507" s="358"/>
      <c r="AG507" s="358"/>
      <c r="AH507" s="358"/>
      <c r="AI507" s="358"/>
      <c r="AJ507" s="358"/>
      <c r="AK507" s="113"/>
      <c r="AL507" s="113"/>
      <c r="AM507" s="113"/>
      <c r="AN507" s="113"/>
      <c r="AO507" s="113"/>
      <c r="AP507" s="52"/>
      <c r="AQ507" s="52"/>
      <c r="AR507" s="52"/>
      <c r="AS507" s="52"/>
      <c r="AT507" s="52"/>
      <c r="AU507" s="125"/>
      <c r="AV507" s="125"/>
      <c r="AW507" s="125"/>
      <c r="AX507" s="5"/>
      <c r="AY507" s="5"/>
      <c r="AZ507" s="113"/>
      <c r="BA507" s="113"/>
      <c r="BB507" s="113"/>
      <c r="BC507" s="52"/>
      <c r="BD507" s="52" t="s">
        <v>4372</v>
      </c>
      <c r="BE507" s="118"/>
      <c r="BF507" s="118"/>
      <c r="BG507" s="118"/>
      <c r="BH507" s="52"/>
      <c r="BI507" s="283"/>
      <c r="BJ507" s="52"/>
      <c r="BK507" s="52"/>
      <c r="BL507" s="52"/>
      <c r="BM507" s="52"/>
      <c r="BN507" s="52"/>
      <c r="BO507" s="52"/>
      <c r="BP507" s="52"/>
      <c r="BQ507" s="52"/>
      <c r="BR507" s="52"/>
      <c r="BS507" s="52"/>
      <c r="BT507" s="52"/>
      <c r="BU507" s="52"/>
      <c r="BV507" s="52"/>
      <c r="BW507" s="52"/>
      <c r="BX507" s="52"/>
      <c r="BY507" s="52"/>
      <c r="BZ507" s="52"/>
      <c r="CA507" s="52"/>
      <c r="CB507" s="52"/>
      <c r="CC507" s="52"/>
      <c r="CD507" s="118"/>
      <c r="CE507" s="52"/>
      <c r="CF507" s="52"/>
      <c r="CG507" s="52"/>
      <c r="CH507" s="52"/>
      <c r="CI507" s="52"/>
      <c r="CJ507" s="52"/>
      <c r="CK507" s="52"/>
      <c r="CL507" s="52"/>
      <c r="CM507" s="52"/>
      <c r="CN507" s="118"/>
      <c r="CO507" s="118"/>
      <c r="CP507" s="118"/>
      <c r="CQ507" s="52"/>
      <c r="CR507" s="52"/>
      <c r="CS507" s="52"/>
      <c r="CT507" s="52"/>
      <c r="CU507" s="52"/>
      <c r="CV507" s="52"/>
      <c r="CW507" s="52"/>
      <c r="CX507" s="52"/>
      <c r="CY507" s="52"/>
      <c r="CZ507" s="52"/>
      <c r="DA507" s="52"/>
      <c r="DB507" s="52"/>
    </row>
    <row r="508" spans="1:106" ht="13.5" x14ac:dyDescent="0.25">
      <c r="A508" s="411">
        <v>506</v>
      </c>
      <c r="B508" s="412" t="s">
        <v>4373</v>
      </c>
      <c r="C508" s="413" t="s">
        <v>622</v>
      </c>
      <c r="D508" s="426" t="s">
        <v>445</v>
      </c>
      <c r="E508" s="80">
        <v>1</v>
      </c>
      <c r="F508" s="353">
        <v>6284.39</v>
      </c>
      <c r="G508" s="293"/>
      <c r="H508" s="293"/>
      <c r="I508" s="293"/>
      <c r="J508" s="52"/>
      <c r="K508" s="52"/>
      <c r="L508" s="359"/>
      <c r="M508" s="360"/>
      <c r="N508" s="361"/>
      <c r="O508" s="33"/>
      <c r="P508" s="252"/>
      <c r="Q508" s="113"/>
      <c r="R508" s="113"/>
      <c r="S508" s="113"/>
      <c r="T508" s="52"/>
      <c r="U508" s="5"/>
      <c r="V508" s="231"/>
      <c r="W508" s="231"/>
      <c r="X508" s="231"/>
      <c r="Y508" s="113"/>
      <c r="Z508" s="357"/>
      <c r="AA508" s="118" t="s">
        <v>2877</v>
      </c>
      <c r="AB508" s="118"/>
      <c r="AC508" s="118"/>
      <c r="AD508" s="52"/>
      <c r="AE508" s="5"/>
      <c r="AF508" s="358"/>
      <c r="AG508" s="358"/>
      <c r="AH508" s="358"/>
      <c r="AI508" s="358"/>
      <c r="AJ508" s="358"/>
      <c r="AK508" s="113"/>
      <c r="AL508" s="113"/>
      <c r="AM508" s="113"/>
      <c r="AN508" s="113"/>
      <c r="AO508" s="113"/>
      <c r="AP508" s="52"/>
      <c r="AQ508" s="52"/>
      <c r="AR508" s="52"/>
      <c r="AS508" s="52"/>
      <c r="AT508" s="52"/>
      <c r="AU508" s="125"/>
      <c r="AV508" s="125"/>
      <c r="AW508" s="125"/>
      <c r="AX508" s="5"/>
      <c r="AY508" s="5"/>
      <c r="AZ508" s="113">
        <v>11000</v>
      </c>
      <c r="BA508" s="113">
        <v>2090</v>
      </c>
      <c r="BB508" s="113">
        <v>13090</v>
      </c>
      <c r="BC508" s="52" t="s">
        <v>3656</v>
      </c>
      <c r="BD508" s="52" t="s">
        <v>4374</v>
      </c>
      <c r="BE508" s="118"/>
      <c r="BF508" s="118"/>
      <c r="BG508" s="118"/>
      <c r="BH508" s="52"/>
      <c r="BI508" s="283"/>
      <c r="BJ508" s="52"/>
      <c r="BK508" s="52"/>
      <c r="BL508" s="52"/>
      <c r="BM508" s="52"/>
      <c r="BN508" s="52"/>
      <c r="BO508" s="52"/>
      <c r="BP508" s="52"/>
      <c r="BQ508" s="52"/>
      <c r="BR508" s="52"/>
      <c r="BS508" s="52"/>
      <c r="BT508" s="52"/>
      <c r="BU508" s="52"/>
      <c r="BV508" s="52"/>
      <c r="BW508" s="52"/>
      <c r="BX508" s="52"/>
      <c r="BY508" s="52"/>
      <c r="BZ508" s="52"/>
      <c r="CA508" s="52"/>
      <c r="CB508" s="52"/>
      <c r="CC508" s="52"/>
      <c r="CD508" s="118"/>
      <c r="CE508" s="52"/>
      <c r="CF508" s="52"/>
      <c r="CG508" s="52"/>
      <c r="CH508" s="52"/>
      <c r="CI508" s="52"/>
      <c r="CJ508" s="52"/>
      <c r="CK508" s="52"/>
      <c r="CL508" s="52"/>
      <c r="CM508" s="52"/>
      <c r="CN508" s="118"/>
      <c r="CO508" s="118"/>
      <c r="CP508" s="118"/>
      <c r="CQ508" s="52"/>
      <c r="CR508" s="52"/>
      <c r="CS508" s="52"/>
      <c r="CT508" s="52"/>
      <c r="CU508" s="52"/>
      <c r="CV508" s="52"/>
      <c r="CW508" s="52"/>
      <c r="CX508" s="52"/>
      <c r="CY508" s="52"/>
      <c r="CZ508" s="52"/>
      <c r="DA508" s="52"/>
      <c r="DB508" s="52"/>
    </row>
    <row r="509" spans="1:106" ht="13.5" x14ac:dyDescent="0.25">
      <c r="A509" s="411">
        <v>507</v>
      </c>
      <c r="B509" s="412" t="s">
        <v>4375</v>
      </c>
      <c r="C509" s="413" t="s">
        <v>622</v>
      </c>
      <c r="D509" s="426" t="s">
        <v>445</v>
      </c>
      <c r="E509" s="80">
        <v>1</v>
      </c>
      <c r="F509" s="353">
        <v>11311.902</v>
      </c>
      <c r="G509" s="293"/>
      <c r="H509" s="293"/>
      <c r="I509" s="293"/>
      <c r="J509" s="52"/>
      <c r="K509" s="52"/>
      <c r="L509" s="359"/>
      <c r="M509" s="360"/>
      <c r="N509" s="361"/>
      <c r="O509" s="33"/>
      <c r="P509" s="252"/>
      <c r="Q509" s="113"/>
      <c r="R509" s="113"/>
      <c r="S509" s="113"/>
      <c r="T509" s="52"/>
      <c r="U509" s="5"/>
      <c r="V509" s="231"/>
      <c r="W509" s="231"/>
      <c r="X509" s="231"/>
      <c r="Y509" s="113"/>
      <c r="Z509" s="357"/>
      <c r="AA509" s="118" t="s">
        <v>2877</v>
      </c>
      <c r="AB509" s="118"/>
      <c r="AC509" s="118"/>
      <c r="AD509" s="52"/>
      <c r="AE509" s="5"/>
      <c r="AF509" s="358"/>
      <c r="AG509" s="358"/>
      <c r="AH509" s="358"/>
      <c r="AI509" s="358"/>
      <c r="AJ509" s="358"/>
      <c r="AK509" s="113"/>
      <c r="AL509" s="113"/>
      <c r="AM509" s="113"/>
      <c r="AN509" s="113"/>
      <c r="AO509" s="113"/>
      <c r="AP509" s="52"/>
      <c r="AQ509" s="52"/>
      <c r="AR509" s="52"/>
      <c r="AS509" s="52"/>
      <c r="AT509" s="52"/>
      <c r="AU509" s="125"/>
      <c r="AV509" s="125"/>
      <c r="AW509" s="125"/>
      <c r="AX509" s="5"/>
      <c r="AY509" s="5"/>
      <c r="AZ509" s="113">
        <v>8000</v>
      </c>
      <c r="BA509" s="113">
        <v>1520</v>
      </c>
      <c r="BB509" s="113">
        <v>9520</v>
      </c>
      <c r="BC509" s="52" t="s">
        <v>4376</v>
      </c>
      <c r="BD509" s="52" t="s">
        <v>4377</v>
      </c>
      <c r="BE509" s="118"/>
      <c r="BF509" s="118"/>
      <c r="BG509" s="118"/>
      <c r="BH509" s="52"/>
      <c r="BI509" s="283"/>
      <c r="BJ509" s="52"/>
      <c r="BK509" s="52"/>
      <c r="BL509" s="52"/>
      <c r="BM509" s="52"/>
      <c r="BN509" s="52"/>
      <c r="BO509" s="52"/>
      <c r="BP509" s="52"/>
      <c r="BQ509" s="52"/>
      <c r="BR509" s="52"/>
      <c r="BS509" s="52"/>
      <c r="BT509" s="52"/>
      <c r="BU509" s="52"/>
      <c r="BV509" s="52"/>
      <c r="BW509" s="52"/>
      <c r="BX509" s="52"/>
      <c r="BY509" s="52"/>
      <c r="BZ509" s="52"/>
      <c r="CA509" s="52"/>
      <c r="CB509" s="52"/>
      <c r="CC509" s="52"/>
      <c r="CD509" s="118"/>
      <c r="CE509" s="52"/>
      <c r="CF509" s="52"/>
      <c r="CG509" s="52"/>
      <c r="CH509" s="52"/>
      <c r="CI509" s="52"/>
      <c r="CJ509" s="52"/>
      <c r="CK509" s="52"/>
      <c r="CL509" s="52"/>
      <c r="CM509" s="52"/>
      <c r="CN509" s="118"/>
      <c r="CO509" s="118"/>
      <c r="CP509" s="118"/>
      <c r="CQ509" s="52"/>
      <c r="CR509" s="52"/>
      <c r="CS509" s="52"/>
      <c r="CT509" s="52"/>
      <c r="CU509" s="52"/>
      <c r="CV509" s="52"/>
      <c r="CW509" s="52"/>
      <c r="CX509" s="52"/>
      <c r="CY509" s="52"/>
      <c r="CZ509" s="52"/>
      <c r="DA509" s="52"/>
      <c r="DB509" s="52"/>
    </row>
    <row r="510" spans="1:106" ht="13.5" x14ac:dyDescent="0.25">
      <c r="A510" s="411">
        <v>508</v>
      </c>
      <c r="B510" s="412" t="s">
        <v>4378</v>
      </c>
      <c r="C510" s="413" t="s">
        <v>622</v>
      </c>
      <c r="D510" s="426" t="s">
        <v>445</v>
      </c>
      <c r="E510" s="80">
        <v>1</v>
      </c>
      <c r="F510" s="353">
        <v>8798.1460000000006</v>
      </c>
      <c r="G510" s="293"/>
      <c r="H510" s="293"/>
      <c r="I510" s="293"/>
      <c r="J510" s="52"/>
      <c r="K510" s="52"/>
      <c r="L510" s="359"/>
      <c r="M510" s="360"/>
      <c r="N510" s="361"/>
      <c r="O510" s="33"/>
      <c r="P510" s="252"/>
      <c r="Q510" s="113"/>
      <c r="R510" s="113"/>
      <c r="S510" s="113"/>
      <c r="T510" s="52"/>
      <c r="U510" s="5"/>
      <c r="V510" s="231"/>
      <c r="W510" s="231"/>
      <c r="X510" s="231"/>
      <c r="Y510" s="113"/>
      <c r="Z510" s="357"/>
      <c r="AA510" s="118" t="s">
        <v>2877</v>
      </c>
      <c r="AB510" s="118"/>
      <c r="AC510" s="118"/>
      <c r="AD510" s="52"/>
      <c r="AE510" s="5"/>
      <c r="AF510" s="358"/>
      <c r="AG510" s="358"/>
      <c r="AH510" s="358"/>
      <c r="AI510" s="358"/>
      <c r="AJ510" s="358"/>
      <c r="AK510" s="113"/>
      <c r="AL510" s="113"/>
      <c r="AM510" s="113"/>
      <c r="AN510" s="113"/>
      <c r="AO510" s="113"/>
      <c r="AP510" s="52"/>
      <c r="AQ510" s="52"/>
      <c r="AR510" s="52"/>
      <c r="AS510" s="52"/>
      <c r="AT510" s="52"/>
      <c r="AU510" s="125"/>
      <c r="AV510" s="125"/>
      <c r="AW510" s="125"/>
      <c r="AX510" s="5"/>
      <c r="AY510" s="5"/>
      <c r="AZ510" s="113">
        <v>11000</v>
      </c>
      <c r="BA510" s="113">
        <v>2090</v>
      </c>
      <c r="BB510" s="113">
        <v>13090</v>
      </c>
      <c r="BC510" s="52" t="s">
        <v>3656</v>
      </c>
      <c r="BD510" s="52" t="s">
        <v>4372</v>
      </c>
      <c r="BE510" s="118"/>
      <c r="BF510" s="118"/>
      <c r="BG510" s="118"/>
      <c r="BH510" s="52"/>
      <c r="BI510" s="283"/>
      <c r="BJ510" s="52"/>
      <c r="BK510" s="52"/>
      <c r="BL510" s="52"/>
      <c r="BM510" s="52"/>
      <c r="BN510" s="52"/>
      <c r="BO510" s="52"/>
      <c r="BP510" s="52"/>
      <c r="BQ510" s="52"/>
      <c r="BR510" s="52"/>
      <c r="BS510" s="52"/>
      <c r="BT510" s="52"/>
      <c r="BU510" s="52"/>
      <c r="BV510" s="52"/>
      <c r="BW510" s="52"/>
      <c r="BX510" s="52"/>
      <c r="BY510" s="52"/>
      <c r="BZ510" s="52"/>
      <c r="CA510" s="52"/>
      <c r="CB510" s="52"/>
      <c r="CC510" s="52"/>
      <c r="CD510" s="118"/>
      <c r="CE510" s="52"/>
      <c r="CF510" s="52"/>
      <c r="CG510" s="52"/>
      <c r="CH510" s="52"/>
      <c r="CI510" s="52"/>
      <c r="CJ510" s="52"/>
      <c r="CK510" s="52"/>
      <c r="CL510" s="52"/>
      <c r="CM510" s="52"/>
      <c r="CN510" s="118"/>
      <c r="CO510" s="118"/>
      <c r="CP510" s="118"/>
      <c r="CQ510" s="52"/>
      <c r="CR510" s="52"/>
      <c r="CS510" s="52"/>
      <c r="CT510" s="52"/>
      <c r="CU510" s="52"/>
      <c r="CV510" s="52"/>
      <c r="CW510" s="52"/>
      <c r="CX510" s="52"/>
      <c r="CY510" s="52"/>
      <c r="CZ510" s="52"/>
      <c r="DA510" s="52"/>
      <c r="DB510" s="52"/>
    </row>
    <row r="511" spans="1:106" ht="27" x14ac:dyDescent="0.25">
      <c r="A511" s="411">
        <v>509</v>
      </c>
      <c r="B511" s="412" t="s">
        <v>4379</v>
      </c>
      <c r="C511" s="413" t="s">
        <v>622</v>
      </c>
      <c r="D511" s="426" t="s">
        <v>4380</v>
      </c>
      <c r="E511" s="80">
        <v>1</v>
      </c>
      <c r="F511" s="353">
        <v>169678.53</v>
      </c>
      <c r="G511" s="293"/>
      <c r="H511" s="293"/>
      <c r="I511" s="293"/>
      <c r="J511" s="52"/>
      <c r="K511" s="52"/>
      <c r="L511" s="359"/>
      <c r="M511" s="360"/>
      <c r="N511" s="361"/>
      <c r="O511" s="33"/>
      <c r="P511" s="252"/>
      <c r="Q511" s="113"/>
      <c r="R511" s="113"/>
      <c r="S511" s="113"/>
      <c r="T511" s="52"/>
      <c r="U511" s="5"/>
      <c r="V511" s="231">
        <v>157000</v>
      </c>
      <c r="W511" s="231">
        <f t="shared" si="67"/>
        <v>29830</v>
      </c>
      <c r="X511" s="231">
        <f t="shared" si="68"/>
        <v>186830</v>
      </c>
      <c r="Y511" s="113">
        <v>330.01</v>
      </c>
      <c r="Z511" s="357" t="s">
        <v>3445</v>
      </c>
      <c r="AA511" s="118" t="s">
        <v>2877</v>
      </c>
      <c r="AB511" s="118"/>
      <c r="AC511" s="118"/>
      <c r="AD511" s="52"/>
      <c r="AE511" s="5"/>
      <c r="AF511" s="358"/>
      <c r="AG511" s="358"/>
      <c r="AH511" s="358"/>
      <c r="AI511" s="358"/>
      <c r="AJ511" s="358"/>
      <c r="AK511" s="113"/>
      <c r="AL511" s="113"/>
      <c r="AM511" s="113"/>
      <c r="AN511" s="113"/>
      <c r="AO511" s="113"/>
      <c r="AP511" s="52"/>
      <c r="AQ511" s="52"/>
      <c r="AR511" s="52"/>
      <c r="AS511" s="52"/>
      <c r="AT511" s="52"/>
      <c r="AU511" s="125"/>
      <c r="AV511" s="125"/>
      <c r="AW511" s="125"/>
      <c r="AX511" s="5"/>
      <c r="AY511" s="5"/>
      <c r="AZ511" s="113">
        <v>920000</v>
      </c>
      <c r="BA511" s="113">
        <v>174800</v>
      </c>
      <c r="BB511" s="113">
        <v>1094800</v>
      </c>
      <c r="BC511" s="52" t="s">
        <v>4381</v>
      </c>
      <c r="BD511" s="52" t="s">
        <v>4382</v>
      </c>
      <c r="BE511" s="118"/>
      <c r="BF511" s="118"/>
      <c r="BG511" s="118"/>
      <c r="BH511" s="52"/>
      <c r="BI511" s="283"/>
      <c r="BJ511" s="52"/>
      <c r="BK511" s="52"/>
      <c r="BL511" s="52"/>
      <c r="BM511" s="52"/>
      <c r="BN511" s="52"/>
      <c r="BO511" s="52"/>
      <c r="BP511" s="52"/>
      <c r="BQ511" s="52"/>
      <c r="BR511" s="52"/>
      <c r="BS511" s="52"/>
      <c r="BT511" s="52"/>
      <c r="BU511" s="52"/>
      <c r="BV511" s="52"/>
      <c r="BW511" s="52"/>
      <c r="BX511" s="52"/>
      <c r="BY511" s="52"/>
      <c r="BZ511" s="52"/>
      <c r="CA511" s="52"/>
      <c r="CB511" s="52"/>
      <c r="CC511" s="52"/>
      <c r="CD511" s="118"/>
      <c r="CE511" s="52"/>
      <c r="CF511" s="52"/>
      <c r="CG511" s="52"/>
      <c r="CH511" s="52"/>
      <c r="CI511" s="52"/>
      <c r="CJ511" s="52"/>
      <c r="CK511" s="52"/>
      <c r="CL511" s="52"/>
      <c r="CM511" s="52"/>
      <c r="CN511" s="118"/>
      <c r="CO511" s="118"/>
      <c r="CP511" s="118"/>
      <c r="CQ511" s="52"/>
      <c r="CR511" s="52"/>
      <c r="CS511" s="52"/>
      <c r="CT511" s="52"/>
      <c r="CU511" s="52"/>
      <c r="CV511" s="52"/>
      <c r="CW511" s="52"/>
      <c r="CX511" s="52"/>
      <c r="CY511" s="52"/>
      <c r="CZ511" s="52"/>
      <c r="DA511" s="52"/>
      <c r="DB511" s="52"/>
    </row>
    <row r="512" spans="1:106" ht="27" x14ac:dyDescent="0.25">
      <c r="A512" s="411">
        <v>510</v>
      </c>
      <c r="B512" s="412" t="s">
        <v>4383</v>
      </c>
      <c r="C512" s="413" t="s">
        <v>622</v>
      </c>
      <c r="D512" s="426" t="s">
        <v>4333</v>
      </c>
      <c r="E512" s="80">
        <v>1</v>
      </c>
      <c r="F512" s="353">
        <v>595760.17200000002</v>
      </c>
      <c r="G512" s="293"/>
      <c r="H512" s="293"/>
      <c r="I512" s="293"/>
      <c r="J512" s="52"/>
      <c r="K512" s="52"/>
      <c r="L512" s="359"/>
      <c r="M512" s="360"/>
      <c r="N512" s="361"/>
      <c r="O512" s="33"/>
      <c r="P512" s="252"/>
      <c r="Q512" s="113"/>
      <c r="R512" s="113"/>
      <c r="S512" s="113"/>
      <c r="T512" s="52"/>
      <c r="U512" s="5"/>
      <c r="V512" s="231">
        <v>151000</v>
      </c>
      <c r="W512" s="231">
        <f t="shared" si="67"/>
        <v>28690</v>
      </c>
      <c r="X512" s="231">
        <f t="shared" si="68"/>
        <v>179690</v>
      </c>
      <c r="Y512" s="113" t="s">
        <v>4384</v>
      </c>
      <c r="Z512" s="357" t="s">
        <v>3445</v>
      </c>
      <c r="AA512" s="118" t="s">
        <v>2877</v>
      </c>
      <c r="AB512" s="118"/>
      <c r="AC512" s="118"/>
      <c r="AD512" s="52"/>
      <c r="AE512" s="5"/>
      <c r="AF512" s="358"/>
      <c r="AG512" s="358"/>
      <c r="AH512" s="358"/>
      <c r="AI512" s="358"/>
      <c r="AJ512" s="358"/>
      <c r="AK512" s="113"/>
      <c r="AL512" s="113"/>
      <c r="AM512" s="113"/>
      <c r="AN512" s="113"/>
      <c r="AO512" s="113"/>
      <c r="AP512" s="52"/>
      <c r="AQ512" s="52"/>
      <c r="AR512" s="52"/>
      <c r="AS512" s="52"/>
      <c r="AT512" s="52"/>
      <c r="AU512" s="125"/>
      <c r="AV512" s="125"/>
      <c r="AW512" s="125"/>
      <c r="AX512" s="5"/>
      <c r="AY512" s="5"/>
      <c r="AZ512" s="113">
        <v>294000</v>
      </c>
      <c r="BA512" s="113">
        <v>55860</v>
      </c>
      <c r="BB512" s="113">
        <v>349860</v>
      </c>
      <c r="BC512" s="52" t="s">
        <v>338</v>
      </c>
      <c r="BD512" s="52" t="s">
        <v>4385</v>
      </c>
      <c r="BE512" s="118"/>
      <c r="BF512" s="118"/>
      <c r="BG512" s="118"/>
      <c r="BH512" s="52"/>
      <c r="BI512" s="283"/>
      <c r="BJ512" s="52"/>
      <c r="BK512" s="52"/>
      <c r="BL512" s="52"/>
      <c r="BM512" s="52"/>
      <c r="BN512" s="52"/>
      <c r="BO512" s="52"/>
      <c r="BP512" s="52"/>
      <c r="BQ512" s="52"/>
      <c r="BR512" s="52"/>
      <c r="BS512" s="52"/>
      <c r="BT512" s="52"/>
      <c r="BU512" s="52"/>
      <c r="BV512" s="52"/>
      <c r="BW512" s="52"/>
      <c r="BX512" s="52"/>
      <c r="BY512" s="52"/>
      <c r="BZ512" s="52"/>
      <c r="CA512" s="52"/>
      <c r="CB512" s="52"/>
      <c r="CC512" s="52"/>
      <c r="CD512" s="118"/>
      <c r="CE512" s="52"/>
      <c r="CF512" s="52"/>
      <c r="CG512" s="52"/>
      <c r="CH512" s="52"/>
      <c r="CI512" s="52"/>
      <c r="CJ512" s="52"/>
      <c r="CK512" s="52"/>
      <c r="CL512" s="52"/>
      <c r="CM512" s="52"/>
      <c r="CN512" s="118"/>
      <c r="CO512" s="118"/>
      <c r="CP512" s="118"/>
      <c r="CQ512" s="52"/>
      <c r="CR512" s="52"/>
      <c r="CS512" s="52"/>
      <c r="CT512" s="52"/>
      <c r="CU512" s="52"/>
      <c r="CV512" s="52"/>
      <c r="CW512" s="52"/>
      <c r="CX512" s="52"/>
      <c r="CY512" s="52"/>
      <c r="CZ512" s="52"/>
      <c r="DA512" s="52"/>
      <c r="DB512" s="52"/>
    </row>
    <row r="513" spans="1:106" ht="108" x14ac:dyDescent="0.25">
      <c r="A513" s="411">
        <v>511</v>
      </c>
      <c r="B513" s="412" t="s">
        <v>4386</v>
      </c>
      <c r="C513" s="413" t="s">
        <v>4387</v>
      </c>
      <c r="D513" s="426" t="s">
        <v>4388</v>
      </c>
      <c r="E513" s="80">
        <v>1</v>
      </c>
      <c r="F513" s="355">
        <v>313508.67739999999</v>
      </c>
      <c r="G513" s="293"/>
      <c r="H513" s="293"/>
      <c r="I513" s="293"/>
      <c r="J513" s="52"/>
      <c r="K513" s="52"/>
      <c r="L513" s="359"/>
      <c r="M513" s="360"/>
      <c r="N513" s="361"/>
      <c r="O513" s="33"/>
      <c r="P513" s="252"/>
      <c r="Q513" s="113"/>
      <c r="R513" s="113"/>
      <c r="S513" s="113"/>
      <c r="T513" s="52"/>
      <c r="U513" s="5"/>
      <c r="V513" s="231"/>
      <c r="W513" s="231"/>
      <c r="X513" s="231"/>
      <c r="Y513" s="113"/>
      <c r="Z513" s="357"/>
      <c r="AA513" s="118" t="s">
        <v>2877</v>
      </c>
      <c r="AB513" s="118"/>
      <c r="AC513" s="118"/>
      <c r="AD513" s="52"/>
      <c r="AE513" s="5"/>
      <c r="AF513" s="358"/>
      <c r="AG513" s="358"/>
      <c r="AH513" s="358"/>
      <c r="AI513" s="358"/>
      <c r="AJ513" s="358"/>
      <c r="AK513" s="113"/>
      <c r="AL513" s="113"/>
      <c r="AM513" s="113"/>
      <c r="AN513" s="113"/>
      <c r="AO513" s="113"/>
      <c r="AP513" s="52"/>
      <c r="AQ513" s="52"/>
      <c r="AR513" s="52"/>
      <c r="AS513" s="52"/>
      <c r="AT513" s="52"/>
      <c r="AU513" s="125"/>
      <c r="AV513" s="125"/>
      <c r="AW513" s="125"/>
      <c r="AX513" s="5"/>
      <c r="AY513" s="5"/>
      <c r="AZ513" s="113">
        <v>1163000</v>
      </c>
      <c r="BA513" s="113">
        <v>220970</v>
      </c>
      <c r="BB513" s="113">
        <v>1383970</v>
      </c>
      <c r="BC513" s="52" t="s">
        <v>3253</v>
      </c>
      <c r="BD513" s="52" t="s">
        <v>4389</v>
      </c>
      <c r="BE513" s="118"/>
      <c r="BF513" s="118"/>
      <c r="BG513" s="118"/>
      <c r="BH513" s="52"/>
      <c r="BI513" s="283"/>
      <c r="BJ513" s="52"/>
      <c r="BK513" s="52"/>
      <c r="BL513" s="52"/>
      <c r="BM513" s="52"/>
      <c r="BN513" s="52"/>
      <c r="BO513" s="52"/>
      <c r="BP513" s="52"/>
      <c r="BQ513" s="52"/>
      <c r="BR513" s="52"/>
      <c r="BS513" s="52"/>
      <c r="BT513" s="52"/>
      <c r="BU513" s="52"/>
      <c r="BV513" s="52"/>
      <c r="BW513" s="52"/>
      <c r="BX513" s="52"/>
      <c r="BY513" s="52"/>
      <c r="BZ513" s="52"/>
      <c r="CA513" s="52"/>
      <c r="CB513" s="52"/>
      <c r="CC513" s="52"/>
      <c r="CD513" s="118"/>
      <c r="CE513" s="52"/>
      <c r="CF513" s="52"/>
      <c r="CG513" s="52"/>
      <c r="CH513" s="52"/>
      <c r="CI513" s="52"/>
      <c r="CJ513" s="52"/>
      <c r="CK513" s="52"/>
      <c r="CL513" s="52"/>
      <c r="CM513" s="52"/>
      <c r="CN513" s="118"/>
      <c r="CO513" s="118"/>
      <c r="CP513" s="118"/>
      <c r="CQ513" s="52"/>
      <c r="CR513" s="52"/>
      <c r="CS513" s="52"/>
      <c r="CT513" s="52"/>
      <c r="CU513" s="52"/>
      <c r="CV513" s="52"/>
      <c r="CW513" s="52"/>
      <c r="CX513" s="52"/>
      <c r="CY513" s="52"/>
      <c r="CZ513" s="52"/>
      <c r="DA513" s="52"/>
      <c r="DB513" s="52"/>
    </row>
    <row r="514" spans="1:106" ht="135" x14ac:dyDescent="0.25">
      <c r="A514" s="411">
        <v>512</v>
      </c>
      <c r="B514" s="412" t="s">
        <v>4390</v>
      </c>
      <c r="C514" s="413" t="s">
        <v>4391</v>
      </c>
      <c r="D514" s="426" t="s">
        <v>930</v>
      </c>
      <c r="E514" s="80">
        <v>1</v>
      </c>
      <c r="F514" s="355">
        <v>269316.2132</v>
      </c>
      <c r="G514" s="293"/>
      <c r="H514" s="293"/>
      <c r="I514" s="293"/>
      <c r="J514" s="52"/>
      <c r="K514" s="52"/>
      <c r="L514" s="359"/>
      <c r="M514" s="360"/>
      <c r="N514" s="361"/>
      <c r="O514" s="33"/>
      <c r="P514" s="252"/>
      <c r="Q514" s="113"/>
      <c r="R514" s="113"/>
      <c r="S514" s="113"/>
      <c r="T514" s="52"/>
      <c r="U514" s="5"/>
      <c r="V514" s="231"/>
      <c r="W514" s="231"/>
      <c r="X514" s="231"/>
      <c r="Y514" s="113"/>
      <c r="Z514" s="357"/>
      <c r="AA514" s="118" t="s">
        <v>2877</v>
      </c>
      <c r="AB514" s="118"/>
      <c r="AC514" s="118"/>
      <c r="AD514" s="52"/>
      <c r="AE514" s="5"/>
      <c r="AF514" s="358"/>
      <c r="AG514" s="358"/>
      <c r="AH514" s="358"/>
      <c r="AI514" s="358"/>
      <c r="AJ514" s="358"/>
      <c r="AK514" s="113"/>
      <c r="AL514" s="113"/>
      <c r="AM514" s="113"/>
      <c r="AN514" s="113"/>
      <c r="AO514" s="113"/>
      <c r="AP514" s="52"/>
      <c r="AQ514" s="52"/>
      <c r="AR514" s="52"/>
      <c r="AS514" s="52"/>
      <c r="AT514" s="52"/>
      <c r="AU514" s="125"/>
      <c r="AV514" s="125"/>
      <c r="AW514" s="125"/>
      <c r="AX514" s="5"/>
      <c r="AY514" s="5"/>
      <c r="AZ514" s="113">
        <v>710000</v>
      </c>
      <c r="BA514" s="113">
        <v>134900</v>
      </c>
      <c r="BB514" s="113">
        <v>844900</v>
      </c>
      <c r="BC514" s="52" t="s">
        <v>3253</v>
      </c>
      <c r="BD514" s="52" t="s">
        <v>4392</v>
      </c>
      <c r="BE514" s="118"/>
      <c r="BF514" s="118"/>
      <c r="BG514" s="118"/>
      <c r="BH514" s="52"/>
      <c r="BI514" s="283"/>
      <c r="BJ514" s="52"/>
      <c r="BK514" s="52"/>
      <c r="BL514" s="52"/>
      <c r="BM514" s="52"/>
      <c r="BN514" s="52"/>
      <c r="BO514" s="52"/>
      <c r="BP514" s="52"/>
      <c r="BQ514" s="52"/>
      <c r="BR514" s="52"/>
      <c r="BS514" s="52"/>
      <c r="BT514" s="52"/>
      <c r="BU514" s="52"/>
      <c r="BV514" s="52"/>
      <c r="BW514" s="52"/>
      <c r="BX514" s="52"/>
      <c r="BY514" s="52"/>
      <c r="BZ514" s="52"/>
      <c r="CA514" s="52"/>
      <c r="CB514" s="52"/>
      <c r="CC514" s="52"/>
      <c r="CD514" s="118"/>
      <c r="CE514" s="52"/>
      <c r="CF514" s="52"/>
      <c r="CG514" s="52"/>
      <c r="CH514" s="52"/>
      <c r="CI514" s="52"/>
      <c r="CJ514" s="52"/>
      <c r="CK514" s="52"/>
      <c r="CL514" s="52"/>
      <c r="CM514" s="52"/>
      <c r="CN514" s="118"/>
      <c r="CO514" s="118"/>
      <c r="CP514" s="118"/>
      <c r="CQ514" s="52"/>
      <c r="CR514" s="52"/>
      <c r="CS514" s="52"/>
      <c r="CT514" s="52"/>
      <c r="CU514" s="52"/>
      <c r="CV514" s="52"/>
      <c r="CW514" s="52"/>
      <c r="CX514" s="52"/>
      <c r="CY514" s="52"/>
      <c r="CZ514" s="52"/>
      <c r="DA514" s="52"/>
      <c r="DB514" s="52"/>
    </row>
    <row r="515" spans="1:106" ht="40.5" x14ac:dyDescent="0.25">
      <c r="A515" s="411">
        <v>513</v>
      </c>
      <c r="B515" s="416" t="s">
        <v>4393</v>
      </c>
      <c r="C515" s="563" t="s">
        <v>622</v>
      </c>
      <c r="D515" s="416" t="s">
        <v>4394</v>
      </c>
      <c r="E515" s="80">
        <v>1</v>
      </c>
      <c r="F515" s="353">
        <v>201910.58540000001</v>
      </c>
      <c r="G515" s="293"/>
      <c r="H515" s="293"/>
      <c r="I515" s="293"/>
      <c r="J515" s="52"/>
      <c r="K515" s="52"/>
      <c r="L515" s="359"/>
      <c r="M515" s="360"/>
      <c r="N515" s="361"/>
      <c r="O515" s="33"/>
      <c r="P515" s="252"/>
      <c r="Q515" s="113"/>
      <c r="R515" s="113"/>
      <c r="S515" s="113"/>
      <c r="T515" s="52"/>
      <c r="U515" s="5"/>
      <c r="V515" s="231"/>
      <c r="W515" s="231"/>
      <c r="X515" s="231"/>
      <c r="Y515" s="113"/>
      <c r="Z515" s="357"/>
      <c r="AA515" s="118" t="s">
        <v>2877</v>
      </c>
      <c r="AB515" s="118"/>
      <c r="AC515" s="118"/>
      <c r="AD515" s="52"/>
      <c r="AE515" s="5"/>
      <c r="AF515" s="358"/>
      <c r="AG515" s="358"/>
      <c r="AH515" s="358"/>
      <c r="AI515" s="358"/>
      <c r="AJ515" s="358"/>
      <c r="AK515" s="113"/>
      <c r="AL515" s="113"/>
      <c r="AM515" s="113"/>
      <c r="AN515" s="113"/>
      <c r="AO515" s="113"/>
      <c r="AP515" s="52"/>
      <c r="AQ515" s="52"/>
      <c r="AR515" s="52"/>
      <c r="AS515" s="52"/>
      <c r="AT515" s="52"/>
      <c r="AU515" s="125"/>
      <c r="AV515" s="125"/>
      <c r="AW515" s="125"/>
      <c r="AX515" s="5"/>
      <c r="AY515" s="5"/>
      <c r="AZ515" s="113"/>
      <c r="BA515" s="113"/>
      <c r="BB515" s="113"/>
      <c r="BC515" s="52"/>
      <c r="BD515" s="52"/>
      <c r="BE515" s="118"/>
      <c r="BF515" s="118"/>
      <c r="BG515" s="118"/>
      <c r="BH515" s="52"/>
      <c r="BI515" s="283"/>
      <c r="BJ515" s="52"/>
      <c r="BK515" s="52"/>
      <c r="BL515" s="52"/>
      <c r="BM515" s="52"/>
      <c r="BN515" s="52"/>
      <c r="BO515" s="52"/>
      <c r="BP515" s="52"/>
      <c r="BQ515" s="52"/>
      <c r="BR515" s="52"/>
      <c r="BS515" s="52"/>
      <c r="BT515" s="52"/>
      <c r="BU515" s="52"/>
      <c r="BV515" s="52"/>
      <c r="BW515" s="52"/>
      <c r="BX515" s="52"/>
      <c r="BY515" s="52"/>
      <c r="BZ515" s="52"/>
      <c r="CA515" s="52"/>
      <c r="CB515" s="52"/>
      <c r="CC515" s="52"/>
      <c r="CD515" s="118"/>
      <c r="CE515" s="52"/>
      <c r="CF515" s="52"/>
      <c r="CG515" s="52"/>
      <c r="CH515" s="52"/>
      <c r="CI515" s="52"/>
      <c r="CJ515" s="52"/>
      <c r="CK515" s="52"/>
      <c r="CL515" s="52"/>
      <c r="CM515" s="52"/>
      <c r="CN515" s="118"/>
      <c r="CO515" s="118"/>
      <c r="CP515" s="118"/>
      <c r="CQ515" s="52"/>
      <c r="CR515" s="52"/>
      <c r="CS515" s="52"/>
      <c r="CT515" s="52"/>
      <c r="CU515" s="52"/>
      <c r="CV515" s="52"/>
      <c r="CW515" s="52"/>
      <c r="CX515" s="52"/>
      <c r="CY515" s="52"/>
      <c r="CZ515" s="52"/>
      <c r="DA515" s="52"/>
      <c r="DB515" s="52"/>
    </row>
    <row r="516" spans="1:106" ht="27" x14ac:dyDescent="0.25">
      <c r="A516" s="411">
        <v>514</v>
      </c>
      <c r="B516" s="412" t="s">
        <v>4395</v>
      </c>
      <c r="C516" s="565" t="s">
        <v>622</v>
      </c>
      <c r="D516" s="426" t="s">
        <v>2005</v>
      </c>
      <c r="E516" s="80">
        <v>1</v>
      </c>
      <c r="F516" s="355">
        <v>36413.551200000002</v>
      </c>
      <c r="G516" s="293"/>
      <c r="H516" s="293"/>
      <c r="I516" s="293"/>
      <c r="J516" s="52"/>
      <c r="K516" s="52"/>
      <c r="L516" s="359"/>
      <c r="M516" s="360"/>
      <c r="N516" s="361"/>
      <c r="O516" s="33"/>
      <c r="P516" s="252"/>
      <c r="Q516" s="113"/>
      <c r="R516" s="113"/>
      <c r="S516" s="113"/>
      <c r="T516" s="52"/>
      <c r="U516" s="5"/>
      <c r="V516" s="231"/>
      <c r="W516" s="231"/>
      <c r="X516" s="231"/>
      <c r="Y516" s="113"/>
      <c r="Z516" s="357"/>
      <c r="AA516" s="118" t="s">
        <v>2877</v>
      </c>
      <c r="AB516" s="118"/>
      <c r="AC516" s="118"/>
      <c r="AD516" s="52"/>
      <c r="AE516" s="5"/>
      <c r="AF516" s="358"/>
      <c r="AG516" s="358"/>
      <c r="AH516" s="358"/>
      <c r="AI516" s="358"/>
      <c r="AJ516" s="358"/>
      <c r="AK516" s="113"/>
      <c r="AL516" s="113"/>
      <c r="AM516" s="113"/>
      <c r="AN516" s="113"/>
      <c r="AO516" s="113"/>
      <c r="AP516" s="52"/>
      <c r="AQ516" s="52"/>
      <c r="AR516" s="52"/>
      <c r="AS516" s="52"/>
      <c r="AT516" s="52"/>
      <c r="AU516" s="125"/>
      <c r="AV516" s="125"/>
      <c r="AW516" s="125"/>
      <c r="AX516" s="5"/>
      <c r="AY516" s="5"/>
      <c r="AZ516" s="113"/>
      <c r="BA516" s="113"/>
      <c r="BB516" s="113"/>
      <c r="BC516" s="52"/>
      <c r="BD516" s="52"/>
      <c r="BE516" s="118"/>
      <c r="BF516" s="118"/>
      <c r="BG516" s="118"/>
      <c r="BH516" s="52"/>
      <c r="BI516" s="283"/>
      <c r="BJ516" s="52"/>
      <c r="BK516" s="52"/>
      <c r="BL516" s="52"/>
      <c r="BM516" s="52"/>
      <c r="BN516" s="52"/>
      <c r="BO516" s="52"/>
      <c r="BP516" s="52"/>
      <c r="BQ516" s="52"/>
      <c r="BR516" s="52"/>
      <c r="BS516" s="52"/>
      <c r="BT516" s="52"/>
      <c r="BU516" s="52"/>
      <c r="BV516" s="52"/>
      <c r="BW516" s="52"/>
      <c r="BX516" s="52"/>
      <c r="BY516" s="52"/>
      <c r="BZ516" s="52"/>
      <c r="CA516" s="52"/>
      <c r="CB516" s="52"/>
      <c r="CC516" s="52"/>
      <c r="CD516" s="118"/>
      <c r="CE516" s="52"/>
      <c r="CF516" s="52"/>
      <c r="CG516" s="52"/>
      <c r="CH516" s="52"/>
      <c r="CI516" s="52"/>
      <c r="CJ516" s="52"/>
      <c r="CK516" s="52"/>
      <c r="CL516" s="52"/>
      <c r="CM516" s="52"/>
      <c r="CN516" s="118"/>
      <c r="CO516" s="118"/>
      <c r="CP516" s="118"/>
      <c r="CQ516" s="52"/>
      <c r="CR516" s="52"/>
      <c r="CS516" s="52"/>
      <c r="CT516" s="52"/>
      <c r="CU516" s="52"/>
      <c r="CV516" s="52"/>
      <c r="CW516" s="52"/>
      <c r="CX516" s="52"/>
      <c r="CY516" s="52"/>
      <c r="CZ516" s="52"/>
      <c r="DA516" s="52"/>
      <c r="DB516" s="52"/>
    </row>
    <row r="517" spans="1:106" ht="13.5" x14ac:dyDescent="0.25">
      <c r="A517" s="411">
        <v>515</v>
      </c>
      <c r="B517" s="412" t="s">
        <v>4396</v>
      </c>
      <c r="C517" s="413" t="s">
        <v>622</v>
      </c>
      <c r="D517" s="426" t="s">
        <v>95</v>
      </c>
      <c r="E517" s="80">
        <v>1</v>
      </c>
      <c r="F517" s="353">
        <v>452221.53580000001</v>
      </c>
      <c r="G517" s="293"/>
      <c r="H517" s="293"/>
      <c r="I517" s="293"/>
      <c r="J517" s="52"/>
      <c r="K517" s="52"/>
      <c r="L517" s="359"/>
      <c r="M517" s="360"/>
      <c r="N517" s="361"/>
      <c r="O517" s="33"/>
      <c r="P517" s="252"/>
      <c r="Q517" s="113"/>
      <c r="R517" s="113"/>
      <c r="S517" s="113"/>
      <c r="T517" s="52"/>
      <c r="U517" s="5"/>
      <c r="V517" s="231"/>
      <c r="W517" s="231"/>
      <c r="X517" s="231"/>
      <c r="Y517" s="113"/>
      <c r="Z517" s="357"/>
      <c r="AA517" s="118">
        <v>259000</v>
      </c>
      <c r="AB517" s="118">
        <f>AA517*0.19</f>
        <v>49210</v>
      </c>
      <c r="AC517" s="118">
        <f>AA517+AB517</f>
        <v>308210</v>
      </c>
      <c r="AD517" s="361" t="s">
        <v>126</v>
      </c>
      <c r="AE517" s="362" t="s">
        <v>4397</v>
      </c>
      <c r="AF517" s="358"/>
      <c r="AG517" s="358"/>
      <c r="AH517" s="358"/>
      <c r="AI517" s="358"/>
      <c r="AJ517" s="358"/>
      <c r="AK517" s="113"/>
      <c r="AL517" s="113"/>
      <c r="AM517" s="113"/>
      <c r="AN517" s="113"/>
      <c r="AO517" s="113"/>
      <c r="AP517" s="52"/>
      <c r="AQ517" s="52"/>
      <c r="AR517" s="52"/>
      <c r="AS517" s="52"/>
      <c r="AT517" s="52"/>
      <c r="AU517" s="125"/>
      <c r="AV517" s="125"/>
      <c r="AW517" s="125"/>
      <c r="AX517" s="5"/>
      <c r="AY517" s="5"/>
      <c r="AZ517" s="113"/>
      <c r="BA517" s="113"/>
      <c r="BB517" s="113"/>
      <c r="BC517" s="52"/>
      <c r="BD517" s="52"/>
      <c r="BE517" s="118"/>
      <c r="BF517" s="118"/>
      <c r="BG517" s="118"/>
      <c r="BH517" s="52"/>
      <c r="BI517" s="283"/>
      <c r="BJ517" s="52"/>
      <c r="BK517" s="52"/>
      <c r="BL517" s="52"/>
      <c r="BM517" s="52"/>
      <c r="BN517" s="52"/>
      <c r="BO517" s="52"/>
      <c r="BP517" s="52"/>
      <c r="BQ517" s="52"/>
      <c r="BR517" s="52"/>
      <c r="BS517" s="52"/>
      <c r="BT517" s="52"/>
      <c r="BU517" s="52"/>
      <c r="BV517" s="52"/>
      <c r="BW517" s="52"/>
      <c r="BX517" s="52"/>
      <c r="BY517" s="52"/>
      <c r="BZ517" s="52"/>
      <c r="CA517" s="52"/>
      <c r="CB517" s="52"/>
      <c r="CC517" s="52"/>
      <c r="CD517" s="118"/>
      <c r="CE517" s="52"/>
      <c r="CF517" s="52"/>
      <c r="CG517" s="52"/>
      <c r="CH517" s="52"/>
      <c r="CI517" s="52"/>
      <c r="CJ517" s="52"/>
      <c r="CK517" s="52"/>
      <c r="CL517" s="52"/>
      <c r="CM517" s="52"/>
      <c r="CN517" s="118"/>
      <c r="CO517" s="118"/>
      <c r="CP517" s="118"/>
      <c r="CQ517" s="52"/>
      <c r="CR517" s="52"/>
      <c r="CS517" s="52"/>
      <c r="CT517" s="52"/>
      <c r="CU517" s="52"/>
      <c r="CV517" s="52"/>
      <c r="CW517" s="52"/>
      <c r="CX517" s="52"/>
      <c r="CY517" s="52"/>
      <c r="CZ517" s="52"/>
      <c r="DA517" s="52"/>
      <c r="DB517" s="52"/>
    </row>
    <row r="518" spans="1:106" ht="13.5" x14ac:dyDescent="0.25">
      <c r="A518" s="411">
        <v>516</v>
      </c>
      <c r="B518" s="412" t="s">
        <v>4398</v>
      </c>
      <c r="C518" s="413" t="s">
        <v>622</v>
      </c>
      <c r="D518" s="426" t="s">
        <v>4399</v>
      </c>
      <c r="E518" s="80">
        <v>1</v>
      </c>
      <c r="F518" s="353">
        <v>188007.8248</v>
      </c>
      <c r="G518" s="293"/>
      <c r="H518" s="293"/>
      <c r="I518" s="293"/>
      <c r="J518" s="52"/>
      <c r="K518" s="52"/>
      <c r="L518" s="359"/>
      <c r="M518" s="360"/>
      <c r="N518" s="361"/>
      <c r="O518" s="33"/>
      <c r="P518" s="252"/>
      <c r="Q518" s="113"/>
      <c r="R518" s="113"/>
      <c r="S518" s="113"/>
      <c r="T518" s="52"/>
      <c r="U518" s="5"/>
      <c r="V518" s="231"/>
      <c r="W518" s="231"/>
      <c r="X518" s="231"/>
      <c r="Y518" s="113"/>
      <c r="Z518" s="357"/>
      <c r="AA518" s="118" t="s">
        <v>2877</v>
      </c>
      <c r="AB518" s="118"/>
      <c r="AC518" s="118"/>
      <c r="AD518" s="52"/>
      <c r="AE518" s="5"/>
      <c r="AF518" s="358"/>
      <c r="AG518" s="358"/>
      <c r="AH518" s="358"/>
      <c r="AI518" s="358"/>
      <c r="AJ518" s="358"/>
      <c r="AK518" s="113"/>
      <c r="AL518" s="113"/>
      <c r="AM518" s="113"/>
      <c r="AN518" s="113"/>
      <c r="AO518" s="113"/>
      <c r="AP518" s="52"/>
      <c r="AQ518" s="52"/>
      <c r="AR518" s="52"/>
      <c r="AS518" s="52"/>
      <c r="AT518" s="52"/>
      <c r="AU518" s="125"/>
      <c r="AV518" s="125"/>
      <c r="AW518" s="125"/>
      <c r="AX518" s="5"/>
      <c r="AY518" s="5"/>
      <c r="AZ518" s="113"/>
      <c r="BA518" s="113"/>
      <c r="BB518" s="113"/>
      <c r="BC518" s="52"/>
      <c r="BD518" s="52"/>
      <c r="BE518" s="118"/>
      <c r="BF518" s="118"/>
      <c r="BG518" s="118"/>
      <c r="BH518" s="52"/>
      <c r="BI518" s="283"/>
      <c r="BJ518" s="52"/>
      <c r="BK518" s="52"/>
      <c r="BL518" s="52"/>
      <c r="BM518" s="52"/>
      <c r="BN518" s="52"/>
      <c r="BO518" s="52"/>
      <c r="BP518" s="52"/>
      <c r="BQ518" s="52"/>
      <c r="BR518" s="52"/>
      <c r="BS518" s="52"/>
      <c r="BT518" s="52"/>
      <c r="BU518" s="52"/>
      <c r="BV518" s="52"/>
      <c r="BW518" s="52"/>
      <c r="BX518" s="52"/>
      <c r="BY518" s="293"/>
      <c r="BZ518" s="118"/>
      <c r="CA518" s="364"/>
      <c r="CB518" s="52"/>
      <c r="CC518" s="52"/>
      <c r="CD518" s="118"/>
      <c r="CE518" s="52"/>
      <c r="CF518" s="52"/>
      <c r="CG518" s="52"/>
      <c r="CH518" s="52"/>
      <c r="CI518" s="52"/>
      <c r="CJ518" s="52"/>
      <c r="CK518" s="52"/>
      <c r="CL518" s="52"/>
      <c r="CM518" s="52"/>
      <c r="CN518" s="118"/>
      <c r="CO518" s="118"/>
      <c r="CP518" s="118"/>
      <c r="CQ518" s="52"/>
      <c r="CR518" s="52"/>
      <c r="CS518" s="52"/>
      <c r="CT518" s="52"/>
      <c r="CU518" s="52"/>
      <c r="CV518" s="52"/>
      <c r="CW518" s="52"/>
      <c r="CX518" s="52"/>
      <c r="CY518" s="52"/>
      <c r="CZ518" s="52"/>
      <c r="DA518" s="52"/>
      <c r="DB518" s="52"/>
    </row>
    <row r="519" spans="1:106" ht="148.5" x14ac:dyDescent="0.25">
      <c r="A519" s="411">
        <v>517</v>
      </c>
      <c r="B519" s="414" t="s">
        <v>4400</v>
      </c>
      <c r="C519" s="560" t="s">
        <v>622</v>
      </c>
      <c r="D519" s="569"/>
      <c r="E519" s="80">
        <v>1</v>
      </c>
      <c r="F519" s="80"/>
      <c r="G519" s="293"/>
      <c r="H519" s="293"/>
      <c r="I519" s="293"/>
      <c r="J519" s="52"/>
      <c r="K519" s="52"/>
      <c r="L519" s="359">
        <v>3097301</v>
      </c>
      <c r="M519" s="360">
        <v>588487.19000000006</v>
      </c>
      <c r="N519" s="361">
        <v>3685788.19</v>
      </c>
      <c r="O519" s="33" t="s">
        <v>3278</v>
      </c>
      <c r="P519" s="252" t="s">
        <v>4401</v>
      </c>
      <c r="Q519" s="113"/>
      <c r="R519" s="113"/>
      <c r="S519" s="113"/>
      <c r="T519" s="52"/>
      <c r="U519" s="5"/>
      <c r="V519" s="231"/>
      <c r="W519" s="231"/>
      <c r="X519" s="231"/>
      <c r="Y519" s="113"/>
      <c r="Z519" s="357"/>
      <c r="AA519" s="118">
        <v>2254000</v>
      </c>
      <c r="AB519" s="118">
        <f>AA519*0.19</f>
        <v>428260</v>
      </c>
      <c r="AC519" s="118">
        <f>AA519+AB519</f>
        <v>2682260</v>
      </c>
      <c r="AD519" s="361" t="s">
        <v>126</v>
      </c>
      <c r="AE519" s="362" t="s">
        <v>4402</v>
      </c>
      <c r="AF519" s="358"/>
      <c r="AG519" s="358"/>
      <c r="AH519" s="358"/>
      <c r="AI519" s="358"/>
      <c r="AJ519" s="358"/>
      <c r="AK519" s="113">
        <v>1858000</v>
      </c>
      <c r="AL519" s="113">
        <v>353020</v>
      </c>
      <c r="AM519" s="113">
        <v>2211020</v>
      </c>
      <c r="AN519" s="113" t="s">
        <v>2980</v>
      </c>
      <c r="AO519" s="113">
        <v>257105451</v>
      </c>
      <c r="AP519" s="52"/>
      <c r="AQ519" s="52"/>
      <c r="AR519" s="52"/>
      <c r="AS519" s="52"/>
      <c r="AT519" s="52"/>
      <c r="AU519" s="125"/>
      <c r="AV519" s="125"/>
      <c r="AW519" s="125"/>
      <c r="AX519" s="5"/>
      <c r="AY519" s="5"/>
      <c r="AZ519" s="113"/>
      <c r="BA519" s="113"/>
      <c r="BB519" s="113"/>
      <c r="BC519" s="52"/>
      <c r="BD519" s="52"/>
      <c r="BE519" s="118"/>
      <c r="BF519" s="118"/>
      <c r="BG519" s="118"/>
      <c r="BH519" s="52"/>
      <c r="BI519" s="283"/>
      <c r="BJ519" s="52"/>
      <c r="BK519" s="52"/>
      <c r="BL519" s="52"/>
      <c r="BM519" s="52"/>
      <c r="BN519" s="52"/>
      <c r="BO519" s="52"/>
      <c r="BP519" s="52"/>
      <c r="BQ519" s="52"/>
      <c r="BR519" s="52"/>
      <c r="BS519" s="52"/>
      <c r="BT519" s="52"/>
      <c r="BU519" s="52"/>
      <c r="BV519" s="52"/>
      <c r="BW519" s="52"/>
      <c r="BX519" s="52"/>
      <c r="BY519" s="52"/>
      <c r="BZ519" s="52"/>
      <c r="CA519" s="52"/>
      <c r="CB519" s="52"/>
      <c r="CC519" s="52"/>
      <c r="CD519" s="118"/>
      <c r="CE519" s="52"/>
      <c r="CF519" s="52"/>
      <c r="CG519" s="52"/>
      <c r="CH519" s="52"/>
      <c r="CI519" s="52"/>
      <c r="CJ519" s="52"/>
      <c r="CK519" s="52"/>
      <c r="CL519" s="52"/>
      <c r="CM519" s="52"/>
      <c r="CN519" s="118"/>
      <c r="CO519" s="118"/>
      <c r="CP519" s="118"/>
      <c r="CQ519" s="52"/>
      <c r="CR519" s="52"/>
      <c r="CS519" s="52"/>
      <c r="CT519" s="52"/>
      <c r="CU519" s="52"/>
      <c r="CV519" s="52"/>
      <c r="CW519" s="52"/>
      <c r="CX519" s="52"/>
      <c r="CY519" s="52"/>
      <c r="CZ519" s="52"/>
      <c r="DA519" s="52"/>
      <c r="DB519" s="52"/>
    </row>
    <row r="520" spans="1:106" ht="51" x14ac:dyDescent="0.25">
      <c r="A520" s="411">
        <v>518</v>
      </c>
      <c r="B520" s="409" t="s">
        <v>4403</v>
      </c>
      <c r="C520" s="413" t="s">
        <v>4404</v>
      </c>
      <c r="D520" s="570" t="s">
        <v>445</v>
      </c>
      <c r="E520" s="80">
        <v>1</v>
      </c>
      <c r="F520" s="353">
        <v>578163.88</v>
      </c>
      <c r="G520" s="293"/>
      <c r="H520" s="293"/>
      <c r="I520" s="293"/>
      <c r="J520" s="52"/>
      <c r="K520" s="52"/>
      <c r="L520" s="359"/>
      <c r="M520" s="360"/>
      <c r="N520" s="361"/>
      <c r="O520" s="33"/>
      <c r="P520" s="252"/>
      <c r="Q520" s="113"/>
      <c r="R520" s="113"/>
      <c r="S520" s="113"/>
      <c r="T520" s="52"/>
      <c r="U520" s="5"/>
      <c r="V520" s="231">
        <v>560000</v>
      </c>
      <c r="W520" s="231">
        <f t="shared" si="67"/>
        <v>106400</v>
      </c>
      <c r="X520" s="231">
        <f t="shared" si="68"/>
        <v>666400</v>
      </c>
      <c r="Y520" s="113">
        <v>320.33600000000001</v>
      </c>
      <c r="Z520" s="357" t="s">
        <v>4405</v>
      </c>
      <c r="AA520" s="118" t="s">
        <v>2877</v>
      </c>
      <c r="AB520" s="118"/>
      <c r="AC520" s="118"/>
      <c r="AD520" s="52"/>
      <c r="AE520" s="5"/>
      <c r="AF520" s="358"/>
      <c r="AG520" s="358"/>
      <c r="AH520" s="358"/>
      <c r="AI520" s="358"/>
      <c r="AJ520" s="358"/>
      <c r="AK520" s="113"/>
      <c r="AL520" s="113"/>
      <c r="AM520" s="113"/>
      <c r="AN520" s="113"/>
      <c r="AO520" s="113"/>
      <c r="AP520" s="52"/>
      <c r="AQ520" s="52"/>
      <c r="AR520" s="52"/>
      <c r="AS520" s="52"/>
      <c r="AT520" s="52"/>
      <c r="AU520" s="125">
        <v>764100</v>
      </c>
      <c r="AV520" s="125">
        <v>145179</v>
      </c>
      <c r="AW520" s="125">
        <v>909279</v>
      </c>
      <c r="AX520" s="5" t="s">
        <v>3195</v>
      </c>
      <c r="AY520" s="5" t="s">
        <v>4406</v>
      </c>
      <c r="AZ520" s="113">
        <v>445000</v>
      </c>
      <c r="BA520" s="113">
        <v>84550</v>
      </c>
      <c r="BB520" s="113">
        <v>529550</v>
      </c>
      <c r="BC520" s="52" t="s">
        <v>2925</v>
      </c>
      <c r="BD520" s="52" t="s">
        <v>4407</v>
      </c>
      <c r="BE520" s="118"/>
      <c r="BF520" s="118"/>
      <c r="BG520" s="118"/>
      <c r="BH520" s="52"/>
      <c r="BI520" s="283"/>
      <c r="BJ520" s="52"/>
      <c r="BK520" s="52"/>
      <c r="BL520" s="52"/>
      <c r="BM520" s="52"/>
      <c r="BN520" s="52"/>
      <c r="BO520" s="52"/>
      <c r="BP520" s="52"/>
      <c r="BQ520" s="52"/>
      <c r="BR520" s="52"/>
      <c r="BS520" s="52"/>
      <c r="BT520" s="52"/>
      <c r="BU520" s="52"/>
      <c r="BV520" s="52"/>
      <c r="BW520" s="52"/>
      <c r="BX520" s="52"/>
      <c r="BY520" s="52"/>
      <c r="BZ520" s="52"/>
      <c r="CA520" s="52"/>
      <c r="CB520" s="52"/>
      <c r="CC520" s="52"/>
      <c r="CD520" s="118"/>
      <c r="CE520" s="52"/>
      <c r="CF520" s="52"/>
      <c r="CG520" s="52"/>
      <c r="CH520" s="52"/>
      <c r="CI520" s="52"/>
      <c r="CJ520" s="52"/>
      <c r="CK520" s="52"/>
      <c r="CL520" s="52"/>
      <c r="CM520" s="52"/>
      <c r="CN520" s="118"/>
      <c r="CO520" s="118"/>
      <c r="CP520" s="118"/>
      <c r="CQ520" s="52"/>
      <c r="CR520" s="52"/>
      <c r="CS520" s="52"/>
      <c r="CT520" s="52"/>
      <c r="CU520" s="52"/>
      <c r="CV520" s="52"/>
      <c r="CW520" s="52"/>
      <c r="CX520" s="52"/>
      <c r="CY520" s="52"/>
      <c r="CZ520" s="52"/>
      <c r="DA520" s="52"/>
      <c r="DB520" s="52"/>
    </row>
    <row r="521" spans="1:106" ht="38.25" x14ac:dyDescent="0.25">
      <c r="A521" s="411">
        <v>519</v>
      </c>
      <c r="B521" s="412" t="s">
        <v>4408</v>
      </c>
      <c r="C521" s="413" t="s">
        <v>3200</v>
      </c>
      <c r="D521" s="570" t="s">
        <v>445</v>
      </c>
      <c r="E521" s="80">
        <v>1</v>
      </c>
      <c r="F521" s="353">
        <v>629941.97259999998</v>
      </c>
      <c r="G521" s="293"/>
      <c r="H521" s="293"/>
      <c r="I521" s="293"/>
      <c r="J521" s="52"/>
      <c r="K521" s="52"/>
      <c r="L521" s="359"/>
      <c r="M521" s="360"/>
      <c r="N521" s="361"/>
      <c r="O521" s="33"/>
      <c r="P521" s="252"/>
      <c r="Q521" s="113"/>
      <c r="R521" s="113"/>
      <c r="S521" s="113"/>
      <c r="T521" s="52"/>
      <c r="U521" s="5"/>
      <c r="V521" s="231">
        <v>560000</v>
      </c>
      <c r="W521" s="231">
        <f t="shared" si="67"/>
        <v>106400</v>
      </c>
      <c r="X521" s="231">
        <f t="shared" si="68"/>
        <v>666400</v>
      </c>
      <c r="Y521" s="113">
        <v>320.33600000000001</v>
      </c>
      <c r="Z521" s="357" t="s">
        <v>4405</v>
      </c>
      <c r="AA521" s="118" t="s">
        <v>2877</v>
      </c>
      <c r="AB521" s="118"/>
      <c r="AC521" s="118"/>
      <c r="AD521" s="52"/>
      <c r="AE521" s="5"/>
      <c r="AF521" s="358"/>
      <c r="AG521" s="358"/>
      <c r="AH521" s="358"/>
      <c r="AI521" s="358"/>
      <c r="AJ521" s="358"/>
      <c r="AK521" s="113"/>
      <c r="AL521" s="113"/>
      <c r="AM521" s="113"/>
      <c r="AN521" s="113"/>
      <c r="AO521" s="113"/>
      <c r="AP521" s="52"/>
      <c r="AQ521" s="52"/>
      <c r="AR521" s="52"/>
      <c r="AS521" s="52"/>
      <c r="AT521" s="52"/>
      <c r="AU521" s="125">
        <v>420200</v>
      </c>
      <c r="AV521" s="125">
        <v>79838</v>
      </c>
      <c r="AW521" s="125">
        <v>500038</v>
      </c>
      <c r="AX521" s="5" t="s">
        <v>3195</v>
      </c>
      <c r="AY521" s="5" t="s">
        <v>4409</v>
      </c>
      <c r="AZ521" s="113">
        <v>445000</v>
      </c>
      <c r="BA521" s="113">
        <v>84550</v>
      </c>
      <c r="BB521" s="113">
        <v>529550</v>
      </c>
      <c r="BC521" s="52" t="s">
        <v>2925</v>
      </c>
      <c r="BD521" s="52" t="s">
        <v>4407</v>
      </c>
      <c r="BE521" s="118"/>
      <c r="BF521" s="118"/>
      <c r="BG521" s="118"/>
      <c r="BH521" s="52"/>
      <c r="BI521" s="283"/>
      <c r="BJ521" s="52"/>
      <c r="BK521" s="52"/>
      <c r="BL521" s="52"/>
      <c r="BM521" s="52"/>
      <c r="BN521" s="52"/>
      <c r="BO521" s="52"/>
      <c r="BP521" s="52"/>
      <c r="BQ521" s="52"/>
      <c r="BR521" s="52"/>
      <c r="BS521" s="52"/>
      <c r="BT521" s="52"/>
      <c r="BU521" s="52"/>
      <c r="BV521" s="52"/>
      <c r="BW521" s="52"/>
      <c r="BX521" s="52"/>
      <c r="BY521" s="52"/>
      <c r="BZ521" s="52"/>
      <c r="CA521" s="52"/>
      <c r="CB521" s="52"/>
      <c r="CC521" s="52"/>
      <c r="CD521" s="118"/>
      <c r="CE521" s="52"/>
      <c r="CF521" s="52"/>
      <c r="CG521" s="52"/>
      <c r="CH521" s="52"/>
      <c r="CI521" s="52"/>
      <c r="CJ521" s="52"/>
      <c r="CK521" s="52"/>
      <c r="CL521" s="52"/>
      <c r="CM521" s="52"/>
      <c r="CN521" s="118"/>
      <c r="CO521" s="118"/>
      <c r="CP521" s="118"/>
      <c r="CQ521" s="52"/>
      <c r="CR521" s="52"/>
      <c r="CS521" s="52"/>
      <c r="CT521" s="52"/>
      <c r="CU521" s="52"/>
      <c r="CV521" s="52"/>
      <c r="CW521" s="52"/>
      <c r="CX521" s="52"/>
      <c r="CY521" s="52"/>
      <c r="CZ521" s="52"/>
      <c r="DA521" s="52"/>
      <c r="DB521" s="52"/>
    </row>
    <row r="522" spans="1:106" ht="13.5" x14ac:dyDescent="0.25">
      <c r="A522" s="411">
        <v>520</v>
      </c>
      <c r="B522" s="412" t="s">
        <v>4410</v>
      </c>
      <c r="C522" s="413" t="s">
        <v>3200</v>
      </c>
      <c r="D522" s="570" t="s">
        <v>445</v>
      </c>
      <c r="E522" s="80">
        <v>1</v>
      </c>
      <c r="F522" s="353">
        <v>339357.06</v>
      </c>
      <c r="G522" s="293">
        <v>171400</v>
      </c>
      <c r="H522" s="293">
        <v>32566</v>
      </c>
      <c r="I522" s="293">
        <v>203966</v>
      </c>
      <c r="J522" s="52" t="s">
        <v>4411</v>
      </c>
      <c r="K522" s="52" t="s">
        <v>4412</v>
      </c>
      <c r="L522" s="359"/>
      <c r="M522" s="360"/>
      <c r="N522" s="361"/>
      <c r="O522" s="33"/>
      <c r="P522" s="252"/>
      <c r="Q522" s="113"/>
      <c r="R522" s="113"/>
      <c r="S522" s="113"/>
      <c r="T522" s="52"/>
      <c r="U522" s="5"/>
      <c r="V522" s="231">
        <v>444000</v>
      </c>
      <c r="W522" s="231">
        <f t="shared" si="67"/>
        <v>84360</v>
      </c>
      <c r="X522" s="231">
        <f t="shared" si="68"/>
        <v>528360</v>
      </c>
      <c r="Y522" s="113">
        <v>320.33699999999999</v>
      </c>
      <c r="Z522" s="357" t="s">
        <v>4405</v>
      </c>
      <c r="AA522" s="118" t="s">
        <v>2877</v>
      </c>
      <c r="AB522" s="118"/>
      <c r="AC522" s="118"/>
      <c r="AD522" s="52"/>
      <c r="AE522" s="5"/>
      <c r="AF522" s="358"/>
      <c r="AG522" s="358"/>
      <c r="AH522" s="358"/>
      <c r="AI522" s="358"/>
      <c r="AJ522" s="358"/>
      <c r="AK522" s="113"/>
      <c r="AL522" s="113"/>
      <c r="AM522" s="113"/>
      <c r="AN522" s="113"/>
      <c r="AO522" s="113"/>
      <c r="AP522" s="52"/>
      <c r="AQ522" s="52"/>
      <c r="AR522" s="52"/>
      <c r="AS522" s="52"/>
      <c r="AT522" s="52"/>
      <c r="AU522" s="125"/>
      <c r="AV522" s="125"/>
      <c r="AW522" s="125"/>
      <c r="AX522" s="5"/>
      <c r="AY522" s="5"/>
      <c r="AZ522" s="113">
        <v>445000</v>
      </c>
      <c r="BA522" s="113">
        <v>84550</v>
      </c>
      <c r="BB522" s="113">
        <v>529550</v>
      </c>
      <c r="BC522" s="52" t="s">
        <v>2925</v>
      </c>
      <c r="BD522" s="52" t="s">
        <v>4407</v>
      </c>
      <c r="BE522" s="320">
        <v>222592</v>
      </c>
      <c r="BF522" s="320">
        <f>BE522*0.19</f>
        <v>42292.480000000003</v>
      </c>
      <c r="BG522" s="320">
        <f>BE522+BF522</f>
        <v>264884.47999999998</v>
      </c>
      <c r="BH522" s="4" t="s">
        <v>2887</v>
      </c>
      <c r="BI522" s="286" t="s">
        <v>4413</v>
      </c>
      <c r="BJ522" s="52"/>
      <c r="BK522" s="52"/>
      <c r="BL522" s="52"/>
      <c r="BM522" s="52"/>
      <c r="BN522" s="52"/>
      <c r="BO522" s="52"/>
      <c r="BP522" s="52"/>
      <c r="BQ522" s="52"/>
      <c r="BR522" s="52"/>
      <c r="BS522" s="52"/>
      <c r="BT522" s="52"/>
      <c r="BU522" s="52"/>
      <c r="BV522" s="52"/>
      <c r="BW522" s="52"/>
      <c r="BX522" s="52"/>
      <c r="BY522" s="52"/>
      <c r="BZ522" s="52"/>
      <c r="CA522" s="52"/>
      <c r="CB522" s="52"/>
      <c r="CC522" s="52"/>
      <c r="CD522" s="118"/>
      <c r="CE522" s="52"/>
      <c r="CF522" s="52"/>
      <c r="CG522" s="52"/>
      <c r="CH522" s="52"/>
      <c r="CI522" s="52"/>
      <c r="CJ522" s="52"/>
      <c r="CK522" s="52"/>
      <c r="CL522" s="52"/>
      <c r="CM522" s="52"/>
      <c r="CN522" s="118"/>
      <c r="CO522" s="118"/>
      <c r="CP522" s="118"/>
      <c r="CQ522" s="52"/>
      <c r="CR522" s="52"/>
      <c r="CS522" s="52"/>
      <c r="CT522" s="52"/>
      <c r="CU522" s="52"/>
      <c r="CV522" s="52"/>
      <c r="CW522" s="52"/>
      <c r="CX522" s="52"/>
      <c r="CY522" s="52"/>
      <c r="CZ522" s="52"/>
      <c r="DA522" s="52"/>
      <c r="DB522" s="52"/>
    </row>
    <row r="523" spans="1:106" ht="13.5" x14ac:dyDescent="0.25">
      <c r="A523" s="411">
        <v>521</v>
      </c>
      <c r="B523" s="412" t="s">
        <v>4414</v>
      </c>
      <c r="C523" s="413" t="s">
        <v>3200</v>
      </c>
      <c r="D523" s="570" t="s">
        <v>445</v>
      </c>
      <c r="E523" s="80">
        <v>1</v>
      </c>
      <c r="F523" s="353">
        <v>364975.19099999999</v>
      </c>
      <c r="G523" s="293">
        <v>64300</v>
      </c>
      <c r="H523" s="293">
        <v>12217</v>
      </c>
      <c r="I523" s="293">
        <v>76517</v>
      </c>
      <c r="J523" s="52" t="s">
        <v>4411</v>
      </c>
      <c r="K523" s="52" t="s">
        <v>4415</v>
      </c>
      <c r="L523" s="359"/>
      <c r="M523" s="360"/>
      <c r="N523" s="361"/>
      <c r="O523" s="33"/>
      <c r="P523" s="252"/>
      <c r="Q523" s="113"/>
      <c r="R523" s="113"/>
      <c r="S523" s="113"/>
      <c r="T523" s="52"/>
      <c r="U523" s="5"/>
      <c r="V523" s="231"/>
      <c r="W523" s="231"/>
      <c r="X523" s="231"/>
      <c r="Y523" s="113"/>
      <c r="Z523" s="357"/>
      <c r="AA523" s="118" t="s">
        <v>2877</v>
      </c>
      <c r="AB523" s="118"/>
      <c r="AC523" s="118"/>
      <c r="AD523" s="52"/>
      <c r="AE523" s="5"/>
      <c r="AF523" s="358"/>
      <c r="AG523" s="358"/>
      <c r="AH523" s="358"/>
      <c r="AI523" s="358"/>
      <c r="AJ523" s="358"/>
      <c r="AK523" s="113"/>
      <c r="AL523" s="113"/>
      <c r="AM523" s="113"/>
      <c r="AN523" s="113"/>
      <c r="AO523" s="113"/>
      <c r="AP523" s="52"/>
      <c r="AQ523" s="52"/>
      <c r="AR523" s="52"/>
      <c r="AS523" s="52"/>
      <c r="AT523" s="52"/>
      <c r="AU523" s="125"/>
      <c r="AV523" s="125"/>
      <c r="AW523" s="125"/>
      <c r="AX523" s="5"/>
      <c r="AY523" s="5"/>
      <c r="AZ523" s="113"/>
      <c r="BA523" s="113"/>
      <c r="BB523" s="113"/>
      <c r="BC523" s="52"/>
      <c r="BD523" s="52"/>
      <c r="BE523" s="118"/>
      <c r="BF523" s="118"/>
      <c r="BG523" s="118"/>
      <c r="BH523" s="52"/>
      <c r="BI523" s="283"/>
      <c r="BJ523" s="52"/>
      <c r="BK523" s="52"/>
      <c r="BL523" s="52"/>
      <c r="BM523" s="52"/>
      <c r="BN523" s="52"/>
      <c r="BO523" s="52"/>
      <c r="BP523" s="52"/>
      <c r="BQ523" s="52"/>
      <c r="BR523" s="52"/>
      <c r="BS523" s="52"/>
      <c r="BT523" s="52"/>
      <c r="BU523" s="52"/>
      <c r="BV523" s="52"/>
      <c r="BW523" s="52"/>
      <c r="BX523" s="52"/>
      <c r="BY523" s="52"/>
      <c r="BZ523" s="52"/>
      <c r="CA523" s="52"/>
      <c r="CB523" s="52"/>
      <c r="CC523" s="52"/>
      <c r="CD523" s="118"/>
      <c r="CE523" s="52"/>
      <c r="CF523" s="52"/>
      <c r="CG523" s="52"/>
      <c r="CH523" s="52"/>
      <c r="CI523" s="52"/>
      <c r="CJ523" s="52"/>
      <c r="CK523" s="52"/>
      <c r="CL523" s="52"/>
      <c r="CM523" s="52"/>
      <c r="CN523" s="118"/>
      <c r="CO523" s="118"/>
      <c r="CP523" s="118"/>
      <c r="CQ523" s="52"/>
      <c r="CR523" s="52"/>
      <c r="CS523" s="52"/>
      <c r="CT523" s="52"/>
      <c r="CU523" s="52"/>
      <c r="CV523" s="52"/>
      <c r="CW523" s="52"/>
      <c r="CX523" s="52"/>
      <c r="CY523" s="52"/>
      <c r="CZ523" s="52"/>
      <c r="DA523" s="52"/>
      <c r="DB523" s="52"/>
    </row>
    <row r="524" spans="1:106" ht="27" x14ac:dyDescent="0.25">
      <c r="A524" s="411">
        <v>522</v>
      </c>
      <c r="B524" s="412" t="s">
        <v>4416</v>
      </c>
      <c r="C524" s="413" t="s">
        <v>4417</v>
      </c>
      <c r="D524" s="570" t="s">
        <v>445</v>
      </c>
      <c r="E524" s="80">
        <v>1</v>
      </c>
      <c r="F524" s="353">
        <v>1539675.55</v>
      </c>
      <c r="G524" s="293"/>
      <c r="H524" s="293"/>
      <c r="I524" s="293"/>
      <c r="J524" s="52"/>
      <c r="K524" s="52"/>
      <c r="L524" s="359"/>
      <c r="M524" s="360"/>
      <c r="N524" s="361"/>
      <c r="O524" s="33"/>
      <c r="P524" s="252"/>
      <c r="Q524" s="113"/>
      <c r="R524" s="113"/>
      <c r="S524" s="113"/>
      <c r="T524" s="52"/>
      <c r="U524" s="5"/>
      <c r="V524" s="231"/>
      <c r="W524" s="231"/>
      <c r="X524" s="231"/>
      <c r="Y524" s="113"/>
      <c r="Z524" s="357"/>
      <c r="AA524" s="118" t="s">
        <v>2877</v>
      </c>
      <c r="AB524" s="118"/>
      <c r="AC524" s="118"/>
      <c r="AD524" s="52"/>
      <c r="AE524" s="5"/>
      <c r="AF524" s="358"/>
      <c r="AG524" s="358"/>
      <c r="AH524" s="358"/>
      <c r="AI524" s="358"/>
      <c r="AJ524" s="358"/>
      <c r="AK524" s="113"/>
      <c r="AL524" s="113"/>
      <c r="AM524" s="113"/>
      <c r="AN524" s="113"/>
      <c r="AO524" s="113"/>
      <c r="AP524" s="52"/>
      <c r="AQ524" s="52"/>
      <c r="AR524" s="52"/>
      <c r="AS524" s="52"/>
      <c r="AT524" s="52"/>
      <c r="AU524" s="125"/>
      <c r="AV524" s="125"/>
      <c r="AW524" s="125"/>
      <c r="AX524" s="5"/>
      <c r="AY524" s="5"/>
      <c r="AZ524" s="113"/>
      <c r="BA524" s="113"/>
      <c r="BB524" s="113"/>
      <c r="BC524" s="52"/>
      <c r="BD524" s="52"/>
      <c r="BE524" s="118"/>
      <c r="BF524" s="118"/>
      <c r="BG524" s="118"/>
      <c r="BH524" s="52"/>
      <c r="BI524" s="283"/>
      <c r="BJ524" s="52"/>
      <c r="BK524" s="52"/>
      <c r="BL524" s="52"/>
      <c r="BM524" s="52"/>
      <c r="BN524" s="52"/>
      <c r="BO524" s="52"/>
      <c r="BP524" s="52"/>
      <c r="BQ524" s="52"/>
      <c r="BR524" s="52"/>
      <c r="BS524" s="52"/>
      <c r="BT524" s="52"/>
      <c r="BU524" s="52"/>
      <c r="BV524" s="52"/>
      <c r="BW524" s="52"/>
      <c r="BX524" s="52"/>
      <c r="BY524" s="293">
        <v>3000000</v>
      </c>
      <c r="BZ524" s="118">
        <f>+BY524*0.19</f>
        <v>570000</v>
      </c>
      <c r="CA524" s="364">
        <f>+BY524+BZ524</f>
        <v>3570000</v>
      </c>
      <c r="CB524" s="52" t="s">
        <v>3791</v>
      </c>
      <c r="CC524" s="52"/>
      <c r="CD524" s="118"/>
      <c r="CE524" s="52"/>
      <c r="CF524" s="52"/>
      <c r="CG524" s="52"/>
      <c r="CH524" s="52"/>
      <c r="CI524" s="52"/>
      <c r="CJ524" s="52"/>
      <c r="CK524" s="52"/>
      <c r="CL524" s="52"/>
      <c r="CM524" s="52"/>
      <c r="CN524" s="118"/>
      <c r="CO524" s="118"/>
      <c r="CP524" s="118"/>
      <c r="CQ524" s="52"/>
      <c r="CR524" s="52"/>
      <c r="CS524" s="52"/>
      <c r="CT524" s="52"/>
      <c r="CU524" s="52"/>
      <c r="CV524" s="52"/>
      <c r="CW524" s="52"/>
      <c r="CX524" s="52"/>
      <c r="CY524" s="52"/>
      <c r="CZ524" s="52"/>
      <c r="DA524" s="52"/>
      <c r="DB524" s="52"/>
    </row>
    <row r="525" spans="1:106" ht="54" x14ac:dyDescent="0.25">
      <c r="A525" s="411">
        <v>523</v>
      </c>
      <c r="B525" s="412" t="s">
        <v>4418</v>
      </c>
      <c r="C525" s="413" t="s">
        <v>4417</v>
      </c>
      <c r="D525" s="570" t="s">
        <v>445</v>
      </c>
      <c r="E525" s="80">
        <v>1</v>
      </c>
      <c r="F525" s="353">
        <v>902967.56020000007</v>
      </c>
      <c r="G525" s="293"/>
      <c r="H525" s="293"/>
      <c r="I525" s="293"/>
      <c r="J525" s="52"/>
      <c r="K525" s="52"/>
      <c r="L525" s="359"/>
      <c r="M525" s="360"/>
      <c r="N525" s="361"/>
      <c r="O525" s="33"/>
      <c r="P525" s="252"/>
      <c r="Q525" s="113"/>
      <c r="R525" s="113"/>
      <c r="S525" s="113"/>
      <c r="T525" s="52"/>
      <c r="U525" s="5"/>
      <c r="V525" s="231"/>
      <c r="W525" s="231"/>
      <c r="X525" s="231"/>
      <c r="Y525" s="113"/>
      <c r="Z525" s="357"/>
      <c r="AA525" s="118" t="s">
        <v>2877</v>
      </c>
      <c r="AB525" s="118"/>
      <c r="AC525" s="118"/>
      <c r="AD525" s="52"/>
      <c r="AE525" s="5"/>
      <c r="AF525" s="358"/>
      <c r="AG525" s="358"/>
      <c r="AH525" s="358"/>
      <c r="AI525" s="358"/>
      <c r="AJ525" s="358"/>
      <c r="AK525" s="113"/>
      <c r="AL525" s="113"/>
      <c r="AM525" s="113"/>
      <c r="AN525" s="113"/>
      <c r="AO525" s="113"/>
      <c r="AP525" s="52"/>
      <c r="AQ525" s="52"/>
      <c r="AR525" s="52"/>
      <c r="AS525" s="52"/>
      <c r="AT525" s="52"/>
      <c r="AU525" s="125"/>
      <c r="AV525" s="125"/>
      <c r="AW525" s="125"/>
      <c r="AX525" s="5"/>
      <c r="AY525" s="5"/>
      <c r="AZ525" s="113"/>
      <c r="BA525" s="113"/>
      <c r="BB525" s="113"/>
      <c r="BC525" s="52"/>
      <c r="BD525" s="52"/>
      <c r="BE525" s="118"/>
      <c r="BF525" s="118"/>
      <c r="BG525" s="118"/>
      <c r="BH525" s="52"/>
      <c r="BI525" s="283"/>
      <c r="BJ525" s="52"/>
      <c r="BK525" s="52"/>
      <c r="BL525" s="52"/>
      <c r="BM525" s="52"/>
      <c r="BN525" s="52"/>
      <c r="BO525" s="293">
        <v>2500000</v>
      </c>
      <c r="BP525" s="118">
        <f>+BO525*0.19</f>
        <v>475000</v>
      </c>
      <c r="BQ525" s="118">
        <f>+BO525+BP525</f>
        <v>2975000</v>
      </c>
      <c r="BR525" s="52" t="s">
        <v>3786</v>
      </c>
      <c r="BS525" s="52" t="s">
        <v>178</v>
      </c>
      <c r="BT525" s="52"/>
      <c r="BU525" s="52"/>
      <c r="BV525" s="52"/>
      <c r="BW525" s="52"/>
      <c r="BX525" s="52"/>
      <c r="BY525" s="293">
        <v>700000</v>
      </c>
      <c r="BZ525" s="118">
        <f>+BY525*0.19</f>
        <v>133000</v>
      </c>
      <c r="CA525" s="364">
        <f>+BY525+BZ525</f>
        <v>833000</v>
      </c>
      <c r="CB525" s="52" t="s">
        <v>3791</v>
      </c>
      <c r="CC525" s="52" t="s">
        <v>4419</v>
      </c>
      <c r="CD525" s="118"/>
      <c r="CE525" s="52"/>
      <c r="CF525" s="52"/>
      <c r="CG525" s="52"/>
      <c r="CH525" s="52"/>
      <c r="CI525" s="52"/>
      <c r="CJ525" s="52"/>
      <c r="CK525" s="52"/>
      <c r="CL525" s="52"/>
      <c r="CM525" s="52"/>
      <c r="CN525" s="118">
        <v>158600</v>
      </c>
      <c r="CO525" s="118">
        <f>+CN525*0.19</f>
        <v>30134</v>
      </c>
      <c r="CP525" s="118">
        <f>+CN525+CO525</f>
        <v>188734</v>
      </c>
      <c r="CQ525" s="52" t="s">
        <v>164</v>
      </c>
      <c r="CR525" s="52" t="s">
        <v>4420</v>
      </c>
      <c r="CS525" s="52"/>
      <c r="CT525" s="52"/>
      <c r="CU525" s="52"/>
      <c r="CV525" s="52"/>
      <c r="CW525" s="52"/>
      <c r="CX525" s="52"/>
      <c r="CY525" s="52"/>
      <c r="CZ525" s="52"/>
      <c r="DA525" s="52"/>
      <c r="DB525" s="52"/>
    </row>
    <row r="526" spans="1:106" ht="27" x14ac:dyDescent="0.25">
      <c r="A526" s="411">
        <v>524</v>
      </c>
      <c r="B526" s="412" t="s">
        <v>4421</v>
      </c>
      <c r="C526" s="413" t="s">
        <v>4417</v>
      </c>
      <c r="D526" s="570" t="s">
        <v>445</v>
      </c>
      <c r="E526" s="80">
        <v>1</v>
      </c>
      <c r="F526" s="80"/>
      <c r="G526" s="293"/>
      <c r="H526" s="293"/>
      <c r="I526" s="293"/>
      <c r="J526" s="52"/>
      <c r="K526" s="52"/>
      <c r="L526" s="359"/>
      <c r="M526" s="360"/>
      <c r="N526" s="361"/>
      <c r="O526" s="33"/>
      <c r="P526" s="252"/>
      <c r="Q526" s="113"/>
      <c r="R526" s="113"/>
      <c r="S526" s="113"/>
      <c r="T526" s="52"/>
      <c r="U526" s="5"/>
      <c r="V526" s="231"/>
      <c r="W526" s="231"/>
      <c r="X526" s="231"/>
      <c r="Y526" s="113"/>
      <c r="Z526" s="357"/>
      <c r="AA526" s="118" t="s">
        <v>2877</v>
      </c>
      <c r="AB526" s="118"/>
      <c r="AC526" s="118"/>
      <c r="AD526" s="52"/>
      <c r="AE526" s="5"/>
      <c r="AF526" s="358"/>
      <c r="AG526" s="358"/>
      <c r="AH526" s="358"/>
      <c r="AI526" s="358"/>
      <c r="AJ526" s="358"/>
      <c r="AK526" s="113"/>
      <c r="AL526" s="113"/>
      <c r="AM526" s="113"/>
      <c r="AN526" s="113"/>
      <c r="AO526" s="113"/>
      <c r="AP526" s="52"/>
      <c r="AQ526" s="52"/>
      <c r="AR526" s="52"/>
      <c r="AS526" s="52"/>
      <c r="AT526" s="52"/>
      <c r="AU526" s="125"/>
      <c r="AV526" s="125"/>
      <c r="AW526" s="125"/>
      <c r="AX526" s="5"/>
      <c r="AY526" s="5"/>
      <c r="AZ526" s="113"/>
      <c r="BA526" s="113"/>
      <c r="BB526" s="113"/>
      <c r="BC526" s="52"/>
      <c r="BD526" s="52"/>
      <c r="BE526" s="118"/>
      <c r="BF526" s="118"/>
      <c r="BG526" s="118"/>
      <c r="BH526" s="52"/>
      <c r="BI526" s="283"/>
      <c r="BJ526" s="52"/>
      <c r="BK526" s="52"/>
      <c r="BL526" s="52"/>
      <c r="BM526" s="52"/>
      <c r="BN526" s="52"/>
      <c r="BO526" s="293">
        <v>800000</v>
      </c>
      <c r="BP526" s="118">
        <f>+BO526*0.19</f>
        <v>152000</v>
      </c>
      <c r="BQ526" s="118">
        <f>+BO526+BP526</f>
        <v>952000</v>
      </c>
      <c r="BR526" s="52" t="s">
        <v>3786</v>
      </c>
      <c r="BS526" s="52" t="s">
        <v>178</v>
      </c>
      <c r="BT526" s="52"/>
      <c r="BU526" s="52"/>
      <c r="BV526" s="52"/>
      <c r="BW526" s="52"/>
      <c r="BX526" s="52"/>
      <c r="BY526" s="118">
        <v>400000</v>
      </c>
      <c r="BZ526" s="118">
        <f>+BY526*0.19</f>
        <v>76000</v>
      </c>
      <c r="CA526" s="364">
        <f>+BY526+BZ526</f>
        <v>476000</v>
      </c>
      <c r="CB526" s="52" t="s">
        <v>3791</v>
      </c>
      <c r="CC526" s="52"/>
      <c r="CD526" s="118"/>
      <c r="CE526" s="52"/>
      <c r="CF526" s="52"/>
      <c r="CG526" s="52"/>
      <c r="CH526" s="52"/>
      <c r="CI526" s="52"/>
      <c r="CJ526" s="52"/>
      <c r="CK526" s="52"/>
      <c r="CL526" s="52"/>
      <c r="CM526" s="52"/>
      <c r="CN526" s="118"/>
      <c r="CO526" s="118"/>
      <c r="CP526" s="118"/>
      <c r="CQ526" s="52"/>
      <c r="CR526" s="52"/>
      <c r="CS526" s="52"/>
      <c r="CT526" s="52"/>
      <c r="CU526" s="52"/>
      <c r="CV526" s="52"/>
      <c r="CW526" s="52"/>
      <c r="CX526" s="52"/>
      <c r="CY526" s="52"/>
      <c r="CZ526" s="52"/>
      <c r="DA526" s="52"/>
      <c r="DB526" s="52"/>
    </row>
    <row r="527" spans="1:106" ht="27" x14ac:dyDescent="0.25">
      <c r="A527" s="411">
        <v>525</v>
      </c>
      <c r="B527" s="412" t="s">
        <v>4422</v>
      </c>
      <c r="C527" s="571" t="s">
        <v>622</v>
      </c>
      <c r="D527" s="572" t="s">
        <v>4423</v>
      </c>
      <c r="E527" s="80">
        <v>1</v>
      </c>
      <c r="F527" s="353">
        <v>230008.674</v>
      </c>
      <c r="G527" s="293"/>
      <c r="H527" s="293"/>
      <c r="I527" s="293"/>
      <c r="J527" s="52"/>
      <c r="K527" s="52"/>
      <c r="L527" s="366">
        <v>569268</v>
      </c>
      <c r="M527" s="360">
        <v>108160.92</v>
      </c>
      <c r="N527" s="361">
        <v>677428.92</v>
      </c>
      <c r="O527" s="33" t="s">
        <v>3278</v>
      </c>
      <c r="P527" s="252" t="s">
        <v>4424</v>
      </c>
      <c r="Q527" s="118"/>
      <c r="R527" s="118"/>
      <c r="S527" s="118"/>
      <c r="T527" s="52"/>
      <c r="U527" s="5"/>
      <c r="V527" s="231"/>
      <c r="W527" s="231"/>
      <c r="X527" s="231"/>
      <c r="Y527" s="118"/>
      <c r="Z527" s="363"/>
      <c r="AA527" s="118">
        <v>74000</v>
      </c>
      <c r="AB527" s="118">
        <f t="shared" ref="AB527" si="69">AA527*0.19</f>
        <v>14060</v>
      </c>
      <c r="AC527" s="118">
        <f t="shared" ref="AC527" si="70">AA527+AB527</f>
        <v>88060</v>
      </c>
      <c r="AD527" s="361" t="s">
        <v>126</v>
      </c>
      <c r="AE527" s="362" t="s">
        <v>4425</v>
      </c>
      <c r="AF527" s="294"/>
      <c r="AG527" s="294"/>
      <c r="AH527" s="294"/>
      <c r="AI527" s="294"/>
      <c r="AJ527" s="294"/>
      <c r="AK527" s="118"/>
      <c r="AL527" s="118"/>
      <c r="AM527" s="118"/>
      <c r="AN527" s="118"/>
      <c r="AO527" s="118"/>
      <c r="AP527" s="52"/>
      <c r="AQ527" s="52"/>
      <c r="AR527" s="52"/>
      <c r="AS527" s="52"/>
      <c r="AT527" s="52"/>
      <c r="AU527" s="192"/>
      <c r="AV527" s="192"/>
      <c r="AW527" s="192"/>
      <c r="AX527" s="5"/>
      <c r="AY527" s="5"/>
      <c r="AZ527" s="118"/>
      <c r="BA527" s="118"/>
      <c r="BB527" s="118"/>
      <c r="BC527" s="52"/>
      <c r="BD527" s="52"/>
      <c r="BE527" s="118"/>
      <c r="BF527" s="118"/>
      <c r="BG527" s="118"/>
      <c r="BH527" s="52"/>
      <c r="BI527" s="283"/>
      <c r="BJ527" s="52"/>
      <c r="BK527" s="52"/>
      <c r="BL527" s="52"/>
      <c r="BM527" s="52"/>
      <c r="BN527" s="52"/>
      <c r="BO527" s="52"/>
      <c r="BP527" s="52"/>
      <c r="BQ527" s="52"/>
      <c r="BR527" s="52"/>
      <c r="BS527" s="52"/>
      <c r="BT527" s="52"/>
      <c r="BU527" s="52"/>
      <c r="BV527" s="52"/>
      <c r="BW527" s="52"/>
      <c r="BX527" s="52"/>
      <c r="BY527" s="52"/>
      <c r="BZ527" s="52"/>
      <c r="CA527" s="52"/>
      <c r="CB527" s="52"/>
      <c r="CC527" s="52"/>
      <c r="CD527" s="118"/>
      <c r="CE527" s="52"/>
      <c r="CF527" s="52"/>
      <c r="CG527" s="52"/>
      <c r="CH527" s="52"/>
      <c r="CI527" s="52"/>
      <c r="CJ527" s="52"/>
      <c r="CK527" s="52"/>
      <c r="CL527" s="52"/>
      <c r="CM527" s="52"/>
      <c r="CN527" s="118"/>
      <c r="CO527" s="118"/>
      <c r="CP527" s="118"/>
      <c r="CQ527" s="52"/>
      <c r="CR527" s="52"/>
      <c r="CS527" s="52"/>
      <c r="CT527" s="52"/>
      <c r="CU527" s="52"/>
      <c r="CV527" s="52"/>
      <c r="CW527" s="52"/>
      <c r="CX527" s="52"/>
      <c r="CY527" s="52"/>
      <c r="CZ527" s="52"/>
      <c r="DA527" s="52"/>
      <c r="DB527" s="52"/>
    </row>
    <row r="528" spans="1:106" ht="67.5" x14ac:dyDescent="0.25">
      <c r="A528" s="411">
        <v>526</v>
      </c>
      <c r="B528" s="421" t="s">
        <v>4426</v>
      </c>
      <c r="C528" s="573" t="s">
        <v>622</v>
      </c>
      <c r="D528" s="574" t="s">
        <v>3739</v>
      </c>
      <c r="E528" s="80">
        <v>1</v>
      </c>
      <c r="F528" s="353">
        <v>31421.95</v>
      </c>
      <c r="G528" s="293"/>
      <c r="H528" s="293"/>
      <c r="I528" s="293"/>
      <c r="J528" s="52"/>
      <c r="K528" s="52"/>
      <c r="L528" s="366"/>
      <c r="M528" s="360"/>
      <c r="N528" s="361"/>
      <c r="O528" s="33"/>
      <c r="P528" s="252"/>
      <c r="Q528" s="118"/>
      <c r="R528" s="118"/>
      <c r="S528" s="118"/>
      <c r="T528" s="52"/>
      <c r="U528" s="5"/>
      <c r="V528" s="231"/>
      <c r="W528" s="231"/>
      <c r="X528" s="231"/>
      <c r="Y528" s="118"/>
      <c r="Z528" s="363"/>
      <c r="AA528" s="118" t="s">
        <v>2877</v>
      </c>
      <c r="AB528" s="118"/>
      <c r="AC528" s="118"/>
      <c r="AD528" s="52"/>
      <c r="AE528" s="5"/>
      <c r="AF528" s="294"/>
      <c r="AG528" s="294"/>
      <c r="AH528" s="294"/>
      <c r="AI528" s="294"/>
      <c r="AJ528" s="294"/>
      <c r="AK528" s="118"/>
      <c r="AL528" s="118"/>
      <c r="AM528" s="118"/>
      <c r="AN528" s="118"/>
      <c r="AO528" s="118"/>
      <c r="AP528" s="52"/>
      <c r="AQ528" s="52"/>
      <c r="AR528" s="52"/>
      <c r="AS528" s="52"/>
      <c r="AT528" s="52"/>
      <c r="AU528" s="192"/>
      <c r="AV528" s="192"/>
      <c r="AW528" s="192"/>
      <c r="AX528" s="5"/>
      <c r="AY528" s="5"/>
      <c r="AZ528" s="118">
        <v>88000</v>
      </c>
      <c r="BA528" s="118">
        <v>16720</v>
      </c>
      <c r="BB528" s="118">
        <v>104720</v>
      </c>
      <c r="BC528" s="52" t="s">
        <v>4427</v>
      </c>
      <c r="BD528" s="52">
        <v>42187</v>
      </c>
      <c r="BE528" s="118"/>
      <c r="BF528" s="118"/>
      <c r="BG528" s="118"/>
      <c r="BH528" s="52"/>
      <c r="BI528" s="283"/>
      <c r="BJ528" s="52"/>
      <c r="BK528" s="52"/>
      <c r="BL528" s="52"/>
      <c r="BM528" s="52"/>
      <c r="BN528" s="52"/>
      <c r="BO528" s="52"/>
      <c r="BP528" s="52"/>
      <c r="BQ528" s="52"/>
      <c r="BR528" s="52"/>
      <c r="BS528" s="52"/>
      <c r="BT528" s="52"/>
      <c r="BU528" s="52"/>
      <c r="BV528" s="52"/>
      <c r="BW528" s="52"/>
      <c r="BX528" s="52"/>
      <c r="BY528" s="52"/>
      <c r="BZ528" s="52"/>
      <c r="CA528" s="52"/>
      <c r="CB528" s="52"/>
      <c r="CC528" s="52"/>
      <c r="CD528" s="118"/>
      <c r="CE528" s="52"/>
      <c r="CF528" s="52"/>
      <c r="CG528" s="52"/>
      <c r="CH528" s="52"/>
      <c r="CI528" s="52"/>
      <c r="CJ528" s="52"/>
      <c r="CK528" s="52"/>
      <c r="CL528" s="52"/>
      <c r="CM528" s="52"/>
      <c r="CN528" s="118"/>
      <c r="CO528" s="118"/>
      <c r="CP528" s="118"/>
      <c r="CQ528" s="52"/>
      <c r="CR528" s="52"/>
      <c r="CS528" s="52"/>
      <c r="CT528" s="52"/>
      <c r="CU528" s="52"/>
      <c r="CV528" s="52"/>
      <c r="CW528" s="52"/>
      <c r="CX528" s="52"/>
      <c r="CY528" s="52"/>
      <c r="CZ528" s="52"/>
      <c r="DA528" s="52"/>
      <c r="DB528" s="52"/>
    </row>
    <row r="529" spans="1:106" ht="81" x14ac:dyDescent="0.25">
      <c r="A529" s="411">
        <v>527</v>
      </c>
      <c r="B529" s="422" t="s">
        <v>4428</v>
      </c>
      <c r="C529" s="573" t="s">
        <v>4429</v>
      </c>
      <c r="D529" s="574" t="s">
        <v>445</v>
      </c>
      <c r="E529" s="80">
        <v>1</v>
      </c>
      <c r="F529" s="355">
        <v>2608329.2042</v>
      </c>
      <c r="G529" s="293"/>
      <c r="H529" s="293"/>
      <c r="I529" s="293"/>
      <c r="J529" s="52"/>
      <c r="K529" s="52"/>
      <c r="L529" s="366"/>
      <c r="M529" s="360"/>
      <c r="N529" s="361"/>
      <c r="O529" s="33"/>
      <c r="P529" s="252"/>
      <c r="Q529" s="118"/>
      <c r="R529" s="118"/>
      <c r="S529" s="118"/>
      <c r="T529" s="52"/>
      <c r="U529" s="5"/>
      <c r="V529" s="231"/>
      <c r="W529" s="231"/>
      <c r="X529" s="231"/>
      <c r="Y529" s="118"/>
      <c r="Z529" s="363"/>
      <c r="AA529" s="118" t="s">
        <v>2877</v>
      </c>
      <c r="AB529" s="118"/>
      <c r="AC529" s="118"/>
      <c r="AD529" s="52"/>
      <c r="AE529" s="5"/>
      <c r="AF529" s="294"/>
      <c r="AG529" s="294"/>
      <c r="AH529" s="294"/>
      <c r="AI529" s="294"/>
      <c r="AJ529" s="294"/>
      <c r="AK529" s="118"/>
      <c r="AL529" s="118"/>
      <c r="AM529" s="118"/>
      <c r="AN529" s="118"/>
      <c r="AO529" s="118"/>
      <c r="AP529" s="52"/>
      <c r="AQ529" s="52"/>
      <c r="AR529" s="52"/>
      <c r="AS529" s="52"/>
      <c r="AT529" s="52"/>
      <c r="AU529" s="192"/>
      <c r="AV529" s="192"/>
      <c r="AW529" s="192"/>
      <c r="AX529" s="5"/>
      <c r="AY529" s="5"/>
      <c r="AZ529" s="118">
        <v>1429000</v>
      </c>
      <c r="BA529" s="118">
        <v>271510</v>
      </c>
      <c r="BB529" s="118">
        <v>1700510</v>
      </c>
      <c r="BC529" s="52" t="s">
        <v>338</v>
      </c>
      <c r="BD529" s="52" t="s">
        <v>4430</v>
      </c>
      <c r="BE529" s="118"/>
      <c r="BF529" s="118"/>
      <c r="BG529" s="118"/>
      <c r="BH529" s="52"/>
      <c r="BI529" s="283"/>
      <c r="BJ529" s="52"/>
      <c r="BK529" s="52"/>
      <c r="BL529" s="52"/>
      <c r="BM529" s="52"/>
      <c r="BN529" s="52"/>
      <c r="BO529" s="52"/>
      <c r="BP529" s="52"/>
      <c r="BQ529" s="52"/>
      <c r="BR529" s="52"/>
      <c r="BS529" s="52"/>
      <c r="BT529" s="52"/>
      <c r="BU529" s="52"/>
      <c r="BV529" s="52"/>
      <c r="BW529" s="52"/>
      <c r="BX529" s="52"/>
      <c r="BY529" s="52"/>
      <c r="BZ529" s="52"/>
      <c r="CA529" s="52"/>
      <c r="CB529" s="52"/>
      <c r="CC529" s="52"/>
      <c r="CD529" s="118"/>
      <c r="CE529" s="52"/>
      <c r="CF529" s="52"/>
      <c r="CG529" s="52"/>
      <c r="CH529" s="52"/>
      <c r="CI529" s="52"/>
      <c r="CJ529" s="52"/>
      <c r="CK529" s="52"/>
      <c r="CL529" s="52"/>
      <c r="CM529" s="52"/>
      <c r="CN529" s="118"/>
      <c r="CO529" s="118"/>
      <c r="CP529" s="118"/>
      <c r="CQ529" s="52"/>
      <c r="CR529" s="52"/>
      <c r="CS529" s="52"/>
      <c r="CT529" s="52"/>
      <c r="CU529" s="52"/>
      <c r="CV529" s="52"/>
      <c r="CW529" s="52"/>
      <c r="CX529" s="52"/>
      <c r="CY529" s="52"/>
      <c r="CZ529" s="52"/>
      <c r="DA529" s="52"/>
      <c r="DB529" s="52"/>
    </row>
    <row r="530" spans="1:106" ht="94.5" x14ac:dyDescent="0.25">
      <c r="A530" s="411">
        <v>528</v>
      </c>
      <c r="B530" s="421" t="s">
        <v>4431</v>
      </c>
      <c r="C530" s="573" t="s">
        <v>4432</v>
      </c>
      <c r="D530" s="574" t="s">
        <v>445</v>
      </c>
      <c r="E530" s="80">
        <v>1</v>
      </c>
      <c r="F530" s="353">
        <v>1132447.078</v>
      </c>
      <c r="G530" s="293"/>
      <c r="H530" s="293"/>
      <c r="I530" s="293"/>
      <c r="J530" s="52"/>
      <c r="K530" s="52"/>
      <c r="L530" s="366"/>
      <c r="M530" s="360"/>
      <c r="N530" s="361"/>
      <c r="O530" s="33"/>
      <c r="P530" s="252"/>
      <c r="Q530" s="118"/>
      <c r="R530" s="118"/>
      <c r="S530" s="118"/>
      <c r="T530" s="52"/>
      <c r="U530" s="5"/>
      <c r="V530" s="231"/>
      <c r="W530" s="231"/>
      <c r="X530" s="231"/>
      <c r="Y530" s="118"/>
      <c r="Z530" s="363"/>
      <c r="AA530" s="118" t="s">
        <v>2877</v>
      </c>
      <c r="AB530" s="118"/>
      <c r="AC530" s="118"/>
      <c r="AD530" s="52"/>
      <c r="AE530" s="5"/>
      <c r="AF530" s="294"/>
      <c r="AG530" s="294"/>
      <c r="AH530" s="294"/>
      <c r="AI530" s="294"/>
      <c r="AJ530" s="294"/>
      <c r="AK530" s="118"/>
      <c r="AL530" s="118"/>
      <c r="AM530" s="118"/>
      <c r="AN530" s="118"/>
      <c r="AO530" s="118"/>
      <c r="AP530" s="52"/>
      <c r="AQ530" s="52"/>
      <c r="AR530" s="52"/>
      <c r="AS530" s="52"/>
      <c r="AT530" s="52"/>
      <c r="AU530" s="192"/>
      <c r="AV530" s="192"/>
      <c r="AW530" s="192"/>
      <c r="AX530" s="5"/>
      <c r="AY530" s="5"/>
      <c r="AZ530" s="118">
        <v>984000</v>
      </c>
      <c r="BA530" s="118">
        <v>186960</v>
      </c>
      <c r="BB530" s="118">
        <v>1170960</v>
      </c>
      <c r="BC530" s="52" t="s">
        <v>338</v>
      </c>
      <c r="BD530" s="52" t="s">
        <v>4433</v>
      </c>
      <c r="BE530" s="118"/>
      <c r="BF530" s="118"/>
      <c r="BG530" s="118"/>
      <c r="BH530" s="52"/>
      <c r="BI530" s="283"/>
      <c r="BJ530" s="52"/>
      <c r="BK530" s="52"/>
      <c r="BL530" s="52"/>
      <c r="BM530" s="52"/>
      <c r="BN530" s="52"/>
      <c r="BO530" s="52"/>
      <c r="BP530" s="52"/>
      <c r="BQ530" s="52"/>
      <c r="BR530" s="52"/>
      <c r="BS530" s="52"/>
      <c r="BT530" s="52"/>
      <c r="BU530" s="52"/>
      <c r="BV530" s="52"/>
      <c r="BW530" s="52"/>
      <c r="BX530" s="52"/>
      <c r="BY530" s="52"/>
      <c r="BZ530" s="52"/>
      <c r="CA530" s="52"/>
      <c r="CB530" s="52"/>
      <c r="CC530" s="52"/>
      <c r="CD530" s="118"/>
      <c r="CE530" s="52"/>
      <c r="CF530" s="52"/>
      <c r="CG530" s="52"/>
      <c r="CH530" s="52"/>
      <c r="CI530" s="52"/>
      <c r="CJ530" s="52"/>
      <c r="CK530" s="52"/>
      <c r="CL530" s="52"/>
      <c r="CM530" s="52"/>
      <c r="CN530" s="118"/>
      <c r="CO530" s="118"/>
      <c r="CP530" s="118"/>
      <c r="CQ530" s="52"/>
      <c r="CR530" s="52"/>
      <c r="CS530" s="52"/>
      <c r="CT530" s="52"/>
      <c r="CU530" s="52"/>
      <c r="CV530" s="52"/>
      <c r="CW530" s="52"/>
      <c r="CX530" s="52"/>
      <c r="CY530" s="52"/>
      <c r="CZ530" s="52"/>
      <c r="DA530" s="52"/>
      <c r="DB530" s="52"/>
    </row>
    <row r="531" spans="1:106" ht="162" x14ac:dyDescent="0.25">
      <c r="A531" s="411">
        <v>529</v>
      </c>
      <c r="B531" s="421" t="s">
        <v>4434</v>
      </c>
      <c r="C531" s="573" t="s">
        <v>622</v>
      </c>
      <c r="D531" s="574" t="s">
        <v>3209</v>
      </c>
      <c r="E531" s="80">
        <v>1</v>
      </c>
      <c r="F531" s="355">
        <v>862459.12160000007</v>
      </c>
      <c r="G531" s="293"/>
      <c r="H531" s="293"/>
      <c r="I531" s="293"/>
      <c r="J531" s="52"/>
      <c r="K531" s="52"/>
      <c r="L531" s="366"/>
      <c r="M531" s="360"/>
      <c r="N531" s="361"/>
      <c r="O531" s="33"/>
      <c r="P531" s="252"/>
      <c r="Q531" s="118"/>
      <c r="R531" s="118"/>
      <c r="S531" s="118"/>
      <c r="T531" s="52"/>
      <c r="U531" s="5"/>
      <c r="V531" s="231"/>
      <c r="W531" s="231"/>
      <c r="X531" s="231"/>
      <c r="Y531" s="118"/>
      <c r="Z531" s="363"/>
      <c r="AA531" s="118" t="s">
        <v>2877</v>
      </c>
      <c r="AB531" s="118"/>
      <c r="AC531" s="118"/>
      <c r="AD531" s="52"/>
      <c r="AE531" s="5"/>
      <c r="AF531" s="294"/>
      <c r="AG531" s="294"/>
      <c r="AH531" s="294"/>
      <c r="AI531" s="294"/>
      <c r="AJ531" s="294"/>
      <c r="AK531" s="118"/>
      <c r="AL531" s="118"/>
      <c r="AM531" s="118"/>
      <c r="AN531" s="118"/>
      <c r="AO531" s="118"/>
      <c r="AP531" s="52"/>
      <c r="AQ531" s="52"/>
      <c r="AR531" s="52"/>
      <c r="AS531" s="52"/>
      <c r="AT531" s="52"/>
      <c r="AU531" s="192"/>
      <c r="AV531" s="192"/>
      <c r="AW531" s="192"/>
      <c r="AX531" s="5"/>
      <c r="AY531" s="5"/>
      <c r="AZ531" s="118">
        <v>3294000</v>
      </c>
      <c r="BA531" s="118">
        <v>625860</v>
      </c>
      <c r="BB531" s="118">
        <v>3919860</v>
      </c>
      <c r="BC531" s="52" t="s">
        <v>338</v>
      </c>
      <c r="BD531" s="52" t="s">
        <v>4435</v>
      </c>
      <c r="BE531" s="118"/>
      <c r="BF531" s="118"/>
      <c r="BG531" s="118"/>
      <c r="BH531" s="52"/>
      <c r="BI531" s="283"/>
      <c r="BJ531" s="52"/>
      <c r="BK531" s="52"/>
      <c r="BL531" s="52"/>
      <c r="BM531" s="52"/>
      <c r="BN531" s="52"/>
      <c r="BO531" s="52"/>
      <c r="BP531" s="52"/>
      <c r="BQ531" s="52"/>
      <c r="BR531" s="52"/>
      <c r="BS531" s="52"/>
      <c r="BT531" s="52"/>
      <c r="BU531" s="52"/>
      <c r="BV531" s="52"/>
      <c r="BW531" s="52"/>
      <c r="BX531" s="52"/>
      <c r="BY531" s="52"/>
      <c r="BZ531" s="52"/>
      <c r="CA531" s="52"/>
      <c r="CB531" s="52"/>
      <c r="CC531" s="52"/>
      <c r="CD531" s="118"/>
      <c r="CE531" s="52"/>
      <c r="CF531" s="52"/>
      <c r="CG531" s="52"/>
      <c r="CH531" s="52"/>
      <c r="CI531" s="52"/>
      <c r="CJ531" s="52"/>
      <c r="CK531" s="52"/>
      <c r="CL531" s="52"/>
      <c r="CM531" s="52"/>
      <c r="CN531" s="118"/>
      <c r="CO531" s="118"/>
      <c r="CP531" s="118"/>
      <c r="CQ531" s="52"/>
      <c r="CR531" s="52"/>
      <c r="CS531" s="52"/>
      <c r="CT531" s="52"/>
      <c r="CU531" s="52"/>
      <c r="CV531" s="52"/>
      <c r="CW531" s="52"/>
      <c r="CX531" s="52"/>
      <c r="CY531" s="52"/>
      <c r="CZ531" s="52"/>
      <c r="DA531" s="52"/>
      <c r="DB531" s="52"/>
    </row>
    <row r="532" spans="1:106" ht="108" x14ac:dyDescent="0.25">
      <c r="A532" s="411">
        <v>530</v>
      </c>
      <c r="B532" s="422" t="s">
        <v>4436</v>
      </c>
      <c r="C532" s="573" t="s">
        <v>622</v>
      </c>
      <c r="D532" s="574" t="s">
        <v>3209</v>
      </c>
      <c r="E532" s="80">
        <v>1</v>
      </c>
      <c r="F532" s="353">
        <v>764810.26300000004</v>
      </c>
      <c r="G532" s="293"/>
      <c r="H532" s="293"/>
      <c r="I532" s="293"/>
      <c r="J532" s="52"/>
      <c r="K532" s="52"/>
      <c r="L532" s="366"/>
      <c r="M532" s="360"/>
      <c r="N532" s="361"/>
      <c r="O532" s="33"/>
      <c r="P532" s="252"/>
      <c r="Q532" s="118"/>
      <c r="R532" s="118"/>
      <c r="S532" s="118"/>
      <c r="T532" s="52"/>
      <c r="U532" s="5"/>
      <c r="V532" s="231"/>
      <c r="W532" s="231"/>
      <c r="X532" s="231"/>
      <c r="Y532" s="118"/>
      <c r="Z532" s="363"/>
      <c r="AA532" s="118" t="s">
        <v>2877</v>
      </c>
      <c r="AB532" s="118"/>
      <c r="AC532" s="118"/>
      <c r="AD532" s="52"/>
      <c r="AE532" s="5"/>
      <c r="AF532" s="294"/>
      <c r="AG532" s="294"/>
      <c r="AH532" s="294"/>
      <c r="AI532" s="294"/>
      <c r="AJ532" s="294"/>
      <c r="AK532" s="118"/>
      <c r="AL532" s="118"/>
      <c r="AM532" s="118"/>
      <c r="AN532" s="118"/>
      <c r="AO532" s="118"/>
      <c r="AP532" s="52"/>
      <c r="AQ532" s="52"/>
      <c r="AR532" s="52"/>
      <c r="AS532" s="52"/>
      <c r="AT532" s="52"/>
      <c r="AU532" s="192"/>
      <c r="AV532" s="192"/>
      <c r="AW532" s="192"/>
      <c r="AX532" s="5"/>
      <c r="AY532" s="5"/>
      <c r="AZ532" s="118">
        <v>2927000</v>
      </c>
      <c r="BA532" s="118">
        <v>556130</v>
      </c>
      <c r="BB532" s="118">
        <v>3483130</v>
      </c>
      <c r="BC532" s="52" t="s">
        <v>338</v>
      </c>
      <c r="BD532" s="52" t="s">
        <v>4435</v>
      </c>
      <c r="BE532" s="118"/>
      <c r="BF532" s="118"/>
      <c r="BG532" s="118"/>
      <c r="BH532" s="52"/>
      <c r="BI532" s="283"/>
      <c r="BJ532" s="52"/>
      <c r="BK532" s="52"/>
      <c r="BL532" s="52"/>
      <c r="BM532" s="52"/>
      <c r="BN532" s="52"/>
      <c r="BO532" s="52"/>
      <c r="BP532" s="52"/>
      <c r="BQ532" s="52"/>
      <c r="BR532" s="52"/>
      <c r="BS532" s="52"/>
      <c r="BT532" s="52"/>
      <c r="BU532" s="52"/>
      <c r="BV532" s="52"/>
      <c r="BW532" s="52"/>
      <c r="BX532" s="52"/>
      <c r="BY532" s="52"/>
      <c r="BZ532" s="52"/>
      <c r="CA532" s="52"/>
      <c r="CB532" s="52"/>
      <c r="CC532" s="52"/>
      <c r="CD532" s="118"/>
      <c r="CE532" s="52"/>
      <c r="CF532" s="52"/>
      <c r="CG532" s="52"/>
      <c r="CH532" s="52"/>
      <c r="CI532" s="52"/>
      <c r="CJ532" s="52"/>
      <c r="CK532" s="52"/>
      <c r="CL532" s="52"/>
      <c r="CM532" s="52"/>
      <c r="CN532" s="118"/>
      <c r="CO532" s="118"/>
      <c r="CP532" s="118"/>
      <c r="CQ532" s="52"/>
      <c r="CR532" s="52"/>
      <c r="CS532" s="52"/>
      <c r="CT532" s="52"/>
      <c r="CU532" s="52"/>
      <c r="CV532" s="52"/>
      <c r="CW532" s="52"/>
      <c r="CX532" s="52"/>
      <c r="CY532" s="52"/>
      <c r="CZ532" s="52"/>
      <c r="DA532" s="52"/>
      <c r="DB532" s="52"/>
    </row>
    <row r="533" spans="1:106" ht="54" x14ac:dyDescent="0.25">
      <c r="A533" s="411">
        <v>531</v>
      </c>
      <c r="B533" s="421" t="s">
        <v>4437</v>
      </c>
      <c r="C533" s="565" t="s">
        <v>622</v>
      </c>
      <c r="D533" s="572" t="s">
        <v>445</v>
      </c>
      <c r="E533" s="80">
        <v>1</v>
      </c>
      <c r="F533" s="353">
        <v>1097071.7714</v>
      </c>
      <c r="G533" s="293"/>
      <c r="H533" s="293"/>
      <c r="I533" s="293"/>
      <c r="J533" s="52"/>
      <c r="K533" s="52"/>
      <c r="L533" s="366"/>
      <c r="M533" s="360"/>
      <c r="N533" s="361"/>
      <c r="O533" s="33"/>
      <c r="P533" s="252"/>
      <c r="Q533" s="118"/>
      <c r="R533" s="118"/>
      <c r="S533" s="118"/>
      <c r="T533" s="52"/>
      <c r="U533" s="5"/>
      <c r="V533" s="231"/>
      <c r="W533" s="231"/>
      <c r="X533" s="231"/>
      <c r="Y533" s="118"/>
      <c r="Z533" s="363"/>
      <c r="AA533" s="118" t="s">
        <v>2877</v>
      </c>
      <c r="AB533" s="118"/>
      <c r="AC533" s="118"/>
      <c r="AD533" s="52"/>
      <c r="AE533" s="5"/>
      <c r="AF533" s="294"/>
      <c r="AG533" s="294"/>
      <c r="AH533" s="294"/>
      <c r="AI533" s="294"/>
      <c r="AJ533" s="294"/>
      <c r="AK533" s="118"/>
      <c r="AL533" s="118"/>
      <c r="AM533" s="118"/>
      <c r="AN533" s="118"/>
      <c r="AO533" s="118"/>
      <c r="AP533" s="52"/>
      <c r="AQ533" s="52"/>
      <c r="AR533" s="52"/>
      <c r="AS533" s="52"/>
      <c r="AT533" s="52"/>
      <c r="AU533" s="192"/>
      <c r="AV533" s="192"/>
      <c r="AW533" s="192"/>
      <c r="AX533" s="5"/>
      <c r="AY533" s="5"/>
      <c r="AZ533" s="118">
        <v>964000</v>
      </c>
      <c r="BA533" s="118">
        <v>183160</v>
      </c>
      <c r="BB533" s="118">
        <v>1147160</v>
      </c>
      <c r="BC533" s="52" t="s">
        <v>338</v>
      </c>
      <c r="BD533" s="52" t="s">
        <v>4433</v>
      </c>
      <c r="BE533" s="118"/>
      <c r="BF533" s="118"/>
      <c r="BG533" s="118"/>
      <c r="BH533" s="52"/>
      <c r="BI533" s="283"/>
      <c r="BJ533" s="52"/>
      <c r="BK533" s="52"/>
      <c r="BL533" s="52"/>
      <c r="BM533" s="52"/>
      <c r="BN533" s="52"/>
      <c r="BO533" s="52"/>
      <c r="BP533" s="52"/>
      <c r="BQ533" s="52"/>
      <c r="BR533" s="52"/>
      <c r="BS533" s="52"/>
      <c r="BT533" s="52"/>
      <c r="BU533" s="52"/>
      <c r="BV533" s="52"/>
      <c r="BW533" s="52"/>
      <c r="BX533" s="52"/>
      <c r="BY533" s="52"/>
      <c r="BZ533" s="52"/>
      <c r="CA533" s="52"/>
      <c r="CB533" s="52"/>
      <c r="CC533" s="52"/>
      <c r="CD533" s="118"/>
      <c r="CE533" s="52"/>
      <c r="CF533" s="52"/>
      <c r="CG533" s="52"/>
      <c r="CH533" s="52"/>
      <c r="CI533" s="52"/>
      <c r="CJ533" s="52"/>
      <c r="CK533" s="52"/>
      <c r="CL533" s="52"/>
      <c r="CM533" s="52"/>
      <c r="CN533" s="118"/>
      <c r="CO533" s="118"/>
      <c r="CP533" s="118"/>
      <c r="CQ533" s="52"/>
      <c r="CR533" s="52"/>
      <c r="CS533" s="52"/>
      <c r="CT533" s="52"/>
      <c r="CU533" s="52"/>
      <c r="CV533" s="52"/>
      <c r="CW533" s="52"/>
      <c r="CX533" s="52"/>
      <c r="CY533" s="52"/>
      <c r="CZ533" s="52"/>
      <c r="DA533" s="52"/>
      <c r="DB533" s="52"/>
    </row>
    <row r="534" spans="1:106" ht="189" x14ac:dyDescent="0.25">
      <c r="A534" s="411">
        <v>532</v>
      </c>
      <c r="B534" s="421" t="s">
        <v>4438</v>
      </c>
      <c r="C534" s="573" t="s">
        <v>622</v>
      </c>
      <c r="D534" s="574" t="s">
        <v>445</v>
      </c>
      <c r="E534" s="80">
        <v>1</v>
      </c>
      <c r="F534" s="353">
        <v>4558285.6442</v>
      </c>
      <c r="G534" s="293"/>
      <c r="H534" s="293"/>
      <c r="I534" s="293"/>
      <c r="J534" s="52"/>
      <c r="K534" s="52"/>
      <c r="L534" s="366"/>
      <c r="M534" s="360"/>
      <c r="N534" s="361"/>
      <c r="O534" s="33"/>
      <c r="P534" s="252"/>
      <c r="Q534" s="118"/>
      <c r="R534" s="118"/>
      <c r="S534" s="118"/>
      <c r="T534" s="52"/>
      <c r="U534" s="5"/>
      <c r="V534" s="231"/>
      <c r="W534" s="231"/>
      <c r="X534" s="231"/>
      <c r="Y534" s="118"/>
      <c r="Z534" s="363"/>
      <c r="AA534" s="118" t="s">
        <v>2877</v>
      </c>
      <c r="AB534" s="118"/>
      <c r="AC534" s="118"/>
      <c r="AD534" s="52"/>
      <c r="AE534" s="5"/>
      <c r="AF534" s="294"/>
      <c r="AG534" s="294"/>
      <c r="AH534" s="294"/>
      <c r="AI534" s="294"/>
      <c r="AJ534" s="294"/>
      <c r="AK534" s="118"/>
      <c r="AL534" s="118"/>
      <c r="AM534" s="118"/>
      <c r="AN534" s="118"/>
      <c r="AO534" s="118"/>
      <c r="AP534" s="52"/>
      <c r="AQ534" s="52"/>
      <c r="AR534" s="52"/>
      <c r="AS534" s="52"/>
      <c r="AT534" s="52"/>
      <c r="AU534" s="192"/>
      <c r="AV534" s="192"/>
      <c r="AW534" s="192"/>
      <c r="AX534" s="5"/>
      <c r="AY534" s="5"/>
      <c r="AZ534" s="118">
        <v>2245000</v>
      </c>
      <c r="BA534" s="118">
        <v>426550</v>
      </c>
      <c r="BB534" s="118">
        <v>2671550</v>
      </c>
      <c r="BC534" s="52" t="s">
        <v>4439</v>
      </c>
      <c r="BD534" s="52" t="s">
        <v>4440</v>
      </c>
      <c r="BE534" s="118"/>
      <c r="BF534" s="118"/>
      <c r="BG534" s="118"/>
      <c r="BH534" s="52"/>
      <c r="BI534" s="283"/>
      <c r="BJ534" s="52"/>
      <c r="BK534" s="52"/>
      <c r="BL534" s="52"/>
      <c r="BM534" s="52"/>
      <c r="BN534" s="52"/>
      <c r="BO534" s="52"/>
      <c r="BP534" s="52"/>
      <c r="BQ534" s="52"/>
      <c r="BR534" s="52"/>
      <c r="BS534" s="52"/>
      <c r="BT534" s="52"/>
      <c r="BU534" s="52"/>
      <c r="BV534" s="52"/>
      <c r="BW534" s="52"/>
      <c r="BX534" s="52"/>
      <c r="BY534" s="52"/>
      <c r="BZ534" s="52"/>
      <c r="CA534" s="52"/>
      <c r="CB534" s="52"/>
      <c r="CC534" s="52"/>
      <c r="CD534" s="118"/>
      <c r="CE534" s="52"/>
      <c r="CF534" s="52"/>
      <c r="CG534" s="52"/>
      <c r="CH534" s="52"/>
      <c r="CI534" s="52"/>
      <c r="CJ534" s="52"/>
      <c r="CK534" s="52"/>
      <c r="CL534" s="52"/>
      <c r="CM534" s="52"/>
      <c r="CN534" s="118"/>
      <c r="CO534" s="118"/>
      <c r="CP534" s="118"/>
      <c r="CQ534" s="52"/>
      <c r="CR534" s="52"/>
      <c r="CS534" s="52"/>
      <c r="CT534" s="52"/>
      <c r="CU534" s="52"/>
      <c r="CV534" s="52"/>
      <c r="CW534" s="52"/>
      <c r="CX534" s="52"/>
      <c r="CY534" s="52"/>
      <c r="CZ534" s="52"/>
      <c r="DA534" s="52"/>
      <c r="DB534" s="52"/>
    </row>
    <row r="535" spans="1:106" ht="13.5" x14ac:dyDescent="0.25">
      <c r="A535" s="411">
        <v>533</v>
      </c>
      <c r="B535" s="410" t="s">
        <v>4441</v>
      </c>
      <c r="C535" s="573" t="s">
        <v>622</v>
      </c>
      <c r="D535" s="575" t="s">
        <v>445</v>
      </c>
      <c r="E535" s="80">
        <v>1</v>
      </c>
      <c r="F535" s="80"/>
      <c r="G535" s="293">
        <v>30000</v>
      </c>
      <c r="H535" s="293">
        <v>5700</v>
      </c>
      <c r="I535" s="293">
        <v>35700</v>
      </c>
      <c r="J535" s="52" t="s">
        <v>3244</v>
      </c>
      <c r="K535" s="52" t="s">
        <v>4442</v>
      </c>
      <c r="L535" s="366"/>
      <c r="M535" s="360"/>
      <c r="N535" s="361"/>
      <c r="O535" s="33"/>
      <c r="P535" s="252"/>
      <c r="Q535" s="118"/>
      <c r="R535" s="118"/>
      <c r="S535" s="118"/>
      <c r="T535" s="52"/>
      <c r="U535" s="5"/>
      <c r="V535" s="231"/>
      <c r="W535" s="231"/>
      <c r="X535" s="231"/>
      <c r="Y535" s="118"/>
      <c r="Z535" s="363"/>
      <c r="AA535" s="118" t="s">
        <v>2877</v>
      </c>
      <c r="AB535" s="118"/>
      <c r="AC535" s="118"/>
      <c r="AD535" s="52"/>
      <c r="AE535" s="5"/>
      <c r="AF535" s="294"/>
      <c r="AG535" s="294"/>
      <c r="AH535" s="294"/>
      <c r="AI535" s="294"/>
      <c r="AJ535" s="294"/>
      <c r="AK535" s="118"/>
      <c r="AL535" s="118"/>
      <c r="AM535" s="118"/>
      <c r="AN535" s="118"/>
      <c r="AO535" s="118"/>
      <c r="AP535" s="52"/>
      <c r="AQ535" s="52"/>
      <c r="AR535" s="52"/>
      <c r="AS535" s="52"/>
      <c r="AT535" s="52"/>
      <c r="AU535" s="192"/>
      <c r="AV535" s="192"/>
      <c r="AW535" s="192"/>
      <c r="AX535" s="5"/>
      <c r="AY535" s="5"/>
      <c r="AZ535" s="118"/>
      <c r="BA535" s="118"/>
      <c r="BB535" s="118"/>
      <c r="BC535" s="52"/>
      <c r="BD535" s="52"/>
      <c r="BE535" s="118"/>
      <c r="BF535" s="118"/>
      <c r="BG535" s="118"/>
      <c r="BH535" s="52"/>
      <c r="BI535" s="283"/>
      <c r="BJ535" s="52"/>
      <c r="BK535" s="52"/>
      <c r="BL535" s="52"/>
      <c r="BM535" s="52"/>
      <c r="BN535" s="52"/>
      <c r="BO535" s="52"/>
      <c r="BP535" s="52"/>
      <c r="BQ535" s="52"/>
      <c r="BR535" s="52"/>
      <c r="BS535" s="52"/>
      <c r="BT535" s="52"/>
      <c r="BU535" s="52"/>
      <c r="BV535" s="52"/>
      <c r="BW535" s="52"/>
      <c r="BX535" s="52"/>
      <c r="BY535" s="52"/>
      <c r="BZ535" s="52"/>
      <c r="CA535" s="52"/>
      <c r="CB535" s="52"/>
      <c r="CC535" s="52"/>
      <c r="CD535" s="118"/>
      <c r="CE535" s="52"/>
      <c r="CF535" s="52"/>
      <c r="CG535" s="52"/>
      <c r="CH535" s="52"/>
      <c r="CI535" s="52"/>
      <c r="CJ535" s="52"/>
      <c r="CK535" s="52"/>
      <c r="CL535" s="52"/>
      <c r="CM535" s="52"/>
      <c r="CN535" s="118"/>
      <c r="CO535" s="118"/>
      <c r="CP535" s="118"/>
      <c r="CQ535" s="52"/>
      <c r="CR535" s="52"/>
      <c r="CS535" s="52"/>
      <c r="CT535" s="52"/>
      <c r="CU535" s="52"/>
      <c r="CV535" s="52"/>
      <c r="CW535" s="52"/>
      <c r="CX535" s="52"/>
      <c r="CY535" s="52"/>
      <c r="CZ535" s="52"/>
      <c r="DA535" s="52"/>
      <c r="DB535" s="52"/>
    </row>
    <row r="536" spans="1:106" ht="175.5" x14ac:dyDescent="0.25">
      <c r="A536" s="411">
        <v>534</v>
      </c>
      <c r="B536" s="421" t="s">
        <v>4443</v>
      </c>
      <c r="C536" s="573" t="s">
        <v>622</v>
      </c>
      <c r="D536" s="576" t="s">
        <v>445</v>
      </c>
      <c r="E536" s="80">
        <v>1</v>
      </c>
      <c r="F536" s="353">
        <v>894420.78980000003</v>
      </c>
      <c r="G536" s="293"/>
      <c r="H536" s="293"/>
      <c r="I536" s="293"/>
      <c r="J536" s="52"/>
      <c r="K536" s="52"/>
      <c r="L536" s="366"/>
      <c r="M536" s="360"/>
      <c r="N536" s="361"/>
      <c r="O536" s="33"/>
      <c r="P536" s="252"/>
      <c r="Q536" s="118"/>
      <c r="R536" s="118"/>
      <c r="S536" s="118"/>
      <c r="T536" s="52"/>
      <c r="U536" s="5"/>
      <c r="V536" s="231"/>
      <c r="W536" s="231"/>
      <c r="X536" s="231"/>
      <c r="Y536" s="118"/>
      <c r="Z536" s="363"/>
      <c r="AA536" s="118" t="s">
        <v>2877</v>
      </c>
      <c r="AB536" s="118"/>
      <c r="AC536" s="118"/>
      <c r="AD536" s="52"/>
      <c r="AE536" s="5"/>
      <c r="AF536" s="294"/>
      <c r="AG536" s="294"/>
      <c r="AH536" s="294"/>
      <c r="AI536" s="294"/>
      <c r="AJ536" s="294"/>
      <c r="AK536" s="118"/>
      <c r="AL536" s="118"/>
      <c r="AM536" s="118"/>
      <c r="AN536" s="118"/>
      <c r="AO536" s="118"/>
      <c r="AP536" s="52"/>
      <c r="AQ536" s="52"/>
      <c r="AR536" s="52"/>
      <c r="AS536" s="52"/>
      <c r="AT536" s="52"/>
      <c r="AU536" s="192"/>
      <c r="AV536" s="192"/>
      <c r="AW536" s="192"/>
      <c r="AX536" s="5"/>
      <c r="AY536" s="5"/>
      <c r="AZ536" s="118">
        <v>15962000</v>
      </c>
      <c r="BA536" s="118">
        <v>3032780</v>
      </c>
      <c r="BB536" s="118">
        <v>18994780</v>
      </c>
      <c r="BC536" s="52" t="s">
        <v>4444</v>
      </c>
      <c r="BD536" s="52" t="s">
        <v>4445</v>
      </c>
      <c r="BE536" s="118"/>
      <c r="BF536" s="118"/>
      <c r="BG536" s="118"/>
      <c r="BH536" s="52"/>
      <c r="BI536" s="283"/>
      <c r="BJ536" s="52"/>
      <c r="BK536" s="52"/>
      <c r="BL536" s="52"/>
      <c r="BM536" s="52"/>
      <c r="BN536" s="52"/>
      <c r="BO536" s="52"/>
      <c r="BP536" s="52"/>
      <c r="BQ536" s="52"/>
      <c r="BR536" s="52"/>
      <c r="BS536" s="52"/>
      <c r="BT536" s="52"/>
      <c r="BU536" s="52"/>
      <c r="BV536" s="52"/>
      <c r="BW536" s="52"/>
      <c r="BX536" s="52"/>
      <c r="BY536" s="52"/>
      <c r="BZ536" s="52"/>
      <c r="CA536" s="52"/>
      <c r="CB536" s="52"/>
      <c r="CC536" s="52"/>
      <c r="CD536" s="118"/>
      <c r="CE536" s="52"/>
      <c r="CF536" s="52"/>
      <c r="CG536" s="52"/>
      <c r="CH536" s="52"/>
      <c r="CI536" s="52"/>
      <c r="CJ536" s="52"/>
      <c r="CK536" s="52"/>
      <c r="CL536" s="52"/>
      <c r="CM536" s="52"/>
      <c r="CN536" s="118"/>
      <c r="CO536" s="118"/>
      <c r="CP536" s="118"/>
      <c r="CQ536" s="52"/>
      <c r="CR536" s="52"/>
      <c r="CS536" s="52"/>
      <c r="CT536" s="52"/>
      <c r="CU536" s="52"/>
      <c r="CV536" s="52"/>
      <c r="CW536" s="52"/>
      <c r="CX536" s="52"/>
      <c r="CY536" s="52"/>
      <c r="CZ536" s="52"/>
      <c r="DA536" s="52"/>
      <c r="DB536" s="52"/>
    </row>
    <row r="537" spans="1:106" ht="27" x14ac:dyDescent="0.25">
      <c r="A537" s="411">
        <v>535</v>
      </c>
      <c r="B537" s="421" t="s">
        <v>4446</v>
      </c>
      <c r="C537" s="573" t="s">
        <v>622</v>
      </c>
      <c r="D537" s="576" t="s">
        <v>445</v>
      </c>
      <c r="E537" s="80">
        <v>1</v>
      </c>
      <c r="F537" s="353">
        <v>1024355.5700000001</v>
      </c>
      <c r="G537" s="293"/>
      <c r="H537" s="293"/>
      <c r="I537" s="293"/>
      <c r="J537" s="52"/>
      <c r="K537" s="52"/>
      <c r="L537" s="366"/>
      <c r="M537" s="360"/>
      <c r="N537" s="361"/>
      <c r="O537" s="33"/>
      <c r="P537" s="252"/>
      <c r="Q537" s="118"/>
      <c r="R537" s="118"/>
      <c r="S537" s="118"/>
      <c r="T537" s="52"/>
      <c r="U537" s="5"/>
      <c r="V537" s="231"/>
      <c r="W537" s="231"/>
      <c r="X537" s="231"/>
      <c r="Y537" s="118"/>
      <c r="Z537" s="363"/>
      <c r="AA537" s="118" t="s">
        <v>2877</v>
      </c>
      <c r="AB537" s="118"/>
      <c r="AC537" s="118"/>
      <c r="AD537" s="52"/>
      <c r="AE537" s="5"/>
      <c r="AF537" s="294"/>
      <c r="AG537" s="294"/>
      <c r="AH537" s="294"/>
      <c r="AI537" s="294"/>
      <c r="AJ537" s="294"/>
      <c r="AK537" s="118"/>
      <c r="AL537" s="118"/>
      <c r="AM537" s="118"/>
      <c r="AN537" s="118"/>
      <c r="AO537" s="118"/>
      <c r="AP537" s="52"/>
      <c r="AQ537" s="52"/>
      <c r="AR537" s="52"/>
      <c r="AS537" s="52"/>
      <c r="AT537" s="52"/>
      <c r="AU537" s="192"/>
      <c r="AV537" s="192"/>
      <c r="AW537" s="192"/>
      <c r="AX537" s="5"/>
      <c r="AY537" s="5"/>
      <c r="AZ537" s="118">
        <v>360000</v>
      </c>
      <c r="BA537" s="118">
        <v>68400</v>
      </c>
      <c r="BB537" s="118">
        <v>428400</v>
      </c>
      <c r="BC537" s="52"/>
      <c r="BD537" s="52" t="s">
        <v>4447</v>
      </c>
      <c r="BE537" s="118"/>
      <c r="BF537" s="118"/>
      <c r="BG537" s="118"/>
      <c r="BH537" s="52"/>
      <c r="BI537" s="283"/>
      <c r="BJ537" s="52"/>
      <c r="BK537" s="52"/>
      <c r="BL537" s="52"/>
      <c r="BM537" s="52"/>
      <c r="BN537" s="52"/>
      <c r="BO537" s="52"/>
      <c r="BP537" s="52"/>
      <c r="BQ537" s="52"/>
      <c r="BR537" s="52"/>
      <c r="BS537" s="52"/>
      <c r="BT537" s="52"/>
      <c r="BU537" s="52"/>
      <c r="BV537" s="52"/>
      <c r="BW537" s="52"/>
      <c r="BX537" s="52"/>
      <c r="BY537" s="52"/>
      <c r="BZ537" s="52"/>
      <c r="CA537" s="52"/>
      <c r="CB537" s="52"/>
      <c r="CC537" s="52"/>
      <c r="CD537" s="118"/>
      <c r="CE537" s="52"/>
      <c r="CF537" s="52"/>
      <c r="CG537" s="52"/>
      <c r="CH537" s="52"/>
      <c r="CI537" s="52"/>
      <c r="CJ537" s="52"/>
      <c r="CK537" s="52"/>
      <c r="CL537" s="52"/>
      <c r="CM537" s="52"/>
      <c r="CN537" s="118"/>
      <c r="CO537" s="118"/>
      <c r="CP537" s="118"/>
      <c r="CQ537" s="52"/>
      <c r="CR537" s="52"/>
      <c r="CS537" s="52"/>
      <c r="CT537" s="52"/>
      <c r="CU537" s="52"/>
      <c r="CV537" s="52"/>
      <c r="CW537" s="52"/>
      <c r="CX537" s="52"/>
      <c r="CY537" s="52"/>
      <c r="CZ537" s="52"/>
      <c r="DA537" s="52"/>
      <c r="DB537" s="52"/>
    </row>
    <row r="538" spans="1:106" ht="256.5" x14ac:dyDescent="0.25">
      <c r="A538" s="411">
        <v>536</v>
      </c>
      <c r="B538" s="412" t="s">
        <v>4448</v>
      </c>
      <c r="C538" s="565" t="s">
        <v>622</v>
      </c>
      <c r="D538" s="572" t="s">
        <v>445</v>
      </c>
      <c r="E538" s="80">
        <v>1</v>
      </c>
      <c r="F538" s="353">
        <v>870291.90080000006</v>
      </c>
      <c r="G538" s="293"/>
      <c r="H538" s="293"/>
      <c r="I538" s="293"/>
      <c r="J538" s="52"/>
      <c r="K538" s="52"/>
      <c r="L538" s="366"/>
      <c r="M538" s="360"/>
      <c r="N538" s="361"/>
      <c r="O538" s="33"/>
      <c r="P538" s="252"/>
      <c r="Q538" s="118"/>
      <c r="R538" s="118"/>
      <c r="S538" s="118"/>
      <c r="T538" s="52"/>
      <c r="U538" s="5"/>
      <c r="V538" s="231"/>
      <c r="W538" s="231"/>
      <c r="X538" s="231"/>
      <c r="Y538" s="118"/>
      <c r="Z538" s="363"/>
      <c r="AA538" s="118" t="s">
        <v>2877</v>
      </c>
      <c r="AB538" s="118"/>
      <c r="AC538" s="118"/>
      <c r="AD538" s="52"/>
      <c r="AE538" s="5"/>
      <c r="AF538" s="294"/>
      <c r="AG538" s="294"/>
      <c r="AH538" s="294"/>
      <c r="AI538" s="294"/>
      <c r="AJ538" s="294"/>
      <c r="AK538" s="118"/>
      <c r="AL538" s="118"/>
      <c r="AM538" s="118"/>
      <c r="AN538" s="118"/>
      <c r="AO538" s="118"/>
      <c r="AP538" s="52"/>
      <c r="AQ538" s="52"/>
      <c r="AR538" s="52"/>
      <c r="AS538" s="52"/>
      <c r="AT538" s="52"/>
      <c r="AU538" s="192"/>
      <c r="AV538" s="192"/>
      <c r="AW538" s="192"/>
      <c r="AX538" s="5"/>
      <c r="AY538" s="5"/>
      <c r="AZ538" s="118"/>
      <c r="BA538" s="118"/>
      <c r="BB538" s="118"/>
      <c r="BC538" s="52"/>
      <c r="BD538" s="52"/>
      <c r="BE538" s="118"/>
      <c r="BF538" s="118"/>
      <c r="BG538" s="118"/>
      <c r="BH538" s="52"/>
      <c r="BI538" s="283"/>
      <c r="BJ538" s="52"/>
      <c r="BK538" s="52"/>
      <c r="BL538" s="52"/>
      <c r="BM538" s="52"/>
      <c r="BN538" s="52"/>
      <c r="BO538" s="52"/>
      <c r="BP538" s="52"/>
      <c r="BQ538" s="52"/>
      <c r="BR538" s="52"/>
      <c r="BS538" s="52"/>
      <c r="BT538" s="52"/>
      <c r="BU538" s="52"/>
      <c r="BV538" s="52"/>
      <c r="BW538" s="52"/>
      <c r="BX538" s="52"/>
      <c r="BY538" s="52"/>
      <c r="BZ538" s="52"/>
      <c r="CA538" s="52"/>
      <c r="CB538" s="52"/>
      <c r="CC538" s="52"/>
      <c r="CD538" s="118"/>
      <c r="CE538" s="52"/>
      <c r="CF538" s="52"/>
      <c r="CG538" s="52"/>
      <c r="CH538" s="52"/>
      <c r="CI538" s="52"/>
      <c r="CJ538" s="52"/>
      <c r="CK538" s="52"/>
      <c r="CL538" s="52"/>
      <c r="CM538" s="52"/>
      <c r="CN538" s="118"/>
      <c r="CO538" s="118"/>
      <c r="CP538" s="118"/>
      <c r="CQ538" s="52"/>
      <c r="CR538" s="52"/>
      <c r="CS538" s="52"/>
      <c r="CT538" s="52"/>
      <c r="CU538" s="52"/>
      <c r="CV538" s="52"/>
      <c r="CW538" s="52"/>
      <c r="CX538" s="52"/>
      <c r="CY538" s="52"/>
      <c r="CZ538" s="52"/>
      <c r="DA538" s="52"/>
      <c r="DB538" s="52"/>
    </row>
    <row r="539" spans="1:106" ht="54" x14ac:dyDescent="0.25">
      <c r="A539" s="411">
        <v>537</v>
      </c>
      <c r="B539" s="421" t="s">
        <v>4449</v>
      </c>
      <c r="C539" s="573" t="s">
        <v>4450</v>
      </c>
      <c r="D539" s="574" t="s">
        <v>445</v>
      </c>
      <c r="E539" s="80">
        <v>1</v>
      </c>
      <c r="F539" s="353">
        <v>986649.23</v>
      </c>
      <c r="G539" s="293"/>
      <c r="H539" s="293"/>
      <c r="I539" s="293"/>
      <c r="J539" s="52"/>
      <c r="K539" s="52"/>
      <c r="L539" s="366"/>
      <c r="M539" s="360"/>
      <c r="N539" s="361"/>
      <c r="O539" s="33"/>
      <c r="P539" s="252"/>
      <c r="Q539" s="118"/>
      <c r="R539" s="118"/>
      <c r="S539" s="118"/>
      <c r="T539" s="52"/>
      <c r="U539" s="5"/>
      <c r="V539" s="231"/>
      <c r="W539" s="231"/>
      <c r="X539" s="231"/>
      <c r="Y539" s="118"/>
      <c r="Z539" s="363"/>
      <c r="AA539" s="118" t="s">
        <v>2877</v>
      </c>
      <c r="AB539" s="118"/>
      <c r="AC539" s="118"/>
      <c r="AD539" s="52"/>
      <c r="AE539" s="5"/>
      <c r="AF539" s="294"/>
      <c r="AG539" s="294"/>
      <c r="AH539" s="294"/>
      <c r="AI539" s="294"/>
      <c r="AJ539" s="294"/>
      <c r="AK539" s="118"/>
      <c r="AL539" s="118"/>
      <c r="AM539" s="118"/>
      <c r="AN539" s="118"/>
      <c r="AO539" s="118"/>
      <c r="AP539" s="52"/>
      <c r="AQ539" s="52"/>
      <c r="AR539" s="52"/>
      <c r="AS539" s="52"/>
      <c r="AT539" s="52"/>
      <c r="AU539" s="192"/>
      <c r="AV539" s="192"/>
      <c r="AW539" s="192"/>
      <c r="AX539" s="5"/>
      <c r="AY539" s="5"/>
      <c r="AZ539" s="118">
        <v>3230000</v>
      </c>
      <c r="BA539" s="118">
        <v>613700</v>
      </c>
      <c r="BB539" s="118">
        <v>3843700</v>
      </c>
      <c r="BC539" s="52" t="s">
        <v>338</v>
      </c>
      <c r="BD539" s="52" t="s">
        <v>4451</v>
      </c>
      <c r="BE539" s="118"/>
      <c r="BF539" s="118"/>
      <c r="BG539" s="118"/>
      <c r="BH539" s="52"/>
      <c r="BI539" s="283"/>
      <c r="BJ539" s="52"/>
      <c r="BK539" s="52"/>
      <c r="BL539" s="52"/>
      <c r="BM539" s="52"/>
      <c r="BN539" s="52"/>
      <c r="BO539" s="52"/>
      <c r="BP539" s="52"/>
      <c r="BQ539" s="52"/>
      <c r="BR539" s="52"/>
      <c r="BS539" s="52"/>
      <c r="BT539" s="52"/>
      <c r="BU539" s="52"/>
      <c r="BV539" s="52"/>
      <c r="BW539" s="52"/>
      <c r="BX539" s="52"/>
      <c r="BY539" s="52"/>
      <c r="BZ539" s="52"/>
      <c r="CA539" s="52"/>
      <c r="CB539" s="52"/>
      <c r="CC539" s="52"/>
      <c r="CD539" s="118"/>
      <c r="CE539" s="52"/>
      <c r="CF539" s="52"/>
      <c r="CG539" s="52"/>
      <c r="CH539" s="52"/>
      <c r="CI539" s="52"/>
      <c r="CJ539" s="52"/>
      <c r="CK539" s="52"/>
      <c r="CL539" s="52"/>
      <c r="CM539" s="52"/>
      <c r="CN539" s="118"/>
      <c r="CO539" s="118"/>
      <c r="CP539" s="118"/>
      <c r="CQ539" s="52"/>
      <c r="CR539" s="52"/>
      <c r="CS539" s="52"/>
      <c r="CT539" s="52"/>
      <c r="CU539" s="52"/>
      <c r="CV539" s="52"/>
      <c r="CW539" s="52"/>
      <c r="CX539" s="52"/>
      <c r="CY539" s="52"/>
      <c r="CZ539" s="52"/>
      <c r="DA539" s="52"/>
      <c r="DB539" s="52"/>
    </row>
    <row r="540" spans="1:106" ht="67.5" x14ac:dyDescent="0.25">
      <c r="A540" s="411">
        <v>538</v>
      </c>
      <c r="B540" s="421" t="s">
        <v>4452</v>
      </c>
      <c r="C540" s="573" t="s">
        <v>4453</v>
      </c>
      <c r="D540" s="574" t="s">
        <v>445</v>
      </c>
      <c r="E540" s="80">
        <v>1</v>
      </c>
      <c r="F540" s="353">
        <v>819484.45600000001</v>
      </c>
      <c r="G540" s="293"/>
      <c r="H540" s="293"/>
      <c r="I540" s="293"/>
      <c r="J540" s="52"/>
      <c r="K540" s="52"/>
      <c r="L540" s="366"/>
      <c r="M540" s="360"/>
      <c r="N540" s="361"/>
      <c r="O540" s="33"/>
      <c r="P540" s="252"/>
      <c r="Q540" s="118"/>
      <c r="R540" s="118"/>
      <c r="S540" s="118"/>
      <c r="T540" s="52"/>
      <c r="U540" s="5"/>
      <c r="V540" s="231"/>
      <c r="W540" s="231"/>
      <c r="X540" s="231"/>
      <c r="Y540" s="118"/>
      <c r="Z540" s="363"/>
      <c r="AA540" s="118" t="s">
        <v>2877</v>
      </c>
      <c r="AB540" s="118"/>
      <c r="AC540" s="118"/>
      <c r="AD540" s="52"/>
      <c r="AE540" s="5"/>
      <c r="AF540" s="294"/>
      <c r="AG540" s="294"/>
      <c r="AH540" s="294"/>
      <c r="AI540" s="294"/>
      <c r="AJ540" s="294"/>
      <c r="AK540" s="118"/>
      <c r="AL540" s="118"/>
      <c r="AM540" s="118"/>
      <c r="AN540" s="118"/>
      <c r="AO540" s="118"/>
      <c r="AP540" s="52"/>
      <c r="AQ540" s="52"/>
      <c r="AR540" s="52"/>
      <c r="AS540" s="52"/>
      <c r="AT540" s="52"/>
      <c r="AU540" s="192"/>
      <c r="AV540" s="192"/>
      <c r="AW540" s="192"/>
      <c r="AX540" s="5"/>
      <c r="AY540" s="5"/>
      <c r="AZ540" s="118">
        <v>1895000</v>
      </c>
      <c r="BA540" s="118">
        <v>360050</v>
      </c>
      <c r="BB540" s="118">
        <v>2255050</v>
      </c>
      <c r="BC540" s="52" t="s">
        <v>338</v>
      </c>
      <c r="BD540" s="52" t="s">
        <v>4454</v>
      </c>
      <c r="BE540" s="118"/>
      <c r="BF540" s="118"/>
      <c r="BG540" s="118"/>
      <c r="BH540" s="52"/>
      <c r="BI540" s="283"/>
      <c r="BJ540" s="52"/>
      <c r="BK540" s="52"/>
      <c r="BL540" s="52"/>
      <c r="BM540" s="52"/>
      <c r="BN540" s="52"/>
      <c r="BO540" s="52"/>
      <c r="BP540" s="52"/>
      <c r="BQ540" s="52"/>
      <c r="BR540" s="52"/>
      <c r="BS540" s="52"/>
      <c r="BT540" s="52"/>
      <c r="BU540" s="52"/>
      <c r="BV540" s="52"/>
      <c r="BW540" s="52"/>
      <c r="BX540" s="52"/>
      <c r="BY540" s="52"/>
      <c r="BZ540" s="52"/>
      <c r="CA540" s="52"/>
      <c r="CB540" s="52"/>
      <c r="CC540" s="52"/>
      <c r="CD540" s="118"/>
      <c r="CE540" s="52"/>
      <c r="CF540" s="52"/>
      <c r="CG540" s="52"/>
      <c r="CH540" s="52"/>
      <c r="CI540" s="52"/>
      <c r="CJ540" s="52"/>
      <c r="CK540" s="52"/>
      <c r="CL540" s="52"/>
      <c r="CM540" s="52"/>
      <c r="CN540" s="118"/>
      <c r="CO540" s="118"/>
      <c r="CP540" s="118"/>
      <c r="CQ540" s="52"/>
      <c r="CR540" s="52"/>
      <c r="CS540" s="52"/>
      <c r="CT540" s="52"/>
      <c r="CU540" s="52"/>
      <c r="CV540" s="52"/>
      <c r="CW540" s="52"/>
      <c r="CX540" s="52"/>
      <c r="CY540" s="52"/>
      <c r="CZ540" s="52"/>
      <c r="DA540" s="52"/>
      <c r="DB540" s="52"/>
    </row>
    <row r="541" spans="1:106" ht="13.5" x14ac:dyDescent="0.25">
      <c r="A541" s="411">
        <v>539</v>
      </c>
      <c r="B541" s="421" t="s">
        <v>4455</v>
      </c>
      <c r="C541" s="573" t="s">
        <v>622</v>
      </c>
      <c r="D541" s="574" t="s">
        <v>445</v>
      </c>
      <c r="E541" s="80">
        <v>1</v>
      </c>
      <c r="F541" s="353">
        <v>18853.170000000002</v>
      </c>
      <c r="G541" s="293"/>
      <c r="H541" s="293"/>
      <c r="I541" s="293"/>
      <c r="J541" s="52"/>
      <c r="K541" s="52"/>
      <c r="L541" s="366"/>
      <c r="M541" s="360"/>
      <c r="N541" s="361"/>
      <c r="O541" s="33"/>
      <c r="P541" s="252"/>
      <c r="Q541" s="118"/>
      <c r="R541" s="118"/>
      <c r="S541" s="118"/>
      <c r="T541" s="52"/>
      <c r="U541" s="5"/>
      <c r="V541" s="231"/>
      <c r="W541" s="231"/>
      <c r="X541" s="231"/>
      <c r="Y541" s="118"/>
      <c r="Z541" s="363"/>
      <c r="AA541" s="118" t="s">
        <v>2877</v>
      </c>
      <c r="AB541" s="118"/>
      <c r="AC541" s="118"/>
      <c r="AD541" s="52"/>
      <c r="AE541" s="5"/>
      <c r="AF541" s="294"/>
      <c r="AG541" s="294"/>
      <c r="AH541" s="294"/>
      <c r="AI541" s="294"/>
      <c r="AJ541" s="294"/>
      <c r="AK541" s="118"/>
      <c r="AL541" s="118"/>
      <c r="AM541" s="118"/>
      <c r="AN541" s="118"/>
      <c r="AO541" s="118"/>
      <c r="AP541" s="52"/>
      <c r="AQ541" s="52"/>
      <c r="AR541" s="52"/>
      <c r="AS541" s="52"/>
      <c r="AT541" s="52"/>
      <c r="AU541" s="192"/>
      <c r="AV541" s="192"/>
      <c r="AW541" s="192"/>
      <c r="AX541" s="5"/>
      <c r="AY541" s="5"/>
      <c r="AZ541" s="118">
        <v>16000</v>
      </c>
      <c r="BA541" s="118">
        <v>3040</v>
      </c>
      <c r="BB541" s="118">
        <v>19040</v>
      </c>
      <c r="BC541" s="52" t="s">
        <v>3849</v>
      </c>
      <c r="BD541" s="52" t="s">
        <v>4456</v>
      </c>
      <c r="BE541" s="118"/>
      <c r="BF541" s="118"/>
      <c r="BG541" s="118"/>
      <c r="BH541" s="52"/>
      <c r="BI541" s="283"/>
      <c r="BJ541" s="52"/>
      <c r="BK541" s="52"/>
      <c r="BL541" s="52"/>
      <c r="BM541" s="52"/>
      <c r="BN541" s="52"/>
      <c r="BO541" s="52"/>
      <c r="BP541" s="52"/>
      <c r="BQ541" s="52"/>
      <c r="BR541" s="52"/>
      <c r="BS541" s="52"/>
      <c r="BT541" s="52"/>
      <c r="BU541" s="52"/>
      <c r="BV541" s="52"/>
      <c r="BW541" s="52"/>
      <c r="BX541" s="52"/>
      <c r="BY541" s="52"/>
      <c r="BZ541" s="52"/>
      <c r="CA541" s="52"/>
      <c r="CB541" s="52"/>
      <c r="CC541" s="52"/>
      <c r="CD541" s="118"/>
      <c r="CE541" s="52"/>
      <c r="CF541" s="52"/>
      <c r="CG541" s="52"/>
      <c r="CH541" s="52"/>
      <c r="CI541" s="52"/>
      <c r="CJ541" s="52"/>
      <c r="CK541" s="52"/>
      <c r="CL541" s="52"/>
      <c r="CM541" s="52"/>
      <c r="CN541" s="118"/>
      <c r="CO541" s="118"/>
      <c r="CP541" s="118"/>
      <c r="CQ541" s="52"/>
      <c r="CR541" s="52"/>
      <c r="CS541" s="52"/>
      <c r="CT541" s="52"/>
      <c r="CU541" s="52"/>
      <c r="CV541" s="52"/>
      <c r="CW541" s="52"/>
      <c r="CX541" s="52"/>
      <c r="CY541" s="52"/>
      <c r="CZ541" s="52"/>
      <c r="DA541" s="52"/>
      <c r="DB541" s="52"/>
    </row>
    <row r="542" spans="1:106" ht="27" x14ac:dyDescent="0.25">
      <c r="A542" s="411">
        <v>540</v>
      </c>
      <c r="B542" s="412" t="s">
        <v>4457</v>
      </c>
      <c r="C542" s="565" t="s">
        <v>622</v>
      </c>
      <c r="D542" s="572" t="s">
        <v>445</v>
      </c>
      <c r="E542" s="80">
        <v>1</v>
      </c>
      <c r="F542" s="353">
        <v>17596.292000000001</v>
      </c>
      <c r="G542" s="293"/>
      <c r="H542" s="293"/>
      <c r="I542" s="293"/>
      <c r="J542" s="52"/>
      <c r="K542" s="52"/>
      <c r="L542" s="366"/>
      <c r="M542" s="360"/>
      <c r="N542" s="361"/>
      <c r="O542" s="33"/>
      <c r="P542" s="252"/>
      <c r="Q542" s="118"/>
      <c r="R542" s="118"/>
      <c r="S542" s="118"/>
      <c r="T542" s="52"/>
      <c r="U542" s="5"/>
      <c r="V542" s="231"/>
      <c r="W542" s="231"/>
      <c r="X542" s="231"/>
      <c r="Y542" s="118"/>
      <c r="Z542" s="363"/>
      <c r="AA542" s="118" t="s">
        <v>2877</v>
      </c>
      <c r="AB542" s="118"/>
      <c r="AC542" s="118"/>
      <c r="AD542" s="52"/>
      <c r="AE542" s="5"/>
      <c r="AF542" s="294"/>
      <c r="AG542" s="294"/>
      <c r="AH542" s="294"/>
      <c r="AI542" s="294"/>
      <c r="AJ542" s="294"/>
      <c r="AK542" s="118"/>
      <c r="AL542" s="118"/>
      <c r="AM542" s="118"/>
      <c r="AN542" s="118"/>
      <c r="AO542" s="118"/>
      <c r="AP542" s="52"/>
      <c r="AQ542" s="52"/>
      <c r="AR542" s="52"/>
      <c r="AS542" s="52"/>
      <c r="AT542" s="52"/>
      <c r="AU542" s="192"/>
      <c r="AV542" s="192"/>
      <c r="AW542" s="192"/>
      <c r="AX542" s="5"/>
      <c r="AY542" s="5"/>
      <c r="AZ542" s="118">
        <v>16000</v>
      </c>
      <c r="BA542" s="118">
        <v>3040</v>
      </c>
      <c r="BB542" s="118">
        <v>19040</v>
      </c>
      <c r="BC542" s="52" t="s">
        <v>3849</v>
      </c>
      <c r="BD542" s="52" t="s">
        <v>4458</v>
      </c>
      <c r="BE542" s="118"/>
      <c r="BF542" s="118"/>
      <c r="BG542" s="118"/>
      <c r="BH542" s="52"/>
      <c r="BI542" s="283"/>
      <c r="BJ542" s="52"/>
      <c r="BK542" s="52"/>
      <c r="BL542" s="52"/>
      <c r="BM542" s="52"/>
      <c r="BN542" s="52"/>
      <c r="BO542" s="52"/>
      <c r="BP542" s="52"/>
      <c r="BQ542" s="52"/>
      <c r="BR542" s="52"/>
      <c r="BS542" s="52"/>
      <c r="BT542" s="52"/>
      <c r="BU542" s="52"/>
      <c r="BV542" s="52"/>
      <c r="BW542" s="52"/>
      <c r="BX542" s="52"/>
      <c r="BY542" s="52"/>
      <c r="BZ542" s="52"/>
      <c r="CA542" s="52"/>
      <c r="CB542" s="52"/>
      <c r="CC542" s="52"/>
      <c r="CD542" s="118"/>
      <c r="CE542" s="52"/>
      <c r="CF542" s="52"/>
      <c r="CG542" s="52"/>
      <c r="CH542" s="52"/>
      <c r="CI542" s="52"/>
      <c r="CJ542" s="52"/>
      <c r="CK542" s="52"/>
      <c r="CL542" s="52"/>
      <c r="CM542" s="52"/>
      <c r="CN542" s="118"/>
      <c r="CO542" s="118"/>
      <c r="CP542" s="118"/>
      <c r="CQ542" s="52"/>
      <c r="CR542" s="52"/>
      <c r="CS542" s="52"/>
      <c r="CT542" s="52"/>
      <c r="CU542" s="52"/>
      <c r="CV542" s="52"/>
      <c r="CW542" s="52"/>
      <c r="CX542" s="52"/>
      <c r="CY542" s="52"/>
      <c r="CZ542" s="52"/>
      <c r="DA542" s="52"/>
      <c r="DB542" s="52"/>
    </row>
    <row r="543" spans="1:106" ht="13.5" x14ac:dyDescent="0.25">
      <c r="A543" s="411">
        <v>541</v>
      </c>
      <c r="B543" s="421" t="s">
        <v>4459</v>
      </c>
      <c r="C543" s="573" t="s">
        <v>622</v>
      </c>
      <c r="D543" s="574" t="s">
        <v>445</v>
      </c>
      <c r="E543" s="80">
        <v>1</v>
      </c>
      <c r="F543" s="355">
        <v>82299.104000000007</v>
      </c>
      <c r="G543" s="293"/>
      <c r="H543" s="293"/>
      <c r="I543" s="293"/>
      <c r="J543" s="52"/>
      <c r="K543" s="52"/>
      <c r="L543" s="366"/>
      <c r="M543" s="360"/>
      <c r="N543" s="361"/>
      <c r="O543" s="33"/>
      <c r="P543" s="252"/>
      <c r="Q543" s="118"/>
      <c r="R543" s="118"/>
      <c r="S543" s="118"/>
      <c r="T543" s="52"/>
      <c r="U543" s="5"/>
      <c r="V543" s="231"/>
      <c r="W543" s="231"/>
      <c r="X543" s="231"/>
      <c r="Y543" s="118"/>
      <c r="Z543" s="363"/>
      <c r="AA543" s="118" t="s">
        <v>2877</v>
      </c>
      <c r="AB543" s="118"/>
      <c r="AC543" s="118"/>
      <c r="AD543" s="52"/>
      <c r="AE543" s="5"/>
      <c r="AF543" s="294"/>
      <c r="AG543" s="294"/>
      <c r="AH543" s="294"/>
      <c r="AI543" s="294"/>
      <c r="AJ543" s="294"/>
      <c r="AK543" s="118"/>
      <c r="AL543" s="118"/>
      <c r="AM543" s="118"/>
      <c r="AN543" s="118"/>
      <c r="AO543" s="118"/>
      <c r="AP543" s="52"/>
      <c r="AQ543" s="52"/>
      <c r="AR543" s="52"/>
      <c r="AS543" s="52"/>
      <c r="AT543" s="52"/>
      <c r="AU543" s="192"/>
      <c r="AV543" s="192"/>
      <c r="AW543" s="192"/>
      <c r="AX543" s="5"/>
      <c r="AY543" s="5"/>
      <c r="AZ543" s="118"/>
      <c r="BA543" s="118"/>
      <c r="BB543" s="118"/>
      <c r="BC543" s="52"/>
      <c r="BD543" s="52"/>
      <c r="BE543" s="118"/>
      <c r="BF543" s="118"/>
      <c r="BG543" s="118"/>
      <c r="BH543" s="52"/>
      <c r="BI543" s="283"/>
      <c r="BJ543" s="52"/>
      <c r="BK543" s="52"/>
      <c r="BL543" s="52"/>
      <c r="BM543" s="52"/>
      <c r="BN543" s="52"/>
      <c r="BO543" s="52"/>
      <c r="BP543" s="52"/>
      <c r="BQ543" s="52"/>
      <c r="BR543" s="52"/>
      <c r="BS543" s="52"/>
      <c r="BT543" s="52"/>
      <c r="BU543" s="52"/>
      <c r="BV543" s="52"/>
      <c r="BW543" s="52"/>
      <c r="BX543" s="52"/>
      <c r="BY543" s="52"/>
      <c r="BZ543" s="52"/>
      <c r="CA543" s="52"/>
      <c r="CB543" s="52"/>
      <c r="CC543" s="52"/>
      <c r="CD543" s="118"/>
      <c r="CE543" s="52"/>
      <c r="CF543" s="52"/>
      <c r="CG543" s="52"/>
      <c r="CH543" s="52"/>
      <c r="CI543" s="52"/>
      <c r="CJ543" s="52"/>
      <c r="CK543" s="52"/>
      <c r="CL543" s="52"/>
      <c r="CM543" s="52"/>
      <c r="CN543" s="118"/>
      <c r="CO543" s="118"/>
      <c r="CP543" s="118"/>
      <c r="CQ543" s="52"/>
      <c r="CR543" s="52"/>
      <c r="CS543" s="52"/>
      <c r="CT543" s="52"/>
      <c r="CU543" s="52"/>
      <c r="CV543" s="52"/>
      <c r="CW543" s="52"/>
      <c r="CX543" s="52"/>
      <c r="CY543" s="52"/>
      <c r="CZ543" s="52"/>
      <c r="DA543" s="52"/>
      <c r="DB543" s="52"/>
    </row>
    <row r="544" spans="1:106" ht="13.5" x14ac:dyDescent="0.25">
      <c r="A544" s="411">
        <v>542</v>
      </c>
      <c r="B544" s="421" t="s">
        <v>4460</v>
      </c>
      <c r="C544" s="573" t="s">
        <v>622</v>
      </c>
      <c r="D544" s="574" t="s">
        <v>445</v>
      </c>
      <c r="E544" s="80">
        <v>1</v>
      </c>
      <c r="F544" s="355">
        <v>19273.5376</v>
      </c>
      <c r="G544" s="293"/>
      <c r="H544" s="293"/>
      <c r="I544" s="293"/>
      <c r="J544" s="52"/>
      <c r="K544" s="52"/>
      <c r="L544" s="366"/>
      <c r="M544" s="360"/>
      <c r="N544" s="361"/>
      <c r="O544" s="33"/>
      <c r="P544" s="252"/>
      <c r="Q544" s="118"/>
      <c r="R544" s="118"/>
      <c r="S544" s="118"/>
      <c r="T544" s="52"/>
      <c r="U544" s="5"/>
      <c r="V544" s="231"/>
      <c r="W544" s="231"/>
      <c r="X544" s="231"/>
      <c r="Y544" s="118"/>
      <c r="Z544" s="363"/>
      <c r="AA544" s="118" t="s">
        <v>2877</v>
      </c>
      <c r="AB544" s="118"/>
      <c r="AC544" s="118"/>
      <c r="AD544" s="52"/>
      <c r="AE544" s="5"/>
      <c r="AF544" s="294"/>
      <c r="AG544" s="294"/>
      <c r="AH544" s="294"/>
      <c r="AI544" s="294"/>
      <c r="AJ544" s="294"/>
      <c r="AK544" s="118"/>
      <c r="AL544" s="118"/>
      <c r="AM544" s="118"/>
      <c r="AN544" s="118"/>
      <c r="AO544" s="118"/>
      <c r="AP544" s="52"/>
      <c r="AQ544" s="52"/>
      <c r="AR544" s="52"/>
      <c r="AS544" s="52"/>
      <c r="AT544" s="52"/>
      <c r="AU544" s="192"/>
      <c r="AV544" s="192"/>
      <c r="AW544" s="192"/>
      <c r="AX544" s="5"/>
      <c r="AY544" s="5"/>
      <c r="AZ544" s="118">
        <v>98000</v>
      </c>
      <c r="BA544" s="118">
        <v>18620</v>
      </c>
      <c r="BB544" s="118">
        <v>116620</v>
      </c>
      <c r="BC544" s="52" t="s">
        <v>3852</v>
      </c>
      <c r="BD544" s="52" t="s">
        <v>4461</v>
      </c>
      <c r="BE544" s="118"/>
      <c r="BF544" s="118"/>
      <c r="BG544" s="118"/>
      <c r="BH544" s="52"/>
      <c r="BI544" s="283"/>
      <c r="BJ544" s="52"/>
      <c r="BK544" s="52"/>
      <c r="BL544" s="52"/>
      <c r="BM544" s="52"/>
      <c r="BN544" s="52"/>
      <c r="BO544" s="52"/>
      <c r="BP544" s="52"/>
      <c r="BQ544" s="52"/>
      <c r="BR544" s="52"/>
      <c r="BS544" s="52"/>
      <c r="BT544" s="52"/>
      <c r="BU544" s="52"/>
      <c r="BV544" s="52"/>
      <c r="BW544" s="52"/>
      <c r="BX544" s="52"/>
      <c r="BY544" s="52"/>
      <c r="BZ544" s="52"/>
      <c r="CA544" s="52"/>
      <c r="CB544" s="52"/>
      <c r="CC544" s="52"/>
      <c r="CD544" s="118"/>
      <c r="CE544" s="52"/>
      <c r="CF544" s="52"/>
      <c r="CG544" s="52"/>
      <c r="CH544" s="52"/>
      <c r="CI544" s="52"/>
      <c r="CJ544" s="52"/>
      <c r="CK544" s="52"/>
      <c r="CL544" s="52"/>
      <c r="CM544" s="52"/>
      <c r="CN544" s="118"/>
      <c r="CO544" s="118"/>
      <c r="CP544" s="118"/>
      <c r="CQ544" s="52"/>
      <c r="CR544" s="52"/>
      <c r="CS544" s="52"/>
      <c r="CT544" s="52"/>
      <c r="CU544" s="52"/>
      <c r="CV544" s="52"/>
      <c r="CW544" s="52"/>
      <c r="CX544" s="52"/>
      <c r="CY544" s="52"/>
      <c r="CZ544" s="52"/>
      <c r="DA544" s="52"/>
      <c r="DB544" s="52"/>
    </row>
    <row r="545" spans="1:106" ht="13.5" x14ac:dyDescent="0.25">
      <c r="A545" s="411">
        <v>543</v>
      </c>
      <c r="B545" s="421" t="s">
        <v>4462</v>
      </c>
      <c r="C545" s="573" t="s">
        <v>622</v>
      </c>
      <c r="D545" s="574" t="s">
        <v>445</v>
      </c>
      <c r="E545" s="80">
        <v>1</v>
      </c>
      <c r="F545" s="353">
        <v>98036.483999999997</v>
      </c>
      <c r="G545" s="293"/>
      <c r="H545" s="293"/>
      <c r="I545" s="293"/>
      <c r="J545" s="52"/>
      <c r="K545" s="52"/>
      <c r="L545" s="366"/>
      <c r="M545" s="360"/>
      <c r="N545" s="361"/>
      <c r="O545" s="33"/>
      <c r="P545" s="252"/>
      <c r="Q545" s="118"/>
      <c r="R545" s="118"/>
      <c r="S545" s="118"/>
      <c r="T545" s="52"/>
      <c r="U545" s="5"/>
      <c r="V545" s="231"/>
      <c r="W545" s="231"/>
      <c r="X545" s="231"/>
      <c r="Y545" s="118"/>
      <c r="Z545" s="363"/>
      <c r="AA545" s="118" t="s">
        <v>2877</v>
      </c>
      <c r="AB545" s="118"/>
      <c r="AC545" s="118"/>
      <c r="AD545" s="52"/>
      <c r="AE545" s="5"/>
      <c r="AF545" s="294"/>
      <c r="AG545" s="294"/>
      <c r="AH545" s="294"/>
      <c r="AI545" s="294"/>
      <c r="AJ545" s="294"/>
      <c r="AK545" s="118"/>
      <c r="AL545" s="118"/>
      <c r="AM545" s="118"/>
      <c r="AN545" s="118"/>
      <c r="AO545" s="118"/>
      <c r="AP545" s="52"/>
      <c r="AQ545" s="52"/>
      <c r="AR545" s="52"/>
      <c r="AS545" s="52"/>
      <c r="AT545" s="52"/>
      <c r="AU545" s="192"/>
      <c r="AV545" s="192"/>
      <c r="AW545" s="192"/>
      <c r="AX545" s="5"/>
      <c r="AY545" s="5"/>
      <c r="AZ545" s="118">
        <v>97000</v>
      </c>
      <c r="BA545" s="118">
        <v>18430</v>
      </c>
      <c r="BB545" s="118">
        <v>115430</v>
      </c>
      <c r="BC545" s="52" t="s">
        <v>3852</v>
      </c>
      <c r="BD545" s="52" t="s">
        <v>4463</v>
      </c>
      <c r="BE545" s="118"/>
      <c r="BF545" s="118"/>
      <c r="BG545" s="118"/>
      <c r="BH545" s="52"/>
      <c r="BI545" s="283"/>
      <c r="BJ545" s="52"/>
      <c r="BK545" s="52"/>
      <c r="BL545" s="52"/>
      <c r="BM545" s="52"/>
      <c r="BN545" s="52"/>
      <c r="BO545" s="52"/>
      <c r="BP545" s="52"/>
      <c r="BQ545" s="52"/>
      <c r="BR545" s="52"/>
      <c r="BS545" s="52"/>
      <c r="BT545" s="52"/>
      <c r="BU545" s="52"/>
      <c r="BV545" s="52"/>
      <c r="BW545" s="52"/>
      <c r="BX545" s="52"/>
      <c r="BY545" s="52"/>
      <c r="BZ545" s="52"/>
      <c r="CA545" s="52"/>
      <c r="CB545" s="52"/>
      <c r="CC545" s="52"/>
      <c r="CD545" s="118"/>
      <c r="CE545" s="52"/>
      <c r="CF545" s="52"/>
      <c r="CG545" s="52"/>
      <c r="CH545" s="52"/>
      <c r="CI545" s="52"/>
      <c r="CJ545" s="52"/>
      <c r="CK545" s="52"/>
      <c r="CL545" s="52"/>
      <c r="CM545" s="52"/>
      <c r="CN545" s="118"/>
      <c r="CO545" s="118"/>
      <c r="CP545" s="118"/>
      <c r="CQ545" s="52"/>
      <c r="CR545" s="52"/>
      <c r="CS545" s="52"/>
      <c r="CT545" s="52"/>
      <c r="CU545" s="52"/>
      <c r="CV545" s="52"/>
      <c r="CW545" s="52"/>
      <c r="CX545" s="52"/>
      <c r="CY545" s="52"/>
      <c r="CZ545" s="52"/>
      <c r="DA545" s="52"/>
      <c r="DB545" s="52"/>
    </row>
    <row r="546" spans="1:106" ht="13.5" x14ac:dyDescent="0.25">
      <c r="A546" s="411">
        <v>544</v>
      </c>
      <c r="B546" s="421" t="s">
        <v>4464</v>
      </c>
      <c r="C546" s="573" t="s">
        <v>3434</v>
      </c>
      <c r="D546" s="574" t="s">
        <v>445</v>
      </c>
      <c r="E546" s="80">
        <v>1</v>
      </c>
      <c r="F546" s="80"/>
      <c r="G546" s="293"/>
      <c r="H546" s="293"/>
      <c r="I546" s="293"/>
      <c r="J546" s="52"/>
      <c r="K546" s="52"/>
      <c r="L546" s="366"/>
      <c r="M546" s="360"/>
      <c r="N546" s="361"/>
      <c r="O546" s="33"/>
      <c r="P546" s="252"/>
      <c r="Q546" s="118"/>
      <c r="R546" s="118"/>
      <c r="S546" s="118"/>
      <c r="T546" s="52"/>
      <c r="U546" s="5"/>
      <c r="V546" s="231"/>
      <c r="W546" s="231"/>
      <c r="X546" s="231"/>
      <c r="Y546" s="118"/>
      <c r="Z546" s="363"/>
      <c r="AA546" s="118" t="s">
        <v>2877</v>
      </c>
      <c r="AB546" s="118"/>
      <c r="AC546" s="118"/>
      <c r="AD546" s="52"/>
      <c r="AE546" s="5"/>
      <c r="AF546" s="294"/>
      <c r="AG546" s="294"/>
      <c r="AH546" s="294"/>
      <c r="AI546" s="294"/>
      <c r="AJ546" s="294"/>
      <c r="AK546" s="118"/>
      <c r="AL546" s="118"/>
      <c r="AM546" s="118"/>
      <c r="AN546" s="118"/>
      <c r="AO546" s="118"/>
      <c r="AP546" s="52"/>
      <c r="AQ546" s="52"/>
      <c r="AR546" s="52"/>
      <c r="AS546" s="52"/>
      <c r="AT546" s="52"/>
      <c r="AU546" s="192"/>
      <c r="AV546" s="192"/>
      <c r="AW546" s="192"/>
      <c r="AX546" s="5"/>
      <c r="AY546" s="5"/>
      <c r="AZ546" s="118">
        <v>140000</v>
      </c>
      <c r="BA546" s="118">
        <v>26600</v>
      </c>
      <c r="BB546" s="118">
        <v>166600</v>
      </c>
      <c r="BC546" s="52" t="s">
        <v>3436</v>
      </c>
      <c r="BD546" s="52">
        <v>25921100</v>
      </c>
      <c r="BE546" s="118"/>
      <c r="BF546" s="118"/>
      <c r="BG546" s="118"/>
      <c r="BH546" s="52"/>
      <c r="BI546" s="283"/>
      <c r="BJ546" s="52"/>
      <c r="BK546" s="52"/>
      <c r="BL546" s="52"/>
      <c r="BM546" s="52"/>
      <c r="BN546" s="52"/>
      <c r="BO546" s="52"/>
      <c r="BP546" s="52"/>
      <c r="BQ546" s="52"/>
      <c r="BR546" s="52"/>
      <c r="BS546" s="52"/>
      <c r="BT546" s="52"/>
      <c r="BU546" s="52"/>
      <c r="BV546" s="52"/>
      <c r="BW546" s="52"/>
      <c r="BX546" s="52"/>
      <c r="BY546" s="52"/>
      <c r="BZ546" s="52"/>
      <c r="CA546" s="52"/>
      <c r="CB546" s="52"/>
      <c r="CC546" s="52"/>
      <c r="CD546" s="118"/>
      <c r="CE546" s="52"/>
      <c r="CF546" s="52"/>
      <c r="CG546" s="52"/>
      <c r="CH546" s="52"/>
      <c r="CI546" s="52"/>
      <c r="CJ546" s="52"/>
      <c r="CK546" s="52"/>
      <c r="CL546" s="52"/>
      <c r="CM546" s="52"/>
      <c r="CN546" s="118"/>
      <c r="CO546" s="118"/>
      <c r="CP546" s="118"/>
      <c r="CQ546" s="52"/>
      <c r="CR546" s="52"/>
      <c r="CS546" s="52"/>
      <c r="CT546" s="52"/>
      <c r="CU546" s="52"/>
      <c r="CV546" s="52"/>
      <c r="CW546" s="52"/>
      <c r="CX546" s="52"/>
      <c r="CY546" s="52"/>
      <c r="CZ546" s="52"/>
      <c r="DA546" s="52"/>
      <c r="DB546" s="52"/>
    </row>
    <row r="547" spans="1:106" ht="13.5" x14ac:dyDescent="0.25">
      <c r="A547" s="411">
        <v>545</v>
      </c>
      <c r="B547" s="423" t="s">
        <v>4465</v>
      </c>
      <c r="C547" s="577" t="s">
        <v>622</v>
      </c>
      <c r="D547" s="578" t="s">
        <v>445</v>
      </c>
      <c r="E547" s="80">
        <v>1</v>
      </c>
      <c r="F547" s="353">
        <v>281540.67200000002</v>
      </c>
      <c r="G547" s="293"/>
      <c r="H547" s="293"/>
      <c r="I547" s="293"/>
      <c r="J547" s="52"/>
      <c r="K547" s="52"/>
      <c r="L547" s="366"/>
      <c r="M547" s="360"/>
      <c r="N547" s="361"/>
      <c r="O547" s="33"/>
      <c r="P547" s="252"/>
      <c r="Q547" s="118"/>
      <c r="R547" s="118"/>
      <c r="S547" s="118"/>
      <c r="T547" s="52"/>
      <c r="U547" s="5"/>
      <c r="V547" s="231"/>
      <c r="W547" s="231"/>
      <c r="X547" s="231"/>
      <c r="Y547" s="118"/>
      <c r="Z547" s="363"/>
      <c r="AA547" s="118" t="s">
        <v>2877</v>
      </c>
      <c r="AB547" s="118"/>
      <c r="AC547" s="118"/>
      <c r="AD547" s="52"/>
      <c r="AE547" s="5"/>
      <c r="AF547" s="294"/>
      <c r="AG547" s="294"/>
      <c r="AH547" s="294"/>
      <c r="AI547" s="294"/>
      <c r="AJ547" s="294"/>
      <c r="AK547" s="118"/>
      <c r="AL547" s="118"/>
      <c r="AM547" s="118"/>
      <c r="AN547" s="118"/>
      <c r="AO547" s="118"/>
      <c r="AP547" s="52"/>
      <c r="AQ547" s="52"/>
      <c r="AR547" s="52"/>
      <c r="AS547" s="52"/>
      <c r="AT547" s="52"/>
      <c r="AU547" s="192"/>
      <c r="AV547" s="192"/>
      <c r="AW547" s="192"/>
      <c r="AX547" s="5"/>
      <c r="AY547" s="5"/>
      <c r="AZ547" s="118">
        <v>220000</v>
      </c>
      <c r="BA547" s="118">
        <v>41800</v>
      </c>
      <c r="BB547" s="118">
        <v>261800</v>
      </c>
      <c r="BC547" s="52" t="s">
        <v>338</v>
      </c>
      <c r="BD547" s="52" t="s">
        <v>4466</v>
      </c>
      <c r="BE547" s="118"/>
      <c r="BF547" s="118"/>
      <c r="BG547" s="118"/>
      <c r="BH547" s="52"/>
      <c r="BI547" s="283"/>
      <c r="BJ547" s="52"/>
      <c r="BK547" s="52"/>
      <c r="BL547" s="52"/>
      <c r="BM547" s="52"/>
      <c r="BN547" s="52"/>
      <c r="BO547" s="52"/>
      <c r="BP547" s="52"/>
      <c r="BQ547" s="52"/>
      <c r="BR547" s="52"/>
      <c r="BS547" s="52"/>
      <c r="BT547" s="52"/>
      <c r="BU547" s="52"/>
      <c r="BV547" s="52"/>
      <c r="BW547" s="52"/>
      <c r="BX547" s="52"/>
      <c r="BY547" s="52"/>
      <c r="BZ547" s="52"/>
      <c r="CA547" s="52"/>
      <c r="CB547" s="52"/>
      <c r="CC547" s="52"/>
      <c r="CD547" s="118"/>
      <c r="CE547" s="52"/>
      <c r="CF547" s="52"/>
      <c r="CG547" s="52"/>
      <c r="CH547" s="52"/>
      <c r="CI547" s="52"/>
      <c r="CJ547" s="52"/>
      <c r="CK547" s="52"/>
      <c r="CL547" s="52"/>
      <c r="CM547" s="52"/>
      <c r="CN547" s="118"/>
      <c r="CO547" s="118"/>
      <c r="CP547" s="118"/>
      <c r="CQ547" s="52"/>
      <c r="CR547" s="52"/>
      <c r="CS547" s="52"/>
      <c r="CT547" s="52"/>
      <c r="CU547" s="52"/>
      <c r="CV547" s="52"/>
      <c r="CW547" s="52"/>
      <c r="CX547" s="52"/>
      <c r="CY547" s="52"/>
      <c r="CZ547" s="52"/>
      <c r="DA547" s="52"/>
      <c r="DB547" s="52"/>
    </row>
    <row r="548" spans="1:106" ht="27" x14ac:dyDescent="0.25">
      <c r="A548" s="411">
        <v>546</v>
      </c>
      <c r="B548" s="423" t="s">
        <v>4467</v>
      </c>
      <c r="C548" s="577" t="s">
        <v>4468</v>
      </c>
      <c r="D548" s="578" t="s">
        <v>3324</v>
      </c>
      <c r="E548" s="80">
        <v>1</v>
      </c>
      <c r="F548" s="353">
        <v>28279.755000000001</v>
      </c>
      <c r="G548" s="293"/>
      <c r="H548" s="293"/>
      <c r="I548" s="293"/>
      <c r="J548" s="52"/>
      <c r="K548" s="52"/>
      <c r="L548" s="366"/>
      <c r="M548" s="360"/>
      <c r="N548" s="361"/>
      <c r="O548" s="33"/>
      <c r="P548" s="252"/>
      <c r="Q548" s="118"/>
      <c r="R548" s="118"/>
      <c r="S548" s="118"/>
      <c r="T548" s="52"/>
      <c r="U548" s="5"/>
      <c r="V548" s="231"/>
      <c r="W548" s="231"/>
      <c r="X548" s="231"/>
      <c r="Y548" s="118"/>
      <c r="Z548" s="363"/>
      <c r="AA548" s="118" t="s">
        <v>2877</v>
      </c>
      <c r="AB548" s="118"/>
      <c r="AC548" s="118"/>
      <c r="AD548" s="52"/>
      <c r="AE548" s="5"/>
      <c r="AF548" s="294"/>
      <c r="AG548" s="294"/>
      <c r="AH548" s="294"/>
      <c r="AI548" s="294"/>
      <c r="AJ548" s="294"/>
      <c r="AK548" s="118"/>
      <c r="AL548" s="118"/>
      <c r="AM548" s="118"/>
      <c r="AN548" s="118"/>
      <c r="AO548" s="118"/>
      <c r="AP548" s="52"/>
      <c r="AQ548" s="52"/>
      <c r="AR548" s="52"/>
      <c r="AS548" s="52"/>
      <c r="AT548" s="52"/>
      <c r="AU548" s="192"/>
      <c r="AV548" s="192"/>
      <c r="AW548" s="192"/>
      <c r="AX548" s="5"/>
      <c r="AY548" s="5"/>
      <c r="AZ548" s="118">
        <v>12000</v>
      </c>
      <c r="BA548" s="118">
        <v>2280</v>
      </c>
      <c r="BB548" s="118">
        <v>14280</v>
      </c>
      <c r="BC548" s="52" t="s">
        <v>4469</v>
      </c>
      <c r="BD548" s="52" t="s">
        <v>4470</v>
      </c>
      <c r="BE548" s="118"/>
      <c r="BF548" s="118"/>
      <c r="BG548" s="118"/>
      <c r="BH548" s="52"/>
      <c r="BI548" s="283"/>
      <c r="BJ548" s="52"/>
      <c r="BK548" s="52"/>
      <c r="BL548" s="52"/>
      <c r="BM548" s="52"/>
      <c r="BN548" s="52"/>
      <c r="BO548" s="52"/>
      <c r="BP548" s="52"/>
      <c r="BQ548" s="52"/>
      <c r="BR548" s="52"/>
      <c r="BS548" s="52"/>
      <c r="BT548" s="52"/>
      <c r="BU548" s="52"/>
      <c r="BV548" s="52"/>
      <c r="BW548" s="52"/>
      <c r="BX548" s="52"/>
      <c r="BY548" s="52"/>
      <c r="BZ548" s="52"/>
      <c r="CA548" s="52"/>
      <c r="CB548" s="52"/>
      <c r="CC548" s="52"/>
      <c r="CD548" s="118"/>
      <c r="CE548" s="52"/>
      <c r="CF548" s="52"/>
      <c r="CG548" s="52"/>
      <c r="CH548" s="52"/>
      <c r="CI548" s="52"/>
      <c r="CJ548" s="52"/>
      <c r="CK548" s="52"/>
      <c r="CL548" s="52"/>
      <c r="CM548" s="52"/>
      <c r="CN548" s="118"/>
      <c r="CO548" s="118"/>
      <c r="CP548" s="118"/>
      <c r="CQ548" s="52"/>
      <c r="CR548" s="52"/>
      <c r="CS548" s="52"/>
      <c r="CT548" s="52"/>
      <c r="CU548" s="52"/>
      <c r="CV548" s="52"/>
      <c r="CW548" s="52"/>
      <c r="CX548" s="52"/>
      <c r="CY548" s="52"/>
      <c r="CZ548" s="52"/>
      <c r="DA548" s="52"/>
      <c r="DB548" s="52"/>
    </row>
    <row r="549" spans="1:106" ht="13.5" x14ac:dyDescent="0.25">
      <c r="A549" s="411">
        <v>547</v>
      </c>
      <c r="B549" s="423" t="s">
        <v>4471</v>
      </c>
      <c r="C549" s="579" t="s">
        <v>4472</v>
      </c>
      <c r="D549" s="578" t="s">
        <v>4473</v>
      </c>
      <c r="E549" s="80">
        <v>1</v>
      </c>
      <c r="F549" s="353">
        <v>301650.72000000003</v>
      </c>
      <c r="G549" s="293"/>
      <c r="H549" s="293"/>
      <c r="I549" s="293"/>
      <c r="J549" s="52"/>
      <c r="K549" s="52"/>
      <c r="L549" s="359"/>
      <c r="M549" s="360"/>
      <c r="N549" s="361"/>
      <c r="O549" s="33"/>
      <c r="P549" s="252"/>
      <c r="Q549" s="113"/>
      <c r="R549" s="113"/>
      <c r="S549" s="113"/>
      <c r="T549" s="52"/>
      <c r="U549" s="5"/>
      <c r="V549" s="231"/>
      <c r="W549" s="231"/>
      <c r="X549" s="231"/>
      <c r="Y549" s="113"/>
      <c r="Z549" s="357"/>
      <c r="AA549" s="118" t="s">
        <v>2877</v>
      </c>
      <c r="AB549" s="118"/>
      <c r="AC549" s="118"/>
      <c r="AD549" s="52"/>
      <c r="AE549" s="5"/>
      <c r="AF549" s="358"/>
      <c r="AG549" s="358"/>
      <c r="AH549" s="358"/>
      <c r="AI549" s="358"/>
      <c r="AJ549" s="358"/>
      <c r="AK549" s="113"/>
      <c r="AL549" s="113"/>
      <c r="AM549" s="113"/>
      <c r="AN549" s="113"/>
      <c r="AO549" s="113"/>
      <c r="AP549" s="52"/>
      <c r="AQ549" s="52"/>
      <c r="AR549" s="52"/>
      <c r="AS549" s="52"/>
      <c r="AT549" s="52"/>
      <c r="AU549" s="125"/>
      <c r="AV549" s="125"/>
      <c r="AW549" s="125"/>
      <c r="AX549" s="5"/>
      <c r="AY549" s="5"/>
      <c r="AZ549" s="113">
        <v>300000</v>
      </c>
      <c r="BA549" s="113">
        <v>57000</v>
      </c>
      <c r="BB549" s="113">
        <v>357000</v>
      </c>
      <c r="BC549" s="52" t="s">
        <v>4474</v>
      </c>
      <c r="BD549" s="52" t="s">
        <v>4475</v>
      </c>
      <c r="BE549" s="118"/>
      <c r="BF549" s="118"/>
      <c r="BG549" s="118"/>
      <c r="BH549" s="52"/>
      <c r="BI549" s="283"/>
      <c r="BJ549" s="52"/>
      <c r="BK549" s="52"/>
      <c r="BL549" s="52"/>
      <c r="BM549" s="52"/>
      <c r="BN549" s="52"/>
      <c r="BO549" s="52"/>
      <c r="BP549" s="52"/>
      <c r="BQ549" s="52"/>
      <c r="BR549" s="52"/>
      <c r="BS549" s="52"/>
      <c r="BT549" s="52"/>
      <c r="BU549" s="52"/>
      <c r="BV549" s="52"/>
      <c r="BW549" s="52"/>
      <c r="BX549" s="52"/>
      <c r="BY549" s="52"/>
      <c r="BZ549" s="52"/>
      <c r="CA549" s="52"/>
      <c r="CB549" s="52"/>
      <c r="CC549" s="52"/>
      <c r="CD549" s="118"/>
      <c r="CE549" s="52"/>
      <c r="CF549" s="52"/>
      <c r="CG549" s="52"/>
      <c r="CH549" s="52"/>
      <c r="CI549" s="52"/>
      <c r="CJ549" s="52"/>
      <c r="CK549" s="52"/>
      <c r="CL549" s="52"/>
      <c r="CM549" s="52"/>
      <c r="CN549" s="118"/>
      <c r="CO549" s="118"/>
      <c r="CP549" s="118"/>
      <c r="CQ549" s="52"/>
      <c r="CR549" s="52"/>
      <c r="CS549" s="52"/>
      <c r="CT549" s="52"/>
      <c r="CU549" s="52"/>
      <c r="CV549" s="52"/>
      <c r="CW549" s="52"/>
      <c r="CX549" s="52"/>
      <c r="CY549" s="52"/>
      <c r="CZ549" s="52"/>
      <c r="DA549" s="52"/>
      <c r="DB549" s="52"/>
    </row>
    <row r="550" spans="1:106" ht="13.5" x14ac:dyDescent="0.25">
      <c r="A550" s="411">
        <v>548</v>
      </c>
      <c r="B550" s="424" t="s">
        <v>4476</v>
      </c>
      <c r="C550" s="580" t="s">
        <v>4257</v>
      </c>
      <c r="D550" s="581" t="s">
        <v>4477</v>
      </c>
      <c r="E550" s="80">
        <v>1</v>
      </c>
      <c r="F550" s="353">
        <v>263944.38</v>
      </c>
      <c r="G550" s="293"/>
      <c r="H550" s="293"/>
      <c r="I550" s="293"/>
      <c r="J550" s="52"/>
      <c r="K550" s="52"/>
      <c r="L550" s="366"/>
      <c r="M550" s="360"/>
      <c r="N550" s="361"/>
      <c r="O550" s="33"/>
      <c r="P550" s="252"/>
      <c r="Q550" s="118"/>
      <c r="R550" s="118"/>
      <c r="S550" s="118"/>
      <c r="T550" s="52"/>
      <c r="U550" s="5"/>
      <c r="V550" s="231">
        <v>53000</v>
      </c>
      <c r="W550" s="231">
        <f t="shared" ref="W550:W570" si="71">V550*0.19</f>
        <v>10070</v>
      </c>
      <c r="X550" s="231">
        <f t="shared" ref="X550:X570" si="72">V550*1.19</f>
        <v>63070</v>
      </c>
      <c r="Y550" s="118" t="s">
        <v>2883</v>
      </c>
      <c r="Z550" s="363" t="s">
        <v>4478</v>
      </c>
      <c r="AA550" s="118" t="s">
        <v>2877</v>
      </c>
      <c r="AB550" s="118"/>
      <c r="AC550" s="118"/>
      <c r="AD550" s="52"/>
      <c r="AE550" s="5"/>
      <c r="AF550" s="294"/>
      <c r="AG550" s="294"/>
      <c r="AH550" s="294"/>
      <c r="AI550" s="294"/>
      <c r="AJ550" s="294"/>
      <c r="AK550" s="118"/>
      <c r="AL550" s="118"/>
      <c r="AM550" s="118"/>
      <c r="AN550" s="118"/>
      <c r="AO550" s="118"/>
      <c r="AP550" s="52"/>
      <c r="AQ550" s="52"/>
      <c r="AR550" s="52"/>
      <c r="AS550" s="52"/>
      <c r="AT550" s="52"/>
      <c r="AU550" s="192"/>
      <c r="AV550" s="192"/>
      <c r="AW550" s="192"/>
      <c r="AX550" s="5"/>
      <c r="AY550" s="5"/>
      <c r="AZ550" s="118">
        <v>218000</v>
      </c>
      <c r="BA550" s="118">
        <v>41420</v>
      </c>
      <c r="BB550" s="118">
        <v>259420</v>
      </c>
      <c r="BC550" s="52" t="s">
        <v>338</v>
      </c>
      <c r="BD550" s="52" t="s">
        <v>4479</v>
      </c>
      <c r="BE550" s="118"/>
      <c r="BF550" s="118"/>
      <c r="BG550" s="118"/>
      <c r="BH550" s="52"/>
      <c r="BI550" s="283"/>
      <c r="BJ550" s="52"/>
      <c r="BK550" s="52"/>
      <c r="BL550" s="52"/>
      <c r="BM550" s="52"/>
      <c r="BN550" s="52"/>
      <c r="BO550" s="52"/>
      <c r="BP550" s="52"/>
      <c r="BQ550" s="52"/>
      <c r="BR550" s="52"/>
      <c r="BS550" s="52"/>
      <c r="BT550" s="52"/>
      <c r="BU550" s="52"/>
      <c r="BV550" s="52"/>
      <c r="BW550" s="52"/>
      <c r="BX550" s="52"/>
      <c r="BY550" s="52"/>
      <c r="BZ550" s="52"/>
      <c r="CA550" s="52"/>
      <c r="CB550" s="52"/>
      <c r="CC550" s="52"/>
      <c r="CD550" s="118"/>
      <c r="CE550" s="52"/>
      <c r="CF550" s="52"/>
      <c r="CG550" s="52"/>
      <c r="CH550" s="52"/>
      <c r="CI550" s="52"/>
      <c r="CJ550" s="52"/>
      <c r="CK550" s="52"/>
      <c r="CL550" s="52"/>
      <c r="CM550" s="52"/>
      <c r="CN550" s="118"/>
      <c r="CO550" s="118"/>
      <c r="CP550" s="118"/>
      <c r="CQ550" s="52"/>
      <c r="CR550" s="52"/>
      <c r="CS550" s="52"/>
      <c r="CT550" s="52"/>
      <c r="CU550" s="52"/>
      <c r="CV550" s="52"/>
      <c r="CW550" s="52"/>
      <c r="CX550" s="52"/>
      <c r="CY550" s="52"/>
      <c r="CZ550" s="52"/>
      <c r="DA550" s="52"/>
      <c r="DB550" s="52"/>
    </row>
    <row r="551" spans="1:106" ht="67.5" x14ac:dyDescent="0.25">
      <c r="A551" s="411">
        <v>549</v>
      </c>
      <c r="B551" s="415" t="s">
        <v>4480</v>
      </c>
      <c r="C551" s="426" t="s">
        <v>4481</v>
      </c>
      <c r="D551" s="570" t="s">
        <v>2966</v>
      </c>
      <c r="E551" s="80">
        <v>1</v>
      </c>
      <c r="F551" s="353">
        <v>734016.75199999998</v>
      </c>
      <c r="G551" s="293"/>
      <c r="H551" s="293"/>
      <c r="I551" s="293"/>
      <c r="J551" s="52"/>
      <c r="K551" s="52"/>
      <c r="L551" s="366"/>
      <c r="M551" s="360"/>
      <c r="N551" s="361"/>
      <c r="O551" s="33"/>
      <c r="P551" s="252"/>
      <c r="Q551" s="118"/>
      <c r="R551" s="118"/>
      <c r="S551" s="118"/>
      <c r="T551" s="52"/>
      <c r="U551" s="5"/>
      <c r="V551" s="231">
        <v>570000</v>
      </c>
      <c r="W551" s="231">
        <f t="shared" si="71"/>
        <v>108300</v>
      </c>
      <c r="X551" s="231">
        <f t="shared" si="72"/>
        <v>678300</v>
      </c>
      <c r="Y551" s="118" t="s">
        <v>2883</v>
      </c>
      <c r="Z551" s="363" t="s">
        <v>4482</v>
      </c>
      <c r="AA551" s="118" t="s">
        <v>2877</v>
      </c>
      <c r="AB551" s="118"/>
      <c r="AC551" s="118"/>
      <c r="AD551" s="52"/>
      <c r="AE551" s="5"/>
      <c r="AF551" s="294"/>
      <c r="AG551" s="294"/>
      <c r="AH551" s="294"/>
      <c r="AI551" s="294"/>
      <c r="AJ551" s="294"/>
      <c r="AK551" s="118">
        <v>550000</v>
      </c>
      <c r="AL551" s="118">
        <v>104500</v>
      </c>
      <c r="AM551" s="118">
        <v>654500</v>
      </c>
      <c r="AN551" s="118">
        <v>0</v>
      </c>
      <c r="AO551" s="118" t="s">
        <v>4483</v>
      </c>
      <c r="AP551" s="52"/>
      <c r="AQ551" s="52"/>
      <c r="AR551" s="52"/>
      <c r="AS551" s="52"/>
      <c r="AT551" s="52"/>
      <c r="AU551" s="192"/>
      <c r="AV551" s="192"/>
      <c r="AW551" s="192"/>
      <c r="AX551" s="5"/>
      <c r="AY551" s="5"/>
      <c r="AZ551" s="118">
        <v>635000</v>
      </c>
      <c r="BA551" s="118">
        <v>120650</v>
      </c>
      <c r="BB551" s="118">
        <v>755650</v>
      </c>
      <c r="BC551" s="52" t="s">
        <v>338</v>
      </c>
      <c r="BD551" s="52" t="s">
        <v>4484</v>
      </c>
      <c r="BE551" s="320">
        <v>47217</v>
      </c>
      <c r="BF551" s="320">
        <f t="shared" ref="BF551:BF553" si="73">BE551*0.19</f>
        <v>8971.23</v>
      </c>
      <c r="BG551" s="320">
        <f t="shared" ref="BG551:BG553" si="74">BE551+BF551</f>
        <v>56188.229999999996</v>
      </c>
      <c r="BH551" s="4" t="s">
        <v>2887</v>
      </c>
      <c r="BI551" s="286" t="s">
        <v>4485</v>
      </c>
      <c r="BJ551" s="52"/>
      <c r="BK551" s="52"/>
      <c r="BL551" s="52"/>
      <c r="BM551" s="52"/>
      <c r="BN551" s="52"/>
      <c r="BO551" s="52"/>
      <c r="BP551" s="52"/>
      <c r="BQ551" s="52"/>
      <c r="BR551" s="52"/>
      <c r="BS551" s="52"/>
      <c r="BT551" s="52"/>
      <c r="BU551" s="52"/>
      <c r="BV551" s="52"/>
      <c r="BW551" s="52"/>
      <c r="BX551" s="52"/>
      <c r="BY551" s="52"/>
      <c r="BZ551" s="52"/>
      <c r="CA551" s="52"/>
      <c r="CB551" s="52"/>
      <c r="CC551" s="52"/>
      <c r="CD551" s="118"/>
      <c r="CE551" s="52"/>
      <c r="CF551" s="52"/>
      <c r="CG551" s="52"/>
      <c r="CH551" s="52"/>
      <c r="CI551" s="52"/>
      <c r="CJ551" s="52"/>
      <c r="CK551" s="52"/>
      <c r="CL551" s="52"/>
      <c r="CM551" s="52"/>
      <c r="CN551" s="118"/>
      <c r="CO551" s="118"/>
      <c r="CP551" s="118"/>
      <c r="CQ551" s="52"/>
      <c r="CR551" s="52"/>
      <c r="CS551" s="52"/>
      <c r="CT551" s="52"/>
      <c r="CU551" s="52"/>
      <c r="CV551" s="52"/>
      <c r="CW551" s="52"/>
      <c r="CX551" s="52"/>
      <c r="CY551" s="52"/>
      <c r="CZ551" s="52"/>
      <c r="DA551" s="52"/>
      <c r="DB551" s="52"/>
    </row>
    <row r="552" spans="1:106" ht="40.5" x14ac:dyDescent="0.25">
      <c r="A552" s="411">
        <v>550</v>
      </c>
      <c r="B552" s="412" t="s">
        <v>4486</v>
      </c>
      <c r="C552" s="413" t="s">
        <v>4487</v>
      </c>
      <c r="D552" s="570" t="s">
        <v>2966</v>
      </c>
      <c r="E552" s="80">
        <v>1</v>
      </c>
      <c r="F552" s="353">
        <v>1274474.2920000001</v>
      </c>
      <c r="G552" s="293"/>
      <c r="H552" s="293"/>
      <c r="I552" s="293"/>
      <c r="J552" s="52"/>
      <c r="K552" s="52"/>
      <c r="L552" s="366"/>
      <c r="M552" s="360"/>
      <c r="N552" s="361"/>
      <c r="O552" s="33"/>
      <c r="P552" s="252"/>
      <c r="Q552" s="118"/>
      <c r="R552" s="118"/>
      <c r="S552" s="118"/>
      <c r="T552" s="52"/>
      <c r="U552" s="5"/>
      <c r="V552" s="231">
        <v>450000</v>
      </c>
      <c r="W552" s="231">
        <f t="shared" si="71"/>
        <v>85500</v>
      </c>
      <c r="X552" s="231">
        <f t="shared" si="72"/>
        <v>535500</v>
      </c>
      <c r="Y552" s="118" t="s">
        <v>4488</v>
      </c>
      <c r="Z552" s="363" t="s">
        <v>4489</v>
      </c>
      <c r="AA552" s="118" t="s">
        <v>2877</v>
      </c>
      <c r="AB552" s="118"/>
      <c r="AC552" s="118"/>
      <c r="AD552" s="52"/>
      <c r="AE552" s="5"/>
      <c r="AF552" s="294"/>
      <c r="AG552" s="294"/>
      <c r="AH552" s="294"/>
      <c r="AI552" s="294"/>
      <c r="AJ552" s="294"/>
      <c r="AK552" s="118"/>
      <c r="AL552" s="118"/>
      <c r="AM552" s="118"/>
      <c r="AN552" s="118"/>
      <c r="AO552" s="118"/>
      <c r="AP552" s="52"/>
      <c r="AQ552" s="52"/>
      <c r="AR552" s="52"/>
      <c r="AS552" s="52"/>
      <c r="AT552" s="52"/>
      <c r="AU552" s="192"/>
      <c r="AV552" s="192"/>
      <c r="AW552" s="192"/>
      <c r="AX552" s="5"/>
      <c r="AY552" s="5"/>
      <c r="AZ552" s="118">
        <v>749000</v>
      </c>
      <c r="BA552" s="118">
        <v>142310</v>
      </c>
      <c r="BB552" s="118">
        <v>891310</v>
      </c>
      <c r="BC552" s="52" t="s">
        <v>338</v>
      </c>
      <c r="BD552" s="52" t="s">
        <v>4490</v>
      </c>
      <c r="BE552" s="320">
        <v>723087</v>
      </c>
      <c r="BF552" s="320">
        <f t="shared" si="73"/>
        <v>137386.53</v>
      </c>
      <c r="BG552" s="320">
        <f t="shared" si="74"/>
        <v>860473.53</v>
      </c>
      <c r="BH552" s="4" t="s">
        <v>2887</v>
      </c>
      <c r="BI552" s="286" t="s">
        <v>4491</v>
      </c>
      <c r="BJ552" s="52"/>
      <c r="BK552" s="52"/>
      <c r="BL552" s="52"/>
      <c r="BM552" s="52"/>
      <c r="BN552" s="52"/>
      <c r="BO552" s="52"/>
      <c r="BP552" s="52"/>
      <c r="BQ552" s="52"/>
      <c r="BR552" s="52"/>
      <c r="BS552" s="52"/>
      <c r="BT552" s="52"/>
      <c r="BU552" s="52"/>
      <c r="BV552" s="52"/>
      <c r="BW552" s="52"/>
      <c r="BX552" s="52"/>
      <c r="BY552" s="52"/>
      <c r="BZ552" s="52"/>
      <c r="CA552" s="52"/>
      <c r="CB552" s="52"/>
      <c r="CC552" s="52"/>
      <c r="CD552" s="118"/>
      <c r="CE552" s="52"/>
      <c r="CF552" s="52"/>
      <c r="CG552" s="52"/>
      <c r="CH552" s="52"/>
      <c r="CI552" s="52"/>
      <c r="CJ552" s="52"/>
      <c r="CK552" s="52"/>
      <c r="CL552" s="52"/>
      <c r="CM552" s="52"/>
      <c r="CN552" s="118"/>
      <c r="CO552" s="118"/>
      <c r="CP552" s="118"/>
      <c r="CQ552" s="52"/>
      <c r="CR552" s="52"/>
      <c r="CS552" s="52"/>
      <c r="CT552" s="52"/>
      <c r="CU552" s="52"/>
      <c r="CV552" s="52"/>
      <c r="CW552" s="52"/>
      <c r="CX552" s="52"/>
      <c r="CY552" s="52"/>
      <c r="CZ552" s="52"/>
      <c r="DA552" s="52"/>
      <c r="DB552" s="52"/>
    </row>
    <row r="553" spans="1:106" ht="81" x14ac:dyDescent="0.25">
      <c r="A553" s="411">
        <v>551</v>
      </c>
      <c r="B553" s="412" t="s">
        <v>4492</v>
      </c>
      <c r="C553" s="426" t="s">
        <v>4493</v>
      </c>
      <c r="D553" s="570" t="s">
        <v>2966</v>
      </c>
      <c r="E553" s="80">
        <v>1</v>
      </c>
      <c r="F553" s="353">
        <v>1460492.236</v>
      </c>
      <c r="G553" s="293"/>
      <c r="H553" s="293"/>
      <c r="I553" s="293"/>
      <c r="J553" s="52"/>
      <c r="K553" s="52"/>
      <c r="L553" s="366"/>
      <c r="M553" s="360"/>
      <c r="N553" s="361"/>
      <c r="O553" s="33"/>
      <c r="P553" s="252"/>
      <c r="Q553" s="118"/>
      <c r="R553" s="118"/>
      <c r="S553" s="118"/>
      <c r="T553" s="52"/>
      <c r="U553" s="5"/>
      <c r="V553" s="231">
        <v>677000</v>
      </c>
      <c r="W553" s="231">
        <f t="shared" si="71"/>
        <v>128630</v>
      </c>
      <c r="X553" s="231">
        <f t="shared" si="72"/>
        <v>805630</v>
      </c>
      <c r="Y553" s="118" t="s">
        <v>4488</v>
      </c>
      <c r="Z553" s="363" t="s">
        <v>4494</v>
      </c>
      <c r="AA553" s="118" t="s">
        <v>2877</v>
      </c>
      <c r="AB553" s="118"/>
      <c r="AC553" s="118"/>
      <c r="AD553" s="52"/>
      <c r="AE553" s="5"/>
      <c r="AF553" s="294"/>
      <c r="AG553" s="294"/>
      <c r="AH553" s="294"/>
      <c r="AI553" s="294"/>
      <c r="AJ553" s="294"/>
      <c r="AK553" s="118">
        <v>570000</v>
      </c>
      <c r="AL553" s="118">
        <v>108300</v>
      </c>
      <c r="AM553" s="118">
        <v>678300</v>
      </c>
      <c r="AN553" s="118">
        <v>0</v>
      </c>
      <c r="AO553" s="118" t="s">
        <v>4495</v>
      </c>
      <c r="AP553" s="52"/>
      <c r="AQ553" s="52"/>
      <c r="AR553" s="52"/>
      <c r="AS553" s="52"/>
      <c r="AT553" s="52"/>
      <c r="AU553" s="192"/>
      <c r="AV553" s="192"/>
      <c r="AW553" s="192"/>
      <c r="AX553" s="5"/>
      <c r="AY553" s="5"/>
      <c r="AZ553" s="118">
        <v>759000</v>
      </c>
      <c r="BA553" s="118">
        <v>144210</v>
      </c>
      <c r="BB553" s="118">
        <v>903210</v>
      </c>
      <c r="BC553" s="52" t="s">
        <v>338</v>
      </c>
      <c r="BD553" s="52" t="s">
        <v>4496</v>
      </c>
      <c r="BE553" s="320">
        <v>47217</v>
      </c>
      <c r="BF553" s="320">
        <f t="shared" si="73"/>
        <v>8971.23</v>
      </c>
      <c r="BG553" s="320">
        <f t="shared" si="74"/>
        <v>56188.229999999996</v>
      </c>
      <c r="BH553" s="4" t="s">
        <v>2887</v>
      </c>
      <c r="BI553" s="286" t="s">
        <v>4497</v>
      </c>
      <c r="BJ553" s="52"/>
      <c r="BK553" s="52"/>
      <c r="BL553" s="52"/>
      <c r="BM553" s="52"/>
      <c r="BN553" s="52"/>
      <c r="BO553" s="52"/>
      <c r="BP553" s="52"/>
      <c r="BQ553" s="52"/>
      <c r="BR553" s="52"/>
      <c r="BS553" s="52"/>
      <c r="BT553" s="52"/>
      <c r="BU553" s="52"/>
      <c r="BV553" s="52"/>
      <c r="BW553" s="52"/>
      <c r="BX553" s="52"/>
      <c r="BY553" s="52"/>
      <c r="BZ553" s="52"/>
      <c r="CA553" s="52"/>
      <c r="CB553" s="52"/>
      <c r="CC553" s="52"/>
      <c r="CD553" s="118"/>
      <c r="CE553" s="52"/>
      <c r="CF553" s="52"/>
      <c r="CG553" s="52"/>
      <c r="CH553" s="52"/>
      <c r="CI553" s="52"/>
      <c r="CJ553" s="52"/>
      <c r="CK553" s="52"/>
      <c r="CL553" s="52"/>
      <c r="CM553" s="52"/>
      <c r="CN553" s="118"/>
      <c r="CO553" s="118"/>
      <c r="CP553" s="118"/>
      <c r="CQ553" s="52"/>
      <c r="CR553" s="52"/>
      <c r="CS553" s="52"/>
      <c r="CT553" s="52"/>
      <c r="CU553" s="52"/>
      <c r="CV553" s="52"/>
      <c r="CW553" s="52"/>
      <c r="CX553" s="52"/>
      <c r="CY553" s="52"/>
      <c r="CZ553" s="52"/>
      <c r="DA553" s="52"/>
      <c r="DB553" s="52"/>
    </row>
    <row r="554" spans="1:106" ht="13.5" x14ac:dyDescent="0.25">
      <c r="A554" s="411">
        <v>552</v>
      </c>
      <c r="B554" s="412" t="s">
        <v>4498</v>
      </c>
      <c r="C554" s="413" t="s">
        <v>4499</v>
      </c>
      <c r="D554" s="570" t="s">
        <v>4500</v>
      </c>
      <c r="E554" s="80">
        <v>1</v>
      </c>
      <c r="F554" s="353">
        <v>976594.20600000001</v>
      </c>
      <c r="G554" s="293"/>
      <c r="H554" s="293"/>
      <c r="I554" s="293"/>
      <c r="J554" s="52"/>
      <c r="K554" s="52"/>
      <c r="L554" s="366"/>
      <c r="M554" s="360"/>
      <c r="N554" s="361"/>
      <c r="O554" s="33"/>
      <c r="P554" s="252"/>
      <c r="Q554" s="118"/>
      <c r="R554" s="118"/>
      <c r="S554" s="118"/>
      <c r="T554" s="52"/>
      <c r="U554" s="5"/>
      <c r="V554" s="231"/>
      <c r="W554" s="231"/>
      <c r="X554" s="231"/>
      <c r="Y554" s="118"/>
      <c r="Z554" s="363"/>
      <c r="AA554" s="118" t="s">
        <v>2877</v>
      </c>
      <c r="AB554" s="118"/>
      <c r="AC554" s="118"/>
      <c r="AD554" s="52"/>
      <c r="AE554" s="5"/>
      <c r="AF554" s="294"/>
      <c r="AG554" s="294"/>
      <c r="AH554" s="294"/>
      <c r="AI554" s="294"/>
      <c r="AJ554" s="294"/>
      <c r="AK554" s="118"/>
      <c r="AL554" s="118"/>
      <c r="AM554" s="118"/>
      <c r="AN554" s="118"/>
      <c r="AO554" s="118"/>
      <c r="AP554" s="52"/>
      <c r="AQ554" s="52"/>
      <c r="AR554" s="52"/>
      <c r="AS554" s="52"/>
      <c r="AT554" s="52"/>
      <c r="AU554" s="192"/>
      <c r="AV554" s="192"/>
      <c r="AW554" s="192"/>
      <c r="AX554" s="5"/>
      <c r="AY554" s="5"/>
      <c r="AZ554" s="118">
        <v>759000</v>
      </c>
      <c r="BA554" s="118">
        <v>144210</v>
      </c>
      <c r="BB554" s="118">
        <v>903210</v>
      </c>
      <c r="BC554" s="52" t="s">
        <v>3962</v>
      </c>
      <c r="BD554" s="52" t="s">
        <v>4501</v>
      </c>
      <c r="BE554" s="118"/>
      <c r="BF554" s="118"/>
      <c r="BG554" s="118"/>
      <c r="BH554" s="52"/>
      <c r="BI554" s="283"/>
      <c r="BJ554" s="52"/>
      <c r="BK554" s="52"/>
      <c r="BL554" s="52"/>
      <c r="BM554" s="52"/>
      <c r="BN554" s="52"/>
      <c r="BO554" s="52"/>
      <c r="BP554" s="52"/>
      <c r="BQ554" s="52"/>
      <c r="BR554" s="52"/>
      <c r="BS554" s="52"/>
      <c r="BT554" s="52"/>
      <c r="BU554" s="52"/>
      <c r="BV554" s="52"/>
      <c r="BW554" s="52"/>
      <c r="BX554" s="52"/>
      <c r="BY554" s="52"/>
      <c r="BZ554" s="52"/>
      <c r="CA554" s="52"/>
      <c r="CB554" s="52"/>
      <c r="CC554" s="52"/>
      <c r="CD554" s="118"/>
      <c r="CE554" s="52"/>
      <c r="CF554" s="52"/>
      <c r="CG554" s="52"/>
      <c r="CH554" s="52"/>
      <c r="CI554" s="52"/>
      <c r="CJ554" s="52"/>
      <c r="CK554" s="52"/>
      <c r="CL554" s="52"/>
      <c r="CM554" s="52"/>
      <c r="CN554" s="118"/>
      <c r="CO554" s="118"/>
      <c r="CP554" s="118"/>
      <c r="CQ554" s="52"/>
      <c r="CR554" s="52"/>
      <c r="CS554" s="52"/>
      <c r="CT554" s="52"/>
      <c r="CU554" s="52"/>
      <c r="CV554" s="52"/>
      <c r="CW554" s="52"/>
      <c r="CX554" s="52"/>
      <c r="CY554" s="52"/>
      <c r="CZ554" s="52"/>
      <c r="DA554" s="52"/>
      <c r="DB554" s="52"/>
    </row>
    <row r="555" spans="1:106" ht="40.5" x14ac:dyDescent="0.25">
      <c r="A555" s="411">
        <v>553</v>
      </c>
      <c r="B555" s="409" t="s">
        <v>4502</v>
      </c>
      <c r="C555" s="426" t="s">
        <v>4503</v>
      </c>
      <c r="D555" s="582" t="s">
        <v>554</v>
      </c>
      <c r="E555" s="80">
        <v>1</v>
      </c>
      <c r="F555" s="353">
        <v>66071.647200000007</v>
      </c>
      <c r="G555" s="293"/>
      <c r="H555" s="293"/>
      <c r="I555" s="293"/>
      <c r="J555" s="52"/>
      <c r="K555" s="52"/>
      <c r="L555" s="366"/>
      <c r="M555" s="360"/>
      <c r="N555" s="361"/>
      <c r="O555" s="33"/>
      <c r="P555" s="252"/>
      <c r="Q555" s="118"/>
      <c r="R555" s="118"/>
      <c r="S555" s="118"/>
      <c r="T555" s="52"/>
      <c r="U555" s="5"/>
      <c r="V555" s="231"/>
      <c r="W555" s="231"/>
      <c r="X555" s="231"/>
      <c r="Y555" s="118"/>
      <c r="Z555" s="363"/>
      <c r="AA555" s="118" t="s">
        <v>2877</v>
      </c>
      <c r="AB555" s="118"/>
      <c r="AC555" s="118"/>
      <c r="AD555" s="52"/>
      <c r="AE555" s="5"/>
      <c r="AF555" s="294"/>
      <c r="AG555" s="294"/>
      <c r="AH555" s="294"/>
      <c r="AI555" s="294"/>
      <c r="AJ555" s="294"/>
      <c r="AK555" s="118"/>
      <c r="AL555" s="118"/>
      <c r="AM555" s="118"/>
      <c r="AN555" s="118"/>
      <c r="AO555" s="118"/>
      <c r="AP555" s="52"/>
      <c r="AQ555" s="52"/>
      <c r="AR555" s="52"/>
      <c r="AS555" s="52"/>
      <c r="AT555" s="52"/>
      <c r="AU555" s="192"/>
      <c r="AV555" s="192"/>
      <c r="AW555" s="192"/>
      <c r="AX555" s="5"/>
      <c r="AY555" s="5"/>
      <c r="AZ555" s="118"/>
      <c r="BA555" s="118"/>
      <c r="BB555" s="118"/>
      <c r="BC555" s="52"/>
      <c r="BD555" s="52"/>
      <c r="BE555" s="118"/>
      <c r="BF555" s="118"/>
      <c r="BG555" s="118"/>
      <c r="BH555" s="52"/>
      <c r="BI555" s="283"/>
      <c r="BJ555" s="52"/>
      <c r="BK555" s="52"/>
      <c r="BL555" s="52"/>
      <c r="BM555" s="52"/>
      <c r="BN555" s="52"/>
      <c r="BO555" s="293">
        <f>2500*100</f>
        <v>250000</v>
      </c>
      <c r="BP555" s="118">
        <f>+BO555*0.19</f>
        <v>47500</v>
      </c>
      <c r="BQ555" s="118">
        <f>+BO555+BP555</f>
        <v>297500</v>
      </c>
      <c r="BR555" s="52" t="s">
        <v>3815</v>
      </c>
      <c r="BS555" s="52">
        <v>1496129</v>
      </c>
      <c r="BT555" s="52"/>
      <c r="BU555" s="52"/>
      <c r="BV555" s="52"/>
      <c r="BW555" s="52"/>
      <c r="BX555" s="52"/>
      <c r="BY555" s="293">
        <f>3000*100</f>
        <v>300000</v>
      </c>
      <c r="BZ555" s="118">
        <f>+BY555*0.19</f>
        <v>57000</v>
      </c>
      <c r="CA555" s="364">
        <f>+BY555+BZ555</f>
        <v>357000</v>
      </c>
      <c r="CB555" s="52" t="s">
        <v>4504</v>
      </c>
      <c r="CC555" s="52">
        <v>1496137</v>
      </c>
      <c r="CD555" s="118"/>
      <c r="CE555" s="52"/>
      <c r="CF555" s="52"/>
      <c r="CG555" s="52"/>
      <c r="CH555" s="52"/>
      <c r="CI555" s="52"/>
      <c r="CJ555" s="52"/>
      <c r="CK555" s="52"/>
      <c r="CL555" s="52"/>
      <c r="CM555" s="52"/>
      <c r="CN555" s="118"/>
      <c r="CO555" s="118"/>
      <c r="CP555" s="118"/>
      <c r="CQ555" s="52"/>
      <c r="CR555" s="52"/>
      <c r="CS555" s="52"/>
      <c r="CT555" s="52"/>
      <c r="CU555" s="52"/>
      <c r="CV555" s="52"/>
      <c r="CW555" s="52"/>
      <c r="CX555" s="52"/>
      <c r="CY555" s="52"/>
      <c r="CZ555" s="52"/>
      <c r="DA555" s="52"/>
      <c r="DB555" s="52"/>
    </row>
    <row r="556" spans="1:106" ht="27" x14ac:dyDescent="0.25">
      <c r="A556" s="411">
        <v>554</v>
      </c>
      <c r="B556" s="412" t="s">
        <v>4505</v>
      </c>
      <c r="C556" s="413" t="s">
        <v>622</v>
      </c>
      <c r="D556" s="570" t="s">
        <v>2005</v>
      </c>
      <c r="E556" s="80">
        <v>1</v>
      </c>
      <c r="F556" s="353">
        <v>348155.20600000001</v>
      </c>
      <c r="G556" s="293"/>
      <c r="H556" s="293"/>
      <c r="I556" s="293"/>
      <c r="J556" s="52"/>
      <c r="K556" s="52"/>
      <c r="L556" s="366"/>
      <c r="M556" s="360"/>
      <c r="N556" s="361"/>
      <c r="O556" s="33"/>
      <c r="P556" s="252"/>
      <c r="Q556" s="118"/>
      <c r="R556" s="118"/>
      <c r="S556" s="118"/>
      <c r="T556" s="52"/>
      <c r="U556" s="5"/>
      <c r="V556" s="231"/>
      <c r="W556" s="231"/>
      <c r="X556" s="231"/>
      <c r="Y556" s="118"/>
      <c r="Z556" s="363"/>
      <c r="AA556" s="118" t="s">
        <v>2877</v>
      </c>
      <c r="AB556" s="118"/>
      <c r="AC556" s="118"/>
      <c r="AD556" s="52"/>
      <c r="AE556" s="5"/>
      <c r="AF556" s="294"/>
      <c r="AG556" s="294"/>
      <c r="AH556" s="294"/>
      <c r="AI556" s="294"/>
      <c r="AJ556" s="294"/>
      <c r="AK556" s="118"/>
      <c r="AL556" s="118"/>
      <c r="AM556" s="118"/>
      <c r="AN556" s="118"/>
      <c r="AO556" s="118"/>
      <c r="AP556" s="52"/>
      <c r="AQ556" s="52"/>
      <c r="AR556" s="52"/>
      <c r="AS556" s="52"/>
      <c r="AT556" s="52"/>
      <c r="AU556" s="192"/>
      <c r="AV556" s="192"/>
      <c r="AW556" s="192"/>
      <c r="AX556" s="5"/>
      <c r="AY556" s="5"/>
      <c r="AZ556" s="118"/>
      <c r="BA556" s="118"/>
      <c r="BB556" s="118"/>
      <c r="BC556" s="52"/>
      <c r="BD556" s="52"/>
      <c r="BE556" s="118"/>
      <c r="BF556" s="118"/>
      <c r="BG556" s="118"/>
      <c r="BH556" s="52"/>
      <c r="BI556" s="283"/>
      <c r="BJ556" s="52"/>
      <c r="BK556" s="52"/>
      <c r="BL556" s="52"/>
      <c r="BM556" s="52"/>
      <c r="BN556" s="52"/>
      <c r="BO556" s="52"/>
      <c r="BP556" s="52"/>
      <c r="BQ556" s="52"/>
      <c r="BR556" s="52"/>
      <c r="BS556" s="52"/>
      <c r="BT556" s="52"/>
      <c r="BU556" s="52"/>
      <c r="BV556" s="52"/>
      <c r="BW556" s="52"/>
      <c r="BX556" s="52"/>
      <c r="BY556" s="52"/>
      <c r="BZ556" s="52"/>
      <c r="CA556" s="52"/>
      <c r="CB556" s="52"/>
      <c r="CC556" s="52"/>
      <c r="CD556" s="118"/>
      <c r="CE556" s="52"/>
      <c r="CF556" s="52"/>
      <c r="CG556" s="52"/>
      <c r="CH556" s="52"/>
      <c r="CI556" s="52"/>
      <c r="CJ556" s="52"/>
      <c r="CK556" s="52"/>
      <c r="CL556" s="52"/>
      <c r="CM556" s="52"/>
      <c r="CN556" s="118"/>
      <c r="CO556" s="118"/>
      <c r="CP556" s="118"/>
      <c r="CQ556" s="52"/>
      <c r="CR556" s="52"/>
      <c r="CS556" s="52"/>
      <c r="CT556" s="52"/>
      <c r="CU556" s="52"/>
      <c r="CV556" s="52"/>
      <c r="CW556" s="52"/>
      <c r="CX556" s="52"/>
      <c r="CY556" s="52"/>
      <c r="CZ556" s="52"/>
      <c r="DA556" s="52"/>
      <c r="DB556" s="52"/>
    </row>
    <row r="557" spans="1:106" ht="27" x14ac:dyDescent="0.25">
      <c r="A557" s="411">
        <v>555</v>
      </c>
      <c r="B557" s="412" t="s">
        <v>4506</v>
      </c>
      <c r="C557" s="426" t="s">
        <v>4507</v>
      </c>
      <c r="D557" s="570" t="s">
        <v>445</v>
      </c>
      <c r="E557" s="80">
        <v>1</v>
      </c>
      <c r="F557" s="353">
        <v>2262.3804</v>
      </c>
      <c r="G557" s="293"/>
      <c r="H557" s="293"/>
      <c r="I557" s="293"/>
      <c r="J557" s="52"/>
      <c r="K557" s="52"/>
      <c r="L557" s="366"/>
      <c r="M557" s="360"/>
      <c r="N557" s="361"/>
      <c r="O557" s="33"/>
      <c r="P557" s="252"/>
      <c r="Q557" s="118"/>
      <c r="R557" s="118"/>
      <c r="S557" s="118"/>
      <c r="T557" s="52"/>
      <c r="U557" s="5"/>
      <c r="V557" s="231"/>
      <c r="W557" s="231"/>
      <c r="X557" s="231"/>
      <c r="Y557" s="118"/>
      <c r="Z557" s="363"/>
      <c r="AA557" s="118" t="s">
        <v>2877</v>
      </c>
      <c r="AB557" s="118"/>
      <c r="AC557" s="118"/>
      <c r="AD557" s="52"/>
      <c r="AE557" s="5"/>
      <c r="AF557" s="294"/>
      <c r="AG557" s="294"/>
      <c r="AH557" s="294"/>
      <c r="AI557" s="294"/>
      <c r="AJ557" s="294"/>
      <c r="AK557" s="118"/>
      <c r="AL557" s="118"/>
      <c r="AM557" s="118"/>
      <c r="AN557" s="118"/>
      <c r="AO557" s="118"/>
      <c r="AP557" s="52"/>
      <c r="AQ557" s="52"/>
      <c r="AR557" s="52"/>
      <c r="AS557" s="52"/>
      <c r="AT557" s="52"/>
      <c r="AU557" s="192"/>
      <c r="AV557" s="192"/>
      <c r="AW557" s="192"/>
      <c r="AX557" s="5"/>
      <c r="AY557" s="5"/>
      <c r="AZ557" s="118"/>
      <c r="BA557" s="118"/>
      <c r="BB557" s="118"/>
      <c r="BC557" s="52"/>
      <c r="BD557" s="52"/>
      <c r="BE557" s="118"/>
      <c r="BF557" s="118"/>
      <c r="BG557" s="118"/>
      <c r="BH557" s="52"/>
      <c r="BI557" s="283"/>
      <c r="BJ557" s="52"/>
      <c r="BK557" s="52"/>
      <c r="BL557" s="52"/>
      <c r="BM557" s="52"/>
      <c r="BN557" s="52"/>
      <c r="BO557" s="52"/>
      <c r="BP557" s="52"/>
      <c r="BQ557" s="52"/>
      <c r="BR557" s="52"/>
      <c r="BS557" s="52"/>
      <c r="BT557" s="52"/>
      <c r="BU557" s="52"/>
      <c r="BV557" s="52"/>
      <c r="BW557" s="52"/>
      <c r="BX557" s="52"/>
      <c r="BY557" s="52"/>
      <c r="BZ557" s="52"/>
      <c r="CA557" s="52"/>
      <c r="CB557" s="52"/>
      <c r="CC557" s="52"/>
      <c r="CD557" s="118"/>
      <c r="CE557" s="52"/>
      <c r="CF557" s="52"/>
      <c r="CG557" s="52"/>
      <c r="CH557" s="52"/>
      <c r="CI557" s="52"/>
      <c r="CJ557" s="52"/>
      <c r="CK557" s="52"/>
      <c r="CL557" s="52"/>
      <c r="CM557" s="52"/>
      <c r="CN557" s="118"/>
      <c r="CO557" s="118"/>
      <c r="CP557" s="118"/>
      <c r="CQ557" s="52"/>
      <c r="CR557" s="52"/>
      <c r="CS557" s="52"/>
      <c r="CT557" s="52"/>
      <c r="CU557" s="52"/>
      <c r="CV557" s="52"/>
      <c r="CW557" s="52"/>
      <c r="CX557" s="52"/>
      <c r="CY557" s="52"/>
      <c r="CZ557" s="52"/>
      <c r="DA557" s="52"/>
      <c r="DB557" s="52"/>
    </row>
    <row r="558" spans="1:106" ht="27" x14ac:dyDescent="0.25">
      <c r="A558" s="411">
        <v>556</v>
      </c>
      <c r="B558" s="412" t="s">
        <v>4508</v>
      </c>
      <c r="C558" s="413" t="s">
        <v>4509</v>
      </c>
      <c r="D558" s="570" t="s">
        <v>2005</v>
      </c>
      <c r="E558" s="80">
        <v>1</v>
      </c>
      <c r="F558" s="355">
        <v>167441.49840000001</v>
      </c>
      <c r="G558" s="293">
        <f>2600*100</f>
        <v>260000</v>
      </c>
      <c r="H558" s="293">
        <f>+G558*0.19</f>
        <v>49400</v>
      </c>
      <c r="I558" s="293">
        <f>+G558+H558</f>
        <v>309400</v>
      </c>
      <c r="J558" s="52" t="s">
        <v>2956</v>
      </c>
      <c r="K558" s="52" t="s">
        <v>4510</v>
      </c>
      <c r="L558" s="366"/>
      <c r="M558" s="360"/>
      <c r="N558" s="361"/>
      <c r="O558" s="33"/>
      <c r="P558" s="252"/>
      <c r="Q558" s="118"/>
      <c r="R558" s="118"/>
      <c r="S558" s="118"/>
      <c r="T558" s="52"/>
      <c r="U558" s="5"/>
      <c r="V558" s="231"/>
      <c r="W558" s="231"/>
      <c r="X558" s="231"/>
      <c r="Y558" s="118"/>
      <c r="Z558" s="363"/>
      <c r="AA558" s="118" t="s">
        <v>2877</v>
      </c>
      <c r="AB558" s="118"/>
      <c r="AC558" s="118"/>
      <c r="AD558" s="52"/>
      <c r="AE558" s="5"/>
      <c r="AF558" s="294"/>
      <c r="AG558" s="294"/>
      <c r="AH558" s="294"/>
      <c r="AI558" s="294"/>
      <c r="AJ558" s="294"/>
      <c r="AK558" s="118"/>
      <c r="AL558" s="118"/>
      <c r="AM558" s="118"/>
      <c r="AN558" s="118"/>
      <c r="AO558" s="118"/>
      <c r="AP558" s="52"/>
      <c r="AQ558" s="52"/>
      <c r="AR558" s="52"/>
      <c r="AS558" s="52"/>
      <c r="AT558" s="52"/>
      <c r="AU558" s="192"/>
      <c r="AV558" s="192"/>
      <c r="AW558" s="192"/>
      <c r="AX558" s="5"/>
      <c r="AY558" s="5"/>
      <c r="AZ558" s="118"/>
      <c r="BA558" s="118"/>
      <c r="BB558" s="118"/>
      <c r="BC558" s="52"/>
      <c r="BD558" s="52"/>
      <c r="BE558" s="118"/>
      <c r="BF558" s="118"/>
      <c r="BG558" s="118"/>
      <c r="BH558" s="52"/>
      <c r="BI558" s="283"/>
      <c r="BJ558" s="52"/>
      <c r="BK558" s="52"/>
      <c r="BL558" s="52"/>
      <c r="BM558" s="52"/>
      <c r="BN558" s="52"/>
      <c r="BO558" s="52"/>
      <c r="BP558" s="52"/>
      <c r="BQ558" s="52"/>
      <c r="BR558" s="52"/>
      <c r="BS558" s="52"/>
      <c r="BT558" s="52"/>
      <c r="BU558" s="52"/>
      <c r="BV558" s="52"/>
      <c r="BW558" s="52"/>
      <c r="BX558" s="52"/>
      <c r="BY558" s="52"/>
      <c r="BZ558" s="52"/>
      <c r="CA558" s="52"/>
      <c r="CB558" s="52"/>
      <c r="CC558" s="52"/>
      <c r="CD558" s="118"/>
      <c r="CE558" s="52"/>
      <c r="CF558" s="52"/>
      <c r="CG558" s="52"/>
      <c r="CH558" s="52"/>
      <c r="CI558" s="52"/>
      <c r="CJ558" s="52"/>
      <c r="CK558" s="52"/>
      <c r="CL558" s="52"/>
      <c r="CM558" s="52"/>
      <c r="CN558" s="118"/>
      <c r="CO558" s="118"/>
      <c r="CP558" s="118"/>
      <c r="CQ558" s="52"/>
      <c r="CR558" s="52"/>
      <c r="CS558" s="52"/>
      <c r="CT558" s="52"/>
      <c r="CU558" s="52"/>
      <c r="CV558" s="52"/>
      <c r="CW558" s="52"/>
      <c r="CX558" s="52"/>
      <c r="CY558" s="52"/>
      <c r="CZ558" s="52"/>
      <c r="DA558" s="52"/>
      <c r="DB558" s="52"/>
    </row>
    <row r="559" spans="1:106" ht="40.5" x14ac:dyDescent="0.25">
      <c r="A559" s="411">
        <v>557</v>
      </c>
      <c r="B559" s="412" t="s">
        <v>4511</v>
      </c>
      <c r="C559" s="413" t="s">
        <v>622</v>
      </c>
      <c r="D559" s="570" t="s">
        <v>445</v>
      </c>
      <c r="E559" s="80">
        <v>1</v>
      </c>
      <c r="F559" s="353">
        <v>4222.6876000000002</v>
      </c>
      <c r="G559" s="293"/>
      <c r="H559" s="293"/>
      <c r="I559" s="293"/>
      <c r="J559" s="52"/>
      <c r="K559" s="52"/>
      <c r="L559" s="366"/>
      <c r="M559" s="360"/>
      <c r="N559" s="361"/>
      <c r="O559" s="33"/>
      <c r="P559" s="252"/>
      <c r="Q559" s="118"/>
      <c r="R559" s="118"/>
      <c r="S559" s="118"/>
      <c r="T559" s="52"/>
      <c r="U559" s="5"/>
      <c r="V559" s="231"/>
      <c r="W559" s="231"/>
      <c r="X559" s="231"/>
      <c r="Y559" s="118"/>
      <c r="Z559" s="363"/>
      <c r="AA559" s="118" t="s">
        <v>2877</v>
      </c>
      <c r="AB559" s="118"/>
      <c r="AC559" s="118"/>
      <c r="AD559" s="52"/>
      <c r="AE559" s="5"/>
      <c r="AF559" s="294"/>
      <c r="AG559" s="294"/>
      <c r="AH559" s="294"/>
      <c r="AI559" s="294"/>
      <c r="AJ559" s="294"/>
      <c r="AK559" s="118"/>
      <c r="AL559" s="118"/>
      <c r="AM559" s="118"/>
      <c r="AN559" s="118"/>
      <c r="AO559" s="118"/>
      <c r="AP559" s="52"/>
      <c r="AQ559" s="52"/>
      <c r="AR559" s="52"/>
      <c r="AS559" s="52"/>
      <c r="AT559" s="52"/>
      <c r="AU559" s="192"/>
      <c r="AV559" s="192"/>
      <c r="AW559" s="192"/>
      <c r="AX559" s="5"/>
      <c r="AY559" s="5"/>
      <c r="AZ559" s="118"/>
      <c r="BA559" s="118"/>
      <c r="BB559" s="118"/>
      <c r="BC559" s="52"/>
      <c r="BD559" s="52"/>
      <c r="BE559" s="118"/>
      <c r="BF559" s="118"/>
      <c r="BG559" s="118"/>
      <c r="BH559" s="52"/>
      <c r="BI559" s="283"/>
      <c r="BJ559" s="52"/>
      <c r="BK559" s="52"/>
      <c r="BL559" s="52"/>
      <c r="BM559" s="52"/>
      <c r="BN559" s="52"/>
      <c r="BO559" s="293">
        <v>3500</v>
      </c>
      <c r="BP559" s="118">
        <f>+BO559*0.19</f>
        <v>665</v>
      </c>
      <c r="BQ559" s="118">
        <f>+BO559+BP559</f>
        <v>4165</v>
      </c>
      <c r="BR559" s="52" t="s">
        <v>3815</v>
      </c>
      <c r="BS559" s="52" t="s">
        <v>4512</v>
      </c>
      <c r="BT559" s="52"/>
      <c r="BU559" s="52"/>
      <c r="BV559" s="52"/>
      <c r="BW559" s="52"/>
      <c r="BX559" s="52"/>
      <c r="BY559" s="52"/>
      <c r="BZ559" s="52"/>
      <c r="CA559" s="52"/>
      <c r="CB559" s="52"/>
      <c r="CC559" s="52"/>
      <c r="CD559" s="118"/>
      <c r="CE559" s="52"/>
      <c r="CF559" s="52"/>
      <c r="CG559" s="52"/>
      <c r="CH559" s="52"/>
      <c r="CI559" s="52"/>
      <c r="CJ559" s="52"/>
      <c r="CK559" s="52"/>
      <c r="CL559" s="52"/>
      <c r="CM559" s="52"/>
      <c r="CN559" s="118"/>
      <c r="CO559" s="118"/>
      <c r="CP559" s="118"/>
      <c r="CQ559" s="52"/>
      <c r="CR559" s="52"/>
      <c r="CS559" s="52"/>
      <c r="CT559" s="52"/>
      <c r="CU559" s="52"/>
      <c r="CV559" s="52"/>
      <c r="CW559" s="52"/>
      <c r="CX559" s="52"/>
      <c r="CY559" s="52"/>
      <c r="CZ559" s="52"/>
      <c r="DA559" s="52"/>
      <c r="DB559" s="52"/>
    </row>
    <row r="560" spans="1:106" ht="27" x14ac:dyDescent="0.25">
      <c r="A560" s="411">
        <v>558</v>
      </c>
      <c r="B560" s="412" t="s">
        <v>4513</v>
      </c>
      <c r="C560" s="413" t="s">
        <v>4514</v>
      </c>
      <c r="D560" s="570" t="s">
        <v>4515</v>
      </c>
      <c r="E560" s="80">
        <v>1</v>
      </c>
      <c r="F560" s="353">
        <v>569365.73400000005</v>
      </c>
      <c r="G560" s="293">
        <f>2400*144</f>
        <v>345600</v>
      </c>
      <c r="H560" s="293">
        <f>+G560*0.19</f>
        <v>65664</v>
      </c>
      <c r="I560" s="293">
        <f>+H560+G560</f>
        <v>411264</v>
      </c>
      <c r="J560" s="52" t="s">
        <v>2956</v>
      </c>
      <c r="K560" s="52" t="s">
        <v>4516</v>
      </c>
      <c r="L560" s="359"/>
      <c r="M560" s="360"/>
      <c r="N560" s="361"/>
      <c r="O560" s="33"/>
      <c r="P560" s="252"/>
      <c r="Q560" s="113"/>
      <c r="R560" s="113"/>
      <c r="S560" s="113"/>
      <c r="T560" s="52"/>
      <c r="U560" s="5"/>
      <c r="V560" s="231"/>
      <c r="W560" s="231"/>
      <c r="X560" s="231"/>
      <c r="Y560" s="113"/>
      <c r="Z560" s="357"/>
      <c r="AA560" s="118" t="s">
        <v>2877</v>
      </c>
      <c r="AB560" s="118"/>
      <c r="AC560" s="118"/>
      <c r="AD560" s="52"/>
      <c r="AE560" s="5"/>
      <c r="AF560" s="358"/>
      <c r="AG560" s="358"/>
      <c r="AH560" s="358"/>
      <c r="AI560" s="358"/>
      <c r="AJ560" s="358"/>
      <c r="AK560" s="113"/>
      <c r="AL560" s="113"/>
      <c r="AM560" s="113"/>
      <c r="AN560" s="113"/>
      <c r="AO560" s="113"/>
      <c r="AP560" s="52"/>
      <c r="AQ560" s="52"/>
      <c r="AR560" s="52"/>
      <c r="AS560" s="52"/>
      <c r="AT560" s="52"/>
      <c r="AU560" s="125"/>
      <c r="AV560" s="125"/>
      <c r="AW560" s="125"/>
      <c r="AX560" s="5"/>
      <c r="AY560" s="5"/>
      <c r="AZ560" s="113">
        <v>635000</v>
      </c>
      <c r="BA560" s="113">
        <v>120650</v>
      </c>
      <c r="BB560" s="113">
        <v>755650</v>
      </c>
      <c r="BC560" s="52" t="s">
        <v>338</v>
      </c>
      <c r="BD560" s="52" t="s">
        <v>4517</v>
      </c>
      <c r="BE560" s="118"/>
      <c r="BF560" s="118"/>
      <c r="BG560" s="118"/>
      <c r="BH560" s="52"/>
      <c r="BI560" s="283"/>
      <c r="BJ560" s="52"/>
      <c r="BK560" s="52"/>
      <c r="BL560" s="52"/>
      <c r="BM560" s="52"/>
      <c r="BN560" s="52"/>
      <c r="BO560" s="52"/>
      <c r="BP560" s="52"/>
      <c r="BQ560" s="52"/>
      <c r="BR560" s="52"/>
      <c r="BS560" s="52"/>
      <c r="BT560" s="52"/>
      <c r="BU560" s="52"/>
      <c r="BV560" s="52"/>
      <c r="BW560" s="52"/>
      <c r="BX560" s="52"/>
      <c r="BY560" s="52"/>
      <c r="BZ560" s="52"/>
      <c r="CA560" s="52"/>
      <c r="CB560" s="52"/>
      <c r="CC560" s="52"/>
      <c r="CD560" s="118"/>
      <c r="CE560" s="52"/>
      <c r="CF560" s="52"/>
      <c r="CG560" s="52"/>
      <c r="CH560" s="52"/>
      <c r="CI560" s="52"/>
      <c r="CJ560" s="52"/>
      <c r="CK560" s="52"/>
      <c r="CL560" s="52"/>
      <c r="CM560" s="52"/>
      <c r="CN560" s="118"/>
      <c r="CO560" s="118"/>
      <c r="CP560" s="118"/>
      <c r="CQ560" s="52"/>
      <c r="CR560" s="52"/>
      <c r="CS560" s="52"/>
      <c r="CT560" s="52"/>
      <c r="CU560" s="52"/>
      <c r="CV560" s="52"/>
      <c r="CW560" s="52"/>
      <c r="CX560" s="52"/>
      <c r="CY560" s="52"/>
      <c r="CZ560" s="52"/>
      <c r="DA560" s="52"/>
      <c r="DB560" s="52"/>
    </row>
    <row r="561" spans="1:106" ht="40.5" x14ac:dyDescent="0.25">
      <c r="A561" s="411">
        <v>559</v>
      </c>
      <c r="B561" s="412" t="s">
        <v>4518</v>
      </c>
      <c r="C561" s="413" t="s">
        <v>4519</v>
      </c>
      <c r="D561" s="570" t="s">
        <v>2924</v>
      </c>
      <c r="E561" s="80">
        <v>1</v>
      </c>
      <c r="F561" s="353">
        <v>43990.73</v>
      </c>
      <c r="G561" s="293"/>
      <c r="H561" s="293"/>
      <c r="I561" s="293"/>
      <c r="J561" s="52"/>
      <c r="K561" s="52"/>
      <c r="L561" s="366"/>
      <c r="M561" s="360"/>
      <c r="N561" s="361"/>
      <c r="O561" s="33"/>
      <c r="P561" s="252"/>
      <c r="Q561" s="118"/>
      <c r="R561" s="118"/>
      <c r="S561" s="118"/>
      <c r="T561" s="52"/>
      <c r="U561" s="5"/>
      <c r="V561" s="231"/>
      <c r="W561" s="231"/>
      <c r="X561" s="231"/>
      <c r="Y561" s="118"/>
      <c r="Z561" s="363"/>
      <c r="AA561" s="118" t="s">
        <v>2877</v>
      </c>
      <c r="AB561" s="118"/>
      <c r="AC561" s="118"/>
      <c r="AD561" s="52"/>
      <c r="AE561" s="5"/>
      <c r="AF561" s="294"/>
      <c r="AG561" s="294"/>
      <c r="AH561" s="294"/>
      <c r="AI561" s="294"/>
      <c r="AJ561" s="294"/>
      <c r="AK561" s="118"/>
      <c r="AL561" s="118"/>
      <c r="AM561" s="118"/>
      <c r="AN561" s="118"/>
      <c r="AO561" s="118"/>
      <c r="AP561" s="52"/>
      <c r="AQ561" s="52"/>
      <c r="AR561" s="52"/>
      <c r="AS561" s="52"/>
      <c r="AT561" s="52"/>
      <c r="AU561" s="192"/>
      <c r="AV561" s="192"/>
      <c r="AW561" s="192"/>
      <c r="AX561" s="5"/>
      <c r="AY561" s="5"/>
      <c r="AZ561" s="118"/>
      <c r="BA561" s="118"/>
      <c r="BB561" s="118"/>
      <c r="BC561" s="52"/>
      <c r="BD561" s="52"/>
      <c r="BE561" s="118"/>
      <c r="BF561" s="118"/>
      <c r="BG561" s="118"/>
      <c r="BH561" s="52"/>
      <c r="BI561" s="283"/>
      <c r="BJ561" s="52"/>
      <c r="BK561" s="52"/>
      <c r="BL561" s="52"/>
      <c r="BM561" s="52"/>
      <c r="BN561" s="52"/>
      <c r="BO561" s="52"/>
      <c r="BP561" s="52"/>
      <c r="BQ561" s="52"/>
      <c r="BR561" s="52"/>
      <c r="BS561" s="52"/>
      <c r="BT561" s="52"/>
      <c r="BU561" s="52"/>
      <c r="BV561" s="52"/>
      <c r="BW561" s="52"/>
      <c r="BX561" s="52"/>
      <c r="BY561" s="118">
        <f>4000*10</f>
        <v>40000</v>
      </c>
      <c r="BZ561" s="118">
        <f>+BY561*0.19</f>
        <v>7600</v>
      </c>
      <c r="CA561" s="364">
        <f>+BY561+BZ561</f>
        <v>47600</v>
      </c>
      <c r="CB561" s="52" t="s">
        <v>4504</v>
      </c>
      <c r="CC561" s="52" t="s">
        <v>4512</v>
      </c>
      <c r="CD561" s="118"/>
      <c r="CE561" s="52"/>
      <c r="CF561" s="52"/>
      <c r="CG561" s="52"/>
      <c r="CH561" s="52"/>
      <c r="CI561" s="52"/>
      <c r="CJ561" s="52"/>
      <c r="CK561" s="52"/>
      <c r="CL561" s="52"/>
      <c r="CM561" s="52"/>
      <c r="CN561" s="118"/>
      <c r="CO561" s="118"/>
      <c r="CP561" s="118"/>
      <c r="CQ561" s="52"/>
      <c r="CR561" s="52"/>
      <c r="CS561" s="52"/>
      <c r="CT561" s="52"/>
      <c r="CU561" s="52"/>
      <c r="CV561" s="52"/>
      <c r="CW561" s="52"/>
      <c r="CX561" s="52"/>
      <c r="CY561" s="52"/>
      <c r="CZ561" s="52"/>
      <c r="DA561" s="52"/>
      <c r="DB561" s="52"/>
    </row>
    <row r="562" spans="1:106" ht="40.5" x14ac:dyDescent="0.25">
      <c r="A562" s="411">
        <v>560</v>
      </c>
      <c r="B562" s="415" t="s">
        <v>4520</v>
      </c>
      <c r="C562" s="426" t="s">
        <v>4521</v>
      </c>
      <c r="D562" s="570" t="s">
        <v>4522</v>
      </c>
      <c r="E562" s="80">
        <v>1</v>
      </c>
      <c r="F562" s="353">
        <v>70385.168000000005</v>
      </c>
      <c r="G562" s="293"/>
      <c r="H562" s="293"/>
      <c r="I562" s="293"/>
      <c r="J562" s="52"/>
      <c r="K562" s="52"/>
      <c r="L562" s="366"/>
      <c r="M562" s="360"/>
      <c r="N562" s="361"/>
      <c r="O562" s="33"/>
      <c r="P562" s="252"/>
      <c r="Q562" s="118"/>
      <c r="R562" s="118"/>
      <c r="S562" s="118"/>
      <c r="T562" s="52"/>
      <c r="U562" s="5"/>
      <c r="V562" s="231"/>
      <c r="W562" s="231"/>
      <c r="X562" s="231"/>
      <c r="Y562" s="118"/>
      <c r="Z562" s="363"/>
      <c r="AA562" s="118" t="s">
        <v>2877</v>
      </c>
      <c r="AB562" s="118"/>
      <c r="AC562" s="118"/>
      <c r="AD562" s="52"/>
      <c r="AE562" s="5"/>
      <c r="AF562" s="294"/>
      <c r="AG562" s="294"/>
      <c r="AH562" s="294"/>
      <c r="AI562" s="294"/>
      <c r="AJ562" s="294"/>
      <c r="AK562" s="118"/>
      <c r="AL562" s="118"/>
      <c r="AM562" s="118"/>
      <c r="AN562" s="118"/>
      <c r="AO562" s="118"/>
      <c r="AP562" s="52"/>
      <c r="AQ562" s="52"/>
      <c r="AR562" s="52"/>
      <c r="AS562" s="52"/>
      <c r="AT562" s="52"/>
      <c r="AU562" s="192"/>
      <c r="AV562" s="192"/>
      <c r="AW562" s="192"/>
      <c r="AX562" s="5"/>
      <c r="AY562" s="5"/>
      <c r="AZ562" s="118">
        <v>140000</v>
      </c>
      <c r="BA562" s="118">
        <v>26600</v>
      </c>
      <c r="BB562" s="118">
        <v>166600</v>
      </c>
      <c r="BC562" s="52"/>
      <c r="BD562" s="52"/>
      <c r="BE562" s="118"/>
      <c r="BF562" s="118"/>
      <c r="BG562" s="118"/>
      <c r="BH562" s="52"/>
      <c r="BI562" s="283"/>
      <c r="BJ562" s="52"/>
      <c r="BK562" s="52"/>
      <c r="BL562" s="52"/>
      <c r="BM562" s="52"/>
      <c r="BN562" s="52"/>
      <c r="BO562" s="52"/>
      <c r="BP562" s="52"/>
      <c r="BQ562" s="52"/>
      <c r="BR562" s="52"/>
      <c r="BS562" s="52"/>
      <c r="BT562" s="52"/>
      <c r="BU562" s="52"/>
      <c r="BV562" s="52"/>
      <c r="BW562" s="52"/>
      <c r="BX562" s="52"/>
      <c r="BY562" s="52"/>
      <c r="BZ562" s="52"/>
      <c r="CA562" s="52"/>
      <c r="CB562" s="52"/>
      <c r="CC562" s="52"/>
      <c r="CD562" s="118"/>
      <c r="CE562" s="52"/>
      <c r="CF562" s="52"/>
      <c r="CG562" s="52"/>
      <c r="CH562" s="52"/>
      <c r="CI562" s="52"/>
      <c r="CJ562" s="52"/>
      <c r="CK562" s="52"/>
      <c r="CL562" s="52"/>
      <c r="CM562" s="52"/>
      <c r="CN562" s="118"/>
      <c r="CO562" s="118"/>
      <c r="CP562" s="118"/>
      <c r="CQ562" s="52"/>
      <c r="CR562" s="52"/>
      <c r="CS562" s="52"/>
      <c r="CT562" s="52"/>
      <c r="CU562" s="52"/>
      <c r="CV562" s="52"/>
      <c r="CW562" s="52"/>
      <c r="CX562" s="52"/>
      <c r="CY562" s="52"/>
      <c r="CZ562" s="52"/>
      <c r="DA562" s="52"/>
      <c r="DB562" s="52"/>
    </row>
    <row r="563" spans="1:106" ht="54" x14ac:dyDescent="0.25">
      <c r="A563" s="411">
        <v>561</v>
      </c>
      <c r="B563" s="415" t="s">
        <v>4523</v>
      </c>
      <c r="C563" s="413" t="s">
        <v>4524</v>
      </c>
      <c r="D563" s="570" t="s">
        <v>4477</v>
      </c>
      <c r="E563" s="80">
        <v>1</v>
      </c>
      <c r="F563" s="353">
        <v>282797.55</v>
      </c>
      <c r="G563" s="293">
        <v>107100</v>
      </c>
      <c r="H563" s="293">
        <v>20349</v>
      </c>
      <c r="I563" s="293">
        <v>127449</v>
      </c>
      <c r="J563" s="52" t="s">
        <v>2956</v>
      </c>
      <c r="K563" s="52" t="s">
        <v>4525</v>
      </c>
      <c r="L563" s="359"/>
      <c r="M563" s="360"/>
      <c r="N563" s="361"/>
      <c r="O563" s="33"/>
      <c r="P563" s="252"/>
      <c r="Q563" s="113"/>
      <c r="R563" s="113"/>
      <c r="S563" s="113"/>
      <c r="T563" s="52"/>
      <c r="U563" s="5"/>
      <c r="V563" s="231"/>
      <c r="W563" s="231"/>
      <c r="X563" s="231"/>
      <c r="Y563" s="113"/>
      <c r="Z563" s="357"/>
      <c r="AA563" s="118" t="s">
        <v>2877</v>
      </c>
      <c r="AB563" s="118"/>
      <c r="AC563" s="118"/>
      <c r="AD563" s="52"/>
      <c r="AE563" s="5"/>
      <c r="AF563" s="358"/>
      <c r="AG563" s="358"/>
      <c r="AH563" s="358"/>
      <c r="AI563" s="358"/>
      <c r="AJ563" s="358"/>
      <c r="AK563" s="113"/>
      <c r="AL563" s="113"/>
      <c r="AM563" s="113"/>
      <c r="AN563" s="113"/>
      <c r="AO563" s="113"/>
      <c r="AP563" s="52"/>
      <c r="AQ563" s="52"/>
      <c r="AR563" s="52"/>
      <c r="AS563" s="52"/>
      <c r="AT563" s="52"/>
      <c r="AU563" s="125"/>
      <c r="AV563" s="125"/>
      <c r="AW563" s="125"/>
      <c r="AX563" s="5"/>
      <c r="AY563" s="5"/>
      <c r="AZ563" s="113">
        <v>218000</v>
      </c>
      <c r="BA563" s="113">
        <v>41420</v>
      </c>
      <c r="BB563" s="113">
        <v>259420</v>
      </c>
      <c r="BC563" s="52" t="s">
        <v>338</v>
      </c>
      <c r="BD563" s="52" t="s">
        <v>4479</v>
      </c>
      <c r="BE563" s="118"/>
      <c r="BF563" s="118"/>
      <c r="BG563" s="118"/>
      <c r="BH563" s="52"/>
      <c r="BI563" s="283"/>
      <c r="BJ563" s="52"/>
      <c r="BK563" s="52"/>
      <c r="BL563" s="52"/>
      <c r="BM563" s="52"/>
      <c r="BN563" s="52"/>
      <c r="BO563" s="52"/>
      <c r="BP563" s="52"/>
      <c r="BQ563" s="52"/>
      <c r="BR563" s="52"/>
      <c r="BS563" s="52"/>
      <c r="BT563" s="52"/>
      <c r="BU563" s="52"/>
      <c r="BV563" s="52"/>
      <c r="BW563" s="52"/>
      <c r="BX563" s="52"/>
      <c r="BY563" s="52"/>
      <c r="BZ563" s="52"/>
      <c r="CA563" s="52"/>
      <c r="CB563" s="52"/>
      <c r="CC563" s="52"/>
      <c r="CD563" s="118"/>
      <c r="CE563" s="52"/>
      <c r="CF563" s="52"/>
      <c r="CG563" s="52"/>
      <c r="CH563" s="52"/>
      <c r="CI563" s="52"/>
      <c r="CJ563" s="52"/>
      <c r="CK563" s="52"/>
      <c r="CL563" s="52"/>
      <c r="CM563" s="52"/>
      <c r="CN563" s="118"/>
      <c r="CO563" s="118"/>
      <c r="CP563" s="118"/>
      <c r="CQ563" s="52"/>
      <c r="CR563" s="52"/>
      <c r="CS563" s="52"/>
      <c r="CT563" s="52"/>
      <c r="CU563" s="52"/>
      <c r="CV563" s="52"/>
      <c r="CW563" s="52"/>
      <c r="CX563" s="52"/>
      <c r="CY563" s="52"/>
      <c r="CZ563" s="52"/>
      <c r="DA563" s="52"/>
      <c r="DB563" s="52"/>
    </row>
    <row r="564" spans="1:106" ht="13.5" x14ac:dyDescent="0.25">
      <c r="A564" s="411">
        <v>562</v>
      </c>
      <c r="B564" s="415" t="s">
        <v>4526</v>
      </c>
      <c r="C564" s="413" t="s">
        <v>4527</v>
      </c>
      <c r="D564" s="570" t="s">
        <v>4528</v>
      </c>
      <c r="E564" s="80">
        <v>1</v>
      </c>
      <c r="F564" s="353">
        <v>8710.4814000000006</v>
      </c>
      <c r="G564" s="293">
        <v>12300</v>
      </c>
      <c r="H564" s="293">
        <v>2337</v>
      </c>
      <c r="I564" s="293">
        <v>14637</v>
      </c>
      <c r="J564" s="52" t="s">
        <v>3244</v>
      </c>
      <c r="K564" s="52" t="s">
        <v>4529</v>
      </c>
      <c r="L564" s="366"/>
      <c r="M564" s="360"/>
      <c r="N564" s="361"/>
      <c r="O564" s="33"/>
      <c r="P564" s="252"/>
      <c r="Q564" s="118"/>
      <c r="R564" s="118"/>
      <c r="S564" s="118"/>
      <c r="T564" s="52"/>
      <c r="U564" s="5"/>
      <c r="V564" s="231"/>
      <c r="W564" s="231"/>
      <c r="X564" s="231"/>
      <c r="Y564" s="118"/>
      <c r="Z564" s="363"/>
      <c r="AA564" s="118" t="s">
        <v>2877</v>
      </c>
      <c r="AB564" s="118"/>
      <c r="AC564" s="118"/>
      <c r="AD564" s="52"/>
      <c r="AE564" s="5"/>
      <c r="AF564" s="294"/>
      <c r="AG564" s="294"/>
      <c r="AH564" s="294"/>
      <c r="AI564" s="294"/>
      <c r="AJ564" s="294"/>
      <c r="AK564" s="118"/>
      <c r="AL564" s="118"/>
      <c r="AM564" s="118"/>
      <c r="AN564" s="118"/>
      <c r="AO564" s="118"/>
      <c r="AP564" s="52"/>
      <c r="AQ564" s="52"/>
      <c r="AR564" s="52"/>
      <c r="AS564" s="52"/>
      <c r="AT564" s="52"/>
      <c r="AU564" s="192"/>
      <c r="AV564" s="192"/>
      <c r="AW564" s="192"/>
      <c r="AX564" s="5"/>
      <c r="AY564" s="5"/>
      <c r="AZ564" s="118">
        <v>166000</v>
      </c>
      <c r="BA564" s="118">
        <v>31540</v>
      </c>
      <c r="BB564" s="118">
        <v>197540</v>
      </c>
      <c r="BC564" s="52" t="s">
        <v>2925</v>
      </c>
      <c r="BD564" s="52" t="s">
        <v>4530</v>
      </c>
      <c r="BE564" s="118"/>
      <c r="BF564" s="118"/>
      <c r="BG564" s="118"/>
      <c r="BH564" s="52"/>
      <c r="BI564" s="283"/>
      <c r="BJ564" s="52"/>
      <c r="BK564" s="52"/>
      <c r="BL564" s="52"/>
      <c r="BM564" s="52"/>
      <c r="BN564" s="52"/>
      <c r="BO564" s="52"/>
      <c r="BP564" s="52"/>
      <c r="BQ564" s="52"/>
      <c r="BR564" s="52"/>
      <c r="BS564" s="52"/>
      <c r="BT564" s="52"/>
      <c r="BU564" s="52"/>
      <c r="BV564" s="52"/>
      <c r="BW564" s="52"/>
      <c r="BX564" s="52"/>
      <c r="BY564" s="52"/>
      <c r="BZ564" s="52"/>
      <c r="CA564" s="52"/>
      <c r="CB564" s="52"/>
      <c r="CC564" s="52"/>
      <c r="CD564" s="118"/>
      <c r="CE564" s="52"/>
      <c r="CF564" s="52"/>
      <c r="CG564" s="52"/>
      <c r="CH564" s="52"/>
      <c r="CI564" s="52"/>
      <c r="CJ564" s="52"/>
      <c r="CK564" s="52"/>
      <c r="CL564" s="52"/>
      <c r="CM564" s="52"/>
      <c r="CN564" s="118"/>
      <c r="CO564" s="118"/>
      <c r="CP564" s="118"/>
      <c r="CQ564" s="52"/>
      <c r="CR564" s="52"/>
      <c r="CS564" s="52"/>
      <c r="CT564" s="52"/>
      <c r="CU564" s="52"/>
      <c r="CV564" s="52"/>
      <c r="CW564" s="52"/>
      <c r="CX564" s="52"/>
      <c r="CY564" s="52"/>
      <c r="CZ564" s="52"/>
      <c r="DA564" s="52"/>
      <c r="DB564" s="52"/>
    </row>
    <row r="565" spans="1:106" ht="27" x14ac:dyDescent="0.25">
      <c r="A565" s="411">
        <v>563</v>
      </c>
      <c r="B565" s="412" t="s">
        <v>4531</v>
      </c>
      <c r="C565" s="413" t="s">
        <v>4532</v>
      </c>
      <c r="D565" s="570" t="s">
        <v>4477</v>
      </c>
      <c r="E565" s="80">
        <v>1</v>
      </c>
      <c r="F565" s="353">
        <v>354439.59600000002</v>
      </c>
      <c r="G565" s="293"/>
      <c r="H565" s="293"/>
      <c r="I565" s="293"/>
      <c r="J565" s="52"/>
      <c r="K565" s="52"/>
      <c r="L565" s="366"/>
      <c r="M565" s="360"/>
      <c r="N565" s="361"/>
      <c r="O565" s="33"/>
      <c r="P565" s="252"/>
      <c r="Q565" s="118"/>
      <c r="R565" s="118"/>
      <c r="S565" s="118"/>
      <c r="T565" s="52"/>
      <c r="U565" s="5"/>
      <c r="V565" s="231">
        <v>63000</v>
      </c>
      <c r="W565" s="231">
        <f t="shared" si="71"/>
        <v>11970</v>
      </c>
      <c r="X565" s="231">
        <f t="shared" si="72"/>
        <v>74970</v>
      </c>
      <c r="Y565" s="118" t="s">
        <v>4533</v>
      </c>
      <c r="Z565" s="363" t="s">
        <v>2883</v>
      </c>
      <c r="AA565" s="118" t="s">
        <v>2877</v>
      </c>
      <c r="AB565" s="118"/>
      <c r="AC565" s="118"/>
      <c r="AD565" s="52"/>
      <c r="AE565" s="5"/>
      <c r="AF565" s="294"/>
      <c r="AG565" s="294"/>
      <c r="AH565" s="294"/>
      <c r="AI565" s="294"/>
      <c r="AJ565" s="294"/>
      <c r="AK565" s="118"/>
      <c r="AL565" s="118"/>
      <c r="AM565" s="118"/>
      <c r="AN565" s="118"/>
      <c r="AO565" s="118"/>
      <c r="AP565" s="52"/>
      <c r="AQ565" s="52"/>
      <c r="AR565" s="52"/>
      <c r="AS565" s="52"/>
      <c r="AT565" s="52"/>
      <c r="AU565" s="192"/>
      <c r="AV565" s="192"/>
      <c r="AW565" s="192"/>
      <c r="AX565" s="5"/>
      <c r="AY565" s="5"/>
      <c r="AZ565" s="118">
        <v>303000</v>
      </c>
      <c r="BA565" s="118">
        <v>57570</v>
      </c>
      <c r="BB565" s="118">
        <v>360570</v>
      </c>
      <c r="BC565" s="52" t="s">
        <v>338</v>
      </c>
      <c r="BD565" s="52" t="s">
        <v>4534</v>
      </c>
      <c r="BE565" s="118"/>
      <c r="BF565" s="118"/>
      <c r="BG565" s="118"/>
      <c r="BH565" s="52"/>
      <c r="BI565" s="283"/>
      <c r="BJ565" s="52"/>
      <c r="BK565" s="52"/>
      <c r="BL565" s="52"/>
      <c r="BM565" s="52"/>
      <c r="BN565" s="52"/>
      <c r="BO565" s="52"/>
      <c r="BP565" s="52"/>
      <c r="BQ565" s="52"/>
      <c r="BR565" s="52"/>
      <c r="BS565" s="52"/>
      <c r="BT565" s="52"/>
      <c r="BU565" s="52"/>
      <c r="BV565" s="52"/>
      <c r="BW565" s="52"/>
      <c r="BX565" s="52"/>
      <c r="BY565" s="52"/>
      <c r="BZ565" s="52"/>
      <c r="CA565" s="52"/>
      <c r="CB565" s="52"/>
      <c r="CC565" s="52"/>
      <c r="CD565" s="118"/>
      <c r="CE565" s="52"/>
      <c r="CF565" s="52"/>
      <c r="CG565" s="52"/>
      <c r="CH565" s="52"/>
      <c r="CI565" s="52"/>
      <c r="CJ565" s="52"/>
      <c r="CK565" s="52"/>
      <c r="CL565" s="52"/>
      <c r="CM565" s="52"/>
      <c r="CN565" s="118"/>
      <c r="CO565" s="118"/>
      <c r="CP565" s="118"/>
      <c r="CQ565" s="52"/>
      <c r="CR565" s="52"/>
      <c r="CS565" s="52"/>
      <c r="CT565" s="52"/>
      <c r="CU565" s="52"/>
      <c r="CV565" s="52"/>
      <c r="CW565" s="52"/>
      <c r="CX565" s="52"/>
      <c r="CY565" s="52"/>
      <c r="CZ565" s="52"/>
      <c r="DA565" s="52"/>
      <c r="DB565" s="52"/>
    </row>
    <row r="566" spans="1:106" ht="27" x14ac:dyDescent="0.25">
      <c r="A566" s="411">
        <v>564</v>
      </c>
      <c r="B566" s="415" t="s">
        <v>4535</v>
      </c>
      <c r="C566" s="413" t="s">
        <v>4536</v>
      </c>
      <c r="D566" s="570" t="s">
        <v>4537</v>
      </c>
      <c r="E566" s="80">
        <v>1</v>
      </c>
      <c r="F566" s="353">
        <v>300393.842</v>
      </c>
      <c r="G566" s="293"/>
      <c r="H566" s="293"/>
      <c r="I566" s="293"/>
      <c r="J566" s="52"/>
      <c r="K566" s="52"/>
      <c r="L566" s="366"/>
      <c r="M566" s="360"/>
      <c r="N566" s="361"/>
      <c r="O566" s="33"/>
      <c r="P566" s="252"/>
      <c r="Q566" s="118"/>
      <c r="R566" s="118"/>
      <c r="S566" s="118"/>
      <c r="T566" s="52"/>
      <c r="U566" s="5"/>
      <c r="V566" s="231"/>
      <c r="W566" s="231"/>
      <c r="X566" s="231"/>
      <c r="Y566" s="118"/>
      <c r="Z566" s="363"/>
      <c r="AA566" s="118" t="s">
        <v>2877</v>
      </c>
      <c r="AB566" s="118"/>
      <c r="AC566" s="118"/>
      <c r="AD566" s="52"/>
      <c r="AE566" s="5"/>
      <c r="AF566" s="294"/>
      <c r="AG566" s="294"/>
      <c r="AH566" s="294"/>
      <c r="AI566" s="294"/>
      <c r="AJ566" s="294"/>
      <c r="AK566" s="118">
        <v>28400</v>
      </c>
      <c r="AL566" s="118">
        <v>5396</v>
      </c>
      <c r="AM566" s="118">
        <v>33796</v>
      </c>
      <c r="AN566" s="118" t="s">
        <v>3171</v>
      </c>
      <c r="AO566" s="118" t="s">
        <v>4538</v>
      </c>
      <c r="AP566" s="52"/>
      <c r="AQ566" s="52"/>
      <c r="AR566" s="52"/>
      <c r="AS566" s="52"/>
      <c r="AT566" s="52"/>
      <c r="AU566" s="192"/>
      <c r="AV566" s="192"/>
      <c r="AW566" s="192"/>
      <c r="AX566" s="5"/>
      <c r="AY566" s="5"/>
      <c r="AZ566" s="118">
        <v>218000</v>
      </c>
      <c r="BA566" s="118">
        <v>41420</v>
      </c>
      <c r="BB566" s="118">
        <v>259420</v>
      </c>
      <c r="BC566" s="52" t="s">
        <v>338</v>
      </c>
      <c r="BD566" s="52" t="s">
        <v>4479</v>
      </c>
      <c r="BE566" s="320">
        <v>384770</v>
      </c>
      <c r="BF566" s="320">
        <f t="shared" ref="BF566:BF567" si="75">BE566*0.19</f>
        <v>73106.3</v>
      </c>
      <c r="BG566" s="320">
        <f t="shared" ref="BG566:BG567" si="76">BE566+BF566</f>
        <v>457876.3</v>
      </c>
      <c r="BH566" s="4" t="s">
        <v>2887</v>
      </c>
      <c r="BI566" s="286" t="s">
        <v>4263</v>
      </c>
      <c r="BJ566" s="52"/>
      <c r="BK566" s="52"/>
      <c r="BL566" s="52"/>
      <c r="BM566" s="52"/>
      <c r="BN566" s="52"/>
      <c r="BO566" s="52"/>
      <c r="BP566" s="52"/>
      <c r="BQ566" s="52"/>
      <c r="BR566" s="52"/>
      <c r="BS566" s="52"/>
      <c r="BT566" s="52"/>
      <c r="BU566" s="52"/>
      <c r="BV566" s="52"/>
      <c r="BW566" s="52"/>
      <c r="BX566" s="52"/>
      <c r="BY566" s="52"/>
      <c r="BZ566" s="52"/>
      <c r="CA566" s="52"/>
      <c r="CB566" s="52"/>
      <c r="CC566" s="52"/>
      <c r="CD566" s="118"/>
      <c r="CE566" s="52"/>
      <c r="CF566" s="52"/>
      <c r="CG566" s="52"/>
      <c r="CH566" s="52"/>
      <c r="CI566" s="52"/>
      <c r="CJ566" s="52"/>
      <c r="CK566" s="52"/>
      <c r="CL566" s="52"/>
      <c r="CM566" s="52"/>
      <c r="CN566" s="118"/>
      <c r="CO566" s="118"/>
      <c r="CP566" s="118"/>
      <c r="CQ566" s="52"/>
      <c r="CR566" s="52"/>
      <c r="CS566" s="52"/>
      <c r="CT566" s="52"/>
      <c r="CU566" s="52"/>
      <c r="CV566" s="52"/>
      <c r="CW566" s="52"/>
      <c r="CX566" s="52"/>
      <c r="CY566" s="52"/>
      <c r="CZ566" s="52"/>
      <c r="DA566" s="52"/>
      <c r="DB566" s="52"/>
    </row>
    <row r="567" spans="1:106" ht="40.5" x14ac:dyDescent="0.25">
      <c r="A567" s="411">
        <v>565</v>
      </c>
      <c r="B567" s="412" t="s">
        <v>4539</v>
      </c>
      <c r="C567" s="561" t="s">
        <v>4540</v>
      </c>
      <c r="D567" s="570" t="s">
        <v>3732</v>
      </c>
      <c r="E567" s="80">
        <v>1</v>
      </c>
      <c r="F567" s="353">
        <v>424824.76400000002</v>
      </c>
      <c r="G567" s="293"/>
      <c r="H567" s="293"/>
      <c r="I567" s="293"/>
      <c r="J567" s="52"/>
      <c r="K567" s="52"/>
      <c r="L567" s="359"/>
      <c r="M567" s="360"/>
      <c r="N567" s="361"/>
      <c r="O567" s="33"/>
      <c r="P567" s="252"/>
      <c r="Q567" s="113"/>
      <c r="R567" s="113"/>
      <c r="S567" s="113"/>
      <c r="T567" s="52"/>
      <c r="U567" s="5"/>
      <c r="V567" s="231">
        <v>144000</v>
      </c>
      <c r="W567" s="231">
        <f t="shared" si="71"/>
        <v>27360</v>
      </c>
      <c r="X567" s="231">
        <f t="shared" si="72"/>
        <v>171360</v>
      </c>
      <c r="Y567" s="113" t="s">
        <v>4541</v>
      </c>
      <c r="Z567" s="357" t="s">
        <v>3378</v>
      </c>
      <c r="AA567" s="113"/>
      <c r="AB567" s="113"/>
      <c r="AC567" s="113"/>
      <c r="AD567" s="52"/>
      <c r="AE567" s="5"/>
      <c r="AF567" s="358"/>
      <c r="AG567" s="358"/>
      <c r="AH567" s="358"/>
      <c r="AI567" s="358"/>
      <c r="AJ567" s="358"/>
      <c r="AK567" s="113">
        <v>258000</v>
      </c>
      <c r="AL567" s="113">
        <v>49020</v>
      </c>
      <c r="AM567" s="113">
        <v>307020</v>
      </c>
      <c r="AN567" s="113" t="s">
        <v>3171</v>
      </c>
      <c r="AO567" s="113" t="s">
        <v>4542</v>
      </c>
      <c r="AP567" s="52"/>
      <c r="AQ567" s="52"/>
      <c r="AR567" s="52"/>
      <c r="AS567" s="52"/>
      <c r="AT567" s="52"/>
      <c r="AU567" s="125"/>
      <c r="AV567" s="125"/>
      <c r="AW567" s="125"/>
      <c r="AX567" s="5"/>
      <c r="AY567" s="5"/>
      <c r="AZ567" s="113">
        <v>322000</v>
      </c>
      <c r="BA567" s="113">
        <v>61180</v>
      </c>
      <c r="BB567" s="113">
        <v>383180</v>
      </c>
      <c r="BC567" s="52" t="s">
        <v>2925</v>
      </c>
      <c r="BD567" s="52" t="s">
        <v>4543</v>
      </c>
      <c r="BE567" s="320">
        <v>419650</v>
      </c>
      <c r="BF567" s="320">
        <f t="shared" si="75"/>
        <v>79733.5</v>
      </c>
      <c r="BG567" s="320">
        <f t="shared" si="76"/>
        <v>499383.5</v>
      </c>
      <c r="BH567" s="4" t="s">
        <v>4544</v>
      </c>
      <c r="BI567" s="286" t="s">
        <v>4545</v>
      </c>
      <c r="BJ567" s="52"/>
      <c r="BK567" s="52"/>
      <c r="BL567" s="52"/>
      <c r="BM567" s="52"/>
      <c r="BN567" s="52"/>
      <c r="BO567" s="52"/>
      <c r="BP567" s="52"/>
      <c r="BQ567" s="52"/>
      <c r="BR567" s="52"/>
      <c r="BS567" s="52"/>
      <c r="BT567" s="52"/>
      <c r="BU567" s="52"/>
      <c r="BV567" s="52"/>
      <c r="BW567" s="52"/>
      <c r="BX567" s="52"/>
      <c r="BY567" s="52"/>
      <c r="BZ567" s="52"/>
      <c r="CA567" s="52"/>
      <c r="CB567" s="52"/>
      <c r="CC567" s="52"/>
      <c r="CD567" s="118"/>
      <c r="CE567" s="52"/>
      <c r="CF567" s="52"/>
      <c r="CG567" s="52"/>
      <c r="CH567" s="52"/>
      <c r="CI567" s="52"/>
      <c r="CJ567" s="52"/>
      <c r="CK567" s="52"/>
      <c r="CL567" s="52"/>
      <c r="CM567" s="52"/>
      <c r="CN567" s="118"/>
      <c r="CO567" s="118"/>
      <c r="CP567" s="118"/>
      <c r="CQ567" s="52"/>
      <c r="CR567" s="52"/>
      <c r="CS567" s="52"/>
      <c r="CT567" s="52"/>
      <c r="CU567" s="52"/>
      <c r="CV567" s="52"/>
      <c r="CW567" s="52"/>
      <c r="CX567" s="52"/>
      <c r="CY567" s="52"/>
      <c r="CZ567" s="52"/>
      <c r="DA567" s="52"/>
      <c r="DB567" s="52"/>
    </row>
    <row r="568" spans="1:106" ht="54" x14ac:dyDescent="0.25">
      <c r="A568" s="411">
        <v>566</v>
      </c>
      <c r="B568" s="415" t="s">
        <v>4546</v>
      </c>
      <c r="C568" s="413" t="s">
        <v>4521</v>
      </c>
      <c r="D568" s="570" t="s">
        <v>2005</v>
      </c>
      <c r="E568" s="80">
        <v>1</v>
      </c>
      <c r="F568" s="355">
        <v>88534.908800000005</v>
      </c>
      <c r="G568" s="293"/>
      <c r="H568" s="293"/>
      <c r="I568" s="293"/>
      <c r="J568" s="52"/>
      <c r="K568" s="52"/>
      <c r="L568" s="366"/>
      <c r="M568" s="360"/>
      <c r="N568" s="361"/>
      <c r="O568" s="33"/>
      <c r="P568" s="252"/>
      <c r="Q568" s="118"/>
      <c r="R568" s="118"/>
      <c r="S568" s="118"/>
      <c r="T568" s="52"/>
      <c r="U568" s="5"/>
      <c r="V568" s="231"/>
      <c r="W568" s="231"/>
      <c r="X568" s="231"/>
      <c r="Y568" s="118"/>
      <c r="Z568" s="363"/>
      <c r="AA568" s="118" t="s">
        <v>2877</v>
      </c>
      <c r="AB568" s="118"/>
      <c r="AC568" s="118"/>
      <c r="AD568" s="52"/>
      <c r="AE568" s="5"/>
      <c r="AF568" s="294"/>
      <c r="AG568" s="294"/>
      <c r="AH568" s="294"/>
      <c r="AI568" s="294"/>
      <c r="AJ568" s="294"/>
      <c r="AK568" s="118"/>
      <c r="AL568" s="118"/>
      <c r="AM568" s="118"/>
      <c r="AN568" s="118"/>
      <c r="AO568" s="118"/>
      <c r="AP568" s="52"/>
      <c r="AQ568" s="52"/>
      <c r="AR568" s="52"/>
      <c r="AS568" s="52"/>
      <c r="AT568" s="52"/>
      <c r="AU568" s="192"/>
      <c r="AV568" s="192"/>
      <c r="AW568" s="192"/>
      <c r="AX568" s="5"/>
      <c r="AY568" s="5"/>
      <c r="AZ568" s="118">
        <v>160000</v>
      </c>
      <c r="BA568" s="118">
        <v>30400</v>
      </c>
      <c r="BB568" s="118">
        <v>190400</v>
      </c>
      <c r="BC568" s="52"/>
      <c r="BD568" s="52"/>
      <c r="BE568" s="118"/>
      <c r="BF568" s="118"/>
      <c r="BG568" s="118"/>
      <c r="BH568" s="52"/>
      <c r="BI568" s="283"/>
      <c r="BJ568" s="52"/>
      <c r="BK568" s="52"/>
      <c r="BL568" s="52"/>
      <c r="BM568" s="52"/>
      <c r="BN568" s="52"/>
      <c r="BO568" s="52"/>
      <c r="BP568" s="52"/>
      <c r="BQ568" s="52"/>
      <c r="BR568" s="52"/>
      <c r="BS568" s="52"/>
      <c r="BT568" s="52"/>
      <c r="BU568" s="52"/>
      <c r="BV568" s="52"/>
      <c r="BW568" s="52"/>
      <c r="BX568" s="52"/>
      <c r="BY568" s="52"/>
      <c r="BZ568" s="52"/>
      <c r="CA568" s="52"/>
      <c r="CB568" s="52"/>
      <c r="CC568" s="52"/>
      <c r="CD568" s="118"/>
      <c r="CE568" s="52"/>
      <c r="CF568" s="52"/>
      <c r="CG568" s="52"/>
      <c r="CH568" s="52"/>
      <c r="CI568" s="52"/>
      <c r="CJ568" s="52"/>
      <c r="CK568" s="52"/>
      <c r="CL568" s="52"/>
      <c r="CM568" s="52"/>
      <c r="CN568" s="118"/>
      <c r="CO568" s="118"/>
      <c r="CP568" s="118"/>
      <c r="CQ568" s="52"/>
      <c r="CR568" s="52"/>
      <c r="CS568" s="52"/>
      <c r="CT568" s="52"/>
      <c r="CU568" s="52"/>
      <c r="CV568" s="52"/>
      <c r="CW568" s="52"/>
      <c r="CX568" s="52"/>
      <c r="CY568" s="52"/>
      <c r="CZ568" s="52"/>
      <c r="DA568" s="52"/>
      <c r="DB568" s="52"/>
    </row>
    <row r="569" spans="1:106" ht="54" x14ac:dyDescent="0.25">
      <c r="A569" s="411">
        <v>567</v>
      </c>
      <c r="B569" s="415" t="s">
        <v>4547</v>
      </c>
      <c r="C569" s="413" t="s">
        <v>4521</v>
      </c>
      <c r="D569" s="570" t="s">
        <v>2901</v>
      </c>
      <c r="E569" s="80">
        <v>1</v>
      </c>
      <c r="F569" s="355">
        <v>101798.66840000001</v>
      </c>
      <c r="G569" s="293"/>
      <c r="H569" s="293"/>
      <c r="I569" s="293"/>
      <c r="J569" s="52"/>
      <c r="K569" s="52"/>
      <c r="L569" s="359"/>
      <c r="M569" s="360"/>
      <c r="N569" s="361"/>
      <c r="O569" s="33"/>
      <c r="P569" s="252"/>
      <c r="Q569" s="113"/>
      <c r="R569" s="113"/>
      <c r="S569" s="113"/>
      <c r="T569" s="52"/>
      <c r="U569" s="5"/>
      <c r="V569" s="231"/>
      <c r="W569" s="231"/>
      <c r="X569" s="231"/>
      <c r="Y569" s="113"/>
      <c r="Z569" s="357"/>
      <c r="AA569" s="118" t="s">
        <v>2877</v>
      </c>
      <c r="AB569" s="118"/>
      <c r="AC569" s="118"/>
      <c r="AD569" s="52"/>
      <c r="AE569" s="5"/>
      <c r="AF569" s="358"/>
      <c r="AG569" s="358"/>
      <c r="AH569" s="358"/>
      <c r="AI569" s="358"/>
      <c r="AJ569" s="358"/>
      <c r="AK569" s="113"/>
      <c r="AL569" s="113"/>
      <c r="AM569" s="113"/>
      <c r="AN569" s="113"/>
      <c r="AO569" s="113"/>
      <c r="AP569" s="52"/>
      <c r="AQ569" s="52"/>
      <c r="AR569" s="52"/>
      <c r="AS569" s="52"/>
      <c r="AT569" s="52"/>
      <c r="AU569" s="125"/>
      <c r="AV569" s="125"/>
      <c r="AW569" s="125"/>
      <c r="AX569" s="5"/>
      <c r="AY569" s="5"/>
      <c r="AZ569" s="113">
        <v>160000</v>
      </c>
      <c r="BA569" s="113">
        <v>30400</v>
      </c>
      <c r="BB569" s="113">
        <v>190400</v>
      </c>
      <c r="BC569" s="52"/>
      <c r="BD569" s="52"/>
      <c r="BE569" s="118"/>
      <c r="BF569" s="118"/>
      <c r="BG569" s="118"/>
      <c r="BH569" s="52"/>
      <c r="BI569" s="283"/>
      <c r="BJ569" s="52"/>
      <c r="BK569" s="52"/>
      <c r="BL569" s="52"/>
      <c r="BM569" s="52"/>
      <c r="BN569" s="52"/>
      <c r="BO569" s="52"/>
      <c r="BP569" s="52"/>
      <c r="BQ569" s="52"/>
      <c r="BR569" s="52"/>
      <c r="BS569" s="52"/>
      <c r="BT569" s="52"/>
      <c r="BU569" s="52"/>
      <c r="BV569" s="52"/>
      <c r="BW569" s="52"/>
      <c r="BX569" s="52"/>
      <c r="BY569" s="52"/>
      <c r="BZ569" s="52"/>
      <c r="CA569" s="52"/>
      <c r="CB569" s="52"/>
      <c r="CC569" s="52"/>
      <c r="CD569" s="118"/>
      <c r="CE569" s="52"/>
      <c r="CF569" s="52"/>
      <c r="CG569" s="52"/>
      <c r="CH569" s="52"/>
      <c r="CI569" s="52"/>
      <c r="CJ569" s="52"/>
      <c r="CK569" s="52"/>
      <c r="CL569" s="52"/>
      <c r="CM569" s="52"/>
      <c r="CN569" s="118"/>
      <c r="CO569" s="118"/>
      <c r="CP569" s="118"/>
      <c r="CQ569" s="52"/>
      <c r="CR569" s="52"/>
      <c r="CS569" s="52"/>
      <c r="CT569" s="52"/>
      <c r="CU569" s="52"/>
      <c r="CV569" s="52"/>
      <c r="CW569" s="52"/>
      <c r="CX569" s="52"/>
      <c r="CY569" s="52"/>
      <c r="CZ569" s="52"/>
      <c r="DA569" s="52"/>
      <c r="DB569" s="52"/>
    </row>
    <row r="570" spans="1:106" ht="13.5" x14ac:dyDescent="0.25">
      <c r="A570" s="411">
        <v>568</v>
      </c>
      <c r="B570" s="412" t="s">
        <v>4548</v>
      </c>
      <c r="C570" s="413" t="s">
        <v>622</v>
      </c>
      <c r="D570" s="570" t="s">
        <v>2005</v>
      </c>
      <c r="E570" s="80">
        <v>1</v>
      </c>
      <c r="F570" s="353">
        <v>174706.04200000002</v>
      </c>
      <c r="G570" s="293"/>
      <c r="H570" s="293"/>
      <c r="I570" s="293"/>
      <c r="J570" s="52"/>
      <c r="K570" s="52"/>
      <c r="L570" s="359"/>
      <c r="M570" s="360"/>
      <c r="N570" s="361"/>
      <c r="O570" s="33"/>
      <c r="P570" s="252"/>
      <c r="Q570" s="113"/>
      <c r="R570" s="113"/>
      <c r="S570" s="113"/>
      <c r="T570" s="52"/>
      <c r="U570" s="5"/>
      <c r="V570" s="231">
        <v>333000</v>
      </c>
      <c r="W570" s="231">
        <f t="shared" si="71"/>
        <v>63270</v>
      </c>
      <c r="X570" s="231">
        <f t="shared" si="72"/>
        <v>396270</v>
      </c>
      <c r="Y570" s="113" t="s">
        <v>4549</v>
      </c>
      <c r="Z570" s="357" t="s">
        <v>3378</v>
      </c>
      <c r="AA570" s="118" t="s">
        <v>2877</v>
      </c>
      <c r="AB570" s="118"/>
      <c r="AC570" s="118"/>
      <c r="AD570" s="52"/>
      <c r="AE570" s="5"/>
      <c r="AF570" s="358"/>
      <c r="AG570" s="358"/>
      <c r="AH570" s="358"/>
      <c r="AI570" s="358"/>
      <c r="AJ570" s="358"/>
      <c r="AK570" s="113"/>
      <c r="AL570" s="113"/>
      <c r="AM570" s="113"/>
      <c r="AN570" s="113"/>
      <c r="AO570" s="113"/>
      <c r="AP570" s="52"/>
      <c r="AQ570" s="52"/>
      <c r="AR570" s="52"/>
      <c r="AS570" s="52"/>
      <c r="AT570" s="52"/>
      <c r="AU570" s="125"/>
      <c r="AV570" s="125"/>
      <c r="AW570" s="125"/>
      <c r="AX570" s="5"/>
      <c r="AY570" s="5"/>
      <c r="AZ570" s="113">
        <v>371000</v>
      </c>
      <c r="BA570" s="113">
        <v>70490</v>
      </c>
      <c r="BB570" s="113">
        <v>441490</v>
      </c>
      <c r="BC570" s="52" t="s">
        <v>2925</v>
      </c>
      <c r="BD570" s="52" t="s">
        <v>4550</v>
      </c>
      <c r="BE570" s="320">
        <v>109000</v>
      </c>
      <c r="BF570" s="320">
        <f t="shared" ref="BF570:BF572" si="77">BE570*0.19</f>
        <v>20710</v>
      </c>
      <c r="BG570" s="320">
        <f t="shared" ref="BG570:BG572" si="78">BE570+BF570</f>
        <v>129710</v>
      </c>
      <c r="BH570" s="4" t="s">
        <v>2887</v>
      </c>
      <c r="BI570" s="286" t="s">
        <v>4551</v>
      </c>
      <c r="BJ570" s="52"/>
      <c r="BK570" s="52"/>
      <c r="BL570" s="52"/>
      <c r="BM570" s="52"/>
      <c r="BN570" s="52"/>
      <c r="BO570" s="52"/>
      <c r="BP570" s="52"/>
      <c r="BQ570" s="52"/>
      <c r="BR570" s="52"/>
      <c r="BS570" s="52"/>
      <c r="BT570" s="52"/>
      <c r="BU570" s="52"/>
      <c r="BV570" s="52"/>
      <c r="BW570" s="52"/>
      <c r="BX570" s="52"/>
      <c r="BY570" s="52"/>
      <c r="BZ570" s="52"/>
      <c r="CA570" s="52"/>
      <c r="CB570" s="52"/>
      <c r="CC570" s="52"/>
      <c r="CD570" s="118"/>
      <c r="CE570" s="52"/>
      <c r="CF570" s="52"/>
      <c r="CG570" s="52"/>
      <c r="CH570" s="52"/>
      <c r="CI570" s="52"/>
      <c r="CJ570" s="52"/>
      <c r="CK570" s="52"/>
      <c r="CL570" s="52"/>
      <c r="CM570" s="52"/>
      <c r="CN570" s="118"/>
      <c r="CO570" s="118"/>
      <c r="CP570" s="118"/>
      <c r="CQ570" s="52"/>
      <c r="CR570" s="52"/>
      <c r="CS570" s="52"/>
      <c r="CT570" s="52"/>
      <c r="CU570" s="52"/>
      <c r="CV570" s="52"/>
      <c r="CW570" s="52"/>
      <c r="CX570" s="52"/>
      <c r="CY570" s="52"/>
      <c r="CZ570" s="52"/>
      <c r="DA570" s="52"/>
      <c r="DB570" s="52"/>
    </row>
    <row r="571" spans="1:106" ht="67.5" x14ac:dyDescent="0.25">
      <c r="A571" s="411">
        <v>569</v>
      </c>
      <c r="B571" s="420" t="s">
        <v>4552</v>
      </c>
      <c r="C571" s="413" t="s">
        <v>3695</v>
      </c>
      <c r="D571" s="570" t="s">
        <v>4477</v>
      </c>
      <c r="E571" s="80">
        <v>1</v>
      </c>
      <c r="F571" s="353">
        <v>85693.730800000005</v>
      </c>
      <c r="G571" s="293"/>
      <c r="H571" s="293"/>
      <c r="I571" s="293"/>
      <c r="J571" s="52"/>
      <c r="K571" s="52"/>
      <c r="L571" s="359"/>
      <c r="M571" s="360"/>
      <c r="N571" s="361"/>
      <c r="O571" s="33"/>
      <c r="P571" s="252"/>
      <c r="Q571" s="113"/>
      <c r="R571" s="113"/>
      <c r="S571" s="113"/>
      <c r="T571" s="52"/>
      <c r="U571" s="5"/>
      <c r="V571" s="231"/>
      <c r="W571" s="231"/>
      <c r="X571" s="231"/>
      <c r="Y571" s="113"/>
      <c r="Z571" s="357"/>
      <c r="AA571" s="118" t="s">
        <v>2877</v>
      </c>
      <c r="AB571" s="118"/>
      <c r="AC571" s="118"/>
      <c r="AD571" s="52"/>
      <c r="AE571" s="5"/>
      <c r="AF571" s="358"/>
      <c r="AG571" s="358"/>
      <c r="AH571" s="358"/>
      <c r="AI571" s="358"/>
      <c r="AJ571" s="358"/>
      <c r="AK571" s="113"/>
      <c r="AL571" s="113"/>
      <c r="AM571" s="113"/>
      <c r="AN571" s="113"/>
      <c r="AO571" s="113"/>
      <c r="AP571" s="52"/>
      <c r="AQ571" s="52"/>
      <c r="AR571" s="52"/>
      <c r="AS571" s="52"/>
      <c r="AT571" s="52"/>
      <c r="AU571" s="125"/>
      <c r="AV571" s="125"/>
      <c r="AW571" s="125"/>
      <c r="AX571" s="5"/>
      <c r="AY571" s="5"/>
      <c r="AZ571" s="113">
        <v>645000</v>
      </c>
      <c r="BA571" s="113">
        <v>122550</v>
      </c>
      <c r="BB571" s="113">
        <v>767550</v>
      </c>
      <c r="BC571" s="52" t="s">
        <v>338</v>
      </c>
      <c r="BD571" s="52" t="s">
        <v>4553</v>
      </c>
      <c r="BE571" s="320">
        <v>120281</v>
      </c>
      <c r="BF571" s="320">
        <f t="shared" si="77"/>
        <v>22853.39</v>
      </c>
      <c r="BG571" s="320">
        <f t="shared" si="78"/>
        <v>143134.39000000001</v>
      </c>
      <c r="BH571" s="4" t="s">
        <v>2887</v>
      </c>
      <c r="BI571" s="286" t="s">
        <v>4554</v>
      </c>
      <c r="BJ571" s="52"/>
      <c r="BK571" s="52"/>
      <c r="BL571" s="52"/>
      <c r="BM571" s="52"/>
      <c r="BN571" s="52"/>
      <c r="BO571" s="52"/>
      <c r="BP571" s="52"/>
      <c r="BQ571" s="52"/>
      <c r="BR571" s="52"/>
      <c r="BS571" s="52"/>
      <c r="BT571" s="52"/>
      <c r="BU571" s="52"/>
      <c r="BV571" s="52"/>
      <c r="BW571" s="52"/>
      <c r="BX571" s="52"/>
      <c r="BY571" s="52"/>
      <c r="BZ571" s="52"/>
      <c r="CA571" s="52"/>
      <c r="CB571" s="52"/>
      <c r="CC571" s="52"/>
      <c r="CD571" s="118"/>
      <c r="CE571" s="52"/>
      <c r="CF571" s="52"/>
      <c r="CG571" s="52"/>
      <c r="CH571" s="52"/>
      <c r="CI571" s="52"/>
      <c r="CJ571" s="52"/>
      <c r="CK571" s="52"/>
      <c r="CL571" s="52"/>
      <c r="CM571" s="52"/>
      <c r="CN571" s="118"/>
      <c r="CO571" s="118"/>
      <c r="CP571" s="118"/>
      <c r="CQ571" s="52"/>
      <c r="CR571" s="52"/>
      <c r="CS571" s="52"/>
      <c r="CT571" s="52"/>
      <c r="CU571" s="52"/>
      <c r="CV571" s="52"/>
      <c r="CW571" s="52"/>
      <c r="CX571" s="52"/>
      <c r="CY571" s="52"/>
      <c r="CZ571" s="52"/>
      <c r="DA571" s="52"/>
      <c r="DB571" s="52"/>
    </row>
    <row r="572" spans="1:106" ht="81" x14ac:dyDescent="0.25">
      <c r="A572" s="411">
        <v>570</v>
      </c>
      <c r="B572" s="415" t="s">
        <v>4555</v>
      </c>
      <c r="C572" s="413" t="s">
        <v>4556</v>
      </c>
      <c r="D572" s="570" t="s">
        <v>4537</v>
      </c>
      <c r="E572" s="80">
        <v>1</v>
      </c>
      <c r="F572" s="353">
        <v>270228.77</v>
      </c>
      <c r="G572" s="293"/>
      <c r="H572" s="293"/>
      <c r="I572" s="293"/>
      <c r="J572" s="52"/>
      <c r="K572" s="52"/>
      <c r="L572" s="359"/>
      <c r="M572" s="360"/>
      <c r="N572" s="361"/>
      <c r="O572" s="33"/>
      <c r="P572" s="252"/>
      <c r="Q572" s="113"/>
      <c r="R572" s="113"/>
      <c r="S572" s="113"/>
      <c r="T572" s="52"/>
      <c r="U572" s="5"/>
      <c r="V572" s="231">
        <v>63000</v>
      </c>
      <c r="W572" s="231">
        <f t="shared" ref="W572" si="79">V572*0.19</f>
        <v>11970</v>
      </c>
      <c r="X572" s="231">
        <f t="shared" ref="X572" si="80">V572*1.19</f>
        <v>74970</v>
      </c>
      <c r="Y572" s="113"/>
      <c r="Z572" s="357" t="s">
        <v>3378</v>
      </c>
      <c r="AA572" s="118" t="s">
        <v>2877</v>
      </c>
      <c r="AB572" s="118"/>
      <c r="AC572" s="118"/>
      <c r="AD572" s="52"/>
      <c r="AE572" s="5"/>
      <c r="AF572" s="358"/>
      <c r="AG572" s="358"/>
      <c r="AH572" s="358"/>
      <c r="AI572" s="358"/>
      <c r="AJ572" s="358"/>
      <c r="AK572" s="113">
        <v>55900</v>
      </c>
      <c r="AL572" s="113">
        <v>10621</v>
      </c>
      <c r="AM572" s="113">
        <v>66521</v>
      </c>
      <c r="AN572" s="113" t="s">
        <v>3171</v>
      </c>
      <c r="AO572" s="113" t="s">
        <v>4557</v>
      </c>
      <c r="AP572" s="52"/>
      <c r="AQ572" s="52"/>
      <c r="AR572" s="52"/>
      <c r="AS572" s="52"/>
      <c r="AT572" s="52"/>
      <c r="AU572" s="125"/>
      <c r="AV572" s="125"/>
      <c r="AW572" s="125"/>
      <c r="AX572" s="5"/>
      <c r="AY572" s="5"/>
      <c r="AZ572" s="113">
        <v>171000</v>
      </c>
      <c r="BA572" s="113">
        <v>32490</v>
      </c>
      <c r="BB572" s="113">
        <v>203490</v>
      </c>
      <c r="BC572" s="52" t="s">
        <v>338</v>
      </c>
      <c r="BD572" s="52" t="s">
        <v>4558</v>
      </c>
      <c r="BE572" s="320">
        <v>67452</v>
      </c>
      <c r="BF572" s="320">
        <f t="shared" si="77"/>
        <v>12815.880000000001</v>
      </c>
      <c r="BG572" s="320">
        <f t="shared" si="78"/>
        <v>80267.88</v>
      </c>
      <c r="BH572" s="4" t="s">
        <v>2887</v>
      </c>
      <c r="BI572" s="286" t="s">
        <v>4559</v>
      </c>
      <c r="BJ572" s="52"/>
      <c r="BK572" s="52"/>
      <c r="BL572" s="52"/>
      <c r="BM572" s="52"/>
      <c r="BN572" s="52"/>
      <c r="BO572" s="52"/>
      <c r="BP572" s="52"/>
      <c r="BQ572" s="52"/>
      <c r="BR572" s="52"/>
      <c r="BS572" s="52"/>
      <c r="BT572" s="52"/>
      <c r="BU572" s="52"/>
      <c r="BV572" s="52"/>
      <c r="BW572" s="52"/>
      <c r="BX572" s="52"/>
      <c r="BY572" s="52"/>
      <c r="BZ572" s="52"/>
      <c r="CA572" s="52"/>
      <c r="CB572" s="52"/>
      <c r="CC572" s="52"/>
      <c r="CD572" s="118">
        <v>48740</v>
      </c>
      <c r="CE572" s="52">
        <f>+CD572*0.19</f>
        <v>9260.6</v>
      </c>
      <c r="CF572" s="364">
        <f>+CD572+CE572</f>
        <v>58000.6</v>
      </c>
      <c r="CG572" s="52"/>
      <c r="CH572" s="52">
        <v>279</v>
      </c>
      <c r="CI572" s="52"/>
      <c r="CJ572" s="52"/>
      <c r="CK572" s="52"/>
      <c r="CL572" s="52"/>
      <c r="CM572" s="52"/>
      <c r="CN572" s="118"/>
      <c r="CO572" s="118"/>
      <c r="CP572" s="118"/>
      <c r="CQ572" s="52"/>
      <c r="CR572" s="52"/>
      <c r="CS572" s="52"/>
      <c r="CT572" s="52"/>
      <c r="CU572" s="52"/>
      <c r="CV572" s="52"/>
      <c r="CW572" s="52"/>
      <c r="CX572" s="52"/>
      <c r="CY572" s="52"/>
      <c r="CZ572" s="52"/>
      <c r="DA572" s="52"/>
      <c r="DB572" s="52"/>
    </row>
    <row r="573" spans="1:106" ht="40.5" x14ac:dyDescent="0.25">
      <c r="A573" s="411">
        <v>571</v>
      </c>
      <c r="B573" s="415" t="s">
        <v>4560</v>
      </c>
      <c r="C573" s="413" t="s">
        <v>4521</v>
      </c>
      <c r="D573" s="570" t="s">
        <v>4561</v>
      </c>
      <c r="E573" s="80">
        <v>1</v>
      </c>
      <c r="F573" s="353">
        <v>155852.872</v>
      </c>
      <c r="G573" s="293"/>
      <c r="H573" s="293"/>
      <c r="I573" s="293"/>
      <c r="J573" s="52"/>
      <c r="K573" s="52"/>
      <c r="L573" s="366"/>
      <c r="M573" s="360"/>
      <c r="N573" s="361"/>
      <c r="O573" s="33"/>
      <c r="P573" s="252"/>
      <c r="Q573" s="118"/>
      <c r="R573" s="118"/>
      <c r="S573" s="118"/>
      <c r="T573" s="52"/>
      <c r="U573" s="5"/>
      <c r="V573" s="231" t="s">
        <v>3154</v>
      </c>
      <c r="W573" s="231"/>
      <c r="X573" s="231"/>
      <c r="Y573" s="118"/>
      <c r="Z573" s="363"/>
      <c r="AA573" s="118" t="s">
        <v>2877</v>
      </c>
      <c r="AB573" s="118"/>
      <c r="AC573" s="118"/>
      <c r="AD573" s="52"/>
      <c r="AE573" s="5"/>
      <c r="AF573" s="294"/>
      <c r="AG573" s="294"/>
      <c r="AH573" s="294"/>
      <c r="AI573" s="294"/>
      <c r="AJ573" s="294"/>
      <c r="AK573" s="118"/>
      <c r="AL573" s="118"/>
      <c r="AM573" s="118"/>
      <c r="AN573" s="118"/>
      <c r="AO573" s="118"/>
      <c r="AP573" s="52"/>
      <c r="AQ573" s="52"/>
      <c r="AR573" s="52"/>
      <c r="AS573" s="52"/>
      <c r="AT573" s="52"/>
      <c r="AU573" s="192"/>
      <c r="AV573" s="192"/>
      <c r="AW573" s="192"/>
      <c r="AX573" s="5"/>
      <c r="AY573" s="5"/>
      <c r="AZ573" s="118">
        <v>150000</v>
      </c>
      <c r="BA573" s="118">
        <v>28500</v>
      </c>
      <c r="BB573" s="118">
        <v>178500</v>
      </c>
      <c r="BC573" s="52"/>
      <c r="BD573" s="52"/>
      <c r="BE573" s="118"/>
      <c r="BF573" s="118"/>
      <c r="BG573" s="118"/>
      <c r="BH573" s="52"/>
      <c r="BI573" s="52"/>
      <c r="BJ573" s="52"/>
      <c r="BK573" s="52"/>
      <c r="BL573" s="52"/>
      <c r="BM573" s="52"/>
      <c r="BN573" s="52"/>
      <c r="BO573" s="52"/>
      <c r="BP573" s="52"/>
      <c r="BQ573" s="52"/>
      <c r="BR573" s="52"/>
      <c r="BS573" s="52"/>
      <c r="BT573" s="52"/>
      <c r="BU573" s="52"/>
      <c r="BV573" s="52"/>
      <c r="BW573" s="52"/>
      <c r="BX573" s="52"/>
      <c r="BY573" s="52"/>
      <c r="BZ573" s="52"/>
      <c r="CA573" s="52"/>
      <c r="CB573" s="52"/>
      <c r="CC573" s="52"/>
      <c r="CD573" s="118"/>
      <c r="CE573" s="52"/>
      <c r="CF573" s="52"/>
      <c r="CG573" s="52"/>
      <c r="CH573" s="52"/>
      <c r="CI573" s="52"/>
      <c r="CJ573" s="52"/>
      <c r="CK573" s="52"/>
      <c r="CL573" s="52"/>
      <c r="CM573" s="52"/>
      <c r="CN573" s="118"/>
      <c r="CO573" s="118"/>
      <c r="CP573" s="118"/>
      <c r="CQ573" s="52"/>
      <c r="CR573" s="52"/>
      <c r="CS573" s="52"/>
      <c r="CT573" s="52"/>
      <c r="CU573" s="52"/>
      <c r="CV573" s="52"/>
      <c r="CW573" s="52"/>
      <c r="CX573" s="52"/>
      <c r="CY573" s="52"/>
      <c r="CZ573" s="52"/>
      <c r="DA573" s="52"/>
      <c r="DB573" s="52"/>
    </row>
    <row r="574" spans="1:106" ht="54" x14ac:dyDescent="0.25">
      <c r="A574" s="411">
        <v>572</v>
      </c>
      <c r="B574" s="415" t="s">
        <v>4562</v>
      </c>
      <c r="C574" s="413" t="s">
        <v>4521</v>
      </c>
      <c r="D574" s="570" t="s">
        <v>4563</v>
      </c>
      <c r="E574" s="80">
        <v>1</v>
      </c>
      <c r="F574" s="353">
        <v>104320.874</v>
      </c>
      <c r="G574" s="293"/>
      <c r="H574" s="293"/>
      <c r="I574" s="293"/>
      <c r="J574" s="52"/>
      <c r="K574" s="52"/>
      <c r="L574" s="366"/>
      <c r="M574" s="360"/>
      <c r="N574" s="361"/>
      <c r="O574" s="33"/>
      <c r="P574" s="252"/>
      <c r="Q574" s="118"/>
      <c r="R574" s="118"/>
      <c r="S574" s="118"/>
      <c r="T574" s="52"/>
      <c r="U574" s="367"/>
      <c r="V574" s="231"/>
      <c r="W574" s="231"/>
      <c r="X574" s="231"/>
      <c r="Y574" s="118"/>
      <c r="Z574" s="363"/>
      <c r="AA574" s="118" t="s">
        <v>2877</v>
      </c>
      <c r="AB574" s="118"/>
      <c r="AC574" s="118"/>
      <c r="AD574" s="52"/>
      <c r="AE574" s="5"/>
      <c r="AF574" s="294"/>
      <c r="AG574" s="294"/>
      <c r="AH574" s="294"/>
      <c r="AI574" s="294"/>
      <c r="AJ574" s="294"/>
      <c r="AK574" s="118"/>
      <c r="AL574" s="118"/>
      <c r="AM574" s="118"/>
      <c r="AN574" s="118"/>
      <c r="AO574" s="118"/>
      <c r="AP574" s="52"/>
      <c r="AQ574" s="52"/>
      <c r="AR574" s="52"/>
      <c r="AS574" s="52"/>
      <c r="AT574" s="52"/>
      <c r="AU574" s="192"/>
      <c r="AV574" s="192"/>
      <c r="AW574" s="192"/>
      <c r="AX574" s="5"/>
      <c r="AY574" s="5"/>
      <c r="AZ574" s="118">
        <v>100000</v>
      </c>
      <c r="BA574" s="118">
        <v>19000</v>
      </c>
      <c r="BB574" s="118">
        <v>119000</v>
      </c>
      <c r="BC574" s="52" t="s">
        <v>4564</v>
      </c>
      <c r="BD574" s="52" t="s">
        <v>4565</v>
      </c>
      <c r="BE574" s="118"/>
      <c r="BF574" s="118"/>
      <c r="BG574" s="118"/>
      <c r="BH574" s="52"/>
      <c r="BI574" s="52"/>
      <c r="BJ574" s="52"/>
      <c r="BK574" s="52"/>
      <c r="BL574" s="52"/>
      <c r="BM574" s="52"/>
      <c r="BN574" s="52"/>
      <c r="BO574" s="52"/>
      <c r="BP574" s="52"/>
      <c r="BQ574" s="52"/>
      <c r="BR574" s="52"/>
      <c r="BS574" s="52"/>
      <c r="BT574" s="52"/>
      <c r="BU574" s="52"/>
      <c r="BV574" s="52"/>
      <c r="BW574" s="52"/>
      <c r="BX574" s="52"/>
      <c r="BY574" s="52"/>
      <c r="BZ574" s="52"/>
      <c r="CA574" s="52"/>
      <c r="CB574" s="52"/>
      <c r="CC574" s="52"/>
      <c r="CD574" s="118"/>
      <c r="CE574" s="52"/>
      <c r="CF574" s="52"/>
      <c r="CG574" s="52"/>
      <c r="CH574" s="52"/>
      <c r="CI574" s="52"/>
      <c r="CJ574" s="52"/>
      <c r="CK574" s="52"/>
      <c r="CL574" s="52"/>
      <c r="CM574" s="52"/>
      <c r="CN574" s="118"/>
      <c r="CO574" s="118"/>
      <c r="CP574" s="118"/>
      <c r="CQ574" s="52"/>
      <c r="CR574" s="52"/>
      <c r="CS574" s="52"/>
      <c r="CT574" s="52"/>
      <c r="CU574" s="52"/>
      <c r="CV574" s="52"/>
      <c r="CW574" s="52"/>
      <c r="CX574" s="52"/>
      <c r="CY574" s="52"/>
      <c r="CZ574" s="52"/>
      <c r="DA574" s="52"/>
      <c r="DB574" s="52"/>
    </row>
    <row r="575" spans="1:106" ht="40.5" x14ac:dyDescent="0.25">
      <c r="A575" s="411">
        <v>573</v>
      </c>
      <c r="B575" s="412" t="s">
        <v>4566</v>
      </c>
      <c r="C575" s="413" t="s">
        <v>4567</v>
      </c>
      <c r="D575" s="570" t="s">
        <v>2005</v>
      </c>
      <c r="E575" s="80">
        <v>1</v>
      </c>
      <c r="F575" s="353">
        <v>77612.744600000005</v>
      </c>
      <c r="G575" s="293"/>
      <c r="H575" s="293"/>
      <c r="I575" s="293"/>
      <c r="J575" s="52"/>
      <c r="K575" s="52"/>
      <c r="L575" s="366"/>
      <c r="M575" s="360"/>
      <c r="N575" s="361"/>
      <c r="O575" s="33"/>
      <c r="P575" s="252"/>
      <c r="Q575" s="118"/>
      <c r="R575" s="118"/>
      <c r="S575" s="118"/>
      <c r="T575" s="52"/>
      <c r="U575" s="367"/>
      <c r="V575" s="231"/>
      <c r="W575" s="231"/>
      <c r="X575" s="231"/>
      <c r="Y575" s="118"/>
      <c r="Z575" s="363"/>
      <c r="AA575" s="118" t="s">
        <v>2877</v>
      </c>
      <c r="AB575" s="118"/>
      <c r="AC575" s="118"/>
      <c r="AD575" s="52"/>
      <c r="AE575" s="5"/>
      <c r="AF575" s="294"/>
      <c r="AG575" s="294"/>
      <c r="AH575" s="294"/>
      <c r="AI575" s="294"/>
      <c r="AJ575" s="294"/>
      <c r="AK575" s="118"/>
      <c r="AL575" s="118"/>
      <c r="AM575" s="118"/>
      <c r="AN575" s="118"/>
      <c r="AO575" s="118"/>
      <c r="AP575" s="52"/>
      <c r="AQ575" s="52"/>
      <c r="AR575" s="52"/>
      <c r="AS575" s="52"/>
      <c r="AT575" s="52"/>
      <c r="AU575" s="192"/>
      <c r="AV575" s="192"/>
      <c r="AW575" s="192"/>
      <c r="AX575" s="5"/>
      <c r="AY575" s="5"/>
      <c r="AZ575" s="118"/>
      <c r="BA575" s="118"/>
      <c r="BB575" s="118"/>
      <c r="BC575" s="52"/>
      <c r="BD575" s="52"/>
      <c r="BE575" s="118"/>
      <c r="BF575" s="118"/>
      <c r="BG575" s="118"/>
      <c r="BH575" s="52"/>
      <c r="BI575" s="52"/>
      <c r="BJ575" s="52"/>
      <c r="BK575" s="52"/>
      <c r="BL575" s="52"/>
      <c r="BM575" s="52"/>
      <c r="BN575" s="52"/>
      <c r="BO575" s="52"/>
      <c r="BP575" s="52"/>
      <c r="BQ575" s="52"/>
      <c r="BR575" s="52"/>
      <c r="BS575" s="52"/>
      <c r="BT575" s="52"/>
      <c r="BU575" s="52"/>
      <c r="BV575" s="52"/>
      <c r="BW575" s="52"/>
      <c r="BX575" s="52"/>
      <c r="BY575" s="52"/>
      <c r="BZ575" s="52"/>
      <c r="CA575" s="52"/>
      <c r="CB575" s="52"/>
      <c r="CC575" s="52"/>
      <c r="CD575" s="118"/>
      <c r="CE575" s="52"/>
      <c r="CF575" s="52"/>
      <c r="CG575" s="52"/>
      <c r="CH575" s="52"/>
      <c r="CI575" s="52"/>
      <c r="CJ575" s="52"/>
      <c r="CK575" s="52"/>
      <c r="CL575" s="52"/>
      <c r="CM575" s="52"/>
      <c r="CN575" s="118"/>
      <c r="CO575" s="118"/>
      <c r="CP575" s="118"/>
      <c r="CQ575" s="52"/>
      <c r="CR575" s="52"/>
      <c r="CS575" s="52"/>
      <c r="CT575" s="52"/>
      <c r="CU575" s="52"/>
      <c r="CV575" s="52"/>
      <c r="CW575" s="52"/>
      <c r="CX575" s="52"/>
      <c r="CY575" s="52"/>
      <c r="CZ575" s="52"/>
      <c r="DA575" s="52"/>
      <c r="DB575" s="52"/>
    </row>
    <row r="576" spans="1:106" ht="27" x14ac:dyDescent="0.25">
      <c r="A576" s="411">
        <v>574</v>
      </c>
      <c r="B576" s="412" t="s">
        <v>4568</v>
      </c>
      <c r="C576" s="413" t="s">
        <v>4569</v>
      </c>
      <c r="D576" s="570" t="s">
        <v>4570</v>
      </c>
      <c r="E576" s="80">
        <v>1</v>
      </c>
      <c r="F576" s="353">
        <v>2287370.0920000002</v>
      </c>
      <c r="G576" s="293"/>
      <c r="H576" s="293"/>
      <c r="I576" s="293"/>
      <c r="J576" s="52"/>
      <c r="K576" s="52"/>
      <c r="L576" s="366"/>
      <c r="M576" s="360"/>
      <c r="N576" s="361"/>
      <c r="O576" s="33"/>
      <c r="P576" s="252"/>
      <c r="Q576" s="118"/>
      <c r="R576" s="118"/>
      <c r="S576" s="118"/>
      <c r="T576" s="52"/>
      <c r="U576" s="367"/>
      <c r="V576" s="231"/>
      <c r="W576" s="231"/>
      <c r="X576" s="231"/>
      <c r="Y576" s="118"/>
      <c r="Z576" s="363"/>
      <c r="AA576" s="118" t="s">
        <v>2877</v>
      </c>
      <c r="AB576" s="118"/>
      <c r="AC576" s="118"/>
      <c r="AD576" s="52"/>
      <c r="AE576" s="5"/>
      <c r="AF576" s="294"/>
      <c r="AG576" s="294"/>
      <c r="AH576" s="294"/>
      <c r="AI576" s="294"/>
      <c r="AJ576" s="294"/>
      <c r="AK576" s="118"/>
      <c r="AL576" s="118"/>
      <c r="AM576" s="118"/>
      <c r="AN576" s="118"/>
      <c r="AO576" s="118"/>
      <c r="AP576" s="52"/>
      <c r="AQ576" s="52"/>
      <c r="AR576" s="52"/>
      <c r="AS576" s="52"/>
      <c r="AT576" s="52"/>
      <c r="AU576" s="192"/>
      <c r="AV576" s="192"/>
      <c r="AW576" s="192"/>
      <c r="AX576" s="5"/>
      <c r="AY576" s="5"/>
      <c r="AZ576" s="118"/>
      <c r="BA576" s="118"/>
      <c r="BB576" s="118"/>
      <c r="BC576" s="52"/>
      <c r="BD576" s="52"/>
      <c r="BE576" s="118"/>
      <c r="BF576" s="118"/>
      <c r="BG576" s="118"/>
      <c r="BH576" s="52"/>
      <c r="BI576" s="52"/>
      <c r="BJ576" s="118">
        <f>586820*10</f>
        <v>5868200</v>
      </c>
      <c r="BK576" s="118">
        <f>+BJ576*0.19</f>
        <v>1114958</v>
      </c>
      <c r="BL576" s="118">
        <f>+BJ576+BK576</f>
        <v>6983158</v>
      </c>
      <c r="BM576" s="52" t="s">
        <v>2332</v>
      </c>
      <c r="BN576" s="52" t="s">
        <v>510</v>
      </c>
      <c r="BO576" s="52"/>
      <c r="BP576" s="52"/>
      <c r="BQ576" s="52"/>
      <c r="BR576" s="52"/>
      <c r="BS576" s="52"/>
      <c r="BT576" s="52"/>
      <c r="BU576" s="52"/>
      <c r="BV576" s="52"/>
      <c r="BW576" s="52"/>
      <c r="BX576" s="52"/>
      <c r="BY576" s="52"/>
      <c r="BZ576" s="52"/>
      <c r="CA576" s="52"/>
      <c r="CB576" s="52"/>
      <c r="CC576" s="52"/>
      <c r="CD576" s="118"/>
      <c r="CE576" s="52"/>
      <c r="CF576" s="52"/>
      <c r="CG576" s="52"/>
      <c r="CH576" s="52"/>
      <c r="CI576" s="52"/>
      <c r="CJ576" s="52"/>
      <c r="CK576" s="52"/>
      <c r="CL576" s="52"/>
      <c r="CM576" s="52"/>
      <c r="CN576" s="118"/>
      <c r="CO576" s="118"/>
      <c r="CP576" s="118"/>
      <c r="CQ576" s="52"/>
      <c r="CR576" s="52"/>
      <c r="CS576" s="52"/>
      <c r="CT576" s="52"/>
      <c r="CU576" s="52"/>
      <c r="CV576" s="52"/>
      <c r="CW576" s="52"/>
      <c r="CX576" s="52"/>
      <c r="CY576" s="52"/>
      <c r="CZ576" s="52"/>
      <c r="DA576" s="52"/>
      <c r="DB576" s="52"/>
    </row>
    <row r="577" spans="1:106" ht="27" x14ac:dyDescent="0.25">
      <c r="A577" s="411">
        <v>575</v>
      </c>
      <c r="B577" s="412" t="s">
        <v>4571</v>
      </c>
      <c r="C577" s="413" t="s">
        <v>4569</v>
      </c>
      <c r="D577" s="570" t="s">
        <v>4570</v>
      </c>
      <c r="E577" s="80">
        <v>1</v>
      </c>
      <c r="F577" s="353">
        <v>1855015.6782</v>
      </c>
      <c r="G577" s="293"/>
      <c r="H577" s="293"/>
      <c r="I577" s="293"/>
      <c r="J577" s="52"/>
      <c r="K577" s="52"/>
      <c r="L577" s="366"/>
      <c r="M577" s="360"/>
      <c r="N577" s="361"/>
      <c r="O577" s="33"/>
      <c r="P577" s="252"/>
      <c r="Q577" s="118"/>
      <c r="R577" s="118"/>
      <c r="S577" s="118"/>
      <c r="T577" s="52"/>
      <c r="U577" s="367"/>
      <c r="V577" s="231"/>
      <c r="W577" s="231"/>
      <c r="X577" s="231"/>
      <c r="Y577" s="118"/>
      <c r="Z577" s="363"/>
      <c r="AA577" s="118" t="s">
        <v>2877</v>
      </c>
      <c r="AB577" s="118"/>
      <c r="AC577" s="118"/>
      <c r="AD577" s="52"/>
      <c r="AE577" s="5"/>
      <c r="AF577" s="294"/>
      <c r="AG577" s="294"/>
      <c r="AH577" s="294"/>
      <c r="AI577" s="294"/>
      <c r="AJ577" s="294"/>
      <c r="AK577" s="118"/>
      <c r="AL577" s="118"/>
      <c r="AM577" s="118"/>
      <c r="AN577" s="118"/>
      <c r="AO577" s="118"/>
      <c r="AP577" s="52"/>
      <c r="AQ577" s="52"/>
      <c r="AR577" s="52"/>
      <c r="AS577" s="52"/>
      <c r="AT577" s="52"/>
      <c r="AU577" s="192"/>
      <c r="AV577" s="192"/>
      <c r="AW577" s="192"/>
      <c r="AX577" s="5"/>
      <c r="AY577" s="5"/>
      <c r="AZ577" s="118"/>
      <c r="BA577" s="118"/>
      <c r="BB577" s="118"/>
      <c r="BC577" s="52"/>
      <c r="BD577" s="52"/>
      <c r="BE577" s="118"/>
      <c r="BF577" s="118"/>
      <c r="BG577" s="118"/>
      <c r="BH577" s="52"/>
      <c r="BI577" s="52"/>
      <c r="BJ577" s="118">
        <f>586820*10</f>
        <v>5868200</v>
      </c>
      <c r="BK577" s="118">
        <f>+BJ577*0.19</f>
        <v>1114958</v>
      </c>
      <c r="BL577" s="118">
        <f>+BJ577+BK577</f>
        <v>6983158</v>
      </c>
      <c r="BM577" s="52" t="s">
        <v>2332</v>
      </c>
      <c r="BN577" s="52" t="s">
        <v>510</v>
      </c>
      <c r="BO577" s="52"/>
      <c r="BP577" s="52"/>
      <c r="BQ577" s="52"/>
      <c r="BR577" s="52"/>
      <c r="BS577" s="52"/>
      <c r="BT577" s="52"/>
      <c r="BU577" s="52"/>
      <c r="BV577" s="52"/>
      <c r="BW577" s="52"/>
      <c r="BX577" s="52"/>
      <c r="BY577" s="52"/>
      <c r="BZ577" s="52"/>
      <c r="CA577" s="52"/>
      <c r="CB577" s="52"/>
      <c r="CC577" s="52"/>
      <c r="CD577" s="118"/>
      <c r="CE577" s="52"/>
      <c r="CF577" s="52"/>
      <c r="CG577" s="52"/>
      <c r="CH577" s="52"/>
      <c r="CI577" s="52"/>
      <c r="CJ577" s="52"/>
      <c r="CK577" s="52"/>
      <c r="CL577" s="52"/>
      <c r="CM577" s="52"/>
      <c r="CN577" s="118"/>
      <c r="CO577" s="118"/>
      <c r="CP577" s="118"/>
      <c r="CQ577" s="52"/>
      <c r="CR577" s="52"/>
      <c r="CS577" s="52"/>
      <c r="CT577" s="52"/>
      <c r="CU577" s="52"/>
      <c r="CV577" s="52"/>
      <c r="CW577" s="52"/>
      <c r="CX577" s="52"/>
      <c r="CY577" s="52"/>
      <c r="CZ577" s="52"/>
      <c r="DA577" s="52"/>
      <c r="DB577" s="52"/>
    </row>
    <row r="578" spans="1:106" ht="54" x14ac:dyDescent="0.25">
      <c r="A578" s="411">
        <v>576</v>
      </c>
      <c r="B578" s="409" t="s">
        <v>4572</v>
      </c>
      <c r="C578" s="413" t="s">
        <v>4573</v>
      </c>
      <c r="D578" s="582" t="s">
        <v>4574</v>
      </c>
      <c r="E578" s="80">
        <v>1</v>
      </c>
      <c r="F578" s="80"/>
      <c r="G578" s="293"/>
      <c r="H578" s="293"/>
      <c r="I578" s="293"/>
      <c r="J578" s="52"/>
      <c r="K578" s="52"/>
      <c r="L578" s="366"/>
      <c r="M578" s="360"/>
      <c r="N578" s="361"/>
      <c r="O578" s="33"/>
      <c r="P578" s="252"/>
      <c r="Q578" s="118"/>
      <c r="R578" s="118"/>
      <c r="S578" s="118"/>
      <c r="T578" s="52"/>
      <c r="U578" s="367"/>
      <c r="V578" s="52"/>
      <c r="W578" s="52"/>
      <c r="X578" s="52"/>
      <c r="Y578" s="52"/>
      <c r="Z578" s="368"/>
      <c r="AA578" s="118" t="s">
        <v>2877</v>
      </c>
      <c r="AB578" s="118"/>
      <c r="AC578" s="118"/>
      <c r="AD578" s="52"/>
      <c r="AE578" s="5"/>
      <c r="AF578" s="294"/>
      <c r="AG578" s="294"/>
      <c r="AH578" s="294"/>
      <c r="AI578" s="294"/>
      <c r="AJ578" s="294"/>
      <c r="AK578" s="118"/>
      <c r="AL578" s="118"/>
      <c r="AM578" s="118"/>
      <c r="AN578" s="118"/>
      <c r="AO578" s="118"/>
      <c r="AP578" s="52"/>
      <c r="AQ578" s="52"/>
      <c r="AR578" s="52"/>
      <c r="AS578" s="52"/>
      <c r="AT578" s="52"/>
      <c r="AU578" s="192"/>
      <c r="AV578" s="192"/>
      <c r="AW578" s="192"/>
      <c r="AX578" s="5"/>
      <c r="AY578" s="5"/>
      <c r="AZ578" s="118">
        <v>376000</v>
      </c>
      <c r="BA578" s="118">
        <v>71440</v>
      </c>
      <c r="BB578" s="118">
        <v>447440</v>
      </c>
      <c r="BC578" s="52" t="s">
        <v>4575</v>
      </c>
      <c r="BD578" s="52" t="s">
        <v>4576</v>
      </c>
      <c r="BE578" s="118"/>
      <c r="BF578" s="118"/>
      <c r="BG578" s="118"/>
      <c r="BH578" s="52"/>
      <c r="BI578" s="52"/>
      <c r="BJ578" s="52"/>
      <c r="BK578" s="52"/>
      <c r="BL578" s="52"/>
      <c r="BM578" s="52"/>
      <c r="BN578" s="52"/>
      <c r="BO578" s="52"/>
      <c r="BP578" s="52"/>
      <c r="BQ578" s="52"/>
      <c r="BR578" s="52"/>
      <c r="BS578" s="52"/>
      <c r="BT578" s="52"/>
      <c r="BU578" s="52"/>
      <c r="BV578" s="52"/>
      <c r="BW578" s="52"/>
      <c r="BX578" s="52"/>
      <c r="BY578" s="52"/>
      <c r="BZ578" s="52"/>
      <c r="CA578" s="52"/>
      <c r="CB578" s="52"/>
      <c r="CC578" s="52"/>
      <c r="CD578" s="118"/>
      <c r="CE578" s="52"/>
      <c r="CF578" s="52"/>
      <c r="CG578" s="52"/>
      <c r="CH578" s="52"/>
      <c r="CI578" s="52"/>
      <c r="CJ578" s="52"/>
      <c r="CK578" s="52"/>
      <c r="CL578" s="52"/>
      <c r="CM578" s="52"/>
      <c r="CN578" s="118"/>
      <c r="CO578" s="118"/>
      <c r="CP578" s="118"/>
      <c r="CQ578" s="52"/>
      <c r="CR578" s="52"/>
      <c r="CS578" s="52"/>
      <c r="CT578" s="52"/>
      <c r="CU578" s="52"/>
      <c r="CV578" s="52"/>
      <c r="CW578" s="52"/>
      <c r="CX578" s="52"/>
      <c r="CY578" s="52"/>
      <c r="CZ578" s="52"/>
      <c r="DA578" s="52"/>
      <c r="DB578" s="52"/>
    </row>
    <row r="579" spans="1:106" ht="54" x14ac:dyDescent="0.25">
      <c r="A579" s="411">
        <v>577</v>
      </c>
      <c r="B579" s="412" t="s">
        <v>4577</v>
      </c>
      <c r="C579" s="426" t="s">
        <v>4578</v>
      </c>
      <c r="D579" s="570" t="s">
        <v>4333</v>
      </c>
      <c r="E579" s="80">
        <v>1</v>
      </c>
      <c r="F579" s="355">
        <v>665690.11780000001</v>
      </c>
      <c r="G579" s="293"/>
      <c r="H579" s="293"/>
      <c r="I579" s="293"/>
      <c r="J579" s="52"/>
      <c r="K579" s="52"/>
      <c r="L579" s="366"/>
      <c r="M579" s="360"/>
      <c r="N579" s="361"/>
      <c r="O579" s="33"/>
      <c r="P579" s="252"/>
      <c r="Q579" s="118"/>
      <c r="R579" s="118"/>
      <c r="S579" s="118"/>
      <c r="T579" s="52"/>
      <c r="U579" s="367"/>
      <c r="V579" s="52"/>
      <c r="W579" s="52"/>
      <c r="X579" s="52"/>
      <c r="Y579" s="52"/>
      <c r="Z579" s="368"/>
      <c r="AA579" s="118" t="s">
        <v>2877</v>
      </c>
      <c r="AB579" s="118"/>
      <c r="AC579" s="118"/>
      <c r="AD579" s="52"/>
      <c r="AE579" s="5"/>
      <c r="AF579" s="294"/>
      <c r="AG579" s="294"/>
      <c r="AH579" s="294"/>
      <c r="AI579" s="294"/>
      <c r="AJ579" s="294"/>
      <c r="AK579" s="118"/>
      <c r="AL579" s="118"/>
      <c r="AM579" s="118"/>
      <c r="AN579" s="118"/>
      <c r="AO579" s="118"/>
      <c r="AP579" s="52"/>
      <c r="AQ579" s="52"/>
      <c r="AR579" s="52"/>
      <c r="AS579" s="52"/>
      <c r="AT579" s="52"/>
      <c r="AU579" s="192"/>
      <c r="AV579" s="192"/>
      <c r="AW579" s="192"/>
      <c r="AX579" s="5"/>
      <c r="AY579" s="5"/>
      <c r="AZ579" s="118"/>
      <c r="BA579" s="118"/>
      <c r="BB579" s="118"/>
      <c r="BC579" s="52"/>
      <c r="BD579" s="52"/>
      <c r="BE579" s="118"/>
      <c r="BF579" s="118"/>
      <c r="BG579" s="118"/>
      <c r="BH579" s="52"/>
      <c r="BI579" s="52"/>
      <c r="BJ579" s="52"/>
      <c r="BK579" s="52"/>
      <c r="BL579" s="52"/>
      <c r="BM579" s="52"/>
      <c r="BN579" s="52"/>
      <c r="BO579" s="52"/>
      <c r="BP579" s="52"/>
      <c r="BQ579" s="52"/>
      <c r="BR579" s="52"/>
      <c r="BS579" s="52"/>
      <c r="BT579" s="52"/>
      <c r="BU579" s="52"/>
      <c r="BV579" s="52"/>
      <c r="BW579" s="52"/>
      <c r="BX579" s="52"/>
      <c r="BY579" s="52"/>
      <c r="BZ579" s="52"/>
      <c r="CA579" s="52"/>
      <c r="CB579" s="52"/>
      <c r="CC579" s="52"/>
      <c r="CD579" s="118"/>
      <c r="CE579" s="52"/>
      <c r="CF579" s="52"/>
      <c r="CG579" s="52"/>
      <c r="CH579" s="52"/>
      <c r="CI579" s="52"/>
      <c r="CJ579" s="52"/>
      <c r="CK579" s="52"/>
      <c r="CL579" s="52"/>
      <c r="CM579" s="52"/>
      <c r="CN579" s="118"/>
      <c r="CO579" s="118"/>
      <c r="CP579" s="118"/>
      <c r="CQ579" s="52"/>
      <c r="CR579" s="52"/>
      <c r="CS579" s="52"/>
      <c r="CT579" s="52"/>
      <c r="CU579" s="52"/>
      <c r="CV579" s="52"/>
      <c r="CW579" s="52"/>
      <c r="CX579" s="52"/>
      <c r="CY579" s="52"/>
      <c r="CZ579" s="52"/>
      <c r="DA579" s="52"/>
      <c r="DB579" s="52"/>
    </row>
    <row r="580" spans="1:106" ht="40.5" x14ac:dyDescent="0.25">
      <c r="A580" s="411">
        <v>578</v>
      </c>
      <c r="B580" s="412" t="s">
        <v>4579</v>
      </c>
      <c r="C580" s="413" t="s">
        <v>4580</v>
      </c>
      <c r="D580" s="570" t="s">
        <v>445</v>
      </c>
      <c r="E580" s="80">
        <v>1</v>
      </c>
      <c r="F580" s="353">
        <v>110605.26400000001</v>
      </c>
      <c r="G580" s="293"/>
      <c r="H580" s="293"/>
      <c r="I580" s="293"/>
      <c r="J580" s="52"/>
      <c r="K580" s="52"/>
      <c r="L580" s="359"/>
      <c r="M580" s="360"/>
      <c r="N580" s="361"/>
      <c r="O580" s="33"/>
      <c r="P580" s="252"/>
      <c r="Q580" s="113"/>
      <c r="R580" s="113"/>
      <c r="S580" s="113"/>
      <c r="T580" s="52"/>
      <c r="U580" s="367"/>
      <c r="V580" s="52"/>
      <c r="W580" s="52"/>
      <c r="X580" s="52"/>
      <c r="Y580" s="52"/>
      <c r="Z580" s="368"/>
      <c r="AA580" s="118" t="s">
        <v>2877</v>
      </c>
      <c r="AB580" s="118"/>
      <c r="AC580" s="118"/>
      <c r="AD580" s="52"/>
      <c r="AE580" s="5"/>
      <c r="AF580" s="358"/>
      <c r="AG580" s="358"/>
      <c r="AH580" s="358"/>
      <c r="AI580" s="358"/>
      <c r="AJ580" s="358"/>
      <c r="AK580" s="113"/>
      <c r="AL580" s="113"/>
      <c r="AM580" s="113"/>
      <c r="AN580" s="113"/>
      <c r="AO580" s="113"/>
      <c r="AP580" s="52"/>
      <c r="AQ580" s="52"/>
      <c r="AR580" s="52"/>
      <c r="AS580" s="52"/>
      <c r="AT580" s="52"/>
      <c r="AU580" s="125"/>
      <c r="AV580" s="125"/>
      <c r="AW580" s="125"/>
      <c r="AX580" s="5"/>
      <c r="AY580" s="5"/>
      <c r="AZ580" s="113">
        <v>162000</v>
      </c>
      <c r="BA580" s="113">
        <v>30780</v>
      </c>
      <c r="BB580" s="113">
        <v>192780</v>
      </c>
      <c r="BC580" s="52" t="s">
        <v>2925</v>
      </c>
      <c r="BD580" s="52" t="s">
        <v>4581</v>
      </c>
      <c r="BE580" s="113"/>
      <c r="BF580" s="113"/>
      <c r="BG580" s="113"/>
      <c r="BH580" s="52"/>
      <c r="BI580" s="52"/>
      <c r="BJ580" s="52"/>
      <c r="BK580" s="52"/>
      <c r="BL580" s="52"/>
      <c r="BM580" s="52"/>
      <c r="BN580" s="52"/>
      <c r="BO580" s="52"/>
      <c r="BP580" s="52"/>
      <c r="BQ580" s="52"/>
      <c r="BR580" s="52"/>
      <c r="BS580" s="52"/>
      <c r="BT580" s="52"/>
      <c r="BU580" s="52"/>
      <c r="BV580" s="52"/>
      <c r="BW580" s="52"/>
      <c r="BX580" s="52"/>
      <c r="BY580" s="52"/>
      <c r="BZ580" s="52"/>
      <c r="CA580" s="52"/>
      <c r="CB580" s="52"/>
      <c r="CC580" s="52"/>
      <c r="CD580" s="118"/>
      <c r="CE580" s="52"/>
      <c r="CF580" s="52"/>
      <c r="CG580" s="52"/>
      <c r="CH580" s="52"/>
      <c r="CI580" s="52"/>
      <c r="CJ580" s="52"/>
      <c r="CK580" s="52"/>
      <c r="CL580" s="52"/>
      <c r="CM580" s="52"/>
      <c r="CN580" s="118"/>
      <c r="CO580" s="118"/>
      <c r="CP580" s="118"/>
      <c r="CQ580" s="52"/>
      <c r="CR580" s="52"/>
      <c r="CS580" s="52"/>
      <c r="CT580" s="52"/>
      <c r="CU580" s="52"/>
      <c r="CV580" s="52"/>
      <c r="CW580" s="52"/>
      <c r="CX580" s="52"/>
      <c r="CY580" s="52"/>
      <c r="CZ580" s="52"/>
      <c r="DA580" s="52"/>
      <c r="DB580" s="52"/>
    </row>
    <row r="581" spans="1:106" ht="13.5" x14ac:dyDescent="0.25">
      <c r="A581" s="411">
        <v>579</v>
      </c>
      <c r="B581" s="412" t="s">
        <v>4582</v>
      </c>
      <c r="C581" s="413" t="s">
        <v>622</v>
      </c>
      <c r="D581" s="582" t="s">
        <v>4583</v>
      </c>
      <c r="E581" s="80">
        <v>1</v>
      </c>
      <c r="F581" s="353">
        <v>22411.507799999999</v>
      </c>
      <c r="G581" s="293">
        <v>621400</v>
      </c>
      <c r="H581" s="293">
        <v>118066</v>
      </c>
      <c r="I581" s="293">
        <v>739466</v>
      </c>
      <c r="J581" s="52" t="s">
        <v>4584</v>
      </c>
      <c r="K581" s="52" t="s">
        <v>4585</v>
      </c>
      <c r="L581" s="366"/>
      <c r="M581" s="360"/>
      <c r="N581" s="361"/>
      <c r="O581" s="33"/>
      <c r="P581" s="252"/>
      <c r="Q581" s="118"/>
      <c r="R581" s="118"/>
      <c r="S581" s="118"/>
      <c r="T581" s="52"/>
      <c r="U581" s="367"/>
      <c r="V581" s="52"/>
      <c r="W581" s="52"/>
      <c r="X581" s="52"/>
      <c r="Y581" s="52"/>
      <c r="Z581" s="368"/>
      <c r="AA581" s="118" t="s">
        <v>2877</v>
      </c>
      <c r="AB581" s="118"/>
      <c r="AC581" s="118"/>
      <c r="AD581" s="52"/>
      <c r="AE581" s="5"/>
      <c r="AF581" s="294"/>
      <c r="AG581" s="294"/>
      <c r="AH581" s="294"/>
      <c r="AI581" s="294"/>
      <c r="AJ581" s="294"/>
      <c r="AK581" s="118"/>
      <c r="AL581" s="118"/>
      <c r="AM581" s="118"/>
      <c r="AN581" s="118"/>
      <c r="AO581" s="118"/>
      <c r="AP581" s="52"/>
      <c r="AQ581" s="52"/>
      <c r="AR581" s="52"/>
      <c r="AS581" s="52"/>
      <c r="AT581" s="52"/>
      <c r="AU581" s="192"/>
      <c r="AV581" s="192"/>
      <c r="AW581" s="192"/>
      <c r="AX581" s="5"/>
      <c r="AY581" s="5"/>
      <c r="AZ581" s="118"/>
      <c r="BA581" s="118"/>
      <c r="BB581" s="118"/>
      <c r="BC581" s="52"/>
      <c r="BD581" s="52"/>
      <c r="BE581" s="118"/>
      <c r="BF581" s="118"/>
      <c r="BG581" s="118"/>
      <c r="BH581" s="52"/>
      <c r="BI581" s="52"/>
      <c r="BJ581" s="52"/>
      <c r="BK581" s="52"/>
      <c r="BL581" s="52"/>
      <c r="BM581" s="52"/>
      <c r="BN581" s="52"/>
      <c r="BO581" s="52"/>
      <c r="BP581" s="52"/>
      <c r="BQ581" s="52"/>
      <c r="BR581" s="52"/>
      <c r="BS581" s="52"/>
      <c r="BT581" s="52"/>
      <c r="BU581" s="52"/>
      <c r="BV581" s="52"/>
      <c r="BW581" s="52"/>
      <c r="BX581" s="52"/>
      <c r="BY581" s="52"/>
      <c r="BZ581" s="52"/>
      <c r="CA581" s="52"/>
      <c r="CB581" s="52"/>
      <c r="CC581" s="52"/>
      <c r="CD581" s="118"/>
      <c r="CE581" s="52"/>
      <c r="CF581" s="52"/>
      <c r="CG581" s="52"/>
      <c r="CH581" s="52"/>
      <c r="CI581" s="52"/>
      <c r="CJ581" s="52"/>
      <c r="CK581" s="52"/>
      <c r="CL581" s="52"/>
      <c r="CM581" s="52"/>
      <c r="CN581" s="118"/>
      <c r="CO581" s="118"/>
      <c r="CP581" s="118"/>
      <c r="CQ581" s="52"/>
      <c r="CR581" s="52"/>
      <c r="CS581" s="52"/>
      <c r="CT581" s="52"/>
      <c r="CU581" s="52"/>
      <c r="CV581" s="52"/>
      <c r="CW581" s="52"/>
      <c r="CX581" s="52"/>
      <c r="CY581" s="52"/>
      <c r="CZ581" s="52"/>
      <c r="DA581" s="52"/>
      <c r="DB581" s="52"/>
    </row>
    <row r="582" spans="1:106" ht="13.5" x14ac:dyDescent="0.25">
      <c r="A582" s="411">
        <v>580</v>
      </c>
      <c r="B582" s="409" t="s">
        <v>4586</v>
      </c>
      <c r="C582" s="413" t="s">
        <v>622</v>
      </c>
      <c r="D582" s="582" t="s">
        <v>196</v>
      </c>
      <c r="E582" s="80">
        <v>1</v>
      </c>
      <c r="F582" s="353">
        <v>5027.5119999999997</v>
      </c>
      <c r="G582" s="293"/>
      <c r="H582" s="293"/>
      <c r="I582" s="293"/>
      <c r="J582" s="52"/>
      <c r="K582" s="52"/>
      <c r="L582" s="366"/>
      <c r="M582" s="360"/>
      <c r="N582" s="361"/>
      <c r="O582" s="33"/>
      <c r="P582" s="252"/>
      <c r="Q582" s="118"/>
      <c r="R582" s="118"/>
      <c r="S582" s="118"/>
      <c r="T582" s="52"/>
      <c r="U582" s="367"/>
      <c r="V582" s="52"/>
      <c r="W582" s="52"/>
      <c r="X582" s="52"/>
      <c r="Y582" s="52"/>
      <c r="Z582" s="368"/>
      <c r="AA582" s="118" t="s">
        <v>2877</v>
      </c>
      <c r="AB582" s="118"/>
      <c r="AC582" s="118"/>
      <c r="AD582" s="52"/>
      <c r="AE582" s="5"/>
      <c r="AF582" s="294"/>
      <c r="AG582" s="294"/>
      <c r="AH582" s="294"/>
      <c r="AI582" s="294"/>
      <c r="AJ582" s="294"/>
      <c r="AK582" s="118"/>
      <c r="AL582" s="118"/>
      <c r="AM582" s="118"/>
      <c r="AN582" s="118"/>
      <c r="AO582" s="118"/>
      <c r="AP582" s="52"/>
      <c r="AQ582" s="52"/>
      <c r="AR582" s="52"/>
      <c r="AS582" s="52"/>
      <c r="AT582" s="52"/>
      <c r="AU582" s="192"/>
      <c r="AV582" s="192"/>
      <c r="AW582" s="192"/>
      <c r="AX582" s="5"/>
      <c r="AY582" s="5"/>
      <c r="AZ582" s="118">
        <v>726000</v>
      </c>
      <c r="BA582" s="118">
        <v>137940</v>
      </c>
      <c r="BB582" s="118">
        <v>863940</v>
      </c>
      <c r="BC582" s="52" t="s">
        <v>2925</v>
      </c>
      <c r="BD582" s="52" t="s">
        <v>4587</v>
      </c>
      <c r="BE582" s="118"/>
      <c r="BF582" s="118"/>
      <c r="BG582" s="118"/>
      <c r="BH582" s="52"/>
      <c r="BI582" s="52"/>
      <c r="BJ582" s="52"/>
      <c r="BK582" s="52"/>
      <c r="BL582" s="52"/>
      <c r="BM582" s="52"/>
      <c r="BN582" s="52"/>
      <c r="BO582" s="52"/>
      <c r="BP582" s="52"/>
      <c r="BQ582" s="52"/>
      <c r="BR582" s="52"/>
      <c r="BS582" s="52"/>
      <c r="BT582" s="52"/>
      <c r="BU582" s="52"/>
      <c r="BV582" s="52"/>
      <c r="BW582" s="52"/>
      <c r="BX582" s="52"/>
      <c r="BY582" s="52"/>
      <c r="BZ582" s="52"/>
      <c r="CA582" s="52"/>
      <c r="CB582" s="52"/>
      <c r="CC582" s="52"/>
      <c r="CD582" s="118"/>
      <c r="CE582" s="52"/>
      <c r="CF582" s="52"/>
      <c r="CG582" s="52"/>
      <c r="CH582" s="52"/>
      <c r="CI582" s="52"/>
      <c r="CJ582" s="52"/>
      <c r="CK582" s="52"/>
      <c r="CL582" s="52"/>
      <c r="CM582" s="52"/>
      <c r="CN582" s="118"/>
      <c r="CO582" s="118"/>
      <c r="CP582" s="118"/>
      <c r="CQ582" s="52"/>
      <c r="CR582" s="52"/>
      <c r="CS582" s="52"/>
      <c r="CT582" s="52"/>
      <c r="CU582" s="52"/>
      <c r="CV582" s="52"/>
      <c r="CW582" s="52"/>
      <c r="CX582" s="52"/>
      <c r="CY582" s="52"/>
      <c r="CZ582" s="52"/>
      <c r="DA582" s="52"/>
      <c r="DB582" s="52"/>
    </row>
    <row r="583" spans="1:106" ht="13.5" x14ac:dyDescent="0.25">
      <c r="A583" s="411">
        <v>581</v>
      </c>
      <c r="B583" s="412" t="s">
        <v>4588</v>
      </c>
      <c r="C583" s="413" t="s">
        <v>622</v>
      </c>
      <c r="D583" s="570" t="s">
        <v>445</v>
      </c>
      <c r="E583" s="80">
        <v>1</v>
      </c>
      <c r="F583" s="355">
        <v>107722.89420000001</v>
      </c>
      <c r="G583" s="293"/>
      <c r="H583" s="293"/>
      <c r="I583" s="293"/>
      <c r="J583" s="52"/>
      <c r="K583" s="52"/>
      <c r="L583" s="366"/>
      <c r="M583" s="360"/>
      <c r="N583" s="361"/>
      <c r="O583" s="33"/>
      <c r="P583" s="252"/>
      <c r="Q583" s="118"/>
      <c r="R583" s="118"/>
      <c r="S583" s="118"/>
      <c r="T583" s="52"/>
      <c r="U583" s="367"/>
      <c r="V583" s="52"/>
      <c r="W583" s="52"/>
      <c r="X583" s="52"/>
      <c r="Y583" s="52"/>
      <c r="Z583" s="368"/>
      <c r="AA583" s="118" t="s">
        <v>2877</v>
      </c>
      <c r="AB583" s="118"/>
      <c r="AC583" s="118"/>
      <c r="AD583" s="52"/>
      <c r="AE583" s="5"/>
      <c r="AF583" s="294"/>
      <c r="AG583" s="294"/>
      <c r="AH583" s="294"/>
      <c r="AI583" s="294"/>
      <c r="AJ583" s="294"/>
      <c r="AK583" s="118"/>
      <c r="AL583" s="118"/>
      <c r="AM583" s="118"/>
      <c r="AN583" s="118"/>
      <c r="AO583" s="118"/>
      <c r="AP583" s="52"/>
      <c r="AQ583" s="52"/>
      <c r="AR583" s="52"/>
      <c r="AS583" s="52"/>
      <c r="AT583" s="52"/>
      <c r="AU583" s="192"/>
      <c r="AV583" s="192"/>
      <c r="AW583" s="192"/>
      <c r="AX583" s="5"/>
      <c r="AY583" s="5"/>
      <c r="AZ583" s="118"/>
      <c r="BA583" s="118"/>
      <c r="BB583" s="118"/>
      <c r="BC583" s="52"/>
      <c r="BD583" s="52"/>
      <c r="BE583" s="118"/>
      <c r="BF583" s="118"/>
      <c r="BG583" s="118"/>
      <c r="BH583" s="52"/>
      <c r="BI583" s="52"/>
      <c r="BJ583" s="52"/>
      <c r="BK583" s="52"/>
      <c r="BL583" s="52"/>
      <c r="BM583" s="52"/>
      <c r="BN583" s="52"/>
      <c r="BO583" s="52"/>
      <c r="BP583" s="52"/>
      <c r="BQ583" s="52"/>
      <c r="BR583" s="52"/>
      <c r="BS583" s="52"/>
      <c r="BT583" s="52"/>
      <c r="BU583" s="52"/>
      <c r="BV583" s="52"/>
      <c r="BW583" s="52"/>
      <c r="BX583" s="52"/>
      <c r="BY583" s="52"/>
      <c r="BZ583" s="52"/>
      <c r="CA583" s="52"/>
      <c r="CB583" s="52"/>
      <c r="CC583" s="52"/>
      <c r="CD583" s="118"/>
      <c r="CE583" s="52"/>
      <c r="CF583" s="52"/>
      <c r="CG583" s="52"/>
      <c r="CH583" s="52"/>
      <c r="CI583" s="52"/>
      <c r="CJ583" s="52"/>
      <c r="CK583" s="52"/>
      <c r="CL583" s="52"/>
      <c r="CM583" s="52"/>
      <c r="CN583" s="118"/>
      <c r="CO583" s="118"/>
      <c r="CP583" s="118"/>
      <c r="CQ583" s="52"/>
      <c r="CR583" s="52"/>
      <c r="CS583" s="52"/>
      <c r="CT583" s="52"/>
      <c r="CU583" s="52"/>
      <c r="CV583" s="52"/>
      <c r="CW583" s="52"/>
      <c r="CX583" s="52"/>
      <c r="CY583" s="52"/>
      <c r="CZ583" s="52"/>
      <c r="DA583" s="52"/>
      <c r="DB583" s="52"/>
    </row>
    <row r="584" spans="1:106" ht="27" x14ac:dyDescent="0.25">
      <c r="A584" s="411">
        <v>582</v>
      </c>
      <c r="B584" s="409" t="s">
        <v>4589</v>
      </c>
      <c r="C584" s="413" t="s">
        <v>4590</v>
      </c>
      <c r="D584" s="582" t="s">
        <v>196</v>
      </c>
      <c r="E584" s="80">
        <v>1</v>
      </c>
      <c r="F584" s="80"/>
      <c r="G584" s="293"/>
      <c r="H584" s="293"/>
      <c r="I584" s="293"/>
      <c r="J584" s="52"/>
      <c r="K584" s="52"/>
      <c r="L584" s="366"/>
      <c r="M584" s="360"/>
      <c r="N584" s="361"/>
      <c r="O584" s="33"/>
      <c r="P584" s="252"/>
      <c r="Q584" s="118"/>
      <c r="R584" s="118"/>
      <c r="S584" s="118"/>
      <c r="T584" s="52"/>
      <c r="U584" s="367"/>
      <c r="V584" s="52"/>
      <c r="W584" s="52"/>
      <c r="X584" s="52"/>
      <c r="Y584" s="52"/>
      <c r="Z584" s="368"/>
      <c r="AA584" s="118" t="s">
        <v>2877</v>
      </c>
      <c r="AB584" s="118"/>
      <c r="AC584" s="118"/>
      <c r="AD584" s="52"/>
      <c r="AE584" s="5"/>
      <c r="AF584" s="294"/>
      <c r="AG584" s="294"/>
      <c r="AH584" s="294"/>
      <c r="AI584" s="294"/>
      <c r="AJ584" s="294"/>
      <c r="AK584" s="118"/>
      <c r="AL584" s="118"/>
      <c r="AM584" s="118"/>
      <c r="AN584" s="118"/>
      <c r="AO584" s="118"/>
      <c r="AP584" s="52"/>
      <c r="AQ584" s="52"/>
      <c r="AR584" s="52"/>
      <c r="AS584" s="52"/>
      <c r="AT584" s="52"/>
      <c r="AU584" s="192"/>
      <c r="AV584" s="192"/>
      <c r="AW584" s="192"/>
      <c r="AX584" s="5"/>
      <c r="AY584" s="5"/>
      <c r="AZ584" s="118">
        <v>600000</v>
      </c>
      <c r="BA584" s="118">
        <v>114000</v>
      </c>
      <c r="BB584" s="118">
        <v>714000</v>
      </c>
      <c r="BC584" s="52" t="s">
        <v>2925</v>
      </c>
      <c r="BD584" s="52" t="s">
        <v>4591</v>
      </c>
      <c r="BE584" s="118"/>
      <c r="BF584" s="118"/>
      <c r="BG584" s="118"/>
      <c r="BH584" s="52"/>
      <c r="BI584" s="52"/>
      <c r="BJ584" s="52"/>
      <c r="BK584" s="52"/>
      <c r="BL584" s="52"/>
      <c r="BM584" s="52"/>
      <c r="BN584" s="52"/>
      <c r="BO584" s="52"/>
      <c r="BP584" s="52"/>
      <c r="BQ584" s="52"/>
      <c r="BR584" s="52"/>
      <c r="BS584" s="52"/>
      <c r="BT584" s="52"/>
      <c r="BU584" s="52"/>
      <c r="BV584" s="52"/>
      <c r="BW584" s="52"/>
      <c r="BX584" s="52"/>
      <c r="BY584" s="52"/>
      <c r="BZ584" s="52"/>
      <c r="CA584" s="52"/>
      <c r="CB584" s="52"/>
      <c r="CC584" s="52"/>
      <c r="CD584" s="118"/>
      <c r="CE584" s="52"/>
      <c r="CF584" s="52"/>
      <c r="CG584" s="52"/>
      <c r="CH584" s="52"/>
      <c r="CI584" s="52"/>
      <c r="CJ584" s="52"/>
      <c r="CK584" s="52"/>
      <c r="CL584" s="52"/>
      <c r="CM584" s="52"/>
      <c r="CN584" s="118"/>
      <c r="CO584" s="118"/>
      <c r="CP584" s="118"/>
      <c r="CQ584" s="52"/>
      <c r="CR584" s="52"/>
      <c r="CS584" s="52"/>
      <c r="CT584" s="52"/>
      <c r="CU584" s="52"/>
      <c r="CV584" s="52"/>
      <c r="CW584" s="52"/>
      <c r="CX584" s="52"/>
      <c r="CY584" s="52"/>
      <c r="CZ584" s="52"/>
      <c r="DA584" s="52"/>
      <c r="DB584" s="52"/>
    </row>
    <row r="585" spans="1:106" ht="27" x14ac:dyDescent="0.25">
      <c r="A585" s="411">
        <v>583</v>
      </c>
      <c r="B585" s="415" t="s">
        <v>4592</v>
      </c>
      <c r="C585" s="413" t="s">
        <v>4593</v>
      </c>
      <c r="D585" s="570" t="s">
        <v>445</v>
      </c>
      <c r="E585" s="80">
        <v>1</v>
      </c>
      <c r="F585" s="355">
        <v>33118.207200000004</v>
      </c>
      <c r="G585" s="293"/>
      <c r="H585" s="293"/>
      <c r="I585" s="293"/>
      <c r="J585" s="52"/>
      <c r="K585" s="52"/>
      <c r="L585" s="366"/>
      <c r="M585" s="360"/>
      <c r="N585" s="361"/>
      <c r="O585" s="33"/>
      <c r="P585" s="252"/>
      <c r="Q585" s="118"/>
      <c r="R585" s="118"/>
      <c r="S585" s="118"/>
      <c r="T585" s="52"/>
      <c r="U585" s="367"/>
      <c r="V585" s="52"/>
      <c r="W585" s="52"/>
      <c r="X585" s="52"/>
      <c r="Y585" s="52"/>
      <c r="Z585" s="368"/>
      <c r="AA585" s="118">
        <v>191000</v>
      </c>
      <c r="AB585" s="118">
        <f>AA585*0.19</f>
        <v>36290</v>
      </c>
      <c r="AC585" s="118">
        <f>AA585+AB585</f>
        <v>227290</v>
      </c>
      <c r="AD585" s="361" t="s">
        <v>126</v>
      </c>
      <c r="AE585" s="362">
        <v>1033550101</v>
      </c>
      <c r="AF585" s="294"/>
      <c r="AG585" s="294"/>
      <c r="AH585" s="294"/>
      <c r="AI585" s="294"/>
      <c r="AJ585" s="294"/>
      <c r="AK585" s="118"/>
      <c r="AL585" s="118"/>
      <c r="AM585" s="118"/>
      <c r="AN585" s="118"/>
      <c r="AO585" s="118"/>
      <c r="AP585" s="52"/>
      <c r="AQ585" s="52"/>
      <c r="AR585" s="52"/>
      <c r="AS585" s="52"/>
      <c r="AT585" s="52"/>
      <c r="AU585" s="192"/>
      <c r="AV585" s="192"/>
      <c r="AW585" s="192"/>
      <c r="AX585" s="5"/>
      <c r="AY585" s="5"/>
      <c r="AZ585" s="118">
        <v>129000</v>
      </c>
      <c r="BA585" s="118">
        <v>24510</v>
      </c>
      <c r="BB585" s="118">
        <v>153510</v>
      </c>
      <c r="BC585" s="52" t="s">
        <v>2925</v>
      </c>
      <c r="BD585" s="52" t="s">
        <v>4594</v>
      </c>
      <c r="BE585" s="118"/>
      <c r="BF585" s="118"/>
      <c r="BG585" s="118"/>
      <c r="BH585" s="52"/>
      <c r="BI585" s="52"/>
      <c r="BJ585" s="52"/>
      <c r="BK585" s="52"/>
      <c r="BL585" s="52"/>
      <c r="BM585" s="52"/>
      <c r="BN585" s="52"/>
      <c r="BO585" s="52"/>
      <c r="BP585" s="52"/>
      <c r="BQ585" s="52"/>
      <c r="BR585" s="52"/>
      <c r="BS585" s="52"/>
      <c r="BT585" s="52"/>
      <c r="BU585" s="52"/>
      <c r="BV585" s="52"/>
      <c r="BW585" s="52"/>
      <c r="BX585" s="52"/>
      <c r="BY585" s="52"/>
      <c r="BZ585" s="52"/>
      <c r="CA585" s="52"/>
      <c r="CB585" s="52"/>
      <c r="CC585" s="52"/>
      <c r="CD585" s="118"/>
      <c r="CE585" s="52"/>
      <c r="CF585" s="52"/>
      <c r="CG585" s="52"/>
      <c r="CH585" s="52"/>
      <c r="CI585" s="52"/>
      <c r="CJ585" s="52"/>
      <c r="CK585" s="52"/>
      <c r="CL585" s="52"/>
      <c r="CM585" s="52"/>
      <c r="CN585" s="118"/>
      <c r="CO585" s="118"/>
      <c r="CP585" s="118"/>
      <c r="CQ585" s="52"/>
      <c r="CR585" s="52"/>
      <c r="CS585" s="52"/>
      <c r="CT585" s="52"/>
      <c r="CU585" s="52"/>
      <c r="CV585" s="52"/>
      <c r="CW585" s="52"/>
      <c r="CX585" s="52"/>
      <c r="CY585" s="52"/>
      <c r="CZ585" s="52"/>
      <c r="DA585" s="52"/>
      <c r="DB585" s="52"/>
    </row>
    <row r="586" spans="1:106" ht="13.5" x14ac:dyDescent="0.25">
      <c r="A586" s="411">
        <v>584</v>
      </c>
      <c r="B586" s="415" t="s">
        <v>4595</v>
      </c>
      <c r="C586" s="413" t="s">
        <v>3617</v>
      </c>
      <c r="D586" s="570" t="s">
        <v>4596</v>
      </c>
      <c r="E586" s="80">
        <v>1</v>
      </c>
      <c r="F586" s="353">
        <v>87981.46</v>
      </c>
      <c r="G586" s="293">
        <v>9700</v>
      </c>
      <c r="H586" s="293">
        <v>1843</v>
      </c>
      <c r="I586" s="293">
        <v>11543</v>
      </c>
      <c r="J586" s="52" t="s">
        <v>2948</v>
      </c>
      <c r="K586" s="52" t="s">
        <v>4597</v>
      </c>
      <c r="L586" s="366"/>
      <c r="M586" s="360"/>
      <c r="N586" s="361"/>
      <c r="O586" s="33"/>
      <c r="P586" s="252"/>
      <c r="Q586" s="118"/>
      <c r="R586" s="118"/>
      <c r="S586" s="118"/>
      <c r="T586" s="52"/>
      <c r="U586" s="367"/>
      <c r="V586" s="52"/>
      <c r="W586" s="52"/>
      <c r="X586" s="52"/>
      <c r="Y586" s="52"/>
      <c r="Z586" s="368"/>
      <c r="AA586" s="118" t="s">
        <v>2877</v>
      </c>
      <c r="AB586" s="118"/>
      <c r="AC586" s="118"/>
      <c r="AD586" s="52"/>
      <c r="AE586" s="5"/>
      <c r="AF586" s="294"/>
      <c r="AG586" s="294"/>
      <c r="AH586" s="294"/>
      <c r="AI586" s="294"/>
      <c r="AJ586" s="294"/>
      <c r="AK586" s="118"/>
      <c r="AL586" s="118"/>
      <c r="AM586" s="118"/>
      <c r="AN586" s="118"/>
      <c r="AO586" s="118"/>
      <c r="AP586" s="52"/>
      <c r="AQ586" s="52"/>
      <c r="AR586" s="52"/>
      <c r="AS586" s="52"/>
      <c r="AT586" s="52"/>
      <c r="AU586" s="192"/>
      <c r="AV586" s="192"/>
      <c r="AW586" s="192"/>
      <c r="AX586" s="5"/>
      <c r="AY586" s="5"/>
      <c r="AZ586" s="118">
        <v>12000</v>
      </c>
      <c r="BA586" s="118">
        <v>2280</v>
      </c>
      <c r="BB586" s="118">
        <v>14280</v>
      </c>
      <c r="BC586" s="52" t="s">
        <v>2925</v>
      </c>
      <c r="BD586" s="52" t="s">
        <v>4598</v>
      </c>
      <c r="BE586" s="118"/>
      <c r="BF586" s="118"/>
      <c r="BG586" s="118"/>
      <c r="BH586" s="52"/>
      <c r="BI586" s="52"/>
      <c r="BJ586" s="52"/>
      <c r="BK586" s="52"/>
      <c r="BL586" s="52"/>
      <c r="BM586" s="52"/>
      <c r="BN586" s="52"/>
      <c r="BO586" s="52"/>
      <c r="BP586" s="52"/>
      <c r="BQ586" s="52"/>
      <c r="BR586" s="52"/>
      <c r="BS586" s="52"/>
      <c r="BT586" s="52"/>
      <c r="BU586" s="52"/>
      <c r="BV586" s="52"/>
      <c r="BW586" s="52"/>
      <c r="BX586" s="52"/>
      <c r="BY586" s="52"/>
      <c r="BZ586" s="52"/>
      <c r="CA586" s="52"/>
      <c r="CB586" s="52"/>
      <c r="CC586" s="52"/>
      <c r="CD586" s="118"/>
      <c r="CE586" s="52"/>
      <c r="CF586" s="52"/>
      <c r="CG586" s="52"/>
      <c r="CH586" s="52"/>
      <c r="CI586" s="52"/>
      <c r="CJ586" s="52"/>
      <c r="CK586" s="52"/>
      <c r="CL586" s="52"/>
      <c r="CM586" s="52"/>
      <c r="CN586" s="118"/>
      <c r="CO586" s="118"/>
      <c r="CP586" s="118"/>
      <c r="CQ586" s="52"/>
      <c r="CR586" s="52"/>
      <c r="CS586" s="52"/>
      <c r="CT586" s="52"/>
      <c r="CU586" s="52"/>
      <c r="CV586" s="52"/>
      <c r="CW586" s="52"/>
      <c r="CX586" s="52"/>
      <c r="CY586" s="52"/>
      <c r="CZ586" s="52"/>
      <c r="DA586" s="52"/>
      <c r="DB586" s="52"/>
    </row>
    <row r="587" spans="1:106" ht="13.5" x14ac:dyDescent="0.25">
      <c r="A587" s="411">
        <v>585</v>
      </c>
      <c r="B587" s="412" t="s">
        <v>4599</v>
      </c>
      <c r="C587" s="426" t="s">
        <v>3617</v>
      </c>
      <c r="D587" s="583" t="s">
        <v>196</v>
      </c>
      <c r="E587" s="80">
        <v>1</v>
      </c>
      <c r="F587" s="353">
        <v>9232.244200000001</v>
      </c>
      <c r="G587" s="293"/>
      <c r="H587" s="293"/>
      <c r="I587" s="293"/>
      <c r="J587" s="52"/>
      <c r="K587" s="52"/>
      <c r="L587" s="366"/>
      <c r="M587" s="360"/>
      <c r="N587" s="361"/>
      <c r="O587" s="33"/>
      <c r="P587" s="252"/>
      <c r="Q587" s="118"/>
      <c r="R587" s="118"/>
      <c r="S587" s="118"/>
      <c r="T587" s="52"/>
      <c r="U587" s="367"/>
      <c r="V587" s="52"/>
      <c r="W587" s="52"/>
      <c r="X587" s="52"/>
      <c r="Y587" s="52"/>
      <c r="Z587" s="368"/>
      <c r="AA587" s="118" t="s">
        <v>2877</v>
      </c>
      <c r="AB587" s="118"/>
      <c r="AC587" s="118"/>
      <c r="AD587" s="52"/>
      <c r="AE587" s="5"/>
      <c r="AF587" s="294"/>
      <c r="AG587" s="294"/>
      <c r="AH587" s="294"/>
      <c r="AI587" s="294"/>
      <c r="AJ587" s="294"/>
      <c r="AK587" s="118"/>
      <c r="AL587" s="118"/>
      <c r="AM587" s="118"/>
      <c r="AN587" s="118"/>
      <c r="AO587" s="118"/>
      <c r="AP587" s="52"/>
      <c r="AQ587" s="52"/>
      <c r="AR587" s="52"/>
      <c r="AS587" s="52"/>
      <c r="AT587" s="52"/>
      <c r="AU587" s="192"/>
      <c r="AV587" s="192"/>
      <c r="AW587" s="192"/>
      <c r="AX587" s="5"/>
      <c r="AY587" s="5"/>
      <c r="AZ587" s="118"/>
      <c r="BA587" s="118"/>
      <c r="BB587" s="118"/>
      <c r="BC587" s="52"/>
      <c r="BD587" s="52"/>
      <c r="BE587" s="118"/>
      <c r="BF587" s="118"/>
      <c r="BG587" s="118"/>
      <c r="BH587" s="52"/>
      <c r="BI587" s="52"/>
      <c r="BJ587" s="52"/>
      <c r="BK587" s="52"/>
      <c r="BL587" s="52"/>
      <c r="BM587" s="52"/>
      <c r="BN587" s="52"/>
      <c r="BO587" s="52"/>
      <c r="BP587" s="52"/>
      <c r="BQ587" s="52"/>
      <c r="BR587" s="52"/>
      <c r="BS587" s="52"/>
      <c r="BT587" s="52"/>
      <c r="BU587" s="52"/>
      <c r="BV587" s="52"/>
      <c r="BW587" s="52"/>
      <c r="BX587" s="52"/>
      <c r="BY587" s="52"/>
      <c r="BZ587" s="52"/>
      <c r="CA587" s="52"/>
      <c r="CB587" s="52"/>
      <c r="CC587" s="52"/>
      <c r="CD587" s="118"/>
      <c r="CE587" s="52"/>
      <c r="CF587" s="52"/>
      <c r="CG587" s="52"/>
      <c r="CH587" s="52"/>
      <c r="CI587" s="52"/>
      <c r="CJ587" s="52"/>
      <c r="CK587" s="52"/>
      <c r="CL587" s="52"/>
      <c r="CM587" s="52"/>
      <c r="CN587" s="118"/>
      <c r="CO587" s="118"/>
      <c r="CP587" s="118"/>
      <c r="CQ587" s="52"/>
      <c r="CR587" s="52"/>
      <c r="CS587" s="52"/>
      <c r="CT587" s="52"/>
      <c r="CU587" s="52"/>
      <c r="CV587" s="52"/>
      <c r="CW587" s="52"/>
      <c r="CX587" s="52"/>
      <c r="CY587" s="52"/>
      <c r="CZ587" s="52"/>
      <c r="DA587" s="52"/>
      <c r="DB587" s="52"/>
    </row>
    <row r="588" spans="1:106" ht="13.5" x14ac:dyDescent="0.25">
      <c r="A588" s="411">
        <v>586</v>
      </c>
      <c r="B588" s="412" t="s">
        <v>4600</v>
      </c>
      <c r="C588" s="413" t="s">
        <v>3617</v>
      </c>
      <c r="D588" s="570" t="s">
        <v>3302</v>
      </c>
      <c r="E588" s="80">
        <v>1</v>
      </c>
      <c r="F588" s="353">
        <v>90510.002800000002</v>
      </c>
      <c r="G588" s="293">
        <v>8600</v>
      </c>
      <c r="H588" s="293">
        <v>1634</v>
      </c>
      <c r="I588" s="293">
        <v>10234</v>
      </c>
      <c r="J588" s="52" t="s">
        <v>3759</v>
      </c>
      <c r="K588" s="52" t="s">
        <v>4601</v>
      </c>
      <c r="L588" s="366"/>
      <c r="M588" s="360"/>
      <c r="N588" s="361"/>
      <c r="O588" s="33"/>
      <c r="P588" s="252"/>
      <c r="Q588" s="118"/>
      <c r="R588" s="118"/>
      <c r="S588" s="118"/>
      <c r="T588" s="52"/>
      <c r="U588" s="367"/>
      <c r="V588" s="52"/>
      <c r="W588" s="52"/>
      <c r="X588" s="52"/>
      <c r="Y588" s="52"/>
      <c r="Z588" s="368"/>
      <c r="AA588" s="118" t="s">
        <v>2877</v>
      </c>
      <c r="AB588" s="118"/>
      <c r="AC588" s="118"/>
      <c r="AD588" s="52"/>
      <c r="AE588" s="5"/>
      <c r="AF588" s="294"/>
      <c r="AG588" s="294"/>
      <c r="AH588" s="294"/>
      <c r="AI588" s="294"/>
      <c r="AJ588" s="294"/>
      <c r="AK588" s="118"/>
      <c r="AL588" s="118"/>
      <c r="AM588" s="118"/>
      <c r="AN588" s="118"/>
      <c r="AO588" s="118"/>
      <c r="AP588" s="52"/>
      <c r="AQ588" s="52"/>
      <c r="AR588" s="52"/>
      <c r="AS588" s="52"/>
      <c r="AT588" s="52"/>
      <c r="AU588" s="192"/>
      <c r="AV588" s="192"/>
      <c r="AW588" s="192"/>
      <c r="AX588" s="5"/>
      <c r="AY588" s="5"/>
      <c r="AZ588" s="118">
        <v>17000</v>
      </c>
      <c r="BA588" s="118">
        <v>3230</v>
      </c>
      <c r="BB588" s="118">
        <v>20230</v>
      </c>
      <c r="BC588" s="52" t="s">
        <v>2925</v>
      </c>
      <c r="BD588" s="52" t="s">
        <v>4602</v>
      </c>
      <c r="BE588" s="118"/>
      <c r="BF588" s="118"/>
      <c r="BG588" s="118"/>
      <c r="BH588" s="52"/>
      <c r="BI588" s="52"/>
      <c r="BJ588" s="52"/>
      <c r="BK588" s="52"/>
      <c r="BL588" s="52"/>
      <c r="BM588" s="52"/>
      <c r="BN588" s="52"/>
      <c r="BO588" s="52"/>
      <c r="BP588" s="52"/>
      <c r="BQ588" s="52"/>
      <c r="BR588" s="52"/>
      <c r="BS588" s="52"/>
      <c r="BT588" s="52"/>
      <c r="BU588" s="52"/>
      <c r="BV588" s="52"/>
      <c r="BW588" s="52"/>
      <c r="BX588" s="52"/>
      <c r="BY588" s="52"/>
      <c r="BZ588" s="52"/>
      <c r="CA588" s="52"/>
      <c r="CB588" s="52"/>
      <c r="CC588" s="52"/>
      <c r="CD588" s="118"/>
      <c r="CE588" s="52"/>
      <c r="CF588" s="52"/>
      <c r="CG588" s="52"/>
      <c r="CH588" s="52"/>
      <c r="CI588" s="52"/>
      <c r="CJ588" s="52"/>
      <c r="CK588" s="52"/>
      <c r="CL588" s="52"/>
      <c r="CM588" s="52"/>
      <c r="CN588" s="118"/>
      <c r="CO588" s="118"/>
      <c r="CP588" s="118"/>
      <c r="CQ588" s="52"/>
      <c r="CR588" s="52"/>
      <c r="CS588" s="52"/>
      <c r="CT588" s="52"/>
      <c r="CU588" s="52"/>
      <c r="CV588" s="52"/>
      <c r="CW588" s="52"/>
      <c r="CX588" s="52"/>
      <c r="CY588" s="52"/>
      <c r="CZ588" s="52"/>
      <c r="DA588" s="52"/>
      <c r="DB588" s="52"/>
    </row>
    <row r="589" spans="1:106" ht="40.5" x14ac:dyDescent="0.25">
      <c r="A589" s="411">
        <v>587</v>
      </c>
      <c r="B589" s="413" t="s">
        <v>4603</v>
      </c>
      <c r="C589" s="413" t="s">
        <v>4604</v>
      </c>
      <c r="D589" s="570" t="s">
        <v>445</v>
      </c>
      <c r="E589" s="80">
        <v>1</v>
      </c>
      <c r="F589" s="353">
        <v>149568.48200000002</v>
      </c>
      <c r="G589" s="293"/>
      <c r="H589" s="293"/>
      <c r="I589" s="293"/>
      <c r="J589" s="52"/>
      <c r="K589" s="52"/>
      <c r="L589" s="359"/>
      <c r="M589" s="360"/>
      <c r="N589" s="361"/>
      <c r="O589" s="33"/>
      <c r="P589" s="252"/>
      <c r="Q589" s="113"/>
      <c r="R589" s="113"/>
      <c r="S589" s="113"/>
      <c r="T589" s="52"/>
      <c r="U589" s="367"/>
      <c r="V589" s="52"/>
      <c r="W589" s="52"/>
      <c r="X589" s="52"/>
      <c r="Y589" s="52"/>
      <c r="Z589" s="368"/>
      <c r="AA589" s="118" t="s">
        <v>2877</v>
      </c>
      <c r="AB589" s="118"/>
      <c r="AC589" s="118"/>
      <c r="AD589" s="52"/>
      <c r="AE589" s="5"/>
      <c r="AF589" s="358"/>
      <c r="AG589" s="358"/>
      <c r="AH589" s="358"/>
      <c r="AI589" s="358"/>
      <c r="AJ589" s="358"/>
      <c r="AK589" s="113"/>
      <c r="AL589" s="113"/>
      <c r="AM589" s="113"/>
      <c r="AN589" s="113"/>
      <c r="AO589" s="113"/>
      <c r="AP589" s="52"/>
      <c r="AQ589" s="52"/>
      <c r="AR589" s="52"/>
      <c r="AS589" s="52"/>
      <c r="AT589" s="52"/>
      <c r="AU589" s="125"/>
      <c r="AV589" s="125"/>
      <c r="AW589" s="125"/>
      <c r="AX589" s="5"/>
      <c r="AY589" s="5"/>
      <c r="AZ589" s="113">
        <v>129000</v>
      </c>
      <c r="BA589" s="113">
        <v>24510</v>
      </c>
      <c r="BB589" s="113">
        <v>153510</v>
      </c>
      <c r="BC589" s="52" t="s">
        <v>2925</v>
      </c>
      <c r="BD589" s="52" t="s">
        <v>4594</v>
      </c>
      <c r="BE589" s="113"/>
      <c r="BF589" s="113"/>
      <c r="BG589" s="113"/>
      <c r="BH589" s="52"/>
      <c r="BI589" s="52"/>
      <c r="BJ589" s="52"/>
      <c r="BK589" s="52"/>
      <c r="BL589" s="52"/>
      <c r="BM589" s="52"/>
      <c r="BN589" s="52"/>
      <c r="BO589" s="52"/>
      <c r="BP589" s="52"/>
      <c r="BQ589" s="52"/>
      <c r="BR589" s="52"/>
      <c r="BS589" s="52"/>
      <c r="BT589" s="52"/>
      <c r="BU589" s="52"/>
      <c r="BV589" s="52"/>
      <c r="BW589" s="52"/>
      <c r="BX589" s="52"/>
      <c r="BY589" s="52"/>
      <c r="BZ589" s="52"/>
      <c r="CA589" s="52"/>
      <c r="CB589" s="52"/>
      <c r="CC589" s="52"/>
      <c r="CD589" s="118"/>
      <c r="CE589" s="52"/>
      <c r="CF589" s="52"/>
      <c r="CG589" s="52"/>
      <c r="CH589" s="52"/>
      <c r="CI589" s="52"/>
      <c r="CJ589" s="52"/>
      <c r="CK589" s="52"/>
      <c r="CL589" s="52"/>
      <c r="CM589" s="52"/>
      <c r="CN589" s="118"/>
      <c r="CO589" s="118"/>
      <c r="CP589" s="118"/>
      <c r="CQ589" s="52"/>
      <c r="CR589" s="52"/>
      <c r="CS589" s="52"/>
      <c r="CT589" s="52"/>
      <c r="CU589" s="52"/>
      <c r="CV589" s="52"/>
      <c r="CW589" s="52"/>
      <c r="CX589" s="52"/>
      <c r="CY589" s="52"/>
      <c r="CZ589" s="52"/>
      <c r="DA589" s="52"/>
      <c r="DB589" s="52"/>
    </row>
    <row r="590" spans="1:106" ht="13.5" x14ac:dyDescent="0.25">
      <c r="A590" s="411">
        <v>588</v>
      </c>
      <c r="B590" s="412" t="s">
        <v>4605</v>
      </c>
      <c r="C590" s="413" t="s">
        <v>3617</v>
      </c>
      <c r="D590" s="570" t="s">
        <v>4606</v>
      </c>
      <c r="E590" s="80">
        <v>1</v>
      </c>
      <c r="F590" s="353">
        <v>77779.624200000006</v>
      </c>
      <c r="G590" s="293"/>
      <c r="H590" s="293"/>
      <c r="I590" s="293"/>
      <c r="J590" s="52"/>
      <c r="K590" s="52"/>
      <c r="L590" s="359"/>
      <c r="M590" s="360"/>
      <c r="N590" s="361"/>
      <c r="O590" s="33"/>
      <c r="P590" s="252"/>
      <c r="Q590" s="113"/>
      <c r="R590" s="113"/>
      <c r="S590" s="113"/>
      <c r="T590" s="52"/>
      <c r="U590" s="367"/>
      <c r="V590" s="52"/>
      <c r="W590" s="52"/>
      <c r="X590" s="52"/>
      <c r="Y590" s="52"/>
      <c r="Z590" s="368"/>
      <c r="AA590" s="118" t="s">
        <v>2877</v>
      </c>
      <c r="AB590" s="118"/>
      <c r="AC590" s="118"/>
      <c r="AD590" s="52"/>
      <c r="AE590" s="5"/>
      <c r="AF590" s="358"/>
      <c r="AG590" s="358"/>
      <c r="AH590" s="358"/>
      <c r="AI590" s="358"/>
      <c r="AJ590" s="358"/>
      <c r="AK590" s="113"/>
      <c r="AL590" s="113"/>
      <c r="AM590" s="113"/>
      <c r="AN590" s="113"/>
      <c r="AO590" s="113"/>
      <c r="AP590" s="52"/>
      <c r="AQ590" s="52"/>
      <c r="AR590" s="52"/>
      <c r="AS590" s="52"/>
      <c r="AT590" s="52"/>
      <c r="AU590" s="125"/>
      <c r="AV590" s="125"/>
      <c r="AW590" s="125"/>
      <c r="AX590" s="5"/>
      <c r="AY590" s="5"/>
      <c r="AZ590" s="113">
        <v>18000</v>
      </c>
      <c r="BA590" s="113">
        <v>3420</v>
      </c>
      <c r="BB590" s="113">
        <v>21420</v>
      </c>
      <c r="BC590" s="52" t="s">
        <v>2925</v>
      </c>
      <c r="BD590" s="52" t="s">
        <v>4607</v>
      </c>
      <c r="BE590" s="113"/>
      <c r="BF590" s="113"/>
      <c r="BG590" s="113"/>
      <c r="BH590" s="52"/>
      <c r="BI590" s="52"/>
      <c r="BJ590" s="52"/>
      <c r="BK590" s="52"/>
      <c r="BL590" s="52"/>
      <c r="BM590" s="52"/>
      <c r="BN590" s="52"/>
      <c r="BO590" s="52"/>
      <c r="BP590" s="52"/>
      <c r="BQ590" s="52"/>
      <c r="BR590" s="52"/>
      <c r="BS590" s="52"/>
      <c r="BT590" s="52"/>
      <c r="BU590" s="52"/>
      <c r="BV590" s="52"/>
      <c r="BW590" s="52"/>
      <c r="BX590" s="52"/>
      <c r="BY590" s="52"/>
      <c r="BZ590" s="52"/>
      <c r="CA590" s="52"/>
      <c r="CB590" s="52"/>
      <c r="CC590" s="52"/>
      <c r="CD590" s="118"/>
      <c r="CE590" s="52"/>
      <c r="CF590" s="52"/>
      <c r="CG590" s="52"/>
      <c r="CH590" s="52"/>
      <c r="CI590" s="52"/>
      <c r="CJ590" s="52"/>
      <c r="CK590" s="52"/>
      <c r="CL590" s="52"/>
      <c r="CM590" s="52"/>
      <c r="CN590" s="118"/>
      <c r="CO590" s="118"/>
      <c r="CP590" s="118"/>
      <c r="CQ590" s="52"/>
      <c r="CR590" s="52"/>
      <c r="CS590" s="52"/>
      <c r="CT590" s="52"/>
      <c r="CU590" s="52"/>
      <c r="CV590" s="52"/>
      <c r="CW590" s="52"/>
      <c r="CX590" s="52"/>
      <c r="CY590" s="52"/>
      <c r="CZ590" s="52"/>
      <c r="DA590" s="52"/>
      <c r="DB590" s="52"/>
    </row>
    <row r="591" spans="1:106" ht="81" x14ac:dyDescent="0.25">
      <c r="A591" s="411">
        <v>589</v>
      </c>
      <c r="B591" s="420" t="s">
        <v>4608</v>
      </c>
      <c r="C591" s="413" t="s">
        <v>3460</v>
      </c>
      <c r="D591" s="570" t="s">
        <v>445</v>
      </c>
      <c r="E591" s="80">
        <v>1</v>
      </c>
      <c r="F591" s="353">
        <v>21554.929599999999</v>
      </c>
      <c r="G591" s="293">
        <v>29700</v>
      </c>
      <c r="H591" s="293">
        <v>5643</v>
      </c>
      <c r="I591" s="293">
        <v>35343</v>
      </c>
      <c r="J591" s="52" t="s">
        <v>2956</v>
      </c>
      <c r="K591" s="52" t="s">
        <v>4609</v>
      </c>
      <c r="L591" s="359"/>
      <c r="M591" s="360"/>
      <c r="N591" s="361"/>
      <c r="O591" s="33"/>
      <c r="P591" s="252"/>
      <c r="Q591" s="113"/>
      <c r="R591" s="113"/>
      <c r="S591" s="113"/>
      <c r="T591" s="52"/>
      <c r="U591" s="367"/>
      <c r="V591" s="52"/>
      <c r="W591" s="52"/>
      <c r="X591" s="52"/>
      <c r="Y591" s="52"/>
      <c r="Z591" s="368"/>
      <c r="AA591" s="118">
        <v>1045000</v>
      </c>
      <c r="AB591" s="118">
        <f t="shared" ref="AB591:AB592" si="81">AA591*0.19</f>
        <v>198550</v>
      </c>
      <c r="AC591" s="118">
        <f t="shared" ref="AC591:AC592" si="82">AA591+AB591</f>
        <v>1243550</v>
      </c>
      <c r="AD591" s="361" t="s">
        <v>126</v>
      </c>
      <c r="AE591" s="362">
        <v>1033510114</v>
      </c>
      <c r="AF591" s="358"/>
      <c r="AG591" s="358"/>
      <c r="AH591" s="358"/>
      <c r="AI591" s="358"/>
      <c r="AJ591" s="358"/>
      <c r="AK591" s="113"/>
      <c r="AL591" s="113"/>
      <c r="AM591" s="113"/>
      <c r="AN591" s="113"/>
      <c r="AO591" s="113"/>
      <c r="AP591" s="52"/>
      <c r="AQ591" s="52"/>
      <c r="AR591" s="52"/>
      <c r="AS591" s="52"/>
      <c r="AT591" s="52"/>
      <c r="AU591" s="125"/>
      <c r="AV591" s="125"/>
      <c r="AW591" s="125"/>
      <c r="AX591" s="5"/>
      <c r="AY591" s="5"/>
      <c r="AZ591" s="113">
        <v>38000</v>
      </c>
      <c r="BA591" s="113">
        <v>7220</v>
      </c>
      <c r="BB591" s="113">
        <v>45220</v>
      </c>
      <c r="BC591" s="52" t="s">
        <v>3483</v>
      </c>
      <c r="BD591" s="52" t="s">
        <v>4610</v>
      </c>
      <c r="BE591" s="113"/>
      <c r="BF591" s="113"/>
      <c r="BG591" s="113"/>
      <c r="BH591" s="52"/>
      <c r="BI591" s="52"/>
      <c r="BJ591" s="52"/>
      <c r="BK591" s="52"/>
      <c r="BL591" s="52"/>
      <c r="BM591" s="52"/>
      <c r="BN591" s="52"/>
      <c r="BO591" s="52"/>
      <c r="BP591" s="52"/>
      <c r="BQ591" s="52"/>
      <c r="BR591" s="52"/>
      <c r="BS591" s="52"/>
      <c r="BT591" s="52"/>
      <c r="BU591" s="52"/>
      <c r="BV591" s="52"/>
      <c r="BW591" s="52"/>
      <c r="BX591" s="52"/>
      <c r="BY591" s="52"/>
      <c r="BZ591" s="52"/>
      <c r="CA591" s="52"/>
      <c r="CB591" s="52"/>
      <c r="CC591" s="52"/>
      <c r="CD591" s="118"/>
      <c r="CE591" s="52"/>
      <c r="CF591" s="52"/>
      <c r="CG591" s="52"/>
      <c r="CH591" s="52"/>
      <c r="CI591" s="52"/>
      <c r="CJ591" s="52"/>
      <c r="CK591" s="52"/>
      <c r="CL591" s="52"/>
      <c r="CM591" s="52"/>
      <c r="CN591" s="118"/>
      <c r="CO591" s="118"/>
      <c r="CP591" s="118"/>
      <c r="CQ591" s="52"/>
      <c r="CR591" s="52"/>
      <c r="CS591" s="52"/>
      <c r="CT591" s="52"/>
      <c r="CU591" s="52"/>
      <c r="CV591" s="52"/>
      <c r="CW591" s="52"/>
      <c r="CX591" s="52"/>
      <c r="CY591" s="52"/>
      <c r="CZ591" s="52"/>
      <c r="DA591" s="52"/>
      <c r="DB591" s="52"/>
    </row>
    <row r="592" spans="1:106" ht="67.5" x14ac:dyDescent="0.25">
      <c r="A592" s="411">
        <v>590</v>
      </c>
      <c r="B592" s="415" t="s">
        <v>4611</v>
      </c>
      <c r="C592" s="413" t="s">
        <v>3460</v>
      </c>
      <c r="D592" s="570" t="s">
        <v>445</v>
      </c>
      <c r="E592" s="80">
        <v>1</v>
      </c>
      <c r="F592" s="353">
        <v>82953.948000000004</v>
      </c>
      <c r="G592" s="293">
        <v>50700</v>
      </c>
      <c r="H592" s="293">
        <v>9633</v>
      </c>
      <c r="I592" s="293">
        <v>60333</v>
      </c>
      <c r="J592" s="52" t="s">
        <v>2956</v>
      </c>
      <c r="K592" s="52" t="s">
        <v>4612</v>
      </c>
      <c r="L592" s="359"/>
      <c r="M592" s="360"/>
      <c r="N592" s="361"/>
      <c r="O592" s="33"/>
      <c r="P592" s="252"/>
      <c r="Q592" s="113"/>
      <c r="R592" s="113"/>
      <c r="S592" s="113"/>
      <c r="T592" s="52"/>
      <c r="U592" s="367"/>
      <c r="V592" s="52"/>
      <c r="W592" s="52"/>
      <c r="X592" s="52"/>
      <c r="Y592" s="52"/>
      <c r="Z592" s="368"/>
      <c r="AA592" s="118">
        <v>1203000</v>
      </c>
      <c r="AB592" s="118">
        <f t="shared" si="81"/>
        <v>228570</v>
      </c>
      <c r="AC592" s="118">
        <f t="shared" si="82"/>
        <v>1431570</v>
      </c>
      <c r="AD592" s="361" t="s">
        <v>126</v>
      </c>
      <c r="AE592" s="362">
        <v>1033510115</v>
      </c>
      <c r="AF592" s="358"/>
      <c r="AG592" s="358"/>
      <c r="AH592" s="358"/>
      <c r="AI592" s="358"/>
      <c r="AJ592" s="358"/>
      <c r="AK592" s="113"/>
      <c r="AL592" s="113"/>
      <c r="AM592" s="113"/>
      <c r="AN592" s="113"/>
      <c r="AO592" s="113"/>
      <c r="AP592" s="52"/>
      <c r="AQ592" s="52"/>
      <c r="AR592" s="52"/>
      <c r="AS592" s="52"/>
      <c r="AT592" s="52"/>
      <c r="AU592" s="125"/>
      <c r="AV592" s="125"/>
      <c r="AW592" s="125"/>
      <c r="AX592" s="5"/>
      <c r="AY592" s="5"/>
      <c r="AZ592" s="113">
        <v>77000</v>
      </c>
      <c r="BA592" s="113">
        <v>14630</v>
      </c>
      <c r="BB592" s="113">
        <v>91630</v>
      </c>
      <c r="BC592" s="52" t="s">
        <v>3483</v>
      </c>
      <c r="BD592" s="52" t="s">
        <v>4613</v>
      </c>
      <c r="BE592" s="113"/>
      <c r="BF592" s="113"/>
      <c r="BG592" s="113"/>
      <c r="BH592" s="52"/>
      <c r="BI592" s="52"/>
      <c r="BJ592" s="52"/>
      <c r="BK592" s="52"/>
      <c r="BL592" s="52"/>
      <c r="BM592" s="52"/>
      <c r="BN592" s="52"/>
      <c r="BO592" s="52"/>
      <c r="BP592" s="52"/>
      <c r="BQ592" s="52"/>
      <c r="BR592" s="52"/>
      <c r="BS592" s="52"/>
      <c r="BT592" s="52"/>
      <c r="BU592" s="52"/>
      <c r="BV592" s="52"/>
      <c r="BW592" s="52"/>
      <c r="BX592" s="52"/>
      <c r="BY592" s="52"/>
      <c r="BZ592" s="52"/>
      <c r="CA592" s="52"/>
      <c r="CB592" s="52"/>
      <c r="CC592" s="52"/>
      <c r="CD592" s="118"/>
      <c r="CE592" s="52"/>
      <c r="CF592" s="52"/>
      <c r="CG592" s="52"/>
      <c r="CH592" s="52"/>
      <c r="CI592" s="52"/>
      <c r="CJ592" s="52"/>
      <c r="CK592" s="52"/>
      <c r="CL592" s="52"/>
      <c r="CM592" s="52"/>
      <c r="CN592" s="118"/>
      <c r="CO592" s="118"/>
      <c r="CP592" s="118"/>
      <c r="CQ592" s="52"/>
      <c r="CR592" s="52"/>
      <c r="CS592" s="52"/>
      <c r="CT592" s="52"/>
      <c r="CU592" s="52"/>
      <c r="CV592" s="52"/>
      <c r="CW592" s="52"/>
      <c r="CX592" s="52"/>
      <c r="CY592" s="52"/>
      <c r="CZ592" s="52"/>
      <c r="DA592" s="52"/>
      <c r="DB592" s="52"/>
    </row>
    <row r="593" spans="1:106" ht="40.5" x14ac:dyDescent="0.25">
      <c r="A593" s="411">
        <v>591</v>
      </c>
      <c r="B593" s="409" t="s">
        <v>4614</v>
      </c>
      <c r="C593" s="413" t="s">
        <v>3460</v>
      </c>
      <c r="D593" s="584" t="s">
        <v>445</v>
      </c>
      <c r="E593" s="80">
        <v>1</v>
      </c>
      <c r="F593" s="80"/>
      <c r="G593" s="293"/>
      <c r="H593" s="293"/>
      <c r="I593" s="293"/>
      <c r="J593" s="52"/>
      <c r="K593" s="52"/>
      <c r="L593" s="359"/>
      <c r="M593" s="360"/>
      <c r="N593" s="361"/>
      <c r="O593" s="33"/>
      <c r="P593" s="252"/>
      <c r="Q593" s="113"/>
      <c r="R593" s="113"/>
      <c r="S593" s="113"/>
      <c r="T593" s="52"/>
      <c r="U593" s="367"/>
      <c r="V593" s="52"/>
      <c r="W593" s="52"/>
      <c r="X593" s="52"/>
      <c r="Y593" s="52"/>
      <c r="Z593" s="368"/>
      <c r="AA593" s="118" t="s">
        <v>2877</v>
      </c>
      <c r="AB593" s="118"/>
      <c r="AC593" s="118"/>
      <c r="AD593" s="52"/>
      <c r="AE593" s="5"/>
      <c r="AF593" s="358"/>
      <c r="AG593" s="358"/>
      <c r="AH593" s="358"/>
      <c r="AI593" s="358"/>
      <c r="AJ593" s="358"/>
      <c r="AK593" s="113"/>
      <c r="AL593" s="113"/>
      <c r="AM593" s="113"/>
      <c r="AN593" s="113"/>
      <c r="AO593" s="113"/>
      <c r="AP593" s="52"/>
      <c r="AQ593" s="52"/>
      <c r="AR593" s="52"/>
      <c r="AS593" s="52"/>
      <c r="AT593" s="52"/>
      <c r="AU593" s="125"/>
      <c r="AV593" s="125"/>
      <c r="AW593" s="125"/>
      <c r="AX593" s="5"/>
      <c r="AY593" s="5"/>
      <c r="AZ593" s="113">
        <v>600000</v>
      </c>
      <c r="BA593" s="113">
        <v>114000</v>
      </c>
      <c r="BB593" s="113">
        <v>714000</v>
      </c>
      <c r="BC593" s="52" t="s">
        <v>2925</v>
      </c>
      <c r="BD593" s="52" t="s">
        <v>4591</v>
      </c>
      <c r="BE593" s="113"/>
      <c r="BF593" s="113"/>
      <c r="BG593" s="113"/>
      <c r="BH593" s="52"/>
      <c r="BI593" s="52"/>
      <c r="BJ593" s="52"/>
      <c r="BK593" s="52"/>
      <c r="BL593" s="52"/>
      <c r="BM593" s="52"/>
      <c r="BN593" s="52"/>
      <c r="BO593" s="52"/>
      <c r="BP593" s="52"/>
      <c r="BQ593" s="52"/>
      <c r="BR593" s="52"/>
      <c r="BS593" s="52"/>
      <c r="BT593" s="52"/>
      <c r="BU593" s="52"/>
      <c r="BV593" s="52"/>
      <c r="BW593" s="52"/>
      <c r="BX593" s="52"/>
      <c r="BY593" s="52"/>
      <c r="BZ593" s="52"/>
      <c r="CA593" s="52"/>
      <c r="CB593" s="52"/>
      <c r="CC593" s="52"/>
      <c r="CD593" s="118"/>
      <c r="CE593" s="52"/>
      <c r="CF593" s="52"/>
      <c r="CG593" s="52"/>
      <c r="CH593" s="52"/>
      <c r="CI593" s="52"/>
      <c r="CJ593" s="52"/>
      <c r="CK593" s="52"/>
      <c r="CL593" s="52"/>
      <c r="CM593" s="52"/>
      <c r="CN593" s="118"/>
      <c r="CO593" s="118"/>
      <c r="CP593" s="118"/>
      <c r="CQ593" s="52"/>
      <c r="CR593" s="52"/>
      <c r="CS593" s="52"/>
      <c r="CT593" s="52"/>
      <c r="CU593" s="52"/>
      <c r="CV593" s="52"/>
      <c r="CW593" s="52"/>
      <c r="CX593" s="52"/>
      <c r="CY593" s="52"/>
      <c r="CZ593" s="52"/>
      <c r="DA593" s="52"/>
      <c r="DB593" s="52"/>
    </row>
    <row r="594" spans="1:106" ht="67.5" x14ac:dyDescent="0.25">
      <c r="A594" s="411">
        <v>592</v>
      </c>
      <c r="B594" s="415" t="s">
        <v>4615</v>
      </c>
      <c r="C594" s="426" t="s">
        <v>3460</v>
      </c>
      <c r="D594" s="570" t="s">
        <v>445</v>
      </c>
      <c r="E594" s="80">
        <v>1</v>
      </c>
      <c r="F594" s="353">
        <v>16339.414000000001</v>
      </c>
      <c r="G594" s="293"/>
      <c r="H594" s="293"/>
      <c r="I594" s="293"/>
      <c r="J594" s="52"/>
      <c r="K594" s="52"/>
      <c r="L594" s="359"/>
      <c r="M594" s="360"/>
      <c r="N594" s="361"/>
      <c r="O594" s="33"/>
      <c r="P594" s="252"/>
      <c r="Q594" s="113"/>
      <c r="R594" s="113"/>
      <c r="S594" s="113"/>
      <c r="T594" s="52"/>
      <c r="U594" s="367"/>
      <c r="V594" s="52"/>
      <c r="W594" s="52"/>
      <c r="X594" s="52"/>
      <c r="Y594" s="52"/>
      <c r="Z594" s="368"/>
      <c r="AA594" s="118">
        <v>251000</v>
      </c>
      <c r="AB594" s="118">
        <f t="shared" ref="AB594:AB601" si="83">AA594*0.19</f>
        <v>47690</v>
      </c>
      <c r="AC594" s="118">
        <f t="shared" ref="AC594:AC601" si="84">AA594+AB594</f>
        <v>298690</v>
      </c>
      <c r="AD594" s="361" t="s">
        <v>126</v>
      </c>
      <c r="AE594" s="362">
        <v>1033550102</v>
      </c>
      <c r="AF594" s="358"/>
      <c r="AG594" s="358"/>
      <c r="AH594" s="358"/>
      <c r="AI594" s="358"/>
      <c r="AJ594" s="358"/>
      <c r="AK594" s="113"/>
      <c r="AL594" s="113"/>
      <c r="AM594" s="113"/>
      <c r="AN594" s="113"/>
      <c r="AO594" s="113"/>
      <c r="AP594" s="52"/>
      <c r="AQ594" s="52"/>
      <c r="AR594" s="52"/>
      <c r="AS594" s="52"/>
      <c r="AT594" s="52"/>
      <c r="AU594" s="125"/>
      <c r="AV594" s="125"/>
      <c r="AW594" s="125"/>
      <c r="AX594" s="5"/>
      <c r="AY594" s="5"/>
      <c r="AZ594" s="113">
        <v>9000</v>
      </c>
      <c r="BA594" s="113">
        <v>1710</v>
      </c>
      <c r="BB594" s="113">
        <v>10710</v>
      </c>
      <c r="BC594" s="52" t="s">
        <v>3483</v>
      </c>
      <c r="BD594" s="52" t="s">
        <v>4616</v>
      </c>
      <c r="BE594" s="113"/>
      <c r="BF594" s="113"/>
      <c r="BG594" s="113"/>
      <c r="BH594" s="52"/>
      <c r="BI594" s="52"/>
      <c r="BJ594" s="52"/>
      <c r="BK594" s="52"/>
      <c r="BL594" s="52"/>
      <c r="BM594" s="52"/>
      <c r="BN594" s="52"/>
      <c r="BO594" s="52"/>
      <c r="BP594" s="52"/>
      <c r="BQ594" s="52"/>
      <c r="BR594" s="52"/>
      <c r="BS594" s="52"/>
      <c r="BT594" s="52"/>
      <c r="BU594" s="52"/>
      <c r="BV594" s="52"/>
      <c r="BW594" s="52"/>
      <c r="BX594" s="52"/>
      <c r="BY594" s="52"/>
      <c r="BZ594" s="52"/>
      <c r="CA594" s="52"/>
      <c r="CB594" s="52"/>
      <c r="CC594" s="52"/>
      <c r="CD594" s="118"/>
      <c r="CE594" s="52"/>
      <c r="CF594" s="52"/>
      <c r="CG594" s="52"/>
      <c r="CH594" s="52"/>
      <c r="CI594" s="52"/>
      <c r="CJ594" s="52"/>
      <c r="CK594" s="52"/>
      <c r="CL594" s="52"/>
      <c r="CM594" s="52"/>
      <c r="CN594" s="118"/>
      <c r="CO594" s="118"/>
      <c r="CP594" s="118"/>
      <c r="CQ594" s="52"/>
      <c r="CR594" s="52"/>
      <c r="CS594" s="52"/>
      <c r="CT594" s="52"/>
      <c r="CU594" s="52"/>
      <c r="CV594" s="52"/>
      <c r="CW594" s="52"/>
      <c r="CX594" s="52"/>
      <c r="CY594" s="52"/>
      <c r="CZ594" s="52"/>
      <c r="DA594" s="52"/>
      <c r="DB594" s="52"/>
    </row>
    <row r="595" spans="1:106" ht="67.5" x14ac:dyDescent="0.25">
      <c r="A595" s="411">
        <v>593</v>
      </c>
      <c r="B595" s="415" t="s">
        <v>4617</v>
      </c>
      <c r="C595" s="413" t="s">
        <v>3460</v>
      </c>
      <c r="D595" s="570" t="s">
        <v>3209</v>
      </c>
      <c r="E595" s="80">
        <v>1</v>
      </c>
      <c r="F595" s="353">
        <v>17596.292000000001</v>
      </c>
      <c r="G595" s="293">
        <v>8700</v>
      </c>
      <c r="H595" s="293">
        <v>1653</v>
      </c>
      <c r="I595" s="293">
        <v>10353</v>
      </c>
      <c r="J595" s="52" t="s">
        <v>2956</v>
      </c>
      <c r="K595" s="52" t="s">
        <v>4618</v>
      </c>
      <c r="L595" s="366"/>
      <c r="M595" s="360"/>
      <c r="N595" s="361"/>
      <c r="O595" s="33"/>
      <c r="P595" s="252"/>
      <c r="Q595" s="118"/>
      <c r="R595" s="118"/>
      <c r="S595" s="118"/>
      <c r="T595" s="52"/>
      <c r="U595" s="367"/>
      <c r="V595" s="52"/>
      <c r="W595" s="52"/>
      <c r="X595" s="52"/>
      <c r="Y595" s="52"/>
      <c r="Z595" s="368"/>
      <c r="AA595" s="118">
        <v>80000</v>
      </c>
      <c r="AB595" s="118">
        <f t="shared" si="83"/>
        <v>15200</v>
      </c>
      <c r="AC595" s="118">
        <f t="shared" si="84"/>
        <v>95200</v>
      </c>
      <c r="AD595" s="361" t="s">
        <v>126</v>
      </c>
      <c r="AE595" s="362">
        <v>1033510105</v>
      </c>
      <c r="AF595" s="294"/>
      <c r="AG595" s="294"/>
      <c r="AH595" s="294"/>
      <c r="AI595" s="294"/>
      <c r="AJ595" s="294"/>
      <c r="AK595" s="118"/>
      <c r="AL595" s="118"/>
      <c r="AM595" s="118"/>
      <c r="AN595" s="118"/>
      <c r="AO595" s="118"/>
      <c r="AP595" s="52"/>
      <c r="AQ595" s="52"/>
      <c r="AR595" s="52"/>
      <c r="AS595" s="52"/>
      <c r="AT595" s="52"/>
      <c r="AU595" s="192"/>
      <c r="AV595" s="192"/>
      <c r="AW595" s="192"/>
      <c r="AX595" s="5"/>
      <c r="AY595" s="5"/>
      <c r="AZ595" s="118">
        <v>11000</v>
      </c>
      <c r="BA595" s="118">
        <v>2090</v>
      </c>
      <c r="BB595" s="118">
        <v>13090</v>
      </c>
      <c r="BC595" s="52" t="s">
        <v>3483</v>
      </c>
      <c r="BD595" s="52" t="s">
        <v>4619</v>
      </c>
      <c r="BE595" s="118"/>
      <c r="BF595" s="118"/>
      <c r="BG595" s="118"/>
      <c r="BH595" s="52"/>
      <c r="BI595" s="52"/>
      <c r="BJ595" s="52"/>
      <c r="BK595" s="52"/>
      <c r="BL595" s="52"/>
      <c r="BM595" s="52"/>
      <c r="BN595" s="52"/>
      <c r="BO595" s="52"/>
      <c r="BP595" s="52"/>
      <c r="BQ595" s="52"/>
      <c r="BR595" s="52"/>
      <c r="BS595" s="52"/>
      <c r="BT595" s="52"/>
      <c r="BU595" s="52"/>
      <c r="BV595" s="52"/>
      <c r="BW595" s="52"/>
      <c r="BX595" s="52"/>
      <c r="BY595" s="52"/>
      <c r="BZ595" s="52"/>
      <c r="CA595" s="52"/>
      <c r="CB595" s="52"/>
      <c r="CC595" s="52"/>
      <c r="CD595" s="118"/>
      <c r="CE595" s="52"/>
      <c r="CF595" s="52"/>
      <c r="CG595" s="52"/>
      <c r="CH595" s="52"/>
      <c r="CI595" s="52"/>
      <c r="CJ595" s="52"/>
      <c r="CK595" s="52"/>
      <c r="CL595" s="52"/>
      <c r="CM595" s="52"/>
      <c r="CN595" s="118"/>
      <c r="CO595" s="118"/>
      <c r="CP595" s="118"/>
      <c r="CQ595" s="52"/>
      <c r="CR595" s="52"/>
      <c r="CS595" s="52"/>
      <c r="CT595" s="52"/>
      <c r="CU595" s="52"/>
      <c r="CV595" s="52"/>
      <c r="CW595" s="52"/>
      <c r="CX595" s="52"/>
      <c r="CY595" s="52"/>
      <c r="CZ595" s="52"/>
      <c r="DA595" s="52"/>
      <c r="DB595" s="52"/>
    </row>
    <row r="596" spans="1:106" ht="67.5" x14ac:dyDescent="0.25">
      <c r="A596" s="411">
        <v>594</v>
      </c>
      <c r="B596" s="415" t="s">
        <v>4620</v>
      </c>
      <c r="C596" s="413" t="s">
        <v>3460</v>
      </c>
      <c r="D596" s="570" t="s">
        <v>445</v>
      </c>
      <c r="E596" s="80">
        <v>1</v>
      </c>
      <c r="F596" s="353">
        <v>21366.925999999999</v>
      </c>
      <c r="G596" s="293">
        <v>8600</v>
      </c>
      <c r="H596" s="293">
        <v>1634</v>
      </c>
      <c r="I596" s="293">
        <v>10234</v>
      </c>
      <c r="J596" s="52" t="s">
        <v>2956</v>
      </c>
      <c r="K596" s="52" t="s">
        <v>4621</v>
      </c>
      <c r="L596" s="366"/>
      <c r="M596" s="360"/>
      <c r="N596" s="361"/>
      <c r="O596" s="33"/>
      <c r="P596" s="252"/>
      <c r="Q596" s="118"/>
      <c r="R596" s="118"/>
      <c r="S596" s="118"/>
      <c r="T596" s="52"/>
      <c r="U596" s="367"/>
      <c r="V596" s="52"/>
      <c r="W596" s="52"/>
      <c r="X596" s="52"/>
      <c r="Y596" s="52"/>
      <c r="Z596" s="368"/>
      <c r="AA596" s="118">
        <v>420000</v>
      </c>
      <c r="AB596" s="118">
        <f t="shared" si="83"/>
        <v>79800</v>
      </c>
      <c r="AC596" s="118">
        <f t="shared" si="84"/>
        <v>499800</v>
      </c>
      <c r="AD596" s="361" t="s">
        <v>126</v>
      </c>
      <c r="AE596" s="362">
        <v>1033550103</v>
      </c>
      <c r="AF596" s="294"/>
      <c r="AG596" s="294"/>
      <c r="AH596" s="294"/>
      <c r="AI596" s="294"/>
      <c r="AJ596" s="294"/>
      <c r="AK596" s="118"/>
      <c r="AL596" s="118"/>
      <c r="AM596" s="118"/>
      <c r="AN596" s="118"/>
      <c r="AO596" s="118"/>
      <c r="AP596" s="52"/>
      <c r="AQ596" s="52"/>
      <c r="AR596" s="52"/>
      <c r="AS596" s="52"/>
      <c r="AT596" s="52"/>
      <c r="AU596" s="192"/>
      <c r="AV596" s="192"/>
      <c r="AW596" s="192"/>
      <c r="AX596" s="5"/>
      <c r="AY596" s="5"/>
      <c r="AZ596" s="118">
        <v>52000</v>
      </c>
      <c r="BA596" s="118">
        <v>9880</v>
      </c>
      <c r="BB596" s="118">
        <v>61880</v>
      </c>
      <c r="BC596" s="52" t="s">
        <v>2925</v>
      </c>
      <c r="BD596" s="52" t="s">
        <v>4622</v>
      </c>
      <c r="BE596" s="118"/>
      <c r="BF596" s="118"/>
      <c r="BG596" s="118"/>
      <c r="BH596" s="52"/>
      <c r="BI596" s="52"/>
      <c r="BJ596" s="52"/>
      <c r="BK596" s="52"/>
      <c r="BL596" s="52"/>
      <c r="BM596" s="52"/>
      <c r="BN596" s="52"/>
      <c r="BO596" s="52"/>
      <c r="BP596" s="52"/>
      <c r="BQ596" s="52"/>
      <c r="BR596" s="52"/>
      <c r="BS596" s="52"/>
      <c r="BT596" s="52"/>
      <c r="BU596" s="52"/>
      <c r="BV596" s="52"/>
      <c r="BW596" s="52"/>
      <c r="BX596" s="52"/>
      <c r="BY596" s="52"/>
      <c r="BZ596" s="52"/>
      <c r="CA596" s="52"/>
      <c r="CB596" s="52"/>
      <c r="CC596" s="52"/>
      <c r="CD596" s="118"/>
      <c r="CE596" s="52"/>
      <c r="CF596" s="52"/>
      <c r="CG596" s="52"/>
      <c r="CH596" s="52"/>
      <c r="CI596" s="52"/>
      <c r="CJ596" s="52"/>
      <c r="CK596" s="52"/>
      <c r="CL596" s="52"/>
      <c r="CM596" s="52"/>
      <c r="CN596" s="118"/>
      <c r="CO596" s="118"/>
      <c r="CP596" s="118"/>
      <c r="CQ596" s="52"/>
      <c r="CR596" s="52"/>
      <c r="CS596" s="52"/>
      <c r="CT596" s="52"/>
      <c r="CU596" s="52"/>
      <c r="CV596" s="52"/>
      <c r="CW596" s="52"/>
      <c r="CX596" s="52"/>
      <c r="CY596" s="52"/>
      <c r="CZ596" s="52"/>
      <c r="DA596" s="52"/>
      <c r="DB596" s="52"/>
    </row>
    <row r="597" spans="1:106" ht="81" x14ac:dyDescent="0.25">
      <c r="A597" s="411">
        <v>595</v>
      </c>
      <c r="B597" s="413" t="s">
        <v>4623</v>
      </c>
      <c r="C597" s="413" t="s">
        <v>3460</v>
      </c>
      <c r="D597" s="570" t="s">
        <v>445</v>
      </c>
      <c r="E597" s="80">
        <v>1</v>
      </c>
      <c r="F597" s="353">
        <v>18853.170000000002</v>
      </c>
      <c r="G597" s="293">
        <v>10600</v>
      </c>
      <c r="H597" s="293">
        <v>2014</v>
      </c>
      <c r="I597" s="293">
        <v>12614</v>
      </c>
      <c r="J597" s="52" t="s">
        <v>2956</v>
      </c>
      <c r="K597" s="52" t="s">
        <v>4624</v>
      </c>
      <c r="L597" s="366"/>
      <c r="M597" s="360"/>
      <c r="N597" s="361"/>
      <c r="O597" s="33"/>
      <c r="P597" s="252"/>
      <c r="Q597" s="118"/>
      <c r="R597" s="118"/>
      <c r="S597" s="118"/>
      <c r="T597" s="52"/>
      <c r="U597" s="367"/>
      <c r="V597" s="52"/>
      <c r="W597" s="52"/>
      <c r="X597" s="52"/>
      <c r="Y597" s="52"/>
      <c r="Z597" s="368"/>
      <c r="AA597" s="118">
        <v>111000</v>
      </c>
      <c r="AB597" s="118">
        <f t="shared" si="83"/>
        <v>21090</v>
      </c>
      <c r="AC597" s="118">
        <f t="shared" si="84"/>
        <v>132090</v>
      </c>
      <c r="AD597" s="361" t="s">
        <v>126</v>
      </c>
      <c r="AE597" s="362">
        <v>1033510108</v>
      </c>
      <c r="AF597" s="294"/>
      <c r="AG597" s="294"/>
      <c r="AH597" s="294"/>
      <c r="AI597" s="294"/>
      <c r="AJ597" s="294"/>
      <c r="AK597" s="118"/>
      <c r="AL597" s="118"/>
      <c r="AM597" s="118"/>
      <c r="AN597" s="118"/>
      <c r="AO597" s="118"/>
      <c r="AP597" s="52"/>
      <c r="AQ597" s="52"/>
      <c r="AR597" s="52"/>
      <c r="AS597" s="52"/>
      <c r="AT597" s="52"/>
      <c r="AU597" s="192"/>
      <c r="AV597" s="192"/>
      <c r="AW597" s="192"/>
      <c r="AX597" s="5"/>
      <c r="AY597" s="5"/>
      <c r="AZ597" s="118">
        <v>13000</v>
      </c>
      <c r="BA597" s="118">
        <v>2470</v>
      </c>
      <c r="BB597" s="118">
        <v>15470</v>
      </c>
      <c r="BC597" s="52" t="s">
        <v>3483</v>
      </c>
      <c r="BD597" s="52" t="s">
        <v>4625</v>
      </c>
      <c r="BE597" s="118"/>
      <c r="BF597" s="118"/>
      <c r="BG597" s="118"/>
      <c r="BH597" s="52"/>
      <c r="BI597" s="52"/>
      <c r="BJ597" s="52"/>
      <c r="BK597" s="52"/>
      <c r="BL597" s="52"/>
      <c r="BM597" s="52"/>
      <c r="BN597" s="52"/>
      <c r="BO597" s="52"/>
      <c r="BP597" s="52"/>
      <c r="BQ597" s="52"/>
      <c r="BR597" s="52"/>
      <c r="BS597" s="52"/>
      <c r="BT597" s="52"/>
      <c r="BU597" s="52"/>
      <c r="BV597" s="52"/>
      <c r="BW597" s="52"/>
      <c r="BX597" s="52"/>
      <c r="BY597" s="52"/>
      <c r="BZ597" s="52"/>
      <c r="CA597" s="52"/>
      <c r="CB597" s="52"/>
      <c r="CC597" s="52"/>
      <c r="CD597" s="118"/>
      <c r="CE597" s="52"/>
      <c r="CF597" s="52"/>
      <c r="CG597" s="52"/>
      <c r="CH597" s="52"/>
      <c r="CI597" s="52"/>
      <c r="CJ597" s="52"/>
      <c r="CK597" s="52"/>
      <c r="CL597" s="52"/>
      <c r="CM597" s="52"/>
      <c r="CN597" s="118"/>
      <c r="CO597" s="118"/>
      <c r="CP597" s="118"/>
      <c r="CQ597" s="52"/>
      <c r="CR597" s="52"/>
      <c r="CS597" s="52"/>
      <c r="CT597" s="52"/>
      <c r="CU597" s="52"/>
      <c r="CV597" s="52"/>
      <c r="CW597" s="52"/>
      <c r="CX597" s="52"/>
      <c r="CY597" s="52"/>
      <c r="CZ597" s="52"/>
      <c r="DA597" s="52"/>
      <c r="DB597" s="52"/>
    </row>
    <row r="598" spans="1:106" ht="67.5" x14ac:dyDescent="0.25">
      <c r="A598" s="411">
        <v>596</v>
      </c>
      <c r="B598" s="415" t="s">
        <v>4626</v>
      </c>
      <c r="C598" s="413" t="s">
        <v>3460</v>
      </c>
      <c r="D598" s="570" t="s">
        <v>445</v>
      </c>
      <c r="E598" s="80">
        <v>1</v>
      </c>
      <c r="F598" s="353">
        <v>26394.438000000002</v>
      </c>
      <c r="G598" s="293">
        <v>15600</v>
      </c>
      <c r="H598" s="293">
        <v>2964</v>
      </c>
      <c r="I598" s="293">
        <v>18564</v>
      </c>
      <c r="J598" s="52" t="s">
        <v>2956</v>
      </c>
      <c r="K598" s="52" t="s">
        <v>4627</v>
      </c>
      <c r="L598" s="366"/>
      <c r="M598" s="360"/>
      <c r="N598" s="361"/>
      <c r="O598" s="33"/>
      <c r="P598" s="252"/>
      <c r="Q598" s="118"/>
      <c r="R598" s="118"/>
      <c r="S598" s="118"/>
      <c r="T598" s="52"/>
      <c r="U598" s="367"/>
      <c r="V598" s="52"/>
      <c r="W598" s="52"/>
      <c r="X598" s="52"/>
      <c r="Y598" s="52"/>
      <c r="Z598" s="368"/>
      <c r="AA598" s="118">
        <v>551000</v>
      </c>
      <c r="AB598" s="118">
        <f t="shared" si="83"/>
        <v>104690</v>
      </c>
      <c r="AC598" s="118">
        <f t="shared" si="84"/>
        <v>655690</v>
      </c>
      <c r="AD598" s="361" t="s">
        <v>126</v>
      </c>
      <c r="AE598" s="362">
        <v>1033510110</v>
      </c>
      <c r="AF598" s="294"/>
      <c r="AG598" s="294"/>
      <c r="AH598" s="294"/>
      <c r="AI598" s="294"/>
      <c r="AJ598" s="294"/>
      <c r="AK598" s="118"/>
      <c r="AL598" s="118"/>
      <c r="AM598" s="118"/>
      <c r="AN598" s="118"/>
      <c r="AO598" s="118"/>
      <c r="AP598" s="52"/>
      <c r="AQ598" s="52"/>
      <c r="AR598" s="52"/>
      <c r="AS598" s="52"/>
      <c r="AT598" s="52"/>
      <c r="AU598" s="192"/>
      <c r="AV598" s="192"/>
      <c r="AW598" s="192"/>
      <c r="AX598" s="5"/>
      <c r="AY598" s="5"/>
      <c r="AZ598" s="118">
        <v>17000</v>
      </c>
      <c r="BA598" s="118">
        <v>3230</v>
      </c>
      <c r="BB598" s="118">
        <v>20230</v>
      </c>
      <c r="BC598" s="52" t="s">
        <v>3483</v>
      </c>
      <c r="BD598" s="52" t="s">
        <v>4628</v>
      </c>
      <c r="BE598" s="118"/>
      <c r="BF598" s="118"/>
      <c r="BG598" s="118"/>
      <c r="BH598" s="52"/>
      <c r="BI598" s="52"/>
      <c r="BJ598" s="52"/>
      <c r="BK598" s="52"/>
      <c r="BL598" s="52"/>
      <c r="BM598" s="52"/>
      <c r="BN598" s="52"/>
      <c r="BO598" s="52"/>
      <c r="BP598" s="52"/>
      <c r="BQ598" s="52"/>
      <c r="BR598" s="52"/>
      <c r="BS598" s="52"/>
      <c r="BT598" s="52"/>
      <c r="BU598" s="52"/>
      <c r="BV598" s="52"/>
      <c r="BW598" s="52"/>
      <c r="BX598" s="52"/>
      <c r="BY598" s="52"/>
      <c r="BZ598" s="52"/>
      <c r="CA598" s="52"/>
      <c r="CB598" s="52"/>
      <c r="CC598" s="52"/>
      <c r="CD598" s="118"/>
      <c r="CE598" s="52"/>
      <c r="CF598" s="52"/>
      <c r="CG598" s="52"/>
      <c r="CH598" s="52"/>
      <c r="CI598" s="52"/>
      <c r="CJ598" s="52"/>
      <c r="CK598" s="52"/>
      <c r="CL598" s="52"/>
      <c r="CM598" s="52"/>
      <c r="CN598" s="118"/>
      <c r="CO598" s="118"/>
      <c r="CP598" s="118"/>
      <c r="CQ598" s="52"/>
      <c r="CR598" s="52"/>
      <c r="CS598" s="52"/>
      <c r="CT598" s="52"/>
      <c r="CU598" s="52"/>
      <c r="CV598" s="52"/>
      <c r="CW598" s="52"/>
      <c r="CX598" s="52"/>
      <c r="CY598" s="52"/>
      <c r="CZ598" s="52"/>
      <c r="DA598" s="52"/>
      <c r="DB598" s="52"/>
    </row>
    <row r="599" spans="1:106" ht="67.5" x14ac:dyDescent="0.25">
      <c r="A599" s="411">
        <v>597</v>
      </c>
      <c r="B599" s="412" t="s">
        <v>4629</v>
      </c>
      <c r="C599" s="413" t="s">
        <v>3460</v>
      </c>
      <c r="D599" s="570" t="s">
        <v>445</v>
      </c>
      <c r="E599" s="80">
        <v>1</v>
      </c>
      <c r="F599" s="353">
        <v>16987.9208</v>
      </c>
      <c r="G599" s="293">
        <v>8600</v>
      </c>
      <c r="H599" s="293">
        <v>1634</v>
      </c>
      <c r="I599" s="293">
        <v>10234</v>
      </c>
      <c r="J599" s="52" t="s">
        <v>2956</v>
      </c>
      <c r="K599" s="52" t="s">
        <v>4630</v>
      </c>
      <c r="L599" s="366"/>
      <c r="M599" s="360"/>
      <c r="N599" s="361"/>
      <c r="O599" s="33"/>
      <c r="P599" s="252"/>
      <c r="Q599" s="118"/>
      <c r="R599" s="118"/>
      <c r="S599" s="118"/>
      <c r="T599" s="52"/>
      <c r="U599" s="367"/>
      <c r="V599" s="52"/>
      <c r="W599" s="52"/>
      <c r="X599" s="52"/>
      <c r="Y599" s="52"/>
      <c r="Z599" s="368"/>
      <c r="AA599" s="118">
        <v>362000</v>
      </c>
      <c r="AB599" s="118">
        <f t="shared" si="83"/>
        <v>68780</v>
      </c>
      <c r="AC599" s="118">
        <f t="shared" si="84"/>
        <v>430780</v>
      </c>
      <c r="AD599" s="361" t="s">
        <v>126</v>
      </c>
      <c r="AE599" s="362">
        <v>1033550104</v>
      </c>
      <c r="AF599" s="294"/>
      <c r="AG599" s="294"/>
      <c r="AH599" s="294"/>
      <c r="AI599" s="294"/>
      <c r="AJ599" s="294"/>
      <c r="AK599" s="118"/>
      <c r="AL599" s="118"/>
      <c r="AM599" s="118"/>
      <c r="AN599" s="118"/>
      <c r="AO599" s="118"/>
      <c r="AP599" s="52"/>
      <c r="AQ599" s="52"/>
      <c r="AR599" s="52"/>
      <c r="AS599" s="52"/>
      <c r="AT599" s="52"/>
      <c r="AU599" s="192"/>
      <c r="AV599" s="192"/>
      <c r="AW599" s="192"/>
      <c r="AX599" s="5"/>
      <c r="AY599" s="5"/>
      <c r="AZ599" s="118">
        <v>11000</v>
      </c>
      <c r="BA599" s="118">
        <v>2090</v>
      </c>
      <c r="BB599" s="118">
        <v>13090</v>
      </c>
      <c r="BC599" s="52" t="s">
        <v>3483</v>
      </c>
      <c r="BD599" s="52" t="s">
        <v>4631</v>
      </c>
      <c r="BE599" s="118"/>
      <c r="BF599" s="118"/>
      <c r="BG599" s="118"/>
      <c r="BH599" s="52"/>
      <c r="BI599" s="52"/>
      <c r="BJ599" s="52"/>
      <c r="BK599" s="52"/>
      <c r="BL599" s="52"/>
      <c r="BM599" s="52"/>
      <c r="BN599" s="52"/>
      <c r="BO599" s="52"/>
      <c r="BP599" s="52"/>
      <c r="BQ599" s="52"/>
      <c r="BR599" s="52"/>
      <c r="BS599" s="52"/>
      <c r="BT599" s="52"/>
      <c r="BU599" s="52"/>
      <c r="BV599" s="52"/>
      <c r="BW599" s="52"/>
      <c r="BX599" s="52"/>
      <c r="BY599" s="52"/>
      <c r="BZ599" s="52"/>
      <c r="CA599" s="52"/>
      <c r="CB599" s="52"/>
      <c r="CC599" s="52"/>
      <c r="CD599" s="118"/>
      <c r="CE599" s="52"/>
      <c r="CF599" s="52"/>
      <c r="CG599" s="52"/>
      <c r="CH599" s="52"/>
      <c r="CI599" s="52"/>
      <c r="CJ599" s="52"/>
      <c r="CK599" s="52"/>
      <c r="CL599" s="52"/>
      <c r="CM599" s="52"/>
      <c r="CN599" s="118"/>
      <c r="CO599" s="118"/>
      <c r="CP599" s="118"/>
      <c r="CQ599" s="52"/>
      <c r="CR599" s="52"/>
      <c r="CS599" s="52"/>
      <c r="CT599" s="52"/>
      <c r="CU599" s="52"/>
      <c r="CV599" s="52"/>
      <c r="CW599" s="52"/>
      <c r="CX599" s="52"/>
      <c r="CY599" s="52"/>
      <c r="CZ599" s="52"/>
      <c r="DA599" s="52"/>
      <c r="DB599" s="52"/>
    </row>
    <row r="600" spans="1:106" ht="54" x14ac:dyDescent="0.25">
      <c r="A600" s="411">
        <v>598</v>
      </c>
      <c r="B600" s="413" t="s">
        <v>4632</v>
      </c>
      <c r="C600" s="413" t="s">
        <v>3460</v>
      </c>
      <c r="D600" s="570" t="s">
        <v>445</v>
      </c>
      <c r="E600" s="80">
        <v>1</v>
      </c>
      <c r="F600" s="353">
        <v>30165.072</v>
      </c>
      <c r="G600" s="293">
        <v>18600</v>
      </c>
      <c r="H600" s="293">
        <v>3534</v>
      </c>
      <c r="I600" s="293">
        <v>22134</v>
      </c>
      <c r="J600" s="52" t="s">
        <v>2956</v>
      </c>
      <c r="K600" s="52" t="s">
        <v>4633</v>
      </c>
      <c r="L600" s="366"/>
      <c r="M600" s="360"/>
      <c r="N600" s="361"/>
      <c r="O600" s="33"/>
      <c r="P600" s="252"/>
      <c r="Q600" s="118"/>
      <c r="R600" s="118"/>
      <c r="S600" s="118"/>
      <c r="T600" s="52"/>
      <c r="U600" s="367"/>
      <c r="V600" s="52"/>
      <c r="W600" s="52"/>
      <c r="X600" s="52"/>
      <c r="Y600" s="52"/>
      <c r="Z600" s="368"/>
      <c r="AA600" s="118">
        <v>243000</v>
      </c>
      <c r="AB600" s="118">
        <f t="shared" si="83"/>
        <v>46170</v>
      </c>
      <c r="AC600" s="118">
        <f t="shared" si="84"/>
        <v>289170</v>
      </c>
      <c r="AD600" s="361" t="s">
        <v>126</v>
      </c>
      <c r="AE600" s="362">
        <v>1033510112</v>
      </c>
      <c r="AF600" s="294"/>
      <c r="AG600" s="294"/>
      <c r="AH600" s="294"/>
      <c r="AI600" s="294"/>
      <c r="AJ600" s="294"/>
      <c r="AK600" s="118"/>
      <c r="AL600" s="118"/>
      <c r="AM600" s="118"/>
      <c r="AN600" s="118"/>
      <c r="AO600" s="118"/>
      <c r="AP600" s="52"/>
      <c r="AQ600" s="52"/>
      <c r="AR600" s="52"/>
      <c r="AS600" s="52"/>
      <c r="AT600" s="52"/>
      <c r="AU600" s="192"/>
      <c r="AV600" s="192"/>
      <c r="AW600" s="192"/>
      <c r="AX600" s="5"/>
      <c r="AY600" s="5"/>
      <c r="AZ600" s="118">
        <v>18000</v>
      </c>
      <c r="BA600" s="118">
        <v>3420</v>
      </c>
      <c r="BB600" s="118">
        <v>21420</v>
      </c>
      <c r="BC600" s="52" t="s">
        <v>3483</v>
      </c>
      <c r="BD600" s="52" t="s">
        <v>4634</v>
      </c>
      <c r="BE600" s="118"/>
      <c r="BF600" s="118"/>
      <c r="BG600" s="118"/>
      <c r="BH600" s="52"/>
      <c r="BI600" s="52"/>
      <c r="BJ600" s="52"/>
      <c r="BK600" s="52"/>
      <c r="BL600" s="52"/>
      <c r="BM600" s="52"/>
      <c r="BN600" s="52"/>
      <c r="BO600" s="52"/>
      <c r="BP600" s="52"/>
      <c r="BQ600" s="52"/>
      <c r="BR600" s="52"/>
      <c r="BS600" s="52"/>
      <c r="BT600" s="52"/>
      <c r="BU600" s="52"/>
      <c r="BV600" s="52"/>
      <c r="BW600" s="52"/>
      <c r="BX600" s="52"/>
      <c r="BY600" s="52"/>
      <c r="BZ600" s="52"/>
      <c r="CA600" s="52"/>
      <c r="CB600" s="52"/>
      <c r="CC600" s="52"/>
      <c r="CD600" s="118"/>
      <c r="CE600" s="52"/>
      <c r="CF600" s="52"/>
      <c r="CG600" s="52"/>
      <c r="CH600" s="52"/>
      <c r="CI600" s="52"/>
      <c r="CJ600" s="52"/>
      <c r="CK600" s="52"/>
      <c r="CL600" s="52"/>
      <c r="CM600" s="52"/>
      <c r="CN600" s="118"/>
      <c r="CO600" s="118"/>
      <c r="CP600" s="118"/>
      <c r="CQ600" s="52"/>
      <c r="CR600" s="52"/>
      <c r="CS600" s="52"/>
      <c r="CT600" s="52"/>
      <c r="CU600" s="52"/>
      <c r="CV600" s="52"/>
      <c r="CW600" s="52"/>
      <c r="CX600" s="52"/>
      <c r="CY600" s="52"/>
      <c r="CZ600" s="52"/>
      <c r="DA600" s="52"/>
      <c r="DB600" s="52"/>
    </row>
    <row r="601" spans="1:106" ht="67.5" x14ac:dyDescent="0.25">
      <c r="A601" s="411">
        <v>599</v>
      </c>
      <c r="B601" s="415" t="s">
        <v>4635</v>
      </c>
      <c r="C601" s="413" t="s">
        <v>3460</v>
      </c>
      <c r="D601" s="570" t="s">
        <v>445</v>
      </c>
      <c r="E601" s="80">
        <v>1</v>
      </c>
      <c r="F601" s="353">
        <v>27651.316000000003</v>
      </c>
      <c r="G601" s="293">
        <v>18600</v>
      </c>
      <c r="H601" s="293">
        <v>3534</v>
      </c>
      <c r="I601" s="293">
        <v>22134</v>
      </c>
      <c r="J601" s="52" t="s">
        <v>2956</v>
      </c>
      <c r="K601" s="52" t="s">
        <v>4633</v>
      </c>
      <c r="L601" s="366"/>
      <c r="M601" s="360"/>
      <c r="N601" s="361"/>
      <c r="O601" s="33"/>
      <c r="P601" s="252"/>
      <c r="Q601" s="118"/>
      <c r="R601" s="118"/>
      <c r="S601" s="118"/>
      <c r="T601" s="52"/>
      <c r="U601" s="367"/>
      <c r="V601" s="52"/>
      <c r="W601" s="52"/>
      <c r="X601" s="52"/>
      <c r="Y601" s="52"/>
      <c r="Z601" s="368"/>
      <c r="AA601" s="118">
        <v>243000</v>
      </c>
      <c r="AB601" s="118">
        <f t="shared" si="83"/>
        <v>46170</v>
      </c>
      <c r="AC601" s="118">
        <f t="shared" si="84"/>
        <v>289170</v>
      </c>
      <c r="AD601" s="361" t="s">
        <v>126</v>
      </c>
      <c r="AE601" s="362">
        <v>1033510112</v>
      </c>
      <c r="AF601" s="294"/>
      <c r="AG601" s="294"/>
      <c r="AH601" s="294"/>
      <c r="AI601" s="294"/>
      <c r="AJ601" s="294"/>
      <c r="AK601" s="118"/>
      <c r="AL601" s="118"/>
      <c r="AM601" s="118"/>
      <c r="AN601" s="118"/>
      <c r="AO601" s="118"/>
      <c r="AP601" s="52"/>
      <c r="AQ601" s="52"/>
      <c r="AR601" s="52"/>
      <c r="AS601" s="52"/>
      <c r="AT601" s="52"/>
      <c r="AU601" s="192"/>
      <c r="AV601" s="192"/>
      <c r="AW601" s="192"/>
      <c r="AX601" s="5"/>
      <c r="AY601" s="5"/>
      <c r="AZ601" s="118">
        <v>18000</v>
      </c>
      <c r="BA601" s="118">
        <v>3420</v>
      </c>
      <c r="BB601" s="118">
        <v>21420</v>
      </c>
      <c r="BC601" s="52" t="s">
        <v>3483</v>
      </c>
      <c r="BD601" s="52" t="s">
        <v>4634</v>
      </c>
      <c r="BE601" s="118"/>
      <c r="BF601" s="118"/>
      <c r="BG601" s="118"/>
      <c r="BH601" s="52"/>
      <c r="BI601" s="52"/>
      <c r="BJ601" s="52"/>
      <c r="BK601" s="52"/>
      <c r="BL601" s="52"/>
      <c r="BM601" s="52"/>
      <c r="BN601" s="52"/>
      <c r="BO601" s="52"/>
      <c r="BP601" s="52"/>
      <c r="BQ601" s="52"/>
      <c r="BR601" s="52"/>
      <c r="BS601" s="52"/>
      <c r="BT601" s="52"/>
      <c r="BU601" s="52"/>
      <c r="BV601" s="52"/>
      <c r="BW601" s="52"/>
      <c r="BX601" s="52"/>
      <c r="BY601" s="52"/>
      <c r="BZ601" s="52"/>
      <c r="CA601" s="52"/>
      <c r="CB601" s="52"/>
      <c r="CC601" s="52"/>
      <c r="CD601" s="118"/>
      <c r="CE601" s="52"/>
      <c r="CF601" s="52"/>
      <c r="CG601" s="52"/>
      <c r="CH601" s="52"/>
      <c r="CI601" s="52"/>
      <c r="CJ601" s="52"/>
      <c r="CK601" s="52"/>
      <c r="CL601" s="52"/>
      <c r="CM601" s="52"/>
      <c r="CN601" s="118"/>
      <c r="CO601" s="118"/>
      <c r="CP601" s="118"/>
      <c r="CQ601" s="52"/>
      <c r="CR601" s="52"/>
      <c r="CS601" s="52"/>
      <c r="CT601" s="52"/>
      <c r="CU601" s="52"/>
      <c r="CV601" s="52"/>
      <c r="CW601" s="52"/>
      <c r="CX601" s="52"/>
      <c r="CY601" s="52"/>
      <c r="CZ601" s="52"/>
      <c r="DA601" s="52"/>
      <c r="DB601" s="52"/>
    </row>
    <row r="602" spans="1:106" ht="13.5" x14ac:dyDescent="0.25">
      <c r="A602" s="411">
        <v>600</v>
      </c>
      <c r="B602" s="412" t="s">
        <v>4636</v>
      </c>
      <c r="C602" s="413" t="s">
        <v>622</v>
      </c>
      <c r="D602" s="570" t="s">
        <v>4637</v>
      </c>
      <c r="E602" s="80">
        <v>1</v>
      </c>
      <c r="F602" s="353">
        <v>194055.62600000002</v>
      </c>
      <c r="G602" s="293"/>
      <c r="H602" s="293"/>
      <c r="I602" s="293"/>
      <c r="J602" s="52"/>
      <c r="K602" s="52"/>
      <c r="L602" s="366"/>
      <c r="M602" s="360"/>
      <c r="N602" s="361"/>
      <c r="O602" s="33"/>
      <c r="P602" s="252"/>
      <c r="Q602" s="118"/>
      <c r="R602" s="118"/>
      <c r="S602" s="118"/>
      <c r="T602" s="52"/>
      <c r="U602" s="367"/>
      <c r="V602" s="52"/>
      <c r="W602" s="52"/>
      <c r="X602" s="52"/>
      <c r="Y602" s="52"/>
      <c r="Z602" s="368"/>
      <c r="AA602" s="118" t="s">
        <v>2877</v>
      </c>
      <c r="AB602" s="118"/>
      <c r="AC602" s="118"/>
      <c r="AD602" s="52"/>
      <c r="AE602" s="5"/>
      <c r="AF602" s="294"/>
      <c r="AG602" s="294"/>
      <c r="AH602" s="294"/>
      <c r="AI602" s="294"/>
      <c r="AJ602" s="294"/>
      <c r="AK602" s="118"/>
      <c r="AL602" s="118"/>
      <c r="AM602" s="118"/>
      <c r="AN602" s="118"/>
      <c r="AO602" s="118"/>
      <c r="AP602" s="52"/>
      <c r="AQ602" s="52"/>
      <c r="AR602" s="52"/>
      <c r="AS602" s="52"/>
      <c r="AT602" s="52"/>
      <c r="AU602" s="192"/>
      <c r="AV602" s="192"/>
      <c r="AW602" s="192"/>
      <c r="AX602" s="5"/>
      <c r="AY602" s="5"/>
      <c r="AZ602" s="118"/>
      <c r="BA602" s="118"/>
      <c r="BB602" s="118"/>
      <c r="BC602" s="52"/>
      <c r="BD602" s="52"/>
      <c r="BE602" s="118"/>
      <c r="BF602" s="118"/>
      <c r="BG602" s="118"/>
      <c r="BH602" s="52"/>
      <c r="BI602" s="52"/>
      <c r="BJ602" s="52"/>
      <c r="BK602" s="52"/>
      <c r="BL602" s="52"/>
      <c r="BM602" s="52"/>
      <c r="BN602" s="52"/>
      <c r="BO602" s="52"/>
      <c r="BP602" s="52"/>
      <c r="BQ602" s="52"/>
      <c r="BR602" s="52"/>
      <c r="BS602" s="52"/>
      <c r="BT602" s="52"/>
      <c r="BU602" s="52"/>
      <c r="BV602" s="52"/>
      <c r="BW602" s="52"/>
      <c r="BX602" s="52"/>
      <c r="BY602" s="52"/>
      <c r="BZ602" s="52"/>
      <c r="CA602" s="52"/>
      <c r="CB602" s="52"/>
      <c r="CC602" s="52"/>
      <c r="CD602" s="118"/>
      <c r="CE602" s="52"/>
      <c r="CF602" s="52"/>
      <c r="CG602" s="52"/>
      <c r="CH602" s="52"/>
      <c r="CI602" s="52"/>
      <c r="CJ602" s="52"/>
      <c r="CK602" s="52"/>
      <c r="CL602" s="52"/>
      <c r="CM602" s="52"/>
      <c r="CN602" s="118"/>
      <c r="CO602" s="118"/>
      <c r="CP602" s="118"/>
      <c r="CQ602" s="52"/>
      <c r="CR602" s="52"/>
      <c r="CS602" s="52"/>
      <c r="CT602" s="52"/>
      <c r="CU602" s="52"/>
      <c r="CV602" s="52"/>
      <c r="CW602" s="52"/>
      <c r="CX602" s="52"/>
      <c r="CY602" s="52"/>
      <c r="CZ602" s="52"/>
      <c r="DA602" s="52"/>
      <c r="DB602" s="52"/>
    </row>
    <row r="603" spans="1:106" ht="13.5" x14ac:dyDescent="0.25">
      <c r="A603" s="411">
        <v>601</v>
      </c>
      <c r="B603" s="412" t="s">
        <v>4638</v>
      </c>
      <c r="C603" s="413" t="s">
        <v>622</v>
      </c>
      <c r="D603" s="585" t="s">
        <v>445</v>
      </c>
      <c r="E603" s="80">
        <v>1</v>
      </c>
      <c r="F603" s="353">
        <v>30291.816000000003</v>
      </c>
      <c r="G603" s="293"/>
      <c r="H603" s="293"/>
      <c r="I603" s="293"/>
      <c r="J603" s="52"/>
      <c r="K603" s="52"/>
      <c r="L603" s="359"/>
      <c r="M603" s="360"/>
      <c r="N603" s="361"/>
      <c r="O603" s="33"/>
      <c r="P603" s="252"/>
      <c r="Q603" s="113"/>
      <c r="R603" s="113"/>
      <c r="S603" s="113"/>
      <c r="T603" s="52"/>
      <c r="U603" s="367"/>
      <c r="V603" s="52"/>
      <c r="W603" s="52"/>
      <c r="X603" s="52"/>
      <c r="Y603" s="52"/>
      <c r="Z603" s="368"/>
      <c r="AA603" s="118" t="s">
        <v>2877</v>
      </c>
      <c r="AB603" s="118"/>
      <c r="AC603" s="118"/>
      <c r="AD603" s="52"/>
      <c r="AE603" s="5"/>
      <c r="AF603" s="358"/>
      <c r="AG603" s="358"/>
      <c r="AH603" s="358"/>
      <c r="AI603" s="358"/>
      <c r="AJ603" s="358"/>
      <c r="AK603" s="113"/>
      <c r="AL603" s="113"/>
      <c r="AM603" s="113"/>
      <c r="AN603" s="113"/>
      <c r="AO603" s="113"/>
      <c r="AP603" s="52"/>
      <c r="AQ603" s="52"/>
      <c r="AR603" s="52"/>
      <c r="AS603" s="52"/>
      <c r="AT603" s="52"/>
      <c r="AU603" s="125"/>
      <c r="AV603" s="125"/>
      <c r="AW603" s="125"/>
      <c r="AX603" s="5"/>
      <c r="AY603" s="5"/>
      <c r="AZ603" s="113"/>
      <c r="BA603" s="113"/>
      <c r="BB603" s="113"/>
      <c r="BC603" s="52"/>
      <c r="BD603" s="52"/>
      <c r="BE603" s="113"/>
      <c r="BF603" s="113"/>
      <c r="BG603" s="113"/>
      <c r="BH603" s="52"/>
      <c r="BI603" s="52"/>
      <c r="BJ603" s="52"/>
      <c r="BK603" s="52"/>
      <c r="BL603" s="52"/>
      <c r="BM603" s="52"/>
      <c r="BN603" s="52"/>
      <c r="BO603" s="52"/>
      <c r="BP603" s="52"/>
      <c r="BQ603" s="52"/>
      <c r="BR603" s="52"/>
      <c r="BS603" s="52"/>
      <c r="BT603" s="52"/>
      <c r="BU603" s="52"/>
      <c r="BV603" s="52"/>
      <c r="BW603" s="52"/>
      <c r="BX603" s="52"/>
      <c r="BY603" s="118">
        <v>508000</v>
      </c>
      <c r="BZ603" s="118">
        <f>+BY603*0.19</f>
        <v>96520</v>
      </c>
      <c r="CA603" s="364">
        <f>+BY603+BZ603</f>
        <v>604520</v>
      </c>
      <c r="CB603" s="52" t="s">
        <v>3245</v>
      </c>
      <c r="CC603" s="52" t="s">
        <v>4639</v>
      </c>
      <c r="CD603" s="118"/>
      <c r="CE603" s="52"/>
      <c r="CF603" s="52"/>
      <c r="CG603" s="52"/>
      <c r="CH603" s="52"/>
      <c r="CI603" s="52"/>
      <c r="CJ603" s="52"/>
      <c r="CK603" s="52"/>
      <c r="CL603" s="52"/>
      <c r="CM603" s="52"/>
      <c r="CN603" s="118"/>
      <c r="CO603" s="118"/>
      <c r="CP603" s="118"/>
      <c r="CQ603" s="52"/>
      <c r="CR603" s="52"/>
      <c r="CS603" s="52"/>
      <c r="CT603" s="52"/>
      <c r="CU603" s="52"/>
      <c r="CV603" s="52"/>
      <c r="CW603" s="52"/>
      <c r="CX603" s="52"/>
      <c r="CY603" s="52"/>
      <c r="CZ603" s="52"/>
      <c r="DA603" s="52"/>
      <c r="DB603" s="52"/>
    </row>
    <row r="604" spans="1:106" ht="63.75" x14ac:dyDescent="0.25">
      <c r="A604" s="411">
        <v>602</v>
      </c>
      <c r="B604" s="415" t="s">
        <v>4640</v>
      </c>
      <c r="C604" s="413" t="s">
        <v>622</v>
      </c>
      <c r="D604" s="570" t="s">
        <v>2005</v>
      </c>
      <c r="E604" s="80">
        <v>1</v>
      </c>
      <c r="F604" s="353">
        <v>231265.552</v>
      </c>
      <c r="G604" s="293"/>
      <c r="H604" s="293"/>
      <c r="I604" s="293"/>
      <c r="J604" s="52"/>
      <c r="K604" s="52"/>
      <c r="L604" s="366">
        <v>84929</v>
      </c>
      <c r="M604" s="360">
        <v>16136.51</v>
      </c>
      <c r="N604" s="361">
        <v>101065.51</v>
      </c>
      <c r="O604" s="33" t="s">
        <v>3278</v>
      </c>
      <c r="P604" s="252" t="s">
        <v>4641</v>
      </c>
      <c r="Q604" s="118">
        <v>114000</v>
      </c>
      <c r="R604" s="118">
        <v>21660</v>
      </c>
      <c r="S604" s="118">
        <v>135660</v>
      </c>
      <c r="T604" s="52" t="s">
        <v>3561</v>
      </c>
      <c r="U604" s="367" t="s">
        <v>4642</v>
      </c>
      <c r="V604" s="52"/>
      <c r="W604" s="52"/>
      <c r="X604" s="52"/>
      <c r="Y604" s="52"/>
      <c r="Z604" s="368"/>
      <c r="AA604" s="118" t="s">
        <v>2877</v>
      </c>
      <c r="AB604" s="118"/>
      <c r="AC604" s="118"/>
      <c r="AD604" s="52"/>
      <c r="AE604" s="5"/>
      <c r="AF604" s="294"/>
      <c r="AG604" s="294"/>
      <c r="AH604" s="294"/>
      <c r="AI604" s="294"/>
      <c r="AJ604" s="294"/>
      <c r="AK604" s="118"/>
      <c r="AL604" s="118"/>
      <c r="AM604" s="118"/>
      <c r="AN604" s="118"/>
      <c r="AO604" s="118"/>
      <c r="AP604" s="52"/>
      <c r="AQ604" s="52"/>
      <c r="AR604" s="52"/>
      <c r="AS604" s="52"/>
      <c r="AT604" s="52"/>
      <c r="AU604" s="192"/>
      <c r="AV604" s="192"/>
      <c r="AW604" s="192"/>
      <c r="AX604" s="5"/>
      <c r="AY604" s="5"/>
      <c r="AZ604" s="118"/>
      <c r="BA604" s="118"/>
      <c r="BB604" s="118"/>
      <c r="BC604" s="52"/>
      <c r="BD604" s="52"/>
      <c r="BE604" s="118"/>
      <c r="BF604" s="118"/>
      <c r="BG604" s="118"/>
      <c r="BH604" s="52"/>
      <c r="BI604" s="52"/>
      <c r="BJ604" s="52"/>
      <c r="BK604" s="52"/>
      <c r="BL604" s="52"/>
      <c r="BM604" s="52"/>
      <c r="BN604" s="52"/>
      <c r="BO604" s="52"/>
      <c r="BP604" s="52"/>
      <c r="BQ604" s="52"/>
      <c r="BR604" s="52"/>
      <c r="BS604" s="52"/>
      <c r="BT604" s="52"/>
      <c r="BU604" s="52"/>
      <c r="BV604" s="52"/>
      <c r="BW604" s="52"/>
      <c r="BX604" s="52"/>
      <c r="BY604" s="52"/>
      <c r="BZ604" s="52"/>
      <c r="CA604" s="52"/>
      <c r="CB604" s="52"/>
      <c r="CC604" s="52"/>
      <c r="CD604" s="118"/>
      <c r="CE604" s="52"/>
      <c r="CF604" s="52"/>
      <c r="CG604" s="52"/>
      <c r="CH604" s="52"/>
      <c r="CI604" s="52"/>
      <c r="CJ604" s="52"/>
      <c r="CK604" s="52"/>
      <c r="CL604" s="52"/>
      <c r="CM604" s="52"/>
      <c r="CN604" s="118"/>
      <c r="CO604" s="118"/>
      <c r="CP604" s="118"/>
      <c r="CQ604" s="52"/>
      <c r="CR604" s="52"/>
      <c r="CS604" s="52"/>
      <c r="CT604" s="52"/>
      <c r="CU604" s="52"/>
      <c r="CV604" s="52"/>
      <c r="CW604" s="52"/>
      <c r="CX604" s="52"/>
      <c r="CY604" s="52"/>
      <c r="CZ604" s="52"/>
      <c r="DA604" s="52"/>
      <c r="DB604" s="52"/>
    </row>
    <row r="605" spans="1:106" ht="114.75" x14ac:dyDescent="0.25">
      <c r="A605" s="411">
        <v>603</v>
      </c>
      <c r="B605" s="415" t="s">
        <v>4643</v>
      </c>
      <c r="C605" s="426" t="s">
        <v>1340</v>
      </c>
      <c r="D605" s="570" t="s">
        <v>2005</v>
      </c>
      <c r="E605" s="80">
        <v>1</v>
      </c>
      <c r="F605" s="353">
        <v>659860.95000000007</v>
      </c>
      <c r="G605" s="293"/>
      <c r="H605" s="293"/>
      <c r="I605" s="293"/>
      <c r="J605" s="52"/>
      <c r="K605" s="52"/>
      <c r="L605" s="366">
        <v>619581</v>
      </c>
      <c r="M605" s="360">
        <v>117720.39</v>
      </c>
      <c r="N605" s="361">
        <v>737301.39</v>
      </c>
      <c r="O605" s="33" t="s">
        <v>3278</v>
      </c>
      <c r="P605" s="252" t="s">
        <v>4644</v>
      </c>
      <c r="Q605" s="118">
        <v>246000</v>
      </c>
      <c r="R605" s="118">
        <v>46740</v>
      </c>
      <c r="S605" s="118">
        <v>292740</v>
      </c>
      <c r="T605" s="52" t="s">
        <v>3561</v>
      </c>
      <c r="U605" s="367" t="s">
        <v>4645</v>
      </c>
      <c r="V605" s="52"/>
      <c r="W605" s="52"/>
      <c r="X605" s="52"/>
      <c r="Y605" s="52"/>
      <c r="Z605" s="368"/>
      <c r="AA605" s="118">
        <v>57000</v>
      </c>
      <c r="AB605" s="118">
        <f>AA605*0.19</f>
        <v>10830</v>
      </c>
      <c r="AC605" s="118">
        <f>AA605+AB605</f>
        <v>67830</v>
      </c>
      <c r="AD605" s="361" t="s">
        <v>126</v>
      </c>
      <c r="AE605" s="362" t="s">
        <v>4646</v>
      </c>
      <c r="AF605" s="294"/>
      <c r="AG605" s="294"/>
      <c r="AH605" s="294"/>
      <c r="AI605" s="294"/>
      <c r="AJ605" s="294"/>
      <c r="AK605" s="118"/>
      <c r="AL605" s="118"/>
      <c r="AM605" s="118"/>
      <c r="AN605" s="118"/>
      <c r="AO605" s="118"/>
      <c r="AP605" s="52"/>
      <c r="AQ605" s="52"/>
      <c r="AR605" s="52"/>
      <c r="AS605" s="52"/>
      <c r="AT605" s="52"/>
      <c r="AU605" s="192"/>
      <c r="AV605" s="192"/>
      <c r="AW605" s="192"/>
      <c r="AX605" s="5"/>
      <c r="AY605" s="5"/>
      <c r="AZ605" s="118"/>
      <c r="BA605" s="118"/>
      <c r="BB605" s="118"/>
      <c r="BC605" s="52"/>
      <c r="BD605" s="52"/>
      <c r="BE605" s="118"/>
      <c r="BF605" s="118"/>
      <c r="BG605" s="118"/>
      <c r="BH605" s="52"/>
      <c r="BI605" s="52"/>
      <c r="BJ605" s="52"/>
      <c r="BK605" s="52"/>
      <c r="BL605" s="52"/>
      <c r="BM605" s="52"/>
      <c r="BN605" s="52"/>
      <c r="BO605" s="52"/>
      <c r="BP605" s="52"/>
      <c r="BQ605" s="52"/>
      <c r="BR605" s="52"/>
      <c r="BS605" s="52"/>
      <c r="BT605" s="52"/>
      <c r="BU605" s="52"/>
      <c r="BV605" s="52"/>
      <c r="BW605" s="52"/>
      <c r="BX605" s="52"/>
      <c r="BY605" s="52"/>
      <c r="BZ605" s="52"/>
      <c r="CA605" s="52"/>
      <c r="CB605" s="52"/>
      <c r="CC605" s="52"/>
      <c r="CD605" s="118"/>
      <c r="CE605" s="52"/>
      <c r="CF605" s="52"/>
      <c r="CG605" s="52"/>
      <c r="CH605" s="52"/>
      <c r="CI605" s="52"/>
      <c r="CJ605" s="52"/>
      <c r="CK605" s="52"/>
      <c r="CL605" s="52"/>
      <c r="CM605" s="52"/>
      <c r="CN605" s="118"/>
      <c r="CO605" s="118"/>
      <c r="CP605" s="118"/>
      <c r="CQ605" s="52"/>
      <c r="CR605" s="52"/>
      <c r="CS605" s="52"/>
      <c r="CT605" s="52"/>
      <c r="CU605" s="52"/>
      <c r="CV605" s="52"/>
      <c r="CW605" s="52"/>
      <c r="CX605" s="52"/>
      <c r="CY605" s="52"/>
      <c r="CZ605" s="52"/>
      <c r="DA605" s="52"/>
      <c r="DB605" s="52"/>
    </row>
    <row r="606" spans="1:106" ht="27" x14ac:dyDescent="0.25">
      <c r="A606" s="411">
        <v>604</v>
      </c>
      <c r="B606" s="412" t="s">
        <v>4647</v>
      </c>
      <c r="C606" s="413" t="s">
        <v>4648</v>
      </c>
      <c r="D606" s="570" t="s">
        <v>4649</v>
      </c>
      <c r="E606" s="80">
        <v>1</v>
      </c>
      <c r="F606" s="353">
        <v>2457568.2724000001</v>
      </c>
      <c r="G606" s="293"/>
      <c r="H606" s="293"/>
      <c r="I606" s="293"/>
      <c r="J606" s="52"/>
      <c r="K606" s="52"/>
      <c r="L606" s="366">
        <v>538529</v>
      </c>
      <c r="M606" s="360">
        <v>102320.51</v>
      </c>
      <c r="N606" s="361">
        <v>640849.51</v>
      </c>
      <c r="O606" s="33" t="s">
        <v>3278</v>
      </c>
      <c r="P606" s="252" t="s">
        <v>4650</v>
      </c>
      <c r="Q606" s="118"/>
      <c r="R606" s="118"/>
      <c r="S606" s="118"/>
      <c r="T606" s="52"/>
      <c r="U606" s="367"/>
      <c r="V606" s="52"/>
      <c r="W606" s="52"/>
      <c r="X606" s="52"/>
      <c r="Y606" s="52"/>
      <c r="Z606" s="368"/>
      <c r="AA606" s="118" t="s">
        <v>2877</v>
      </c>
      <c r="AB606" s="118"/>
      <c r="AC606" s="118"/>
      <c r="AD606" s="52"/>
      <c r="AE606" s="5"/>
      <c r="AF606" s="294"/>
      <c r="AG606" s="294"/>
      <c r="AH606" s="294"/>
      <c r="AI606" s="294"/>
      <c r="AJ606" s="294"/>
      <c r="AK606" s="118"/>
      <c r="AL606" s="118"/>
      <c r="AM606" s="118"/>
      <c r="AN606" s="118"/>
      <c r="AO606" s="118"/>
      <c r="AP606" s="52"/>
      <c r="AQ606" s="52"/>
      <c r="AR606" s="52"/>
      <c r="AS606" s="52"/>
      <c r="AT606" s="52"/>
      <c r="AU606" s="192"/>
      <c r="AV606" s="192"/>
      <c r="AW606" s="192"/>
      <c r="AX606" s="5"/>
      <c r="AY606" s="5"/>
      <c r="AZ606" s="118"/>
      <c r="BA606" s="118"/>
      <c r="BB606" s="118"/>
      <c r="BC606" s="52"/>
      <c r="BD606" s="52"/>
      <c r="BE606" s="118"/>
      <c r="BF606" s="118"/>
      <c r="BG606" s="118"/>
      <c r="BH606" s="52"/>
      <c r="BI606" s="52"/>
      <c r="BJ606" s="52"/>
      <c r="BK606" s="52"/>
      <c r="BL606" s="52"/>
      <c r="BM606" s="52"/>
      <c r="BN606" s="52"/>
      <c r="BO606" s="52"/>
      <c r="BP606" s="52"/>
      <c r="BQ606" s="52"/>
      <c r="BR606" s="52"/>
      <c r="BS606" s="52"/>
      <c r="BT606" s="52"/>
      <c r="BU606" s="52"/>
      <c r="BV606" s="52"/>
      <c r="BW606" s="52"/>
      <c r="BX606" s="52"/>
      <c r="BY606" s="52"/>
      <c r="BZ606" s="52"/>
      <c r="CA606" s="52"/>
      <c r="CB606" s="52"/>
      <c r="CC606" s="52"/>
      <c r="CD606" s="118"/>
      <c r="CE606" s="52"/>
      <c r="CF606" s="52"/>
      <c r="CG606" s="52"/>
      <c r="CH606" s="52"/>
      <c r="CI606" s="52"/>
      <c r="CJ606" s="52"/>
      <c r="CK606" s="52"/>
      <c r="CL606" s="52"/>
      <c r="CM606" s="52"/>
      <c r="CN606" s="118"/>
      <c r="CO606" s="118"/>
      <c r="CP606" s="118"/>
      <c r="CQ606" s="52"/>
      <c r="CR606" s="52"/>
      <c r="CS606" s="52"/>
      <c r="CT606" s="52"/>
      <c r="CU606" s="52"/>
      <c r="CV606" s="52"/>
      <c r="CW606" s="52"/>
      <c r="CX606" s="52"/>
      <c r="CY606" s="52"/>
      <c r="CZ606" s="52"/>
      <c r="DA606" s="52"/>
      <c r="DB606" s="52"/>
    </row>
    <row r="607" spans="1:106" ht="27" x14ac:dyDescent="0.25">
      <c r="A607" s="411">
        <v>605</v>
      </c>
      <c r="B607" s="412" t="s">
        <v>4651</v>
      </c>
      <c r="C607" s="413" t="s">
        <v>622</v>
      </c>
      <c r="D607" s="570" t="s">
        <v>4652</v>
      </c>
      <c r="E607" s="80">
        <v>1</v>
      </c>
      <c r="F607" s="353">
        <v>604864.61600000004</v>
      </c>
      <c r="G607" s="293"/>
      <c r="H607" s="293"/>
      <c r="I607" s="293"/>
      <c r="J607" s="52"/>
      <c r="K607" s="52"/>
      <c r="L607" s="366">
        <v>307236</v>
      </c>
      <c r="M607" s="360">
        <v>58374.840000000004</v>
      </c>
      <c r="N607" s="361">
        <v>365610.84</v>
      </c>
      <c r="O607" s="33" t="s">
        <v>3278</v>
      </c>
      <c r="P607" s="252" t="s">
        <v>4653</v>
      </c>
      <c r="Q607" s="118"/>
      <c r="R607" s="118"/>
      <c r="S607" s="118"/>
      <c r="T607" s="52"/>
      <c r="U607" s="367"/>
      <c r="V607" s="52"/>
      <c r="W607" s="52"/>
      <c r="X607" s="52"/>
      <c r="Y607" s="52"/>
      <c r="Z607" s="368"/>
      <c r="AA607" s="118" t="s">
        <v>2877</v>
      </c>
      <c r="AB607" s="118"/>
      <c r="AC607" s="118"/>
      <c r="AD607" s="52"/>
      <c r="AE607" s="5"/>
      <c r="AF607" s="294"/>
      <c r="AG607" s="294"/>
      <c r="AH607" s="294"/>
      <c r="AI607" s="294"/>
      <c r="AJ607" s="294"/>
      <c r="AK607" s="118"/>
      <c r="AL607" s="118"/>
      <c r="AM607" s="118"/>
      <c r="AN607" s="118"/>
      <c r="AO607" s="118"/>
      <c r="AP607" s="52"/>
      <c r="AQ607" s="52"/>
      <c r="AR607" s="52"/>
      <c r="AS607" s="52"/>
      <c r="AT607" s="52"/>
      <c r="AU607" s="192"/>
      <c r="AV607" s="192"/>
      <c r="AW607" s="192"/>
      <c r="AX607" s="5"/>
      <c r="AY607" s="5"/>
      <c r="AZ607" s="118"/>
      <c r="BA607" s="118"/>
      <c r="BB607" s="118"/>
      <c r="BC607" s="52"/>
      <c r="BD607" s="52"/>
      <c r="BE607" s="118"/>
      <c r="BF607" s="118"/>
      <c r="BG607" s="118"/>
      <c r="BH607" s="52"/>
      <c r="BI607" s="52"/>
      <c r="BJ607" s="52"/>
      <c r="BK607" s="52"/>
      <c r="BL607" s="52"/>
      <c r="BM607" s="52"/>
      <c r="BN607" s="52"/>
      <c r="BO607" s="52"/>
      <c r="BP607" s="52"/>
      <c r="BQ607" s="52"/>
      <c r="BR607" s="52"/>
      <c r="BS607" s="52"/>
      <c r="BT607" s="52"/>
      <c r="BU607" s="52"/>
      <c r="BV607" s="52"/>
      <c r="BW607" s="52"/>
      <c r="BX607" s="52"/>
      <c r="BY607" s="52"/>
      <c r="BZ607" s="52"/>
      <c r="CA607" s="52"/>
      <c r="CB607" s="52"/>
      <c r="CC607" s="52"/>
      <c r="CD607" s="118"/>
      <c r="CE607" s="52"/>
      <c r="CF607" s="52"/>
      <c r="CG607" s="52"/>
      <c r="CH607" s="52"/>
      <c r="CI607" s="52"/>
      <c r="CJ607" s="52"/>
      <c r="CK607" s="52"/>
      <c r="CL607" s="52"/>
      <c r="CM607" s="52"/>
      <c r="CN607" s="118"/>
      <c r="CO607" s="118"/>
      <c r="CP607" s="118"/>
      <c r="CQ607" s="52"/>
      <c r="CR607" s="52"/>
      <c r="CS607" s="52"/>
      <c r="CT607" s="52"/>
      <c r="CU607" s="52"/>
      <c r="CV607" s="52"/>
      <c r="CW607" s="52"/>
      <c r="CX607" s="52"/>
      <c r="CY607" s="52"/>
      <c r="CZ607" s="52"/>
      <c r="DA607" s="52"/>
      <c r="DB607" s="52"/>
    </row>
    <row r="608" spans="1:106" ht="40.5" x14ac:dyDescent="0.25">
      <c r="A608" s="411">
        <v>606</v>
      </c>
      <c r="B608" s="409" t="s">
        <v>4654</v>
      </c>
      <c r="C608" s="563" t="s">
        <v>622</v>
      </c>
      <c r="D608" s="584" t="s">
        <v>3431</v>
      </c>
      <c r="E608" s="80">
        <v>1</v>
      </c>
      <c r="F608" s="80"/>
      <c r="G608" s="293"/>
      <c r="H608" s="293"/>
      <c r="I608" s="293"/>
      <c r="J608" s="52"/>
      <c r="K608" s="52"/>
      <c r="L608" s="366">
        <v>591422</v>
      </c>
      <c r="M608" s="360">
        <v>112370.18000000001</v>
      </c>
      <c r="N608" s="361">
        <v>703792.18</v>
      </c>
      <c r="O608" s="33" t="s">
        <v>3278</v>
      </c>
      <c r="P608" s="252" t="s">
        <v>4655</v>
      </c>
      <c r="Q608" s="118"/>
      <c r="R608" s="118"/>
      <c r="S608" s="118"/>
      <c r="T608" s="52"/>
      <c r="U608" s="367"/>
      <c r="V608" s="52"/>
      <c r="W608" s="52"/>
      <c r="X608" s="52"/>
      <c r="Y608" s="52"/>
      <c r="Z608" s="368"/>
      <c r="AA608" s="118" t="s">
        <v>2877</v>
      </c>
      <c r="AB608" s="118"/>
      <c r="AC608" s="118"/>
      <c r="AD608" s="52"/>
      <c r="AE608" s="5"/>
      <c r="AF608" s="294"/>
      <c r="AG608" s="294"/>
      <c r="AH608" s="294"/>
      <c r="AI608" s="294"/>
      <c r="AJ608" s="294"/>
      <c r="AK608" s="118"/>
      <c r="AL608" s="118"/>
      <c r="AM608" s="118"/>
      <c r="AN608" s="118"/>
      <c r="AO608" s="118"/>
      <c r="AP608" s="52"/>
      <c r="AQ608" s="52"/>
      <c r="AR608" s="52"/>
      <c r="AS608" s="52"/>
      <c r="AT608" s="52"/>
      <c r="AU608" s="192"/>
      <c r="AV608" s="192"/>
      <c r="AW608" s="192"/>
      <c r="AX608" s="5"/>
      <c r="AY608" s="5"/>
      <c r="AZ608" s="118"/>
      <c r="BA608" s="118"/>
      <c r="BB608" s="118"/>
      <c r="BC608" s="52"/>
      <c r="BD608" s="52"/>
      <c r="BE608" s="118"/>
      <c r="BF608" s="118"/>
      <c r="BG608" s="118"/>
      <c r="BH608" s="52"/>
      <c r="BI608" s="52"/>
      <c r="BJ608" s="52"/>
      <c r="BK608" s="52"/>
      <c r="BL608" s="52"/>
      <c r="BM608" s="52"/>
      <c r="BN608" s="52"/>
      <c r="BO608" s="293">
        <f>+(480000/100)*50</f>
        <v>240000</v>
      </c>
      <c r="BP608" s="118">
        <f>+BO608*0.19</f>
        <v>45600</v>
      </c>
      <c r="BQ608" s="118">
        <f>+BO608+BP608</f>
        <v>285600</v>
      </c>
      <c r="BR608" s="52" t="s">
        <v>3815</v>
      </c>
      <c r="BS608" s="52" t="s">
        <v>4639</v>
      </c>
      <c r="BT608" s="52"/>
      <c r="BU608" s="52"/>
      <c r="BV608" s="52"/>
      <c r="BW608" s="52"/>
      <c r="BX608" s="52"/>
      <c r="BY608" s="52"/>
      <c r="BZ608" s="52"/>
      <c r="CA608" s="52"/>
      <c r="CB608" s="52"/>
      <c r="CC608" s="52"/>
      <c r="CD608" s="118"/>
      <c r="CE608" s="52"/>
      <c r="CF608" s="52"/>
      <c r="CG608" s="52"/>
      <c r="CH608" s="52"/>
      <c r="CI608" s="52"/>
      <c r="CJ608" s="52"/>
      <c r="CK608" s="52"/>
      <c r="CL608" s="52"/>
      <c r="CM608" s="52"/>
      <c r="CN608" s="118"/>
      <c r="CO608" s="118"/>
      <c r="CP608" s="118"/>
      <c r="CQ608" s="52"/>
      <c r="CR608" s="52"/>
      <c r="CS608" s="52"/>
      <c r="CT608" s="52"/>
      <c r="CU608" s="52"/>
      <c r="CV608" s="52"/>
      <c r="CW608" s="52"/>
      <c r="CX608" s="52"/>
      <c r="CY608" s="52"/>
      <c r="CZ608" s="52"/>
      <c r="DA608" s="52"/>
      <c r="DB608" s="52"/>
    </row>
    <row r="609" spans="1:106" ht="27" x14ac:dyDescent="0.25">
      <c r="A609" s="411">
        <v>607</v>
      </c>
      <c r="B609" s="412" t="s">
        <v>4656</v>
      </c>
      <c r="C609" s="413" t="s">
        <v>4657</v>
      </c>
      <c r="D609" s="570" t="s">
        <v>4658</v>
      </c>
      <c r="E609" s="80">
        <v>1</v>
      </c>
      <c r="F609" s="353">
        <v>5781638.7999999998</v>
      </c>
      <c r="G609" s="293"/>
      <c r="H609" s="293"/>
      <c r="I609" s="293"/>
      <c r="J609" s="52"/>
      <c r="K609" s="52"/>
      <c r="L609" s="366">
        <v>307236</v>
      </c>
      <c r="M609" s="360">
        <v>58374.840000000004</v>
      </c>
      <c r="N609" s="361">
        <v>365610.84</v>
      </c>
      <c r="O609" s="33" t="s">
        <v>3278</v>
      </c>
      <c r="P609" s="252" t="s">
        <v>4653</v>
      </c>
      <c r="Q609" s="118"/>
      <c r="R609" s="118"/>
      <c r="S609" s="118"/>
      <c r="T609" s="52"/>
      <c r="U609" s="367"/>
      <c r="V609" s="52"/>
      <c r="W609" s="52"/>
      <c r="X609" s="52"/>
      <c r="Y609" s="52"/>
      <c r="Z609" s="368"/>
      <c r="AA609" s="118" t="s">
        <v>2877</v>
      </c>
      <c r="AB609" s="118"/>
      <c r="AC609" s="118"/>
      <c r="AD609" s="52"/>
      <c r="AE609" s="5"/>
      <c r="AF609" s="294"/>
      <c r="AG609" s="294"/>
      <c r="AH609" s="294"/>
      <c r="AI609" s="294"/>
      <c r="AJ609" s="294"/>
      <c r="AK609" s="118"/>
      <c r="AL609" s="118"/>
      <c r="AM609" s="118"/>
      <c r="AN609" s="118"/>
      <c r="AO609" s="118"/>
      <c r="AP609" s="52"/>
      <c r="AQ609" s="52"/>
      <c r="AR609" s="52"/>
      <c r="AS609" s="52"/>
      <c r="AT609" s="52"/>
      <c r="AU609" s="192"/>
      <c r="AV609" s="192"/>
      <c r="AW609" s="192"/>
      <c r="AX609" s="5"/>
      <c r="AY609" s="5"/>
      <c r="AZ609" s="118"/>
      <c r="BA609" s="118"/>
      <c r="BB609" s="118"/>
      <c r="BC609" s="52"/>
      <c r="BD609" s="52"/>
      <c r="BE609" s="118"/>
      <c r="BF609" s="118"/>
      <c r="BG609" s="118"/>
      <c r="BH609" s="52"/>
      <c r="BI609" s="52"/>
      <c r="BJ609" s="52"/>
      <c r="BK609" s="52"/>
      <c r="BL609" s="52"/>
      <c r="BM609" s="52"/>
      <c r="BN609" s="52"/>
      <c r="BO609" s="52"/>
      <c r="BP609" s="52"/>
      <c r="BQ609" s="52"/>
      <c r="BR609" s="52"/>
      <c r="BS609" s="52"/>
      <c r="BT609" s="52"/>
      <c r="BU609" s="52"/>
      <c r="BV609" s="52"/>
      <c r="BW609" s="52"/>
      <c r="BX609" s="52"/>
      <c r="BY609" s="52"/>
      <c r="BZ609" s="52"/>
      <c r="CA609" s="52"/>
      <c r="CB609" s="52"/>
      <c r="CC609" s="52"/>
      <c r="CD609" s="118"/>
      <c r="CE609" s="52"/>
      <c r="CF609" s="52"/>
      <c r="CG609" s="52"/>
      <c r="CH609" s="52"/>
      <c r="CI609" s="52"/>
      <c r="CJ609" s="52"/>
      <c r="CK609" s="52"/>
      <c r="CL609" s="52"/>
      <c r="CM609" s="52"/>
      <c r="CN609" s="118"/>
      <c r="CO609" s="118"/>
      <c r="CP609" s="118"/>
      <c r="CQ609" s="52"/>
      <c r="CR609" s="52"/>
      <c r="CS609" s="52"/>
      <c r="CT609" s="52"/>
      <c r="CU609" s="52"/>
      <c r="CV609" s="52"/>
      <c r="CW609" s="52"/>
      <c r="CX609" s="52"/>
      <c r="CY609" s="52"/>
      <c r="CZ609" s="52"/>
      <c r="DA609" s="52"/>
      <c r="DB609" s="52"/>
    </row>
    <row r="610" spans="1:106" ht="40.5" x14ac:dyDescent="0.25">
      <c r="A610" s="411">
        <v>608</v>
      </c>
      <c r="B610" s="409" t="s">
        <v>4659</v>
      </c>
      <c r="C610" s="413" t="s">
        <v>622</v>
      </c>
      <c r="D610" s="570" t="s">
        <v>445</v>
      </c>
      <c r="E610" s="80">
        <v>1</v>
      </c>
      <c r="F610" s="353">
        <v>493176.74700000003</v>
      </c>
      <c r="G610" s="293"/>
      <c r="H610" s="293"/>
      <c r="I610" s="293"/>
      <c r="J610" s="52"/>
      <c r="K610" s="52"/>
      <c r="L610" s="366"/>
      <c r="M610" s="360"/>
      <c r="N610" s="361"/>
      <c r="O610" s="33"/>
      <c r="P610" s="252"/>
      <c r="Q610" s="118"/>
      <c r="R610" s="118"/>
      <c r="S610" s="118"/>
      <c r="T610" s="52"/>
      <c r="U610" s="367"/>
      <c r="V610" s="52"/>
      <c r="W610" s="52"/>
      <c r="X610" s="52"/>
      <c r="Y610" s="52"/>
      <c r="Z610" s="368"/>
      <c r="AA610" s="118" t="s">
        <v>2877</v>
      </c>
      <c r="AB610" s="118"/>
      <c r="AC610" s="118"/>
      <c r="AD610" s="52"/>
      <c r="AE610" s="5"/>
      <c r="AF610" s="294"/>
      <c r="AG610" s="294"/>
      <c r="AH610" s="294"/>
      <c r="AI610" s="294"/>
      <c r="AJ610" s="294"/>
      <c r="AK610" s="118"/>
      <c r="AL610" s="118"/>
      <c r="AM610" s="118"/>
      <c r="AN610" s="118"/>
      <c r="AO610" s="118"/>
      <c r="AP610" s="52"/>
      <c r="AQ610" s="52"/>
      <c r="AR610" s="52"/>
      <c r="AS610" s="52"/>
      <c r="AT610" s="52"/>
      <c r="AU610" s="192"/>
      <c r="AV610" s="192"/>
      <c r="AW610" s="192"/>
      <c r="AX610" s="5"/>
      <c r="AY610" s="5"/>
      <c r="AZ610" s="118"/>
      <c r="BA610" s="118"/>
      <c r="BB610" s="118"/>
      <c r="BC610" s="52"/>
      <c r="BD610" s="52"/>
      <c r="BE610" s="118"/>
      <c r="BF610" s="118"/>
      <c r="BG610" s="118"/>
      <c r="BH610" s="52"/>
      <c r="BI610" s="52"/>
      <c r="BJ610" s="52"/>
      <c r="BK610" s="52"/>
      <c r="BL610" s="52"/>
      <c r="BM610" s="52"/>
      <c r="BN610" s="52"/>
      <c r="BO610" s="52"/>
      <c r="BP610" s="52"/>
      <c r="BQ610" s="52"/>
      <c r="BR610" s="52"/>
      <c r="BS610" s="52"/>
      <c r="BT610" s="52"/>
      <c r="BU610" s="52"/>
      <c r="BV610" s="52"/>
      <c r="BW610" s="52"/>
      <c r="BX610" s="52"/>
      <c r="BY610" s="52"/>
      <c r="BZ610" s="52"/>
      <c r="CA610" s="52"/>
      <c r="CB610" s="52"/>
      <c r="CC610" s="52"/>
      <c r="CD610" s="118">
        <f>281513/100</f>
        <v>2815.13</v>
      </c>
      <c r="CE610" s="52">
        <f>+CD610*0.19</f>
        <v>534.87470000000008</v>
      </c>
      <c r="CF610" s="364">
        <f>+CD610+CE610</f>
        <v>3350.0047000000004</v>
      </c>
      <c r="CG610" s="52"/>
      <c r="CH610" s="118" t="s">
        <v>4660</v>
      </c>
      <c r="CI610" s="52"/>
      <c r="CJ610" s="52"/>
      <c r="CK610" s="52"/>
      <c r="CL610" s="52"/>
      <c r="CM610" s="52"/>
      <c r="CN610" s="118"/>
      <c r="CO610" s="118"/>
      <c r="CP610" s="118"/>
      <c r="CQ610" s="52"/>
      <c r="CR610" s="52"/>
      <c r="CS610" s="52"/>
      <c r="CT610" s="52"/>
      <c r="CU610" s="52"/>
      <c r="CV610" s="52"/>
      <c r="CW610" s="52"/>
      <c r="CX610" s="52"/>
      <c r="CY610" s="52"/>
      <c r="CZ610" s="52"/>
      <c r="DA610" s="52"/>
      <c r="DB610" s="52"/>
    </row>
    <row r="611" spans="1:106" ht="51" x14ac:dyDescent="0.25">
      <c r="A611" s="411">
        <v>609</v>
      </c>
      <c r="B611" s="416" t="s">
        <v>4661</v>
      </c>
      <c r="C611" s="563" t="s">
        <v>622</v>
      </c>
      <c r="D611" s="584" t="s">
        <v>2005</v>
      </c>
      <c r="E611" s="80">
        <v>1</v>
      </c>
      <c r="F611" s="353">
        <v>364460.82160000002</v>
      </c>
      <c r="G611" s="293"/>
      <c r="H611" s="293"/>
      <c r="I611" s="293"/>
      <c r="J611" s="52"/>
      <c r="K611" s="52"/>
      <c r="L611" s="359"/>
      <c r="M611" s="360"/>
      <c r="N611" s="361"/>
      <c r="O611" s="33"/>
      <c r="P611" s="252"/>
      <c r="Q611" s="113">
        <v>95000</v>
      </c>
      <c r="R611" s="113">
        <v>18050</v>
      </c>
      <c r="S611" s="113">
        <v>113050</v>
      </c>
      <c r="T611" s="52" t="s">
        <v>3561</v>
      </c>
      <c r="U611" s="367" t="s">
        <v>4662</v>
      </c>
      <c r="V611" s="52"/>
      <c r="W611" s="52"/>
      <c r="X611" s="52"/>
      <c r="Y611" s="52"/>
      <c r="Z611" s="368"/>
      <c r="AA611" s="118" t="s">
        <v>2877</v>
      </c>
      <c r="AB611" s="118"/>
      <c r="AC611" s="118"/>
      <c r="AD611" s="52"/>
      <c r="AE611" s="5"/>
      <c r="AF611" s="358"/>
      <c r="AG611" s="358"/>
      <c r="AH611" s="358"/>
      <c r="AI611" s="358"/>
      <c r="AJ611" s="358"/>
      <c r="AK611" s="113"/>
      <c r="AL611" s="113"/>
      <c r="AM611" s="113"/>
      <c r="AN611" s="113"/>
      <c r="AO611" s="113"/>
      <c r="AP611" s="52"/>
      <c r="AQ611" s="52"/>
      <c r="AR611" s="52"/>
      <c r="AS611" s="52"/>
      <c r="AT611" s="52"/>
      <c r="AU611" s="125"/>
      <c r="AV611" s="125"/>
      <c r="AW611" s="125"/>
      <c r="AX611" s="5"/>
      <c r="AY611" s="5"/>
      <c r="AZ611" s="113"/>
      <c r="BA611" s="113"/>
      <c r="BB611" s="113"/>
      <c r="BC611" s="52"/>
      <c r="BD611" s="52"/>
      <c r="BE611" s="113"/>
      <c r="BF611" s="113"/>
      <c r="BG611" s="113"/>
      <c r="BH611" s="52"/>
      <c r="BI611" s="52"/>
      <c r="BJ611" s="52"/>
      <c r="BK611" s="52"/>
      <c r="BL611" s="52"/>
      <c r="BM611" s="52"/>
      <c r="BN611" s="52"/>
      <c r="BO611" s="52"/>
      <c r="BP611" s="52"/>
      <c r="BQ611" s="52"/>
      <c r="BR611" s="52"/>
      <c r="BS611" s="52"/>
      <c r="BT611" s="52"/>
      <c r="BU611" s="52"/>
      <c r="BV611" s="52"/>
      <c r="BW611" s="52"/>
      <c r="BX611" s="52"/>
      <c r="BY611" s="52"/>
      <c r="BZ611" s="52"/>
      <c r="CA611" s="52"/>
      <c r="CB611" s="52"/>
      <c r="CC611" s="52"/>
      <c r="CD611" s="118"/>
      <c r="CE611" s="52"/>
      <c r="CF611" s="52"/>
      <c r="CG611" s="52"/>
      <c r="CH611" s="52"/>
      <c r="CI611" s="52"/>
      <c r="CJ611" s="52"/>
      <c r="CK611" s="52"/>
      <c r="CL611" s="52"/>
      <c r="CM611" s="52"/>
      <c r="CN611" s="118"/>
      <c r="CO611" s="118"/>
      <c r="CP611" s="118"/>
      <c r="CQ611" s="52"/>
      <c r="CR611" s="52"/>
      <c r="CS611" s="52"/>
      <c r="CT611" s="52"/>
      <c r="CU611" s="52"/>
      <c r="CV611" s="52"/>
      <c r="CW611" s="52"/>
      <c r="CX611" s="52"/>
      <c r="CY611" s="52"/>
      <c r="CZ611" s="52"/>
      <c r="DA611" s="52"/>
      <c r="DB611" s="52"/>
    </row>
    <row r="612" spans="1:106" ht="63.75" x14ac:dyDescent="0.25">
      <c r="A612" s="411">
        <v>610</v>
      </c>
      <c r="B612" s="409" t="s">
        <v>4663</v>
      </c>
      <c r="C612" s="560" t="s">
        <v>4664</v>
      </c>
      <c r="D612" s="569" t="s">
        <v>4665</v>
      </c>
      <c r="E612" s="80">
        <v>1</v>
      </c>
      <c r="F612" s="353"/>
      <c r="G612" s="293"/>
      <c r="H612" s="293"/>
      <c r="I612" s="293"/>
      <c r="J612" s="52"/>
      <c r="K612" s="52"/>
      <c r="L612" s="359">
        <v>195422</v>
      </c>
      <c r="M612" s="360">
        <v>37130.18</v>
      </c>
      <c r="N612" s="361">
        <v>232552.18</v>
      </c>
      <c r="O612" s="33" t="s">
        <v>3278</v>
      </c>
      <c r="P612" s="252" t="s">
        <v>4666</v>
      </c>
      <c r="Q612" s="113">
        <v>95000</v>
      </c>
      <c r="R612" s="113">
        <v>18050</v>
      </c>
      <c r="S612" s="113">
        <v>113050</v>
      </c>
      <c r="T612" s="52" t="s">
        <v>3561</v>
      </c>
      <c r="U612" s="367" t="s">
        <v>4667</v>
      </c>
      <c r="V612" s="52"/>
      <c r="W612" s="52"/>
      <c r="X612" s="52"/>
      <c r="Y612" s="52"/>
      <c r="Z612" s="368"/>
      <c r="AA612" s="118" t="s">
        <v>2877</v>
      </c>
      <c r="AB612" s="118"/>
      <c r="AC612" s="118"/>
      <c r="AD612" s="52"/>
      <c r="AE612" s="5"/>
      <c r="AF612" s="358"/>
      <c r="AG612" s="358"/>
      <c r="AH612" s="358"/>
      <c r="AI612" s="358"/>
      <c r="AJ612" s="358"/>
      <c r="AK612" s="113"/>
      <c r="AL612" s="113"/>
      <c r="AM612" s="113"/>
      <c r="AN612" s="113"/>
      <c r="AO612" s="113"/>
      <c r="AP612" s="52"/>
      <c r="AQ612" s="52"/>
      <c r="AR612" s="52"/>
      <c r="AS612" s="52"/>
      <c r="AT612" s="52"/>
      <c r="AU612" s="125"/>
      <c r="AV612" s="125"/>
      <c r="AW612" s="125"/>
      <c r="AX612" s="5"/>
      <c r="AY612" s="5"/>
      <c r="AZ612" s="113"/>
      <c r="BA612" s="113"/>
      <c r="BB612" s="113"/>
      <c r="BC612" s="52"/>
      <c r="BD612" s="52"/>
      <c r="BE612" s="113"/>
      <c r="BF612" s="113"/>
      <c r="BG612" s="113"/>
      <c r="BH612" s="52"/>
      <c r="BI612" s="52"/>
      <c r="BJ612" s="52"/>
      <c r="BK612" s="52"/>
      <c r="BL612" s="52"/>
      <c r="BM612" s="52"/>
      <c r="BN612" s="52"/>
      <c r="BO612" s="52"/>
      <c r="BP612" s="52"/>
      <c r="BQ612" s="52"/>
      <c r="BR612" s="52"/>
      <c r="BS612" s="52"/>
      <c r="BT612" s="52"/>
      <c r="BU612" s="52"/>
      <c r="BV612" s="52"/>
      <c r="BW612" s="52"/>
      <c r="BX612" s="52"/>
      <c r="BY612" s="52"/>
      <c r="BZ612" s="52"/>
      <c r="CA612" s="52"/>
      <c r="CB612" s="52"/>
      <c r="CC612" s="52"/>
      <c r="CD612" s="118"/>
      <c r="CE612" s="52"/>
      <c r="CF612" s="52"/>
      <c r="CG612" s="52"/>
      <c r="CH612" s="52"/>
      <c r="CI612" s="52"/>
      <c r="CJ612" s="52"/>
      <c r="CK612" s="52"/>
      <c r="CL612" s="52"/>
      <c r="CM612" s="52"/>
      <c r="CN612" s="118"/>
      <c r="CO612" s="118"/>
      <c r="CP612" s="118"/>
      <c r="CQ612" s="52"/>
      <c r="CR612" s="52"/>
      <c r="CS612" s="52"/>
      <c r="CT612" s="52"/>
      <c r="CU612" s="52"/>
      <c r="CV612" s="52"/>
      <c r="CW612" s="52"/>
      <c r="CX612" s="52"/>
      <c r="CY612" s="52"/>
      <c r="CZ612" s="52"/>
      <c r="DA612" s="52"/>
      <c r="DB612" s="52"/>
    </row>
    <row r="613" spans="1:106" ht="114.75" x14ac:dyDescent="0.25">
      <c r="A613" s="411">
        <v>611</v>
      </c>
      <c r="B613" s="409" t="s">
        <v>4668</v>
      </c>
      <c r="C613" s="426" t="s">
        <v>4669</v>
      </c>
      <c r="D613" s="582" t="s">
        <v>4670</v>
      </c>
      <c r="E613" s="80">
        <v>1</v>
      </c>
      <c r="F613" s="353">
        <v>364460.82160000002</v>
      </c>
      <c r="G613" s="293"/>
      <c r="H613" s="293"/>
      <c r="I613" s="293"/>
      <c r="J613" s="52"/>
      <c r="K613" s="52"/>
      <c r="L613" s="359">
        <v>69906</v>
      </c>
      <c r="M613" s="360">
        <v>13282.14</v>
      </c>
      <c r="N613" s="361">
        <v>83188.14</v>
      </c>
      <c r="O613" s="33" t="s">
        <v>3278</v>
      </c>
      <c r="P613" s="252" t="s">
        <v>4671</v>
      </c>
      <c r="Q613" s="113">
        <v>228000</v>
      </c>
      <c r="R613" s="113">
        <v>43320</v>
      </c>
      <c r="S613" s="113">
        <v>271320</v>
      </c>
      <c r="T613" s="52" t="s">
        <v>3561</v>
      </c>
      <c r="U613" s="367" t="s">
        <v>4672</v>
      </c>
      <c r="V613" s="52"/>
      <c r="W613" s="52"/>
      <c r="X613" s="52"/>
      <c r="Y613" s="52"/>
      <c r="Z613" s="368"/>
      <c r="AA613" s="118">
        <v>57000</v>
      </c>
      <c r="AB613" s="118">
        <f t="shared" ref="AB613:AB615" si="85">AA613*0.19</f>
        <v>10830</v>
      </c>
      <c r="AC613" s="118">
        <f t="shared" ref="AC613:AC615" si="86">AA613+AB613</f>
        <v>67830</v>
      </c>
      <c r="AD613" s="361" t="s">
        <v>126</v>
      </c>
      <c r="AE613" s="362" t="s">
        <v>4646</v>
      </c>
      <c r="AF613" s="358"/>
      <c r="AG613" s="358"/>
      <c r="AH613" s="358"/>
      <c r="AI613" s="358"/>
      <c r="AJ613" s="358"/>
      <c r="AK613" s="113"/>
      <c r="AL613" s="113"/>
      <c r="AM613" s="113"/>
      <c r="AN613" s="113"/>
      <c r="AO613" s="113"/>
      <c r="AP613" s="52"/>
      <c r="AQ613" s="52"/>
      <c r="AR613" s="52"/>
      <c r="AS613" s="52"/>
      <c r="AT613" s="52"/>
      <c r="AU613" s="125"/>
      <c r="AV613" s="125"/>
      <c r="AW613" s="125"/>
      <c r="AX613" s="5"/>
      <c r="AY613" s="5"/>
      <c r="AZ613" s="113">
        <v>455000</v>
      </c>
      <c r="BA613" s="113">
        <v>86450</v>
      </c>
      <c r="BB613" s="113">
        <v>541450</v>
      </c>
      <c r="BC613" s="52" t="s">
        <v>4673</v>
      </c>
      <c r="BD613" s="52" t="s">
        <v>4674</v>
      </c>
      <c r="BE613" s="113"/>
      <c r="BF613" s="113"/>
      <c r="BG613" s="113"/>
      <c r="BH613" s="52"/>
      <c r="BI613" s="52"/>
      <c r="BJ613" s="52"/>
      <c r="BK613" s="52"/>
      <c r="BL613" s="52"/>
      <c r="BM613" s="52"/>
      <c r="BN613" s="52"/>
      <c r="BO613" s="52"/>
      <c r="BP613" s="52"/>
      <c r="BQ613" s="52"/>
      <c r="BR613" s="52"/>
      <c r="BS613" s="52"/>
      <c r="BT613" s="52"/>
      <c r="BU613" s="52"/>
      <c r="BV613" s="52"/>
      <c r="BW613" s="52"/>
      <c r="BX613" s="52"/>
      <c r="BY613" s="52"/>
      <c r="BZ613" s="52"/>
      <c r="CA613" s="52"/>
      <c r="CB613" s="52"/>
      <c r="CC613" s="52"/>
      <c r="CD613" s="118"/>
      <c r="CE613" s="52"/>
      <c r="CF613" s="52"/>
      <c r="CG613" s="52"/>
      <c r="CH613" s="52"/>
      <c r="CI613" s="52"/>
      <c r="CJ613" s="52"/>
      <c r="CK613" s="52"/>
      <c r="CL613" s="52"/>
      <c r="CM613" s="52"/>
      <c r="CN613" s="118"/>
      <c r="CO613" s="118"/>
      <c r="CP613" s="118"/>
      <c r="CQ613" s="52"/>
      <c r="CR613" s="52"/>
      <c r="CS613" s="52"/>
      <c r="CT613" s="52"/>
      <c r="CU613" s="52"/>
      <c r="CV613" s="52"/>
      <c r="CW613" s="52"/>
      <c r="CX613" s="52"/>
      <c r="CY613" s="52"/>
      <c r="CZ613" s="52"/>
      <c r="DA613" s="52"/>
      <c r="DB613" s="52"/>
    </row>
    <row r="614" spans="1:106" ht="127.5" x14ac:dyDescent="0.25">
      <c r="A614" s="411">
        <v>612</v>
      </c>
      <c r="B614" s="409" t="s">
        <v>4675</v>
      </c>
      <c r="C614" s="426" t="s">
        <v>4676</v>
      </c>
      <c r="D614" s="582" t="s">
        <v>4670</v>
      </c>
      <c r="E614" s="80">
        <v>1</v>
      </c>
      <c r="F614" s="353">
        <v>484697.57339999999</v>
      </c>
      <c r="G614" s="293"/>
      <c r="H614" s="293"/>
      <c r="I614" s="293"/>
      <c r="J614" s="52"/>
      <c r="K614" s="52"/>
      <c r="L614" s="359">
        <v>475391</v>
      </c>
      <c r="M614" s="360">
        <v>90324.290000000008</v>
      </c>
      <c r="N614" s="361">
        <v>565715.29</v>
      </c>
      <c r="O614" s="33" t="s">
        <v>3278</v>
      </c>
      <c r="P614" s="252" t="s">
        <v>4677</v>
      </c>
      <c r="Q614" s="113">
        <v>246000</v>
      </c>
      <c r="R614" s="113">
        <v>46740</v>
      </c>
      <c r="S614" s="113">
        <v>292740</v>
      </c>
      <c r="T614" s="52" t="s">
        <v>3561</v>
      </c>
      <c r="U614" s="367" t="s">
        <v>4678</v>
      </c>
      <c r="V614" s="52"/>
      <c r="W614" s="52"/>
      <c r="X614" s="52"/>
      <c r="Y614" s="52"/>
      <c r="Z614" s="368"/>
      <c r="AA614" s="118">
        <v>95000</v>
      </c>
      <c r="AB614" s="118">
        <f t="shared" si="85"/>
        <v>18050</v>
      </c>
      <c r="AC614" s="118">
        <f t="shared" si="86"/>
        <v>113050</v>
      </c>
      <c r="AD614" s="361" t="s">
        <v>126</v>
      </c>
      <c r="AE614" s="362" t="s">
        <v>4679</v>
      </c>
      <c r="AF614" s="358"/>
      <c r="AG614" s="358"/>
      <c r="AH614" s="358"/>
      <c r="AI614" s="358"/>
      <c r="AJ614" s="358"/>
      <c r="AK614" s="113"/>
      <c r="AL614" s="113"/>
      <c r="AM614" s="113"/>
      <c r="AN614" s="113"/>
      <c r="AO614" s="113"/>
      <c r="AP614" s="52"/>
      <c r="AQ614" s="52"/>
      <c r="AR614" s="52"/>
      <c r="AS614" s="52"/>
      <c r="AT614" s="52"/>
      <c r="AU614" s="125"/>
      <c r="AV614" s="125"/>
      <c r="AW614" s="125"/>
      <c r="AX614" s="5"/>
      <c r="AY614" s="5"/>
      <c r="AZ614" s="113"/>
      <c r="BA614" s="113"/>
      <c r="BB614" s="113"/>
      <c r="BC614" s="52"/>
      <c r="BD614" s="52"/>
      <c r="BE614" s="113"/>
      <c r="BF614" s="113"/>
      <c r="BG614" s="113"/>
      <c r="BH614" s="52"/>
      <c r="BI614" s="52"/>
      <c r="BJ614" s="52"/>
      <c r="BK614" s="52"/>
      <c r="BL614" s="52"/>
      <c r="BM614" s="52"/>
      <c r="BN614" s="52"/>
      <c r="BO614" s="52"/>
      <c r="BP614" s="52"/>
      <c r="BQ614" s="52"/>
      <c r="BR614" s="52"/>
      <c r="BS614" s="52"/>
      <c r="BT614" s="52"/>
      <c r="BU614" s="52"/>
      <c r="BV614" s="52"/>
      <c r="BW614" s="52"/>
      <c r="BX614" s="52"/>
      <c r="BY614" s="52"/>
      <c r="BZ614" s="52"/>
      <c r="CA614" s="52"/>
      <c r="CB614" s="52"/>
      <c r="CC614" s="52"/>
      <c r="CD614" s="118"/>
      <c r="CE614" s="52"/>
      <c r="CF614" s="52"/>
      <c r="CG614" s="52"/>
      <c r="CH614" s="52"/>
      <c r="CI614" s="52"/>
      <c r="CJ614" s="52"/>
      <c r="CK614" s="52"/>
      <c r="CL614" s="52"/>
      <c r="CM614" s="52"/>
      <c r="CN614" s="118"/>
      <c r="CO614" s="118"/>
      <c r="CP614" s="118"/>
      <c r="CQ614" s="52"/>
      <c r="CR614" s="52"/>
      <c r="CS614" s="52"/>
      <c r="CT614" s="52"/>
      <c r="CU614" s="52"/>
      <c r="CV614" s="52"/>
      <c r="CW614" s="52"/>
      <c r="CX614" s="52"/>
      <c r="CY614" s="52"/>
      <c r="CZ614" s="52"/>
      <c r="DA614" s="52"/>
      <c r="DB614" s="52"/>
    </row>
    <row r="615" spans="1:106" ht="114.75" x14ac:dyDescent="0.25">
      <c r="A615" s="411">
        <v>613</v>
      </c>
      <c r="B615" s="412" t="s">
        <v>4680</v>
      </c>
      <c r="C615" s="426" t="s">
        <v>622</v>
      </c>
      <c r="D615" s="570" t="s">
        <v>554</v>
      </c>
      <c r="E615" s="80">
        <v>1</v>
      </c>
      <c r="F615" s="353">
        <v>237291.17300000001</v>
      </c>
      <c r="G615" s="293"/>
      <c r="H615" s="293"/>
      <c r="I615" s="293"/>
      <c r="J615" s="52"/>
      <c r="K615" s="52"/>
      <c r="L615" s="359">
        <v>604558</v>
      </c>
      <c r="M615" s="360">
        <v>114866.02</v>
      </c>
      <c r="N615" s="361">
        <v>719424.02</v>
      </c>
      <c r="O615" s="33" t="s">
        <v>3278</v>
      </c>
      <c r="P615" s="252" t="s">
        <v>4681</v>
      </c>
      <c r="Q615" s="113">
        <v>228000</v>
      </c>
      <c r="R615" s="113">
        <v>43320</v>
      </c>
      <c r="S615" s="113">
        <v>271320</v>
      </c>
      <c r="T615" s="52" t="s">
        <v>3561</v>
      </c>
      <c r="U615" s="367" t="s">
        <v>4672</v>
      </c>
      <c r="V615" s="52"/>
      <c r="W615" s="52"/>
      <c r="X615" s="52"/>
      <c r="Y615" s="52"/>
      <c r="Z615" s="368"/>
      <c r="AA615" s="118">
        <v>57000</v>
      </c>
      <c r="AB615" s="118">
        <f t="shared" si="85"/>
        <v>10830</v>
      </c>
      <c r="AC615" s="118">
        <f t="shared" si="86"/>
        <v>67830</v>
      </c>
      <c r="AD615" s="361" t="s">
        <v>126</v>
      </c>
      <c r="AE615" s="362" t="s">
        <v>4646</v>
      </c>
      <c r="AF615" s="358"/>
      <c r="AG615" s="358"/>
      <c r="AH615" s="358"/>
      <c r="AI615" s="358"/>
      <c r="AJ615" s="358"/>
      <c r="AK615" s="113"/>
      <c r="AL615" s="113"/>
      <c r="AM615" s="113"/>
      <c r="AN615" s="113"/>
      <c r="AO615" s="113"/>
      <c r="AP615" s="52"/>
      <c r="AQ615" s="52"/>
      <c r="AR615" s="52"/>
      <c r="AS615" s="52"/>
      <c r="AT615" s="52"/>
      <c r="AU615" s="125"/>
      <c r="AV615" s="125"/>
      <c r="AW615" s="125"/>
      <c r="AX615" s="5"/>
      <c r="AY615" s="5"/>
      <c r="AZ615" s="113"/>
      <c r="BA615" s="113"/>
      <c r="BB615" s="113"/>
      <c r="BC615" s="52"/>
      <c r="BD615" s="52"/>
      <c r="BE615" s="113"/>
      <c r="BF615" s="113"/>
      <c r="BG615" s="113"/>
      <c r="BH615" s="52"/>
      <c r="BI615" s="52"/>
      <c r="BJ615" s="52"/>
      <c r="BK615" s="52"/>
      <c r="BL615" s="52"/>
      <c r="BM615" s="52"/>
      <c r="BN615" s="52"/>
      <c r="BO615" s="52"/>
      <c r="BP615" s="52"/>
      <c r="BQ615" s="52"/>
      <c r="BR615" s="52"/>
      <c r="BS615" s="52"/>
      <c r="BT615" s="52"/>
      <c r="BU615" s="52"/>
      <c r="BV615" s="52"/>
      <c r="BW615" s="52"/>
      <c r="BX615" s="52"/>
      <c r="BY615" s="52"/>
      <c r="BZ615" s="52"/>
      <c r="CA615" s="52"/>
      <c r="CB615" s="52"/>
      <c r="CC615" s="52"/>
      <c r="CD615" s="118"/>
      <c r="CE615" s="52"/>
      <c r="CF615" s="52"/>
      <c r="CG615" s="52"/>
      <c r="CH615" s="52"/>
      <c r="CI615" s="52"/>
      <c r="CJ615" s="52"/>
      <c r="CK615" s="52"/>
      <c r="CL615" s="52"/>
      <c r="CM615" s="52"/>
      <c r="CN615" s="118"/>
      <c r="CO615" s="118"/>
      <c r="CP615" s="118"/>
      <c r="CQ615" s="52"/>
      <c r="CR615" s="52"/>
      <c r="CS615" s="52"/>
      <c r="CT615" s="52"/>
      <c r="CU615" s="52"/>
      <c r="CV615" s="52"/>
      <c r="CW615" s="52"/>
      <c r="CX615" s="52"/>
      <c r="CY615" s="52"/>
      <c r="CZ615" s="52"/>
      <c r="DA615" s="52"/>
      <c r="DB615" s="52"/>
    </row>
    <row r="616" spans="1:106" ht="13.5" x14ac:dyDescent="0.25">
      <c r="A616" s="411">
        <v>614</v>
      </c>
      <c r="B616" s="412" t="s">
        <v>4682</v>
      </c>
      <c r="C616" s="413" t="s">
        <v>622</v>
      </c>
      <c r="D616" s="570" t="s">
        <v>445</v>
      </c>
      <c r="E616" s="80">
        <v>1</v>
      </c>
      <c r="F616" s="353">
        <v>8798.1460000000006</v>
      </c>
      <c r="G616" s="293">
        <v>4300</v>
      </c>
      <c r="H616" s="293">
        <v>817</v>
      </c>
      <c r="I616" s="293">
        <v>5117</v>
      </c>
      <c r="J616" s="52" t="s">
        <v>3180</v>
      </c>
      <c r="K616" s="52" t="s">
        <v>4683</v>
      </c>
      <c r="L616" s="359"/>
      <c r="M616" s="360"/>
      <c r="N616" s="361"/>
      <c r="O616" s="33"/>
      <c r="P616" s="296"/>
      <c r="Q616" s="369"/>
      <c r="R616" s="369"/>
      <c r="S616" s="369"/>
      <c r="T616" s="370"/>
      <c r="U616" s="371"/>
      <c r="V616" s="370"/>
      <c r="W616" s="370"/>
      <c r="X616" s="370"/>
      <c r="Y616" s="370"/>
      <c r="Z616" s="372"/>
      <c r="AA616" s="118" t="s">
        <v>2877</v>
      </c>
      <c r="AB616" s="118"/>
      <c r="AC616" s="118"/>
      <c r="AD616" s="52"/>
      <c r="AE616" s="5"/>
      <c r="AF616" s="358"/>
      <c r="AG616" s="358"/>
      <c r="AH616" s="358"/>
      <c r="AI616" s="358"/>
      <c r="AJ616" s="358"/>
      <c r="AK616" s="113"/>
      <c r="AL616" s="113"/>
      <c r="AM616" s="113"/>
      <c r="AN616" s="113"/>
      <c r="AO616" s="113"/>
      <c r="AP616" s="52"/>
      <c r="AQ616" s="52"/>
      <c r="AR616" s="52"/>
      <c r="AS616" s="52"/>
      <c r="AT616" s="52"/>
      <c r="AU616" s="125"/>
      <c r="AV616" s="125"/>
      <c r="AW616" s="125"/>
      <c r="AX616" s="5"/>
      <c r="AY616" s="5"/>
      <c r="AZ616" s="113"/>
      <c r="BA616" s="113"/>
      <c r="BB616" s="113"/>
      <c r="BC616" s="52"/>
      <c r="BD616" s="52"/>
      <c r="BE616" s="113"/>
      <c r="BF616" s="113"/>
      <c r="BG616" s="113"/>
      <c r="BH616" s="52"/>
      <c r="BI616" s="52"/>
      <c r="BJ616" s="52"/>
      <c r="BK616" s="52"/>
      <c r="BL616" s="52"/>
      <c r="BM616" s="52"/>
      <c r="BN616" s="52"/>
      <c r="BO616" s="52"/>
      <c r="BP616" s="52"/>
      <c r="BQ616" s="52"/>
      <c r="BR616" s="52"/>
      <c r="BS616" s="52"/>
      <c r="BT616" s="52"/>
      <c r="BU616" s="52"/>
      <c r="BV616" s="52"/>
      <c r="BW616" s="52"/>
      <c r="BX616" s="52"/>
      <c r="BY616" s="52"/>
      <c r="BZ616" s="52"/>
      <c r="CA616" s="52"/>
      <c r="CB616" s="52"/>
      <c r="CC616" s="52"/>
      <c r="CD616" s="118"/>
      <c r="CE616" s="52"/>
      <c r="CF616" s="52"/>
      <c r="CG616" s="52"/>
      <c r="CH616" s="52"/>
      <c r="CI616" s="52"/>
      <c r="CJ616" s="52"/>
      <c r="CK616" s="52"/>
      <c r="CL616" s="52"/>
      <c r="CM616" s="52"/>
      <c r="CN616" s="118"/>
      <c r="CO616" s="118"/>
      <c r="CP616" s="118"/>
      <c r="CQ616" s="52"/>
      <c r="CR616" s="52"/>
      <c r="CS616" s="52"/>
      <c r="CT616" s="52"/>
      <c r="CU616" s="52"/>
      <c r="CV616" s="52"/>
      <c r="CW616" s="52"/>
      <c r="CX616" s="52"/>
      <c r="CY616" s="52"/>
      <c r="CZ616" s="52"/>
      <c r="DA616" s="52"/>
      <c r="DB616" s="52"/>
    </row>
    <row r="617" spans="1:106" ht="13.5" x14ac:dyDescent="0.25">
      <c r="A617" s="411">
        <v>615</v>
      </c>
      <c r="B617" s="415" t="s">
        <v>4684</v>
      </c>
      <c r="C617" s="413" t="s">
        <v>2927</v>
      </c>
      <c r="D617" s="570" t="s">
        <v>4685</v>
      </c>
      <c r="E617" s="80">
        <v>1</v>
      </c>
      <c r="F617" s="353">
        <v>69128.290000000008</v>
      </c>
      <c r="G617" s="52"/>
      <c r="H617" s="52"/>
      <c r="I617" s="52"/>
      <c r="J617" s="52"/>
      <c r="K617" s="52"/>
      <c r="L617" s="366"/>
      <c r="M617" s="360"/>
      <c r="N617" s="361"/>
      <c r="O617" s="33"/>
      <c r="P617" s="33"/>
      <c r="Q617" s="118"/>
      <c r="R617" s="118"/>
      <c r="S617" s="118"/>
      <c r="T617" s="52"/>
      <c r="U617" s="5"/>
      <c r="V617" s="52"/>
      <c r="W617" s="52"/>
      <c r="X617" s="52"/>
      <c r="Y617" s="52"/>
      <c r="Z617" s="52"/>
      <c r="AA617" s="118" t="s">
        <v>2877</v>
      </c>
      <c r="AB617" s="118"/>
      <c r="AC617" s="118"/>
      <c r="AD617" s="52"/>
      <c r="AE617" s="5"/>
      <c r="AF617" s="294"/>
      <c r="AG617" s="294"/>
      <c r="AH617" s="294"/>
      <c r="AI617" s="294"/>
      <c r="AJ617" s="294"/>
      <c r="AK617" s="118"/>
      <c r="AL617" s="118"/>
      <c r="AM617" s="118"/>
      <c r="AN617" s="118"/>
      <c r="AO617" s="118"/>
      <c r="AP617" s="52"/>
      <c r="AQ617" s="52"/>
      <c r="AR617" s="52"/>
      <c r="AS617" s="52"/>
      <c r="AT617" s="52"/>
      <c r="AU617" s="192"/>
      <c r="AV617" s="192"/>
      <c r="AW617" s="192"/>
      <c r="AX617" s="5"/>
      <c r="AY617" s="5"/>
      <c r="AZ617" s="118">
        <v>50000</v>
      </c>
      <c r="BA617" s="118">
        <v>9500</v>
      </c>
      <c r="BB617" s="118">
        <v>59500</v>
      </c>
      <c r="BC617" s="52" t="s">
        <v>2970</v>
      </c>
      <c r="BD617" s="52" t="s">
        <v>4686</v>
      </c>
      <c r="BE617" s="118"/>
      <c r="BF617" s="118"/>
      <c r="BG617" s="118"/>
      <c r="BH617" s="52"/>
      <c r="BI617" s="52"/>
      <c r="BJ617" s="52"/>
      <c r="BK617" s="52"/>
      <c r="BL617" s="52"/>
      <c r="BM617" s="52"/>
      <c r="BN617" s="52"/>
      <c r="BO617" s="52"/>
      <c r="BP617" s="52"/>
      <c r="BQ617" s="52"/>
      <c r="BR617" s="52"/>
      <c r="BS617" s="52"/>
      <c r="BT617" s="52"/>
      <c r="BU617" s="52"/>
      <c r="BV617" s="52"/>
      <c r="BW617" s="52"/>
      <c r="BX617" s="52"/>
      <c r="BY617" s="52"/>
      <c r="BZ617" s="52"/>
      <c r="CA617" s="52"/>
      <c r="CB617" s="52"/>
      <c r="CC617" s="52"/>
      <c r="CD617" s="118"/>
      <c r="CE617" s="52"/>
      <c r="CF617" s="52"/>
      <c r="CG617" s="52"/>
      <c r="CH617" s="52"/>
      <c r="CI617" s="52"/>
      <c r="CJ617" s="52"/>
      <c r="CK617" s="52"/>
      <c r="CL617" s="52"/>
      <c r="CM617" s="52"/>
      <c r="CN617" s="118"/>
      <c r="CO617" s="118"/>
      <c r="CP617" s="118"/>
      <c r="CQ617" s="52"/>
      <c r="CR617" s="52"/>
      <c r="CS617" s="52"/>
      <c r="CT617" s="52"/>
      <c r="CU617" s="52"/>
      <c r="CV617" s="52"/>
      <c r="CW617" s="52"/>
      <c r="CX617" s="52"/>
      <c r="CY617" s="52"/>
      <c r="CZ617" s="52"/>
      <c r="DA617" s="52"/>
      <c r="DB617" s="52"/>
    </row>
    <row r="618" spans="1:106" ht="27" x14ac:dyDescent="0.25">
      <c r="A618" s="411">
        <v>616</v>
      </c>
      <c r="B618" s="409" t="s">
        <v>4687</v>
      </c>
      <c r="C618" s="413" t="s">
        <v>1077</v>
      </c>
      <c r="D618" s="409" t="s">
        <v>445</v>
      </c>
      <c r="E618" s="80">
        <v>1</v>
      </c>
      <c r="F618" s="80"/>
      <c r="G618" s="52"/>
      <c r="H618" s="52"/>
      <c r="I618" s="52"/>
      <c r="J618" s="52"/>
      <c r="K618" s="52"/>
      <c r="L618" s="366">
        <v>8700198</v>
      </c>
      <c r="M618" s="360">
        <f>+L618*0.19</f>
        <v>1653037.62</v>
      </c>
      <c r="N618" s="361">
        <f>+L618+M618</f>
        <v>10353235.620000001</v>
      </c>
      <c r="O618" s="33" t="s">
        <v>3278</v>
      </c>
      <c r="P618" s="33" t="s">
        <v>4688</v>
      </c>
      <c r="Q618" s="118"/>
      <c r="R618" s="118"/>
      <c r="S618" s="118"/>
      <c r="T618" s="52"/>
      <c r="U618" s="5"/>
      <c r="V618" s="52"/>
      <c r="W618" s="52"/>
      <c r="X618" s="52"/>
      <c r="Y618" s="52"/>
      <c r="Z618" s="52"/>
      <c r="AA618" s="118"/>
      <c r="AB618" s="118"/>
      <c r="AC618" s="118"/>
      <c r="AD618" s="52"/>
      <c r="AE618" s="5"/>
      <c r="AF618" s="52"/>
      <c r="AG618" s="52"/>
      <c r="AH618" s="52"/>
      <c r="AI618" s="52"/>
      <c r="AJ618" s="52"/>
      <c r="AK618" s="118"/>
      <c r="AL618" s="118"/>
      <c r="AM618" s="118"/>
      <c r="AN618" s="118"/>
      <c r="AO618" s="118"/>
      <c r="AP618" s="52"/>
      <c r="AQ618" s="52"/>
      <c r="AR618" s="52"/>
      <c r="AS618" s="52"/>
      <c r="AT618" s="52"/>
      <c r="AU618" s="192"/>
      <c r="AV618" s="192"/>
      <c r="AW618" s="192"/>
      <c r="AX618" s="5"/>
      <c r="AY618" s="5"/>
      <c r="AZ618" s="118"/>
      <c r="BA618" s="118"/>
      <c r="BB618" s="118"/>
      <c r="BC618" s="52"/>
      <c r="BD618" s="52"/>
      <c r="BE618" s="118"/>
      <c r="BF618" s="118"/>
      <c r="BG618" s="118"/>
      <c r="BH618" s="52"/>
      <c r="BI618" s="52"/>
      <c r="BJ618" s="52"/>
      <c r="BK618" s="52"/>
      <c r="BL618" s="52"/>
      <c r="BM618" s="52"/>
      <c r="BN618" s="52"/>
      <c r="BO618" s="52"/>
      <c r="BP618" s="52"/>
      <c r="BQ618" s="52"/>
      <c r="BR618" s="52"/>
      <c r="BS618" s="52"/>
      <c r="BT618" s="52"/>
      <c r="BU618" s="52"/>
      <c r="BV618" s="52"/>
      <c r="BW618" s="52"/>
      <c r="BX618" s="52"/>
      <c r="BY618" s="52"/>
      <c r="BZ618" s="52"/>
      <c r="CA618" s="52"/>
      <c r="CB618" s="52"/>
      <c r="CC618" s="52"/>
      <c r="CD618" s="118"/>
      <c r="CE618" s="52"/>
      <c r="CF618" s="52"/>
      <c r="CG618" s="52"/>
      <c r="CH618" s="52"/>
      <c r="CI618" s="52"/>
      <c r="CJ618" s="52"/>
      <c r="CK618" s="52"/>
      <c r="CL618" s="52"/>
      <c r="CM618" s="52"/>
      <c r="CN618" s="118"/>
      <c r="CO618" s="118"/>
      <c r="CP618" s="118"/>
      <c r="CQ618" s="52"/>
      <c r="CR618" s="52"/>
      <c r="CS618" s="52"/>
      <c r="CT618" s="52"/>
      <c r="CU618" s="52"/>
      <c r="CV618" s="52"/>
      <c r="CW618" s="52"/>
      <c r="CX618" s="52"/>
      <c r="CY618" s="52"/>
      <c r="CZ618" s="52"/>
      <c r="DA618" s="52"/>
      <c r="DB618" s="52"/>
    </row>
    <row r="619" spans="1:106" ht="54" x14ac:dyDescent="0.25">
      <c r="A619" s="411">
        <v>617</v>
      </c>
      <c r="B619" s="409" t="s">
        <v>4689</v>
      </c>
      <c r="C619" s="413" t="s">
        <v>1077</v>
      </c>
      <c r="D619" s="409" t="s">
        <v>445</v>
      </c>
      <c r="E619" s="80">
        <v>1</v>
      </c>
      <c r="F619" s="80"/>
      <c r="G619" s="52"/>
      <c r="H619" s="52"/>
      <c r="I619" s="52"/>
      <c r="J619" s="52"/>
      <c r="K619" s="52"/>
      <c r="L619" s="366">
        <v>922073</v>
      </c>
      <c r="M619" s="360">
        <f>+L619*0.19</f>
        <v>175193.87</v>
      </c>
      <c r="N619" s="361">
        <f>+L619+M619</f>
        <v>1097266.8700000001</v>
      </c>
      <c r="O619" s="33" t="s">
        <v>3278</v>
      </c>
      <c r="P619" s="33" t="s">
        <v>4690</v>
      </c>
      <c r="Q619" s="118"/>
      <c r="R619" s="118"/>
      <c r="S619" s="118"/>
      <c r="T619" s="52"/>
      <c r="U619" s="5"/>
      <c r="V619" s="52"/>
      <c r="W619" s="52"/>
      <c r="X619" s="52"/>
      <c r="Y619" s="52"/>
      <c r="Z619" s="52"/>
      <c r="AA619" s="118"/>
      <c r="AB619" s="118"/>
      <c r="AC619" s="118"/>
      <c r="AD619" s="52"/>
      <c r="AE619" s="5"/>
      <c r="AF619" s="52"/>
      <c r="AG619" s="52"/>
      <c r="AH619" s="52"/>
      <c r="AI619" s="52"/>
      <c r="AJ619" s="52"/>
      <c r="AK619" s="118"/>
      <c r="AL619" s="118"/>
      <c r="AM619" s="118"/>
      <c r="AN619" s="118"/>
      <c r="AO619" s="118"/>
      <c r="AP619" s="52"/>
      <c r="AQ619" s="52"/>
      <c r="AR619" s="52"/>
      <c r="AS619" s="52"/>
      <c r="AT619" s="52"/>
      <c r="AU619" s="192"/>
      <c r="AV619" s="192"/>
      <c r="AW619" s="192"/>
      <c r="AX619" s="5"/>
      <c r="AY619" s="5"/>
      <c r="AZ619" s="118"/>
      <c r="BA619" s="118"/>
      <c r="BB619" s="118"/>
      <c r="BC619" s="52"/>
      <c r="BD619" s="52"/>
      <c r="BE619" s="118"/>
      <c r="BF619" s="118"/>
      <c r="BG619" s="118"/>
      <c r="BH619" s="52"/>
      <c r="BI619" s="52"/>
      <c r="BJ619" s="52"/>
      <c r="BK619" s="52"/>
      <c r="BL619" s="52"/>
      <c r="BM619" s="52"/>
      <c r="BN619" s="52"/>
      <c r="BO619" s="52"/>
      <c r="BP619" s="52"/>
      <c r="BQ619" s="52"/>
      <c r="BR619" s="52"/>
      <c r="BS619" s="52"/>
      <c r="BT619" s="52"/>
      <c r="BU619" s="52"/>
      <c r="BV619" s="52"/>
      <c r="BW619" s="52"/>
      <c r="BX619" s="52"/>
      <c r="BY619" s="52"/>
      <c r="BZ619" s="52"/>
      <c r="CA619" s="52"/>
      <c r="CB619" s="52"/>
      <c r="CC619" s="52"/>
      <c r="CD619" s="118"/>
      <c r="CE619" s="52"/>
      <c r="CF619" s="52"/>
      <c r="CG619" s="52"/>
      <c r="CH619" s="52"/>
      <c r="CI619" s="52"/>
      <c r="CJ619" s="52"/>
      <c r="CK619" s="52"/>
      <c r="CL619" s="52"/>
      <c r="CM619" s="52"/>
      <c r="CN619" s="118"/>
      <c r="CO619" s="118"/>
      <c r="CP619" s="118"/>
      <c r="CQ619" s="52"/>
      <c r="CR619" s="52"/>
      <c r="CS619" s="52"/>
      <c r="CT619" s="52"/>
      <c r="CU619" s="52"/>
      <c r="CV619" s="52"/>
      <c r="CW619" s="52"/>
      <c r="CX619" s="52"/>
      <c r="CY619" s="52"/>
      <c r="CZ619" s="52"/>
      <c r="DA619" s="52"/>
      <c r="DB619" s="52"/>
    </row>
    <row r="620" spans="1:106" ht="40.5" x14ac:dyDescent="0.25">
      <c r="A620" s="411">
        <v>618</v>
      </c>
      <c r="B620" s="414" t="s">
        <v>4691</v>
      </c>
      <c r="C620" s="413" t="s">
        <v>1077</v>
      </c>
      <c r="D620" s="414" t="s">
        <v>4692</v>
      </c>
      <c r="E620" s="30">
        <v>1</v>
      </c>
      <c r="F620" s="33"/>
      <c r="G620" s="52"/>
      <c r="H620" s="52"/>
      <c r="I620" s="52"/>
      <c r="J620" s="52"/>
      <c r="K620" s="52"/>
      <c r="L620" s="293">
        <v>1130089</v>
      </c>
      <c r="M620" s="360">
        <f>+L620*0.19</f>
        <v>214716.91</v>
      </c>
      <c r="N620" s="361">
        <f>+L620+M620</f>
        <v>1344805.91</v>
      </c>
      <c r="O620" s="33" t="s">
        <v>3278</v>
      </c>
      <c r="P620" s="25" t="s">
        <v>4693</v>
      </c>
      <c r="Q620" s="52"/>
      <c r="R620" s="52"/>
      <c r="S620" s="52"/>
      <c r="T620" s="52"/>
      <c r="U620" s="5"/>
      <c r="V620" s="52"/>
      <c r="W620" s="52"/>
      <c r="X620" s="52"/>
      <c r="Y620" s="52"/>
      <c r="Z620" s="52"/>
      <c r="AA620" s="118"/>
      <c r="AB620" s="118"/>
      <c r="AC620" s="118"/>
      <c r="AD620" s="52"/>
      <c r="AE620" s="5"/>
      <c r="AF620" s="52"/>
      <c r="AG620" s="52"/>
      <c r="AH620" s="52"/>
      <c r="AI620" s="52"/>
      <c r="AJ620" s="52"/>
      <c r="AK620" s="118"/>
      <c r="AL620" s="118"/>
      <c r="AM620" s="118"/>
      <c r="AN620" s="118"/>
      <c r="AO620" s="118"/>
      <c r="AP620" s="52"/>
      <c r="AQ620" s="52"/>
      <c r="AR620" s="52"/>
      <c r="AS620" s="52"/>
      <c r="AT620" s="52"/>
      <c r="AU620" s="192"/>
      <c r="AV620" s="192"/>
      <c r="AW620" s="192"/>
      <c r="AX620" s="5"/>
      <c r="AY620" s="5"/>
      <c r="AZ620" s="118"/>
      <c r="BA620" s="118"/>
      <c r="BB620" s="118"/>
      <c r="BC620" s="52"/>
      <c r="BD620" s="52"/>
      <c r="BE620" s="118"/>
      <c r="BF620" s="118"/>
      <c r="BG620" s="118"/>
      <c r="BH620" s="52"/>
      <c r="BI620" s="52"/>
      <c r="BJ620" s="52"/>
      <c r="BK620" s="52"/>
      <c r="BL620" s="52"/>
      <c r="BM620" s="52"/>
      <c r="BN620" s="52"/>
      <c r="BO620" s="52"/>
      <c r="BP620" s="52"/>
      <c r="BQ620" s="52"/>
      <c r="BR620" s="52"/>
      <c r="BS620" s="52"/>
      <c r="BT620" s="52"/>
      <c r="BU620" s="52"/>
      <c r="BV620" s="52"/>
      <c r="BW620" s="52"/>
      <c r="BX620" s="52"/>
      <c r="BY620" s="52"/>
      <c r="BZ620" s="52"/>
      <c r="CA620" s="52"/>
      <c r="CB620" s="52"/>
      <c r="CC620" s="52"/>
      <c r="CD620" s="118"/>
      <c r="CE620" s="52"/>
      <c r="CF620" s="52"/>
      <c r="CG620" s="52"/>
      <c r="CH620" s="52"/>
      <c r="CI620" s="52"/>
      <c r="CJ620" s="52"/>
      <c r="CK620" s="52"/>
      <c r="CL620" s="52"/>
      <c r="CM620" s="52"/>
      <c r="CN620" s="118"/>
      <c r="CO620" s="118"/>
      <c r="CP620" s="118"/>
      <c r="CQ620" s="52"/>
      <c r="CR620" s="52"/>
      <c r="CS620" s="52"/>
      <c r="CT620" s="52"/>
      <c r="CU620" s="52"/>
      <c r="CV620" s="52"/>
      <c r="CW620" s="52"/>
      <c r="CX620" s="52"/>
      <c r="CY620" s="52"/>
      <c r="CZ620" s="52"/>
      <c r="DA620" s="52"/>
      <c r="DB620" s="52"/>
    </row>
    <row r="621" spans="1:106" ht="13.5" x14ac:dyDescent="0.25">
      <c r="A621" s="411">
        <v>619</v>
      </c>
      <c r="B621" s="414" t="s">
        <v>4694</v>
      </c>
      <c r="C621" s="560" t="s">
        <v>622</v>
      </c>
      <c r="D621" s="414" t="s">
        <v>4695</v>
      </c>
      <c r="E621" s="30">
        <v>1</v>
      </c>
      <c r="F621" s="33"/>
      <c r="G621" s="52"/>
      <c r="H621" s="52"/>
      <c r="I621" s="52"/>
      <c r="J621" s="52"/>
      <c r="K621" s="52"/>
      <c r="L621" s="293"/>
      <c r="M621" s="360"/>
      <c r="N621" s="361"/>
      <c r="O621" s="33"/>
      <c r="P621" s="25"/>
      <c r="Q621" s="52"/>
      <c r="R621" s="52"/>
      <c r="S621" s="52"/>
      <c r="T621" s="52"/>
      <c r="U621" s="5"/>
      <c r="V621" s="52"/>
      <c r="W621" s="52"/>
      <c r="X621" s="52"/>
      <c r="Y621" s="52"/>
      <c r="Z621" s="52"/>
      <c r="AA621" s="118"/>
      <c r="AB621" s="118"/>
      <c r="AC621" s="118"/>
      <c r="AD621" s="52"/>
      <c r="AE621" s="5"/>
      <c r="AF621" s="52"/>
      <c r="AG621" s="52"/>
      <c r="AH621" s="52"/>
      <c r="AI621" s="52"/>
      <c r="AJ621" s="52"/>
      <c r="AK621" s="118"/>
      <c r="AL621" s="118"/>
      <c r="AM621" s="118"/>
      <c r="AN621" s="118"/>
      <c r="AO621" s="118"/>
      <c r="AP621" s="52"/>
      <c r="AQ621" s="52"/>
      <c r="AR621" s="52"/>
      <c r="AS621" s="52"/>
      <c r="AT621" s="52"/>
      <c r="AU621" s="192"/>
      <c r="AV621" s="192"/>
      <c r="AW621" s="192"/>
      <c r="AX621" s="5"/>
      <c r="AY621" s="5"/>
      <c r="AZ621" s="118">
        <v>60000</v>
      </c>
      <c r="BA621" s="118">
        <v>11400</v>
      </c>
      <c r="BB621" s="118">
        <v>71400</v>
      </c>
      <c r="BC621" s="52" t="s">
        <v>3833</v>
      </c>
      <c r="BD621" s="52" t="s">
        <v>4696</v>
      </c>
      <c r="BE621" s="118"/>
      <c r="BF621" s="118"/>
      <c r="BG621" s="118"/>
      <c r="BH621" s="52"/>
      <c r="BI621" s="52"/>
      <c r="BJ621" s="52"/>
      <c r="BK621" s="52"/>
      <c r="BL621" s="52"/>
      <c r="BM621" s="52"/>
      <c r="BN621" s="52"/>
      <c r="BO621" s="52"/>
      <c r="BP621" s="52"/>
      <c r="BQ621" s="52"/>
      <c r="BR621" s="52"/>
      <c r="BS621" s="52"/>
      <c r="BT621" s="52"/>
      <c r="BU621" s="52"/>
      <c r="BV621" s="52"/>
      <c r="BW621" s="52"/>
      <c r="BX621" s="52"/>
      <c r="BY621" s="52"/>
      <c r="BZ621" s="52"/>
      <c r="CA621" s="52"/>
      <c r="CB621" s="52"/>
      <c r="CC621" s="52"/>
      <c r="CD621" s="118"/>
      <c r="CE621" s="52"/>
      <c r="CF621" s="52"/>
      <c r="CG621" s="52"/>
      <c r="CH621" s="52"/>
      <c r="CI621" s="52"/>
      <c r="CJ621" s="52"/>
      <c r="CK621" s="52"/>
      <c r="CL621" s="52"/>
      <c r="CM621" s="52"/>
      <c r="CN621" s="118"/>
      <c r="CO621" s="118"/>
      <c r="CP621" s="118"/>
      <c r="CQ621" s="52"/>
      <c r="CR621" s="52"/>
      <c r="CS621" s="52"/>
      <c r="CT621" s="52"/>
      <c r="CU621" s="52"/>
      <c r="CV621" s="52"/>
      <c r="CW621" s="52"/>
      <c r="CX621" s="52"/>
      <c r="CY621" s="52"/>
      <c r="CZ621" s="52"/>
      <c r="DA621" s="52"/>
      <c r="DB621" s="52"/>
    </row>
    <row r="622" spans="1:106" ht="13.5" x14ac:dyDescent="0.25">
      <c r="A622" s="411">
        <v>620</v>
      </c>
      <c r="B622" s="414" t="s">
        <v>4697</v>
      </c>
      <c r="C622" s="560" t="s">
        <v>622</v>
      </c>
      <c r="D622" s="414" t="s">
        <v>3077</v>
      </c>
      <c r="E622" s="30">
        <v>1</v>
      </c>
      <c r="F622" s="33"/>
      <c r="G622" s="52"/>
      <c r="H622" s="52"/>
      <c r="I622" s="52"/>
      <c r="J622" s="52"/>
      <c r="K622" s="52"/>
      <c r="L622" s="293"/>
      <c r="M622" s="360"/>
      <c r="N622" s="361"/>
      <c r="O622" s="33"/>
      <c r="P622" s="25"/>
      <c r="Q622" s="52"/>
      <c r="R622" s="52"/>
      <c r="S622" s="52"/>
      <c r="T622" s="52"/>
      <c r="U622" s="5"/>
      <c r="V622" s="52"/>
      <c r="W622" s="52"/>
      <c r="X622" s="52"/>
      <c r="Y622" s="52"/>
      <c r="Z622" s="52"/>
      <c r="AA622" s="118"/>
      <c r="AB622" s="118"/>
      <c r="AC622" s="118"/>
      <c r="AD622" s="52"/>
      <c r="AE622" s="5"/>
      <c r="AF622" s="52"/>
      <c r="AG622" s="52"/>
      <c r="AH622" s="52"/>
      <c r="AI622" s="52"/>
      <c r="AJ622" s="52"/>
      <c r="AK622" s="118"/>
      <c r="AL622" s="118"/>
      <c r="AM622" s="118"/>
      <c r="AN622" s="118"/>
      <c r="AO622" s="118"/>
      <c r="AP622" s="52"/>
      <c r="AQ622" s="52"/>
      <c r="AR622" s="52"/>
      <c r="AS622" s="52"/>
      <c r="AT622" s="52"/>
      <c r="AU622" s="192"/>
      <c r="AV622" s="192"/>
      <c r="AW622" s="192"/>
      <c r="AX622" s="5"/>
      <c r="AY622" s="5"/>
      <c r="AZ622" s="118">
        <v>60000</v>
      </c>
      <c r="BA622" s="118">
        <v>11400</v>
      </c>
      <c r="BB622" s="118">
        <v>71400</v>
      </c>
      <c r="BC622" s="52" t="s">
        <v>3833</v>
      </c>
      <c r="BD622" s="52" t="s">
        <v>4698</v>
      </c>
      <c r="BE622" s="118"/>
      <c r="BF622" s="118"/>
      <c r="BG622" s="118"/>
      <c r="BH622" s="52"/>
      <c r="BI622" s="52"/>
      <c r="BJ622" s="52"/>
      <c r="BK622" s="52"/>
      <c r="BL622" s="52"/>
      <c r="BM622" s="52"/>
      <c r="BN622" s="52"/>
      <c r="BO622" s="52"/>
      <c r="BP622" s="52"/>
      <c r="BQ622" s="52"/>
      <c r="BR622" s="52"/>
      <c r="BS622" s="52"/>
      <c r="BT622" s="52"/>
      <c r="BU622" s="52"/>
      <c r="BV622" s="52"/>
      <c r="BW622" s="52"/>
      <c r="BX622" s="52"/>
      <c r="BY622" s="52"/>
      <c r="BZ622" s="52"/>
      <c r="CA622" s="52"/>
      <c r="CB622" s="52"/>
      <c r="CC622" s="52"/>
      <c r="CD622" s="118"/>
      <c r="CE622" s="52"/>
      <c r="CF622" s="52"/>
      <c r="CG622" s="52"/>
      <c r="CH622" s="52"/>
      <c r="CI622" s="52"/>
      <c r="CJ622" s="52"/>
      <c r="CK622" s="52"/>
      <c r="CL622" s="52"/>
      <c r="CM622" s="52"/>
      <c r="CN622" s="118"/>
      <c r="CO622" s="118"/>
      <c r="CP622" s="118"/>
      <c r="CQ622" s="52"/>
      <c r="CR622" s="52"/>
      <c r="CS622" s="52"/>
      <c r="CT622" s="52"/>
      <c r="CU622" s="52"/>
      <c r="CV622" s="52"/>
      <c r="CW622" s="52"/>
      <c r="CX622" s="52"/>
      <c r="CY622" s="52"/>
      <c r="CZ622" s="52"/>
      <c r="DA622" s="52"/>
      <c r="DB622" s="52"/>
    </row>
    <row r="623" spans="1:106" ht="13.5" x14ac:dyDescent="0.25">
      <c r="A623" s="411">
        <v>621</v>
      </c>
      <c r="B623" s="414" t="s">
        <v>4699</v>
      </c>
      <c r="C623" s="560" t="s">
        <v>622</v>
      </c>
      <c r="D623" s="414" t="s">
        <v>4695</v>
      </c>
      <c r="E623" s="30">
        <v>1</v>
      </c>
      <c r="F623" s="33"/>
      <c r="G623" s="52"/>
      <c r="H623" s="52"/>
      <c r="I623" s="52"/>
      <c r="J623" s="52"/>
      <c r="K623" s="52"/>
      <c r="L623" s="293"/>
      <c r="M623" s="360"/>
      <c r="N623" s="361"/>
      <c r="O623" s="33"/>
      <c r="P623" s="25"/>
      <c r="Q623" s="52"/>
      <c r="R623" s="52"/>
      <c r="S623" s="52"/>
      <c r="T623" s="52"/>
      <c r="U623" s="5"/>
      <c r="V623" s="52"/>
      <c r="W623" s="52"/>
      <c r="X623" s="52"/>
      <c r="Y623" s="52"/>
      <c r="Z623" s="52"/>
      <c r="AA623" s="118"/>
      <c r="AB623" s="118"/>
      <c r="AC623" s="118"/>
      <c r="AD623" s="52"/>
      <c r="AE623" s="5"/>
      <c r="AF623" s="52"/>
      <c r="AG623" s="52"/>
      <c r="AH623" s="52"/>
      <c r="AI623" s="52"/>
      <c r="AJ623" s="52"/>
      <c r="AK623" s="118"/>
      <c r="AL623" s="118"/>
      <c r="AM623" s="118"/>
      <c r="AN623" s="118"/>
      <c r="AO623" s="118"/>
      <c r="AP623" s="52"/>
      <c r="AQ623" s="52"/>
      <c r="AR623" s="52"/>
      <c r="AS623" s="52"/>
      <c r="AT623" s="52"/>
      <c r="AU623" s="192"/>
      <c r="AV623" s="192"/>
      <c r="AW623" s="192"/>
      <c r="AX623" s="5"/>
      <c r="AY623" s="5"/>
      <c r="AZ623" s="118">
        <v>60000</v>
      </c>
      <c r="BA623" s="118">
        <v>11400</v>
      </c>
      <c r="BB623" s="118">
        <v>71400</v>
      </c>
      <c r="BC623" s="52" t="s">
        <v>3833</v>
      </c>
      <c r="BD623" s="52" t="s">
        <v>4700</v>
      </c>
      <c r="BE623" s="118"/>
      <c r="BF623" s="118"/>
      <c r="BG623" s="118"/>
      <c r="BH623" s="52"/>
      <c r="BI623" s="52"/>
      <c r="BJ623" s="52"/>
      <c r="BK623" s="52"/>
      <c r="BL623" s="52"/>
      <c r="BM623" s="52"/>
      <c r="BN623" s="52"/>
      <c r="BO623" s="52"/>
      <c r="BP623" s="52"/>
      <c r="BQ623" s="52"/>
      <c r="BR623" s="52"/>
      <c r="BS623" s="52"/>
      <c r="BT623" s="52"/>
      <c r="BU623" s="52"/>
      <c r="BV623" s="52"/>
      <c r="BW623" s="52"/>
      <c r="BX623" s="52"/>
      <c r="BY623" s="52"/>
      <c r="BZ623" s="52"/>
      <c r="CA623" s="52"/>
      <c r="CB623" s="52"/>
      <c r="CC623" s="52"/>
      <c r="CD623" s="118"/>
      <c r="CE623" s="52"/>
      <c r="CF623" s="52"/>
      <c r="CG623" s="52"/>
      <c r="CH623" s="52"/>
      <c r="CI623" s="52"/>
      <c r="CJ623" s="52"/>
      <c r="CK623" s="52"/>
      <c r="CL623" s="52"/>
      <c r="CM623" s="52"/>
      <c r="CN623" s="118"/>
      <c r="CO623" s="118"/>
      <c r="CP623" s="118"/>
      <c r="CQ623" s="52"/>
      <c r="CR623" s="52"/>
      <c r="CS623" s="52"/>
      <c r="CT623" s="52"/>
      <c r="CU623" s="52"/>
      <c r="CV623" s="52"/>
      <c r="CW623" s="52"/>
      <c r="CX623" s="52"/>
      <c r="CY623" s="52"/>
      <c r="CZ623" s="52"/>
      <c r="DA623" s="52"/>
      <c r="DB623" s="52"/>
    </row>
    <row r="624" spans="1:106" ht="13.5" x14ac:dyDescent="0.25">
      <c r="A624" s="411">
        <v>622</v>
      </c>
      <c r="B624" s="414" t="s">
        <v>4701</v>
      </c>
      <c r="C624" s="560" t="s">
        <v>622</v>
      </c>
      <c r="D624" s="414" t="s">
        <v>4695</v>
      </c>
      <c r="E624" s="30">
        <v>1</v>
      </c>
      <c r="F624" s="33"/>
      <c r="G624" s="52"/>
      <c r="H624" s="52"/>
      <c r="I624" s="52"/>
      <c r="J624" s="52"/>
      <c r="K624" s="52"/>
      <c r="L624" s="293"/>
      <c r="M624" s="360"/>
      <c r="N624" s="361"/>
      <c r="O624" s="33"/>
      <c r="P624" s="25"/>
      <c r="Q624" s="52"/>
      <c r="R624" s="52"/>
      <c r="S624" s="52"/>
      <c r="T624" s="52"/>
      <c r="U624" s="5"/>
      <c r="V624" s="52"/>
      <c r="W624" s="52"/>
      <c r="X624" s="52"/>
      <c r="Y624" s="52"/>
      <c r="Z624" s="52"/>
      <c r="AA624" s="118"/>
      <c r="AB624" s="118"/>
      <c r="AC624" s="118"/>
      <c r="AD624" s="52"/>
      <c r="AE624" s="5"/>
      <c r="AF624" s="52"/>
      <c r="AG624" s="52"/>
      <c r="AH624" s="52"/>
      <c r="AI624" s="52"/>
      <c r="AJ624" s="52"/>
      <c r="AK624" s="118"/>
      <c r="AL624" s="118"/>
      <c r="AM624" s="118"/>
      <c r="AN624" s="118"/>
      <c r="AO624" s="118"/>
      <c r="AP624" s="52"/>
      <c r="AQ624" s="52"/>
      <c r="AR624" s="52"/>
      <c r="AS624" s="52"/>
      <c r="AT624" s="52"/>
      <c r="AU624" s="192"/>
      <c r="AV624" s="192"/>
      <c r="AW624" s="192"/>
      <c r="AX624" s="5"/>
      <c r="AY624" s="5"/>
      <c r="AZ624" s="118">
        <v>60000</v>
      </c>
      <c r="BA624" s="118">
        <v>11400</v>
      </c>
      <c r="BB624" s="118">
        <v>71400</v>
      </c>
      <c r="BC624" s="52" t="s">
        <v>3833</v>
      </c>
      <c r="BD624" s="52" t="s">
        <v>4702</v>
      </c>
      <c r="BE624" s="118"/>
      <c r="BF624" s="118"/>
      <c r="BG624" s="118"/>
      <c r="BH624" s="52"/>
      <c r="BI624" s="52"/>
      <c r="BJ624" s="52"/>
      <c r="BK624" s="52"/>
      <c r="BL624" s="52"/>
      <c r="BM624" s="52"/>
      <c r="BN624" s="52"/>
      <c r="BO624" s="52"/>
      <c r="BP624" s="52"/>
      <c r="BQ624" s="52"/>
      <c r="BR624" s="52"/>
      <c r="BS624" s="52"/>
      <c r="BT624" s="52"/>
      <c r="BU624" s="52"/>
      <c r="BV624" s="52"/>
      <c r="BW624" s="52"/>
      <c r="BX624" s="52"/>
      <c r="BY624" s="52"/>
      <c r="BZ624" s="52"/>
      <c r="CA624" s="52"/>
      <c r="CB624" s="52"/>
      <c r="CC624" s="52"/>
      <c r="CD624" s="118"/>
      <c r="CE624" s="52"/>
      <c r="CF624" s="52"/>
      <c r="CG624" s="52"/>
      <c r="CH624" s="52"/>
      <c r="CI624" s="52"/>
      <c r="CJ624" s="52"/>
      <c r="CK624" s="52"/>
      <c r="CL624" s="52"/>
      <c r="CM624" s="52"/>
      <c r="CN624" s="118"/>
      <c r="CO624" s="118"/>
      <c r="CP624" s="118"/>
      <c r="CQ624" s="52"/>
      <c r="CR624" s="52"/>
      <c r="CS624" s="52"/>
      <c r="CT624" s="52"/>
      <c r="CU624" s="52"/>
      <c r="CV624" s="52"/>
      <c r="CW624" s="52"/>
      <c r="CX624" s="52"/>
      <c r="CY624" s="52"/>
      <c r="CZ624" s="52"/>
      <c r="DA624" s="52"/>
      <c r="DB624" s="52"/>
    </row>
    <row r="625" spans="1:106" ht="13.5" x14ac:dyDescent="0.25">
      <c r="A625" s="411">
        <v>623</v>
      </c>
      <c r="B625" s="414" t="s">
        <v>4703</v>
      </c>
      <c r="C625" s="560" t="s">
        <v>622</v>
      </c>
      <c r="D625" s="414" t="s">
        <v>3077</v>
      </c>
      <c r="E625" s="30">
        <v>1</v>
      </c>
      <c r="F625" s="33"/>
      <c r="G625" s="52"/>
      <c r="H625" s="52"/>
      <c r="I625" s="52"/>
      <c r="J625" s="52"/>
      <c r="K625" s="52"/>
      <c r="L625" s="293"/>
      <c r="M625" s="360"/>
      <c r="N625" s="361"/>
      <c r="O625" s="33"/>
      <c r="P625" s="25"/>
      <c r="Q625" s="52"/>
      <c r="R625" s="52"/>
      <c r="S625" s="52"/>
      <c r="T625" s="52"/>
      <c r="U625" s="5"/>
      <c r="V625" s="52"/>
      <c r="W625" s="52"/>
      <c r="X625" s="52"/>
      <c r="Y625" s="52"/>
      <c r="Z625" s="52"/>
      <c r="AA625" s="118"/>
      <c r="AB625" s="118"/>
      <c r="AC625" s="118"/>
      <c r="AD625" s="52"/>
      <c r="AE625" s="5"/>
      <c r="AF625" s="52"/>
      <c r="AG625" s="52"/>
      <c r="AH625" s="52"/>
      <c r="AI625" s="52"/>
      <c r="AJ625" s="52"/>
      <c r="AK625" s="118"/>
      <c r="AL625" s="118"/>
      <c r="AM625" s="118"/>
      <c r="AN625" s="118"/>
      <c r="AO625" s="118"/>
      <c r="AP625" s="52"/>
      <c r="AQ625" s="52"/>
      <c r="AR625" s="52"/>
      <c r="AS625" s="52"/>
      <c r="AT625" s="52"/>
      <c r="AU625" s="192"/>
      <c r="AV625" s="192"/>
      <c r="AW625" s="192"/>
      <c r="AX625" s="5"/>
      <c r="AY625" s="5"/>
      <c r="AZ625" s="118">
        <v>54000</v>
      </c>
      <c r="BA625" s="118">
        <v>10260</v>
      </c>
      <c r="BB625" s="118">
        <v>64260</v>
      </c>
      <c r="BC625" s="52" t="s">
        <v>3833</v>
      </c>
      <c r="BD625" s="52" t="s">
        <v>4704</v>
      </c>
      <c r="BE625" s="118"/>
      <c r="BF625" s="118"/>
      <c r="BG625" s="118"/>
      <c r="BH625" s="52"/>
      <c r="BI625" s="52"/>
      <c r="BJ625" s="52"/>
      <c r="BK625" s="52"/>
      <c r="BL625" s="52"/>
      <c r="BM625" s="52"/>
      <c r="BN625" s="52"/>
      <c r="BO625" s="52"/>
      <c r="BP625" s="52"/>
      <c r="BQ625" s="52"/>
      <c r="BR625" s="52"/>
      <c r="BS625" s="52"/>
      <c r="BT625" s="52"/>
      <c r="BU625" s="52"/>
      <c r="BV625" s="52"/>
      <c r="BW625" s="52"/>
      <c r="BX625" s="52"/>
      <c r="BY625" s="52"/>
      <c r="BZ625" s="52"/>
      <c r="CA625" s="52"/>
      <c r="CB625" s="52"/>
      <c r="CC625" s="52"/>
      <c r="CD625" s="118"/>
      <c r="CE625" s="52"/>
      <c r="CF625" s="52"/>
      <c r="CG625" s="52"/>
      <c r="CH625" s="52"/>
      <c r="CI625" s="52"/>
      <c r="CJ625" s="52"/>
      <c r="CK625" s="52"/>
      <c r="CL625" s="52"/>
      <c r="CM625" s="52"/>
      <c r="CN625" s="118"/>
      <c r="CO625" s="118"/>
      <c r="CP625" s="118"/>
      <c r="CQ625" s="52"/>
      <c r="CR625" s="52"/>
      <c r="CS625" s="52"/>
      <c r="CT625" s="52"/>
      <c r="CU625" s="52"/>
      <c r="CV625" s="52"/>
      <c r="CW625" s="52"/>
      <c r="CX625" s="52"/>
      <c r="CY625" s="52"/>
      <c r="CZ625" s="52"/>
      <c r="DA625" s="52"/>
      <c r="DB625" s="52"/>
    </row>
    <row r="626" spans="1:106" ht="27" x14ac:dyDescent="0.25">
      <c r="A626" s="411">
        <v>624</v>
      </c>
      <c r="B626" s="414" t="s">
        <v>4705</v>
      </c>
      <c r="C626" s="560" t="s">
        <v>622</v>
      </c>
      <c r="D626" s="414" t="s">
        <v>445</v>
      </c>
      <c r="E626" s="30">
        <v>1</v>
      </c>
      <c r="F626" s="33"/>
      <c r="G626" s="52"/>
      <c r="H626" s="52"/>
      <c r="I626" s="52"/>
      <c r="J626" s="52"/>
      <c r="K626" s="52"/>
      <c r="L626" s="293"/>
      <c r="M626" s="360"/>
      <c r="N626" s="361"/>
      <c r="O626" s="33"/>
      <c r="P626" s="25"/>
      <c r="Q626" s="52"/>
      <c r="R626" s="52"/>
      <c r="S626" s="52"/>
      <c r="T626" s="52"/>
      <c r="U626" s="5"/>
      <c r="V626" s="52"/>
      <c r="W626" s="52"/>
      <c r="X626" s="52"/>
      <c r="Y626" s="52"/>
      <c r="Z626" s="52"/>
      <c r="AA626" s="118"/>
      <c r="AB626" s="118"/>
      <c r="AC626" s="118"/>
      <c r="AD626" s="52"/>
      <c r="AE626" s="5"/>
      <c r="AF626" s="52"/>
      <c r="AG626" s="52"/>
      <c r="AH626" s="52"/>
      <c r="AI626" s="52"/>
      <c r="AJ626" s="52"/>
      <c r="AK626" s="118"/>
      <c r="AL626" s="118"/>
      <c r="AM626" s="118"/>
      <c r="AN626" s="118"/>
      <c r="AO626" s="118"/>
      <c r="AP626" s="52"/>
      <c r="AQ626" s="52"/>
      <c r="AR626" s="52"/>
      <c r="AS626" s="52"/>
      <c r="AT626" s="52"/>
      <c r="AU626" s="192"/>
      <c r="AV626" s="192"/>
      <c r="AW626" s="192"/>
      <c r="AX626" s="5"/>
      <c r="AY626" s="5"/>
      <c r="AZ626" s="118">
        <v>80000</v>
      </c>
      <c r="BA626" s="118">
        <v>15200</v>
      </c>
      <c r="BB626" s="118">
        <v>95200</v>
      </c>
      <c r="BC626" s="52" t="s">
        <v>3833</v>
      </c>
      <c r="BD626" s="52" t="s">
        <v>4706</v>
      </c>
      <c r="BE626" s="118"/>
      <c r="BF626" s="118"/>
      <c r="BG626" s="118"/>
      <c r="BH626" s="52"/>
      <c r="BI626" s="52"/>
      <c r="BJ626" s="52"/>
      <c r="BK626" s="52"/>
      <c r="BL626" s="52"/>
      <c r="BM626" s="52"/>
      <c r="BN626" s="52"/>
      <c r="BO626" s="52"/>
      <c r="BP626" s="52"/>
      <c r="BQ626" s="52"/>
      <c r="BR626" s="52"/>
      <c r="BS626" s="52"/>
      <c r="BT626" s="52"/>
      <c r="BU626" s="52"/>
      <c r="BV626" s="52"/>
      <c r="BW626" s="52"/>
      <c r="BX626" s="52"/>
      <c r="BY626" s="52"/>
      <c r="BZ626" s="52"/>
      <c r="CA626" s="52"/>
      <c r="CB626" s="52"/>
      <c r="CC626" s="52"/>
      <c r="CD626" s="118"/>
      <c r="CE626" s="52"/>
      <c r="CF626" s="52"/>
      <c r="CG626" s="52"/>
      <c r="CH626" s="52"/>
      <c r="CI626" s="52"/>
      <c r="CJ626" s="52"/>
      <c r="CK626" s="52"/>
      <c r="CL626" s="52"/>
      <c r="CM626" s="52"/>
      <c r="CN626" s="118"/>
      <c r="CO626" s="118"/>
      <c r="CP626" s="118"/>
      <c r="CQ626" s="52"/>
      <c r="CR626" s="52"/>
      <c r="CS626" s="52"/>
      <c r="CT626" s="52"/>
      <c r="CU626" s="52"/>
      <c r="CV626" s="52"/>
      <c r="CW626" s="52"/>
      <c r="CX626" s="52"/>
      <c r="CY626" s="52"/>
      <c r="CZ626" s="52"/>
      <c r="DA626" s="52"/>
      <c r="DB626" s="52"/>
    </row>
    <row r="627" spans="1:106" ht="27" x14ac:dyDescent="0.25">
      <c r="A627" s="411">
        <v>625</v>
      </c>
      <c r="B627" s="414" t="s">
        <v>4707</v>
      </c>
      <c r="C627" s="560" t="s">
        <v>622</v>
      </c>
      <c r="D627" s="414" t="s">
        <v>445</v>
      </c>
      <c r="E627" s="30">
        <v>1</v>
      </c>
      <c r="F627" s="33"/>
      <c r="G627" s="52"/>
      <c r="H627" s="52"/>
      <c r="I627" s="52"/>
      <c r="J627" s="52"/>
      <c r="K627" s="52"/>
      <c r="L627" s="293"/>
      <c r="M627" s="360"/>
      <c r="N627" s="361"/>
      <c r="O627" s="33"/>
      <c r="P627" s="25"/>
      <c r="Q627" s="52"/>
      <c r="R627" s="52"/>
      <c r="S627" s="52"/>
      <c r="T627" s="52"/>
      <c r="U627" s="5"/>
      <c r="V627" s="52"/>
      <c r="W627" s="52"/>
      <c r="X627" s="52"/>
      <c r="Y627" s="52"/>
      <c r="Z627" s="52"/>
      <c r="AA627" s="118"/>
      <c r="AB627" s="118"/>
      <c r="AC627" s="118"/>
      <c r="AD627" s="52"/>
      <c r="AE627" s="5"/>
      <c r="AF627" s="52"/>
      <c r="AG627" s="52"/>
      <c r="AH627" s="52"/>
      <c r="AI627" s="52"/>
      <c r="AJ627" s="52"/>
      <c r="AK627" s="118"/>
      <c r="AL627" s="118"/>
      <c r="AM627" s="118"/>
      <c r="AN627" s="118"/>
      <c r="AO627" s="118"/>
      <c r="AP627" s="52"/>
      <c r="AQ627" s="52"/>
      <c r="AR627" s="52"/>
      <c r="AS627" s="52"/>
      <c r="AT627" s="52"/>
      <c r="AU627" s="192"/>
      <c r="AV627" s="192"/>
      <c r="AW627" s="192"/>
      <c r="AX627" s="5"/>
      <c r="AY627" s="5"/>
      <c r="AZ627" s="118">
        <v>104000</v>
      </c>
      <c r="BA627" s="118">
        <v>19760</v>
      </c>
      <c r="BB627" s="118">
        <v>123760</v>
      </c>
      <c r="BC627" s="52" t="s">
        <v>3833</v>
      </c>
      <c r="BD627" s="52"/>
      <c r="BE627" s="118"/>
      <c r="BF627" s="118"/>
      <c r="BG627" s="118"/>
      <c r="BH627" s="52"/>
      <c r="BI627" s="52"/>
      <c r="BJ627" s="52"/>
      <c r="BK627" s="52"/>
      <c r="BL627" s="52"/>
      <c r="BM627" s="52"/>
      <c r="BN627" s="52"/>
      <c r="BO627" s="52"/>
      <c r="BP627" s="52"/>
      <c r="BQ627" s="52"/>
      <c r="BR627" s="52"/>
      <c r="BS627" s="52"/>
      <c r="BT627" s="52"/>
      <c r="BU627" s="52"/>
      <c r="BV627" s="52"/>
      <c r="BW627" s="52"/>
      <c r="BX627" s="52"/>
      <c r="BY627" s="52"/>
      <c r="BZ627" s="52"/>
      <c r="CA627" s="52"/>
      <c r="CB627" s="52"/>
      <c r="CC627" s="52"/>
      <c r="CD627" s="118"/>
      <c r="CE627" s="52"/>
      <c r="CF627" s="52"/>
      <c r="CG627" s="52"/>
      <c r="CH627" s="52"/>
      <c r="CI627" s="52"/>
      <c r="CJ627" s="52"/>
      <c r="CK627" s="52"/>
      <c r="CL627" s="52"/>
      <c r="CM627" s="52"/>
      <c r="CN627" s="118"/>
      <c r="CO627" s="118"/>
      <c r="CP627" s="118"/>
      <c r="CQ627" s="52"/>
      <c r="CR627" s="52"/>
      <c r="CS627" s="52"/>
      <c r="CT627" s="52"/>
      <c r="CU627" s="52"/>
      <c r="CV627" s="52"/>
      <c r="CW627" s="52"/>
      <c r="CX627" s="52"/>
      <c r="CY627" s="52"/>
      <c r="CZ627" s="52"/>
      <c r="DA627" s="52"/>
      <c r="DB627" s="52"/>
    </row>
    <row r="628" spans="1:106" ht="27" x14ac:dyDescent="0.25">
      <c r="A628" s="411">
        <v>626</v>
      </c>
      <c r="B628" s="414" t="s">
        <v>4708</v>
      </c>
      <c r="C628" s="560" t="s">
        <v>622</v>
      </c>
      <c r="D628" s="414" t="s">
        <v>445</v>
      </c>
      <c r="E628" s="30">
        <v>1</v>
      </c>
      <c r="F628" s="33"/>
      <c r="G628" s="52"/>
      <c r="H628" s="52"/>
      <c r="I628" s="52"/>
      <c r="J628" s="52"/>
      <c r="K628" s="52"/>
      <c r="L628" s="293"/>
      <c r="M628" s="360"/>
      <c r="N628" s="361"/>
      <c r="O628" s="33"/>
      <c r="P628" s="25"/>
      <c r="Q628" s="52"/>
      <c r="R628" s="52"/>
      <c r="S628" s="52"/>
      <c r="T628" s="52"/>
      <c r="U628" s="5"/>
      <c r="V628" s="52"/>
      <c r="W628" s="52"/>
      <c r="X628" s="52"/>
      <c r="Y628" s="52"/>
      <c r="Z628" s="52"/>
      <c r="AA628" s="118"/>
      <c r="AB628" s="118"/>
      <c r="AC628" s="118"/>
      <c r="AD628" s="52"/>
      <c r="AE628" s="5"/>
      <c r="AF628" s="52"/>
      <c r="AG628" s="52"/>
      <c r="AH628" s="52"/>
      <c r="AI628" s="52"/>
      <c r="AJ628" s="52"/>
      <c r="AK628" s="118"/>
      <c r="AL628" s="118"/>
      <c r="AM628" s="118"/>
      <c r="AN628" s="118"/>
      <c r="AO628" s="118"/>
      <c r="AP628" s="52"/>
      <c r="AQ628" s="52"/>
      <c r="AR628" s="52"/>
      <c r="AS628" s="52"/>
      <c r="AT628" s="52"/>
      <c r="AU628" s="192"/>
      <c r="AV628" s="192"/>
      <c r="AW628" s="192"/>
      <c r="AX628" s="5"/>
      <c r="AY628" s="5"/>
      <c r="AZ628" s="118">
        <v>14000</v>
      </c>
      <c r="BA628" s="118">
        <v>2660</v>
      </c>
      <c r="BB628" s="118">
        <v>16660</v>
      </c>
      <c r="BC628" s="52" t="s">
        <v>3833</v>
      </c>
      <c r="BD628" s="52" t="s">
        <v>4709</v>
      </c>
      <c r="BE628" s="118"/>
      <c r="BF628" s="118"/>
      <c r="BG628" s="118"/>
      <c r="BH628" s="52"/>
      <c r="BI628" s="52"/>
      <c r="BJ628" s="52"/>
      <c r="BK628" s="52"/>
      <c r="BL628" s="52"/>
      <c r="BM628" s="52"/>
      <c r="BN628" s="52"/>
      <c r="BO628" s="52"/>
      <c r="BP628" s="52"/>
      <c r="BQ628" s="52"/>
      <c r="BR628" s="52"/>
      <c r="BS628" s="52"/>
      <c r="BT628" s="52"/>
      <c r="BU628" s="52"/>
      <c r="BV628" s="52"/>
      <c r="BW628" s="52"/>
      <c r="BX628" s="52"/>
      <c r="BY628" s="52"/>
      <c r="BZ628" s="52"/>
      <c r="CA628" s="52"/>
      <c r="CB628" s="52"/>
      <c r="CC628" s="52"/>
      <c r="CD628" s="118"/>
      <c r="CE628" s="52"/>
      <c r="CF628" s="52"/>
      <c r="CG628" s="52"/>
      <c r="CH628" s="52"/>
      <c r="CI628" s="52"/>
      <c r="CJ628" s="52"/>
      <c r="CK628" s="52"/>
      <c r="CL628" s="52"/>
      <c r="CM628" s="52"/>
      <c r="CN628" s="118"/>
      <c r="CO628" s="118"/>
      <c r="CP628" s="118"/>
      <c r="CQ628" s="52"/>
      <c r="CR628" s="52"/>
      <c r="CS628" s="52"/>
      <c r="CT628" s="52"/>
      <c r="CU628" s="52"/>
      <c r="CV628" s="52"/>
      <c r="CW628" s="52"/>
      <c r="CX628" s="52"/>
      <c r="CY628" s="52"/>
      <c r="CZ628" s="52"/>
      <c r="DA628" s="52"/>
      <c r="DB628" s="52"/>
    </row>
    <row r="629" spans="1:106" ht="27" x14ac:dyDescent="0.25">
      <c r="A629" s="411">
        <v>627</v>
      </c>
      <c r="B629" s="414" t="s">
        <v>4710</v>
      </c>
      <c r="C629" s="560" t="s">
        <v>4711</v>
      </c>
      <c r="D629" s="414" t="s">
        <v>4712</v>
      </c>
      <c r="E629" s="30">
        <v>1</v>
      </c>
      <c r="F629" s="33"/>
      <c r="G629" s="52"/>
      <c r="H629" s="52"/>
      <c r="I629" s="52"/>
      <c r="J629" s="52"/>
      <c r="K629" s="52"/>
      <c r="L629" s="293"/>
      <c r="M629" s="360"/>
      <c r="N629" s="361"/>
      <c r="O629" s="33"/>
      <c r="P629" s="25"/>
      <c r="Q629" s="52"/>
      <c r="R629" s="52"/>
      <c r="S629" s="52"/>
      <c r="T629" s="52"/>
      <c r="U629" s="5"/>
      <c r="V629" s="52"/>
      <c r="W629" s="52"/>
      <c r="X629" s="52"/>
      <c r="Y629" s="52"/>
      <c r="Z629" s="52"/>
      <c r="AA629" s="118"/>
      <c r="AB629" s="118"/>
      <c r="AC629" s="118"/>
      <c r="AD629" s="52"/>
      <c r="AE629" s="5"/>
      <c r="AF629" s="52"/>
      <c r="AG629" s="52"/>
      <c r="AH629" s="52"/>
      <c r="AI629" s="52"/>
      <c r="AJ629" s="52"/>
      <c r="AK629" s="118"/>
      <c r="AL629" s="118"/>
      <c r="AM629" s="118"/>
      <c r="AN629" s="118"/>
      <c r="AO629" s="118"/>
      <c r="AP629" s="52"/>
      <c r="AQ629" s="52"/>
      <c r="AR629" s="52"/>
      <c r="AS629" s="52"/>
      <c r="AT629" s="52"/>
      <c r="AU629" s="192"/>
      <c r="AV629" s="192"/>
      <c r="AW629" s="192"/>
      <c r="AX629" s="5"/>
      <c r="AY629" s="5"/>
      <c r="AZ629" s="118">
        <v>237000</v>
      </c>
      <c r="BA629" s="118">
        <v>45030</v>
      </c>
      <c r="BB629" s="118">
        <v>282030</v>
      </c>
      <c r="BC629" s="52" t="s">
        <v>2895</v>
      </c>
      <c r="BD629" s="52" t="s">
        <v>4713</v>
      </c>
      <c r="BE629" s="118"/>
      <c r="BF629" s="118"/>
      <c r="BG629" s="118"/>
      <c r="BH629" s="52"/>
      <c r="BI629" s="52"/>
      <c r="BJ629" s="52"/>
      <c r="BK629" s="52"/>
      <c r="BL629" s="52"/>
      <c r="BM629" s="52"/>
      <c r="BN629" s="52"/>
      <c r="BO629" s="52"/>
      <c r="BP629" s="52"/>
      <c r="BQ629" s="52"/>
      <c r="BR629" s="52"/>
      <c r="BS629" s="52"/>
      <c r="BT629" s="52"/>
      <c r="BU629" s="52"/>
      <c r="BV629" s="52"/>
      <c r="BW629" s="52"/>
      <c r="BX629" s="52"/>
      <c r="BY629" s="52"/>
      <c r="BZ629" s="52"/>
      <c r="CA629" s="52"/>
      <c r="CB629" s="52"/>
      <c r="CC629" s="52"/>
      <c r="CD629" s="118"/>
      <c r="CE629" s="52"/>
      <c r="CF629" s="52"/>
      <c r="CG629" s="52"/>
      <c r="CH629" s="52"/>
      <c r="CI629" s="52"/>
      <c r="CJ629" s="52"/>
      <c r="CK629" s="52"/>
      <c r="CL629" s="52"/>
      <c r="CM629" s="52"/>
      <c r="CN629" s="118"/>
      <c r="CO629" s="118"/>
      <c r="CP629" s="118"/>
      <c r="CQ629" s="52"/>
      <c r="CR629" s="52"/>
      <c r="CS629" s="52"/>
      <c r="CT629" s="52"/>
      <c r="CU629" s="52"/>
      <c r="CV629" s="52"/>
      <c r="CW629" s="52"/>
      <c r="CX629" s="52"/>
      <c r="CY629" s="52"/>
      <c r="CZ629" s="52"/>
      <c r="DA629" s="52"/>
      <c r="DB629" s="52"/>
    </row>
    <row r="630" spans="1:106" ht="27" x14ac:dyDescent="0.25">
      <c r="A630" s="411">
        <v>628</v>
      </c>
      <c r="B630" s="414" t="s">
        <v>4714</v>
      </c>
      <c r="C630" s="560" t="s">
        <v>4715</v>
      </c>
      <c r="D630" s="414" t="s">
        <v>4712</v>
      </c>
      <c r="E630" s="30">
        <v>1</v>
      </c>
      <c r="F630" s="33"/>
      <c r="G630" s="52"/>
      <c r="H630" s="52"/>
      <c r="I630" s="52"/>
      <c r="J630" s="52"/>
      <c r="K630" s="52"/>
      <c r="L630" s="293"/>
      <c r="M630" s="360"/>
      <c r="N630" s="361"/>
      <c r="O630" s="33"/>
      <c r="P630" s="25"/>
      <c r="Q630" s="52"/>
      <c r="R630" s="52"/>
      <c r="S630" s="52"/>
      <c r="T630" s="52"/>
      <c r="U630" s="5"/>
      <c r="V630" s="52"/>
      <c r="W630" s="52"/>
      <c r="X630" s="52"/>
      <c r="Y630" s="52"/>
      <c r="Z630" s="52"/>
      <c r="AA630" s="118"/>
      <c r="AB630" s="118"/>
      <c r="AC630" s="118"/>
      <c r="AD630" s="52"/>
      <c r="AE630" s="5"/>
      <c r="AF630" s="52"/>
      <c r="AG630" s="52"/>
      <c r="AH630" s="52"/>
      <c r="AI630" s="52"/>
      <c r="AJ630" s="52"/>
      <c r="AK630" s="118"/>
      <c r="AL630" s="118"/>
      <c r="AM630" s="118"/>
      <c r="AN630" s="118"/>
      <c r="AO630" s="118"/>
      <c r="AP630" s="52"/>
      <c r="AQ630" s="52"/>
      <c r="AR630" s="52"/>
      <c r="AS630" s="52"/>
      <c r="AT630" s="52"/>
      <c r="AU630" s="192"/>
      <c r="AV630" s="192"/>
      <c r="AW630" s="192"/>
      <c r="AX630" s="5"/>
      <c r="AY630" s="5"/>
      <c r="AZ630" s="118">
        <v>250000</v>
      </c>
      <c r="BA630" s="118">
        <v>47500</v>
      </c>
      <c r="BB630" s="118">
        <v>297500</v>
      </c>
      <c r="BC630" s="52" t="s">
        <v>2895</v>
      </c>
      <c r="BD630" s="52" t="s">
        <v>4716</v>
      </c>
      <c r="BE630" s="118"/>
      <c r="BF630" s="118"/>
      <c r="BG630" s="118"/>
      <c r="BH630" s="52"/>
      <c r="BI630" s="52"/>
      <c r="BJ630" s="52"/>
      <c r="BK630" s="52"/>
      <c r="BL630" s="52"/>
      <c r="BM630" s="52"/>
      <c r="BN630" s="52"/>
      <c r="BO630" s="52"/>
      <c r="BP630" s="52"/>
      <c r="BQ630" s="52"/>
      <c r="BR630" s="52"/>
      <c r="BS630" s="52"/>
      <c r="BT630" s="52"/>
      <c r="BU630" s="52"/>
      <c r="BV630" s="52"/>
      <c r="BW630" s="52"/>
      <c r="BX630" s="52"/>
      <c r="BY630" s="52"/>
      <c r="BZ630" s="52"/>
      <c r="CA630" s="52"/>
      <c r="CB630" s="52"/>
      <c r="CC630" s="52"/>
      <c r="CD630" s="118"/>
      <c r="CE630" s="52"/>
      <c r="CF630" s="52"/>
      <c r="CG630" s="52"/>
      <c r="CH630" s="52"/>
      <c r="CI630" s="52"/>
      <c r="CJ630" s="52"/>
      <c r="CK630" s="52"/>
      <c r="CL630" s="52"/>
      <c r="CM630" s="52"/>
      <c r="CN630" s="118"/>
      <c r="CO630" s="118"/>
      <c r="CP630" s="118"/>
      <c r="CQ630" s="52"/>
      <c r="CR630" s="52"/>
      <c r="CS630" s="52"/>
      <c r="CT630" s="52"/>
      <c r="CU630" s="52"/>
      <c r="CV630" s="52"/>
      <c r="CW630" s="52"/>
      <c r="CX630" s="52"/>
      <c r="CY630" s="52"/>
      <c r="CZ630" s="52"/>
      <c r="DA630" s="52"/>
      <c r="DB630" s="52"/>
    </row>
    <row r="631" spans="1:106" ht="27" x14ac:dyDescent="0.25">
      <c r="A631" s="411">
        <v>629</v>
      </c>
      <c r="B631" s="414" t="s">
        <v>4717</v>
      </c>
      <c r="C631" s="560" t="s">
        <v>3292</v>
      </c>
      <c r="D631" s="414" t="s">
        <v>2966</v>
      </c>
      <c r="E631" s="30">
        <v>1</v>
      </c>
      <c r="F631" s="33"/>
      <c r="G631" s="52"/>
      <c r="H631" s="52"/>
      <c r="I631" s="52"/>
      <c r="J631" s="52"/>
      <c r="K631" s="52"/>
      <c r="L631" s="293"/>
      <c r="M631" s="360"/>
      <c r="N631" s="361"/>
      <c r="O631" s="33"/>
      <c r="P631" s="25"/>
      <c r="Q631" s="52"/>
      <c r="R631" s="52"/>
      <c r="S631" s="52"/>
      <c r="T631" s="52"/>
      <c r="U631" s="5"/>
      <c r="V631" s="52"/>
      <c r="W631" s="52"/>
      <c r="X631" s="52"/>
      <c r="Y631" s="52"/>
      <c r="Z631" s="52"/>
      <c r="AA631" s="118"/>
      <c r="AB631" s="118"/>
      <c r="AC631" s="118"/>
      <c r="AD631" s="52"/>
      <c r="AE631" s="5"/>
      <c r="AF631" s="52"/>
      <c r="AG631" s="52"/>
      <c r="AH631" s="52"/>
      <c r="AI631" s="52"/>
      <c r="AJ631" s="52"/>
      <c r="AK631" s="118"/>
      <c r="AL631" s="118"/>
      <c r="AM631" s="118"/>
      <c r="AN631" s="118"/>
      <c r="AO631" s="118"/>
      <c r="AP631" s="52"/>
      <c r="AQ631" s="52"/>
      <c r="AR631" s="52"/>
      <c r="AS631" s="52"/>
      <c r="AT631" s="52"/>
      <c r="AU631" s="192"/>
      <c r="AV631" s="192"/>
      <c r="AW631" s="192"/>
      <c r="AX631" s="5"/>
      <c r="AY631" s="5"/>
      <c r="AZ631" s="118">
        <v>260000</v>
      </c>
      <c r="BA631" s="118">
        <v>49400</v>
      </c>
      <c r="BB631" s="118">
        <v>309400</v>
      </c>
      <c r="BC631" s="52" t="s">
        <v>3833</v>
      </c>
      <c r="BD631" s="52" t="s">
        <v>4718</v>
      </c>
      <c r="BE631" s="118"/>
      <c r="BF631" s="118"/>
      <c r="BG631" s="118"/>
      <c r="BH631" s="52"/>
      <c r="BI631" s="52"/>
      <c r="BJ631" s="52"/>
      <c r="BK631" s="52"/>
      <c r="BL631" s="52"/>
      <c r="BM631" s="52"/>
      <c r="BN631" s="52"/>
      <c r="BO631" s="52"/>
      <c r="BP631" s="52"/>
      <c r="BQ631" s="52"/>
      <c r="BR631" s="52"/>
      <c r="BS631" s="52"/>
      <c r="BT631" s="52"/>
      <c r="BU631" s="52"/>
      <c r="BV631" s="52"/>
      <c r="BW631" s="52"/>
      <c r="BX631" s="52"/>
      <c r="BY631" s="52"/>
      <c r="BZ631" s="52"/>
      <c r="CA631" s="52"/>
      <c r="CB631" s="52"/>
      <c r="CC631" s="52"/>
      <c r="CD631" s="118"/>
      <c r="CE631" s="52"/>
      <c r="CF631" s="52"/>
      <c r="CG631" s="52"/>
      <c r="CH631" s="52"/>
      <c r="CI631" s="52"/>
      <c r="CJ631" s="52"/>
      <c r="CK631" s="52"/>
      <c r="CL631" s="52"/>
      <c r="CM631" s="52"/>
      <c r="CN631" s="118"/>
      <c r="CO631" s="118"/>
      <c r="CP631" s="118"/>
      <c r="CQ631" s="52"/>
      <c r="CR631" s="52"/>
      <c r="CS631" s="52"/>
      <c r="CT631" s="52"/>
      <c r="CU631" s="52"/>
      <c r="CV631" s="52"/>
      <c r="CW631" s="52"/>
      <c r="CX631" s="52"/>
      <c r="CY631" s="52"/>
      <c r="CZ631" s="52"/>
      <c r="DA631" s="52"/>
      <c r="DB631" s="52"/>
    </row>
    <row r="632" spans="1:106" ht="40.5" x14ac:dyDescent="0.25">
      <c r="A632" s="411">
        <v>630</v>
      </c>
      <c r="B632" s="414" t="s">
        <v>4719</v>
      </c>
      <c r="C632" s="560" t="s">
        <v>4720</v>
      </c>
      <c r="D632" s="414" t="s">
        <v>445</v>
      </c>
      <c r="E632" s="30">
        <v>1</v>
      </c>
      <c r="F632" s="33"/>
      <c r="G632" s="52"/>
      <c r="H632" s="52"/>
      <c r="I632" s="52"/>
      <c r="J632" s="52"/>
      <c r="K632" s="52"/>
      <c r="L632" s="293"/>
      <c r="M632" s="360"/>
      <c r="N632" s="361"/>
      <c r="O632" s="33"/>
      <c r="P632" s="25"/>
      <c r="Q632" s="52"/>
      <c r="R632" s="52"/>
      <c r="S632" s="52"/>
      <c r="T632" s="52"/>
      <c r="U632" s="5"/>
      <c r="V632" s="52"/>
      <c r="W632" s="52"/>
      <c r="X632" s="52"/>
      <c r="Y632" s="52"/>
      <c r="Z632" s="52"/>
      <c r="AA632" s="118"/>
      <c r="AB632" s="118"/>
      <c r="AC632" s="118"/>
      <c r="AD632" s="52"/>
      <c r="AE632" s="5"/>
      <c r="AF632" s="52"/>
      <c r="AG632" s="52"/>
      <c r="AH632" s="52"/>
      <c r="AI632" s="52"/>
      <c r="AJ632" s="52"/>
      <c r="AK632" s="118"/>
      <c r="AL632" s="118"/>
      <c r="AM632" s="118"/>
      <c r="AN632" s="118"/>
      <c r="AO632" s="118"/>
      <c r="AP632" s="52"/>
      <c r="AQ632" s="52"/>
      <c r="AR632" s="52"/>
      <c r="AS632" s="52"/>
      <c r="AT632" s="52"/>
      <c r="AU632" s="192"/>
      <c r="AV632" s="192"/>
      <c r="AW632" s="192"/>
      <c r="AX632" s="5"/>
      <c r="AY632" s="5"/>
      <c r="AZ632" s="118">
        <v>237000</v>
      </c>
      <c r="BA632" s="118">
        <v>45030</v>
      </c>
      <c r="BB632" s="118">
        <v>282030</v>
      </c>
      <c r="BC632" s="52" t="s">
        <v>338</v>
      </c>
      <c r="BD632" s="52" t="s">
        <v>4721</v>
      </c>
      <c r="BE632" s="118"/>
      <c r="BF632" s="118"/>
      <c r="BG632" s="118"/>
      <c r="BH632" s="52"/>
      <c r="BI632" s="52"/>
      <c r="BJ632" s="52"/>
      <c r="BK632" s="52"/>
      <c r="BL632" s="52"/>
      <c r="BM632" s="52"/>
      <c r="BN632" s="52"/>
      <c r="BO632" s="52"/>
      <c r="BP632" s="52"/>
      <c r="BQ632" s="52"/>
      <c r="BR632" s="52"/>
      <c r="BS632" s="52"/>
      <c r="BT632" s="52"/>
      <c r="BU632" s="52"/>
      <c r="BV632" s="52"/>
      <c r="BW632" s="52"/>
      <c r="BX632" s="52"/>
      <c r="BY632" s="52"/>
      <c r="BZ632" s="52"/>
      <c r="CA632" s="52"/>
      <c r="CB632" s="52"/>
      <c r="CC632" s="52"/>
      <c r="CD632" s="118"/>
      <c r="CE632" s="52"/>
      <c r="CF632" s="52"/>
      <c r="CG632" s="52"/>
      <c r="CH632" s="52"/>
      <c r="CI632" s="52"/>
      <c r="CJ632" s="52"/>
      <c r="CK632" s="52"/>
      <c r="CL632" s="52"/>
      <c r="CM632" s="52"/>
      <c r="CN632" s="118"/>
      <c r="CO632" s="118"/>
      <c r="CP632" s="118"/>
      <c r="CQ632" s="52"/>
      <c r="CR632" s="52"/>
      <c r="CS632" s="52"/>
      <c r="CT632" s="52"/>
      <c r="CU632" s="52"/>
      <c r="CV632" s="52"/>
      <c r="CW632" s="52"/>
      <c r="CX632" s="52"/>
      <c r="CY632" s="52"/>
      <c r="CZ632" s="52"/>
      <c r="DA632" s="52"/>
      <c r="DB632" s="52"/>
    </row>
    <row r="633" spans="1:106" ht="67.5" x14ac:dyDescent="0.25">
      <c r="A633" s="411">
        <v>631</v>
      </c>
      <c r="B633" s="414" t="s">
        <v>4722</v>
      </c>
      <c r="C633" s="560" t="s">
        <v>622</v>
      </c>
      <c r="D633" s="414" t="s">
        <v>2938</v>
      </c>
      <c r="E633" s="30">
        <v>1</v>
      </c>
      <c r="F633" s="33"/>
      <c r="G633" s="52"/>
      <c r="H633" s="52"/>
      <c r="I633" s="52"/>
      <c r="J633" s="52"/>
      <c r="K633" s="52"/>
      <c r="L633" s="293"/>
      <c r="M633" s="360"/>
      <c r="N633" s="361"/>
      <c r="O633" s="33"/>
      <c r="P633" s="25"/>
      <c r="Q633" s="52"/>
      <c r="R633" s="52"/>
      <c r="S633" s="52"/>
      <c r="T633" s="52"/>
      <c r="U633" s="5"/>
      <c r="V633" s="52"/>
      <c r="W633" s="52"/>
      <c r="X633" s="52"/>
      <c r="Y633" s="52"/>
      <c r="Z633" s="52"/>
      <c r="AA633" s="118"/>
      <c r="AB633" s="118"/>
      <c r="AC633" s="118"/>
      <c r="AD633" s="52"/>
      <c r="AE633" s="5"/>
      <c r="AF633" s="52"/>
      <c r="AG633" s="52"/>
      <c r="AH633" s="52"/>
      <c r="AI633" s="52"/>
      <c r="AJ633" s="52"/>
      <c r="AK633" s="118"/>
      <c r="AL633" s="118"/>
      <c r="AM633" s="118"/>
      <c r="AN633" s="118"/>
      <c r="AO633" s="118"/>
      <c r="AP633" s="52"/>
      <c r="AQ633" s="52"/>
      <c r="AR633" s="52"/>
      <c r="AS633" s="52"/>
      <c r="AT633" s="52"/>
      <c r="AU633" s="192"/>
      <c r="AV633" s="192"/>
      <c r="AW633" s="192"/>
      <c r="AX633" s="5"/>
      <c r="AY633" s="5"/>
      <c r="AZ633" s="118">
        <v>588000</v>
      </c>
      <c r="BA633" s="118">
        <v>111720</v>
      </c>
      <c r="BB633" s="118">
        <v>699720</v>
      </c>
      <c r="BC633" s="52" t="s">
        <v>338</v>
      </c>
      <c r="BD633" s="52" t="s">
        <v>4723</v>
      </c>
      <c r="BE633" s="118"/>
      <c r="BF633" s="118"/>
      <c r="BG633" s="118"/>
      <c r="BH633" s="52"/>
      <c r="BI633" s="52"/>
      <c r="BJ633" s="52"/>
      <c r="BK633" s="52"/>
      <c r="BL633" s="52"/>
      <c r="BM633" s="52"/>
      <c r="BN633" s="52"/>
      <c r="BO633" s="52"/>
      <c r="BP633" s="52"/>
      <c r="BQ633" s="52"/>
      <c r="BR633" s="52"/>
      <c r="BS633" s="52"/>
      <c r="BT633" s="52"/>
      <c r="BU633" s="52"/>
      <c r="BV633" s="52"/>
      <c r="BW633" s="52"/>
      <c r="BX633" s="52"/>
      <c r="BY633" s="52"/>
      <c r="BZ633" s="52"/>
      <c r="CA633" s="52"/>
      <c r="CB633" s="52"/>
      <c r="CC633" s="52"/>
      <c r="CD633" s="118"/>
      <c r="CE633" s="52"/>
      <c r="CF633" s="52"/>
      <c r="CG633" s="52"/>
      <c r="CH633" s="52"/>
      <c r="CI633" s="52"/>
      <c r="CJ633" s="52"/>
      <c r="CK633" s="52"/>
      <c r="CL633" s="52"/>
      <c r="CM633" s="52"/>
      <c r="CN633" s="118"/>
      <c r="CO633" s="118"/>
      <c r="CP633" s="118"/>
      <c r="CQ633" s="52"/>
      <c r="CR633" s="52"/>
      <c r="CS633" s="52"/>
      <c r="CT633" s="52"/>
      <c r="CU633" s="52"/>
      <c r="CV633" s="52"/>
      <c r="CW633" s="52"/>
      <c r="CX633" s="52"/>
      <c r="CY633" s="52"/>
      <c r="CZ633" s="52"/>
      <c r="DA633" s="52"/>
      <c r="DB633" s="52"/>
    </row>
    <row r="634" spans="1:106" ht="54" x14ac:dyDescent="0.25">
      <c r="A634" s="411">
        <v>632</v>
      </c>
      <c r="B634" s="414" t="s">
        <v>4724</v>
      </c>
      <c r="C634" s="560" t="s">
        <v>1340</v>
      </c>
      <c r="D634" s="414" t="s">
        <v>196</v>
      </c>
      <c r="E634" s="30">
        <v>1</v>
      </c>
      <c r="F634" s="33"/>
      <c r="G634" s="52"/>
      <c r="H634" s="52"/>
      <c r="I634" s="52"/>
      <c r="J634" s="52"/>
      <c r="K634" s="52"/>
      <c r="L634" s="293"/>
      <c r="M634" s="360"/>
      <c r="N634" s="361"/>
      <c r="O634" s="33"/>
      <c r="P634" s="25"/>
      <c r="Q634" s="52"/>
      <c r="R634" s="52"/>
      <c r="S634" s="52"/>
      <c r="T634" s="52"/>
      <c r="U634" s="5"/>
      <c r="V634" s="52"/>
      <c r="W634" s="52"/>
      <c r="X634" s="52"/>
      <c r="Y634" s="52"/>
      <c r="Z634" s="52"/>
      <c r="AA634" s="118"/>
      <c r="AB634" s="118"/>
      <c r="AC634" s="118"/>
      <c r="AD634" s="52"/>
      <c r="AE634" s="5"/>
      <c r="AF634" s="52"/>
      <c r="AG634" s="52"/>
      <c r="AH634" s="52"/>
      <c r="AI634" s="52"/>
      <c r="AJ634" s="52"/>
      <c r="AK634" s="118"/>
      <c r="AL634" s="118"/>
      <c r="AM634" s="118"/>
      <c r="AN634" s="118"/>
      <c r="AO634" s="118"/>
      <c r="AP634" s="52"/>
      <c r="AQ634" s="52"/>
      <c r="AR634" s="52"/>
      <c r="AS634" s="52"/>
      <c r="AT634" s="52"/>
      <c r="AU634" s="192"/>
      <c r="AV634" s="192"/>
      <c r="AW634" s="192"/>
      <c r="AX634" s="5"/>
      <c r="AY634" s="5"/>
      <c r="AZ634" s="118">
        <v>36737680</v>
      </c>
      <c r="BA634" s="118">
        <f>+AZ634*0.19</f>
        <v>6980159.2000000002</v>
      </c>
      <c r="BB634" s="118">
        <f>+AZ634+BA634</f>
        <v>43717839.200000003</v>
      </c>
      <c r="BC634" s="397" t="s">
        <v>495</v>
      </c>
      <c r="BD634" s="397" t="s">
        <v>4725</v>
      </c>
      <c r="BE634" s="118"/>
      <c r="BF634" s="118"/>
      <c r="BG634" s="118"/>
      <c r="BH634" s="52"/>
      <c r="BI634" s="52"/>
      <c r="BJ634" s="52"/>
      <c r="BK634" s="52"/>
      <c r="BL634" s="52"/>
      <c r="BM634" s="52"/>
      <c r="BN634" s="52"/>
      <c r="BO634" s="52"/>
      <c r="BP634" s="52"/>
      <c r="BQ634" s="52"/>
      <c r="BR634" s="52"/>
      <c r="BS634" s="52"/>
      <c r="BT634" s="52"/>
      <c r="BU634" s="52"/>
      <c r="BV634" s="52"/>
      <c r="BW634" s="52"/>
      <c r="BX634" s="52"/>
      <c r="BY634" s="52"/>
      <c r="BZ634" s="52"/>
      <c r="CA634" s="52"/>
      <c r="CB634" s="52"/>
      <c r="CC634" s="52"/>
      <c r="CD634" s="118"/>
      <c r="CE634" s="52"/>
      <c r="CF634" s="52"/>
      <c r="CG634" s="52"/>
      <c r="CH634" s="52"/>
      <c r="CI634" s="397">
        <v>14738000</v>
      </c>
      <c r="CJ634" s="118">
        <f>+CI634*0.19</f>
        <v>2800220</v>
      </c>
      <c r="CK634" s="293">
        <f>+CI634+CJ634</f>
        <v>17538220</v>
      </c>
      <c r="CL634" s="52"/>
      <c r="CM634" s="52"/>
      <c r="CN634" s="118"/>
      <c r="CO634" s="118"/>
      <c r="CP634" s="118"/>
      <c r="CQ634" s="52"/>
      <c r="CR634" s="52"/>
      <c r="CS634" s="52"/>
      <c r="CT634" s="52"/>
      <c r="CU634" s="52"/>
      <c r="CV634" s="52"/>
      <c r="CW634" s="52"/>
      <c r="CX634" s="118">
        <v>14965000</v>
      </c>
      <c r="CY634" s="118">
        <f>+CX634*0.19</f>
        <v>2843350</v>
      </c>
      <c r="CZ634" s="397">
        <f>+CX634+CY634</f>
        <v>17808350</v>
      </c>
      <c r="DA634" s="52"/>
      <c r="DB634" s="52"/>
    </row>
    <row r="635" spans="1:106" x14ac:dyDescent="0.25">
      <c r="I635" s="373">
        <f>SUBTOTAL(9,(I3:I634))</f>
        <v>14169806</v>
      </c>
      <c r="N635" s="373">
        <f>SUBTOTAL(9,(N3:N634))</f>
        <v>29156148.350000001</v>
      </c>
      <c r="S635" s="373">
        <f>SUBTOTAL(9,(S3:S634))</f>
        <v>13698090</v>
      </c>
      <c r="X635" s="373">
        <f>SUBTOTAL(9,(X3:X634))</f>
        <v>45009917.399999999</v>
      </c>
      <c r="AA635" s="115"/>
      <c r="AB635" s="115"/>
      <c r="AC635" s="373">
        <f>SUBTOTAL(9,(AC3:AC634))</f>
        <v>53263210</v>
      </c>
      <c r="AF635" s="390"/>
      <c r="AG635" s="391"/>
      <c r="AH635" s="373">
        <f>SUBTOTAL(9,(AH3:AH634))</f>
        <v>11627523.319999998</v>
      </c>
      <c r="AI635" s="391"/>
      <c r="AJ635" s="391"/>
      <c r="AK635" s="386"/>
      <c r="AL635" s="386"/>
      <c r="AM635" s="373">
        <f>SUBTOTAL(9,(AM3:AM634))</f>
        <v>32738923</v>
      </c>
      <c r="AN635" s="386"/>
      <c r="AO635" s="386"/>
      <c r="AP635" s="391"/>
      <c r="AQ635" s="391"/>
      <c r="AR635" s="373">
        <f>SUBTOTAL(9,(AR3:AR634))</f>
        <v>4129300</v>
      </c>
      <c r="AS635" s="391"/>
      <c r="AT635" s="391"/>
      <c r="AU635" s="392"/>
      <c r="AV635" s="392"/>
      <c r="AW635" s="373">
        <f>SUBTOTAL(9,(AW3:AW634))</f>
        <v>63772457</v>
      </c>
      <c r="AX635" s="393"/>
      <c r="AY635" s="393"/>
      <c r="AZ635" s="386"/>
      <c r="BA635" s="386"/>
      <c r="BB635" s="373">
        <f>SUBTOTAL(9,(BB3:BB634))</f>
        <v>337313449.19999999</v>
      </c>
      <c r="BC635" s="391"/>
      <c r="BD635" s="391"/>
      <c r="BE635" s="386"/>
      <c r="BF635" s="386"/>
      <c r="BG635" s="373">
        <f>SUBTOTAL(9,(BG3:BG634))</f>
        <v>24734329.690000005</v>
      </c>
      <c r="BH635" s="391"/>
      <c r="BI635" s="391"/>
      <c r="BJ635" s="391"/>
      <c r="BK635" s="391"/>
      <c r="BL635" s="373">
        <f>SUBTOTAL(9,(BL3:BL634))</f>
        <v>14475752.620000001</v>
      </c>
      <c r="BM635" s="391"/>
      <c r="BN635" s="391"/>
      <c r="BO635" s="391"/>
      <c r="BP635" s="391"/>
      <c r="BQ635" s="373">
        <f>SUBTOTAL(9,(BQ3:BQ634))</f>
        <v>21098105</v>
      </c>
      <c r="BR635" s="391"/>
      <c r="BS635" s="391"/>
      <c r="BT635" s="391"/>
      <c r="BU635" s="391"/>
      <c r="BV635" s="373">
        <f>SUBTOTAL(9,(BV3:BV634))</f>
        <v>258077</v>
      </c>
      <c r="BW635" s="391"/>
      <c r="BX635" s="391"/>
      <c r="BY635" s="391"/>
      <c r="BZ635" s="391"/>
      <c r="CA635" s="373">
        <f>SUBTOTAL(9,(CA3:CA634))</f>
        <v>24959774</v>
      </c>
      <c r="CB635" s="391"/>
      <c r="CC635" s="391"/>
      <c r="CD635" s="386"/>
      <c r="CE635" s="391"/>
      <c r="CF635" s="373">
        <f>SUBTOTAL(9,(CF3:CF634))</f>
        <v>1465671.9847000001</v>
      </c>
      <c r="CG635" s="391"/>
      <c r="CH635" s="391"/>
      <c r="CI635" s="391"/>
      <c r="CJ635" s="391"/>
      <c r="CK635" s="373">
        <f>SUBTOTAL(9,(CK3:CK634))</f>
        <v>17538220</v>
      </c>
      <c r="CL635" s="52"/>
      <c r="CM635" s="52"/>
      <c r="CN635" s="118"/>
      <c r="CO635" s="118"/>
      <c r="CP635" s="398">
        <f>SUBTOTAL(9,(CP3:CP634))</f>
        <v>1987895</v>
      </c>
      <c r="CQ635" s="52"/>
      <c r="CR635" s="52"/>
      <c r="CS635" s="52"/>
      <c r="CT635" s="373"/>
      <c r="CU635" s="373">
        <f>SUBTOTAL(9,(CU3:CU634))</f>
        <v>844476.36</v>
      </c>
      <c r="CV635" s="52"/>
      <c r="CW635" s="52"/>
      <c r="CX635" s="52"/>
      <c r="CY635" s="52"/>
      <c r="CZ635" s="373">
        <f>SUBTOTAL(9,(CZ3:CZ634))</f>
        <v>17808350</v>
      </c>
      <c r="DA635" s="52"/>
      <c r="DB635" s="52"/>
    </row>
  </sheetData>
  <autoFilter ref="A2:DB634"/>
  <mergeCells count="20">
    <mergeCell ref="CD1:CH1"/>
    <mergeCell ref="CI1:CM1"/>
    <mergeCell ref="CN1:CR1"/>
    <mergeCell ref="CS1:CW1"/>
    <mergeCell ref="CX1:DB1"/>
    <mergeCell ref="BE1:BI1"/>
    <mergeCell ref="BJ1:BN1"/>
    <mergeCell ref="BO1:BS1"/>
    <mergeCell ref="BT1:BX1"/>
    <mergeCell ref="BY1:CC1"/>
    <mergeCell ref="AF1:AJ1"/>
    <mergeCell ref="AK1:AO1"/>
    <mergeCell ref="AP1:AT1"/>
    <mergeCell ref="AU1:AY1"/>
    <mergeCell ref="AZ1:BD1"/>
    <mergeCell ref="G1:K1"/>
    <mergeCell ref="L1:P1"/>
    <mergeCell ref="Q1:U1"/>
    <mergeCell ref="V1:Z1"/>
    <mergeCell ref="AA1:AE1"/>
  </mergeCells>
  <conditionalFormatting sqref="D369">
    <cfRule type="containsErrors" dxfId="117" priority="13">
      <formula>ISERROR(D369)</formula>
    </cfRule>
  </conditionalFormatting>
  <conditionalFormatting sqref="D370">
    <cfRule type="containsErrors" dxfId="116" priority="12">
      <formula>ISERROR(D370)</formula>
    </cfRule>
  </conditionalFormatting>
  <conditionalFormatting sqref="D371">
    <cfRule type="containsErrors" dxfId="115" priority="11">
      <formula>ISERROR(D371)</formula>
    </cfRule>
  </conditionalFormatting>
  <conditionalFormatting sqref="D372">
    <cfRule type="containsErrors" dxfId="114" priority="10">
      <formula>ISERROR(D372)</formula>
    </cfRule>
  </conditionalFormatting>
  <conditionalFormatting sqref="B370">
    <cfRule type="containsErrors" dxfId="113" priority="9">
      <formula>ISERROR(B370)</formula>
    </cfRule>
  </conditionalFormatting>
  <conditionalFormatting sqref="B371">
    <cfRule type="containsErrors" dxfId="112" priority="8">
      <formula>ISERROR(B371)</formula>
    </cfRule>
  </conditionalFormatting>
  <conditionalFormatting sqref="B372">
    <cfRule type="containsErrors" dxfId="111" priority="7">
      <formula>ISERROR(B372)</formula>
    </cfRule>
  </conditionalFormatting>
  <conditionalFormatting sqref="B505">
    <cfRule type="duplicateValues" dxfId="110" priority="6"/>
  </conditionalFormatting>
  <conditionalFormatting sqref="B455">
    <cfRule type="duplicateValues" dxfId="109" priority="5"/>
  </conditionalFormatting>
  <conditionalFormatting sqref="B498">
    <cfRule type="duplicateValues" dxfId="108" priority="4"/>
  </conditionalFormatting>
  <conditionalFormatting sqref="B67">
    <cfRule type="duplicateValues" dxfId="107" priority="3"/>
  </conditionalFormatting>
  <conditionalFormatting sqref="B68">
    <cfRule type="duplicateValues" dxfId="106" priority="2"/>
  </conditionalFormatting>
  <conditionalFormatting sqref="B69">
    <cfRule type="duplicateValues" dxfId="105" priority="1"/>
  </conditionalFormatting>
  <conditionalFormatting sqref="B506:B507">
    <cfRule type="duplicateValues" dxfId="104" priority="14"/>
  </conditionalFormatting>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34"/>
  <sheetViews>
    <sheetView topLeftCell="A2" zoomScale="145" zoomScaleNormal="145" workbookViewId="0">
      <pane xSplit="3" ySplit="1" topLeftCell="D3" activePane="bottomRight" state="frozen"/>
      <selection pane="topRight" activeCell="D2" sqref="D2"/>
      <selection pane="bottomLeft" activeCell="A3" sqref="A3"/>
      <selection pane="bottomRight" activeCell="C4" sqref="C4"/>
    </sheetView>
  </sheetViews>
  <sheetFormatPr baseColWidth="10" defaultColWidth="11.42578125" defaultRowHeight="13.5" x14ac:dyDescent="0.25"/>
  <cols>
    <col min="1" max="1" width="4.140625" style="324" customWidth="1"/>
    <col min="2" max="2" width="5.5703125" style="324" customWidth="1"/>
    <col min="3" max="3" width="29" style="324" customWidth="1"/>
    <col min="4" max="4" width="9.7109375" style="343" customWidth="1"/>
    <col min="5" max="5" width="10.28515625" style="343" customWidth="1"/>
    <col min="6" max="6" width="10.42578125" style="343" customWidth="1"/>
    <col min="7" max="7" width="10.42578125" style="343" bestFit="1" customWidth="1"/>
    <col min="8" max="8" width="11.42578125" style="343"/>
    <col min="9" max="9" width="9.42578125" style="335" customWidth="1"/>
    <col min="10" max="10" width="11.7109375" style="335" customWidth="1"/>
    <col min="11" max="11" width="11" style="335" customWidth="1"/>
    <col min="12" max="12" width="9.140625" style="335" bestFit="1" customWidth="1"/>
    <col min="13" max="14" width="11.42578125" style="324"/>
    <col min="15" max="15" width="7.28515625" style="324" customWidth="1"/>
    <col min="16" max="16384" width="11.42578125" style="324"/>
  </cols>
  <sheetData>
    <row r="1" spans="2:12" x14ac:dyDescent="0.25">
      <c r="B1" s="515"/>
      <c r="C1" s="516"/>
      <c r="D1" s="517" t="s">
        <v>2845</v>
      </c>
      <c r="E1" s="517"/>
      <c r="F1" s="517"/>
      <c r="G1" s="517"/>
      <c r="H1" s="517"/>
      <c r="I1" s="517"/>
      <c r="J1" s="517"/>
      <c r="K1" s="517"/>
      <c r="L1" s="334"/>
    </row>
    <row r="2" spans="2:12" ht="40.5" x14ac:dyDescent="0.25">
      <c r="B2" s="325" t="s">
        <v>2846</v>
      </c>
      <c r="C2" s="325" t="s">
        <v>2847</v>
      </c>
      <c r="D2" s="330" t="s">
        <v>2848</v>
      </c>
      <c r="E2" s="331" t="s">
        <v>26</v>
      </c>
      <c r="F2" s="332" t="s">
        <v>2849</v>
      </c>
      <c r="G2" s="333" t="s">
        <v>2850</v>
      </c>
      <c r="H2" s="332" t="s">
        <v>2851</v>
      </c>
      <c r="I2" s="327" t="s">
        <v>2852</v>
      </c>
      <c r="J2" s="328" t="s">
        <v>2853</v>
      </c>
      <c r="K2" s="328" t="s">
        <v>2854</v>
      </c>
      <c r="L2" s="328" t="s">
        <v>2855</v>
      </c>
    </row>
    <row r="3" spans="2:12" x14ac:dyDescent="0.25">
      <c r="B3" s="411">
        <v>1</v>
      </c>
      <c r="C3" s="412" t="s">
        <v>2874</v>
      </c>
      <c r="D3" s="408">
        <f>IFERROR(MIN('LP Elementos'!F3,'LP Elementos'!I3,'LP Elementos'!N3,'LP Elementos'!S3,'LP Elementos'!X3,'LP Elementos'!AC3,'LP Elementos'!AH3,'LP Elementos'!AM3,'LP Elementos'!AR3,'LP Elementos'!AW3,'LP Elementos'!BB3,'LP Elementos'!BG3,'LP Elementos'!BL3,'LP Elementos'!BQ3,'LP Elementos'!BV3,'LP Elementos'!CA3,'LP Elementos'!CF3,'LP Elementos'!CK3,'LP Elementos'!CP3,'LP Elementos'!CU3,'LP Elementos'!CZ3)," ")</f>
        <v>1534648.0379999999</v>
      </c>
      <c r="E3" s="341">
        <f>IFERROR(AVERAGE('LP Elementos'!F3,'LP Elementos'!I3,'LP Elementos'!N3,'LP Elementos'!S3,'LP Elementos'!X3,'LP Elementos'!AC3,'LP Elementos'!AH3,'LP Elementos'!AM3,'LP Elementos'!AR3,'LP Elementos'!AW3,'LP Elementos'!BB3,'LP Elementos'!BG3,'LP Elementos'!BL3,'LP Elementos'!BQ3,'LP Elementos'!BV3,'LP Elementos'!CA3,'LP Elementos'!CF3,'LP Elementos'!CK3,'LP Elementos'!CP3,'LP Elementos'!CU3,'LP Elementos'!CZ3)," ")</f>
        <v>1703854.0189999999</v>
      </c>
      <c r="F3" s="341">
        <f>IFERROR(MEDIAN('LP Elementos'!F3,'LP Elementos'!I3,'LP Elementos'!N3,'LP Elementos'!S3,'LP Elementos'!X3,'LP Elementos'!AC3,'LP Elementos'!AH3,'LP Elementos'!AM3,'LP Elementos'!AR3,'LP Elementos'!AW3,'LP Elementos'!BB3,'LP Elementos'!BG3,'LP Elementos'!BL3,'LP Elementos'!BQ3,'LP Elementos'!BV3,'LP Elementos'!CA3,'LP Elementos'!CF3,'LP Elementos'!CK3,'LP Elementos'!CP3,'LP Elementos'!CU3,'LP Elementos'!CZ3)," ")</f>
        <v>1703854.0189999999</v>
      </c>
      <c r="G3" s="341">
        <f>IFERROR(GEOMEAN('LP Elementos'!F3,'LP Elementos'!I3,'LP Elementos'!N3,'LP Elementos'!S3,'LP Elementos'!X3,'LP Elementos'!AC3,'LP Elementos'!AH3,'LP Elementos'!AM3,'LP Elementos'!AR3,'LP Elementos'!AW3,'LP Elementos'!BB3,'LP Elementos'!BG3,'LP Elementos'!BL3,'LP Elementos'!BQ3,'LP Elementos'!BV3,'LP Elementos'!CA3,'LP Elementos'!CF3,'LP Elementos'!CK3,'LP Elementos'!CP3,'LP Elementos'!CU3,'LP Elementos'!CZ3)," ")</f>
        <v>1695431.4654554101</v>
      </c>
      <c r="H3" s="341">
        <f>STDEVA(D3,E3,F3,G3)</f>
        <v>83293.916030862645</v>
      </c>
      <c r="I3" s="342">
        <f>IFERROR(H3/E3," ")</f>
        <v>4.8885594130739111E-2</v>
      </c>
      <c r="J3" s="341">
        <f>IF(I3&lt;=10%,F3,IF(AND(I3&gt;10%,I3&lt;=20%),E3,IF(AND(I3&gt;20%,I3&lt;=30%),G3,IF(I3&gt;30%,D3))))</f>
        <v>1703854.0189999999</v>
      </c>
      <c r="K3" s="326" t="str">
        <f>IF(J3=D3,"Menor Valor",IF(J3=E3,"Promedio",IF(J3=F3,"Mediana",IF(J3=G3,"Media Geometrica"," "))))</f>
        <v>Promedio</v>
      </c>
      <c r="L3" s="326">
        <f>IFERROR(COUNTA('LP Elementos'!F3,'LP Elementos'!I3,'LP Elementos'!N3,'LP Elementos'!S3,'LP Elementos'!X3,'LP Elementos'!AC3,'LP Elementos'!AH3,'LP Elementos'!AM3,'LP Elementos'!AR3,'LP Elementos'!AX3,'LP Elementos'!BB3,'LP Elementos'!BG3,'LP Elementos'!BL3,'LP Elementos'!BQ3,'LP Elementos'!BV3,'LP Elementos'!CA3,'LP Elementos'!CF3,'LP Elementos'!CK3,'LP Elementos'!CP3,'LP Elementos'!CU3,'LP Elementos'!CZ3)," ")</f>
        <v>2</v>
      </c>
    </row>
    <row r="4" spans="2:12" x14ac:dyDescent="0.25">
      <c r="B4" s="411">
        <v>2</v>
      </c>
      <c r="C4" s="412" t="s">
        <v>2880</v>
      </c>
      <c r="D4" s="408">
        <f>IFERROR(MIN('LP Elementos'!F4,'LP Elementos'!I4,'LP Elementos'!N4,'LP Elementos'!S4,'LP Elementos'!X4,'LP Elementos'!AC4,'LP Elementos'!AH4,'LP Elementos'!AM4,'LP Elementos'!AR4,'LP Elementos'!AW4,'LP Elementos'!BB4,'LP Elementos'!BG4,'LP Elementos'!BL4,'LP Elementos'!BQ4,'LP Elementos'!BV4,'LP Elementos'!CA4,'LP Elementos'!CF4,'LP Elementos'!CK4,'LP Elementos'!CP4,'LP Elementos'!CU4,'LP Elementos'!CZ4)," ")</f>
        <v>57120</v>
      </c>
      <c r="E4" s="341">
        <f>IFERROR(AVERAGE('LP Elementos'!F4,'LP Elementos'!I4,'LP Elementos'!N4,'LP Elementos'!S4,'LP Elementos'!X4,'LP Elementos'!AC4,'LP Elementos'!AH4,'LP Elementos'!AM4,'LP Elementos'!AR4,'LP Elementos'!AW4,'LP Elementos'!BB4,'LP Elementos'!BG4,'LP Elementos'!BL4,'LP Elementos'!BQ4,'LP Elementos'!BV4,'LP Elementos'!CA4,'LP Elementos'!CF4,'LP Elementos'!CK4,'LP Elementos'!CP4,'LP Elementos'!CU4,'LP Elementos'!CZ4)," ")</f>
        <v>387378.9388</v>
      </c>
      <c r="F4" s="341">
        <f>IFERROR(MEDIAN('LP Elementos'!F4,'LP Elementos'!I4,'LP Elementos'!N4,'LP Elementos'!S4,'LP Elementos'!X4,'LP Elementos'!AC4,'LP Elementos'!AH4,'LP Elementos'!AM4,'LP Elementos'!AR4,'LP Elementos'!AW4,'LP Elementos'!BB4,'LP Elementos'!BG4,'LP Elementos'!BL4,'LP Elementos'!BQ4,'LP Elementos'!BV4,'LP Elementos'!CA4,'LP Elementos'!CF4,'LP Elementos'!CK4,'LP Elementos'!CP4,'LP Elementos'!CU4,'LP Elementos'!CZ4)," ")</f>
        <v>424824.76400000002</v>
      </c>
      <c r="G4" s="341">
        <f>IFERROR(GEOMEAN('LP Elementos'!F4,'LP Elementos'!I4,'LP Elementos'!N4,'LP Elementos'!S4,'LP Elementos'!X4,'LP Elementos'!AC4,'LP Elementos'!AH4,'LP Elementos'!AM4,'LP Elementos'!AR4,'LP Elementos'!AW4,'LP Elementos'!BB4,'LP Elementos'!BG4,'LP Elementos'!BL4,'LP Elementos'!BQ4,'LP Elementos'!BV4,'LP Elementos'!CA4,'LP Elementos'!CF4,'LP Elementos'!CK4,'LP Elementos'!CP4,'LP Elementos'!CU4,'LP Elementos'!CZ4)," ")</f>
        <v>234673.33721777235</v>
      </c>
      <c r="H4" s="341">
        <f t="shared" ref="H4:H58" si="0">STDEVA(D4,E4,F4,G4)</f>
        <v>167501.66749657082</v>
      </c>
      <c r="I4" s="342">
        <f t="shared" ref="I4:I58" si="1">IFERROR(H4/E4," ")</f>
        <v>0.43239745561657988</v>
      </c>
      <c r="J4" s="341">
        <f t="shared" ref="J4:J58" si="2">IF(I4&lt;=10%,F4,IF(AND(I4&gt;10%,I4&lt;=20%),E4,IF(AND(I4&gt;20%,I4&lt;=30%),G4,IF(I4&gt;30%,D4))))</f>
        <v>57120</v>
      </c>
      <c r="K4" s="326" t="str">
        <f t="shared" ref="K4:K58" si="3">IF(J4=D4,"Menor Valor",IF(J4=E4,"Promedio",IF(J4=F4,"Mediana",IF(J4=G4,"Media Geometrica"," "))))</f>
        <v>Menor Valor</v>
      </c>
      <c r="L4" s="326">
        <f>IFERROR(COUNTA('LP Elementos'!F4,'LP Elementos'!I4,'LP Elementos'!N4,'LP Elementos'!S4,'LP Elementos'!X4,'LP Elementos'!AC4,'LP Elementos'!AH4,'LP Elementos'!AM4,'LP Elementos'!AR4,'LP Elementos'!AX4,'LP Elementos'!BB4,'LP Elementos'!BG4,'LP Elementos'!BL4,'LP Elementos'!BQ4,'LP Elementos'!BV4,'LP Elementos'!CA4,'LP Elementos'!CF4,'LP Elementos'!CK4,'LP Elementos'!CP4,'LP Elementos'!CU4,'LP Elementos'!CZ4)," ")</f>
        <v>5</v>
      </c>
    </row>
    <row r="5" spans="2:12" ht="27" x14ac:dyDescent="0.25">
      <c r="B5" s="411">
        <v>3</v>
      </c>
      <c r="C5" s="413" t="s">
        <v>2889</v>
      </c>
      <c r="D5" s="408">
        <f>IFERROR(MIN('LP Elementos'!F5,'LP Elementos'!I5,'LP Elementos'!N5,'LP Elementos'!S5,'LP Elementos'!X5,'LP Elementos'!AC5,'LP Elementos'!AH5,'LP Elementos'!AM5,'LP Elementos'!AR5,'LP Elementos'!AW5,'LP Elementos'!BB5,'LP Elementos'!BG5,'LP Elementos'!BL5,'LP Elementos'!BQ5,'LP Elementos'!BV5,'LP Elementos'!CA5,'LP Elementos'!CF5,'LP Elementos'!CK5,'LP Elementos'!CP5,'LP Elementos'!CU5,'LP Elementos'!CZ5)," ")</f>
        <v>691282.9</v>
      </c>
      <c r="E5" s="341">
        <f>IFERROR(AVERAGE('LP Elementos'!F5,'LP Elementos'!I5,'LP Elementos'!N5,'LP Elementos'!S5,'LP Elementos'!X5,'LP Elementos'!AC5,'LP Elementos'!AH5,'LP Elementos'!AM5,'LP Elementos'!AR5,'LP Elementos'!AW5,'LP Elementos'!BB5,'LP Elementos'!BG5,'LP Elementos'!BL5,'LP Elementos'!BQ5,'LP Elementos'!BV5,'LP Elementos'!CA5,'LP Elementos'!CF5,'LP Elementos'!CK5,'LP Elementos'!CP5,'LP Elementos'!CU5,'LP Elementos'!CZ5)," ")</f>
        <v>691282.9</v>
      </c>
      <c r="F5" s="341">
        <f>IFERROR(MEDIAN('LP Elementos'!F5,'LP Elementos'!I5,'LP Elementos'!N5,'LP Elementos'!S5,'LP Elementos'!X5,'LP Elementos'!AC5,'LP Elementos'!AH5,'LP Elementos'!AM5,'LP Elementos'!AR5,'LP Elementos'!AW5,'LP Elementos'!BB5,'LP Elementos'!BG5,'LP Elementos'!BL5,'LP Elementos'!BQ5,'LP Elementos'!BV5,'LP Elementos'!CA5,'LP Elementos'!CF5,'LP Elementos'!CK5,'LP Elementos'!CP5,'LP Elementos'!CU5,'LP Elementos'!CZ5)," ")</f>
        <v>691282.9</v>
      </c>
      <c r="G5" s="341">
        <f>IFERROR(GEOMEAN('LP Elementos'!F5,'LP Elementos'!I5,'LP Elementos'!N5,'LP Elementos'!S5,'LP Elementos'!X5,'LP Elementos'!AC5,'LP Elementos'!AH5,'LP Elementos'!AM5,'LP Elementos'!AR5,'LP Elementos'!AW5,'LP Elementos'!BB5,'LP Elementos'!BG5,'LP Elementos'!BL5,'LP Elementos'!BQ5,'LP Elementos'!BV5,'LP Elementos'!CA5,'LP Elementos'!CF5,'LP Elementos'!CK5,'LP Elementos'!CP5,'LP Elementos'!CU5,'LP Elementos'!CZ5)," ")</f>
        <v>691282.9</v>
      </c>
      <c r="H5" s="341">
        <f t="shared" si="0"/>
        <v>0</v>
      </c>
      <c r="I5" s="342">
        <f t="shared" si="1"/>
        <v>0</v>
      </c>
      <c r="J5" s="341">
        <f t="shared" si="2"/>
        <v>691282.9</v>
      </c>
      <c r="K5" s="326" t="str">
        <f t="shared" si="3"/>
        <v>Menor Valor</v>
      </c>
      <c r="L5" s="326">
        <f>IFERROR(COUNTA('LP Elementos'!F5,'LP Elementos'!I5,'LP Elementos'!N5,'LP Elementos'!S5,'LP Elementos'!X5,'LP Elementos'!AC5,'LP Elementos'!AH5,'LP Elementos'!AM5,'LP Elementos'!AR5,'LP Elementos'!AX5,'LP Elementos'!BB5,'LP Elementos'!BG5,'LP Elementos'!BL5,'LP Elementos'!BQ5,'LP Elementos'!BV5,'LP Elementos'!CA5,'LP Elementos'!CF5,'LP Elementos'!CK5,'LP Elementos'!CP5,'LP Elementos'!CU5,'LP Elementos'!CZ5)," ")</f>
        <v>1</v>
      </c>
    </row>
    <row r="6" spans="2:12" x14ac:dyDescent="0.25">
      <c r="B6" s="411">
        <v>4</v>
      </c>
      <c r="C6" s="412" t="s">
        <v>2892</v>
      </c>
      <c r="D6" s="408">
        <f>IFERROR(MIN('LP Elementos'!F6,'LP Elementos'!I6,'LP Elementos'!N6,'LP Elementos'!S6,'LP Elementos'!X6,'LP Elementos'!AC6,'LP Elementos'!AH6,'LP Elementos'!AM6,'LP Elementos'!AR6,'LP Elementos'!AW6,'LP Elementos'!BB6,'LP Elementos'!BG6,'LP Elementos'!BL6,'LP Elementos'!BQ6,'LP Elementos'!BV6,'LP Elementos'!CA6,'LP Elementos'!CF6,'LP Elementos'!CK6,'LP Elementos'!CP6,'LP Elementos'!CU6,'LP Elementos'!CZ6)," ")</f>
        <v>691282.9</v>
      </c>
      <c r="E6" s="341">
        <f>IFERROR(AVERAGE('LP Elementos'!F6,'LP Elementos'!I6,'LP Elementos'!N6,'LP Elementos'!S6,'LP Elementos'!X6,'LP Elementos'!AC6,'LP Elementos'!AH6,'LP Elementos'!AM6,'LP Elementos'!AR6,'LP Elementos'!AW6,'LP Elementos'!BB6,'LP Elementos'!BG6,'LP Elementos'!BL6,'LP Elementos'!BQ6,'LP Elementos'!BV6,'LP Elementos'!CA6,'LP Elementos'!CF6,'LP Elementos'!CK6,'LP Elementos'!CP6,'LP Elementos'!CU6,'LP Elementos'!CZ6)," ")</f>
        <v>812900.9</v>
      </c>
      <c r="F6" s="341">
        <f>IFERROR(MEDIAN('LP Elementos'!F6,'LP Elementos'!I6,'LP Elementos'!N6,'LP Elementos'!S6,'LP Elementos'!X6,'LP Elementos'!AC6,'LP Elementos'!AH6,'LP Elementos'!AM6,'LP Elementos'!AR6,'LP Elementos'!AW6,'LP Elementos'!BB6,'LP Elementos'!BG6,'LP Elementos'!BL6,'LP Elementos'!BQ6,'LP Elementos'!BV6,'LP Elementos'!CA6,'LP Elementos'!CF6,'LP Elementos'!CK6,'LP Elementos'!CP6,'LP Elementos'!CU6,'LP Elementos'!CZ6)," ")</f>
        <v>790160</v>
      </c>
      <c r="G6" s="341">
        <f>IFERROR(GEOMEAN('LP Elementos'!F6,'LP Elementos'!I6,'LP Elementos'!N6,'LP Elementos'!S6,'LP Elementos'!X6,'LP Elementos'!AC6,'LP Elementos'!AH6,'LP Elementos'!AM6,'LP Elementos'!AR6,'LP Elementos'!AW6,'LP Elementos'!BB6,'LP Elementos'!BG6,'LP Elementos'!BL6,'LP Elementos'!BQ6,'LP Elementos'!BV6,'LP Elementos'!CA6,'LP Elementos'!CF6,'LP Elementos'!CK6,'LP Elementos'!CP6,'LP Elementos'!CU6,'LP Elementos'!CZ6)," ")</f>
        <v>805626.15744901728</v>
      </c>
      <c r="H6" s="341">
        <f t="shared" si="0"/>
        <v>56606.295137770911</v>
      </c>
      <c r="I6" s="342">
        <f t="shared" si="1"/>
        <v>6.9634927378935008E-2</v>
      </c>
      <c r="J6" s="341">
        <f t="shared" si="2"/>
        <v>790160</v>
      </c>
      <c r="K6" s="326" t="str">
        <f t="shared" si="3"/>
        <v>Mediana</v>
      </c>
      <c r="L6" s="326">
        <f>IFERROR(COUNTA('LP Elementos'!F6,'LP Elementos'!I6,'LP Elementos'!N6,'LP Elementos'!S6,'LP Elementos'!X6,'LP Elementos'!AC6,'LP Elementos'!AH6,'LP Elementos'!AM6,'LP Elementos'!AR6,'LP Elementos'!AX6,'LP Elementos'!BB6,'LP Elementos'!BG6,'LP Elementos'!BL6,'LP Elementos'!BQ6,'LP Elementos'!BV6,'LP Elementos'!CA6,'LP Elementos'!CF6,'LP Elementos'!CK6,'LP Elementos'!CP6,'LP Elementos'!CU6,'LP Elementos'!CZ6)," ")</f>
        <v>3</v>
      </c>
    </row>
    <row r="7" spans="2:12" x14ac:dyDescent="0.25">
      <c r="B7" s="411">
        <v>5</v>
      </c>
      <c r="C7" s="412" t="s">
        <v>2897</v>
      </c>
      <c r="D7" s="408">
        <f>IFERROR(MIN('LP Elementos'!F7,'LP Elementos'!I7,'LP Elementos'!N7,'LP Elementos'!S7,'LP Elementos'!X7,'LP Elementos'!AC7,'LP Elementos'!AH7,'LP Elementos'!AM7,'LP Elementos'!AR7,'LP Elementos'!AW7,'LP Elementos'!BB7,'LP Elementos'!BG7,'LP Elementos'!BL7,'LP Elementos'!BQ7,'LP Elementos'!BV7,'LP Elementos'!CA7,'LP Elementos'!CF7,'LP Elementos'!CK7,'LP Elementos'!CP7,'LP Elementos'!CU7,'LP Elementos'!CZ7)," ")</f>
        <v>55302.632000000005</v>
      </c>
      <c r="E7" s="341">
        <f>IFERROR(AVERAGE('LP Elementos'!F7,'LP Elementos'!I7,'LP Elementos'!N7,'LP Elementos'!S7,'LP Elementos'!X7,'LP Elementos'!AC7,'LP Elementos'!AH7,'LP Elementos'!AM7,'LP Elementos'!AR7,'LP Elementos'!AW7,'LP Elementos'!BB7,'LP Elementos'!BG7,'LP Elementos'!BL7,'LP Elementos'!BQ7,'LP Elementos'!BV7,'LP Elementos'!CA7,'LP Elementos'!CF7,'LP Elementos'!CK7,'LP Elementos'!CP7,'LP Elementos'!CU7,'LP Elementos'!CZ7)," ")</f>
        <v>64541.316000000006</v>
      </c>
      <c r="F7" s="341">
        <f>IFERROR(MEDIAN('LP Elementos'!F7,'LP Elementos'!I7,'LP Elementos'!N7,'LP Elementos'!S7,'LP Elementos'!X7,'LP Elementos'!AC7,'LP Elementos'!AH7,'LP Elementos'!AM7,'LP Elementos'!AR7,'LP Elementos'!AW7,'LP Elementos'!BB7,'LP Elementos'!BG7,'LP Elementos'!BL7,'LP Elementos'!BQ7,'LP Elementos'!BV7,'LP Elementos'!CA7,'LP Elementos'!CF7,'LP Elementos'!CK7,'LP Elementos'!CP7,'LP Elementos'!CU7,'LP Elementos'!CZ7)," ")</f>
        <v>64541.316000000006</v>
      </c>
      <c r="G7" s="341">
        <f>IFERROR(GEOMEAN('LP Elementos'!F7,'LP Elementos'!I7,'LP Elementos'!N7,'LP Elementos'!S7,'LP Elementos'!X7,'LP Elementos'!AC7,'LP Elementos'!AH7,'LP Elementos'!AM7,'LP Elementos'!AR7,'LP Elementos'!AW7,'LP Elementos'!BB7,'LP Elementos'!BG7,'LP Elementos'!BL7,'LP Elementos'!BQ7,'LP Elementos'!BV7,'LP Elementos'!CA7,'LP Elementos'!CF7,'LP Elementos'!CK7,'LP Elementos'!CP7,'LP Elementos'!CU7,'LP Elementos'!CZ7)," ")</f>
        <v>63876.663884082111</v>
      </c>
      <c r="H7" s="341">
        <f t="shared" si="0"/>
        <v>4519.4405232963372</v>
      </c>
      <c r="I7" s="342">
        <f t="shared" si="1"/>
        <v>7.0023990885099655E-2</v>
      </c>
      <c r="J7" s="341">
        <f t="shared" si="2"/>
        <v>64541.316000000006</v>
      </c>
      <c r="K7" s="326" t="str">
        <f t="shared" si="3"/>
        <v>Promedio</v>
      </c>
      <c r="L7" s="326">
        <f>IFERROR(COUNTA('LP Elementos'!F7,'LP Elementos'!I7,'LP Elementos'!N7,'LP Elementos'!S7,'LP Elementos'!X7,'LP Elementos'!AC7,'LP Elementos'!AH7,'LP Elementos'!AM7,'LP Elementos'!AR7,'LP Elementos'!AX7,'LP Elementos'!BB7,'LP Elementos'!BG7,'LP Elementos'!BL7,'LP Elementos'!BQ7,'LP Elementos'!BV7,'LP Elementos'!CA7,'LP Elementos'!CF7,'LP Elementos'!CK7,'LP Elementos'!CP7,'LP Elementos'!CU7,'LP Elementos'!CZ7)," ")</f>
        <v>2</v>
      </c>
    </row>
    <row r="8" spans="2:12" x14ac:dyDescent="0.25">
      <c r="B8" s="411">
        <v>6</v>
      </c>
      <c r="C8" s="412" t="s">
        <v>2900</v>
      </c>
      <c r="D8" s="408">
        <f>IFERROR(MIN('LP Elementos'!F8,'LP Elementos'!I8,'LP Elementos'!N8,'LP Elementos'!S8,'LP Elementos'!X8,'LP Elementos'!AC8,'LP Elementos'!AH8,'LP Elementos'!AM8,'LP Elementos'!AR8,'LP Elementos'!AW8,'LP Elementos'!BB8,'LP Elementos'!BG8,'LP Elementos'!BL8,'LP Elementos'!BQ8,'LP Elementos'!BV8,'LP Elementos'!CA8,'LP Elementos'!CF8,'LP Elementos'!CK8,'LP Elementos'!CP8,'LP Elementos'!CU8,'LP Elementos'!CZ8)," ")</f>
        <v>47529</v>
      </c>
      <c r="E8" s="341">
        <f>IFERROR(AVERAGE('LP Elementos'!F8,'LP Elementos'!I8,'LP Elementos'!N8,'LP Elementos'!S8,'LP Elementos'!X8,'LP Elementos'!AC8,'LP Elementos'!AH8,'LP Elementos'!AM8,'LP Elementos'!AR8,'LP Elementos'!AW8,'LP Elementos'!BB8,'LP Elementos'!BG8,'LP Elementos'!BL8,'LP Elementos'!BQ8,'LP Elementos'!BV8,'LP Elementos'!CA8,'LP Elementos'!CF8,'LP Elementos'!CK8,'LP Elementos'!CP8,'LP Elementos'!CU8,'LP Elementos'!CZ8)," ")</f>
        <v>71100.253333333341</v>
      </c>
      <c r="F8" s="341">
        <f>IFERROR(MEDIAN('LP Elementos'!F8,'LP Elementos'!I8,'LP Elementos'!N8,'LP Elementos'!S8,'LP Elementos'!X8,'LP Elementos'!AC8,'LP Elementos'!AH8,'LP Elementos'!AM8,'LP Elementos'!AR8,'LP Elementos'!AW8,'LP Elementos'!BB8,'LP Elementos'!BG8,'LP Elementos'!BL8,'LP Elementos'!BQ8,'LP Elementos'!BV8,'LP Elementos'!CA8,'LP Elementos'!CF8,'LP Elementos'!CK8,'LP Elementos'!CP8,'LP Elementos'!CU8,'LP Elementos'!CZ8)," ")</f>
        <v>61051.76</v>
      </c>
      <c r="G8" s="341">
        <f>IFERROR(GEOMEAN('LP Elementos'!F8,'LP Elementos'!I8,'LP Elementos'!N8,'LP Elementos'!S8,'LP Elementos'!X8,'LP Elementos'!AC8,'LP Elementos'!AH8,'LP Elementos'!AM8,'LP Elementos'!AR8,'LP Elementos'!AW8,'LP Elementos'!BB8,'LP Elementos'!BG8,'LP Elementos'!BL8,'LP Elementos'!BQ8,'LP Elementos'!BV8,'LP Elementos'!CA8,'LP Elementos'!CF8,'LP Elementos'!CK8,'LP Elementos'!CP8,'LP Elementos'!CU8,'LP Elementos'!CZ8)," ")</f>
        <v>67229.853711933116</v>
      </c>
      <c r="H8" s="341">
        <f t="shared" si="0"/>
        <v>10330.834558550059</v>
      </c>
      <c r="I8" s="342">
        <f t="shared" si="1"/>
        <v>0.14529954640410178</v>
      </c>
      <c r="J8" s="341">
        <f t="shared" si="2"/>
        <v>71100.253333333341</v>
      </c>
      <c r="K8" s="326" t="str">
        <f t="shared" si="3"/>
        <v>Promedio</v>
      </c>
      <c r="L8" s="326">
        <f>IFERROR(COUNTA('LP Elementos'!F8,'LP Elementos'!I8,'LP Elementos'!N8,'LP Elementos'!S8,'LP Elementos'!X8,'LP Elementos'!AC8,'LP Elementos'!AH8,'LP Elementos'!AM8,'LP Elementos'!AR8,'LP Elementos'!AX8,'LP Elementos'!BB8,'LP Elementos'!BG8,'LP Elementos'!BL8,'LP Elementos'!BQ8,'LP Elementos'!BV8,'LP Elementos'!CA8,'LP Elementos'!CF8,'LP Elementos'!CK8,'LP Elementos'!CP8,'LP Elementos'!CU8,'LP Elementos'!CZ8)," ")</f>
        <v>3</v>
      </c>
    </row>
    <row r="9" spans="2:12" ht="40.5" x14ac:dyDescent="0.25">
      <c r="B9" s="411">
        <v>7</v>
      </c>
      <c r="C9" s="412" t="s">
        <v>2903</v>
      </c>
      <c r="D9" s="408">
        <f>IFERROR(MIN('LP Elementos'!F9,'LP Elementos'!I9,'LP Elementos'!N9,'LP Elementos'!S9,'LP Elementos'!X9,'LP Elementos'!AC9,'LP Elementos'!AH9,'LP Elementos'!AM9,'LP Elementos'!AR9,'LP Elementos'!AW9,'LP Elementos'!BB9,'LP Elementos'!BG9,'LP Elementos'!BL9,'LP Elementos'!BQ9,'LP Elementos'!BV9,'LP Elementos'!CA9,'LP Elementos'!CF9,'LP Elementos'!CK9,'LP Elementos'!CP9,'LP Elementos'!CU9,'LP Elementos'!CZ9)," ")</f>
        <v>49641.4</v>
      </c>
      <c r="E9" s="341">
        <f>IFERROR(AVERAGE('LP Elementos'!F9,'LP Elementos'!I9,'LP Elementos'!N9,'LP Elementos'!S9,'LP Elementos'!X9,'LP Elementos'!AC9,'LP Elementos'!AH9,'LP Elementos'!AM9,'LP Elementos'!AR9,'LP Elementos'!AW9,'LP Elementos'!BB9,'LP Elementos'!BG9,'LP Elementos'!BL9,'LP Elementos'!BQ9,'LP Elementos'!BV9,'LP Elementos'!CA9,'LP Elementos'!CF9,'LP Elementos'!CK9,'LP Elementos'!CP9,'LP Elementos'!CU9,'LP Elementos'!CZ9)," ")</f>
        <v>71804.78333333334</v>
      </c>
      <c r="F9" s="341">
        <f>IFERROR(MEDIAN('LP Elementos'!F9,'LP Elementos'!I9,'LP Elementos'!N9,'LP Elementos'!S9,'LP Elementos'!X9,'LP Elementos'!AC9,'LP Elementos'!AH9,'LP Elementos'!AM9,'LP Elementos'!AR9,'LP Elementos'!AW9,'LP Elementos'!BB9,'LP Elementos'!BG9,'LP Elementos'!BL9,'LP Elementos'!BQ9,'LP Elementos'!BV9,'LP Elementos'!CA9,'LP Elementos'!CF9,'LP Elementos'!CK9,'LP Elementos'!CP9,'LP Elementos'!CU9,'LP Elementos'!CZ9)," ")</f>
        <v>61052.95</v>
      </c>
      <c r="G9" s="341">
        <f>IFERROR(GEOMEAN('LP Elementos'!F9,'LP Elementos'!I9,'LP Elementos'!N9,'LP Elementos'!S9,'LP Elementos'!X9,'LP Elementos'!AC9,'LP Elementos'!AH9,'LP Elementos'!AM9,'LP Elementos'!AR9,'LP Elementos'!AW9,'LP Elementos'!BB9,'LP Elementos'!BG9,'LP Elementos'!BL9,'LP Elementos'!BQ9,'LP Elementos'!BV9,'LP Elementos'!CA9,'LP Elementos'!CF9,'LP Elementos'!CK9,'LP Elementos'!CP9,'LP Elementos'!CU9,'LP Elementos'!CZ9)," ")</f>
        <v>68211.89308204854</v>
      </c>
      <c r="H9" s="341">
        <f t="shared" si="0"/>
        <v>9772.6808584388091</v>
      </c>
      <c r="I9" s="342">
        <f t="shared" si="1"/>
        <v>0.13610069419848966</v>
      </c>
      <c r="J9" s="341">
        <f t="shared" si="2"/>
        <v>71804.78333333334</v>
      </c>
      <c r="K9" s="326" t="str">
        <f t="shared" si="3"/>
        <v>Promedio</v>
      </c>
      <c r="L9" s="326">
        <f>IFERROR(COUNTA('LP Elementos'!F9,'LP Elementos'!I9,'LP Elementos'!N9,'LP Elementos'!S9,'LP Elementos'!X9,'LP Elementos'!AC9,'LP Elementos'!AH9,'LP Elementos'!AM9,'LP Elementos'!AR9,'LP Elementos'!AX9,'LP Elementos'!BB9,'LP Elementos'!BG9,'LP Elementos'!BL9,'LP Elementos'!BQ9,'LP Elementos'!BV9,'LP Elementos'!CA9,'LP Elementos'!CF9,'LP Elementos'!CK9,'LP Elementos'!CP9,'LP Elementos'!CU9,'LP Elementos'!CZ9)," ")</f>
        <v>3</v>
      </c>
    </row>
    <row r="10" spans="2:12" ht="27" x14ac:dyDescent="0.25">
      <c r="B10" s="411">
        <v>8</v>
      </c>
      <c r="C10" s="412" t="s">
        <v>2905</v>
      </c>
      <c r="D10" s="408">
        <f>IFERROR(MIN('LP Elementos'!F10,'LP Elementos'!I10,'LP Elementos'!N10,'LP Elementos'!S10,'LP Elementos'!X10,'LP Elementos'!AC10,'LP Elementos'!AH10,'LP Elementos'!AM10,'LP Elementos'!AR10,'LP Elementos'!AW10,'LP Elementos'!BB10,'LP Elementos'!BG10,'LP Elementos'!BL10,'LP Elementos'!BQ10,'LP Elementos'!BV10,'LP Elementos'!CA10,'LP Elementos'!CF10,'LP Elementos'!CK10,'LP Elementos'!CP10,'LP Elementos'!CU10,'LP Elementos'!CZ10)," ")</f>
        <v>2380</v>
      </c>
      <c r="E10" s="341">
        <f>IFERROR(AVERAGE('LP Elementos'!F10,'LP Elementos'!I10,'LP Elementos'!N10,'LP Elementos'!S10,'LP Elementos'!X10,'LP Elementos'!AC10,'LP Elementos'!AH10,'LP Elementos'!AM10,'LP Elementos'!AR10,'LP Elementos'!AW10,'LP Elementos'!BB10,'LP Elementos'!BG10,'LP Elementos'!BL10,'LP Elementos'!BQ10,'LP Elementos'!BV10,'LP Elementos'!CA10,'LP Elementos'!CF10,'LP Elementos'!CK10,'LP Elementos'!CP10,'LP Elementos'!CU10,'LP Elementos'!CZ10)," ")</f>
        <v>2446.8779999999997</v>
      </c>
      <c r="F10" s="341">
        <f>IFERROR(MEDIAN('LP Elementos'!F10,'LP Elementos'!I10,'LP Elementos'!N10,'LP Elementos'!S10,'LP Elementos'!X10,'LP Elementos'!AC10,'LP Elementos'!AH10,'LP Elementos'!AM10,'LP Elementos'!AR10,'LP Elementos'!AW10,'LP Elementos'!BB10,'LP Elementos'!BG10,'LP Elementos'!BL10,'LP Elementos'!BQ10,'LP Elementos'!BV10,'LP Elementos'!CA10,'LP Elementos'!CF10,'LP Elementos'!CK10,'LP Elementos'!CP10,'LP Elementos'!CU10,'LP Elementos'!CZ10)," ")</f>
        <v>2446.8779999999997</v>
      </c>
      <c r="G10" s="341">
        <f>IFERROR(GEOMEAN('LP Elementos'!F10,'LP Elementos'!I10,'LP Elementos'!N10,'LP Elementos'!S10,'LP Elementos'!X10,'LP Elementos'!AC10,'LP Elementos'!AH10,'LP Elementos'!AM10,'LP Elementos'!AR10,'LP Elementos'!AW10,'LP Elementos'!BB10,'LP Elementos'!BG10,'LP Elementos'!BL10,'LP Elementos'!BQ10,'LP Elementos'!BV10,'LP Elementos'!CA10,'LP Elementos'!CF10,'LP Elementos'!CK10,'LP Elementos'!CP10,'LP Elementos'!CU10,'LP Elementos'!CZ10)," ")</f>
        <v>2445.963875448695</v>
      </c>
      <c r="H10" s="341">
        <f t="shared" si="0"/>
        <v>33.289435110358795</v>
      </c>
      <c r="I10" s="342">
        <f t="shared" si="1"/>
        <v>1.3604861014876426E-2</v>
      </c>
      <c r="J10" s="341">
        <f t="shared" si="2"/>
        <v>2446.8779999999997</v>
      </c>
      <c r="K10" s="326" t="str">
        <f t="shared" si="3"/>
        <v>Promedio</v>
      </c>
      <c r="L10" s="326">
        <f>IFERROR(COUNTA('LP Elementos'!F10,'LP Elementos'!I10,'LP Elementos'!N10,'LP Elementos'!S10,'LP Elementos'!X10,'LP Elementos'!AC10,'LP Elementos'!AH10,'LP Elementos'!AM10,'LP Elementos'!AR10,'LP Elementos'!AX10,'LP Elementos'!BB10,'LP Elementos'!BG10,'LP Elementos'!BL10,'LP Elementos'!BQ10,'LP Elementos'!BV10,'LP Elementos'!CA10,'LP Elementos'!CF10,'LP Elementos'!CK10,'LP Elementos'!CP10,'LP Elementos'!CU10,'LP Elementos'!CZ10)," ")</f>
        <v>2</v>
      </c>
    </row>
    <row r="11" spans="2:12" ht="27" x14ac:dyDescent="0.25">
      <c r="B11" s="411">
        <v>9</v>
      </c>
      <c r="C11" s="412" t="s">
        <v>2907</v>
      </c>
      <c r="D11" s="408">
        <f>IFERROR(MIN('LP Elementos'!F11,'LP Elementos'!I11,'LP Elementos'!N11,'LP Elementos'!S11,'LP Elementos'!X11,'LP Elementos'!AC11,'LP Elementos'!AH11,'LP Elementos'!AM11,'LP Elementos'!AR11,'LP Elementos'!AW11,'LP Elementos'!BB11,'LP Elementos'!BG11,'LP Elementos'!BL11,'LP Elementos'!BQ11,'LP Elementos'!BV11,'LP Elementos'!CA11,'LP Elementos'!CF11,'LP Elementos'!CK11,'LP Elementos'!CP11,'LP Elementos'!CU11,'LP Elementos'!CZ11)," ")</f>
        <v>2380</v>
      </c>
      <c r="E11" s="341">
        <f>IFERROR(AVERAGE('LP Elementos'!F11,'LP Elementos'!I11,'LP Elementos'!N11,'LP Elementos'!S11,'LP Elementos'!X11,'LP Elementos'!AC11,'LP Elementos'!AH11,'LP Elementos'!AM11,'LP Elementos'!AR11,'LP Elementos'!AW11,'LP Elementos'!BB11,'LP Elementos'!BG11,'LP Elementos'!BL11,'LP Elementos'!BQ11,'LP Elementos'!BV11,'LP Elementos'!CA11,'LP Elementos'!CF11,'LP Elementos'!CK11,'LP Elementos'!CP11,'LP Elementos'!CU11,'LP Elementos'!CZ11)," ")</f>
        <v>2446.8779999999997</v>
      </c>
      <c r="F11" s="341">
        <f>IFERROR(MEDIAN('LP Elementos'!F11,'LP Elementos'!I11,'LP Elementos'!N11,'LP Elementos'!S11,'LP Elementos'!X11,'LP Elementos'!AC11,'LP Elementos'!AH11,'LP Elementos'!AM11,'LP Elementos'!AR11,'LP Elementos'!AW11,'LP Elementos'!BB11,'LP Elementos'!BG11,'LP Elementos'!BL11,'LP Elementos'!BQ11,'LP Elementos'!BV11,'LP Elementos'!CA11,'LP Elementos'!CF11,'LP Elementos'!CK11,'LP Elementos'!CP11,'LP Elementos'!CU11,'LP Elementos'!CZ11)," ")</f>
        <v>2446.8779999999997</v>
      </c>
      <c r="G11" s="341">
        <f>IFERROR(GEOMEAN('LP Elementos'!F11,'LP Elementos'!I11,'LP Elementos'!N11,'LP Elementos'!S11,'LP Elementos'!X11,'LP Elementos'!AC11,'LP Elementos'!AH11,'LP Elementos'!AM11,'LP Elementos'!AR11,'LP Elementos'!AW11,'LP Elementos'!BB11,'LP Elementos'!BG11,'LP Elementos'!BL11,'LP Elementos'!BQ11,'LP Elementos'!BV11,'LP Elementos'!CA11,'LP Elementos'!CF11,'LP Elementos'!CK11,'LP Elementos'!CP11,'LP Elementos'!CU11,'LP Elementos'!CZ11)," ")</f>
        <v>2445.963875448695</v>
      </c>
      <c r="H11" s="341">
        <f t="shared" si="0"/>
        <v>33.289435110358795</v>
      </c>
      <c r="I11" s="342">
        <f t="shared" si="1"/>
        <v>1.3604861014876426E-2</v>
      </c>
      <c r="J11" s="341">
        <f t="shared" si="2"/>
        <v>2446.8779999999997</v>
      </c>
      <c r="K11" s="326" t="str">
        <f t="shared" si="3"/>
        <v>Promedio</v>
      </c>
      <c r="L11" s="326">
        <f>IFERROR(COUNTA('LP Elementos'!F11,'LP Elementos'!I11,'LP Elementos'!N11,'LP Elementos'!S11,'LP Elementos'!X11,'LP Elementos'!AC11,'LP Elementos'!AH11,'LP Elementos'!AM11,'LP Elementos'!AR11,'LP Elementos'!AX11,'LP Elementos'!BB11,'LP Elementos'!BG11,'LP Elementos'!BL11,'LP Elementos'!BQ11,'LP Elementos'!BV11,'LP Elementos'!CA11,'LP Elementos'!CF11,'LP Elementos'!CK11,'LP Elementos'!CP11,'LP Elementos'!CU11,'LP Elementos'!CZ11)," ")</f>
        <v>2</v>
      </c>
    </row>
    <row r="12" spans="2:12" x14ac:dyDescent="0.25">
      <c r="B12" s="411">
        <v>10</v>
      </c>
      <c r="C12" s="412" t="s">
        <v>2909</v>
      </c>
      <c r="D12" s="408">
        <f>IFERROR(MIN('LP Elementos'!F12,'LP Elementos'!I12,'LP Elementos'!N12,'LP Elementos'!S12,'LP Elementos'!X12,'LP Elementos'!AC12,'LP Elementos'!AH12,'LP Elementos'!AM12,'LP Elementos'!AR12,'LP Elementos'!AW12,'LP Elementos'!BB12,'LP Elementos'!BG12,'LP Elementos'!BL12,'LP Elementos'!BQ12,'LP Elementos'!BV12,'LP Elementos'!CA12,'LP Elementos'!CF12,'LP Elementos'!CK12,'LP Elementos'!CP12,'LP Elementos'!CU12,'LP Elementos'!CZ12)," ")</f>
        <v>28058</v>
      </c>
      <c r="E12" s="341">
        <f>IFERROR(AVERAGE('LP Elementos'!F12,'LP Elementos'!I12,'LP Elementos'!N12,'LP Elementos'!S12,'LP Elementos'!X12,'LP Elementos'!AC12,'LP Elementos'!AH12,'LP Elementos'!AM12,'LP Elementos'!AR12,'LP Elementos'!AW12,'LP Elementos'!BB12,'LP Elementos'!BG12,'LP Elementos'!BL12,'LP Elementos'!BQ12,'LP Elementos'!BV12,'LP Elementos'!CA12,'LP Elementos'!CF12,'LP Elementos'!CK12,'LP Elementos'!CP12,'LP Elementos'!CU12,'LP Elementos'!CZ12)," ")</f>
        <v>31613.093533333333</v>
      </c>
      <c r="F12" s="341">
        <f>IFERROR(MEDIAN('LP Elementos'!F12,'LP Elementos'!I12,'LP Elementos'!N12,'LP Elementos'!S12,'LP Elementos'!X12,'LP Elementos'!AC12,'LP Elementos'!AH12,'LP Elementos'!AM12,'LP Elementos'!AR12,'LP Elementos'!AW12,'LP Elementos'!BB12,'LP Elementos'!BG12,'LP Elementos'!BL12,'LP Elementos'!BQ12,'LP Elementos'!BV12,'LP Elementos'!CA12,'LP Elementos'!CF12,'LP Elementos'!CK12,'LP Elementos'!CP12,'LP Elementos'!CU12,'LP Elementos'!CZ12)," ")</f>
        <v>32439.070599999999</v>
      </c>
      <c r="G12" s="341">
        <f>IFERROR(GEOMEAN('LP Elementos'!F12,'LP Elementos'!I12,'LP Elementos'!N12,'LP Elementos'!S12,'LP Elementos'!X12,'LP Elementos'!AC12,'LP Elementos'!AH12,'LP Elementos'!AM12,'LP Elementos'!AR12,'LP Elementos'!AW12,'LP Elementos'!BB12,'LP Elementos'!BG12,'LP Elementos'!BL12,'LP Elementos'!BQ12,'LP Elementos'!BV12,'LP Elementos'!CA12,'LP Elementos'!CF12,'LP Elementos'!CK12,'LP Elementos'!CP12,'LP Elementos'!CU12,'LP Elementos'!CZ12)," ")</f>
        <v>31500.524454772349</v>
      </c>
      <c r="H12" s="341">
        <f t="shared" si="0"/>
        <v>1942.0612553304352</v>
      </c>
      <c r="I12" s="342">
        <f t="shared" si="1"/>
        <v>6.1432180095968653E-2</v>
      </c>
      <c r="J12" s="341">
        <f t="shared" si="2"/>
        <v>32439.070599999999</v>
      </c>
      <c r="K12" s="326" t="str">
        <f t="shared" si="3"/>
        <v>Mediana</v>
      </c>
      <c r="L12" s="326">
        <f>IFERROR(COUNTA('LP Elementos'!F12,'LP Elementos'!I12,'LP Elementos'!N12,'LP Elementos'!S12,'LP Elementos'!X12,'LP Elementos'!AC12,'LP Elementos'!AH12,'LP Elementos'!AM12,'LP Elementos'!AR12,'LP Elementos'!AX12,'LP Elementos'!BB12,'LP Elementos'!BG12,'LP Elementos'!BL12,'LP Elementos'!BQ12,'LP Elementos'!BV12,'LP Elementos'!CA12,'LP Elementos'!CF12,'LP Elementos'!CK12,'LP Elementos'!CP12,'LP Elementos'!CU12,'LP Elementos'!CZ12)," ")</f>
        <v>3</v>
      </c>
    </row>
    <row r="13" spans="2:12" x14ac:dyDescent="0.25">
      <c r="B13" s="411">
        <v>11</v>
      </c>
      <c r="C13" s="414" t="s">
        <v>2910</v>
      </c>
      <c r="D13" s="408">
        <f>IFERROR(MIN('LP Elementos'!F13,'LP Elementos'!I13,'LP Elementos'!N13,'LP Elementos'!S13,'LP Elementos'!X13,'LP Elementos'!AC13,'LP Elementos'!AH13,'LP Elementos'!AM13,'LP Elementos'!AR13,'LP Elementos'!AW13,'LP Elementos'!BB13,'LP Elementos'!BG13,'LP Elementos'!BL13,'LP Elementos'!BQ13,'LP Elementos'!BV13,'LP Elementos'!CA13,'LP Elementos'!CF13,'LP Elementos'!CK13,'LP Elementos'!CP13,'LP Elementos'!CU13,'LP Elementos'!CZ13)," ")</f>
        <v>47600</v>
      </c>
      <c r="E13" s="341">
        <f>IFERROR(AVERAGE('LP Elementos'!F13,'LP Elementos'!I13,'LP Elementos'!N13,'LP Elementos'!S13,'LP Elementos'!X13,'LP Elementos'!AC13,'LP Elementos'!AH13,'LP Elementos'!AM13,'LP Elementos'!AR13,'LP Elementos'!AW13,'LP Elementos'!BB13,'LP Elementos'!BG13,'LP Elementos'!BL13,'LP Elementos'!BQ13,'LP Elementos'!BV13,'LP Elementos'!CA13,'LP Elementos'!CF13,'LP Elementos'!CK13,'LP Elementos'!CP13,'LP Elementos'!CU13,'LP Elementos'!CZ13)," ")</f>
        <v>70754.955300000001</v>
      </c>
      <c r="F13" s="341">
        <f>IFERROR(MEDIAN('LP Elementos'!F13,'LP Elementos'!I13,'LP Elementos'!N13,'LP Elementos'!S13,'LP Elementos'!X13,'LP Elementos'!AC13,'LP Elementos'!AH13,'LP Elementos'!AM13,'LP Elementos'!AR13,'LP Elementos'!AW13,'LP Elementos'!BB13,'LP Elementos'!BG13,'LP Elementos'!BL13,'LP Elementos'!BQ13,'LP Elementos'!BV13,'LP Elementos'!CA13,'LP Elementos'!CF13,'LP Elementos'!CK13,'LP Elementos'!CP13,'LP Elementos'!CU13,'LP Elementos'!CZ13)," ")</f>
        <v>70754.955300000001</v>
      </c>
      <c r="G13" s="341">
        <f>IFERROR(GEOMEAN('LP Elementos'!F13,'LP Elementos'!I13,'LP Elementos'!N13,'LP Elementos'!S13,'LP Elementos'!X13,'LP Elementos'!AC13,'LP Elementos'!AH13,'LP Elementos'!AM13,'LP Elementos'!AR13,'LP Elementos'!AW13,'LP Elementos'!BB13,'LP Elementos'!BG13,'LP Elementos'!BL13,'LP Elementos'!BQ13,'LP Elementos'!BV13,'LP Elementos'!CA13,'LP Elementos'!CF13,'LP Elementos'!CK13,'LP Elementos'!CP13,'LP Elementos'!CU13,'LP Elementos'!CZ13)," ")</f>
        <v>66858.894281613728</v>
      </c>
      <c r="H13" s="341">
        <f t="shared" si="0"/>
        <v>11081.393947206954</v>
      </c>
      <c r="I13" s="342">
        <f t="shared" si="1"/>
        <v>0.15661650693187498</v>
      </c>
      <c r="J13" s="341">
        <f t="shared" si="2"/>
        <v>70754.955300000001</v>
      </c>
      <c r="K13" s="326" t="str">
        <f t="shared" si="3"/>
        <v>Promedio</v>
      </c>
      <c r="L13" s="326">
        <f>IFERROR(COUNTA('LP Elementos'!F13,'LP Elementos'!I13,'LP Elementos'!N13,'LP Elementos'!S13,'LP Elementos'!X13,'LP Elementos'!AC13,'LP Elementos'!AH13,'LP Elementos'!AM13,'LP Elementos'!AR13,'LP Elementos'!AX13,'LP Elementos'!BB13,'LP Elementos'!BG13,'LP Elementos'!BL13,'LP Elementos'!BQ13,'LP Elementos'!BV13,'LP Elementos'!CA13,'LP Elementos'!CF13,'LP Elementos'!CK13,'LP Elementos'!CP13,'LP Elementos'!CU13,'LP Elementos'!CZ13)," ")</f>
        <v>2</v>
      </c>
    </row>
    <row r="14" spans="2:12" x14ac:dyDescent="0.25">
      <c r="B14" s="411">
        <v>12</v>
      </c>
      <c r="C14" s="412" t="s">
        <v>2913</v>
      </c>
      <c r="D14" s="408">
        <f>IFERROR(MIN('LP Elementos'!F14,'LP Elementos'!I14,'LP Elementos'!N14,'LP Elementos'!S14,'LP Elementos'!X14,'LP Elementos'!AC14,'LP Elementos'!AH14,'LP Elementos'!AM14,'LP Elementos'!AR14,'LP Elementos'!AW14,'LP Elementos'!BB14,'LP Elementos'!BG14,'LP Elementos'!BL14,'LP Elementos'!BQ14,'LP Elementos'!BV14,'LP Elementos'!CA14,'LP Elementos'!CF14,'LP Elementos'!CK14,'LP Elementos'!CP14,'LP Elementos'!CU14,'LP Elementos'!CZ14)," ")</f>
        <v>39735.300199999998</v>
      </c>
      <c r="E14" s="341">
        <f>IFERROR(AVERAGE('LP Elementos'!F14,'LP Elementos'!I14,'LP Elementos'!N14,'LP Elementos'!S14,'LP Elementos'!X14,'LP Elementos'!AC14,'LP Elementos'!AH14,'LP Elementos'!AM14,'LP Elementos'!AR14,'LP Elementos'!AW14,'LP Elementos'!BB14,'LP Elementos'!BG14,'LP Elementos'!BL14,'LP Elementos'!BQ14,'LP Elementos'!BV14,'LP Elementos'!CA14,'LP Elementos'!CF14,'LP Elementos'!CK14,'LP Elementos'!CP14,'LP Elementos'!CU14,'LP Elementos'!CZ14)," ")</f>
        <v>42477.650099999999</v>
      </c>
      <c r="F14" s="341">
        <f>IFERROR(MEDIAN('LP Elementos'!F14,'LP Elementos'!I14,'LP Elementos'!N14,'LP Elementos'!S14,'LP Elementos'!X14,'LP Elementos'!AC14,'LP Elementos'!AH14,'LP Elementos'!AM14,'LP Elementos'!AR14,'LP Elementos'!AW14,'LP Elementos'!BB14,'LP Elementos'!BG14,'LP Elementos'!BL14,'LP Elementos'!BQ14,'LP Elementos'!BV14,'LP Elementos'!CA14,'LP Elementos'!CF14,'LP Elementos'!CK14,'LP Elementos'!CP14,'LP Elementos'!CU14,'LP Elementos'!CZ14)," ")</f>
        <v>42477.650099999999</v>
      </c>
      <c r="G14" s="341">
        <f>IFERROR(GEOMEAN('LP Elementos'!F14,'LP Elementos'!I14,'LP Elementos'!N14,'LP Elementos'!S14,'LP Elementos'!X14,'LP Elementos'!AC14,'LP Elementos'!AH14,'LP Elementos'!AM14,'LP Elementos'!AR14,'LP Elementos'!AW14,'LP Elementos'!BB14,'LP Elementos'!BG14,'LP Elementos'!BL14,'LP Elementos'!BQ14,'LP Elementos'!BV14,'LP Elementos'!CA14,'LP Elementos'!CF14,'LP Elementos'!CK14,'LP Elementos'!CP14,'LP Elementos'!CU14,'LP Elementos'!CZ14)," ")</f>
        <v>42389.034844450041</v>
      </c>
      <c r="H14" s="341">
        <f t="shared" si="0"/>
        <v>1357.0488457877632</v>
      </c>
      <c r="I14" s="342">
        <f t="shared" si="1"/>
        <v>3.1947361555854127E-2</v>
      </c>
      <c r="J14" s="341">
        <f t="shared" si="2"/>
        <v>42477.650099999999</v>
      </c>
      <c r="K14" s="326" t="str">
        <f t="shared" si="3"/>
        <v>Promedio</v>
      </c>
      <c r="L14" s="326">
        <f>IFERROR(COUNTA('LP Elementos'!F14,'LP Elementos'!I14,'LP Elementos'!N14,'LP Elementos'!S14,'LP Elementos'!X14,'LP Elementos'!AC14,'LP Elementos'!AH14,'LP Elementos'!AM14,'LP Elementos'!AR14,'LP Elementos'!AX14,'LP Elementos'!BB14,'LP Elementos'!BG14,'LP Elementos'!BL14,'LP Elementos'!BQ14,'LP Elementos'!BV14,'LP Elementos'!CA14,'LP Elementos'!CF14,'LP Elementos'!CK14,'LP Elementos'!CP14,'LP Elementos'!CU14,'LP Elementos'!CZ14)," ")</f>
        <v>2</v>
      </c>
    </row>
    <row r="15" spans="2:12" x14ac:dyDescent="0.25">
      <c r="B15" s="411">
        <v>13</v>
      </c>
      <c r="C15" s="412" t="s">
        <v>2915</v>
      </c>
      <c r="D15" s="408">
        <f>IFERROR(MIN('LP Elementos'!F15,'LP Elementos'!I15,'LP Elementos'!N15,'LP Elementos'!S15,'LP Elementos'!X15,'LP Elementos'!AC15,'LP Elementos'!AH15,'LP Elementos'!AM15,'LP Elementos'!AR15,'LP Elementos'!AW15,'LP Elementos'!BB15,'LP Elementos'!BG15,'LP Elementos'!BL15,'LP Elementos'!BQ15,'LP Elementos'!BV15,'LP Elementos'!CA15,'LP Elementos'!CF15,'LP Elementos'!CK15,'LP Elementos'!CP15,'LP Elementos'!CU15,'LP Elementos'!CZ15)," ")</f>
        <v>28560</v>
      </c>
      <c r="E15" s="341">
        <f>IFERROR(AVERAGE('LP Elementos'!F15,'LP Elementos'!I15,'LP Elementos'!N15,'LP Elementos'!S15,'LP Elementos'!X15,'LP Elementos'!AC15,'LP Elementos'!AH15,'LP Elementos'!AM15,'LP Elementos'!AR15,'LP Elementos'!AW15,'LP Elementos'!BB15,'LP Elementos'!BG15,'LP Elementos'!BL15,'LP Elementos'!BQ15,'LP Elementos'!BV15,'LP Elementos'!CA15,'LP Elementos'!CF15,'LP Elementos'!CK15,'LP Elementos'!CP15,'LP Elementos'!CU15,'LP Elementos'!CZ15)," ")</f>
        <v>60470.266499999998</v>
      </c>
      <c r="F15" s="341">
        <f>IFERROR(MEDIAN('LP Elementos'!F15,'LP Elementos'!I15,'LP Elementos'!N15,'LP Elementos'!S15,'LP Elementos'!X15,'LP Elementos'!AC15,'LP Elementos'!AH15,'LP Elementos'!AM15,'LP Elementos'!AR15,'LP Elementos'!AW15,'LP Elementos'!BB15,'LP Elementos'!BG15,'LP Elementos'!BL15,'LP Elementos'!BQ15,'LP Elementos'!BV15,'LP Elementos'!CA15,'LP Elementos'!CF15,'LP Elementos'!CK15,'LP Elementos'!CP15,'LP Elementos'!CU15,'LP Elementos'!CZ15)," ")</f>
        <v>60470.266499999998</v>
      </c>
      <c r="G15" s="341">
        <f>IFERROR(GEOMEAN('LP Elementos'!F15,'LP Elementos'!I15,'LP Elementos'!N15,'LP Elementos'!S15,'LP Elementos'!X15,'LP Elementos'!AC15,'LP Elementos'!AH15,'LP Elementos'!AM15,'LP Elementos'!AR15,'LP Elementos'!AW15,'LP Elementos'!BB15,'LP Elementos'!BG15,'LP Elementos'!BL15,'LP Elementos'!BQ15,'LP Elementos'!BV15,'LP Elementos'!CA15,'LP Elementos'!CF15,'LP Elementos'!CK15,'LP Elementos'!CP15,'LP Elementos'!CU15,'LP Elementos'!CZ15)," ")</f>
        <v>51365.241384422596</v>
      </c>
      <c r="H15" s="341">
        <f t="shared" si="0"/>
        <v>15062.127493359019</v>
      </c>
      <c r="I15" s="342">
        <f t="shared" si="1"/>
        <v>0.24908320014364449</v>
      </c>
      <c r="J15" s="341">
        <f t="shared" si="2"/>
        <v>51365.241384422596</v>
      </c>
      <c r="K15" s="326" t="str">
        <f t="shared" si="3"/>
        <v>Media Geometrica</v>
      </c>
      <c r="L15" s="326">
        <f>IFERROR(COUNTA('LP Elementos'!F15,'LP Elementos'!I15,'LP Elementos'!N15,'LP Elementos'!S15,'LP Elementos'!X15,'LP Elementos'!AC15,'LP Elementos'!AH15,'LP Elementos'!AM15,'LP Elementos'!AR15,'LP Elementos'!AX15,'LP Elementos'!BB15,'LP Elementos'!BG15,'LP Elementos'!BL15,'LP Elementos'!BQ15,'LP Elementos'!BV15,'LP Elementos'!CA15,'LP Elementos'!CF15,'LP Elementos'!CK15,'LP Elementos'!CP15,'LP Elementos'!CU15,'LP Elementos'!CZ15)," ")</f>
        <v>2</v>
      </c>
    </row>
    <row r="16" spans="2:12" ht="27" x14ac:dyDescent="0.25">
      <c r="B16" s="411">
        <v>14</v>
      </c>
      <c r="C16" s="412" t="s">
        <v>2918</v>
      </c>
      <c r="D16" s="408">
        <f>IFERROR(MIN('LP Elementos'!F16,'LP Elementos'!I16,'LP Elementos'!N16,'LP Elementos'!S16,'LP Elementos'!X16,'LP Elementos'!AC16,'LP Elementos'!AH16,'LP Elementos'!AM16,'LP Elementos'!AR16,'LP Elementos'!AW16,'LP Elementos'!BB16,'LP Elementos'!BG16,'LP Elementos'!BL16,'LP Elementos'!BQ16,'LP Elementos'!BV16,'LP Elementos'!CA16,'LP Elementos'!CF16,'LP Elementos'!CK16,'LP Elementos'!CP16,'LP Elementos'!CU16,'LP Elementos'!CZ16)," ")</f>
        <v>21366.925999999999</v>
      </c>
      <c r="E16" s="341">
        <f>IFERROR(AVERAGE('LP Elementos'!F16,'LP Elementos'!I16,'LP Elementos'!N16,'LP Elementos'!S16,'LP Elementos'!X16,'LP Elementos'!AC16,'LP Elementos'!AH16,'LP Elementos'!AM16,'LP Elementos'!AR16,'LP Elementos'!AW16,'LP Elementos'!BB16,'LP Elementos'!BG16,'LP Elementos'!BL16,'LP Elementos'!BQ16,'LP Elementos'!BV16,'LP Elementos'!CA16,'LP Elementos'!CF16,'LP Elementos'!CK16,'LP Elementos'!CP16,'LP Elementos'!CU16,'LP Elementos'!CZ16)," ")</f>
        <v>22583.463</v>
      </c>
      <c r="F16" s="341">
        <f>IFERROR(MEDIAN('LP Elementos'!F16,'LP Elementos'!I16,'LP Elementos'!N16,'LP Elementos'!S16,'LP Elementos'!X16,'LP Elementos'!AC16,'LP Elementos'!AH16,'LP Elementos'!AM16,'LP Elementos'!AR16,'LP Elementos'!AW16,'LP Elementos'!BB16,'LP Elementos'!BG16,'LP Elementos'!BL16,'LP Elementos'!BQ16,'LP Elementos'!BV16,'LP Elementos'!CA16,'LP Elementos'!CF16,'LP Elementos'!CK16,'LP Elementos'!CP16,'LP Elementos'!CU16,'LP Elementos'!CZ16)," ")</f>
        <v>22583.463</v>
      </c>
      <c r="G16" s="341">
        <f>IFERROR(GEOMEAN('LP Elementos'!F16,'LP Elementos'!I16,'LP Elementos'!N16,'LP Elementos'!S16,'LP Elementos'!X16,'LP Elementos'!AC16,'LP Elementos'!AH16,'LP Elementos'!AM16,'LP Elementos'!AR16,'LP Elementos'!AW16,'LP Elementos'!BB16,'LP Elementos'!BG16,'LP Elementos'!BL16,'LP Elementos'!BQ16,'LP Elementos'!BV16,'LP Elementos'!CA16,'LP Elementos'!CF16,'LP Elementos'!CK16,'LP Elementos'!CP16,'LP Elementos'!CU16,'LP Elementos'!CZ16)," ")</f>
        <v>22550.672690631647</v>
      </c>
      <c r="H16" s="341">
        <f t="shared" si="0"/>
        <v>603.00160178728129</v>
      </c>
      <c r="I16" s="342">
        <f t="shared" si="1"/>
        <v>2.6701024629716057E-2</v>
      </c>
      <c r="J16" s="341">
        <f t="shared" si="2"/>
        <v>22583.463</v>
      </c>
      <c r="K16" s="326" t="str">
        <f t="shared" si="3"/>
        <v>Promedio</v>
      </c>
      <c r="L16" s="326">
        <f>IFERROR(COUNTA('LP Elementos'!F16,'LP Elementos'!I16,'LP Elementos'!N16,'LP Elementos'!S16,'LP Elementos'!X16,'LP Elementos'!AC16,'LP Elementos'!AH16,'LP Elementos'!AM16,'LP Elementos'!AR16,'LP Elementos'!AX16,'LP Elementos'!BB16,'LP Elementos'!BG16,'LP Elementos'!BL16,'LP Elementos'!BQ16,'LP Elementos'!BV16,'LP Elementos'!CA16,'LP Elementos'!CF16,'LP Elementos'!CK16,'LP Elementos'!CP16,'LP Elementos'!CU16,'LP Elementos'!CZ16)," ")</f>
        <v>2</v>
      </c>
    </row>
    <row r="17" spans="2:12" ht="27" x14ac:dyDescent="0.25">
      <c r="B17" s="411">
        <v>15</v>
      </c>
      <c r="C17" s="412" t="s">
        <v>2922</v>
      </c>
      <c r="D17" s="408">
        <f>IFERROR(MIN('LP Elementos'!F17,'LP Elementos'!I17,'LP Elementos'!N17,'LP Elementos'!S17,'LP Elementos'!X17,'LP Elementos'!AC17,'LP Elementos'!AH17,'LP Elementos'!AM17,'LP Elementos'!AR17,'LP Elementos'!AW17,'LP Elementos'!BB17,'LP Elementos'!BG17,'LP Elementos'!BL17,'LP Elementos'!BQ17,'LP Elementos'!BV17,'LP Elementos'!CA17,'LP Elementos'!CF17,'LP Elementos'!CK17,'LP Elementos'!CP17,'LP Elementos'!CU17,'LP Elementos'!CZ17)," ")</f>
        <v>44744.856800000001</v>
      </c>
      <c r="E17" s="341">
        <f>IFERROR(AVERAGE('LP Elementos'!F17,'LP Elementos'!I17,'LP Elementos'!N17,'LP Elementos'!S17,'LP Elementos'!X17,'LP Elementos'!AC17,'LP Elementos'!AH17,'LP Elementos'!AM17,'LP Elementos'!AR17,'LP Elementos'!AW17,'LP Elementos'!BB17,'LP Elementos'!BG17,'LP Elementos'!BL17,'LP Elementos'!BQ17,'LP Elementos'!BV17,'LP Elementos'!CA17,'LP Elementos'!CF17,'LP Elementos'!CK17,'LP Elementos'!CP17,'LP Elementos'!CU17,'LP Elementos'!CZ17)," ")</f>
        <v>44744.856800000001</v>
      </c>
      <c r="F17" s="341">
        <f>IFERROR(MEDIAN('LP Elementos'!F17,'LP Elementos'!I17,'LP Elementos'!N17,'LP Elementos'!S17,'LP Elementos'!X17,'LP Elementos'!AC17,'LP Elementos'!AH17,'LP Elementos'!AM17,'LP Elementos'!AR17,'LP Elementos'!AW17,'LP Elementos'!BB17,'LP Elementos'!BG17,'LP Elementos'!BL17,'LP Elementos'!BQ17,'LP Elementos'!BV17,'LP Elementos'!CA17,'LP Elementos'!CF17,'LP Elementos'!CK17,'LP Elementos'!CP17,'LP Elementos'!CU17,'LP Elementos'!CZ17)," ")</f>
        <v>44744.856800000001</v>
      </c>
      <c r="G17" s="341">
        <f>IFERROR(GEOMEAN('LP Elementos'!F17,'LP Elementos'!I17,'LP Elementos'!N17,'LP Elementos'!S17,'LP Elementos'!X17,'LP Elementos'!AC17,'LP Elementos'!AH17,'LP Elementos'!AM17,'LP Elementos'!AR17,'LP Elementos'!AW17,'LP Elementos'!BB17,'LP Elementos'!BG17,'LP Elementos'!BL17,'LP Elementos'!BQ17,'LP Elementos'!BV17,'LP Elementos'!CA17,'LP Elementos'!CF17,'LP Elementos'!CK17,'LP Elementos'!CP17,'LP Elementos'!CU17,'LP Elementos'!CZ17)," ")</f>
        <v>44744.856800000001</v>
      </c>
      <c r="H17" s="341">
        <f t="shared" si="0"/>
        <v>0</v>
      </c>
      <c r="I17" s="342">
        <f t="shared" si="1"/>
        <v>0</v>
      </c>
      <c r="J17" s="341">
        <f t="shared" si="2"/>
        <v>44744.856800000001</v>
      </c>
      <c r="K17" s="326" t="str">
        <f t="shared" si="3"/>
        <v>Menor Valor</v>
      </c>
      <c r="L17" s="326">
        <f>IFERROR(COUNTA('LP Elementos'!F17,'LP Elementos'!I17,'LP Elementos'!N17,'LP Elementos'!S17,'LP Elementos'!X17,'LP Elementos'!AC17,'LP Elementos'!AH17,'LP Elementos'!AM17,'LP Elementos'!AR17,'LP Elementos'!AX17,'LP Elementos'!BB17,'LP Elementos'!BG17,'LP Elementos'!BL17,'LP Elementos'!BQ17,'LP Elementos'!BV17,'LP Elementos'!CA17,'LP Elementos'!CF17,'LP Elementos'!CK17,'LP Elementos'!CP17,'LP Elementos'!CU17,'LP Elementos'!CZ17)," ")</f>
        <v>1</v>
      </c>
    </row>
    <row r="18" spans="2:12" x14ac:dyDescent="0.25">
      <c r="B18" s="411">
        <v>16</v>
      </c>
      <c r="C18" s="412" t="s">
        <v>2923</v>
      </c>
      <c r="D18" s="408">
        <f>IFERROR(MIN('LP Elementos'!F18,'LP Elementos'!I18,'LP Elementos'!N18,'LP Elementos'!S18,'LP Elementos'!X18,'LP Elementos'!AC18,'LP Elementos'!AH18,'LP Elementos'!AM18,'LP Elementos'!AR18,'LP Elementos'!AW18,'LP Elementos'!BB18,'LP Elementos'!BG18,'LP Elementos'!BL18,'LP Elementos'!BQ18,'LP Elementos'!BV18,'LP Elementos'!CA18,'LP Elementos'!CF18,'LP Elementos'!CK18,'LP Elementos'!CP18,'LP Elementos'!CU18,'LP Elementos'!CZ18)," ")</f>
        <v>16000.74</v>
      </c>
      <c r="E18" s="341">
        <f>IFERROR(AVERAGE('LP Elementos'!F18,'LP Elementos'!I18,'LP Elementos'!N18,'LP Elementos'!S18,'LP Elementos'!X18,'LP Elementos'!AC18,'LP Elementos'!AH18,'LP Elementos'!AM18,'LP Elementos'!AR18,'LP Elementos'!AW18,'LP Elementos'!BB18,'LP Elementos'!BG18,'LP Elementos'!BL18,'LP Elementos'!BQ18,'LP Elementos'!BV18,'LP Elementos'!CA18,'LP Elementos'!CF18,'LP Elementos'!CK18,'LP Elementos'!CP18,'LP Elementos'!CU18,'LP Elementos'!CZ18)," ")</f>
        <v>71131.77399999999</v>
      </c>
      <c r="F18" s="341">
        <f>IFERROR(MEDIAN('LP Elementos'!F18,'LP Elementos'!I18,'LP Elementos'!N18,'LP Elementos'!S18,'LP Elementos'!X18,'LP Elementos'!AC18,'LP Elementos'!AH18,'LP Elementos'!AM18,'LP Elementos'!AR18,'LP Elementos'!AW18,'LP Elementos'!BB18,'LP Elementos'!BG18,'LP Elementos'!BL18,'LP Elementos'!BQ18,'LP Elementos'!BV18,'LP Elementos'!CA18,'LP Elementos'!CF18,'LP Elementos'!CK18,'LP Elementos'!CP18,'LP Elementos'!CU18,'LP Elementos'!CZ18)," ")</f>
        <v>86724.582000000009</v>
      </c>
      <c r="G18" s="341">
        <f>IFERROR(GEOMEAN('LP Elementos'!F18,'LP Elementos'!I18,'LP Elementos'!N18,'LP Elementos'!S18,'LP Elementos'!X18,'LP Elementos'!AC18,'LP Elementos'!AH18,'LP Elementos'!AM18,'LP Elementos'!AR18,'LP Elementos'!AW18,'LP Elementos'!BB18,'LP Elementos'!BG18,'LP Elementos'!BL18,'LP Elementos'!BQ18,'LP Elementos'!BV18,'LP Elementos'!CA18,'LP Elementos'!CF18,'LP Elementos'!CK18,'LP Elementos'!CP18,'LP Elementos'!CU18,'LP Elementos'!CZ18)," ")</f>
        <v>53551.387922907139</v>
      </c>
      <c r="H18" s="341">
        <f t="shared" si="0"/>
        <v>30419.306284278871</v>
      </c>
      <c r="I18" s="342">
        <f t="shared" si="1"/>
        <v>0.42764723236452495</v>
      </c>
      <c r="J18" s="341">
        <f t="shared" si="2"/>
        <v>16000.74</v>
      </c>
      <c r="K18" s="326" t="str">
        <f t="shared" si="3"/>
        <v>Menor Valor</v>
      </c>
      <c r="L18" s="326">
        <f>IFERROR(COUNTA('LP Elementos'!F18,'LP Elementos'!I18,'LP Elementos'!N18,'LP Elementos'!S18,'LP Elementos'!X18,'LP Elementos'!AC18,'LP Elementos'!AH18,'LP Elementos'!AM18,'LP Elementos'!AR18,'LP Elementos'!AX18,'LP Elementos'!BB18,'LP Elementos'!BG18,'LP Elementos'!BL18,'LP Elementos'!BQ18,'LP Elementos'!BV18,'LP Elementos'!CA18,'LP Elementos'!CF18,'LP Elementos'!CK18,'LP Elementos'!CP18,'LP Elementos'!CU18,'LP Elementos'!CZ18)," ")</f>
        <v>3</v>
      </c>
    </row>
    <row r="19" spans="2:12" x14ac:dyDescent="0.25">
      <c r="B19" s="411">
        <v>17</v>
      </c>
      <c r="C19" s="412" t="s">
        <v>2929</v>
      </c>
      <c r="D19" s="408">
        <f>IFERROR(MIN('LP Elementos'!F19,'LP Elementos'!I19,'LP Elementos'!N19,'LP Elementos'!S19,'LP Elementos'!X19,'LP Elementos'!AC19,'LP Elementos'!AH19,'LP Elementos'!AM19,'LP Elementos'!AR19,'LP Elementos'!AW19,'LP Elementos'!BB19,'LP Elementos'!BG19,'LP Elementos'!BL19,'LP Elementos'!BQ19,'LP Elementos'!BV19,'LP Elementos'!CA19,'LP Elementos'!CF19,'LP Elementos'!CK19,'LP Elementos'!CP19,'LP Elementos'!CU19,'LP Elementos'!CZ19)," ")</f>
        <v>6783</v>
      </c>
      <c r="E19" s="341">
        <f>IFERROR(AVERAGE('LP Elementos'!F19,'LP Elementos'!I19,'LP Elementos'!N19,'LP Elementos'!S19,'LP Elementos'!X19,'LP Elementos'!AC19,'LP Elementos'!AH19,'LP Elementos'!AM19,'LP Elementos'!AR19,'LP Elementos'!AW19,'LP Elementos'!BB19,'LP Elementos'!BG19,'LP Elementos'!BL19,'LP Elementos'!BQ19,'LP Elementos'!BV19,'LP Elementos'!CA19,'LP Elementos'!CF19,'LP Elementos'!CK19,'LP Elementos'!CP19,'LP Elementos'!CU19,'LP Elementos'!CZ19)," ")</f>
        <v>53397.263500000001</v>
      </c>
      <c r="F19" s="341">
        <f>IFERROR(MEDIAN('LP Elementos'!F19,'LP Elementos'!I19,'LP Elementos'!N19,'LP Elementos'!S19,'LP Elementos'!X19,'LP Elementos'!AC19,'LP Elementos'!AH19,'LP Elementos'!AM19,'LP Elementos'!AR19,'LP Elementos'!AW19,'LP Elementos'!BB19,'LP Elementos'!BG19,'LP Elementos'!BL19,'LP Elementos'!BQ19,'LP Elementos'!BV19,'LP Elementos'!CA19,'LP Elementos'!CF19,'LP Elementos'!CK19,'LP Elementos'!CP19,'LP Elementos'!CU19,'LP Elementos'!CZ19)," ")</f>
        <v>41523.027000000002</v>
      </c>
      <c r="G19" s="341">
        <f>IFERROR(GEOMEAN('LP Elementos'!F19,'LP Elementos'!I19,'LP Elementos'!N19,'LP Elementos'!S19,'LP Elementos'!X19,'LP Elementos'!AC19,'LP Elementos'!AH19,'LP Elementos'!AM19,'LP Elementos'!AR19,'LP Elementos'!AW19,'LP Elementos'!BB19,'LP Elementos'!BG19,'LP Elementos'!BL19,'LP Elementos'!BQ19,'LP Elementos'!BV19,'LP Elementos'!CA19,'LP Elementos'!CF19,'LP Elementos'!CK19,'LP Elementos'!CP19,'LP Elementos'!CU19,'LP Elementos'!CZ19)," ")</f>
        <v>33868.155657489937</v>
      </c>
      <c r="H19" s="341">
        <f t="shared" si="0"/>
        <v>19778.661261258567</v>
      </c>
      <c r="I19" s="342">
        <f t="shared" si="1"/>
        <v>0.37040589657293144</v>
      </c>
      <c r="J19" s="341">
        <f t="shared" si="2"/>
        <v>6783</v>
      </c>
      <c r="K19" s="326" t="str">
        <f t="shared" si="3"/>
        <v>Menor Valor</v>
      </c>
      <c r="L19" s="326">
        <f>IFERROR(COUNTA('LP Elementos'!F19,'LP Elementos'!I19,'LP Elementos'!N19,'LP Elementos'!S19,'LP Elementos'!X19,'LP Elementos'!AC19,'LP Elementos'!AH19,'LP Elementos'!AM19,'LP Elementos'!AR19,'LP Elementos'!AX19,'LP Elementos'!BB19,'LP Elementos'!BG19,'LP Elementos'!BL19,'LP Elementos'!BQ19,'LP Elementos'!BV19,'LP Elementos'!CA19,'LP Elementos'!CF19,'LP Elementos'!CK19,'LP Elementos'!CP19,'LP Elementos'!CU19,'LP Elementos'!CZ19)," ")</f>
        <v>4</v>
      </c>
    </row>
    <row r="20" spans="2:12" x14ac:dyDescent="0.25">
      <c r="B20" s="411">
        <v>18</v>
      </c>
      <c r="C20" s="412" t="s">
        <v>2933</v>
      </c>
      <c r="D20" s="408">
        <f>IFERROR(MIN('LP Elementos'!F20,'LP Elementos'!I20,'LP Elementos'!N20,'LP Elementos'!S20,'LP Elementos'!X20,'LP Elementos'!AC20,'LP Elementos'!AH20,'LP Elementos'!AM20,'LP Elementos'!AR20,'LP Elementos'!AW20,'LP Elementos'!BB20,'LP Elementos'!BG20,'LP Elementos'!BL20,'LP Elementos'!BQ20,'LP Elementos'!BV20,'LP Elementos'!CA20,'LP Elementos'!CF20,'LP Elementos'!CK20,'LP Elementos'!CP20,'LP Elementos'!CU20,'LP Elementos'!CZ20)," ")</f>
        <v>516.48180000000002</v>
      </c>
      <c r="E20" s="341">
        <f>IFERROR(AVERAGE('LP Elementos'!F20,'LP Elementos'!I20,'LP Elementos'!N20,'LP Elementos'!S20,'LP Elementos'!X20,'LP Elementos'!AC20,'LP Elementos'!AH20,'LP Elementos'!AM20,'LP Elementos'!AR20,'LP Elementos'!AW20,'LP Elementos'!BB20,'LP Elementos'!BG20,'LP Elementos'!BL20,'LP Elementos'!BQ20,'LP Elementos'!BV20,'LP Elementos'!CA20,'LP Elementos'!CF20,'LP Elementos'!CK20,'LP Elementos'!CP20,'LP Elementos'!CU20,'LP Elementos'!CZ20)," ")</f>
        <v>853.24090000000001</v>
      </c>
      <c r="F20" s="341">
        <f>IFERROR(MEDIAN('LP Elementos'!F20,'LP Elementos'!I20,'LP Elementos'!N20,'LP Elementos'!S20,'LP Elementos'!X20,'LP Elementos'!AC20,'LP Elementos'!AH20,'LP Elementos'!AM20,'LP Elementos'!AR20,'LP Elementos'!AW20,'LP Elementos'!BB20,'LP Elementos'!BG20,'LP Elementos'!BL20,'LP Elementos'!BQ20,'LP Elementos'!BV20,'LP Elementos'!CA20,'LP Elementos'!CF20,'LP Elementos'!CK20,'LP Elementos'!CP20,'LP Elementos'!CU20,'LP Elementos'!CZ20)," ")</f>
        <v>853.24090000000001</v>
      </c>
      <c r="G20" s="341">
        <f>IFERROR(GEOMEAN('LP Elementos'!F20,'LP Elementos'!I20,'LP Elementos'!N20,'LP Elementos'!S20,'LP Elementos'!X20,'LP Elementos'!AC20,'LP Elementos'!AH20,'LP Elementos'!AM20,'LP Elementos'!AR20,'LP Elementos'!AW20,'LP Elementos'!BB20,'LP Elementos'!BG20,'LP Elementos'!BL20,'LP Elementos'!BQ20,'LP Elementos'!BV20,'LP Elementos'!CA20,'LP Elementos'!CF20,'LP Elementos'!CK20,'LP Elementos'!CP20,'LP Elementos'!CU20,'LP Elementos'!CZ20)," ")</f>
        <v>783.97279417081825</v>
      </c>
      <c r="H20" s="341">
        <f t="shared" si="0"/>
        <v>160.19804300678317</v>
      </c>
      <c r="I20" s="342">
        <f t="shared" si="1"/>
        <v>0.18775241904927806</v>
      </c>
      <c r="J20" s="341">
        <f t="shared" si="2"/>
        <v>853.24090000000001</v>
      </c>
      <c r="K20" s="326" t="str">
        <f t="shared" si="3"/>
        <v>Promedio</v>
      </c>
      <c r="L20" s="326">
        <f>IFERROR(COUNTA('LP Elementos'!F20,'LP Elementos'!I20,'LP Elementos'!N20,'LP Elementos'!S20,'LP Elementos'!X20,'LP Elementos'!AC20,'LP Elementos'!AH20,'LP Elementos'!AM20,'LP Elementos'!AR20,'LP Elementos'!AX20,'LP Elementos'!BB20,'LP Elementos'!BG20,'LP Elementos'!BL20,'LP Elementos'!BQ20,'LP Elementos'!BV20,'LP Elementos'!CA20,'LP Elementos'!CF20,'LP Elementos'!CK20,'LP Elementos'!CP20,'LP Elementos'!CU20,'LP Elementos'!CZ20)," ")</f>
        <v>2</v>
      </c>
    </row>
    <row r="21" spans="2:12" ht="27" x14ac:dyDescent="0.25">
      <c r="B21" s="411">
        <v>19</v>
      </c>
      <c r="C21" s="412" t="s">
        <v>2936</v>
      </c>
      <c r="D21" s="408">
        <f>IFERROR(MIN('LP Elementos'!F21,'LP Elementos'!I21,'LP Elementos'!N21,'LP Elementos'!S21,'LP Elementos'!X21,'LP Elementos'!AC21,'LP Elementos'!AH21,'LP Elementos'!AM21,'LP Elementos'!AR21,'LP Elementos'!AW21,'LP Elementos'!BB21,'LP Elementos'!BG21,'LP Elementos'!BL21,'LP Elementos'!BQ21,'LP Elementos'!BV21,'LP Elementos'!CA21,'LP Elementos'!CF21,'LP Elementos'!CK21,'LP Elementos'!CP21,'LP Elementos'!CU21,'LP Elementos'!CZ21)," ")</f>
        <v>70385.168000000005</v>
      </c>
      <c r="E21" s="341">
        <f>IFERROR(AVERAGE('LP Elementos'!F21,'LP Elementos'!I21,'LP Elementos'!N21,'LP Elementos'!S21,'LP Elementos'!X21,'LP Elementos'!AC21,'LP Elementos'!AH21,'LP Elementos'!AM21,'LP Elementos'!AR21,'LP Elementos'!AW21,'LP Elementos'!BB21,'LP Elementos'!BG21,'LP Elementos'!BL21,'LP Elementos'!BQ21,'LP Elementos'!BV21,'LP Elementos'!CA21,'LP Elementos'!CF21,'LP Elementos'!CK21,'LP Elementos'!CP21,'LP Elementos'!CU21,'LP Elementos'!CZ21)," ")</f>
        <v>70385.168000000005</v>
      </c>
      <c r="F21" s="341">
        <f>IFERROR(MEDIAN('LP Elementos'!F21,'LP Elementos'!I21,'LP Elementos'!N21,'LP Elementos'!S21,'LP Elementos'!X21,'LP Elementos'!AC21,'LP Elementos'!AH21,'LP Elementos'!AM21,'LP Elementos'!AR21,'LP Elementos'!AW21,'LP Elementos'!BB21,'LP Elementos'!BG21,'LP Elementos'!BL21,'LP Elementos'!BQ21,'LP Elementos'!BV21,'LP Elementos'!CA21,'LP Elementos'!CF21,'LP Elementos'!CK21,'LP Elementos'!CP21,'LP Elementos'!CU21,'LP Elementos'!CZ21)," ")</f>
        <v>70385.168000000005</v>
      </c>
      <c r="G21" s="341">
        <f>IFERROR(GEOMEAN('LP Elementos'!F21,'LP Elementos'!I21,'LP Elementos'!N21,'LP Elementos'!S21,'LP Elementos'!X21,'LP Elementos'!AC21,'LP Elementos'!AH21,'LP Elementos'!AM21,'LP Elementos'!AR21,'LP Elementos'!AW21,'LP Elementos'!BB21,'LP Elementos'!BG21,'LP Elementos'!BL21,'LP Elementos'!BQ21,'LP Elementos'!BV21,'LP Elementos'!CA21,'LP Elementos'!CF21,'LP Elementos'!CK21,'LP Elementos'!CP21,'LP Elementos'!CU21,'LP Elementos'!CZ21)," ")</f>
        <v>70385.168000000005</v>
      </c>
      <c r="H21" s="341">
        <f t="shared" si="0"/>
        <v>0</v>
      </c>
      <c r="I21" s="342">
        <f t="shared" si="1"/>
        <v>0</v>
      </c>
      <c r="J21" s="341">
        <f t="shared" si="2"/>
        <v>70385.168000000005</v>
      </c>
      <c r="K21" s="326" t="str">
        <f t="shared" si="3"/>
        <v>Menor Valor</v>
      </c>
      <c r="L21" s="326">
        <f>IFERROR(COUNTA('LP Elementos'!F21,'LP Elementos'!I21,'LP Elementos'!N21,'LP Elementos'!S21,'LP Elementos'!X21,'LP Elementos'!AC21,'LP Elementos'!AH21,'LP Elementos'!AM21,'LP Elementos'!AR21,'LP Elementos'!AX21,'LP Elementos'!BB21,'LP Elementos'!BG21,'LP Elementos'!BL21,'LP Elementos'!BQ21,'LP Elementos'!BV21,'LP Elementos'!CA21,'LP Elementos'!CF21,'LP Elementos'!CK21,'LP Elementos'!CP21,'LP Elementos'!CU21,'LP Elementos'!CZ21)," ")</f>
        <v>1</v>
      </c>
    </row>
    <row r="22" spans="2:12" x14ac:dyDescent="0.25">
      <c r="B22" s="411">
        <v>20</v>
      </c>
      <c r="C22" s="412" t="s">
        <v>2937</v>
      </c>
      <c r="D22" s="408">
        <f>IFERROR(MIN('LP Elementos'!F22,'LP Elementos'!I22,'LP Elementos'!N22,'LP Elementos'!S22,'LP Elementos'!X22,'LP Elementos'!AC22,'LP Elementos'!AH22,'LP Elementos'!AM22,'LP Elementos'!AR22,'LP Elementos'!AW22,'LP Elementos'!BB22,'LP Elementos'!BG22,'LP Elementos'!BL22,'LP Elementos'!BQ22,'LP Elementos'!BV22,'LP Elementos'!CA22,'LP Elementos'!CF22,'LP Elementos'!CK22,'LP Elementos'!CP22,'LP Elementos'!CU22,'LP Elementos'!CZ22)," ")</f>
        <v>26180</v>
      </c>
      <c r="E22" s="341">
        <f>IFERROR(AVERAGE('LP Elementos'!F22,'LP Elementos'!I22,'LP Elementos'!N22,'LP Elementos'!S22,'LP Elementos'!X22,'LP Elementos'!AC22,'LP Elementos'!AH22,'LP Elementos'!AM22,'LP Elementos'!AR22,'LP Elementos'!AW22,'LP Elementos'!BB22,'LP Elementos'!BG22,'LP Elementos'!BL22,'LP Elementos'!BQ22,'LP Elementos'!BV22,'LP Elementos'!CA22,'LP Elementos'!CF22,'LP Elementos'!CK22,'LP Elementos'!CP22,'LP Elementos'!CU22,'LP Elementos'!CZ22)," ")</f>
        <v>32642.731333333333</v>
      </c>
      <c r="F22" s="341">
        <f>IFERROR(MEDIAN('LP Elementos'!F22,'LP Elementos'!I22,'LP Elementos'!N22,'LP Elementos'!S22,'LP Elementos'!X22,'LP Elementos'!AC22,'LP Elementos'!AH22,'LP Elementos'!AM22,'LP Elementos'!AR22,'LP Elementos'!AW22,'LP Elementos'!BB22,'LP Elementos'!BG22,'LP Elementos'!BL22,'LP Elementos'!BQ22,'LP Elementos'!BV22,'LP Elementos'!CA22,'LP Elementos'!CF22,'LP Elementos'!CK22,'LP Elementos'!CP22,'LP Elementos'!CU22,'LP Elementos'!CZ22)," ")</f>
        <v>28908.194</v>
      </c>
      <c r="G22" s="341">
        <f>IFERROR(GEOMEAN('LP Elementos'!F22,'LP Elementos'!I22,'LP Elementos'!N22,'LP Elementos'!S22,'LP Elementos'!X22,'LP Elementos'!AC22,'LP Elementos'!AH22,'LP Elementos'!AM22,'LP Elementos'!AR22,'LP Elementos'!AW22,'LP Elementos'!BB22,'LP Elementos'!BG22,'LP Elementos'!BL22,'LP Elementos'!BQ22,'LP Elementos'!BV22,'LP Elementos'!CA22,'LP Elementos'!CF22,'LP Elementos'!CK22,'LP Elementos'!CP22,'LP Elementos'!CU22,'LP Elementos'!CZ22)," ")</f>
        <v>31886.977474456362</v>
      </c>
      <c r="H22" s="341">
        <f t="shared" si="0"/>
        <v>2960.4421778314208</v>
      </c>
      <c r="I22" s="342">
        <f t="shared" si="1"/>
        <v>9.0692232448341306E-2</v>
      </c>
      <c r="J22" s="341">
        <f t="shared" si="2"/>
        <v>28908.194</v>
      </c>
      <c r="K22" s="326" t="str">
        <f t="shared" si="3"/>
        <v>Mediana</v>
      </c>
      <c r="L22" s="326">
        <f>IFERROR(COUNTA('LP Elementos'!F22,'LP Elementos'!I22,'LP Elementos'!N22,'LP Elementos'!S22,'LP Elementos'!X22,'LP Elementos'!AC22,'LP Elementos'!AH22,'LP Elementos'!AM22,'LP Elementos'!AR22,'LP Elementos'!AX22,'LP Elementos'!BB22,'LP Elementos'!BG22,'LP Elementos'!BL22,'LP Elementos'!BQ22,'LP Elementos'!BV22,'LP Elementos'!CA22,'LP Elementos'!CF22,'LP Elementos'!CK22,'LP Elementos'!CP22,'LP Elementos'!CU22,'LP Elementos'!CZ22)," ")</f>
        <v>3</v>
      </c>
    </row>
    <row r="23" spans="2:12" x14ac:dyDescent="0.25">
      <c r="B23" s="411">
        <v>21</v>
      </c>
      <c r="C23" s="412" t="s">
        <v>2942</v>
      </c>
      <c r="D23" s="408">
        <f>IFERROR(MIN('LP Elementos'!F23,'LP Elementos'!I23,'LP Elementos'!N23,'LP Elementos'!S23,'LP Elementos'!X23,'LP Elementos'!AC23,'LP Elementos'!AH23,'LP Elementos'!AM23,'LP Elementos'!AR23,'LP Elementos'!AW23,'LP Elementos'!BB23,'LP Elementos'!BG23,'LP Elementos'!BL23,'LP Elementos'!BQ23,'LP Elementos'!BV23,'LP Elementos'!CA23,'LP Elementos'!CF23,'LP Elementos'!CK23,'LP Elementos'!CP23,'LP Elementos'!CU23,'LP Elementos'!CZ23)," ")</f>
        <v>3267.8827999999999</v>
      </c>
      <c r="E23" s="341">
        <f>IFERROR(AVERAGE('LP Elementos'!F23,'LP Elementos'!I23,'LP Elementos'!N23,'LP Elementos'!S23,'LP Elementos'!X23,'LP Elementos'!AC23,'LP Elementos'!AH23,'LP Elementos'!AM23,'LP Elementos'!AR23,'LP Elementos'!AW23,'LP Elementos'!BB23,'LP Elementos'!BG23,'LP Elementos'!BL23,'LP Elementos'!BQ23,'LP Elementos'!BV23,'LP Elementos'!CA23,'LP Elementos'!CF23,'LP Elementos'!CK23,'LP Elementos'!CP23,'LP Elementos'!CU23,'LP Elementos'!CZ23)," ")</f>
        <v>3627.9609333333333</v>
      </c>
      <c r="F23" s="341">
        <f>IFERROR(MEDIAN('LP Elementos'!F23,'LP Elementos'!I23,'LP Elementos'!N23,'LP Elementos'!S23,'LP Elementos'!X23,'LP Elementos'!AC23,'LP Elementos'!AH23,'LP Elementos'!AM23,'LP Elementos'!AR23,'LP Elementos'!AW23,'LP Elementos'!BB23,'LP Elementos'!BG23,'LP Elementos'!BL23,'LP Elementos'!BQ23,'LP Elementos'!BV23,'LP Elementos'!CA23,'LP Elementos'!CF23,'LP Elementos'!CK23,'LP Elementos'!CP23,'LP Elementos'!CU23,'LP Elementos'!CZ23)," ")</f>
        <v>3689</v>
      </c>
      <c r="G23" s="341">
        <f>IFERROR(GEOMEAN('LP Elementos'!F23,'LP Elementos'!I23,'LP Elementos'!N23,'LP Elementos'!S23,'LP Elementos'!X23,'LP Elementos'!AC23,'LP Elementos'!AH23,'LP Elementos'!AM23,'LP Elementos'!AR23,'LP Elementos'!AW23,'LP Elementos'!BB23,'LP Elementos'!BG23,'LP Elementos'!BL23,'LP Elementos'!BQ23,'LP Elementos'!BV23,'LP Elementos'!CA23,'LP Elementos'!CF23,'LP Elementos'!CK23,'LP Elementos'!CP23,'LP Elementos'!CU23,'LP Elementos'!CZ23)," ")</f>
        <v>3617.5289028328748</v>
      </c>
      <c r="H23" s="341">
        <f t="shared" si="0"/>
        <v>191.09139787831202</v>
      </c>
      <c r="I23" s="342">
        <f t="shared" si="1"/>
        <v>5.2671845532454291E-2</v>
      </c>
      <c r="J23" s="341">
        <f t="shared" si="2"/>
        <v>3689</v>
      </c>
      <c r="K23" s="326" t="str">
        <f t="shared" si="3"/>
        <v>Mediana</v>
      </c>
      <c r="L23" s="326">
        <f>IFERROR(COUNTA('LP Elementos'!F23,'LP Elementos'!I23,'LP Elementos'!N23,'LP Elementos'!S23,'LP Elementos'!X23,'LP Elementos'!AC23,'LP Elementos'!AH23,'LP Elementos'!AM23,'LP Elementos'!AR23,'LP Elementos'!AX23,'LP Elementos'!BB23,'LP Elementos'!BG23,'LP Elementos'!BL23,'LP Elementos'!BQ23,'LP Elementos'!BV23,'LP Elementos'!CA23,'LP Elementos'!CF23,'LP Elementos'!CK23,'LP Elementos'!CP23,'LP Elementos'!CU23,'LP Elementos'!CZ23)," ")</f>
        <v>3</v>
      </c>
    </row>
    <row r="24" spans="2:12" ht="40.5" x14ac:dyDescent="0.25">
      <c r="B24" s="411">
        <v>22</v>
      </c>
      <c r="C24" s="412" t="s">
        <v>2946</v>
      </c>
      <c r="D24" s="408">
        <f>IFERROR(MIN('LP Elementos'!F24,'LP Elementos'!I24,'LP Elementos'!N24,'LP Elementos'!S24,'LP Elementos'!X24,'LP Elementos'!AC24,'LP Elementos'!AH24,'LP Elementos'!AM24,'LP Elementos'!AR24,'LP Elementos'!AW24,'LP Elementos'!BB24,'LP Elementos'!BG24,'LP Elementos'!BL24,'LP Elementos'!BQ24,'LP Elementos'!BV24,'LP Elementos'!CA24,'LP Elementos'!CF24,'LP Elementos'!CK24,'LP Elementos'!CP24,'LP Elementos'!CU24,'LP Elementos'!CZ24)," ")</f>
        <v>5593</v>
      </c>
      <c r="E24" s="341">
        <f>IFERROR(AVERAGE('LP Elementos'!F24,'LP Elementos'!I24,'LP Elementos'!N24,'LP Elementos'!S24,'LP Elementos'!X24,'LP Elementos'!AC24,'LP Elementos'!AH24,'LP Elementos'!AM24,'LP Elementos'!AR24,'LP Elementos'!AW24,'LP Elementos'!BB24,'LP Elementos'!BG24,'LP Elementos'!BL24,'LP Elementos'!BQ24,'LP Elementos'!BV24,'LP Elementos'!CA24,'LP Elementos'!CF24,'LP Elementos'!CK24,'LP Elementos'!CP24,'LP Elementos'!CU24,'LP Elementos'!CZ24)," ")</f>
        <v>219351.58933333334</v>
      </c>
      <c r="F24" s="341">
        <f>IFERROR(MEDIAN('LP Elementos'!F24,'LP Elementos'!I24,'LP Elementos'!N24,'LP Elementos'!S24,'LP Elementos'!X24,'LP Elementos'!AC24,'LP Elementos'!AH24,'LP Elementos'!AM24,'LP Elementos'!AR24,'LP Elementos'!AW24,'LP Elementos'!BB24,'LP Elementos'!BG24,'LP Elementos'!BL24,'LP Elementos'!BQ24,'LP Elementos'!BV24,'LP Elementos'!CA24,'LP Elementos'!CF24,'LP Elementos'!CK24,'LP Elementos'!CP24,'LP Elementos'!CU24,'LP Elementos'!CZ24)," ")</f>
        <v>10932.768</v>
      </c>
      <c r="G24" s="341">
        <f>IFERROR(GEOMEAN('LP Elementos'!F24,'LP Elementos'!I24,'LP Elementos'!N24,'LP Elementos'!S24,'LP Elementos'!X24,'LP Elementos'!AC24,'LP Elementos'!AH24,'LP Elementos'!AM24,'LP Elementos'!AR24,'LP Elementos'!AW24,'LP Elementos'!BB24,'LP Elementos'!BG24,'LP Elementos'!BL24,'LP Elementos'!BQ24,'LP Elementos'!BV24,'LP Elementos'!CA24,'LP Elementos'!CF24,'LP Elementos'!CK24,'LP Elementos'!CP24,'LP Elementos'!CU24,'LP Elementos'!CZ24)," ")</f>
        <v>32175.135438062509</v>
      </c>
      <c r="H24" s="341">
        <f t="shared" si="0"/>
        <v>102205.88930914403</v>
      </c>
      <c r="I24" s="342">
        <f t="shared" si="1"/>
        <v>0.46594551523321243</v>
      </c>
      <c r="J24" s="341">
        <f>IF(I24&lt;=10%,F24,IF(AND(I24&gt;10%,I24&lt;=20%),E24,IF(AND(I24&gt;20%,I24&lt;=47%),G24,IF(I24&gt;47%,D24))))</f>
        <v>32175.135438062509</v>
      </c>
      <c r="K24" s="326" t="str">
        <f t="shared" si="3"/>
        <v>Media Geometrica</v>
      </c>
      <c r="L24" s="326">
        <f>IFERROR(COUNTA('LP Elementos'!F24,'LP Elementos'!I24,'LP Elementos'!N24,'LP Elementos'!S24,'LP Elementos'!X24,'LP Elementos'!AC24,'LP Elementos'!AH24,'LP Elementos'!AM24,'LP Elementos'!AR24,'LP Elementos'!AX24,'LP Elementos'!BB24,'LP Elementos'!BG24,'LP Elementos'!BL24,'LP Elementos'!BQ24,'LP Elementos'!BV24,'LP Elementos'!CA24,'LP Elementos'!CF24,'LP Elementos'!CK24,'LP Elementos'!CP24,'LP Elementos'!CU24,'LP Elementos'!CZ24)," ")</f>
        <v>6</v>
      </c>
    </row>
    <row r="25" spans="2:12" x14ac:dyDescent="0.25">
      <c r="B25" s="411">
        <v>23</v>
      </c>
      <c r="C25" s="412" t="s">
        <v>2953</v>
      </c>
      <c r="D25" s="408">
        <f>IFERROR(MIN('LP Elementos'!F25,'LP Elementos'!I25,'LP Elementos'!N25,'LP Elementos'!S25,'LP Elementos'!X25,'LP Elementos'!AC25,'LP Elementos'!AH25,'LP Elementos'!AM25,'LP Elementos'!AR25,'LP Elementos'!AW25,'LP Elementos'!BB25,'LP Elementos'!BG25,'LP Elementos'!BL25,'LP Elementos'!BQ25,'LP Elementos'!BV25,'LP Elementos'!CA25,'LP Elementos'!CF25,'LP Elementos'!CK25,'LP Elementos'!CP25,'LP Elementos'!CU25,'LP Elementos'!CZ25)," ")</f>
        <v>7918.3314</v>
      </c>
      <c r="E25" s="341">
        <f>IFERROR(AVERAGE('LP Elementos'!F25,'LP Elementos'!I25,'LP Elementos'!N25,'LP Elementos'!S25,'LP Elementos'!X25,'LP Elementos'!AC25,'LP Elementos'!AH25,'LP Elementos'!AM25,'LP Elementos'!AR25,'LP Elementos'!AW25,'LP Elementos'!BB25,'LP Elementos'!BG25,'LP Elementos'!BL25,'LP Elementos'!BQ25,'LP Elementos'!BV25,'LP Elementos'!CA25,'LP Elementos'!CF25,'LP Elementos'!CK25,'LP Elementos'!CP25,'LP Elementos'!CU25,'LP Elementos'!CZ25)," ")</f>
        <v>7918.3314</v>
      </c>
      <c r="F25" s="341">
        <f>IFERROR(MEDIAN('LP Elementos'!F25,'LP Elementos'!I25,'LP Elementos'!N25,'LP Elementos'!S25,'LP Elementos'!X25,'LP Elementos'!AC25,'LP Elementos'!AH25,'LP Elementos'!AM25,'LP Elementos'!AR25,'LP Elementos'!AW25,'LP Elementos'!BB25,'LP Elementos'!BG25,'LP Elementos'!BL25,'LP Elementos'!BQ25,'LP Elementos'!BV25,'LP Elementos'!CA25,'LP Elementos'!CF25,'LP Elementos'!CK25,'LP Elementos'!CP25,'LP Elementos'!CU25,'LP Elementos'!CZ25)," ")</f>
        <v>7918.3314</v>
      </c>
      <c r="G25" s="341">
        <f>IFERROR(GEOMEAN('LP Elementos'!F25,'LP Elementos'!I25,'LP Elementos'!N25,'LP Elementos'!S25,'LP Elementos'!X25,'LP Elementos'!AC25,'LP Elementos'!AH25,'LP Elementos'!AM25,'LP Elementos'!AR25,'LP Elementos'!AW25,'LP Elementos'!BB25,'LP Elementos'!BG25,'LP Elementos'!BL25,'LP Elementos'!BQ25,'LP Elementos'!BV25,'LP Elementos'!CA25,'LP Elementos'!CF25,'LP Elementos'!CK25,'LP Elementos'!CP25,'LP Elementos'!CU25,'LP Elementos'!CZ25)," ")</f>
        <v>7918.3314</v>
      </c>
      <c r="H25" s="341">
        <f t="shared" si="0"/>
        <v>0</v>
      </c>
      <c r="I25" s="342">
        <f t="shared" si="1"/>
        <v>0</v>
      </c>
      <c r="J25" s="341">
        <f t="shared" si="2"/>
        <v>7918.3314</v>
      </c>
      <c r="K25" s="326" t="str">
        <f t="shared" si="3"/>
        <v>Menor Valor</v>
      </c>
      <c r="L25" s="326">
        <f>IFERROR(COUNTA('LP Elementos'!F25,'LP Elementos'!I25,'LP Elementos'!N25,'LP Elementos'!S25,'LP Elementos'!X25,'LP Elementos'!AC25,'LP Elementos'!AH25,'LP Elementos'!AM25,'LP Elementos'!AR25,'LP Elementos'!AX25,'LP Elementos'!BB25,'LP Elementos'!BG25,'LP Elementos'!BL25,'LP Elementos'!BQ25,'LP Elementos'!BV25,'LP Elementos'!CA25,'LP Elementos'!CF25,'LP Elementos'!CK25,'LP Elementos'!CP25,'LP Elementos'!CU25,'LP Elementos'!CZ25)," ")</f>
        <v>1</v>
      </c>
    </row>
    <row r="26" spans="2:12" ht="27" x14ac:dyDescent="0.25">
      <c r="B26" s="411">
        <v>24</v>
      </c>
      <c r="C26" s="412" t="s">
        <v>2954</v>
      </c>
      <c r="D26" s="408">
        <f>IFERROR(MIN('LP Elementos'!F26,'LP Elementos'!I26,'LP Elementos'!N26,'LP Elementos'!S26,'LP Elementos'!X26,'LP Elementos'!AC26,'LP Elementos'!AH26,'LP Elementos'!AM26,'LP Elementos'!AR26,'LP Elementos'!AW26,'LP Elementos'!BB26,'LP Elementos'!BG26,'LP Elementos'!BL26,'LP Elementos'!BQ26,'LP Elementos'!BV26,'LP Elementos'!CA26,'LP Elementos'!CF26,'LP Elementos'!CK26,'LP Elementos'!CP26,'LP Elementos'!CU26,'LP Elementos'!CZ26)," ")</f>
        <v>2262.3804</v>
      </c>
      <c r="E26" s="341">
        <f>IFERROR(AVERAGE('LP Elementos'!F26,'LP Elementos'!I26,'LP Elementos'!N26,'LP Elementos'!S26,'LP Elementos'!X26,'LP Elementos'!AC26,'LP Elementos'!AH26,'LP Elementos'!AM26,'LP Elementos'!AR26,'LP Elementos'!AW26,'LP Elementos'!BB26,'LP Elementos'!BG26,'LP Elementos'!BL26,'LP Elementos'!BQ26,'LP Elementos'!BV26,'LP Elementos'!CA26,'LP Elementos'!CF26,'LP Elementos'!CK26,'LP Elementos'!CP26,'LP Elementos'!CU26,'LP Elementos'!CZ26)," ")</f>
        <v>8965.1268</v>
      </c>
      <c r="F26" s="341">
        <f>IFERROR(MEDIAN('LP Elementos'!F26,'LP Elementos'!I26,'LP Elementos'!N26,'LP Elementos'!S26,'LP Elementos'!X26,'LP Elementos'!AC26,'LP Elementos'!AH26,'LP Elementos'!AM26,'LP Elementos'!AR26,'LP Elementos'!AW26,'LP Elementos'!BB26,'LP Elementos'!BG26,'LP Elementos'!BL26,'LP Elementos'!BQ26,'LP Elementos'!BV26,'LP Elementos'!CA26,'LP Elementos'!CF26,'LP Elementos'!CK26,'LP Elementos'!CP26,'LP Elementos'!CU26,'LP Elementos'!CZ26)," ")</f>
        <v>3689</v>
      </c>
      <c r="G26" s="341">
        <f>IFERROR(GEOMEAN('LP Elementos'!F26,'LP Elementos'!I26,'LP Elementos'!N26,'LP Elementos'!S26,'LP Elementos'!X26,'LP Elementos'!AC26,'LP Elementos'!AH26,'LP Elementos'!AM26,'LP Elementos'!AR26,'LP Elementos'!AW26,'LP Elementos'!BB26,'LP Elementos'!BG26,'LP Elementos'!BL26,'LP Elementos'!BQ26,'LP Elementos'!BV26,'LP Elementos'!CA26,'LP Elementos'!CF26,'LP Elementos'!CK26,'LP Elementos'!CP26,'LP Elementos'!CU26,'LP Elementos'!CZ26)," ")</f>
        <v>5591.2808149613238</v>
      </c>
      <c r="H26" s="341">
        <f t="shared" si="0"/>
        <v>2899.4633669864475</v>
      </c>
      <c r="I26" s="342">
        <f t="shared" si="1"/>
        <v>0.32341576774870018</v>
      </c>
      <c r="J26" s="341">
        <f>IF(I26&lt;=10%,F26,IF(AND(I26&gt;10%,I26&lt;=20%),E26,IF(AND(I26&gt;20%,I26&lt;=33%),G26,IF(I26&gt;33%,D26))))</f>
        <v>5591.2808149613238</v>
      </c>
      <c r="K26" s="326" t="str">
        <f t="shared" si="3"/>
        <v>Media Geometrica</v>
      </c>
      <c r="L26" s="326">
        <f>IFERROR(COUNTA('LP Elementos'!F26,'LP Elementos'!I26,'LP Elementos'!N26,'LP Elementos'!S26,'LP Elementos'!X26,'LP Elementos'!AC26,'LP Elementos'!AH26,'LP Elementos'!AM26,'LP Elementos'!AR26,'LP Elementos'!AX26,'LP Elementos'!BB26,'LP Elementos'!BG26,'LP Elementos'!BL26,'LP Elementos'!BQ26,'LP Elementos'!BV26,'LP Elementos'!CA26,'LP Elementos'!CF26,'LP Elementos'!CK26,'LP Elementos'!CP26,'LP Elementos'!CU26,'LP Elementos'!CZ26)," ")</f>
        <v>3</v>
      </c>
    </row>
    <row r="27" spans="2:12" x14ac:dyDescent="0.25">
      <c r="B27" s="411">
        <v>25</v>
      </c>
      <c r="C27" s="412" t="s">
        <v>2958</v>
      </c>
      <c r="D27" s="408">
        <f>IFERROR(MIN('LP Elementos'!F27,'LP Elementos'!I27,'LP Elementos'!N27,'LP Elementos'!S27,'LP Elementos'!X27,'LP Elementos'!AC27,'LP Elementos'!AH27,'LP Elementos'!AM27,'LP Elementos'!AR27,'LP Elementos'!AW27,'LP Elementos'!BB27,'LP Elementos'!BG27,'LP Elementos'!BL27,'LP Elementos'!BQ27,'LP Elementos'!BV27,'LP Elementos'!CA27,'LP Elementos'!CF27,'LP Elementos'!CK27,'LP Elementos'!CP27,'LP Elementos'!CU27,'LP Elementos'!CZ27)," ")</f>
        <v>279650</v>
      </c>
      <c r="E27" s="341">
        <f>IFERROR(AVERAGE('LP Elementos'!F27,'LP Elementos'!I27,'LP Elementos'!N27,'LP Elementos'!S27,'LP Elementos'!X27,'LP Elementos'!AC27,'LP Elementos'!AH27,'LP Elementos'!AM27,'LP Elementos'!AR27,'LP Elementos'!AW27,'LP Elementos'!BB27,'LP Elementos'!BG27,'LP Elementos'!BL27,'LP Elementos'!BQ27,'LP Elementos'!BV27,'LP Elementos'!CA27,'LP Elementos'!CF27,'LP Elementos'!CK27,'LP Elementos'!CP27,'LP Elementos'!CU27,'LP Elementos'!CZ27)," ")</f>
        <v>501804.49550000002</v>
      </c>
      <c r="F27" s="341">
        <f>IFERROR(MEDIAN('LP Elementos'!F27,'LP Elementos'!I27,'LP Elementos'!N27,'LP Elementos'!S27,'LP Elementos'!X27,'LP Elementos'!AC27,'LP Elementos'!AH27,'LP Elementos'!AM27,'LP Elementos'!AR27,'LP Elementos'!AW27,'LP Elementos'!BB27,'LP Elementos'!BG27,'LP Elementos'!BL27,'LP Elementos'!BQ27,'LP Elementos'!BV27,'LP Elementos'!CA27,'LP Elementos'!CF27,'LP Elementos'!CK27,'LP Elementos'!CP27,'LP Elementos'!CU27,'LP Elementos'!CZ27)," ")</f>
        <v>412178.99100000004</v>
      </c>
      <c r="G27" s="341">
        <f>IFERROR(GEOMEAN('LP Elementos'!F27,'LP Elementos'!I27,'LP Elementos'!N27,'LP Elementos'!S27,'LP Elementos'!X27,'LP Elementos'!AC27,'LP Elementos'!AH27,'LP Elementos'!AM27,'LP Elementos'!AR27,'LP Elementos'!AW27,'LP Elementos'!BB27,'LP Elementos'!BG27,'LP Elementos'!BL27,'LP Elementos'!BQ27,'LP Elementos'!BV27,'LP Elementos'!CA27,'LP Elementos'!CF27,'LP Elementos'!CK27,'LP Elementos'!CP27,'LP Elementos'!CU27,'LP Elementos'!CZ27)," ")</f>
        <v>453344.30080363277</v>
      </c>
      <c r="H27" s="341">
        <f t="shared" si="0"/>
        <v>95377.306750662072</v>
      </c>
      <c r="I27" s="342">
        <f t="shared" si="1"/>
        <v>0.19006865742728699</v>
      </c>
      <c r="J27" s="341">
        <f t="shared" si="2"/>
        <v>501804.49550000002</v>
      </c>
      <c r="K27" s="326" t="str">
        <f t="shared" si="3"/>
        <v>Promedio</v>
      </c>
      <c r="L27" s="326">
        <f>IFERROR(COUNTA('LP Elementos'!F27,'LP Elementos'!I27,'LP Elementos'!N27,'LP Elementos'!S27,'LP Elementos'!X27,'LP Elementos'!AC27,'LP Elementos'!AH27,'LP Elementos'!AM27,'LP Elementos'!AR27,'LP Elementos'!AX27,'LP Elementos'!BB27,'LP Elementos'!BG27,'LP Elementos'!BL27,'LP Elementos'!BQ27,'LP Elementos'!BV27,'LP Elementos'!CA27,'LP Elementos'!CF27,'LP Elementos'!CK27,'LP Elementos'!CP27,'LP Elementos'!CU27,'LP Elementos'!CZ27)," ")</f>
        <v>4</v>
      </c>
    </row>
    <row r="28" spans="2:12" ht="27" x14ac:dyDescent="0.25">
      <c r="B28" s="411">
        <v>26</v>
      </c>
      <c r="C28" s="412" t="s">
        <v>2964</v>
      </c>
      <c r="D28" s="408">
        <f>IFERROR(MIN('LP Elementos'!F28,'LP Elementos'!I28,'LP Elementos'!N28,'LP Elementos'!S28,'LP Elementos'!X28,'LP Elementos'!AC28,'LP Elementos'!AH28,'LP Elementos'!AM28,'LP Elementos'!AR28,'LP Elementos'!AW28,'LP Elementos'!BB28,'LP Elementos'!BG28,'LP Elementos'!BL28,'LP Elementos'!BQ28,'LP Elementos'!BV28,'LP Elementos'!CA28,'LP Elementos'!CF28,'LP Elementos'!CK28,'LP Elementos'!CP28,'LP Elementos'!CU28,'LP Elementos'!CZ28)," ")</f>
        <v>558110</v>
      </c>
      <c r="E28" s="341">
        <f>IFERROR(AVERAGE('LP Elementos'!F28,'LP Elementos'!I28,'LP Elementos'!N28,'LP Elementos'!S28,'LP Elementos'!X28,'LP Elementos'!AC28,'LP Elementos'!AH28,'LP Elementos'!AM28,'LP Elementos'!AR28,'LP Elementos'!AW28,'LP Elementos'!BB28,'LP Elementos'!BG28,'LP Elementos'!BL28,'LP Elementos'!BQ28,'LP Elementos'!BV28,'LP Elementos'!CA28,'LP Elementos'!CF28,'LP Elementos'!CK28,'LP Elementos'!CP28,'LP Elementos'!CU28,'LP Elementos'!CZ28)," ")</f>
        <v>975893.45466666669</v>
      </c>
      <c r="F28" s="341">
        <f>IFERROR(MEDIAN('LP Elementos'!F28,'LP Elementos'!I28,'LP Elementos'!N28,'LP Elementos'!S28,'LP Elementos'!X28,'LP Elementos'!AC28,'LP Elementos'!AH28,'LP Elementos'!AM28,'LP Elementos'!AR28,'LP Elementos'!AW28,'LP Elementos'!BB28,'LP Elementos'!BG28,'LP Elementos'!BL28,'LP Elementos'!BQ28,'LP Elementos'!BV28,'LP Elementos'!CA28,'LP Elementos'!CF28,'LP Elementos'!CK28,'LP Elementos'!CP28,'LP Elementos'!CU28,'LP Elementos'!CZ28)," ")</f>
        <v>676200.36400000006</v>
      </c>
      <c r="G28" s="341">
        <f>IFERROR(GEOMEAN('LP Elementos'!F28,'LP Elementos'!I28,'LP Elementos'!N28,'LP Elementos'!S28,'LP Elementos'!X28,'LP Elementos'!AC28,'LP Elementos'!AH28,'LP Elementos'!AM28,'LP Elementos'!AR28,'LP Elementos'!AW28,'LP Elementos'!BB28,'LP Elementos'!BG28,'LP Elementos'!BL28,'LP Elementos'!BQ28,'LP Elementos'!BV28,'LP Elementos'!CA28,'LP Elementos'!CF28,'LP Elementos'!CK28,'LP Elementos'!CP28,'LP Elementos'!CU28,'LP Elementos'!CZ28)," ")</f>
        <v>861355.34948298195</v>
      </c>
      <c r="H28" s="341">
        <f t="shared" si="0"/>
        <v>186561.73817879814</v>
      </c>
      <c r="I28" s="342">
        <f t="shared" si="1"/>
        <v>0.19117019105586844</v>
      </c>
      <c r="J28" s="341">
        <f t="shared" si="2"/>
        <v>975893.45466666669</v>
      </c>
      <c r="K28" s="326" t="str">
        <f t="shared" si="3"/>
        <v>Promedio</v>
      </c>
      <c r="L28" s="326">
        <f>IFERROR(COUNTA('LP Elementos'!F28,'LP Elementos'!I28,'LP Elementos'!N28,'LP Elementos'!S28,'LP Elementos'!X28,'LP Elementos'!AC28,'LP Elementos'!AH28,'LP Elementos'!AM28,'LP Elementos'!AR28,'LP Elementos'!AX28,'LP Elementos'!BB28,'LP Elementos'!BG28,'LP Elementos'!BL28,'LP Elementos'!BQ28,'LP Elementos'!BV28,'LP Elementos'!CA28,'LP Elementos'!CF28,'LP Elementos'!CK28,'LP Elementos'!CP28,'LP Elementos'!CU28,'LP Elementos'!CZ28)," ")</f>
        <v>3</v>
      </c>
    </row>
    <row r="29" spans="2:12" ht="27" x14ac:dyDescent="0.25">
      <c r="B29" s="411">
        <v>27</v>
      </c>
      <c r="C29" s="412" t="s">
        <v>2969</v>
      </c>
      <c r="D29" s="408">
        <f>IFERROR(MIN('LP Elementos'!F29,'LP Elementos'!I29,'LP Elementos'!N29,'LP Elementos'!S29,'LP Elementos'!X29,'LP Elementos'!AC29,'LP Elementos'!AH29,'LP Elementos'!AM29,'LP Elementos'!AR29,'LP Elementos'!AW29,'LP Elementos'!BB29,'LP Elementos'!BG29,'LP Elementos'!BL29,'LP Elementos'!BQ29,'LP Elementos'!BV29,'LP Elementos'!CA29,'LP Elementos'!CF29,'LP Elementos'!CK29,'LP Elementos'!CP29,'LP Elementos'!CU29,'LP Elementos'!CZ29)," ")</f>
        <v>8169.7070000000003</v>
      </c>
      <c r="E29" s="341">
        <f>IFERROR(AVERAGE('LP Elementos'!F29,'LP Elementos'!I29,'LP Elementos'!N29,'LP Elementos'!S29,'LP Elementos'!X29,'LP Elementos'!AC29,'LP Elementos'!AH29,'LP Elementos'!AM29,'LP Elementos'!AR29,'LP Elementos'!AW29,'LP Elementos'!BB29,'LP Elementos'!BG29,'LP Elementos'!BL29,'LP Elementos'!BQ29,'LP Elementos'!BV29,'LP Elementos'!CA29,'LP Elementos'!CF29,'LP Elementos'!CK29,'LP Elementos'!CP29,'LP Elementos'!CU29,'LP Elementos'!CZ29)," ")</f>
        <v>11224.853500000001</v>
      </c>
      <c r="F29" s="341">
        <f>IFERROR(MEDIAN('LP Elementos'!F29,'LP Elementos'!I29,'LP Elementos'!N29,'LP Elementos'!S29,'LP Elementos'!X29,'LP Elementos'!AC29,'LP Elementos'!AH29,'LP Elementos'!AM29,'LP Elementos'!AR29,'LP Elementos'!AW29,'LP Elementos'!BB29,'LP Elementos'!BG29,'LP Elementos'!BL29,'LP Elementos'!BQ29,'LP Elementos'!BV29,'LP Elementos'!CA29,'LP Elementos'!CF29,'LP Elementos'!CK29,'LP Elementos'!CP29,'LP Elementos'!CU29,'LP Elementos'!CZ29)," ")</f>
        <v>11224.853500000001</v>
      </c>
      <c r="G29" s="341">
        <f>IFERROR(GEOMEAN('LP Elementos'!F29,'LP Elementos'!I29,'LP Elementos'!N29,'LP Elementos'!S29,'LP Elementos'!X29,'LP Elementos'!AC29,'LP Elementos'!AH29,'LP Elementos'!AM29,'LP Elementos'!AR29,'LP Elementos'!AW29,'LP Elementos'!BB29,'LP Elementos'!BG29,'LP Elementos'!BL29,'LP Elementos'!BQ29,'LP Elementos'!BV29,'LP Elementos'!CA29,'LP Elementos'!CF29,'LP Elementos'!CK29,'LP Elementos'!CP29,'LP Elementos'!CU29,'LP Elementos'!CZ29)," ")</f>
        <v>10801.084017819694</v>
      </c>
      <c r="H29" s="341">
        <f t="shared" si="0"/>
        <v>1470.5765998095533</v>
      </c>
      <c r="I29" s="342">
        <f t="shared" si="1"/>
        <v>0.1310107610588907</v>
      </c>
      <c r="J29" s="341">
        <f t="shared" si="2"/>
        <v>11224.853500000001</v>
      </c>
      <c r="K29" s="326" t="str">
        <f t="shared" si="3"/>
        <v>Promedio</v>
      </c>
      <c r="L29" s="326">
        <f>IFERROR(COUNTA('LP Elementos'!F29,'LP Elementos'!I29,'LP Elementos'!N29,'LP Elementos'!S29,'LP Elementos'!X29,'LP Elementos'!AC29,'LP Elementos'!AH29,'LP Elementos'!AM29,'LP Elementos'!AR29,'LP Elementos'!AX29,'LP Elementos'!BB29,'LP Elementos'!BG29,'LP Elementos'!BL29,'LP Elementos'!BQ29,'LP Elementos'!BV29,'LP Elementos'!CA29,'LP Elementos'!CF29,'LP Elementos'!CK29,'LP Elementos'!CP29,'LP Elementos'!CU29,'LP Elementos'!CZ29)," ")</f>
        <v>2</v>
      </c>
    </row>
    <row r="30" spans="2:12" ht="27" x14ac:dyDescent="0.25">
      <c r="B30" s="411">
        <v>28</v>
      </c>
      <c r="C30" s="412" t="s">
        <v>2972</v>
      </c>
      <c r="D30" s="408">
        <f>IFERROR(MIN('LP Elementos'!F30,'LP Elementos'!I30,'LP Elementos'!N30,'LP Elementos'!S30,'LP Elementos'!X30,'LP Elementos'!AC30,'LP Elementos'!AH30,'LP Elementos'!AM30,'LP Elementos'!AR30,'LP Elementos'!AW30,'LP Elementos'!BB30,'LP Elementos'!BG30,'LP Elementos'!BL30,'LP Elementos'!BQ30,'LP Elementos'!BV30,'LP Elementos'!CA30,'LP Elementos'!CF30,'LP Elementos'!CK30,'LP Elementos'!CP30,'LP Elementos'!CU30,'LP Elementos'!CZ30)," ")</f>
        <v>6284.39</v>
      </c>
      <c r="E30" s="341">
        <f>IFERROR(AVERAGE('LP Elementos'!F30,'LP Elementos'!I30,'LP Elementos'!N30,'LP Elementos'!S30,'LP Elementos'!X30,'LP Elementos'!AC30,'LP Elementos'!AH30,'LP Elementos'!AM30,'LP Elementos'!AR30,'LP Elementos'!AW30,'LP Elementos'!BB30,'LP Elementos'!BG30,'LP Elementos'!BL30,'LP Elementos'!BQ30,'LP Elementos'!BV30,'LP Elementos'!CA30,'LP Elementos'!CF30,'LP Elementos'!CK30,'LP Elementos'!CP30,'LP Elementos'!CU30,'LP Elementos'!CZ30)," ")</f>
        <v>12067.195</v>
      </c>
      <c r="F30" s="341">
        <f>IFERROR(MEDIAN('LP Elementos'!F30,'LP Elementos'!I30,'LP Elementos'!N30,'LP Elementos'!S30,'LP Elementos'!X30,'LP Elementos'!AC30,'LP Elementos'!AH30,'LP Elementos'!AM30,'LP Elementos'!AR30,'LP Elementos'!AW30,'LP Elementos'!BB30,'LP Elementos'!BG30,'LP Elementos'!BL30,'LP Elementos'!BQ30,'LP Elementos'!BV30,'LP Elementos'!CA30,'LP Elementos'!CF30,'LP Elementos'!CK30,'LP Elementos'!CP30,'LP Elementos'!CU30,'LP Elementos'!CZ30)," ")</f>
        <v>12067.195</v>
      </c>
      <c r="G30" s="341">
        <f>IFERROR(GEOMEAN('LP Elementos'!F30,'LP Elementos'!I30,'LP Elementos'!N30,'LP Elementos'!S30,'LP Elementos'!X30,'LP Elementos'!AC30,'LP Elementos'!AH30,'LP Elementos'!AM30,'LP Elementos'!AR30,'LP Elementos'!AW30,'LP Elementos'!BB30,'LP Elementos'!BG30,'LP Elementos'!BL30,'LP Elementos'!BQ30,'LP Elementos'!BV30,'LP Elementos'!CA30,'LP Elementos'!CF30,'LP Elementos'!CK30,'LP Elementos'!CP30,'LP Elementos'!CU30,'LP Elementos'!CZ30)," ")</f>
        <v>10591.334264388033</v>
      </c>
      <c r="H30" s="341">
        <f t="shared" si="0"/>
        <v>2735.3818449843129</v>
      </c>
      <c r="I30" s="342">
        <f t="shared" si="1"/>
        <v>0.22667917813413249</v>
      </c>
      <c r="J30" s="341">
        <f t="shared" si="2"/>
        <v>10591.334264388033</v>
      </c>
      <c r="K30" s="326" t="str">
        <f t="shared" si="3"/>
        <v>Media Geometrica</v>
      </c>
      <c r="L30" s="326">
        <f>IFERROR(COUNTA('LP Elementos'!F30,'LP Elementos'!I30,'LP Elementos'!N30,'LP Elementos'!S30,'LP Elementos'!X30,'LP Elementos'!AC30,'LP Elementos'!AH30,'LP Elementos'!AM30,'LP Elementos'!AR30,'LP Elementos'!AX30,'LP Elementos'!BB30,'LP Elementos'!BG30,'LP Elementos'!BL30,'LP Elementos'!BQ30,'LP Elementos'!BV30,'LP Elementos'!CA30,'LP Elementos'!CF30,'LP Elementos'!CK30,'LP Elementos'!CP30,'LP Elementos'!CU30,'LP Elementos'!CZ30)," ")</f>
        <v>2</v>
      </c>
    </row>
    <row r="31" spans="2:12" ht="67.5" x14ac:dyDescent="0.25">
      <c r="B31" s="411">
        <v>29</v>
      </c>
      <c r="C31" s="412" t="s">
        <v>2974</v>
      </c>
      <c r="D31" s="408">
        <f>IFERROR(MIN('LP Elementos'!F31,'LP Elementos'!I31,'LP Elementos'!N31,'LP Elementos'!S31,'LP Elementos'!X31,'LP Elementos'!AC31,'LP Elementos'!AH31,'LP Elementos'!AM31,'LP Elementos'!AR31,'LP Elementos'!AW31,'LP Elementos'!BB31,'LP Elementos'!BG31,'LP Elementos'!BL31,'LP Elementos'!BQ31,'LP Elementos'!BV31,'LP Elementos'!CA31,'LP Elementos'!CF31,'LP Elementos'!CK31,'LP Elementos'!CP31,'LP Elementos'!CU31,'LP Elementos'!CZ31)," ")</f>
        <v>39508</v>
      </c>
      <c r="E31" s="341">
        <f>IFERROR(AVERAGE('LP Elementos'!F31,'LP Elementos'!I31,'LP Elementos'!N31,'LP Elementos'!S31,'LP Elementos'!X31,'LP Elementos'!AC31,'LP Elementos'!AH31,'LP Elementos'!AM31,'LP Elementos'!AR31,'LP Elementos'!AW31,'LP Elementos'!BB31,'LP Elementos'!BG31,'LP Elementos'!BL31,'LP Elementos'!BQ31,'LP Elementos'!BV31,'LP Elementos'!CA31,'LP Elementos'!CF31,'LP Elementos'!CK31,'LP Elementos'!CP31,'LP Elementos'!CU31,'LP Elementos'!CZ31)," ")</f>
        <v>104391.12366666667</v>
      </c>
      <c r="F31" s="341">
        <f>IFERROR(MEDIAN('LP Elementos'!F31,'LP Elementos'!I31,'LP Elementos'!N31,'LP Elementos'!S31,'LP Elementos'!X31,'LP Elementos'!AC31,'LP Elementos'!AH31,'LP Elementos'!AM31,'LP Elementos'!AR31,'LP Elementos'!AW31,'LP Elementos'!BB31,'LP Elementos'!BG31,'LP Elementos'!BL31,'LP Elementos'!BQ31,'LP Elementos'!BV31,'LP Elementos'!CA31,'LP Elementos'!CF31,'LP Elementos'!CK31,'LP Elementos'!CP31,'LP Elementos'!CU31,'LP Elementos'!CZ31)," ")</f>
        <v>55900.25</v>
      </c>
      <c r="G31" s="341">
        <f>IFERROR(GEOMEAN('LP Elementos'!F31,'LP Elementos'!I31,'LP Elementos'!N31,'LP Elementos'!S31,'LP Elementos'!X31,'LP Elementos'!AC31,'LP Elementos'!AH31,'LP Elementos'!AM31,'LP Elementos'!AR31,'LP Elementos'!AW31,'LP Elementos'!BB31,'LP Elementos'!BG31,'LP Elementos'!BL31,'LP Elementos'!BQ31,'LP Elementos'!BV31,'LP Elementos'!CA31,'LP Elementos'!CF31,'LP Elementos'!CK31,'LP Elementos'!CP31,'LP Elementos'!CU31,'LP Elementos'!CZ31)," ")</f>
        <v>73454.983227603268</v>
      </c>
      <c r="H31" s="341">
        <f t="shared" si="0"/>
        <v>27760.135596414817</v>
      </c>
      <c r="I31" s="342">
        <f t="shared" si="1"/>
        <v>0.26592429146616187</v>
      </c>
      <c r="J31" s="341">
        <f t="shared" si="2"/>
        <v>73454.983227603268</v>
      </c>
      <c r="K31" s="326" t="str">
        <f t="shared" si="3"/>
        <v>Media Geometrica</v>
      </c>
      <c r="L31" s="326">
        <f>IFERROR(COUNTA('LP Elementos'!F31,'LP Elementos'!I31,'LP Elementos'!N31,'LP Elementos'!S31,'LP Elementos'!X31,'LP Elementos'!AC31,'LP Elementos'!AH31,'LP Elementos'!AM31,'LP Elementos'!AR31,'LP Elementos'!AX31,'LP Elementos'!BB31,'LP Elementos'!BG31,'LP Elementos'!BL31,'LP Elementos'!BQ31,'LP Elementos'!BV31,'LP Elementos'!CA31,'LP Elementos'!CF31,'LP Elementos'!CK31,'LP Elementos'!CP31,'LP Elementos'!CU31,'LP Elementos'!CZ31)," ")</f>
        <v>6</v>
      </c>
    </row>
    <row r="32" spans="2:12" ht="148.5" x14ac:dyDescent="0.25">
      <c r="B32" s="411">
        <v>30</v>
      </c>
      <c r="C32" s="415" t="s">
        <v>2982</v>
      </c>
      <c r="D32" s="408">
        <f>IFERROR(MIN('LP Elementos'!F32,'LP Elementos'!I32,'LP Elementos'!N32,'LP Elementos'!S32,'LP Elementos'!X32,'LP Elementos'!AC32,'LP Elementos'!AH32,'LP Elementos'!AM32,'LP Elementos'!AR32,'LP Elementos'!AW32,'LP Elementos'!BB32,'LP Elementos'!BG32,'LP Elementos'!BL32,'LP Elementos'!BQ32,'LP Elementos'!BV32,'LP Elementos'!CA32,'LP Elementos'!CF32,'LP Elementos'!CK32,'LP Elementos'!CP32,'LP Elementos'!CU32,'LP Elementos'!CZ32)," ")</f>
        <v>58429</v>
      </c>
      <c r="E32" s="341">
        <f>IFERROR(AVERAGE('LP Elementos'!F32,'LP Elementos'!I32,'LP Elementos'!N32,'LP Elementos'!S32,'LP Elementos'!X32,'LP Elementos'!AC32,'LP Elementos'!AH32,'LP Elementos'!AM32,'LP Elementos'!AR32,'LP Elementos'!AW32,'LP Elementos'!BB32,'LP Elementos'!BG32,'LP Elementos'!BL32,'LP Elementos'!BQ32,'LP Elementos'!BV32,'LP Elementos'!CA32,'LP Elementos'!CF32,'LP Elementos'!CK32,'LP Elementos'!CP32,'LP Elementos'!CU32,'LP Elementos'!CZ32)," ")</f>
        <v>129990.80033333333</v>
      </c>
      <c r="F32" s="341">
        <f>IFERROR(MEDIAN('LP Elementos'!F32,'LP Elementos'!I32,'LP Elementos'!N32,'LP Elementos'!S32,'LP Elementos'!X32,'LP Elementos'!AC32,'LP Elementos'!AH32,'LP Elementos'!AM32,'LP Elementos'!AR32,'LP Elementos'!AW32,'LP Elementos'!BB32,'LP Elementos'!BG32,'LP Elementos'!BL32,'LP Elementos'!BQ32,'LP Elementos'!BV32,'LP Elementos'!CA32,'LP Elementos'!CF32,'LP Elementos'!CK32,'LP Elementos'!CP32,'LP Elementos'!CU32,'LP Elementos'!CZ32)," ")</f>
        <v>71052.400999999998</v>
      </c>
      <c r="G32" s="341">
        <f>IFERROR(GEOMEAN('LP Elementos'!F32,'LP Elementos'!I32,'LP Elementos'!N32,'LP Elementos'!S32,'LP Elementos'!X32,'LP Elementos'!AC32,'LP Elementos'!AH32,'LP Elementos'!AM32,'LP Elementos'!AR32,'LP Elementos'!AW32,'LP Elementos'!BB32,'LP Elementos'!BG32,'LP Elementos'!BL32,'LP Elementos'!BQ32,'LP Elementos'!BV32,'LP Elementos'!CA32,'LP Elementos'!CF32,'LP Elementos'!CK32,'LP Elementos'!CP32,'LP Elementos'!CU32,'LP Elementos'!CZ32)," ")</f>
        <v>96309.480249690445</v>
      </c>
      <c r="H32" s="341">
        <f t="shared" si="0"/>
        <v>31571.952999562865</v>
      </c>
      <c r="I32" s="342">
        <f t="shared" si="1"/>
        <v>0.24287836461198339</v>
      </c>
      <c r="J32" s="341">
        <f t="shared" si="2"/>
        <v>96309.480249690445</v>
      </c>
      <c r="K32" s="326" t="str">
        <f t="shared" si="3"/>
        <v>Media Geometrica</v>
      </c>
      <c r="L32" s="326">
        <f>IFERROR(COUNTA('LP Elementos'!F32,'LP Elementos'!I32,'LP Elementos'!N32,'LP Elementos'!S32,'LP Elementos'!X32,'LP Elementos'!AC32,'LP Elementos'!AH32,'LP Elementos'!AM32,'LP Elementos'!AR32,'LP Elementos'!AX32,'LP Elementos'!BB32,'LP Elementos'!BG32,'LP Elementos'!BL32,'LP Elementos'!BQ32,'LP Elementos'!BV32,'LP Elementos'!CA32,'LP Elementos'!CF32,'LP Elementos'!CK32,'LP Elementos'!CP32,'LP Elementos'!CU32,'LP Elementos'!CZ32)," ")</f>
        <v>6</v>
      </c>
    </row>
    <row r="33" spans="2:12" ht="54" x14ac:dyDescent="0.25">
      <c r="B33" s="411">
        <v>31</v>
      </c>
      <c r="C33" s="415" t="s">
        <v>2986</v>
      </c>
      <c r="D33" s="408">
        <f>IFERROR(MIN('LP Elementos'!F33,'LP Elementos'!I33,'LP Elementos'!N33,'LP Elementos'!S33,'LP Elementos'!X33,'LP Elementos'!AC33,'LP Elementos'!AH33,'LP Elementos'!AM33,'LP Elementos'!AR33,'LP Elementos'!AW33,'LP Elementos'!BB33,'LP Elementos'!BG33,'LP Elementos'!BL33,'LP Elementos'!BQ33,'LP Elementos'!BV33,'LP Elementos'!CA33,'LP Elementos'!CF33,'LP Elementos'!CK33,'LP Elementos'!CP33,'LP Elementos'!CU33,'LP Elementos'!CZ33)," ")</f>
        <v>108171</v>
      </c>
      <c r="E33" s="341">
        <f>IFERROR(AVERAGE('LP Elementos'!F33,'LP Elementos'!I33,'LP Elementos'!N33,'LP Elementos'!S33,'LP Elementos'!X33,'LP Elementos'!AC33,'LP Elementos'!AH33,'LP Elementos'!AM33,'LP Elementos'!AR33,'LP Elementos'!AW33,'LP Elementos'!BB33,'LP Elementos'!BG33,'LP Elementos'!BL33,'LP Elementos'!BQ33,'LP Elementos'!BV33,'LP Elementos'!CA33,'LP Elementos'!CF33,'LP Elementos'!CK33,'LP Elementos'!CP33,'LP Elementos'!CU33,'LP Elementos'!CZ33)," ")</f>
        <v>527578.13033333328</v>
      </c>
      <c r="F33" s="341">
        <f>IFERROR(MEDIAN('LP Elementos'!F33,'LP Elementos'!I33,'LP Elementos'!N33,'LP Elementos'!S33,'LP Elementos'!X33,'LP Elementos'!AC33,'LP Elementos'!AH33,'LP Elementos'!AM33,'LP Elementos'!AR33,'LP Elementos'!AW33,'LP Elementos'!BB33,'LP Elementos'!BG33,'LP Elementos'!BL33,'LP Elementos'!BQ33,'LP Elementos'!BV33,'LP Elementos'!CA33,'LP Elementos'!CF33,'LP Elementos'!CK33,'LP Elementos'!CP33,'LP Elementos'!CU33,'LP Elementos'!CZ33)," ")</f>
        <v>193481.386</v>
      </c>
      <c r="G33" s="341">
        <f>IFERROR(GEOMEAN('LP Elementos'!F33,'LP Elementos'!I33,'LP Elementos'!N33,'LP Elementos'!S33,'LP Elementos'!X33,'LP Elementos'!AC33,'LP Elementos'!AH33,'LP Elementos'!AM33,'LP Elementos'!AR33,'LP Elementos'!AW33,'LP Elementos'!BB33,'LP Elementos'!BG33,'LP Elementos'!BL33,'LP Elementos'!BQ33,'LP Elementos'!BV33,'LP Elementos'!CA33,'LP Elementos'!CF33,'LP Elementos'!CK33,'LP Elementos'!CP33,'LP Elementos'!CU33,'LP Elementos'!CZ33)," ")</f>
        <v>258909.74242925068</v>
      </c>
      <c r="H33" s="341">
        <f t="shared" si="0"/>
        <v>181196.61937179533</v>
      </c>
      <c r="I33" s="342">
        <f t="shared" si="1"/>
        <v>0.3434498303735829</v>
      </c>
      <c r="J33" s="341">
        <f t="shared" si="2"/>
        <v>108171</v>
      </c>
      <c r="K33" s="326" t="str">
        <f t="shared" si="3"/>
        <v>Menor Valor</v>
      </c>
      <c r="L33" s="326">
        <f>IFERROR(COUNTA('LP Elementos'!F33,'LP Elementos'!I33,'LP Elementos'!N33,'LP Elementos'!S33,'LP Elementos'!X33,'LP Elementos'!AC33,'LP Elementos'!AH33,'LP Elementos'!AM33,'LP Elementos'!AR33,'LP Elementos'!AX33,'LP Elementos'!BB33,'LP Elementos'!BG33,'LP Elementos'!BL33,'LP Elementos'!BQ33,'LP Elementos'!BV33,'LP Elementos'!CA33,'LP Elementos'!CF33,'LP Elementos'!CK33,'LP Elementos'!CP33,'LP Elementos'!CU33,'LP Elementos'!CZ33)," ")</f>
        <v>6</v>
      </c>
    </row>
    <row r="34" spans="2:12" ht="54" x14ac:dyDescent="0.25">
      <c r="B34" s="411">
        <v>32</v>
      </c>
      <c r="C34" s="415" t="s">
        <v>2991</v>
      </c>
      <c r="D34" s="408">
        <f>IFERROR(MIN('LP Elementos'!F34,'LP Elementos'!I34,'LP Elementos'!N34,'LP Elementos'!S34,'LP Elementos'!X34,'LP Elementos'!AC34,'LP Elementos'!AH34,'LP Elementos'!AM34,'LP Elementos'!AR34,'LP Elementos'!AW34,'LP Elementos'!BB34,'LP Elementos'!BG34,'LP Elementos'!BL34,'LP Elementos'!BQ34,'LP Elementos'!BV34,'LP Elementos'!CA34,'LP Elementos'!CF34,'LP Elementos'!CK34,'LP Elementos'!CP34,'LP Elementos'!CU34,'LP Elementos'!CZ34)," ")</f>
        <v>67949</v>
      </c>
      <c r="E34" s="341">
        <f>IFERROR(AVERAGE('LP Elementos'!F34,'LP Elementos'!I34,'LP Elementos'!N34,'LP Elementos'!S34,'LP Elementos'!X34,'LP Elementos'!AC34,'LP Elementos'!AH34,'LP Elementos'!AM34,'LP Elementos'!AR34,'LP Elementos'!AW34,'LP Elementos'!BB34,'LP Elementos'!BG34,'LP Elementos'!BL34,'LP Elementos'!BQ34,'LP Elementos'!BV34,'LP Elementos'!CA34,'LP Elementos'!CF34,'LP Elementos'!CK34,'LP Elementos'!CP34,'LP Elementos'!CU34,'LP Elementos'!CZ34)," ")</f>
        <v>278579.6188</v>
      </c>
      <c r="F34" s="341">
        <f>IFERROR(MEDIAN('LP Elementos'!F34,'LP Elementos'!I34,'LP Elementos'!N34,'LP Elementos'!S34,'LP Elementos'!X34,'LP Elementos'!AC34,'LP Elementos'!AH34,'LP Elementos'!AM34,'LP Elementos'!AR34,'LP Elementos'!AW34,'LP Elementos'!BB34,'LP Elementos'!BG34,'LP Elementos'!BL34,'LP Elementos'!BQ34,'LP Elementos'!BV34,'LP Elementos'!CA34,'LP Elementos'!CF34,'LP Elementos'!CK34,'LP Elementos'!CP34,'LP Elementos'!CU34,'LP Elementos'!CZ34)," ")</f>
        <v>91752.093999999997</v>
      </c>
      <c r="G34" s="341">
        <f>IFERROR(GEOMEAN('LP Elementos'!F34,'LP Elementos'!I34,'LP Elementos'!N34,'LP Elementos'!S34,'LP Elementos'!X34,'LP Elementos'!AC34,'LP Elementos'!AH34,'LP Elementos'!AM34,'LP Elementos'!AR34,'LP Elementos'!AW34,'LP Elementos'!BB34,'LP Elementos'!BG34,'LP Elementos'!BL34,'LP Elementos'!BQ34,'LP Elementos'!BV34,'LP Elementos'!CA34,'LP Elementos'!CF34,'LP Elementos'!CK34,'LP Elementos'!CP34,'LP Elementos'!CU34,'LP Elementos'!CZ34)," ")</f>
        <v>139066.55200156878</v>
      </c>
      <c r="H34" s="341">
        <f t="shared" si="0"/>
        <v>94249.946431956458</v>
      </c>
      <c r="I34" s="342">
        <f t="shared" si="1"/>
        <v>0.33832319405828859</v>
      </c>
      <c r="J34" s="341">
        <f t="shared" si="2"/>
        <v>67949</v>
      </c>
      <c r="K34" s="326" t="str">
        <f t="shared" si="3"/>
        <v>Menor Valor</v>
      </c>
      <c r="L34" s="326">
        <f>IFERROR(COUNTA('LP Elementos'!F34,'LP Elementos'!I34,'LP Elementos'!N34,'LP Elementos'!S34,'LP Elementos'!X34,'LP Elementos'!AC34,'LP Elementos'!AH34,'LP Elementos'!AM34,'LP Elementos'!AR34,'LP Elementos'!AX34,'LP Elementos'!BB34,'LP Elementos'!BG34,'LP Elementos'!BL34,'LP Elementos'!BQ34,'LP Elementos'!BV34,'LP Elementos'!CA34,'LP Elementos'!CF34,'LP Elementos'!CK34,'LP Elementos'!CP34,'LP Elementos'!CU34,'LP Elementos'!CZ34)," ")</f>
        <v>5</v>
      </c>
    </row>
    <row r="35" spans="2:12" ht="94.5" x14ac:dyDescent="0.25">
      <c r="B35" s="411">
        <v>33</v>
      </c>
      <c r="C35" s="412" t="s">
        <v>2995</v>
      </c>
      <c r="D35" s="408">
        <f>IFERROR(MIN('LP Elementos'!F35,'LP Elementos'!I35,'LP Elementos'!N35,'LP Elementos'!S35,'LP Elementos'!X35,'LP Elementos'!AC35,'LP Elementos'!AH35,'LP Elementos'!AM35,'LP Elementos'!AR35,'LP Elementos'!AW35,'LP Elementos'!BB35,'LP Elementos'!BG35,'LP Elementos'!BL35,'LP Elementos'!BQ35,'LP Elementos'!BV35,'LP Elementos'!CA35,'LP Elementos'!CF35,'LP Elementos'!CK35,'LP Elementos'!CP35,'LP Elementos'!CU35,'LP Elementos'!CZ35)," ")</f>
        <v>57834</v>
      </c>
      <c r="E35" s="341">
        <f>IFERROR(AVERAGE('LP Elementos'!F35,'LP Elementos'!I35,'LP Elementos'!N35,'LP Elementos'!S35,'LP Elementos'!X35,'LP Elementos'!AC35,'LP Elementos'!AH35,'LP Elementos'!AM35,'LP Elementos'!AR35,'LP Elementos'!AW35,'LP Elementos'!BB35,'LP Elementos'!BG35,'LP Elementos'!BL35,'LP Elementos'!BQ35,'LP Elementos'!BV35,'LP Elementos'!CA35,'LP Elementos'!CF35,'LP Elementos'!CK35,'LP Elementos'!CP35,'LP Elementos'!CU35,'LP Elementos'!CZ35)," ")</f>
        <v>145005.63608</v>
      </c>
      <c r="F35" s="341">
        <f>IFERROR(MEDIAN('LP Elementos'!F35,'LP Elementos'!I35,'LP Elementos'!N35,'LP Elementos'!S35,'LP Elementos'!X35,'LP Elementos'!AC35,'LP Elementos'!AH35,'LP Elementos'!AM35,'LP Elementos'!AR35,'LP Elementos'!AW35,'LP Elementos'!BB35,'LP Elementos'!BG35,'LP Elementos'!BL35,'LP Elementos'!BQ35,'LP Elementos'!BV35,'LP Elementos'!CA35,'LP Elementos'!CF35,'LP Elementos'!CK35,'LP Elementos'!CP35,'LP Elementos'!CU35,'LP Elementos'!CZ35)," ")</f>
        <v>92106</v>
      </c>
      <c r="G35" s="341">
        <f>IFERROR(GEOMEAN('LP Elementos'!F35,'LP Elementos'!I35,'LP Elementos'!N35,'LP Elementos'!S35,'LP Elementos'!X35,'LP Elementos'!AC35,'LP Elementos'!AH35,'LP Elementos'!AM35,'LP Elementos'!AR35,'LP Elementos'!AW35,'LP Elementos'!BB35,'LP Elementos'!BG35,'LP Elementos'!BL35,'LP Elementos'!BQ35,'LP Elementos'!BV35,'LP Elementos'!CA35,'LP Elementos'!CF35,'LP Elementos'!CK35,'LP Elementos'!CP35,'LP Elementos'!CU35,'LP Elementos'!CZ35)," ")</f>
        <v>112890.00270892496</v>
      </c>
      <c r="H35" s="341">
        <f t="shared" si="0"/>
        <v>36590.513032724208</v>
      </c>
      <c r="I35" s="342">
        <f t="shared" si="1"/>
        <v>0.25233855746501554</v>
      </c>
      <c r="J35" s="341">
        <f t="shared" si="2"/>
        <v>112890.00270892496</v>
      </c>
      <c r="K35" s="326" t="str">
        <f t="shared" si="3"/>
        <v>Media Geometrica</v>
      </c>
      <c r="L35" s="326">
        <f>IFERROR(COUNTA('LP Elementos'!F35,'LP Elementos'!I35,'LP Elementos'!N35,'LP Elementos'!S35,'LP Elementos'!X35,'LP Elementos'!AC35,'LP Elementos'!AH35,'LP Elementos'!AM35,'LP Elementos'!AR35,'LP Elementos'!AX35,'LP Elementos'!BB35,'LP Elementos'!BG35,'LP Elementos'!BL35,'LP Elementos'!BQ35,'LP Elementos'!BV35,'LP Elementos'!CA35,'LP Elementos'!CF35,'LP Elementos'!CK35,'LP Elementos'!CP35,'LP Elementos'!CU35,'LP Elementos'!CZ35)," ")</f>
        <v>5</v>
      </c>
    </row>
    <row r="36" spans="2:12" ht="54" x14ac:dyDescent="0.25">
      <c r="B36" s="411">
        <v>34</v>
      </c>
      <c r="C36" s="412" t="s">
        <v>2999</v>
      </c>
      <c r="D36" s="408">
        <f>IFERROR(MIN('LP Elementos'!F36,'LP Elementos'!I36,'LP Elementos'!N36,'LP Elementos'!S36,'LP Elementos'!X36,'LP Elementos'!AC36,'LP Elementos'!AH36,'LP Elementos'!AM36,'LP Elementos'!AR36,'LP Elementos'!AW36,'LP Elementos'!BB36,'LP Elementos'!BG36,'LP Elementos'!BL36,'LP Elementos'!BQ36,'LP Elementos'!BV36,'LP Elementos'!CA36,'LP Elementos'!CF36,'LP Elementos'!CK36,'LP Elementos'!CP36,'LP Elementos'!CU36,'LP Elementos'!CZ36)," ")</f>
        <v>43078</v>
      </c>
      <c r="E36" s="341">
        <f>IFERROR(AVERAGE('LP Elementos'!F36,'LP Elementos'!I36,'LP Elementos'!N36,'LP Elementos'!S36,'LP Elementos'!X36,'LP Elementos'!AC36,'LP Elementos'!AH36,'LP Elementos'!AM36,'LP Elementos'!AR36,'LP Elementos'!AW36,'LP Elementos'!BB36,'LP Elementos'!BG36,'LP Elementos'!BL36,'LP Elementos'!BQ36,'LP Elementos'!BV36,'LP Elementos'!CA36,'LP Elementos'!CF36,'LP Elementos'!CK36,'LP Elementos'!CP36,'LP Elementos'!CU36,'LP Elementos'!CZ36)," ")</f>
        <v>210890.11800000002</v>
      </c>
      <c r="F36" s="341">
        <f>IFERROR(MEDIAN('LP Elementos'!F36,'LP Elementos'!I36,'LP Elementos'!N36,'LP Elementos'!S36,'LP Elementos'!X36,'LP Elementos'!AC36,'LP Elementos'!AH36,'LP Elementos'!AM36,'LP Elementos'!AR36,'LP Elementos'!AW36,'LP Elementos'!BB36,'LP Elementos'!BG36,'LP Elementos'!BL36,'LP Elementos'!BQ36,'LP Elementos'!BV36,'LP Elementos'!CA36,'LP Elementos'!CF36,'LP Elementos'!CK36,'LP Elementos'!CP36,'LP Elementos'!CU36,'LP Elementos'!CZ36)," ")</f>
        <v>66402</v>
      </c>
      <c r="G36" s="341">
        <f>IFERROR(GEOMEAN('LP Elementos'!F36,'LP Elementos'!I36,'LP Elementos'!N36,'LP Elementos'!S36,'LP Elementos'!X36,'LP Elementos'!AC36,'LP Elementos'!AH36,'LP Elementos'!AM36,'LP Elementos'!AR36,'LP Elementos'!AW36,'LP Elementos'!BB36,'LP Elementos'!BG36,'LP Elementos'!BL36,'LP Elementos'!BQ36,'LP Elementos'!BV36,'LP Elementos'!CA36,'LP Elementos'!CF36,'LP Elementos'!CK36,'LP Elementos'!CP36,'LP Elementos'!CU36,'LP Elementos'!CZ36)," ")</f>
        <v>115028.67114011443</v>
      </c>
      <c r="H36" s="341">
        <f t="shared" si="0"/>
        <v>74337.407241453417</v>
      </c>
      <c r="I36" s="342">
        <f t="shared" si="1"/>
        <v>0.3524935542093699</v>
      </c>
      <c r="J36" s="341">
        <f t="shared" si="2"/>
        <v>43078</v>
      </c>
      <c r="K36" s="326" t="str">
        <f t="shared" si="3"/>
        <v>Menor Valor</v>
      </c>
      <c r="L36" s="326">
        <f>IFERROR(COUNTA('LP Elementos'!F36,'LP Elementos'!I36,'LP Elementos'!N36,'LP Elementos'!S36,'LP Elementos'!X36,'LP Elementos'!AC36,'LP Elementos'!AH36,'LP Elementos'!AM36,'LP Elementos'!AR36,'LP Elementos'!AX36,'LP Elementos'!BB36,'LP Elementos'!BG36,'LP Elementos'!BL36,'LP Elementos'!BQ36,'LP Elementos'!BV36,'LP Elementos'!CA36,'LP Elementos'!CF36,'LP Elementos'!CK36,'LP Elementos'!CP36,'LP Elementos'!CU36,'LP Elementos'!CZ36)," ")</f>
        <v>6</v>
      </c>
    </row>
    <row r="37" spans="2:12" ht="108" x14ac:dyDescent="0.25">
      <c r="B37" s="411">
        <v>35</v>
      </c>
      <c r="C37" s="412" t="s">
        <v>3001</v>
      </c>
      <c r="D37" s="408">
        <f>IFERROR(MIN('LP Elementos'!F37,'LP Elementos'!I37,'LP Elementos'!N37,'LP Elementos'!S37,'LP Elementos'!X37,'LP Elementos'!AC37,'LP Elementos'!AH37,'LP Elementos'!AM37,'LP Elementos'!AR37,'LP Elementos'!AW37,'LP Elementos'!BB37,'LP Elementos'!BG37,'LP Elementos'!BL37,'LP Elementos'!BQ37,'LP Elementos'!BV37,'LP Elementos'!CA37,'LP Elementos'!CF37,'LP Elementos'!CK37,'LP Elementos'!CP37,'LP Elementos'!CU37,'LP Elementos'!CZ37)," ")</f>
        <v>57834</v>
      </c>
      <c r="E37" s="341">
        <f>IFERROR(AVERAGE('LP Elementos'!F37,'LP Elementos'!I37,'LP Elementos'!N37,'LP Elementos'!S37,'LP Elementos'!X37,'LP Elementos'!AC37,'LP Elementos'!AH37,'LP Elementos'!AM37,'LP Elementos'!AR37,'LP Elementos'!AW37,'LP Elementos'!BB37,'LP Elementos'!BG37,'LP Elementos'!BL37,'LP Elementos'!BQ37,'LP Elementos'!BV37,'LP Elementos'!CA37,'LP Elementos'!CF37,'LP Elementos'!CK37,'LP Elementos'!CP37,'LP Elementos'!CU37,'LP Elementos'!CZ37)," ")</f>
        <v>102035.8955</v>
      </c>
      <c r="F37" s="341">
        <f>IFERROR(MEDIAN('LP Elementos'!F37,'LP Elementos'!I37,'LP Elementos'!N37,'LP Elementos'!S37,'LP Elementos'!X37,'LP Elementos'!AC37,'LP Elementos'!AH37,'LP Elementos'!AM37,'LP Elementos'!AR37,'LP Elementos'!AW37,'LP Elementos'!BB37,'LP Elementos'!BG37,'LP Elementos'!BL37,'LP Elementos'!BQ37,'LP Elementos'!BV37,'LP Elementos'!CA37,'LP Elementos'!CF37,'LP Elementos'!CK37,'LP Elementos'!CP37,'LP Elementos'!CU37,'LP Elementos'!CZ37)," ")</f>
        <v>88284.790999999997</v>
      </c>
      <c r="G37" s="341">
        <f>IFERROR(GEOMEAN('LP Elementos'!F37,'LP Elementos'!I37,'LP Elementos'!N37,'LP Elementos'!S37,'LP Elementos'!X37,'LP Elementos'!AC37,'LP Elementos'!AH37,'LP Elementos'!AM37,'LP Elementos'!AR37,'LP Elementos'!AW37,'LP Elementos'!BB37,'LP Elementos'!BG37,'LP Elementos'!BL37,'LP Elementos'!BQ37,'LP Elementos'!BV37,'LP Elementos'!CA37,'LP Elementos'!CF37,'LP Elementos'!CK37,'LP Elementos'!CP37,'LP Elementos'!CU37,'LP Elementos'!CZ37)," ")</f>
        <v>94065.375616383419</v>
      </c>
      <c r="H37" s="341">
        <f t="shared" si="0"/>
        <v>19321.421699904065</v>
      </c>
      <c r="I37" s="342">
        <f t="shared" si="1"/>
        <v>0.18935906432951397</v>
      </c>
      <c r="J37" s="341">
        <f t="shared" si="2"/>
        <v>102035.8955</v>
      </c>
      <c r="K37" s="326" t="str">
        <f t="shared" si="3"/>
        <v>Promedio</v>
      </c>
      <c r="L37" s="326">
        <f>IFERROR(COUNTA('LP Elementos'!F37,'LP Elementos'!I37,'LP Elementos'!N37,'LP Elementos'!S37,'LP Elementos'!X37,'LP Elementos'!AC37,'LP Elementos'!AH37,'LP Elementos'!AM37,'LP Elementos'!AR37,'LP Elementos'!AX37,'LP Elementos'!BB37,'LP Elementos'!BG37,'LP Elementos'!BL37,'LP Elementos'!BQ37,'LP Elementos'!BV37,'LP Elementos'!CA37,'LP Elementos'!CF37,'LP Elementos'!CK37,'LP Elementos'!CP37,'LP Elementos'!CU37,'LP Elementos'!CZ37)," ")</f>
        <v>4</v>
      </c>
    </row>
    <row r="38" spans="2:12" ht="67.5" x14ac:dyDescent="0.25">
      <c r="B38" s="411">
        <v>36</v>
      </c>
      <c r="C38" s="412" t="s">
        <v>3004</v>
      </c>
      <c r="D38" s="408">
        <f>IFERROR(MIN('LP Elementos'!F38,'LP Elementos'!I38,'LP Elementos'!N38,'LP Elementos'!S38,'LP Elementos'!X38,'LP Elementos'!AC38,'LP Elementos'!AH38,'LP Elementos'!AM38,'LP Elementos'!AR38,'LP Elementos'!AW38,'LP Elementos'!BB38,'LP Elementos'!BG38,'LP Elementos'!BL38,'LP Elementos'!BQ38,'LP Elementos'!BV38,'LP Elementos'!CA38,'LP Elementos'!CF38,'LP Elementos'!CK38,'LP Elementos'!CP38,'LP Elementos'!CU38,'LP Elementos'!CZ38)," ")</f>
        <v>42495.150800000003</v>
      </c>
      <c r="E38" s="341">
        <f>IFERROR(AVERAGE('LP Elementos'!F38,'LP Elementos'!I38,'LP Elementos'!N38,'LP Elementos'!S38,'LP Elementos'!X38,'LP Elementos'!AC38,'LP Elementos'!AH38,'LP Elementos'!AM38,'LP Elementos'!AR38,'LP Elementos'!AW38,'LP Elementos'!BB38,'LP Elementos'!BG38,'LP Elementos'!BL38,'LP Elementos'!BQ38,'LP Elementos'!BV38,'LP Elementos'!CA38,'LP Elementos'!CF38,'LP Elementos'!CK38,'LP Elementos'!CP38,'LP Elementos'!CU38,'LP Elementos'!CZ38)," ")</f>
        <v>110043.30846666667</v>
      </c>
      <c r="F38" s="341">
        <f>IFERROR(MEDIAN('LP Elementos'!F38,'LP Elementos'!I38,'LP Elementos'!N38,'LP Elementos'!S38,'LP Elementos'!X38,'LP Elementos'!AC38,'LP Elementos'!AH38,'LP Elementos'!AM38,'LP Elementos'!AR38,'LP Elementos'!AW38,'LP Elementos'!BB38,'LP Elementos'!BG38,'LP Elementos'!BL38,'LP Elementos'!BQ38,'LP Elementos'!BV38,'LP Elementos'!CA38,'LP Elementos'!CF38,'LP Elementos'!CK38,'LP Elementos'!CP38,'LP Elementos'!CU38,'LP Elementos'!CZ38)," ")</f>
        <v>59559.5</v>
      </c>
      <c r="G38" s="341">
        <f>IFERROR(GEOMEAN('LP Elementos'!F38,'LP Elementos'!I38,'LP Elementos'!N38,'LP Elementos'!S38,'LP Elementos'!X38,'LP Elementos'!AC38,'LP Elementos'!AH38,'LP Elementos'!AM38,'LP Elementos'!AR38,'LP Elementos'!AW38,'LP Elementos'!BB38,'LP Elementos'!BG38,'LP Elementos'!BL38,'LP Elementos'!BQ38,'LP Elementos'!BV38,'LP Elementos'!CA38,'LP Elementos'!CF38,'LP Elementos'!CK38,'LP Elementos'!CP38,'LP Elementos'!CU38,'LP Elementos'!CZ38)," ")</f>
        <v>78756.330191927555</v>
      </c>
      <c r="H38" s="341">
        <f t="shared" si="0"/>
        <v>28960.931967270906</v>
      </c>
      <c r="I38" s="342">
        <f t="shared" si="1"/>
        <v>0.26317758317893081</v>
      </c>
      <c r="J38" s="341">
        <f t="shared" si="2"/>
        <v>78756.330191927555</v>
      </c>
      <c r="K38" s="326" t="str">
        <f t="shared" si="3"/>
        <v>Media Geometrica</v>
      </c>
      <c r="L38" s="326">
        <f>IFERROR(COUNTA('LP Elementos'!F38,'LP Elementos'!I38,'LP Elementos'!N38,'LP Elementos'!S38,'LP Elementos'!X38,'LP Elementos'!AC38,'LP Elementos'!AH38,'LP Elementos'!AM38,'LP Elementos'!AR38,'LP Elementos'!AX38,'LP Elementos'!BB38,'LP Elementos'!BG38,'LP Elementos'!BL38,'LP Elementos'!BQ38,'LP Elementos'!BV38,'LP Elementos'!CA38,'LP Elementos'!CF38,'LP Elementos'!CK38,'LP Elementos'!CP38,'LP Elementos'!CU38,'LP Elementos'!CZ38)," ")</f>
        <v>6</v>
      </c>
    </row>
    <row r="39" spans="2:12" ht="40.5" x14ac:dyDescent="0.25">
      <c r="B39" s="411">
        <v>37</v>
      </c>
      <c r="C39" s="409" t="s">
        <v>3008</v>
      </c>
      <c r="D39" s="408">
        <f>IFERROR(MIN('LP Elementos'!F39,'LP Elementos'!I39,'LP Elementos'!N39,'LP Elementos'!S39,'LP Elementos'!X39,'LP Elementos'!AC39,'LP Elementos'!AH39,'LP Elementos'!AM39,'LP Elementos'!AR39,'LP Elementos'!AW39,'LP Elementos'!BB39,'LP Elementos'!BG39,'LP Elementos'!BL39,'LP Elementos'!BQ39,'LP Elementos'!BV39,'LP Elementos'!CA39,'LP Elementos'!CF39,'LP Elementos'!CK39,'LP Elementos'!CP39,'LP Elementos'!CU39,'LP Elementos'!CZ39)," ")</f>
        <v>71400</v>
      </c>
      <c r="E39" s="341">
        <f>IFERROR(AVERAGE('LP Elementos'!F39,'LP Elementos'!I39,'LP Elementos'!N39,'LP Elementos'!S39,'LP Elementos'!X39,'LP Elementos'!AC39,'LP Elementos'!AH39,'LP Elementos'!AM39,'LP Elementos'!AR39,'LP Elementos'!AW39,'LP Elementos'!BB39,'LP Elementos'!BG39,'LP Elementos'!BL39,'LP Elementos'!BQ39,'LP Elementos'!BV39,'LP Elementos'!CA39,'LP Elementos'!CF39,'LP Elementos'!CK39,'LP Elementos'!CP39,'LP Elementos'!CU39,'LP Elementos'!CZ39)," ")</f>
        <v>329124.25</v>
      </c>
      <c r="F39" s="341">
        <f>IFERROR(MEDIAN('LP Elementos'!F39,'LP Elementos'!I39,'LP Elementos'!N39,'LP Elementos'!S39,'LP Elementos'!X39,'LP Elementos'!AC39,'LP Elementos'!AH39,'LP Elementos'!AM39,'LP Elementos'!AR39,'LP Elementos'!AW39,'LP Elementos'!BB39,'LP Elementos'!BG39,'LP Elementos'!BL39,'LP Elementos'!BQ39,'LP Elementos'!BV39,'LP Elementos'!CA39,'LP Elementos'!CF39,'LP Elementos'!CK39,'LP Elementos'!CP39,'LP Elementos'!CU39,'LP Elementos'!CZ39)," ")</f>
        <v>95973.5</v>
      </c>
      <c r="G39" s="341">
        <f>IFERROR(GEOMEAN('LP Elementos'!F39,'LP Elementos'!I39,'LP Elementos'!N39,'LP Elementos'!S39,'LP Elementos'!X39,'LP Elementos'!AC39,'LP Elementos'!AH39,'LP Elementos'!AM39,'LP Elementos'!AR39,'LP Elementos'!AW39,'LP Elementos'!BB39,'LP Elementos'!BG39,'LP Elementos'!BL39,'LP Elementos'!BQ39,'LP Elementos'!BV39,'LP Elementos'!CA39,'LP Elementos'!CF39,'LP Elementos'!CK39,'LP Elementos'!CP39,'LP Elementos'!CU39,'LP Elementos'!CZ39)," ")</f>
        <v>160533.71958360926</v>
      </c>
      <c r="H39" s="341">
        <f t="shared" si="0"/>
        <v>116160.99712304767</v>
      </c>
      <c r="I39" s="342">
        <f t="shared" si="1"/>
        <v>0.3529396485462486</v>
      </c>
      <c r="J39" s="341">
        <f t="shared" si="2"/>
        <v>71400</v>
      </c>
      <c r="K39" s="326" t="str">
        <f t="shared" si="3"/>
        <v>Menor Valor</v>
      </c>
      <c r="L39" s="326">
        <f>IFERROR(COUNTA('LP Elementos'!F39,'LP Elementos'!I39,'LP Elementos'!N39,'LP Elementos'!S39,'LP Elementos'!X39,'LP Elementos'!AC39,'LP Elementos'!AH39,'LP Elementos'!AM39,'LP Elementos'!AR39,'LP Elementos'!AX39,'LP Elementos'!BB39,'LP Elementos'!BG39,'LP Elementos'!BL39,'LP Elementos'!BQ39,'LP Elementos'!BV39,'LP Elementos'!CA39,'LP Elementos'!CF39,'LP Elementos'!CK39,'LP Elementos'!CP39,'LP Elementos'!CU39,'LP Elementos'!CZ39)," ")</f>
        <v>4</v>
      </c>
    </row>
    <row r="40" spans="2:12" ht="40.5" x14ac:dyDescent="0.25">
      <c r="B40" s="411">
        <v>38</v>
      </c>
      <c r="C40" s="409" t="s">
        <v>3010</v>
      </c>
      <c r="D40" s="408">
        <f>IFERROR(MIN('LP Elementos'!F40,'LP Elementos'!I40,'LP Elementos'!N40,'LP Elementos'!S40,'LP Elementos'!X40,'LP Elementos'!AC40,'LP Elementos'!AH40,'LP Elementos'!AM40,'LP Elementos'!AR40,'LP Elementos'!AW40,'LP Elementos'!BB40,'LP Elementos'!BG40,'LP Elementos'!BL40,'LP Elementos'!BQ40,'LP Elementos'!BV40,'LP Elementos'!CA40,'LP Elementos'!CF40,'LP Elementos'!CK40,'LP Elementos'!CP40,'LP Elementos'!CU40,'LP Elementos'!CZ40)," ")</f>
        <v>69734</v>
      </c>
      <c r="E40" s="341">
        <f>IFERROR(AVERAGE('LP Elementos'!F40,'LP Elementos'!I40,'LP Elementos'!N40,'LP Elementos'!S40,'LP Elementos'!X40,'LP Elementos'!AC40,'LP Elementos'!AH40,'LP Elementos'!AM40,'LP Elementos'!AR40,'LP Elementos'!AW40,'LP Elementos'!BB40,'LP Elementos'!BG40,'LP Elementos'!BL40,'LP Elementos'!BQ40,'LP Elementos'!BV40,'LP Elementos'!CA40,'LP Elementos'!CF40,'LP Elementos'!CK40,'LP Elementos'!CP40,'LP Elementos'!CU40,'LP Elementos'!CZ40)," ")</f>
        <v>172103.75</v>
      </c>
      <c r="F40" s="341">
        <f>IFERROR(MEDIAN('LP Elementos'!F40,'LP Elementos'!I40,'LP Elementos'!N40,'LP Elementos'!S40,'LP Elementos'!X40,'LP Elementos'!AC40,'LP Elementos'!AH40,'LP Elementos'!AM40,'LP Elementos'!AR40,'LP Elementos'!AW40,'LP Elementos'!BB40,'LP Elementos'!BG40,'LP Elementos'!BL40,'LP Elementos'!BQ40,'LP Elementos'!BV40,'LP Elementos'!CA40,'LP Elementos'!CF40,'LP Elementos'!CK40,'LP Elementos'!CP40,'LP Elementos'!CU40,'LP Elementos'!CZ40)," ")</f>
        <v>102875.5</v>
      </c>
      <c r="G40" s="341">
        <f>IFERROR(GEOMEAN('LP Elementos'!F40,'LP Elementos'!I40,'LP Elementos'!N40,'LP Elementos'!S40,'LP Elementos'!X40,'LP Elementos'!AC40,'LP Elementos'!AH40,'LP Elementos'!AM40,'LP Elementos'!AR40,'LP Elementos'!AW40,'LP Elementos'!BB40,'LP Elementos'!BG40,'LP Elementos'!BL40,'LP Elementos'!BQ40,'LP Elementos'!BV40,'LP Elementos'!CA40,'LP Elementos'!CF40,'LP Elementos'!CK40,'LP Elementos'!CP40,'LP Elementos'!CU40,'LP Elementos'!CZ40)," ")</f>
        <v>131306.31583917225</v>
      </c>
      <c r="H40" s="341">
        <f t="shared" si="0"/>
        <v>43430.372759703736</v>
      </c>
      <c r="I40" s="342">
        <f t="shared" si="1"/>
        <v>0.25234995030441659</v>
      </c>
      <c r="J40" s="341">
        <f t="shared" si="2"/>
        <v>131306.31583917225</v>
      </c>
      <c r="K40" s="326" t="str">
        <f t="shared" si="3"/>
        <v>Media Geometrica</v>
      </c>
      <c r="L40" s="326">
        <f>IFERROR(COUNTA('LP Elementos'!F40,'LP Elementos'!I40,'LP Elementos'!N40,'LP Elementos'!S40,'LP Elementos'!X40,'LP Elementos'!AC40,'LP Elementos'!AH40,'LP Elementos'!AM40,'LP Elementos'!AR40,'LP Elementos'!AX40,'LP Elementos'!BB40,'LP Elementos'!BG40,'LP Elementos'!BL40,'LP Elementos'!BQ40,'LP Elementos'!BV40,'LP Elementos'!CA40,'LP Elementos'!CF40,'LP Elementos'!CK40,'LP Elementos'!CP40,'LP Elementos'!CU40,'LP Elementos'!CZ40)," ")</f>
        <v>4</v>
      </c>
    </row>
    <row r="41" spans="2:12" ht="67.5" x14ac:dyDescent="0.25">
      <c r="B41" s="411">
        <v>39</v>
      </c>
      <c r="C41" s="412" t="s">
        <v>3014</v>
      </c>
      <c r="D41" s="408">
        <f>IFERROR(MIN('LP Elementos'!F41,'LP Elementos'!I41,'LP Elementos'!N41,'LP Elementos'!S41,'LP Elementos'!X41,'LP Elementos'!AC41,'LP Elementos'!AH41,'LP Elementos'!AM41,'LP Elementos'!AR41,'LP Elementos'!AW41,'LP Elementos'!BB41,'LP Elementos'!BG41,'LP Elementos'!BL41,'LP Elementos'!BQ41,'LP Elementos'!BV41,'LP Elementos'!CA41,'LP Elementos'!CF41,'LP Elementos'!CK41,'LP Elementos'!CP41,'LP Elementos'!CU41,'LP Elementos'!CZ41)," ")</f>
        <v>130900</v>
      </c>
      <c r="E41" s="341">
        <f>IFERROR(AVERAGE('LP Elementos'!F41,'LP Elementos'!I41,'LP Elementos'!N41,'LP Elementos'!S41,'LP Elementos'!X41,'LP Elementos'!AC41,'LP Elementos'!AH41,'LP Elementos'!AM41,'LP Elementos'!AR41,'LP Elementos'!AW41,'LP Elementos'!BB41,'LP Elementos'!BG41,'LP Elementos'!BL41,'LP Elementos'!BQ41,'LP Elementos'!BV41,'LP Elementos'!CA41,'LP Elementos'!CF41,'LP Elementos'!CK41,'LP Elementos'!CP41,'LP Elementos'!CU41,'LP Elementos'!CZ41)," ")</f>
        <v>776147.75</v>
      </c>
      <c r="F41" s="341">
        <f>IFERROR(MEDIAN('LP Elementos'!F41,'LP Elementos'!I41,'LP Elementos'!N41,'LP Elementos'!S41,'LP Elementos'!X41,'LP Elementos'!AC41,'LP Elementos'!AH41,'LP Elementos'!AM41,'LP Elementos'!AR41,'LP Elementos'!AW41,'LP Elementos'!BB41,'LP Elementos'!BG41,'LP Elementos'!BL41,'LP Elementos'!BQ41,'LP Elementos'!BV41,'LP Elementos'!CA41,'LP Elementos'!CF41,'LP Elementos'!CK41,'LP Elementos'!CP41,'LP Elementos'!CU41,'LP Elementos'!CZ41)," ")</f>
        <v>337305.5</v>
      </c>
      <c r="G41" s="341">
        <f>IFERROR(GEOMEAN('LP Elementos'!F41,'LP Elementos'!I41,'LP Elementos'!N41,'LP Elementos'!S41,'LP Elementos'!X41,'LP Elementos'!AC41,'LP Elementos'!AH41,'LP Elementos'!AM41,'LP Elementos'!AR41,'LP Elementos'!AW41,'LP Elementos'!BB41,'LP Elementos'!BG41,'LP Elementos'!BL41,'LP Elementos'!BQ41,'LP Elementos'!BV41,'LP Elementos'!CA41,'LP Elementos'!CF41,'LP Elementos'!CK41,'LP Elementos'!CP41,'LP Elementos'!CU41,'LP Elementos'!CZ41)," ")</f>
        <v>400863.4266225117</v>
      </c>
      <c r="H41" s="341">
        <f t="shared" si="0"/>
        <v>269148.130654632</v>
      </c>
      <c r="I41" s="342">
        <f t="shared" si="1"/>
        <v>0.34677434889765768</v>
      </c>
      <c r="J41" s="341">
        <f t="shared" si="2"/>
        <v>130900</v>
      </c>
      <c r="K41" s="326" t="str">
        <f t="shared" si="3"/>
        <v>Menor Valor</v>
      </c>
      <c r="L41" s="326">
        <f>IFERROR(COUNTA('LP Elementos'!F41,'LP Elementos'!I41,'LP Elementos'!N41,'LP Elementos'!S41,'LP Elementos'!X41,'LP Elementos'!AC41,'LP Elementos'!AH41,'LP Elementos'!AM41,'LP Elementos'!AR41,'LP Elementos'!AX41,'LP Elementos'!BB41,'LP Elementos'!BG41,'LP Elementos'!BL41,'LP Elementos'!BQ41,'LP Elementos'!BV41,'LP Elementos'!CA41,'LP Elementos'!CF41,'LP Elementos'!CK41,'LP Elementos'!CP41,'LP Elementos'!CU41,'LP Elementos'!CZ41)," ")</f>
        <v>4</v>
      </c>
    </row>
    <row r="42" spans="2:12" ht="81" x14ac:dyDescent="0.25">
      <c r="B42" s="411">
        <v>40</v>
      </c>
      <c r="C42" s="412" t="s">
        <v>3017</v>
      </c>
      <c r="D42" s="408">
        <f>IFERROR(MIN('LP Elementos'!F42,'LP Elementos'!I42,'LP Elementos'!N42,'LP Elementos'!S42,'LP Elementos'!X42,'LP Elementos'!AC42,'LP Elementos'!AH42,'LP Elementos'!AM42,'LP Elementos'!AR42,'LP Elementos'!AW42,'LP Elementos'!BB42,'LP Elementos'!BG42,'LP Elementos'!BL42,'LP Elementos'!BQ42,'LP Elementos'!BV42,'LP Elementos'!CA42,'LP Elementos'!CF42,'LP Elementos'!CK42,'LP Elementos'!CP42,'LP Elementos'!CU42,'LP Elementos'!CZ42)," ")</f>
        <v>171360</v>
      </c>
      <c r="E42" s="341">
        <f>IFERROR(AVERAGE('LP Elementos'!F42,'LP Elementos'!I42,'LP Elementos'!N42,'LP Elementos'!S42,'LP Elementos'!X42,'LP Elementos'!AC42,'LP Elementos'!AH42,'LP Elementos'!AM42,'LP Elementos'!AR42,'LP Elementos'!AW42,'LP Elementos'!BB42,'LP Elementos'!BG42,'LP Elementos'!BL42,'LP Elementos'!BQ42,'LP Elementos'!BV42,'LP Elementos'!CA42,'LP Elementos'!CF42,'LP Elementos'!CK42,'LP Elementos'!CP42,'LP Elementos'!CU42,'LP Elementos'!CZ42)," ")</f>
        <v>331986.46525000001</v>
      </c>
      <c r="F42" s="341">
        <f>IFERROR(MEDIAN('LP Elementos'!F42,'LP Elementos'!I42,'LP Elementos'!N42,'LP Elementos'!S42,'LP Elementos'!X42,'LP Elementos'!AC42,'LP Elementos'!AH42,'LP Elementos'!AM42,'LP Elementos'!AR42,'LP Elementos'!AW42,'LP Elementos'!BB42,'LP Elementos'!BG42,'LP Elementos'!BL42,'LP Elementos'!BQ42,'LP Elementos'!BV42,'LP Elementos'!CA42,'LP Elementos'!CF42,'LP Elementos'!CK42,'LP Elementos'!CP42,'LP Elementos'!CU42,'LP Elementos'!CZ42)," ")</f>
        <v>284362.93050000002</v>
      </c>
      <c r="G42" s="341">
        <f>IFERROR(GEOMEAN('LP Elementos'!F42,'LP Elementos'!I42,'LP Elementos'!N42,'LP Elementos'!S42,'LP Elementos'!X42,'LP Elementos'!AC42,'LP Elementos'!AH42,'LP Elementos'!AM42,'LP Elementos'!AR42,'LP Elementos'!AW42,'LP Elementos'!BB42,'LP Elementos'!BG42,'LP Elementos'!BL42,'LP Elementos'!BQ42,'LP Elementos'!BV42,'LP Elementos'!CA42,'LP Elementos'!CF42,'LP Elementos'!CK42,'LP Elementos'!CP42,'LP Elementos'!CU42,'LP Elementos'!CZ42)," ")</f>
        <v>300281.13309723348</v>
      </c>
      <c r="H42" s="341">
        <f t="shared" si="0"/>
        <v>69951.054627682519</v>
      </c>
      <c r="I42" s="342">
        <f t="shared" si="1"/>
        <v>0.21070453753289725</v>
      </c>
      <c r="J42" s="341">
        <f t="shared" si="2"/>
        <v>300281.13309723348</v>
      </c>
      <c r="K42" s="326" t="str">
        <f t="shared" si="3"/>
        <v>Media Geometrica</v>
      </c>
      <c r="L42" s="326">
        <f>IFERROR(COUNTA('LP Elementos'!F42,'LP Elementos'!I42,'LP Elementos'!N42,'LP Elementos'!S42,'LP Elementos'!X42,'LP Elementos'!AC42,'LP Elementos'!AH42,'LP Elementos'!AM42,'LP Elementos'!AR42,'LP Elementos'!AX42,'LP Elementos'!BB42,'LP Elementos'!BG42,'LP Elementos'!BL42,'LP Elementos'!BQ42,'LP Elementos'!BV42,'LP Elementos'!CA42,'LP Elementos'!CF42,'LP Elementos'!CK42,'LP Elementos'!CP42,'LP Elementos'!CU42,'LP Elementos'!CZ42)," ")</f>
        <v>4</v>
      </c>
    </row>
    <row r="43" spans="2:12" ht="67.5" x14ac:dyDescent="0.25">
      <c r="B43" s="411">
        <v>41</v>
      </c>
      <c r="C43" s="413" t="s">
        <v>3020</v>
      </c>
      <c r="D43" s="408">
        <f>IFERROR(MIN('LP Elementos'!F43,'LP Elementos'!I43,'LP Elementos'!N43,'LP Elementos'!S43,'LP Elementos'!X43,'LP Elementos'!AC43,'LP Elementos'!AH43,'LP Elementos'!AM43,'LP Elementos'!AR43,'LP Elementos'!AW43,'LP Elementos'!BB43,'LP Elementos'!BG43,'LP Elementos'!BL43,'LP Elementos'!BQ43,'LP Elementos'!BV43,'LP Elementos'!CA43,'LP Elementos'!CF43,'LP Elementos'!CK43,'LP Elementos'!CP43,'LP Elementos'!CU43,'LP Elementos'!CZ43)," ")</f>
        <v>31057.561000000002</v>
      </c>
      <c r="E43" s="341">
        <f>IFERROR(AVERAGE('LP Elementos'!F43,'LP Elementos'!I43,'LP Elementos'!N43,'LP Elementos'!S43,'LP Elementos'!X43,'LP Elementos'!AC43,'LP Elementos'!AH43,'LP Elementos'!AM43,'LP Elementos'!AR43,'LP Elementos'!AW43,'LP Elementos'!BB43,'LP Elementos'!BG43,'LP Elementos'!BL43,'LP Elementos'!BQ43,'LP Elementos'!BV43,'LP Elementos'!CA43,'LP Elementos'!CF43,'LP Elementos'!CK43,'LP Elementos'!CP43,'LP Elementos'!CU43,'LP Elementos'!CZ43)," ")</f>
        <v>50395.780500000001</v>
      </c>
      <c r="F43" s="341">
        <f>IFERROR(MEDIAN('LP Elementos'!F43,'LP Elementos'!I43,'LP Elementos'!N43,'LP Elementos'!S43,'LP Elementos'!X43,'LP Elementos'!AC43,'LP Elementos'!AH43,'LP Elementos'!AM43,'LP Elementos'!AR43,'LP Elementos'!AW43,'LP Elementos'!BB43,'LP Elementos'!BG43,'LP Elementos'!BL43,'LP Elementos'!BQ43,'LP Elementos'!BV43,'LP Elementos'!CA43,'LP Elementos'!CF43,'LP Elementos'!CK43,'LP Elementos'!CP43,'LP Elementos'!CU43,'LP Elementos'!CZ43)," ")</f>
        <v>50395.780500000001</v>
      </c>
      <c r="G43" s="341">
        <f>IFERROR(GEOMEAN('LP Elementos'!F43,'LP Elementos'!I43,'LP Elementos'!N43,'LP Elementos'!S43,'LP Elementos'!X43,'LP Elementos'!AC43,'LP Elementos'!AH43,'LP Elementos'!AM43,'LP Elementos'!AR43,'LP Elementos'!AW43,'LP Elementos'!BB43,'LP Elementos'!BG43,'LP Elementos'!BL43,'LP Elementos'!BQ43,'LP Elementos'!BV43,'LP Elementos'!CA43,'LP Elementos'!CF43,'LP Elementos'!CK43,'LP Elementos'!CP43,'LP Elementos'!CU43,'LP Elementos'!CZ43)," ")</f>
        <v>46537.812139957765</v>
      </c>
      <c r="H43" s="341">
        <f t="shared" si="0"/>
        <v>9207.5127022751512</v>
      </c>
      <c r="I43" s="342">
        <f t="shared" si="1"/>
        <v>0.18270404011850061</v>
      </c>
      <c r="J43" s="341">
        <f t="shared" si="2"/>
        <v>50395.780500000001</v>
      </c>
      <c r="K43" s="326" t="str">
        <f t="shared" si="3"/>
        <v>Promedio</v>
      </c>
      <c r="L43" s="326">
        <f>IFERROR(COUNTA('LP Elementos'!F43,'LP Elementos'!I43,'LP Elementos'!N43,'LP Elementos'!S43,'LP Elementos'!X43,'LP Elementos'!AC43,'LP Elementos'!AH43,'LP Elementos'!AM43,'LP Elementos'!AR43,'LP Elementos'!AX43,'LP Elementos'!BB43,'LP Elementos'!BG43,'LP Elementos'!BL43,'LP Elementos'!BQ43,'LP Elementos'!BV43,'LP Elementos'!CA43,'LP Elementos'!CF43,'LP Elementos'!CK43,'LP Elementos'!CP43,'LP Elementos'!CU43,'LP Elementos'!CZ43)," ")</f>
        <v>2</v>
      </c>
    </row>
    <row r="44" spans="2:12" ht="40.5" x14ac:dyDescent="0.25">
      <c r="B44" s="411">
        <v>42</v>
      </c>
      <c r="C44" s="412" t="s">
        <v>3021</v>
      </c>
      <c r="D44" s="408">
        <f>IFERROR(MIN('LP Elementos'!F44,'LP Elementos'!I44,'LP Elementos'!N44,'LP Elementos'!S44,'LP Elementos'!X44,'LP Elementos'!AC44,'LP Elementos'!AH44,'LP Elementos'!AM44,'LP Elementos'!AR44,'LP Elementos'!AW44,'LP Elementos'!BB44,'LP Elementos'!BG44,'LP Elementos'!BL44,'LP Elementos'!BQ44,'LP Elementos'!BV44,'LP Elementos'!CA44,'LP Elementos'!CF44,'LP Elementos'!CK44,'LP Elementos'!CP44,'LP Elementos'!CU44,'LP Elementos'!CZ44)," ")</f>
        <v>81948.445600000006</v>
      </c>
      <c r="E44" s="341">
        <f>IFERROR(AVERAGE('LP Elementos'!F44,'LP Elementos'!I44,'LP Elementos'!N44,'LP Elementos'!S44,'LP Elementos'!X44,'LP Elementos'!AC44,'LP Elementos'!AH44,'LP Elementos'!AM44,'LP Elementos'!AR44,'LP Elementos'!AW44,'LP Elementos'!BB44,'LP Elementos'!BG44,'LP Elementos'!BL44,'LP Elementos'!BQ44,'LP Elementos'!BV44,'LP Elementos'!CA44,'LP Elementos'!CF44,'LP Elementos'!CK44,'LP Elementos'!CP44,'LP Elementos'!CU44,'LP Elementos'!CZ44)," ")</f>
        <v>96483.722800000003</v>
      </c>
      <c r="F44" s="341">
        <f>IFERROR(MEDIAN('LP Elementos'!F44,'LP Elementos'!I44,'LP Elementos'!N44,'LP Elementos'!S44,'LP Elementos'!X44,'LP Elementos'!AC44,'LP Elementos'!AH44,'LP Elementos'!AM44,'LP Elementos'!AR44,'LP Elementos'!AW44,'LP Elementos'!BB44,'LP Elementos'!BG44,'LP Elementos'!BL44,'LP Elementos'!BQ44,'LP Elementos'!BV44,'LP Elementos'!CA44,'LP Elementos'!CF44,'LP Elementos'!CK44,'LP Elementos'!CP44,'LP Elementos'!CU44,'LP Elementos'!CZ44)," ")</f>
        <v>96483.722800000003</v>
      </c>
      <c r="G44" s="341">
        <f>IFERROR(GEOMEAN('LP Elementos'!F44,'LP Elementos'!I44,'LP Elementos'!N44,'LP Elementos'!S44,'LP Elementos'!X44,'LP Elementos'!AC44,'LP Elementos'!AH44,'LP Elementos'!AM44,'LP Elementos'!AR44,'LP Elementos'!AW44,'LP Elementos'!BB44,'LP Elementos'!BG44,'LP Elementos'!BL44,'LP Elementos'!BQ44,'LP Elementos'!BV44,'LP Elementos'!CA44,'LP Elementos'!CF44,'LP Elementos'!CK44,'LP Elementos'!CP44,'LP Elementos'!CU44,'LP Elementos'!CZ44)," ")</f>
        <v>95382.569068286262</v>
      </c>
      <c r="H44" s="341">
        <f t="shared" si="0"/>
        <v>7103.1056529554571</v>
      </c>
      <c r="I44" s="342">
        <f t="shared" si="1"/>
        <v>7.361973032155282E-2</v>
      </c>
      <c r="J44" s="341">
        <f t="shared" si="2"/>
        <v>96483.722800000003</v>
      </c>
      <c r="K44" s="326" t="str">
        <f t="shared" si="3"/>
        <v>Promedio</v>
      </c>
      <c r="L44" s="326">
        <f>IFERROR(COUNTA('LP Elementos'!F44,'LP Elementos'!I44,'LP Elementos'!N44,'LP Elementos'!S44,'LP Elementos'!X44,'LP Elementos'!AC44,'LP Elementos'!AH44,'LP Elementos'!AM44,'LP Elementos'!AR44,'LP Elementos'!AX44,'LP Elementos'!BB44,'LP Elementos'!BG44,'LP Elementos'!BL44,'LP Elementos'!BQ44,'LP Elementos'!BV44,'LP Elementos'!CA44,'LP Elementos'!CF44,'LP Elementos'!CK44,'LP Elementos'!CP44,'LP Elementos'!CU44,'LP Elementos'!CZ44)," ")</f>
        <v>2</v>
      </c>
    </row>
    <row r="45" spans="2:12" ht="40.5" x14ac:dyDescent="0.25">
      <c r="B45" s="411">
        <v>43</v>
      </c>
      <c r="C45" s="412" t="s">
        <v>3022</v>
      </c>
      <c r="D45" s="408">
        <f>IFERROR(MIN('LP Elementos'!F45,'LP Elementos'!I45,'LP Elementos'!N45,'LP Elementos'!S45,'LP Elementos'!X45,'LP Elementos'!AC45,'LP Elementos'!AH45,'LP Elementos'!AM45,'LP Elementos'!AR45,'LP Elementos'!AW45,'LP Elementos'!BB45,'LP Elementos'!BG45,'LP Elementos'!BL45,'LP Elementos'!BQ45,'LP Elementos'!BV45,'LP Elementos'!CA45,'LP Elementos'!CF45,'LP Elementos'!CK45,'LP Elementos'!CP45,'LP Elementos'!CU45,'LP Elementos'!CZ45)," ")</f>
        <v>123174.04400000001</v>
      </c>
      <c r="E45" s="341">
        <f>IFERROR(AVERAGE('LP Elementos'!F45,'LP Elementos'!I45,'LP Elementos'!N45,'LP Elementos'!S45,'LP Elementos'!X45,'LP Elementos'!AC45,'LP Elementos'!AH45,'LP Elementos'!AM45,'LP Elementos'!AR45,'LP Elementos'!AW45,'LP Elementos'!BB45,'LP Elementos'!BG45,'LP Elementos'!BL45,'LP Elementos'!BQ45,'LP Elementos'!BV45,'LP Elementos'!CA45,'LP Elementos'!CF45,'LP Elementos'!CK45,'LP Elementos'!CP45,'LP Elementos'!CU45,'LP Elementos'!CZ45)," ")</f>
        <v>123174.04400000001</v>
      </c>
      <c r="F45" s="341">
        <f>IFERROR(MEDIAN('LP Elementos'!F45,'LP Elementos'!I45,'LP Elementos'!N45,'LP Elementos'!S45,'LP Elementos'!X45,'LP Elementos'!AC45,'LP Elementos'!AH45,'LP Elementos'!AM45,'LP Elementos'!AR45,'LP Elementos'!AW45,'LP Elementos'!BB45,'LP Elementos'!BG45,'LP Elementos'!BL45,'LP Elementos'!BQ45,'LP Elementos'!BV45,'LP Elementos'!CA45,'LP Elementos'!CF45,'LP Elementos'!CK45,'LP Elementos'!CP45,'LP Elementos'!CU45,'LP Elementos'!CZ45)," ")</f>
        <v>123174.04400000001</v>
      </c>
      <c r="G45" s="341">
        <f>IFERROR(GEOMEAN('LP Elementos'!F45,'LP Elementos'!I45,'LP Elementos'!N45,'LP Elementos'!S45,'LP Elementos'!X45,'LP Elementos'!AC45,'LP Elementos'!AH45,'LP Elementos'!AM45,'LP Elementos'!AR45,'LP Elementos'!AW45,'LP Elementos'!BB45,'LP Elementos'!BG45,'LP Elementos'!BL45,'LP Elementos'!BQ45,'LP Elementos'!BV45,'LP Elementos'!CA45,'LP Elementos'!CF45,'LP Elementos'!CK45,'LP Elementos'!CP45,'LP Elementos'!CU45,'LP Elementos'!CZ45)," ")</f>
        <v>123174.04400000001</v>
      </c>
      <c r="H45" s="341">
        <f t="shared" si="0"/>
        <v>0</v>
      </c>
      <c r="I45" s="342">
        <f t="shared" si="1"/>
        <v>0</v>
      </c>
      <c r="J45" s="341">
        <f t="shared" si="2"/>
        <v>123174.04400000001</v>
      </c>
      <c r="K45" s="326" t="str">
        <f t="shared" si="3"/>
        <v>Menor Valor</v>
      </c>
      <c r="L45" s="326">
        <f>IFERROR(COUNTA('LP Elementos'!F45,'LP Elementos'!I45,'LP Elementos'!N45,'LP Elementos'!S45,'LP Elementos'!X45,'LP Elementos'!AC45,'LP Elementos'!AH45,'LP Elementos'!AM45,'LP Elementos'!AR45,'LP Elementos'!AX45,'LP Elementos'!BB45,'LP Elementos'!BG45,'LP Elementos'!BL45,'LP Elementos'!BQ45,'LP Elementos'!BV45,'LP Elementos'!CA45,'LP Elementos'!CF45,'LP Elementos'!CK45,'LP Elementos'!CP45,'LP Elementos'!CU45,'LP Elementos'!CZ45)," ")</f>
        <v>1</v>
      </c>
    </row>
    <row r="46" spans="2:12" ht="40.5" x14ac:dyDescent="0.25">
      <c r="B46" s="411">
        <v>44</v>
      </c>
      <c r="C46" s="412" t="s">
        <v>3023</v>
      </c>
      <c r="D46" s="408">
        <f>IFERROR(MIN('LP Elementos'!F46,'LP Elementos'!I46,'LP Elementos'!N46,'LP Elementos'!S46,'LP Elementos'!X46,'LP Elementos'!AC46,'LP Elementos'!AH46,'LP Elementos'!AM46,'LP Elementos'!AR46,'LP Elementos'!AW46,'LP Elementos'!BB46,'LP Elementos'!BG46,'LP Elementos'!BL46,'LP Elementos'!BQ46,'LP Elementos'!BV46,'LP Elementos'!CA46,'LP Elementos'!CF46,'LP Elementos'!CK46,'LP Elementos'!CP46,'LP Elementos'!CU46,'LP Elementos'!CZ46)," ")</f>
        <v>262310.43859999999</v>
      </c>
      <c r="E46" s="341">
        <f>IFERROR(AVERAGE('LP Elementos'!F46,'LP Elementos'!I46,'LP Elementos'!N46,'LP Elementos'!S46,'LP Elementos'!X46,'LP Elementos'!AC46,'LP Elementos'!AH46,'LP Elementos'!AM46,'LP Elementos'!AR46,'LP Elementos'!AW46,'LP Elementos'!BB46,'LP Elementos'!BG46,'LP Elementos'!BL46,'LP Elementos'!BQ46,'LP Elementos'!BV46,'LP Elementos'!CA46,'LP Elementos'!CF46,'LP Elementos'!CK46,'LP Elementos'!CP46,'LP Elementos'!CU46,'LP Elementos'!CZ46)," ")</f>
        <v>262310.43859999999</v>
      </c>
      <c r="F46" s="341">
        <f>IFERROR(MEDIAN('LP Elementos'!F46,'LP Elementos'!I46,'LP Elementos'!N46,'LP Elementos'!S46,'LP Elementos'!X46,'LP Elementos'!AC46,'LP Elementos'!AH46,'LP Elementos'!AM46,'LP Elementos'!AR46,'LP Elementos'!AW46,'LP Elementos'!BB46,'LP Elementos'!BG46,'LP Elementos'!BL46,'LP Elementos'!BQ46,'LP Elementos'!BV46,'LP Elementos'!CA46,'LP Elementos'!CF46,'LP Elementos'!CK46,'LP Elementos'!CP46,'LP Elementos'!CU46,'LP Elementos'!CZ46)," ")</f>
        <v>262310.43859999999</v>
      </c>
      <c r="G46" s="341">
        <f>IFERROR(GEOMEAN('LP Elementos'!F46,'LP Elementos'!I46,'LP Elementos'!N46,'LP Elementos'!S46,'LP Elementos'!X46,'LP Elementos'!AC46,'LP Elementos'!AH46,'LP Elementos'!AM46,'LP Elementos'!AR46,'LP Elementos'!AW46,'LP Elementos'!BB46,'LP Elementos'!BG46,'LP Elementos'!BL46,'LP Elementos'!BQ46,'LP Elementos'!BV46,'LP Elementos'!CA46,'LP Elementos'!CF46,'LP Elementos'!CK46,'LP Elementos'!CP46,'LP Elementos'!CU46,'LP Elementos'!CZ46)," ")</f>
        <v>262310.43859999999</v>
      </c>
      <c r="H46" s="341">
        <f t="shared" si="0"/>
        <v>0</v>
      </c>
      <c r="I46" s="342">
        <f t="shared" si="1"/>
        <v>0</v>
      </c>
      <c r="J46" s="341">
        <f t="shared" si="2"/>
        <v>262310.43859999999</v>
      </c>
      <c r="K46" s="326" t="str">
        <f t="shared" si="3"/>
        <v>Menor Valor</v>
      </c>
      <c r="L46" s="326">
        <f>IFERROR(COUNTA('LP Elementos'!F46,'LP Elementos'!I46,'LP Elementos'!N46,'LP Elementos'!S46,'LP Elementos'!X46,'LP Elementos'!AC46,'LP Elementos'!AH46,'LP Elementos'!AM46,'LP Elementos'!AR46,'LP Elementos'!AX46,'LP Elementos'!BB46,'LP Elementos'!BG46,'LP Elementos'!BL46,'LP Elementos'!BQ46,'LP Elementos'!BV46,'LP Elementos'!CA46,'LP Elementos'!CF46,'LP Elementos'!CK46,'LP Elementos'!CP46,'LP Elementos'!CU46,'LP Elementos'!CZ46)," ")</f>
        <v>1</v>
      </c>
    </row>
    <row r="47" spans="2:12" ht="40.5" x14ac:dyDescent="0.25">
      <c r="B47" s="411">
        <v>45</v>
      </c>
      <c r="C47" s="412" t="s">
        <v>3024</v>
      </c>
      <c r="D47" s="408">
        <f>IFERROR(MIN('LP Elementos'!F47,'LP Elementos'!I47,'LP Elementos'!N47,'LP Elementos'!S47,'LP Elementos'!X47,'LP Elementos'!AC47,'LP Elementos'!AH47,'LP Elementos'!AM47,'LP Elementos'!AR47,'LP Elementos'!AW47,'LP Elementos'!BB47,'LP Elementos'!BG47,'LP Elementos'!BL47,'LP Elementos'!BQ47,'LP Elementos'!BV47,'LP Elementos'!CA47,'LP Elementos'!CF47,'LP Elementos'!CK47,'LP Elementos'!CP47,'LP Elementos'!CU47,'LP Elementos'!CZ47)," ")</f>
        <v>57313.6368</v>
      </c>
      <c r="E47" s="341">
        <f>IFERROR(AVERAGE('LP Elementos'!F47,'LP Elementos'!I47,'LP Elementos'!N47,'LP Elementos'!S47,'LP Elementos'!X47,'LP Elementos'!AC47,'LP Elementos'!AH47,'LP Elementos'!AM47,'LP Elementos'!AR47,'LP Elementos'!AW47,'LP Elementos'!BB47,'LP Elementos'!BG47,'LP Elementos'!BL47,'LP Elementos'!BQ47,'LP Elementos'!BV47,'LP Elementos'!CA47,'LP Elementos'!CF47,'LP Elementos'!CK47,'LP Elementos'!CP47,'LP Elementos'!CU47,'LP Elementos'!CZ47)," ")</f>
        <v>57313.6368</v>
      </c>
      <c r="F47" s="341">
        <f>IFERROR(MEDIAN('LP Elementos'!F47,'LP Elementos'!I47,'LP Elementos'!N47,'LP Elementos'!S47,'LP Elementos'!X47,'LP Elementos'!AC47,'LP Elementos'!AH47,'LP Elementos'!AM47,'LP Elementos'!AR47,'LP Elementos'!AW47,'LP Elementos'!BB47,'LP Elementos'!BG47,'LP Elementos'!BL47,'LP Elementos'!BQ47,'LP Elementos'!BV47,'LP Elementos'!CA47,'LP Elementos'!CF47,'LP Elementos'!CK47,'LP Elementos'!CP47,'LP Elementos'!CU47,'LP Elementos'!CZ47)," ")</f>
        <v>57313.6368</v>
      </c>
      <c r="G47" s="341">
        <f>IFERROR(GEOMEAN('LP Elementos'!F47,'LP Elementos'!I47,'LP Elementos'!N47,'LP Elementos'!S47,'LP Elementos'!X47,'LP Elementos'!AC47,'LP Elementos'!AH47,'LP Elementos'!AM47,'LP Elementos'!AR47,'LP Elementos'!AW47,'LP Elementos'!BB47,'LP Elementos'!BG47,'LP Elementos'!BL47,'LP Elementos'!BQ47,'LP Elementos'!BV47,'LP Elementos'!CA47,'LP Elementos'!CF47,'LP Elementos'!CK47,'LP Elementos'!CP47,'LP Elementos'!CU47,'LP Elementos'!CZ47)," ")</f>
        <v>57313.6368</v>
      </c>
      <c r="H47" s="341">
        <f t="shared" si="0"/>
        <v>0</v>
      </c>
      <c r="I47" s="342">
        <f t="shared" si="1"/>
        <v>0</v>
      </c>
      <c r="J47" s="341">
        <f t="shared" si="2"/>
        <v>57313.6368</v>
      </c>
      <c r="K47" s="326" t="str">
        <f t="shared" si="3"/>
        <v>Menor Valor</v>
      </c>
      <c r="L47" s="326">
        <f>IFERROR(COUNTA('LP Elementos'!F47,'LP Elementos'!I47,'LP Elementos'!N47,'LP Elementos'!S47,'LP Elementos'!X47,'LP Elementos'!AC47,'LP Elementos'!AH47,'LP Elementos'!AM47,'LP Elementos'!AR47,'LP Elementos'!AX47,'LP Elementos'!BB47,'LP Elementos'!BG47,'LP Elementos'!BL47,'LP Elementos'!BQ47,'LP Elementos'!BV47,'LP Elementos'!CA47,'LP Elementos'!CF47,'LP Elementos'!CK47,'LP Elementos'!CP47,'LP Elementos'!CU47,'LP Elementos'!CZ47)," ")</f>
        <v>1</v>
      </c>
    </row>
    <row r="48" spans="2:12" x14ac:dyDescent="0.25">
      <c r="B48" s="411">
        <v>46</v>
      </c>
      <c r="C48" s="412" t="s">
        <v>3026</v>
      </c>
      <c r="D48" s="408">
        <f>IFERROR(MIN('LP Elementos'!F48,'LP Elementos'!I48,'LP Elementos'!N48,'LP Elementos'!S48,'LP Elementos'!X48,'LP Elementos'!AC48,'LP Elementos'!AH48,'LP Elementos'!AM48,'LP Elementos'!AR48,'LP Elementos'!AW48,'LP Elementos'!BB48,'LP Elementos'!BG48,'LP Elementos'!BL48,'LP Elementos'!BQ48,'LP Elementos'!BV48,'LP Elementos'!CA48,'LP Elementos'!CF48,'LP Elementos'!CK48,'LP Elementos'!CP48,'LP Elementos'!CU48,'LP Elementos'!CZ48)," ")</f>
        <v>713906.70400000003</v>
      </c>
      <c r="E48" s="341">
        <f>IFERROR(AVERAGE('LP Elementos'!F48,'LP Elementos'!I48,'LP Elementos'!N48,'LP Elementos'!S48,'LP Elementos'!X48,'LP Elementos'!AC48,'LP Elementos'!AH48,'LP Elementos'!AM48,'LP Elementos'!AR48,'LP Elementos'!AW48,'LP Elementos'!BB48,'LP Elementos'!BG48,'LP Elementos'!BL48,'LP Elementos'!BQ48,'LP Elementos'!BV48,'LP Elementos'!CA48,'LP Elementos'!CF48,'LP Elementos'!CK48,'LP Elementos'!CP48,'LP Elementos'!CU48,'LP Elementos'!CZ48)," ")</f>
        <v>713906.70400000003</v>
      </c>
      <c r="F48" s="341">
        <f>IFERROR(MEDIAN('LP Elementos'!F48,'LP Elementos'!I48,'LP Elementos'!N48,'LP Elementos'!S48,'LP Elementos'!X48,'LP Elementos'!AC48,'LP Elementos'!AH48,'LP Elementos'!AM48,'LP Elementos'!AR48,'LP Elementos'!AW48,'LP Elementos'!BB48,'LP Elementos'!BG48,'LP Elementos'!BL48,'LP Elementos'!BQ48,'LP Elementos'!BV48,'LP Elementos'!CA48,'LP Elementos'!CF48,'LP Elementos'!CK48,'LP Elementos'!CP48,'LP Elementos'!CU48,'LP Elementos'!CZ48)," ")</f>
        <v>713906.70400000003</v>
      </c>
      <c r="G48" s="341">
        <f>IFERROR(GEOMEAN('LP Elementos'!F48,'LP Elementos'!I48,'LP Elementos'!N48,'LP Elementos'!S48,'LP Elementos'!X48,'LP Elementos'!AC48,'LP Elementos'!AH48,'LP Elementos'!AM48,'LP Elementos'!AR48,'LP Elementos'!AW48,'LP Elementos'!BB48,'LP Elementos'!BG48,'LP Elementos'!BL48,'LP Elementos'!BQ48,'LP Elementos'!BV48,'LP Elementos'!CA48,'LP Elementos'!CF48,'LP Elementos'!CK48,'LP Elementos'!CP48,'LP Elementos'!CU48,'LP Elementos'!CZ48)," ")</f>
        <v>713906.70400000003</v>
      </c>
      <c r="H48" s="341">
        <f t="shared" si="0"/>
        <v>0</v>
      </c>
      <c r="I48" s="342">
        <f t="shared" si="1"/>
        <v>0</v>
      </c>
      <c r="J48" s="341">
        <f t="shared" si="2"/>
        <v>713906.70400000003</v>
      </c>
      <c r="K48" s="326" t="str">
        <f t="shared" si="3"/>
        <v>Menor Valor</v>
      </c>
      <c r="L48" s="326">
        <f>IFERROR(COUNTA('LP Elementos'!F48,'LP Elementos'!I48,'LP Elementos'!N48,'LP Elementos'!S48,'LP Elementos'!X48,'LP Elementos'!AC48,'LP Elementos'!AH48,'LP Elementos'!AM48,'LP Elementos'!AR48,'LP Elementos'!AX48,'LP Elementos'!BB48,'LP Elementos'!BG48,'LP Elementos'!BL48,'LP Elementos'!BQ48,'LP Elementos'!BV48,'LP Elementos'!CA48,'LP Elementos'!CF48,'LP Elementos'!CK48,'LP Elementos'!CP48,'LP Elementos'!CU48,'LP Elementos'!CZ48)," ")</f>
        <v>1</v>
      </c>
    </row>
    <row r="49" spans="2:12" ht="40.5" x14ac:dyDescent="0.25">
      <c r="B49" s="411">
        <v>47</v>
      </c>
      <c r="C49" s="412" t="s">
        <v>3028</v>
      </c>
      <c r="D49" s="408">
        <f>IFERROR(MIN('LP Elementos'!F49,'LP Elementos'!I49,'LP Elementos'!N49,'LP Elementos'!S49,'LP Elementos'!X49,'LP Elementos'!AC49,'LP Elementos'!AH49,'LP Elementos'!AM49,'LP Elementos'!AR49,'LP Elementos'!AW49,'LP Elementos'!BB49,'LP Elementos'!BG49,'LP Elementos'!BL49,'LP Elementos'!BQ49,'LP Elementos'!BV49,'LP Elementos'!CA49,'LP Elementos'!CF49,'LP Elementos'!CK49,'LP Elementos'!CP49,'LP Elementos'!CU49,'LP Elementos'!CZ49)," ")</f>
        <v>9698.5</v>
      </c>
      <c r="E49" s="341">
        <f>IFERROR(AVERAGE('LP Elementos'!F49,'LP Elementos'!I49,'LP Elementos'!N49,'LP Elementos'!S49,'LP Elementos'!X49,'LP Elementos'!AC49,'LP Elementos'!AH49,'LP Elementos'!AM49,'LP Elementos'!AR49,'LP Elementos'!AW49,'LP Elementos'!BB49,'LP Elementos'!BG49,'LP Elementos'!BL49,'LP Elementos'!BQ49,'LP Elementos'!BV49,'LP Elementos'!CA49,'LP Elementos'!CF49,'LP Elementos'!CK49,'LP Elementos'!CP49,'LP Elementos'!CU49,'LP Elementos'!CZ49)," ")</f>
        <v>15863.89</v>
      </c>
      <c r="F49" s="341">
        <f>IFERROR(MEDIAN('LP Elementos'!F49,'LP Elementos'!I49,'LP Elementos'!N49,'LP Elementos'!S49,'LP Elementos'!X49,'LP Elementos'!AC49,'LP Elementos'!AH49,'LP Elementos'!AM49,'LP Elementos'!AR49,'LP Elementos'!AW49,'LP Elementos'!BB49,'LP Elementos'!BG49,'LP Elementos'!BL49,'LP Elementos'!BQ49,'LP Elementos'!BV49,'LP Elementos'!CA49,'LP Elementos'!CF49,'LP Elementos'!CK49,'LP Elementos'!CP49,'LP Elementos'!CU49,'LP Elementos'!CZ49)," ")</f>
        <v>18853.170000000002</v>
      </c>
      <c r="G49" s="341">
        <f>IFERROR(GEOMEAN('LP Elementos'!F49,'LP Elementos'!I49,'LP Elementos'!N49,'LP Elementos'!S49,'LP Elementos'!X49,'LP Elementos'!AC49,'LP Elementos'!AH49,'LP Elementos'!AM49,'LP Elementos'!AR49,'LP Elementos'!AW49,'LP Elementos'!BB49,'LP Elementos'!BG49,'LP Elementos'!BL49,'LP Elementos'!BQ49,'LP Elementos'!BV49,'LP Elementos'!CA49,'LP Elementos'!CF49,'LP Elementos'!CK49,'LP Elementos'!CP49,'LP Elementos'!CU49,'LP Elementos'!CZ49)," ")</f>
        <v>15156.024521350293</v>
      </c>
      <c r="H49" s="341">
        <f t="shared" si="0"/>
        <v>3815.6513610250049</v>
      </c>
      <c r="I49" s="342">
        <f t="shared" si="1"/>
        <v>0.24052432039209834</v>
      </c>
      <c r="J49" s="341">
        <f t="shared" si="2"/>
        <v>15156.024521350293</v>
      </c>
      <c r="K49" s="326" t="str">
        <f t="shared" si="3"/>
        <v>Media Geometrica</v>
      </c>
      <c r="L49" s="326">
        <f>IFERROR(COUNTA('LP Elementos'!F49,'LP Elementos'!I49,'LP Elementos'!N49,'LP Elementos'!S49,'LP Elementos'!X49,'LP Elementos'!AC49,'LP Elementos'!AH49,'LP Elementos'!AM49,'LP Elementos'!AR49,'LP Elementos'!AX49,'LP Elementos'!BB49,'LP Elementos'!BG49,'LP Elementos'!BL49,'LP Elementos'!BQ49,'LP Elementos'!BV49,'LP Elementos'!CA49,'LP Elementos'!CF49,'LP Elementos'!CK49,'LP Elementos'!CP49,'LP Elementos'!CU49,'LP Elementos'!CZ49)," ")</f>
        <v>3</v>
      </c>
    </row>
    <row r="50" spans="2:12" ht="40.5" x14ac:dyDescent="0.25">
      <c r="B50" s="411">
        <v>48</v>
      </c>
      <c r="C50" s="412" t="s">
        <v>3031</v>
      </c>
      <c r="D50" s="408">
        <f>IFERROR(MIN('LP Elementos'!F50,'LP Elementos'!I50,'LP Elementos'!N50,'LP Elementos'!S50,'LP Elementos'!X50,'LP Elementos'!AC50,'LP Elementos'!AH50,'LP Elementos'!AM50,'LP Elementos'!AR50,'LP Elementos'!AW50,'LP Elementos'!BB50,'LP Elementos'!BG50,'LP Elementos'!BL50,'LP Elementos'!BQ50,'LP Elementos'!BV50,'LP Elementos'!CA50,'LP Elementos'!CF50,'LP Elementos'!CK50,'LP Elementos'!CP50,'LP Elementos'!CU50,'LP Elementos'!CZ50)," ")</f>
        <v>16184</v>
      </c>
      <c r="E50" s="341">
        <f>IFERROR(AVERAGE('LP Elementos'!F50,'LP Elementos'!I50,'LP Elementos'!N50,'LP Elementos'!S50,'LP Elementos'!X50,'LP Elementos'!AC50,'LP Elementos'!AH50,'LP Elementos'!AM50,'LP Elementos'!AR50,'LP Elementos'!AW50,'LP Elementos'!BB50,'LP Elementos'!BG50,'LP Elementos'!BL50,'LP Elementos'!BQ50,'LP Elementos'!BV50,'LP Elementos'!CA50,'LP Elementos'!CF50,'LP Elementos'!CK50,'LP Elementos'!CP50,'LP Elementos'!CU50,'LP Elementos'!CZ50)," ")</f>
        <v>28230.845999999998</v>
      </c>
      <c r="F50" s="341">
        <f>IFERROR(MEDIAN('LP Elementos'!F50,'LP Elementos'!I50,'LP Elementos'!N50,'LP Elementos'!S50,'LP Elementos'!X50,'LP Elementos'!AC50,'LP Elementos'!AH50,'LP Elementos'!AM50,'LP Elementos'!AR50,'LP Elementos'!AW50,'LP Elementos'!BB50,'LP Elementos'!BG50,'LP Elementos'!BL50,'LP Elementos'!BQ50,'LP Elementos'!BV50,'LP Elementos'!CA50,'LP Elementos'!CF50,'LP Elementos'!CK50,'LP Elementos'!CP50,'LP Elementos'!CU50,'LP Elementos'!CZ50)," ")</f>
        <v>31421.95</v>
      </c>
      <c r="G50" s="341">
        <f>IFERROR(GEOMEAN('LP Elementos'!F50,'LP Elementos'!I50,'LP Elementos'!N50,'LP Elementos'!S50,'LP Elementos'!X50,'LP Elementos'!AC50,'LP Elementos'!AH50,'LP Elementos'!AM50,'LP Elementos'!AR50,'LP Elementos'!AW50,'LP Elementos'!BB50,'LP Elementos'!BG50,'LP Elementos'!BL50,'LP Elementos'!BQ50,'LP Elementos'!BV50,'LP Elementos'!CA50,'LP Elementos'!CF50,'LP Elementos'!CK50,'LP Elementos'!CP50,'LP Elementos'!CU50,'LP Elementos'!CZ50)," ")</f>
        <v>26482.646892891637</v>
      </c>
      <c r="H50" s="341">
        <f t="shared" si="0"/>
        <v>6589.2577137304852</v>
      </c>
      <c r="I50" s="342">
        <f t="shared" si="1"/>
        <v>0.23340631427518982</v>
      </c>
      <c r="J50" s="341">
        <f t="shared" si="2"/>
        <v>26482.646892891637</v>
      </c>
      <c r="K50" s="326" t="str">
        <f t="shared" si="3"/>
        <v>Media Geometrica</v>
      </c>
      <c r="L50" s="326">
        <f>IFERROR(COUNTA('LP Elementos'!F50,'LP Elementos'!I50,'LP Elementos'!N50,'LP Elementos'!S50,'LP Elementos'!X50,'LP Elementos'!AC50,'LP Elementos'!AH50,'LP Elementos'!AM50,'LP Elementos'!AR50,'LP Elementos'!AX50,'LP Elementos'!BB50,'LP Elementos'!BG50,'LP Elementos'!BL50,'LP Elementos'!BQ50,'LP Elementos'!BV50,'LP Elementos'!CA50,'LP Elementos'!CF50,'LP Elementos'!CK50,'LP Elementos'!CP50,'LP Elementos'!CU50,'LP Elementos'!CZ50)," ")</f>
        <v>5</v>
      </c>
    </row>
    <row r="51" spans="2:12" ht="40.5" x14ac:dyDescent="0.25">
      <c r="B51" s="411">
        <v>49</v>
      </c>
      <c r="C51" s="412" t="s">
        <v>3036</v>
      </c>
      <c r="D51" s="408">
        <f>IFERROR(MIN('LP Elementos'!F51,'LP Elementos'!I51,'LP Elementos'!N51,'LP Elementos'!S51,'LP Elementos'!X51,'LP Elementos'!AC51,'LP Elementos'!AH51,'LP Elementos'!AM51,'LP Elementos'!AR51,'LP Elementos'!AW51,'LP Elementos'!BB51,'LP Elementos'!BG51,'LP Elementos'!BL51,'LP Elementos'!BQ51,'LP Elementos'!BV51,'LP Elementos'!CA51,'LP Elementos'!CF51,'LP Elementos'!CK51,'LP Elementos'!CP51,'LP Elementos'!CU51,'LP Elementos'!CZ51)," ")</f>
        <v>56318.696400000001</v>
      </c>
      <c r="E51" s="341">
        <f>IFERROR(AVERAGE('LP Elementos'!F51,'LP Elementos'!I51,'LP Elementos'!N51,'LP Elementos'!S51,'LP Elementos'!X51,'LP Elementos'!AC51,'LP Elementos'!AH51,'LP Elementos'!AM51,'LP Elementos'!AR51,'LP Elementos'!AW51,'LP Elementos'!BB51,'LP Elementos'!BG51,'LP Elementos'!BL51,'LP Elementos'!BQ51,'LP Elementos'!BV51,'LP Elementos'!CA51,'LP Elementos'!CF51,'LP Elementos'!CK51,'LP Elementos'!CP51,'LP Elementos'!CU51,'LP Elementos'!CZ51)," ")</f>
        <v>56318.696400000001</v>
      </c>
      <c r="F51" s="341">
        <f>IFERROR(MEDIAN('LP Elementos'!F51,'LP Elementos'!I51,'LP Elementos'!N51,'LP Elementos'!S51,'LP Elementos'!X51,'LP Elementos'!AC51,'LP Elementos'!AH51,'LP Elementos'!AM51,'LP Elementos'!AR51,'LP Elementos'!AW51,'LP Elementos'!BB51,'LP Elementos'!BG51,'LP Elementos'!BL51,'LP Elementos'!BQ51,'LP Elementos'!BV51,'LP Elementos'!CA51,'LP Elementos'!CF51,'LP Elementos'!CK51,'LP Elementos'!CP51,'LP Elementos'!CU51,'LP Elementos'!CZ51)," ")</f>
        <v>56318.696400000001</v>
      </c>
      <c r="G51" s="341">
        <f>IFERROR(GEOMEAN('LP Elementos'!F51,'LP Elementos'!I51,'LP Elementos'!N51,'LP Elementos'!S51,'LP Elementos'!X51,'LP Elementos'!AC51,'LP Elementos'!AH51,'LP Elementos'!AM51,'LP Elementos'!AR51,'LP Elementos'!AW51,'LP Elementos'!BB51,'LP Elementos'!BG51,'LP Elementos'!BL51,'LP Elementos'!BQ51,'LP Elementos'!BV51,'LP Elementos'!CA51,'LP Elementos'!CF51,'LP Elementos'!CK51,'LP Elementos'!CP51,'LP Elementos'!CU51,'LP Elementos'!CZ51)," ")</f>
        <v>56318.696400000001</v>
      </c>
      <c r="H51" s="341">
        <f t="shared" si="0"/>
        <v>0</v>
      </c>
      <c r="I51" s="342">
        <f t="shared" si="1"/>
        <v>0</v>
      </c>
      <c r="J51" s="341">
        <f t="shared" si="2"/>
        <v>56318.696400000001</v>
      </c>
      <c r="K51" s="326" t="str">
        <f t="shared" si="3"/>
        <v>Menor Valor</v>
      </c>
      <c r="L51" s="326">
        <f>IFERROR(COUNTA('LP Elementos'!F51,'LP Elementos'!I51,'LP Elementos'!N51,'LP Elementos'!S51,'LP Elementos'!X51,'LP Elementos'!AC51,'LP Elementos'!AH51,'LP Elementos'!AM51,'LP Elementos'!AR51,'LP Elementos'!AX51,'LP Elementos'!BB51,'LP Elementos'!BG51,'LP Elementos'!BL51,'LP Elementos'!BQ51,'LP Elementos'!BV51,'LP Elementos'!CA51,'LP Elementos'!CF51,'LP Elementos'!CK51,'LP Elementos'!CP51,'LP Elementos'!CU51,'LP Elementos'!CZ51)," ")</f>
        <v>1</v>
      </c>
    </row>
    <row r="52" spans="2:12" ht="27" x14ac:dyDescent="0.25">
      <c r="B52" s="411">
        <v>50</v>
      </c>
      <c r="C52" s="412" t="s">
        <v>3037</v>
      </c>
      <c r="D52" s="408">
        <f>IFERROR(MIN('LP Elementos'!F52,'LP Elementos'!I52,'LP Elementos'!N52,'LP Elementos'!S52,'LP Elementos'!X52,'LP Elementos'!AC52,'LP Elementos'!AH52,'LP Elementos'!AM52,'LP Elementos'!AR52,'LP Elementos'!AW52,'LP Elementos'!BB52,'LP Elementos'!BG52,'LP Elementos'!BL52,'LP Elementos'!BQ52,'LP Elementos'!BV52,'LP Elementos'!CA52,'LP Elementos'!CF52,'LP Elementos'!CK52,'LP Elementos'!CP52,'LP Elementos'!CU52,'LP Elementos'!CZ52)," ")</f>
        <v>19040</v>
      </c>
      <c r="E52" s="341">
        <f>IFERROR(AVERAGE('LP Elementos'!F52,'LP Elementos'!I52,'LP Elementos'!N52,'LP Elementos'!S52,'LP Elementos'!X52,'LP Elementos'!AC52,'LP Elementos'!AH52,'LP Elementos'!AM52,'LP Elementos'!AR52,'LP Elementos'!AW52,'LP Elementos'!BB52,'LP Elementos'!BG52,'LP Elementos'!BL52,'LP Elementos'!BQ52,'LP Elementos'!BV52,'LP Elementos'!CA52,'LP Elementos'!CF52,'LP Elementos'!CK52,'LP Elementos'!CP52,'LP Elementos'!CU52,'LP Elementos'!CZ52)," ")</f>
        <v>25230.974999999999</v>
      </c>
      <c r="F52" s="341">
        <f>IFERROR(MEDIAN('LP Elementos'!F52,'LP Elementos'!I52,'LP Elementos'!N52,'LP Elementos'!S52,'LP Elementos'!X52,'LP Elementos'!AC52,'LP Elementos'!AH52,'LP Elementos'!AM52,'LP Elementos'!AR52,'LP Elementos'!AW52,'LP Elementos'!BB52,'LP Elementos'!BG52,'LP Elementos'!BL52,'LP Elementos'!BQ52,'LP Elementos'!BV52,'LP Elementos'!CA52,'LP Elementos'!CF52,'LP Elementos'!CK52,'LP Elementos'!CP52,'LP Elementos'!CU52,'LP Elementos'!CZ52)," ")</f>
        <v>25230.974999999999</v>
      </c>
      <c r="G52" s="341">
        <f>IFERROR(GEOMEAN('LP Elementos'!F52,'LP Elementos'!I52,'LP Elementos'!N52,'LP Elementos'!S52,'LP Elementos'!X52,'LP Elementos'!AC52,'LP Elementos'!AH52,'LP Elementos'!AM52,'LP Elementos'!AR52,'LP Elementos'!AW52,'LP Elementos'!BB52,'LP Elementos'!BG52,'LP Elementos'!BL52,'LP Elementos'!BQ52,'LP Elementos'!BV52,'LP Elementos'!CA52,'LP Elementos'!CF52,'LP Elementos'!CK52,'LP Elementos'!CP52,'LP Elementos'!CU52,'LP Elementos'!CZ52)," ")</f>
        <v>24459.63875448695</v>
      </c>
      <c r="H52" s="341">
        <f t="shared" si="0"/>
        <v>2989.1295602799273</v>
      </c>
      <c r="I52" s="342">
        <f t="shared" si="1"/>
        <v>0.11847063223993236</v>
      </c>
      <c r="J52" s="341">
        <f t="shared" si="2"/>
        <v>25230.974999999999</v>
      </c>
      <c r="K52" s="326" t="str">
        <f t="shared" si="3"/>
        <v>Promedio</v>
      </c>
      <c r="L52" s="326">
        <f>IFERROR(COUNTA('LP Elementos'!F52,'LP Elementos'!I52,'LP Elementos'!N52,'LP Elementos'!S52,'LP Elementos'!X52,'LP Elementos'!AC52,'LP Elementos'!AH52,'LP Elementos'!AM52,'LP Elementos'!AR52,'LP Elementos'!AX52,'LP Elementos'!BB52,'LP Elementos'!BG52,'LP Elementos'!BL52,'LP Elementos'!BQ52,'LP Elementos'!BV52,'LP Elementos'!CA52,'LP Elementos'!CF52,'LP Elementos'!CK52,'LP Elementos'!CP52,'LP Elementos'!CU52,'LP Elementos'!CZ52)," ")</f>
        <v>2</v>
      </c>
    </row>
    <row r="53" spans="2:12" ht="27" x14ac:dyDescent="0.25">
      <c r="B53" s="411">
        <v>51</v>
      </c>
      <c r="C53" s="412" t="s">
        <v>3039</v>
      </c>
      <c r="D53" s="408">
        <f>IFERROR(MIN('LP Elementos'!F53,'LP Elementos'!I53,'LP Elementos'!N53,'LP Elementos'!S53,'LP Elementos'!X53,'LP Elementos'!AC53,'LP Elementos'!AH53,'LP Elementos'!AM53,'LP Elementos'!AR53,'LP Elementos'!AW53,'LP Elementos'!BB53,'LP Elementos'!BG53,'LP Elementos'!BL53,'LP Elementos'!BQ53,'LP Elementos'!BV53,'LP Elementos'!CA53,'LP Elementos'!CF53,'LP Elementos'!CK53,'LP Elementos'!CP53,'LP Elementos'!CU53,'LP Elementos'!CZ53)," ")</f>
        <v>12257</v>
      </c>
      <c r="E53" s="341">
        <f>IFERROR(AVERAGE('LP Elementos'!F53,'LP Elementos'!I53,'LP Elementos'!N53,'LP Elementos'!S53,'LP Elementos'!X53,'LP Elementos'!AC53,'LP Elementos'!AH53,'LP Elementos'!AM53,'LP Elementos'!AR53,'LP Elementos'!AW53,'LP Elementos'!BB53,'LP Elementos'!BG53,'LP Elementos'!BL53,'LP Elementos'!BQ53,'LP Elementos'!BV53,'LP Elementos'!CA53,'LP Elementos'!CF53,'LP Elementos'!CK53,'LP Elementos'!CP53,'LP Elementos'!CU53,'LP Elementos'!CZ53)," ")</f>
        <v>16977.6705</v>
      </c>
      <c r="F53" s="341">
        <f>IFERROR(MEDIAN('LP Elementos'!F53,'LP Elementos'!I53,'LP Elementos'!N53,'LP Elementos'!S53,'LP Elementos'!X53,'LP Elementos'!AC53,'LP Elementos'!AH53,'LP Elementos'!AM53,'LP Elementos'!AR53,'LP Elementos'!AW53,'LP Elementos'!BB53,'LP Elementos'!BG53,'LP Elementos'!BL53,'LP Elementos'!BQ53,'LP Elementos'!BV53,'LP Elementos'!CA53,'LP Elementos'!CF53,'LP Elementos'!CK53,'LP Elementos'!CP53,'LP Elementos'!CU53,'LP Elementos'!CZ53)," ")</f>
        <v>15886.5</v>
      </c>
      <c r="G53" s="341">
        <f>IFERROR(GEOMEAN('LP Elementos'!F53,'LP Elementos'!I53,'LP Elementos'!N53,'LP Elementos'!S53,'LP Elementos'!X53,'LP Elementos'!AC53,'LP Elementos'!AH53,'LP Elementos'!AM53,'LP Elementos'!AR53,'LP Elementos'!AW53,'LP Elementos'!BB53,'LP Elementos'!BG53,'LP Elementos'!BL53,'LP Elementos'!BQ53,'LP Elementos'!BV53,'LP Elementos'!CA53,'LP Elementos'!CF53,'LP Elementos'!CK53,'LP Elementos'!CP53,'LP Elementos'!CU53,'LP Elementos'!CZ53)," ")</f>
        <v>16422.92421488935</v>
      </c>
      <c r="H53" s="341">
        <f t="shared" si="0"/>
        <v>2133.0547778363502</v>
      </c>
      <c r="I53" s="342">
        <f t="shared" si="1"/>
        <v>0.12563883707345777</v>
      </c>
      <c r="J53" s="341">
        <f t="shared" si="2"/>
        <v>16977.6705</v>
      </c>
      <c r="K53" s="326" t="str">
        <f t="shared" si="3"/>
        <v>Promedio</v>
      </c>
      <c r="L53" s="326">
        <f>IFERROR(COUNTA('LP Elementos'!F53,'LP Elementos'!I53,'LP Elementos'!N53,'LP Elementos'!S53,'LP Elementos'!X53,'LP Elementos'!AC53,'LP Elementos'!AH53,'LP Elementos'!AM53,'LP Elementos'!AR53,'LP Elementos'!AX53,'LP Elementos'!BB53,'LP Elementos'!BG53,'LP Elementos'!BL53,'LP Elementos'!BQ53,'LP Elementos'!BV53,'LP Elementos'!CA53,'LP Elementos'!CF53,'LP Elementos'!CK53,'LP Elementos'!CP53,'LP Elementos'!CU53,'LP Elementos'!CZ53)," ")</f>
        <v>4</v>
      </c>
    </row>
    <row r="54" spans="2:12" ht="40.5" x14ac:dyDescent="0.25">
      <c r="B54" s="411">
        <v>52</v>
      </c>
      <c r="C54" s="412" t="s">
        <v>3043</v>
      </c>
      <c r="D54" s="408">
        <f>IFERROR(MIN('LP Elementos'!F54,'LP Elementos'!I54,'LP Elementos'!N54,'LP Elementos'!S54,'LP Elementos'!X54,'LP Elementos'!AC54,'LP Elementos'!AH54,'LP Elementos'!AM54,'LP Elementos'!AR54,'LP Elementos'!AW54,'LP Elementos'!BB54,'LP Elementos'!BG54,'LP Elementos'!BL54,'LP Elementos'!BQ54,'LP Elementos'!BV54,'LP Elementos'!CA54,'LP Elementos'!CF54,'LP Elementos'!CK54,'LP Elementos'!CP54,'LP Elementos'!CU54,'LP Elementos'!CZ54)," ")</f>
        <v>72898.923999999999</v>
      </c>
      <c r="E54" s="341">
        <f>IFERROR(AVERAGE('LP Elementos'!F54,'LP Elementos'!I54,'LP Elementos'!N54,'LP Elementos'!S54,'LP Elementos'!X54,'LP Elementos'!AC54,'LP Elementos'!AH54,'LP Elementos'!AM54,'LP Elementos'!AR54,'LP Elementos'!AW54,'LP Elementos'!BB54,'LP Elementos'!BG54,'LP Elementos'!BL54,'LP Elementos'!BQ54,'LP Elementos'!BV54,'LP Elementos'!CA54,'LP Elementos'!CF54,'LP Elementos'!CK54,'LP Elementos'!CP54,'LP Elementos'!CU54,'LP Elementos'!CZ54)," ")</f>
        <v>84049.462</v>
      </c>
      <c r="F54" s="341">
        <f>IFERROR(MEDIAN('LP Elementos'!F54,'LP Elementos'!I54,'LP Elementos'!N54,'LP Elementos'!S54,'LP Elementos'!X54,'LP Elementos'!AC54,'LP Elementos'!AH54,'LP Elementos'!AM54,'LP Elementos'!AR54,'LP Elementos'!AW54,'LP Elementos'!BB54,'LP Elementos'!BG54,'LP Elementos'!BL54,'LP Elementos'!BQ54,'LP Elementos'!BV54,'LP Elementos'!CA54,'LP Elementos'!CF54,'LP Elementos'!CK54,'LP Elementos'!CP54,'LP Elementos'!CU54,'LP Elementos'!CZ54)," ")</f>
        <v>84049.462</v>
      </c>
      <c r="G54" s="341">
        <f>IFERROR(GEOMEAN('LP Elementos'!F54,'LP Elementos'!I54,'LP Elementos'!N54,'LP Elementos'!S54,'LP Elementos'!X54,'LP Elementos'!AC54,'LP Elementos'!AH54,'LP Elementos'!AM54,'LP Elementos'!AR54,'LP Elementos'!AW54,'LP Elementos'!BB54,'LP Elementos'!BG54,'LP Elementos'!BL54,'LP Elementos'!BQ54,'LP Elementos'!BV54,'LP Elementos'!CA54,'LP Elementos'!CF54,'LP Elementos'!CK54,'LP Elementos'!CP54,'LP Elementos'!CU54,'LP Elementos'!CZ54)," ")</f>
        <v>83306.527744229024</v>
      </c>
      <c r="H54" s="341">
        <f t="shared" si="0"/>
        <v>5462.68488392364</v>
      </c>
      <c r="I54" s="342">
        <f t="shared" si="1"/>
        <v>6.4993692451281129E-2</v>
      </c>
      <c r="J54" s="341">
        <f t="shared" si="2"/>
        <v>84049.462</v>
      </c>
      <c r="K54" s="326" t="str">
        <f t="shared" si="3"/>
        <v>Promedio</v>
      </c>
      <c r="L54" s="326">
        <f>IFERROR(COUNTA('LP Elementos'!F54,'LP Elementos'!I54,'LP Elementos'!N54,'LP Elementos'!S54,'LP Elementos'!X54,'LP Elementos'!AC54,'LP Elementos'!AH54,'LP Elementos'!AM54,'LP Elementos'!AR54,'LP Elementos'!AX54,'LP Elementos'!BB54,'LP Elementos'!BG54,'LP Elementos'!BL54,'LP Elementos'!BQ54,'LP Elementos'!BV54,'LP Elementos'!CA54,'LP Elementos'!CF54,'LP Elementos'!CK54,'LP Elementos'!CP54,'LP Elementos'!CU54,'LP Elementos'!CZ54)," ")</f>
        <v>2</v>
      </c>
    </row>
    <row r="55" spans="2:12" ht="40.5" x14ac:dyDescent="0.25">
      <c r="B55" s="411">
        <v>53</v>
      </c>
      <c r="C55" s="412" t="s">
        <v>3046</v>
      </c>
      <c r="D55" s="408">
        <f>IFERROR(MIN('LP Elementos'!F55,'LP Elementos'!I55,'LP Elementos'!N55,'LP Elementos'!S55,'LP Elementos'!X55,'LP Elementos'!AC55,'LP Elementos'!AH55,'LP Elementos'!AM55,'LP Elementos'!AR55,'LP Elementos'!AW55,'LP Elementos'!BB55,'LP Elementos'!BG55,'LP Elementos'!BL55,'LP Elementos'!BQ55,'LP Elementos'!BV55,'LP Elementos'!CA55,'LP Elementos'!CF55,'LP Elementos'!CK55,'LP Elementos'!CP55,'LP Elementos'!CU55,'LP Elementos'!CZ55)," ")</f>
        <v>69128.290000000008</v>
      </c>
      <c r="E55" s="341">
        <f>IFERROR(AVERAGE('LP Elementos'!F55,'LP Elementos'!I55,'LP Elementos'!N55,'LP Elementos'!S55,'LP Elementos'!X55,'LP Elementos'!AC55,'LP Elementos'!AH55,'LP Elementos'!AM55,'LP Elementos'!AR55,'LP Elementos'!AW55,'LP Elementos'!BB55,'LP Elementos'!BG55,'LP Elementos'!BL55,'LP Elementos'!BQ55,'LP Elementos'!BV55,'LP Elementos'!CA55,'LP Elementos'!CF55,'LP Elementos'!CK55,'LP Elementos'!CP55,'LP Elementos'!CU55,'LP Elementos'!CZ55)," ")</f>
        <v>82164.145000000004</v>
      </c>
      <c r="F55" s="341">
        <f>IFERROR(MEDIAN('LP Elementos'!F55,'LP Elementos'!I55,'LP Elementos'!N55,'LP Elementos'!S55,'LP Elementos'!X55,'LP Elementos'!AC55,'LP Elementos'!AH55,'LP Elementos'!AM55,'LP Elementos'!AR55,'LP Elementos'!AW55,'LP Elementos'!BB55,'LP Elementos'!BG55,'LP Elementos'!BL55,'LP Elementos'!BQ55,'LP Elementos'!BV55,'LP Elementos'!CA55,'LP Elementos'!CF55,'LP Elementos'!CK55,'LP Elementos'!CP55,'LP Elementos'!CU55,'LP Elementos'!CZ55)," ")</f>
        <v>82164.145000000004</v>
      </c>
      <c r="G55" s="341">
        <f>IFERROR(GEOMEAN('LP Elementos'!F55,'LP Elementos'!I55,'LP Elementos'!N55,'LP Elementos'!S55,'LP Elementos'!X55,'LP Elementos'!AC55,'LP Elementos'!AH55,'LP Elementos'!AM55,'LP Elementos'!AR55,'LP Elementos'!AW55,'LP Elementos'!BB55,'LP Elementos'!BG55,'LP Elementos'!BL55,'LP Elementos'!BQ55,'LP Elementos'!BV55,'LP Elementos'!CA55,'LP Elementos'!CF55,'LP Elementos'!CK55,'LP Elementos'!CP55,'LP Elementos'!CU55,'LP Elementos'!CZ55)," ")</f>
        <v>81123.444256269111</v>
      </c>
      <c r="H55" s="341">
        <f t="shared" si="0"/>
        <v>6363.4167503901062</v>
      </c>
      <c r="I55" s="342">
        <f t="shared" si="1"/>
        <v>7.7447611125145963E-2</v>
      </c>
      <c r="J55" s="341">
        <f t="shared" si="2"/>
        <v>82164.145000000004</v>
      </c>
      <c r="K55" s="326" t="str">
        <f t="shared" si="3"/>
        <v>Promedio</v>
      </c>
      <c r="L55" s="326">
        <f>IFERROR(COUNTA('LP Elementos'!F55,'LP Elementos'!I55,'LP Elementos'!N55,'LP Elementos'!S55,'LP Elementos'!X55,'LP Elementos'!AC55,'LP Elementos'!AH55,'LP Elementos'!AM55,'LP Elementos'!AR55,'LP Elementos'!AX55,'LP Elementos'!BB55,'LP Elementos'!BG55,'LP Elementos'!BL55,'LP Elementos'!BQ55,'LP Elementos'!BV55,'LP Elementos'!CA55,'LP Elementos'!CF55,'LP Elementos'!CK55,'LP Elementos'!CP55,'LP Elementos'!CU55,'LP Elementos'!CZ55)," ")</f>
        <v>2</v>
      </c>
    </row>
    <row r="56" spans="2:12" ht="40.5" x14ac:dyDescent="0.25">
      <c r="B56" s="411">
        <v>54</v>
      </c>
      <c r="C56" s="412" t="s">
        <v>3048</v>
      </c>
      <c r="D56" s="408">
        <f>IFERROR(MIN('LP Elementos'!F56,'LP Elementos'!I56,'LP Elementos'!N56,'LP Elementos'!S56,'LP Elementos'!X56,'LP Elementos'!AC56,'LP Elementos'!AH56,'LP Elementos'!AM56,'LP Elementos'!AR56,'LP Elementos'!AW56,'LP Elementos'!BB56,'LP Elementos'!BG56,'LP Elementos'!BL56,'LP Elementos'!BQ56,'LP Elementos'!BV56,'LP Elementos'!CA56,'LP Elementos'!CF56,'LP Elementos'!CK56,'LP Elementos'!CP56,'LP Elementos'!CU56,'LP Elementos'!CZ56)," ")</f>
        <v>42840</v>
      </c>
      <c r="E56" s="341">
        <f>IFERROR(AVERAGE('LP Elementos'!F56,'LP Elementos'!I56,'LP Elementos'!N56,'LP Elementos'!S56,'LP Elementos'!X56,'LP Elementos'!AC56,'LP Elementos'!AH56,'LP Elementos'!AM56,'LP Elementos'!AR56,'LP Elementos'!AW56,'LP Elementos'!BB56,'LP Elementos'!BG56,'LP Elementos'!BL56,'LP Elementos'!BQ56,'LP Elementos'!BV56,'LP Elementos'!CA56,'LP Elementos'!CF56,'LP Elementos'!CK56,'LP Elementos'!CP56,'LP Elementos'!CU56,'LP Elementos'!CZ56)," ")</f>
        <v>55984.145000000004</v>
      </c>
      <c r="F56" s="341">
        <f>IFERROR(MEDIAN('LP Elementos'!F56,'LP Elementos'!I56,'LP Elementos'!N56,'LP Elementos'!S56,'LP Elementos'!X56,'LP Elementos'!AC56,'LP Elementos'!AH56,'LP Elementos'!AM56,'LP Elementos'!AR56,'LP Elementos'!AW56,'LP Elementos'!BB56,'LP Elementos'!BG56,'LP Elementos'!BL56,'LP Elementos'!BQ56,'LP Elementos'!BV56,'LP Elementos'!CA56,'LP Elementos'!CF56,'LP Elementos'!CK56,'LP Elementos'!CP56,'LP Elementos'!CU56,'LP Elementos'!CZ56)," ")</f>
        <v>55984.145000000004</v>
      </c>
      <c r="G56" s="341">
        <f>IFERROR(GEOMEAN('LP Elementos'!F56,'LP Elementos'!I56,'LP Elementos'!N56,'LP Elementos'!S56,'LP Elementos'!X56,'LP Elementos'!AC56,'LP Elementos'!AH56,'LP Elementos'!AM56,'LP Elementos'!AR56,'LP Elementos'!AW56,'LP Elementos'!BB56,'LP Elementos'!BG56,'LP Elementos'!BL56,'LP Elementos'!BQ56,'LP Elementos'!BV56,'LP Elementos'!CA56,'LP Elementos'!CF56,'LP Elementos'!CK56,'LP Elementos'!CP56,'LP Elementos'!CU56,'LP Elementos'!CZ56)," ")</f>
        <v>54419.260777779775</v>
      </c>
      <c r="H56" s="341">
        <f t="shared" si="0"/>
        <v>6354.2249788348809</v>
      </c>
      <c r="I56" s="342">
        <f t="shared" si="1"/>
        <v>0.11350043800499017</v>
      </c>
      <c r="J56" s="341">
        <f t="shared" si="2"/>
        <v>55984.145000000004</v>
      </c>
      <c r="K56" s="326" t="str">
        <f t="shared" si="3"/>
        <v>Promedio</v>
      </c>
      <c r="L56" s="326">
        <f>IFERROR(COUNTA('LP Elementos'!F56,'LP Elementos'!I56,'LP Elementos'!N56,'LP Elementos'!S56,'LP Elementos'!X56,'LP Elementos'!AC56,'LP Elementos'!AH56,'LP Elementos'!AM56,'LP Elementos'!AR56,'LP Elementos'!AX56,'LP Elementos'!BB56,'LP Elementos'!BG56,'LP Elementos'!BL56,'LP Elementos'!BQ56,'LP Elementos'!BV56,'LP Elementos'!CA56,'LP Elementos'!CF56,'LP Elementos'!CK56,'LP Elementos'!CP56,'LP Elementos'!CU56,'LP Elementos'!CZ56)," ")</f>
        <v>2</v>
      </c>
    </row>
    <row r="57" spans="2:12" ht="40.5" x14ac:dyDescent="0.25">
      <c r="B57" s="411">
        <v>55</v>
      </c>
      <c r="C57" s="412" t="s">
        <v>3050</v>
      </c>
      <c r="D57" s="408">
        <f>IFERROR(MIN('LP Elementos'!F57,'LP Elementos'!I57,'LP Elementos'!N57,'LP Elementos'!S57,'LP Elementos'!X57,'LP Elementos'!AC57,'LP Elementos'!AH57,'LP Elementos'!AM57,'LP Elementos'!AR57,'LP Elementos'!AW57,'LP Elementos'!BB57,'LP Elementos'!BG57,'LP Elementos'!BL57,'LP Elementos'!BQ57,'LP Elementos'!BV57,'LP Elementos'!CA57,'LP Elementos'!CF57,'LP Elementos'!CK57,'LP Elementos'!CP57,'LP Elementos'!CU57,'LP Elementos'!CZ57)," ")</f>
        <v>52360</v>
      </c>
      <c r="E57" s="341">
        <f>IFERROR(AVERAGE('LP Elementos'!F57,'LP Elementos'!I57,'LP Elementos'!N57,'LP Elementos'!S57,'LP Elementos'!X57,'LP Elementos'!AC57,'LP Elementos'!AH57,'LP Elementos'!AM57,'LP Elementos'!AR57,'LP Elementos'!AW57,'LP Elementos'!BB57,'LP Elementos'!BG57,'LP Elementos'!BL57,'LP Elementos'!BQ57,'LP Elementos'!BV57,'LP Elementos'!CA57,'LP Elementos'!CF57,'LP Elementos'!CK57,'LP Elementos'!CP57,'LP Elementos'!CU57,'LP Elementos'!CZ57)," ")</f>
        <v>60744.145000000004</v>
      </c>
      <c r="F57" s="341">
        <f>IFERROR(MEDIAN('LP Elementos'!F57,'LP Elementos'!I57,'LP Elementos'!N57,'LP Elementos'!S57,'LP Elementos'!X57,'LP Elementos'!AC57,'LP Elementos'!AH57,'LP Elementos'!AM57,'LP Elementos'!AR57,'LP Elementos'!AW57,'LP Elementos'!BB57,'LP Elementos'!BG57,'LP Elementos'!BL57,'LP Elementos'!BQ57,'LP Elementos'!BV57,'LP Elementos'!CA57,'LP Elementos'!CF57,'LP Elementos'!CK57,'LP Elementos'!CP57,'LP Elementos'!CU57,'LP Elementos'!CZ57)," ")</f>
        <v>60744.145000000004</v>
      </c>
      <c r="G57" s="341">
        <f>IFERROR(GEOMEAN('LP Elementos'!F57,'LP Elementos'!I57,'LP Elementos'!N57,'LP Elementos'!S57,'LP Elementos'!X57,'LP Elementos'!AC57,'LP Elementos'!AH57,'LP Elementos'!AM57,'LP Elementos'!AR57,'LP Elementos'!AW57,'LP Elementos'!BB57,'LP Elementos'!BG57,'LP Elementos'!BL57,'LP Elementos'!BQ57,'LP Elementos'!BV57,'LP Elementos'!CA57,'LP Elementos'!CF57,'LP Elementos'!CK57,'LP Elementos'!CP57,'LP Elementos'!CU57,'LP Elementos'!CZ57)," ")</f>
        <v>60162.756456133233</v>
      </c>
      <c r="H57" s="341">
        <f t="shared" si="0"/>
        <v>4104.3351913318229</v>
      </c>
      <c r="I57" s="342">
        <f t="shared" si="1"/>
        <v>6.7567585177663175E-2</v>
      </c>
      <c r="J57" s="341">
        <f t="shared" si="2"/>
        <v>60744.145000000004</v>
      </c>
      <c r="K57" s="326" t="str">
        <f t="shared" si="3"/>
        <v>Promedio</v>
      </c>
      <c r="L57" s="326">
        <f>IFERROR(COUNTA('LP Elementos'!F57,'LP Elementos'!I57,'LP Elementos'!N57,'LP Elementos'!S57,'LP Elementos'!X57,'LP Elementos'!AC57,'LP Elementos'!AH57,'LP Elementos'!AM57,'LP Elementos'!AR57,'LP Elementos'!AX57,'LP Elementos'!BB57,'LP Elementos'!BG57,'LP Elementos'!BL57,'LP Elementos'!BQ57,'LP Elementos'!BV57,'LP Elementos'!CA57,'LP Elementos'!CF57,'LP Elementos'!CK57,'LP Elementos'!CP57,'LP Elementos'!CU57,'LP Elementos'!CZ57)," ")</f>
        <v>2</v>
      </c>
    </row>
    <row r="58" spans="2:12" x14ac:dyDescent="0.25">
      <c r="B58" s="411">
        <v>56</v>
      </c>
      <c r="C58" s="409" t="s">
        <v>3052</v>
      </c>
      <c r="D58" s="408">
        <f>IFERROR(MIN('LP Elementos'!F58,'LP Elementos'!I58,'LP Elementos'!N58,'LP Elementos'!S58,'LP Elementos'!X58,'LP Elementos'!AC58,'LP Elementos'!AH58,'LP Elementos'!AM58,'LP Elementos'!AR58,'LP Elementos'!AW58,'LP Elementos'!BB58,'LP Elementos'!BG58,'LP Elementos'!BL58,'LP Elementos'!BQ58,'LP Elementos'!BV58,'LP Elementos'!CA58,'LP Elementos'!CF58,'LP Elementos'!CK58,'LP Elementos'!CP58,'LP Elementos'!CU58,'LP Elementos'!CZ58)," ")</f>
        <v>19040</v>
      </c>
      <c r="E58" s="341">
        <f>IFERROR(AVERAGE('LP Elementos'!F58,'LP Elementos'!I58,'LP Elementos'!N58,'LP Elementos'!S58,'LP Elementos'!X58,'LP Elementos'!AC58,'LP Elementos'!AH58,'LP Elementos'!AM58,'LP Elementos'!AR58,'LP Elementos'!AW58,'LP Elementos'!BB58,'LP Elementos'!BG58,'LP Elementos'!BL58,'LP Elementos'!BQ58,'LP Elementos'!BV58,'LP Elementos'!CA58,'LP Elementos'!CF58,'LP Elementos'!CK58,'LP Elementos'!CP58,'LP Elementos'!CU58,'LP Elementos'!CZ58)," ")</f>
        <v>19040</v>
      </c>
      <c r="F58" s="341">
        <f>IFERROR(MEDIAN('LP Elementos'!F58,'LP Elementos'!I58,'LP Elementos'!N58,'LP Elementos'!S58,'LP Elementos'!X58,'LP Elementos'!AC58,'LP Elementos'!AH58,'LP Elementos'!AM58,'LP Elementos'!AR58,'LP Elementos'!AW58,'LP Elementos'!BB58,'LP Elementos'!BG58,'LP Elementos'!BL58,'LP Elementos'!BQ58,'LP Elementos'!BV58,'LP Elementos'!CA58,'LP Elementos'!CF58,'LP Elementos'!CK58,'LP Elementos'!CP58,'LP Elementos'!CU58,'LP Elementos'!CZ58)," ")</f>
        <v>19040</v>
      </c>
      <c r="G58" s="341">
        <f>IFERROR(GEOMEAN('LP Elementos'!F58,'LP Elementos'!I58,'LP Elementos'!N58,'LP Elementos'!S58,'LP Elementos'!X58,'LP Elementos'!AC58,'LP Elementos'!AH58,'LP Elementos'!AM58,'LP Elementos'!AR58,'LP Elementos'!AW58,'LP Elementos'!BB58,'LP Elementos'!BG58,'LP Elementos'!BL58,'LP Elementos'!BQ58,'LP Elementos'!BV58,'LP Elementos'!CA58,'LP Elementos'!CF58,'LP Elementos'!CK58,'LP Elementos'!CP58,'LP Elementos'!CU58,'LP Elementos'!CZ58)," ")</f>
        <v>19040</v>
      </c>
      <c r="H58" s="341">
        <f t="shared" si="0"/>
        <v>0</v>
      </c>
      <c r="I58" s="342">
        <f t="shared" si="1"/>
        <v>0</v>
      </c>
      <c r="J58" s="341">
        <f t="shared" si="2"/>
        <v>19040</v>
      </c>
      <c r="K58" s="326" t="str">
        <f t="shared" si="3"/>
        <v>Menor Valor</v>
      </c>
      <c r="L58" s="326">
        <f>IFERROR(COUNTA('LP Elementos'!F58,'LP Elementos'!I58,'LP Elementos'!N58,'LP Elementos'!S58,'LP Elementos'!X58,'LP Elementos'!AC58,'LP Elementos'!AH58,'LP Elementos'!AM58,'LP Elementos'!AR58,'LP Elementos'!AX58,'LP Elementos'!BB58,'LP Elementos'!BG58,'LP Elementos'!BL58,'LP Elementos'!BQ58,'LP Elementos'!BV58,'LP Elementos'!CA58,'LP Elementos'!CF58,'LP Elementos'!CK58,'LP Elementos'!CP58,'LP Elementos'!CU58,'LP Elementos'!CZ58)," ")</f>
        <v>1</v>
      </c>
    </row>
    <row r="59" spans="2:12" x14ac:dyDescent="0.25">
      <c r="B59" s="411">
        <v>57</v>
      </c>
      <c r="C59" s="416" t="s">
        <v>3056</v>
      </c>
      <c r="D59" s="408">
        <f>IFERROR(MIN('LP Elementos'!F59,'LP Elementos'!I59,'LP Elementos'!N59,'LP Elementos'!S59,'LP Elementos'!X59,'LP Elementos'!AC59,'LP Elementos'!AH59,'LP Elementos'!AM59,'LP Elementos'!AR59,'LP Elementos'!AW59,'LP Elementos'!BB59,'LP Elementos'!BG59,'LP Elementos'!BL59,'LP Elementos'!BQ59,'LP Elementos'!BV59,'LP Elementos'!CA59,'LP Elementos'!CF59,'LP Elementos'!CK59,'LP Elementos'!CP59,'LP Elementos'!CU59,'LP Elementos'!CZ59)," ")</f>
        <v>285600</v>
      </c>
      <c r="E59" s="341">
        <f>IFERROR(AVERAGE('LP Elementos'!F59,'LP Elementos'!I59,'LP Elementos'!N59,'LP Elementos'!S59,'LP Elementos'!X59,'LP Elementos'!AC59,'LP Elementos'!AH59,'LP Elementos'!AM59,'LP Elementos'!AR59,'LP Elementos'!AW59,'LP Elementos'!BB59,'LP Elementos'!BG59,'LP Elementos'!BL59,'LP Elementos'!BQ59,'LP Elementos'!BV59,'LP Elementos'!CA59,'LP Elementos'!CF59,'LP Elementos'!CK59,'LP Elementos'!CP59,'LP Elementos'!CU59,'LP Elementos'!CZ59)," ")</f>
        <v>285600</v>
      </c>
      <c r="F59" s="341">
        <f>IFERROR(MEDIAN('LP Elementos'!F59,'LP Elementos'!I59,'LP Elementos'!N59,'LP Elementos'!S59,'LP Elementos'!X59,'LP Elementos'!AC59,'LP Elementos'!AH59,'LP Elementos'!AM59,'LP Elementos'!AR59,'LP Elementos'!AW59,'LP Elementos'!BB59,'LP Elementos'!BG59,'LP Elementos'!BL59,'LP Elementos'!BQ59,'LP Elementos'!BV59,'LP Elementos'!CA59,'LP Elementos'!CF59,'LP Elementos'!CK59,'LP Elementos'!CP59,'LP Elementos'!CU59,'LP Elementos'!CZ59)," ")</f>
        <v>285600</v>
      </c>
      <c r="G59" s="341">
        <f>IFERROR(GEOMEAN('LP Elementos'!F59,'LP Elementos'!I59,'LP Elementos'!N59,'LP Elementos'!S59,'LP Elementos'!X59,'LP Elementos'!AC59,'LP Elementos'!AH59,'LP Elementos'!AM59,'LP Elementos'!AR59,'LP Elementos'!AW59,'LP Elementos'!BB59,'LP Elementos'!BG59,'LP Elementos'!BL59,'LP Elementos'!BQ59,'LP Elementos'!BV59,'LP Elementos'!CA59,'LP Elementos'!CF59,'LP Elementos'!CK59,'LP Elementos'!CP59,'LP Elementos'!CU59,'LP Elementos'!CZ59)," ")</f>
        <v>285600</v>
      </c>
      <c r="H59" s="341">
        <f t="shared" ref="H59:H114" si="4">STDEVA(D59,E59,F59,G59)</f>
        <v>0</v>
      </c>
      <c r="I59" s="342">
        <f t="shared" ref="I59:I114" si="5">IFERROR(H59/E59," ")</f>
        <v>0</v>
      </c>
      <c r="J59" s="341">
        <f t="shared" ref="J59:J114" si="6">IF(I59&lt;=10%,F59,IF(AND(I59&gt;10%,I59&lt;=20%),E59,IF(AND(I59&gt;20%,I59&lt;=30%),G59,IF(I59&gt;30%,D59))))</f>
        <v>285600</v>
      </c>
      <c r="K59" s="326" t="str">
        <f t="shared" ref="K59:K114" si="7">IF(J59=D59,"Menor Valor",IF(J59=E59,"Promedio",IF(J59=F59,"Mediana",IF(J59=G59,"Media Geometrica"," "))))</f>
        <v>Menor Valor</v>
      </c>
      <c r="L59" s="326">
        <f>IFERROR(COUNTA('LP Elementos'!F59,'LP Elementos'!I59,'LP Elementos'!N59,'LP Elementos'!S59,'LP Elementos'!X59,'LP Elementos'!AC59,'LP Elementos'!AH59,'LP Elementos'!AM59,'LP Elementos'!AR59,'LP Elementos'!AX59,'LP Elementos'!BB59,'LP Elementos'!BG59,'LP Elementos'!BL59,'LP Elementos'!BQ59,'LP Elementos'!BV59,'LP Elementos'!CA59,'LP Elementos'!CF59,'LP Elementos'!CK59,'LP Elementos'!CP59,'LP Elementos'!CU59,'LP Elementos'!CZ59)," ")</f>
        <v>1</v>
      </c>
    </row>
    <row r="60" spans="2:12" ht="27" x14ac:dyDescent="0.25">
      <c r="B60" s="411">
        <v>58</v>
      </c>
      <c r="C60" s="412" t="s">
        <v>3057</v>
      </c>
      <c r="D60" s="408">
        <f>IFERROR(MIN('LP Elementos'!F60,'LP Elementos'!I60,'LP Elementos'!N60,'LP Elementos'!S60,'LP Elementos'!X60,'LP Elementos'!AC60,'LP Elementos'!AH60,'LP Elementos'!AM60,'LP Elementos'!AR60,'LP Elementos'!AW60,'LP Elementos'!BB60,'LP Elementos'!BG60,'LP Elementos'!BL60,'LP Elementos'!BQ60,'LP Elementos'!BV60,'LP Elementos'!CA60,'LP Elementos'!CF60,'LP Elementos'!CK60,'LP Elementos'!CP60,'LP Elementos'!CU60,'LP Elementos'!CZ60)," ")</f>
        <v>23252.243000000002</v>
      </c>
      <c r="E60" s="341">
        <f>IFERROR(AVERAGE('LP Elementos'!F60,'LP Elementos'!I60,'LP Elementos'!N60,'LP Elementos'!S60,'LP Elementos'!X60,'LP Elementos'!AC60,'LP Elementos'!AH60,'LP Elementos'!AM60,'LP Elementos'!AR60,'LP Elementos'!AW60,'LP Elementos'!BB60,'LP Elementos'!BG60,'LP Elementos'!BL60,'LP Elementos'!BQ60,'LP Elementos'!BV60,'LP Elementos'!CA60,'LP Elementos'!CF60,'LP Elementos'!CK60,'LP Elementos'!CP60,'LP Elementos'!CU60,'LP Elementos'!CZ60)," ")</f>
        <v>626856.12150000001</v>
      </c>
      <c r="F60" s="341">
        <f>IFERROR(MEDIAN('LP Elementos'!F60,'LP Elementos'!I60,'LP Elementos'!N60,'LP Elementos'!S60,'LP Elementos'!X60,'LP Elementos'!AC60,'LP Elementos'!AH60,'LP Elementos'!AM60,'LP Elementos'!AR60,'LP Elementos'!AW60,'LP Elementos'!BB60,'LP Elementos'!BG60,'LP Elementos'!BL60,'LP Elementos'!BQ60,'LP Elementos'!BV60,'LP Elementos'!CA60,'LP Elementos'!CF60,'LP Elementos'!CK60,'LP Elementos'!CP60,'LP Elementos'!CU60,'LP Elementos'!CZ60)," ")</f>
        <v>626856.12150000001</v>
      </c>
      <c r="G60" s="341">
        <f>IFERROR(GEOMEAN('LP Elementos'!F60,'LP Elementos'!I60,'LP Elementos'!N60,'LP Elementos'!S60,'LP Elementos'!X60,'LP Elementos'!AC60,'LP Elementos'!AH60,'LP Elementos'!AM60,'LP Elementos'!AR60,'LP Elementos'!AW60,'LP Elementos'!BB60,'LP Elementos'!BG60,'LP Elementos'!BL60,'LP Elementos'!BQ60,'LP Elementos'!BV60,'LP Elementos'!CA60,'LP Elementos'!CF60,'LP Elementos'!CK60,'LP Elementos'!CP60,'LP Elementos'!CU60,'LP Elementos'!CZ60)," ")</f>
        <v>169147.73105714426</v>
      </c>
      <c r="H60" s="341">
        <f t="shared" si="4"/>
        <v>312110.38633250387</v>
      </c>
      <c r="I60" s="342">
        <f t="shared" si="5"/>
        <v>0.49789796354808968</v>
      </c>
      <c r="J60" s="341">
        <f t="shared" si="6"/>
        <v>23252.243000000002</v>
      </c>
      <c r="K60" s="326" t="str">
        <f t="shared" si="7"/>
        <v>Menor Valor</v>
      </c>
      <c r="L60" s="326">
        <f>IFERROR(COUNTA('LP Elementos'!F60,'LP Elementos'!I60,'LP Elementos'!N60,'LP Elementos'!S60,'LP Elementos'!X60,'LP Elementos'!AC60,'LP Elementos'!AH60,'LP Elementos'!AM60,'LP Elementos'!AR60,'LP Elementos'!AX60,'LP Elementos'!BB60,'LP Elementos'!BG60,'LP Elementos'!BL60,'LP Elementos'!BQ60,'LP Elementos'!BV60,'LP Elementos'!CA60,'LP Elementos'!CF60,'LP Elementos'!CK60,'LP Elementos'!CP60,'LP Elementos'!CU60,'LP Elementos'!CZ60)," ")</f>
        <v>2</v>
      </c>
    </row>
    <row r="61" spans="2:12" ht="27" x14ac:dyDescent="0.25">
      <c r="B61" s="411">
        <v>59</v>
      </c>
      <c r="C61" s="412" t="s">
        <v>3060</v>
      </c>
      <c r="D61" s="408">
        <f>IFERROR(MIN('LP Elementos'!F61,'LP Elementos'!I61,'LP Elementos'!N61,'LP Elementos'!S61,'LP Elementos'!X61,'LP Elementos'!AC61,'LP Elementos'!AH61,'LP Elementos'!AM61,'LP Elementos'!AR61,'LP Elementos'!AW61,'LP Elementos'!BB61,'LP Elementos'!BG61,'LP Elementos'!BL61,'LP Elementos'!BQ61,'LP Elementos'!BV61,'LP Elementos'!CA61,'LP Elementos'!CF61,'LP Elementos'!CK61,'LP Elementos'!CP61,'LP Elementos'!CU61,'LP Elementos'!CZ61)," ")</f>
        <v>52788.876000000004</v>
      </c>
      <c r="E61" s="341">
        <f>IFERROR(AVERAGE('LP Elementos'!F61,'LP Elementos'!I61,'LP Elementos'!N61,'LP Elementos'!S61,'LP Elementos'!X61,'LP Elementos'!AC61,'LP Elementos'!AH61,'LP Elementos'!AM61,'LP Elementos'!AR61,'LP Elementos'!AW61,'LP Elementos'!BB61,'LP Elementos'!BG61,'LP Elementos'!BL61,'LP Elementos'!BQ61,'LP Elementos'!BV61,'LP Elementos'!CA61,'LP Elementos'!CF61,'LP Elementos'!CK61,'LP Elementos'!CP61,'LP Elementos'!CU61,'LP Elementos'!CZ61)," ")</f>
        <v>56144.438000000002</v>
      </c>
      <c r="F61" s="341">
        <f>IFERROR(MEDIAN('LP Elementos'!F61,'LP Elementos'!I61,'LP Elementos'!N61,'LP Elementos'!S61,'LP Elementos'!X61,'LP Elementos'!AC61,'LP Elementos'!AH61,'LP Elementos'!AM61,'LP Elementos'!AR61,'LP Elementos'!AW61,'LP Elementos'!BB61,'LP Elementos'!BG61,'LP Elementos'!BL61,'LP Elementos'!BQ61,'LP Elementos'!BV61,'LP Elementos'!CA61,'LP Elementos'!CF61,'LP Elementos'!CK61,'LP Elementos'!CP61,'LP Elementos'!CU61,'LP Elementos'!CZ61)," ")</f>
        <v>56144.438000000002</v>
      </c>
      <c r="G61" s="341">
        <f>IFERROR(GEOMEAN('LP Elementos'!F61,'LP Elementos'!I61,'LP Elementos'!N61,'LP Elementos'!S61,'LP Elementos'!X61,'LP Elementos'!AC61,'LP Elementos'!AH61,'LP Elementos'!AM61,'LP Elementos'!AR61,'LP Elementos'!AW61,'LP Elementos'!BB61,'LP Elementos'!BG61,'LP Elementos'!BL61,'LP Elementos'!BQ61,'LP Elementos'!BV61,'LP Elementos'!CA61,'LP Elementos'!CF61,'LP Elementos'!CK61,'LP Elementos'!CP61,'LP Elementos'!CU61,'LP Elementos'!CZ61)," ")</f>
        <v>56044.073031855922</v>
      </c>
      <c r="H61" s="341">
        <f t="shared" si="4"/>
        <v>1661.7271798130371</v>
      </c>
      <c r="I61" s="342">
        <f t="shared" si="5"/>
        <v>2.9597360647069564E-2</v>
      </c>
      <c r="J61" s="341">
        <f t="shared" si="6"/>
        <v>56144.438000000002</v>
      </c>
      <c r="K61" s="326" t="str">
        <f t="shared" si="7"/>
        <v>Promedio</v>
      </c>
      <c r="L61" s="326">
        <f>IFERROR(COUNTA('LP Elementos'!F61,'LP Elementos'!I61,'LP Elementos'!N61,'LP Elementos'!S61,'LP Elementos'!X61,'LP Elementos'!AC61,'LP Elementos'!AH61,'LP Elementos'!AM61,'LP Elementos'!AR61,'LP Elementos'!AX61,'LP Elementos'!BB61,'LP Elementos'!BG61,'LP Elementos'!BL61,'LP Elementos'!BQ61,'LP Elementos'!BV61,'LP Elementos'!CA61,'LP Elementos'!CF61,'LP Elementos'!CK61,'LP Elementos'!CP61,'LP Elementos'!CU61,'LP Elementos'!CZ61)," ")</f>
        <v>2</v>
      </c>
    </row>
    <row r="62" spans="2:12" ht="27" x14ac:dyDescent="0.25">
      <c r="B62" s="411">
        <v>60</v>
      </c>
      <c r="C62" s="412" t="s">
        <v>3062</v>
      </c>
      <c r="D62" s="408">
        <f>IFERROR(MIN('LP Elementos'!F62,'LP Elementos'!I62,'LP Elementos'!N62,'LP Elementos'!S62,'LP Elementos'!X62,'LP Elementos'!AC62,'LP Elementos'!AH62,'LP Elementos'!AM62,'LP Elementos'!AR62,'LP Elementos'!AW62,'LP Elementos'!BB62,'LP Elementos'!BG62,'LP Elementos'!BL62,'LP Elementos'!BQ62,'LP Elementos'!BV62,'LP Elementos'!CA62,'LP Elementos'!CF62,'LP Elementos'!CK62,'LP Elementos'!CP62,'LP Elementos'!CU62,'LP Elementos'!CZ62)," ")</f>
        <v>796860.652</v>
      </c>
      <c r="E62" s="341">
        <f>IFERROR(AVERAGE('LP Elementos'!F62,'LP Elementos'!I62,'LP Elementos'!N62,'LP Elementos'!S62,'LP Elementos'!X62,'LP Elementos'!AC62,'LP Elementos'!AH62,'LP Elementos'!AM62,'LP Elementos'!AR62,'LP Elementos'!AW62,'LP Elementos'!BB62,'LP Elementos'!BG62,'LP Elementos'!BL62,'LP Elementos'!BQ62,'LP Elementos'!BV62,'LP Elementos'!CA62,'LP Elementos'!CF62,'LP Elementos'!CK62,'LP Elementos'!CP62,'LP Elementos'!CU62,'LP Elementos'!CZ62)," ")</f>
        <v>957135.326</v>
      </c>
      <c r="F62" s="341">
        <f>IFERROR(MEDIAN('LP Elementos'!F62,'LP Elementos'!I62,'LP Elementos'!N62,'LP Elementos'!S62,'LP Elementos'!X62,'LP Elementos'!AC62,'LP Elementos'!AH62,'LP Elementos'!AM62,'LP Elementos'!AR62,'LP Elementos'!AW62,'LP Elementos'!BB62,'LP Elementos'!BG62,'LP Elementos'!BL62,'LP Elementos'!BQ62,'LP Elementos'!BV62,'LP Elementos'!CA62,'LP Elementos'!CF62,'LP Elementos'!CK62,'LP Elementos'!CP62,'LP Elementos'!CU62,'LP Elementos'!CZ62)," ")</f>
        <v>957135.326</v>
      </c>
      <c r="G62" s="341">
        <f>IFERROR(GEOMEAN('LP Elementos'!F62,'LP Elementos'!I62,'LP Elementos'!N62,'LP Elementos'!S62,'LP Elementos'!X62,'LP Elementos'!AC62,'LP Elementos'!AH62,'LP Elementos'!AM62,'LP Elementos'!AR62,'LP Elementos'!AW62,'LP Elementos'!BB62,'LP Elementos'!BG62,'LP Elementos'!BL62,'LP Elementos'!BQ62,'LP Elementos'!BV62,'LP Elementos'!CA62,'LP Elementos'!CF62,'LP Elementos'!CK62,'LP Elementos'!CP62,'LP Elementos'!CU62,'LP Elementos'!CZ62)," ")</f>
        <v>943620.71890740073</v>
      </c>
      <c r="H62" s="341">
        <f t="shared" si="4"/>
        <v>78145.030072302077</v>
      </c>
      <c r="I62" s="342">
        <f t="shared" si="5"/>
        <v>8.1644703679343747E-2</v>
      </c>
      <c r="J62" s="341">
        <f t="shared" si="6"/>
        <v>957135.326</v>
      </c>
      <c r="K62" s="326" t="str">
        <f t="shared" si="7"/>
        <v>Promedio</v>
      </c>
      <c r="L62" s="326">
        <f>IFERROR(COUNTA('LP Elementos'!F62,'LP Elementos'!I62,'LP Elementos'!N62,'LP Elementos'!S62,'LP Elementos'!X62,'LP Elementos'!AC62,'LP Elementos'!AH62,'LP Elementos'!AM62,'LP Elementos'!AR62,'LP Elementos'!AX62,'LP Elementos'!BB62,'LP Elementos'!BG62,'LP Elementos'!BL62,'LP Elementos'!BQ62,'LP Elementos'!BV62,'LP Elementos'!CA62,'LP Elementos'!CF62,'LP Elementos'!CK62,'LP Elementos'!CP62,'LP Elementos'!CU62,'LP Elementos'!CZ62)," ")</f>
        <v>2</v>
      </c>
    </row>
    <row r="63" spans="2:12" ht="27" x14ac:dyDescent="0.25">
      <c r="B63" s="411">
        <v>61</v>
      </c>
      <c r="C63" s="412" t="s">
        <v>3066</v>
      </c>
      <c r="D63" s="408">
        <f>IFERROR(MIN('LP Elementos'!F63,'LP Elementos'!I63,'LP Elementos'!N63,'LP Elementos'!S63,'LP Elementos'!X63,'LP Elementos'!AC63,'LP Elementos'!AH63,'LP Elementos'!AM63,'LP Elementos'!AR63,'LP Elementos'!AW63,'LP Elementos'!BB63,'LP Elementos'!BG63,'LP Elementos'!BL63,'LP Elementos'!BQ63,'LP Elementos'!BV63,'LP Elementos'!CA63,'LP Elementos'!CF63,'LP Elementos'!CK63,'LP Elementos'!CP63,'LP Elementos'!CU63,'LP Elementos'!CZ63)," ")</f>
        <v>604558.31799999997</v>
      </c>
      <c r="E63" s="341">
        <f>IFERROR(AVERAGE('LP Elementos'!F63,'LP Elementos'!I63,'LP Elementos'!N63,'LP Elementos'!S63,'LP Elementos'!X63,'LP Elementos'!AC63,'LP Elementos'!AH63,'LP Elementos'!AM63,'LP Elementos'!AR63,'LP Elementos'!AW63,'LP Elementos'!BB63,'LP Elementos'!BG63,'LP Elementos'!BL63,'LP Elementos'!BQ63,'LP Elementos'!BV63,'LP Elementos'!CA63,'LP Elementos'!CF63,'LP Elementos'!CK63,'LP Elementos'!CP63,'LP Elementos'!CU63,'LP Elementos'!CZ63)," ")</f>
        <v>843729.15899999999</v>
      </c>
      <c r="F63" s="341">
        <f>IFERROR(MEDIAN('LP Elementos'!F63,'LP Elementos'!I63,'LP Elementos'!N63,'LP Elementos'!S63,'LP Elementos'!X63,'LP Elementos'!AC63,'LP Elementos'!AH63,'LP Elementos'!AM63,'LP Elementos'!AR63,'LP Elementos'!AW63,'LP Elementos'!BB63,'LP Elementos'!BG63,'LP Elementos'!BL63,'LP Elementos'!BQ63,'LP Elementos'!BV63,'LP Elementos'!CA63,'LP Elementos'!CF63,'LP Elementos'!CK63,'LP Elementos'!CP63,'LP Elementos'!CU63,'LP Elementos'!CZ63)," ")</f>
        <v>843729.15899999999</v>
      </c>
      <c r="G63" s="341">
        <f>IFERROR(GEOMEAN('LP Elementos'!F63,'LP Elementos'!I63,'LP Elementos'!N63,'LP Elementos'!S63,'LP Elementos'!X63,'LP Elementos'!AC63,'LP Elementos'!AH63,'LP Elementos'!AM63,'LP Elementos'!AR63,'LP Elementos'!AW63,'LP Elementos'!BB63,'LP Elementos'!BG63,'LP Elementos'!BL63,'LP Elementos'!BQ63,'LP Elementos'!BV63,'LP Elementos'!CA63,'LP Elementos'!CF63,'LP Elementos'!CK63,'LP Elementos'!CP63,'LP Elementos'!CU63,'LP Elementos'!CZ63)," ")</f>
        <v>809120.63535804104</v>
      </c>
      <c r="H63" s="341">
        <f t="shared" si="4"/>
        <v>114980.6591959198</v>
      </c>
      <c r="I63" s="342">
        <f t="shared" si="5"/>
        <v>0.13627673995787529</v>
      </c>
      <c r="J63" s="341">
        <f t="shared" si="6"/>
        <v>843729.15899999999</v>
      </c>
      <c r="K63" s="326" t="str">
        <f t="shared" si="7"/>
        <v>Promedio</v>
      </c>
      <c r="L63" s="326">
        <f>IFERROR(COUNTA('LP Elementos'!F63,'LP Elementos'!I63,'LP Elementos'!N63,'LP Elementos'!S63,'LP Elementos'!X63,'LP Elementos'!AC63,'LP Elementos'!AH63,'LP Elementos'!AM63,'LP Elementos'!AR63,'LP Elementos'!AX63,'LP Elementos'!BB63,'LP Elementos'!BG63,'LP Elementos'!BL63,'LP Elementos'!BQ63,'LP Elementos'!BV63,'LP Elementos'!CA63,'LP Elementos'!CF63,'LP Elementos'!CK63,'LP Elementos'!CP63,'LP Elementos'!CU63,'LP Elementos'!CZ63)," ")</f>
        <v>2</v>
      </c>
    </row>
    <row r="64" spans="2:12" ht="27" x14ac:dyDescent="0.25">
      <c r="B64" s="411">
        <v>62</v>
      </c>
      <c r="C64" s="412" t="s">
        <v>3069</v>
      </c>
      <c r="D64" s="408">
        <f>IFERROR(MIN('LP Elementos'!F64,'LP Elementos'!I64,'LP Elementos'!N64,'LP Elementos'!S64,'LP Elementos'!X64,'LP Elementos'!AC64,'LP Elementos'!AH64,'LP Elementos'!AM64,'LP Elementos'!AR64,'LP Elementos'!AW64,'LP Elementos'!BB64,'LP Elementos'!BG64,'LP Elementos'!BL64,'LP Elementos'!BQ64,'LP Elementos'!BV64,'LP Elementos'!CA64,'LP Elementos'!CF64,'LP Elementos'!CK64,'LP Elementos'!CP64,'LP Elementos'!CU64,'LP Elementos'!CZ64)," ")</f>
        <v>1173924.0520000001</v>
      </c>
      <c r="E64" s="341">
        <f>IFERROR(AVERAGE('LP Elementos'!F64,'LP Elementos'!I64,'LP Elementos'!N64,'LP Elementos'!S64,'LP Elementos'!X64,'LP Elementos'!AC64,'LP Elementos'!AH64,'LP Elementos'!AM64,'LP Elementos'!AR64,'LP Elementos'!AW64,'LP Elementos'!BB64,'LP Elementos'!BG64,'LP Elementos'!BL64,'LP Elementos'!BQ64,'LP Elementos'!BV64,'LP Elementos'!CA64,'LP Elementos'!CF64,'LP Elementos'!CK64,'LP Elementos'!CP64,'LP Elementos'!CU64,'LP Elementos'!CZ64)," ")</f>
        <v>2070892.0260000001</v>
      </c>
      <c r="F64" s="341">
        <f>IFERROR(MEDIAN('LP Elementos'!F64,'LP Elementos'!I64,'LP Elementos'!N64,'LP Elementos'!S64,'LP Elementos'!X64,'LP Elementos'!AC64,'LP Elementos'!AH64,'LP Elementos'!AM64,'LP Elementos'!AR64,'LP Elementos'!AW64,'LP Elementos'!BB64,'LP Elementos'!BG64,'LP Elementos'!BL64,'LP Elementos'!BQ64,'LP Elementos'!BV64,'LP Elementos'!CA64,'LP Elementos'!CF64,'LP Elementos'!CK64,'LP Elementos'!CP64,'LP Elementos'!CU64,'LP Elementos'!CZ64)," ")</f>
        <v>2070892.0260000001</v>
      </c>
      <c r="G64" s="341">
        <f>IFERROR(GEOMEAN('LP Elementos'!F64,'LP Elementos'!I64,'LP Elementos'!N64,'LP Elementos'!S64,'LP Elementos'!X64,'LP Elementos'!AC64,'LP Elementos'!AH64,'LP Elementos'!AM64,'LP Elementos'!AR64,'LP Elementos'!AW64,'LP Elementos'!BB64,'LP Elementos'!BG64,'LP Elementos'!BL64,'LP Elementos'!BQ64,'LP Elementos'!BV64,'LP Elementos'!CA64,'LP Elementos'!CF64,'LP Elementos'!CK64,'LP Elementos'!CP64,'LP Elementos'!CU64,'LP Elementos'!CZ64)," ")</f>
        <v>1866558.9294122809</v>
      </c>
      <c r="H64" s="341">
        <f t="shared" si="4"/>
        <v>425475.24358979141</v>
      </c>
      <c r="I64" s="342">
        <f t="shared" si="5"/>
        <v>0.2054550590991514</v>
      </c>
      <c r="J64" s="341">
        <f t="shared" si="6"/>
        <v>1866558.9294122809</v>
      </c>
      <c r="K64" s="326" t="str">
        <f t="shared" si="7"/>
        <v>Media Geometrica</v>
      </c>
      <c r="L64" s="326">
        <f>IFERROR(COUNTA('LP Elementos'!F64,'LP Elementos'!I64,'LP Elementos'!N64,'LP Elementos'!S64,'LP Elementos'!X64,'LP Elementos'!AC64,'LP Elementos'!AH64,'LP Elementos'!AM64,'LP Elementos'!AR64,'LP Elementos'!AX64,'LP Elementos'!BB64,'LP Elementos'!BG64,'LP Elementos'!BL64,'LP Elementos'!BQ64,'LP Elementos'!BV64,'LP Elementos'!CA64,'LP Elementos'!CF64,'LP Elementos'!CK64,'LP Elementos'!CP64,'LP Elementos'!CU64,'LP Elementos'!CZ64)," ")</f>
        <v>2</v>
      </c>
    </row>
    <row r="65" spans="2:12" ht="27" x14ac:dyDescent="0.25">
      <c r="B65" s="411">
        <v>63</v>
      </c>
      <c r="C65" s="412" t="s">
        <v>3072</v>
      </c>
      <c r="D65" s="408">
        <f>IFERROR(MIN('LP Elementos'!F65,'LP Elementos'!I65,'LP Elementos'!N65,'LP Elementos'!S65,'LP Elementos'!X65,'LP Elementos'!AC65,'LP Elementos'!AH65,'LP Elementos'!AM65,'LP Elementos'!AR65,'LP Elementos'!AW65,'LP Elementos'!BB65,'LP Elementos'!BG65,'LP Elementos'!BL65,'LP Elementos'!BQ65,'LP Elementos'!BV65,'LP Elementos'!CA65,'LP Elementos'!CF65,'LP Elementos'!CK65,'LP Elementos'!CP65,'LP Elementos'!CU65,'LP Elementos'!CZ65)," ")</f>
        <v>1079658.202</v>
      </c>
      <c r="E65" s="341">
        <f>IFERROR(AVERAGE('LP Elementos'!F65,'LP Elementos'!I65,'LP Elementos'!N65,'LP Elementos'!S65,'LP Elementos'!X65,'LP Elementos'!AC65,'LP Elementos'!AH65,'LP Elementos'!AM65,'LP Elementos'!AR65,'LP Elementos'!AW65,'LP Elementos'!BB65,'LP Elementos'!BG65,'LP Elementos'!BL65,'LP Elementos'!BQ65,'LP Elementos'!BV65,'LP Elementos'!CA65,'LP Elementos'!CF65,'LP Elementos'!CK65,'LP Elementos'!CP65,'LP Elementos'!CU65,'LP Elementos'!CZ65)," ")</f>
        <v>1668544.101</v>
      </c>
      <c r="F65" s="341">
        <f>IFERROR(MEDIAN('LP Elementos'!F65,'LP Elementos'!I65,'LP Elementos'!N65,'LP Elementos'!S65,'LP Elementos'!X65,'LP Elementos'!AC65,'LP Elementos'!AH65,'LP Elementos'!AM65,'LP Elementos'!AR65,'LP Elementos'!AW65,'LP Elementos'!BB65,'LP Elementos'!BG65,'LP Elementos'!BL65,'LP Elementos'!BQ65,'LP Elementos'!BV65,'LP Elementos'!CA65,'LP Elementos'!CF65,'LP Elementos'!CK65,'LP Elementos'!CP65,'LP Elementos'!CU65,'LP Elementos'!CZ65)," ")</f>
        <v>1668544.101</v>
      </c>
      <c r="G65" s="341">
        <f>IFERROR(GEOMEAN('LP Elementos'!F65,'LP Elementos'!I65,'LP Elementos'!N65,'LP Elementos'!S65,'LP Elementos'!X65,'LP Elementos'!AC65,'LP Elementos'!AH65,'LP Elementos'!AM65,'LP Elementos'!AR65,'LP Elementos'!AW65,'LP Elementos'!BB65,'LP Elementos'!BG65,'LP Elementos'!BL65,'LP Elementos'!BQ65,'LP Elementos'!BV65,'LP Elementos'!CA65,'LP Elementos'!CF65,'LP Elementos'!CK65,'LP Elementos'!CP65,'LP Elementos'!CU65,'LP Elementos'!CZ65)," ")</f>
        <v>1561170.3350182069</v>
      </c>
      <c r="H65" s="341">
        <f t="shared" si="4"/>
        <v>281141.33301716874</v>
      </c>
      <c r="I65" s="342">
        <f t="shared" si="5"/>
        <v>0.16849499683506941</v>
      </c>
      <c r="J65" s="341">
        <f t="shared" si="6"/>
        <v>1668544.101</v>
      </c>
      <c r="K65" s="326" t="str">
        <f t="shared" si="7"/>
        <v>Promedio</v>
      </c>
      <c r="L65" s="326">
        <f>IFERROR(COUNTA('LP Elementos'!F65,'LP Elementos'!I65,'LP Elementos'!N65,'LP Elementos'!S65,'LP Elementos'!X65,'LP Elementos'!AC65,'LP Elementos'!AH65,'LP Elementos'!AM65,'LP Elementos'!AR65,'LP Elementos'!AX65,'LP Elementos'!BB65,'LP Elementos'!BG65,'LP Elementos'!BL65,'LP Elementos'!BQ65,'LP Elementos'!BV65,'LP Elementos'!CA65,'LP Elementos'!CF65,'LP Elementos'!CK65,'LP Elementos'!CP65,'LP Elementos'!CU65,'LP Elementos'!CZ65)," ")</f>
        <v>2</v>
      </c>
    </row>
    <row r="66" spans="2:12" ht="27" x14ac:dyDescent="0.25">
      <c r="B66" s="411">
        <v>64</v>
      </c>
      <c r="C66" s="412" t="s">
        <v>3075</v>
      </c>
      <c r="D66" s="408">
        <f>IFERROR(MIN('LP Elementos'!F66,'LP Elementos'!I66,'LP Elementos'!N66,'LP Elementos'!S66,'LP Elementos'!X66,'LP Elementos'!AC66,'LP Elementos'!AH66,'LP Elementos'!AM66,'LP Elementos'!AR66,'LP Elementos'!AW66,'LP Elementos'!BB66,'LP Elementos'!BG66,'LP Elementos'!BL66,'LP Elementos'!BQ66,'LP Elementos'!BV66,'LP Elementos'!CA66,'LP Elementos'!CF66,'LP Elementos'!CK66,'LP Elementos'!CP66,'LP Elementos'!CU66,'LP Elementos'!CZ66)," ")</f>
        <v>100550.24</v>
      </c>
      <c r="E66" s="341">
        <f>IFERROR(AVERAGE('LP Elementos'!F66,'LP Elementos'!I66,'LP Elementos'!N66,'LP Elementos'!S66,'LP Elementos'!X66,'LP Elementos'!AC66,'LP Elementos'!AH66,'LP Elementos'!AM66,'LP Elementos'!AR66,'LP Elementos'!AW66,'LP Elementos'!BB66,'LP Elementos'!BG66,'LP Elementos'!BL66,'LP Elementos'!BQ66,'LP Elementos'!BV66,'LP Elementos'!CA66,'LP Elementos'!CF66,'LP Elementos'!CK66,'LP Elementos'!CP66,'LP Elementos'!CU66,'LP Elementos'!CZ66)," ")</f>
        <v>109775.12</v>
      </c>
      <c r="F66" s="341">
        <f>IFERROR(MEDIAN('LP Elementos'!F66,'LP Elementos'!I66,'LP Elementos'!N66,'LP Elementos'!S66,'LP Elementos'!X66,'LP Elementos'!AC66,'LP Elementos'!AH66,'LP Elementos'!AM66,'LP Elementos'!AR66,'LP Elementos'!AW66,'LP Elementos'!BB66,'LP Elementos'!BG66,'LP Elementos'!BL66,'LP Elementos'!BQ66,'LP Elementos'!BV66,'LP Elementos'!CA66,'LP Elementos'!CF66,'LP Elementos'!CK66,'LP Elementos'!CP66,'LP Elementos'!CU66,'LP Elementos'!CZ66)," ")</f>
        <v>109775.12</v>
      </c>
      <c r="G66" s="341">
        <f>IFERROR(GEOMEAN('LP Elementos'!F66,'LP Elementos'!I66,'LP Elementos'!N66,'LP Elementos'!S66,'LP Elementos'!X66,'LP Elementos'!AC66,'LP Elementos'!AH66,'LP Elementos'!AM66,'LP Elementos'!AR66,'LP Elementos'!AW66,'LP Elementos'!BB66,'LP Elementos'!BG66,'LP Elementos'!BL66,'LP Elementos'!BQ66,'LP Elementos'!BV66,'LP Elementos'!CA66,'LP Elementos'!CF66,'LP Elementos'!CK66,'LP Elementos'!CP66,'LP Elementos'!CU66,'LP Elementos'!CZ66)," ")</f>
        <v>109386.82992024222</v>
      </c>
      <c r="H66" s="341">
        <f t="shared" si="4"/>
        <v>4551.4071250859924</v>
      </c>
      <c r="I66" s="342">
        <f t="shared" si="5"/>
        <v>4.1461190159354802E-2</v>
      </c>
      <c r="J66" s="341">
        <f t="shared" si="6"/>
        <v>109775.12</v>
      </c>
      <c r="K66" s="326" t="str">
        <f t="shared" si="7"/>
        <v>Promedio</v>
      </c>
      <c r="L66" s="326">
        <f>IFERROR(COUNTA('LP Elementos'!F66,'LP Elementos'!I66,'LP Elementos'!N66,'LP Elementos'!S66,'LP Elementos'!X66,'LP Elementos'!AC66,'LP Elementos'!AH66,'LP Elementos'!AM66,'LP Elementos'!AR66,'LP Elementos'!AX66,'LP Elementos'!BB66,'LP Elementos'!BG66,'LP Elementos'!BL66,'LP Elementos'!BQ66,'LP Elementos'!BV66,'LP Elementos'!CA66,'LP Elementos'!CF66,'LP Elementos'!CK66,'LP Elementos'!CP66,'LP Elementos'!CU66,'LP Elementos'!CZ66)," ")</f>
        <v>2</v>
      </c>
    </row>
    <row r="67" spans="2:12" x14ac:dyDescent="0.25">
      <c r="B67" s="411">
        <v>65</v>
      </c>
      <c r="C67" s="416" t="s">
        <v>3078</v>
      </c>
      <c r="D67" s="408">
        <f>IFERROR(MIN('LP Elementos'!F67,'LP Elementos'!I67,'LP Elementos'!N67,'LP Elementos'!S67,'LP Elementos'!X67,'LP Elementos'!AC67,'LP Elementos'!AH67,'LP Elementos'!AM67,'LP Elementos'!AR67,'LP Elementos'!AW67,'LP Elementos'!BB67,'LP Elementos'!BG67,'LP Elementos'!BL67,'LP Elementos'!BQ67,'LP Elementos'!BV67,'LP Elementos'!CA67,'LP Elementos'!CF67,'LP Elementos'!CK67,'LP Elementos'!CP67,'LP Elementos'!CU67,'LP Elementos'!CZ67)," ")</f>
        <v>3216570</v>
      </c>
      <c r="E67" s="341">
        <f>IFERROR(AVERAGE('LP Elementos'!F67,'LP Elementos'!I67,'LP Elementos'!N67,'LP Elementos'!S67,'LP Elementos'!X67,'LP Elementos'!AC67,'LP Elementos'!AH67,'LP Elementos'!AM67,'LP Elementos'!AR67,'LP Elementos'!AW67,'LP Elementos'!BB67,'LP Elementos'!BG67,'LP Elementos'!BL67,'LP Elementos'!BQ67,'LP Elementos'!BV67,'LP Elementos'!CA67,'LP Elementos'!CF67,'LP Elementos'!CK67,'LP Elementos'!CP67,'LP Elementos'!CU67,'LP Elementos'!CZ67)," ")</f>
        <v>3216570</v>
      </c>
      <c r="F67" s="341">
        <f>IFERROR(MEDIAN('LP Elementos'!F67,'LP Elementos'!I67,'LP Elementos'!N67,'LP Elementos'!S67,'LP Elementos'!X67,'LP Elementos'!AC67,'LP Elementos'!AH67,'LP Elementos'!AM67,'LP Elementos'!AR67,'LP Elementos'!AW67,'LP Elementos'!BB67,'LP Elementos'!BG67,'LP Elementos'!BL67,'LP Elementos'!BQ67,'LP Elementos'!BV67,'LP Elementos'!CA67,'LP Elementos'!CF67,'LP Elementos'!CK67,'LP Elementos'!CP67,'LP Elementos'!CU67,'LP Elementos'!CZ67)," ")</f>
        <v>3216570</v>
      </c>
      <c r="G67" s="341">
        <f>IFERROR(GEOMEAN('LP Elementos'!F67,'LP Elementos'!I67,'LP Elementos'!N67,'LP Elementos'!S67,'LP Elementos'!X67,'LP Elementos'!AC67,'LP Elementos'!AH67,'LP Elementos'!AM67,'LP Elementos'!AR67,'LP Elementos'!AW67,'LP Elementos'!BB67,'LP Elementos'!BG67,'LP Elementos'!BL67,'LP Elementos'!BQ67,'LP Elementos'!BV67,'LP Elementos'!CA67,'LP Elementos'!CF67,'LP Elementos'!CK67,'LP Elementos'!CP67,'LP Elementos'!CU67,'LP Elementos'!CZ67)," ")</f>
        <v>3216570</v>
      </c>
      <c r="H67" s="341">
        <f t="shared" si="4"/>
        <v>0</v>
      </c>
      <c r="I67" s="342">
        <f t="shared" si="5"/>
        <v>0</v>
      </c>
      <c r="J67" s="341">
        <f t="shared" si="6"/>
        <v>3216570</v>
      </c>
      <c r="K67" s="326" t="str">
        <f t="shared" si="7"/>
        <v>Menor Valor</v>
      </c>
      <c r="L67" s="326">
        <f>IFERROR(COUNTA('LP Elementos'!F67,'LP Elementos'!I67,'LP Elementos'!N67,'LP Elementos'!S67,'LP Elementos'!X67,'LP Elementos'!AC67,'LP Elementos'!AH67,'LP Elementos'!AM67,'LP Elementos'!AR67,'LP Elementos'!AX67,'LP Elementos'!BB67,'LP Elementos'!BG67,'LP Elementos'!BL67,'LP Elementos'!BQ67,'LP Elementos'!BV67,'LP Elementos'!CA67,'LP Elementos'!CF67,'LP Elementos'!CK67,'LP Elementos'!CP67,'LP Elementos'!CU67,'LP Elementos'!CZ67)," ")</f>
        <v>1</v>
      </c>
    </row>
    <row r="68" spans="2:12" ht="27" x14ac:dyDescent="0.25">
      <c r="B68" s="411">
        <v>66</v>
      </c>
      <c r="C68" s="416" t="s">
        <v>3082</v>
      </c>
      <c r="D68" s="408">
        <f>IFERROR(MIN('LP Elementos'!F68,'LP Elementos'!I68,'LP Elementos'!N68,'LP Elementos'!S68,'LP Elementos'!X68,'LP Elementos'!AC68,'LP Elementos'!AH68,'LP Elementos'!AM68,'LP Elementos'!AR68,'LP Elementos'!AW68,'LP Elementos'!BB68,'LP Elementos'!BG68,'LP Elementos'!BL68,'LP Elementos'!BQ68,'LP Elementos'!BV68,'LP Elementos'!CA68,'LP Elementos'!CF68,'LP Elementos'!CK68,'LP Elementos'!CP68,'LP Elementos'!CU68,'LP Elementos'!CZ68)," ")</f>
        <v>3599750</v>
      </c>
      <c r="E68" s="341">
        <f>IFERROR(AVERAGE('LP Elementos'!F68,'LP Elementos'!I68,'LP Elementos'!N68,'LP Elementos'!S68,'LP Elementos'!X68,'LP Elementos'!AC68,'LP Elementos'!AH68,'LP Elementos'!AM68,'LP Elementos'!AR68,'LP Elementos'!AW68,'LP Elementos'!BB68,'LP Elementos'!BG68,'LP Elementos'!BL68,'LP Elementos'!BQ68,'LP Elementos'!BV68,'LP Elementos'!CA68,'LP Elementos'!CF68,'LP Elementos'!CK68,'LP Elementos'!CP68,'LP Elementos'!CU68,'LP Elementos'!CZ68)," ")</f>
        <v>3599750</v>
      </c>
      <c r="F68" s="341">
        <f>IFERROR(MEDIAN('LP Elementos'!F68,'LP Elementos'!I68,'LP Elementos'!N68,'LP Elementos'!S68,'LP Elementos'!X68,'LP Elementos'!AC68,'LP Elementos'!AH68,'LP Elementos'!AM68,'LP Elementos'!AR68,'LP Elementos'!AW68,'LP Elementos'!BB68,'LP Elementos'!BG68,'LP Elementos'!BL68,'LP Elementos'!BQ68,'LP Elementos'!BV68,'LP Elementos'!CA68,'LP Elementos'!CF68,'LP Elementos'!CK68,'LP Elementos'!CP68,'LP Elementos'!CU68,'LP Elementos'!CZ68)," ")</f>
        <v>3599750</v>
      </c>
      <c r="G68" s="341">
        <f>IFERROR(GEOMEAN('LP Elementos'!F68,'LP Elementos'!I68,'LP Elementos'!N68,'LP Elementos'!S68,'LP Elementos'!X68,'LP Elementos'!AC68,'LP Elementos'!AH68,'LP Elementos'!AM68,'LP Elementos'!AR68,'LP Elementos'!AW68,'LP Elementos'!BB68,'LP Elementos'!BG68,'LP Elementos'!BL68,'LP Elementos'!BQ68,'LP Elementos'!BV68,'LP Elementos'!CA68,'LP Elementos'!CF68,'LP Elementos'!CK68,'LP Elementos'!CP68,'LP Elementos'!CU68,'LP Elementos'!CZ68)," ")</f>
        <v>3599750</v>
      </c>
      <c r="H68" s="341">
        <f t="shared" si="4"/>
        <v>0</v>
      </c>
      <c r="I68" s="342">
        <f t="shared" si="5"/>
        <v>0</v>
      </c>
      <c r="J68" s="341">
        <f t="shared" si="6"/>
        <v>3599750</v>
      </c>
      <c r="K68" s="326" t="str">
        <f t="shared" si="7"/>
        <v>Menor Valor</v>
      </c>
      <c r="L68" s="326">
        <f>IFERROR(COUNTA('LP Elementos'!F68,'LP Elementos'!I68,'LP Elementos'!N68,'LP Elementos'!S68,'LP Elementos'!X68,'LP Elementos'!AC68,'LP Elementos'!AH68,'LP Elementos'!AM68,'LP Elementos'!AR68,'LP Elementos'!AX68,'LP Elementos'!BB68,'LP Elementos'!BG68,'LP Elementos'!BL68,'LP Elementos'!BQ68,'LP Elementos'!BV68,'LP Elementos'!CA68,'LP Elementos'!CF68,'LP Elementos'!CK68,'LP Elementos'!CP68,'LP Elementos'!CU68,'LP Elementos'!CZ68)," ")</f>
        <v>1</v>
      </c>
    </row>
    <row r="69" spans="2:12" x14ac:dyDescent="0.25">
      <c r="B69" s="411">
        <v>67</v>
      </c>
      <c r="C69" s="417" t="s">
        <v>3084</v>
      </c>
      <c r="D69" s="408">
        <f>IFERROR(MIN('LP Elementos'!F69,'LP Elementos'!I69,'LP Elementos'!N69,'LP Elementos'!S69,'LP Elementos'!X69,'LP Elementos'!AC69,'LP Elementos'!AH69,'LP Elementos'!AM69,'LP Elementos'!AR69,'LP Elementos'!AW69,'LP Elementos'!BB69,'LP Elementos'!BG69,'LP Elementos'!BL69,'LP Elementos'!BQ69,'LP Elementos'!BV69,'LP Elementos'!CA69,'LP Elementos'!CF69,'LP Elementos'!CK69,'LP Elementos'!CP69,'LP Elementos'!CU69,'LP Elementos'!CZ69)," ")</f>
        <v>23800</v>
      </c>
      <c r="E69" s="341">
        <f>IFERROR(AVERAGE('LP Elementos'!F69,'LP Elementos'!I69,'LP Elementos'!N69,'LP Elementos'!S69,'LP Elementos'!X69,'LP Elementos'!AC69,'LP Elementos'!AH69,'LP Elementos'!AM69,'LP Elementos'!AR69,'LP Elementos'!AW69,'LP Elementos'!BB69,'LP Elementos'!BG69,'LP Elementos'!BL69,'LP Elementos'!BQ69,'LP Elementos'!BV69,'LP Elementos'!CA69,'LP Elementos'!CF69,'LP Elementos'!CK69,'LP Elementos'!CP69,'LP Elementos'!CU69,'LP Elementos'!CZ69)," ")</f>
        <v>30753.170000000002</v>
      </c>
      <c r="F69" s="341">
        <f>IFERROR(MEDIAN('LP Elementos'!F69,'LP Elementos'!I69,'LP Elementos'!N69,'LP Elementos'!S69,'LP Elementos'!X69,'LP Elementos'!AC69,'LP Elementos'!AH69,'LP Elementos'!AM69,'LP Elementos'!AR69,'LP Elementos'!AW69,'LP Elementos'!BB69,'LP Elementos'!BG69,'LP Elementos'!BL69,'LP Elementos'!BQ69,'LP Elementos'!BV69,'LP Elementos'!CA69,'LP Elementos'!CF69,'LP Elementos'!CK69,'LP Elementos'!CP69,'LP Elementos'!CU69,'LP Elementos'!CZ69)," ")</f>
        <v>30753.170000000002</v>
      </c>
      <c r="G69" s="341">
        <f>IFERROR(GEOMEAN('LP Elementos'!F69,'LP Elementos'!I69,'LP Elementos'!N69,'LP Elementos'!S69,'LP Elementos'!X69,'LP Elementos'!AC69,'LP Elementos'!AH69,'LP Elementos'!AM69,'LP Elementos'!AR69,'LP Elementos'!AW69,'LP Elementos'!BB69,'LP Elementos'!BG69,'LP Elementos'!BL69,'LP Elementos'!BQ69,'LP Elementos'!BV69,'LP Elementos'!CA69,'LP Elementos'!CF69,'LP Elementos'!CK69,'LP Elementos'!CP69,'LP Elementos'!CU69,'LP Elementos'!CZ69)," ")</f>
        <v>29956.817120648851</v>
      </c>
      <c r="H69" s="341">
        <f t="shared" si="4"/>
        <v>3364.8662550416834</v>
      </c>
      <c r="I69" s="342">
        <f t="shared" si="5"/>
        <v>0.10941526532197114</v>
      </c>
      <c r="J69" s="341">
        <f t="shared" si="6"/>
        <v>30753.170000000002</v>
      </c>
      <c r="K69" s="326" t="str">
        <f t="shared" si="7"/>
        <v>Promedio</v>
      </c>
      <c r="L69" s="326">
        <f>IFERROR(COUNTA('LP Elementos'!F69,'LP Elementos'!I69,'LP Elementos'!N69,'LP Elementos'!S69,'LP Elementos'!X69,'LP Elementos'!AC69,'LP Elementos'!AH69,'LP Elementos'!AM69,'LP Elementos'!AR69,'LP Elementos'!AX69,'LP Elementos'!BB69,'LP Elementos'!BG69,'LP Elementos'!BL69,'LP Elementos'!BQ69,'LP Elementos'!BV69,'LP Elementos'!CA69,'LP Elementos'!CF69,'LP Elementos'!CK69,'LP Elementos'!CP69,'LP Elementos'!CU69,'LP Elementos'!CZ69)," ")</f>
        <v>2</v>
      </c>
    </row>
    <row r="70" spans="2:12" ht="27" x14ac:dyDescent="0.25">
      <c r="B70" s="411">
        <v>68</v>
      </c>
      <c r="C70" s="412" t="s">
        <v>3087</v>
      </c>
      <c r="D70" s="408">
        <f>IFERROR(MIN('LP Elementos'!F70,'LP Elementos'!I70,'LP Elementos'!N70,'LP Elementos'!S70,'LP Elementos'!X70,'LP Elementos'!AC70,'LP Elementos'!AH70,'LP Elementos'!AM70,'LP Elementos'!AR70,'LP Elementos'!AW70,'LP Elementos'!BB70,'LP Elementos'!BG70,'LP Elementos'!BL70,'LP Elementos'!BQ70,'LP Elementos'!BV70,'LP Elementos'!CA70,'LP Elementos'!CF70,'LP Elementos'!CK70,'LP Elementos'!CP70,'LP Elementos'!CU70,'LP Elementos'!CZ70)," ")</f>
        <v>13825.658000000001</v>
      </c>
      <c r="E70" s="341">
        <f>IFERROR(AVERAGE('LP Elementos'!F70,'LP Elementos'!I70,'LP Elementos'!N70,'LP Elementos'!S70,'LP Elementos'!X70,'LP Elementos'!AC70,'LP Elementos'!AH70,'LP Elementos'!AM70,'LP Elementos'!AR70,'LP Elementos'!AW70,'LP Elementos'!BB70,'LP Elementos'!BG70,'LP Elementos'!BL70,'LP Elementos'!BQ70,'LP Elementos'!BV70,'LP Elementos'!CA70,'LP Elementos'!CF70,'LP Elementos'!CK70,'LP Elementos'!CP70,'LP Elementos'!CU70,'LP Elementos'!CZ70)," ")</f>
        <v>18812.829000000002</v>
      </c>
      <c r="F70" s="341">
        <f>IFERROR(MEDIAN('LP Elementos'!F70,'LP Elementos'!I70,'LP Elementos'!N70,'LP Elementos'!S70,'LP Elementos'!X70,'LP Elementos'!AC70,'LP Elementos'!AH70,'LP Elementos'!AM70,'LP Elementos'!AR70,'LP Elementos'!AW70,'LP Elementos'!BB70,'LP Elementos'!BG70,'LP Elementos'!BL70,'LP Elementos'!BQ70,'LP Elementos'!BV70,'LP Elementos'!CA70,'LP Elementos'!CF70,'LP Elementos'!CK70,'LP Elementos'!CP70,'LP Elementos'!CU70,'LP Elementos'!CZ70)," ")</f>
        <v>18812.829000000002</v>
      </c>
      <c r="G70" s="341">
        <f>IFERROR(GEOMEAN('LP Elementos'!F70,'LP Elementos'!I70,'LP Elementos'!N70,'LP Elementos'!S70,'LP Elementos'!X70,'LP Elementos'!AC70,'LP Elementos'!AH70,'LP Elementos'!AM70,'LP Elementos'!AR70,'LP Elementos'!AW70,'LP Elementos'!BB70,'LP Elementos'!BG70,'LP Elementos'!BL70,'LP Elementos'!BQ70,'LP Elementos'!BV70,'LP Elementos'!CA70,'LP Elementos'!CF70,'LP Elementos'!CK70,'LP Elementos'!CP70,'LP Elementos'!CU70,'LP Elementos'!CZ70)," ")</f>
        <v>18139.753592593257</v>
      </c>
      <c r="H70" s="341">
        <f t="shared" si="4"/>
        <v>2402.4506751201811</v>
      </c>
      <c r="I70" s="342">
        <f t="shared" si="5"/>
        <v>0.12770278596165313</v>
      </c>
      <c r="J70" s="341">
        <f t="shared" si="6"/>
        <v>18812.829000000002</v>
      </c>
      <c r="K70" s="326" t="str">
        <f t="shared" si="7"/>
        <v>Promedio</v>
      </c>
      <c r="L70" s="326">
        <f>IFERROR(COUNTA('LP Elementos'!F70,'LP Elementos'!I70,'LP Elementos'!N70,'LP Elementos'!S70,'LP Elementos'!X70,'LP Elementos'!AC70,'LP Elementos'!AH70,'LP Elementos'!AM70,'LP Elementos'!AR70,'LP Elementos'!AX70,'LP Elementos'!BB70,'LP Elementos'!BG70,'LP Elementos'!BL70,'LP Elementos'!BQ70,'LP Elementos'!BV70,'LP Elementos'!CA70,'LP Elementos'!CF70,'LP Elementos'!CK70,'LP Elementos'!CP70,'LP Elementos'!CU70,'LP Elementos'!CZ70)," ")</f>
        <v>2</v>
      </c>
    </row>
    <row r="71" spans="2:12" ht="27" x14ac:dyDescent="0.25">
      <c r="B71" s="411">
        <v>69</v>
      </c>
      <c r="C71" s="412" t="s">
        <v>3089</v>
      </c>
      <c r="D71" s="408">
        <f>IFERROR(MIN('LP Elementos'!F71,'LP Elementos'!I71,'LP Elementos'!N71,'LP Elementos'!S71,'LP Elementos'!X71,'LP Elementos'!AC71,'LP Elementos'!AH71,'LP Elementos'!AM71,'LP Elementos'!AR71,'LP Elementos'!AW71,'LP Elementos'!BB71,'LP Elementos'!BG71,'LP Elementos'!BL71,'LP Elementos'!BQ71,'LP Elementos'!BV71,'LP Elementos'!CA71,'LP Elementos'!CF71,'LP Elementos'!CK71,'LP Elementos'!CP71,'LP Elementos'!CU71,'LP Elementos'!CZ71)," ")</f>
        <v>7140</v>
      </c>
      <c r="E71" s="341">
        <f>IFERROR(AVERAGE('LP Elementos'!F71,'LP Elementos'!I71,'LP Elementos'!N71,'LP Elementos'!S71,'LP Elementos'!X71,'LP Elementos'!AC71,'LP Elementos'!AH71,'LP Elementos'!AM71,'LP Elementos'!AR71,'LP Elementos'!AW71,'LP Elementos'!BB71,'LP Elementos'!BG71,'LP Elementos'!BL71,'LP Elementos'!BQ71,'LP Elementos'!BV71,'LP Elementos'!CA71,'LP Elementos'!CF71,'LP Elementos'!CK71,'LP Elementos'!CP71,'LP Elementos'!CU71,'LP Elementos'!CZ71)," ")</f>
        <v>12996.585000000001</v>
      </c>
      <c r="F71" s="341">
        <f>IFERROR(MEDIAN('LP Elementos'!F71,'LP Elementos'!I71,'LP Elementos'!N71,'LP Elementos'!S71,'LP Elementos'!X71,'LP Elementos'!AC71,'LP Elementos'!AH71,'LP Elementos'!AM71,'LP Elementos'!AR71,'LP Elementos'!AW71,'LP Elementos'!BB71,'LP Elementos'!BG71,'LP Elementos'!BL71,'LP Elementos'!BQ71,'LP Elementos'!BV71,'LP Elementos'!CA71,'LP Elementos'!CF71,'LP Elementos'!CK71,'LP Elementos'!CP71,'LP Elementos'!CU71,'LP Elementos'!CZ71)," ")</f>
        <v>12996.585000000001</v>
      </c>
      <c r="G71" s="341">
        <f>IFERROR(GEOMEAN('LP Elementos'!F71,'LP Elementos'!I71,'LP Elementos'!N71,'LP Elementos'!S71,'LP Elementos'!X71,'LP Elementos'!AC71,'LP Elementos'!AH71,'LP Elementos'!AM71,'LP Elementos'!AR71,'LP Elementos'!AW71,'LP Elementos'!BB71,'LP Elementos'!BG71,'LP Elementos'!BL71,'LP Elementos'!BQ71,'LP Elementos'!BV71,'LP Elementos'!CA71,'LP Elementos'!CF71,'LP Elementos'!CK71,'LP Elementos'!CP71,'LP Elementos'!CU71,'LP Elementos'!CZ71)," ")</f>
        <v>11602.225381365422</v>
      </c>
      <c r="H71" s="341">
        <f t="shared" si="4"/>
        <v>2774.873999702651</v>
      </c>
      <c r="I71" s="342">
        <f t="shared" si="5"/>
        <v>0.21350793302260945</v>
      </c>
      <c r="J71" s="341">
        <f t="shared" si="6"/>
        <v>11602.225381365422</v>
      </c>
      <c r="K71" s="326" t="str">
        <f t="shared" si="7"/>
        <v>Media Geometrica</v>
      </c>
      <c r="L71" s="326">
        <f>IFERROR(COUNTA('LP Elementos'!F71,'LP Elementos'!I71,'LP Elementos'!N71,'LP Elementos'!S71,'LP Elementos'!X71,'LP Elementos'!AC71,'LP Elementos'!AH71,'LP Elementos'!AM71,'LP Elementos'!AR71,'LP Elementos'!AX71,'LP Elementos'!BB71,'LP Elementos'!BG71,'LP Elementos'!BL71,'LP Elementos'!BQ71,'LP Elementos'!BV71,'LP Elementos'!CA71,'LP Elementos'!CF71,'LP Elementos'!CK71,'LP Elementos'!CP71,'LP Elementos'!CU71,'LP Elementos'!CZ71)," ")</f>
        <v>2</v>
      </c>
    </row>
    <row r="72" spans="2:12" ht="27" x14ac:dyDescent="0.25">
      <c r="B72" s="411">
        <v>70</v>
      </c>
      <c r="C72" s="412" t="s">
        <v>3091</v>
      </c>
      <c r="D72" s="408">
        <f>IFERROR(MIN('LP Elementos'!F72,'LP Elementos'!I72,'LP Elementos'!N72,'LP Elementos'!S72,'LP Elementos'!X72,'LP Elementos'!AC72,'LP Elementos'!AH72,'LP Elementos'!AM72,'LP Elementos'!AR72,'LP Elementos'!AW72,'LP Elementos'!BB72,'LP Elementos'!BG72,'LP Elementos'!BL72,'LP Elementos'!BQ72,'LP Elementos'!BV72,'LP Elementos'!CA72,'LP Elementos'!CF72,'LP Elementos'!CK72,'LP Elementos'!CP72,'LP Elementos'!CU72,'LP Elementos'!CZ72)," ")</f>
        <v>13816.1522</v>
      </c>
      <c r="E72" s="341">
        <f>IFERROR(AVERAGE('LP Elementos'!F72,'LP Elementos'!I72,'LP Elementos'!N72,'LP Elementos'!S72,'LP Elementos'!X72,'LP Elementos'!AC72,'LP Elementos'!AH72,'LP Elementos'!AM72,'LP Elementos'!AR72,'LP Elementos'!AW72,'LP Elementos'!BB72,'LP Elementos'!BG72,'LP Elementos'!BL72,'LP Elementos'!BQ72,'LP Elementos'!BV72,'LP Elementos'!CA72,'LP Elementos'!CF72,'LP Elementos'!CK72,'LP Elementos'!CP72,'LP Elementos'!CU72,'LP Elementos'!CZ72)," ")</f>
        <v>13816.1522</v>
      </c>
      <c r="F72" s="341">
        <f>IFERROR(MEDIAN('LP Elementos'!F72,'LP Elementos'!I72,'LP Elementos'!N72,'LP Elementos'!S72,'LP Elementos'!X72,'LP Elementos'!AC72,'LP Elementos'!AH72,'LP Elementos'!AM72,'LP Elementos'!AR72,'LP Elementos'!AW72,'LP Elementos'!BB72,'LP Elementos'!BG72,'LP Elementos'!BL72,'LP Elementos'!BQ72,'LP Elementos'!BV72,'LP Elementos'!CA72,'LP Elementos'!CF72,'LP Elementos'!CK72,'LP Elementos'!CP72,'LP Elementos'!CU72,'LP Elementos'!CZ72)," ")</f>
        <v>13816.1522</v>
      </c>
      <c r="G72" s="341">
        <f>IFERROR(GEOMEAN('LP Elementos'!F72,'LP Elementos'!I72,'LP Elementos'!N72,'LP Elementos'!S72,'LP Elementos'!X72,'LP Elementos'!AC72,'LP Elementos'!AH72,'LP Elementos'!AM72,'LP Elementos'!AR72,'LP Elementos'!AW72,'LP Elementos'!BB72,'LP Elementos'!BG72,'LP Elementos'!BL72,'LP Elementos'!BQ72,'LP Elementos'!BV72,'LP Elementos'!CA72,'LP Elementos'!CF72,'LP Elementos'!CK72,'LP Elementos'!CP72,'LP Elementos'!CU72,'LP Elementos'!CZ72)," ")</f>
        <v>13816.1522</v>
      </c>
      <c r="H72" s="341">
        <f t="shared" si="4"/>
        <v>0</v>
      </c>
      <c r="I72" s="342">
        <f t="shared" si="5"/>
        <v>0</v>
      </c>
      <c r="J72" s="341">
        <f t="shared" si="6"/>
        <v>13816.1522</v>
      </c>
      <c r="K72" s="326" t="str">
        <f t="shared" si="7"/>
        <v>Menor Valor</v>
      </c>
      <c r="L72" s="326">
        <f>IFERROR(COUNTA('LP Elementos'!F72,'LP Elementos'!I72,'LP Elementos'!N72,'LP Elementos'!S72,'LP Elementos'!X72,'LP Elementos'!AC72,'LP Elementos'!AH72,'LP Elementos'!AM72,'LP Elementos'!AR72,'LP Elementos'!AX72,'LP Elementos'!BB72,'LP Elementos'!BG72,'LP Elementos'!BL72,'LP Elementos'!BQ72,'LP Elementos'!BV72,'LP Elementos'!CA72,'LP Elementos'!CF72,'LP Elementos'!CK72,'LP Elementos'!CP72,'LP Elementos'!CU72,'LP Elementos'!CZ72)," ")</f>
        <v>1</v>
      </c>
    </row>
    <row r="73" spans="2:12" ht="27" x14ac:dyDescent="0.25">
      <c r="B73" s="411">
        <v>71</v>
      </c>
      <c r="C73" s="412" t="s">
        <v>3093</v>
      </c>
      <c r="D73" s="408">
        <f>IFERROR(MIN('LP Elementos'!F73,'LP Elementos'!I73,'LP Elementos'!N73,'LP Elementos'!S73,'LP Elementos'!X73,'LP Elementos'!AC73,'LP Elementos'!AH73,'LP Elementos'!AM73,'LP Elementos'!AR73,'LP Elementos'!AW73,'LP Elementos'!BB73,'LP Elementos'!BG73,'LP Elementos'!BL73,'LP Elementos'!BQ73,'LP Elementos'!BV73,'LP Elementos'!CA73,'LP Elementos'!CF73,'LP Elementos'!CK73,'LP Elementos'!CP73,'LP Elementos'!CU73,'LP Elementos'!CZ73)," ")</f>
        <v>11900</v>
      </c>
      <c r="E73" s="341">
        <f>IFERROR(AVERAGE('LP Elementos'!F73,'LP Elementos'!I73,'LP Elementos'!N73,'LP Elementos'!S73,'LP Elementos'!X73,'LP Elementos'!AC73,'LP Elementos'!AH73,'LP Elementos'!AM73,'LP Elementos'!AR73,'LP Elementos'!AW73,'LP Elementos'!BB73,'LP Elementos'!BG73,'LP Elementos'!BL73,'LP Elementos'!BQ73,'LP Elementos'!BV73,'LP Elementos'!CA73,'LP Elementos'!CF73,'LP Elementos'!CK73,'LP Elementos'!CP73,'LP Elementos'!CU73,'LP Elementos'!CZ73)," ")</f>
        <v>16005.023999999999</v>
      </c>
      <c r="F73" s="341">
        <f>IFERROR(MEDIAN('LP Elementos'!F73,'LP Elementos'!I73,'LP Elementos'!N73,'LP Elementos'!S73,'LP Elementos'!X73,'LP Elementos'!AC73,'LP Elementos'!AH73,'LP Elementos'!AM73,'LP Elementos'!AR73,'LP Elementos'!AW73,'LP Elementos'!BB73,'LP Elementos'!BG73,'LP Elementos'!BL73,'LP Elementos'!BQ73,'LP Elementos'!BV73,'LP Elementos'!CA73,'LP Elementos'!CF73,'LP Elementos'!CK73,'LP Elementos'!CP73,'LP Elementos'!CU73,'LP Elementos'!CZ73)," ")</f>
        <v>16005.023999999999</v>
      </c>
      <c r="G73" s="341">
        <f>IFERROR(GEOMEAN('LP Elementos'!F73,'LP Elementos'!I73,'LP Elementos'!N73,'LP Elementos'!S73,'LP Elementos'!X73,'LP Elementos'!AC73,'LP Elementos'!AH73,'LP Elementos'!AM73,'LP Elementos'!AR73,'LP Elementos'!AW73,'LP Elementos'!BB73,'LP Elementos'!BG73,'LP Elementos'!BL73,'LP Elementos'!BQ73,'LP Elementos'!BV73,'LP Elementos'!CA73,'LP Elementos'!CF73,'LP Elementos'!CK73,'LP Elementos'!CP73,'LP Elementos'!CU73,'LP Elementos'!CZ73)," ")</f>
        <v>15469.633841820561</v>
      </c>
      <c r="H73" s="341">
        <f t="shared" si="4"/>
        <v>1979.4362642086855</v>
      </c>
      <c r="I73" s="342">
        <f t="shared" si="5"/>
        <v>0.12367593227030997</v>
      </c>
      <c r="J73" s="341">
        <f t="shared" si="6"/>
        <v>16005.023999999999</v>
      </c>
      <c r="K73" s="326" t="str">
        <f t="shared" si="7"/>
        <v>Promedio</v>
      </c>
      <c r="L73" s="326">
        <f>IFERROR(COUNTA('LP Elementos'!F73,'LP Elementos'!I73,'LP Elementos'!N73,'LP Elementos'!S73,'LP Elementos'!X73,'LP Elementos'!AC73,'LP Elementos'!AH73,'LP Elementos'!AM73,'LP Elementos'!AR73,'LP Elementos'!AX73,'LP Elementos'!BB73,'LP Elementos'!BG73,'LP Elementos'!BL73,'LP Elementos'!BQ73,'LP Elementos'!BV73,'LP Elementos'!CA73,'LP Elementos'!CF73,'LP Elementos'!CK73,'LP Elementos'!CP73,'LP Elementos'!CU73,'LP Elementos'!CZ73)," ")</f>
        <v>2</v>
      </c>
    </row>
    <row r="74" spans="2:12" ht="27" x14ac:dyDescent="0.25">
      <c r="B74" s="411">
        <v>72</v>
      </c>
      <c r="C74" s="412" t="s">
        <v>3096</v>
      </c>
      <c r="D74" s="408">
        <f>IFERROR(MIN('LP Elementos'!F74,'LP Elementos'!I74,'LP Elementos'!N74,'LP Elementos'!S74,'LP Elementos'!X74,'LP Elementos'!AC74,'LP Elementos'!AH74,'LP Elementos'!AM74,'LP Elementos'!AR74,'LP Elementos'!AW74,'LP Elementos'!BB74,'LP Elementos'!BG74,'LP Elementos'!BL74,'LP Elementos'!BQ74,'LP Elementos'!BV74,'LP Elementos'!CA74,'LP Elementos'!CF74,'LP Elementos'!CK74,'LP Elementos'!CP74,'LP Elementos'!CU74,'LP Elementos'!CZ74)," ")</f>
        <v>17596.292000000001</v>
      </c>
      <c r="E74" s="341">
        <f>IFERROR(AVERAGE('LP Elementos'!F74,'LP Elementos'!I74,'LP Elementos'!N74,'LP Elementos'!S74,'LP Elementos'!X74,'LP Elementos'!AC74,'LP Elementos'!AH74,'LP Elementos'!AM74,'LP Elementos'!AR74,'LP Elementos'!AW74,'LP Elementos'!BB74,'LP Elementos'!BG74,'LP Elementos'!BL74,'LP Elementos'!BQ74,'LP Elementos'!BV74,'LP Elementos'!CA74,'LP Elementos'!CF74,'LP Elementos'!CK74,'LP Elementos'!CP74,'LP Elementos'!CU74,'LP Elementos'!CZ74)," ")</f>
        <v>68298.146000000008</v>
      </c>
      <c r="F74" s="341">
        <f>IFERROR(MEDIAN('LP Elementos'!F74,'LP Elementos'!I74,'LP Elementos'!N74,'LP Elementos'!S74,'LP Elementos'!X74,'LP Elementos'!AC74,'LP Elementos'!AH74,'LP Elementos'!AM74,'LP Elementos'!AR74,'LP Elementos'!AW74,'LP Elementos'!BB74,'LP Elementos'!BG74,'LP Elementos'!BL74,'LP Elementos'!BQ74,'LP Elementos'!BV74,'LP Elementos'!CA74,'LP Elementos'!CF74,'LP Elementos'!CK74,'LP Elementos'!CP74,'LP Elementos'!CU74,'LP Elementos'!CZ74)," ")</f>
        <v>68298.146000000008</v>
      </c>
      <c r="G74" s="341">
        <f>IFERROR(GEOMEAN('LP Elementos'!F74,'LP Elementos'!I74,'LP Elementos'!N74,'LP Elementos'!S74,'LP Elementos'!X74,'LP Elementos'!AC74,'LP Elementos'!AH74,'LP Elementos'!AM74,'LP Elementos'!AR74,'LP Elementos'!AW74,'LP Elementos'!BB74,'LP Elementos'!BG74,'LP Elementos'!BL74,'LP Elementos'!BQ74,'LP Elementos'!BV74,'LP Elementos'!CA74,'LP Elementos'!CF74,'LP Elementos'!CK74,'LP Elementos'!CP74,'LP Elementos'!CU74,'LP Elementos'!CZ74)," ")</f>
        <v>45759.794011774138</v>
      </c>
      <c r="H74" s="341">
        <f t="shared" si="4"/>
        <v>24066.73614544249</v>
      </c>
      <c r="I74" s="342">
        <f t="shared" si="5"/>
        <v>0.35237759082717246</v>
      </c>
      <c r="J74" s="341">
        <f>IF(I74&lt;=10%,F74,IF(AND(I74&gt;10%,I74&lt;=20%),E74,IF(AND(I74&gt;20%,I74&lt;=36%),G74,IF(I74&gt;36%,D74))))</f>
        <v>45759.794011774138</v>
      </c>
      <c r="K74" s="326" t="str">
        <f t="shared" si="7"/>
        <v>Media Geometrica</v>
      </c>
      <c r="L74" s="326">
        <f>IFERROR(COUNTA('LP Elementos'!F74,'LP Elementos'!I74,'LP Elementos'!N74,'LP Elementos'!S74,'LP Elementos'!X74,'LP Elementos'!AC74,'LP Elementos'!AH74,'LP Elementos'!AM74,'LP Elementos'!AR74,'LP Elementos'!AX74,'LP Elementos'!BB74,'LP Elementos'!BG74,'LP Elementos'!BL74,'LP Elementos'!BQ74,'LP Elementos'!BV74,'LP Elementos'!CA74,'LP Elementos'!CF74,'LP Elementos'!CK74,'LP Elementos'!CP74,'LP Elementos'!CU74,'LP Elementos'!CZ74)," ")</f>
        <v>2</v>
      </c>
    </row>
    <row r="75" spans="2:12" ht="27" x14ac:dyDescent="0.25">
      <c r="B75" s="411">
        <v>73</v>
      </c>
      <c r="C75" s="412" t="s">
        <v>3098</v>
      </c>
      <c r="D75" s="408">
        <f>IFERROR(MIN('LP Elementos'!F75,'LP Elementos'!I75,'LP Elementos'!N75,'LP Elementos'!S75,'LP Elementos'!X75,'LP Elementos'!AC75,'LP Elementos'!AH75,'LP Elementos'!AM75,'LP Elementos'!AR75,'LP Elementos'!AW75,'LP Elementos'!BB75,'LP Elementos'!BG75,'LP Elementos'!BL75,'LP Elementos'!BQ75,'LP Elementos'!BV75,'LP Elementos'!CA75,'LP Elementos'!CF75,'LP Elementos'!CK75,'LP Elementos'!CP75,'LP Elementos'!CU75,'LP Elementos'!CZ75)," ")</f>
        <v>55930</v>
      </c>
      <c r="E75" s="341">
        <f>IFERROR(AVERAGE('LP Elementos'!F75,'LP Elementos'!I75,'LP Elementos'!N75,'LP Elementos'!S75,'LP Elementos'!X75,'LP Elementos'!AC75,'LP Elementos'!AH75,'LP Elementos'!AM75,'LP Elementos'!AR75,'LP Elementos'!AW75,'LP Elementos'!BB75,'LP Elementos'!BG75,'LP Elementos'!BL75,'LP Elementos'!BQ75,'LP Elementos'!BV75,'LP Elementos'!CA75,'LP Elementos'!CF75,'LP Elementos'!CK75,'LP Elementos'!CP75,'LP Elementos'!CU75,'LP Elementos'!CZ75)," ")</f>
        <v>60015.388999999996</v>
      </c>
      <c r="F75" s="341">
        <f>IFERROR(MEDIAN('LP Elementos'!F75,'LP Elementos'!I75,'LP Elementos'!N75,'LP Elementos'!S75,'LP Elementos'!X75,'LP Elementos'!AC75,'LP Elementos'!AH75,'LP Elementos'!AM75,'LP Elementos'!AR75,'LP Elementos'!AW75,'LP Elementos'!BB75,'LP Elementos'!BG75,'LP Elementos'!BL75,'LP Elementos'!BQ75,'LP Elementos'!BV75,'LP Elementos'!CA75,'LP Elementos'!CF75,'LP Elementos'!CK75,'LP Elementos'!CP75,'LP Elementos'!CU75,'LP Elementos'!CZ75)," ")</f>
        <v>60015.388999999996</v>
      </c>
      <c r="G75" s="341">
        <f>IFERROR(GEOMEAN('LP Elementos'!F75,'LP Elementos'!I75,'LP Elementos'!N75,'LP Elementos'!S75,'LP Elementos'!X75,'LP Elementos'!AC75,'LP Elementos'!AH75,'LP Elementos'!AM75,'LP Elementos'!AR75,'LP Elementos'!AW75,'LP Elementos'!BB75,'LP Elementos'!BG75,'LP Elementos'!BL75,'LP Elementos'!BQ75,'LP Elementos'!BV75,'LP Elementos'!CA75,'LP Elementos'!CF75,'LP Elementos'!CK75,'LP Elementos'!CP75,'LP Elementos'!CU75,'LP Elementos'!CZ75)," ")</f>
        <v>59876.176510695805</v>
      </c>
      <c r="H75" s="341">
        <f t="shared" si="4"/>
        <v>2020.5584180816159</v>
      </c>
      <c r="I75" s="342">
        <f t="shared" si="5"/>
        <v>3.3667338523484636E-2</v>
      </c>
      <c r="J75" s="341">
        <f t="shared" si="6"/>
        <v>60015.388999999996</v>
      </c>
      <c r="K75" s="326" t="str">
        <f t="shared" si="7"/>
        <v>Promedio</v>
      </c>
      <c r="L75" s="326">
        <f>IFERROR(COUNTA('LP Elementos'!F75,'LP Elementos'!I75,'LP Elementos'!N75,'LP Elementos'!S75,'LP Elementos'!X75,'LP Elementos'!AC75,'LP Elementos'!AH75,'LP Elementos'!AM75,'LP Elementos'!AR75,'LP Elementos'!AX75,'LP Elementos'!BB75,'LP Elementos'!BG75,'LP Elementos'!BL75,'LP Elementos'!BQ75,'LP Elementos'!BV75,'LP Elementos'!CA75,'LP Elementos'!CF75,'LP Elementos'!CK75,'LP Elementos'!CP75,'LP Elementos'!CU75,'LP Elementos'!CZ75)," ")</f>
        <v>2</v>
      </c>
    </row>
    <row r="76" spans="2:12" x14ac:dyDescent="0.25">
      <c r="B76" s="411">
        <v>74</v>
      </c>
      <c r="C76" s="412" t="s">
        <v>3099</v>
      </c>
      <c r="D76" s="408">
        <f>IFERROR(MIN('LP Elementos'!F76,'LP Elementos'!I76,'LP Elementos'!N76,'LP Elementos'!S76,'LP Elementos'!X76,'LP Elementos'!AC76,'LP Elementos'!AH76,'LP Elementos'!AM76,'LP Elementos'!AR76,'LP Elementos'!AW76,'LP Elementos'!BB76,'LP Elementos'!BG76,'LP Elementos'!BL76,'LP Elementos'!BQ76,'LP Elementos'!BV76,'LP Elementos'!CA76,'LP Elementos'!CF76,'LP Elementos'!CK76,'LP Elementos'!CP76,'LP Elementos'!CU76,'LP Elementos'!CZ76)," ")</f>
        <v>5950</v>
      </c>
      <c r="E76" s="341">
        <f>IFERROR(AVERAGE('LP Elementos'!F76,'LP Elementos'!I76,'LP Elementos'!N76,'LP Elementos'!S76,'LP Elementos'!X76,'LP Elementos'!AC76,'LP Elementos'!AH76,'LP Elementos'!AM76,'LP Elementos'!AR76,'LP Elementos'!AW76,'LP Elementos'!BB76,'LP Elementos'!BG76,'LP Elementos'!BL76,'LP Elementos'!BQ76,'LP Elementos'!BV76,'LP Elementos'!CA76,'LP Elementos'!CF76,'LP Elementos'!CK76,'LP Elementos'!CP76,'LP Elementos'!CU76,'LP Elementos'!CZ76)," ")</f>
        <v>8002.5119999999997</v>
      </c>
      <c r="F76" s="341">
        <f>IFERROR(MEDIAN('LP Elementos'!F76,'LP Elementos'!I76,'LP Elementos'!N76,'LP Elementos'!S76,'LP Elementos'!X76,'LP Elementos'!AC76,'LP Elementos'!AH76,'LP Elementos'!AM76,'LP Elementos'!AR76,'LP Elementos'!AW76,'LP Elementos'!BB76,'LP Elementos'!BG76,'LP Elementos'!BL76,'LP Elementos'!BQ76,'LP Elementos'!BV76,'LP Elementos'!CA76,'LP Elementos'!CF76,'LP Elementos'!CK76,'LP Elementos'!CP76,'LP Elementos'!CU76,'LP Elementos'!CZ76)," ")</f>
        <v>8002.5119999999997</v>
      </c>
      <c r="G76" s="341">
        <f>IFERROR(GEOMEAN('LP Elementos'!F76,'LP Elementos'!I76,'LP Elementos'!N76,'LP Elementos'!S76,'LP Elementos'!X76,'LP Elementos'!AC76,'LP Elementos'!AH76,'LP Elementos'!AM76,'LP Elementos'!AR76,'LP Elementos'!AW76,'LP Elementos'!BB76,'LP Elementos'!BG76,'LP Elementos'!BL76,'LP Elementos'!BQ76,'LP Elementos'!BV76,'LP Elementos'!CA76,'LP Elementos'!CF76,'LP Elementos'!CK76,'LP Elementos'!CP76,'LP Elementos'!CU76,'LP Elementos'!CZ76)," ")</f>
        <v>7734.8169209102807</v>
      </c>
      <c r="H76" s="341">
        <f t="shared" si="4"/>
        <v>989.71813210434277</v>
      </c>
      <c r="I76" s="342">
        <f t="shared" si="5"/>
        <v>0.12367593227030997</v>
      </c>
      <c r="J76" s="341">
        <f t="shared" si="6"/>
        <v>8002.5119999999997</v>
      </c>
      <c r="K76" s="326" t="str">
        <f t="shared" si="7"/>
        <v>Promedio</v>
      </c>
      <c r="L76" s="326">
        <f>IFERROR(COUNTA('LP Elementos'!F76,'LP Elementos'!I76,'LP Elementos'!N76,'LP Elementos'!S76,'LP Elementos'!X76,'LP Elementos'!AC76,'LP Elementos'!AH76,'LP Elementos'!AM76,'LP Elementos'!AR76,'LP Elementos'!AX76,'LP Elementos'!BB76,'LP Elementos'!BG76,'LP Elementos'!BL76,'LP Elementos'!BQ76,'LP Elementos'!BV76,'LP Elementos'!CA76,'LP Elementos'!CF76,'LP Elementos'!CK76,'LP Elementos'!CP76,'LP Elementos'!CU76,'LP Elementos'!CZ76)," ")</f>
        <v>2</v>
      </c>
    </row>
    <row r="77" spans="2:12" ht="27" x14ac:dyDescent="0.25">
      <c r="B77" s="411">
        <v>75</v>
      </c>
      <c r="C77" s="412" t="s">
        <v>3101</v>
      </c>
      <c r="D77" s="408">
        <f>IFERROR(MIN('LP Elementos'!F77,'LP Elementos'!I77,'LP Elementos'!N77,'LP Elementos'!S77,'LP Elementos'!X77,'LP Elementos'!AC77,'LP Elementos'!AH77,'LP Elementos'!AM77,'LP Elementos'!AR77,'LP Elementos'!AW77,'LP Elementos'!BB77,'LP Elementos'!BG77,'LP Elementos'!BL77,'LP Elementos'!BQ77,'LP Elementos'!BV77,'LP Elementos'!CA77,'LP Elementos'!CF77,'LP Elementos'!CK77,'LP Elementos'!CP77,'LP Elementos'!CU77,'LP Elementos'!CZ77)," ")</f>
        <v>95200</v>
      </c>
      <c r="E77" s="341">
        <f>IFERROR(AVERAGE('LP Elementos'!F77,'LP Elementos'!I77,'LP Elementos'!N77,'LP Elementos'!S77,'LP Elementos'!X77,'LP Elementos'!AC77,'LP Elementos'!AH77,'LP Elementos'!AM77,'LP Elementos'!AR77,'LP Elementos'!AW77,'LP Elementos'!BB77,'LP Elementos'!BG77,'LP Elementos'!BL77,'LP Elementos'!BQ77,'LP Elementos'!BV77,'LP Elementos'!CA77,'LP Elementos'!CF77,'LP Elementos'!CK77,'LP Elementos'!CP77,'LP Elementos'!CU77,'LP Elementos'!CZ77)," ")</f>
        <v>116099.851</v>
      </c>
      <c r="F77" s="341">
        <f>IFERROR(MEDIAN('LP Elementos'!F77,'LP Elementos'!I77,'LP Elementos'!N77,'LP Elementos'!S77,'LP Elementos'!X77,'LP Elementos'!AC77,'LP Elementos'!AH77,'LP Elementos'!AM77,'LP Elementos'!AR77,'LP Elementos'!AW77,'LP Elementos'!BB77,'LP Elementos'!BG77,'LP Elementos'!BL77,'LP Elementos'!BQ77,'LP Elementos'!BV77,'LP Elementos'!CA77,'LP Elementos'!CF77,'LP Elementos'!CK77,'LP Elementos'!CP77,'LP Elementos'!CU77,'LP Elementos'!CZ77)," ")</f>
        <v>116099.851</v>
      </c>
      <c r="G77" s="341">
        <f>IFERROR(GEOMEAN('LP Elementos'!F77,'LP Elementos'!I77,'LP Elementos'!N77,'LP Elementos'!S77,'LP Elementos'!X77,'LP Elementos'!AC77,'LP Elementos'!AH77,'LP Elementos'!AM77,'LP Elementos'!AR77,'LP Elementos'!AW77,'LP Elementos'!BB77,'LP Elementos'!BG77,'LP Elementos'!BL77,'LP Elementos'!BQ77,'LP Elementos'!BV77,'LP Elementos'!CA77,'LP Elementos'!CF77,'LP Elementos'!CK77,'LP Elementos'!CP77,'LP Elementos'!CU77,'LP Elementos'!CZ77)," ")</f>
        <v>114203.20324053962</v>
      </c>
      <c r="H77" s="341">
        <f t="shared" si="4"/>
        <v>10173.182976550772</v>
      </c>
      <c r="I77" s="342">
        <f t="shared" si="5"/>
        <v>8.7624427498625923E-2</v>
      </c>
      <c r="J77" s="341">
        <f t="shared" si="6"/>
        <v>116099.851</v>
      </c>
      <c r="K77" s="326" t="str">
        <f t="shared" si="7"/>
        <v>Promedio</v>
      </c>
      <c r="L77" s="326">
        <f>IFERROR(COUNTA('LP Elementos'!F77,'LP Elementos'!I77,'LP Elementos'!N77,'LP Elementos'!S77,'LP Elementos'!X77,'LP Elementos'!AC77,'LP Elementos'!AH77,'LP Elementos'!AM77,'LP Elementos'!AR77,'LP Elementos'!AX77,'LP Elementos'!BB77,'LP Elementos'!BG77,'LP Elementos'!BL77,'LP Elementos'!BQ77,'LP Elementos'!BV77,'LP Elementos'!CA77,'LP Elementos'!CF77,'LP Elementos'!CK77,'LP Elementos'!CP77,'LP Elementos'!CU77,'LP Elementos'!CZ77)," ")</f>
        <v>2</v>
      </c>
    </row>
    <row r="78" spans="2:12" ht="27" x14ac:dyDescent="0.25">
      <c r="B78" s="411">
        <v>76</v>
      </c>
      <c r="C78" s="412" t="s">
        <v>3104</v>
      </c>
      <c r="D78" s="408">
        <f>IFERROR(MIN('LP Elementos'!F78,'LP Elementos'!I78,'LP Elementos'!N78,'LP Elementos'!S78,'LP Elementos'!X78,'LP Elementos'!AC78,'LP Elementos'!AH78,'LP Elementos'!AM78,'LP Elementos'!AR78,'LP Elementos'!AW78,'LP Elementos'!BB78,'LP Elementos'!BG78,'LP Elementos'!BL78,'LP Elementos'!BQ78,'LP Elementos'!BV78,'LP Elementos'!CA78,'LP Elementos'!CF78,'LP Elementos'!CK78,'LP Elementos'!CP78,'LP Elementos'!CU78,'LP Elementos'!CZ78)," ")</f>
        <v>28560</v>
      </c>
      <c r="E78" s="341">
        <f>IFERROR(AVERAGE('LP Elementos'!F78,'LP Elementos'!I78,'LP Elementos'!N78,'LP Elementos'!S78,'LP Elementos'!X78,'LP Elementos'!AC78,'LP Elementos'!AH78,'LP Elementos'!AM78,'LP Elementos'!AR78,'LP Elementos'!AW78,'LP Elementos'!BB78,'LP Elementos'!BG78,'LP Elementos'!BL78,'LP Elementos'!BQ78,'LP Elementos'!BV78,'LP Elementos'!CA78,'LP Elementos'!CF78,'LP Elementos'!CK78,'LP Elementos'!CP78,'LP Elementos'!CU78,'LP Elementos'!CZ78)," ")</f>
        <v>234862.08900000001</v>
      </c>
      <c r="F78" s="341">
        <f>IFERROR(MEDIAN('LP Elementos'!F78,'LP Elementos'!I78,'LP Elementos'!N78,'LP Elementos'!S78,'LP Elementos'!X78,'LP Elementos'!AC78,'LP Elementos'!AH78,'LP Elementos'!AM78,'LP Elementos'!AR78,'LP Elementos'!AW78,'LP Elementos'!BB78,'LP Elementos'!BG78,'LP Elementos'!BL78,'LP Elementos'!BQ78,'LP Elementos'!BV78,'LP Elementos'!CA78,'LP Elementos'!CF78,'LP Elementos'!CK78,'LP Elementos'!CP78,'LP Elementos'!CU78,'LP Elementos'!CZ78)," ")</f>
        <v>234862.08900000001</v>
      </c>
      <c r="G78" s="341">
        <f>IFERROR(GEOMEAN('LP Elementos'!F78,'LP Elementos'!I78,'LP Elementos'!N78,'LP Elementos'!S78,'LP Elementos'!X78,'LP Elementos'!AC78,'LP Elementos'!AH78,'LP Elementos'!AM78,'LP Elementos'!AR78,'LP Elementos'!AW78,'LP Elementos'!BB78,'LP Elementos'!BG78,'LP Elementos'!BL78,'LP Elementos'!BQ78,'LP Elementos'!BV78,'LP Elementos'!CA78,'LP Elementos'!CF78,'LP Elementos'!CK78,'LP Elementos'!CP78,'LP Elementos'!CU78,'LP Elementos'!CZ78)," ")</f>
        <v>112248.15777410337</v>
      </c>
      <c r="H78" s="341">
        <f t="shared" si="4"/>
        <v>100909.68068215296</v>
      </c>
      <c r="I78" s="342">
        <f t="shared" si="5"/>
        <v>0.42965504186651837</v>
      </c>
      <c r="J78" s="341">
        <f t="shared" si="6"/>
        <v>28560</v>
      </c>
      <c r="K78" s="326" t="str">
        <f t="shared" si="7"/>
        <v>Menor Valor</v>
      </c>
      <c r="L78" s="326">
        <f>IFERROR(COUNTA('LP Elementos'!F78,'LP Elementos'!I78,'LP Elementos'!N78,'LP Elementos'!S78,'LP Elementos'!X78,'LP Elementos'!AC78,'LP Elementos'!AH78,'LP Elementos'!AM78,'LP Elementos'!AR78,'LP Elementos'!AX78,'LP Elementos'!BB78,'LP Elementos'!BG78,'LP Elementos'!BL78,'LP Elementos'!BQ78,'LP Elementos'!BV78,'LP Elementos'!CA78,'LP Elementos'!CF78,'LP Elementos'!CK78,'LP Elementos'!CP78,'LP Elementos'!CU78,'LP Elementos'!CZ78)," ")</f>
        <v>2</v>
      </c>
    </row>
    <row r="79" spans="2:12" ht="40.5" x14ac:dyDescent="0.25">
      <c r="B79" s="411">
        <v>77</v>
      </c>
      <c r="C79" s="415" t="s">
        <v>3106</v>
      </c>
      <c r="D79" s="408">
        <f>IFERROR(MIN('LP Elementos'!F79,'LP Elementos'!I79,'LP Elementos'!N79,'LP Elementos'!S79,'LP Elementos'!X79,'LP Elementos'!AC79,'LP Elementos'!AH79,'LP Elementos'!AM79,'LP Elementos'!AR79,'LP Elementos'!AW79,'LP Elementos'!BB79,'LP Elementos'!BG79,'LP Elementos'!BL79,'LP Elementos'!BQ79,'LP Elementos'!BV79,'LP Elementos'!CA79,'LP Elementos'!CF79,'LP Elementos'!CK79,'LP Elementos'!CP79,'LP Elementos'!CU79,'LP Elementos'!CZ79)," ")</f>
        <v>490280</v>
      </c>
      <c r="E79" s="341">
        <f>IFERROR(AVERAGE('LP Elementos'!F79,'LP Elementos'!I79,'LP Elementos'!N79,'LP Elementos'!S79,'LP Elementos'!X79,'LP Elementos'!AC79,'LP Elementos'!AH79,'LP Elementos'!AM79,'LP Elementos'!AR79,'LP Elementos'!AW79,'LP Elementos'!BB79,'LP Elementos'!BG79,'LP Elementos'!BL79,'LP Elementos'!BQ79,'LP Elementos'!BV79,'LP Elementos'!CA79,'LP Elementos'!CF79,'LP Elementos'!CK79,'LP Elementos'!CP79,'LP Elementos'!CU79,'LP Elementos'!CZ79)," ")</f>
        <v>504056.86800000002</v>
      </c>
      <c r="F79" s="341">
        <f>IFERROR(MEDIAN('LP Elementos'!F79,'LP Elementos'!I79,'LP Elementos'!N79,'LP Elementos'!S79,'LP Elementos'!X79,'LP Elementos'!AC79,'LP Elementos'!AH79,'LP Elementos'!AM79,'LP Elementos'!AR79,'LP Elementos'!AW79,'LP Elementos'!BB79,'LP Elementos'!BG79,'LP Elementos'!BL79,'LP Elementos'!BQ79,'LP Elementos'!BV79,'LP Elementos'!CA79,'LP Elementos'!CF79,'LP Elementos'!CK79,'LP Elementos'!CP79,'LP Elementos'!CU79,'LP Elementos'!CZ79)," ")</f>
        <v>504056.86800000002</v>
      </c>
      <c r="G79" s="341">
        <f>IFERROR(GEOMEAN('LP Elementos'!F79,'LP Elementos'!I79,'LP Elementos'!N79,'LP Elementos'!S79,'LP Elementos'!X79,'LP Elementos'!AC79,'LP Elementos'!AH79,'LP Elementos'!AM79,'LP Elementos'!AR79,'LP Elementos'!AW79,'LP Elementos'!BB79,'LP Elementos'!BG79,'LP Elementos'!BL79,'LP Elementos'!BQ79,'LP Elementos'!BV79,'LP Elementos'!CA79,'LP Elementos'!CF79,'LP Elementos'!CK79,'LP Elementos'!CP79,'LP Elementos'!CU79,'LP Elementos'!CZ79)," ")</f>
        <v>503868.55834243121</v>
      </c>
      <c r="H79" s="341">
        <f t="shared" si="4"/>
        <v>6857.6236327339439</v>
      </c>
      <c r="I79" s="342">
        <f t="shared" si="5"/>
        <v>1.3604861014876487E-2</v>
      </c>
      <c r="J79" s="341">
        <f t="shared" si="6"/>
        <v>504056.86800000002</v>
      </c>
      <c r="K79" s="326" t="str">
        <f t="shared" si="7"/>
        <v>Promedio</v>
      </c>
      <c r="L79" s="326">
        <f>IFERROR(COUNTA('LP Elementos'!F79,'LP Elementos'!I79,'LP Elementos'!N79,'LP Elementos'!S79,'LP Elementos'!X79,'LP Elementos'!AC79,'LP Elementos'!AH79,'LP Elementos'!AM79,'LP Elementos'!AR79,'LP Elementos'!AX79,'LP Elementos'!BB79,'LP Elementos'!BG79,'LP Elementos'!BL79,'LP Elementos'!BQ79,'LP Elementos'!BV79,'LP Elementos'!CA79,'LP Elementos'!CF79,'LP Elementos'!CK79,'LP Elementos'!CP79,'LP Elementos'!CU79,'LP Elementos'!CZ79)," ")</f>
        <v>2</v>
      </c>
    </row>
    <row r="80" spans="2:12" ht="40.5" x14ac:dyDescent="0.25">
      <c r="B80" s="411">
        <v>78</v>
      </c>
      <c r="C80" s="415" t="s">
        <v>3108</v>
      </c>
      <c r="D80" s="408">
        <f>IFERROR(MIN('LP Elementos'!F80,'LP Elementos'!I80,'LP Elementos'!N80,'LP Elementos'!S80,'LP Elementos'!X80,'LP Elementos'!AC80,'LP Elementos'!AH80,'LP Elementos'!AM80,'LP Elementos'!AR80,'LP Elementos'!AW80,'LP Elementos'!BB80,'LP Elementos'!BG80,'LP Elementos'!BL80,'LP Elementos'!BQ80,'LP Elementos'!BV80,'LP Elementos'!CA80,'LP Elementos'!CF80,'LP Elementos'!CK80,'LP Elementos'!CP80,'LP Elementos'!CU80,'LP Elementos'!CZ80)," ")</f>
        <v>273700</v>
      </c>
      <c r="E80" s="341">
        <f>IFERROR(AVERAGE('LP Elementos'!F80,'LP Elementos'!I80,'LP Elementos'!N80,'LP Elementos'!S80,'LP Elementos'!X80,'LP Elementos'!AC80,'LP Elementos'!AH80,'LP Elementos'!AM80,'LP Elementos'!AR80,'LP Elementos'!AW80,'LP Elementos'!BB80,'LP Elementos'!BG80,'LP Elementos'!BL80,'LP Elementos'!BQ80,'LP Elementos'!BV80,'LP Elementos'!CA80,'LP Elementos'!CF80,'LP Elementos'!CK80,'LP Elementos'!CP80,'LP Elementos'!CU80,'LP Elementos'!CZ80)," ")</f>
        <v>367487.11300000001</v>
      </c>
      <c r="F80" s="341">
        <f>IFERROR(MEDIAN('LP Elementos'!F80,'LP Elementos'!I80,'LP Elementos'!N80,'LP Elementos'!S80,'LP Elementos'!X80,'LP Elementos'!AC80,'LP Elementos'!AH80,'LP Elementos'!AM80,'LP Elementos'!AR80,'LP Elementos'!AW80,'LP Elementos'!BB80,'LP Elementos'!BG80,'LP Elementos'!BL80,'LP Elementos'!BQ80,'LP Elementos'!BV80,'LP Elementos'!CA80,'LP Elementos'!CF80,'LP Elementos'!CK80,'LP Elementos'!CP80,'LP Elementos'!CU80,'LP Elementos'!CZ80)," ")</f>
        <v>367487.11300000001</v>
      </c>
      <c r="G80" s="341">
        <f>IFERROR(GEOMEAN('LP Elementos'!F80,'LP Elementos'!I80,'LP Elementos'!N80,'LP Elementos'!S80,'LP Elementos'!X80,'LP Elementos'!AC80,'LP Elementos'!AH80,'LP Elementos'!AM80,'LP Elementos'!AR80,'LP Elementos'!AW80,'LP Elementos'!BB80,'LP Elementos'!BG80,'LP Elementos'!BL80,'LP Elementos'!BQ80,'LP Elementos'!BV80,'LP Elementos'!CA80,'LP Elementos'!CF80,'LP Elementos'!CK80,'LP Elementos'!CP80,'LP Elementos'!CU80,'LP Elementos'!CZ80)," ")</f>
        <v>355317.8234429002</v>
      </c>
      <c r="H80" s="341">
        <f t="shared" si="4"/>
        <v>45230.610440602599</v>
      </c>
      <c r="I80" s="342">
        <f t="shared" si="5"/>
        <v>0.12308080702847013</v>
      </c>
      <c r="J80" s="341">
        <f t="shared" si="6"/>
        <v>367487.11300000001</v>
      </c>
      <c r="K80" s="326" t="str">
        <f t="shared" si="7"/>
        <v>Promedio</v>
      </c>
      <c r="L80" s="326">
        <f>IFERROR(COUNTA('LP Elementos'!F80,'LP Elementos'!I80,'LP Elementos'!N80,'LP Elementos'!S80,'LP Elementos'!X80,'LP Elementos'!AC80,'LP Elementos'!AH80,'LP Elementos'!AM80,'LP Elementos'!AR80,'LP Elementos'!AX80,'LP Elementos'!BB80,'LP Elementos'!BG80,'LP Elementos'!BL80,'LP Elementos'!BQ80,'LP Elementos'!BV80,'LP Elementos'!CA80,'LP Elementos'!CF80,'LP Elementos'!CK80,'LP Elementos'!CP80,'LP Elementos'!CU80,'LP Elementos'!CZ80)," ")</f>
        <v>2</v>
      </c>
    </row>
    <row r="81" spans="2:12" ht="40.5" x14ac:dyDescent="0.25">
      <c r="B81" s="411">
        <v>79</v>
      </c>
      <c r="C81" s="415" t="s">
        <v>3109</v>
      </c>
      <c r="D81" s="408">
        <f>IFERROR(MIN('LP Elementos'!F81,'LP Elementos'!I81,'LP Elementos'!N81,'LP Elementos'!S81,'LP Elementos'!X81,'LP Elementos'!AC81,'LP Elementos'!AH81,'LP Elementos'!AM81,'LP Elementos'!AR81,'LP Elementos'!AW81,'LP Elementos'!BB81,'LP Elementos'!BG81,'LP Elementos'!BL81,'LP Elementos'!BQ81,'LP Elementos'!BV81,'LP Elementos'!CA81,'LP Elementos'!CF81,'LP Elementos'!CK81,'LP Elementos'!CP81,'LP Elementos'!CU81,'LP Elementos'!CZ81)," ")</f>
        <v>166600</v>
      </c>
      <c r="E81" s="341">
        <f>IFERROR(AVERAGE('LP Elementos'!F81,'LP Elementos'!I81,'LP Elementos'!N81,'LP Elementos'!S81,'LP Elementos'!X81,'LP Elementos'!AC81,'LP Elementos'!AH81,'LP Elementos'!AM81,'LP Elementos'!AR81,'LP Elementos'!AW81,'LP Elementos'!BB81,'LP Elementos'!BG81,'LP Elementos'!BL81,'LP Elementos'!BQ81,'LP Elementos'!BV81,'LP Elementos'!CA81,'LP Elementos'!CF81,'LP Elementos'!CK81,'LP Elementos'!CP81,'LP Elementos'!CU81,'LP Elementos'!CZ81)," ")</f>
        <v>198932.77600000001</v>
      </c>
      <c r="F81" s="341">
        <f>IFERROR(MEDIAN('LP Elementos'!F81,'LP Elementos'!I81,'LP Elementos'!N81,'LP Elementos'!S81,'LP Elementos'!X81,'LP Elementos'!AC81,'LP Elementos'!AH81,'LP Elementos'!AM81,'LP Elementos'!AR81,'LP Elementos'!AW81,'LP Elementos'!BB81,'LP Elementos'!BG81,'LP Elementos'!BL81,'LP Elementos'!BQ81,'LP Elementos'!BV81,'LP Elementos'!CA81,'LP Elementos'!CF81,'LP Elementos'!CK81,'LP Elementos'!CP81,'LP Elementos'!CU81,'LP Elementos'!CZ81)," ")</f>
        <v>198932.77600000001</v>
      </c>
      <c r="G81" s="341">
        <f>IFERROR(GEOMEAN('LP Elementos'!F81,'LP Elementos'!I81,'LP Elementos'!N81,'LP Elementos'!S81,'LP Elementos'!X81,'LP Elementos'!AC81,'LP Elementos'!AH81,'LP Elementos'!AM81,'LP Elementos'!AR81,'LP Elementos'!AW81,'LP Elementos'!BB81,'LP Elementos'!BG81,'LP Elementos'!BL81,'LP Elementos'!BQ81,'LP Elementos'!BV81,'LP Elementos'!CA81,'LP Elementos'!CF81,'LP Elementos'!CK81,'LP Elementos'!CP81,'LP Elementos'!CU81,'LP Elementos'!CZ81)," ")</f>
        <v>196287.6485243022</v>
      </c>
      <c r="H81" s="341">
        <f t="shared" si="4"/>
        <v>15774.892184946515</v>
      </c>
      <c r="I81" s="342">
        <f t="shared" si="5"/>
        <v>7.92976024471026E-2</v>
      </c>
      <c r="J81" s="341">
        <f t="shared" si="6"/>
        <v>198932.77600000001</v>
      </c>
      <c r="K81" s="326" t="str">
        <f t="shared" si="7"/>
        <v>Promedio</v>
      </c>
      <c r="L81" s="326">
        <f>IFERROR(COUNTA('LP Elementos'!F81,'LP Elementos'!I81,'LP Elementos'!N81,'LP Elementos'!S81,'LP Elementos'!X81,'LP Elementos'!AC81,'LP Elementos'!AH81,'LP Elementos'!AM81,'LP Elementos'!AR81,'LP Elementos'!AX81,'LP Elementos'!BB81,'LP Elementos'!BG81,'LP Elementos'!BL81,'LP Elementos'!BQ81,'LP Elementos'!BV81,'LP Elementos'!CA81,'LP Elementos'!CF81,'LP Elementos'!CK81,'LP Elementos'!CP81,'LP Elementos'!CU81,'LP Elementos'!CZ81)," ")</f>
        <v>2</v>
      </c>
    </row>
    <row r="82" spans="2:12" ht="27" x14ac:dyDescent="0.25">
      <c r="B82" s="411">
        <v>80</v>
      </c>
      <c r="C82" s="412" t="s">
        <v>3110</v>
      </c>
      <c r="D82" s="408">
        <f>IFERROR(MIN('LP Elementos'!F82,'LP Elementos'!I82,'LP Elementos'!N82,'LP Elementos'!S82,'LP Elementos'!X82,'LP Elementos'!AC82,'LP Elementos'!AH82,'LP Elementos'!AM82,'LP Elementos'!AR82,'LP Elementos'!AW82,'LP Elementos'!BB82,'LP Elementos'!BG82,'LP Elementos'!BL82,'LP Elementos'!BQ82,'LP Elementos'!BV82,'LP Elementos'!CA82,'LP Elementos'!CF82,'LP Elementos'!CK82,'LP Elementos'!CP82,'LP Elementos'!CU82,'LP Elementos'!CZ82)," ")</f>
        <v>490280</v>
      </c>
      <c r="E82" s="341">
        <f>IFERROR(AVERAGE('LP Elementos'!F82,'LP Elementos'!I82,'LP Elementos'!N82,'LP Elementos'!S82,'LP Elementos'!X82,'LP Elementos'!AC82,'LP Elementos'!AH82,'LP Elementos'!AM82,'LP Elementos'!AR82,'LP Elementos'!AW82,'LP Elementos'!BB82,'LP Elementos'!BG82,'LP Elementos'!BL82,'LP Elementos'!BQ82,'LP Elementos'!BV82,'LP Elementos'!CA82,'LP Elementos'!CF82,'LP Elementos'!CK82,'LP Elementos'!CP82,'LP Elementos'!CU82,'LP Elementos'!CZ82)," ")</f>
        <v>2418715.1058666669</v>
      </c>
      <c r="F82" s="341">
        <f>IFERROR(MEDIAN('LP Elementos'!F82,'LP Elementos'!I82,'LP Elementos'!N82,'LP Elementos'!S82,'LP Elementos'!X82,'LP Elementos'!AC82,'LP Elementos'!AH82,'LP Elementos'!AM82,'LP Elementos'!AR82,'LP Elementos'!AW82,'LP Elementos'!BB82,'LP Elementos'!BG82,'LP Elementos'!BL82,'LP Elementos'!BQ82,'LP Elementos'!BV82,'LP Elementos'!CA82,'LP Elementos'!CF82,'LP Elementos'!CK82,'LP Elementos'!CP82,'LP Elementos'!CU82,'LP Elementos'!CZ82)," ")</f>
        <v>2635375.3176000002</v>
      </c>
      <c r="G82" s="341">
        <f>IFERROR(GEOMEAN('LP Elementos'!F82,'LP Elementos'!I82,'LP Elementos'!N82,'LP Elementos'!S82,'LP Elementos'!X82,'LP Elementos'!AC82,'LP Elementos'!AH82,'LP Elementos'!AM82,'LP Elementos'!AR82,'LP Elementos'!AW82,'LP Elementos'!BB82,'LP Elementos'!BG82,'LP Elementos'!BL82,'LP Elementos'!BQ82,'LP Elementos'!BV82,'LP Elementos'!CA82,'LP Elementos'!CF82,'LP Elementos'!CK82,'LP Elementos'!CP82,'LP Elementos'!CU82,'LP Elementos'!CZ82)," ")</f>
        <v>1747549.189024389</v>
      </c>
      <c r="H82" s="341">
        <f t="shared" si="4"/>
        <v>965516.36714329768</v>
      </c>
      <c r="I82" s="342">
        <f t="shared" si="5"/>
        <v>0.39918565225040703</v>
      </c>
      <c r="J82" s="341">
        <f>IF(I82&lt;=10%,F82,IF(AND(I82&gt;10%,I82&lt;=20%),E82,IF(AND(I82&gt;20%,I82&lt;=41%),G82,IF(I82&gt;41%,D82))))</f>
        <v>1747549.189024389</v>
      </c>
      <c r="K82" s="326" t="str">
        <f t="shared" si="7"/>
        <v>Media Geometrica</v>
      </c>
      <c r="L82" s="326">
        <f>IFERROR(COUNTA('LP Elementos'!F82,'LP Elementos'!I82,'LP Elementos'!N82,'LP Elementos'!S82,'LP Elementos'!X82,'LP Elementos'!AC82,'LP Elementos'!AH82,'LP Elementos'!AM82,'LP Elementos'!AR82,'LP Elementos'!AX82,'LP Elementos'!BB82,'LP Elementos'!BG82,'LP Elementos'!BL82,'LP Elementos'!BQ82,'LP Elementos'!BV82,'LP Elementos'!CA82,'LP Elementos'!CF82,'LP Elementos'!CK82,'LP Elementos'!CP82,'LP Elementos'!CU82,'LP Elementos'!CZ82)," ")</f>
        <v>3</v>
      </c>
    </row>
    <row r="83" spans="2:12" ht="40.5" x14ac:dyDescent="0.25">
      <c r="B83" s="411">
        <v>81</v>
      </c>
      <c r="C83" s="412" t="s">
        <v>3115</v>
      </c>
      <c r="D83" s="408">
        <f>IFERROR(MIN('LP Elementos'!F83,'LP Elementos'!I83,'LP Elementos'!N83,'LP Elementos'!S83,'LP Elementos'!X83,'LP Elementos'!AC83,'LP Elementos'!AH83,'LP Elementos'!AM83,'LP Elementos'!AR83,'LP Elementos'!AW83,'LP Elementos'!BB83,'LP Elementos'!BG83,'LP Elementos'!BL83,'LP Elementos'!BQ83,'LP Elementos'!BV83,'LP Elementos'!CA83,'LP Elementos'!CF83,'LP Elementos'!CK83,'LP Elementos'!CP83,'LP Elementos'!CU83,'LP Elementos'!CZ83)," ")</f>
        <v>376040</v>
      </c>
      <c r="E83" s="341">
        <f>IFERROR(AVERAGE('LP Elementos'!F83,'LP Elementos'!I83,'LP Elementos'!N83,'LP Elementos'!S83,'LP Elementos'!X83,'LP Elementos'!AC83,'LP Elementos'!AH83,'LP Elementos'!AM83,'LP Elementos'!AR83,'LP Elementos'!AW83,'LP Elementos'!BB83,'LP Elementos'!BG83,'LP Elementos'!BL83,'LP Elementos'!BQ83,'LP Elementos'!BV83,'LP Elementos'!CA83,'LP Elementos'!CF83,'LP Elementos'!CK83,'LP Elementos'!CP83,'LP Elementos'!CU83,'LP Elementos'!CZ83)," ")</f>
        <v>958169.4360000001</v>
      </c>
      <c r="F83" s="341">
        <f>IFERROR(MEDIAN('LP Elementos'!F83,'LP Elementos'!I83,'LP Elementos'!N83,'LP Elementos'!S83,'LP Elementos'!X83,'LP Elementos'!AC83,'LP Elementos'!AH83,'LP Elementos'!AM83,'LP Elementos'!AR83,'LP Elementos'!AW83,'LP Elementos'!BB83,'LP Elementos'!BG83,'LP Elementos'!BL83,'LP Elementos'!BQ83,'LP Elementos'!BV83,'LP Elementos'!CA83,'LP Elementos'!CF83,'LP Elementos'!CK83,'LP Elementos'!CP83,'LP Elementos'!CU83,'LP Elementos'!CZ83)," ")</f>
        <v>862218.30800000008</v>
      </c>
      <c r="G83" s="341">
        <f>IFERROR(GEOMEAN('LP Elementos'!F83,'LP Elementos'!I83,'LP Elementos'!N83,'LP Elementos'!S83,'LP Elementos'!X83,'LP Elementos'!AC83,'LP Elementos'!AH83,'LP Elementos'!AM83,'LP Elementos'!AR83,'LP Elementos'!AW83,'LP Elementos'!BB83,'LP Elementos'!BG83,'LP Elementos'!BL83,'LP Elementos'!BQ83,'LP Elementos'!BV83,'LP Elementos'!CA83,'LP Elementos'!CF83,'LP Elementos'!CK83,'LP Elementos'!CP83,'LP Elementos'!CU83,'LP Elementos'!CZ83)," ")</f>
        <v>809531.30524430121</v>
      </c>
      <c r="H83" s="341">
        <f t="shared" si="4"/>
        <v>257752.23443716715</v>
      </c>
      <c r="I83" s="342">
        <f t="shared" si="5"/>
        <v>0.2690048594256842</v>
      </c>
      <c r="J83" s="341">
        <f t="shared" si="6"/>
        <v>809531.30524430121</v>
      </c>
      <c r="K83" s="326" t="str">
        <f t="shared" si="7"/>
        <v>Media Geometrica</v>
      </c>
      <c r="L83" s="326">
        <f>IFERROR(COUNTA('LP Elementos'!F83,'LP Elementos'!I83,'LP Elementos'!N83,'LP Elementos'!S83,'LP Elementos'!X83,'LP Elementos'!AC83,'LP Elementos'!AH83,'LP Elementos'!AM83,'LP Elementos'!AR83,'LP Elementos'!AX83,'LP Elementos'!BB83,'LP Elementos'!BG83,'LP Elementos'!BL83,'LP Elementos'!BQ83,'LP Elementos'!BV83,'LP Elementos'!CA83,'LP Elementos'!CF83,'LP Elementos'!CK83,'LP Elementos'!CP83,'LP Elementos'!CU83,'LP Elementos'!CZ83)," ")</f>
        <v>3</v>
      </c>
    </row>
    <row r="84" spans="2:12" ht="27" x14ac:dyDescent="0.25">
      <c r="B84" s="411">
        <v>82</v>
      </c>
      <c r="C84" s="412" t="s">
        <v>3120</v>
      </c>
      <c r="D84" s="408">
        <f>IFERROR(MIN('LP Elementos'!F84,'LP Elementos'!I84,'LP Elementos'!N84,'LP Elementos'!S84,'LP Elementos'!X84,'LP Elementos'!AC84,'LP Elementos'!AH84,'LP Elementos'!AM84,'LP Elementos'!AR84,'LP Elementos'!AW84,'LP Elementos'!BB84,'LP Elementos'!BG84,'LP Elementos'!BL84,'LP Elementos'!BQ84,'LP Elementos'!BV84,'LP Elementos'!CA84,'LP Elementos'!CF84,'LP Elementos'!CK84,'LP Elementos'!CP84,'LP Elementos'!CU84,'LP Elementos'!CZ84)," ")</f>
        <v>752080</v>
      </c>
      <c r="E84" s="341">
        <f>IFERROR(AVERAGE('LP Elementos'!F84,'LP Elementos'!I84,'LP Elementos'!N84,'LP Elementos'!S84,'LP Elementos'!X84,'LP Elementos'!AC84,'LP Elementos'!AH84,'LP Elementos'!AM84,'LP Elementos'!AR84,'LP Elementos'!AW84,'LP Elementos'!BB84,'LP Elementos'!BG84,'LP Elementos'!BL84,'LP Elementos'!BQ84,'LP Elementos'!BV84,'LP Elementos'!CA84,'LP Elementos'!CF84,'LP Elementos'!CK84,'LP Elementos'!CP84,'LP Elementos'!CU84,'LP Elementos'!CZ84)," ")</f>
        <v>1520036.9205</v>
      </c>
      <c r="F84" s="341">
        <f>IFERROR(MEDIAN('LP Elementos'!F84,'LP Elementos'!I84,'LP Elementos'!N84,'LP Elementos'!S84,'LP Elementos'!X84,'LP Elementos'!AC84,'LP Elementos'!AH84,'LP Elementos'!AM84,'LP Elementos'!AR84,'LP Elementos'!AW84,'LP Elementos'!BB84,'LP Elementos'!BG84,'LP Elementos'!BL84,'LP Elementos'!BQ84,'LP Elementos'!BV84,'LP Elementos'!CA84,'LP Elementos'!CF84,'LP Elementos'!CK84,'LP Elementos'!CP84,'LP Elementos'!CU84,'LP Elementos'!CZ84)," ")</f>
        <v>1541268.841</v>
      </c>
      <c r="G84" s="341">
        <f>IFERROR(GEOMEAN('LP Elementos'!F84,'LP Elementos'!I84,'LP Elementos'!N84,'LP Elementos'!S84,'LP Elementos'!X84,'LP Elementos'!AC84,'LP Elementos'!AH84,'LP Elementos'!AM84,'LP Elementos'!AR84,'LP Elementos'!AW84,'LP Elementos'!BB84,'LP Elementos'!BG84,'LP Elementos'!BL84,'LP Elementos'!BQ84,'LP Elementos'!BV84,'LP Elementos'!CA84,'LP Elementos'!CF84,'LP Elementos'!CK84,'LP Elementos'!CP84,'LP Elementos'!CU84,'LP Elementos'!CZ84)," ")</f>
        <v>1405037.5552616767</v>
      </c>
      <c r="H84" s="341">
        <f t="shared" si="4"/>
        <v>373180.5906822384</v>
      </c>
      <c r="I84" s="342">
        <f t="shared" si="5"/>
        <v>0.24550758317073285</v>
      </c>
      <c r="J84" s="341">
        <f t="shared" si="6"/>
        <v>1405037.5552616767</v>
      </c>
      <c r="K84" s="326" t="str">
        <f t="shared" si="7"/>
        <v>Media Geometrica</v>
      </c>
      <c r="L84" s="326">
        <f>IFERROR(COUNTA('LP Elementos'!F84,'LP Elementos'!I84,'LP Elementos'!N84,'LP Elementos'!S84,'LP Elementos'!X84,'LP Elementos'!AC84,'LP Elementos'!AH84,'LP Elementos'!AM84,'LP Elementos'!AR84,'LP Elementos'!AX84,'LP Elementos'!BB84,'LP Elementos'!BG84,'LP Elementos'!BL84,'LP Elementos'!BQ84,'LP Elementos'!BV84,'LP Elementos'!CA84,'LP Elementos'!CF84,'LP Elementos'!CK84,'LP Elementos'!CP84,'LP Elementos'!CU84,'LP Elementos'!CZ84)," ")</f>
        <v>4</v>
      </c>
    </row>
    <row r="85" spans="2:12" ht="27" x14ac:dyDescent="0.25">
      <c r="B85" s="411">
        <v>83</v>
      </c>
      <c r="C85" s="412" t="s">
        <v>3125</v>
      </c>
      <c r="D85" s="408">
        <f>IFERROR(MIN('LP Elementos'!F85,'LP Elementos'!I85,'LP Elementos'!N85,'LP Elementos'!S85,'LP Elementos'!X85,'LP Elementos'!AC85,'LP Elementos'!AH85,'LP Elementos'!AM85,'LP Elementos'!AR85,'LP Elementos'!AW85,'LP Elementos'!BB85,'LP Elementos'!BG85,'LP Elementos'!BL85,'LP Elementos'!BQ85,'LP Elementos'!BV85,'LP Elementos'!CA85,'LP Elementos'!CF85,'LP Elementos'!CK85,'LP Elementos'!CP85,'LP Elementos'!CU85,'LP Elementos'!CZ85)," ")</f>
        <v>490280</v>
      </c>
      <c r="E85" s="341">
        <f>IFERROR(AVERAGE('LP Elementos'!F85,'LP Elementos'!I85,'LP Elementos'!N85,'LP Elementos'!S85,'LP Elementos'!X85,'LP Elementos'!AC85,'LP Elementos'!AH85,'LP Elementos'!AM85,'LP Elementos'!AR85,'LP Elementos'!AW85,'LP Elementos'!BB85,'LP Elementos'!BG85,'LP Elementos'!BL85,'LP Elementos'!BQ85,'LP Elementos'!BV85,'LP Elementos'!CA85,'LP Elementos'!CF85,'LP Elementos'!CK85,'LP Elementos'!CP85,'LP Elementos'!CU85,'LP Elementos'!CZ85)," ")</f>
        <v>853110.04799999995</v>
      </c>
      <c r="F85" s="341">
        <f>IFERROR(MEDIAN('LP Elementos'!F85,'LP Elementos'!I85,'LP Elementos'!N85,'LP Elementos'!S85,'LP Elementos'!X85,'LP Elementos'!AC85,'LP Elementos'!AH85,'LP Elementos'!AM85,'LP Elementos'!AR85,'LP Elementos'!AW85,'LP Elementos'!BB85,'LP Elementos'!BG85,'LP Elementos'!BL85,'LP Elementos'!BQ85,'LP Elementos'!BV85,'LP Elementos'!CA85,'LP Elementos'!CF85,'LP Elementos'!CK85,'LP Elementos'!CP85,'LP Elementos'!CU85,'LP Elementos'!CZ85)," ")</f>
        <v>840495.09600000002</v>
      </c>
      <c r="G85" s="341">
        <f>IFERROR(GEOMEAN('LP Elementos'!F85,'LP Elementos'!I85,'LP Elementos'!N85,'LP Elementos'!S85,'LP Elementos'!X85,'LP Elementos'!AC85,'LP Elementos'!AH85,'LP Elementos'!AM85,'LP Elementos'!AR85,'LP Elementos'!AW85,'LP Elementos'!BB85,'LP Elementos'!BG85,'LP Elementos'!BL85,'LP Elementos'!BQ85,'LP Elementos'!BV85,'LP Elementos'!CA85,'LP Elementos'!CF85,'LP Elementos'!CK85,'LP Elementos'!CP85,'LP Elementos'!CU85,'LP Elementos'!CZ85)," ")</f>
        <v>804712.75165330176</v>
      </c>
      <c r="H85" s="341">
        <f t="shared" si="4"/>
        <v>172468.84355945193</v>
      </c>
      <c r="I85" s="342">
        <f t="shared" si="5"/>
        <v>0.20216482499975424</v>
      </c>
      <c r="J85" s="341">
        <f t="shared" si="6"/>
        <v>804712.75165330176</v>
      </c>
      <c r="K85" s="326" t="str">
        <f t="shared" si="7"/>
        <v>Media Geometrica</v>
      </c>
      <c r="L85" s="326">
        <f>IFERROR(COUNTA('LP Elementos'!F85,'LP Elementos'!I85,'LP Elementos'!N85,'LP Elementos'!S85,'LP Elementos'!X85,'LP Elementos'!AC85,'LP Elementos'!AH85,'LP Elementos'!AM85,'LP Elementos'!AR85,'LP Elementos'!AX85,'LP Elementos'!BB85,'LP Elementos'!BG85,'LP Elementos'!BL85,'LP Elementos'!BQ85,'LP Elementos'!BV85,'LP Elementos'!CA85,'LP Elementos'!CF85,'LP Elementos'!CK85,'LP Elementos'!CP85,'LP Elementos'!CU85,'LP Elementos'!CZ85)," ")</f>
        <v>4</v>
      </c>
    </row>
    <row r="86" spans="2:12" ht="27" x14ac:dyDescent="0.25">
      <c r="B86" s="411">
        <v>84</v>
      </c>
      <c r="C86" s="412" t="s">
        <v>3129</v>
      </c>
      <c r="D86" s="408">
        <f>IFERROR(MIN('LP Elementos'!F86,'LP Elementos'!I86,'LP Elementos'!N86,'LP Elementos'!S86,'LP Elementos'!X86,'LP Elementos'!AC86,'LP Elementos'!AH86,'LP Elementos'!AM86,'LP Elementos'!AR86,'LP Elementos'!AW86,'LP Elementos'!BB86,'LP Elementos'!BG86,'LP Elementos'!BL86,'LP Elementos'!BQ86,'LP Elementos'!BV86,'LP Elementos'!CA86,'LP Elementos'!CF86,'LP Elementos'!CK86,'LP Elementos'!CP86,'LP Elementos'!CU86,'LP Elementos'!CZ86)," ")</f>
        <v>490280</v>
      </c>
      <c r="E86" s="341">
        <f>IFERROR(AVERAGE('LP Elementos'!F86,'LP Elementos'!I86,'LP Elementos'!N86,'LP Elementos'!S86,'LP Elementos'!X86,'LP Elementos'!AC86,'LP Elementos'!AH86,'LP Elementos'!AM86,'LP Elementos'!AR86,'LP Elementos'!AW86,'LP Elementos'!BB86,'LP Elementos'!BG86,'LP Elementos'!BL86,'LP Elementos'!BQ86,'LP Elementos'!BV86,'LP Elementos'!CA86,'LP Elementos'!CF86,'LP Elementos'!CK86,'LP Elementos'!CP86,'LP Elementos'!CU86,'LP Elementos'!CZ86)," ")</f>
        <v>938915.59299999999</v>
      </c>
      <c r="F86" s="341">
        <f>IFERROR(MEDIAN('LP Elementos'!F86,'LP Elementos'!I86,'LP Elementos'!N86,'LP Elementos'!S86,'LP Elementos'!X86,'LP Elementos'!AC86,'LP Elementos'!AH86,'LP Elementos'!AM86,'LP Elementos'!AR86,'LP Elementos'!AW86,'LP Elementos'!BB86,'LP Elementos'!BG86,'LP Elementos'!BL86,'LP Elementos'!BQ86,'LP Elementos'!BV86,'LP Elementos'!CA86,'LP Elementos'!CF86,'LP Elementos'!CK86,'LP Elementos'!CP86,'LP Elementos'!CU86,'LP Elementos'!CZ86)," ")</f>
        <v>916311.18599999999</v>
      </c>
      <c r="G86" s="341">
        <f>IFERROR(GEOMEAN('LP Elementos'!F86,'LP Elementos'!I86,'LP Elementos'!N86,'LP Elementos'!S86,'LP Elementos'!X86,'LP Elementos'!AC86,'LP Elementos'!AH86,'LP Elementos'!AM86,'LP Elementos'!AR86,'LP Elementos'!AW86,'LP Elementos'!BB86,'LP Elementos'!BG86,'LP Elementos'!BL86,'LP Elementos'!BQ86,'LP Elementos'!BV86,'LP Elementos'!CA86,'LP Elementos'!CF86,'LP Elementos'!CK86,'LP Elementos'!CP86,'LP Elementos'!CU86,'LP Elementos'!CZ86)," ")</f>
        <v>871762.9154611089</v>
      </c>
      <c r="H86" s="341">
        <f t="shared" si="4"/>
        <v>211208.95484176389</v>
      </c>
      <c r="I86" s="342">
        <f t="shared" si="5"/>
        <v>0.22494988518287809</v>
      </c>
      <c r="J86" s="341">
        <f t="shared" si="6"/>
        <v>871762.9154611089</v>
      </c>
      <c r="K86" s="326" t="str">
        <f t="shared" si="7"/>
        <v>Media Geometrica</v>
      </c>
      <c r="L86" s="326">
        <f>IFERROR(COUNTA('LP Elementos'!F86,'LP Elementos'!I86,'LP Elementos'!N86,'LP Elementos'!S86,'LP Elementos'!X86,'LP Elementos'!AC86,'LP Elementos'!AH86,'LP Elementos'!AM86,'LP Elementos'!AR86,'LP Elementos'!AX86,'LP Elementos'!BB86,'LP Elementos'!BG86,'LP Elementos'!BL86,'LP Elementos'!BQ86,'LP Elementos'!BV86,'LP Elementos'!CA86,'LP Elementos'!CF86,'LP Elementos'!CK86,'LP Elementos'!CP86,'LP Elementos'!CU86,'LP Elementos'!CZ86)," ")</f>
        <v>4</v>
      </c>
    </row>
    <row r="87" spans="2:12" ht="27" x14ac:dyDescent="0.25">
      <c r="B87" s="411">
        <v>85</v>
      </c>
      <c r="C87" s="412" t="s">
        <v>3134</v>
      </c>
      <c r="D87" s="408">
        <f>IFERROR(MIN('LP Elementos'!F87,'LP Elementos'!I87,'LP Elementos'!N87,'LP Elementos'!S87,'LP Elementos'!X87,'LP Elementos'!AC87,'LP Elementos'!AH87,'LP Elementos'!AM87,'LP Elementos'!AR87,'LP Elementos'!AW87,'LP Elementos'!BB87,'LP Elementos'!BG87,'LP Elementos'!BL87,'LP Elementos'!BQ87,'LP Elementos'!BV87,'LP Elementos'!CA87,'LP Elementos'!CF87,'LP Elementos'!CK87,'LP Elementos'!CP87,'LP Elementos'!CU87,'LP Elementos'!CZ87)," ")</f>
        <v>293930</v>
      </c>
      <c r="E87" s="341">
        <f>IFERROR(AVERAGE('LP Elementos'!F87,'LP Elementos'!I87,'LP Elementos'!N87,'LP Elementos'!S87,'LP Elementos'!X87,'LP Elementos'!AC87,'LP Elementos'!AH87,'LP Elementos'!AM87,'LP Elementos'!AR87,'LP Elementos'!AW87,'LP Elementos'!BB87,'LP Elementos'!BG87,'LP Elementos'!BL87,'LP Elementos'!BQ87,'LP Elementos'!BV87,'LP Elementos'!CA87,'LP Elementos'!CF87,'LP Elementos'!CK87,'LP Elementos'!CP87,'LP Elementos'!CU87,'LP Elementos'!CZ87)," ")</f>
        <v>709091.48800000001</v>
      </c>
      <c r="F87" s="341">
        <f>IFERROR(MEDIAN('LP Elementos'!F87,'LP Elementos'!I87,'LP Elementos'!N87,'LP Elementos'!S87,'LP Elementos'!X87,'LP Elementos'!AC87,'LP Elementos'!AH87,'LP Elementos'!AM87,'LP Elementos'!AR87,'LP Elementos'!AW87,'LP Elementos'!BB87,'LP Elementos'!BG87,'LP Elementos'!BL87,'LP Elementos'!BQ87,'LP Elementos'!BV87,'LP Elementos'!CA87,'LP Elementos'!CF87,'LP Elementos'!CK87,'LP Elementos'!CP87,'LP Elementos'!CU87,'LP Elementos'!CZ87)," ")</f>
        <v>757732.97600000002</v>
      </c>
      <c r="G87" s="341">
        <f>IFERROR(GEOMEAN('LP Elementos'!F87,'LP Elementos'!I87,'LP Elementos'!N87,'LP Elementos'!S87,'LP Elementos'!X87,'LP Elementos'!AC87,'LP Elementos'!AH87,'LP Elementos'!AM87,'LP Elementos'!AR87,'LP Elementos'!AW87,'LP Elementos'!BB87,'LP Elementos'!BG87,'LP Elementos'!BL87,'LP Elementos'!BQ87,'LP Elementos'!BV87,'LP Elementos'!CA87,'LP Elementos'!CF87,'LP Elementos'!CK87,'LP Elementos'!CP87,'LP Elementos'!CU87,'LP Elementos'!CZ87)," ")</f>
        <v>638856.41457450599</v>
      </c>
      <c r="H87" s="341">
        <f t="shared" si="4"/>
        <v>209737.35358902687</v>
      </c>
      <c r="I87" s="342">
        <f t="shared" si="5"/>
        <v>0.2957832058886975</v>
      </c>
      <c r="J87" s="341">
        <f t="shared" si="6"/>
        <v>638856.41457450599</v>
      </c>
      <c r="K87" s="326" t="str">
        <f t="shared" si="7"/>
        <v>Media Geometrica</v>
      </c>
      <c r="L87" s="326">
        <f>IFERROR(COUNTA('LP Elementos'!F87,'LP Elementos'!I87,'LP Elementos'!N87,'LP Elementos'!S87,'LP Elementos'!X87,'LP Elementos'!AC87,'LP Elementos'!AH87,'LP Elementos'!AM87,'LP Elementos'!AR87,'LP Elementos'!AX87,'LP Elementos'!BB87,'LP Elementos'!BG87,'LP Elementos'!BL87,'LP Elementos'!BQ87,'LP Elementos'!BV87,'LP Elementos'!CA87,'LP Elementos'!CF87,'LP Elementos'!CK87,'LP Elementos'!CP87,'LP Elementos'!CU87,'LP Elementos'!CZ87)," ")</f>
        <v>4</v>
      </c>
    </row>
    <row r="88" spans="2:12" ht="27" x14ac:dyDescent="0.25">
      <c r="B88" s="411">
        <v>86</v>
      </c>
      <c r="C88" s="412" t="s">
        <v>3138</v>
      </c>
      <c r="D88" s="408">
        <f>IFERROR(MIN('LP Elementos'!F88,'LP Elementos'!I88,'LP Elementos'!N88,'LP Elementos'!S88,'LP Elementos'!X88,'LP Elementos'!AC88,'LP Elementos'!AH88,'LP Elementos'!AM88,'LP Elementos'!AR88,'LP Elementos'!AW88,'LP Elementos'!BB88,'LP Elementos'!BG88,'LP Elementos'!BL88,'LP Elementos'!BQ88,'LP Elementos'!BV88,'LP Elementos'!CA88,'LP Elementos'!CF88,'LP Elementos'!CK88,'LP Elementos'!CP88,'LP Elementos'!CU88,'LP Elementos'!CZ88)," ")</f>
        <v>27651.316000000003</v>
      </c>
      <c r="E88" s="341">
        <f>IFERROR(AVERAGE('LP Elementos'!F88,'LP Elementos'!I88,'LP Elementos'!N88,'LP Elementos'!S88,'LP Elementos'!X88,'LP Elementos'!AC88,'LP Elementos'!AH88,'LP Elementos'!AM88,'LP Elementos'!AR88,'LP Elementos'!AW88,'LP Elementos'!BB88,'LP Elementos'!BG88,'LP Elementos'!BL88,'LP Elementos'!BQ88,'LP Elementos'!BV88,'LP Elementos'!CA88,'LP Elementos'!CF88,'LP Elementos'!CK88,'LP Elementos'!CP88,'LP Elementos'!CU88,'LP Elementos'!CZ88)," ")</f>
        <v>49525.658000000003</v>
      </c>
      <c r="F88" s="341">
        <f>IFERROR(MEDIAN('LP Elementos'!F88,'LP Elementos'!I88,'LP Elementos'!N88,'LP Elementos'!S88,'LP Elementos'!X88,'LP Elementos'!AC88,'LP Elementos'!AH88,'LP Elementos'!AM88,'LP Elementos'!AR88,'LP Elementos'!AW88,'LP Elementos'!BB88,'LP Elementos'!BG88,'LP Elementos'!BL88,'LP Elementos'!BQ88,'LP Elementos'!BV88,'LP Elementos'!CA88,'LP Elementos'!CF88,'LP Elementos'!CK88,'LP Elementos'!CP88,'LP Elementos'!CU88,'LP Elementos'!CZ88)," ")</f>
        <v>49525.657999999996</v>
      </c>
      <c r="G88" s="341">
        <f>IFERROR(GEOMEAN('LP Elementos'!F88,'LP Elementos'!I88,'LP Elementos'!N88,'LP Elementos'!S88,'LP Elementos'!X88,'LP Elementos'!AC88,'LP Elementos'!AH88,'LP Elementos'!AM88,'LP Elementos'!AR88,'LP Elementos'!AW88,'LP Elementos'!BB88,'LP Elementos'!BG88,'LP Elementos'!BL88,'LP Elementos'!BQ88,'LP Elementos'!BV88,'LP Elementos'!CA88,'LP Elementos'!CF88,'LP Elementos'!CK88,'LP Elementos'!CP88,'LP Elementos'!CU88,'LP Elementos'!CZ88)," ")</f>
        <v>44433.140361671489</v>
      </c>
      <c r="H88" s="341">
        <f t="shared" si="4"/>
        <v>10370.11240924808</v>
      </c>
      <c r="I88" s="342">
        <f t="shared" si="5"/>
        <v>0.20938868513868267</v>
      </c>
      <c r="J88" s="341">
        <f t="shared" si="6"/>
        <v>44433.140361671489</v>
      </c>
      <c r="K88" s="326" t="str">
        <f t="shared" si="7"/>
        <v>Media Geometrica</v>
      </c>
      <c r="L88" s="326">
        <f>IFERROR(COUNTA('LP Elementos'!F88,'LP Elementos'!I88,'LP Elementos'!N88,'LP Elementos'!S88,'LP Elementos'!X88,'LP Elementos'!AC88,'LP Elementos'!AH88,'LP Elementos'!AM88,'LP Elementos'!AR88,'LP Elementos'!AX88,'LP Elementos'!BB88,'LP Elementos'!BG88,'LP Elementos'!BL88,'LP Elementos'!BQ88,'LP Elementos'!BV88,'LP Elementos'!CA88,'LP Elementos'!CF88,'LP Elementos'!CK88,'LP Elementos'!CP88,'LP Elementos'!CU88,'LP Elementos'!CZ88)," ")</f>
        <v>2</v>
      </c>
    </row>
    <row r="89" spans="2:12" x14ac:dyDescent="0.25">
      <c r="B89" s="411">
        <v>87</v>
      </c>
      <c r="C89" s="412" t="s">
        <v>3140</v>
      </c>
      <c r="D89" s="408">
        <f>IFERROR(MIN('LP Elementos'!F89,'LP Elementos'!I89,'LP Elementos'!N89,'LP Elementos'!S89,'LP Elementos'!X89,'LP Elementos'!AC89,'LP Elementos'!AH89,'LP Elementos'!AM89,'LP Elementos'!AR89,'LP Elementos'!AW89,'LP Elementos'!BB89,'LP Elementos'!BG89,'LP Elementos'!BL89,'LP Elementos'!BQ89,'LP Elementos'!BV89,'LP Elementos'!CA89,'LP Elementos'!CF89,'LP Elementos'!CK89,'LP Elementos'!CP89,'LP Elementos'!CU89,'LP Elementos'!CZ89)," ")</f>
        <v>45876.046999999999</v>
      </c>
      <c r="E89" s="341">
        <f>IFERROR(AVERAGE('LP Elementos'!F89,'LP Elementos'!I89,'LP Elementos'!N89,'LP Elementos'!S89,'LP Elementos'!X89,'LP Elementos'!AC89,'LP Elementos'!AH89,'LP Elementos'!AM89,'LP Elementos'!AR89,'LP Elementos'!AW89,'LP Elementos'!BB89,'LP Elementos'!BG89,'LP Elementos'!BL89,'LP Elementos'!BQ89,'LP Elementos'!BV89,'LP Elementos'!CA89,'LP Elementos'!CF89,'LP Elementos'!CK89,'LP Elementos'!CP89,'LP Elementos'!CU89,'LP Elementos'!CZ89)," ")</f>
        <v>45876.046999999999</v>
      </c>
      <c r="F89" s="341">
        <f>IFERROR(MEDIAN('LP Elementos'!F89,'LP Elementos'!I89,'LP Elementos'!N89,'LP Elementos'!S89,'LP Elementos'!X89,'LP Elementos'!AC89,'LP Elementos'!AH89,'LP Elementos'!AM89,'LP Elementos'!AR89,'LP Elementos'!AW89,'LP Elementos'!BB89,'LP Elementos'!BG89,'LP Elementos'!BL89,'LP Elementos'!BQ89,'LP Elementos'!BV89,'LP Elementos'!CA89,'LP Elementos'!CF89,'LP Elementos'!CK89,'LP Elementos'!CP89,'LP Elementos'!CU89,'LP Elementos'!CZ89)," ")</f>
        <v>45876.046999999999</v>
      </c>
      <c r="G89" s="341">
        <f>IFERROR(GEOMEAN('LP Elementos'!F89,'LP Elementos'!I89,'LP Elementos'!N89,'LP Elementos'!S89,'LP Elementos'!X89,'LP Elementos'!AC89,'LP Elementos'!AH89,'LP Elementos'!AM89,'LP Elementos'!AR89,'LP Elementos'!AW89,'LP Elementos'!BB89,'LP Elementos'!BG89,'LP Elementos'!BL89,'LP Elementos'!BQ89,'LP Elementos'!BV89,'LP Elementos'!CA89,'LP Elementos'!CF89,'LP Elementos'!CK89,'LP Elementos'!CP89,'LP Elementos'!CU89,'LP Elementos'!CZ89)," ")</f>
        <v>45876.046999999999</v>
      </c>
      <c r="H89" s="341">
        <f t="shared" si="4"/>
        <v>0</v>
      </c>
      <c r="I89" s="342">
        <f t="shared" si="5"/>
        <v>0</v>
      </c>
      <c r="J89" s="341">
        <f t="shared" si="6"/>
        <v>45876.046999999999</v>
      </c>
      <c r="K89" s="326" t="str">
        <f t="shared" si="7"/>
        <v>Menor Valor</v>
      </c>
      <c r="L89" s="326">
        <f>IFERROR(COUNTA('LP Elementos'!F89,'LP Elementos'!I89,'LP Elementos'!N89,'LP Elementos'!S89,'LP Elementos'!X89,'LP Elementos'!AC89,'LP Elementos'!AH89,'LP Elementos'!AM89,'LP Elementos'!AR89,'LP Elementos'!AX89,'LP Elementos'!BB89,'LP Elementos'!BG89,'LP Elementos'!BL89,'LP Elementos'!BQ89,'LP Elementos'!BV89,'LP Elementos'!CA89,'LP Elementos'!CF89,'LP Elementos'!CK89,'LP Elementos'!CP89,'LP Elementos'!CU89,'LP Elementos'!CZ89)," ")</f>
        <v>1</v>
      </c>
    </row>
    <row r="90" spans="2:12" ht="27" x14ac:dyDescent="0.25">
      <c r="B90" s="411">
        <v>88</v>
      </c>
      <c r="C90" s="412" t="s">
        <v>3142</v>
      </c>
      <c r="D90" s="408">
        <f>IFERROR(MIN('LP Elementos'!F90,'LP Elementos'!I90,'LP Elementos'!N90,'LP Elementos'!S90,'LP Elementos'!X90,'LP Elementos'!AC90,'LP Elementos'!AH90,'LP Elementos'!AM90,'LP Elementos'!AR90,'LP Elementos'!AW90,'LP Elementos'!BB90,'LP Elementos'!BG90,'LP Elementos'!BL90,'LP Elementos'!BQ90,'LP Elementos'!BV90,'LP Elementos'!CA90,'LP Elementos'!CF90,'LP Elementos'!CK90,'LP Elementos'!CP90,'LP Elementos'!CU90,'LP Elementos'!CZ90)," ")</f>
        <v>23252.243000000002</v>
      </c>
      <c r="E90" s="341">
        <f>IFERROR(AVERAGE('LP Elementos'!F90,'LP Elementos'!I90,'LP Elementos'!N90,'LP Elementos'!S90,'LP Elementos'!X90,'LP Elementos'!AC90,'LP Elementos'!AH90,'LP Elementos'!AM90,'LP Elementos'!AR90,'LP Elementos'!AW90,'LP Elementos'!BB90,'LP Elementos'!BG90,'LP Elementos'!BL90,'LP Elementos'!BQ90,'LP Elementos'!BV90,'LP Elementos'!CA90,'LP Elementos'!CF90,'LP Elementos'!CK90,'LP Elementos'!CP90,'LP Elementos'!CU90,'LP Elementos'!CZ90)," ")</f>
        <v>65176.121500000001</v>
      </c>
      <c r="F90" s="341">
        <f>IFERROR(MEDIAN('LP Elementos'!F90,'LP Elementos'!I90,'LP Elementos'!N90,'LP Elementos'!S90,'LP Elementos'!X90,'LP Elementos'!AC90,'LP Elementos'!AH90,'LP Elementos'!AM90,'LP Elementos'!AR90,'LP Elementos'!AW90,'LP Elementos'!BB90,'LP Elementos'!BG90,'LP Elementos'!BL90,'LP Elementos'!BQ90,'LP Elementos'!BV90,'LP Elementos'!CA90,'LP Elementos'!CF90,'LP Elementos'!CK90,'LP Elementos'!CP90,'LP Elementos'!CU90,'LP Elementos'!CZ90)," ")</f>
        <v>65176.121500000001</v>
      </c>
      <c r="G90" s="341">
        <f>IFERROR(GEOMEAN('LP Elementos'!F90,'LP Elementos'!I90,'LP Elementos'!N90,'LP Elementos'!S90,'LP Elementos'!X90,'LP Elementos'!AC90,'LP Elementos'!AH90,'LP Elementos'!AM90,'LP Elementos'!AR90,'LP Elementos'!AW90,'LP Elementos'!BB90,'LP Elementos'!BG90,'LP Elementos'!BL90,'LP Elementos'!BQ90,'LP Elementos'!BV90,'LP Elementos'!CA90,'LP Elementos'!CF90,'LP Elementos'!CK90,'LP Elementos'!CP90,'LP Elementos'!CU90,'LP Elementos'!CZ90)," ")</f>
        <v>49903.058276021526</v>
      </c>
      <c r="H90" s="341">
        <f t="shared" si="4"/>
        <v>19773.76640132373</v>
      </c>
      <c r="I90" s="342">
        <f t="shared" si="5"/>
        <v>0.3033897376253622</v>
      </c>
      <c r="J90" s="341">
        <f t="shared" si="6"/>
        <v>23252.243000000002</v>
      </c>
      <c r="K90" s="326" t="str">
        <f t="shared" si="7"/>
        <v>Menor Valor</v>
      </c>
      <c r="L90" s="326">
        <f>IFERROR(COUNTA('LP Elementos'!F90,'LP Elementos'!I90,'LP Elementos'!N90,'LP Elementos'!S90,'LP Elementos'!X90,'LP Elementos'!AC90,'LP Elementos'!AH90,'LP Elementos'!AM90,'LP Elementos'!AR90,'LP Elementos'!AX90,'LP Elementos'!BB90,'LP Elementos'!BG90,'LP Elementos'!BL90,'LP Elementos'!BQ90,'LP Elementos'!BV90,'LP Elementos'!CA90,'LP Elementos'!CF90,'LP Elementos'!CK90,'LP Elementos'!CP90,'LP Elementos'!CU90,'LP Elementos'!CZ90)," ")</f>
        <v>2</v>
      </c>
    </row>
    <row r="91" spans="2:12" ht="27" x14ac:dyDescent="0.25">
      <c r="B91" s="411">
        <v>89</v>
      </c>
      <c r="C91" s="412" t="s">
        <v>3144</v>
      </c>
      <c r="D91" s="408">
        <f>IFERROR(MIN('LP Elementos'!F91,'LP Elementos'!I91,'LP Elementos'!N91,'LP Elementos'!S91,'LP Elementos'!X91,'LP Elementos'!AC91,'LP Elementos'!AH91,'LP Elementos'!AM91,'LP Elementos'!AR91,'LP Elementos'!AW91,'LP Elementos'!BB91,'LP Elementos'!BG91,'LP Elementos'!BL91,'LP Elementos'!BQ91,'LP Elementos'!BV91,'LP Elementos'!CA91,'LP Elementos'!CF91,'LP Elementos'!CK91,'LP Elementos'!CP91,'LP Elementos'!CU91,'LP Elementos'!CZ91)," ")</f>
        <v>226238.04</v>
      </c>
      <c r="E91" s="341">
        <f>IFERROR(AVERAGE('LP Elementos'!F91,'LP Elementos'!I91,'LP Elementos'!N91,'LP Elementos'!S91,'LP Elementos'!X91,'LP Elementos'!AC91,'LP Elementos'!AH91,'LP Elementos'!AM91,'LP Elementos'!AR91,'LP Elementos'!AW91,'LP Elementos'!BB91,'LP Elementos'!BG91,'LP Elementos'!BL91,'LP Elementos'!BQ91,'LP Elementos'!BV91,'LP Elementos'!CA91,'LP Elementos'!CF91,'LP Elementos'!CK91,'LP Elementos'!CP91,'LP Elementos'!CU91,'LP Elementos'!CZ91)," ")</f>
        <v>232119.02000000002</v>
      </c>
      <c r="F91" s="341">
        <f>IFERROR(MEDIAN('LP Elementos'!F91,'LP Elementos'!I91,'LP Elementos'!N91,'LP Elementos'!S91,'LP Elementos'!X91,'LP Elementos'!AC91,'LP Elementos'!AH91,'LP Elementos'!AM91,'LP Elementos'!AR91,'LP Elementos'!AW91,'LP Elementos'!BB91,'LP Elementos'!BG91,'LP Elementos'!BL91,'LP Elementos'!BQ91,'LP Elementos'!BV91,'LP Elementos'!CA91,'LP Elementos'!CF91,'LP Elementos'!CK91,'LP Elementos'!CP91,'LP Elementos'!CU91,'LP Elementos'!CZ91)," ")</f>
        <v>232119.02000000002</v>
      </c>
      <c r="G91" s="341">
        <f>IFERROR(GEOMEAN('LP Elementos'!F91,'LP Elementos'!I91,'LP Elementos'!N91,'LP Elementos'!S91,'LP Elementos'!X91,'LP Elementos'!AC91,'LP Elementos'!AH91,'LP Elementos'!AM91,'LP Elementos'!AR91,'LP Elementos'!AW91,'LP Elementos'!BB91,'LP Elementos'!BG91,'LP Elementos'!BL91,'LP Elementos'!BQ91,'LP Elementos'!BV91,'LP Elementos'!CA91,'LP Elementos'!CF91,'LP Elementos'!CK91,'LP Elementos'!CP91,'LP Elementos'!CU91,'LP Elementos'!CZ91)," ")</f>
        <v>232044.50762730843</v>
      </c>
      <c r="H91" s="341">
        <f t="shared" si="4"/>
        <v>2928.2819481616002</v>
      </c>
      <c r="I91" s="342">
        <f t="shared" si="5"/>
        <v>1.2615433014328598E-2</v>
      </c>
      <c r="J91" s="341">
        <f t="shared" si="6"/>
        <v>232119.02000000002</v>
      </c>
      <c r="K91" s="326" t="str">
        <f t="shared" si="7"/>
        <v>Promedio</v>
      </c>
      <c r="L91" s="326">
        <f>IFERROR(COUNTA('LP Elementos'!F91,'LP Elementos'!I91,'LP Elementos'!N91,'LP Elementos'!S91,'LP Elementos'!X91,'LP Elementos'!AC91,'LP Elementos'!AH91,'LP Elementos'!AM91,'LP Elementos'!AR91,'LP Elementos'!AX91,'LP Elementos'!BB91,'LP Elementos'!BG91,'LP Elementos'!BL91,'LP Elementos'!BQ91,'LP Elementos'!BV91,'LP Elementos'!CA91,'LP Elementos'!CF91,'LP Elementos'!CK91,'LP Elementos'!CP91,'LP Elementos'!CU91,'LP Elementos'!CZ91)," ")</f>
        <v>2</v>
      </c>
    </row>
    <row r="92" spans="2:12" x14ac:dyDescent="0.25">
      <c r="B92" s="411">
        <v>90</v>
      </c>
      <c r="C92" s="412" t="s">
        <v>3148</v>
      </c>
      <c r="D92" s="408">
        <f>IFERROR(MIN('LP Elementos'!F92,'LP Elementos'!I92,'LP Elementos'!N92,'LP Elementos'!S92,'LP Elementos'!X92,'LP Elementos'!AC92,'LP Elementos'!AH92,'LP Elementos'!AM92,'LP Elementos'!AR92,'LP Elementos'!AW92,'LP Elementos'!BB92,'LP Elementos'!BG92,'LP Elementos'!BL92,'LP Elementos'!BQ92,'LP Elementos'!BV92,'LP Elementos'!CA92,'LP Elementos'!CF92,'LP Elementos'!CK92,'LP Elementos'!CP92,'LP Elementos'!CU92,'LP Elementos'!CZ92)," ")</f>
        <v>45247.608</v>
      </c>
      <c r="E92" s="341">
        <f>IFERROR(AVERAGE('LP Elementos'!F92,'LP Elementos'!I92,'LP Elementos'!N92,'LP Elementos'!S92,'LP Elementos'!X92,'LP Elementos'!AC92,'LP Elementos'!AH92,'LP Elementos'!AM92,'LP Elementos'!AR92,'LP Elementos'!AW92,'LP Elementos'!BB92,'LP Elementos'!BG92,'LP Elementos'!BL92,'LP Elementos'!BQ92,'LP Elementos'!BV92,'LP Elementos'!CA92,'LP Elementos'!CF92,'LP Elementos'!CK92,'LP Elementos'!CP92,'LP Elementos'!CU92,'LP Elementos'!CZ92)," ")</f>
        <v>82123.804000000004</v>
      </c>
      <c r="F92" s="341">
        <f>IFERROR(MEDIAN('LP Elementos'!F92,'LP Elementos'!I92,'LP Elementos'!N92,'LP Elementos'!S92,'LP Elementos'!X92,'LP Elementos'!AC92,'LP Elementos'!AH92,'LP Elementos'!AM92,'LP Elementos'!AR92,'LP Elementos'!AW92,'LP Elementos'!BB92,'LP Elementos'!BG92,'LP Elementos'!BL92,'LP Elementos'!BQ92,'LP Elementos'!BV92,'LP Elementos'!CA92,'LP Elementos'!CF92,'LP Elementos'!CK92,'LP Elementos'!CP92,'LP Elementos'!CU92,'LP Elementos'!CZ92)," ")</f>
        <v>82123.804000000004</v>
      </c>
      <c r="G92" s="341">
        <f>IFERROR(GEOMEAN('LP Elementos'!F92,'LP Elementos'!I92,'LP Elementos'!N92,'LP Elementos'!S92,'LP Elementos'!X92,'LP Elementos'!AC92,'LP Elementos'!AH92,'LP Elementos'!AM92,'LP Elementos'!AR92,'LP Elementos'!AW92,'LP Elementos'!BB92,'LP Elementos'!BG92,'LP Elementos'!BL92,'LP Elementos'!BQ92,'LP Elementos'!BV92,'LP Elementos'!CA92,'LP Elementos'!CF92,'LP Elementos'!CK92,'LP Elementos'!CP92,'LP Elementos'!CU92,'LP Elementos'!CZ92)," ")</f>
        <v>73378.916263460851</v>
      </c>
      <c r="H92" s="341">
        <f t="shared" si="4"/>
        <v>17473.847817343154</v>
      </c>
      <c r="I92" s="342">
        <f t="shared" si="5"/>
        <v>0.21277445717618187</v>
      </c>
      <c r="J92" s="341">
        <f t="shared" si="6"/>
        <v>73378.916263460851</v>
      </c>
      <c r="K92" s="326" t="str">
        <f t="shared" si="7"/>
        <v>Media Geometrica</v>
      </c>
      <c r="L92" s="326">
        <f>IFERROR(COUNTA('LP Elementos'!F92,'LP Elementos'!I92,'LP Elementos'!N92,'LP Elementos'!S92,'LP Elementos'!X92,'LP Elementos'!AC92,'LP Elementos'!AH92,'LP Elementos'!AM92,'LP Elementos'!AR92,'LP Elementos'!AX92,'LP Elementos'!BB92,'LP Elementos'!BG92,'LP Elementos'!BL92,'LP Elementos'!BQ92,'LP Elementos'!BV92,'LP Elementos'!CA92,'LP Elementos'!CF92,'LP Elementos'!CK92,'LP Elementos'!CP92,'LP Elementos'!CU92,'LP Elementos'!CZ92)," ")</f>
        <v>2</v>
      </c>
    </row>
    <row r="93" spans="2:12" x14ac:dyDescent="0.25">
      <c r="B93" s="411">
        <v>91</v>
      </c>
      <c r="C93" s="412" t="s">
        <v>3152</v>
      </c>
      <c r="D93" s="408">
        <f>IFERROR(MIN('LP Elementos'!F93,'LP Elementos'!I93,'LP Elementos'!N93,'LP Elementos'!S93,'LP Elementos'!X93,'LP Elementos'!AC93,'LP Elementos'!AH93,'LP Elementos'!AM93,'LP Elementos'!AR93,'LP Elementos'!AW93,'LP Elementos'!BB93,'LP Elementos'!BG93,'LP Elementos'!BL93,'LP Elementos'!BQ93,'LP Elementos'!BV93,'LP Elementos'!CA93,'LP Elementos'!CF93,'LP Elementos'!CK93,'LP Elementos'!CP93,'LP Elementos'!CU93,'LP Elementos'!CZ93)," ")</f>
        <v>70385.168000000005</v>
      </c>
      <c r="E93" s="341">
        <f>IFERROR(AVERAGE('LP Elementos'!F93,'LP Elementos'!I93,'LP Elementos'!N93,'LP Elementos'!S93,'LP Elementos'!X93,'LP Elementos'!AC93,'LP Elementos'!AH93,'LP Elementos'!AM93,'LP Elementos'!AR93,'LP Elementos'!AW93,'LP Elementos'!BB93,'LP Elementos'!BG93,'LP Elementos'!BL93,'LP Elementos'!BQ93,'LP Elementos'!BV93,'LP Elementos'!CA93,'LP Elementos'!CF93,'LP Elementos'!CK93,'LP Elementos'!CP93,'LP Elementos'!CU93,'LP Elementos'!CZ93)," ")</f>
        <v>70385.168000000005</v>
      </c>
      <c r="F93" s="341">
        <f>IFERROR(MEDIAN('LP Elementos'!F93,'LP Elementos'!I93,'LP Elementos'!N93,'LP Elementos'!S93,'LP Elementos'!X93,'LP Elementos'!AC93,'LP Elementos'!AH93,'LP Elementos'!AM93,'LP Elementos'!AR93,'LP Elementos'!AW93,'LP Elementos'!BB93,'LP Elementos'!BG93,'LP Elementos'!BL93,'LP Elementos'!BQ93,'LP Elementos'!BV93,'LP Elementos'!CA93,'LP Elementos'!CF93,'LP Elementos'!CK93,'LP Elementos'!CP93,'LP Elementos'!CU93,'LP Elementos'!CZ93)," ")</f>
        <v>70385.168000000005</v>
      </c>
      <c r="G93" s="341">
        <f>IFERROR(GEOMEAN('LP Elementos'!F93,'LP Elementos'!I93,'LP Elementos'!N93,'LP Elementos'!S93,'LP Elementos'!X93,'LP Elementos'!AC93,'LP Elementos'!AH93,'LP Elementos'!AM93,'LP Elementos'!AR93,'LP Elementos'!AW93,'LP Elementos'!BB93,'LP Elementos'!BG93,'LP Elementos'!BL93,'LP Elementos'!BQ93,'LP Elementos'!BV93,'LP Elementos'!CA93,'LP Elementos'!CF93,'LP Elementos'!CK93,'LP Elementos'!CP93,'LP Elementos'!CU93,'LP Elementos'!CZ93)," ")</f>
        <v>70385.168000000005</v>
      </c>
      <c r="H93" s="341">
        <f t="shared" si="4"/>
        <v>0</v>
      </c>
      <c r="I93" s="342">
        <f t="shared" si="5"/>
        <v>0</v>
      </c>
      <c r="J93" s="341">
        <f t="shared" si="6"/>
        <v>70385.168000000005</v>
      </c>
      <c r="K93" s="326" t="str">
        <f t="shared" si="7"/>
        <v>Menor Valor</v>
      </c>
      <c r="L93" s="326">
        <f>IFERROR(COUNTA('LP Elementos'!F93,'LP Elementos'!I93,'LP Elementos'!N93,'LP Elementos'!S93,'LP Elementos'!X93,'LP Elementos'!AC93,'LP Elementos'!AH93,'LP Elementos'!AM93,'LP Elementos'!AR93,'LP Elementos'!AX93,'LP Elementos'!BB93,'LP Elementos'!BG93,'LP Elementos'!BL93,'LP Elementos'!BQ93,'LP Elementos'!BV93,'LP Elementos'!CA93,'LP Elementos'!CF93,'LP Elementos'!CK93,'LP Elementos'!CP93,'LP Elementos'!CU93,'LP Elementos'!CZ93)," ")</f>
        <v>1</v>
      </c>
    </row>
    <row r="94" spans="2:12" ht="27" x14ac:dyDescent="0.25">
      <c r="B94" s="411">
        <v>92</v>
      </c>
      <c r="C94" s="412" t="s">
        <v>3153</v>
      </c>
      <c r="D94" s="408">
        <f>IFERROR(MIN('LP Elementos'!F94,'LP Elementos'!I94,'LP Elementos'!N94,'LP Elementos'!S94,'LP Elementos'!X94,'LP Elementos'!AC94,'LP Elementos'!AH94,'LP Elementos'!AM94,'LP Elementos'!AR94,'LP Elementos'!AW94,'LP Elementos'!BB94,'LP Elementos'!BG94,'LP Elementos'!BL94,'LP Elementos'!BQ94,'LP Elementos'!BV94,'LP Elementos'!CA94,'LP Elementos'!CF94,'LP Elementos'!CK94,'LP Elementos'!CP94,'LP Elementos'!CU94,'LP Elementos'!CZ94)," ")</f>
        <v>819484.45600000001</v>
      </c>
      <c r="E94" s="341">
        <f>IFERROR(AVERAGE('LP Elementos'!F94,'LP Elementos'!I94,'LP Elementos'!N94,'LP Elementos'!S94,'LP Elementos'!X94,'LP Elementos'!AC94,'LP Elementos'!AH94,'LP Elementos'!AM94,'LP Elementos'!AR94,'LP Elementos'!AW94,'LP Elementos'!BB94,'LP Elementos'!BG94,'LP Elementos'!BL94,'LP Elementos'!BQ94,'LP Elementos'!BV94,'LP Elementos'!CA94,'LP Elementos'!CF94,'LP Elementos'!CK94,'LP Elementos'!CP94,'LP Elementos'!CU94,'LP Elementos'!CZ94)," ")</f>
        <v>1707437.2280000001</v>
      </c>
      <c r="F94" s="341">
        <f>IFERROR(MEDIAN('LP Elementos'!F94,'LP Elementos'!I94,'LP Elementos'!N94,'LP Elementos'!S94,'LP Elementos'!X94,'LP Elementos'!AC94,'LP Elementos'!AH94,'LP Elementos'!AM94,'LP Elementos'!AR94,'LP Elementos'!AW94,'LP Elementos'!BB94,'LP Elementos'!BG94,'LP Elementos'!BL94,'LP Elementos'!BQ94,'LP Elementos'!BV94,'LP Elementos'!CA94,'LP Elementos'!CF94,'LP Elementos'!CK94,'LP Elementos'!CP94,'LP Elementos'!CU94,'LP Elementos'!CZ94)," ")</f>
        <v>1707437.2280000001</v>
      </c>
      <c r="G94" s="341">
        <f>IFERROR(GEOMEAN('LP Elementos'!F94,'LP Elementos'!I94,'LP Elementos'!N94,'LP Elementos'!S94,'LP Elementos'!X94,'LP Elementos'!AC94,'LP Elementos'!AH94,'LP Elementos'!AM94,'LP Elementos'!AR94,'LP Elementos'!AW94,'LP Elementos'!BB94,'LP Elementos'!BG94,'LP Elementos'!BL94,'LP Elementos'!BQ94,'LP Elementos'!BV94,'LP Elementos'!CA94,'LP Elementos'!CF94,'LP Elementos'!CK94,'LP Elementos'!CP94,'LP Elementos'!CU94,'LP Elementos'!CZ94)," ")</f>
        <v>1458383.2700143813</v>
      </c>
      <c r="H94" s="341">
        <f t="shared" si="4"/>
        <v>419242.14295266912</v>
      </c>
      <c r="I94" s="342">
        <f t="shared" si="5"/>
        <v>0.2455388321617813</v>
      </c>
      <c r="J94" s="341">
        <f t="shared" si="6"/>
        <v>1458383.2700143813</v>
      </c>
      <c r="K94" s="326" t="str">
        <f t="shared" si="7"/>
        <v>Media Geometrica</v>
      </c>
      <c r="L94" s="326">
        <f>IFERROR(COUNTA('LP Elementos'!F94,'LP Elementos'!I94,'LP Elementos'!N94,'LP Elementos'!S94,'LP Elementos'!X94,'LP Elementos'!AC94,'LP Elementos'!AH94,'LP Elementos'!AM94,'LP Elementos'!AR94,'LP Elementos'!AX94,'LP Elementos'!BB94,'LP Elementos'!BG94,'LP Elementos'!BL94,'LP Elementos'!BQ94,'LP Elementos'!BV94,'LP Elementos'!CA94,'LP Elementos'!CF94,'LP Elementos'!CK94,'LP Elementos'!CP94,'LP Elementos'!CU94,'LP Elementos'!CZ94)," ")</f>
        <v>2</v>
      </c>
    </row>
    <row r="95" spans="2:12" x14ac:dyDescent="0.25">
      <c r="B95" s="411">
        <v>93</v>
      </c>
      <c r="C95" s="412" t="s">
        <v>3156</v>
      </c>
      <c r="D95" s="408">
        <f>IFERROR(MIN('LP Elementos'!F95,'LP Elementos'!I95,'LP Elementos'!N95,'LP Elementos'!S95,'LP Elementos'!X95,'LP Elementos'!AC95,'LP Elementos'!AH95,'LP Elementos'!AM95,'LP Elementos'!AR95,'LP Elementos'!AW95,'LP Elementos'!BB95,'LP Elementos'!BG95,'LP Elementos'!BL95,'LP Elementos'!BQ95,'LP Elementos'!BV95,'LP Elementos'!CA95,'LP Elementos'!CF95,'LP Elementos'!CK95,'LP Elementos'!CP95,'LP Elementos'!CU95,'LP Elementos'!CZ95)," ")</f>
        <v>27651.316000000003</v>
      </c>
      <c r="E95" s="341">
        <f>IFERROR(AVERAGE('LP Elementos'!F95,'LP Elementos'!I95,'LP Elementos'!N95,'LP Elementos'!S95,'LP Elementos'!X95,'LP Elementos'!AC95,'LP Elementos'!AH95,'LP Elementos'!AM95,'LP Elementos'!AR95,'LP Elementos'!AW95,'LP Elementos'!BB95,'LP Elementos'!BG95,'LP Elementos'!BL95,'LP Elementos'!BQ95,'LP Elementos'!BV95,'LP Elementos'!CA95,'LP Elementos'!CF95,'LP Elementos'!CK95,'LP Elementos'!CP95,'LP Elementos'!CU95,'LP Elementos'!CZ95)," ")</f>
        <v>87010.657999999996</v>
      </c>
      <c r="F95" s="341">
        <f>IFERROR(MEDIAN('LP Elementos'!F95,'LP Elementos'!I95,'LP Elementos'!N95,'LP Elementos'!S95,'LP Elementos'!X95,'LP Elementos'!AC95,'LP Elementos'!AH95,'LP Elementos'!AM95,'LP Elementos'!AR95,'LP Elementos'!AW95,'LP Elementos'!BB95,'LP Elementos'!BG95,'LP Elementos'!BL95,'LP Elementos'!BQ95,'LP Elementos'!BV95,'LP Elementos'!CA95,'LP Elementos'!CF95,'LP Elementos'!CK95,'LP Elementos'!CP95,'LP Elementos'!CU95,'LP Elementos'!CZ95)," ")</f>
        <v>87010.657999999996</v>
      </c>
      <c r="G95" s="341">
        <f>IFERROR(GEOMEAN('LP Elementos'!F95,'LP Elementos'!I95,'LP Elementos'!N95,'LP Elementos'!S95,'LP Elementos'!X95,'LP Elementos'!AC95,'LP Elementos'!AH95,'LP Elementos'!AM95,'LP Elementos'!AR95,'LP Elementos'!AW95,'LP Elementos'!BB95,'LP Elementos'!BG95,'LP Elementos'!BL95,'LP Elementos'!BQ95,'LP Elementos'!BV95,'LP Elementos'!CA95,'LP Elementos'!CF95,'LP Elementos'!CK95,'LP Elementos'!CP95,'LP Elementos'!CU95,'LP Elementos'!CZ95)," ")</f>
        <v>63618.575297785479</v>
      </c>
      <c r="H95" s="341">
        <f t="shared" si="4"/>
        <v>28040.277241013151</v>
      </c>
      <c r="I95" s="342">
        <f t="shared" si="5"/>
        <v>0.32226255823755695</v>
      </c>
      <c r="J95" s="341">
        <f t="shared" si="6"/>
        <v>27651.316000000003</v>
      </c>
      <c r="K95" s="326" t="str">
        <f t="shared" si="7"/>
        <v>Menor Valor</v>
      </c>
      <c r="L95" s="326">
        <f>IFERROR(COUNTA('LP Elementos'!F95,'LP Elementos'!I95,'LP Elementos'!N95,'LP Elementos'!S95,'LP Elementos'!X95,'LP Elementos'!AC95,'LP Elementos'!AH95,'LP Elementos'!AM95,'LP Elementos'!AR95,'LP Elementos'!AX95,'LP Elementos'!BB95,'LP Elementos'!BG95,'LP Elementos'!BL95,'LP Elementos'!BQ95,'LP Elementos'!BV95,'LP Elementos'!CA95,'LP Elementos'!CF95,'LP Elementos'!CK95,'LP Elementos'!CP95,'LP Elementos'!CU95,'LP Elementos'!CZ95)," ")</f>
        <v>2</v>
      </c>
    </row>
    <row r="96" spans="2:12" ht="27" x14ac:dyDescent="0.25">
      <c r="B96" s="411">
        <v>94</v>
      </c>
      <c r="C96" s="412" t="s">
        <v>3159</v>
      </c>
      <c r="D96" s="408">
        <f>IFERROR(MIN('LP Elementos'!F96,'LP Elementos'!I96,'LP Elementos'!N96,'LP Elementos'!S96,'LP Elementos'!X96,'LP Elementos'!AC96,'LP Elementos'!AH96,'LP Elementos'!AM96,'LP Elementos'!AR96,'LP Elementos'!AW96,'LP Elementos'!BB96,'LP Elementos'!BG96,'LP Elementos'!BL96,'LP Elementos'!BQ96,'LP Elementos'!BV96,'LP Elementos'!CA96,'LP Elementos'!CF96,'LP Elementos'!CK96,'LP Elementos'!CP96,'LP Elementos'!CU96,'LP Elementos'!CZ96)," ")</f>
        <v>296623.20799999998</v>
      </c>
      <c r="E96" s="341">
        <f>IFERROR(AVERAGE('LP Elementos'!F96,'LP Elementos'!I96,'LP Elementos'!N96,'LP Elementos'!S96,'LP Elementos'!X96,'LP Elementos'!AC96,'LP Elementos'!AH96,'LP Elementos'!AM96,'LP Elementos'!AR96,'LP Elementos'!AW96,'LP Elementos'!BB96,'LP Elementos'!BG96,'LP Elementos'!BL96,'LP Elementos'!BQ96,'LP Elementos'!BV96,'LP Elementos'!CA96,'LP Elementos'!CF96,'LP Elementos'!CK96,'LP Elementos'!CP96,'LP Elementos'!CU96,'LP Elementos'!CZ96)," ")</f>
        <v>599916.60400000005</v>
      </c>
      <c r="F96" s="341">
        <f>IFERROR(MEDIAN('LP Elementos'!F96,'LP Elementos'!I96,'LP Elementos'!N96,'LP Elementos'!S96,'LP Elementos'!X96,'LP Elementos'!AC96,'LP Elementos'!AH96,'LP Elementos'!AM96,'LP Elementos'!AR96,'LP Elementos'!AW96,'LP Elementos'!BB96,'LP Elementos'!BG96,'LP Elementos'!BL96,'LP Elementos'!BQ96,'LP Elementos'!BV96,'LP Elementos'!CA96,'LP Elementos'!CF96,'LP Elementos'!CK96,'LP Elementos'!CP96,'LP Elementos'!CU96,'LP Elementos'!CZ96)," ")</f>
        <v>599916.60400000005</v>
      </c>
      <c r="G96" s="341">
        <f>IFERROR(GEOMEAN('LP Elementos'!F96,'LP Elementos'!I96,'LP Elementos'!N96,'LP Elementos'!S96,'LP Elementos'!X96,'LP Elementos'!AC96,'LP Elementos'!AH96,'LP Elementos'!AM96,'LP Elementos'!AR96,'LP Elementos'!AW96,'LP Elementos'!BB96,'LP Elementos'!BG96,'LP Elementos'!BL96,'LP Elementos'!BQ96,'LP Elementos'!BV96,'LP Elementos'!CA96,'LP Elementos'!CF96,'LP Elementos'!CK96,'LP Elementos'!CP96,'LP Elementos'!CU96,'LP Elementos'!CZ96)," ")</f>
        <v>517603.17589605262</v>
      </c>
      <c r="H96" s="341">
        <f t="shared" si="4"/>
        <v>143282.03981954986</v>
      </c>
      <c r="I96" s="342">
        <f t="shared" si="5"/>
        <v>0.2388365963939045</v>
      </c>
      <c r="J96" s="341">
        <f t="shared" si="6"/>
        <v>517603.17589605262</v>
      </c>
      <c r="K96" s="326" t="str">
        <f t="shared" si="7"/>
        <v>Media Geometrica</v>
      </c>
      <c r="L96" s="326">
        <f>IFERROR(COUNTA('LP Elementos'!F96,'LP Elementos'!I96,'LP Elementos'!N96,'LP Elementos'!S96,'LP Elementos'!X96,'LP Elementos'!AC96,'LP Elementos'!AH96,'LP Elementos'!AM96,'LP Elementos'!AR96,'LP Elementos'!AX96,'LP Elementos'!BB96,'LP Elementos'!BG96,'LP Elementos'!BL96,'LP Elementos'!BQ96,'LP Elementos'!BV96,'LP Elementos'!CA96,'LP Elementos'!CF96,'LP Elementos'!CK96,'LP Elementos'!CP96,'LP Elementos'!CU96,'LP Elementos'!CZ96)," ")</f>
        <v>2</v>
      </c>
    </row>
    <row r="97" spans="2:12" ht="27" x14ac:dyDescent="0.25">
      <c r="B97" s="411">
        <v>95</v>
      </c>
      <c r="C97" s="412" t="s">
        <v>3162</v>
      </c>
      <c r="D97" s="408">
        <f>IFERROR(MIN('LP Elementos'!F97,'LP Elementos'!I97,'LP Elementos'!N97,'LP Elementos'!S97,'LP Elementos'!X97,'LP Elementos'!AC97,'LP Elementos'!AH97,'LP Elementos'!AM97,'LP Elementos'!AR97,'LP Elementos'!AW97,'LP Elementos'!BB97,'LP Elementos'!BG97,'LP Elementos'!BL97,'LP Elementos'!BQ97,'LP Elementos'!BV97,'LP Elementos'!CA97,'LP Elementos'!CF97,'LP Elementos'!CK97,'LP Elementos'!CP97,'LP Elementos'!CU97,'LP Elementos'!CZ97)," ")</f>
        <v>579358.44220000005</v>
      </c>
      <c r="E97" s="341">
        <f>IFERROR(AVERAGE('LP Elementos'!F97,'LP Elementos'!I97,'LP Elementos'!N97,'LP Elementos'!S97,'LP Elementos'!X97,'LP Elementos'!AC97,'LP Elementos'!AH97,'LP Elementos'!AM97,'LP Elementos'!AR97,'LP Elementos'!AW97,'LP Elementos'!BB97,'LP Elementos'!BG97,'LP Elementos'!BL97,'LP Elementos'!BQ97,'LP Elementos'!BV97,'LP Elementos'!CA97,'LP Elementos'!CF97,'LP Elementos'!CK97,'LP Elementos'!CP97,'LP Elementos'!CU97,'LP Elementos'!CZ97)," ")</f>
        <v>741284.22109999997</v>
      </c>
      <c r="F97" s="341">
        <f>IFERROR(MEDIAN('LP Elementos'!F97,'LP Elementos'!I97,'LP Elementos'!N97,'LP Elementos'!S97,'LP Elementos'!X97,'LP Elementos'!AC97,'LP Elementos'!AH97,'LP Elementos'!AM97,'LP Elementos'!AR97,'LP Elementos'!AW97,'LP Elementos'!BB97,'LP Elementos'!BG97,'LP Elementos'!BL97,'LP Elementos'!BQ97,'LP Elementos'!BV97,'LP Elementos'!CA97,'LP Elementos'!CF97,'LP Elementos'!CK97,'LP Elementos'!CP97,'LP Elementos'!CU97,'LP Elementos'!CZ97)," ")</f>
        <v>741284.22109999997</v>
      </c>
      <c r="G97" s="341">
        <f>IFERROR(GEOMEAN('LP Elementos'!F97,'LP Elementos'!I97,'LP Elementos'!N97,'LP Elementos'!S97,'LP Elementos'!X97,'LP Elementos'!AC97,'LP Elementos'!AH97,'LP Elementos'!AM97,'LP Elementos'!AR97,'LP Elementos'!AW97,'LP Elementos'!BB97,'LP Elementos'!BG97,'LP Elementos'!BL97,'LP Elementos'!BQ97,'LP Elementos'!BV97,'LP Elementos'!CA97,'LP Elementos'!CF97,'LP Elementos'!CK97,'LP Elementos'!CP97,'LP Elementos'!CU97,'LP Elementos'!CZ97)," ")</f>
        <v>723382.56723497424</v>
      </c>
      <c r="H97" s="341">
        <f t="shared" si="4"/>
        <v>78434.581424606949</v>
      </c>
      <c r="I97" s="342">
        <f t="shared" si="5"/>
        <v>0.10580905298134768</v>
      </c>
      <c r="J97" s="341">
        <f t="shared" si="6"/>
        <v>741284.22109999997</v>
      </c>
      <c r="K97" s="326" t="str">
        <f t="shared" si="7"/>
        <v>Promedio</v>
      </c>
      <c r="L97" s="326">
        <f>IFERROR(COUNTA('LP Elementos'!F97,'LP Elementos'!I97,'LP Elementos'!N97,'LP Elementos'!S97,'LP Elementos'!X97,'LP Elementos'!AC97,'LP Elementos'!AH97,'LP Elementos'!AM97,'LP Elementos'!AR97,'LP Elementos'!AX97,'LP Elementos'!BB97,'LP Elementos'!BG97,'LP Elementos'!BL97,'LP Elementos'!BQ97,'LP Elementos'!BV97,'LP Elementos'!CA97,'LP Elementos'!CF97,'LP Elementos'!CK97,'LP Elementos'!CP97,'LP Elementos'!CU97,'LP Elementos'!CZ97)," ")</f>
        <v>2</v>
      </c>
    </row>
    <row r="98" spans="2:12" ht="27" x14ac:dyDescent="0.25">
      <c r="B98" s="411">
        <v>96</v>
      </c>
      <c r="C98" s="412" t="s">
        <v>3164</v>
      </c>
      <c r="D98" s="408">
        <f>IFERROR(MIN('LP Elementos'!F98,'LP Elementos'!I98,'LP Elementos'!N98,'LP Elementos'!S98,'LP Elementos'!X98,'LP Elementos'!AC98,'LP Elementos'!AH98,'LP Elementos'!AM98,'LP Elementos'!AR98,'LP Elementos'!AW98,'LP Elementos'!BB98,'LP Elementos'!BG98,'LP Elementos'!BL98,'LP Elementos'!BQ98,'LP Elementos'!BV98,'LP Elementos'!CA98,'LP Elementos'!CF98,'LP Elementos'!CK98,'LP Elementos'!CP98,'LP Elementos'!CU98,'LP Elementos'!CZ98)," ")</f>
        <v>500865.88300000003</v>
      </c>
      <c r="E98" s="341">
        <f>IFERROR(AVERAGE('LP Elementos'!F98,'LP Elementos'!I98,'LP Elementos'!N98,'LP Elementos'!S98,'LP Elementos'!X98,'LP Elementos'!AC98,'LP Elementos'!AH98,'LP Elementos'!AM98,'LP Elementos'!AR98,'LP Elementos'!AW98,'LP Elementos'!BB98,'LP Elementos'!BG98,'LP Elementos'!BL98,'LP Elementos'!BQ98,'LP Elementos'!BV98,'LP Elementos'!CA98,'LP Elementos'!CF98,'LP Elementos'!CK98,'LP Elementos'!CP98,'LP Elementos'!CU98,'LP Elementos'!CZ98)," ")</f>
        <v>2456692.9415000002</v>
      </c>
      <c r="F98" s="341">
        <f>IFERROR(MEDIAN('LP Elementos'!F98,'LP Elementos'!I98,'LP Elementos'!N98,'LP Elementos'!S98,'LP Elementos'!X98,'LP Elementos'!AC98,'LP Elementos'!AH98,'LP Elementos'!AM98,'LP Elementos'!AR98,'LP Elementos'!AW98,'LP Elementos'!BB98,'LP Elementos'!BG98,'LP Elementos'!BL98,'LP Elementos'!BQ98,'LP Elementos'!BV98,'LP Elementos'!CA98,'LP Elementos'!CF98,'LP Elementos'!CK98,'LP Elementos'!CP98,'LP Elementos'!CU98,'LP Elementos'!CZ98)," ")</f>
        <v>2456692.9415000002</v>
      </c>
      <c r="G98" s="341">
        <f>IFERROR(GEOMEAN('LP Elementos'!F98,'LP Elementos'!I98,'LP Elementos'!N98,'LP Elementos'!S98,'LP Elementos'!X98,'LP Elementos'!AC98,'LP Elementos'!AH98,'LP Elementos'!AM98,'LP Elementos'!AR98,'LP Elementos'!AW98,'LP Elementos'!BB98,'LP Elementos'!BG98,'LP Elementos'!BL98,'LP Elementos'!BQ98,'LP Elementos'!BV98,'LP Elementos'!CA98,'LP Elementos'!CF98,'LP Elementos'!CK98,'LP Elementos'!CP98,'LP Elementos'!CU98,'LP Elementos'!CZ98)," ")</f>
        <v>1486634.0255944501</v>
      </c>
      <c r="H98" s="341">
        <f t="shared" si="4"/>
        <v>935605.25851501327</v>
      </c>
      <c r="I98" s="342">
        <f t="shared" si="5"/>
        <v>0.38083931561416634</v>
      </c>
      <c r="J98" s="408">
        <f t="shared" si="6"/>
        <v>500865.88300000003</v>
      </c>
      <c r="K98" s="326" t="str">
        <f t="shared" si="7"/>
        <v>Menor Valor</v>
      </c>
      <c r="L98" s="326">
        <f>IFERROR(COUNTA('LP Elementos'!F98,'LP Elementos'!I98,'LP Elementos'!N98,'LP Elementos'!S98,'LP Elementos'!X98,'LP Elementos'!AC98,'LP Elementos'!AH98,'LP Elementos'!AM98,'LP Elementos'!AR98,'LP Elementos'!AX98,'LP Elementos'!BB98,'LP Elementos'!BG98,'LP Elementos'!BL98,'LP Elementos'!BQ98,'LP Elementos'!BV98,'LP Elementos'!CA98,'LP Elementos'!CF98,'LP Elementos'!CK98,'LP Elementos'!CP98,'LP Elementos'!CU98,'LP Elementos'!CZ98)," ")</f>
        <v>2</v>
      </c>
    </row>
    <row r="99" spans="2:12" x14ac:dyDescent="0.25">
      <c r="B99" s="411">
        <v>97</v>
      </c>
      <c r="C99" s="412" t="s">
        <v>3168</v>
      </c>
      <c r="D99" s="408">
        <f>IFERROR(MIN('LP Elementos'!F99,'LP Elementos'!I99,'LP Elementos'!N99,'LP Elementos'!S99,'LP Elementos'!X99,'LP Elementos'!AC99,'LP Elementos'!AH99,'LP Elementos'!AM99,'LP Elementos'!AR99,'LP Elementos'!AW99,'LP Elementos'!BB99,'LP Elementos'!BG99,'LP Elementos'!BL99,'LP Elementos'!BQ99,'LP Elementos'!BV99,'LP Elementos'!CA99,'LP Elementos'!CF99,'LP Elementos'!CK99,'LP Elementos'!CP99,'LP Elementos'!CU99,'LP Elementos'!CZ99)," ")</f>
        <v>311780</v>
      </c>
      <c r="E99" s="341">
        <f>IFERROR(AVERAGE('LP Elementos'!F99,'LP Elementos'!I99,'LP Elementos'!N99,'LP Elementos'!S99,'LP Elementos'!X99,'LP Elementos'!AC99,'LP Elementos'!AH99,'LP Elementos'!AM99,'LP Elementos'!AR99,'LP Elementos'!AW99,'LP Elementos'!BB99,'LP Elementos'!BG99,'LP Elementos'!BL99,'LP Elementos'!BQ99,'LP Elementos'!BV99,'LP Elementos'!CA99,'LP Elementos'!CF99,'LP Elementos'!CK99,'LP Elementos'!CP99,'LP Elementos'!CU99,'LP Elementos'!CZ99)," ")</f>
        <v>604141.58000000007</v>
      </c>
      <c r="F99" s="341">
        <f>IFERROR(MEDIAN('LP Elementos'!F99,'LP Elementos'!I99,'LP Elementos'!N99,'LP Elementos'!S99,'LP Elementos'!X99,'LP Elementos'!AC99,'LP Elementos'!AH99,'LP Elementos'!AM99,'LP Elementos'!AR99,'LP Elementos'!AW99,'LP Elementos'!BB99,'LP Elementos'!BG99,'LP Elementos'!BL99,'LP Elementos'!BQ99,'LP Elementos'!BV99,'LP Elementos'!CA99,'LP Elementos'!CF99,'LP Elementos'!CK99,'LP Elementos'!CP99,'LP Elementos'!CU99,'LP Elementos'!CZ99)," ")</f>
        <v>600788.16</v>
      </c>
      <c r="G99" s="341">
        <f>IFERROR(GEOMEAN('LP Elementos'!F99,'LP Elementos'!I99,'LP Elementos'!N99,'LP Elementos'!S99,'LP Elementos'!X99,'LP Elementos'!AC99,'LP Elementos'!AH99,'LP Elementos'!AM99,'LP Elementos'!AR99,'LP Elementos'!AW99,'LP Elementos'!BB99,'LP Elementos'!BG99,'LP Elementos'!BL99,'LP Elementos'!BQ99,'LP Elementos'!BV99,'LP Elementos'!CA99,'LP Elementos'!CF99,'LP Elementos'!CK99,'LP Elementos'!CP99,'LP Elementos'!CU99,'LP Elementos'!CZ99)," ")</f>
        <v>563743.52103453572</v>
      </c>
      <c r="H99" s="341">
        <f t="shared" si="4"/>
        <v>140089.90559897519</v>
      </c>
      <c r="I99" s="342">
        <f t="shared" si="5"/>
        <v>0.23188257560251882</v>
      </c>
      <c r="J99" s="341">
        <f t="shared" si="6"/>
        <v>563743.52103453572</v>
      </c>
      <c r="K99" s="326" t="str">
        <f t="shared" si="7"/>
        <v>Media Geometrica</v>
      </c>
      <c r="L99" s="326">
        <f>IFERROR(COUNTA('LP Elementos'!F99,'LP Elementos'!I99,'LP Elementos'!N99,'LP Elementos'!S99,'LP Elementos'!X99,'LP Elementos'!AC99,'LP Elementos'!AH99,'LP Elementos'!AM99,'LP Elementos'!AR99,'LP Elementos'!AX99,'LP Elementos'!BB99,'LP Elementos'!BG99,'LP Elementos'!BL99,'LP Elementos'!BQ99,'LP Elementos'!BV99,'LP Elementos'!CA99,'LP Elementos'!CF99,'LP Elementos'!CK99,'LP Elementos'!CP99,'LP Elementos'!CU99,'LP Elementos'!CZ99)," ")</f>
        <v>4</v>
      </c>
    </row>
    <row r="100" spans="2:12" ht="27" x14ac:dyDescent="0.25">
      <c r="B100" s="411">
        <v>98</v>
      </c>
      <c r="C100" s="412" t="s">
        <v>3174</v>
      </c>
      <c r="D100" s="408">
        <f>IFERROR(MIN('LP Elementos'!F100,'LP Elementos'!I100,'LP Elementos'!N100,'LP Elementos'!S100,'LP Elementos'!X100,'LP Elementos'!AC100,'LP Elementos'!AH100,'LP Elementos'!AM100,'LP Elementos'!AR100,'LP Elementos'!AW100,'LP Elementos'!BB100,'LP Elementos'!BG100,'LP Elementos'!BL100,'LP Elementos'!BQ100,'LP Elementos'!BV100,'LP Elementos'!CA100,'LP Elementos'!CF100,'LP Elementos'!CK100,'LP Elementos'!CP100,'LP Elementos'!CU100,'LP Elementos'!CZ100)," ")</f>
        <v>234030.68360000002</v>
      </c>
      <c r="E100" s="341">
        <f>IFERROR(AVERAGE('LP Elementos'!F100,'LP Elementos'!I100,'LP Elementos'!N100,'LP Elementos'!S100,'LP Elementos'!X100,'LP Elementos'!AC100,'LP Elementos'!AH100,'LP Elementos'!AM100,'LP Elementos'!AR100,'LP Elementos'!AW100,'LP Elementos'!BB100,'LP Elementos'!BG100,'LP Elementos'!BL100,'LP Elementos'!BQ100,'LP Elementos'!BV100,'LP Elementos'!CA100,'LP Elementos'!CF100,'LP Elementos'!CK100,'LP Elementos'!CP100,'LP Elementos'!CU100,'LP Elementos'!CZ100)," ")</f>
        <v>600255.17090000003</v>
      </c>
      <c r="F100" s="341">
        <f>IFERROR(MEDIAN('LP Elementos'!F100,'LP Elementos'!I100,'LP Elementos'!N100,'LP Elementos'!S100,'LP Elementos'!X100,'LP Elementos'!AC100,'LP Elementos'!AH100,'LP Elementos'!AM100,'LP Elementos'!AR100,'LP Elementos'!AW100,'LP Elementos'!BB100,'LP Elementos'!BG100,'LP Elementos'!BL100,'LP Elementos'!BQ100,'LP Elementos'!BV100,'LP Elementos'!CA100,'LP Elementos'!CF100,'LP Elementos'!CK100,'LP Elementos'!CP100,'LP Elementos'!CU100,'LP Elementos'!CZ100)," ")</f>
        <v>462910</v>
      </c>
      <c r="G100" s="341">
        <f>IFERROR(GEOMEAN('LP Elementos'!F100,'LP Elementos'!I100,'LP Elementos'!N100,'LP Elementos'!S100,'LP Elementos'!X100,'LP Elementos'!AC100,'LP Elementos'!AH100,'LP Elementos'!AM100,'LP Elementos'!AR100,'LP Elementos'!AW100,'LP Elementos'!BB100,'LP Elementos'!BG100,'LP Elementos'!BL100,'LP Elementos'!BQ100,'LP Elementos'!BV100,'LP Elementos'!CA100,'LP Elementos'!CF100,'LP Elementos'!CK100,'LP Elementos'!CP100,'LP Elementos'!CU100,'LP Elementos'!CZ100)," ")</f>
        <v>495740.81570746511</v>
      </c>
      <c r="H100" s="341">
        <f t="shared" si="4"/>
        <v>154343.53422707881</v>
      </c>
      <c r="I100" s="342">
        <f t="shared" si="5"/>
        <v>0.2571298702777719</v>
      </c>
      <c r="J100" s="341">
        <f t="shared" si="6"/>
        <v>495740.81570746511</v>
      </c>
      <c r="K100" s="326" t="str">
        <f t="shared" si="7"/>
        <v>Media Geometrica</v>
      </c>
      <c r="L100" s="326">
        <f>IFERROR(COUNTA('LP Elementos'!F100,'LP Elementos'!I100,'LP Elementos'!N100,'LP Elementos'!S100,'LP Elementos'!X100,'LP Elementos'!AC100,'LP Elementos'!AH100,'LP Elementos'!AM100,'LP Elementos'!AR100,'LP Elementos'!AX100,'LP Elementos'!BB100,'LP Elementos'!BG100,'LP Elementos'!BL100,'LP Elementos'!BQ100,'LP Elementos'!BV100,'LP Elementos'!CA100,'LP Elementos'!CF100,'LP Elementos'!CK100,'LP Elementos'!CP100,'LP Elementos'!CU100,'LP Elementos'!CZ100)," ")</f>
        <v>4</v>
      </c>
    </row>
    <row r="101" spans="2:12" x14ac:dyDescent="0.25">
      <c r="B101" s="411">
        <v>99</v>
      </c>
      <c r="C101" s="412" t="s">
        <v>3178</v>
      </c>
      <c r="D101" s="408">
        <f>IFERROR(MIN('LP Elementos'!F101,'LP Elementos'!I101,'LP Elementos'!N101,'LP Elementos'!S101,'LP Elementos'!X101,'LP Elementos'!AC101,'LP Elementos'!AH101,'LP Elementos'!AM101,'LP Elementos'!AR101,'LP Elementos'!AW101,'LP Elementos'!BB101,'LP Elementos'!BG101,'LP Elementos'!BL101,'LP Elementos'!BQ101,'LP Elementos'!BV101,'LP Elementos'!CA101,'LP Elementos'!CF101,'LP Elementos'!CK101,'LP Elementos'!CP101,'LP Elementos'!CU101,'LP Elementos'!CZ101)," ")</f>
        <v>281540.67200000002</v>
      </c>
      <c r="E101" s="341">
        <f>IFERROR(AVERAGE('LP Elementos'!F101,'LP Elementos'!I101,'LP Elementos'!N101,'LP Elementos'!S101,'LP Elementos'!X101,'LP Elementos'!AC101,'LP Elementos'!AH101,'LP Elementos'!AM101,'LP Elementos'!AR101,'LP Elementos'!AW101,'LP Elementos'!BB101,'LP Elementos'!BG101,'LP Elementos'!BL101,'LP Elementos'!BQ101,'LP Elementos'!BV101,'LP Elementos'!CA101,'LP Elementos'!CF101,'LP Elementos'!CK101,'LP Elementos'!CP101,'LP Elementos'!CU101,'LP Elementos'!CZ101)," ")</f>
        <v>1861870.6680000001</v>
      </c>
      <c r="F101" s="341">
        <f>IFERROR(MEDIAN('LP Elementos'!F101,'LP Elementos'!I101,'LP Elementos'!N101,'LP Elementos'!S101,'LP Elementos'!X101,'LP Elementos'!AC101,'LP Elementos'!AH101,'LP Elementos'!AM101,'LP Elementos'!AR101,'LP Elementos'!AW101,'LP Elementos'!BB101,'LP Elementos'!BG101,'LP Elementos'!BL101,'LP Elementos'!BQ101,'LP Elementos'!BV101,'LP Elementos'!CA101,'LP Elementos'!CF101,'LP Elementos'!CK101,'LP Elementos'!CP101,'LP Elementos'!CU101,'LP Elementos'!CZ101)," ")</f>
        <v>445536</v>
      </c>
      <c r="G101" s="341">
        <f>IFERROR(GEOMEAN('LP Elementos'!F101,'LP Elementos'!I101,'LP Elementos'!N101,'LP Elementos'!S101,'LP Elementos'!X101,'LP Elementos'!AC101,'LP Elementos'!AH101,'LP Elementos'!AM101,'LP Elementos'!AR101,'LP Elementos'!AW101,'LP Elementos'!BB101,'LP Elementos'!BG101,'LP Elementos'!BL101,'LP Elementos'!BQ101,'LP Elementos'!BV101,'LP Elementos'!CA101,'LP Elementos'!CF101,'LP Elementos'!CK101,'LP Elementos'!CP101,'LP Elementos'!CU101,'LP Elementos'!CZ101)," ")</f>
        <v>764939.66186637862</v>
      </c>
      <c r="H101" s="341">
        <f t="shared" si="4"/>
        <v>711178.14051032404</v>
      </c>
      <c r="I101" s="342">
        <f t="shared" si="5"/>
        <v>0.38196967852459018</v>
      </c>
      <c r="J101" s="341">
        <f t="shared" si="6"/>
        <v>281540.67200000002</v>
      </c>
      <c r="K101" s="326" t="str">
        <f t="shared" si="7"/>
        <v>Menor Valor</v>
      </c>
      <c r="L101" s="326">
        <f>IFERROR(COUNTA('LP Elementos'!F101,'LP Elementos'!I101,'LP Elementos'!N101,'LP Elementos'!S101,'LP Elementos'!X101,'LP Elementos'!AC101,'LP Elementos'!AH101,'LP Elementos'!AM101,'LP Elementos'!AR101,'LP Elementos'!AX101,'LP Elementos'!BB101,'LP Elementos'!BG101,'LP Elementos'!BL101,'LP Elementos'!BQ101,'LP Elementos'!BV101,'LP Elementos'!CA101,'LP Elementos'!CF101,'LP Elementos'!CK101,'LP Elementos'!CP101,'LP Elementos'!CU101,'LP Elementos'!CZ101)," ")</f>
        <v>4</v>
      </c>
    </row>
    <row r="102" spans="2:12" x14ac:dyDescent="0.25">
      <c r="B102" s="411">
        <v>100</v>
      </c>
      <c r="C102" s="412" t="s">
        <v>3183</v>
      </c>
      <c r="D102" s="408">
        <f>IFERROR(MIN('LP Elementos'!F102,'LP Elementos'!I102,'LP Elementos'!N102,'LP Elementos'!S102,'LP Elementos'!X102,'LP Elementos'!AC102,'LP Elementos'!AH102,'LP Elementos'!AM102,'LP Elementos'!AR102,'LP Elementos'!AW102,'LP Elementos'!BB102,'LP Elementos'!BG102,'LP Elementos'!BL102,'LP Elementos'!BQ102,'LP Elementos'!BV102,'LP Elementos'!CA102,'LP Elementos'!CF102,'LP Elementos'!CK102,'LP Elementos'!CP102,'LP Elementos'!CU102,'LP Elementos'!CZ102)," ")</f>
        <v>160905.7328</v>
      </c>
      <c r="E102" s="341">
        <f>IFERROR(AVERAGE('LP Elementos'!F102,'LP Elementos'!I102,'LP Elementos'!N102,'LP Elementos'!S102,'LP Elementos'!X102,'LP Elementos'!AC102,'LP Elementos'!AH102,'LP Elementos'!AM102,'LP Elementos'!AR102,'LP Elementos'!AW102,'LP Elementos'!BB102,'LP Elementos'!BG102,'LP Elementos'!BL102,'LP Elementos'!BQ102,'LP Elementos'!BV102,'LP Elementos'!CA102,'LP Elementos'!CF102,'LP Elementos'!CK102,'LP Elementos'!CP102,'LP Elementos'!CU102,'LP Elementos'!CZ102)," ")</f>
        <v>160905.7328</v>
      </c>
      <c r="F102" s="341">
        <f>IFERROR(MEDIAN('LP Elementos'!F102,'LP Elementos'!I102,'LP Elementos'!N102,'LP Elementos'!S102,'LP Elementos'!X102,'LP Elementos'!AC102,'LP Elementos'!AH102,'LP Elementos'!AM102,'LP Elementos'!AR102,'LP Elementos'!AW102,'LP Elementos'!BB102,'LP Elementos'!BG102,'LP Elementos'!BL102,'LP Elementos'!BQ102,'LP Elementos'!BV102,'LP Elementos'!CA102,'LP Elementos'!CF102,'LP Elementos'!CK102,'LP Elementos'!CP102,'LP Elementos'!CU102,'LP Elementos'!CZ102)," ")</f>
        <v>160905.7328</v>
      </c>
      <c r="G102" s="341">
        <f>IFERROR(GEOMEAN('LP Elementos'!F102,'LP Elementos'!I102,'LP Elementos'!N102,'LP Elementos'!S102,'LP Elementos'!X102,'LP Elementos'!AC102,'LP Elementos'!AH102,'LP Elementos'!AM102,'LP Elementos'!AR102,'LP Elementos'!AW102,'LP Elementos'!BB102,'LP Elementos'!BG102,'LP Elementos'!BL102,'LP Elementos'!BQ102,'LP Elementos'!BV102,'LP Elementos'!CA102,'LP Elementos'!CF102,'LP Elementos'!CK102,'LP Elementos'!CP102,'LP Elementos'!CU102,'LP Elementos'!CZ102)," ")</f>
        <v>160905.7328</v>
      </c>
      <c r="H102" s="341">
        <f t="shared" si="4"/>
        <v>0</v>
      </c>
      <c r="I102" s="342">
        <f t="shared" si="5"/>
        <v>0</v>
      </c>
      <c r="J102" s="341">
        <f t="shared" si="6"/>
        <v>160905.7328</v>
      </c>
      <c r="K102" s="326" t="str">
        <f t="shared" si="7"/>
        <v>Menor Valor</v>
      </c>
      <c r="L102" s="326">
        <f>IFERROR(COUNTA('LP Elementos'!F102,'LP Elementos'!I102,'LP Elementos'!N102,'LP Elementos'!S102,'LP Elementos'!X102,'LP Elementos'!AC102,'LP Elementos'!AH102,'LP Elementos'!AM102,'LP Elementos'!AR102,'LP Elementos'!AX102,'LP Elementos'!BB102,'LP Elementos'!BG102,'LP Elementos'!BL102,'LP Elementos'!BQ102,'LP Elementos'!BV102,'LP Elementos'!CA102,'LP Elementos'!CF102,'LP Elementos'!CK102,'LP Elementos'!CP102,'LP Elementos'!CU102,'LP Elementos'!CZ102)," ")</f>
        <v>1</v>
      </c>
    </row>
    <row r="103" spans="2:12" ht="27" x14ac:dyDescent="0.25">
      <c r="B103" s="411">
        <v>101</v>
      </c>
      <c r="C103" s="412" t="s">
        <v>3185</v>
      </c>
      <c r="D103" s="408">
        <f>IFERROR(MIN('LP Elementos'!F103,'LP Elementos'!I103,'LP Elementos'!N103,'LP Elementos'!S103,'LP Elementos'!X103,'LP Elementos'!AC103,'LP Elementos'!AH103,'LP Elementos'!AM103,'LP Elementos'!AR103,'LP Elementos'!AW103,'LP Elementos'!BB103,'LP Elementos'!BG103,'LP Elementos'!BL103,'LP Elementos'!BQ103,'LP Elementos'!BV103,'LP Elementos'!CA103,'LP Elementos'!CF103,'LP Elementos'!CK103,'LP Elementos'!CP103,'LP Elementos'!CU103,'LP Elementos'!CZ103)," ")</f>
        <v>91752.093999999997</v>
      </c>
      <c r="E103" s="341">
        <f>IFERROR(AVERAGE('LP Elementos'!F103,'LP Elementos'!I103,'LP Elementos'!N103,'LP Elementos'!S103,'LP Elementos'!X103,'LP Elementos'!AC103,'LP Elementos'!AH103,'LP Elementos'!AM103,'LP Elementos'!AR103,'LP Elementos'!AW103,'LP Elementos'!BB103,'LP Elementos'!BG103,'LP Elementos'!BL103,'LP Elementos'!BQ103,'LP Elementos'!BV103,'LP Elementos'!CA103,'LP Elementos'!CF103,'LP Elementos'!CK103,'LP Elementos'!CP103,'LP Elementos'!CU103,'LP Elementos'!CZ103)," ")</f>
        <v>93476.046999999991</v>
      </c>
      <c r="F103" s="341">
        <f>IFERROR(MEDIAN('LP Elementos'!F103,'LP Elementos'!I103,'LP Elementos'!N103,'LP Elementos'!S103,'LP Elementos'!X103,'LP Elementos'!AC103,'LP Elementos'!AH103,'LP Elementos'!AM103,'LP Elementos'!AR103,'LP Elementos'!AW103,'LP Elementos'!BB103,'LP Elementos'!BG103,'LP Elementos'!BL103,'LP Elementos'!BQ103,'LP Elementos'!BV103,'LP Elementos'!CA103,'LP Elementos'!CF103,'LP Elementos'!CK103,'LP Elementos'!CP103,'LP Elementos'!CU103,'LP Elementos'!CZ103)," ")</f>
        <v>93476.046999999991</v>
      </c>
      <c r="G103" s="341">
        <f>IFERROR(GEOMEAN('LP Elementos'!F103,'LP Elementos'!I103,'LP Elementos'!N103,'LP Elementos'!S103,'LP Elementos'!X103,'LP Elementos'!AC103,'LP Elementos'!AH103,'LP Elementos'!AM103,'LP Elementos'!AR103,'LP Elementos'!AW103,'LP Elementos'!BB103,'LP Elementos'!BG103,'LP Elementos'!BL103,'LP Elementos'!BQ103,'LP Elementos'!BV103,'LP Elementos'!CA103,'LP Elementos'!CF103,'LP Elementos'!CK103,'LP Elementos'!CP103,'LP Elementos'!CU103,'LP Elementos'!CZ103)," ")</f>
        <v>93460.148452696129</v>
      </c>
      <c r="H103" s="341">
        <f t="shared" si="4"/>
        <v>859.3594239027592</v>
      </c>
      <c r="I103" s="342">
        <f t="shared" si="5"/>
        <v>9.1933650542877499E-3</v>
      </c>
      <c r="J103" s="341">
        <f t="shared" si="6"/>
        <v>93476.046999999991</v>
      </c>
      <c r="K103" s="326" t="str">
        <f t="shared" si="7"/>
        <v>Promedio</v>
      </c>
      <c r="L103" s="326">
        <f>IFERROR(COUNTA('LP Elementos'!F103,'LP Elementos'!I103,'LP Elementos'!N103,'LP Elementos'!S103,'LP Elementos'!X103,'LP Elementos'!AC103,'LP Elementos'!AH103,'LP Elementos'!AM103,'LP Elementos'!AR103,'LP Elementos'!AX103,'LP Elementos'!BB103,'LP Elementos'!BG103,'LP Elementos'!BL103,'LP Elementos'!BQ103,'LP Elementos'!BV103,'LP Elementos'!CA103,'LP Elementos'!CF103,'LP Elementos'!CK103,'LP Elementos'!CP103,'LP Elementos'!CU103,'LP Elementos'!CZ103)," ")</f>
        <v>2</v>
      </c>
    </row>
    <row r="104" spans="2:12" ht="27" x14ac:dyDescent="0.25">
      <c r="B104" s="411">
        <v>102</v>
      </c>
      <c r="C104" s="412" t="s">
        <v>3187</v>
      </c>
      <c r="D104" s="408">
        <f>IFERROR(MIN('LP Elementos'!F104,'LP Elementos'!I104,'LP Elementos'!N104,'LP Elementos'!S104,'LP Elementos'!X104,'LP Elementos'!AC104,'LP Elementos'!AH104,'LP Elementos'!AM104,'LP Elementos'!AR104,'LP Elementos'!AW104,'LP Elementos'!BB104,'LP Elementos'!BG104,'LP Elementos'!BL104,'LP Elementos'!BQ104,'LP Elementos'!BV104,'LP Elementos'!CA104,'LP Elementos'!CF104,'LP Elementos'!CK104,'LP Elementos'!CP104,'LP Elementos'!CU104,'LP Elementos'!CZ104)," ")</f>
        <v>96779.606</v>
      </c>
      <c r="E104" s="341">
        <f>IFERROR(AVERAGE('LP Elementos'!F104,'LP Elementos'!I104,'LP Elementos'!N104,'LP Elementos'!S104,'LP Elementos'!X104,'LP Elementos'!AC104,'LP Elementos'!AH104,'LP Elementos'!AM104,'LP Elementos'!AR104,'LP Elementos'!AW104,'LP Elementos'!BB104,'LP Elementos'!BG104,'LP Elementos'!BL104,'LP Elementos'!BQ104,'LP Elementos'!BV104,'LP Elementos'!CA104,'LP Elementos'!CF104,'LP Elementos'!CK104,'LP Elementos'!CP104,'LP Elementos'!CU104,'LP Elementos'!CZ104)," ")</f>
        <v>156679.80300000001</v>
      </c>
      <c r="F104" s="341">
        <f>IFERROR(MEDIAN('LP Elementos'!F104,'LP Elementos'!I104,'LP Elementos'!N104,'LP Elementos'!S104,'LP Elementos'!X104,'LP Elementos'!AC104,'LP Elementos'!AH104,'LP Elementos'!AM104,'LP Elementos'!AR104,'LP Elementos'!AW104,'LP Elementos'!BB104,'LP Elementos'!BG104,'LP Elementos'!BL104,'LP Elementos'!BQ104,'LP Elementos'!BV104,'LP Elementos'!CA104,'LP Elementos'!CF104,'LP Elementos'!CK104,'LP Elementos'!CP104,'LP Elementos'!CU104,'LP Elementos'!CZ104)," ")</f>
        <v>156679.80300000001</v>
      </c>
      <c r="G104" s="341">
        <f>IFERROR(GEOMEAN('LP Elementos'!F104,'LP Elementos'!I104,'LP Elementos'!N104,'LP Elementos'!S104,'LP Elementos'!X104,'LP Elementos'!AC104,'LP Elementos'!AH104,'LP Elementos'!AM104,'LP Elementos'!AR104,'LP Elementos'!AW104,'LP Elementos'!BB104,'LP Elementos'!BG104,'LP Elementos'!BL104,'LP Elementos'!BQ104,'LP Elementos'!BV104,'LP Elementos'!CA104,'LP Elementos'!CF104,'LP Elementos'!CK104,'LP Elementos'!CP104,'LP Elementos'!CU104,'LP Elementos'!CZ104)," ")</f>
        <v>144777.50884540044</v>
      </c>
      <c r="H104" s="341">
        <f t="shared" si="4"/>
        <v>28523.667206840888</v>
      </c>
      <c r="I104" s="342">
        <f t="shared" si="5"/>
        <v>0.18205069613752889</v>
      </c>
      <c r="J104" s="341">
        <f t="shared" si="6"/>
        <v>156679.80300000001</v>
      </c>
      <c r="K104" s="326" t="str">
        <f t="shared" si="7"/>
        <v>Promedio</v>
      </c>
      <c r="L104" s="326">
        <f>IFERROR(COUNTA('LP Elementos'!F104,'LP Elementos'!I104,'LP Elementos'!N104,'LP Elementos'!S104,'LP Elementos'!X104,'LP Elementos'!AC104,'LP Elementos'!AH104,'LP Elementos'!AM104,'LP Elementos'!AR104,'LP Elementos'!AX104,'LP Elementos'!BB104,'LP Elementos'!BG104,'LP Elementos'!BL104,'LP Elementos'!BQ104,'LP Elementos'!BV104,'LP Elementos'!CA104,'LP Elementos'!CF104,'LP Elementos'!CK104,'LP Elementos'!CP104,'LP Elementos'!CU104,'LP Elementos'!CZ104)," ")</f>
        <v>2</v>
      </c>
    </row>
    <row r="105" spans="2:12" ht="27" x14ac:dyDescent="0.25">
      <c r="B105" s="411">
        <v>103</v>
      </c>
      <c r="C105" s="412" t="s">
        <v>3189</v>
      </c>
      <c r="D105" s="408">
        <f>IFERROR(MIN('LP Elementos'!F105,'LP Elementos'!I105,'LP Elementos'!N105,'LP Elementos'!S105,'LP Elementos'!X105,'LP Elementos'!AC105,'LP Elementos'!AH105,'LP Elementos'!AM105,'LP Elementos'!AR105,'LP Elementos'!AW105,'LP Elementos'!BB105,'LP Elementos'!BG105,'LP Elementos'!BL105,'LP Elementos'!BQ105,'LP Elementos'!BV105,'LP Elementos'!CA105,'LP Elementos'!CF105,'LP Elementos'!CK105,'LP Elementos'!CP105,'LP Elementos'!CU105,'LP Elementos'!CZ105)," ")</f>
        <v>40848.535000000003</v>
      </c>
      <c r="E105" s="341">
        <f>IFERROR(AVERAGE('LP Elementos'!F105,'LP Elementos'!I105,'LP Elementos'!N105,'LP Elementos'!S105,'LP Elementos'!X105,'LP Elementos'!AC105,'LP Elementos'!AH105,'LP Elementos'!AM105,'LP Elementos'!AR105,'LP Elementos'!AW105,'LP Elementos'!BB105,'LP Elementos'!BG105,'LP Elementos'!BL105,'LP Elementos'!BQ105,'LP Elementos'!BV105,'LP Elementos'!CA105,'LP Elementos'!CF105,'LP Elementos'!CK105,'LP Elementos'!CP105,'LP Elementos'!CU105,'LP Elementos'!CZ105)," ")</f>
        <v>569312.06499999994</v>
      </c>
      <c r="F105" s="341">
        <f>IFERROR(MEDIAN('LP Elementos'!F105,'LP Elementos'!I105,'LP Elementos'!N105,'LP Elementos'!S105,'LP Elementos'!X105,'LP Elementos'!AC105,'LP Elementos'!AH105,'LP Elementos'!AM105,'LP Elementos'!AR105,'LP Elementos'!AW105,'LP Elementos'!BB105,'LP Elementos'!BG105,'LP Elementos'!BL105,'LP Elementos'!BQ105,'LP Elementos'!BV105,'LP Elementos'!CA105,'LP Elementos'!CF105,'LP Elementos'!CK105,'LP Elementos'!CP105,'LP Elementos'!CU105,'LP Elementos'!CZ105)," ")</f>
        <v>347480</v>
      </c>
      <c r="G105" s="341">
        <f>IFERROR(GEOMEAN('LP Elementos'!F105,'LP Elementos'!I105,'LP Elementos'!N105,'LP Elementos'!S105,'LP Elementos'!X105,'LP Elementos'!AC105,'LP Elementos'!AH105,'LP Elementos'!AM105,'LP Elementos'!AR105,'LP Elementos'!AW105,'LP Elementos'!BB105,'LP Elementos'!BG105,'LP Elementos'!BL105,'LP Elementos'!BQ105,'LP Elementos'!BV105,'LP Elementos'!CA105,'LP Elementos'!CF105,'LP Elementos'!CK105,'LP Elementos'!CP105,'LP Elementos'!CU105,'LP Elementos'!CZ105)," ")</f>
        <v>265572.8710947294</v>
      </c>
      <c r="H105" s="341">
        <f t="shared" si="4"/>
        <v>218321.88122189677</v>
      </c>
      <c r="I105" s="342">
        <f t="shared" si="5"/>
        <v>0.38348367203828149</v>
      </c>
      <c r="J105" s="341">
        <f t="shared" si="6"/>
        <v>40848.535000000003</v>
      </c>
      <c r="K105" s="326" t="str">
        <f t="shared" si="7"/>
        <v>Menor Valor</v>
      </c>
      <c r="L105" s="326">
        <f>IFERROR(COUNTA('LP Elementos'!F105,'LP Elementos'!I105,'LP Elementos'!N105,'LP Elementos'!S105,'LP Elementos'!X105,'LP Elementos'!AC105,'LP Elementos'!AH105,'LP Elementos'!AM105,'LP Elementos'!AR105,'LP Elementos'!AX105,'LP Elementos'!BB105,'LP Elementos'!BG105,'LP Elementos'!BL105,'LP Elementos'!BQ105,'LP Elementos'!BV105,'LP Elementos'!CA105,'LP Elementos'!CF105,'LP Elementos'!CK105,'LP Elementos'!CP105,'LP Elementos'!CU105,'LP Elementos'!CZ105)," ")</f>
        <v>3</v>
      </c>
    </row>
    <row r="106" spans="2:12" ht="27" x14ac:dyDescent="0.25">
      <c r="B106" s="411">
        <v>104</v>
      </c>
      <c r="C106" s="412" t="s">
        <v>3193</v>
      </c>
      <c r="D106" s="408">
        <f>IFERROR(MIN('LP Elementos'!F106,'LP Elementos'!I106,'LP Elementos'!N106,'LP Elementos'!S106,'LP Elementos'!X106,'LP Elementos'!AC106,'LP Elementos'!AH106,'LP Elementos'!AM106,'LP Elementos'!AR106,'LP Elementos'!AW106,'LP Elementos'!BB106,'LP Elementos'!BG106,'LP Elementos'!BL106,'LP Elementos'!BQ106,'LP Elementos'!BV106,'LP Elementos'!CA106,'LP Elementos'!CF106,'LP Elementos'!CK106,'LP Elementos'!CP106,'LP Elementos'!CU106,'LP Elementos'!CZ106)," ")</f>
        <v>33320</v>
      </c>
      <c r="E106" s="341">
        <f>IFERROR(AVERAGE('LP Elementos'!F106,'LP Elementos'!I106,'LP Elementos'!N106,'LP Elementos'!S106,'LP Elementos'!X106,'LP Elementos'!AC106,'LP Elementos'!AH106,'LP Elementos'!AM106,'LP Elementos'!AR106,'LP Elementos'!AW106,'LP Elementos'!BB106,'LP Elementos'!BG106,'LP Elementos'!BL106,'LP Elementos'!BQ106,'LP Elementos'!BV106,'LP Elementos'!CA106,'LP Elementos'!CF106,'LP Elementos'!CK106,'LP Elementos'!CP106,'LP Elementos'!CU106,'LP Elementos'!CZ106)," ")</f>
        <v>187564.34899999999</v>
      </c>
      <c r="F106" s="341">
        <f>IFERROR(MEDIAN('LP Elementos'!F106,'LP Elementos'!I106,'LP Elementos'!N106,'LP Elementos'!S106,'LP Elementos'!X106,'LP Elementos'!AC106,'LP Elementos'!AH106,'LP Elementos'!AM106,'LP Elementos'!AR106,'LP Elementos'!AW106,'LP Elementos'!BB106,'LP Elementos'!BG106,'LP Elementos'!BL106,'LP Elementos'!BQ106,'LP Elementos'!BV106,'LP Elementos'!CA106,'LP Elementos'!CF106,'LP Elementos'!CK106,'LP Elementos'!CP106,'LP Elementos'!CU106,'LP Elementos'!CZ106)," ")</f>
        <v>129530.54800000001</v>
      </c>
      <c r="G106" s="341">
        <f>IFERROR(GEOMEAN('LP Elementos'!F106,'LP Elementos'!I106,'LP Elementos'!N106,'LP Elementos'!S106,'LP Elementos'!X106,'LP Elementos'!AC106,'LP Elementos'!AH106,'LP Elementos'!AM106,'LP Elementos'!AR106,'LP Elementos'!AW106,'LP Elementos'!BB106,'LP Elementos'!BG106,'LP Elementos'!BL106,'LP Elementos'!BQ106,'LP Elementos'!BV106,'LP Elementos'!CA106,'LP Elementos'!CF106,'LP Elementos'!CK106,'LP Elementos'!CP106,'LP Elementos'!CU106,'LP Elementos'!CZ106)," ")</f>
        <v>107648.06749268759</v>
      </c>
      <c r="H106" s="341">
        <f t="shared" si="4"/>
        <v>63774.229005994326</v>
      </c>
      <c r="I106" s="342">
        <f t="shared" si="5"/>
        <v>0.3400125308781059</v>
      </c>
      <c r="J106" s="341">
        <f t="shared" si="6"/>
        <v>33320</v>
      </c>
      <c r="K106" s="326" t="str">
        <f t="shared" si="7"/>
        <v>Menor Valor</v>
      </c>
      <c r="L106" s="326">
        <f>IFERROR(COUNTA('LP Elementos'!F106,'LP Elementos'!I106,'LP Elementos'!N106,'LP Elementos'!S106,'LP Elementos'!X106,'LP Elementos'!AC106,'LP Elementos'!AH106,'LP Elementos'!AM106,'LP Elementos'!AR106,'LP Elementos'!AX106,'LP Elementos'!BB106,'LP Elementos'!BG106,'LP Elementos'!BL106,'LP Elementos'!BQ106,'LP Elementos'!BV106,'LP Elementos'!CA106,'LP Elementos'!CF106,'LP Elementos'!CK106,'LP Elementos'!CP106,'LP Elementos'!CU106,'LP Elementos'!CZ106)," ")</f>
        <v>4</v>
      </c>
    </row>
    <row r="107" spans="2:12" ht="27" x14ac:dyDescent="0.25">
      <c r="B107" s="411">
        <v>105</v>
      </c>
      <c r="C107" s="412" t="s">
        <v>3199</v>
      </c>
      <c r="D107" s="408">
        <f>IFERROR(MIN('LP Elementos'!F107,'LP Elementos'!I107,'LP Elementos'!N107,'LP Elementos'!S107,'LP Elementos'!X107,'LP Elementos'!AC107,'LP Elementos'!AH107,'LP Elementos'!AM107,'LP Elementos'!AR107,'LP Elementos'!AW107,'LP Elementos'!BB107,'LP Elementos'!BG107,'LP Elementos'!BL107,'LP Elementos'!BQ107,'LP Elementos'!BV107,'LP Elementos'!CA107,'LP Elementos'!CF107,'LP Elementos'!CK107,'LP Elementos'!CP107,'LP Elementos'!CU107,'LP Elementos'!CZ107)," ")</f>
        <v>39270</v>
      </c>
      <c r="E107" s="341">
        <f>IFERROR(AVERAGE('LP Elementos'!F107,'LP Elementos'!I107,'LP Elementos'!N107,'LP Elementos'!S107,'LP Elementos'!X107,'LP Elementos'!AC107,'LP Elementos'!AH107,'LP Elementos'!AM107,'LP Elementos'!AR107,'LP Elementos'!AW107,'LP Elementos'!BB107,'LP Elementos'!BG107,'LP Elementos'!BL107,'LP Elementos'!BQ107,'LP Elementos'!BV107,'LP Elementos'!CA107,'LP Elementos'!CF107,'LP Elementos'!CK107,'LP Elementos'!CP107,'LP Elementos'!CU107,'LP Elementos'!CZ107)," ")</f>
        <v>291900.69299999997</v>
      </c>
      <c r="F107" s="341">
        <f>IFERROR(MEDIAN('LP Elementos'!F107,'LP Elementos'!I107,'LP Elementos'!N107,'LP Elementos'!S107,'LP Elementos'!X107,'LP Elementos'!AC107,'LP Elementos'!AH107,'LP Elementos'!AM107,'LP Elementos'!AR107,'LP Elementos'!AW107,'LP Elementos'!BB107,'LP Elementos'!BG107,'LP Elementos'!BL107,'LP Elementos'!BQ107,'LP Elementos'!BV107,'LP Elementos'!CA107,'LP Elementos'!CF107,'LP Elementos'!CK107,'LP Elementos'!CP107,'LP Elementos'!CU107,'LP Elementos'!CZ107)," ")</f>
        <v>133929.62099999998</v>
      </c>
      <c r="G107" s="341">
        <f>IFERROR(GEOMEAN('LP Elementos'!F107,'LP Elementos'!I107,'LP Elementos'!N107,'LP Elementos'!S107,'LP Elementos'!X107,'LP Elementos'!AC107,'LP Elementos'!AH107,'LP Elementos'!AM107,'LP Elementos'!AR107,'LP Elementos'!AW107,'LP Elementos'!BB107,'LP Elementos'!BG107,'LP Elementos'!BL107,'LP Elementos'!BQ107,'LP Elementos'!BV107,'LP Elementos'!CA107,'LP Elementos'!CF107,'LP Elementos'!CK107,'LP Elementos'!CP107,'LP Elementos'!CU107,'LP Elementos'!CZ107)," ")</f>
        <v>137981.61049087063</v>
      </c>
      <c r="H107" s="341">
        <f t="shared" si="4"/>
        <v>104558.21947099644</v>
      </c>
      <c r="I107" s="342">
        <f t="shared" si="5"/>
        <v>0.35819791449072186</v>
      </c>
      <c r="J107" s="341">
        <f t="shared" si="6"/>
        <v>39270</v>
      </c>
      <c r="K107" s="326" t="str">
        <f t="shared" si="7"/>
        <v>Menor Valor</v>
      </c>
      <c r="L107" s="326">
        <f>IFERROR(COUNTA('LP Elementos'!F107,'LP Elementos'!I107,'LP Elementos'!N107,'LP Elementos'!S107,'LP Elementos'!X107,'LP Elementos'!AC107,'LP Elementos'!AH107,'LP Elementos'!AM107,'LP Elementos'!AR107,'LP Elementos'!AX107,'LP Elementos'!BB107,'LP Elementos'!BG107,'LP Elementos'!BL107,'LP Elementos'!BQ107,'LP Elementos'!BV107,'LP Elementos'!CA107,'LP Elementos'!CF107,'LP Elementos'!CK107,'LP Elementos'!CP107,'LP Elementos'!CU107,'LP Elementos'!CZ107)," ")</f>
        <v>4</v>
      </c>
    </row>
    <row r="108" spans="2:12" ht="27" x14ac:dyDescent="0.25">
      <c r="B108" s="411">
        <v>106</v>
      </c>
      <c r="C108" s="412" t="s">
        <v>3204</v>
      </c>
      <c r="D108" s="408">
        <f>IFERROR(MIN('LP Elementos'!F108,'LP Elementos'!I108,'LP Elementos'!N108,'LP Elementos'!S108,'LP Elementos'!X108,'LP Elementos'!AC108,'LP Elementos'!AH108,'LP Elementos'!AM108,'LP Elementos'!AR108,'LP Elementos'!AW108,'LP Elementos'!BB108,'LP Elementos'!BG108,'LP Elementos'!BL108,'LP Elementos'!BQ108,'LP Elementos'!BV108,'LP Elementos'!CA108,'LP Elementos'!CF108,'LP Elementos'!CK108,'LP Elementos'!CP108,'LP Elementos'!CU108,'LP Elementos'!CZ108)," ")</f>
        <v>45247.608</v>
      </c>
      <c r="E108" s="341">
        <f>IFERROR(AVERAGE('LP Elementos'!F108,'LP Elementos'!I108,'LP Elementos'!N108,'LP Elementos'!S108,'LP Elementos'!X108,'LP Elementos'!AC108,'LP Elementos'!AH108,'LP Elementos'!AM108,'LP Elementos'!AR108,'LP Elementos'!AW108,'LP Elementos'!BB108,'LP Elementos'!BG108,'LP Elementos'!BL108,'LP Elementos'!BQ108,'LP Elementos'!BV108,'LP Elementos'!CA108,'LP Elementos'!CF108,'LP Elementos'!CK108,'LP Elementos'!CP108,'LP Elementos'!CU108,'LP Elementos'!CZ108)," ")</f>
        <v>157093.804</v>
      </c>
      <c r="F108" s="341">
        <f>IFERROR(MEDIAN('LP Elementos'!F108,'LP Elementos'!I108,'LP Elementos'!N108,'LP Elementos'!S108,'LP Elementos'!X108,'LP Elementos'!AC108,'LP Elementos'!AH108,'LP Elementos'!AM108,'LP Elementos'!AR108,'LP Elementos'!AW108,'LP Elementos'!BB108,'LP Elementos'!BG108,'LP Elementos'!BL108,'LP Elementos'!BQ108,'LP Elementos'!BV108,'LP Elementos'!CA108,'LP Elementos'!CF108,'LP Elementos'!CK108,'LP Elementos'!CP108,'LP Elementos'!CU108,'LP Elementos'!CZ108)," ")</f>
        <v>157093.804</v>
      </c>
      <c r="G108" s="341">
        <f>IFERROR(GEOMEAN('LP Elementos'!F108,'LP Elementos'!I108,'LP Elementos'!N108,'LP Elementos'!S108,'LP Elementos'!X108,'LP Elementos'!AC108,'LP Elementos'!AH108,'LP Elementos'!AM108,'LP Elementos'!AR108,'LP Elementos'!AW108,'LP Elementos'!BB108,'LP Elementos'!BG108,'LP Elementos'!BL108,'LP Elementos'!BQ108,'LP Elementos'!BV108,'LP Elementos'!CA108,'LP Elementos'!CF108,'LP Elementos'!CK108,'LP Elementos'!CP108,'LP Elementos'!CU108,'LP Elementos'!CZ108)," ")</f>
        <v>110312.69961124149</v>
      </c>
      <c r="H108" s="341">
        <f t="shared" si="4"/>
        <v>52938.291687416538</v>
      </c>
      <c r="I108" s="342">
        <f t="shared" si="5"/>
        <v>0.33698523009485809</v>
      </c>
      <c r="J108" s="341">
        <f t="shared" si="6"/>
        <v>45247.608</v>
      </c>
      <c r="K108" s="326" t="str">
        <f t="shared" si="7"/>
        <v>Menor Valor</v>
      </c>
      <c r="L108" s="326">
        <f>IFERROR(COUNTA('LP Elementos'!F108,'LP Elementos'!I108,'LP Elementos'!N108,'LP Elementos'!S108,'LP Elementos'!X108,'LP Elementos'!AC108,'LP Elementos'!AH108,'LP Elementos'!AM108,'LP Elementos'!AR108,'LP Elementos'!AX108,'LP Elementos'!BB108,'LP Elementos'!BG108,'LP Elementos'!BL108,'LP Elementos'!BQ108,'LP Elementos'!BV108,'LP Elementos'!CA108,'LP Elementos'!CF108,'LP Elementos'!CK108,'LP Elementos'!CP108,'LP Elementos'!CU108,'LP Elementos'!CZ108)," ")</f>
        <v>2</v>
      </c>
    </row>
    <row r="109" spans="2:12" ht="40.5" x14ac:dyDescent="0.25">
      <c r="B109" s="411">
        <v>107</v>
      </c>
      <c r="C109" s="412" t="s">
        <v>3207</v>
      </c>
      <c r="D109" s="408">
        <f>IFERROR(MIN('LP Elementos'!F109,'LP Elementos'!I109,'LP Elementos'!N109,'LP Elementos'!S109,'LP Elementos'!X109,'LP Elementos'!AC109,'LP Elementos'!AH109,'LP Elementos'!AM109,'LP Elementos'!AR109,'LP Elementos'!AW109,'LP Elementos'!BB109,'LP Elementos'!BG109,'LP Elementos'!BL109,'LP Elementos'!BQ109,'LP Elementos'!BV109,'LP Elementos'!CA109,'LP Elementos'!CF109,'LP Elementos'!CK109,'LP Elementos'!CP109,'LP Elementos'!CU109,'LP Elementos'!CZ109)," ")</f>
        <v>54740</v>
      </c>
      <c r="E109" s="341">
        <f>IFERROR(AVERAGE('LP Elementos'!F109,'LP Elementos'!I109,'LP Elementos'!N109,'LP Elementos'!S109,'LP Elementos'!X109,'LP Elementos'!AC109,'LP Elementos'!AH109,'LP Elementos'!AM109,'LP Elementos'!AR109,'LP Elementos'!AW109,'LP Elementos'!BB109,'LP Elementos'!BG109,'LP Elementos'!BL109,'LP Elementos'!BQ109,'LP Elementos'!BV109,'LP Elementos'!CA109,'LP Elementos'!CF109,'LP Elementos'!CK109,'LP Elementos'!CP109,'LP Elementos'!CU109,'LP Elementos'!CZ109)," ")</f>
        <v>66333.217999999993</v>
      </c>
      <c r="F109" s="341">
        <f>IFERROR(MEDIAN('LP Elementos'!F109,'LP Elementos'!I109,'LP Elementos'!N109,'LP Elementos'!S109,'LP Elementos'!X109,'LP Elementos'!AC109,'LP Elementos'!AH109,'LP Elementos'!AM109,'LP Elementos'!AR109,'LP Elementos'!AW109,'LP Elementos'!BB109,'LP Elementos'!BG109,'LP Elementos'!BL109,'LP Elementos'!BQ109,'LP Elementos'!BV109,'LP Elementos'!CA109,'LP Elementos'!CF109,'LP Elementos'!CK109,'LP Elementos'!CP109,'LP Elementos'!CU109,'LP Elementos'!CZ109)," ")</f>
        <v>66333.217999999993</v>
      </c>
      <c r="G109" s="341">
        <f>IFERROR(GEOMEAN('LP Elementos'!F109,'LP Elementos'!I109,'LP Elementos'!N109,'LP Elementos'!S109,'LP Elementos'!X109,'LP Elementos'!AC109,'LP Elementos'!AH109,'LP Elementos'!AM109,'LP Elementos'!AR109,'LP Elementos'!AW109,'LP Elementos'!BB109,'LP Elementos'!BG109,'LP Elementos'!BL109,'LP Elementos'!BQ109,'LP Elementos'!BV109,'LP Elementos'!CA109,'LP Elementos'!CF109,'LP Elementos'!CK109,'LP Elementos'!CP109,'LP Elementos'!CU109,'LP Elementos'!CZ109)," ")</f>
        <v>65312.273782498189</v>
      </c>
      <c r="H109" s="341">
        <f t="shared" si="4"/>
        <v>5646.9979805914509</v>
      </c>
      <c r="I109" s="342">
        <f t="shared" si="5"/>
        <v>8.5130770839301831E-2</v>
      </c>
      <c r="J109" s="341">
        <f t="shared" si="6"/>
        <v>66333.217999999993</v>
      </c>
      <c r="K109" s="326" t="str">
        <f t="shared" si="7"/>
        <v>Promedio</v>
      </c>
      <c r="L109" s="326">
        <f>IFERROR(COUNTA('LP Elementos'!F109,'LP Elementos'!I109,'LP Elementos'!N109,'LP Elementos'!S109,'LP Elementos'!X109,'LP Elementos'!AC109,'LP Elementos'!AH109,'LP Elementos'!AM109,'LP Elementos'!AR109,'LP Elementos'!AX109,'LP Elementos'!BB109,'LP Elementos'!BG109,'LP Elementos'!BL109,'LP Elementos'!BQ109,'LP Elementos'!BV109,'LP Elementos'!CA109,'LP Elementos'!CF109,'LP Elementos'!CK109,'LP Elementos'!CP109,'LP Elementos'!CU109,'LP Elementos'!CZ109)," ")</f>
        <v>2</v>
      </c>
    </row>
    <row r="110" spans="2:12" ht="27" x14ac:dyDescent="0.25">
      <c r="B110" s="411">
        <v>108</v>
      </c>
      <c r="C110" s="412" t="s">
        <v>3208</v>
      </c>
      <c r="D110" s="408">
        <f>IFERROR(MIN('LP Elementos'!F110,'LP Elementos'!I110,'LP Elementos'!N110,'LP Elementos'!S110,'LP Elementos'!X110,'LP Elementos'!AC110,'LP Elementos'!AH110,'LP Elementos'!AM110,'LP Elementos'!AR110,'LP Elementos'!AW110,'LP Elementos'!BB110,'LP Elementos'!BG110,'LP Elementos'!BL110,'LP Elementos'!BQ110,'LP Elementos'!BV110,'LP Elementos'!CA110,'LP Elementos'!CF110,'LP Elementos'!CK110,'LP Elementos'!CP110,'LP Elementos'!CU110,'LP Elementos'!CZ110)," ")</f>
        <v>83300</v>
      </c>
      <c r="E110" s="341">
        <f>IFERROR(AVERAGE('LP Elementos'!F110,'LP Elementos'!I110,'LP Elementos'!N110,'LP Elementos'!S110,'LP Elementos'!X110,'LP Elementos'!AC110,'LP Elementos'!AH110,'LP Elementos'!AM110,'LP Elementos'!AR110,'LP Elementos'!AW110,'LP Elementos'!BB110,'LP Elementos'!BG110,'LP Elementos'!BL110,'LP Elementos'!BQ110,'LP Elementos'!BV110,'LP Elementos'!CA110,'LP Elementos'!CF110,'LP Elementos'!CK110,'LP Elementos'!CP110,'LP Elementos'!CU110,'LP Elementos'!CZ110)," ")</f>
        <v>88782.925000000003</v>
      </c>
      <c r="F110" s="341">
        <f>IFERROR(MEDIAN('LP Elementos'!F110,'LP Elementos'!I110,'LP Elementos'!N110,'LP Elementos'!S110,'LP Elementos'!X110,'LP Elementos'!AC110,'LP Elementos'!AH110,'LP Elementos'!AM110,'LP Elementos'!AR110,'LP Elementos'!AW110,'LP Elementos'!BB110,'LP Elementos'!BG110,'LP Elementos'!BL110,'LP Elementos'!BQ110,'LP Elementos'!BV110,'LP Elementos'!CA110,'LP Elementos'!CF110,'LP Elementos'!CK110,'LP Elementos'!CP110,'LP Elementos'!CU110,'LP Elementos'!CZ110)," ")</f>
        <v>88782.925000000003</v>
      </c>
      <c r="G110" s="341">
        <f>IFERROR(GEOMEAN('LP Elementos'!F110,'LP Elementos'!I110,'LP Elementos'!N110,'LP Elementos'!S110,'LP Elementos'!X110,'LP Elementos'!AC110,'LP Elementos'!AH110,'LP Elementos'!AM110,'LP Elementos'!AR110,'LP Elementos'!AW110,'LP Elementos'!BB110,'LP Elementos'!BG110,'LP Elementos'!BL110,'LP Elementos'!BQ110,'LP Elementos'!BV110,'LP Elementos'!CA110,'LP Elementos'!CF110,'LP Elementos'!CK110,'LP Elementos'!CP110,'LP Elementos'!CU110,'LP Elementos'!CZ110)," ")</f>
        <v>88613.460066741551</v>
      </c>
      <c r="H110" s="341">
        <f t="shared" si="4"/>
        <v>2714.3941576853413</v>
      </c>
      <c r="I110" s="342">
        <f t="shared" si="5"/>
        <v>3.0573380609901522E-2</v>
      </c>
      <c r="J110" s="341">
        <f t="shared" si="6"/>
        <v>88782.925000000003</v>
      </c>
      <c r="K110" s="326" t="str">
        <f t="shared" si="7"/>
        <v>Promedio</v>
      </c>
      <c r="L110" s="326">
        <f>IFERROR(COUNTA('LP Elementos'!F110,'LP Elementos'!I110,'LP Elementos'!N110,'LP Elementos'!S110,'LP Elementos'!X110,'LP Elementos'!AC110,'LP Elementos'!AH110,'LP Elementos'!AM110,'LP Elementos'!AR110,'LP Elementos'!AX110,'LP Elementos'!BB110,'LP Elementos'!BG110,'LP Elementos'!BL110,'LP Elementos'!BQ110,'LP Elementos'!BV110,'LP Elementos'!CA110,'LP Elementos'!CF110,'LP Elementos'!CK110,'LP Elementos'!CP110,'LP Elementos'!CU110,'LP Elementos'!CZ110)," ")</f>
        <v>2</v>
      </c>
    </row>
    <row r="111" spans="2:12" ht="27" x14ac:dyDescent="0.25">
      <c r="B111" s="411">
        <v>109</v>
      </c>
      <c r="C111" s="412" t="s">
        <v>3211</v>
      </c>
      <c r="D111" s="408">
        <f>IFERROR(MIN('LP Elementos'!F111,'LP Elementos'!I111,'LP Elementos'!N111,'LP Elementos'!S111,'LP Elementos'!X111,'LP Elementos'!AC111,'LP Elementos'!AH111,'LP Elementos'!AM111,'LP Elementos'!AR111,'LP Elementos'!AW111,'LP Elementos'!BB111,'LP Elementos'!BG111,'LP Elementos'!BL111,'LP Elementos'!BQ111,'LP Elementos'!BV111,'LP Elementos'!CA111,'LP Elementos'!CF111,'LP Elementos'!CK111,'LP Elementos'!CP111,'LP Elementos'!CU111,'LP Elementos'!CZ111)," ")</f>
        <v>97580</v>
      </c>
      <c r="E111" s="341">
        <f>IFERROR(AVERAGE('LP Elementos'!F111,'LP Elementos'!I111,'LP Elementos'!N111,'LP Elementos'!S111,'LP Elementos'!X111,'LP Elementos'!AC111,'LP Elementos'!AH111,'LP Elementos'!AM111,'LP Elementos'!AR111,'LP Elementos'!AW111,'LP Elementos'!BB111,'LP Elementos'!BG111,'LP Elementos'!BL111,'LP Elementos'!BQ111,'LP Elementos'!BV111,'LP Elementos'!CA111,'LP Elementos'!CF111,'LP Elementos'!CK111,'LP Elementos'!CP111,'LP Elementos'!CU111,'LP Elementos'!CZ111)," ")</f>
        <v>141798.97200000001</v>
      </c>
      <c r="F111" s="341">
        <f>IFERROR(MEDIAN('LP Elementos'!F111,'LP Elementos'!I111,'LP Elementos'!N111,'LP Elementos'!S111,'LP Elementos'!X111,'LP Elementos'!AC111,'LP Elementos'!AH111,'LP Elementos'!AM111,'LP Elementos'!AR111,'LP Elementos'!AW111,'LP Elementos'!BB111,'LP Elementos'!BG111,'LP Elementos'!BL111,'LP Elementos'!BQ111,'LP Elementos'!BV111,'LP Elementos'!CA111,'LP Elementos'!CF111,'LP Elementos'!CK111,'LP Elementos'!CP111,'LP Elementos'!CU111,'LP Elementos'!CZ111)," ")</f>
        <v>141798.97200000001</v>
      </c>
      <c r="G111" s="341">
        <f>IFERROR(GEOMEAN('LP Elementos'!F111,'LP Elementos'!I111,'LP Elementos'!N111,'LP Elementos'!S111,'LP Elementos'!X111,'LP Elementos'!AC111,'LP Elementos'!AH111,'LP Elementos'!AM111,'LP Elementos'!AR111,'LP Elementos'!AW111,'LP Elementos'!BB111,'LP Elementos'!BG111,'LP Elementos'!BL111,'LP Elementos'!BQ111,'LP Elementos'!BV111,'LP Elementos'!CA111,'LP Elementos'!CF111,'LP Elementos'!CK111,'LP Elementos'!CP111,'LP Elementos'!CU111,'LP Elementos'!CZ111)," ")</f>
        <v>134727.98883498559</v>
      </c>
      <c r="H111" s="341">
        <f t="shared" si="4"/>
        <v>21194.743156809756</v>
      </c>
      <c r="I111" s="342">
        <f t="shared" si="5"/>
        <v>0.1494703583380686</v>
      </c>
      <c r="J111" s="341">
        <f t="shared" si="6"/>
        <v>141798.97200000001</v>
      </c>
      <c r="K111" s="326" t="str">
        <f t="shared" si="7"/>
        <v>Promedio</v>
      </c>
      <c r="L111" s="326">
        <f>IFERROR(COUNTA('LP Elementos'!F111,'LP Elementos'!I111,'LP Elementos'!N111,'LP Elementos'!S111,'LP Elementos'!X111,'LP Elementos'!AC111,'LP Elementos'!AH111,'LP Elementos'!AM111,'LP Elementos'!AR111,'LP Elementos'!AX111,'LP Elementos'!BB111,'LP Elementos'!BG111,'LP Elementos'!BL111,'LP Elementos'!BQ111,'LP Elementos'!BV111,'LP Elementos'!CA111,'LP Elementos'!CF111,'LP Elementos'!CK111,'LP Elementos'!CP111,'LP Elementos'!CU111,'LP Elementos'!CZ111)," ")</f>
        <v>2</v>
      </c>
    </row>
    <row r="112" spans="2:12" ht="27" x14ac:dyDescent="0.25">
      <c r="B112" s="411">
        <v>110</v>
      </c>
      <c r="C112" s="412" t="s">
        <v>3213</v>
      </c>
      <c r="D112" s="408">
        <f>IFERROR(MIN('LP Elementos'!F112,'LP Elementos'!I112,'LP Elementos'!N112,'LP Elementos'!S112,'LP Elementos'!X112,'LP Elementos'!AC112,'LP Elementos'!AH112,'LP Elementos'!AM112,'LP Elementos'!AR112,'LP Elementos'!AW112,'LP Elementos'!BB112,'LP Elementos'!BG112,'LP Elementos'!BL112,'LP Elementos'!BQ112,'LP Elementos'!BV112,'LP Elementos'!CA112,'LP Elementos'!CF112,'LP Elementos'!CK112,'LP Elementos'!CP112,'LP Elementos'!CU112,'LP Elementos'!CZ112)," ")</f>
        <v>178476.67600000001</v>
      </c>
      <c r="E112" s="341">
        <f>IFERROR(AVERAGE('LP Elementos'!F112,'LP Elementos'!I112,'LP Elementos'!N112,'LP Elementos'!S112,'LP Elementos'!X112,'LP Elementos'!AC112,'LP Elementos'!AH112,'LP Elementos'!AM112,'LP Elementos'!AR112,'LP Elementos'!AW112,'LP Elementos'!BB112,'LP Elementos'!BG112,'LP Elementos'!BL112,'LP Elementos'!BQ112,'LP Elementos'!BV112,'LP Elementos'!CA112,'LP Elementos'!CF112,'LP Elementos'!CK112,'LP Elementos'!CP112,'LP Elementos'!CU112,'LP Elementos'!CZ112)," ")</f>
        <v>197528.33799999999</v>
      </c>
      <c r="F112" s="341">
        <f>IFERROR(MEDIAN('LP Elementos'!F112,'LP Elementos'!I112,'LP Elementos'!N112,'LP Elementos'!S112,'LP Elementos'!X112,'LP Elementos'!AC112,'LP Elementos'!AH112,'LP Elementos'!AM112,'LP Elementos'!AR112,'LP Elementos'!AW112,'LP Elementos'!BB112,'LP Elementos'!BG112,'LP Elementos'!BL112,'LP Elementos'!BQ112,'LP Elementos'!BV112,'LP Elementos'!CA112,'LP Elementos'!CF112,'LP Elementos'!CK112,'LP Elementos'!CP112,'LP Elementos'!CU112,'LP Elementos'!CZ112)," ")</f>
        <v>197528.33799999999</v>
      </c>
      <c r="G112" s="341">
        <f>IFERROR(GEOMEAN('LP Elementos'!F112,'LP Elementos'!I112,'LP Elementos'!N112,'LP Elementos'!S112,'LP Elementos'!X112,'LP Elementos'!AC112,'LP Elementos'!AH112,'LP Elementos'!AM112,'LP Elementos'!AR112,'LP Elementos'!AW112,'LP Elementos'!BB112,'LP Elementos'!BG112,'LP Elementos'!BL112,'LP Elementos'!BQ112,'LP Elementos'!BV112,'LP Elementos'!CA112,'LP Elementos'!CF112,'LP Elementos'!CK112,'LP Elementos'!CP112,'LP Elementos'!CU112,'LP Elementos'!CZ112)," ")</f>
        <v>196607.42226091059</v>
      </c>
      <c r="H112" s="341">
        <f t="shared" si="4"/>
        <v>9382.3938909490425</v>
      </c>
      <c r="I112" s="342">
        <f t="shared" si="5"/>
        <v>4.7498976531403017E-2</v>
      </c>
      <c r="J112" s="341">
        <f t="shared" si="6"/>
        <v>197528.33799999999</v>
      </c>
      <c r="K112" s="326" t="str">
        <f t="shared" si="7"/>
        <v>Promedio</v>
      </c>
      <c r="L112" s="326">
        <f>IFERROR(COUNTA('LP Elementos'!F112,'LP Elementos'!I112,'LP Elementos'!N112,'LP Elementos'!S112,'LP Elementos'!X112,'LP Elementos'!AC112,'LP Elementos'!AH112,'LP Elementos'!AM112,'LP Elementos'!AR112,'LP Elementos'!AX112,'LP Elementos'!BB112,'LP Elementos'!BG112,'LP Elementos'!BL112,'LP Elementos'!BQ112,'LP Elementos'!BV112,'LP Elementos'!CA112,'LP Elementos'!CF112,'LP Elementos'!CK112,'LP Elementos'!CP112,'LP Elementos'!CU112,'LP Elementos'!CZ112)," ")</f>
        <v>2</v>
      </c>
    </row>
    <row r="113" spans="2:12" ht="54" x14ac:dyDescent="0.25">
      <c r="B113" s="411">
        <v>111</v>
      </c>
      <c r="C113" s="409" t="s">
        <v>3214</v>
      </c>
      <c r="D113" s="408">
        <f>IFERROR(MIN('LP Elementos'!F113,'LP Elementos'!I113,'LP Elementos'!N113,'LP Elementos'!S113,'LP Elementos'!X113,'LP Elementos'!AC113,'LP Elementos'!AH113,'LP Elementos'!AM113,'LP Elementos'!AR113,'LP Elementos'!AW113,'LP Elementos'!BB113,'LP Elementos'!BG113,'LP Elementos'!BL113,'LP Elementos'!BQ113,'LP Elementos'!BV113,'LP Elementos'!CA113,'LP Elementos'!CF113,'LP Elementos'!CK113,'LP Elementos'!CP113,'LP Elementos'!CU113,'LP Elementos'!CZ113)," ")</f>
        <v>119000</v>
      </c>
      <c r="E113" s="341">
        <f>IFERROR(AVERAGE('LP Elementos'!F113,'LP Elementos'!I113,'LP Elementos'!N113,'LP Elementos'!S113,'LP Elementos'!X113,'LP Elementos'!AC113,'LP Elementos'!AH113,'LP Elementos'!AM113,'LP Elementos'!AR113,'LP Elementos'!AW113,'LP Elementos'!BB113,'LP Elementos'!BG113,'LP Elementos'!BL113,'LP Elementos'!BQ113,'LP Elementos'!BV113,'LP Elementos'!CA113,'LP Elementos'!CF113,'LP Elementos'!CK113,'LP Elementos'!CP113,'LP Elementos'!CU113,'LP Elementos'!CZ113)," ")</f>
        <v>119000</v>
      </c>
      <c r="F113" s="341">
        <f>IFERROR(MEDIAN('LP Elementos'!F113,'LP Elementos'!I113,'LP Elementos'!N113,'LP Elementos'!S113,'LP Elementos'!X113,'LP Elementos'!AC113,'LP Elementos'!AH113,'LP Elementos'!AM113,'LP Elementos'!AR113,'LP Elementos'!AW113,'LP Elementos'!BB113,'LP Elementos'!BG113,'LP Elementos'!BL113,'LP Elementos'!BQ113,'LP Elementos'!BV113,'LP Elementos'!CA113,'LP Elementos'!CF113,'LP Elementos'!CK113,'LP Elementos'!CP113,'LP Elementos'!CU113,'LP Elementos'!CZ113)," ")</f>
        <v>119000</v>
      </c>
      <c r="G113" s="341">
        <f>IFERROR(GEOMEAN('LP Elementos'!F113,'LP Elementos'!I113,'LP Elementos'!N113,'LP Elementos'!S113,'LP Elementos'!X113,'LP Elementos'!AC113,'LP Elementos'!AH113,'LP Elementos'!AM113,'LP Elementos'!AR113,'LP Elementos'!AW113,'LP Elementos'!BB113,'LP Elementos'!BG113,'LP Elementos'!BL113,'LP Elementos'!BQ113,'LP Elementos'!BV113,'LP Elementos'!CA113,'LP Elementos'!CF113,'LP Elementos'!CK113,'LP Elementos'!CP113,'LP Elementos'!CU113,'LP Elementos'!CZ113)," ")</f>
        <v>119000</v>
      </c>
      <c r="H113" s="341">
        <f t="shared" si="4"/>
        <v>0</v>
      </c>
      <c r="I113" s="342">
        <f t="shared" si="5"/>
        <v>0</v>
      </c>
      <c r="J113" s="341">
        <f t="shared" si="6"/>
        <v>119000</v>
      </c>
      <c r="K113" s="326" t="str">
        <f t="shared" si="7"/>
        <v>Menor Valor</v>
      </c>
      <c r="L113" s="326">
        <f>IFERROR(COUNTA('LP Elementos'!F113,'LP Elementos'!I113,'LP Elementos'!N113,'LP Elementos'!S113,'LP Elementos'!X113,'LP Elementos'!AC113,'LP Elementos'!AH113,'LP Elementos'!AM113,'LP Elementos'!AR113,'LP Elementos'!AX113,'LP Elementos'!BB113,'LP Elementos'!BG113,'LP Elementos'!BL113,'LP Elementos'!BQ113,'LP Elementos'!BV113,'LP Elementos'!CA113,'LP Elementos'!CF113,'LP Elementos'!CK113,'LP Elementos'!CP113,'LP Elementos'!CU113,'LP Elementos'!CZ113)," ")</f>
        <v>1</v>
      </c>
    </row>
    <row r="114" spans="2:12" ht="40.5" x14ac:dyDescent="0.25">
      <c r="B114" s="411">
        <v>112</v>
      </c>
      <c r="C114" s="412" t="s">
        <v>3215</v>
      </c>
      <c r="D114" s="408">
        <f>IFERROR(MIN('LP Elementos'!F114,'LP Elementos'!I114,'LP Elementos'!N114,'LP Elementos'!S114,'LP Elementos'!X114,'LP Elementos'!AC114,'LP Elementos'!AH114,'LP Elementos'!AM114,'LP Elementos'!AR114,'LP Elementos'!AW114,'LP Elementos'!BB114,'LP Elementos'!BG114,'LP Elementos'!BL114,'LP Elementos'!BQ114,'LP Elementos'!BV114,'LP Elementos'!CA114,'LP Elementos'!CF114,'LP Elementos'!CK114,'LP Elementos'!CP114,'LP Elementos'!CU114,'LP Elementos'!CZ114)," ")</f>
        <v>56559.51</v>
      </c>
      <c r="E114" s="341">
        <f>IFERROR(AVERAGE('LP Elementos'!F114,'LP Elementos'!I114,'LP Elementos'!N114,'LP Elementos'!S114,'LP Elementos'!X114,'LP Elementos'!AC114,'LP Elementos'!AH114,'LP Elementos'!AM114,'LP Elementos'!AR114,'LP Elementos'!AW114,'LP Elementos'!BB114,'LP Elementos'!BG114,'LP Elementos'!BL114,'LP Elementos'!BQ114,'LP Elementos'!BV114,'LP Elementos'!CA114,'LP Elementos'!CF114,'LP Elementos'!CK114,'LP Elementos'!CP114,'LP Elementos'!CU114,'LP Elementos'!CZ114)," ")</f>
        <v>56559.51</v>
      </c>
      <c r="F114" s="341">
        <f>IFERROR(MEDIAN('LP Elementos'!F114,'LP Elementos'!I114,'LP Elementos'!N114,'LP Elementos'!S114,'LP Elementos'!X114,'LP Elementos'!AC114,'LP Elementos'!AH114,'LP Elementos'!AM114,'LP Elementos'!AR114,'LP Elementos'!AW114,'LP Elementos'!BB114,'LP Elementos'!BG114,'LP Elementos'!BL114,'LP Elementos'!BQ114,'LP Elementos'!BV114,'LP Elementos'!CA114,'LP Elementos'!CF114,'LP Elementos'!CK114,'LP Elementos'!CP114,'LP Elementos'!CU114,'LP Elementos'!CZ114)," ")</f>
        <v>56559.51</v>
      </c>
      <c r="G114" s="341">
        <f>IFERROR(GEOMEAN('LP Elementos'!F114,'LP Elementos'!I114,'LP Elementos'!N114,'LP Elementos'!S114,'LP Elementos'!X114,'LP Elementos'!AC114,'LP Elementos'!AH114,'LP Elementos'!AM114,'LP Elementos'!AR114,'LP Elementos'!AW114,'LP Elementos'!BB114,'LP Elementos'!BG114,'LP Elementos'!BL114,'LP Elementos'!BQ114,'LP Elementos'!BV114,'LP Elementos'!CA114,'LP Elementos'!CF114,'LP Elementos'!CK114,'LP Elementos'!CP114,'LP Elementos'!CU114,'LP Elementos'!CZ114)," ")</f>
        <v>56559.51</v>
      </c>
      <c r="H114" s="341">
        <f t="shared" si="4"/>
        <v>0</v>
      </c>
      <c r="I114" s="342">
        <f t="shared" si="5"/>
        <v>0</v>
      </c>
      <c r="J114" s="341">
        <f t="shared" si="6"/>
        <v>56559.51</v>
      </c>
      <c r="K114" s="326" t="str">
        <f t="shared" si="7"/>
        <v>Menor Valor</v>
      </c>
      <c r="L114" s="326">
        <f>IFERROR(COUNTA('LP Elementos'!F114,'LP Elementos'!I114,'LP Elementos'!N114,'LP Elementos'!S114,'LP Elementos'!X114,'LP Elementos'!AC114,'LP Elementos'!AH114,'LP Elementos'!AM114,'LP Elementos'!AR114,'LP Elementos'!AX114,'LP Elementos'!BB114,'LP Elementos'!BG114,'LP Elementos'!BL114,'LP Elementos'!BQ114,'LP Elementos'!BV114,'LP Elementos'!CA114,'LP Elementos'!CF114,'LP Elementos'!CK114,'LP Elementos'!CP114,'LP Elementos'!CU114,'LP Elementos'!CZ114)," ")</f>
        <v>1</v>
      </c>
    </row>
    <row r="115" spans="2:12" ht="94.5" x14ac:dyDescent="0.25">
      <c r="B115" s="411">
        <v>113</v>
      </c>
      <c r="C115" s="412" t="s">
        <v>3217</v>
      </c>
      <c r="D115" s="408">
        <f>IFERROR(MIN('LP Elementos'!F115,'LP Elementos'!I115,'LP Elementos'!N115,'LP Elementos'!S115,'LP Elementos'!X115,'LP Elementos'!AC115,'LP Elementos'!AH115,'LP Elementos'!AM115,'LP Elementos'!AR115,'LP Elementos'!AW115,'LP Elementos'!BB115,'LP Elementos'!BG115,'LP Elementos'!BL115,'LP Elementos'!BQ115,'LP Elementos'!BV115,'LP Elementos'!CA115,'LP Elementos'!CF115,'LP Elementos'!CK115,'LP Elementos'!CP115,'LP Elementos'!CU115,'LP Elementos'!CZ115)," ")</f>
        <v>811943.18799999997</v>
      </c>
      <c r="E115" s="341">
        <f>IFERROR(AVERAGE('LP Elementos'!F115,'LP Elementos'!I115,'LP Elementos'!N115,'LP Elementos'!S115,'LP Elementos'!X115,'LP Elementos'!AC115,'LP Elementos'!AH115,'LP Elementos'!AM115,'LP Elementos'!AR115,'LP Elementos'!AW115,'LP Elementos'!BB115,'LP Elementos'!BG115,'LP Elementos'!BL115,'LP Elementos'!BQ115,'LP Elementos'!BV115,'LP Elementos'!CA115,'LP Elementos'!CF115,'LP Elementos'!CK115,'LP Elementos'!CP115,'LP Elementos'!CU115,'LP Elementos'!CZ115)," ")</f>
        <v>822471.59400000004</v>
      </c>
      <c r="F115" s="341">
        <f>IFERROR(MEDIAN('LP Elementos'!F115,'LP Elementos'!I115,'LP Elementos'!N115,'LP Elementos'!S115,'LP Elementos'!X115,'LP Elementos'!AC115,'LP Elementos'!AH115,'LP Elementos'!AM115,'LP Elementos'!AR115,'LP Elementos'!AW115,'LP Elementos'!BB115,'LP Elementos'!BG115,'LP Elementos'!BL115,'LP Elementos'!BQ115,'LP Elementos'!BV115,'LP Elementos'!CA115,'LP Elementos'!CF115,'LP Elementos'!CK115,'LP Elementos'!CP115,'LP Elementos'!CU115,'LP Elementos'!CZ115)," ")</f>
        <v>822471.59400000004</v>
      </c>
      <c r="G115" s="341">
        <f>IFERROR(GEOMEAN('LP Elementos'!F115,'LP Elementos'!I115,'LP Elementos'!N115,'LP Elementos'!S115,'LP Elementos'!X115,'LP Elementos'!AC115,'LP Elementos'!AH115,'LP Elementos'!AM115,'LP Elementos'!AR115,'LP Elementos'!AW115,'LP Elementos'!BB115,'LP Elementos'!BG115,'LP Elementos'!BL115,'LP Elementos'!BQ115,'LP Elementos'!BV115,'LP Elementos'!CA115,'LP Elementos'!CF115,'LP Elementos'!CK115,'LP Elementos'!CP115,'LP Elementos'!CU115,'LP Elementos'!CZ115)," ")</f>
        <v>822404.20451503037</v>
      </c>
      <c r="H115" s="341">
        <f t="shared" ref="H115:H160" si="8">STDEVA(D115,E115,F115,G115)</f>
        <v>5253.0674769984244</v>
      </c>
      <c r="I115" s="342">
        <f t="shared" ref="I115:I160" si="9">IFERROR(H115/E115," ")</f>
        <v>6.3869287587802383E-3</v>
      </c>
      <c r="J115" s="341">
        <f t="shared" ref="J115:J159" si="10">IF(I115&lt;=10%,F115,IF(AND(I115&gt;10%,I115&lt;=20%),E115,IF(AND(I115&gt;20%,I115&lt;=30%),G115,IF(I115&gt;30%,D115))))</f>
        <v>822471.59400000004</v>
      </c>
      <c r="K115" s="326" t="str">
        <f t="shared" ref="K115:K160" si="11">IF(J115=D115,"Menor Valor",IF(J115=E115,"Promedio",IF(J115=F115,"Mediana",IF(J115=G115,"Media Geometrica"," "))))</f>
        <v>Promedio</v>
      </c>
      <c r="L115" s="326">
        <f>IFERROR(COUNTA('LP Elementos'!F115,'LP Elementos'!I115,'LP Elementos'!N115,'LP Elementos'!S115,'LP Elementos'!X115,'LP Elementos'!AC115,'LP Elementos'!AH115,'LP Elementos'!AM115,'LP Elementos'!AR115,'LP Elementos'!AX115,'LP Elementos'!BB115,'LP Elementos'!BG115,'LP Elementos'!BL115,'LP Elementos'!BQ115,'LP Elementos'!BV115,'LP Elementos'!CA115,'LP Elementos'!CF115,'LP Elementos'!CK115,'LP Elementos'!CP115,'LP Elementos'!CU115,'LP Elementos'!CZ115)," ")</f>
        <v>2</v>
      </c>
    </row>
    <row r="116" spans="2:12" ht="27" x14ac:dyDescent="0.25">
      <c r="B116" s="411">
        <v>114</v>
      </c>
      <c r="C116" s="412" t="s">
        <v>3221</v>
      </c>
      <c r="D116" s="408">
        <f>IFERROR(MIN('LP Elementos'!F116,'LP Elementos'!I116,'LP Elementos'!N116,'LP Elementos'!S116,'LP Elementos'!X116,'LP Elementos'!AC116,'LP Elementos'!AH116,'LP Elementos'!AM116,'LP Elementos'!AR116,'LP Elementos'!AW116,'LP Elementos'!BB116,'LP Elementos'!BG116,'LP Elementos'!BL116,'LP Elementos'!BQ116,'LP Elementos'!BV116,'LP Elementos'!CA116,'LP Elementos'!CF116,'LP Elementos'!CK116,'LP Elementos'!CP116,'LP Elementos'!CU116,'LP Elementos'!CZ116)," ")</f>
        <v>309400</v>
      </c>
      <c r="E116" s="341">
        <f>IFERROR(AVERAGE('LP Elementos'!F116,'LP Elementos'!I116,'LP Elementos'!N116,'LP Elementos'!S116,'LP Elementos'!X116,'LP Elementos'!AC116,'LP Elementos'!AH116,'LP Elementos'!AM116,'LP Elementos'!AR116,'LP Elementos'!AW116,'LP Elementos'!BB116,'LP Elementos'!BG116,'LP Elementos'!BL116,'LP Elementos'!BQ116,'LP Elementos'!BV116,'LP Elementos'!CA116,'LP Elementos'!CF116,'LP Elementos'!CK116,'LP Elementos'!CP116,'LP Elementos'!CU116,'LP Elementos'!CZ116)," ")</f>
        <v>2219559.5632666666</v>
      </c>
      <c r="F116" s="341">
        <f>IFERROR(MEDIAN('LP Elementos'!F116,'LP Elementos'!I116,'LP Elementos'!N116,'LP Elementos'!S116,'LP Elementos'!X116,'LP Elementos'!AC116,'LP Elementos'!AH116,'LP Elementos'!AM116,'LP Elementos'!AR116,'LP Elementos'!AW116,'LP Elementos'!BB116,'LP Elementos'!BG116,'LP Elementos'!BL116,'LP Elementos'!BQ116,'LP Elementos'!BV116,'LP Elementos'!CA116,'LP Elementos'!CF116,'LP Elementos'!CK116,'LP Elementos'!CP116,'LP Elementos'!CU116,'LP Elementos'!CZ116)," ")</f>
        <v>608718.68980000005</v>
      </c>
      <c r="G116" s="341">
        <f>IFERROR(GEOMEAN('LP Elementos'!F116,'LP Elementos'!I116,'LP Elementos'!N116,'LP Elementos'!S116,'LP Elementos'!X116,'LP Elementos'!AC116,'LP Elementos'!AH116,'LP Elementos'!AM116,'LP Elementos'!AR116,'LP Elementos'!AW116,'LP Elementos'!BB116,'LP Elementos'!BG116,'LP Elementos'!BL116,'LP Elementos'!BQ116,'LP Elementos'!BV116,'LP Elementos'!CA116,'LP Elementos'!CF116,'LP Elementos'!CK116,'LP Elementos'!CP116,'LP Elementos'!CU116,'LP Elementos'!CZ116)," ")</f>
        <v>1026353.7388837045</v>
      </c>
      <c r="H116" s="341">
        <f t="shared" si="8"/>
        <v>838912.55961201759</v>
      </c>
      <c r="I116" s="342">
        <f t="shared" si="9"/>
        <v>0.37796352641122044</v>
      </c>
      <c r="J116" s="341">
        <f t="shared" si="10"/>
        <v>309400</v>
      </c>
      <c r="K116" s="326" t="str">
        <f t="shared" si="11"/>
        <v>Menor Valor</v>
      </c>
      <c r="L116" s="326">
        <f>IFERROR(COUNTA('LP Elementos'!F116,'LP Elementos'!I116,'LP Elementos'!N116,'LP Elementos'!S116,'LP Elementos'!X116,'LP Elementos'!AC116,'LP Elementos'!AH116,'LP Elementos'!AM116,'LP Elementos'!AR116,'LP Elementos'!AX116,'LP Elementos'!BB116,'LP Elementos'!BG116,'LP Elementos'!BL116,'LP Elementos'!BQ116,'LP Elementos'!BV116,'LP Elementos'!CA116,'LP Elementos'!CF116,'LP Elementos'!CK116,'LP Elementos'!CP116,'LP Elementos'!CU116,'LP Elementos'!CZ116)," ")</f>
        <v>3</v>
      </c>
    </row>
    <row r="117" spans="2:12" ht="121.5" x14ac:dyDescent="0.25">
      <c r="B117" s="411">
        <v>115</v>
      </c>
      <c r="C117" s="412" t="s">
        <v>3226</v>
      </c>
      <c r="D117" s="408">
        <f>IFERROR(MIN('LP Elementos'!F117,'LP Elementos'!I117,'LP Elementos'!N117,'LP Elementos'!S117,'LP Elementos'!X117,'LP Elementos'!AC117,'LP Elementos'!AH117,'LP Elementos'!AM117,'LP Elementos'!AR117,'LP Elementos'!AW117,'LP Elementos'!BB117,'LP Elementos'!BG117,'LP Elementos'!BL117,'LP Elementos'!BQ117,'LP Elementos'!BV117,'LP Elementos'!CA117,'LP Elementos'!CF117,'LP Elementos'!CK117,'LP Elementos'!CP117,'LP Elementos'!CU117,'LP Elementos'!CZ117)," ")</f>
        <v>466029.23840000003</v>
      </c>
      <c r="E117" s="341">
        <f>IFERROR(AVERAGE('LP Elementos'!F117,'LP Elementos'!I117,'LP Elementos'!N117,'LP Elementos'!S117,'LP Elementos'!X117,'LP Elementos'!AC117,'LP Elementos'!AH117,'LP Elementos'!AM117,'LP Elementos'!AR117,'LP Elementos'!AW117,'LP Elementos'!BB117,'LP Elementos'!BG117,'LP Elementos'!BL117,'LP Elementos'!BQ117,'LP Elementos'!BV117,'LP Elementos'!CA117,'LP Elementos'!CF117,'LP Elementos'!CK117,'LP Elementos'!CP117,'LP Elementos'!CU117,'LP Elementos'!CZ117)," ")</f>
        <v>513967.30960000004</v>
      </c>
      <c r="F117" s="341">
        <f>IFERROR(MEDIAN('LP Elementos'!F117,'LP Elementos'!I117,'LP Elementos'!N117,'LP Elementos'!S117,'LP Elementos'!X117,'LP Elementos'!AC117,'LP Elementos'!AH117,'LP Elementos'!AM117,'LP Elementos'!AR117,'LP Elementos'!AW117,'LP Elementos'!BB117,'LP Elementos'!BG117,'LP Elementos'!BL117,'LP Elementos'!BQ117,'LP Elementos'!BV117,'LP Elementos'!CA117,'LP Elementos'!CF117,'LP Elementos'!CK117,'LP Elementos'!CP117,'LP Elementos'!CU117,'LP Elementos'!CZ117)," ")</f>
        <v>516460</v>
      </c>
      <c r="G117" s="341">
        <f>IFERROR(GEOMEAN('LP Elementos'!F117,'LP Elementos'!I117,'LP Elementos'!N117,'LP Elementos'!S117,'LP Elementos'!X117,'LP Elementos'!AC117,'LP Elementos'!AH117,'LP Elementos'!AM117,'LP Elementos'!AR117,'LP Elementos'!AW117,'LP Elementos'!BB117,'LP Elementos'!BG117,'LP Elementos'!BL117,'LP Elementos'!BQ117,'LP Elementos'!BV117,'LP Elementos'!CA117,'LP Elementos'!CF117,'LP Elementos'!CK117,'LP Elementos'!CP117,'LP Elementos'!CU117,'LP Elementos'!CZ117)," ")</f>
        <v>512810.37328734854</v>
      </c>
      <c r="H117" s="341">
        <f t="shared" si="8"/>
        <v>24239.545425956458</v>
      </c>
      <c r="I117" s="342">
        <f t="shared" si="9"/>
        <v>4.7161648169454812E-2</v>
      </c>
      <c r="J117" s="341">
        <f t="shared" si="10"/>
        <v>516460</v>
      </c>
      <c r="K117" s="326" t="str">
        <f t="shared" si="11"/>
        <v>Mediana</v>
      </c>
      <c r="L117" s="326">
        <f>IFERROR(COUNTA('LP Elementos'!F117,'LP Elementos'!I117,'LP Elementos'!N117,'LP Elementos'!S117,'LP Elementos'!X117,'LP Elementos'!AC117,'LP Elementos'!AH117,'LP Elementos'!AM117,'LP Elementos'!AR117,'LP Elementos'!AX117,'LP Elementos'!BB117,'LP Elementos'!BG117,'LP Elementos'!BL117,'LP Elementos'!BQ117,'LP Elementos'!BV117,'LP Elementos'!CA117,'LP Elementos'!CF117,'LP Elementos'!CK117,'LP Elementos'!CP117,'LP Elementos'!CU117,'LP Elementos'!CZ117)," ")</f>
        <v>4</v>
      </c>
    </row>
    <row r="118" spans="2:12" ht="27" x14ac:dyDescent="0.25">
      <c r="B118" s="411">
        <v>116</v>
      </c>
      <c r="C118" s="416" t="s">
        <v>3231</v>
      </c>
      <c r="D118" s="408">
        <f>IFERROR(MIN('LP Elementos'!F118,'LP Elementos'!I118,'LP Elementos'!N118,'LP Elementos'!S118,'LP Elementos'!X118,'LP Elementos'!AC118,'LP Elementos'!AH118,'LP Elementos'!AM118,'LP Elementos'!AR118,'LP Elementos'!AW118,'LP Elementos'!BB118,'LP Elementos'!BG118,'LP Elementos'!BL118,'LP Elementos'!BQ118,'LP Elementos'!BV118,'LP Elementos'!CA118,'LP Elementos'!CF118,'LP Elementos'!CK118,'LP Elementos'!CP118,'LP Elementos'!CU118,'LP Elementos'!CZ118)," ")</f>
        <v>174930</v>
      </c>
      <c r="E118" s="341">
        <f>IFERROR(AVERAGE('LP Elementos'!F118,'LP Elementos'!I118,'LP Elementos'!N118,'LP Elementos'!S118,'LP Elementos'!X118,'LP Elementos'!AC118,'LP Elementos'!AH118,'LP Elementos'!AM118,'LP Elementos'!AR118,'LP Elementos'!AW118,'LP Elementos'!BB118,'LP Elementos'!BG118,'LP Elementos'!BL118,'LP Elementos'!BQ118,'LP Elementos'!BV118,'LP Elementos'!CA118,'LP Elementos'!CF118,'LP Elementos'!CK118,'LP Elementos'!CP118,'LP Elementos'!CU118,'LP Elementos'!CZ118)," ")</f>
        <v>174930</v>
      </c>
      <c r="F118" s="341">
        <f>IFERROR(MEDIAN('LP Elementos'!F118,'LP Elementos'!I118,'LP Elementos'!N118,'LP Elementos'!S118,'LP Elementos'!X118,'LP Elementos'!AC118,'LP Elementos'!AH118,'LP Elementos'!AM118,'LP Elementos'!AR118,'LP Elementos'!AW118,'LP Elementos'!BB118,'LP Elementos'!BG118,'LP Elementos'!BL118,'LP Elementos'!BQ118,'LP Elementos'!BV118,'LP Elementos'!CA118,'LP Elementos'!CF118,'LP Elementos'!CK118,'LP Elementos'!CP118,'LP Elementos'!CU118,'LP Elementos'!CZ118)," ")</f>
        <v>174930</v>
      </c>
      <c r="G118" s="341">
        <f>IFERROR(GEOMEAN('LP Elementos'!F118,'LP Elementos'!I118,'LP Elementos'!N118,'LP Elementos'!S118,'LP Elementos'!X118,'LP Elementos'!AC118,'LP Elementos'!AH118,'LP Elementos'!AM118,'LP Elementos'!AR118,'LP Elementos'!AW118,'LP Elementos'!BB118,'LP Elementos'!BG118,'LP Elementos'!BL118,'LP Elementos'!BQ118,'LP Elementos'!BV118,'LP Elementos'!CA118,'LP Elementos'!CF118,'LP Elementos'!CK118,'LP Elementos'!CP118,'LP Elementos'!CU118,'LP Elementos'!CZ118)," ")</f>
        <v>174930</v>
      </c>
      <c r="H118" s="341">
        <f t="shared" si="8"/>
        <v>0</v>
      </c>
      <c r="I118" s="342">
        <f t="shared" si="9"/>
        <v>0</v>
      </c>
      <c r="J118" s="341">
        <f t="shared" si="10"/>
        <v>174930</v>
      </c>
      <c r="K118" s="326" t="str">
        <f t="shared" si="11"/>
        <v>Menor Valor</v>
      </c>
      <c r="L118" s="326">
        <f>IFERROR(COUNTA('LP Elementos'!F118,'LP Elementos'!I118,'LP Elementos'!N118,'LP Elementos'!S118,'LP Elementos'!X118,'LP Elementos'!AC118,'LP Elementos'!AH118,'LP Elementos'!AM118,'LP Elementos'!AR118,'LP Elementos'!AX118,'LP Elementos'!BB118,'LP Elementos'!BG118,'LP Elementos'!BL118,'LP Elementos'!BQ118,'LP Elementos'!BV118,'LP Elementos'!CA118,'LP Elementos'!CF118,'LP Elementos'!CK118,'LP Elementos'!CP118,'LP Elementos'!CU118,'LP Elementos'!CZ118)," ")</f>
        <v>1</v>
      </c>
    </row>
    <row r="119" spans="2:12" ht="27" x14ac:dyDescent="0.25">
      <c r="B119" s="411">
        <v>117</v>
      </c>
      <c r="C119" s="412" t="s">
        <v>3234</v>
      </c>
      <c r="D119" s="408">
        <f>IFERROR(MIN('LP Elementos'!F119,'LP Elementos'!I119,'LP Elementos'!N119,'LP Elementos'!S119,'LP Elementos'!X119,'LP Elementos'!AC119,'LP Elementos'!AH119,'LP Elementos'!AM119,'LP Elementos'!AR119,'LP Elementos'!AW119,'LP Elementos'!BB119,'LP Elementos'!BG119,'LP Elementos'!BL119,'LP Elementos'!BQ119,'LP Elementos'!BV119,'LP Elementos'!CA119,'LP Elementos'!CF119,'LP Elementos'!CK119,'LP Elementos'!CP119,'LP Elementos'!CU119,'LP Elementos'!CZ119)," ")</f>
        <v>104720</v>
      </c>
      <c r="E119" s="341">
        <f>IFERROR(AVERAGE('LP Elementos'!F119,'LP Elementos'!I119,'LP Elementos'!N119,'LP Elementos'!S119,'LP Elementos'!X119,'LP Elementos'!AC119,'LP Elementos'!AH119,'LP Elementos'!AM119,'LP Elementos'!AR119,'LP Elementos'!AW119,'LP Elementos'!BB119,'LP Elementos'!BG119,'LP Elementos'!BL119,'LP Elementos'!BQ119,'LP Elementos'!BV119,'LP Elementos'!CA119,'LP Elementos'!CF119,'LP Elementos'!CK119,'LP Elementos'!CP119,'LP Elementos'!CU119,'LP Elementos'!CZ119)," ")</f>
        <v>130275.3459</v>
      </c>
      <c r="F119" s="341">
        <f>IFERROR(MEDIAN('LP Elementos'!F119,'LP Elementos'!I119,'LP Elementos'!N119,'LP Elementos'!S119,'LP Elementos'!X119,'LP Elementos'!AC119,'LP Elementos'!AH119,'LP Elementos'!AM119,'LP Elementos'!AR119,'LP Elementos'!AW119,'LP Elementos'!BB119,'LP Elementos'!BG119,'LP Elementos'!BL119,'LP Elementos'!BQ119,'LP Elementos'!BV119,'LP Elementos'!CA119,'LP Elementos'!CF119,'LP Elementos'!CK119,'LP Elementos'!CP119,'LP Elementos'!CU119,'LP Elementos'!CZ119)," ")</f>
        <v>130275.3459</v>
      </c>
      <c r="G119" s="341">
        <f>IFERROR(GEOMEAN('LP Elementos'!F119,'LP Elementos'!I119,'LP Elementos'!N119,'LP Elementos'!S119,'LP Elementos'!X119,'LP Elementos'!AC119,'LP Elementos'!AH119,'LP Elementos'!AM119,'LP Elementos'!AR119,'LP Elementos'!AW119,'LP Elementos'!BB119,'LP Elementos'!BG119,'LP Elementos'!BL119,'LP Elementos'!BQ119,'LP Elementos'!BV119,'LP Elementos'!CA119,'LP Elementos'!CF119,'LP Elementos'!CK119,'LP Elementos'!CP119,'LP Elementos'!CU119,'LP Elementos'!CZ119)," ")</f>
        <v>127744.23683789418</v>
      </c>
      <c r="H119" s="341">
        <f t="shared" si="8"/>
        <v>12413.299038642941</v>
      </c>
      <c r="I119" s="342">
        <f t="shared" si="9"/>
        <v>9.5285097520842132E-2</v>
      </c>
      <c r="J119" s="341">
        <f t="shared" si="10"/>
        <v>130275.3459</v>
      </c>
      <c r="K119" s="326" t="str">
        <f t="shared" si="11"/>
        <v>Promedio</v>
      </c>
      <c r="L119" s="326">
        <f>IFERROR(COUNTA('LP Elementos'!F119,'LP Elementos'!I119,'LP Elementos'!N119,'LP Elementos'!S119,'LP Elementos'!X119,'LP Elementos'!AC119,'LP Elementos'!AH119,'LP Elementos'!AM119,'LP Elementos'!AR119,'LP Elementos'!AX119,'LP Elementos'!BB119,'LP Elementos'!BG119,'LP Elementos'!BL119,'LP Elementos'!BQ119,'LP Elementos'!BV119,'LP Elementos'!CA119,'LP Elementos'!CF119,'LP Elementos'!CK119,'LP Elementos'!CP119,'LP Elementos'!CU119,'LP Elementos'!CZ119)," ")</f>
        <v>2</v>
      </c>
    </row>
    <row r="120" spans="2:12" ht="27" x14ac:dyDescent="0.25">
      <c r="B120" s="411">
        <v>118</v>
      </c>
      <c r="C120" s="412" t="s">
        <v>3236</v>
      </c>
      <c r="D120" s="408">
        <f>IFERROR(MIN('LP Elementos'!F120,'LP Elementos'!I120,'LP Elementos'!N120,'LP Elementos'!S120,'LP Elementos'!X120,'LP Elementos'!AC120,'LP Elementos'!AH120,'LP Elementos'!AM120,'LP Elementos'!AR120,'LP Elementos'!AW120,'LP Elementos'!BB120,'LP Elementos'!BG120,'LP Elementos'!BL120,'LP Elementos'!BQ120,'LP Elementos'!BV120,'LP Elementos'!CA120,'LP Elementos'!CF120,'LP Elementos'!CK120,'LP Elementos'!CP120,'LP Elementos'!CU120,'LP Elementos'!CZ120)," ")</f>
        <v>207384.87</v>
      </c>
      <c r="E120" s="341">
        <f>IFERROR(AVERAGE('LP Elementos'!F120,'LP Elementos'!I120,'LP Elementos'!N120,'LP Elementos'!S120,'LP Elementos'!X120,'LP Elementos'!AC120,'LP Elementos'!AH120,'LP Elementos'!AM120,'LP Elementos'!AR120,'LP Elementos'!AW120,'LP Elementos'!BB120,'LP Elementos'!BG120,'LP Elementos'!BL120,'LP Elementos'!BQ120,'LP Elementos'!BV120,'LP Elementos'!CA120,'LP Elementos'!CF120,'LP Elementos'!CK120,'LP Elementos'!CP120,'LP Elementos'!CU120,'LP Elementos'!CZ120)," ")</f>
        <v>307128.28999999998</v>
      </c>
      <c r="F120" s="341">
        <f>IFERROR(MEDIAN('LP Elementos'!F120,'LP Elementos'!I120,'LP Elementos'!N120,'LP Elementos'!S120,'LP Elementos'!X120,'LP Elementos'!AC120,'LP Elementos'!AH120,'LP Elementos'!AM120,'LP Elementos'!AR120,'LP Elementos'!AW120,'LP Elementos'!BB120,'LP Elementos'!BG120,'LP Elementos'!BL120,'LP Elementos'!BQ120,'LP Elementos'!BV120,'LP Elementos'!CA120,'LP Elementos'!CF120,'LP Elementos'!CK120,'LP Elementos'!CP120,'LP Elementos'!CU120,'LP Elementos'!CZ120)," ")</f>
        <v>357000</v>
      </c>
      <c r="G120" s="341">
        <f>IFERROR(GEOMEAN('LP Elementos'!F120,'LP Elementos'!I120,'LP Elementos'!N120,'LP Elementos'!S120,'LP Elementos'!X120,'LP Elementos'!AC120,'LP Elementos'!AH120,'LP Elementos'!AM120,'LP Elementos'!AR120,'LP Elementos'!AW120,'LP Elementos'!BB120,'LP Elementos'!BG120,'LP Elementos'!BL120,'LP Elementos'!BQ120,'LP Elementos'!BV120,'LP Elementos'!CA120,'LP Elementos'!CF120,'LP Elementos'!CK120,'LP Elementos'!CP120,'LP Elementos'!CU120,'LP Elementos'!CZ120)," ")</f>
        <v>297877.59148577129</v>
      </c>
      <c r="H120" s="341">
        <f t="shared" si="8"/>
        <v>62310.105968697091</v>
      </c>
      <c r="I120" s="342">
        <f t="shared" si="9"/>
        <v>0.202879734617404</v>
      </c>
      <c r="J120" s="341">
        <f t="shared" si="10"/>
        <v>297877.59148577129</v>
      </c>
      <c r="K120" s="326" t="str">
        <f t="shared" si="11"/>
        <v>Media Geometrica</v>
      </c>
      <c r="L120" s="326">
        <f>IFERROR(COUNTA('LP Elementos'!F120,'LP Elementos'!I120,'LP Elementos'!N120,'LP Elementos'!S120,'LP Elementos'!X120,'LP Elementos'!AC120,'LP Elementos'!AH120,'LP Elementos'!AM120,'LP Elementos'!AR120,'LP Elementos'!AX120,'LP Elementos'!BB120,'LP Elementos'!BG120,'LP Elementos'!BL120,'LP Elementos'!BQ120,'LP Elementos'!BV120,'LP Elementos'!CA120,'LP Elementos'!CF120,'LP Elementos'!CK120,'LP Elementos'!CP120,'LP Elementos'!CU120,'LP Elementos'!CZ120)," ")</f>
        <v>3</v>
      </c>
    </row>
    <row r="121" spans="2:12" ht="27" x14ac:dyDescent="0.25">
      <c r="B121" s="411">
        <v>119</v>
      </c>
      <c r="C121" s="412" t="s">
        <v>3239</v>
      </c>
      <c r="D121" s="408">
        <f>IFERROR(MIN('LP Elementos'!F121,'LP Elementos'!I121,'LP Elementos'!N121,'LP Elementos'!S121,'LP Elementos'!X121,'LP Elementos'!AC121,'LP Elementos'!AH121,'LP Elementos'!AM121,'LP Elementos'!AR121,'LP Elementos'!AW121,'LP Elementos'!BB121,'LP Elementos'!BG121,'LP Elementos'!BL121,'LP Elementos'!BQ121,'LP Elementos'!BV121,'LP Elementos'!CA121,'LP Elementos'!CF121,'LP Elementos'!CK121,'LP Elementos'!CP121,'LP Elementos'!CU121,'LP Elementos'!CZ121)," ")</f>
        <v>88785.228199999998</v>
      </c>
      <c r="E121" s="341">
        <f>IFERROR(AVERAGE('LP Elementos'!F121,'LP Elementos'!I121,'LP Elementos'!N121,'LP Elementos'!S121,'LP Elementos'!X121,'LP Elementos'!AC121,'LP Elementos'!AH121,'LP Elementos'!AM121,'LP Elementos'!AR121,'LP Elementos'!AW121,'LP Elementos'!BB121,'LP Elementos'!BG121,'LP Elementos'!BL121,'LP Elementos'!BQ121,'LP Elementos'!BV121,'LP Elementos'!CA121,'LP Elementos'!CF121,'LP Elementos'!CK121,'LP Elementos'!CP121,'LP Elementos'!CU121,'LP Elementos'!CZ121)," ")</f>
        <v>97942.614100000006</v>
      </c>
      <c r="F121" s="341">
        <f>IFERROR(MEDIAN('LP Elementos'!F121,'LP Elementos'!I121,'LP Elementos'!N121,'LP Elementos'!S121,'LP Elementos'!X121,'LP Elementos'!AC121,'LP Elementos'!AH121,'LP Elementos'!AM121,'LP Elementos'!AR121,'LP Elementos'!AW121,'LP Elementos'!BB121,'LP Elementos'!BG121,'LP Elementos'!BL121,'LP Elementos'!BQ121,'LP Elementos'!BV121,'LP Elementos'!CA121,'LP Elementos'!CF121,'LP Elementos'!CK121,'LP Elementos'!CP121,'LP Elementos'!CU121,'LP Elementos'!CZ121)," ")</f>
        <v>97942.614100000006</v>
      </c>
      <c r="G121" s="341">
        <f>IFERROR(GEOMEAN('LP Elementos'!F121,'LP Elementos'!I121,'LP Elementos'!N121,'LP Elementos'!S121,'LP Elementos'!X121,'LP Elementos'!AC121,'LP Elementos'!AH121,'LP Elementos'!AM121,'LP Elementos'!AR121,'LP Elementos'!AW121,'LP Elementos'!BB121,'LP Elementos'!BG121,'LP Elementos'!BL121,'LP Elementos'!BQ121,'LP Elementos'!BV121,'LP Elementos'!CA121,'LP Elementos'!CF121,'LP Elementos'!CK121,'LP Elementos'!CP121,'LP Elementos'!CU121,'LP Elementos'!CZ121)," ")</f>
        <v>97513.578235136054</v>
      </c>
      <c r="H121" s="341">
        <f t="shared" si="8"/>
        <v>4511.7224253934382</v>
      </c>
      <c r="I121" s="342">
        <f t="shared" si="9"/>
        <v>4.6064958208966549E-2</v>
      </c>
      <c r="J121" s="341">
        <f t="shared" si="10"/>
        <v>97942.614100000006</v>
      </c>
      <c r="K121" s="326" t="str">
        <f t="shared" si="11"/>
        <v>Promedio</v>
      </c>
      <c r="L121" s="326">
        <f>IFERROR(COUNTA('LP Elementos'!F121,'LP Elementos'!I121,'LP Elementos'!N121,'LP Elementos'!S121,'LP Elementos'!X121,'LP Elementos'!AC121,'LP Elementos'!AH121,'LP Elementos'!AM121,'LP Elementos'!AR121,'LP Elementos'!AX121,'LP Elementos'!BB121,'LP Elementos'!BG121,'LP Elementos'!BL121,'LP Elementos'!BQ121,'LP Elementos'!BV121,'LP Elementos'!CA121,'LP Elementos'!CF121,'LP Elementos'!CK121,'LP Elementos'!CP121,'LP Elementos'!CU121,'LP Elementos'!CZ121)," ")</f>
        <v>2</v>
      </c>
    </row>
    <row r="122" spans="2:12" ht="40.5" x14ac:dyDescent="0.25">
      <c r="B122" s="411">
        <v>120</v>
      </c>
      <c r="C122" s="412" t="s">
        <v>3240</v>
      </c>
      <c r="D122" s="408">
        <f>IFERROR(MIN('LP Elementos'!F122,'LP Elementos'!I122,'LP Elementos'!N122,'LP Elementos'!S122,'LP Elementos'!X122,'LP Elementos'!AC122,'LP Elementos'!AH122,'LP Elementos'!AM122,'LP Elementos'!AR122,'LP Elementos'!AW122,'LP Elementos'!BB122,'LP Elementos'!BG122,'LP Elementos'!BL122,'LP Elementos'!BQ122,'LP Elementos'!BV122,'LP Elementos'!CA122,'LP Elementos'!CF122,'LP Elementos'!CK122,'LP Elementos'!CP122,'LP Elementos'!CU122,'LP Elementos'!CZ122)," ")</f>
        <v>74028.001799999998</v>
      </c>
      <c r="E122" s="341">
        <f>IFERROR(AVERAGE('LP Elementos'!F122,'LP Elementos'!I122,'LP Elementos'!N122,'LP Elementos'!S122,'LP Elementos'!X122,'LP Elementos'!AC122,'LP Elementos'!AH122,'LP Elementos'!AM122,'LP Elementos'!AR122,'LP Elementos'!AW122,'LP Elementos'!BB122,'LP Elementos'!BG122,'LP Elementos'!BL122,'LP Elementos'!BQ122,'LP Elementos'!BV122,'LP Elementos'!CA122,'LP Elementos'!CF122,'LP Elementos'!CK122,'LP Elementos'!CP122,'LP Elementos'!CU122,'LP Elementos'!CZ122)," ")</f>
        <v>90564.000899999999</v>
      </c>
      <c r="F122" s="341">
        <f>IFERROR(MEDIAN('LP Elementos'!F122,'LP Elementos'!I122,'LP Elementos'!N122,'LP Elementos'!S122,'LP Elementos'!X122,'LP Elementos'!AC122,'LP Elementos'!AH122,'LP Elementos'!AM122,'LP Elementos'!AR122,'LP Elementos'!AW122,'LP Elementos'!BB122,'LP Elementos'!BG122,'LP Elementos'!BL122,'LP Elementos'!BQ122,'LP Elementos'!BV122,'LP Elementos'!CA122,'LP Elementos'!CF122,'LP Elementos'!CK122,'LP Elementos'!CP122,'LP Elementos'!CU122,'LP Elementos'!CZ122)," ")</f>
        <v>90564.000899999999</v>
      </c>
      <c r="G122" s="341">
        <f>IFERROR(GEOMEAN('LP Elementos'!F122,'LP Elementos'!I122,'LP Elementos'!N122,'LP Elementos'!S122,'LP Elementos'!X122,'LP Elementos'!AC122,'LP Elementos'!AH122,'LP Elementos'!AM122,'LP Elementos'!AR122,'LP Elementos'!AW122,'LP Elementos'!BB122,'LP Elementos'!BG122,'LP Elementos'!BL122,'LP Elementos'!BQ122,'LP Elementos'!BV122,'LP Elementos'!CA122,'LP Elementos'!CF122,'LP Elementos'!CK122,'LP Elementos'!CP122,'LP Elementos'!CU122,'LP Elementos'!CZ122)," ")</f>
        <v>89041.557672695722</v>
      </c>
      <c r="H122" s="341">
        <f t="shared" si="8"/>
        <v>8046.3296973096549</v>
      </c>
      <c r="I122" s="342">
        <f t="shared" si="9"/>
        <v>8.8846888579871205E-2</v>
      </c>
      <c r="J122" s="341">
        <f t="shared" si="10"/>
        <v>90564.000899999999</v>
      </c>
      <c r="K122" s="326" t="str">
        <f t="shared" si="11"/>
        <v>Promedio</v>
      </c>
      <c r="L122" s="326">
        <f>IFERROR(COUNTA('LP Elementos'!F122,'LP Elementos'!I122,'LP Elementos'!N122,'LP Elementos'!S122,'LP Elementos'!X122,'LP Elementos'!AC122,'LP Elementos'!AH122,'LP Elementos'!AM122,'LP Elementos'!AR122,'LP Elementos'!AX122,'LP Elementos'!BB122,'LP Elementos'!BG122,'LP Elementos'!BL122,'LP Elementos'!BQ122,'LP Elementos'!BV122,'LP Elementos'!CA122,'LP Elementos'!CF122,'LP Elementos'!CK122,'LP Elementos'!CP122,'LP Elementos'!CU122,'LP Elementos'!CZ122)," ")</f>
        <v>2</v>
      </c>
    </row>
    <row r="123" spans="2:12" ht="40.5" x14ac:dyDescent="0.25">
      <c r="B123" s="411">
        <v>121</v>
      </c>
      <c r="C123" s="412" t="s">
        <v>3241</v>
      </c>
      <c r="D123" s="408">
        <f>IFERROR(MIN('LP Elementos'!F123,'LP Elementos'!I123,'LP Elementos'!N123,'LP Elementos'!S123,'LP Elementos'!X123,'LP Elementos'!AC123,'LP Elementos'!AH123,'LP Elementos'!AM123,'LP Elementos'!AR123,'LP Elementos'!AW123,'LP Elementos'!BB123,'LP Elementos'!BG123,'LP Elementos'!BL123,'LP Elementos'!BQ123,'LP Elementos'!BV123,'LP Elementos'!CA123,'LP Elementos'!CF123,'LP Elementos'!CK123,'LP Elementos'!CP123,'LP Elementos'!CU123,'LP Elementos'!CZ123)," ")</f>
        <v>110605.26400000001</v>
      </c>
      <c r="E123" s="341">
        <f>IFERROR(AVERAGE('LP Elementos'!F123,'LP Elementos'!I123,'LP Elementos'!N123,'LP Elementos'!S123,'LP Elementos'!X123,'LP Elementos'!AC123,'LP Elementos'!AH123,'LP Elementos'!AM123,'LP Elementos'!AR123,'LP Elementos'!AW123,'LP Elementos'!BB123,'LP Elementos'!BG123,'LP Elementos'!BL123,'LP Elementos'!BQ123,'LP Elementos'!BV123,'LP Elementos'!CA123,'LP Elementos'!CF123,'LP Elementos'!CK123,'LP Elementos'!CP123,'LP Elementos'!CU123,'LP Elementos'!CZ123)," ")</f>
        <v>126702.63200000001</v>
      </c>
      <c r="F123" s="341">
        <f>IFERROR(MEDIAN('LP Elementos'!F123,'LP Elementos'!I123,'LP Elementos'!N123,'LP Elementos'!S123,'LP Elementos'!X123,'LP Elementos'!AC123,'LP Elementos'!AH123,'LP Elementos'!AM123,'LP Elementos'!AR123,'LP Elementos'!AW123,'LP Elementos'!BB123,'LP Elementos'!BG123,'LP Elementos'!BL123,'LP Elementos'!BQ123,'LP Elementos'!BV123,'LP Elementos'!CA123,'LP Elementos'!CF123,'LP Elementos'!CK123,'LP Elementos'!CP123,'LP Elementos'!CU123,'LP Elementos'!CZ123)," ")</f>
        <v>126702.63200000001</v>
      </c>
      <c r="G123" s="341">
        <f>IFERROR(GEOMEAN('LP Elementos'!F123,'LP Elementos'!I123,'LP Elementos'!N123,'LP Elementos'!S123,'LP Elementos'!X123,'LP Elementos'!AC123,'LP Elementos'!AH123,'LP Elementos'!AM123,'LP Elementos'!AR123,'LP Elementos'!AW123,'LP Elementos'!BB123,'LP Elementos'!BG123,'LP Elementos'!BL123,'LP Elementos'!BQ123,'LP Elementos'!BV123,'LP Elementos'!CA123,'LP Elementos'!CF123,'LP Elementos'!CK123,'LP Elementos'!CP123,'LP Elementos'!CU123,'LP Elementos'!CZ123)," ")</f>
        <v>125675.89943660639</v>
      </c>
      <c r="H123" s="341">
        <f t="shared" si="8"/>
        <v>7892.4168511690687</v>
      </c>
      <c r="I123" s="342">
        <f t="shared" si="9"/>
        <v>6.2290867415990755E-2</v>
      </c>
      <c r="J123" s="341">
        <f t="shared" si="10"/>
        <v>126702.63200000001</v>
      </c>
      <c r="K123" s="326" t="str">
        <f t="shared" si="11"/>
        <v>Promedio</v>
      </c>
      <c r="L123" s="326">
        <f>IFERROR(COUNTA('LP Elementos'!F123,'LP Elementos'!I123,'LP Elementos'!N123,'LP Elementos'!S123,'LP Elementos'!X123,'LP Elementos'!AC123,'LP Elementos'!AH123,'LP Elementos'!AM123,'LP Elementos'!AR123,'LP Elementos'!AX123,'LP Elementos'!BB123,'LP Elementos'!BG123,'LP Elementos'!BL123,'LP Elementos'!BQ123,'LP Elementos'!BV123,'LP Elementos'!CA123,'LP Elementos'!CF123,'LP Elementos'!CK123,'LP Elementos'!CP123,'LP Elementos'!CU123,'LP Elementos'!CZ123)," ")</f>
        <v>2</v>
      </c>
    </row>
    <row r="124" spans="2:12" ht="67.5" x14ac:dyDescent="0.25">
      <c r="B124" s="411">
        <v>122</v>
      </c>
      <c r="C124" s="409" t="s">
        <v>3242</v>
      </c>
      <c r="D124" s="408">
        <f>IFERROR(MIN('LP Elementos'!F124,'LP Elementos'!I124,'LP Elementos'!N124,'LP Elementos'!S124,'LP Elementos'!X124,'LP Elementos'!AC124,'LP Elementos'!AH124,'LP Elementos'!AM124,'LP Elementos'!AR124,'LP Elementos'!AW124,'LP Elementos'!BB124,'LP Elementos'!BG124,'LP Elementos'!BL124,'LP Elementos'!BQ124,'LP Elementos'!BV124,'LP Elementos'!CA124,'LP Elementos'!CF124,'LP Elementos'!CK124,'LP Elementos'!CP124,'LP Elementos'!CU124,'LP Elementos'!CZ124)," ")</f>
        <v>2023000</v>
      </c>
      <c r="E124" s="341">
        <f>IFERROR(AVERAGE('LP Elementos'!F124,'LP Elementos'!I124,'LP Elementos'!N124,'LP Elementos'!S124,'LP Elementos'!X124,'LP Elementos'!AC124,'LP Elementos'!AH124,'LP Elementos'!AM124,'LP Elementos'!AR124,'LP Elementos'!AW124,'LP Elementos'!BB124,'LP Elementos'!BG124,'LP Elementos'!BL124,'LP Elementos'!BQ124,'LP Elementos'!BV124,'LP Elementos'!CA124,'LP Elementos'!CF124,'LP Elementos'!CK124,'LP Elementos'!CP124,'LP Elementos'!CU124,'LP Elementos'!CZ124)," ")</f>
        <v>3584792.5775333331</v>
      </c>
      <c r="F124" s="341">
        <f>IFERROR(MEDIAN('LP Elementos'!F124,'LP Elementos'!I124,'LP Elementos'!N124,'LP Elementos'!S124,'LP Elementos'!X124,'LP Elementos'!AC124,'LP Elementos'!AH124,'LP Elementos'!AM124,'LP Elementos'!AR124,'LP Elementos'!AW124,'LP Elementos'!BB124,'LP Elementos'!BG124,'LP Elementos'!BL124,'LP Elementos'!BQ124,'LP Elementos'!BV124,'LP Elementos'!CA124,'LP Elementos'!CF124,'LP Elementos'!CK124,'LP Elementos'!CP124,'LP Elementos'!CU124,'LP Elementos'!CZ124)," ")</f>
        <v>3465627.7326000002</v>
      </c>
      <c r="G124" s="341">
        <f>IFERROR(GEOMEAN('LP Elementos'!F124,'LP Elementos'!I124,'LP Elementos'!N124,'LP Elementos'!S124,'LP Elementos'!X124,'LP Elementos'!AC124,'LP Elementos'!AH124,'LP Elementos'!AM124,'LP Elementos'!AR124,'LP Elementos'!AW124,'LP Elementos'!BB124,'LP Elementos'!BG124,'LP Elementos'!BL124,'LP Elementos'!BQ124,'LP Elementos'!BV124,'LP Elementos'!CA124,'LP Elementos'!CF124,'LP Elementos'!CK124,'LP Elementos'!CP124,'LP Elementos'!CU124,'LP Elementos'!CZ124)," ")</f>
        <v>3329758.0419277237</v>
      </c>
      <c r="H124" s="341">
        <f t="shared" si="8"/>
        <v>726044.69890579989</v>
      </c>
      <c r="I124" s="342">
        <f t="shared" si="9"/>
        <v>0.20253464690149114</v>
      </c>
      <c r="J124" s="341">
        <f t="shared" si="10"/>
        <v>3329758.0419277237</v>
      </c>
      <c r="K124" s="326" t="str">
        <f t="shared" si="11"/>
        <v>Media Geometrica</v>
      </c>
      <c r="L124" s="326">
        <f>IFERROR(COUNTA('LP Elementos'!F124,'LP Elementos'!I124,'LP Elementos'!N124,'LP Elementos'!S124,'LP Elementos'!X124,'LP Elementos'!AC124,'LP Elementos'!AH124,'LP Elementos'!AM124,'LP Elementos'!AR124,'LP Elementos'!AX124,'LP Elementos'!BB124,'LP Elementos'!BG124,'LP Elementos'!BL124,'LP Elementos'!BQ124,'LP Elementos'!BV124,'LP Elementos'!CA124,'LP Elementos'!CF124,'LP Elementos'!CK124,'LP Elementos'!CP124,'LP Elementos'!CU124,'LP Elementos'!CZ124)," ")</f>
        <v>3</v>
      </c>
    </row>
    <row r="125" spans="2:12" x14ac:dyDescent="0.25">
      <c r="B125" s="411">
        <v>123</v>
      </c>
      <c r="C125" s="412" t="s">
        <v>3247</v>
      </c>
      <c r="D125" s="408">
        <f>IFERROR(MIN('LP Elementos'!F125,'LP Elementos'!I125,'LP Elementos'!N125,'LP Elementos'!S125,'LP Elementos'!X125,'LP Elementos'!AC125,'LP Elementos'!AH125,'LP Elementos'!AM125,'LP Elementos'!AR125,'LP Elementos'!AW125,'LP Elementos'!BB125,'LP Elementos'!BG125,'LP Elementos'!BL125,'LP Elementos'!BQ125,'LP Elementos'!BV125,'LP Elementos'!CA125,'LP Elementos'!CF125,'LP Elementos'!CK125,'LP Elementos'!CP125,'LP Elementos'!CU125,'LP Elementos'!CZ125)," ")</f>
        <v>714000</v>
      </c>
      <c r="E125" s="341">
        <f>IFERROR(AVERAGE('LP Elementos'!F125,'LP Elementos'!I125,'LP Elementos'!N125,'LP Elementos'!S125,'LP Elementos'!X125,'LP Elementos'!AC125,'LP Elementos'!AH125,'LP Elementos'!AM125,'LP Elementos'!AR125,'LP Elementos'!AW125,'LP Elementos'!BB125,'LP Elementos'!BG125,'LP Elementos'!BL125,'LP Elementos'!BQ125,'LP Elementos'!BV125,'LP Elementos'!CA125,'LP Elementos'!CF125,'LP Elementos'!CK125,'LP Elementos'!CP125,'LP Elementos'!CU125,'LP Elementos'!CZ125)," ")</f>
        <v>886311.98950000003</v>
      </c>
      <c r="F125" s="341">
        <f>IFERROR(MEDIAN('LP Elementos'!F125,'LP Elementos'!I125,'LP Elementos'!N125,'LP Elementos'!S125,'LP Elementos'!X125,'LP Elementos'!AC125,'LP Elementos'!AH125,'LP Elementos'!AM125,'LP Elementos'!AR125,'LP Elementos'!AW125,'LP Elementos'!BB125,'LP Elementos'!BG125,'LP Elementos'!BL125,'LP Elementos'!BQ125,'LP Elementos'!BV125,'LP Elementos'!CA125,'LP Elementos'!CF125,'LP Elementos'!CK125,'LP Elementos'!CP125,'LP Elementos'!CU125,'LP Elementos'!CZ125)," ")</f>
        <v>886311.98950000003</v>
      </c>
      <c r="G125" s="341">
        <f>IFERROR(GEOMEAN('LP Elementos'!F125,'LP Elementos'!I125,'LP Elementos'!N125,'LP Elementos'!S125,'LP Elementos'!X125,'LP Elementos'!AC125,'LP Elementos'!AH125,'LP Elementos'!AM125,'LP Elementos'!AR125,'LP Elementos'!AW125,'LP Elementos'!BB125,'LP Elementos'!BG125,'LP Elementos'!BL125,'LP Elementos'!BQ125,'LP Elementos'!BV125,'LP Elementos'!CA125,'LP Elementos'!CF125,'LP Elementos'!CK125,'LP Elementos'!CP125,'LP Elementos'!CU125,'LP Elementos'!CZ125)," ")</f>
        <v>869400.66770505754</v>
      </c>
      <c r="H125" s="341">
        <f t="shared" si="8"/>
        <v>83717.877712279471</v>
      </c>
      <c r="I125" s="342">
        <f t="shared" si="9"/>
        <v>9.4456442769670412E-2</v>
      </c>
      <c r="J125" s="341">
        <f t="shared" si="10"/>
        <v>886311.98950000003</v>
      </c>
      <c r="K125" s="326" t="str">
        <f t="shared" si="11"/>
        <v>Promedio</v>
      </c>
      <c r="L125" s="326">
        <f>IFERROR(COUNTA('LP Elementos'!F125,'LP Elementos'!I125,'LP Elementos'!N125,'LP Elementos'!S125,'LP Elementos'!X125,'LP Elementos'!AC125,'LP Elementos'!AH125,'LP Elementos'!AM125,'LP Elementos'!AR125,'LP Elementos'!AX125,'LP Elementos'!BB125,'LP Elementos'!BG125,'LP Elementos'!BL125,'LP Elementos'!BQ125,'LP Elementos'!BV125,'LP Elementos'!CA125,'LP Elementos'!CF125,'LP Elementos'!CK125,'LP Elementos'!CP125,'LP Elementos'!CU125,'LP Elementos'!CZ125)," ")</f>
        <v>2</v>
      </c>
    </row>
    <row r="126" spans="2:12" ht="54" x14ac:dyDescent="0.25">
      <c r="B126" s="411">
        <v>124</v>
      </c>
      <c r="C126" s="412" t="s">
        <v>3250</v>
      </c>
      <c r="D126" s="408">
        <f>IFERROR(MIN('LP Elementos'!F126,'LP Elementos'!I126,'LP Elementos'!N126,'LP Elementos'!S126,'LP Elementos'!X126,'LP Elementos'!AC126,'LP Elementos'!AH126,'LP Elementos'!AM126,'LP Elementos'!AR126,'LP Elementos'!AW126,'LP Elementos'!BB126,'LP Elementos'!BG126,'LP Elementos'!BL126,'LP Elementos'!BQ126,'LP Elementos'!BV126,'LP Elementos'!CA126,'LP Elementos'!CF126,'LP Elementos'!CK126,'LP Elementos'!CP126,'LP Elementos'!CU126,'LP Elementos'!CZ126)," ")</f>
        <v>240080.59720000002</v>
      </c>
      <c r="E126" s="341">
        <f>IFERROR(AVERAGE('LP Elementos'!F126,'LP Elementos'!I126,'LP Elementos'!N126,'LP Elementos'!S126,'LP Elementos'!X126,'LP Elementos'!AC126,'LP Elementos'!AH126,'LP Elementos'!AM126,'LP Elementos'!AR126,'LP Elementos'!AW126,'LP Elementos'!BB126,'LP Elementos'!BG126,'LP Elementos'!BL126,'LP Elementos'!BQ126,'LP Elementos'!BV126,'LP Elementos'!CA126,'LP Elementos'!CF126,'LP Elementos'!CK126,'LP Elementos'!CP126,'LP Elementos'!CU126,'LP Elementos'!CZ126)," ")</f>
        <v>287235.29859999998</v>
      </c>
      <c r="F126" s="341">
        <f>IFERROR(MEDIAN('LP Elementos'!F126,'LP Elementos'!I126,'LP Elementos'!N126,'LP Elementos'!S126,'LP Elementos'!X126,'LP Elementos'!AC126,'LP Elementos'!AH126,'LP Elementos'!AM126,'LP Elementos'!AR126,'LP Elementos'!AW126,'LP Elementos'!BB126,'LP Elementos'!BG126,'LP Elementos'!BL126,'LP Elementos'!BQ126,'LP Elementos'!BV126,'LP Elementos'!CA126,'LP Elementos'!CF126,'LP Elementos'!CK126,'LP Elementos'!CP126,'LP Elementos'!CU126,'LP Elementos'!CZ126)," ")</f>
        <v>287235.29859999998</v>
      </c>
      <c r="G126" s="341">
        <f>IFERROR(GEOMEAN('LP Elementos'!F126,'LP Elementos'!I126,'LP Elementos'!N126,'LP Elementos'!S126,'LP Elementos'!X126,'LP Elementos'!AC126,'LP Elementos'!AH126,'LP Elementos'!AM126,'LP Elementos'!AR126,'LP Elementos'!AW126,'LP Elementos'!BB126,'LP Elementos'!BG126,'LP Elementos'!BL126,'LP Elementos'!BQ126,'LP Elementos'!BV126,'LP Elementos'!CA126,'LP Elementos'!CF126,'LP Elementos'!CK126,'LP Elementos'!CP126,'LP Elementos'!CU126,'LP Elementos'!CZ126)," ")</f>
        <v>283338.227032125</v>
      </c>
      <c r="H126" s="341">
        <f t="shared" si="8"/>
        <v>23001.319890660161</v>
      </c>
      <c r="I126" s="342">
        <f t="shared" si="9"/>
        <v>8.0078319074186943E-2</v>
      </c>
      <c r="J126" s="341">
        <f t="shared" si="10"/>
        <v>287235.29859999998</v>
      </c>
      <c r="K126" s="326" t="str">
        <f t="shared" si="11"/>
        <v>Promedio</v>
      </c>
      <c r="L126" s="326">
        <f>IFERROR(COUNTA('LP Elementos'!F126,'LP Elementos'!I126,'LP Elementos'!N126,'LP Elementos'!S126,'LP Elementos'!X126,'LP Elementos'!AC126,'LP Elementos'!AH126,'LP Elementos'!AM126,'LP Elementos'!AR126,'LP Elementos'!AX126,'LP Elementos'!BB126,'LP Elementos'!BG126,'LP Elementos'!BL126,'LP Elementos'!BQ126,'LP Elementos'!BV126,'LP Elementos'!CA126,'LP Elementos'!CF126,'LP Elementos'!CK126,'LP Elementos'!CP126,'LP Elementos'!CU126,'LP Elementos'!CZ126)," ")</f>
        <v>2</v>
      </c>
    </row>
    <row r="127" spans="2:12" ht="67.5" x14ac:dyDescent="0.25">
      <c r="B127" s="411">
        <v>125</v>
      </c>
      <c r="C127" s="412" t="s">
        <v>3255</v>
      </c>
      <c r="D127" s="408">
        <f>IFERROR(MIN('LP Elementos'!F127,'LP Elementos'!I127,'LP Elementos'!N127,'LP Elementos'!S127,'LP Elementos'!X127,'LP Elementos'!AC127,'LP Elementos'!AH127,'LP Elementos'!AM127,'LP Elementos'!AR127,'LP Elementos'!AW127,'LP Elementos'!BB127,'LP Elementos'!BG127,'LP Elementos'!BL127,'LP Elementos'!BQ127,'LP Elementos'!BV127,'LP Elementos'!CA127,'LP Elementos'!CF127,'LP Elementos'!CK127,'LP Elementos'!CP127,'LP Elementos'!CU127,'LP Elementos'!CZ127)," ")</f>
        <v>284410</v>
      </c>
      <c r="E127" s="341">
        <f>IFERROR(AVERAGE('LP Elementos'!F127,'LP Elementos'!I127,'LP Elementos'!N127,'LP Elementos'!S127,'LP Elementos'!X127,'LP Elementos'!AC127,'LP Elementos'!AH127,'LP Elementos'!AM127,'LP Elementos'!AR127,'LP Elementos'!AW127,'LP Elementos'!BB127,'LP Elementos'!BG127,'LP Elementos'!BL127,'LP Elementos'!BQ127,'LP Elementos'!BV127,'LP Elementos'!CA127,'LP Elementos'!CF127,'LP Elementos'!CK127,'LP Elementos'!CP127,'LP Elementos'!CU127,'LP Elementos'!CZ127)," ")</f>
        <v>292117.80319999997</v>
      </c>
      <c r="F127" s="341">
        <f>IFERROR(MEDIAN('LP Elementos'!F127,'LP Elementos'!I127,'LP Elementos'!N127,'LP Elementos'!S127,'LP Elementos'!X127,'LP Elementos'!AC127,'LP Elementos'!AH127,'LP Elementos'!AM127,'LP Elementos'!AR127,'LP Elementos'!AW127,'LP Elementos'!BB127,'LP Elementos'!BG127,'LP Elementos'!BL127,'LP Elementos'!BQ127,'LP Elementos'!BV127,'LP Elementos'!CA127,'LP Elementos'!CF127,'LP Elementos'!CK127,'LP Elementos'!CP127,'LP Elementos'!CU127,'LP Elementos'!CZ127)," ")</f>
        <v>292117.80319999997</v>
      </c>
      <c r="G127" s="341">
        <f>IFERROR(GEOMEAN('LP Elementos'!F127,'LP Elementos'!I127,'LP Elementos'!N127,'LP Elementos'!S127,'LP Elementos'!X127,'LP Elementos'!AC127,'LP Elementos'!AH127,'LP Elementos'!AM127,'LP Elementos'!AR127,'LP Elementos'!AW127,'LP Elementos'!BB127,'LP Elementos'!BG127,'LP Elementos'!BL127,'LP Elementos'!BQ127,'LP Elementos'!BV127,'LP Elementos'!CA127,'LP Elementos'!CF127,'LP Elementos'!CK127,'LP Elementos'!CP127,'LP Elementos'!CU127,'LP Elementos'!CZ127)," ")</f>
        <v>292016.09667315258</v>
      </c>
      <c r="H127" s="341">
        <f t="shared" si="8"/>
        <v>3837.2500502357257</v>
      </c>
      <c r="I127" s="342">
        <f t="shared" si="9"/>
        <v>1.3135967778069768E-2</v>
      </c>
      <c r="J127" s="341">
        <f t="shared" si="10"/>
        <v>292117.80319999997</v>
      </c>
      <c r="K127" s="326" t="str">
        <f t="shared" si="11"/>
        <v>Promedio</v>
      </c>
      <c r="L127" s="326">
        <f>IFERROR(COUNTA('LP Elementos'!F127,'LP Elementos'!I127,'LP Elementos'!N127,'LP Elementos'!S127,'LP Elementos'!X127,'LP Elementos'!AC127,'LP Elementos'!AH127,'LP Elementos'!AM127,'LP Elementos'!AR127,'LP Elementos'!AX127,'LP Elementos'!BB127,'LP Elementos'!BG127,'LP Elementos'!BL127,'LP Elementos'!BQ127,'LP Elementos'!BV127,'LP Elementos'!CA127,'LP Elementos'!CF127,'LP Elementos'!CK127,'LP Elementos'!CP127,'LP Elementos'!CU127,'LP Elementos'!CZ127)," ")</f>
        <v>2</v>
      </c>
    </row>
    <row r="128" spans="2:12" ht="67.5" x14ac:dyDescent="0.25">
      <c r="B128" s="411">
        <v>126</v>
      </c>
      <c r="C128" s="412" t="s">
        <v>3258</v>
      </c>
      <c r="D128" s="408">
        <f>IFERROR(MIN('LP Elementos'!F128,'LP Elementos'!I128,'LP Elementos'!N128,'LP Elementos'!S128,'LP Elementos'!X128,'LP Elementos'!AC128,'LP Elementos'!AH128,'LP Elementos'!AM128,'LP Elementos'!AR128,'LP Elementos'!AW128,'LP Elementos'!BB128,'LP Elementos'!BG128,'LP Elementos'!BL128,'LP Elementos'!BQ128,'LP Elementos'!BV128,'LP Elementos'!CA128,'LP Elementos'!CF128,'LP Elementos'!CK128,'LP Elementos'!CP128,'LP Elementos'!CU128,'LP Elementos'!CZ128)," ")</f>
        <v>248710</v>
      </c>
      <c r="E128" s="341">
        <f>IFERROR(AVERAGE('LP Elementos'!F128,'LP Elementos'!I128,'LP Elementos'!N128,'LP Elementos'!S128,'LP Elementos'!X128,'LP Elementos'!AC128,'LP Elementos'!AH128,'LP Elementos'!AM128,'LP Elementos'!AR128,'LP Elementos'!AW128,'LP Elementos'!BB128,'LP Elementos'!BG128,'LP Elementos'!BL128,'LP Elementos'!BQ128,'LP Elementos'!BV128,'LP Elementos'!CA128,'LP Elementos'!CF128,'LP Elementos'!CK128,'LP Elementos'!CP128,'LP Elementos'!CU128,'LP Elementos'!CZ128)," ")</f>
        <v>288346.42110000004</v>
      </c>
      <c r="F128" s="341">
        <f>IFERROR(MEDIAN('LP Elementos'!F128,'LP Elementos'!I128,'LP Elementos'!N128,'LP Elementos'!S128,'LP Elementos'!X128,'LP Elementos'!AC128,'LP Elementos'!AH128,'LP Elementos'!AM128,'LP Elementos'!AR128,'LP Elementos'!AW128,'LP Elementos'!BB128,'LP Elementos'!BG128,'LP Elementos'!BL128,'LP Elementos'!BQ128,'LP Elementos'!BV128,'LP Elementos'!CA128,'LP Elementos'!CF128,'LP Elementos'!CK128,'LP Elementos'!CP128,'LP Elementos'!CU128,'LP Elementos'!CZ128)," ")</f>
        <v>288346.42110000004</v>
      </c>
      <c r="G128" s="341">
        <f>IFERROR(GEOMEAN('LP Elementos'!F128,'LP Elementos'!I128,'LP Elementos'!N128,'LP Elementos'!S128,'LP Elementos'!X128,'LP Elementos'!AC128,'LP Elementos'!AH128,'LP Elementos'!AM128,'LP Elementos'!AR128,'LP Elementos'!AW128,'LP Elementos'!BB128,'LP Elementos'!BG128,'LP Elementos'!BL128,'LP Elementos'!BQ128,'LP Elementos'!BV128,'LP Elementos'!CA128,'LP Elementos'!CF128,'LP Elementos'!CK128,'LP Elementos'!CP128,'LP Elementos'!CU128,'LP Elementos'!CZ128)," ")</f>
        <v>285609.19572654169</v>
      </c>
      <c r="H128" s="341">
        <f t="shared" si="8"/>
        <v>19404.954706614015</v>
      </c>
      <c r="I128" s="342">
        <f t="shared" si="9"/>
        <v>6.7297366246429929E-2</v>
      </c>
      <c r="J128" s="341">
        <f t="shared" si="10"/>
        <v>288346.42110000004</v>
      </c>
      <c r="K128" s="326" t="str">
        <f t="shared" si="11"/>
        <v>Promedio</v>
      </c>
      <c r="L128" s="326">
        <f>IFERROR(COUNTA('LP Elementos'!F128,'LP Elementos'!I128,'LP Elementos'!N128,'LP Elementos'!S128,'LP Elementos'!X128,'LP Elementos'!AC128,'LP Elementos'!AH128,'LP Elementos'!AM128,'LP Elementos'!AR128,'LP Elementos'!AX128,'LP Elementos'!BB128,'LP Elementos'!BG128,'LP Elementos'!BL128,'LP Elementos'!BQ128,'LP Elementos'!BV128,'LP Elementos'!CA128,'LP Elementos'!CF128,'LP Elementos'!CK128,'LP Elementos'!CP128,'LP Elementos'!CU128,'LP Elementos'!CZ128)," ")</f>
        <v>2</v>
      </c>
    </row>
    <row r="129" spans="2:12" ht="27" x14ac:dyDescent="0.25">
      <c r="B129" s="411">
        <v>127</v>
      </c>
      <c r="C129" s="412" t="s">
        <v>3261</v>
      </c>
      <c r="D129" s="408">
        <f>IFERROR(MIN('LP Elementos'!F129,'LP Elementos'!I129,'LP Elementos'!N129,'LP Elementos'!S129,'LP Elementos'!X129,'LP Elementos'!AC129,'LP Elementos'!AH129,'LP Elementos'!AM129,'LP Elementos'!AR129,'LP Elementos'!AW129,'LP Elementos'!BB129,'LP Elementos'!BG129,'LP Elementos'!BL129,'LP Elementos'!BQ129,'LP Elementos'!BV129,'LP Elementos'!CA129,'LP Elementos'!CF129,'LP Elementos'!CK129,'LP Elementos'!CP129,'LP Elementos'!CU129,'LP Elementos'!CZ129)," ")</f>
        <v>361980.864</v>
      </c>
      <c r="E129" s="341">
        <f>IFERROR(AVERAGE('LP Elementos'!F129,'LP Elementos'!I129,'LP Elementos'!N129,'LP Elementos'!S129,'LP Elementos'!X129,'LP Elementos'!AC129,'LP Elementos'!AH129,'LP Elementos'!AM129,'LP Elementos'!AR129,'LP Elementos'!AW129,'LP Elementos'!BB129,'LP Elementos'!BG129,'LP Elementos'!BL129,'LP Elementos'!BQ129,'LP Elementos'!BV129,'LP Elementos'!CA129,'LP Elementos'!CF129,'LP Elementos'!CK129,'LP Elementos'!CP129,'LP Elementos'!CU129,'LP Elementos'!CZ129)," ")</f>
        <v>705780.43200000003</v>
      </c>
      <c r="F129" s="341">
        <f>IFERROR(MEDIAN('LP Elementos'!F129,'LP Elementos'!I129,'LP Elementos'!N129,'LP Elementos'!S129,'LP Elementos'!X129,'LP Elementos'!AC129,'LP Elementos'!AH129,'LP Elementos'!AM129,'LP Elementos'!AR129,'LP Elementos'!AW129,'LP Elementos'!BB129,'LP Elementos'!BG129,'LP Elementos'!BL129,'LP Elementos'!BQ129,'LP Elementos'!BV129,'LP Elementos'!CA129,'LP Elementos'!CF129,'LP Elementos'!CK129,'LP Elementos'!CP129,'LP Elementos'!CU129,'LP Elementos'!CZ129)," ")</f>
        <v>705780.43200000003</v>
      </c>
      <c r="G129" s="341">
        <f>IFERROR(GEOMEAN('LP Elementos'!F129,'LP Elementos'!I129,'LP Elementos'!N129,'LP Elementos'!S129,'LP Elementos'!X129,'LP Elementos'!AC129,'LP Elementos'!AH129,'LP Elementos'!AM129,'LP Elementos'!AR129,'LP Elementos'!AW129,'LP Elementos'!BB129,'LP Elementos'!BG129,'LP Elementos'!BL129,'LP Elementos'!BQ129,'LP Elementos'!BV129,'LP Elementos'!CA129,'LP Elementos'!CF129,'LP Elementos'!CK129,'LP Elementos'!CP129,'LP Elementos'!CU129,'LP Elementos'!CZ129)," ")</f>
        <v>616382.89661307121</v>
      </c>
      <c r="H129" s="341">
        <f t="shared" si="8"/>
        <v>162557.81504287184</v>
      </c>
      <c r="I129" s="342">
        <f t="shared" si="9"/>
        <v>0.23032349392604276</v>
      </c>
      <c r="J129" s="341">
        <f t="shared" si="10"/>
        <v>616382.89661307121</v>
      </c>
      <c r="K129" s="326" t="str">
        <f t="shared" si="11"/>
        <v>Media Geometrica</v>
      </c>
      <c r="L129" s="326">
        <f>IFERROR(COUNTA('LP Elementos'!F129,'LP Elementos'!I129,'LP Elementos'!N129,'LP Elementos'!S129,'LP Elementos'!X129,'LP Elementos'!AC129,'LP Elementos'!AH129,'LP Elementos'!AM129,'LP Elementos'!AR129,'LP Elementos'!AX129,'LP Elementos'!BB129,'LP Elementos'!BG129,'LP Elementos'!BL129,'LP Elementos'!BQ129,'LP Elementos'!BV129,'LP Elementos'!CA129,'LP Elementos'!CF129,'LP Elementos'!CK129,'LP Elementos'!CP129,'LP Elementos'!CU129,'LP Elementos'!CZ129)," ")</f>
        <v>2</v>
      </c>
    </row>
    <row r="130" spans="2:12" ht="40.5" x14ac:dyDescent="0.25">
      <c r="B130" s="411">
        <v>128</v>
      </c>
      <c r="C130" s="412" t="s">
        <v>3265</v>
      </c>
      <c r="D130" s="408">
        <f>IFERROR(MIN('LP Elementos'!F130,'LP Elementos'!I130,'LP Elementos'!N130,'LP Elementos'!S130,'LP Elementos'!X130,'LP Elementos'!AC130,'LP Elementos'!AH130,'LP Elementos'!AM130,'LP Elementos'!AR130,'LP Elementos'!AW130,'LP Elementos'!BB130,'LP Elementos'!BG130,'LP Elementos'!BL130,'LP Elementos'!BQ130,'LP Elementos'!BV130,'LP Elementos'!CA130,'LP Elementos'!CF130,'LP Elementos'!CK130,'LP Elementos'!CP130,'LP Elementos'!CU130,'LP Elementos'!CZ130)," ")</f>
        <v>37706.340000000004</v>
      </c>
      <c r="E130" s="341">
        <f>IFERROR(AVERAGE('LP Elementos'!F130,'LP Elementos'!I130,'LP Elementos'!N130,'LP Elementos'!S130,'LP Elementos'!X130,'LP Elementos'!AC130,'LP Elementos'!AH130,'LP Elementos'!AM130,'LP Elementos'!AR130,'LP Elementos'!AW130,'LP Elementos'!BB130,'LP Elementos'!BG130,'LP Elementos'!BL130,'LP Elementos'!BQ130,'LP Elementos'!BV130,'LP Elementos'!CA130,'LP Elementos'!CF130,'LP Elementos'!CK130,'LP Elementos'!CP130,'LP Elementos'!CU130,'LP Elementos'!CZ130)," ")</f>
        <v>40273.17</v>
      </c>
      <c r="F130" s="341">
        <f>IFERROR(MEDIAN('LP Elementos'!F130,'LP Elementos'!I130,'LP Elementos'!N130,'LP Elementos'!S130,'LP Elementos'!X130,'LP Elementos'!AC130,'LP Elementos'!AH130,'LP Elementos'!AM130,'LP Elementos'!AR130,'LP Elementos'!AW130,'LP Elementos'!BB130,'LP Elementos'!BG130,'LP Elementos'!BL130,'LP Elementos'!BQ130,'LP Elementos'!BV130,'LP Elementos'!CA130,'LP Elementos'!CF130,'LP Elementos'!CK130,'LP Elementos'!CP130,'LP Elementos'!CU130,'LP Elementos'!CZ130)," ")</f>
        <v>40273.17</v>
      </c>
      <c r="G130" s="341">
        <f>IFERROR(GEOMEAN('LP Elementos'!F130,'LP Elementos'!I130,'LP Elementos'!N130,'LP Elementos'!S130,'LP Elementos'!X130,'LP Elementos'!AC130,'LP Elementos'!AH130,'LP Elementos'!AM130,'LP Elementos'!AR130,'LP Elementos'!AW130,'LP Elementos'!BB130,'LP Elementos'!BG130,'LP Elementos'!BL130,'LP Elementos'!BQ130,'LP Elementos'!BV130,'LP Elementos'!CA130,'LP Elementos'!CF130,'LP Elementos'!CK130,'LP Elementos'!CP130,'LP Elementos'!CU130,'LP Elementos'!CZ130)," ")</f>
        <v>40191.28768278021</v>
      </c>
      <c r="H130" s="341">
        <f t="shared" si="8"/>
        <v>1270.3545079918056</v>
      </c>
      <c r="I130" s="342">
        <f t="shared" si="9"/>
        <v>3.1543444630551941E-2</v>
      </c>
      <c r="J130" s="341">
        <f t="shared" si="10"/>
        <v>40273.17</v>
      </c>
      <c r="K130" s="326" t="str">
        <f t="shared" si="11"/>
        <v>Promedio</v>
      </c>
      <c r="L130" s="326">
        <f>IFERROR(COUNTA('LP Elementos'!F130,'LP Elementos'!I130,'LP Elementos'!N130,'LP Elementos'!S130,'LP Elementos'!X130,'LP Elementos'!AC130,'LP Elementos'!AH130,'LP Elementos'!AM130,'LP Elementos'!AR130,'LP Elementos'!AX130,'LP Elementos'!BB130,'LP Elementos'!BG130,'LP Elementos'!BL130,'LP Elementos'!BQ130,'LP Elementos'!BV130,'LP Elementos'!CA130,'LP Elementos'!CF130,'LP Elementos'!CK130,'LP Elementos'!CP130,'LP Elementos'!CU130,'LP Elementos'!CZ130)," ")</f>
        <v>2</v>
      </c>
    </row>
    <row r="131" spans="2:12" ht="40.5" x14ac:dyDescent="0.25">
      <c r="B131" s="411">
        <v>129</v>
      </c>
      <c r="C131" s="412" t="s">
        <v>3267</v>
      </c>
      <c r="D131" s="408">
        <f>IFERROR(MIN('LP Elementos'!F131,'LP Elementos'!I131,'LP Elementos'!N131,'LP Elementos'!S131,'LP Elementos'!X131,'LP Elementos'!AC131,'LP Elementos'!AH131,'LP Elementos'!AM131,'LP Elementos'!AR131,'LP Elementos'!AW131,'LP Elementos'!BB131,'LP Elementos'!BG131,'LP Elementos'!BL131,'LP Elementos'!BQ131,'LP Elementos'!BV131,'LP Elementos'!CA131,'LP Elementos'!CF131,'LP Elementos'!CK131,'LP Elementos'!CP131,'LP Elementos'!CU131,'LP Elementos'!CZ131)," ")</f>
        <v>20738.487000000001</v>
      </c>
      <c r="E131" s="341">
        <f>IFERROR(AVERAGE('LP Elementos'!F131,'LP Elementos'!I131,'LP Elementos'!N131,'LP Elementos'!S131,'LP Elementos'!X131,'LP Elementos'!AC131,'LP Elementos'!AH131,'LP Elementos'!AM131,'LP Elementos'!AR131,'LP Elementos'!AW131,'LP Elementos'!BB131,'LP Elementos'!BG131,'LP Elementos'!BL131,'LP Elementos'!BQ131,'LP Elementos'!BV131,'LP Elementos'!CA131,'LP Elementos'!CF131,'LP Elementos'!CK131,'LP Elementos'!CP131,'LP Elementos'!CU131,'LP Elementos'!CZ131)," ")</f>
        <v>22269.2435</v>
      </c>
      <c r="F131" s="341">
        <f>IFERROR(MEDIAN('LP Elementos'!F131,'LP Elementos'!I131,'LP Elementos'!N131,'LP Elementos'!S131,'LP Elementos'!X131,'LP Elementos'!AC131,'LP Elementos'!AH131,'LP Elementos'!AM131,'LP Elementos'!AR131,'LP Elementos'!AW131,'LP Elementos'!BB131,'LP Elementos'!BG131,'LP Elementos'!BL131,'LP Elementos'!BQ131,'LP Elementos'!BV131,'LP Elementos'!CA131,'LP Elementos'!CF131,'LP Elementos'!CK131,'LP Elementos'!CP131,'LP Elementos'!CU131,'LP Elementos'!CZ131)," ")</f>
        <v>22269.2435</v>
      </c>
      <c r="G131" s="341">
        <f>IFERROR(GEOMEAN('LP Elementos'!F131,'LP Elementos'!I131,'LP Elementos'!N131,'LP Elementos'!S131,'LP Elementos'!X131,'LP Elementos'!AC131,'LP Elementos'!AH131,'LP Elementos'!AM131,'LP Elementos'!AR131,'LP Elementos'!AW131,'LP Elementos'!BB131,'LP Elementos'!BG131,'LP Elementos'!BL131,'LP Elementos'!BQ131,'LP Elementos'!BV131,'LP Elementos'!CA131,'LP Elementos'!CF131,'LP Elementos'!CK131,'LP Elementos'!CP131,'LP Elementos'!CU131,'LP Elementos'!CZ131)," ")</f>
        <v>22216.570180835744</v>
      </c>
      <c r="H131" s="341">
        <f t="shared" si="8"/>
        <v>757.00670247789992</v>
      </c>
      <c r="I131" s="342">
        <f t="shared" si="9"/>
        <v>3.3993373078789135E-2</v>
      </c>
      <c r="J131" s="341">
        <f t="shared" si="10"/>
        <v>22269.2435</v>
      </c>
      <c r="K131" s="326" t="str">
        <f t="shared" si="11"/>
        <v>Promedio</v>
      </c>
      <c r="L131" s="326">
        <f>IFERROR(COUNTA('LP Elementos'!F131,'LP Elementos'!I131,'LP Elementos'!N131,'LP Elementos'!S131,'LP Elementos'!X131,'LP Elementos'!AC131,'LP Elementos'!AH131,'LP Elementos'!AM131,'LP Elementos'!AR131,'LP Elementos'!AX131,'LP Elementos'!BB131,'LP Elementos'!BG131,'LP Elementos'!BL131,'LP Elementos'!BQ131,'LP Elementos'!BV131,'LP Elementos'!CA131,'LP Elementos'!CF131,'LP Elementos'!CK131,'LP Elementos'!CP131,'LP Elementos'!CU131,'LP Elementos'!CZ131)," ")</f>
        <v>2</v>
      </c>
    </row>
    <row r="132" spans="2:12" ht="40.5" x14ac:dyDescent="0.25">
      <c r="B132" s="411">
        <v>130</v>
      </c>
      <c r="C132" s="412" t="s">
        <v>3269</v>
      </c>
      <c r="D132" s="408">
        <f>IFERROR(MIN('LP Elementos'!F132,'LP Elementos'!I132,'LP Elementos'!N132,'LP Elementos'!S132,'LP Elementos'!X132,'LP Elementos'!AC132,'LP Elementos'!AH132,'LP Elementos'!AM132,'LP Elementos'!AR132,'LP Elementos'!AW132,'LP Elementos'!BB132,'LP Elementos'!BG132,'LP Elementos'!BL132,'LP Elementos'!BQ132,'LP Elementos'!BV132,'LP Elementos'!CA132,'LP Elementos'!CF132,'LP Elementos'!CK132,'LP Elementos'!CP132,'LP Elementos'!CU132,'LP Elementos'!CZ132)," ")</f>
        <v>25137.56</v>
      </c>
      <c r="E132" s="341">
        <f>IFERROR(AVERAGE('LP Elementos'!F132,'LP Elementos'!I132,'LP Elementos'!N132,'LP Elementos'!S132,'LP Elementos'!X132,'LP Elementos'!AC132,'LP Elementos'!AH132,'LP Elementos'!AM132,'LP Elementos'!AR132,'LP Elementos'!AW132,'LP Elementos'!BB132,'LP Elementos'!BG132,'LP Elementos'!BL132,'LP Elementos'!BQ132,'LP Elementos'!BV132,'LP Elementos'!CA132,'LP Elementos'!CF132,'LP Elementos'!CK132,'LP Elementos'!CP132,'LP Elementos'!CU132,'LP Elementos'!CZ132)," ")</f>
        <v>26848.78</v>
      </c>
      <c r="F132" s="341">
        <f>IFERROR(MEDIAN('LP Elementos'!F132,'LP Elementos'!I132,'LP Elementos'!N132,'LP Elementos'!S132,'LP Elementos'!X132,'LP Elementos'!AC132,'LP Elementos'!AH132,'LP Elementos'!AM132,'LP Elementos'!AR132,'LP Elementos'!AW132,'LP Elementos'!BB132,'LP Elementos'!BG132,'LP Elementos'!BL132,'LP Elementos'!BQ132,'LP Elementos'!BV132,'LP Elementos'!CA132,'LP Elementos'!CF132,'LP Elementos'!CK132,'LP Elementos'!CP132,'LP Elementos'!CU132,'LP Elementos'!CZ132)," ")</f>
        <v>26848.78</v>
      </c>
      <c r="G132" s="341">
        <f>IFERROR(GEOMEAN('LP Elementos'!F132,'LP Elementos'!I132,'LP Elementos'!N132,'LP Elementos'!S132,'LP Elementos'!X132,'LP Elementos'!AC132,'LP Elementos'!AH132,'LP Elementos'!AM132,'LP Elementos'!AR132,'LP Elementos'!AW132,'LP Elementos'!BB132,'LP Elementos'!BG132,'LP Elementos'!BL132,'LP Elementos'!BQ132,'LP Elementos'!BV132,'LP Elementos'!CA132,'LP Elementos'!CF132,'LP Elementos'!CK132,'LP Elementos'!CP132,'LP Elementos'!CU132,'LP Elementos'!CZ132)," ")</f>
        <v>26794.19178852014</v>
      </c>
      <c r="H132" s="341">
        <f t="shared" si="8"/>
        <v>846.9030053278708</v>
      </c>
      <c r="I132" s="342">
        <f t="shared" si="9"/>
        <v>3.1543444630551962E-2</v>
      </c>
      <c r="J132" s="341">
        <f t="shared" si="10"/>
        <v>26848.78</v>
      </c>
      <c r="K132" s="326" t="str">
        <f t="shared" si="11"/>
        <v>Promedio</v>
      </c>
      <c r="L132" s="326">
        <f>IFERROR(COUNTA('LP Elementos'!F132,'LP Elementos'!I132,'LP Elementos'!N132,'LP Elementos'!S132,'LP Elementos'!X132,'LP Elementos'!AC132,'LP Elementos'!AH132,'LP Elementos'!AM132,'LP Elementos'!AR132,'LP Elementos'!AX132,'LP Elementos'!BB132,'LP Elementos'!BG132,'LP Elementos'!BL132,'LP Elementos'!BQ132,'LP Elementos'!BV132,'LP Elementos'!CA132,'LP Elementos'!CF132,'LP Elementos'!CK132,'LP Elementos'!CP132,'LP Elementos'!CU132,'LP Elementos'!CZ132)," ")</f>
        <v>2</v>
      </c>
    </row>
    <row r="133" spans="2:12" ht="40.5" x14ac:dyDescent="0.25">
      <c r="B133" s="411">
        <v>131</v>
      </c>
      <c r="C133" s="412" t="s">
        <v>3271</v>
      </c>
      <c r="D133" s="408">
        <f>IFERROR(MIN('LP Elementos'!F133,'LP Elementos'!I133,'LP Elementos'!N133,'LP Elementos'!S133,'LP Elementos'!X133,'LP Elementos'!AC133,'LP Elementos'!AH133,'LP Elementos'!AM133,'LP Elementos'!AR133,'LP Elementos'!AW133,'LP Elementos'!BB133,'LP Elementos'!BG133,'LP Elementos'!BL133,'LP Elementos'!BQ133,'LP Elementos'!BV133,'LP Elementos'!CA133,'LP Elementos'!CF133,'LP Elementos'!CK133,'LP Elementos'!CP133,'LP Elementos'!CU133,'LP Elementos'!CZ133)," ")</f>
        <v>16339.414000000001</v>
      </c>
      <c r="E133" s="341">
        <f>IFERROR(AVERAGE('LP Elementos'!F133,'LP Elementos'!I133,'LP Elementos'!N133,'LP Elementos'!S133,'LP Elementos'!X133,'LP Elementos'!AC133,'LP Elementos'!AH133,'LP Elementos'!AM133,'LP Elementos'!AR133,'LP Elementos'!AW133,'LP Elementos'!BB133,'LP Elementos'!BG133,'LP Elementos'!BL133,'LP Elementos'!BQ133,'LP Elementos'!BV133,'LP Elementos'!CA133,'LP Elementos'!CF133,'LP Elementos'!CK133,'LP Elementos'!CP133,'LP Elementos'!CU133,'LP Elementos'!CZ133)," ")</f>
        <v>20664.707000000002</v>
      </c>
      <c r="F133" s="341">
        <f>IFERROR(MEDIAN('LP Elementos'!F133,'LP Elementos'!I133,'LP Elementos'!N133,'LP Elementos'!S133,'LP Elementos'!X133,'LP Elementos'!AC133,'LP Elementos'!AH133,'LP Elementos'!AM133,'LP Elementos'!AR133,'LP Elementos'!AW133,'LP Elementos'!BB133,'LP Elementos'!BG133,'LP Elementos'!BL133,'LP Elementos'!BQ133,'LP Elementos'!BV133,'LP Elementos'!CA133,'LP Elementos'!CF133,'LP Elementos'!CK133,'LP Elementos'!CP133,'LP Elementos'!CU133,'LP Elementos'!CZ133)," ")</f>
        <v>20664.707000000002</v>
      </c>
      <c r="G133" s="341">
        <f>IFERROR(GEOMEAN('LP Elementos'!F133,'LP Elementos'!I133,'LP Elementos'!N133,'LP Elementos'!S133,'LP Elementos'!X133,'LP Elementos'!AC133,'LP Elementos'!AH133,'LP Elementos'!AM133,'LP Elementos'!AR133,'LP Elementos'!AW133,'LP Elementos'!BB133,'LP Elementos'!BG133,'LP Elementos'!BL133,'LP Elementos'!BQ133,'LP Elementos'!BV133,'LP Elementos'!CA133,'LP Elementos'!CF133,'LP Elementos'!CK133,'LP Elementos'!CP133,'LP Elementos'!CU133,'LP Elementos'!CZ133)," ")</f>
        <v>20206.977900220507</v>
      </c>
      <c r="H133" s="341">
        <f t="shared" si="8"/>
        <v>2097.4866199723574</v>
      </c>
      <c r="I133" s="342">
        <f t="shared" si="9"/>
        <v>0.10150091264165309</v>
      </c>
      <c r="J133" s="341">
        <f t="shared" si="10"/>
        <v>20664.707000000002</v>
      </c>
      <c r="K133" s="326" t="str">
        <f t="shared" si="11"/>
        <v>Promedio</v>
      </c>
      <c r="L133" s="326">
        <f>IFERROR(COUNTA('LP Elementos'!F133,'LP Elementos'!I133,'LP Elementos'!N133,'LP Elementos'!S133,'LP Elementos'!X133,'LP Elementos'!AC133,'LP Elementos'!AH133,'LP Elementos'!AM133,'LP Elementos'!AR133,'LP Elementos'!AX133,'LP Elementos'!BB133,'LP Elementos'!BG133,'LP Elementos'!BL133,'LP Elementos'!BQ133,'LP Elementos'!BV133,'LP Elementos'!CA133,'LP Elementos'!CF133,'LP Elementos'!CK133,'LP Elementos'!CP133,'LP Elementos'!CU133,'LP Elementos'!CZ133)," ")</f>
        <v>2</v>
      </c>
    </row>
    <row r="134" spans="2:12" ht="40.5" x14ac:dyDescent="0.25">
      <c r="B134" s="411">
        <v>132</v>
      </c>
      <c r="C134" s="412" t="s">
        <v>3273</v>
      </c>
      <c r="D134" s="408">
        <f>IFERROR(MIN('LP Elementos'!F134,'LP Elementos'!I134,'LP Elementos'!N134,'LP Elementos'!S134,'LP Elementos'!X134,'LP Elementos'!AC134,'LP Elementos'!AH134,'LP Elementos'!AM134,'LP Elementos'!AR134,'LP Elementos'!AW134,'LP Elementos'!BB134,'LP Elementos'!BG134,'LP Elementos'!BL134,'LP Elementos'!BQ134,'LP Elementos'!BV134,'LP Elementos'!CA134,'LP Elementos'!CF134,'LP Elementos'!CK134,'LP Elementos'!CP134,'LP Elementos'!CU134,'LP Elementos'!CZ134)," ")</f>
        <v>81697.070000000007</v>
      </c>
      <c r="E134" s="341">
        <f>IFERROR(AVERAGE('LP Elementos'!F134,'LP Elementos'!I134,'LP Elementos'!N134,'LP Elementos'!S134,'LP Elementos'!X134,'LP Elementos'!AC134,'LP Elementos'!AH134,'LP Elementos'!AM134,'LP Elementos'!AR134,'LP Elementos'!AW134,'LP Elementos'!BB134,'LP Elementos'!BG134,'LP Elementos'!BL134,'LP Elementos'!BQ134,'LP Elementos'!BV134,'LP Elementos'!CA134,'LP Elementos'!CF134,'LP Elementos'!CK134,'LP Elementos'!CP134,'LP Elementos'!CU134,'LP Elementos'!CZ134)," ")</f>
        <v>88448.535000000003</v>
      </c>
      <c r="F134" s="341">
        <f>IFERROR(MEDIAN('LP Elementos'!F134,'LP Elementos'!I134,'LP Elementos'!N134,'LP Elementos'!S134,'LP Elementos'!X134,'LP Elementos'!AC134,'LP Elementos'!AH134,'LP Elementos'!AM134,'LP Elementos'!AR134,'LP Elementos'!AW134,'LP Elementos'!BB134,'LP Elementos'!BG134,'LP Elementos'!BL134,'LP Elementos'!BQ134,'LP Elementos'!BV134,'LP Elementos'!CA134,'LP Elementos'!CF134,'LP Elementos'!CK134,'LP Elementos'!CP134,'LP Elementos'!CU134,'LP Elementos'!CZ134)," ")</f>
        <v>88448.535000000003</v>
      </c>
      <c r="G134" s="341">
        <f>IFERROR(GEOMEAN('LP Elementos'!F134,'LP Elementos'!I134,'LP Elementos'!N134,'LP Elementos'!S134,'LP Elementos'!X134,'LP Elementos'!AC134,'LP Elementos'!AH134,'LP Elementos'!AM134,'LP Elementos'!AR134,'LP Elementos'!AW134,'LP Elementos'!BB134,'LP Elementos'!BG134,'LP Elementos'!BL134,'LP Elementos'!BQ134,'LP Elementos'!BV134,'LP Elementos'!CA134,'LP Elementos'!CF134,'LP Elementos'!CK134,'LP Elementos'!CP134,'LP Elementos'!CU134,'LP Elementos'!CZ134)," ")</f>
        <v>88190.481708628853</v>
      </c>
      <c r="H134" s="341">
        <f t="shared" si="8"/>
        <v>3334.9430019190117</v>
      </c>
      <c r="I134" s="342">
        <f t="shared" si="9"/>
        <v>3.7704898129957851E-2</v>
      </c>
      <c r="J134" s="341">
        <f t="shared" si="10"/>
        <v>88448.535000000003</v>
      </c>
      <c r="K134" s="326" t="str">
        <f t="shared" si="11"/>
        <v>Promedio</v>
      </c>
      <c r="L134" s="326">
        <f>IFERROR(COUNTA('LP Elementos'!F134,'LP Elementos'!I134,'LP Elementos'!N134,'LP Elementos'!S134,'LP Elementos'!X134,'LP Elementos'!AC134,'LP Elementos'!AH134,'LP Elementos'!AM134,'LP Elementos'!AR134,'LP Elementos'!AX134,'LP Elementos'!BB134,'LP Elementos'!BG134,'LP Elementos'!BL134,'LP Elementos'!BQ134,'LP Elementos'!BV134,'LP Elementos'!CA134,'LP Elementos'!CF134,'LP Elementos'!CK134,'LP Elementos'!CP134,'LP Elementos'!CU134,'LP Elementos'!CZ134)," ")</f>
        <v>2</v>
      </c>
    </row>
    <row r="135" spans="2:12" ht="40.5" x14ac:dyDescent="0.25">
      <c r="B135" s="411">
        <v>133</v>
      </c>
      <c r="C135" s="412" t="s">
        <v>3275</v>
      </c>
      <c r="D135" s="408">
        <f>IFERROR(MIN('LP Elementos'!F135,'LP Elementos'!I135,'LP Elementos'!N135,'LP Elementos'!S135,'LP Elementos'!X135,'LP Elementos'!AC135,'LP Elementos'!AH135,'LP Elementos'!AM135,'LP Elementos'!AR135,'LP Elementos'!AW135,'LP Elementos'!BB135,'LP Elementos'!BG135,'LP Elementos'!BL135,'LP Elementos'!BQ135,'LP Elementos'!BV135,'LP Elementos'!CA135,'LP Elementos'!CF135,'LP Elementos'!CK135,'LP Elementos'!CP135,'LP Elementos'!CU135,'LP Elementos'!CZ135)," ")</f>
        <v>157109.75</v>
      </c>
      <c r="E135" s="341">
        <f>IFERROR(AVERAGE('LP Elementos'!F135,'LP Elementos'!I135,'LP Elementos'!N135,'LP Elementos'!S135,'LP Elementos'!X135,'LP Elementos'!AC135,'LP Elementos'!AH135,'LP Elementos'!AM135,'LP Elementos'!AR135,'LP Elementos'!AW135,'LP Elementos'!BB135,'LP Elementos'!BG135,'LP Elementos'!BL135,'LP Elementos'!BQ135,'LP Elementos'!BV135,'LP Elementos'!CA135,'LP Elementos'!CF135,'LP Elementos'!CK135,'LP Elementos'!CP135,'LP Elementos'!CU135,'LP Elementos'!CZ135)," ")</f>
        <v>173754.875</v>
      </c>
      <c r="F135" s="341">
        <f>IFERROR(MEDIAN('LP Elementos'!F135,'LP Elementos'!I135,'LP Elementos'!N135,'LP Elementos'!S135,'LP Elementos'!X135,'LP Elementos'!AC135,'LP Elementos'!AH135,'LP Elementos'!AM135,'LP Elementos'!AR135,'LP Elementos'!AW135,'LP Elementos'!BB135,'LP Elementos'!BG135,'LP Elementos'!BL135,'LP Elementos'!BQ135,'LP Elementos'!BV135,'LP Elementos'!CA135,'LP Elementos'!CF135,'LP Elementos'!CK135,'LP Elementos'!CP135,'LP Elementos'!CU135,'LP Elementos'!CZ135)," ")</f>
        <v>173754.875</v>
      </c>
      <c r="G135" s="341">
        <f>IFERROR(GEOMEAN('LP Elementos'!F135,'LP Elementos'!I135,'LP Elementos'!N135,'LP Elementos'!S135,'LP Elementos'!X135,'LP Elementos'!AC135,'LP Elementos'!AH135,'LP Elementos'!AM135,'LP Elementos'!AR135,'LP Elementos'!AW135,'LP Elementos'!BB135,'LP Elementos'!BG135,'LP Elementos'!BL135,'LP Elementos'!BQ135,'LP Elementos'!BV135,'LP Elementos'!CA135,'LP Elementos'!CF135,'LP Elementos'!CK135,'LP Elementos'!CP135,'LP Elementos'!CU135,'LP Elementos'!CZ135)," ")</f>
        <v>172955.76428671004</v>
      </c>
      <c r="H135" s="341">
        <f t="shared" si="8"/>
        <v>8198.0368441173068</v>
      </c>
      <c r="I135" s="342">
        <f t="shared" si="9"/>
        <v>4.7181622064516503E-2</v>
      </c>
      <c r="J135" s="341">
        <f t="shared" si="10"/>
        <v>173754.875</v>
      </c>
      <c r="K135" s="326" t="str">
        <f t="shared" si="11"/>
        <v>Promedio</v>
      </c>
      <c r="L135" s="326">
        <f>IFERROR(COUNTA('LP Elementos'!F135,'LP Elementos'!I135,'LP Elementos'!N135,'LP Elementos'!S135,'LP Elementos'!X135,'LP Elementos'!AC135,'LP Elementos'!AH135,'LP Elementos'!AM135,'LP Elementos'!AR135,'LP Elementos'!AX135,'LP Elementos'!BB135,'LP Elementos'!BG135,'LP Elementos'!BL135,'LP Elementos'!BQ135,'LP Elementos'!BV135,'LP Elementos'!CA135,'LP Elementos'!CF135,'LP Elementos'!CK135,'LP Elementos'!CP135,'LP Elementos'!CU135,'LP Elementos'!CZ135)," ")</f>
        <v>2</v>
      </c>
    </row>
    <row r="136" spans="2:12" x14ac:dyDescent="0.25">
      <c r="B136" s="411">
        <v>134</v>
      </c>
      <c r="C136" s="412" t="s">
        <v>3277</v>
      </c>
      <c r="D136" s="408">
        <f>IFERROR(MIN('LP Elementos'!F136,'LP Elementos'!I136,'LP Elementos'!N136,'LP Elementos'!S136,'LP Elementos'!X136,'LP Elementos'!AC136,'LP Elementos'!AH136,'LP Elementos'!AM136,'LP Elementos'!AR136,'LP Elementos'!AW136,'LP Elementos'!BB136,'LP Elementos'!BG136,'LP Elementos'!BL136,'LP Elementos'!BQ136,'LP Elementos'!BV136,'LP Elementos'!CA136,'LP Elementos'!CF136,'LP Elementos'!CK136,'LP Elementos'!CP136,'LP Elementos'!CU136,'LP Elementos'!CZ136)," ")</f>
        <v>369667.88760000002</v>
      </c>
      <c r="E136" s="341">
        <f>IFERROR(AVERAGE('LP Elementos'!F136,'LP Elementos'!I136,'LP Elementos'!N136,'LP Elementos'!S136,'LP Elementos'!X136,'LP Elementos'!AC136,'LP Elementos'!AH136,'LP Elementos'!AM136,'LP Elementos'!AR136,'LP Elementos'!AW136,'LP Elementos'!BB136,'LP Elementos'!BG136,'LP Elementos'!BL136,'LP Elementos'!BQ136,'LP Elementos'!BV136,'LP Elementos'!CA136,'LP Elementos'!CF136,'LP Elementos'!CK136,'LP Elementos'!CP136,'LP Elementos'!CU136,'LP Elementos'!CZ136)," ")</f>
        <v>656041.16253333341</v>
      </c>
      <c r="F136" s="341">
        <f>IFERROR(MEDIAN('LP Elementos'!F136,'LP Elementos'!I136,'LP Elementos'!N136,'LP Elementos'!S136,'LP Elementos'!X136,'LP Elementos'!AC136,'LP Elementos'!AH136,'LP Elementos'!AM136,'LP Elementos'!AR136,'LP Elementos'!AW136,'LP Elementos'!BB136,'LP Elementos'!BG136,'LP Elementos'!BL136,'LP Elementos'!BQ136,'LP Elementos'!BV136,'LP Elementos'!CA136,'LP Elementos'!CF136,'LP Elementos'!CK136,'LP Elementos'!CP136,'LP Elementos'!CU136,'LP Elementos'!CZ136)," ")</f>
        <v>722330</v>
      </c>
      <c r="G136" s="341">
        <f>IFERROR(GEOMEAN('LP Elementos'!F136,'LP Elementos'!I136,'LP Elementos'!N136,'LP Elementos'!S136,'LP Elementos'!X136,'LP Elementos'!AC136,'LP Elementos'!AH136,'LP Elementos'!AM136,'LP Elementos'!AR136,'LP Elementos'!AW136,'LP Elementos'!BB136,'LP Elementos'!BG136,'LP Elementos'!BL136,'LP Elementos'!BQ136,'LP Elementos'!BV136,'LP Elementos'!CA136,'LP Elementos'!CF136,'LP Elementos'!CK136,'LP Elementos'!CP136,'LP Elementos'!CU136,'LP Elementos'!CZ136)," ")</f>
        <v>616175.72236698214</v>
      </c>
      <c r="H136" s="341">
        <f t="shared" si="8"/>
        <v>153947.643879368</v>
      </c>
      <c r="I136" s="342">
        <f t="shared" si="9"/>
        <v>0.23466156191311538</v>
      </c>
      <c r="J136" s="341">
        <f t="shared" si="10"/>
        <v>616175.72236698214</v>
      </c>
      <c r="K136" s="326" t="str">
        <f t="shared" si="11"/>
        <v>Media Geometrica</v>
      </c>
      <c r="L136" s="326">
        <f>IFERROR(COUNTA('LP Elementos'!F136,'LP Elementos'!I136,'LP Elementos'!N136,'LP Elementos'!S136,'LP Elementos'!X136,'LP Elementos'!AC136,'LP Elementos'!AH136,'LP Elementos'!AM136,'LP Elementos'!AR136,'LP Elementos'!AX136,'LP Elementos'!BB136,'LP Elementos'!BG136,'LP Elementos'!BL136,'LP Elementos'!BQ136,'LP Elementos'!BV136,'LP Elementos'!CA136,'LP Elementos'!CF136,'LP Elementos'!CK136,'LP Elementos'!CP136,'LP Elementos'!CU136,'LP Elementos'!CZ136)," ")</f>
        <v>3</v>
      </c>
    </row>
    <row r="137" spans="2:12" x14ac:dyDescent="0.25">
      <c r="B137" s="411">
        <v>135</v>
      </c>
      <c r="C137" s="412" t="s">
        <v>3282</v>
      </c>
      <c r="D137" s="408">
        <f>IFERROR(MIN('LP Elementos'!F137,'LP Elementos'!I137,'LP Elementos'!N137,'LP Elementos'!S137,'LP Elementos'!X137,'LP Elementos'!AC137,'LP Elementos'!AH137,'LP Elementos'!AM137,'LP Elementos'!AR137,'LP Elementos'!AW137,'LP Elementos'!BB137,'LP Elementos'!BG137,'LP Elementos'!BL137,'LP Elementos'!BQ137,'LP Elementos'!BV137,'LP Elementos'!CA137,'LP Elementos'!CF137,'LP Elementos'!CK137,'LP Elementos'!CP137,'LP Elementos'!CU137,'LP Elementos'!CZ137)," ")</f>
        <v>16339.414000000001</v>
      </c>
      <c r="E137" s="341">
        <f>IFERROR(AVERAGE('LP Elementos'!F137,'LP Elementos'!I137,'LP Elementos'!N137,'LP Elementos'!S137,'LP Elementos'!X137,'LP Elementos'!AC137,'LP Elementos'!AH137,'LP Elementos'!AM137,'LP Elementos'!AR137,'LP Elementos'!AW137,'LP Elementos'!BB137,'LP Elementos'!BG137,'LP Elementos'!BL137,'LP Elementos'!BQ137,'LP Elementos'!BV137,'LP Elementos'!CA137,'LP Elementos'!CF137,'LP Elementos'!CK137,'LP Elementos'!CP137,'LP Elementos'!CU137,'LP Elementos'!CZ137)," ")</f>
        <v>156919.70699999999</v>
      </c>
      <c r="F137" s="341">
        <f>IFERROR(MEDIAN('LP Elementos'!F137,'LP Elementos'!I137,'LP Elementos'!N137,'LP Elementos'!S137,'LP Elementos'!X137,'LP Elementos'!AC137,'LP Elementos'!AH137,'LP Elementos'!AM137,'LP Elementos'!AR137,'LP Elementos'!AW137,'LP Elementos'!BB137,'LP Elementos'!BG137,'LP Elementos'!BL137,'LP Elementos'!BQ137,'LP Elementos'!BV137,'LP Elementos'!CA137,'LP Elementos'!CF137,'LP Elementos'!CK137,'LP Elementos'!CP137,'LP Elementos'!CU137,'LP Elementos'!CZ137)," ")</f>
        <v>156919.70699999999</v>
      </c>
      <c r="G137" s="341">
        <f>IFERROR(GEOMEAN('LP Elementos'!F137,'LP Elementos'!I137,'LP Elementos'!N137,'LP Elementos'!S137,'LP Elementos'!X137,'LP Elementos'!AC137,'LP Elementos'!AH137,'LP Elementos'!AM137,'LP Elementos'!AR137,'LP Elementos'!AW137,'LP Elementos'!BB137,'LP Elementos'!BG137,'LP Elementos'!BL137,'LP Elementos'!BQ137,'LP Elementos'!BV137,'LP Elementos'!CA137,'LP Elementos'!CF137,'LP Elementos'!CK137,'LP Elementos'!CP137,'LP Elementos'!CU137,'LP Elementos'!CZ137)," ")</f>
        <v>69720.697536671272</v>
      </c>
      <c r="H137" s="341">
        <f t="shared" si="8"/>
        <v>69271.527035960418</v>
      </c>
      <c r="I137" s="342">
        <f t="shared" si="9"/>
        <v>0.44144568174576326</v>
      </c>
      <c r="J137" s="341">
        <f t="shared" si="10"/>
        <v>16339.414000000001</v>
      </c>
      <c r="K137" s="326" t="str">
        <f t="shared" si="11"/>
        <v>Menor Valor</v>
      </c>
      <c r="L137" s="326">
        <f>IFERROR(COUNTA('LP Elementos'!F137,'LP Elementos'!I137,'LP Elementos'!N137,'LP Elementos'!S137,'LP Elementos'!X137,'LP Elementos'!AC137,'LP Elementos'!AH137,'LP Elementos'!AM137,'LP Elementos'!AR137,'LP Elementos'!AX137,'LP Elementos'!BB137,'LP Elementos'!BG137,'LP Elementos'!BL137,'LP Elementos'!BQ137,'LP Elementos'!BV137,'LP Elementos'!CA137,'LP Elementos'!CF137,'LP Elementos'!CK137,'LP Elementos'!CP137,'LP Elementos'!CU137,'LP Elementos'!CZ137)," ")</f>
        <v>2</v>
      </c>
    </row>
    <row r="138" spans="2:12" ht="27" x14ac:dyDescent="0.25">
      <c r="B138" s="411">
        <v>136</v>
      </c>
      <c r="C138" s="412" t="s">
        <v>3284</v>
      </c>
      <c r="D138" s="408">
        <f>IFERROR(MIN('LP Elementos'!F138,'LP Elementos'!I138,'LP Elementos'!N138,'LP Elementos'!S138,'LP Elementos'!X138,'LP Elementos'!AC138,'LP Elementos'!AH138,'LP Elementos'!AM138,'LP Elementos'!AR138,'LP Elementos'!AW138,'LP Elementos'!BB138,'LP Elementos'!BG138,'LP Elementos'!BL138,'LP Elementos'!BQ138,'LP Elementos'!BV138,'LP Elementos'!CA138,'LP Elementos'!CF138,'LP Elementos'!CK138,'LP Elementos'!CP138,'LP Elementos'!CU138,'LP Elementos'!CZ138)," ")</f>
        <v>67830</v>
      </c>
      <c r="E138" s="341">
        <f>IFERROR(AVERAGE('LP Elementos'!F138,'LP Elementos'!I138,'LP Elementos'!N138,'LP Elementos'!S138,'LP Elementos'!X138,'LP Elementos'!AC138,'LP Elementos'!AH138,'LP Elementos'!AM138,'LP Elementos'!AR138,'LP Elementos'!AW138,'LP Elementos'!BB138,'LP Elementos'!BG138,'LP Elementos'!BL138,'LP Elementos'!BQ138,'LP Elementos'!BV138,'LP Elementos'!CA138,'LP Elementos'!CF138,'LP Elementos'!CK138,'LP Elementos'!CP138,'LP Elementos'!CU138,'LP Elementos'!CZ138)," ")</f>
        <v>89846.070999999996</v>
      </c>
      <c r="F138" s="341">
        <f>IFERROR(MEDIAN('LP Elementos'!F138,'LP Elementos'!I138,'LP Elementos'!N138,'LP Elementos'!S138,'LP Elementos'!X138,'LP Elementos'!AC138,'LP Elementos'!AH138,'LP Elementos'!AM138,'LP Elementos'!AR138,'LP Elementos'!AW138,'LP Elementos'!BB138,'LP Elementos'!BG138,'LP Elementos'!BL138,'LP Elementos'!BQ138,'LP Elementos'!BV138,'LP Elementos'!CA138,'LP Elementos'!CF138,'LP Elementos'!CK138,'LP Elementos'!CP138,'LP Elementos'!CU138,'LP Elementos'!CZ138)," ")</f>
        <v>89846.070999999996</v>
      </c>
      <c r="G138" s="341">
        <f>IFERROR(GEOMEAN('LP Elementos'!F138,'LP Elementos'!I138,'LP Elementos'!N138,'LP Elementos'!S138,'LP Elementos'!X138,'LP Elementos'!AC138,'LP Elementos'!AH138,'LP Elementos'!AM138,'LP Elementos'!AR138,'LP Elementos'!AW138,'LP Elementos'!BB138,'LP Elementos'!BG138,'LP Elementos'!BL138,'LP Elementos'!BQ138,'LP Elementos'!BV138,'LP Elementos'!CA138,'LP Elementos'!CF138,'LP Elementos'!CK138,'LP Elementos'!CP138,'LP Elementos'!CU138,'LP Elementos'!CZ138)," ")</f>
        <v>87106.883148577879</v>
      </c>
      <c r="H138" s="341">
        <f t="shared" si="8"/>
        <v>10630.22141760916</v>
      </c>
      <c r="I138" s="342">
        <f t="shared" si="9"/>
        <v>0.11831592967052683</v>
      </c>
      <c r="J138" s="341">
        <f t="shared" si="10"/>
        <v>89846.070999999996</v>
      </c>
      <c r="K138" s="326" t="str">
        <f t="shared" si="11"/>
        <v>Promedio</v>
      </c>
      <c r="L138" s="326">
        <f>IFERROR(COUNTA('LP Elementos'!F138,'LP Elementos'!I138,'LP Elementos'!N138,'LP Elementos'!S138,'LP Elementos'!X138,'LP Elementos'!AC138,'LP Elementos'!AH138,'LP Elementos'!AM138,'LP Elementos'!AR138,'LP Elementos'!AX138,'LP Elementos'!BB138,'LP Elementos'!BG138,'LP Elementos'!BL138,'LP Elementos'!BQ138,'LP Elementos'!BV138,'LP Elementos'!CA138,'LP Elementos'!CF138,'LP Elementos'!CK138,'LP Elementos'!CP138,'LP Elementos'!CU138,'LP Elementos'!CZ138)," ")</f>
        <v>2</v>
      </c>
    </row>
    <row r="139" spans="2:12" ht="40.5" x14ac:dyDescent="0.25">
      <c r="B139" s="411">
        <v>137</v>
      </c>
      <c r="C139" s="409" t="s">
        <v>3288</v>
      </c>
      <c r="D139" s="408">
        <f>IFERROR(MIN('LP Elementos'!F139,'LP Elementos'!I139,'LP Elementos'!N139,'LP Elementos'!S139,'LP Elementos'!X139,'LP Elementos'!AC139,'LP Elementos'!AH139,'LP Elementos'!AM139,'LP Elementos'!AR139,'LP Elementos'!AW139,'LP Elementos'!BB139,'LP Elementos'!BG139,'LP Elementos'!BL139,'LP Elementos'!BQ139,'LP Elementos'!BV139,'LP Elementos'!CA139,'LP Elementos'!CF139,'LP Elementos'!CK139,'LP Elementos'!CP139,'LP Elementos'!CU139,'LP Elementos'!CZ139)," ")</f>
        <v>5950</v>
      </c>
      <c r="E139" s="341">
        <f>IFERROR(AVERAGE('LP Elementos'!F139,'LP Elementos'!I139,'LP Elementos'!N139,'LP Elementos'!S139,'LP Elementos'!X139,'LP Elementos'!AC139,'LP Elementos'!AH139,'LP Elementos'!AM139,'LP Elementos'!AR139,'LP Elementos'!AW139,'LP Elementos'!BB139,'LP Elementos'!BG139,'LP Elementos'!BL139,'LP Elementos'!BQ139,'LP Elementos'!BV139,'LP Elementos'!CA139,'LP Elementos'!CF139,'LP Elementos'!CK139,'LP Elementos'!CP139,'LP Elementos'!CU139,'LP Elementos'!CZ139)," ")</f>
        <v>44238.621599999999</v>
      </c>
      <c r="F139" s="341">
        <f>IFERROR(MEDIAN('LP Elementos'!F139,'LP Elementos'!I139,'LP Elementos'!N139,'LP Elementos'!S139,'LP Elementos'!X139,'LP Elementos'!AC139,'LP Elementos'!AH139,'LP Elementos'!AM139,'LP Elementos'!AR139,'LP Elementos'!AW139,'LP Elementos'!BB139,'LP Elementos'!BG139,'LP Elementos'!BL139,'LP Elementos'!BQ139,'LP Elementos'!BV139,'LP Elementos'!CA139,'LP Elementos'!CF139,'LP Elementos'!CK139,'LP Elementos'!CP139,'LP Elementos'!CU139,'LP Elementos'!CZ139)," ")</f>
        <v>44238.621599999999</v>
      </c>
      <c r="G139" s="341">
        <f>IFERROR(GEOMEAN('LP Elementos'!F139,'LP Elementos'!I139,'LP Elementos'!N139,'LP Elementos'!S139,'LP Elementos'!X139,'LP Elementos'!AC139,'LP Elementos'!AH139,'LP Elementos'!AM139,'LP Elementos'!AR139,'LP Elementos'!AW139,'LP Elementos'!BB139,'LP Elementos'!BG139,'LP Elementos'!BL139,'LP Elementos'!BQ139,'LP Elementos'!BV139,'LP Elementos'!CA139,'LP Elementos'!CF139,'LP Elementos'!CK139,'LP Elementos'!CP139,'LP Elementos'!CU139,'LP Elementos'!CZ139)," ")</f>
        <v>22159.356873339082</v>
      </c>
      <c r="H139" s="341">
        <f t="shared" si="8"/>
        <v>18640.833761850135</v>
      </c>
      <c r="I139" s="342">
        <f t="shared" si="9"/>
        <v>0.42137013061569117</v>
      </c>
      <c r="J139" s="341">
        <f t="shared" si="10"/>
        <v>5950</v>
      </c>
      <c r="K139" s="326" t="str">
        <f t="shared" si="11"/>
        <v>Menor Valor</v>
      </c>
      <c r="L139" s="326">
        <f>IFERROR(COUNTA('LP Elementos'!F139,'LP Elementos'!I139,'LP Elementos'!N139,'LP Elementos'!S139,'LP Elementos'!X139,'LP Elementos'!AC139,'LP Elementos'!AH139,'LP Elementos'!AM139,'LP Elementos'!AR139,'LP Elementos'!AX139,'LP Elementos'!BB139,'LP Elementos'!BG139,'LP Elementos'!BL139,'LP Elementos'!BQ139,'LP Elementos'!BV139,'LP Elementos'!CA139,'LP Elementos'!CF139,'LP Elementos'!CK139,'LP Elementos'!CP139,'LP Elementos'!CU139,'LP Elementos'!CZ139)," ")</f>
        <v>2</v>
      </c>
    </row>
    <row r="140" spans="2:12" ht="27" x14ac:dyDescent="0.25">
      <c r="B140" s="411">
        <v>138</v>
      </c>
      <c r="C140" s="413" t="s">
        <v>3291</v>
      </c>
      <c r="D140" s="408">
        <f>IFERROR(MIN('LP Elementos'!F140,'LP Elementos'!I140,'LP Elementos'!N140,'LP Elementos'!S140,'LP Elementos'!X140,'LP Elementos'!AC140,'LP Elementos'!AH140,'LP Elementos'!AM140,'LP Elementos'!AR140,'LP Elementos'!AW140,'LP Elementos'!BB140,'LP Elementos'!BG140,'LP Elementos'!BL140,'LP Elementos'!BQ140,'LP Elementos'!BV140,'LP Elementos'!CA140,'LP Elementos'!CF140,'LP Elementos'!CK140,'LP Elementos'!CP140,'LP Elementos'!CU140,'LP Elementos'!CZ140)," ")</f>
        <v>5278.8876</v>
      </c>
      <c r="E140" s="341">
        <f>IFERROR(AVERAGE('LP Elementos'!F140,'LP Elementos'!I140,'LP Elementos'!N140,'LP Elementos'!S140,'LP Elementos'!X140,'LP Elementos'!AC140,'LP Elementos'!AH140,'LP Elementos'!AM140,'LP Elementos'!AR140,'LP Elementos'!AW140,'LP Elementos'!BB140,'LP Elementos'!BG140,'LP Elementos'!BL140,'LP Elementos'!BQ140,'LP Elementos'!BV140,'LP Elementos'!CA140,'LP Elementos'!CF140,'LP Elementos'!CK140,'LP Elementos'!CP140,'LP Elementos'!CU140,'LP Elementos'!CZ140)," ")</f>
        <v>57560.0144</v>
      </c>
      <c r="F140" s="341">
        <f>IFERROR(MEDIAN('LP Elementos'!F140,'LP Elementos'!I140,'LP Elementos'!N140,'LP Elementos'!S140,'LP Elementos'!X140,'LP Elementos'!AC140,'LP Elementos'!AH140,'LP Elementos'!AM140,'LP Elementos'!AR140,'LP Elementos'!AW140,'LP Elementos'!BB140,'LP Elementos'!BG140,'LP Elementos'!BL140,'LP Elementos'!BQ140,'LP Elementos'!BV140,'LP Elementos'!CA140,'LP Elementos'!CF140,'LP Elementos'!CK140,'LP Elementos'!CP140,'LP Elementos'!CU140,'LP Elementos'!CZ140)," ")</f>
        <v>20850.584999999999</v>
      </c>
      <c r="G140" s="341">
        <f>IFERROR(GEOMEAN('LP Elementos'!F140,'LP Elementos'!I140,'LP Elementos'!N140,'LP Elementos'!S140,'LP Elementos'!X140,'LP Elementos'!AC140,'LP Elementos'!AH140,'LP Elementos'!AM140,'LP Elementos'!AR140,'LP Elementos'!AW140,'LP Elementos'!BB140,'LP Elementos'!BG140,'LP Elementos'!BL140,'LP Elementos'!BQ140,'LP Elementos'!BV140,'LP Elementos'!CA140,'LP Elementos'!CF140,'LP Elementos'!CK140,'LP Elementos'!CP140,'LP Elementos'!CU140,'LP Elementos'!CZ140)," ")</f>
        <v>21336.764347755492</v>
      </c>
      <c r="H140" s="341">
        <f t="shared" si="8"/>
        <v>22161.51282181971</v>
      </c>
      <c r="I140" s="342">
        <f t="shared" si="9"/>
        <v>0.38501576229313295</v>
      </c>
      <c r="J140" s="341">
        <f t="shared" si="10"/>
        <v>5278.8876</v>
      </c>
      <c r="K140" s="326" t="str">
        <f t="shared" si="11"/>
        <v>Menor Valor</v>
      </c>
      <c r="L140" s="326">
        <f>IFERROR(COUNTA('LP Elementos'!F140,'LP Elementos'!I140,'LP Elementos'!N140,'LP Elementos'!S140,'LP Elementos'!X140,'LP Elementos'!AC140,'LP Elementos'!AH140,'LP Elementos'!AM140,'LP Elementos'!AR140,'LP Elementos'!AX140,'LP Elementos'!BB140,'LP Elementos'!BG140,'LP Elementos'!BL140,'LP Elementos'!BQ140,'LP Elementos'!BV140,'LP Elementos'!CA140,'LP Elementos'!CF140,'LP Elementos'!CK140,'LP Elementos'!CP140,'LP Elementos'!CU140,'LP Elementos'!CZ140)," ")</f>
        <v>4</v>
      </c>
    </row>
    <row r="141" spans="2:12" ht="27" x14ac:dyDescent="0.25">
      <c r="B141" s="411">
        <v>139</v>
      </c>
      <c r="C141" s="413" t="s">
        <v>3296</v>
      </c>
      <c r="D141" s="408">
        <f>IFERROR(MIN('LP Elementos'!F141,'LP Elementos'!I141,'LP Elementos'!N141,'LP Elementos'!S141,'LP Elementos'!X141,'LP Elementos'!AC141,'LP Elementos'!AH141,'LP Elementos'!AM141,'LP Elementos'!AR141,'LP Elementos'!AW141,'LP Elementos'!BB141,'LP Elementos'!BG141,'LP Elementos'!BL141,'LP Elementos'!BQ141,'LP Elementos'!BV141,'LP Elementos'!CA141,'LP Elementos'!CF141,'LP Elementos'!CK141,'LP Elementos'!CP141,'LP Elementos'!CU141,'LP Elementos'!CZ141)," ")</f>
        <v>5655.951</v>
      </c>
      <c r="E141" s="341">
        <f>IFERROR(AVERAGE('LP Elementos'!F141,'LP Elementos'!I141,'LP Elementos'!N141,'LP Elementos'!S141,'LP Elementos'!X141,'LP Elementos'!AC141,'LP Elementos'!AH141,'LP Elementos'!AM141,'LP Elementos'!AR141,'LP Elementos'!AW141,'LP Elementos'!BB141,'LP Elementos'!BG141,'LP Elementos'!BL141,'LP Elementos'!BQ141,'LP Elementos'!BV141,'LP Elementos'!CA141,'LP Elementos'!CF141,'LP Elementos'!CK141,'LP Elementos'!CP141,'LP Elementos'!CU141,'LP Elementos'!CZ141)," ")</f>
        <v>16896.78025</v>
      </c>
      <c r="F141" s="341">
        <f>IFERROR(MEDIAN('LP Elementos'!F141,'LP Elementos'!I141,'LP Elementos'!N141,'LP Elementos'!S141,'LP Elementos'!X141,'LP Elementos'!AC141,'LP Elementos'!AH141,'LP Elementos'!AM141,'LP Elementos'!AR141,'LP Elementos'!AW141,'LP Elementos'!BB141,'LP Elementos'!BG141,'LP Elementos'!BL141,'LP Elementos'!BQ141,'LP Elementos'!BV141,'LP Elementos'!CA141,'LP Elementos'!CF141,'LP Elementos'!CK141,'LP Elementos'!CP141,'LP Elementos'!CU141,'LP Elementos'!CZ141)," ")</f>
        <v>13115.584999999999</v>
      </c>
      <c r="G141" s="341">
        <f>IFERROR(GEOMEAN('LP Elementos'!F141,'LP Elementos'!I141,'LP Elementos'!N141,'LP Elementos'!S141,'LP Elementos'!X141,'LP Elementos'!AC141,'LP Elementos'!AH141,'LP Elementos'!AM141,'LP Elementos'!AR141,'LP Elementos'!AW141,'LP Elementos'!BB141,'LP Elementos'!BG141,'LP Elementos'!BL141,'LP Elementos'!BQ141,'LP Elementos'!BV141,'LP Elementos'!CA141,'LP Elementos'!CF141,'LP Elementos'!CK141,'LP Elementos'!CP141,'LP Elementos'!CU141,'LP Elementos'!CZ141)," ")</f>
        <v>12512.711077671394</v>
      </c>
      <c r="H141" s="341">
        <f t="shared" si="8"/>
        <v>4680.620484125363</v>
      </c>
      <c r="I141" s="342">
        <f t="shared" si="9"/>
        <v>0.27701256777162403</v>
      </c>
      <c r="J141" s="341">
        <f t="shared" si="10"/>
        <v>12512.711077671394</v>
      </c>
      <c r="K141" s="326" t="str">
        <f t="shared" si="11"/>
        <v>Media Geometrica</v>
      </c>
      <c r="L141" s="326">
        <f>IFERROR(COUNTA('LP Elementos'!F141,'LP Elementos'!I141,'LP Elementos'!N141,'LP Elementos'!S141,'LP Elementos'!X141,'LP Elementos'!AC141,'LP Elementos'!AH141,'LP Elementos'!AM141,'LP Elementos'!AR141,'LP Elementos'!AX141,'LP Elementos'!BB141,'LP Elementos'!BG141,'LP Elementos'!BL141,'LP Elementos'!BQ141,'LP Elementos'!BV141,'LP Elementos'!CA141,'LP Elementos'!CF141,'LP Elementos'!CK141,'LP Elementos'!CP141,'LP Elementos'!CU141,'LP Elementos'!CZ141)," ")</f>
        <v>4</v>
      </c>
    </row>
    <row r="142" spans="2:12" ht="27" x14ac:dyDescent="0.25">
      <c r="B142" s="411">
        <v>140</v>
      </c>
      <c r="C142" s="413" t="s">
        <v>3300</v>
      </c>
      <c r="D142" s="408">
        <f>IFERROR(MIN('LP Elementos'!F142,'LP Elementos'!I142,'LP Elementos'!N142,'LP Elementos'!S142,'LP Elementos'!X142,'LP Elementos'!AC142,'LP Elementos'!AH142,'LP Elementos'!AM142,'LP Elementos'!AR142,'LP Elementos'!AW142,'LP Elementos'!BB142,'LP Elementos'!BG142,'LP Elementos'!BL142,'LP Elementos'!BQ142,'LP Elementos'!BV142,'LP Elementos'!CA142,'LP Elementos'!CF142,'LP Elementos'!CK142,'LP Elementos'!CP142,'LP Elementos'!CU142,'LP Elementos'!CZ142)," ")</f>
        <v>6664</v>
      </c>
      <c r="E142" s="341">
        <f>IFERROR(AVERAGE('LP Elementos'!F142,'LP Elementos'!I142,'LP Elementos'!N142,'LP Elementos'!S142,'LP Elementos'!X142,'LP Elementos'!AC142,'LP Elementos'!AH142,'LP Elementos'!AM142,'LP Elementos'!AR142,'LP Elementos'!AW142,'LP Elementos'!BB142,'LP Elementos'!BG142,'LP Elementos'!BL142,'LP Elementos'!BQ142,'LP Elementos'!BV142,'LP Elementos'!CA142,'LP Elementos'!CF142,'LP Elementos'!CK142,'LP Elementos'!CP142,'LP Elementos'!CU142,'LP Elementos'!CZ142)," ")</f>
        <v>172827.8412</v>
      </c>
      <c r="F142" s="341">
        <f>IFERROR(MEDIAN('LP Elementos'!F142,'LP Elementos'!I142,'LP Elementos'!N142,'LP Elementos'!S142,'LP Elementos'!X142,'LP Elementos'!AC142,'LP Elementos'!AH142,'LP Elementos'!AM142,'LP Elementos'!AR142,'LP Elementos'!AW142,'LP Elementos'!BB142,'LP Elementos'!BG142,'LP Elementos'!BL142,'LP Elementos'!BQ142,'LP Elementos'!BV142,'LP Elementos'!CA142,'LP Elementos'!CF142,'LP Elementos'!CK142,'LP Elementos'!CP142,'LP Elementos'!CU142,'LP Elementos'!CZ142)," ")</f>
        <v>113050</v>
      </c>
      <c r="G142" s="341">
        <f>IFERROR(GEOMEAN('LP Elementos'!F142,'LP Elementos'!I142,'LP Elementos'!N142,'LP Elementos'!S142,'LP Elementos'!X142,'LP Elementos'!AC142,'LP Elementos'!AH142,'LP Elementos'!AM142,'LP Elementos'!AR142,'LP Elementos'!AW142,'LP Elementos'!BB142,'LP Elementos'!BG142,'LP Elementos'!BL142,'LP Elementos'!BQ142,'LP Elementos'!BV142,'LP Elementos'!CA142,'LP Elementos'!CF142,'LP Elementos'!CK142,'LP Elementos'!CP142,'LP Elementos'!CU142,'LP Elementos'!CZ142)," ")</f>
        <v>80479.867173523293</v>
      </c>
      <c r="H142" s="341">
        <f t="shared" si="8"/>
        <v>69245.660226580017</v>
      </c>
      <c r="I142" s="342">
        <f t="shared" si="9"/>
        <v>0.40066264639877952</v>
      </c>
      <c r="J142" s="341">
        <f t="shared" si="10"/>
        <v>6664</v>
      </c>
      <c r="K142" s="326" t="str">
        <f t="shared" si="11"/>
        <v>Menor Valor</v>
      </c>
      <c r="L142" s="326">
        <f>IFERROR(COUNTA('LP Elementos'!F142,'LP Elementos'!I142,'LP Elementos'!N142,'LP Elementos'!S142,'LP Elementos'!X142,'LP Elementos'!AC142,'LP Elementos'!AH142,'LP Elementos'!AM142,'LP Elementos'!AR142,'LP Elementos'!AX142,'LP Elementos'!BB142,'LP Elementos'!BG142,'LP Elementos'!BL142,'LP Elementos'!BQ142,'LP Elementos'!BV142,'LP Elementos'!CA142,'LP Elementos'!CF142,'LP Elementos'!CK142,'LP Elementos'!CP142,'LP Elementos'!CU142,'LP Elementos'!CZ142)," ")</f>
        <v>5</v>
      </c>
    </row>
    <row r="143" spans="2:12" x14ac:dyDescent="0.25">
      <c r="B143" s="411">
        <v>141</v>
      </c>
      <c r="C143" s="413" t="s">
        <v>3306</v>
      </c>
      <c r="D143" s="408">
        <f>IFERROR(MIN('LP Elementos'!F143,'LP Elementos'!I143,'LP Elementos'!N143,'LP Elementos'!S143,'LP Elementos'!X143,'LP Elementos'!AC143,'LP Elementos'!AH143,'LP Elementos'!AM143,'LP Elementos'!AR143,'LP Elementos'!AW143,'LP Elementos'!BB143,'LP Elementos'!BG143,'LP Elementos'!BL143,'LP Elementos'!BQ143,'LP Elementos'!BV143,'LP Elementos'!CA143,'LP Elementos'!CF143,'LP Elementos'!CK143,'LP Elementos'!CP143,'LP Elementos'!CU143,'LP Elementos'!CZ143)," ")</f>
        <v>6284.39</v>
      </c>
      <c r="E143" s="341">
        <f>IFERROR(AVERAGE('LP Elementos'!F143,'LP Elementos'!I143,'LP Elementos'!N143,'LP Elementos'!S143,'LP Elementos'!X143,'LP Elementos'!AC143,'LP Elementos'!AH143,'LP Elementos'!AM143,'LP Elementos'!AR143,'LP Elementos'!AW143,'LP Elementos'!BB143,'LP Elementos'!BG143,'LP Elementos'!BL143,'LP Elementos'!BQ143,'LP Elementos'!BV143,'LP Elementos'!CA143,'LP Elementos'!CF143,'LP Elementos'!CK143,'LP Elementos'!CP143,'LP Elementos'!CU143,'LP Elementos'!CZ143)," ")</f>
        <v>14796.46</v>
      </c>
      <c r="F143" s="341">
        <f>IFERROR(MEDIAN('LP Elementos'!F143,'LP Elementos'!I143,'LP Elementos'!N143,'LP Elementos'!S143,'LP Elementos'!X143,'LP Elementos'!AC143,'LP Elementos'!AH143,'LP Elementos'!AM143,'LP Elementos'!AR143,'LP Elementos'!AW143,'LP Elementos'!BB143,'LP Elementos'!BG143,'LP Elementos'!BL143,'LP Elementos'!BQ143,'LP Elementos'!BV143,'LP Elementos'!CA143,'LP Elementos'!CF143,'LP Elementos'!CK143,'LP Elementos'!CP143,'LP Elementos'!CU143,'LP Elementos'!CZ143)," ")</f>
        <v>9282</v>
      </c>
      <c r="G143" s="341">
        <f>IFERROR(GEOMEAN('LP Elementos'!F143,'LP Elementos'!I143,'LP Elementos'!N143,'LP Elementos'!S143,'LP Elementos'!X143,'LP Elementos'!AC143,'LP Elementos'!AH143,'LP Elementos'!AM143,'LP Elementos'!AR143,'LP Elementos'!AW143,'LP Elementos'!BB143,'LP Elementos'!BG143,'LP Elementos'!BL143,'LP Elementos'!BQ143,'LP Elementos'!BV143,'LP Elementos'!CA143,'LP Elementos'!CF143,'LP Elementos'!CK143,'LP Elementos'!CP143,'LP Elementos'!CU143,'LP Elementos'!CZ143)," ")</f>
        <v>12092.213331242376</v>
      </c>
      <c r="H143" s="341">
        <f t="shared" si="8"/>
        <v>3660.5023715798711</v>
      </c>
      <c r="I143" s="342">
        <f t="shared" si="9"/>
        <v>0.2473904144356063</v>
      </c>
      <c r="J143" s="341">
        <f t="shared" si="10"/>
        <v>12092.213331242376</v>
      </c>
      <c r="K143" s="326" t="str">
        <f t="shared" si="11"/>
        <v>Media Geometrica</v>
      </c>
      <c r="L143" s="326">
        <f>IFERROR(COUNTA('LP Elementos'!F143,'LP Elementos'!I143,'LP Elementos'!N143,'LP Elementos'!S143,'LP Elementos'!X143,'LP Elementos'!AC143,'LP Elementos'!AH143,'LP Elementos'!AM143,'LP Elementos'!AR143,'LP Elementos'!AX143,'LP Elementos'!BB143,'LP Elementos'!BG143,'LP Elementos'!BL143,'LP Elementos'!BQ143,'LP Elementos'!BV143,'LP Elementos'!CA143,'LP Elementos'!CF143,'LP Elementos'!CK143,'LP Elementos'!CP143,'LP Elementos'!CU143,'LP Elementos'!CZ143)," ")</f>
        <v>6</v>
      </c>
    </row>
    <row r="144" spans="2:12" x14ac:dyDescent="0.25">
      <c r="B144" s="411">
        <v>142</v>
      </c>
      <c r="C144" s="413" t="s">
        <v>3310</v>
      </c>
      <c r="D144" s="408">
        <f>IFERROR(MIN('LP Elementos'!F144,'LP Elementos'!I144,'LP Elementos'!N144,'LP Elementos'!S144,'LP Elementos'!X144,'LP Elementos'!AC144,'LP Elementos'!AH144,'LP Elementos'!AM144,'LP Elementos'!AR144,'LP Elementos'!AW144,'LP Elementos'!BB144,'LP Elementos'!BG144,'LP Elementos'!BL144,'LP Elementos'!BQ144,'LP Elementos'!BV144,'LP Elementos'!CA144,'LP Elementos'!CF144,'LP Elementos'!CK144,'LP Elementos'!CP144,'LP Elementos'!CU144,'LP Elementos'!CZ144)," ")</f>
        <v>7000.77</v>
      </c>
      <c r="E144" s="341">
        <f>IFERROR(AVERAGE('LP Elementos'!F144,'LP Elementos'!I144,'LP Elementos'!N144,'LP Elementos'!S144,'LP Elementos'!X144,'LP Elementos'!AC144,'LP Elementos'!AH144,'LP Elementos'!AM144,'LP Elementos'!AR144,'LP Elementos'!AW144,'LP Elementos'!BB144,'LP Elementos'!BG144,'LP Elementos'!BL144,'LP Elementos'!BQ144,'LP Elementos'!BV144,'LP Elementos'!CA144,'LP Elementos'!CF144,'LP Elementos'!CK144,'LP Elementos'!CP144,'LP Elementos'!CU144,'LP Elementos'!CZ144)," ")</f>
        <v>29805.168400000002</v>
      </c>
      <c r="F144" s="341">
        <f>IFERROR(MEDIAN('LP Elementos'!F144,'LP Elementos'!I144,'LP Elementos'!N144,'LP Elementos'!S144,'LP Elementos'!X144,'LP Elementos'!AC144,'LP Elementos'!AH144,'LP Elementos'!AM144,'LP Elementos'!AR144,'LP Elementos'!AW144,'LP Elementos'!BB144,'LP Elementos'!BG144,'LP Elementos'!BL144,'LP Elementos'!BQ144,'LP Elementos'!BV144,'LP Elementos'!CA144,'LP Elementos'!CF144,'LP Elementos'!CK144,'LP Elementos'!CP144,'LP Elementos'!CU144,'LP Elementos'!CZ144)," ")</f>
        <v>30165.072</v>
      </c>
      <c r="G144" s="341">
        <f>IFERROR(GEOMEAN('LP Elementos'!F144,'LP Elementos'!I144,'LP Elementos'!N144,'LP Elementos'!S144,'LP Elementos'!X144,'LP Elementos'!AC144,'LP Elementos'!AH144,'LP Elementos'!AM144,'LP Elementos'!AR144,'LP Elementos'!AW144,'LP Elementos'!BB144,'LP Elementos'!BG144,'LP Elementos'!BL144,'LP Elementos'!BQ144,'LP Elementos'!BV144,'LP Elementos'!CA144,'LP Elementos'!CF144,'LP Elementos'!CK144,'LP Elementos'!CP144,'LP Elementos'!CU144,'LP Elementos'!CZ144)," ")</f>
        <v>22498.896349448933</v>
      </c>
      <c r="H144" s="341">
        <f t="shared" si="8"/>
        <v>10836.276977740366</v>
      </c>
      <c r="I144" s="342">
        <f t="shared" si="9"/>
        <v>0.36357039934524799</v>
      </c>
      <c r="J144" s="341">
        <f t="shared" si="10"/>
        <v>7000.77</v>
      </c>
      <c r="K144" s="326" t="str">
        <f t="shared" si="11"/>
        <v>Menor Valor</v>
      </c>
      <c r="L144" s="326">
        <f>IFERROR(COUNTA('LP Elementos'!F144,'LP Elementos'!I144,'LP Elementos'!N144,'LP Elementos'!S144,'LP Elementos'!X144,'LP Elementos'!AC144,'LP Elementos'!AH144,'LP Elementos'!AM144,'LP Elementos'!AR144,'LP Elementos'!AX144,'LP Elementos'!BB144,'LP Elementos'!BG144,'LP Elementos'!BL144,'LP Elementos'!BQ144,'LP Elementos'!BV144,'LP Elementos'!CA144,'LP Elementos'!CF144,'LP Elementos'!CK144,'LP Elementos'!CP144,'LP Elementos'!CU144,'LP Elementos'!CZ144)," ")</f>
        <v>5</v>
      </c>
    </row>
    <row r="145" spans="2:12" ht="40.5" x14ac:dyDescent="0.25">
      <c r="B145" s="411">
        <v>143</v>
      </c>
      <c r="C145" s="412" t="s">
        <v>3313</v>
      </c>
      <c r="D145" s="408">
        <f>IFERROR(MIN('LP Elementos'!F145,'LP Elementos'!I145,'LP Elementos'!N145,'LP Elementos'!S145,'LP Elementos'!X145,'LP Elementos'!AC145,'LP Elementos'!AH145,'LP Elementos'!AM145,'LP Elementos'!AR145,'LP Elementos'!AW145,'LP Elementos'!BB145,'LP Elementos'!BG145,'LP Elementos'!BL145,'LP Elementos'!BQ145,'LP Elementos'!BV145,'LP Elementos'!CA145,'LP Elementos'!CF145,'LP Elementos'!CK145,'LP Elementos'!CP145,'LP Elementos'!CU145,'LP Elementos'!CZ145)," ")</f>
        <v>5000.38</v>
      </c>
      <c r="E145" s="341">
        <f>IFERROR(AVERAGE('LP Elementos'!F145,'LP Elementos'!I145,'LP Elementos'!N145,'LP Elementos'!S145,'LP Elementos'!X145,'LP Elementos'!AC145,'LP Elementos'!AH145,'LP Elementos'!AM145,'LP Elementos'!AR145,'LP Elementos'!AW145,'LP Elementos'!BB145,'LP Elementos'!BG145,'LP Elementos'!BL145,'LP Elementos'!BQ145,'LP Elementos'!BV145,'LP Elementos'!CA145,'LP Elementos'!CF145,'LP Elementos'!CK145,'LP Elementos'!CP145,'LP Elementos'!CU145,'LP Elementos'!CZ145)," ")</f>
        <v>40373.070500000002</v>
      </c>
      <c r="F145" s="341">
        <f>IFERROR(MEDIAN('LP Elementos'!F145,'LP Elementos'!I145,'LP Elementos'!N145,'LP Elementos'!S145,'LP Elementos'!X145,'LP Elementos'!AC145,'LP Elementos'!AH145,'LP Elementos'!AM145,'LP Elementos'!AR145,'LP Elementos'!AW145,'LP Elementos'!BB145,'LP Elementos'!BG145,'LP Elementos'!BL145,'LP Elementos'!BQ145,'LP Elementos'!BV145,'LP Elementos'!CA145,'LP Elementos'!CF145,'LP Elementos'!CK145,'LP Elementos'!CP145,'LP Elementos'!CU145,'LP Elementos'!CZ145)," ")</f>
        <v>11010.951000000001</v>
      </c>
      <c r="G145" s="341">
        <f>IFERROR(GEOMEAN('LP Elementos'!F145,'LP Elementos'!I145,'LP Elementos'!N145,'LP Elementos'!S145,'LP Elementos'!X145,'LP Elementos'!AC145,'LP Elementos'!AH145,'LP Elementos'!AM145,'LP Elementos'!AR145,'LP Elementos'!AW145,'LP Elementos'!BB145,'LP Elementos'!BG145,'LP Elementos'!BL145,'LP Elementos'!BQ145,'LP Elementos'!BV145,'LP Elementos'!CA145,'LP Elementos'!CF145,'LP Elementos'!CK145,'LP Elementos'!CP145,'LP Elementos'!CU145,'LP Elementos'!CZ145)," ")</f>
        <v>16894.22911954781</v>
      </c>
      <c r="H145" s="341">
        <f t="shared" si="8"/>
        <v>15483.380496966378</v>
      </c>
      <c r="I145" s="342">
        <f t="shared" si="9"/>
        <v>0.38350762786215076</v>
      </c>
      <c r="J145" s="341">
        <f t="shared" si="10"/>
        <v>5000.38</v>
      </c>
      <c r="K145" s="326" t="str">
        <f t="shared" si="11"/>
        <v>Menor Valor</v>
      </c>
      <c r="L145" s="326">
        <f>IFERROR(COUNTA('LP Elementos'!F145,'LP Elementos'!I145,'LP Elementos'!N145,'LP Elementos'!S145,'LP Elementos'!X145,'LP Elementos'!AC145,'LP Elementos'!AH145,'LP Elementos'!AM145,'LP Elementos'!AR145,'LP Elementos'!AX145,'LP Elementos'!BB145,'LP Elementos'!BG145,'LP Elementos'!BL145,'LP Elementos'!BQ145,'LP Elementos'!BV145,'LP Elementos'!CA145,'LP Elementos'!CF145,'LP Elementos'!CK145,'LP Elementos'!CP145,'LP Elementos'!CU145,'LP Elementos'!CZ145)," ")</f>
        <v>4</v>
      </c>
    </row>
    <row r="146" spans="2:12" ht="27" x14ac:dyDescent="0.25">
      <c r="B146" s="411">
        <v>144</v>
      </c>
      <c r="C146" s="412" t="s">
        <v>3316</v>
      </c>
      <c r="D146" s="408">
        <f>IFERROR(MIN('LP Elementos'!F146,'LP Elementos'!I146,'LP Elementos'!N146,'LP Elementos'!S146,'LP Elementos'!X146,'LP Elementos'!AC146,'LP Elementos'!AH146,'LP Elementos'!AM146,'LP Elementos'!AR146,'LP Elementos'!AW146,'LP Elementos'!BB146,'LP Elementos'!BG146,'LP Elementos'!BL146,'LP Elementos'!BQ146,'LP Elementos'!BV146,'LP Elementos'!CA146,'LP Elementos'!CF146,'LP Elementos'!CK146,'LP Elementos'!CP146,'LP Elementos'!CU146,'LP Elementos'!CZ146)," ")</f>
        <v>20941.277399999999</v>
      </c>
      <c r="E146" s="341">
        <f>IFERROR(AVERAGE('LP Elementos'!F146,'LP Elementos'!I146,'LP Elementos'!N146,'LP Elementos'!S146,'LP Elementos'!X146,'LP Elementos'!AC146,'LP Elementos'!AH146,'LP Elementos'!AM146,'LP Elementos'!AR146,'LP Elementos'!AW146,'LP Elementos'!BB146,'LP Elementos'!BG146,'LP Elementos'!BL146,'LP Elementos'!BQ146,'LP Elementos'!BV146,'LP Elementos'!CA146,'LP Elementos'!CF146,'LP Elementos'!CK146,'LP Elementos'!CP146,'LP Elementos'!CU146,'LP Elementos'!CZ146)," ")</f>
        <v>25940.6387</v>
      </c>
      <c r="F146" s="341">
        <f>IFERROR(MEDIAN('LP Elementos'!F146,'LP Elementos'!I146,'LP Elementos'!N146,'LP Elementos'!S146,'LP Elementos'!X146,'LP Elementos'!AC146,'LP Elementos'!AH146,'LP Elementos'!AM146,'LP Elementos'!AR146,'LP Elementos'!AW146,'LP Elementos'!BB146,'LP Elementos'!BG146,'LP Elementos'!BL146,'LP Elementos'!BQ146,'LP Elementos'!BV146,'LP Elementos'!CA146,'LP Elementos'!CF146,'LP Elementos'!CK146,'LP Elementos'!CP146,'LP Elementos'!CU146,'LP Elementos'!CZ146)," ")</f>
        <v>25940.6387</v>
      </c>
      <c r="G146" s="341">
        <f>IFERROR(GEOMEAN('LP Elementos'!F146,'LP Elementos'!I146,'LP Elementos'!N146,'LP Elementos'!S146,'LP Elementos'!X146,'LP Elementos'!AC146,'LP Elementos'!AH146,'LP Elementos'!AM146,'LP Elementos'!AR146,'LP Elementos'!AW146,'LP Elementos'!BB146,'LP Elementos'!BG146,'LP Elementos'!BL146,'LP Elementos'!BQ146,'LP Elementos'!BV146,'LP Elementos'!CA146,'LP Elementos'!CF146,'LP Elementos'!CK146,'LP Elementos'!CP146,'LP Elementos'!CU146,'LP Elementos'!CZ146)," ")</f>
        <v>25454.334066244985</v>
      </c>
      <c r="H146" s="341">
        <f t="shared" si="8"/>
        <v>2429.4699641800626</v>
      </c>
      <c r="I146" s="342">
        <f t="shared" si="9"/>
        <v>9.3654978671749614E-2</v>
      </c>
      <c r="J146" s="341">
        <f t="shared" si="10"/>
        <v>25940.6387</v>
      </c>
      <c r="K146" s="326" t="str">
        <f t="shared" si="11"/>
        <v>Promedio</v>
      </c>
      <c r="L146" s="326">
        <f>IFERROR(COUNTA('LP Elementos'!F146,'LP Elementos'!I146,'LP Elementos'!N146,'LP Elementos'!S146,'LP Elementos'!X146,'LP Elementos'!AC146,'LP Elementos'!AH146,'LP Elementos'!AM146,'LP Elementos'!AR146,'LP Elementos'!AX146,'LP Elementos'!BB146,'LP Elementos'!BG146,'LP Elementos'!BL146,'LP Elementos'!BQ146,'LP Elementos'!BV146,'LP Elementos'!CA146,'LP Elementos'!CF146,'LP Elementos'!CK146,'LP Elementos'!CP146,'LP Elementos'!CU146,'LP Elementos'!CZ146)," ")</f>
        <v>2</v>
      </c>
    </row>
    <row r="147" spans="2:12" ht="27" x14ac:dyDescent="0.25">
      <c r="B147" s="411">
        <v>145</v>
      </c>
      <c r="C147" s="412" t="s">
        <v>3318</v>
      </c>
      <c r="D147" s="408">
        <f>IFERROR(MIN('LP Elementos'!F147,'LP Elementos'!I147,'LP Elementos'!N147,'LP Elementos'!S147,'LP Elementos'!X147,'LP Elementos'!AC147,'LP Elementos'!AH147,'LP Elementos'!AM147,'LP Elementos'!AR147,'LP Elementos'!AW147,'LP Elementos'!BB147,'LP Elementos'!BG147,'LP Elementos'!BL147,'LP Elementos'!BQ147,'LP Elementos'!BV147,'LP Elementos'!CA147,'LP Elementos'!CF147,'LP Elementos'!CK147,'LP Elementos'!CP147,'LP Elementos'!CU147,'LP Elementos'!CZ147)," ")</f>
        <v>780521.23800000001</v>
      </c>
      <c r="E147" s="341">
        <f>IFERROR(AVERAGE('LP Elementos'!F147,'LP Elementos'!I147,'LP Elementos'!N147,'LP Elementos'!S147,'LP Elementos'!X147,'LP Elementos'!AC147,'LP Elementos'!AH147,'LP Elementos'!AM147,'LP Elementos'!AR147,'LP Elementos'!AW147,'LP Elementos'!BB147,'LP Elementos'!BG147,'LP Elementos'!BL147,'LP Elementos'!BQ147,'LP Elementos'!BV147,'LP Elementos'!CA147,'LP Elementos'!CF147,'LP Elementos'!CK147,'LP Elementos'!CP147,'LP Elementos'!CU147,'LP Elementos'!CZ147)," ")</f>
        <v>835915.61899999995</v>
      </c>
      <c r="F147" s="341">
        <f>IFERROR(MEDIAN('LP Elementos'!F147,'LP Elementos'!I147,'LP Elementos'!N147,'LP Elementos'!S147,'LP Elementos'!X147,'LP Elementos'!AC147,'LP Elementos'!AH147,'LP Elementos'!AM147,'LP Elementos'!AR147,'LP Elementos'!AW147,'LP Elementos'!BB147,'LP Elementos'!BG147,'LP Elementos'!BL147,'LP Elementos'!BQ147,'LP Elementos'!BV147,'LP Elementos'!CA147,'LP Elementos'!CF147,'LP Elementos'!CK147,'LP Elementos'!CP147,'LP Elementos'!CU147,'LP Elementos'!CZ147)," ")</f>
        <v>835915.61899999995</v>
      </c>
      <c r="G147" s="341">
        <f>IFERROR(GEOMEAN('LP Elementos'!F147,'LP Elementos'!I147,'LP Elementos'!N147,'LP Elementos'!S147,'LP Elementos'!X147,'LP Elementos'!AC147,'LP Elementos'!AH147,'LP Elementos'!AM147,'LP Elementos'!AR147,'LP Elementos'!AW147,'LP Elementos'!BB147,'LP Elementos'!BG147,'LP Elementos'!BL147,'LP Elementos'!BQ147,'LP Elementos'!BV147,'LP Elementos'!CA147,'LP Elementos'!CF147,'LP Elementos'!CK147,'LP Elementos'!CP147,'LP Elementos'!CU147,'LP Elementos'!CZ147)," ")</f>
        <v>834078.16458757629</v>
      </c>
      <c r="H147" s="341">
        <f t="shared" si="8"/>
        <v>27404.640354765976</v>
      </c>
      <c r="I147" s="342">
        <f t="shared" si="9"/>
        <v>3.27839793058897E-2</v>
      </c>
      <c r="J147" s="341">
        <f t="shared" si="10"/>
        <v>835915.61899999995</v>
      </c>
      <c r="K147" s="326" t="str">
        <f t="shared" si="11"/>
        <v>Promedio</v>
      </c>
      <c r="L147" s="326">
        <f>IFERROR(COUNTA('LP Elementos'!F147,'LP Elementos'!I147,'LP Elementos'!N147,'LP Elementos'!S147,'LP Elementos'!X147,'LP Elementos'!AC147,'LP Elementos'!AH147,'LP Elementos'!AM147,'LP Elementos'!AR147,'LP Elementos'!AX147,'LP Elementos'!BB147,'LP Elementos'!BG147,'LP Elementos'!BL147,'LP Elementos'!BQ147,'LP Elementos'!BV147,'LP Elementos'!CA147,'LP Elementos'!CF147,'LP Elementos'!CK147,'LP Elementos'!CP147,'LP Elementos'!CU147,'LP Elementos'!CZ147)," ")</f>
        <v>2</v>
      </c>
    </row>
    <row r="148" spans="2:12" x14ac:dyDescent="0.25">
      <c r="B148" s="411">
        <v>146</v>
      </c>
      <c r="C148" s="412" t="s">
        <v>3322</v>
      </c>
      <c r="D148" s="408">
        <f>IFERROR(MIN('LP Elementos'!F148,'LP Elementos'!I148,'LP Elementos'!N148,'LP Elementos'!S148,'LP Elementos'!X148,'LP Elementos'!AC148,'LP Elementos'!AH148,'LP Elementos'!AM148,'LP Elementos'!AR148,'LP Elementos'!AW148,'LP Elementos'!BB148,'LP Elementos'!BG148,'LP Elementos'!BL148,'LP Elementos'!BQ148,'LP Elementos'!BV148,'LP Elementos'!CA148,'LP Elementos'!CF148,'LP Elementos'!CK148,'LP Elementos'!CP148,'LP Elementos'!CU148,'LP Elementos'!CZ148)," ")</f>
        <v>8169.7070000000003</v>
      </c>
      <c r="E148" s="341">
        <f>IFERROR(AVERAGE('LP Elementos'!F148,'LP Elementos'!I148,'LP Elementos'!N148,'LP Elementos'!S148,'LP Elementos'!X148,'LP Elementos'!AC148,'LP Elementos'!AH148,'LP Elementos'!AM148,'LP Elementos'!AR148,'LP Elementos'!AW148,'LP Elementos'!BB148,'LP Elementos'!BG148,'LP Elementos'!BL148,'LP Elementos'!BQ148,'LP Elementos'!BV148,'LP Elementos'!CA148,'LP Elementos'!CF148,'LP Elementos'!CK148,'LP Elementos'!CP148,'LP Elementos'!CU148,'LP Elementos'!CZ148)," ")</f>
        <v>9439.8535000000011</v>
      </c>
      <c r="F148" s="341">
        <f>IFERROR(MEDIAN('LP Elementos'!F148,'LP Elementos'!I148,'LP Elementos'!N148,'LP Elementos'!S148,'LP Elementos'!X148,'LP Elementos'!AC148,'LP Elementos'!AH148,'LP Elementos'!AM148,'LP Elementos'!AR148,'LP Elementos'!AW148,'LP Elementos'!BB148,'LP Elementos'!BG148,'LP Elementos'!BL148,'LP Elementos'!BQ148,'LP Elementos'!BV148,'LP Elementos'!CA148,'LP Elementos'!CF148,'LP Elementos'!CK148,'LP Elementos'!CP148,'LP Elementos'!CU148,'LP Elementos'!CZ148)," ")</f>
        <v>9439.8535000000011</v>
      </c>
      <c r="G148" s="341">
        <f>IFERROR(GEOMEAN('LP Elementos'!F148,'LP Elementos'!I148,'LP Elementos'!N148,'LP Elementos'!S148,'LP Elementos'!X148,'LP Elementos'!AC148,'LP Elementos'!AH148,'LP Elementos'!AM148,'LP Elementos'!AR148,'LP Elementos'!AW148,'LP Elementos'!BB148,'LP Elementos'!BG148,'LP Elementos'!BL148,'LP Elementos'!BQ148,'LP Elementos'!BV148,'LP Elementos'!CA148,'LP Elementos'!CF148,'LP Elementos'!CK148,'LP Elementos'!CP148,'LP Elementos'!CU148,'LP Elementos'!CZ148)," ")</f>
        <v>9354.0131478419462</v>
      </c>
      <c r="H148" s="341">
        <f t="shared" si="8"/>
        <v>622.08402747391301</v>
      </c>
      <c r="I148" s="342">
        <f t="shared" si="9"/>
        <v>6.589975442668819E-2</v>
      </c>
      <c r="J148" s="341">
        <f t="shared" si="10"/>
        <v>9439.8535000000011</v>
      </c>
      <c r="K148" s="326" t="str">
        <f t="shared" si="11"/>
        <v>Promedio</v>
      </c>
      <c r="L148" s="326">
        <f>IFERROR(COUNTA('LP Elementos'!F148,'LP Elementos'!I148,'LP Elementos'!N148,'LP Elementos'!S148,'LP Elementos'!X148,'LP Elementos'!AC148,'LP Elementos'!AH148,'LP Elementos'!AM148,'LP Elementos'!AR148,'LP Elementos'!AX148,'LP Elementos'!BB148,'LP Elementos'!BG148,'LP Elementos'!BL148,'LP Elementos'!BQ148,'LP Elementos'!BV148,'LP Elementos'!CA148,'LP Elementos'!CF148,'LP Elementos'!CK148,'LP Elementos'!CP148,'LP Elementos'!CU148,'LP Elementos'!CZ148)," ")</f>
        <v>2</v>
      </c>
    </row>
    <row r="149" spans="2:12" x14ac:dyDescent="0.25">
      <c r="B149" s="411">
        <v>147</v>
      </c>
      <c r="C149" s="412" t="s">
        <v>3326</v>
      </c>
      <c r="D149" s="408">
        <f>IFERROR(MIN('LP Elementos'!F149,'LP Elementos'!I149,'LP Elementos'!N149,'LP Elementos'!S149,'LP Elementos'!X149,'LP Elementos'!AC149,'LP Elementos'!AH149,'LP Elementos'!AM149,'LP Elementos'!AR149,'LP Elementos'!AW149,'LP Elementos'!BB149,'LP Elementos'!BG149,'LP Elementos'!BL149,'LP Elementos'!BQ149,'LP Elementos'!BV149,'LP Elementos'!CA149,'LP Elementos'!CF149,'LP Elementos'!CK149,'LP Elementos'!CP149,'LP Elementos'!CU149,'LP Elementos'!CZ149)," ")</f>
        <v>8421.0825999999997</v>
      </c>
      <c r="E149" s="341">
        <f>IFERROR(AVERAGE('LP Elementos'!F149,'LP Elementos'!I149,'LP Elementos'!N149,'LP Elementos'!S149,'LP Elementos'!X149,'LP Elementos'!AC149,'LP Elementos'!AH149,'LP Elementos'!AM149,'LP Elementos'!AR149,'LP Elementos'!AW149,'LP Elementos'!BB149,'LP Elementos'!BG149,'LP Elementos'!BL149,'LP Elementos'!BQ149,'LP Elementos'!BV149,'LP Elementos'!CA149,'LP Elementos'!CF149,'LP Elementos'!CK149,'LP Elementos'!CP149,'LP Elementos'!CU149,'LP Elementos'!CZ149)," ")</f>
        <v>13730.541300000001</v>
      </c>
      <c r="F149" s="341">
        <f>IFERROR(MEDIAN('LP Elementos'!F149,'LP Elementos'!I149,'LP Elementos'!N149,'LP Elementos'!S149,'LP Elementos'!X149,'LP Elementos'!AC149,'LP Elementos'!AH149,'LP Elementos'!AM149,'LP Elementos'!AR149,'LP Elementos'!AW149,'LP Elementos'!BB149,'LP Elementos'!BG149,'LP Elementos'!BL149,'LP Elementos'!BQ149,'LP Elementos'!BV149,'LP Elementos'!CA149,'LP Elementos'!CF149,'LP Elementos'!CK149,'LP Elementos'!CP149,'LP Elementos'!CU149,'LP Elementos'!CZ149)," ")</f>
        <v>13730.541300000001</v>
      </c>
      <c r="G149" s="341">
        <f>IFERROR(GEOMEAN('LP Elementos'!F149,'LP Elementos'!I149,'LP Elementos'!N149,'LP Elementos'!S149,'LP Elementos'!X149,'LP Elementos'!AC149,'LP Elementos'!AH149,'LP Elementos'!AM149,'LP Elementos'!AR149,'LP Elementos'!AW149,'LP Elementos'!BB149,'LP Elementos'!BG149,'LP Elementos'!BL149,'LP Elementos'!BQ149,'LP Elementos'!BV149,'LP Elementos'!CA149,'LP Elementos'!CF149,'LP Elementos'!CK149,'LP Elementos'!CP149,'LP Elementos'!CU149,'LP Elementos'!CZ149)," ")</f>
        <v>12662.44102469978</v>
      </c>
      <c r="H149" s="341">
        <f t="shared" si="8"/>
        <v>2527.3751379803753</v>
      </c>
      <c r="I149" s="342">
        <f t="shared" si="9"/>
        <v>0.18406959221486593</v>
      </c>
      <c r="J149" s="341">
        <f t="shared" si="10"/>
        <v>13730.541300000001</v>
      </c>
      <c r="K149" s="326" t="str">
        <f t="shared" si="11"/>
        <v>Promedio</v>
      </c>
      <c r="L149" s="326">
        <f>IFERROR(COUNTA('LP Elementos'!F149,'LP Elementos'!I149,'LP Elementos'!N149,'LP Elementos'!S149,'LP Elementos'!X149,'LP Elementos'!AC149,'LP Elementos'!AH149,'LP Elementos'!AM149,'LP Elementos'!AR149,'LP Elementos'!AX149,'LP Elementos'!BB149,'LP Elementos'!BG149,'LP Elementos'!BL149,'LP Elementos'!BQ149,'LP Elementos'!BV149,'LP Elementos'!CA149,'LP Elementos'!CF149,'LP Elementos'!CK149,'LP Elementos'!CP149,'LP Elementos'!CU149,'LP Elementos'!CZ149)," ")</f>
        <v>2</v>
      </c>
    </row>
    <row r="150" spans="2:12" x14ac:dyDescent="0.25">
      <c r="B150" s="411">
        <v>148</v>
      </c>
      <c r="C150" s="412" t="s">
        <v>3328</v>
      </c>
      <c r="D150" s="408">
        <f>IFERROR(MIN('LP Elementos'!F150,'LP Elementos'!I150,'LP Elementos'!N150,'LP Elementos'!S150,'LP Elementos'!X150,'LP Elementos'!AC150,'LP Elementos'!AH150,'LP Elementos'!AM150,'LP Elementos'!AR150,'LP Elementos'!AW150,'LP Elementos'!BB150,'LP Elementos'!BG150,'LP Elementos'!BL150,'LP Elementos'!BQ150,'LP Elementos'!BV150,'LP Elementos'!CA150,'LP Elementos'!CF150,'LP Elementos'!CK150,'LP Elementos'!CP150,'LP Elementos'!CU150,'LP Elementos'!CZ150)," ")</f>
        <v>10055.023999999999</v>
      </c>
      <c r="E150" s="341">
        <f>IFERROR(AVERAGE('LP Elementos'!F150,'LP Elementos'!I150,'LP Elementos'!N150,'LP Elementos'!S150,'LP Elementos'!X150,'LP Elementos'!AC150,'LP Elementos'!AH150,'LP Elementos'!AM150,'LP Elementos'!AR150,'LP Elementos'!AW150,'LP Elementos'!BB150,'LP Elementos'!BG150,'LP Elementos'!BL150,'LP Elementos'!BQ150,'LP Elementos'!BV150,'LP Elementos'!CA150,'LP Elementos'!CF150,'LP Elementos'!CK150,'LP Elementos'!CP150,'LP Elementos'!CU150,'LP Elementos'!CZ150)," ")</f>
        <v>27042.511999999999</v>
      </c>
      <c r="F150" s="341">
        <f>IFERROR(MEDIAN('LP Elementos'!F150,'LP Elementos'!I150,'LP Elementos'!N150,'LP Elementos'!S150,'LP Elementos'!X150,'LP Elementos'!AC150,'LP Elementos'!AH150,'LP Elementos'!AM150,'LP Elementos'!AR150,'LP Elementos'!AW150,'LP Elementos'!BB150,'LP Elementos'!BG150,'LP Elementos'!BL150,'LP Elementos'!BQ150,'LP Elementos'!BV150,'LP Elementos'!CA150,'LP Elementos'!CF150,'LP Elementos'!CK150,'LP Elementos'!CP150,'LP Elementos'!CU150,'LP Elementos'!CZ150)," ")</f>
        <v>27042.512000000002</v>
      </c>
      <c r="G150" s="341">
        <f>IFERROR(GEOMEAN('LP Elementos'!F150,'LP Elementos'!I150,'LP Elementos'!N150,'LP Elementos'!S150,'LP Elementos'!X150,'LP Elementos'!AC150,'LP Elementos'!AH150,'LP Elementos'!AM150,'LP Elementos'!AR150,'LP Elementos'!AW150,'LP Elementos'!BB150,'LP Elementos'!BG150,'LP Elementos'!BL150,'LP Elementos'!BQ150,'LP Elementos'!BV150,'LP Elementos'!CA150,'LP Elementos'!CF150,'LP Elementos'!CK150,'LP Elementos'!CP150,'LP Elementos'!CU150,'LP Elementos'!CZ150)," ")</f>
        <v>21040.976848045815</v>
      </c>
      <c r="H150" s="341">
        <f t="shared" si="8"/>
        <v>8009.7727050567146</v>
      </c>
      <c r="I150" s="342">
        <f t="shared" si="9"/>
        <v>0.29619188872160673</v>
      </c>
      <c r="J150" s="341">
        <f t="shared" si="10"/>
        <v>21040.976848045815</v>
      </c>
      <c r="K150" s="326" t="str">
        <f t="shared" si="11"/>
        <v>Media Geometrica</v>
      </c>
      <c r="L150" s="326">
        <f>IFERROR(COUNTA('LP Elementos'!F150,'LP Elementos'!I150,'LP Elementos'!N150,'LP Elementos'!S150,'LP Elementos'!X150,'LP Elementos'!AC150,'LP Elementos'!AH150,'LP Elementos'!AM150,'LP Elementos'!AR150,'LP Elementos'!AX150,'LP Elementos'!BB150,'LP Elementos'!BG150,'LP Elementos'!BL150,'LP Elementos'!BQ150,'LP Elementos'!BV150,'LP Elementos'!CA150,'LP Elementos'!CF150,'LP Elementos'!CK150,'LP Elementos'!CP150,'LP Elementos'!CU150,'LP Elementos'!CZ150)," ")</f>
        <v>2</v>
      </c>
    </row>
    <row r="151" spans="2:12" x14ac:dyDescent="0.25">
      <c r="B151" s="411">
        <v>149</v>
      </c>
      <c r="C151" s="412" t="s">
        <v>3330</v>
      </c>
      <c r="D151" s="408">
        <f>IFERROR(MIN('LP Elementos'!F151,'LP Elementos'!I151,'LP Elementos'!N151,'LP Elementos'!S151,'LP Elementos'!X151,'LP Elementos'!AC151,'LP Elementos'!AH151,'LP Elementos'!AM151,'LP Elementos'!AR151,'LP Elementos'!AW151,'LP Elementos'!BB151,'LP Elementos'!BG151,'LP Elementos'!BL151,'LP Elementos'!BQ151,'LP Elementos'!BV151,'LP Elementos'!CA151,'LP Elementos'!CF151,'LP Elementos'!CK151,'LP Elementos'!CP151,'LP Elementos'!CU151,'LP Elementos'!CZ151)," ")</f>
        <v>49980</v>
      </c>
      <c r="E151" s="341">
        <f>IFERROR(AVERAGE('LP Elementos'!F151,'LP Elementos'!I151,'LP Elementos'!N151,'LP Elementos'!S151,'LP Elementos'!X151,'LP Elementos'!AC151,'LP Elementos'!AH151,'LP Elementos'!AM151,'LP Elementos'!AR151,'LP Elementos'!AW151,'LP Elementos'!BB151,'LP Elementos'!BG151,'LP Elementos'!BL151,'LP Elementos'!BQ151,'LP Elementos'!BV151,'LP Elementos'!CA151,'LP Elementos'!CF151,'LP Elementos'!CK151,'LP Elementos'!CP151,'LP Elementos'!CU151,'LP Elementos'!CZ151)," ")</f>
        <v>55512.706666666665</v>
      </c>
      <c r="F151" s="341">
        <f>IFERROR(MEDIAN('LP Elementos'!F151,'LP Elementos'!I151,'LP Elementos'!N151,'LP Elementos'!S151,'LP Elementos'!X151,'LP Elementos'!AC151,'LP Elementos'!AH151,'LP Elementos'!AM151,'LP Elementos'!AR151,'LP Elementos'!AW151,'LP Elementos'!BB151,'LP Elementos'!BG151,'LP Elementos'!BL151,'LP Elementos'!BQ151,'LP Elementos'!BV151,'LP Elementos'!CA151,'LP Elementos'!CF151,'LP Elementos'!CK151,'LP Elementos'!CP151,'LP Elementos'!CU151,'LP Elementos'!CZ151)," ")</f>
        <v>50275.12</v>
      </c>
      <c r="G151" s="341">
        <f>IFERROR(GEOMEAN('LP Elementos'!F151,'LP Elementos'!I151,'LP Elementos'!N151,'LP Elementos'!S151,'LP Elementos'!X151,'LP Elementos'!AC151,'LP Elementos'!AH151,'LP Elementos'!AM151,'LP Elementos'!AR151,'LP Elementos'!AW151,'LP Elementos'!BB151,'LP Elementos'!BG151,'LP Elementos'!BL151,'LP Elementos'!BQ151,'LP Elementos'!BV151,'LP Elementos'!CA151,'LP Elementos'!CF151,'LP Elementos'!CK151,'LP Elementos'!CP151,'LP Elementos'!CU151,'LP Elementos'!CZ151)," ")</f>
        <v>55019.567828808897</v>
      </c>
      <c r="H151" s="341">
        <f t="shared" si="8"/>
        <v>2976.0217850272438</v>
      </c>
      <c r="I151" s="342">
        <f t="shared" si="9"/>
        <v>5.3609740250951145E-2</v>
      </c>
      <c r="J151" s="341">
        <f t="shared" si="10"/>
        <v>50275.12</v>
      </c>
      <c r="K151" s="326" t="str">
        <f t="shared" si="11"/>
        <v>Mediana</v>
      </c>
      <c r="L151" s="326">
        <f>IFERROR(COUNTA('LP Elementos'!F151,'LP Elementos'!I151,'LP Elementos'!N151,'LP Elementos'!S151,'LP Elementos'!X151,'LP Elementos'!AC151,'LP Elementos'!AH151,'LP Elementos'!AM151,'LP Elementos'!AR151,'LP Elementos'!AX151,'LP Elementos'!BB151,'LP Elementos'!BG151,'LP Elementos'!BL151,'LP Elementos'!BQ151,'LP Elementos'!BV151,'LP Elementos'!CA151,'LP Elementos'!CF151,'LP Elementos'!CK151,'LP Elementos'!CP151,'LP Elementos'!CU151,'LP Elementos'!CZ151)," ")</f>
        <v>3</v>
      </c>
    </row>
    <row r="152" spans="2:12" x14ac:dyDescent="0.25">
      <c r="B152" s="411">
        <v>150</v>
      </c>
      <c r="C152" s="412" t="s">
        <v>3333</v>
      </c>
      <c r="D152" s="408">
        <f>IFERROR(MIN('LP Elementos'!F152,'LP Elementos'!I152,'LP Elementos'!N152,'LP Elementos'!S152,'LP Elementos'!X152,'LP Elementos'!AC152,'LP Elementos'!AH152,'LP Elementos'!AM152,'LP Elementos'!AR152,'LP Elementos'!AW152,'LP Elementos'!BB152,'LP Elementos'!BG152,'LP Elementos'!BL152,'LP Elementos'!BQ152,'LP Elementos'!BV152,'LP Elementos'!CA152,'LP Elementos'!CF152,'LP Elementos'!CK152,'LP Elementos'!CP152,'LP Elementos'!CU152,'LP Elementos'!CZ152)," ")</f>
        <v>33320</v>
      </c>
      <c r="E152" s="341">
        <f>IFERROR(AVERAGE('LP Elementos'!F152,'LP Elementos'!I152,'LP Elementos'!N152,'LP Elementos'!S152,'LP Elementos'!X152,'LP Elementos'!AC152,'LP Elementos'!AH152,'LP Elementos'!AM152,'LP Elementos'!AR152,'LP Elementos'!AW152,'LP Elementos'!BB152,'LP Elementos'!BG152,'LP Elementos'!BL152,'LP Elementos'!BQ152,'LP Elementos'!BV152,'LP Elementos'!CA152,'LP Elementos'!CF152,'LP Elementos'!CK152,'LP Elementos'!CP152,'LP Elementos'!CU152,'LP Elementos'!CZ152)," ")</f>
        <v>99717.358999999997</v>
      </c>
      <c r="F152" s="341">
        <f>IFERROR(MEDIAN('LP Elementos'!F152,'LP Elementos'!I152,'LP Elementos'!N152,'LP Elementos'!S152,'LP Elementos'!X152,'LP Elementos'!AC152,'LP Elementos'!AH152,'LP Elementos'!AM152,'LP Elementos'!AR152,'LP Elementos'!AW152,'LP Elementos'!BB152,'LP Elementos'!BG152,'LP Elementos'!BL152,'LP Elementos'!BQ152,'LP Elementos'!BV152,'LP Elementos'!CA152,'LP Elementos'!CF152,'LP Elementos'!CK152,'LP Elementos'!CP152,'LP Elementos'!CU152,'LP Elementos'!CZ152)," ")</f>
        <v>107983.21799999999</v>
      </c>
      <c r="G152" s="341">
        <f>IFERROR(GEOMEAN('LP Elementos'!F152,'LP Elementos'!I152,'LP Elementos'!N152,'LP Elementos'!S152,'LP Elementos'!X152,'LP Elementos'!AC152,'LP Elementos'!AH152,'LP Elementos'!AM152,'LP Elementos'!AR152,'LP Elementos'!AW152,'LP Elementos'!BB152,'LP Elementos'!BG152,'LP Elementos'!BL152,'LP Elementos'!BQ152,'LP Elementos'!BV152,'LP Elementos'!CA152,'LP Elementos'!CF152,'LP Elementos'!CK152,'LP Elementos'!CP152,'LP Elementos'!CU152,'LP Elementos'!CZ152)," ")</f>
        <v>85569.550202208833</v>
      </c>
      <c r="H152" s="341">
        <f t="shared" si="8"/>
        <v>33521.234965764626</v>
      </c>
      <c r="I152" s="342">
        <f t="shared" si="9"/>
        <v>0.33616248266026205</v>
      </c>
      <c r="J152" s="341">
        <f t="shared" si="10"/>
        <v>33320</v>
      </c>
      <c r="K152" s="326" t="str">
        <f t="shared" si="11"/>
        <v>Menor Valor</v>
      </c>
      <c r="L152" s="326">
        <f>IFERROR(COUNTA('LP Elementos'!F152,'LP Elementos'!I152,'LP Elementos'!N152,'LP Elementos'!S152,'LP Elementos'!X152,'LP Elementos'!AC152,'LP Elementos'!AH152,'LP Elementos'!AM152,'LP Elementos'!AR152,'LP Elementos'!AX152,'LP Elementos'!BB152,'LP Elementos'!BG152,'LP Elementos'!BL152,'LP Elementos'!BQ152,'LP Elementos'!BV152,'LP Elementos'!CA152,'LP Elementos'!CF152,'LP Elementos'!CK152,'LP Elementos'!CP152,'LP Elementos'!CU152,'LP Elementos'!CZ152)," ")</f>
        <v>4</v>
      </c>
    </row>
    <row r="153" spans="2:12" x14ac:dyDescent="0.25">
      <c r="B153" s="411">
        <v>151</v>
      </c>
      <c r="C153" s="412" t="s">
        <v>3338</v>
      </c>
      <c r="D153" s="408">
        <f>IFERROR(MIN('LP Elementos'!F153,'LP Elementos'!I153,'LP Elementos'!N153,'LP Elementos'!S153,'LP Elementos'!X153,'LP Elementos'!AC153,'LP Elementos'!AH153,'LP Elementos'!AM153,'LP Elementos'!AR153,'LP Elementos'!AW153,'LP Elementos'!BB153,'LP Elementos'!BG153,'LP Elementos'!BL153,'LP Elementos'!BQ153,'LP Elementos'!BV153,'LP Elementos'!CA153,'LP Elementos'!CF153,'LP Elementos'!CK153,'LP Elementos'!CP153,'LP Elementos'!CU153,'LP Elementos'!CZ153)," ")</f>
        <v>143990</v>
      </c>
      <c r="E153" s="341">
        <f>IFERROR(AVERAGE('LP Elementos'!F153,'LP Elementos'!I153,'LP Elementos'!N153,'LP Elementos'!S153,'LP Elementos'!X153,'LP Elementos'!AC153,'LP Elementos'!AH153,'LP Elementos'!AM153,'LP Elementos'!AR153,'LP Elementos'!AW153,'LP Elementos'!BB153,'LP Elementos'!BG153,'LP Elementos'!BL153,'LP Elementos'!BQ153,'LP Elementos'!BV153,'LP Elementos'!CA153,'LP Elementos'!CF153,'LP Elementos'!CK153,'LP Elementos'!CP153,'LP Elementos'!CU153,'LP Elementos'!CZ153)," ")</f>
        <v>210880.019</v>
      </c>
      <c r="F153" s="341">
        <f>IFERROR(MEDIAN('LP Elementos'!F153,'LP Elementos'!I153,'LP Elementos'!N153,'LP Elementos'!S153,'LP Elementos'!X153,'LP Elementos'!AC153,'LP Elementos'!AH153,'LP Elementos'!AM153,'LP Elementos'!AR153,'LP Elementos'!AW153,'LP Elementos'!BB153,'LP Elementos'!BG153,'LP Elementos'!BL153,'LP Elementos'!BQ153,'LP Elementos'!BV153,'LP Elementos'!CA153,'LP Elementos'!CF153,'LP Elementos'!CK153,'LP Elementos'!CP153,'LP Elementos'!CU153,'LP Elementos'!CZ153)," ")</f>
        <v>210880.019</v>
      </c>
      <c r="G153" s="341">
        <f>IFERROR(GEOMEAN('LP Elementos'!F153,'LP Elementos'!I153,'LP Elementos'!N153,'LP Elementos'!S153,'LP Elementos'!X153,'LP Elementos'!AC153,'LP Elementos'!AH153,'LP Elementos'!AM153,'LP Elementos'!AR153,'LP Elementos'!AW153,'LP Elementos'!BB153,'LP Elementos'!BG153,'LP Elementos'!BL153,'LP Elementos'!BQ153,'LP Elementos'!BV153,'LP Elementos'!CA153,'LP Elementos'!CF153,'LP Elementos'!CK153,'LP Elementos'!CP153,'LP Elementos'!CU153,'LP Elementos'!CZ153)," ")</f>
        <v>199990.26919232847</v>
      </c>
      <c r="H153" s="341">
        <f t="shared" si="8"/>
        <v>32043.918735335552</v>
      </c>
      <c r="I153" s="342">
        <f t="shared" si="9"/>
        <v>0.15195331870363477</v>
      </c>
      <c r="J153" s="341">
        <f t="shared" si="10"/>
        <v>210880.019</v>
      </c>
      <c r="K153" s="326" t="str">
        <f t="shared" si="11"/>
        <v>Promedio</v>
      </c>
      <c r="L153" s="326">
        <f>IFERROR(COUNTA('LP Elementos'!F153,'LP Elementos'!I153,'LP Elementos'!N153,'LP Elementos'!S153,'LP Elementos'!X153,'LP Elementos'!AC153,'LP Elementos'!AH153,'LP Elementos'!AM153,'LP Elementos'!AR153,'LP Elementos'!AX153,'LP Elementos'!BB153,'LP Elementos'!BG153,'LP Elementos'!BL153,'LP Elementos'!BQ153,'LP Elementos'!BV153,'LP Elementos'!CA153,'LP Elementos'!CF153,'LP Elementos'!CK153,'LP Elementos'!CP153,'LP Elementos'!CU153,'LP Elementos'!CZ153)," ")</f>
        <v>2</v>
      </c>
    </row>
    <row r="154" spans="2:12" x14ac:dyDescent="0.25">
      <c r="B154" s="411">
        <v>152</v>
      </c>
      <c r="C154" s="412" t="s">
        <v>3340</v>
      </c>
      <c r="D154" s="408">
        <f>IFERROR(MIN('LP Elementos'!F154,'LP Elementos'!I154,'LP Elementos'!N154,'LP Elementos'!S154,'LP Elementos'!X154,'LP Elementos'!AC154,'LP Elementos'!AH154,'LP Elementos'!AM154,'LP Elementos'!AR154,'LP Elementos'!AW154,'LP Elementos'!BB154,'LP Elementos'!BG154,'LP Elementos'!BL154,'LP Elementos'!BQ154,'LP Elementos'!BV154,'LP Elementos'!CA154,'LP Elementos'!CF154,'LP Elementos'!CK154,'LP Elementos'!CP154,'LP Elementos'!CU154,'LP Elementos'!CZ154)," ")</f>
        <v>20738.487000000001</v>
      </c>
      <c r="E154" s="341">
        <f>IFERROR(AVERAGE('LP Elementos'!F154,'LP Elementos'!I154,'LP Elementos'!N154,'LP Elementos'!S154,'LP Elementos'!X154,'LP Elementos'!AC154,'LP Elementos'!AH154,'LP Elementos'!AM154,'LP Elementos'!AR154,'LP Elementos'!AW154,'LP Elementos'!BB154,'LP Elementos'!BG154,'LP Elementos'!BL154,'LP Elementos'!BQ154,'LP Elementos'!BV154,'LP Elementos'!CA154,'LP Elementos'!CF154,'LP Elementos'!CK154,'LP Elementos'!CP154,'LP Elementos'!CU154,'LP Elementos'!CZ154)," ")</f>
        <v>34169.243499999997</v>
      </c>
      <c r="F154" s="341">
        <f>IFERROR(MEDIAN('LP Elementos'!F154,'LP Elementos'!I154,'LP Elementos'!N154,'LP Elementos'!S154,'LP Elementos'!X154,'LP Elementos'!AC154,'LP Elementos'!AH154,'LP Elementos'!AM154,'LP Elementos'!AR154,'LP Elementos'!AW154,'LP Elementos'!BB154,'LP Elementos'!BG154,'LP Elementos'!BL154,'LP Elementos'!BQ154,'LP Elementos'!BV154,'LP Elementos'!CA154,'LP Elementos'!CF154,'LP Elementos'!CK154,'LP Elementos'!CP154,'LP Elementos'!CU154,'LP Elementos'!CZ154)," ")</f>
        <v>34169.243499999997</v>
      </c>
      <c r="G154" s="341">
        <f>IFERROR(GEOMEAN('LP Elementos'!F154,'LP Elementos'!I154,'LP Elementos'!N154,'LP Elementos'!S154,'LP Elementos'!X154,'LP Elementos'!AC154,'LP Elementos'!AH154,'LP Elementos'!AM154,'LP Elementos'!AR154,'LP Elementos'!AW154,'LP Elementos'!BB154,'LP Elementos'!BG154,'LP Elementos'!BL154,'LP Elementos'!BQ154,'LP Elementos'!BV154,'LP Elementos'!CA154,'LP Elementos'!CF154,'LP Elementos'!CK154,'LP Elementos'!CP154,'LP Elementos'!CU154,'LP Elementos'!CZ154)," ")</f>
        <v>31418.974859151596</v>
      </c>
      <c r="H154" s="341">
        <f t="shared" si="8"/>
        <v>6389.9088179966629</v>
      </c>
      <c r="I154" s="342">
        <f t="shared" si="9"/>
        <v>0.18700761747905434</v>
      </c>
      <c r="J154" s="341">
        <f t="shared" si="10"/>
        <v>34169.243499999997</v>
      </c>
      <c r="K154" s="326" t="str">
        <f t="shared" si="11"/>
        <v>Promedio</v>
      </c>
      <c r="L154" s="326">
        <f>IFERROR(COUNTA('LP Elementos'!F154,'LP Elementos'!I154,'LP Elementos'!N154,'LP Elementos'!S154,'LP Elementos'!X154,'LP Elementos'!AC154,'LP Elementos'!AH154,'LP Elementos'!AM154,'LP Elementos'!AR154,'LP Elementos'!AX154,'LP Elementos'!BB154,'LP Elementos'!BG154,'LP Elementos'!BL154,'LP Elementos'!BQ154,'LP Elementos'!BV154,'LP Elementos'!CA154,'LP Elementos'!CF154,'LP Elementos'!CK154,'LP Elementos'!CP154,'LP Elementos'!CU154,'LP Elementos'!CZ154)," ")</f>
        <v>2</v>
      </c>
    </row>
    <row r="155" spans="2:12" x14ac:dyDescent="0.25">
      <c r="B155" s="411">
        <v>153</v>
      </c>
      <c r="C155" s="412" t="s">
        <v>3342</v>
      </c>
      <c r="D155" s="408">
        <f>IFERROR(MIN('LP Elementos'!F155,'LP Elementos'!I155,'LP Elementos'!N155,'LP Elementos'!S155,'LP Elementos'!X155,'LP Elementos'!AC155,'LP Elementos'!AH155,'LP Elementos'!AM155,'LP Elementos'!AR155,'LP Elementos'!AW155,'LP Elementos'!BB155,'LP Elementos'!BG155,'LP Elementos'!BL155,'LP Elementos'!BQ155,'LP Elementos'!BV155,'LP Elementos'!CA155,'LP Elementos'!CF155,'LP Elementos'!CK155,'LP Elementos'!CP155,'LP Elementos'!CU155,'LP Elementos'!CZ155)," ")</f>
        <v>28279.755000000001</v>
      </c>
      <c r="E155" s="341">
        <f>IFERROR(AVERAGE('LP Elementos'!F155,'LP Elementos'!I155,'LP Elementos'!N155,'LP Elementos'!S155,'LP Elementos'!X155,'LP Elementos'!AC155,'LP Elementos'!AH155,'LP Elementos'!AM155,'LP Elementos'!AR155,'LP Elementos'!AW155,'LP Elementos'!BB155,'LP Elementos'!BG155,'LP Elementos'!BL155,'LP Elementos'!BQ155,'LP Elementos'!BV155,'LP Elementos'!CA155,'LP Elementos'!CF155,'LP Elementos'!CK155,'LP Elementos'!CP155,'LP Elementos'!CU155,'LP Elementos'!CZ155)," ")</f>
        <v>31989.877500000002</v>
      </c>
      <c r="F155" s="341">
        <f>IFERROR(MEDIAN('LP Elementos'!F155,'LP Elementos'!I155,'LP Elementos'!N155,'LP Elementos'!S155,'LP Elementos'!X155,'LP Elementos'!AC155,'LP Elementos'!AH155,'LP Elementos'!AM155,'LP Elementos'!AR155,'LP Elementos'!AW155,'LP Elementos'!BB155,'LP Elementos'!BG155,'LP Elementos'!BL155,'LP Elementos'!BQ155,'LP Elementos'!BV155,'LP Elementos'!CA155,'LP Elementos'!CF155,'LP Elementos'!CK155,'LP Elementos'!CP155,'LP Elementos'!CU155,'LP Elementos'!CZ155)," ")</f>
        <v>31989.877500000002</v>
      </c>
      <c r="G155" s="341">
        <f>IFERROR(GEOMEAN('LP Elementos'!F155,'LP Elementos'!I155,'LP Elementos'!N155,'LP Elementos'!S155,'LP Elementos'!X155,'LP Elementos'!AC155,'LP Elementos'!AH155,'LP Elementos'!AM155,'LP Elementos'!AR155,'LP Elementos'!AW155,'LP Elementos'!BB155,'LP Elementos'!BG155,'LP Elementos'!BL155,'LP Elementos'!BQ155,'LP Elementos'!BV155,'LP Elementos'!CA155,'LP Elementos'!CF155,'LP Elementos'!CK155,'LP Elementos'!CP155,'LP Elementos'!CU155,'LP Elementos'!CZ155)," ")</f>
        <v>31774.002793164098</v>
      </c>
      <c r="H155" s="341">
        <f t="shared" si="8"/>
        <v>1821.9263923145484</v>
      </c>
      <c r="I155" s="342">
        <f t="shared" si="9"/>
        <v>5.6953215663753269E-2</v>
      </c>
      <c r="J155" s="341">
        <f t="shared" si="10"/>
        <v>31989.877500000002</v>
      </c>
      <c r="K155" s="326" t="str">
        <f t="shared" si="11"/>
        <v>Promedio</v>
      </c>
      <c r="L155" s="326">
        <f>IFERROR(COUNTA('LP Elementos'!F155,'LP Elementos'!I155,'LP Elementos'!N155,'LP Elementos'!S155,'LP Elementos'!X155,'LP Elementos'!AC155,'LP Elementos'!AH155,'LP Elementos'!AM155,'LP Elementos'!AR155,'LP Elementos'!AX155,'LP Elementos'!BB155,'LP Elementos'!BG155,'LP Elementos'!BL155,'LP Elementos'!BQ155,'LP Elementos'!BV155,'LP Elementos'!CA155,'LP Elementos'!CF155,'LP Elementos'!CK155,'LP Elementos'!CP155,'LP Elementos'!CU155,'LP Elementos'!CZ155)," ")</f>
        <v>2</v>
      </c>
    </row>
    <row r="156" spans="2:12" ht="27" x14ac:dyDescent="0.25">
      <c r="B156" s="411">
        <v>154</v>
      </c>
      <c r="C156" s="412" t="s">
        <v>3344</v>
      </c>
      <c r="D156" s="408">
        <f>IFERROR(MIN('LP Elementos'!F156,'LP Elementos'!I156,'LP Elementos'!N156,'LP Elementos'!S156,'LP Elementos'!X156,'LP Elementos'!AC156,'LP Elementos'!AH156,'LP Elementos'!AM156,'LP Elementos'!AR156,'LP Elementos'!AW156,'LP Elementos'!BB156,'LP Elementos'!BG156,'LP Elementos'!BL156,'LP Elementos'!BQ156,'LP Elementos'!BV156,'LP Elementos'!CA156,'LP Elementos'!CF156,'LP Elementos'!CK156,'LP Elementos'!CP156,'LP Elementos'!CU156,'LP Elementos'!CZ156)," ")</f>
        <v>27651.316000000003</v>
      </c>
      <c r="E156" s="341">
        <f>IFERROR(AVERAGE('LP Elementos'!F156,'LP Elementos'!I156,'LP Elementos'!N156,'LP Elementos'!S156,'LP Elementos'!X156,'LP Elementos'!AC156,'LP Elementos'!AH156,'LP Elementos'!AM156,'LP Elementos'!AR156,'LP Elementos'!AW156,'LP Elementos'!BB156,'LP Elementos'!BG156,'LP Elementos'!BL156,'LP Elementos'!BQ156,'LP Elementos'!BV156,'LP Elementos'!CA156,'LP Elementos'!CF156,'LP Elementos'!CK156,'LP Elementos'!CP156,'LP Elementos'!CU156,'LP Elementos'!CZ156)," ")</f>
        <v>41195.658000000003</v>
      </c>
      <c r="F156" s="341">
        <f>IFERROR(MEDIAN('LP Elementos'!F156,'LP Elementos'!I156,'LP Elementos'!N156,'LP Elementos'!S156,'LP Elementos'!X156,'LP Elementos'!AC156,'LP Elementos'!AH156,'LP Elementos'!AM156,'LP Elementos'!AR156,'LP Elementos'!AW156,'LP Elementos'!BB156,'LP Elementos'!BG156,'LP Elementos'!BL156,'LP Elementos'!BQ156,'LP Elementos'!BV156,'LP Elementos'!CA156,'LP Elementos'!CF156,'LP Elementos'!CK156,'LP Elementos'!CP156,'LP Elementos'!CU156,'LP Elementos'!CZ156)," ")</f>
        <v>41195.658000000003</v>
      </c>
      <c r="G156" s="341">
        <f>IFERROR(GEOMEAN('LP Elementos'!F156,'LP Elementos'!I156,'LP Elementos'!N156,'LP Elementos'!S156,'LP Elementos'!X156,'LP Elementos'!AC156,'LP Elementos'!AH156,'LP Elementos'!AM156,'LP Elementos'!AR156,'LP Elementos'!AW156,'LP Elementos'!BB156,'LP Elementos'!BG156,'LP Elementos'!BL156,'LP Elementos'!BQ156,'LP Elementos'!BV156,'LP Elementos'!CA156,'LP Elementos'!CF156,'LP Elementos'!CK156,'LP Elementos'!CP156,'LP Elementos'!CU156,'LP Elementos'!CZ156)," ")</f>
        <v>38905.437124391756</v>
      </c>
      <c r="H156" s="341">
        <f t="shared" si="8"/>
        <v>6481.0227203900868</v>
      </c>
      <c r="I156" s="342">
        <f t="shared" si="9"/>
        <v>0.15732295671524621</v>
      </c>
      <c r="J156" s="341">
        <f t="shared" si="10"/>
        <v>41195.658000000003</v>
      </c>
      <c r="K156" s="326" t="str">
        <f t="shared" si="11"/>
        <v>Promedio</v>
      </c>
      <c r="L156" s="326">
        <f>IFERROR(COUNTA('LP Elementos'!F156,'LP Elementos'!I156,'LP Elementos'!N156,'LP Elementos'!S156,'LP Elementos'!X156,'LP Elementos'!AC156,'LP Elementos'!AH156,'LP Elementos'!AM156,'LP Elementos'!AR156,'LP Elementos'!AX156,'LP Elementos'!BB156,'LP Elementos'!BG156,'LP Elementos'!BL156,'LP Elementos'!BQ156,'LP Elementos'!BV156,'LP Elementos'!CA156,'LP Elementos'!CF156,'LP Elementos'!CK156,'LP Elementos'!CP156,'LP Elementos'!CU156,'LP Elementos'!CZ156)," ")</f>
        <v>2</v>
      </c>
    </row>
    <row r="157" spans="2:12" ht="27" x14ac:dyDescent="0.25">
      <c r="B157" s="411">
        <v>155</v>
      </c>
      <c r="C157" s="412" t="s">
        <v>3346</v>
      </c>
      <c r="D157" s="408">
        <f>IFERROR(MIN('LP Elementos'!F157,'LP Elementos'!I157,'LP Elementos'!N157,'LP Elementos'!S157,'LP Elementos'!X157,'LP Elementos'!AC157,'LP Elementos'!AH157,'LP Elementos'!AM157,'LP Elementos'!AR157,'LP Elementos'!AW157,'LP Elementos'!BB157,'LP Elementos'!BG157,'LP Elementos'!BL157,'LP Elementos'!BQ157,'LP Elementos'!BV157,'LP Elementos'!CA157,'LP Elementos'!CF157,'LP Elementos'!CK157,'LP Elementos'!CP157,'LP Elementos'!CU157,'LP Elementos'!CZ157)," ")</f>
        <v>17596.292000000001</v>
      </c>
      <c r="E157" s="341">
        <f>IFERROR(AVERAGE('LP Elementos'!F157,'LP Elementos'!I157,'LP Elementos'!N157,'LP Elementos'!S157,'LP Elementos'!X157,'LP Elementos'!AC157,'LP Elementos'!AH157,'LP Elementos'!AM157,'LP Elementos'!AR157,'LP Elementos'!AW157,'LP Elementos'!BB157,'LP Elementos'!BG157,'LP Elementos'!BL157,'LP Elementos'!BQ157,'LP Elementos'!BV157,'LP Elementos'!CA157,'LP Elementos'!CF157,'LP Elementos'!CK157,'LP Elementos'!CP157,'LP Elementos'!CU157,'LP Elementos'!CZ157)," ")</f>
        <v>40928.146000000001</v>
      </c>
      <c r="F157" s="341">
        <f>IFERROR(MEDIAN('LP Elementos'!F157,'LP Elementos'!I157,'LP Elementos'!N157,'LP Elementos'!S157,'LP Elementos'!X157,'LP Elementos'!AC157,'LP Elementos'!AH157,'LP Elementos'!AM157,'LP Elementos'!AR157,'LP Elementos'!AW157,'LP Elementos'!BB157,'LP Elementos'!BG157,'LP Elementos'!BL157,'LP Elementos'!BQ157,'LP Elementos'!BV157,'LP Elementos'!CA157,'LP Elementos'!CF157,'LP Elementos'!CK157,'LP Elementos'!CP157,'LP Elementos'!CU157,'LP Elementos'!CZ157)," ")</f>
        <v>40928.146000000001</v>
      </c>
      <c r="G157" s="341">
        <f>IFERROR(GEOMEAN('LP Elementos'!F157,'LP Elementos'!I157,'LP Elementos'!N157,'LP Elementos'!S157,'LP Elementos'!X157,'LP Elementos'!AC157,'LP Elementos'!AH157,'LP Elementos'!AM157,'LP Elementos'!AR157,'LP Elementos'!AW157,'LP Elementos'!BB157,'LP Elementos'!BG157,'LP Elementos'!BL157,'LP Elementos'!BQ157,'LP Elementos'!BV157,'LP Elementos'!CA157,'LP Elementos'!CF157,'LP Elementos'!CK157,'LP Elementos'!CP157,'LP Elementos'!CU157,'LP Elementos'!CZ157)," ")</f>
        <v>33626.443819113556</v>
      </c>
      <c r="H157" s="341">
        <f t="shared" si="8"/>
        <v>11001.311660339952</v>
      </c>
      <c r="I157" s="342">
        <f t="shared" si="9"/>
        <v>0.26879574902659781</v>
      </c>
      <c r="J157" s="341">
        <f t="shared" si="10"/>
        <v>33626.443819113556</v>
      </c>
      <c r="K157" s="326" t="str">
        <f t="shared" si="11"/>
        <v>Media Geometrica</v>
      </c>
      <c r="L157" s="326">
        <f>IFERROR(COUNTA('LP Elementos'!F157,'LP Elementos'!I157,'LP Elementos'!N157,'LP Elementos'!S157,'LP Elementos'!X157,'LP Elementos'!AC157,'LP Elementos'!AH157,'LP Elementos'!AM157,'LP Elementos'!AR157,'LP Elementos'!AX157,'LP Elementos'!BB157,'LP Elementos'!BG157,'LP Elementos'!BL157,'LP Elementos'!BQ157,'LP Elementos'!BV157,'LP Elementos'!CA157,'LP Elementos'!CF157,'LP Elementos'!CK157,'LP Elementos'!CP157,'LP Elementos'!CU157,'LP Elementos'!CZ157)," ")</f>
        <v>2</v>
      </c>
    </row>
    <row r="158" spans="2:12" ht="27" x14ac:dyDescent="0.25">
      <c r="B158" s="411">
        <v>156</v>
      </c>
      <c r="C158" s="412" t="s">
        <v>3348</v>
      </c>
      <c r="D158" s="408">
        <f>IFERROR(MIN('LP Elementos'!F158,'LP Elementos'!I158,'LP Elementos'!N158,'LP Elementos'!S158,'LP Elementos'!X158,'LP Elementos'!AC158,'LP Elementos'!AH158,'LP Elementos'!AM158,'LP Elementos'!AR158,'LP Elementos'!AW158,'LP Elementos'!BB158,'LP Elementos'!BG158,'LP Elementos'!BL158,'LP Elementos'!BQ158,'LP Elementos'!BV158,'LP Elementos'!CA158,'LP Elementos'!CF158,'LP Elementos'!CK158,'LP Elementos'!CP158,'LP Elementos'!CU158,'LP Elementos'!CZ158)," ")</f>
        <v>14786.800000000001</v>
      </c>
      <c r="E158" s="341">
        <f>IFERROR(AVERAGE('LP Elementos'!F158,'LP Elementos'!I158,'LP Elementos'!N158,'LP Elementos'!S158,'LP Elementos'!X158,'LP Elementos'!AC158,'LP Elementos'!AH158,'LP Elementos'!AM158,'LP Elementos'!AR158,'LP Elementos'!AW158,'LP Elementos'!BB158,'LP Elementos'!BG158,'LP Elementos'!BL158,'LP Elementos'!BQ158,'LP Elementos'!BV158,'LP Elementos'!CA158,'LP Elementos'!CF158,'LP Elementos'!CK158,'LP Elementos'!CP158,'LP Elementos'!CU158,'LP Elementos'!CZ158)," ")</f>
        <v>25243.4</v>
      </c>
      <c r="F158" s="341">
        <f>IFERROR(MEDIAN('LP Elementos'!F158,'LP Elementos'!I158,'LP Elementos'!N158,'LP Elementos'!S158,'LP Elementos'!X158,'LP Elementos'!AC158,'LP Elementos'!AH158,'LP Elementos'!AM158,'LP Elementos'!AR158,'LP Elementos'!AW158,'LP Elementos'!BB158,'LP Elementos'!BG158,'LP Elementos'!BL158,'LP Elementos'!BQ158,'LP Elementos'!BV158,'LP Elementos'!CA158,'LP Elementos'!CF158,'LP Elementos'!CK158,'LP Elementos'!CP158,'LP Elementos'!CU158,'LP Elementos'!CZ158)," ")</f>
        <v>25243.4</v>
      </c>
      <c r="G158" s="341">
        <f>IFERROR(GEOMEAN('LP Elementos'!F158,'LP Elementos'!I158,'LP Elementos'!N158,'LP Elementos'!S158,'LP Elementos'!X158,'LP Elementos'!AC158,'LP Elementos'!AH158,'LP Elementos'!AM158,'LP Elementos'!AR158,'LP Elementos'!AW158,'LP Elementos'!BB158,'LP Elementos'!BG158,'LP Elementos'!BL158,'LP Elementos'!BQ158,'LP Elementos'!BV158,'LP Elementos'!CA158,'LP Elementos'!CF158,'LP Elementos'!CK158,'LP Elementos'!CP158,'LP Elementos'!CU158,'LP Elementos'!CZ158)," ")</f>
        <v>22975.829908841162</v>
      </c>
      <c r="H158" s="341">
        <f t="shared" si="8"/>
        <v>4966.7639213453222</v>
      </c>
      <c r="I158" s="342">
        <f t="shared" si="9"/>
        <v>0.19675495065424317</v>
      </c>
      <c r="J158" s="341">
        <f t="shared" si="10"/>
        <v>25243.4</v>
      </c>
      <c r="K158" s="326" t="str">
        <f t="shared" si="11"/>
        <v>Promedio</v>
      </c>
      <c r="L158" s="326">
        <f>IFERROR(COUNTA('LP Elementos'!F158,'LP Elementos'!I158,'LP Elementos'!N158,'LP Elementos'!S158,'LP Elementos'!X158,'LP Elementos'!AC158,'LP Elementos'!AH158,'LP Elementos'!AM158,'LP Elementos'!AR158,'LP Elementos'!AX158,'LP Elementos'!BB158,'LP Elementos'!BG158,'LP Elementos'!BL158,'LP Elementos'!BQ158,'LP Elementos'!BV158,'LP Elementos'!CA158,'LP Elementos'!CF158,'LP Elementos'!CK158,'LP Elementos'!CP158,'LP Elementos'!CU158,'LP Elementos'!CZ158)," ")</f>
        <v>2</v>
      </c>
    </row>
    <row r="159" spans="2:12" ht="27" x14ac:dyDescent="0.25">
      <c r="B159" s="411">
        <v>157</v>
      </c>
      <c r="C159" s="412" t="s">
        <v>3349</v>
      </c>
      <c r="D159" s="408">
        <f>IFERROR(MIN('LP Elementos'!F159,'LP Elementos'!I159,'LP Elementos'!N159,'LP Elementos'!S159,'LP Elementos'!X159,'LP Elementos'!AC159,'LP Elementos'!AH159,'LP Elementos'!AM159,'LP Elementos'!AR159,'LP Elementos'!AW159,'LP Elementos'!BB159,'LP Elementos'!BG159,'LP Elementos'!BL159,'LP Elementos'!BQ159,'LP Elementos'!BV159,'LP Elementos'!CA159,'LP Elementos'!CF159,'LP Elementos'!CK159,'LP Elementos'!CP159,'LP Elementos'!CU159,'LP Elementos'!CZ159)," ")</f>
        <v>671129.06</v>
      </c>
      <c r="E159" s="341">
        <f>IFERROR(AVERAGE('LP Elementos'!F159,'LP Elementos'!I159,'LP Elementos'!N159,'LP Elementos'!S159,'LP Elementos'!X159,'LP Elementos'!AC159,'LP Elementos'!AH159,'LP Elementos'!AM159,'LP Elementos'!AR159,'LP Elementos'!AW159,'LP Elementos'!BB159,'LP Elementos'!BG159,'LP Elementos'!BL159,'LP Elementos'!BQ159,'LP Elementos'!BV159,'LP Elementos'!CA159,'LP Elementos'!CF159,'LP Elementos'!CK159,'LP Elementos'!CP159,'LP Elementos'!CU159,'LP Elementos'!CZ159)," ")</f>
        <v>1657913.95</v>
      </c>
      <c r="F159" s="341">
        <f>IFERROR(MEDIAN('LP Elementos'!F159,'LP Elementos'!I159,'LP Elementos'!N159,'LP Elementos'!S159,'LP Elementos'!X159,'LP Elementos'!AC159,'LP Elementos'!AH159,'LP Elementos'!AM159,'LP Elementos'!AR159,'LP Elementos'!AW159,'LP Elementos'!BB159,'LP Elementos'!BG159,'LP Elementos'!BL159,'LP Elementos'!BQ159,'LP Elementos'!BV159,'LP Elementos'!CA159,'LP Elementos'!CF159,'LP Elementos'!CK159,'LP Elementos'!CP159,'LP Elementos'!CU159,'LP Elementos'!CZ159)," ")</f>
        <v>1314263.3700000001</v>
      </c>
      <c r="G159" s="341">
        <f>IFERROR(GEOMEAN('LP Elementos'!F159,'LP Elementos'!I159,'LP Elementos'!N159,'LP Elementos'!S159,'LP Elementos'!X159,'LP Elementos'!AC159,'LP Elementos'!AH159,'LP Elementos'!AM159,'LP Elementos'!AR159,'LP Elementos'!AW159,'LP Elementos'!BB159,'LP Elementos'!BG159,'LP Elementos'!BL159,'LP Elementos'!BQ159,'LP Elementos'!BV159,'LP Elementos'!CA159,'LP Elementos'!CF159,'LP Elementos'!CK159,'LP Elementos'!CP159,'LP Elementos'!CU159,'LP Elementos'!CZ159)," ")</f>
        <v>1390884.2658327464</v>
      </c>
      <c r="H159" s="341">
        <f t="shared" si="8"/>
        <v>418398.24043545756</v>
      </c>
      <c r="I159" s="342">
        <f t="shared" si="9"/>
        <v>0.25236426802214768</v>
      </c>
      <c r="J159" s="341">
        <f t="shared" si="10"/>
        <v>1390884.2658327464</v>
      </c>
      <c r="K159" s="326" t="str">
        <f t="shared" si="11"/>
        <v>Media Geometrica</v>
      </c>
      <c r="L159" s="326">
        <f>IFERROR(COUNTA('LP Elementos'!F159,'LP Elementos'!I159,'LP Elementos'!N159,'LP Elementos'!S159,'LP Elementos'!X159,'LP Elementos'!AC159,'LP Elementos'!AH159,'LP Elementos'!AM159,'LP Elementos'!AR159,'LP Elementos'!AX159,'LP Elementos'!BB159,'LP Elementos'!BG159,'LP Elementos'!BL159,'LP Elementos'!BQ159,'LP Elementos'!BV159,'LP Elementos'!CA159,'LP Elementos'!CF159,'LP Elementos'!CK159,'LP Elementos'!CP159,'LP Elementos'!CU159,'LP Elementos'!CZ159)," ")</f>
        <v>4</v>
      </c>
    </row>
    <row r="160" spans="2:12" ht="40.5" x14ac:dyDescent="0.25">
      <c r="B160" s="411">
        <v>158</v>
      </c>
      <c r="C160" s="412" t="s">
        <v>3354</v>
      </c>
      <c r="D160" s="408">
        <f>IFERROR(MIN('LP Elementos'!F160,'LP Elementos'!I160,'LP Elementos'!N160,'LP Elementos'!S160,'LP Elementos'!X160,'LP Elementos'!AC160,'LP Elementos'!AH160,'LP Elementos'!AM160,'LP Elementos'!AR160,'LP Elementos'!AW160,'LP Elementos'!BB160,'LP Elementos'!BG160,'LP Elementos'!BL160,'LP Elementos'!BQ160,'LP Elementos'!BV160,'LP Elementos'!CA160,'LP Elementos'!CF160,'LP Elementos'!CK160,'LP Elementos'!CP160,'LP Elementos'!CU160,'LP Elementos'!CZ160)," ")</f>
        <v>671129.06</v>
      </c>
      <c r="E160" s="341">
        <f>IFERROR(AVERAGE('LP Elementos'!F160,'LP Elementos'!I160,'LP Elementos'!N160,'LP Elementos'!S160,'LP Elementos'!X160,'LP Elementos'!AC160,'LP Elementos'!AH160,'LP Elementos'!AM160,'LP Elementos'!AR160,'LP Elementos'!AW160,'LP Elementos'!BB160,'LP Elementos'!BG160,'LP Elementos'!BL160,'LP Elementos'!BQ160,'LP Elementos'!BV160,'LP Elementos'!CA160,'LP Elementos'!CF160,'LP Elementos'!CK160,'LP Elementos'!CP160,'LP Elementos'!CU160,'LP Elementos'!CZ160)," ")</f>
        <v>1846400.96615</v>
      </c>
      <c r="F160" s="341">
        <f>IFERROR(MEDIAN('LP Elementos'!F160,'LP Elementos'!I160,'LP Elementos'!N160,'LP Elementos'!S160,'LP Elementos'!X160,'LP Elementos'!AC160,'LP Elementos'!AH160,'LP Elementos'!AM160,'LP Elementos'!AR160,'LP Elementos'!AW160,'LP Elementos'!BB160,'LP Elementos'!BG160,'LP Elementos'!BL160,'LP Elementos'!BQ160,'LP Elementos'!BV160,'LP Elementos'!CA160,'LP Elementos'!CF160,'LP Elementos'!CK160,'LP Elementos'!CP160,'LP Elementos'!CU160,'LP Elementos'!CZ160)," ")</f>
        <v>1885207.4023000002</v>
      </c>
      <c r="G160" s="341">
        <f>IFERROR(GEOMEAN('LP Elementos'!F160,'LP Elementos'!I160,'LP Elementos'!N160,'LP Elementos'!S160,'LP Elementos'!X160,'LP Elementos'!AC160,'LP Elementos'!AH160,'LP Elementos'!AM160,'LP Elementos'!AR160,'LP Elementos'!AW160,'LP Elementos'!BB160,'LP Elementos'!BG160,'LP Elementos'!BL160,'LP Elementos'!BQ160,'LP Elementos'!BV160,'LP Elementos'!CA160,'LP Elementos'!CF160,'LP Elementos'!CK160,'LP Elementos'!CP160,'LP Elementos'!CU160,'LP Elementos'!CZ160)," ")</f>
        <v>1627320.7324067268</v>
      </c>
      <c r="H160" s="341">
        <f t="shared" si="8"/>
        <v>569031.37082675041</v>
      </c>
      <c r="I160" s="342">
        <f t="shared" si="9"/>
        <v>0.30818407337235049</v>
      </c>
      <c r="J160" s="341">
        <f>IF(I160&lt;=10%,F160,IF(AND(I160&gt;10%,I160&lt;=20%),E160,IF(AND(I160&gt;20%,I160&lt;=32%),G160,IF(I160&gt;32%,D160))))</f>
        <v>1627320.7324067268</v>
      </c>
      <c r="K160" s="326" t="str">
        <f t="shared" si="11"/>
        <v>Media Geometrica</v>
      </c>
      <c r="L160" s="326">
        <f>IFERROR(COUNTA('LP Elementos'!F160,'LP Elementos'!I160,'LP Elementos'!N160,'LP Elementos'!S160,'LP Elementos'!X160,'LP Elementos'!AC160,'LP Elementos'!AH160,'LP Elementos'!AM160,'LP Elementos'!AR160,'LP Elementos'!AX160,'LP Elementos'!BB160,'LP Elementos'!BG160,'LP Elementos'!BL160,'LP Elementos'!BQ160,'LP Elementos'!BV160,'LP Elementos'!CA160,'LP Elementos'!CF160,'LP Elementos'!CK160,'LP Elementos'!CP160,'LP Elementos'!CU160,'LP Elementos'!CZ160)," ")</f>
        <v>4</v>
      </c>
    </row>
    <row r="161" spans="2:12" ht="40.5" x14ac:dyDescent="0.25">
      <c r="B161" s="411">
        <v>159</v>
      </c>
      <c r="C161" s="412" t="s">
        <v>3358</v>
      </c>
      <c r="D161" s="408">
        <f>IFERROR(MIN('LP Elementos'!F161,'LP Elementos'!I161,'LP Elementos'!N161,'LP Elementos'!S161,'LP Elementos'!X161,'LP Elementos'!AC161,'LP Elementos'!AH161,'LP Elementos'!AM161,'LP Elementos'!AR161,'LP Elementos'!AW161,'LP Elementos'!BB161,'LP Elementos'!BG161,'LP Elementos'!BL161,'LP Elementos'!BQ161,'LP Elementos'!BV161,'LP Elementos'!CA161,'LP Elementos'!CF161,'LP Elementos'!CK161,'LP Elementos'!CP161,'LP Elementos'!CU161,'LP Elementos'!CZ161)," ")</f>
        <v>1171387.0596</v>
      </c>
      <c r="E161" s="341">
        <f>IFERROR(AVERAGE('LP Elementos'!F161,'LP Elementos'!I161,'LP Elementos'!N161,'LP Elementos'!S161,'LP Elementos'!X161,'LP Elementos'!AC161,'LP Elementos'!AH161,'LP Elementos'!AM161,'LP Elementos'!AR161,'LP Elementos'!AW161,'LP Elementos'!BB161,'LP Elementos'!BG161,'LP Elementos'!BL161,'LP Elementos'!BQ161,'LP Elementos'!BV161,'LP Elementos'!CA161,'LP Elementos'!CF161,'LP Elementos'!CK161,'LP Elementos'!CP161,'LP Elementos'!CU161,'LP Elementos'!CZ161)," ")</f>
        <v>1789973.5298000001</v>
      </c>
      <c r="F161" s="341">
        <f>IFERROR(MEDIAN('LP Elementos'!F161,'LP Elementos'!I161,'LP Elementos'!N161,'LP Elementos'!S161,'LP Elementos'!X161,'LP Elementos'!AC161,'LP Elementos'!AH161,'LP Elementos'!AM161,'LP Elementos'!AR161,'LP Elementos'!AW161,'LP Elementos'!BB161,'LP Elementos'!BG161,'LP Elementos'!BL161,'LP Elementos'!BQ161,'LP Elementos'!BV161,'LP Elementos'!CA161,'LP Elementos'!CF161,'LP Elementos'!CK161,'LP Elementos'!CP161,'LP Elementos'!CU161,'LP Elementos'!CZ161)," ")</f>
        <v>1789973.5298000001</v>
      </c>
      <c r="G161" s="341">
        <f>IFERROR(GEOMEAN('LP Elementos'!F161,'LP Elementos'!I161,'LP Elementos'!N161,'LP Elementos'!S161,'LP Elementos'!X161,'LP Elementos'!AC161,'LP Elementos'!AH161,'LP Elementos'!AM161,'LP Elementos'!AR161,'LP Elementos'!AW161,'LP Elementos'!BB161,'LP Elementos'!BG161,'LP Elementos'!BL161,'LP Elementos'!BQ161,'LP Elementos'!BV161,'LP Elementos'!CA161,'LP Elementos'!CF161,'LP Elementos'!CK161,'LP Elementos'!CP161,'LP Elementos'!CU161,'LP Elementos'!CZ161)," ")</f>
        <v>1679689.2618190355</v>
      </c>
      <c r="H161" s="341">
        <f t="shared" ref="H161:H204" si="12">STDEVA(D161,E161,F161,G161)</f>
        <v>295521.40510994836</v>
      </c>
      <c r="I161" s="342">
        <f t="shared" ref="I161:I204" si="13">IFERROR(H161/E161," ")</f>
        <v>0.16509819848730833</v>
      </c>
      <c r="J161" s="341">
        <f t="shared" ref="J161:J203" si="14">IF(I161&lt;=10%,F161,IF(AND(I161&gt;10%,I161&lt;=20%),E161,IF(AND(I161&gt;20%,I161&lt;=30%),G161,IF(I161&gt;30%,D161))))</f>
        <v>1789973.5298000001</v>
      </c>
      <c r="K161" s="326" t="str">
        <f t="shared" ref="K161:K204" si="15">IF(J161=D161,"Menor Valor",IF(J161=E161,"Promedio",IF(J161=F161,"Mediana",IF(J161=G161,"Media Geometrica"," "))))</f>
        <v>Promedio</v>
      </c>
      <c r="L161" s="326">
        <f>IFERROR(COUNTA('LP Elementos'!F161,'LP Elementos'!I161,'LP Elementos'!N161,'LP Elementos'!S161,'LP Elementos'!X161,'LP Elementos'!AC161,'LP Elementos'!AH161,'LP Elementos'!AM161,'LP Elementos'!AR161,'LP Elementos'!AX161,'LP Elementos'!BB161,'LP Elementos'!BG161,'LP Elementos'!BL161,'LP Elementos'!BQ161,'LP Elementos'!BV161,'LP Elementos'!CA161,'LP Elementos'!CF161,'LP Elementos'!CK161,'LP Elementos'!CP161,'LP Elementos'!CU161,'LP Elementos'!CZ161)," ")</f>
        <v>2</v>
      </c>
    </row>
    <row r="162" spans="2:12" ht="27" x14ac:dyDescent="0.25">
      <c r="B162" s="411">
        <v>160</v>
      </c>
      <c r="C162" s="412" t="s">
        <v>3360</v>
      </c>
      <c r="D162" s="408">
        <f>IFERROR(MIN('LP Elementos'!F162,'LP Elementos'!I162,'LP Elementos'!N162,'LP Elementos'!S162,'LP Elementos'!X162,'LP Elementos'!AC162,'LP Elementos'!AH162,'LP Elementos'!AM162,'LP Elementos'!AR162,'LP Elementos'!AW162,'LP Elementos'!BB162,'LP Elementos'!BG162,'LP Elementos'!BL162,'LP Elementos'!BQ162,'LP Elementos'!BV162,'LP Elementos'!CA162,'LP Elementos'!CF162,'LP Elementos'!CK162,'LP Elementos'!CP162,'LP Elementos'!CU162,'LP Elementos'!CZ162)," ")</f>
        <v>654500</v>
      </c>
      <c r="E162" s="341">
        <f>IFERROR(AVERAGE('LP Elementos'!F162,'LP Elementos'!I162,'LP Elementos'!N162,'LP Elementos'!S162,'LP Elementos'!X162,'LP Elementos'!AC162,'LP Elementos'!AH162,'LP Elementos'!AM162,'LP Elementos'!AR162,'LP Elementos'!AW162,'LP Elementos'!BB162,'LP Elementos'!BG162,'LP Elementos'!BL162,'LP Elementos'!BQ162,'LP Elementos'!BV162,'LP Elementos'!CA162,'LP Elementos'!CF162,'LP Elementos'!CK162,'LP Elementos'!CP162,'LP Elementos'!CU162,'LP Elementos'!CZ162)," ")</f>
        <v>737620.66700000002</v>
      </c>
      <c r="F162" s="341">
        <f>IFERROR(MEDIAN('LP Elementos'!F162,'LP Elementos'!I162,'LP Elementos'!N162,'LP Elementos'!S162,'LP Elementos'!X162,'LP Elementos'!AC162,'LP Elementos'!AH162,'LP Elementos'!AM162,'LP Elementos'!AR162,'LP Elementos'!AW162,'LP Elementos'!BB162,'LP Elementos'!BG162,'LP Elementos'!BL162,'LP Elementos'!BQ162,'LP Elementos'!BV162,'LP Elementos'!CA162,'LP Elementos'!CF162,'LP Elementos'!CK162,'LP Elementos'!CP162,'LP Elementos'!CU162,'LP Elementos'!CZ162)," ")</f>
        <v>737620.66700000002</v>
      </c>
      <c r="G162" s="341">
        <f>IFERROR(GEOMEAN('LP Elementos'!F162,'LP Elementos'!I162,'LP Elementos'!N162,'LP Elementos'!S162,'LP Elementos'!X162,'LP Elementos'!AC162,'LP Elementos'!AH162,'LP Elementos'!AM162,'LP Elementos'!AR162,'LP Elementos'!AW162,'LP Elementos'!BB162,'LP Elementos'!BG162,'LP Elementos'!BL162,'LP Elementos'!BQ162,'LP Elementos'!BV162,'LP Elementos'!CA162,'LP Elementos'!CF162,'LP Elementos'!CK162,'LP Elementos'!CP162,'LP Elementos'!CU162,'LP Elementos'!CZ162)," ")</f>
        <v>732922.37181232229</v>
      </c>
      <c r="H162" s="341">
        <f t="shared" si="12"/>
        <v>40837.387813396577</v>
      </c>
      <c r="I162" s="342">
        <f t="shared" si="13"/>
        <v>5.5363670841121614E-2</v>
      </c>
      <c r="J162" s="341">
        <f t="shared" si="14"/>
        <v>737620.66700000002</v>
      </c>
      <c r="K162" s="326" t="str">
        <f t="shared" si="15"/>
        <v>Promedio</v>
      </c>
      <c r="L162" s="326">
        <f>IFERROR(COUNTA('LP Elementos'!F162,'LP Elementos'!I162,'LP Elementos'!N162,'LP Elementos'!S162,'LP Elementos'!X162,'LP Elementos'!AC162,'LP Elementos'!AH162,'LP Elementos'!AM162,'LP Elementos'!AR162,'LP Elementos'!AX162,'LP Elementos'!BB162,'LP Elementos'!BG162,'LP Elementos'!BL162,'LP Elementos'!BQ162,'LP Elementos'!BV162,'LP Elementos'!CA162,'LP Elementos'!CF162,'LP Elementos'!CK162,'LP Elementos'!CP162,'LP Elementos'!CU162,'LP Elementos'!CZ162)," ")</f>
        <v>2</v>
      </c>
    </row>
    <row r="163" spans="2:12" ht="27" x14ac:dyDescent="0.25">
      <c r="B163" s="411">
        <v>161</v>
      </c>
      <c r="C163" s="412" t="s">
        <v>3362</v>
      </c>
      <c r="D163" s="408">
        <f>IFERROR(MIN('LP Elementos'!F163,'LP Elementos'!I163,'LP Elementos'!N163,'LP Elementos'!S163,'LP Elementos'!X163,'LP Elementos'!AC163,'LP Elementos'!AH163,'LP Elementos'!AM163,'LP Elementos'!AR163,'LP Elementos'!AW163,'LP Elementos'!BB163,'LP Elementos'!BG163,'LP Elementos'!BL163,'LP Elementos'!BQ163,'LP Elementos'!BV163,'LP Elementos'!CA163,'LP Elementos'!CF163,'LP Elementos'!CK163,'LP Elementos'!CP163,'LP Elementos'!CU163,'LP Elementos'!CZ163)," ")</f>
        <v>1900399.5360000001</v>
      </c>
      <c r="E163" s="341">
        <f>IFERROR(AVERAGE('LP Elementos'!F163,'LP Elementos'!I163,'LP Elementos'!N163,'LP Elementos'!S163,'LP Elementos'!X163,'LP Elementos'!AC163,'LP Elementos'!AH163,'LP Elementos'!AM163,'LP Elementos'!AR163,'LP Elementos'!AW163,'LP Elementos'!BB163,'LP Elementos'!BG163,'LP Elementos'!BL163,'LP Elementos'!BQ163,'LP Elementos'!BV163,'LP Elementos'!CA163,'LP Elementos'!CF163,'LP Elementos'!CK163,'LP Elementos'!CP163,'LP Elementos'!CU163,'LP Elementos'!CZ163)," ")</f>
        <v>2355589.7680000002</v>
      </c>
      <c r="F163" s="341">
        <f>IFERROR(MEDIAN('LP Elementos'!F163,'LP Elementos'!I163,'LP Elementos'!N163,'LP Elementos'!S163,'LP Elementos'!X163,'LP Elementos'!AC163,'LP Elementos'!AH163,'LP Elementos'!AM163,'LP Elementos'!AR163,'LP Elementos'!AW163,'LP Elementos'!BB163,'LP Elementos'!BG163,'LP Elementos'!BL163,'LP Elementos'!BQ163,'LP Elementos'!BV163,'LP Elementos'!CA163,'LP Elementos'!CF163,'LP Elementos'!CK163,'LP Elementos'!CP163,'LP Elementos'!CU163,'LP Elementos'!CZ163)," ")</f>
        <v>2355589.7680000002</v>
      </c>
      <c r="G163" s="341">
        <f>IFERROR(GEOMEAN('LP Elementos'!F163,'LP Elementos'!I163,'LP Elementos'!N163,'LP Elementos'!S163,'LP Elementos'!X163,'LP Elementos'!AC163,'LP Elementos'!AH163,'LP Elementos'!AM163,'LP Elementos'!AR163,'LP Elementos'!AW163,'LP Elementos'!BB163,'LP Elementos'!BG163,'LP Elementos'!BL163,'LP Elementos'!BQ163,'LP Elementos'!BV163,'LP Elementos'!CA163,'LP Elementos'!CF163,'LP Elementos'!CK163,'LP Elementos'!CP163,'LP Elementos'!CU163,'LP Elementos'!CZ163)," ")</f>
        <v>2311191.2529684948</v>
      </c>
      <c r="H163" s="341">
        <f t="shared" si="12"/>
        <v>221187.81341135508</v>
      </c>
      <c r="I163" s="342">
        <f t="shared" si="13"/>
        <v>9.3899123020539058E-2</v>
      </c>
      <c r="J163" s="341">
        <f t="shared" si="14"/>
        <v>2355589.7680000002</v>
      </c>
      <c r="K163" s="326" t="str">
        <f t="shared" si="15"/>
        <v>Promedio</v>
      </c>
      <c r="L163" s="326">
        <f>IFERROR(COUNTA('LP Elementos'!F163,'LP Elementos'!I163,'LP Elementos'!N163,'LP Elementos'!S163,'LP Elementos'!X163,'LP Elementos'!AC163,'LP Elementos'!AH163,'LP Elementos'!AM163,'LP Elementos'!AR163,'LP Elementos'!AX163,'LP Elementos'!BB163,'LP Elementos'!BG163,'LP Elementos'!BL163,'LP Elementos'!BQ163,'LP Elementos'!BV163,'LP Elementos'!CA163,'LP Elementos'!CF163,'LP Elementos'!CK163,'LP Elementos'!CP163,'LP Elementos'!CU163,'LP Elementos'!CZ163)," ")</f>
        <v>2</v>
      </c>
    </row>
    <row r="164" spans="2:12" ht="27" x14ac:dyDescent="0.25">
      <c r="B164" s="411">
        <v>162</v>
      </c>
      <c r="C164" s="412" t="s">
        <v>3365</v>
      </c>
      <c r="D164" s="408">
        <f>IFERROR(MIN('LP Elementos'!F164,'LP Elementos'!I164,'LP Elementos'!N164,'LP Elementos'!S164,'LP Elementos'!X164,'LP Elementos'!AC164,'LP Elementos'!AH164,'LP Elementos'!AM164,'LP Elementos'!AR164,'LP Elementos'!AW164,'LP Elementos'!BB164,'LP Elementos'!BG164,'LP Elementos'!BL164,'LP Elementos'!BQ164,'LP Elementos'!BV164,'LP Elementos'!CA164,'LP Elementos'!CF164,'LP Elementos'!CK164,'LP Elementos'!CP164,'LP Elementos'!CU164,'LP Elementos'!CZ164)," ")</f>
        <v>345100</v>
      </c>
      <c r="E164" s="341">
        <f>IFERROR(AVERAGE('LP Elementos'!F164,'LP Elementos'!I164,'LP Elementos'!N164,'LP Elementos'!S164,'LP Elementos'!X164,'LP Elementos'!AC164,'LP Elementos'!AH164,'LP Elementos'!AM164,'LP Elementos'!AR164,'LP Elementos'!AW164,'LP Elementos'!BB164,'LP Elementos'!BG164,'LP Elementos'!BL164,'LP Elementos'!BQ164,'LP Elementos'!BV164,'LP Elementos'!CA164,'LP Elementos'!CF164,'LP Elementos'!CK164,'LP Elementos'!CP164,'LP Elementos'!CU164,'LP Elementos'!CZ164)," ")</f>
        <v>736928.84066666663</v>
      </c>
      <c r="F164" s="341">
        <f>IFERROR(MEDIAN('LP Elementos'!F164,'LP Elementos'!I164,'LP Elementos'!N164,'LP Elementos'!S164,'LP Elementos'!X164,'LP Elementos'!AC164,'LP Elementos'!AH164,'LP Elementos'!AM164,'LP Elementos'!AR164,'LP Elementos'!AW164,'LP Elementos'!BB164,'LP Elementos'!BG164,'LP Elementos'!BL164,'LP Elementos'!BQ164,'LP Elementos'!BV164,'LP Elementos'!CA164,'LP Elementos'!CF164,'LP Elementos'!CK164,'LP Elementos'!CP164,'LP Elementos'!CU164,'LP Elementos'!CZ164)," ")</f>
        <v>532916.272</v>
      </c>
      <c r="G164" s="341">
        <f>IFERROR(GEOMEAN('LP Elementos'!F164,'LP Elementos'!I164,'LP Elementos'!N164,'LP Elementos'!S164,'LP Elementos'!X164,'LP Elementos'!AC164,'LP Elementos'!AH164,'LP Elementos'!AM164,'LP Elementos'!AR164,'LP Elementos'!AW164,'LP Elementos'!BB164,'LP Elementos'!BG164,'LP Elementos'!BL164,'LP Elementos'!BQ164,'LP Elementos'!BV164,'LP Elementos'!CA164,'LP Elementos'!CF164,'LP Elementos'!CK164,'LP Elementos'!CP164,'LP Elementos'!CU164,'LP Elementos'!CZ164)," ")</f>
        <v>625825.24314933771</v>
      </c>
      <c r="H164" s="341">
        <f t="shared" si="12"/>
        <v>165883.66129678302</v>
      </c>
      <c r="I164" s="342">
        <f t="shared" si="13"/>
        <v>0.22510132884297956</v>
      </c>
      <c r="J164" s="341">
        <f t="shared" si="14"/>
        <v>625825.24314933771</v>
      </c>
      <c r="K164" s="326" t="str">
        <f t="shared" si="15"/>
        <v>Media Geometrica</v>
      </c>
      <c r="L164" s="326">
        <f>IFERROR(COUNTA('LP Elementos'!F164,'LP Elementos'!I164,'LP Elementos'!N164,'LP Elementos'!S164,'LP Elementos'!X164,'LP Elementos'!AC164,'LP Elementos'!AH164,'LP Elementos'!AM164,'LP Elementos'!AR164,'LP Elementos'!AX164,'LP Elementos'!BB164,'LP Elementos'!BG164,'LP Elementos'!BL164,'LP Elementos'!BQ164,'LP Elementos'!BV164,'LP Elementos'!CA164,'LP Elementos'!CF164,'LP Elementos'!CK164,'LP Elementos'!CP164,'LP Elementos'!CU164,'LP Elementos'!CZ164)," ")</f>
        <v>3</v>
      </c>
    </row>
    <row r="165" spans="2:12" ht="40.5" x14ac:dyDescent="0.25">
      <c r="B165" s="411">
        <v>163</v>
      </c>
      <c r="C165" s="409" t="s">
        <v>3368</v>
      </c>
      <c r="D165" s="408">
        <f>IFERROR(MIN('LP Elementos'!F165,'LP Elementos'!I165,'LP Elementos'!N165,'LP Elementos'!S165,'LP Elementos'!X165,'LP Elementos'!AC165,'LP Elementos'!AH165,'LP Elementos'!AM165,'LP Elementos'!AR165,'LP Elementos'!AW165,'LP Elementos'!BB165,'LP Elementos'!BG165,'LP Elementos'!BL165,'LP Elementos'!BQ165,'LP Elementos'!BV165,'LP Elementos'!CA165,'LP Elementos'!CF165,'LP Elementos'!CK165,'LP Elementos'!CP165,'LP Elementos'!CU165,'LP Elementos'!CZ165)," ")</f>
        <v>42792.4</v>
      </c>
      <c r="E165" s="341">
        <f>IFERROR(AVERAGE('LP Elementos'!F165,'LP Elementos'!I165,'LP Elementos'!N165,'LP Elementos'!S165,'LP Elementos'!X165,'LP Elementos'!AC165,'LP Elementos'!AH165,'LP Elementos'!AM165,'LP Elementos'!AR165,'LP Elementos'!AW165,'LP Elementos'!BB165,'LP Elementos'!BG165,'LP Elementos'!BL165,'LP Elementos'!BQ165,'LP Elementos'!BV165,'LP Elementos'!CA165,'LP Elementos'!CF165,'LP Elementos'!CK165,'LP Elementos'!CP165,'LP Elementos'!CU165,'LP Elementos'!CZ165)," ")</f>
        <v>593778.26666666672</v>
      </c>
      <c r="F165" s="341">
        <f>IFERROR(MEDIAN('LP Elementos'!F165,'LP Elementos'!I165,'LP Elementos'!N165,'LP Elementos'!S165,'LP Elementos'!X165,'LP Elementos'!AC165,'LP Elementos'!AH165,'LP Elementos'!AM165,'LP Elementos'!AR165,'LP Elementos'!AW165,'LP Elementos'!BB165,'LP Elementos'!BG165,'LP Elementos'!BL165,'LP Elementos'!BQ165,'LP Elementos'!BV165,'LP Elementos'!CA165,'LP Elementos'!CF165,'LP Elementos'!CK165,'LP Elementos'!CP165,'LP Elementos'!CU165,'LP Elementos'!CZ165)," ")</f>
        <v>835332.4</v>
      </c>
      <c r="G165" s="341">
        <f>IFERROR(GEOMEAN('LP Elementos'!F165,'LP Elementos'!I165,'LP Elementos'!N165,'LP Elementos'!S165,'LP Elementos'!X165,'LP Elementos'!AC165,'LP Elementos'!AH165,'LP Elementos'!AM165,'LP Elementos'!AR165,'LP Elementos'!AW165,'LP Elementos'!BB165,'LP Elementos'!BG165,'LP Elementos'!BL165,'LP Elementos'!BQ165,'LP Elementos'!BV165,'LP Elementos'!CA165,'LP Elementos'!CF165,'LP Elementos'!CK165,'LP Elementos'!CP165,'LP Elementos'!CU165,'LP Elementos'!CZ165)," ")</f>
        <v>318423.34687832731</v>
      </c>
      <c r="H165" s="341">
        <f t="shared" si="12"/>
        <v>342666.16360104101</v>
      </c>
      <c r="I165" s="342">
        <f t="shared" si="13"/>
        <v>0.57709448600180213</v>
      </c>
      <c r="J165" s="341">
        <f t="shared" si="14"/>
        <v>42792.4</v>
      </c>
      <c r="K165" s="326" t="str">
        <f t="shared" si="15"/>
        <v>Menor Valor</v>
      </c>
      <c r="L165" s="326">
        <f>IFERROR(COUNTA('LP Elementos'!F165,'LP Elementos'!I165,'LP Elementos'!N165,'LP Elementos'!S165,'LP Elementos'!X165,'LP Elementos'!AC165,'LP Elementos'!AH165,'LP Elementos'!AM165,'LP Elementos'!AR165,'LP Elementos'!AX165,'LP Elementos'!BB165,'LP Elementos'!BG165,'LP Elementos'!BL165,'LP Elementos'!BQ165,'LP Elementos'!BV165,'LP Elementos'!CA165,'LP Elementos'!CF165,'LP Elementos'!CK165,'LP Elementos'!CP165,'LP Elementos'!CU165,'LP Elementos'!CZ165)," ")</f>
        <v>3</v>
      </c>
    </row>
    <row r="166" spans="2:12" ht="27" x14ac:dyDescent="0.25">
      <c r="B166" s="411">
        <v>164</v>
      </c>
      <c r="C166" s="412" t="s">
        <v>3373</v>
      </c>
      <c r="D166" s="408">
        <f>IFERROR(MIN('LP Elementos'!F166,'LP Elementos'!I166,'LP Elementos'!N166,'LP Elementos'!S166,'LP Elementos'!X166,'LP Elementos'!AC166,'LP Elementos'!AH166,'LP Elementos'!AM166,'LP Elementos'!AR166,'LP Elementos'!AW166,'LP Elementos'!BB166,'LP Elementos'!BG166,'LP Elementos'!BL166,'LP Elementos'!BQ166,'LP Elementos'!BV166,'LP Elementos'!CA166,'LP Elementos'!CF166,'LP Elementos'!CK166,'LP Elementos'!CP166,'LP Elementos'!CU166,'LP Elementos'!CZ166)," ")</f>
        <v>14399</v>
      </c>
      <c r="E166" s="341">
        <f>IFERROR(AVERAGE('LP Elementos'!F166,'LP Elementos'!I166,'LP Elementos'!N166,'LP Elementos'!S166,'LP Elementos'!X166,'LP Elementos'!AC166,'LP Elementos'!AH166,'LP Elementos'!AM166,'LP Elementos'!AR166,'LP Elementos'!AW166,'LP Elementos'!BB166,'LP Elementos'!BG166,'LP Elementos'!BL166,'LP Elementos'!BQ166,'LP Elementos'!BV166,'LP Elementos'!CA166,'LP Elementos'!CF166,'LP Elementos'!CK166,'LP Elementos'!CP166,'LP Elementos'!CU166,'LP Elementos'!CZ166)," ")</f>
        <v>44684.5</v>
      </c>
      <c r="F166" s="341">
        <f>IFERROR(MEDIAN('LP Elementos'!F166,'LP Elementos'!I166,'LP Elementos'!N166,'LP Elementos'!S166,'LP Elementos'!X166,'LP Elementos'!AC166,'LP Elementos'!AH166,'LP Elementos'!AM166,'LP Elementos'!AR166,'LP Elementos'!AW166,'LP Elementos'!BB166,'LP Elementos'!BG166,'LP Elementos'!BL166,'LP Elementos'!BQ166,'LP Elementos'!BV166,'LP Elementos'!CA166,'LP Elementos'!CF166,'LP Elementos'!CK166,'LP Elementos'!CP166,'LP Elementos'!CU166,'LP Elementos'!CZ166)," ")</f>
        <v>44684.5</v>
      </c>
      <c r="G166" s="341">
        <f>IFERROR(GEOMEAN('LP Elementos'!F166,'LP Elementos'!I166,'LP Elementos'!N166,'LP Elementos'!S166,'LP Elementos'!X166,'LP Elementos'!AC166,'LP Elementos'!AH166,'LP Elementos'!AM166,'LP Elementos'!AR166,'LP Elementos'!AW166,'LP Elementos'!BB166,'LP Elementos'!BG166,'LP Elementos'!BL166,'LP Elementos'!BQ166,'LP Elementos'!BV166,'LP Elementos'!CA166,'LP Elementos'!CF166,'LP Elementos'!CK166,'LP Elementos'!CP166,'LP Elementos'!CU166,'LP Elementos'!CZ166)," ")</f>
        <v>32855.639241993144</v>
      </c>
      <c r="H166" s="341">
        <f t="shared" si="12"/>
        <v>14303.013803256385</v>
      </c>
      <c r="I166" s="342">
        <f t="shared" si="13"/>
        <v>0.32008893023881624</v>
      </c>
      <c r="J166" s="341">
        <f>IF(I166&lt;=10%,F166,IF(AND(I166&gt;10%,I166&lt;=20%),E166,IF(AND(I166&gt;20%,I166&lt;=33%),G166,IF(I166&gt;33%,D166))))</f>
        <v>32855.639241993144</v>
      </c>
      <c r="K166" s="326" t="str">
        <f t="shared" si="15"/>
        <v>Media Geometrica</v>
      </c>
      <c r="L166" s="326">
        <f>IFERROR(COUNTA('LP Elementos'!F166,'LP Elementos'!I166,'LP Elementos'!N166,'LP Elementos'!S166,'LP Elementos'!X166,'LP Elementos'!AC166,'LP Elementos'!AH166,'LP Elementos'!AM166,'LP Elementos'!AR166,'LP Elementos'!AX166,'LP Elementos'!BB166,'LP Elementos'!BG166,'LP Elementos'!BL166,'LP Elementos'!BQ166,'LP Elementos'!BV166,'LP Elementos'!CA166,'LP Elementos'!CF166,'LP Elementos'!CK166,'LP Elementos'!CP166,'LP Elementos'!CU166,'LP Elementos'!CZ166)," ")</f>
        <v>2</v>
      </c>
    </row>
    <row r="167" spans="2:12" ht="162" x14ac:dyDescent="0.25">
      <c r="B167" s="411">
        <v>165</v>
      </c>
      <c r="C167" s="412" t="s">
        <v>3377</v>
      </c>
      <c r="D167" s="408">
        <f>IFERROR(MIN('LP Elementos'!F167,'LP Elementos'!I167,'LP Elementos'!N167,'LP Elementos'!S167,'LP Elementos'!X167,'LP Elementos'!AC167,'LP Elementos'!AH167,'LP Elementos'!AM167,'LP Elementos'!AR167,'LP Elementos'!AW167,'LP Elementos'!BB167,'LP Elementos'!BG167,'LP Elementos'!BL167,'LP Elementos'!BQ167,'LP Elementos'!BV167,'LP Elementos'!CA167,'LP Elementos'!CF167,'LP Elementos'!CK167,'LP Elementos'!CP167,'LP Elementos'!CU167,'LP Elementos'!CZ167)," ")</f>
        <v>34243.440000000002</v>
      </c>
      <c r="E167" s="341">
        <f>IFERROR(AVERAGE('LP Elementos'!F167,'LP Elementos'!I167,'LP Elementos'!N167,'LP Elementos'!S167,'LP Elementos'!X167,'LP Elementos'!AC167,'LP Elementos'!AH167,'LP Elementos'!AM167,'LP Elementos'!AR167,'LP Elementos'!AW167,'LP Elementos'!BB167,'LP Elementos'!BG167,'LP Elementos'!BL167,'LP Elementos'!BQ167,'LP Elementos'!BV167,'LP Elementos'!CA167,'LP Elementos'!CF167,'LP Elementos'!CK167,'LP Elementos'!CP167,'LP Elementos'!CU167,'LP Elementos'!CZ167)," ")</f>
        <v>1523455.4216</v>
      </c>
      <c r="F167" s="341">
        <f>IFERROR(MEDIAN('LP Elementos'!F167,'LP Elementos'!I167,'LP Elementos'!N167,'LP Elementos'!S167,'LP Elementos'!X167,'LP Elementos'!AC167,'LP Elementos'!AH167,'LP Elementos'!AM167,'LP Elementos'!AR167,'LP Elementos'!AW167,'LP Elementos'!BB167,'LP Elementos'!BG167,'LP Elementos'!BL167,'LP Elementos'!BQ167,'LP Elementos'!BV167,'LP Elementos'!CA167,'LP Elementos'!CF167,'LP Elementos'!CK167,'LP Elementos'!CP167,'LP Elementos'!CU167,'LP Elementos'!CZ167)," ")</f>
        <v>1049580</v>
      </c>
      <c r="G167" s="341">
        <f>IFERROR(GEOMEAN('LP Elementos'!F167,'LP Elementos'!I167,'LP Elementos'!N167,'LP Elementos'!S167,'LP Elementos'!X167,'LP Elementos'!AC167,'LP Elementos'!AH167,'LP Elementos'!AM167,'LP Elementos'!AR167,'LP Elementos'!AW167,'LP Elementos'!BB167,'LP Elementos'!BG167,'LP Elementos'!BL167,'LP Elementos'!BQ167,'LP Elementos'!BV167,'LP Elementos'!CA167,'LP Elementos'!CF167,'LP Elementos'!CK167,'LP Elementos'!CP167,'LP Elementos'!CU167,'LP Elementos'!CZ167)," ")</f>
        <v>761647.20683632814</v>
      </c>
      <c r="H167" s="341">
        <f t="shared" si="12"/>
        <v>623537.7468444563</v>
      </c>
      <c r="I167" s="342">
        <f t="shared" si="13"/>
        <v>0.40929175741131268</v>
      </c>
      <c r="J167" s="341">
        <f>IF(I167&lt;=10%,F167,IF(AND(I167&gt;10%,I167&lt;=20%),E167,IF(AND(I167&gt;20%,I167&lt;=42%),G167,IF(I167&gt;42%,D167))))</f>
        <v>761647.20683632814</v>
      </c>
      <c r="K167" s="326" t="str">
        <f t="shared" si="15"/>
        <v>Media Geometrica</v>
      </c>
      <c r="L167" s="326">
        <f>IFERROR(COUNTA('LP Elementos'!F167,'LP Elementos'!I167,'LP Elementos'!N167,'LP Elementos'!S167,'LP Elementos'!X167,'LP Elementos'!AC167,'LP Elementos'!AH167,'LP Elementos'!AM167,'LP Elementos'!AR167,'LP Elementos'!AX167,'LP Elementos'!BB167,'LP Elementos'!BG167,'LP Elementos'!BL167,'LP Elementos'!BQ167,'LP Elementos'!BV167,'LP Elementos'!CA167,'LP Elementos'!CF167,'LP Elementos'!CK167,'LP Elementos'!CP167,'LP Elementos'!CU167,'LP Elementos'!CZ167)," ")</f>
        <v>5</v>
      </c>
    </row>
    <row r="168" spans="2:12" x14ac:dyDescent="0.25">
      <c r="B168" s="411">
        <v>166</v>
      </c>
      <c r="C168" s="412" t="s">
        <v>3383</v>
      </c>
      <c r="D168" s="408">
        <f>IFERROR(MIN('LP Elementos'!F168,'LP Elementos'!I168,'LP Elementos'!N168,'LP Elementos'!S168,'LP Elementos'!X168,'LP Elementos'!AC168,'LP Elementos'!AH168,'LP Elementos'!AM168,'LP Elementos'!AR168,'LP Elementos'!AW168,'LP Elementos'!BB168,'LP Elementos'!BG168,'LP Elementos'!BL168,'LP Elementos'!BQ168,'LP Elementos'!BV168,'LP Elementos'!CA168,'LP Elementos'!CF168,'LP Elementos'!CK168,'LP Elementos'!CP168,'LP Elementos'!CU168,'LP Elementos'!CZ168)," ")</f>
        <v>45220</v>
      </c>
      <c r="E168" s="341">
        <f>IFERROR(AVERAGE('LP Elementos'!F168,'LP Elementos'!I168,'LP Elementos'!N168,'LP Elementos'!S168,'LP Elementos'!X168,'LP Elementos'!AC168,'LP Elementos'!AH168,'LP Elementos'!AM168,'LP Elementos'!AR168,'LP Elementos'!AW168,'LP Elementos'!BB168,'LP Elementos'!BG168,'LP Elementos'!BL168,'LP Elementos'!BQ168,'LP Elementos'!BV168,'LP Elementos'!CA168,'LP Elementos'!CF168,'LP Elementos'!CK168,'LP Elementos'!CP168,'LP Elementos'!CU168,'LP Elementos'!CZ168)," ")</f>
        <v>45220</v>
      </c>
      <c r="F168" s="341">
        <f>IFERROR(MEDIAN('LP Elementos'!F168,'LP Elementos'!I168,'LP Elementos'!N168,'LP Elementos'!S168,'LP Elementos'!X168,'LP Elementos'!AC168,'LP Elementos'!AH168,'LP Elementos'!AM168,'LP Elementos'!AR168,'LP Elementos'!AW168,'LP Elementos'!BB168,'LP Elementos'!BG168,'LP Elementos'!BL168,'LP Elementos'!BQ168,'LP Elementos'!BV168,'LP Elementos'!CA168,'LP Elementos'!CF168,'LP Elementos'!CK168,'LP Elementos'!CP168,'LP Elementos'!CU168,'LP Elementos'!CZ168)," ")</f>
        <v>45220</v>
      </c>
      <c r="G168" s="341">
        <f>IFERROR(GEOMEAN('LP Elementos'!F168,'LP Elementos'!I168,'LP Elementos'!N168,'LP Elementos'!S168,'LP Elementos'!X168,'LP Elementos'!AC168,'LP Elementos'!AH168,'LP Elementos'!AM168,'LP Elementos'!AR168,'LP Elementos'!AW168,'LP Elementos'!BB168,'LP Elementos'!BG168,'LP Elementos'!BL168,'LP Elementos'!BQ168,'LP Elementos'!BV168,'LP Elementos'!CA168,'LP Elementos'!CF168,'LP Elementos'!CK168,'LP Elementos'!CP168,'LP Elementos'!CU168,'LP Elementos'!CZ168)," ")</f>
        <v>45220</v>
      </c>
      <c r="H168" s="341">
        <f t="shared" si="12"/>
        <v>0</v>
      </c>
      <c r="I168" s="342">
        <f t="shared" si="13"/>
        <v>0</v>
      </c>
      <c r="J168" s="341">
        <f t="shared" si="14"/>
        <v>45220</v>
      </c>
      <c r="K168" s="326" t="str">
        <f t="shared" si="15"/>
        <v>Menor Valor</v>
      </c>
      <c r="L168" s="326">
        <f>IFERROR(COUNTA('LP Elementos'!F168,'LP Elementos'!I168,'LP Elementos'!N168,'LP Elementos'!S168,'LP Elementos'!X168,'LP Elementos'!AC168,'LP Elementos'!AH168,'LP Elementos'!AM168,'LP Elementos'!AR168,'LP Elementos'!AX168,'LP Elementos'!BB168,'LP Elementos'!BG168,'LP Elementos'!BL168,'LP Elementos'!BQ168,'LP Elementos'!BV168,'LP Elementos'!CA168,'LP Elementos'!CF168,'LP Elementos'!CK168,'LP Elementos'!CP168,'LP Elementos'!CU168,'LP Elementos'!CZ168)," ")</f>
        <v>1</v>
      </c>
    </row>
    <row r="169" spans="2:12" ht="67.5" x14ac:dyDescent="0.25">
      <c r="B169" s="411">
        <v>167</v>
      </c>
      <c r="C169" s="412" t="s">
        <v>3386</v>
      </c>
      <c r="D169" s="408">
        <f>IFERROR(MIN('LP Elementos'!F169,'LP Elementos'!I169,'LP Elementos'!N169,'LP Elementos'!S169,'LP Elementos'!X169,'LP Elementos'!AC169,'LP Elementos'!AH169,'LP Elementos'!AM169,'LP Elementos'!AR169,'LP Elementos'!AW169,'LP Elementos'!BB169,'LP Elementos'!BG169,'LP Elementos'!BL169,'LP Elementos'!BQ169,'LP Elementos'!BV169,'LP Elementos'!CA169,'LP Elementos'!CF169,'LP Elementos'!CK169,'LP Elementos'!CP169,'LP Elementos'!CU169,'LP Elementos'!CZ169)," ")</f>
        <v>45220</v>
      </c>
      <c r="E169" s="341">
        <f>IFERROR(AVERAGE('LP Elementos'!F169,'LP Elementos'!I169,'LP Elementos'!N169,'LP Elementos'!S169,'LP Elementos'!X169,'LP Elementos'!AC169,'LP Elementos'!AH169,'LP Elementos'!AM169,'LP Elementos'!AR169,'LP Elementos'!AW169,'LP Elementos'!BB169,'LP Elementos'!BG169,'LP Elementos'!BL169,'LP Elementos'!BQ169,'LP Elementos'!BV169,'LP Elementos'!CA169,'LP Elementos'!CF169,'LP Elementos'!CK169,'LP Elementos'!CP169,'LP Elementos'!CU169,'LP Elementos'!CZ169)," ")</f>
        <v>152696.87300000002</v>
      </c>
      <c r="F169" s="341">
        <f>IFERROR(MEDIAN('LP Elementos'!F169,'LP Elementos'!I169,'LP Elementos'!N169,'LP Elementos'!S169,'LP Elementos'!X169,'LP Elementos'!AC169,'LP Elementos'!AH169,'LP Elementos'!AM169,'LP Elementos'!AR169,'LP Elementos'!AW169,'LP Elementos'!BB169,'LP Elementos'!BG169,'LP Elementos'!BL169,'LP Elementos'!BQ169,'LP Elementos'!BV169,'LP Elementos'!CA169,'LP Elementos'!CF169,'LP Elementos'!CK169,'LP Elementos'!CP169,'LP Elementos'!CU169,'LP Elementos'!CZ169)," ")</f>
        <v>152696.87300000002</v>
      </c>
      <c r="G169" s="341">
        <f>IFERROR(GEOMEAN('LP Elementos'!F169,'LP Elementos'!I169,'LP Elementos'!N169,'LP Elementos'!S169,'LP Elementos'!X169,'LP Elementos'!AC169,'LP Elementos'!AH169,'LP Elementos'!AM169,'LP Elementos'!AR169,'LP Elementos'!AW169,'LP Elementos'!BB169,'LP Elementos'!BG169,'LP Elementos'!BL169,'LP Elementos'!BQ169,'LP Elementos'!BV169,'LP Elementos'!CA169,'LP Elementos'!CF169,'LP Elementos'!CK169,'LP Elementos'!CP169,'LP Elementos'!CU169,'LP Elementos'!CZ169)," ")</f>
        <v>108466.84652058434</v>
      </c>
      <c r="H169" s="341">
        <f t="shared" si="12"/>
        <v>50839.052032905965</v>
      </c>
      <c r="I169" s="342">
        <f t="shared" si="13"/>
        <v>0.33294101597552661</v>
      </c>
      <c r="J169" s="341">
        <f t="shared" si="14"/>
        <v>45220</v>
      </c>
      <c r="K169" s="326" t="str">
        <f t="shared" si="15"/>
        <v>Menor Valor</v>
      </c>
      <c r="L169" s="326">
        <f>IFERROR(COUNTA('LP Elementos'!F169,'LP Elementos'!I169,'LP Elementos'!N169,'LP Elementos'!S169,'LP Elementos'!X169,'LP Elementos'!AC169,'LP Elementos'!AH169,'LP Elementos'!AM169,'LP Elementos'!AR169,'LP Elementos'!AX169,'LP Elementos'!BB169,'LP Elementos'!BG169,'LP Elementos'!BL169,'LP Elementos'!BQ169,'LP Elementos'!BV169,'LP Elementos'!CA169,'LP Elementos'!CF169,'LP Elementos'!CK169,'LP Elementos'!CP169,'LP Elementos'!CU169,'LP Elementos'!CZ169)," ")</f>
        <v>2</v>
      </c>
    </row>
    <row r="170" spans="2:12" ht="54" x14ac:dyDescent="0.25">
      <c r="B170" s="411">
        <v>168</v>
      </c>
      <c r="C170" s="412" t="s">
        <v>3388</v>
      </c>
      <c r="D170" s="408">
        <f>IFERROR(MIN('LP Elementos'!F170,'LP Elementos'!I170,'LP Elementos'!N170,'LP Elementos'!S170,'LP Elementos'!X170,'LP Elementos'!AC170,'LP Elementos'!AH170,'LP Elementos'!AM170,'LP Elementos'!AR170,'LP Elementos'!AW170,'LP Elementos'!BB170,'LP Elementos'!BG170,'LP Elementos'!BL170,'LP Elementos'!BQ170,'LP Elementos'!BV170,'LP Elementos'!CA170,'LP Elementos'!CF170,'LP Elementos'!CK170,'LP Elementos'!CP170,'LP Elementos'!CU170,'LP Elementos'!CZ170)," ")</f>
        <v>86870</v>
      </c>
      <c r="E170" s="341">
        <f>IFERROR(AVERAGE('LP Elementos'!F170,'LP Elementos'!I170,'LP Elementos'!N170,'LP Elementos'!S170,'LP Elementos'!X170,'LP Elementos'!AC170,'LP Elementos'!AH170,'LP Elementos'!AM170,'LP Elementos'!AR170,'LP Elementos'!AW170,'LP Elementos'!BB170,'LP Elementos'!BG170,'LP Elementos'!BL170,'LP Elementos'!BQ170,'LP Elementos'!BV170,'LP Elementos'!CA170,'LP Elementos'!CF170,'LP Elementos'!CK170,'LP Elementos'!CP170,'LP Elementos'!CU170,'LP Elementos'!CZ170)," ")</f>
        <v>97229.378400000001</v>
      </c>
      <c r="F170" s="341">
        <f>IFERROR(MEDIAN('LP Elementos'!F170,'LP Elementos'!I170,'LP Elementos'!N170,'LP Elementos'!S170,'LP Elementos'!X170,'LP Elementos'!AC170,'LP Elementos'!AH170,'LP Elementos'!AM170,'LP Elementos'!AR170,'LP Elementos'!AW170,'LP Elementos'!BB170,'LP Elementos'!BG170,'LP Elementos'!BL170,'LP Elementos'!BQ170,'LP Elementos'!BV170,'LP Elementos'!CA170,'LP Elementos'!CF170,'LP Elementos'!CK170,'LP Elementos'!CP170,'LP Elementos'!CU170,'LP Elementos'!CZ170)," ")</f>
        <v>97229.378400000001</v>
      </c>
      <c r="G170" s="341">
        <f>IFERROR(GEOMEAN('LP Elementos'!F170,'LP Elementos'!I170,'LP Elementos'!N170,'LP Elementos'!S170,'LP Elementos'!X170,'LP Elementos'!AC170,'LP Elementos'!AH170,'LP Elementos'!AM170,'LP Elementos'!AR170,'LP Elementos'!AW170,'LP Elementos'!BB170,'LP Elementos'!BG170,'LP Elementos'!BL170,'LP Elementos'!BQ170,'LP Elementos'!BV170,'LP Elementos'!CA170,'LP Elementos'!CF170,'LP Elementos'!CK170,'LP Elementos'!CP170,'LP Elementos'!CU170,'LP Elementos'!CZ170)," ")</f>
        <v>96675.92928550519</v>
      </c>
      <c r="H170" s="341">
        <f t="shared" si="12"/>
        <v>5094.1330851101948</v>
      </c>
      <c r="I170" s="342">
        <f t="shared" si="13"/>
        <v>5.2392940991075949E-2</v>
      </c>
      <c r="J170" s="341">
        <f t="shared" si="14"/>
        <v>97229.378400000001</v>
      </c>
      <c r="K170" s="326" t="str">
        <f t="shared" si="15"/>
        <v>Promedio</v>
      </c>
      <c r="L170" s="326">
        <f>IFERROR(COUNTA('LP Elementos'!F170,'LP Elementos'!I170,'LP Elementos'!N170,'LP Elementos'!S170,'LP Elementos'!X170,'LP Elementos'!AC170,'LP Elementos'!AH170,'LP Elementos'!AM170,'LP Elementos'!AR170,'LP Elementos'!AX170,'LP Elementos'!BB170,'LP Elementos'!BG170,'LP Elementos'!BL170,'LP Elementos'!BQ170,'LP Elementos'!BV170,'LP Elementos'!CA170,'LP Elementos'!CF170,'LP Elementos'!CK170,'LP Elementos'!CP170,'LP Elementos'!CU170,'LP Elementos'!CZ170)," ")</f>
        <v>2</v>
      </c>
    </row>
    <row r="171" spans="2:12" ht="67.5" x14ac:dyDescent="0.25">
      <c r="B171" s="411">
        <v>169</v>
      </c>
      <c r="C171" s="412" t="s">
        <v>3391</v>
      </c>
      <c r="D171" s="408">
        <f>IFERROR(MIN('LP Elementos'!F171,'LP Elementos'!I171,'LP Elementos'!N171,'LP Elementos'!S171,'LP Elementos'!X171,'LP Elementos'!AC171,'LP Elementos'!AH171,'LP Elementos'!AM171,'LP Elementos'!AR171,'LP Elementos'!AW171,'LP Elementos'!BB171,'LP Elementos'!BG171,'LP Elementos'!BL171,'LP Elementos'!BQ171,'LP Elementos'!BV171,'LP Elementos'!CA171,'LP Elementos'!CF171,'LP Elementos'!CK171,'LP Elementos'!CP171,'LP Elementos'!CU171,'LP Elementos'!CZ171)," ")</f>
        <v>86870</v>
      </c>
      <c r="E171" s="341">
        <f>IFERROR(AVERAGE('LP Elementos'!F171,'LP Elementos'!I171,'LP Elementos'!N171,'LP Elementos'!S171,'LP Elementos'!X171,'LP Elementos'!AC171,'LP Elementos'!AH171,'LP Elementos'!AM171,'LP Elementos'!AR171,'LP Elementos'!AW171,'LP Elementos'!BB171,'LP Elementos'!BG171,'LP Elementos'!BL171,'LP Elementos'!BQ171,'LP Elementos'!BV171,'LP Elementos'!CA171,'LP Elementos'!CF171,'LP Elementos'!CK171,'LP Elementos'!CP171,'LP Elementos'!CU171,'LP Elementos'!CZ171)," ")</f>
        <v>182320.019</v>
      </c>
      <c r="F171" s="341">
        <f>IFERROR(MEDIAN('LP Elementos'!F171,'LP Elementos'!I171,'LP Elementos'!N171,'LP Elementos'!S171,'LP Elementos'!X171,'LP Elementos'!AC171,'LP Elementos'!AH171,'LP Elementos'!AM171,'LP Elementos'!AR171,'LP Elementos'!AW171,'LP Elementos'!BB171,'LP Elementos'!BG171,'LP Elementos'!BL171,'LP Elementos'!BQ171,'LP Elementos'!BV171,'LP Elementos'!CA171,'LP Elementos'!CF171,'LP Elementos'!CK171,'LP Elementos'!CP171,'LP Elementos'!CU171,'LP Elementos'!CZ171)," ")</f>
        <v>182320.019</v>
      </c>
      <c r="G171" s="341">
        <f>IFERROR(GEOMEAN('LP Elementos'!F171,'LP Elementos'!I171,'LP Elementos'!N171,'LP Elementos'!S171,'LP Elementos'!X171,'LP Elementos'!AC171,'LP Elementos'!AH171,'LP Elementos'!AM171,'LP Elementos'!AR171,'LP Elementos'!AW171,'LP Elementos'!BB171,'LP Elementos'!BG171,'LP Elementos'!BL171,'LP Elementos'!BQ171,'LP Elementos'!BV171,'LP Elementos'!CA171,'LP Elementos'!CF171,'LP Elementos'!CK171,'LP Elementos'!CP171,'LP Elementos'!CU171,'LP Elementos'!CZ171)," ")</f>
        <v>155337.9644551196</v>
      </c>
      <c r="H171" s="341">
        <f t="shared" si="12"/>
        <v>45060.456560930586</v>
      </c>
      <c r="I171" s="342">
        <f t="shared" si="13"/>
        <v>0.24715035029110319</v>
      </c>
      <c r="J171" s="341">
        <f t="shared" si="14"/>
        <v>155337.9644551196</v>
      </c>
      <c r="K171" s="326" t="str">
        <f t="shared" si="15"/>
        <v>Media Geometrica</v>
      </c>
      <c r="L171" s="326">
        <f>IFERROR(COUNTA('LP Elementos'!F171,'LP Elementos'!I171,'LP Elementos'!N171,'LP Elementos'!S171,'LP Elementos'!X171,'LP Elementos'!AC171,'LP Elementos'!AH171,'LP Elementos'!AM171,'LP Elementos'!AR171,'LP Elementos'!AX171,'LP Elementos'!BB171,'LP Elementos'!BG171,'LP Elementos'!BL171,'LP Elementos'!BQ171,'LP Elementos'!BV171,'LP Elementos'!CA171,'LP Elementos'!CF171,'LP Elementos'!CK171,'LP Elementos'!CP171,'LP Elementos'!CU171,'LP Elementos'!CZ171)," ")</f>
        <v>2</v>
      </c>
    </row>
    <row r="172" spans="2:12" ht="67.5" x14ac:dyDescent="0.25">
      <c r="B172" s="411">
        <v>170</v>
      </c>
      <c r="C172" s="412" t="s">
        <v>3393</v>
      </c>
      <c r="D172" s="408">
        <f>IFERROR(MIN('LP Elementos'!F172,'LP Elementos'!I172,'LP Elementos'!N172,'LP Elementos'!S172,'LP Elementos'!X172,'LP Elementos'!AC172,'LP Elementos'!AH172,'LP Elementos'!AM172,'LP Elementos'!AR172,'LP Elementos'!AW172,'LP Elementos'!BB172,'LP Elementos'!BG172,'LP Elementos'!BL172,'LP Elementos'!BQ172,'LP Elementos'!BV172,'LP Elementos'!CA172,'LP Elementos'!CF172,'LP Elementos'!CK172,'LP Elementos'!CP172,'LP Elementos'!CU172,'LP Elementos'!CZ172)," ")</f>
        <v>39270</v>
      </c>
      <c r="E172" s="341">
        <f>IFERROR(AVERAGE('LP Elementos'!F172,'LP Elementos'!I172,'LP Elementos'!N172,'LP Elementos'!S172,'LP Elementos'!X172,'LP Elementos'!AC172,'LP Elementos'!AH172,'LP Elementos'!AM172,'LP Elementos'!AR172,'LP Elementos'!AW172,'LP Elementos'!BB172,'LP Elementos'!BG172,'LP Elementos'!BL172,'LP Elementos'!BQ172,'LP Elementos'!BV172,'LP Elementos'!CA172,'LP Elementos'!CF172,'LP Elementos'!CK172,'LP Elementos'!CP172,'LP Elementos'!CU172,'LP Elementos'!CZ172)," ")</f>
        <v>81536.241500000004</v>
      </c>
      <c r="F172" s="341">
        <f>IFERROR(MEDIAN('LP Elementos'!F172,'LP Elementos'!I172,'LP Elementos'!N172,'LP Elementos'!S172,'LP Elementos'!X172,'LP Elementos'!AC172,'LP Elementos'!AH172,'LP Elementos'!AM172,'LP Elementos'!AR172,'LP Elementos'!AW172,'LP Elementos'!BB172,'LP Elementos'!BG172,'LP Elementos'!BL172,'LP Elementos'!BQ172,'LP Elementos'!BV172,'LP Elementos'!CA172,'LP Elementos'!CF172,'LP Elementos'!CK172,'LP Elementos'!CP172,'LP Elementos'!CU172,'LP Elementos'!CZ172)," ")</f>
        <v>81536.241500000004</v>
      </c>
      <c r="G172" s="341">
        <f>IFERROR(GEOMEAN('LP Elementos'!F172,'LP Elementos'!I172,'LP Elementos'!N172,'LP Elementos'!S172,'LP Elementos'!X172,'LP Elementos'!AC172,'LP Elementos'!AH172,'LP Elementos'!AM172,'LP Elementos'!AR172,'LP Elementos'!AW172,'LP Elementos'!BB172,'LP Elementos'!BG172,'LP Elementos'!BL172,'LP Elementos'!BQ172,'LP Elementos'!BV172,'LP Elementos'!CA172,'LP Elementos'!CF172,'LP Elementos'!CK172,'LP Elementos'!CP172,'LP Elementos'!CU172,'LP Elementos'!CZ172)," ")</f>
        <v>69726.060460992638</v>
      </c>
      <c r="H172" s="341">
        <f t="shared" si="12"/>
        <v>19957.042850884642</v>
      </c>
      <c r="I172" s="342">
        <f t="shared" si="13"/>
        <v>0.24476285003748474</v>
      </c>
      <c r="J172" s="341">
        <f t="shared" si="14"/>
        <v>69726.060460992638</v>
      </c>
      <c r="K172" s="326" t="str">
        <f t="shared" si="15"/>
        <v>Media Geometrica</v>
      </c>
      <c r="L172" s="326">
        <f>IFERROR(COUNTA('LP Elementos'!F172,'LP Elementos'!I172,'LP Elementos'!N172,'LP Elementos'!S172,'LP Elementos'!X172,'LP Elementos'!AC172,'LP Elementos'!AH172,'LP Elementos'!AM172,'LP Elementos'!AR172,'LP Elementos'!AX172,'LP Elementos'!BB172,'LP Elementos'!BG172,'LP Elementos'!BL172,'LP Elementos'!BQ172,'LP Elementos'!BV172,'LP Elementos'!CA172,'LP Elementos'!CF172,'LP Elementos'!CK172,'LP Elementos'!CP172,'LP Elementos'!CU172,'LP Elementos'!CZ172)," ")</f>
        <v>2</v>
      </c>
    </row>
    <row r="173" spans="2:12" ht="40.5" x14ac:dyDescent="0.25">
      <c r="B173" s="411">
        <v>171</v>
      </c>
      <c r="C173" s="412" t="s">
        <v>3395</v>
      </c>
      <c r="D173" s="408">
        <f>IFERROR(MIN('LP Elementos'!F173,'LP Elementos'!I173,'LP Elementos'!N173,'LP Elementos'!S173,'LP Elementos'!X173,'LP Elementos'!AC173,'LP Elementos'!AH173,'LP Elementos'!AM173,'LP Elementos'!AR173,'LP Elementos'!AW173,'LP Elementos'!BB173,'LP Elementos'!BG173,'LP Elementos'!BL173,'LP Elementos'!BQ173,'LP Elementos'!BV173,'LP Elementos'!CA173,'LP Elementos'!CF173,'LP Elementos'!CK173,'LP Elementos'!CP173,'LP Elementos'!CU173,'LP Elementos'!CZ173)," ")</f>
        <v>1629171.6008000001</v>
      </c>
      <c r="E173" s="341">
        <f>IFERROR(AVERAGE('LP Elementos'!F173,'LP Elementos'!I173,'LP Elementos'!N173,'LP Elementos'!S173,'LP Elementos'!X173,'LP Elementos'!AC173,'LP Elementos'!AH173,'LP Elementos'!AM173,'LP Elementos'!AR173,'LP Elementos'!AW173,'LP Elementos'!BB173,'LP Elementos'!BG173,'LP Elementos'!BL173,'LP Elementos'!BQ173,'LP Elementos'!BV173,'LP Elementos'!CA173,'LP Elementos'!CF173,'LP Elementos'!CK173,'LP Elementos'!CP173,'LP Elementos'!CU173,'LP Elementos'!CZ173)," ")</f>
        <v>2144410.8004000001</v>
      </c>
      <c r="F173" s="341">
        <f>IFERROR(MEDIAN('LP Elementos'!F173,'LP Elementos'!I173,'LP Elementos'!N173,'LP Elementos'!S173,'LP Elementos'!X173,'LP Elementos'!AC173,'LP Elementos'!AH173,'LP Elementos'!AM173,'LP Elementos'!AR173,'LP Elementos'!AW173,'LP Elementos'!BB173,'LP Elementos'!BG173,'LP Elementos'!BL173,'LP Elementos'!BQ173,'LP Elementos'!BV173,'LP Elementos'!CA173,'LP Elementos'!CF173,'LP Elementos'!CK173,'LP Elementos'!CP173,'LP Elementos'!CU173,'LP Elementos'!CZ173)," ")</f>
        <v>2144410.8004000001</v>
      </c>
      <c r="G173" s="341">
        <f>IFERROR(GEOMEAN('LP Elementos'!F173,'LP Elementos'!I173,'LP Elementos'!N173,'LP Elementos'!S173,'LP Elementos'!X173,'LP Elementos'!AC173,'LP Elementos'!AH173,'LP Elementos'!AM173,'LP Elementos'!AR173,'LP Elementos'!AW173,'LP Elementos'!BB173,'LP Elementos'!BG173,'LP Elementos'!BL173,'LP Elementos'!BQ173,'LP Elementos'!BV173,'LP Elementos'!CA173,'LP Elementos'!CF173,'LP Elementos'!CK173,'LP Elementos'!CP173,'LP Elementos'!CU173,'LP Elementos'!CZ173)," ")</f>
        <v>2081592.2386643644</v>
      </c>
      <c r="H173" s="341">
        <f t="shared" si="12"/>
        <v>248917.59723711284</v>
      </c>
      <c r="I173" s="342">
        <f t="shared" si="13"/>
        <v>0.11607738460871485</v>
      </c>
      <c r="J173" s="341">
        <f t="shared" si="14"/>
        <v>2144410.8004000001</v>
      </c>
      <c r="K173" s="326" t="str">
        <f t="shared" si="15"/>
        <v>Promedio</v>
      </c>
      <c r="L173" s="326">
        <f>IFERROR(COUNTA('LP Elementos'!F173,'LP Elementos'!I173,'LP Elementos'!N173,'LP Elementos'!S173,'LP Elementos'!X173,'LP Elementos'!AC173,'LP Elementos'!AH173,'LP Elementos'!AM173,'LP Elementos'!AR173,'LP Elementos'!AX173,'LP Elementos'!BB173,'LP Elementos'!BG173,'LP Elementos'!BL173,'LP Elementos'!BQ173,'LP Elementos'!BV173,'LP Elementos'!CA173,'LP Elementos'!CF173,'LP Elementos'!CK173,'LP Elementos'!CP173,'LP Elementos'!CU173,'LP Elementos'!CZ173)," ")</f>
        <v>2</v>
      </c>
    </row>
    <row r="174" spans="2:12" ht="54" x14ac:dyDescent="0.25">
      <c r="B174" s="411">
        <v>172</v>
      </c>
      <c r="C174" s="412" t="s">
        <v>3398</v>
      </c>
      <c r="D174" s="408">
        <f>IFERROR(MIN('LP Elementos'!F174,'LP Elementos'!I174,'LP Elementos'!N174,'LP Elementos'!S174,'LP Elementos'!X174,'LP Elementos'!AC174,'LP Elementos'!AH174,'LP Elementos'!AM174,'LP Elementos'!AR174,'LP Elementos'!AW174,'LP Elementos'!BB174,'LP Elementos'!BG174,'LP Elementos'!BL174,'LP Elementos'!BQ174,'LP Elementos'!BV174,'LP Elementos'!CA174,'LP Elementos'!CF174,'LP Elementos'!CK174,'LP Elementos'!CP174,'LP Elementos'!CU174,'LP Elementos'!CZ174)," ")</f>
        <v>191590</v>
      </c>
      <c r="E174" s="341">
        <f>IFERROR(AVERAGE('LP Elementos'!F174,'LP Elementos'!I174,'LP Elementos'!N174,'LP Elementos'!S174,'LP Elementos'!X174,'LP Elementos'!AC174,'LP Elementos'!AH174,'LP Elementos'!AM174,'LP Elementos'!AR174,'LP Elementos'!AW174,'LP Elementos'!BB174,'LP Elementos'!BG174,'LP Elementos'!BL174,'LP Elementos'!BQ174,'LP Elementos'!BV174,'LP Elementos'!CA174,'LP Elementos'!CF174,'LP Elementos'!CK174,'LP Elementos'!CP174,'LP Elementos'!CU174,'LP Elementos'!CZ174)," ")</f>
        <v>1769050.4895000001</v>
      </c>
      <c r="F174" s="341">
        <f>IFERROR(MEDIAN('LP Elementos'!F174,'LP Elementos'!I174,'LP Elementos'!N174,'LP Elementos'!S174,'LP Elementos'!X174,'LP Elementos'!AC174,'LP Elementos'!AH174,'LP Elementos'!AM174,'LP Elementos'!AR174,'LP Elementos'!AW174,'LP Elementos'!BB174,'LP Elementos'!BG174,'LP Elementos'!BL174,'LP Elementos'!BQ174,'LP Elementos'!BV174,'LP Elementos'!CA174,'LP Elementos'!CF174,'LP Elementos'!CK174,'LP Elementos'!CP174,'LP Elementos'!CU174,'LP Elementos'!CZ174)," ")</f>
        <v>745170.97900000005</v>
      </c>
      <c r="G174" s="341">
        <f>IFERROR(GEOMEAN('LP Elementos'!F174,'LP Elementos'!I174,'LP Elementos'!N174,'LP Elementos'!S174,'LP Elementos'!X174,'LP Elementos'!AC174,'LP Elementos'!AH174,'LP Elementos'!AM174,'LP Elementos'!AR174,'LP Elementos'!AW174,'LP Elementos'!BB174,'LP Elementos'!BG174,'LP Elementos'!BL174,'LP Elementos'!BQ174,'LP Elementos'!BV174,'LP Elementos'!CA174,'LP Elementos'!CF174,'LP Elementos'!CK174,'LP Elementos'!CP174,'LP Elementos'!CU174,'LP Elementos'!CZ174)," ")</f>
        <v>821978.99345809512</v>
      </c>
      <c r="H174" s="341">
        <f t="shared" si="12"/>
        <v>654688.02500625281</v>
      </c>
      <c r="I174" s="342">
        <f t="shared" si="13"/>
        <v>0.37007876761691078</v>
      </c>
      <c r="J174" s="341">
        <f t="shared" si="14"/>
        <v>191590</v>
      </c>
      <c r="K174" s="326" t="str">
        <f t="shared" si="15"/>
        <v>Menor Valor</v>
      </c>
      <c r="L174" s="326">
        <f>IFERROR(COUNTA('LP Elementos'!F174,'LP Elementos'!I174,'LP Elementos'!N174,'LP Elementos'!S174,'LP Elementos'!X174,'LP Elementos'!AC174,'LP Elementos'!AH174,'LP Elementos'!AM174,'LP Elementos'!AR174,'LP Elementos'!AX174,'LP Elementos'!BB174,'LP Elementos'!BG174,'LP Elementos'!BL174,'LP Elementos'!BQ174,'LP Elementos'!BV174,'LP Elementos'!CA174,'LP Elementos'!CF174,'LP Elementos'!CK174,'LP Elementos'!CP174,'LP Elementos'!CU174,'LP Elementos'!CZ174)," ")</f>
        <v>4</v>
      </c>
    </row>
    <row r="175" spans="2:12" ht="67.5" x14ac:dyDescent="0.25">
      <c r="B175" s="411">
        <v>173</v>
      </c>
      <c r="C175" s="412" t="s">
        <v>3404</v>
      </c>
      <c r="D175" s="408">
        <f>IFERROR(MIN('LP Elementos'!F175,'LP Elementos'!I175,'LP Elementos'!N175,'LP Elementos'!S175,'LP Elementos'!X175,'LP Elementos'!AC175,'LP Elementos'!AH175,'LP Elementos'!AM175,'LP Elementos'!AR175,'LP Elementos'!AW175,'LP Elementos'!BB175,'LP Elementos'!BG175,'LP Elementos'!BL175,'LP Elementos'!BQ175,'LP Elementos'!BV175,'LP Elementos'!CA175,'LP Elementos'!CF175,'LP Elementos'!CK175,'LP Elementos'!CP175,'LP Elementos'!CU175,'LP Elementos'!CZ175)," ")</f>
        <v>399876.26380000002</v>
      </c>
      <c r="E175" s="341">
        <f>IFERROR(AVERAGE('LP Elementos'!F175,'LP Elementos'!I175,'LP Elementos'!N175,'LP Elementos'!S175,'LP Elementos'!X175,'LP Elementos'!AC175,'LP Elementos'!AH175,'LP Elementos'!AM175,'LP Elementos'!AR175,'LP Elementos'!AW175,'LP Elementos'!BB175,'LP Elementos'!BG175,'LP Elementos'!BL175,'LP Elementos'!BQ175,'LP Elementos'!BV175,'LP Elementos'!CA175,'LP Elementos'!CF175,'LP Elementos'!CK175,'LP Elementos'!CP175,'LP Elementos'!CU175,'LP Elementos'!CZ175)," ")</f>
        <v>3625353.1318999999</v>
      </c>
      <c r="F175" s="341">
        <f>IFERROR(MEDIAN('LP Elementos'!F175,'LP Elementos'!I175,'LP Elementos'!N175,'LP Elementos'!S175,'LP Elementos'!X175,'LP Elementos'!AC175,'LP Elementos'!AH175,'LP Elementos'!AM175,'LP Elementos'!AR175,'LP Elementos'!AW175,'LP Elementos'!BB175,'LP Elementos'!BG175,'LP Elementos'!BL175,'LP Elementos'!BQ175,'LP Elementos'!BV175,'LP Elementos'!CA175,'LP Elementos'!CF175,'LP Elementos'!CK175,'LP Elementos'!CP175,'LP Elementos'!CU175,'LP Elementos'!CZ175)," ")</f>
        <v>3625353.1318999999</v>
      </c>
      <c r="G175" s="341">
        <f>IFERROR(GEOMEAN('LP Elementos'!F175,'LP Elementos'!I175,'LP Elementos'!N175,'LP Elementos'!S175,'LP Elementos'!X175,'LP Elementos'!AC175,'LP Elementos'!AH175,'LP Elementos'!AM175,'LP Elementos'!AR175,'LP Elementos'!AW175,'LP Elementos'!BB175,'LP Elementos'!BG175,'LP Elementos'!BL175,'LP Elementos'!BQ175,'LP Elementos'!BV175,'LP Elementos'!CA175,'LP Elementos'!CF175,'LP Elementos'!CK175,'LP Elementos'!CP175,'LP Elementos'!CU175,'LP Elementos'!CZ175)," ")</f>
        <v>1655138.7568203926</v>
      </c>
      <c r="H175" s="341">
        <f t="shared" si="12"/>
        <v>1584996.7231096725</v>
      </c>
      <c r="I175" s="342">
        <f t="shared" si="13"/>
        <v>0.43719788540406174</v>
      </c>
      <c r="J175" s="341">
        <f t="shared" si="14"/>
        <v>399876.26380000002</v>
      </c>
      <c r="K175" s="326" t="str">
        <f t="shared" si="15"/>
        <v>Menor Valor</v>
      </c>
      <c r="L175" s="326">
        <f>IFERROR(COUNTA('LP Elementos'!F175,'LP Elementos'!I175,'LP Elementos'!N175,'LP Elementos'!S175,'LP Elementos'!X175,'LP Elementos'!AC175,'LP Elementos'!AH175,'LP Elementos'!AM175,'LP Elementos'!AR175,'LP Elementos'!AX175,'LP Elementos'!BB175,'LP Elementos'!BG175,'LP Elementos'!BL175,'LP Elementos'!BQ175,'LP Elementos'!BV175,'LP Elementos'!CA175,'LP Elementos'!CF175,'LP Elementos'!CK175,'LP Elementos'!CP175,'LP Elementos'!CU175,'LP Elementos'!CZ175)," ")</f>
        <v>2</v>
      </c>
    </row>
    <row r="176" spans="2:12" x14ac:dyDescent="0.25">
      <c r="B176" s="411">
        <v>174</v>
      </c>
      <c r="C176" s="412" t="s">
        <v>3407</v>
      </c>
      <c r="D176" s="408">
        <f>IFERROR(MIN('LP Elementos'!F176,'LP Elementos'!I176,'LP Elementos'!N176,'LP Elementos'!S176,'LP Elementos'!X176,'LP Elementos'!AC176,'LP Elementos'!AH176,'LP Elementos'!AM176,'LP Elementos'!AR176,'LP Elementos'!AW176,'LP Elementos'!BB176,'LP Elementos'!BG176,'LP Elementos'!BL176,'LP Elementos'!BQ176,'LP Elementos'!BV176,'LP Elementos'!CA176,'LP Elementos'!CF176,'LP Elementos'!CK176,'LP Elementos'!CP176,'LP Elementos'!CU176,'LP Elementos'!CZ176)," ")</f>
        <v>23800</v>
      </c>
      <c r="E176" s="341">
        <f>IFERROR(AVERAGE('LP Elementos'!F176,'LP Elementos'!I176,'LP Elementos'!N176,'LP Elementos'!S176,'LP Elementos'!X176,'LP Elementos'!AC176,'LP Elementos'!AH176,'LP Elementos'!AM176,'LP Elementos'!AR176,'LP Elementos'!AW176,'LP Elementos'!BB176,'LP Elementos'!BG176,'LP Elementos'!BL176,'LP Elementos'!BQ176,'LP Elementos'!BV176,'LP Elementos'!CA176,'LP Elementos'!CF176,'LP Elementos'!CK176,'LP Elementos'!CP176,'LP Elementos'!CU176,'LP Elementos'!CZ176)," ")</f>
        <v>63792.567999999999</v>
      </c>
      <c r="F176" s="341">
        <f>IFERROR(MEDIAN('LP Elementos'!F176,'LP Elementos'!I176,'LP Elementos'!N176,'LP Elementos'!S176,'LP Elementos'!X176,'LP Elementos'!AC176,'LP Elementos'!AH176,'LP Elementos'!AM176,'LP Elementos'!AR176,'LP Elementos'!AW176,'LP Elementos'!BB176,'LP Elementos'!BG176,'LP Elementos'!BL176,'LP Elementos'!BQ176,'LP Elementos'!BV176,'LP Elementos'!CA176,'LP Elementos'!CF176,'LP Elementos'!CK176,'LP Elementos'!CP176,'LP Elementos'!CU176,'LP Elementos'!CZ176)," ")</f>
        <v>82110</v>
      </c>
      <c r="G176" s="341">
        <f>IFERROR(GEOMEAN('LP Elementos'!F176,'LP Elementos'!I176,'LP Elementos'!N176,'LP Elementos'!S176,'LP Elementos'!X176,'LP Elementos'!AC176,'LP Elementos'!AH176,'LP Elementos'!AM176,'LP Elementos'!AR176,'LP Elementos'!AW176,'LP Elementos'!BB176,'LP Elementos'!BG176,'LP Elementos'!BL176,'LP Elementos'!BQ176,'LP Elementos'!BV176,'LP Elementos'!CA176,'LP Elementos'!CF176,'LP Elementos'!CK176,'LP Elementos'!CP176,'LP Elementos'!CU176,'LP Elementos'!CZ176)," ")</f>
        <v>55071.260312760438</v>
      </c>
      <c r="H176" s="341">
        <f t="shared" si="12"/>
        <v>24358.496607117533</v>
      </c>
      <c r="I176" s="342">
        <f t="shared" si="13"/>
        <v>0.3818390977318476</v>
      </c>
      <c r="J176" s="341">
        <f t="shared" si="14"/>
        <v>23800</v>
      </c>
      <c r="K176" s="326" t="str">
        <f t="shared" si="15"/>
        <v>Menor Valor</v>
      </c>
      <c r="L176" s="326">
        <f>IFERROR(COUNTA('LP Elementos'!F176,'LP Elementos'!I176,'LP Elementos'!N176,'LP Elementos'!S176,'LP Elementos'!X176,'LP Elementos'!AC176,'LP Elementos'!AH176,'LP Elementos'!AM176,'LP Elementos'!AR176,'LP Elementos'!AX176,'LP Elementos'!BB176,'LP Elementos'!BG176,'LP Elementos'!BL176,'LP Elementos'!BQ176,'LP Elementos'!BV176,'LP Elementos'!CA176,'LP Elementos'!CF176,'LP Elementos'!CK176,'LP Elementos'!CP176,'LP Elementos'!CU176,'LP Elementos'!CZ176)," ")</f>
        <v>3</v>
      </c>
    </row>
    <row r="177" spans="2:12" ht="67.5" x14ac:dyDescent="0.25">
      <c r="B177" s="411">
        <v>175</v>
      </c>
      <c r="C177" s="412" t="s">
        <v>3411</v>
      </c>
      <c r="D177" s="408">
        <f>IFERROR(MIN('LP Elementos'!F177,'LP Elementos'!I177,'LP Elementos'!N177,'LP Elementos'!S177,'LP Elementos'!X177,'LP Elementos'!AC177,'LP Elementos'!AH177,'LP Elementos'!AM177,'LP Elementos'!AR177,'LP Elementos'!AW177,'LP Elementos'!BB177,'LP Elementos'!BG177,'LP Elementos'!BL177,'LP Elementos'!BQ177,'LP Elementos'!BV177,'LP Elementos'!CA177,'LP Elementos'!CF177,'LP Elementos'!CK177,'LP Elementos'!CP177,'LP Elementos'!CU177,'LP Elementos'!CZ177)," ")</f>
        <v>7414890</v>
      </c>
      <c r="E177" s="341">
        <f>IFERROR(AVERAGE('LP Elementos'!F177,'LP Elementos'!I177,'LP Elementos'!N177,'LP Elementos'!S177,'LP Elementos'!X177,'LP Elementos'!AC177,'LP Elementos'!AH177,'LP Elementos'!AM177,'LP Elementos'!AR177,'LP Elementos'!AW177,'LP Elementos'!BB177,'LP Elementos'!BG177,'LP Elementos'!BL177,'LP Elementos'!BQ177,'LP Elementos'!BV177,'LP Elementos'!CA177,'LP Elementos'!CF177,'LP Elementos'!CK177,'LP Elementos'!CP177,'LP Elementos'!CU177,'LP Elementos'!CZ177)," ")</f>
        <v>7414890</v>
      </c>
      <c r="F177" s="341">
        <f>IFERROR(MEDIAN('LP Elementos'!F177,'LP Elementos'!I177,'LP Elementos'!N177,'LP Elementos'!S177,'LP Elementos'!X177,'LP Elementos'!AC177,'LP Elementos'!AH177,'LP Elementos'!AM177,'LP Elementos'!AR177,'LP Elementos'!AW177,'LP Elementos'!BB177,'LP Elementos'!BG177,'LP Elementos'!BL177,'LP Elementos'!BQ177,'LP Elementos'!BV177,'LP Elementos'!CA177,'LP Elementos'!CF177,'LP Elementos'!CK177,'LP Elementos'!CP177,'LP Elementos'!CU177,'LP Elementos'!CZ177)," ")</f>
        <v>7414890</v>
      </c>
      <c r="G177" s="341">
        <f>IFERROR(GEOMEAN('LP Elementos'!F177,'LP Elementos'!I177,'LP Elementos'!N177,'LP Elementos'!S177,'LP Elementos'!X177,'LP Elementos'!AC177,'LP Elementos'!AH177,'LP Elementos'!AM177,'LP Elementos'!AR177,'LP Elementos'!AW177,'LP Elementos'!BB177,'LP Elementos'!BG177,'LP Elementos'!BL177,'LP Elementos'!BQ177,'LP Elementos'!BV177,'LP Elementos'!CA177,'LP Elementos'!CF177,'LP Elementos'!CK177,'LP Elementos'!CP177,'LP Elementos'!CU177,'LP Elementos'!CZ177)," ")</f>
        <v>7414890</v>
      </c>
      <c r="H177" s="341">
        <f t="shared" si="12"/>
        <v>0</v>
      </c>
      <c r="I177" s="342">
        <f t="shared" si="13"/>
        <v>0</v>
      </c>
      <c r="J177" s="341">
        <f t="shared" si="14"/>
        <v>7414890</v>
      </c>
      <c r="K177" s="326" t="str">
        <f t="shared" si="15"/>
        <v>Menor Valor</v>
      </c>
      <c r="L177" s="326">
        <f>IFERROR(COUNTA('LP Elementos'!F177,'LP Elementos'!I177,'LP Elementos'!N177,'LP Elementos'!S177,'LP Elementos'!X177,'LP Elementos'!AC177,'LP Elementos'!AH177,'LP Elementos'!AM177,'LP Elementos'!AR177,'LP Elementos'!AX177,'LP Elementos'!BB177,'LP Elementos'!BG177,'LP Elementos'!BL177,'LP Elementos'!BQ177,'LP Elementos'!BV177,'LP Elementos'!CA177,'LP Elementos'!CF177,'LP Elementos'!CK177,'LP Elementos'!CP177,'LP Elementos'!CU177,'LP Elementos'!CZ177)," ")</f>
        <v>1</v>
      </c>
    </row>
    <row r="178" spans="2:12" ht="27" x14ac:dyDescent="0.25">
      <c r="B178" s="411">
        <v>176</v>
      </c>
      <c r="C178" s="412" t="s">
        <v>3414</v>
      </c>
      <c r="D178" s="408">
        <f>IFERROR(MIN('LP Elementos'!F178,'LP Elementos'!I178,'LP Elementos'!N178,'LP Elementos'!S178,'LP Elementos'!X178,'LP Elementos'!AC178,'LP Elementos'!AH178,'LP Elementos'!AM178,'LP Elementos'!AR178,'LP Elementos'!AW178,'LP Elementos'!BB178,'LP Elementos'!BG178,'LP Elementos'!BL178,'LP Elementos'!BQ178,'LP Elementos'!BV178,'LP Elementos'!CA178,'LP Elementos'!CF178,'LP Elementos'!CK178,'LP Elementos'!CP178,'LP Elementos'!CU178,'LP Elementos'!CZ178)," ")</f>
        <v>87981.46</v>
      </c>
      <c r="E178" s="341">
        <f>IFERROR(AVERAGE('LP Elementos'!F178,'LP Elementos'!I178,'LP Elementos'!N178,'LP Elementos'!S178,'LP Elementos'!X178,'LP Elementos'!AC178,'LP Elementos'!AH178,'LP Elementos'!AM178,'LP Elementos'!AR178,'LP Elementos'!AW178,'LP Elementos'!BB178,'LP Elementos'!BG178,'LP Elementos'!BL178,'LP Elementos'!BQ178,'LP Elementos'!BV178,'LP Elementos'!CA178,'LP Elementos'!CF178,'LP Elementos'!CK178,'LP Elementos'!CP178,'LP Elementos'!CU178,'LP Elementos'!CZ178)," ")</f>
        <v>87981.46</v>
      </c>
      <c r="F178" s="341">
        <f>IFERROR(MEDIAN('LP Elementos'!F178,'LP Elementos'!I178,'LP Elementos'!N178,'LP Elementos'!S178,'LP Elementos'!X178,'LP Elementos'!AC178,'LP Elementos'!AH178,'LP Elementos'!AM178,'LP Elementos'!AR178,'LP Elementos'!AW178,'LP Elementos'!BB178,'LP Elementos'!BG178,'LP Elementos'!BL178,'LP Elementos'!BQ178,'LP Elementos'!BV178,'LP Elementos'!CA178,'LP Elementos'!CF178,'LP Elementos'!CK178,'LP Elementos'!CP178,'LP Elementos'!CU178,'LP Elementos'!CZ178)," ")</f>
        <v>87981.46</v>
      </c>
      <c r="G178" s="341">
        <f>IFERROR(GEOMEAN('LP Elementos'!F178,'LP Elementos'!I178,'LP Elementos'!N178,'LP Elementos'!S178,'LP Elementos'!X178,'LP Elementos'!AC178,'LP Elementos'!AH178,'LP Elementos'!AM178,'LP Elementos'!AR178,'LP Elementos'!AW178,'LP Elementos'!BB178,'LP Elementos'!BG178,'LP Elementos'!BL178,'LP Elementos'!BQ178,'LP Elementos'!BV178,'LP Elementos'!CA178,'LP Elementos'!CF178,'LP Elementos'!CK178,'LP Elementos'!CP178,'LP Elementos'!CU178,'LP Elementos'!CZ178)," ")</f>
        <v>87981.46</v>
      </c>
      <c r="H178" s="341">
        <f t="shared" si="12"/>
        <v>0</v>
      </c>
      <c r="I178" s="342">
        <f t="shared" si="13"/>
        <v>0</v>
      </c>
      <c r="J178" s="341">
        <f t="shared" si="14"/>
        <v>87981.46</v>
      </c>
      <c r="K178" s="326" t="str">
        <f t="shared" si="15"/>
        <v>Menor Valor</v>
      </c>
      <c r="L178" s="326">
        <f>IFERROR(COUNTA('LP Elementos'!F178,'LP Elementos'!I178,'LP Elementos'!N178,'LP Elementos'!S178,'LP Elementos'!X178,'LP Elementos'!AC178,'LP Elementos'!AH178,'LP Elementos'!AM178,'LP Elementos'!AR178,'LP Elementos'!AX178,'LP Elementos'!BB178,'LP Elementos'!BG178,'LP Elementos'!BL178,'LP Elementos'!BQ178,'LP Elementos'!BV178,'LP Elementos'!CA178,'LP Elementos'!CF178,'LP Elementos'!CK178,'LP Elementos'!CP178,'LP Elementos'!CU178,'LP Elementos'!CZ178)," ")</f>
        <v>1</v>
      </c>
    </row>
    <row r="179" spans="2:12" x14ac:dyDescent="0.25">
      <c r="B179" s="411">
        <v>177</v>
      </c>
      <c r="C179" s="412" t="s">
        <v>3415</v>
      </c>
      <c r="D179" s="408">
        <f>IFERROR(MIN('LP Elementos'!F179,'LP Elementos'!I179,'LP Elementos'!N179,'LP Elementos'!S179,'LP Elementos'!X179,'LP Elementos'!AC179,'LP Elementos'!AH179,'LP Elementos'!AM179,'LP Elementos'!AR179,'LP Elementos'!AW179,'LP Elementos'!BB179,'LP Elementos'!BG179,'LP Elementos'!BL179,'LP Elementos'!BQ179,'LP Elementos'!BV179,'LP Elementos'!CA179,'LP Elementos'!CF179,'LP Elementos'!CK179,'LP Elementos'!CP179,'LP Elementos'!CU179,'LP Elementos'!CZ179)," ")</f>
        <v>26816.918000000001</v>
      </c>
      <c r="E179" s="341">
        <f>IFERROR(AVERAGE('LP Elementos'!F179,'LP Elementos'!I179,'LP Elementos'!N179,'LP Elementos'!S179,'LP Elementos'!X179,'LP Elementos'!AC179,'LP Elementos'!AH179,'LP Elementos'!AM179,'LP Elementos'!AR179,'LP Elementos'!AW179,'LP Elementos'!BB179,'LP Elementos'!BG179,'LP Elementos'!BL179,'LP Elementos'!BQ179,'LP Elementos'!BV179,'LP Elementos'!CA179,'LP Elementos'!CF179,'LP Elementos'!CK179,'LP Elementos'!CP179,'LP Elementos'!CU179,'LP Elementos'!CZ179)," ")</f>
        <v>26816.918000000001</v>
      </c>
      <c r="F179" s="341">
        <f>IFERROR(MEDIAN('LP Elementos'!F179,'LP Elementos'!I179,'LP Elementos'!N179,'LP Elementos'!S179,'LP Elementos'!X179,'LP Elementos'!AC179,'LP Elementos'!AH179,'LP Elementos'!AM179,'LP Elementos'!AR179,'LP Elementos'!AW179,'LP Elementos'!BB179,'LP Elementos'!BG179,'LP Elementos'!BL179,'LP Elementos'!BQ179,'LP Elementos'!BV179,'LP Elementos'!CA179,'LP Elementos'!CF179,'LP Elementos'!CK179,'LP Elementos'!CP179,'LP Elementos'!CU179,'LP Elementos'!CZ179)," ")</f>
        <v>26816.918000000001</v>
      </c>
      <c r="G179" s="341">
        <f>IFERROR(GEOMEAN('LP Elementos'!F179,'LP Elementos'!I179,'LP Elementos'!N179,'LP Elementos'!S179,'LP Elementos'!X179,'LP Elementos'!AC179,'LP Elementos'!AH179,'LP Elementos'!AM179,'LP Elementos'!AR179,'LP Elementos'!AW179,'LP Elementos'!BB179,'LP Elementos'!BG179,'LP Elementos'!BL179,'LP Elementos'!BQ179,'LP Elementos'!BV179,'LP Elementos'!CA179,'LP Elementos'!CF179,'LP Elementos'!CK179,'LP Elementos'!CP179,'LP Elementos'!CU179,'LP Elementos'!CZ179)," ")</f>
        <v>26816.918000000001</v>
      </c>
      <c r="H179" s="341">
        <f t="shared" si="12"/>
        <v>0</v>
      </c>
      <c r="I179" s="342">
        <f t="shared" si="13"/>
        <v>0</v>
      </c>
      <c r="J179" s="341">
        <f t="shared" si="14"/>
        <v>26816.918000000001</v>
      </c>
      <c r="K179" s="326" t="str">
        <f t="shared" si="15"/>
        <v>Menor Valor</v>
      </c>
      <c r="L179" s="326">
        <f>IFERROR(COUNTA('LP Elementos'!F179,'LP Elementos'!I179,'LP Elementos'!N179,'LP Elementos'!S179,'LP Elementos'!X179,'LP Elementos'!AC179,'LP Elementos'!AH179,'LP Elementos'!AM179,'LP Elementos'!AR179,'LP Elementos'!AX179,'LP Elementos'!BB179,'LP Elementos'!BG179,'LP Elementos'!BL179,'LP Elementos'!BQ179,'LP Elementos'!BV179,'LP Elementos'!CA179,'LP Elementos'!CF179,'LP Elementos'!CK179,'LP Elementos'!CP179,'LP Elementos'!CU179,'LP Elementos'!CZ179)," ")</f>
        <v>1</v>
      </c>
    </row>
    <row r="180" spans="2:12" ht="27" x14ac:dyDescent="0.25">
      <c r="B180" s="411">
        <v>178</v>
      </c>
      <c r="C180" s="412" t="s">
        <v>3416</v>
      </c>
      <c r="D180" s="408">
        <f>IFERROR(MIN('LP Elementos'!F180,'LP Elementos'!I180,'LP Elementos'!N180,'LP Elementos'!S180,'LP Elementos'!X180,'LP Elementos'!AC180,'LP Elementos'!AH180,'LP Elementos'!AM180,'LP Elementos'!AR180,'LP Elementos'!AW180,'LP Elementos'!BB180,'LP Elementos'!BG180,'LP Elementos'!BL180,'LP Elementos'!BQ180,'LP Elementos'!BV180,'LP Elementos'!CA180,'LP Elementos'!CF180,'LP Elementos'!CK180,'LP Elementos'!CP180,'LP Elementos'!CU180,'LP Elementos'!CZ180)," ")</f>
        <v>109348.386</v>
      </c>
      <c r="E180" s="341">
        <f>IFERROR(AVERAGE('LP Elementos'!F180,'LP Elementos'!I180,'LP Elementos'!N180,'LP Elementos'!S180,'LP Elementos'!X180,'LP Elementos'!AC180,'LP Elementos'!AH180,'LP Elementos'!AM180,'LP Elementos'!AR180,'LP Elementos'!AW180,'LP Elementos'!BB180,'LP Elementos'!BG180,'LP Elementos'!BL180,'LP Elementos'!BQ180,'LP Elementos'!BV180,'LP Elementos'!CA180,'LP Elementos'!CF180,'LP Elementos'!CK180,'LP Elementos'!CP180,'LP Elementos'!CU180,'LP Elementos'!CZ180)," ")</f>
        <v>109348.386</v>
      </c>
      <c r="F180" s="341">
        <f>IFERROR(MEDIAN('LP Elementos'!F180,'LP Elementos'!I180,'LP Elementos'!N180,'LP Elementos'!S180,'LP Elementos'!X180,'LP Elementos'!AC180,'LP Elementos'!AH180,'LP Elementos'!AM180,'LP Elementos'!AR180,'LP Elementos'!AW180,'LP Elementos'!BB180,'LP Elementos'!BG180,'LP Elementos'!BL180,'LP Elementos'!BQ180,'LP Elementos'!BV180,'LP Elementos'!CA180,'LP Elementos'!CF180,'LP Elementos'!CK180,'LP Elementos'!CP180,'LP Elementos'!CU180,'LP Elementos'!CZ180)," ")</f>
        <v>109348.386</v>
      </c>
      <c r="G180" s="341">
        <f>IFERROR(GEOMEAN('LP Elementos'!F180,'LP Elementos'!I180,'LP Elementos'!N180,'LP Elementos'!S180,'LP Elementos'!X180,'LP Elementos'!AC180,'LP Elementos'!AH180,'LP Elementos'!AM180,'LP Elementos'!AR180,'LP Elementos'!AW180,'LP Elementos'!BB180,'LP Elementos'!BG180,'LP Elementos'!BL180,'LP Elementos'!BQ180,'LP Elementos'!BV180,'LP Elementos'!CA180,'LP Elementos'!CF180,'LP Elementos'!CK180,'LP Elementos'!CP180,'LP Elementos'!CU180,'LP Elementos'!CZ180)," ")</f>
        <v>109348.386</v>
      </c>
      <c r="H180" s="341">
        <f t="shared" si="12"/>
        <v>0</v>
      </c>
      <c r="I180" s="342">
        <f t="shared" si="13"/>
        <v>0</v>
      </c>
      <c r="J180" s="341">
        <f t="shared" si="14"/>
        <v>109348.386</v>
      </c>
      <c r="K180" s="326" t="str">
        <f t="shared" si="15"/>
        <v>Menor Valor</v>
      </c>
      <c r="L180" s="326">
        <f>IFERROR(COUNTA('LP Elementos'!F180,'LP Elementos'!I180,'LP Elementos'!N180,'LP Elementos'!S180,'LP Elementos'!X180,'LP Elementos'!AC180,'LP Elementos'!AH180,'LP Elementos'!AM180,'LP Elementos'!AR180,'LP Elementos'!AX180,'LP Elementos'!BB180,'LP Elementos'!BG180,'LP Elementos'!BL180,'LP Elementos'!BQ180,'LP Elementos'!BV180,'LP Elementos'!CA180,'LP Elementos'!CF180,'LP Elementos'!CK180,'LP Elementos'!CP180,'LP Elementos'!CU180,'LP Elementos'!CZ180)," ")</f>
        <v>1</v>
      </c>
    </row>
    <row r="181" spans="2:12" ht="27" x14ac:dyDescent="0.25">
      <c r="B181" s="411">
        <v>179</v>
      </c>
      <c r="C181" s="409" t="s">
        <v>3418</v>
      </c>
      <c r="D181" s="408">
        <f>IFERROR(MIN('LP Elementos'!F181,'LP Elementos'!I181,'LP Elementos'!N181,'LP Elementos'!S181,'LP Elementos'!X181,'LP Elementos'!AC181,'LP Elementos'!AH181,'LP Elementos'!AM181,'LP Elementos'!AR181,'LP Elementos'!AW181,'LP Elementos'!BB181,'LP Elementos'!BG181,'LP Elementos'!BL181,'LP Elementos'!BQ181,'LP Elementos'!BV181,'LP Elementos'!CA181,'LP Elementos'!CF181,'LP Elementos'!CK181,'LP Elementos'!CP181,'LP Elementos'!CU181,'LP Elementos'!CZ181)," ")</f>
        <v>52360</v>
      </c>
      <c r="E181" s="341">
        <f>IFERROR(AVERAGE('LP Elementos'!F181,'LP Elementos'!I181,'LP Elementos'!N181,'LP Elementos'!S181,'LP Elementos'!X181,'LP Elementos'!AC181,'LP Elementos'!AH181,'LP Elementos'!AM181,'LP Elementos'!AR181,'LP Elementos'!AW181,'LP Elementos'!BB181,'LP Elementos'!BG181,'LP Elementos'!BL181,'LP Elementos'!BQ181,'LP Elementos'!BV181,'LP Elementos'!CA181,'LP Elementos'!CF181,'LP Elementos'!CK181,'LP Elementos'!CP181,'LP Elementos'!CU181,'LP Elementos'!CZ181)," ")</f>
        <v>52360</v>
      </c>
      <c r="F181" s="341">
        <f>IFERROR(MEDIAN('LP Elementos'!F181,'LP Elementos'!I181,'LP Elementos'!N181,'LP Elementos'!S181,'LP Elementos'!X181,'LP Elementos'!AC181,'LP Elementos'!AH181,'LP Elementos'!AM181,'LP Elementos'!AR181,'LP Elementos'!AW181,'LP Elementos'!BB181,'LP Elementos'!BG181,'LP Elementos'!BL181,'LP Elementos'!BQ181,'LP Elementos'!BV181,'LP Elementos'!CA181,'LP Elementos'!CF181,'LP Elementos'!CK181,'LP Elementos'!CP181,'LP Elementos'!CU181,'LP Elementos'!CZ181)," ")</f>
        <v>52360</v>
      </c>
      <c r="G181" s="341">
        <f>IFERROR(GEOMEAN('LP Elementos'!F181,'LP Elementos'!I181,'LP Elementos'!N181,'LP Elementos'!S181,'LP Elementos'!X181,'LP Elementos'!AC181,'LP Elementos'!AH181,'LP Elementos'!AM181,'LP Elementos'!AR181,'LP Elementos'!AW181,'LP Elementos'!BB181,'LP Elementos'!BG181,'LP Elementos'!BL181,'LP Elementos'!BQ181,'LP Elementos'!BV181,'LP Elementos'!CA181,'LP Elementos'!CF181,'LP Elementos'!CK181,'LP Elementos'!CP181,'LP Elementos'!CU181,'LP Elementos'!CZ181)," ")</f>
        <v>52360</v>
      </c>
      <c r="H181" s="341">
        <f t="shared" si="12"/>
        <v>0</v>
      </c>
      <c r="I181" s="342">
        <f t="shared" si="13"/>
        <v>0</v>
      </c>
      <c r="J181" s="341">
        <f t="shared" si="14"/>
        <v>52360</v>
      </c>
      <c r="K181" s="326" t="str">
        <f t="shared" si="15"/>
        <v>Menor Valor</v>
      </c>
      <c r="L181" s="326">
        <f>IFERROR(COUNTA('LP Elementos'!F181,'LP Elementos'!I181,'LP Elementos'!N181,'LP Elementos'!S181,'LP Elementos'!X181,'LP Elementos'!AC181,'LP Elementos'!AH181,'LP Elementos'!AM181,'LP Elementos'!AR181,'LP Elementos'!AX181,'LP Elementos'!BB181,'LP Elementos'!BG181,'LP Elementos'!BL181,'LP Elementos'!BQ181,'LP Elementos'!BV181,'LP Elementos'!CA181,'LP Elementos'!CF181,'LP Elementos'!CK181,'LP Elementos'!CP181,'LP Elementos'!CU181,'LP Elementos'!CZ181)," ")</f>
        <v>1</v>
      </c>
    </row>
    <row r="182" spans="2:12" ht="27" x14ac:dyDescent="0.25">
      <c r="B182" s="411">
        <v>180</v>
      </c>
      <c r="C182" s="412" t="s">
        <v>3421</v>
      </c>
      <c r="D182" s="408">
        <f>IFERROR(MIN('LP Elementos'!F182,'LP Elementos'!I182,'LP Elementos'!N182,'LP Elementos'!S182,'LP Elementos'!X182,'LP Elementos'!AC182,'LP Elementos'!AH182,'LP Elementos'!AM182,'LP Elementos'!AR182,'LP Elementos'!AW182,'LP Elementos'!BB182,'LP Elementos'!BG182,'LP Elementos'!BL182,'LP Elementos'!BQ182,'LP Elementos'!BV182,'LP Elementos'!CA182,'LP Elementos'!CF182,'LP Elementos'!CK182,'LP Elementos'!CP182,'LP Elementos'!CU182,'LP Elementos'!CZ182)," ")</f>
        <v>36449.462</v>
      </c>
      <c r="E182" s="341">
        <f>IFERROR(AVERAGE('LP Elementos'!F182,'LP Elementos'!I182,'LP Elementos'!N182,'LP Elementos'!S182,'LP Elementos'!X182,'LP Elementos'!AC182,'LP Elementos'!AH182,'LP Elementos'!AM182,'LP Elementos'!AR182,'LP Elementos'!AW182,'LP Elementos'!BB182,'LP Elementos'!BG182,'LP Elementos'!BL182,'LP Elementos'!BQ182,'LP Elementos'!BV182,'LP Elementos'!CA182,'LP Elementos'!CF182,'LP Elementos'!CK182,'LP Elementos'!CP182,'LP Elementos'!CU182,'LP Elementos'!CZ182)," ")</f>
        <v>44404.731</v>
      </c>
      <c r="F182" s="341">
        <f>IFERROR(MEDIAN('LP Elementos'!F182,'LP Elementos'!I182,'LP Elementos'!N182,'LP Elementos'!S182,'LP Elementos'!X182,'LP Elementos'!AC182,'LP Elementos'!AH182,'LP Elementos'!AM182,'LP Elementos'!AR182,'LP Elementos'!AW182,'LP Elementos'!BB182,'LP Elementos'!BG182,'LP Elementos'!BL182,'LP Elementos'!BQ182,'LP Elementos'!BV182,'LP Elementos'!CA182,'LP Elementos'!CF182,'LP Elementos'!CK182,'LP Elementos'!CP182,'LP Elementos'!CU182,'LP Elementos'!CZ182)," ")</f>
        <v>44404.731</v>
      </c>
      <c r="G182" s="341">
        <f>IFERROR(GEOMEAN('LP Elementos'!F182,'LP Elementos'!I182,'LP Elementos'!N182,'LP Elementos'!S182,'LP Elementos'!X182,'LP Elementos'!AC182,'LP Elementos'!AH182,'LP Elementos'!AM182,'LP Elementos'!AR182,'LP Elementos'!AW182,'LP Elementos'!BB182,'LP Elementos'!BG182,'LP Elementos'!BL182,'LP Elementos'!BQ182,'LP Elementos'!BV182,'LP Elementos'!CA182,'LP Elementos'!CF182,'LP Elementos'!CK182,'LP Elementos'!CP182,'LP Elementos'!CU182,'LP Elementos'!CZ182)," ")</f>
        <v>43686.311704239808</v>
      </c>
      <c r="H182" s="341">
        <f t="shared" si="12"/>
        <v>3872.7343477135005</v>
      </c>
      <c r="I182" s="342">
        <f t="shared" si="13"/>
        <v>8.7214453516529594E-2</v>
      </c>
      <c r="J182" s="341">
        <f t="shared" si="14"/>
        <v>44404.731</v>
      </c>
      <c r="K182" s="326" t="str">
        <f t="shared" si="15"/>
        <v>Promedio</v>
      </c>
      <c r="L182" s="326">
        <f>IFERROR(COUNTA('LP Elementos'!F182,'LP Elementos'!I182,'LP Elementos'!N182,'LP Elementos'!S182,'LP Elementos'!X182,'LP Elementos'!AC182,'LP Elementos'!AH182,'LP Elementos'!AM182,'LP Elementos'!AR182,'LP Elementos'!AX182,'LP Elementos'!BB182,'LP Elementos'!BG182,'LP Elementos'!BL182,'LP Elementos'!BQ182,'LP Elementos'!BV182,'LP Elementos'!CA182,'LP Elementos'!CF182,'LP Elementos'!CK182,'LP Elementos'!CP182,'LP Elementos'!CU182,'LP Elementos'!CZ182)," ")</f>
        <v>2</v>
      </c>
    </row>
    <row r="183" spans="2:12" ht="27" x14ac:dyDescent="0.25">
      <c r="B183" s="411">
        <v>181</v>
      </c>
      <c r="C183" s="412" t="s">
        <v>3423</v>
      </c>
      <c r="D183" s="408">
        <f>IFERROR(MIN('LP Elementos'!F183,'LP Elementos'!I183,'LP Elementos'!N183,'LP Elementos'!S183,'LP Elementos'!X183,'LP Elementos'!AC183,'LP Elementos'!AH183,'LP Elementos'!AM183,'LP Elementos'!AR183,'LP Elementos'!AW183,'LP Elementos'!BB183,'LP Elementos'!BG183,'LP Elementos'!BL183,'LP Elementos'!BQ183,'LP Elementos'!BV183,'LP Elementos'!CA183,'LP Elementos'!CF183,'LP Elementos'!CK183,'LP Elementos'!CP183,'LP Elementos'!CU183,'LP Elementos'!CZ183)," ")</f>
        <v>38963.218000000001</v>
      </c>
      <c r="E183" s="341">
        <f>IFERROR(AVERAGE('LP Elementos'!F183,'LP Elementos'!I183,'LP Elementos'!N183,'LP Elementos'!S183,'LP Elementos'!X183,'LP Elementos'!AC183,'LP Elementos'!AH183,'LP Elementos'!AM183,'LP Elementos'!AR183,'LP Elementos'!AW183,'LP Elementos'!BB183,'LP Elementos'!BG183,'LP Elementos'!BL183,'LP Elementos'!BQ183,'LP Elementos'!BV183,'LP Elementos'!CA183,'LP Elementos'!CF183,'LP Elementos'!CK183,'LP Elementos'!CP183,'LP Elementos'!CU183,'LP Elementos'!CZ183)," ")</f>
        <v>45661.608999999997</v>
      </c>
      <c r="F183" s="341">
        <f>IFERROR(MEDIAN('LP Elementos'!F183,'LP Elementos'!I183,'LP Elementos'!N183,'LP Elementos'!S183,'LP Elementos'!X183,'LP Elementos'!AC183,'LP Elementos'!AH183,'LP Elementos'!AM183,'LP Elementos'!AR183,'LP Elementos'!AW183,'LP Elementos'!BB183,'LP Elementos'!BG183,'LP Elementos'!BL183,'LP Elementos'!BQ183,'LP Elementos'!BV183,'LP Elementos'!CA183,'LP Elementos'!CF183,'LP Elementos'!CK183,'LP Elementos'!CP183,'LP Elementos'!CU183,'LP Elementos'!CZ183)," ")</f>
        <v>45661.608999999997</v>
      </c>
      <c r="G183" s="341">
        <f>IFERROR(GEOMEAN('LP Elementos'!F183,'LP Elementos'!I183,'LP Elementos'!N183,'LP Elementos'!S183,'LP Elementos'!X183,'LP Elementos'!AC183,'LP Elementos'!AH183,'LP Elementos'!AM183,'LP Elementos'!AR183,'LP Elementos'!AW183,'LP Elementos'!BB183,'LP Elementos'!BG183,'LP Elementos'!BL183,'LP Elementos'!BQ183,'LP Elementos'!BV183,'LP Elementos'!CA183,'LP Elementos'!CF183,'LP Elementos'!CK183,'LP Elementos'!CP183,'LP Elementos'!CU183,'LP Elementos'!CZ183)," ")</f>
        <v>45167.62219200829</v>
      </c>
      <c r="H183" s="341">
        <f t="shared" si="12"/>
        <v>3275.1534479129318</v>
      </c>
      <c r="I183" s="342">
        <f t="shared" si="13"/>
        <v>7.1726632495866097E-2</v>
      </c>
      <c r="J183" s="341">
        <f t="shared" si="14"/>
        <v>45661.608999999997</v>
      </c>
      <c r="K183" s="326" t="str">
        <f t="shared" si="15"/>
        <v>Promedio</v>
      </c>
      <c r="L183" s="326">
        <f>IFERROR(COUNTA('LP Elementos'!F183,'LP Elementos'!I183,'LP Elementos'!N183,'LP Elementos'!S183,'LP Elementos'!X183,'LP Elementos'!AC183,'LP Elementos'!AH183,'LP Elementos'!AM183,'LP Elementos'!AR183,'LP Elementos'!AX183,'LP Elementos'!BB183,'LP Elementos'!BG183,'LP Elementos'!BL183,'LP Elementos'!BQ183,'LP Elementos'!BV183,'LP Elementos'!CA183,'LP Elementos'!CF183,'LP Elementos'!CK183,'LP Elementos'!CP183,'LP Elementos'!CU183,'LP Elementos'!CZ183)," ")</f>
        <v>2</v>
      </c>
    </row>
    <row r="184" spans="2:12" ht="27" x14ac:dyDescent="0.25">
      <c r="B184" s="411">
        <v>182</v>
      </c>
      <c r="C184" s="412" t="s">
        <v>3425</v>
      </c>
      <c r="D184" s="408">
        <f>IFERROR(MIN('LP Elementos'!F184,'LP Elementos'!I184,'LP Elementos'!N184,'LP Elementos'!S184,'LP Elementos'!X184,'LP Elementos'!AC184,'LP Elementos'!AH184,'LP Elementos'!AM184,'LP Elementos'!AR184,'LP Elementos'!AW184,'LP Elementos'!BB184,'LP Elementos'!BG184,'LP Elementos'!BL184,'LP Elementos'!BQ184,'LP Elementos'!BV184,'LP Elementos'!CA184,'LP Elementos'!CF184,'LP Elementos'!CK184,'LP Elementos'!CP184,'LP Elementos'!CU184,'LP Elementos'!CZ184)," ")</f>
        <v>40220.095999999998</v>
      </c>
      <c r="E184" s="341">
        <f>IFERROR(AVERAGE('LP Elementos'!F184,'LP Elementos'!I184,'LP Elementos'!N184,'LP Elementos'!S184,'LP Elementos'!X184,'LP Elementos'!AC184,'LP Elementos'!AH184,'LP Elementos'!AM184,'LP Elementos'!AR184,'LP Elementos'!AW184,'LP Elementos'!BB184,'LP Elementos'!BG184,'LP Elementos'!BL184,'LP Elementos'!BQ184,'LP Elementos'!BV184,'LP Elementos'!CA184,'LP Elementos'!CF184,'LP Elementos'!CK184,'LP Elementos'!CP184,'LP Elementos'!CU184,'LP Elementos'!CZ184)," ")</f>
        <v>46290.047999999995</v>
      </c>
      <c r="F184" s="341">
        <f>IFERROR(MEDIAN('LP Elementos'!F184,'LP Elementos'!I184,'LP Elementos'!N184,'LP Elementos'!S184,'LP Elementos'!X184,'LP Elementos'!AC184,'LP Elementos'!AH184,'LP Elementos'!AM184,'LP Elementos'!AR184,'LP Elementos'!AW184,'LP Elementos'!BB184,'LP Elementos'!BG184,'LP Elementos'!BL184,'LP Elementos'!BQ184,'LP Elementos'!BV184,'LP Elementos'!CA184,'LP Elementos'!CF184,'LP Elementos'!CK184,'LP Elementos'!CP184,'LP Elementos'!CU184,'LP Elementos'!CZ184)," ")</f>
        <v>46290.047999999995</v>
      </c>
      <c r="G184" s="341">
        <f>IFERROR(GEOMEAN('LP Elementos'!F184,'LP Elementos'!I184,'LP Elementos'!N184,'LP Elementos'!S184,'LP Elementos'!X184,'LP Elementos'!AC184,'LP Elementos'!AH184,'LP Elementos'!AM184,'LP Elementos'!AR184,'LP Elementos'!AW184,'LP Elementos'!BB184,'LP Elementos'!BG184,'LP Elementos'!BL184,'LP Elementos'!BQ184,'LP Elementos'!BV184,'LP Elementos'!CA184,'LP Elementos'!CF184,'LP Elementos'!CK184,'LP Elementos'!CP184,'LP Elementos'!CU184,'LP Elementos'!CZ184)," ")</f>
        <v>45890.350037453405</v>
      </c>
      <c r="H184" s="341">
        <f t="shared" si="12"/>
        <v>2974.333711612182</v>
      </c>
      <c r="I184" s="342">
        <f t="shared" si="13"/>
        <v>6.4254280134083727E-2</v>
      </c>
      <c r="J184" s="341">
        <f t="shared" si="14"/>
        <v>46290.047999999995</v>
      </c>
      <c r="K184" s="326" t="str">
        <f t="shared" si="15"/>
        <v>Promedio</v>
      </c>
      <c r="L184" s="326">
        <f>IFERROR(COUNTA('LP Elementos'!F184,'LP Elementos'!I184,'LP Elementos'!N184,'LP Elementos'!S184,'LP Elementos'!X184,'LP Elementos'!AC184,'LP Elementos'!AH184,'LP Elementos'!AM184,'LP Elementos'!AR184,'LP Elementos'!AX184,'LP Elementos'!BB184,'LP Elementos'!BG184,'LP Elementos'!BL184,'LP Elementos'!BQ184,'LP Elementos'!BV184,'LP Elementos'!CA184,'LP Elementos'!CF184,'LP Elementos'!CK184,'LP Elementos'!CP184,'LP Elementos'!CU184,'LP Elementos'!CZ184)," ")</f>
        <v>2</v>
      </c>
    </row>
    <row r="185" spans="2:12" ht="27" x14ac:dyDescent="0.25">
      <c r="B185" s="411">
        <v>183</v>
      </c>
      <c r="C185" s="412" t="s">
        <v>3427</v>
      </c>
      <c r="D185" s="408">
        <f>IFERROR(MIN('LP Elementos'!F185,'LP Elementos'!I185,'LP Elementos'!N185,'LP Elementos'!S185,'LP Elementos'!X185,'LP Elementos'!AC185,'LP Elementos'!AH185,'LP Elementos'!AM185,'LP Elementos'!AR185,'LP Elementos'!AW185,'LP Elementos'!BB185,'LP Elementos'!BG185,'LP Elementos'!BL185,'LP Elementos'!BQ185,'LP Elementos'!BV185,'LP Elementos'!CA185,'LP Elementos'!CF185,'LP Elementos'!CK185,'LP Elementos'!CP185,'LP Elementos'!CU185,'LP Elementos'!CZ185)," ")</f>
        <v>42733.851999999999</v>
      </c>
      <c r="E185" s="341">
        <f>IFERROR(AVERAGE('LP Elementos'!F185,'LP Elementos'!I185,'LP Elementos'!N185,'LP Elementos'!S185,'LP Elementos'!X185,'LP Elementos'!AC185,'LP Elementos'!AH185,'LP Elementos'!AM185,'LP Elementos'!AR185,'LP Elementos'!AW185,'LP Elementos'!BB185,'LP Elementos'!BG185,'LP Elementos'!BL185,'LP Elementos'!BQ185,'LP Elementos'!BV185,'LP Elementos'!CA185,'LP Elementos'!CF185,'LP Elementos'!CK185,'LP Elementos'!CP185,'LP Elementos'!CU185,'LP Elementos'!CZ185)," ")</f>
        <v>47546.925999999999</v>
      </c>
      <c r="F185" s="341">
        <f>IFERROR(MEDIAN('LP Elementos'!F185,'LP Elementos'!I185,'LP Elementos'!N185,'LP Elementos'!S185,'LP Elementos'!X185,'LP Elementos'!AC185,'LP Elementos'!AH185,'LP Elementos'!AM185,'LP Elementos'!AR185,'LP Elementos'!AW185,'LP Elementos'!BB185,'LP Elementos'!BG185,'LP Elementos'!BL185,'LP Elementos'!BQ185,'LP Elementos'!BV185,'LP Elementos'!CA185,'LP Elementos'!CF185,'LP Elementos'!CK185,'LP Elementos'!CP185,'LP Elementos'!CU185,'LP Elementos'!CZ185)," ")</f>
        <v>47546.925999999999</v>
      </c>
      <c r="G185" s="341">
        <f>IFERROR(GEOMEAN('LP Elementos'!F185,'LP Elementos'!I185,'LP Elementos'!N185,'LP Elementos'!S185,'LP Elementos'!X185,'LP Elementos'!AC185,'LP Elementos'!AH185,'LP Elementos'!AM185,'LP Elementos'!AR185,'LP Elementos'!AW185,'LP Elementos'!BB185,'LP Elementos'!BG185,'LP Elementos'!BL185,'LP Elementos'!BQ185,'LP Elementos'!BV185,'LP Elementos'!CA185,'LP Elementos'!CF185,'LP Elementos'!CK185,'LP Elementos'!CP185,'LP Elementos'!CU185,'LP Elementos'!CZ185)," ")</f>
        <v>47302.690100246939</v>
      </c>
      <c r="H185" s="341">
        <f t="shared" si="12"/>
        <v>2368.6308737798377</v>
      </c>
      <c r="I185" s="342">
        <f t="shared" si="13"/>
        <v>4.9816698429249406E-2</v>
      </c>
      <c r="J185" s="341">
        <f t="shared" si="14"/>
        <v>47546.925999999999</v>
      </c>
      <c r="K185" s="326" t="str">
        <f t="shared" si="15"/>
        <v>Promedio</v>
      </c>
      <c r="L185" s="326">
        <f>IFERROR(COUNTA('LP Elementos'!F185,'LP Elementos'!I185,'LP Elementos'!N185,'LP Elementos'!S185,'LP Elementos'!X185,'LP Elementos'!AC185,'LP Elementos'!AH185,'LP Elementos'!AM185,'LP Elementos'!AR185,'LP Elementos'!AX185,'LP Elementos'!BB185,'LP Elementos'!BG185,'LP Elementos'!BL185,'LP Elementos'!BQ185,'LP Elementos'!BV185,'LP Elementos'!CA185,'LP Elementos'!CF185,'LP Elementos'!CK185,'LP Elementos'!CP185,'LP Elementos'!CU185,'LP Elementos'!CZ185)," ")</f>
        <v>2</v>
      </c>
    </row>
    <row r="186" spans="2:12" ht="27" x14ac:dyDescent="0.25">
      <c r="B186" s="411">
        <v>184</v>
      </c>
      <c r="C186" s="412" t="s">
        <v>3429</v>
      </c>
      <c r="D186" s="408">
        <f>IFERROR(MIN('LP Elementos'!F186,'LP Elementos'!I186,'LP Elementos'!N186,'LP Elementos'!S186,'LP Elementos'!X186,'LP Elementos'!AC186,'LP Elementos'!AH186,'LP Elementos'!AM186,'LP Elementos'!AR186,'LP Elementos'!AW186,'LP Elementos'!BB186,'LP Elementos'!BG186,'LP Elementos'!BL186,'LP Elementos'!BQ186,'LP Elementos'!BV186,'LP Elementos'!CA186,'LP Elementos'!CF186,'LP Elementos'!CK186,'LP Elementos'!CP186,'LP Elementos'!CU186,'LP Elementos'!CZ186)," ")</f>
        <v>1200318.49</v>
      </c>
      <c r="E186" s="341">
        <f>IFERROR(AVERAGE('LP Elementos'!F186,'LP Elementos'!I186,'LP Elementos'!N186,'LP Elementos'!S186,'LP Elementos'!X186,'LP Elementos'!AC186,'LP Elementos'!AH186,'LP Elementos'!AM186,'LP Elementos'!AR186,'LP Elementos'!AW186,'LP Elementos'!BB186,'LP Elementos'!BG186,'LP Elementos'!BL186,'LP Elementos'!BQ186,'LP Elementos'!BV186,'LP Elementos'!CA186,'LP Elementos'!CF186,'LP Elementos'!CK186,'LP Elementos'!CP186,'LP Elementos'!CU186,'LP Elementos'!CZ186)," ")</f>
        <v>1333794.2450000001</v>
      </c>
      <c r="F186" s="341">
        <f>IFERROR(MEDIAN('LP Elementos'!F186,'LP Elementos'!I186,'LP Elementos'!N186,'LP Elementos'!S186,'LP Elementos'!X186,'LP Elementos'!AC186,'LP Elementos'!AH186,'LP Elementos'!AM186,'LP Elementos'!AR186,'LP Elementos'!AW186,'LP Elementos'!BB186,'LP Elementos'!BG186,'LP Elementos'!BL186,'LP Elementos'!BQ186,'LP Elementos'!BV186,'LP Elementos'!CA186,'LP Elementos'!CF186,'LP Elementos'!CK186,'LP Elementos'!CP186,'LP Elementos'!CU186,'LP Elementos'!CZ186)," ")</f>
        <v>1333794.2450000001</v>
      </c>
      <c r="G186" s="341">
        <f>IFERROR(GEOMEAN('LP Elementos'!F186,'LP Elementos'!I186,'LP Elementos'!N186,'LP Elementos'!S186,'LP Elementos'!X186,'LP Elementos'!AC186,'LP Elementos'!AH186,'LP Elementos'!AM186,'LP Elementos'!AR186,'LP Elementos'!AW186,'LP Elementos'!BB186,'LP Elementos'!BG186,'LP Elementos'!BL186,'LP Elementos'!BQ186,'LP Elementos'!BV186,'LP Elementos'!CA186,'LP Elementos'!CF186,'LP Elementos'!CK186,'LP Elementos'!CP186,'LP Elementos'!CU186,'LP Elementos'!CZ186)," ")</f>
        <v>1327098.8323490832</v>
      </c>
      <c r="H186" s="341">
        <f t="shared" si="12"/>
        <v>65697.835233820661</v>
      </c>
      <c r="I186" s="342">
        <f t="shared" si="13"/>
        <v>4.925634930582614E-2</v>
      </c>
      <c r="J186" s="341">
        <f t="shared" si="14"/>
        <v>1333794.2450000001</v>
      </c>
      <c r="K186" s="326" t="str">
        <f t="shared" si="15"/>
        <v>Promedio</v>
      </c>
      <c r="L186" s="326">
        <f>IFERROR(COUNTA('LP Elementos'!F186,'LP Elementos'!I186,'LP Elementos'!N186,'LP Elementos'!S186,'LP Elementos'!X186,'LP Elementos'!AC186,'LP Elementos'!AH186,'LP Elementos'!AM186,'LP Elementos'!AR186,'LP Elementos'!AX186,'LP Elementos'!BB186,'LP Elementos'!BG186,'LP Elementos'!BL186,'LP Elementos'!BQ186,'LP Elementos'!BV186,'LP Elementos'!CA186,'LP Elementos'!CF186,'LP Elementos'!CK186,'LP Elementos'!CP186,'LP Elementos'!CU186,'LP Elementos'!CZ186)," ")</f>
        <v>2</v>
      </c>
    </row>
    <row r="187" spans="2:12" ht="27" x14ac:dyDescent="0.25">
      <c r="B187" s="411">
        <v>185</v>
      </c>
      <c r="C187" s="412" t="s">
        <v>3433</v>
      </c>
      <c r="D187" s="408">
        <f>IFERROR(MIN('LP Elementos'!F187,'LP Elementos'!I187,'LP Elementos'!N187,'LP Elementos'!S187,'LP Elementos'!X187,'LP Elementos'!AC187,'LP Elementos'!AH187,'LP Elementos'!AM187,'LP Elementos'!AR187,'LP Elementos'!AW187,'LP Elementos'!BB187,'LP Elementos'!BG187,'LP Elementos'!BL187,'LP Elementos'!BQ187,'LP Elementos'!BV187,'LP Elementos'!CA187,'LP Elementos'!CF187,'LP Elementos'!CK187,'LP Elementos'!CP187,'LP Elementos'!CU187,'LP Elementos'!CZ187)," ")</f>
        <v>89535.1302</v>
      </c>
      <c r="E187" s="341">
        <f>IFERROR(AVERAGE('LP Elementos'!F187,'LP Elementos'!I187,'LP Elementos'!N187,'LP Elementos'!S187,'LP Elementos'!X187,'LP Elementos'!AC187,'LP Elementos'!AH187,'LP Elementos'!AM187,'LP Elementos'!AR187,'LP Elementos'!AW187,'LP Elementos'!BB187,'LP Elementos'!BG187,'LP Elementos'!BL187,'LP Elementos'!BQ187,'LP Elementos'!BV187,'LP Elementos'!CA187,'LP Elementos'!CF187,'LP Elementos'!CK187,'LP Elementos'!CP187,'LP Elementos'!CU187,'LP Elementos'!CZ187)," ")</f>
        <v>89535.1302</v>
      </c>
      <c r="F187" s="341">
        <f>IFERROR(MEDIAN('LP Elementos'!F187,'LP Elementos'!I187,'LP Elementos'!N187,'LP Elementos'!S187,'LP Elementos'!X187,'LP Elementos'!AC187,'LP Elementos'!AH187,'LP Elementos'!AM187,'LP Elementos'!AR187,'LP Elementos'!AW187,'LP Elementos'!BB187,'LP Elementos'!BG187,'LP Elementos'!BL187,'LP Elementos'!BQ187,'LP Elementos'!BV187,'LP Elementos'!CA187,'LP Elementos'!CF187,'LP Elementos'!CK187,'LP Elementos'!CP187,'LP Elementos'!CU187,'LP Elementos'!CZ187)," ")</f>
        <v>89535.1302</v>
      </c>
      <c r="G187" s="341">
        <f>IFERROR(GEOMEAN('LP Elementos'!F187,'LP Elementos'!I187,'LP Elementos'!N187,'LP Elementos'!S187,'LP Elementos'!X187,'LP Elementos'!AC187,'LP Elementos'!AH187,'LP Elementos'!AM187,'LP Elementos'!AR187,'LP Elementos'!AW187,'LP Elementos'!BB187,'LP Elementos'!BG187,'LP Elementos'!BL187,'LP Elementos'!BQ187,'LP Elementos'!BV187,'LP Elementos'!CA187,'LP Elementos'!CF187,'LP Elementos'!CK187,'LP Elementos'!CP187,'LP Elementos'!CU187,'LP Elementos'!CZ187)," ")</f>
        <v>89535.1302</v>
      </c>
      <c r="H187" s="341">
        <f t="shared" si="12"/>
        <v>0</v>
      </c>
      <c r="I187" s="342">
        <f t="shared" si="13"/>
        <v>0</v>
      </c>
      <c r="J187" s="341">
        <f t="shared" si="14"/>
        <v>89535.1302</v>
      </c>
      <c r="K187" s="326" t="str">
        <f t="shared" si="15"/>
        <v>Menor Valor</v>
      </c>
      <c r="L187" s="326">
        <f>IFERROR(COUNTA('LP Elementos'!F187,'LP Elementos'!I187,'LP Elementos'!N187,'LP Elementos'!S187,'LP Elementos'!X187,'LP Elementos'!AC187,'LP Elementos'!AH187,'LP Elementos'!AM187,'LP Elementos'!AR187,'LP Elementos'!AX187,'LP Elementos'!BB187,'LP Elementos'!BG187,'LP Elementos'!BL187,'LP Elementos'!BQ187,'LP Elementos'!BV187,'LP Elementos'!CA187,'LP Elementos'!CF187,'LP Elementos'!CK187,'LP Elementos'!CP187,'LP Elementos'!CU187,'LP Elementos'!CZ187)," ")</f>
        <v>1</v>
      </c>
    </row>
    <row r="188" spans="2:12" ht="27" x14ac:dyDescent="0.25">
      <c r="B188" s="411">
        <v>186</v>
      </c>
      <c r="C188" s="412" t="s">
        <v>3435</v>
      </c>
      <c r="D188" s="408">
        <f>IFERROR(MIN('LP Elementos'!F188,'LP Elementos'!I188,'LP Elementos'!N188,'LP Elementos'!S188,'LP Elementos'!X188,'LP Elementos'!AC188,'LP Elementos'!AH188,'LP Elementos'!AM188,'LP Elementos'!AR188,'LP Elementos'!AW188,'LP Elementos'!BB188,'LP Elementos'!BG188,'LP Elementos'!BL188,'LP Elementos'!BQ188,'LP Elementos'!BV188,'LP Elementos'!CA188,'LP Elementos'!CF188,'LP Elementos'!CK188,'LP Elementos'!CP188,'LP Elementos'!CU188,'LP Elementos'!CZ188)," ")</f>
        <v>83300</v>
      </c>
      <c r="E188" s="341">
        <f>IFERROR(AVERAGE('LP Elementos'!F188,'LP Elementos'!I188,'LP Elementos'!N188,'LP Elementos'!S188,'LP Elementos'!X188,'LP Elementos'!AC188,'LP Elementos'!AH188,'LP Elementos'!AM188,'LP Elementos'!AR188,'LP Elementos'!AW188,'LP Elementos'!BB188,'LP Elementos'!BG188,'LP Elementos'!BL188,'LP Elementos'!BQ188,'LP Elementos'!BV188,'LP Elementos'!CA188,'LP Elementos'!CF188,'LP Elementos'!CK188,'LP Elementos'!CP188,'LP Elementos'!CU188,'LP Elementos'!CZ188)," ")</f>
        <v>102860.48670000001</v>
      </c>
      <c r="F188" s="341">
        <f>IFERROR(MEDIAN('LP Elementos'!F188,'LP Elementos'!I188,'LP Elementos'!N188,'LP Elementos'!S188,'LP Elementos'!X188,'LP Elementos'!AC188,'LP Elementos'!AH188,'LP Elementos'!AM188,'LP Elementos'!AR188,'LP Elementos'!AW188,'LP Elementos'!BB188,'LP Elementos'!BG188,'LP Elementos'!BL188,'LP Elementos'!BQ188,'LP Elementos'!BV188,'LP Elementos'!CA188,'LP Elementos'!CF188,'LP Elementos'!CK188,'LP Elementos'!CP188,'LP Elementos'!CU188,'LP Elementos'!CZ188)," ")</f>
        <v>102860.48670000001</v>
      </c>
      <c r="G188" s="341">
        <f>IFERROR(GEOMEAN('LP Elementos'!F188,'LP Elementos'!I188,'LP Elementos'!N188,'LP Elementos'!S188,'LP Elementos'!X188,'LP Elementos'!AC188,'LP Elementos'!AH188,'LP Elementos'!AM188,'LP Elementos'!AR188,'LP Elementos'!AW188,'LP Elementos'!BB188,'LP Elementos'!BG188,'LP Elementos'!BL188,'LP Elementos'!BQ188,'LP Elementos'!BV188,'LP Elementos'!CA188,'LP Elementos'!CF188,'LP Elementos'!CK188,'LP Elementos'!CP188,'LP Elementos'!CU188,'LP Elementos'!CZ188)," ")</f>
        <v>100983.49906900631</v>
      </c>
      <c r="H188" s="341">
        <f t="shared" si="12"/>
        <v>9508.6696595751873</v>
      </c>
      <c r="I188" s="342">
        <f t="shared" si="13"/>
        <v>9.2442394204374168E-2</v>
      </c>
      <c r="J188" s="341">
        <f t="shared" si="14"/>
        <v>102860.48670000001</v>
      </c>
      <c r="K188" s="326" t="str">
        <f t="shared" si="15"/>
        <v>Promedio</v>
      </c>
      <c r="L188" s="326">
        <f>IFERROR(COUNTA('LP Elementos'!F188,'LP Elementos'!I188,'LP Elementos'!N188,'LP Elementos'!S188,'LP Elementos'!X188,'LP Elementos'!AC188,'LP Elementos'!AH188,'LP Elementos'!AM188,'LP Elementos'!AR188,'LP Elementos'!AX188,'LP Elementos'!BB188,'LP Elementos'!BG188,'LP Elementos'!BL188,'LP Elementos'!BQ188,'LP Elementos'!BV188,'LP Elementos'!CA188,'LP Elementos'!CF188,'LP Elementos'!CK188,'LP Elementos'!CP188,'LP Elementos'!CU188,'LP Elementos'!CZ188)," ")</f>
        <v>2</v>
      </c>
    </row>
    <row r="189" spans="2:12" x14ac:dyDescent="0.25">
      <c r="B189" s="411">
        <v>187</v>
      </c>
      <c r="C189" s="412" t="s">
        <v>3437</v>
      </c>
      <c r="D189" s="408">
        <f>IFERROR(MIN('LP Elementos'!F189,'LP Elementos'!I189,'LP Elementos'!N189,'LP Elementos'!S189,'LP Elementos'!X189,'LP Elementos'!AC189,'LP Elementos'!AH189,'LP Elementos'!AM189,'LP Elementos'!AR189,'LP Elementos'!AW189,'LP Elementos'!BB189,'LP Elementos'!BG189,'LP Elementos'!BL189,'LP Elementos'!BQ189,'LP Elementos'!BV189,'LP Elementos'!CA189,'LP Elementos'!CF189,'LP Elementos'!CK189,'LP Elementos'!CP189,'LP Elementos'!CU189,'LP Elementos'!CZ189)," ")</f>
        <v>50275.12</v>
      </c>
      <c r="E189" s="341">
        <f>IFERROR(AVERAGE('LP Elementos'!F189,'LP Elementos'!I189,'LP Elementos'!N189,'LP Elementos'!S189,'LP Elementos'!X189,'LP Elementos'!AC189,'LP Elementos'!AH189,'LP Elementos'!AM189,'LP Elementos'!AR189,'LP Elementos'!AW189,'LP Elementos'!BB189,'LP Elementos'!BG189,'LP Elementos'!BL189,'LP Elementos'!BQ189,'LP Elementos'!BV189,'LP Elementos'!CA189,'LP Elementos'!CF189,'LP Elementos'!CK189,'LP Elementos'!CP189,'LP Elementos'!CU189,'LP Elementos'!CZ189)," ")</f>
        <v>56077.56</v>
      </c>
      <c r="F189" s="341">
        <f>IFERROR(MEDIAN('LP Elementos'!F189,'LP Elementos'!I189,'LP Elementos'!N189,'LP Elementos'!S189,'LP Elementos'!X189,'LP Elementos'!AC189,'LP Elementos'!AH189,'LP Elementos'!AM189,'LP Elementos'!AR189,'LP Elementos'!AW189,'LP Elementos'!BB189,'LP Elementos'!BG189,'LP Elementos'!BL189,'LP Elementos'!BQ189,'LP Elementos'!BV189,'LP Elementos'!CA189,'LP Elementos'!CF189,'LP Elementos'!CK189,'LP Elementos'!CP189,'LP Elementos'!CU189,'LP Elementos'!CZ189)," ")</f>
        <v>56077.56</v>
      </c>
      <c r="G189" s="341">
        <f>IFERROR(GEOMEAN('LP Elementos'!F189,'LP Elementos'!I189,'LP Elementos'!N189,'LP Elementos'!S189,'LP Elementos'!X189,'LP Elementos'!AC189,'LP Elementos'!AH189,'LP Elementos'!AM189,'LP Elementos'!AR189,'LP Elementos'!AW189,'LP Elementos'!BB189,'LP Elementos'!BG189,'LP Elementos'!BL189,'LP Elementos'!BQ189,'LP Elementos'!BV189,'LP Elementos'!CA189,'LP Elementos'!CF189,'LP Elementos'!CK189,'LP Elementos'!CP189,'LP Elementos'!CU189,'LP Elementos'!CZ189)," ")</f>
        <v>55776.558029337029</v>
      </c>
      <c r="H189" s="341">
        <f t="shared" si="12"/>
        <v>2854.5817654915395</v>
      </c>
      <c r="I189" s="342">
        <f t="shared" si="13"/>
        <v>5.0904172105411497E-2</v>
      </c>
      <c r="J189" s="341">
        <f t="shared" si="14"/>
        <v>56077.56</v>
      </c>
      <c r="K189" s="326" t="str">
        <f t="shared" si="15"/>
        <v>Promedio</v>
      </c>
      <c r="L189" s="326">
        <f>IFERROR(COUNTA('LP Elementos'!F189,'LP Elementos'!I189,'LP Elementos'!N189,'LP Elementos'!S189,'LP Elementos'!X189,'LP Elementos'!AC189,'LP Elementos'!AH189,'LP Elementos'!AM189,'LP Elementos'!AR189,'LP Elementos'!AX189,'LP Elementos'!BB189,'LP Elementos'!BG189,'LP Elementos'!BL189,'LP Elementos'!BQ189,'LP Elementos'!BV189,'LP Elementos'!CA189,'LP Elementos'!CF189,'LP Elementos'!CK189,'LP Elementos'!CP189,'LP Elementos'!CU189,'LP Elementos'!CZ189)," ")</f>
        <v>2</v>
      </c>
    </row>
    <row r="190" spans="2:12" ht="202.5" x14ac:dyDescent="0.25">
      <c r="B190" s="411">
        <v>188</v>
      </c>
      <c r="C190" s="413" t="s">
        <v>3438</v>
      </c>
      <c r="D190" s="408">
        <f>IFERROR(MIN('LP Elementos'!F190,'LP Elementos'!I190,'LP Elementos'!N190,'LP Elementos'!S190,'LP Elementos'!X190,'LP Elementos'!AC190,'LP Elementos'!AH190,'LP Elementos'!AM190,'LP Elementos'!AR190,'LP Elementos'!AW190,'LP Elementos'!BB190,'LP Elementos'!BG190,'LP Elementos'!BL190,'LP Elementos'!BQ190,'LP Elementos'!BV190,'LP Elementos'!CA190,'LP Elementos'!CF190,'LP Elementos'!CK190,'LP Elementos'!CP190,'LP Elementos'!CU190,'LP Elementos'!CZ190)," ")</f>
        <v>1521199.4434</v>
      </c>
      <c r="E190" s="341">
        <f>IFERROR(AVERAGE('LP Elementos'!F190,'LP Elementos'!I190,'LP Elementos'!N190,'LP Elementos'!S190,'LP Elementos'!X190,'LP Elementos'!AC190,'LP Elementos'!AH190,'LP Elementos'!AM190,'LP Elementos'!AR190,'LP Elementos'!AW190,'LP Elementos'!BB190,'LP Elementos'!BG190,'LP Elementos'!BL190,'LP Elementos'!BQ190,'LP Elementos'!BV190,'LP Elementos'!CA190,'LP Elementos'!CF190,'LP Elementos'!CK190,'LP Elementos'!CP190,'LP Elementos'!CU190,'LP Elementos'!CZ190)," ")</f>
        <v>4055114.7217000001</v>
      </c>
      <c r="F190" s="341">
        <f>IFERROR(MEDIAN('LP Elementos'!F190,'LP Elementos'!I190,'LP Elementos'!N190,'LP Elementos'!S190,'LP Elementos'!X190,'LP Elementos'!AC190,'LP Elementos'!AH190,'LP Elementos'!AM190,'LP Elementos'!AR190,'LP Elementos'!AW190,'LP Elementos'!BB190,'LP Elementos'!BG190,'LP Elementos'!BL190,'LP Elementos'!BQ190,'LP Elementos'!BV190,'LP Elementos'!CA190,'LP Elementos'!CF190,'LP Elementos'!CK190,'LP Elementos'!CP190,'LP Elementos'!CU190,'LP Elementos'!CZ190)," ")</f>
        <v>4055114.7216999996</v>
      </c>
      <c r="G190" s="341">
        <f>IFERROR(GEOMEAN('LP Elementos'!F190,'LP Elementos'!I190,'LP Elementos'!N190,'LP Elementos'!S190,'LP Elementos'!X190,'LP Elementos'!AC190,'LP Elementos'!AH190,'LP Elementos'!AM190,'LP Elementos'!AR190,'LP Elementos'!AW190,'LP Elementos'!BB190,'LP Elementos'!BG190,'LP Elementos'!BL190,'LP Elementos'!BQ190,'LP Elementos'!BV190,'LP Elementos'!CA190,'LP Elementos'!CF190,'LP Elementos'!CK190,'LP Elementos'!CP190,'LP Elementos'!CU190,'LP Elementos'!CZ190)," ")</f>
        <v>3165948.3205740904</v>
      </c>
      <c r="H190" s="341">
        <f t="shared" si="12"/>
        <v>1194706.5860826892</v>
      </c>
      <c r="I190" s="342">
        <f t="shared" si="13"/>
        <v>0.29461721013452363</v>
      </c>
      <c r="J190" s="341">
        <f t="shared" si="14"/>
        <v>3165948.3205740904</v>
      </c>
      <c r="K190" s="326" t="str">
        <f t="shared" si="15"/>
        <v>Media Geometrica</v>
      </c>
      <c r="L190" s="326">
        <f>IFERROR(COUNTA('LP Elementos'!F190,'LP Elementos'!I190,'LP Elementos'!N190,'LP Elementos'!S190,'LP Elementos'!X190,'LP Elementos'!AC190,'LP Elementos'!AH190,'LP Elementos'!AM190,'LP Elementos'!AR190,'LP Elementos'!AX190,'LP Elementos'!BB190,'LP Elementos'!BG190,'LP Elementos'!BL190,'LP Elementos'!BQ190,'LP Elementos'!BV190,'LP Elementos'!CA190,'LP Elementos'!CF190,'LP Elementos'!CK190,'LP Elementos'!CP190,'LP Elementos'!CU190,'LP Elementos'!CZ190)," ")</f>
        <v>2</v>
      </c>
    </row>
    <row r="191" spans="2:12" ht="108" x14ac:dyDescent="0.25">
      <c r="B191" s="411">
        <v>189</v>
      </c>
      <c r="C191" s="412" t="s">
        <v>3442</v>
      </c>
      <c r="D191" s="408">
        <f>IFERROR(MIN('LP Elementos'!F191,'LP Elementos'!I191,'LP Elementos'!N191,'LP Elementos'!S191,'LP Elementos'!X191,'LP Elementos'!AC191,'LP Elementos'!AH191,'LP Elementos'!AM191,'LP Elementos'!AR191,'LP Elementos'!AW191,'LP Elementos'!BB191,'LP Elementos'!BG191,'LP Elementos'!BL191,'LP Elementos'!BQ191,'LP Elementos'!BV191,'LP Elementos'!CA191,'LP Elementos'!CF191,'LP Elementos'!CK191,'LP Elementos'!CP191,'LP Elementos'!CU191,'LP Elementos'!CZ191)," ")</f>
        <v>1955051</v>
      </c>
      <c r="E191" s="341">
        <f>IFERROR(AVERAGE('LP Elementos'!F191,'LP Elementos'!I191,'LP Elementos'!N191,'LP Elementos'!S191,'LP Elementos'!X191,'LP Elementos'!AC191,'LP Elementos'!AH191,'LP Elementos'!AM191,'LP Elementos'!AR191,'LP Elementos'!AW191,'LP Elementos'!BB191,'LP Elementos'!BG191,'LP Elementos'!BL191,'LP Elementos'!BQ191,'LP Elementos'!BV191,'LP Elementos'!CA191,'LP Elementos'!CF191,'LP Elementos'!CK191,'LP Elementos'!CP191,'LP Elementos'!CU191,'LP Elementos'!CZ191)," ")</f>
        <v>2964342.0823333333</v>
      </c>
      <c r="F191" s="341">
        <f>IFERROR(MEDIAN('LP Elementos'!F191,'LP Elementos'!I191,'LP Elementos'!N191,'LP Elementos'!S191,'LP Elementos'!X191,'LP Elementos'!AC191,'LP Elementos'!AH191,'LP Elementos'!AM191,'LP Elementos'!AR191,'LP Elementos'!AW191,'LP Elementos'!BB191,'LP Elementos'!BG191,'LP Elementos'!BL191,'LP Elementos'!BQ191,'LP Elementos'!BV191,'LP Elementos'!CA191,'LP Elementos'!CF191,'LP Elementos'!CK191,'LP Elementos'!CP191,'LP Elementos'!CU191,'LP Elementos'!CZ191)," ")</f>
        <v>2835985.747</v>
      </c>
      <c r="G191" s="341">
        <f>IFERROR(GEOMEAN('LP Elementos'!F191,'LP Elementos'!I191,'LP Elementos'!N191,'LP Elementos'!S191,'LP Elementos'!X191,'LP Elementos'!AC191,'LP Elementos'!AH191,'LP Elementos'!AM191,'LP Elementos'!AR191,'LP Elementos'!AW191,'LP Elementos'!BB191,'LP Elementos'!BG191,'LP Elementos'!BL191,'LP Elementos'!BQ191,'LP Elementos'!BV191,'LP Elementos'!CA191,'LP Elementos'!CF191,'LP Elementos'!CK191,'LP Elementos'!CP191,'LP Elementos'!CU191,'LP Elementos'!CZ191)," ")</f>
        <v>2889120.4919618466</v>
      </c>
      <c r="H191" s="341">
        <f t="shared" si="12"/>
        <v>473652.23448255408</v>
      </c>
      <c r="I191" s="342">
        <f t="shared" si="13"/>
        <v>0.15978325757522779</v>
      </c>
      <c r="J191" s="341">
        <f t="shared" si="14"/>
        <v>2964342.0823333333</v>
      </c>
      <c r="K191" s="326" t="str">
        <f t="shared" si="15"/>
        <v>Promedio</v>
      </c>
      <c r="L191" s="326">
        <f>IFERROR(COUNTA('LP Elementos'!F191,'LP Elementos'!I191,'LP Elementos'!N191,'LP Elementos'!S191,'LP Elementos'!X191,'LP Elementos'!AC191,'LP Elementos'!AH191,'LP Elementos'!AM191,'LP Elementos'!AR191,'LP Elementos'!AX191,'LP Elementos'!BB191,'LP Elementos'!BG191,'LP Elementos'!BL191,'LP Elementos'!BQ191,'LP Elementos'!BV191,'LP Elementos'!CA191,'LP Elementos'!CF191,'LP Elementos'!CK191,'LP Elementos'!CP191,'LP Elementos'!CU191,'LP Elementos'!CZ191)," ")</f>
        <v>6</v>
      </c>
    </row>
    <row r="192" spans="2:12" ht="27" x14ac:dyDescent="0.25">
      <c r="B192" s="411">
        <v>190</v>
      </c>
      <c r="C192" s="412" t="s">
        <v>3449</v>
      </c>
      <c r="D192" s="408">
        <f>IFERROR(MIN('LP Elementos'!F192,'LP Elementos'!I192,'LP Elementos'!N192,'LP Elementos'!S192,'LP Elementos'!X192,'LP Elementos'!AC192,'LP Elementos'!AH192,'LP Elementos'!AM192,'LP Elementos'!AR192,'LP Elementos'!AW192,'LP Elementos'!BB192,'LP Elementos'!BG192,'LP Elementos'!BL192,'LP Elementos'!BQ192,'LP Elementos'!BV192,'LP Elementos'!CA192,'LP Elementos'!CF192,'LP Elementos'!CK192,'LP Elementos'!CP192,'LP Elementos'!CU192,'LP Elementos'!CZ192)," ")</f>
        <v>35192.584000000003</v>
      </c>
      <c r="E192" s="341">
        <f>IFERROR(AVERAGE('LP Elementos'!F192,'LP Elementos'!I192,'LP Elementos'!N192,'LP Elementos'!S192,'LP Elementos'!X192,'LP Elementos'!AC192,'LP Elementos'!AH192,'LP Elementos'!AM192,'LP Elementos'!AR192,'LP Elementos'!AW192,'LP Elementos'!BB192,'LP Elementos'!BG192,'LP Elementos'!BL192,'LP Elementos'!BQ192,'LP Elementos'!BV192,'LP Elementos'!CA192,'LP Elementos'!CF192,'LP Elementos'!CK192,'LP Elementos'!CP192,'LP Elementos'!CU192,'LP Elementos'!CZ192)," ")</f>
        <v>45008.656000000003</v>
      </c>
      <c r="F192" s="341">
        <f>IFERROR(MEDIAN('LP Elementos'!F192,'LP Elementos'!I192,'LP Elementos'!N192,'LP Elementos'!S192,'LP Elementos'!X192,'LP Elementos'!AC192,'LP Elementos'!AH192,'LP Elementos'!AM192,'LP Elementos'!AR192,'LP Elementos'!AW192,'LP Elementos'!BB192,'LP Elementos'!BG192,'LP Elementos'!BL192,'LP Elementos'!BQ192,'LP Elementos'!BV192,'LP Elementos'!CA192,'LP Elementos'!CF192,'LP Elementos'!CK192,'LP Elementos'!CP192,'LP Elementos'!CU192,'LP Elementos'!CZ192)," ")</f>
        <v>40291.020000000004</v>
      </c>
      <c r="G192" s="341">
        <f>IFERROR(GEOMEAN('LP Elementos'!F192,'LP Elementos'!I192,'LP Elementos'!N192,'LP Elementos'!S192,'LP Elementos'!X192,'LP Elementos'!AC192,'LP Elementos'!AH192,'LP Elementos'!AM192,'LP Elementos'!AR192,'LP Elementos'!AW192,'LP Elementos'!BB192,'LP Elementos'!BG192,'LP Elementos'!BL192,'LP Elementos'!BQ192,'LP Elementos'!BV192,'LP Elementos'!CA192,'LP Elementos'!CF192,'LP Elementos'!CK192,'LP Elementos'!CP192,'LP Elementos'!CU192,'LP Elementos'!CZ192)," ")</f>
        <v>43622.258236601294</v>
      </c>
      <c r="H192" s="341">
        <f t="shared" si="12"/>
        <v>4365.4329993937117</v>
      </c>
      <c r="I192" s="342">
        <f t="shared" si="13"/>
        <v>9.699096545770465E-2</v>
      </c>
      <c r="J192" s="341">
        <f t="shared" si="14"/>
        <v>40291.020000000004</v>
      </c>
      <c r="K192" s="326" t="str">
        <f t="shared" si="15"/>
        <v>Mediana</v>
      </c>
      <c r="L192" s="326">
        <f>IFERROR(COUNTA('LP Elementos'!F192,'LP Elementos'!I192,'LP Elementos'!N192,'LP Elementos'!S192,'LP Elementos'!X192,'LP Elementos'!AC192,'LP Elementos'!AH192,'LP Elementos'!AM192,'LP Elementos'!AR192,'LP Elementos'!AX192,'LP Elementos'!BB192,'LP Elementos'!BG192,'LP Elementos'!BL192,'LP Elementos'!BQ192,'LP Elementos'!BV192,'LP Elementos'!CA192,'LP Elementos'!CF192,'LP Elementos'!CK192,'LP Elementos'!CP192,'LP Elementos'!CU192,'LP Elementos'!CZ192)," ")</f>
        <v>4</v>
      </c>
    </row>
    <row r="193" spans="2:12" x14ac:dyDescent="0.25">
      <c r="B193" s="411">
        <v>191</v>
      </c>
      <c r="C193" s="412" t="s">
        <v>3455</v>
      </c>
      <c r="D193" s="408">
        <f>IFERROR(MIN('LP Elementos'!F193,'LP Elementos'!I193,'LP Elementos'!N193,'LP Elementos'!S193,'LP Elementos'!X193,'LP Elementos'!AC193,'LP Elementos'!AH193,'LP Elementos'!AM193,'LP Elementos'!AR193,'LP Elementos'!AW193,'LP Elementos'!BB193,'LP Elementos'!BG193,'LP Elementos'!BL193,'LP Elementos'!BQ193,'LP Elementos'!BV193,'LP Elementos'!CA193,'LP Elementos'!CF193,'LP Elementos'!CK193,'LP Elementos'!CP193,'LP Elementos'!CU193,'LP Elementos'!CZ193)," ")</f>
        <v>886790.80099999998</v>
      </c>
      <c r="E193" s="341">
        <f>IFERROR(AVERAGE('LP Elementos'!F193,'LP Elementos'!I193,'LP Elementos'!N193,'LP Elementos'!S193,'LP Elementos'!X193,'LP Elementos'!AC193,'LP Elementos'!AH193,'LP Elementos'!AM193,'LP Elementos'!AR193,'LP Elementos'!AW193,'LP Elementos'!BB193,'LP Elementos'!BG193,'LP Elementos'!BL193,'LP Elementos'!BQ193,'LP Elementos'!BV193,'LP Elementos'!CA193,'LP Elementos'!CF193,'LP Elementos'!CK193,'LP Elementos'!CP193,'LP Elementos'!CU193,'LP Elementos'!CZ193)," ")</f>
        <v>2768655.4005</v>
      </c>
      <c r="F193" s="341">
        <f>IFERROR(MEDIAN('LP Elementos'!F193,'LP Elementos'!I193,'LP Elementos'!N193,'LP Elementos'!S193,'LP Elementos'!X193,'LP Elementos'!AC193,'LP Elementos'!AH193,'LP Elementos'!AM193,'LP Elementos'!AR193,'LP Elementos'!AW193,'LP Elementos'!BB193,'LP Elementos'!BG193,'LP Elementos'!BL193,'LP Elementos'!BQ193,'LP Elementos'!BV193,'LP Elementos'!CA193,'LP Elementos'!CF193,'LP Elementos'!CK193,'LP Elementos'!CP193,'LP Elementos'!CU193,'LP Elementos'!CZ193)," ")</f>
        <v>2768655.4005</v>
      </c>
      <c r="G193" s="341">
        <f>IFERROR(GEOMEAN('LP Elementos'!F193,'LP Elementos'!I193,'LP Elementos'!N193,'LP Elementos'!S193,'LP Elementos'!X193,'LP Elementos'!AC193,'LP Elementos'!AH193,'LP Elementos'!AM193,'LP Elementos'!AR193,'LP Elementos'!AW193,'LP Elementos'!BB193,'LP Elementos'!BG193,'LP Elementos'!BL193,'LP Elementos'!BQ193,'LP Elementos'!BV193,'LP Elementos'!CA193,'LP Elementos'!CF193,'LP Elementos'!CK193,'LP Elementos'!CP193,'LP Elementos'!CU193,'LP Elementos'!CZ193)," ")</f>
        <v>2030772.8469394404</v>
      </c>
      <c r="H193" s="341">
        <f t="shared" si="12"/>
        <v>888841.23951883125</v>
      </c>
      <c r="I193" s="342">
        <f t="shared" si="13"/>
        <v>0.32103715014815953</v>
      </c>
      <c r="J193" s="341">
        <f t="shared" si="14"/>
        <v>886790.80099999998</v>
      </c>
      <c r="K193" s="326" t="str">
        <f t="shared" si="15"/>
        <v>Menor Valor</v>
      </c>
      <c r="L193" s="326">
        <f>IFERROR(COUNTA('LP Elementos'!F193,'LP Elementos'!I193,'LP Elementos'!N193,'LP Elementos'!S193,'LP Elementos'!X193,'LP Elementos'!AC193,'LP Elementos'!AH193,'LP Elementos'!AM193,'LP Elementos'!AR193,'LP Elementos'!AX193,'LP Elementos'!BB193,'LP Elementos'!BG193,'LP Elementos'!BL193,'LP Elementos'!BQ193,'LP Elementos'!BV193,'LP Elementos'!CA193,'LP Elementos'!CF193,'LP Elementos'!CK193,'LP Elementos'!CP193,'LP Elementos'!CU193,'LP Elementos'!CZ193)," ")</f>
        <v>2</v>
      </c>
    </row>
    <row r="194" spans="2:12" ht="40.5" x14ac:dyDescent="0.25">
      <c r="B194" s="411">
        <v>192</v>
      </c>
      <c r="C194" s="418" t="s">
        <v>3459</v>
      </c>
      <c r="D194" s="408">
        <f>IFERROR(MIN('LP Elementos'!F194,'LP Elementos'!I194,'LP Elementos'!N194,'LP Elementos'!S194,'LP Elementos'!X194,'LP Elementos'!AC194,'LP Elementos'!AH194,'LP Elementos'!AM194,'LP Elementos'!AR194,'LP Elementos'!AW194,'LP Elementos'!BB194,'LP Elementos'!BG194,'LP Elementos'!BL194,'LP Elementos'!BQ194,'LP Elementos'!BV194,'LP Elementos'!CA194,'LP Elementos'!CF194,'LP Elementos'!CK194,'LP Elementos'!CP194,'LP Elementos'!CU194,'LP Elementos'!CZ194)," ")</f>
        <v>149940</v>
      </c>
      <c r="E194" s="341">
        <f>IFERROR(AVERAGE('LP Elementos'!F194,'LP Elementos'!I194,'LP Elementos'!N194,'LP Elementos'!S194,'LP Elementos'!X194,'LP Elementos'!AC194,'LP Elementos'!AH194,'LP Elementos'!AM194,'LP Elementos'!AR194,'LP Elementos'!AW194,'LP Elementos'!BB194,'LP Elementos'!BG194,'LP Elementos'!BL194,'LP Elementos'!BQ194,'LP Elementos'!BV194,'LP Elementos'!CA194,'LP Elementos'!CF194,'LP Elementos'!CK194,'LP Elementos'!CP194,'LP Elementos'!CU194,'LP Elementos'!CZ194)," ")</f>
        <v>187425</v>
      </c>
      <c r="F194" s="341">
        <f>IFERROR(MEDIAN('LP Elementos'!F194,'LP Elementos'!I194,'LP Elementos'!N194,'LP Elementos'!S194,'LP Elementos'!X194,'LP Elementos'!AC194,'LP Elementos'!AH194,'LP Elementos'!AM194,'LP Elementos'!AR194,'LP Elementos'!AW194,'LP Elementos'!BB194,'LP Elementos'!BG194,'LP Elementos'!BL194,'LP Elementos'!BQ194,'LP Elementos'!BV194,'LP Elementos'!CA194,'LP Elementos'!CF194,'LP Elementos'!CK194,'LP Elementos'!CP194,'LP Elementos'!CU194,'LP Elementos'!CZ194)," ")</f>
        <v>187425</v>
      </c>
      <c r="G194" s="341">
        <f>IFERROR(GEOMEAN('LP Elementos'!F194,'LP Elementos'!I194,'LP Elementos'!N194,'LP Elementos'!S194,'LP Elementos'!X194,'LP Elementos'!AC194,'LP Elementos'!AH194,'LP Elementos'!AM194,'LP Elementos'!AR194,'LP Elementos'!AW194,'LP Elementos'!BB194,'LP Elementos'!BG194,'LP Elementos'!BL194,'LP Elementos'!BQ194,'LP Elementos'!BV194,'LP Elementos'!CA194,'LP Elementos'!CF194,'LP Elementos'!CK194,'LP Elementos'!CP194,'LP Elementos'!CU194,'LP Elementos'!CZ194)," ")</f>
        <v>183638.24601645485</v>
      </c>
      <c r="H194" s="341">
        <f t="shared" si="12"/>
        <v>18199.132868649966</v>
      </c>
      <c r="I194" s="342">
        <f t="shared" si="13"/>
        <v>9.7100882319060777E-2</v>
      </c>
      <c r="J194" s="341">
        <f t="shared" si="14"/>
        <v>187425</v>
      </c>
      <c r="K194" s="326" t="str">
        <f t="shared" si="15"/>
        <v>Promedio</v>
      </c>
      <c r="L194" s="326">
        <f>IFERROR(COUNTA('LP Elementos'!F194,'LP Elementos'!I194,'LP Elementos'!N194,'LP Elementos'!S194,'LP Elementos'!X194,'LP Elementos'!AC194,'LP Elementos'!AH194,'LP Elementos'!AM194,'LP Elementos'!AR194,'LP Elementos'!AX194,'LP Elementos'!BB194,'LP Elementos'!BG194,'LP Elementos'!BL194,'LP Elementos'!BQ194,'LP Elementos'!BV194,'LP Elementos'!CA194,'LP Elementos'!CF194,'LP Elementos'!CK194,'LP Elementos'!CP194,'LP Elementos'!CU194,'LP Elementos'!CZ194)," ")</f>
        <v>2</v>
      </c>
    </row>
    <row r="195" spans="2:12" ht="113.25" customHeight="1" x14ac:dyDescent="0.25">
      <c r="B195" s="411">
        <v>193</v>
      </c>
      <c r="C195" s="414" t="s">
        <v>3462</v>
      </c>
      <c r="D195" s="408">
        <f>IFERROR(MIN('LP Elementos'!F195,'LP Elementos'!I195,'LP Elementos'!N195,'LP Elementos'!S195,'LP Elementos'!X195,'LP Elementos'!AC195,'LP Elementos'!AH195,'LP Elementos'!AM195,'LP Elementos'!AR195,'LP Elementos'!AW195,'LP Elementos'!BB195,'LP Elementos'!BG195,'LP Elementos'!BL195,'LP Elementos'!BQ195,'LP Elementos'!BV195,'LP Elementos'!CA195,'LP Elementos'!CF195,'LP Elementos'!CK195,'LP Elementos'!CP195,'LP Elementos'!CU195,'LP Elementos'!CZ195)," ")</f>
        <v>197540</v>
      </c>
      <c r="E195" s="341">
        <f>IFERROR(AVERAGE('LP Elementos'!F195,'LP Elementos'!I195,'LP Elementos'!N195,'LP Elementos'!S195,'LP Elementos'!X195,'LP Elementos'!AC195,'LP Elementos'!AH195,'LP Elementos'!AM195,'LP Elementos'!AR195,'LP Elementos'!AW195,'LP Elementos'!BB195,'LP Elementos'!BG195,'LP Elementos'!BL195,'LP Elementos'!BQ195,'LP Elementos'!BV195,'LP Elementos'!CA195,'LP Elementos'!CF195,'LP Elementos'!CK195,'LP Elementos'!CP195,'LP Elementos'!CU195,'LP Elementos'!CZ195)," ")</f>
        <v>371835.33333333331</v>
      </c>
      <c r="F195" s="341">
        <f>IFERROR(MEDIAN('LP Elementos'!F195,'LP Elementos'!I195,'LP Elementos'!N195,'LP Elementos'!S195,'LP Elementos'!X195,'LP Elementos'!AC195,'LP Elementos'!AH195,'LP Elementos'!AM195,'LP Elementos'!AR195,'LP Elementos'!AW195,'LP Elementos'!BB195,'LP Elementos'!BG195,'LP Elementos'!BL195,'LP Elementos'!BQ195,'LP Elementos'!BV195,'LP Elementos'!CA195,'LP Elementos'!CF195,'LP Elementos'!CK195,'LP Elementos'!CP195,'LP Elementos'!CU195,'LP Elementos'!CZ195)," ")</f>
        <v>227766</v>
      </c>
      <c r="G195" s="341">
        <f>IFERROR(GEOMEAN('LP Elementos'!F195,'LP Elementos'!I195,'LP Elementos'!N195,'LP Elementos'!S195,'LP Elementos'!X195,'LP Elementos'!AC195,'LP Elementos'!AH195,'LP Elementos'!AM195,'LP Elementos'!AR195,'LP Elementos'!AW195,'LP Elementos'!BB195,'LP Elementos'!BG195,'LP Elementos'!BL195,'LP Elementos'!BQ195,'LP Elementos'!BV195,'LP Elementos'!CA195,'LP Elementos'!CF195,'LP Elementos'!CK195,'LP Elementos'!CP195,'LP Elementos'!CU195,'LP Elementos'!CZ195)," ")</f>
        <v>314320.68799857236</v>
      </c>
      <c r="H195" s="341">
        <f t="shared" si="12"/>
        <v>79836.19930667548</v>
      </c>
      <c r="I195" s="342">
        <f t="shared" si="13"/>
        <v>0.2147084802054193</v>
      </c>
      <c r="J195" s="341">
        <f t="shared" si="14"/>
        <v>314320.68799857236</v>
      </c>
      <c r="K195" s="326" t="str">
        <f t="shared" si="15"/>
        <v>Media Geometrica</v>
      </c>
      <c r="L195" s="326">
        <f>IFERROR(COUNTA('LP Elementos'!F195,'LP Elementos'!I195,'LP Elementos'!N195,'LP Elementos'!S195,'LP Elementos'!X195,'LP Elementos'!AC195,'LP Elementos'!AH195,'LP Elementos'!AM195,'LP Elementos'!AR195,'LP Elementos'!AX195,'LP Elementos'!BB195,'LP Elementos'!BG195,'LP Elementos'!BL195,'LP Elementos'!BQ195,'LP Elementos'!BV195,'LP Elementos'!CA195,'LP Elementos'!CF195,'LP Elementos'!CK195,'LP Elementos'!CP195,'LP Elementos'!CU195,'LP Elementos'!CZ195)," ")</f>
        <v>3</v>
      </c>
    </row>
    <row r="196" spans="2:12" ht="27" x14ac:dyDescent="0.25">
      <c r="B196" s="411">
        <v>194</v>
      </c>
      <c r="C196" s="412" t="s">
        <v>3465</v>
      </c>
      <c r="D196" s="408">
        <f>IFERROR(MIN('LP Elementos'!F196,'LP Elementos'!I196,'LP Elementos'!N196,'LP Elementos'!S196,'LP Elementos'!X196,'LP Elementos'!AC196,'LP Elementos'!AH196,'LP Elementos'!AM196,'LP Elementos'!AR196,'LP Elementos'!AW196,'LP Elementos'!BB196,'LP Elementos'!BG196,'LP Elementos'!BL196,'LP Elementos'!BQ196,'LP Elementos'!BV196,'LP Elementos'!CA196,'LP Elementos'!CF196,'LP Elementos'!CK196,'LP Elementos'!CP196,'LP Elementos'!CU196,'LP Elementos'!CZ196)," ")</f>
        <v>16184</v>
      </c>
      <c r="E196" s="341">
        <f>IFERROR(AVERAGE('LP Elementos'!F196,'LP Elementos'!I196,'LP Elementos'!N196,'LP Elementos'!S196,'LP Elementos'!X196,'LP Elementos'!AC196,'LP Elementos'!AH196,'LP Elementos'!AM196,'LP Elementos'!AR196,'LP Elementos'!AW196,'LP Elementos'!BB196,'LP Elementos'!BG196,'LP Elementos'!BL196,'LP Elementos'!BQ196,'LP Elementos'!BV196,'LP Elementos'!CA196,'LP Elementos'!CF196,'LP Elementos'!CK196,'LP Elementos'!CP196,'LP Elementos'!CU196,'LP Elementos'!CZ196)," ")</f>
        <v>23690.52</v>
      </c>
      <c r="F196" s="341">
        <f>IFERROR(MEDIAN('LP Elementos'!F196,'LP Elementos'!I196,'LP Elementos'!N196,'LP Elementos'!S196,'LP Elementos'!X196,'LP Elementos'!AC196,'LP Elementos'!AH196,'LP Elementos'!AM196,'LP Elementos'!AR196,'LP Elementos'!AW196,'LP Elementos'!BB196,'LP Elementos'!BG196,'LP Elementos'!BL196,'LP Elementos'!BQ196,'LP Elementos'!BV196,'LP Elementos'!CA196,'LP Elementos'!CF196,'LP Elementos'!CK196,'LP Elementos'!CP196,'LP Elementos'!CU196,'LP Elementos'!CZ196)," ")</f>
        <v>25137.56</v>
      </c>
      <c r="G196" s="341">
        <f>IFERROR(GEOMEAN('LP Elementos'!F196,'LP Elementos'!I196,'LP Elementos'!N196,'LP Elementos'!S196,'LP Elementos'!X196,'LP Elementos'!AC196,'LP Elementos'!AH196,'LP Elementos'!AM196,'LP Elementos'!AR196,'LP Elementos'!AW196,'LP Elementos'!BB196,'LP Elementos'!BG196,'LP Elementos'!BL196,'LP Elementos'!BQ196,'LP Elementos'!BV196,'LP Elementos'!CA196,'LP Elementos'!CF196,'LP Elementos'!CK196,'LP Elementos'!CP196,'LP Elementos'!CU196,'LP Elementos'!CZ196)," ")</f>
        <v>22959.652996441127</v>
      </c>
      <c r="H196" s="341">
        <f t="shared" si="12"/>
        <v>3976.9641160775582</v>
      </c>
      <c r="I196" s="342">
        <f t="shared" si="13"/>
        <v>0.16787154170012131</v>
      </c>
      <c r="J196" s="341">
        <f t="shared" si="14"/>
        <v>23690.52</v>
      </c>
      <c r="K196" s="326" t="str">
        <f t="shared" si="15"/>
        <v>Promedio</v>
      </c>
      <c r="L196" s="326">
        <f>IFERROR(COUNTA('LP Elementos'!F196,'LP Elementos'!I196,'LP Elementos'!N196,'LP Elementos'!S196,'LP Elementos'!X196,'LP Elementos'!AC196,'LP Elementos'!AH196,'LP Elementos'!AM196,'LP Elementos'!AR196,'LP Elementos'!AX196,'LP Elementos'!BB196,'LP Elementos'!BG196,'LP Elementos'!BL196,'LP Elementos'!BQ196,'LP Elementos'!BV196,'LP Elementos'!CA196,'LP Elementos'!CF196,'LP Elementos'!CK196,'LP Elementos'!CP196,'LP Elementos'!CU196,'LP Elementos'!CZ196)," ")</f>
        <v>3</v>
      </c>
    </row>
    <row r="197" spans="2:12" x14ac:dyDescent="0.25">
      <c r="B197" s="411">
        <v>195</v>
      </c>
      <c r="C197" s="412" t="s">
        <v>3469</v>
      </c>
      <c r="D197" s="408">
        <f>IFERROR(MIN('LP Elementos'!F197,'LP Elementos'!I197,'LP Elementos'!N197,'LP Elementos'!S197,'LP Elementos'!X197,'LP Elementos'!AC197,'LP Elementos'!AH197,'LP Elementos'!AM197,'LP Elementos'!AR197,'LP Elementos'!AW197,'LP Elementos'!BB197,'LP Elementos'!BG197,'LP Elementos'!BL197,'LP Elementos'!BQ197,'LP Elementos'!BV197,'LP Elementos'!CA197,'LP Elementos'!CF197,'LP Elementos'!CK197,'LP Elementos'!CP197,'LP Elementos'!CU197,'LP Elementos'!CZ197)," ")</f>
        <v>36449.462</v>
      </c>
      <c r="E197" s="341">
        <f>IFERROR(AVERAGE('LP Elementos'!F197,'LP Elementos'!I197,'LP Elementos'!N197,'LP Elementos'!S197,'LP Elementos'!X197,'LP Elementos'!AC197,'LP Elementos'!AH197,'LP Elementos'!AM197,'LP Elementos'!AR197,'LP Elementos'!AW197,'LP Elementos'!BB197,'LP Elementos'!BG197,'LP Elementos'!BL197,'LP Elementos'!BQ197,'LP Elementos'!BV197,'LP Elementos'!CA197,'LP Elementos'!CF197,'LP Elementos'!CK197,'LP Elementos'!CP197,'LP Elementos'!CU197,'LP Elementos'!CZ197)," ")</f>
        <v>562649.73100000003</v>
      </c>
      <c r="F197" s="341">
        <f>IFERROR(MEDIAN('LP Elementos'!F197,'LP Elementos'!I197,'LP Elementos'!N197,'LP Elementos'!S197,'LP Elementos'!X197,'LP Elementos'!AC197,'LP Elementos'!AH197,'LP Elementos'!AM197,'LP Elementos'!AR197,'LP Elementos'!AW197,'LP Elementos'!BB197,'LP Elementos'!BG197,'LP Elementos'!BL197,'LP Elementos'!BQ197,'LP Elementos'!BV197,'LP Elementos'!CA197,'LP Elementos'!CF197,'LP Elementos'!CK197,'LP Elementos'!CP197,'LP Elementos'!CU197,'LP Elementos'!CZ197)," ")</f>
        <v>562649.73099999991</v>
      </c>
      <c r="G197" s="341">
        <f>IFERROR(GEOMEAN('LP Elementos'!F197,'LP Elementos'!I197,'LP Elementos'!N197,'LP Elementos'!S197,'LP Elementos'!X197,'LP Elementos'!AC197,'LP Elementos'!AH197,'LP Elementos'!AM197,'LP Elementos'!AR197,'LP Elementos'!AW197,'LP Elementos'!BB197,'LP Elementos'!BG197,'LP Elementos'!BL197,'LP Elementos'!BQ197,'LP Elementos'!BV197,'LP Elementos'!CA197,'LP Elementos'!CF197,'LP Elementos'!CK197,'LP Elementos'!CP197,'LP Elementos'!CU197,'LP Elementos'!CZ197)," ")</f>
        <v>199218.46475339579</v>
      </c>
      <c r="H197" s="341">
        <f t="shared" si="12"/>
        <v>265272.15035065077</v>
      </c>
      <c r="I197" s="342">
        <f t="shared" si="13"/>
        <v>0.47146943424140864</v>
      </c>
      <c r="J197" s="341">
        <f t="shared" si="14"/>
        <v>36449.462</v>
      </c>
      <c r="K197" s="326" t="str">
        <f t="shared" si="15"/>
        <v>Menor Valor</v>
      </c>
      <c r="L197" s="326">
        <f>IFERROR(COUNTA('LP Elementos'!F197,'LP Elementos'!I197,'LP Elementos'!N197,'LP Elementos'!S197,'LP Elementos'!X197,'LP Elementos'!AC197,'LP Elementos'!AH197,'LP Elementos'!AM197,'LP Elementos'!AR197,'LP Elementos'!AX197,'LP Elementos'!BB197,'LP Elementos'!BG197,'LP Elementos'!BL197,'LP Elementos'!BQ197,'LP Elementos'!BV197,'LP Elementos'!CA197,'LP Elementos'!CF197,'LP Elementos'!CK197,'LP Elementos'!CP197,'LP Elementos'!CU197,'LP Elementos'!CZ197)," ")</f>
        <v>2</v>
      </c>
    </row>
    <row r="198" spans="2:12" x14ac:dyDescent="0.25">
      <c r="B198" s="411">
        <v>196</v>
      </c>
      <c r="C198" s="412" t="s">
        <v>3470</v>
      </c>
      <c r="D198" s="408">
        <f>IFERROR(MIN('LP Elementos'!F198,'LP Elementos'!I198,'LP Elementos'!N198,'LP Elementos'!S198,'LP Elementos'!X198,'LP Elementos'!AC198,'LP Elementos'!AH198,'LP Elementos'!AM198,'LP Elementos'!AR198,'LP Elementos'!AW198,'LP Elementos'!BB198,'LP Elementos'!BG198,'LP Elementos'!BL198,'LP Elementos'!BQ198,'LP Elementos'!BV198,'LP Elementos'!CA198,'LP Elementos'!CF198,'LP Elementos'!CK198,'LP Elementos'!CP198,'LP Elementos'!CU198,'LP Elementos'!CZ198)," ")</f>
        <v>17671.5</v>
      </c>
      <c r="E198" s="341">
        <f>IFERROR(AVERAGE('LP Elementos'!F198,'LP Elementos'!I198,'LP Elementos'!N198,'LP Elementos'!S198,'LP Elementos'!X198,'LP Elementos'!AC198,'LP Elementos'!AH198,'LP Elementos'!AM198,'LP Elementos'!AR198,'LP Elementos'!AW198,'LP Elementos'!BB198,'LP Elementos'!BG198,'LP Elementos'!BL198,'LP Elementos'!BQ198,'LP Elementos'!BV198,'LP Elementos'!CA198,'LP Elementos'!CF198,'LP Elementos'!CK198,'LP Elementos'!CP198,'LP Elementos'!CU198,'LP Elementos'!CZ198)," ")</f>
        <v>148515.37166666667</v>
      </c>
      <c r="F198" s="341">
        <f>IFERROR(MEDIAN('LP Elementos'!F198,'LP Elementos'!I198,'LP Elementos'!N198,'LP Elementos'!S198,'LP Elementos'!X198,'LP Elementos'!AC198,'LP Elementos'!AH198,'LP Elementos'!AM198,'LP Elementos'!AR198,'LP Elementos'!AW198,'LP Elementos'!BB198,'LP Elementos'!BG198,'LP Elementos'!BL198,'LP Elementos'!BQ198,'LP Elementos'!BV198,'LP Elementos'!CA198,'LP Elementos'!CF198,'LP Elementos'!CK198,'LP Elementos'!CP198,'LP Elementos'!CU198,'LP Elementos'!CZ198)," ")</f>
        <v>54799.5</v>
      </c>
      <c r="G198" s="341">
        <f>IFERROR(GEOMEAN('LP Elementos'!F198,'LP Elementos'!I198,'LP Elementos'!N198,'LP Elementos'!S198,'LP Elementos'!X198,'LP Elementos'!AC198,'LP Elementos'!AH198,'LP Elementos'!AM198,'LP Elementos'!AR198,'LP Elementos'!AW198,'LP Elementos'!BB198,'LP Elementos'!BG198,'LP Elementos'!BL198,'LP Elementos'!BQ198,'LP Elementos'!BV198,'LP Elementos'!CA198,'LP Elementos'!CF198,'LP Elementos'!CK198,'LP Elementos'!CP198,'LP Elementos'!CU198,'LP Elementos'!CZ198)," ")</f>
        <v>66712.583567975948</v>
      </c>
      <c r="H198" s="341">
        <f t="shared" si="12"/>
        <v>55166.352454269596</v>
      </c>
      <c r="I198" s="342">
        <f t="shared" si="13"/>
        <v>0.37145213882699613</v>
      </c>
      <c r="J198" s="341">
        <f t="shared" si="14"/>
        <v>17671.5</v>
      </c>
      <c r="K198" s="326" t="str">
        <f t="shared" si="15"/>
        <v>Menor Valor</v>
      </c>
      <c r="L198" s="326">
        <f>IFERROR(COUNTA('LP Elementos'!F198,'LP Elementos'!I198,'LP Elementos'!N198,'LP Elementos'!S198,'LP Elementos'!X198,'LP Elementos'!AC198,'LP Elementos'!AH198,'LP Elementos'!AM198,'LP Elementos'!AR198,'LP Elementos'!AX198,'LP Elementos'!BB198,'LP Elementos'!BG198,'LP Elementos'!BL198,'LP Elementos'!BQ198,'LP Elementos'!BV198,'LP Elementos'!CA198,'LP Elementos'!CF198,'LP Elementos'!CK198,'LP Elementos'!CP198,'LP Elementos'!CU198,'LP Elementos'!CZ198)," ")</f>
        <v>6</v>
      </c>
    </row>
    <row r="199" spans="2:12" ht="27" x14ac:dyDescent="0.25">
      <c r="B199" s="411">
        <v>197</v>
      </c>
      <c r="C199" s="412" t="s">
        <v>3473</v>
      </c>
      <c r="D199" s="408">
        <f>IFERROR(MIN('LP Elementos'!F199,'LP Elementos'!I199,'LP Elementos'!N199,'LP Elementos'!S199,'LP Elementos'!X199,'LP Elementos'!AC199,'LP Elementos'!AH199,'LP Elementos'!AM199,'LP Elementos'!AR199,'LP Elementos'!AW199,'LP Elementos'!BB199,'LP Elementos'!BG199,'LP Elementos'!BL199,'LP Elementos'!BQ199,'LP Elementos'!BV199,'LP Elementos'!CA199,'LP Elementos'!CF199,'LP Elementos'!CK199,'LP Elementos'!CP199,'LP Elementos'!CU199,'LP Elementos'!CZ199)," ")</f>
        <v>25388.935600000001</v>
      </c>
      <c r="E199" s="341">
        <f>IFERROR(AVERAGE('LP Elementos'!F199,'LP Elementos'!I199,'LP Elementos'!N199,'LP Elementos'!S199,'LP Elementos'!X199,'LP Elementos'!AC199,'LP Elementos'!AH199,'LP Elementos'!AM199,'LP Elementos'!AR199,'LP Elementos'!AW199,'LP Elementos'!BB199,'LP Elementos'!BG199,'LP Elementos'!BL199,'LP Elementos'!BQ199,'LP Elementos'!BV199,'LP Elementos'!CA199,'LP Elementos'!CF199,'LP Elementos'!CK199,'LP Elementos'!CP199,'LP Elementos'!CU199,'LP Elementos'!CZ199)," ")</f>
        <v>25388.935600000001</v>
      </c>
      <c r="F199" s="341">
        <f>IFERROR(MEDIAN('LP Elementos'!F199,'LP Elementos'!I199,'LP Elementos'!N199,'LP Elementos'!S199,'LP Elementos'!X199,'LP Elementos'!AC199,'LP Elementos'!AH199,'LP Elementos'!AM199,'LP Elementos'!AR199,'LP Elementos'!AW199,'LP Elementos'!BB199,'LP Elementos'!BG199,'LP Elementos'!BL199,'LP Elementos'!BQ199,'LP Elementos'!BV199,'LP Elementos'!CA199,'LP Elementos'!CF199,'LP Elementos'!CK199,'LP Elementos'!CP199,'LP Elementos'!CU199,'LP Elementos'!CZ199)," ")</f>
        <v>25388.935600000001</v>
      </c>
      <c r="G199" s="341">
        <f>IFERROR(GEOMEAN('LP Elementos'!F199,'LP Elementos'!I199,'LP Elementos'!N199,'LP Elementos'!S199,'LP Elementos'!X199,'LP Elementos'!AC199,'LP Elementos'!AH199,'LP Elementos'!AM199,'LP Elementos'!AR199,'LP Elementos'!AW199,'LP Elementos'!BB199,'LP Elementos'!BG199,'LP Elementos'!BL199,'LP Elementos'!BQ199,'LP Elementos'!BV199,'LP Elementos'!CA199,'LP Elementos'!CF199,'LP Elementos'!CK199,'LP Elementos'!CP199,'LP Elementos'!CU199,'LP Elementos'!CZ199)," ")</f>
        <v>25388.935600000001</v>
      </c>
      <c r="H199" s="341">
        <f t="shared" si="12"/>
        <v>0</v>
      </c>
      <c r="I199" s="342">
        <f t="shared" si="13"/>
        <v>0</v>
      </c>
      <c r="J199" s="341">
        <f t="shared" si="14"/>
        <v>25388.935600000001</v>
      </c>
      <c r="K199" s="326" t="str">
        <f t="shared" si="15"/>
        <v>Menor Valor</v>
      </c>
      <c r="L199" s="326">
        <f>IFERROR(COUNTA('LP Elementos'!F199,'LP Elementos'!I199,'LP Elementos'!N199,'LP Elementos'!S199,'LP Elementos'!X199,'LP Elementos'!AC199,'LP Elementos'!AH199,'LP Elementos'!AM199,'LP Elementos'!AR199,'LP Elementos'!AX199,'LP Elementos'!BB199,'LP Elementos'!BG199,'LP Elementos'!BL199,'LP Elementos'!BQ199,'LP Elementos'!BV199,'LP Elementos'!CA199,'LP Elementos'!CF199,'LP Elementos'!CK199,'LP Elementos'!CP199,'LP Elementos'!CU199,'LP Elementos'!CZ199)," ")</f>
        <v>1</v>
      </c>
    </row>
    <row r="200" spans="2:12" ht="27" x14ac:dyDescent="0.25">
      <c r="B200" s="411">
        <v>198</v>
      </c>
      <c r="C200" s="412" t="s">
        <v>3474</v>
      </c>
      <c r="D200" s="408">
        <f>IFERROR(MIN('LP Elementos'!F200,'LP Elementos'!I200,'LP Elementos'!N200,'LP Elementos'!S200,'LP Elementos'!X200,'LP Elementos'!AC200,'LP Elementos'!AH200,'LP Elementos'!AM200,'LP Elementos'!AR200,'LP Elementos'!AW200,'LP Elementos'!BB200,'LP Elementos'!BG200,'LP Elementos'!BL200,'LP Elementos'!BQ200,'LP Elementos'!BV200,'LP Elementos'!CA200,'LP Elementos'!CF200,'LP Elementos'!CK200,'LP Elementos'!CP200,'LP Elementos'!CU200,'LP Elementos'!CZ200)," ")</f>
        <v>48790</v>
      </c>
      <c r="E200" s="341">
        <f>IFERROR(AVERAGE('LP Elementos'!F200,'LP Elementos'!I200,'LP Elementos'!N200,'LP Elementos'!S200,'LP Elementos'!X200,'LP Elementos'!AC200,'LP Elementos'!AH200,'LP Elementos'!AM200,'LP Elementos'!AR200,'LP Elementos'!AW200,'LP Elementos'!BB200,'LP Elementos'!BG200,'LP Elementos'!BL200,'LP Elementos'!BQ200,'LP Elementos'!BV200,'LP Elementos'!CA200,'LP Elementos'!CF200,'LP Elementos'!CK200,'LP Elementos'!CP200,'LP Elementos'!CU200,'LP Elementos'!CZ200)," ")</f>
        <v>80162.763333333336</v>
      </c>
      <c r="F200" s="341">
        <f>IFERROR(MEDIAN('LP Elementos'!F200,'LP Elementos'!I200,'LP Elementos'!N200,'LP Elementos'!S200,'LP Elementos'!X200,'LP Elementos'!AC200,'LP Elementos'!AH200,'LP Elementos'!AM200,'LP Elementos'!AR200,'LP Elementos'!AW200,'LP Elementos'!BB200,'LP Elementos'!BG200,'LP Elementos'!BL200,'LP Elementos'!BQ200,'LP Elementos'!BV200,'LP Elementos'!CA200,'LP Elementos'!CF200,'LP Elementos'!CK200,'LP Elementos'!CP200,'LP Elementos'!CU200,'LP Elementos'!CZ200)," ")</f>
        <v>69128.290000000008</v>
      </c>
      <c r="G200" s="341">
        <f>IFERROR(GEOMEAN('LP Elementos'!F200,'LP Elementos'!I200,'LP Elementos'!N200,'LP Elementos'!S200,'LP Elementos'!X200,'LP Elementos'!AC200,'LP Elementos'!AH200,'LP Elementos'!AM200,'LP Elementos'!AR200,'LP Elementos'!AW200,'LP Elementos'!BB200,'LP Elementos'!BG200,'LP Elementos'!BL200,'LP Elementos'!BQ200,'LP Elementos'!BV200,'LP Elementos'!CA200,'LP Elementos'!CF200,'LP Elementos'!CK200,'LP Elementos'!CP200,'LP Elementos'!CU200,'LP Elementos'!CZ200)," ")</f>
        <v>74494.396486404818</v>
      </c>
      <c r="H200" s="341">
        <f t="shared" si="12"/>
        <v>13666.557117353315</v>
      </c>
      <c r="I200" s="342">
        <f t="shared" si="13"/>
        <v>0.17048510491741592</v>
      </c>
      <c r="J200" s="341">
        <f t="shared" si="14"/>
        <v>80162.763333333336</v>
      </c>
      <c r="K200" s="326" t="str">
        <f t="shared" si="15"/>
        <v>Promedio</v>
      </c>
      <c r="L200" s="326">
        <f>IFERROR(COUNTA('LP Elementos'!F200,'LP Elementos'!I200,'LP Elementos'!N200,'LP Elementos'!S200,'LP Elementos'!X200,'LP Elementos'!AC200,'LP Elementos'!AH200,'LP Elementos'!AM200,'LP Elementos'!AR200,'LP Elementos'!AX200,'LP Elementos'!BB200,'LP Elementos'!BG200,'LP Elementos'!BL200,'LP Elementos'!BQ200,'LP Elementos'!BV200,'LP Elementos'!CA200,'LP Elementos'!CF200,'LP Elementos'!CK200,'LP Elementos'!CP200,'LP Elementos'!CU200,'LP Elementos'!CZ200)," ")</f>
        <v>3</v>
      </c>
    </row>
    <row r="201" spans="2:12" ht="67.5" x14ac:dyDescent="0.25">
      <c r="B201" s="411">
        <v>199</v>
      </c>
      <c r="C201" s="412" t="s">
        <v>3477</v>
      </c>
      <c r="D201" s="408">
        <f>IFERROR(MIN('LP Elementos'!F201,'LP Elementos'!I201,'LP Elementos'!N201,'LP Elementos'!S201,'LP Elementos'!X201,'LP Elementos'!AC201,'LP Elementos'!AH201,'LP Elementos'!AM201,'LP Elementos'!AR201,'LP Elementos'!AW201,'LP Elementos'!BB201,'LP Elementos'!BG201,'LP Elementos'!BL201,'LP Elementos'!BQ201,'LP Elementos'!BV201,'LP Elementos'!CA201,'LP Elementos'!CF201,'LP Elementos'!CK201,'LP Elementos'!CP201,'LP Elementos'!CU201,'LP Elementos'!CZ201)," ")</f>
        <v>16541</v>
      </c>
      <c r="E201" s="341">
        <f>IFERROR(AVERAGE('LP Elementos'!F201,'LP Elementos'!I201,'LP Elementos'!N201,'LP Elementos'!S201,'LP Elementos'!X201,'LP Elementos'!AC201,'LP Elementos'!AH201,'LP Elementos'!AM201,'LP Elementos'!AR201,'LP Elementos'!AW201,'LP Elementos'!BB201,'LP Elementos'!BG201,'LP Elementos'!BL201,'LP Elementos'!BQ201,'LP Elementos'!BV201,'LP Elementos'!CA201,'LP Elementos'!CF201,'LP Elementos'!CK201,'LP Elementos'!CP201,'LP Elementos'!CU201,'LP Elementos'!CZ201)," ")</f>
        <v>206721.70679999999</v>
      </c>
      <c r="F201" s="341">
        <f>IFERROR(MEDIAN('LP Elementos'!F201,'LP Elementos'!I201,'LP Elementos'!N201,'LP Elementos'!S201,'LP Elementos'!X201,'LP Elementos'!AC201,'LP Elementos'!AH201,'LP Elementos'!AM201,'LP Elementos'!AR201,'LP Elementos'!AW201,'LP Elementos'!BB201,'LP Elementos'!BG201,'LP Elementos'!BL201,'LP Elementos'!BQ201,'LP Elementos'!BV201,'LP Elementos'!CA201,'LP Elementos'!CF201,'LP Elementos'!CK201,'LP Elementos'!CP201,'LP Elementos'!CU201,'LP Elementos'!CZ201)," ")</f>
        <v>66614.534</v>
      </c>
      <c r="G201" s="341">
        <f>IFERROR(GEOMEAN('LP Elementos'!F201,'LP Elementos'!I201,'LP Elementos'!N201,'LP Elementos'!S201,'LP Elementos'!X201,'LP Elementos'!AC201,'LP Elementos'!AH201,'LP Elementos'!AM201,'LP Elementos'!AR201,'LP Elementos'!AW201,'LP Elementos'!BB201,'LP Elementos'!BG201,'LP Elementos'!BL201,'LP Elementos'!BQ201,'LP Elementos'!BV201,'LP Elementos'!CA201,'LP Elementos'!CF201,'LP Elementos'!CK201,'LP Elementos'!CP201,'LP Elementos'!CU201,'LP Elementos'!CZ201)," ")</f>
        <v>68355.691002142936</v>
      </c>
      <c r="H201" s="341">
        <f t="shared" si="12"/>
        <v>81720.574763097611</v>
      </c>
      <c r="I201" s="342">
        <f t="shared" si="13"/>
        <v>0.39531685389072851</v>
      </c>
      <c r="J201" s="341">
        <f>IF(I201&lt;=10%,F201,IF(AND(I201&gt;10%,I201&lt;=20%),E201,IF(AND(I201&gt;20%,I201&lt;=42%),G201,IF(I201&gt;42%,D201))))</f>
        <v>68355.691002142936</v>
      </c>
      <c r="K201" s="326" t="str">
        <f t="shared" si="15"/>
        <v>Media Geometrica</v>
      </c>
      <c r="L201" s="326">
        <f>IFERROR(COUNTA('LP Elementos'!F201,'LP Elementos'!I201,'LP Elementos'!N201,'LP Elementos'!S201,'LP Elementos'!X201,'LP Elementos'!AC201,'LP Elementos'!AH201,'LP Elementos'!AM201,'LP Elementos'!AR201,'LP Elementos'!AX201,'LP Elementos'!BB201,'LP Elementos'!BG201,'LP Elementos'!BL201,'LP Elementos'!BQ201,'LP Elementos'!BV201,'LP Elementos'!CA201,'LP Elementos'!CF201,'LP Elementos'!CK201,'LP Elementos'!CP201,'LP Elementos'!CU201,'LP Elementos'!CZ201)," ")</f>
        <v>5</v>
      </c>
    </row>
    <row r="202" spans="2:12" ht="162" x14ac:dyDescent="0.25">
      <c r="B202" s="411">
        <v>200</v>
      </c>
      <c r="C202" s="412" t="s">
        <v>3479</v>
      </c>
      <c r="D202" s="408">
        <f>IFERROR(MIN('LP Elementos'!F202,'LP Elementos'!I202,'LP Elementos'!N202,'LP Elementos'!S202,'LP Elementos'!X202,'LP Elementos'!AC202,'LP Elementos'!AH202,'LP Elementos'!AM202,'LP Elementos'!AR202,'LP Elementos'!AW202,'LP Elementos'!BB202,'LP Elementos'!BG202,'LP Elementos'!BL202,'LP Elementos'!BQ202,'LP Elementos'!BV202,'LP Elementos'!CA202,'LP Elementos'!CF202,'LP Elementos'!CK202,'LP Elementos'!CP202,'LP Elementos'!CU202,'LP Elementos'!CZ202)," ")</f>
        <v>24395</v>
      </c>
      <c r="E202" s="341">
        <f>IFERROR(AVERAGE('LP Elementos'!F202,'LP Elementos'!I202,'LP Elementos'!N202,'LP Elementos'!S202,'LP Elementos'!X202,'LP Elementos'!AC202,'LP Elementos'!AH202,'LP Elementos'!AM202,'LP Elementos'!AR202,'LP Elementos'!AW202,'LP Elementos'!BB202,'LP Elementos'!BG202,'LP Elementos'!BL202,'LP Elementos'!BQ202,'LP Elementos'!BV202,'LP Elementos'!CA202,'LP Elementos'!CF202,'LP Elementos'!CK202,'LP Elementos'!CP202,'LP Elementos'!CU202,'LP Elementos'!CZ202)," ")</f>
        <v>237309.12566666666</v>
      </c>
      <c r="F202" s="341">
        <f>IFERROR(MEDIAN('LP Elementos'!F202,'LP Elementos'!I202,'LP Elementos'!N202,'LP Elementos'!S202,'LP Elementos'!X202,'LP Elementos'!AC202,'LP Elementos'!AH202,'LP Elementos'!AM202,'LP Elementos'!AR202,'LP Elementos'!AW202,'LP Elementos'!BB202,'LP Elementos'!BG202,'LP Elementos'!BL202,'LP Elementos'!BQ202,'LP Elementos'!BV202,'LP Elementos'!CA202,'LP Elementos'!CF202,'LP Elementos'!CK202,'LP Elementos'!CP202,'LP Elementos'!CU202,'LP Elementos'!CZ202)," ")</f>
        <v>43385.377</v>
      </c>
      <c r="G202" s="341">
        <f>IFERROR(GEOMEAN('LP Elementos'!F202,'LP Elementos'!I202,'LP Elementos'!N202,'LP Elementos'!S202,'LP Elementos'!X202,'LP Elementos'!AC202,'LP Elementos'!AH202,'LP Elementos'!AM202,'LP Elementos'!AR202,'LP Elementos'!AW202,'LP Elementos'!BB202,'LP Elementos'!BG202,'LP Elementos'!BL202,'LP Elementos'!BQ202,'LP Elementos'!BV202,'LP Elementos'!CA202,'LP Elementos'!CF202,'LP Elementos'!CK202,'LP Elementos'!CP202,'LP Elementos'!CU202,'LP Elementos'!CZ202)," ")</f>
        <v>81300.761771192236</v>
      </c>
      <c r="H202" s="341">
        <f t="shared" si="12"/>
        <v>96744.47932327789</v>
      </c>
      <c r="I202" s="342">
        <f t="shared" si="13"/>
        <v>0.40767281515827097</v>
      </c>
      <c r="J202" s="341">
        <f>IF(I202&lt;=10%,F202,IF(AND(I202&gt;10%,I202&lt;=20%),E202,IF(AND(I202&gt;20%,I202&lt;=42%),G202,IF(I202&gt;42%,D202))))</f>
        <v>81300.761771192236</v>
      </c>
      <c r="K202" s="326" t="str">
        <f t="shared" si="15"/>
        <v>Media Geometrica</v>
      </c>
      <c r="L202" s="326">
        <f>IFERROR(COUNTA('LP Elementos'!F202,'LP Elementos'!I202,'LP Elementos'!N202,'LP Elementos'!S202,'LP Elementos'!X202,'LP Elementos'!AC202,'LP Elementos'!AH202,'LP Elementos'!AM202,'LP Elementos'!AR202,'LP Elementos'!AX202,'LP Elementos'!BB202,'LP Elementos'!BG202,'LP Elementos'!BL202,'LP Elementos'!BQ202,'LP Elementos'!BV202,'LP Elementos'!CA202,'LP Elementos'!CF202,'LP Elementos'!CK202,'LP Elementos'!CP202,'LP Elementos'!CU202,'LP Elementos'!CZ202)," ")</f>
        <v>6</v>
      </c>
    </row>
    <row r="203" spans="2:12" ht="162" x14ac:dyDescent="0.25">
      <c r="B203" s="411">
        <v>201</v>
      </c>
      <c r="C203" s="412" t="s">
        <v>3482</v>
      </c>
      <c r="D203" s="408">
        <f>IFERROR(MIN('LP Elementos'!F203,'LP Elementos'!I203,'LP Elementos'!N203,'LP Elementos'!S203,'LP Elementos'!X203,'LP Elementos'!AC203,'LP Elementos'!AH203,'LP Elementos'!AM203,'LP Elementos'!AR203,'LP Elementos'!AW203,'LP Elementos'!BB203,'LP Elementos'!BG203,'LP Elementos'!BL203,'LP Elementos'!BQ203,'LP Elementos'!BV203,'LP Elementos'!CA203,'LP Elementos'!CF203,'LP Elementos'!CK203,'LP Elementos'!CP203,'LP Elementos'!CU203,'LP Elementos'!CZ203)," ")</f>
        <v>19754</v>
      </c>
      <c r="E203" s="341">
        <f>IFERROR(AVERAGE('LP Elementos'!F203,'LP Elementos'!I203,'LP Elementos'!N203,'LP Elementos'!S203,'LP Elementos'!X203,'LP Elementos'!AC203,'LP Elementos'!AH203,'LP Elementos'!AM203,'LP Elementos'!AR203,'LP Elementos'!AW203,'LP Elementos'!BB203,'LP Elementos'!BG203,'LP Elementos'!BL203,'LP Elementos'!BQ203,'LP Elementos'!BV203,'LP Elementos'!CA203,'LP Elementos'!CF203,'LP Elementos'!CK203,'LP Elementos'!CP203,'LP Elementos'!CU203,'LP Elementos'!CZ203)," ")</f>
        <v>27835.528000000002</v>
      </c>
      <c r="F203" s="341">
        <f>IFERROR(MEDIAN('LP Elementos'!F203,'LP Elementos'!I203,'LP Elementos'!N203,'LP Elementos'!S203,'LP Elementos'!X203,'LP Elementos'!AC203,'LP Elementos'!AH203,'LP Elementos'!AM203,'LP Elementos'!AR203,'LP Elementos'!AW203,'LP Elementos'!BB203,'LP Elementos'!BG203,'LP Elementos'!BL203,'LP Elementos'!BQ203,'LP Elementos'!BV203,'LP Elementos'!CA203,'LP Elementos'!CF203,'LP Elementos'!CK203,'LP Elementos'!CP203,'LP Elementos'!CU203,'LP Elementos'!CZ203)," ")</f>
        <v>28560</v>
      </c>
      <c r="G203" s="341">
        <f>IFERROR(GEOMEAN('LP Elementos'!F203,'LP Elementos'!I203,'LP Elementos'!N203,'LP Elementos'!S203,'LP Elementos'!X203,'LP Elementos'!AC203,'LP Elementos'!AH203,'LP Elementos'!AM203,'LP Elementos'!AR203,'LP Elementos'!AW203,'LP Elementos'!BB203,'LP Elementos'!BG203,'LP Elementos'!BL203,'LP Elementos'!BQ203,'LP Elementos'!BV203,'LP Elementos'!CA203,'LP Elementos'!CF203,'LP Elementos'!CK203,'LP Elementos'!CP203,'LP Elementos'!CU203,'LP Elementos'!CZ203)," ")</f>
        <v>27078.304614120985</v>
      </c>
      <c r="H203" s="341">
        <f t="shared" si="12"/>
        <v>4080.3986431746425</v>
      </c>
      <c r="I203" s="342">
        <f t="shared" si="13"/>
        <v>0.14658959022349574</v>
      </c>
      <c r="J203" s="341">
        <f t="shared" si="14"/>
        <v>27835.528000000002</v>
      </c>
      <c r="K203" s="326" t="str">
        <f t="shared" si="15"/>
        <v>Promedio</v>
      </c>
      <c r="L203" s="326">
        <f>IFERROR(COUNTA('LP Elementos'!F203,'LP Elementos'!I203,'LP Elementos'!N203,'LP Elementos'!S203,'LP Elementos'!X203,'LP Elementos'!AC203,'LP Elementos'!AH203,'LP Elementos'!AM203,'LP Elementos'!AR203,'LP Elementos'!AX203,'LP Elementos'!BB203,'LP Elementos'!BG203,'LP Elementos'!BL203,'LP Elementos'!BQ203,'LP Elementos'!BV203,'LP Elementos'!CA203,'LP Elementos'!CF203,'LP Elementos'!CK203,'LP Elementos'!CP203,'LP Elementos'!CU203,'LP Elementos'!CZ203)," ")</f>
        <v>3</v>
      </c>
    </row>
    <row r="204" spans="2:12" ht="162" x14ac:dyDescent="0.25">
      <c r="B204" s="411">
        <v>202</v>
      </c>
      <c r="C204" s="412" t="s">
        <v>3485</v>
      </c>
      <c r="D204" s="408">
        <f>IFERROR(MIN('LP Elementos'!F204,'LP Elementos'!I204,'LP Elementos'!N204,'LP Elementos'!S204,'LP Elementos'!X204,'LP Elementos'!AC204,'LP Elementos'!AH204,'LP Elementos'!AM204,'LP Elementos'!AR204,'LP Elementos'!AW204,'LP Elementos'!BB204,'LP Elementos'!BG204,'LP Elementos'!BL204,'LP Elementos'!BQ204,'LP Elementos'!BV204,'LP Elementos'!CA204,'LP Elementos'!CF204,'LP Elementos'!CK204,'LP Elementos'!CP204,'LP Elementos'!CU204,'LP Elementos'!CZ204)," ")</f>
        <v>31654</v>
      </c>
      <c r="E204" s="341">
        <f>IFERROR(AVERAGE('LP Elementos'!F204,'LP Elementos'!I204,'LP Elementos'!N204,'LP Elementos'!S204,'LP Elementos'!X204,'LP Elementos'!AC204,'LP Elementos'!AH204,'LP Elementos'!AM204,'LP Elementos'!AR204,'LP Elementos'!AW204,'LP Elementos'!BB204,'LP Elementos'!BG204,'LP Elementos'!BL204,'LP Elementos'!BQ204,'LP Elementos'!BV204,'LP Elementos'!CA204,'LP Elementos'!CF204,'LP Elementos'!CK204,'LP Elementos'!CP204,'LP Elementos'!CU204,'LP Elementos'!CZ204)," ")</f>
        <v>405366.55040000001</v>
      </c>
      <c r="F204" s="341">
        <f>IFERROR(MEDIAN('LP Elementos'!F204,'LP Elementos'!I204,'LP Elementos'!N204,'LP Elementos'!S204,'LP Elementos'!X204,'LP Elementos'!AC204,'LP Elementos'!AH204,'LP Elementos'!AM204,'LP Elementos'!AR204,'LP Elementos'!AW204,'LP Elementos'!BB204,'LP Elementos'!BG204,'LP Elementos'!BL204,'LP Elementos'!BQ204,'LP Elementos'!BV204,'LP Elementos'!CA204,'LP Elementos'!CF204,'LP Elementos'!CK204,'LP Elementos'!CP204,'LP Elementos'!CU204,'LP Elementos'!CZ204)," ")</f>
        <v>105577.75200000001</v>
      </c>
      <c r="G204" s="341">
        <f>IFERROR(GEOMEAN('LP Elementos'!F204,'LP Elementos'!I204,'LP Elementos'!N204,'LP Elementos'!S204,'LP Elementos'!X204,'LP Elementos'!AC204,'LP Elementos'!AH204,'LP Elementos'!AM204,'LP Elementos'!AR204,'LP Elementos'!AW204,'LP Elementos'!BB204,'LP Elementos'!BG204,'LP Elementos'!BL204,'LP Elementos'!BQ204,'LP Elementos'!BV204,'LP Elementos'!CA204,'LP Elementos'!CF204,'LP Elementos'!CK204,'LP Elementos'!CP204,'LP Elementos'!CU204,'LP Elementos'!CZ204)," ")</f>
        <v>147956.75653684104</v>
      </c>
      <c r="H204" s="341">
        <f t="shared" si="12"/>
        <v>162424.65644687417</v>
      </c>
      <c r="I204" s="342">
        <f t="shared" si="13"/>
        <v>0.40068588857812715</v>
      </c>
      <c r="J204" s="341">
        <f>IF(I204&lt;=10%,F204,IF(AND(I204&gt;10%,I204&lt;=20%),E204,IF(AND(I204&gt;20%,I204&lt;=41%),G204,IF(I204&gt;41%,D204))))</f>
        <v>147956.75653684104</v>
      </c>
      <c r="K204" s="326" t="str">
        <f t="shared" si="15"/>
        <v>Media Geometrica</v>
      </c>
      <c r="L204" s="326">
        <f>IFERROR(COUNTA('LP Elementos'!F204,'LP Elementos'!I204,'LP Elementos'!N204,'LP Elementos'!S204,'LP Elementos'!X204,'LP Elementos'!AC204,'LP Elementos'!AH204,'LP Elementos'!AM204,'LP Elementos'!AR204,'LP Elementos'!AX204,'LP Elementos'!BB204,'LP Elementos'!BG204,'LP Elementos'!BL204,'LP Elementos'!BQ204,'LP Elementos'!BV204,'LP Elementos'!CA204,'LP Elementos'!CF204,'LP Elementos'!CK204,'LP Elementos'!CP204,'LP Elementos'!CU204,'LP Elementos'!CZ204)," ")</f>
        <v>5</v>
      </c>
    </row>
    <row r="205" spans="2:12" ht="175.5" x14ac:dyDescent="0.25">
      <c r="B205" s="411">
        <v>203</v>
      </c>
      <c r="C205" s="412" t="s">
        <v>3487</v>
      </c>
      <c r="D205" s="408">
        <f>IFERROR(MIN('LP Elementos'!F205,'LP Elementos'!I205,'LP Elementos'!N205,'LP Elementos'!S205,'LP Elementos'!X205,'LP Elementos'!AC205,'LP Elementos'!AH205,'LP Elementos'!AM205,'LP Elementos'!AR205,'LP Elementos'!AW205,'LP Elementos'!BB205,'LP Elementos'!BG205,'LP Elementos'!BL205,'LP Elementos'!BQ205,'LP Elementos'!BV205,'LP Elementos'!CA205,'LP Elementos'!CF205,'LP Elementos'!CK205,'LP Elementos'!CP205,'LP Elementos'!CU205,'LP Elementos'!CZ205)," ")</f>
        <v>12376</v>
      </c>
      <c r="E205" s="341">
        <f>IFERROR(AVERAGE('LP Elementos'!F205,'LP Elementos'!I205,'LP Elementos'!N205,'LP Elementos'!S205,'LP Elementos'!X205,'LP Elementos'!AC205,'LP Elementos'!AH205,'LP Elementos'!AM205,'LP Elementos'!AR205,'LP Elementos'!AW205,'LP Elementos'!BB205,'LP Elementos'!BG205,'LP Elementos'!BL205,'LP Elementos'!BQ205,'LP Elementos'!BV205,'LP Elementos'!CA205,'LP Elementos'!CF205,'LP Elementos'!CK205,'LP Elementos'!CP205,'LP Elementos'!CU205,'LP Elementos'!CZ205)," ")</f>
        <v>108495.55266666667</v>
      </c>
      <c r="F205" s="341">
        <f>IFERROR(MEDIAN('LP Elementos'!F205,'LP Elementos'!I205,'LP Elementos'!N205,'LP Elementos'!S205,'LP Elementos'!X205,'LP Elementos'!AC205,'LP Elementos'!AH205,'LP Elementos'!AM205,'LP Elementos'!AR205,'LP Elementos'!AW205,'LP Elementos'!BB205,'LP Elementos'!BG205,'LP Elementos'!BL205,'LP Elementos'!BQ205,'LP Elementos'!BV205,'LP Elementos'!CA205,'LP Elementos'!CF205,'LP Elementos'!CK205,'LP Elementos'!CP205,'LP Elementos'!CU205,'LP Elementos'!CZ205)," ")</f>
        <v>20706</v>
      </c>
      <c r="G205" s="341">
        <f>IFERROR(GEOMEAN('LP Elementos'!F205,'LP Elementos'!I205,'LP Elementos'!N205,'LP Elementos'!S205,'LP Elementos'!X205,'LP Elementos'!AC205,'LP Elementos'!AH205,'LP Elementos'!AM205,'LP Elementos'!AR205,'LP Elementos'!AW205,'LP Elementos'!BB205,'LP Elementos'!BG205,'LP Elementos'!BL205,'LP Elementos'!BQ205,'LP Elementos'!BV205,'LP Elementos'!CA205,'LP Elementos'!CF205,'LP Elementos'!CK205,'LP Elementos'!CP205,'LP Elementos'!CU205,'LP Elementos'!CZ205)," ")</f>
        <v>32854.563303298848</v>
      </c>
      <c r="H205" s="341">
        <f t="shared" ref="H205:H256" si="16">STDEVA(D205,E205,F205,G205)</f>
        <v>44068.016821938778</v>
      </c>
      <c r="I205" s="342">
        <f t="shared" ref="I205:I256" si="17">IFERROR(H205/E205," ")</f>
        <v>0.40617348581402168</v>
      </c>
      <c r="J205" s="341">
        <f>IF(I205&lt;=10%,F205,IF(AND(I205&gt;10%,I205&lt;=20%),E205,IF(AND(I205&gt;20%,I205&lt;=42%),G205,IF(I205&gt;42%,D205))))</f>
        <v>32854.563303298848</v>
      </c>
      <c r="K205" s="326" t="str">
        <f t="shared" ref="K205:K256" si="18">IF(J205=D205,"Menor Valor",IF(J205=E205,"Promedio",IF(J205=F205,"Mediana",IF(J205=G205,"Media Geometrica"," "))))</f>
        <v>Media Geometrica</v>
      </c>
      <c r="L205" s="326">
        <f>IFERROR(COUNTA('LP Elementos'!F205,'LP Elementos'!I205,'LP Elementos'!N205,'LP Elementos'!S205,'LP Elementos'!X205,'LP Elementos'!AC205,'LP Elementos'!AH205,'LP Elementos'!AM205,'LP Elementos'!AR205,'LP Elementos'!AX205,'LP Elementos'!BB205,'LP Elementos'!BG205,'LP Elementos'!BL205,'LP Elementos'!BQ205,'LP Elementos'!BV205,'LP Elementos'!CA205,'LP Elementos'!CF205,'LP Elementos'!CK205,'LP Elementos'!CP205,'LP Elementos'!CU205,'LP Elementos'!CZ205)," ")</f>
        <v>6</v>
      </c>
    </row>
    <row r="206" spans="2:12" ht="162" x14ac:dyDescent="0.25">
      <c r="B206" s="411">
        <v>204</v>
      </c>
      <c r="C206" s="412" t="s">
        <v>3490</v>
      </c>
      <c r="D206" s="408">
        <f>IFERROR(MIN('LP Elementos'!F206,'LP Elementos'!I206,'LP Elementos'!N206,'LP Elementos'!S206,'LP Elementos'!X206,'LP Elementos'!AC206,'LP Elementos'!AH206,'LP Elementos'!AM206,'LP Elementos'!AR206,'LP Elementos'!AW206,'LP Elementos'!BB206,'LP Elementos'!BG206,'LP Elementos'!BL206,'LP Elementos'!BQ206,'LP Elementos'!BV206,'LP Elementos'!CA206,'LP Elementos'!CF206,'LP Elementos'!CK206,'LP Elementos'!CP206,'LP Elementos'!CU206,'LP Elementos'!CZ206)," ")</f>
        <v>690200</v>
      </c>
      <c r="E206" s="341">
        <f>IFERROR(AVERAGE('LP Elementos'!F206,'LP Elementos'!I206,'LP Elementos'!N206,'LP Elementos'!S206,'LP Elementos'!X206,'LP Elementos'!AC206,'LP Elementos'!AH206,'LP Elementos'!AM206,'LP Elementos'!AR206,'LP Elementos'!AW206,'LP Elementos'!BB206,'LP Elementos'!BG206,'LP Elementos'!BL206,'LP Elementos'!BQ206,'LP Elementos'!BV206,'LP Elementos'!CA206,'LP Elementos'!CF206,'LP Elementos'!CK206,'LP Elementos'!CP206,'LP Elementos'!CU206,'LP Elementos'!CZ206)," ")</f>
        <v>776220.24410000001</v>
      </c>
      <c r="F206" s="341">
        <f>IFERROR(MEDIAN('LP Elementos'!F206,'LP Elementos'!I206,'LP Elementos'!N206,'LP Elementos'!S206,'LP Elementos'!X206,'LP Elementos'!AC206,'LP Elementos'!AH206,'LP Elementos'!AM206,'LP Elementos'!AR206,'LP Elementos'!AW206,'LP Elementos'!BB206,'LP Elementos'!BG206,'LP Elementos'!BL206,'LP Elementos'!BQ206,'LP Elementos'!BV206,'LP Elementos'!CA206,'LP Elementos'!CF206,'LP Elementos'!CK206,'LP Elementos'!CP206,'LP Elementos'!CU206,'LP Elementos'!CZ206)," ")</f>
        <v>776220.24410000001</v>
      </c>
      <c r="G206" s="341">
        <f>IFERROR(GEOMEAN('LP Elementos'!F206,'LP Elementos'!I206,'LP Elementos'!N206,'LP Elementos'!S206,'LP Elementos'!X206,'LP Elementos'!AC206,'LP Elementos'!AH206,'LP Elementos'!AM206,'LP Elementos'!AR206,'LP Elementos'!AW206,'LP Elementos'!BB206,'LP Elementos'!BG206,'LP Elementos'!BL206,'LP Elementos'!BQ206,'LP Elementos'!BV206,'LP Elementos'!CA206,'LP Elementos'!CF206,'LP Elementos'!CK206,'LP Elementos'!CP206,'LP Elementos'!CU206,'LP Elementos'!CZ206)," ")</f>
        <v>771439.16477946599</v>
      </c>
      <c r="H206" s="341">
        <f t="shared" si="16"/>
        <v>42273.399953015054</v>
      </c>
      <c r="I206" s="342">
        <f t="shared" si="17"/>
        <v>5.4460573882647918E-2</v>
      </c>
      <c r="J206" s="341">
        <f t="shared" ref="J206:J256" si="19">IF(I206&lt;=10%,F206,IF(AND(I206&gt;10%,I206&lt;=20%),E206,IF(AND(I206&gt;20%,I206&lt;=30%),G206,IF(I206&gt;30%,D206))))</f>
        <v>776220.24410000001</v>
      </c>
      <c r="K206" s="326" t="str">
        <f t="shared" si="18"/>
        <v>Promedio</v>
      </c>
      <c r="L206" s="326">
        <f>IFERROR(COUNTA('LP Elementos'!F206,'LP Elementos'!I206,'LP Elementos'!N206,'LP Elementos'!S206,'LP Elementos'!X206,'LP Elementos'!AC206,'LP Elementos'!AH206,'LP Elementos'!AM206,'LP Elementos'!AR206,'LP Elementos'!AX206,'LP Elementos'!BB206,'LP Elementos'!BG206,'LP Elementos'!BL206,'LP Elementos'!BQ206,'LP Elementos'!BV206,'LP Elementos'!CA206,'LP Elementos'!CF206,'LP Elementos'!CK206,'LP Elementos'!CP206,'LP Elementos'!CU206,'LP Elementos'!CZ206)," ")</f>
        <v>2</v>
      </c>
    </row>
    <row r="207" spans="2:12" ht="162" x14ac:dyDescent="0.25">
      <c r="B207" s="411">
        <v>205</v>
      </c>
      <c r="C207" s="412" t="s">
        <v>3491</v>
      </c>
      <c r="D207" s="408">
        <f>IFERROR(MIN('LP Elementos'!F207,'LP Elementos'!I207,'LP Elementos'!N207,'LP Elementos'!S207,'LP Elementos'!X207,'LP Elementos'!AC207,'LP Elementos'!AH207,'LP Elementos'!AM207,'LP Elementos'!AR207,'LP Elementos'!AW207,'LP Elementos'!BB207,'LP Elementos'!BG207,'LP Elementos'!BL207,'LP Elementos'!BQ207,'LP Elementos'!BV207,'LP Elementos'!CA207,'LP Elementos'!CF207,'LP Elementos'!CK207,'LP Elementos'!CP207,'LP Elementos'!CU207,'LP Elementos'!CZ207)," ")</f>
        <v>18326</v>
      </c>
      <c r="E207" s="341">
        <f>IFERROR(AVERAGE('LP Elementos'!F207,'LP Elementos'!I207,'LP Elementos'!N207,'LP Elementos'!S207,'LP Elementos'!X207,'LP Elementos'!AC207,'LP Elementos'!AH207,'LP Elementos'!AM207,'LP Elementos'!AR207,'LP Elementos'!AW207,'LP Elementos'!BB207,'LP Elementos'!BG207,'LP Elementos'!BL207,'LP Elementos'!BQ207,'LP Elementos'!BV207,'LP Elementos'!CA207,'LP Elementos'!CF207,'LP Elementos'!CK207,'LP Elementos'!CP207,'LP Elementos'!CU207,'LP Elementos'!CZ207)," ")</f>
        <v>169126.9412</v>
      </c>
      <c r="F207" s="341">
        <f>IFERROR(MEDIAN('LP Elementos'!F207,'LP Elementos'!I207,'LP Elementos'!N207,'LP Elementos'!S207,'LP Elementos'!X207,'LP Elementos'!AC207,'LP Elementos'!AH207,'LP Elementos'!AM207,'LP Elementos'!AR207,'LP Elementos'!AW207,'LP Elementos'!BB207,'LP Elementos'!BG207,'LP Elementos'!BL207,'LP Elementos'!BQ207,'LP Elementos'!BV207,'LP Elementos'!CA207,'LP Elementos'!CF207,'LP Elementos'!CK207,'LP Elementos'!CP207,'LP Elementos'!CU207,'LP Elementos'!CZ207)," ")</f>
        <v>28560</v>
      </c>
      <c r="G207" s="341">
        <f>IFERROR(GEOMEAN('LP Elementos'!F207,'LP Elementos'!I207,'LP Elementos'!N207,'LP Elementos'!S207,'LP Elementos'!X207,'LP Elementos'!AC207,'LP Elementos'!AH207,'LP Elementos'!AM207,'LP Elementos'!AR207,'LP Elementos'!AW207,'LP Elementos'!BB207,'LP Elementos'!BG207,'LP Elementos'!BL207,'LP Elementos'!BQ207,'LP Elementos'!BV207,'LP Elementos'!CA207,'LP Elementos'!CF207,'LP Elementos'!CK207,'LP Elementos'!CP207,'LP Elementos'!CU207,'LP Elementos'!CZ207)," ")</f>
        <v>48852.410314084598</v>
      </c>
      <c r="H207" s="341">
        <f t="shared" si="16"/>
        <v>69770.056855822302</v>
      </c>
      <c r="I207" s="342">
        <f t="shared" si="17"/>
        <v>0.41253070835897254</v>
      </c>
      <c r="J207" s="341">
        <f t="shared" si="19"/>
        <v>18326</v>
      </c>
      <c r="K207" s="326" t="str">
        <f t="shared" si="18"/>
        <v>Menor Valor</v>
      </c>
      <c r="L207" s="326">
        <f>IFERROR(COUNTA('LP Elementos'!F207,'LP Elementos'!I207,'LP Elementos'!N207,'LP Elementos'!S207,'LP Elementos'!X207,'LP Elementos'!AC207,'LP Elementos'!AH207,'LP Elementos'!AM207,'LP Elementos'!AR207,'LP Elementos'!AX207,'LP Elementos'!BB207,'LP Elementos'!BG207,'LP Elementos'!BL207,'LP Elementos'!BQ207,'LP Elementos'!BV207,'LP Elementos'!CA207,'LP Elementos'!CF207,'LP Elementos'!CK207,'LP Elementos'!CP207,'LP Elementos'!CU207,'LP Elementos'!CZ207)," ")</f>
        <v>5</v>
      </c>
    </row>
    <row r="208" spans="2:12" ht="54" x14ac:dyDescent="0.25">
      <c r="B208" s="411">
        <v>206</v>
      </c>
      <c r="C208" s="412" t="s">
        <v>3493</v>
      </c>
      <c r="D208" s="408">
        <f>IFERROR(MIN('LP Elementos'!F208,'LP Elementos'!I208,'LP Elementos'!N208,'LP Elementos'!S208,'LP Elementos'!X208,'LP Elementos'!AC208,'LP Elementos'!AH208,'LP Elementos'!AM208,'LP Elementos'!AR208,'LP Elementos'!AW208,'LP Elementos'!BB208,'LP Elementos'!BG208,'LP Elementos'!BL208,'LP Elementos'!BQ208,'LP Elementos'!BV208,'LP Elementos'!CA208,'LP Elementos'!CF208,'LP Elementos'!CK208,'LP Elementos'!CP208,'LP Elementos'!CU208,'LP Elementos'!CZ208)," ")</f>
        <v>319247.01199999999</v>
      </c>
      <c r="E208" s="341">
        <f>IFERROR(AVERAGE('LP Elementos'!F208,'LP Elementos'!I208,'LP Elementos'!N208,'LP Elementos'!S208,'LP Elementos'!X208,'LP Elementos'!AC208,'LP Elementos'!AH208,'LP Elementos'!AM208,'LP Elementos'!AR208,'LP Elementos'!AW208,'LP Elementos'!BB208,'LP Elementos'!BG208,'LP Elementos'!BL208,'LP Elementos'!BQ208,'LP Elementos'!BV208,'LP Elementos'!CA208,'LP Elementos'!CF208,'LP Elementos'!CK208,'LP Elementos'!CP208,'LP Elementos'!CU208,'LP Elementos'!CZ208)," ")</f>
        <v>326223.50599999999</v>
      </c>
      <c r="F208" s="341">
        <f>IFERROR(MEDIAN('LP Elementos'!F208,'LP Elementos'!I208,'LP Elementos'!N208,'LP Elementos'!S208,'LP Elementos'!X208,'LP Elementos'!AC208,'LP Elementos'!AH208,'LP Elementos'!AM208,'LP Elementos'!AR208,'LP Elementos'!AW208,'LP Elementos'!BB208,'LP Elementos'!BG208,'LP Elementos'!BL208,'LP Elementos'!BQ208,'LP Elementos'!BV208,'LP Elementos'!CA208,'LP Elementos'!CF208,'LP Elementos'!CK208,'LP Elementos'!CP208,'LP Elementos'!CU208,'LP Elementos'!CZ208)," ")</f>
        <v>326223.50599999999</v>
      </c>
      <c r="G208" s="341">
        <f>IFERROR(GEOMEAN('LP Elementos'!F208,'LP Elementos'!I208,'LP Elementos'!N208,'LP Elementos'!S208,'LP Elementos'!X208,'LP Elementos'!AC208,'LP Elementos'!AH208,'LP Elementos'!AM208,'LP Elementos'!AR208,'LP Elementos'!AW208,'LP Elementos'!BB208,'LP Elementos'!BG208,'LP Elementos'!BL208,'LP Elementos'!BQ208,'LP Elementos'!BV208,'LP Elementos'!CA208,'LP Elementos'!CF208,'LP Elementos'!CK208,'LP Elementos'!CP208,'LP Elementos'!CU208,'LP Elementos'!CZ208)," ")</f>
        <v>326148.89912185812</v>
      </c>
      <c r="H208" s="341">
        <f t="shared" si="16"/>
        <v>3475.9904497312641</v>
      </c>
      <c r="I208" s="342">
        <f t="shared" si="17"/>
        <v>1.0655242144725354E-2</v>
      </c>
      <c r="J208" s="341">
        <f t="shared" si="19"/>
        <v>326223.50599999999</v>
      </c>
      <c r="K208" s="326" t="str">
        <f t="shared" si="18"/>
        <v>Promedio</v>
      </c>
      <c r="L208" s="326">
        <f>IFERROR(COUNTA('LP Elementos'!F208,'LP Elementos'!I208,'LP Elementos'!N208,'LP Elementos'!S208,'LP Elementos'!X208,'LP Elementos'!AC208,'LP Elementos'!AH208,'LP Elementos'!AM208,'LP Elementos'!AR208,'LP Elementos'!AX208,'LP Elementos'!BB208,'LP Elementos'!BG208,'LP Elementos'!BL208,'LP Elementos'!BQ208,'LP Elementos'!BV208,'LP Elementos'!CA208,'LP Elementos'!CF208,'LP Elementos'!CK208,'LP Elementos'!CP208,'LP Elementos'!CU208,'LP Elementos'!CZ208)," ")</f>
        <v>2</v>
      </c>
    </row>
    <row r="209" spans="2:12" ht="54" x14ac:dyDescent="0.25">
      <c r="B209" s="411">
        <v>207</v>
      </c>
      <c r="C209" s="412" t="s">
        <v>3495</v>
      </c>
      <c r="D209" s="408">
        <f>IFERROR(MIN('LP Elementos'!F209,'LP Elementos'!I209,'LP Elementos'!N209,'LP Elementos'!S209,'LP Elementos'!X209,'LP Elementos'!AC209,'LP Elementos'!AH209,'LP Elementos'!AM209,'LP Elementos'!AR209,'LP Elementos'!AW209,'LP Elementos'!BB209,'LP Elementos'!BG209,'LP Elementos'!BL209,'LP Elementos'!BQ209,'LP Elementos'!BV209,'LP Elementos'!CA209,'LP Elementos'!CF209,'LP Elementos'!CK209,'LP Elementos'!CP209,'LP Elementos'!CU209,'LP Elementos'!CZ209)," ")</f>
        <v>40220.095999999998</v>
      </c>
      <c r="E209" s="341">
        <f>IFERROR(AVERAGE('LP Elementos'!F209,'LP Elementos'!I209,'LP Elementos'!N209,'LP Elementos'!S209,'LP Elementos'!X209,'LP Elementos'!AC209,'LP Elementos'!AH209,'LP Elementos'!AM209,'LP Elementos'!AR209,'LP Elementos'!AW209,'LP Elementos'!BB209,'LP Elementos'!BG209,'LP Elementos'!BL209,'LP Elementos'!BQ209,'LP Elementos'!BV209,'LP Elementos'!CA209,'LP Elementos'!CF209,'LP Elementos'!CK209,'LP Elementos'!CP209,'LP Elementos'!CU209,'LP Elementos'!CZ209)," ")</f>
        <v>40220.095999999998</v>
      </c>
      <c r="F209" s="341">
        <f>IFERROR(MEDIAN('LP Elementos'!F209,'LP Elementos'!I209,'LP Elementos'!N209,'LP Elementos'!S209,'LP Elementos'!X209,'LP Elementos'!AC209,'LP Elementos'!AH209,'LP Elementos'!AM209,'LP Elementos'!AR209,'LP Elementos'!AW209,'LP Elementos'!BB209,'LP Elementos'!BG209,'LP Elementos'!BL209,'LP Elementos'!BQ209,'LP Elementos'!BV209,'LP Elementos'!CA209,'LP Elementos'!CF209,'LP Elementos'!CK209,'LP Elementos'!CP209,'LP Elementos'!CU209,'LP Elementos'!CZ209)," ")</f>
        <v>40220.095999999998</v>
      </c>
      <c r="G209" s="341">
        <f>IFERROR(GEOMEAN('LP Elementos'!F209,'LP Elementos'!I209,'LP Elementos'!N209,'LP Elementos'!S209,'LP Elementos'!X209,'LP Elementos'!AC209,'LP Elementos'!AH209,'LP Elementos'!AM209,'LP Elementos'!AR209,'LP Elementos'!AW209,'LP Elementos'!BB209,'LP Elementos'!BG209,'LP Elementos'!BL209,'LP Elementos'!BQ209,'LP Elementos'!BV209,'LP Elementos'!CA209,'LP Elementos'!CF209,'LP Elementos'!CK209,'LP Elementos'!CP209,'LP Elementos'!CU209,'LP Elementos'!CZ209)," ")</f>
        <v>40220.095999999998</v>
      </c>
      <c r="H209" s="341">
        <f t="shared" si="16"/>
        <v>0</v>
      </c>
      <c r="I209" s="342">
        <f t="shared" si="17"/>
        <v>0</v>
      </c>
      <c r="J209" s="341">
        <f t="shared" si="19"/>
        <v>40220.095999999998</v>
      </c>
      <c r="K209" s="326" t="str">
        <f t="shared" si="18"/>
        <v>Menor Valor</v>
      </c>
      <c r="L209" s="326">
        <f>IFERROR(COUNTA('LP Elementos'!F209,'LP Elementos'!I209,'LP Elementos'!N209,'LP Elementos'!S209,'LP Elementos'!X209,'LP Elementos'!AC209,'LP Elementos'!AH209,'LP Elementos'!AM209,'LP Elementos'!AR209,'LP Elementos'!AX209,'LP Elementos'!BB209,'LP Elementos'!BG209,'LP Elementos'!BL209,'LP Elementos'!BQ209,'LP Elementos'!BV209,'LP Elementos'!CA209,'LP Elementos'!CF209,'LP Elementos'!CK209,'LP Elementos'!CP209,'LP Elementos'!CU209,'LP Elementos'!CZ209)," ")</f>
        <v>1</v>
      </c>
    </row>
    <row r="210" spans="2:12" ht="40.5" x14ac:dyDescent="0.25">
      <c r="B210" s="411">
        <v>208</v>
      </c>
      <c r="C210" s="412" t="s">
        <v>3496</v>
      </c>
      <c r="D210" s="408">
        <f>IFERROR(MIN('LP Elementos'!F210,'LP Elementos'!I210,'LP Elementos'!N210,'LP Elementos'!S210,'LP Elementos'!X210,'LP Elementos'!AC210,'LP Elementos'!AH210,'LP Elementos'!AM210,'LP Elementos'!AR210,'LP Elementos'!AW210,'LP Elementos'!BB210,'LP Elementos'!BG210,'LP Elementos'!BL210,'LP Elementos'!BQ210,'LP Elementos'!BV210,'LP Elementos'!CA210,'LP Elementos'!CF210,'LP Elementos'!CK210,'LP Elementos'!CP210,'LP Elementos'!CU210,'LP Elementos'!CZ210)," ")</f>
        <v>319247.01199999999</v>
      </c>
      <c r="E210" s="341">
        <f>IFERROR(AVERAGE('LP Elementos'!F210,'LP Elementos'!I210,'LP Elementos'!N210,'LP Elementos'!S210,'LP Elementos'!X210,'LP Elementos'!AC210,'LP Elementos'!AH210,'LP Elementos'!AM210,'LP Elementos'!AR210,'LP Elementos'!AW210,'LP Elementos'!BB210,'LP Elementos'!BG210,'LP Elementos'!BL210,'LP Elementos'!BQ210,'LP Elementos'!BV210,'LP Elementos'!CA210,'LP Elementos'!CF210,'LP Elementos'!CK210,'LP Elementos'!CP210,'LP Elementos'!CU210,'LP Elementos'!CZ210)," ")</f>
        <v>368468.50599999999</v>
      </c>
      <c r="F210" s="341">
        <f>IFERROR(MEDIAN('LP Elementos'!F210,'LP Elementos'!I210,'LP Elementos'!N210,'LP Elementos'!S210,'LP Elementos'!X210,'LP Elementos'!AC210,'LP Elementos'!AH210,'LP Elementos'!AM210,'LP Elementos'!AR210,'LP Elementos'!AW210,'LP Elementos'!BB210,'LP Elementos'!BG210,'LP Elementos'!BL210,'LP Elementos'!BQ210,'LP Elementos'!BV210,'LP Elementos'!CA210,'LP Elementos'!CF210,'LP Elementos'!CK210,'LP Elementos'!CP210,'LP Elementos'!CU210,'LP Elementos'!CZ210)," ")</f>
        <v>368468.50599999999</v>
      </c>
      <c r="G210" s="341">
        <f>IFERROR(GEOMEAN('LP Elementos'!F210,'LP Elementos'!I210,'LP Elementos'!N210,'LP Elementos'!S210,'LP Elementos'!X210,'LP Elementos'!AC210,'LP Elementos'!AH210,'LP Elementos'!AM210,'LP Elementos'!AR210,'LP Elementos'!AW210,'LP Elementos'!BB210,'LP Elementos'!BG210,'LP Elementos'!BL210,'LP Elementos'!BQ210,'LP Elementos'!BV210,'LP Elementos'!CA210,'LP Elementos'!CF210,'LP Elementos'!CK210,'LP Elementos'!CP210,'LP Elementos'!CU210,'LP Elementos'!CZ210)," ")</f>
        <v>365166.10527577723</v>
      </c>
      <c r="H210" s="341">
        <f t="shared" si="16"/>
        <v>24110.657691050754</v>
      </c>
      <c r="I210" s="342">
        <f t="shared" si="17"/>
        <v>6.543478560159699E-2</v>
      </c>
      <c r="J210" s="341">
        <f t="shared" si="19"/>
        <v>368468.50599999999</v>
      </c>
      <c r="K210" s="326" t="str">
        <f t="shared" si="18"/>
        <v>Promedio</v>
      </c>
      <c r="L210" s="326">
        <f>IFERROR(COUNTA('LP Elementos'!F210,'LP Elementos'!I210,'LP Elementos'!N210,'LP Elementos'!S210,'LP Elementos'!X210,'LP Elementos'!AC210,'LP Elementos'!AH210,'LP Elementos'!AM210,'LP Elementos'!AR210,'LP Elementos'!AX210,'LP Elementos'!BB210,'LP Elementos'!BG210,'LP Elementos'!BL210,'LP Elementos'!BQ210,'LP Elementos'!BV210,'LP Elementos'!CA210,'LP Elementos'!CF210,'LP Elementos'!CK210,'LP Elementos'!CP210,'LP Elementos'!CU210,'LP Elementos'!CZ210)," ")</f>
        <v>2</v>
      </c>
    </row>
    <row r="211" spans="2:12" ht="27" x14ac:dyDescent="0.25">
      <c r="B211" s="411">
        <v>209</v>
      </c>
      <c r="C211" s="413" t="s">
        <v>3500</v>
      </c>
      <c r="D211" s="408">
        <f>IFERROR(MIN('LP Elementos'!F211,'LP Elementos'!I211,'LP Elementos'!N211,'LP Elementos'!S211,'LP Elementos'!X211,'LP Elementos'!AC211,'LP Elementos'!AH211,'LP Elementos'!AM211,'LP Elementos'!AR211,'LP Elementos'!AW211,'LP Elementos'!BB211,'LP Elementos'!BG211,'LP Elementos'!BL211,'LP Elementos'!BQ211,'LP Elementos'!BV211,'LP Elementos'!CA211,'LP Elementos'!CF211,'LP Elementos'!CK211,'LP Elementos'!CP211,'LP Elementos'!CU211,'LP Elementos'!CZ211)," ")</f>
        <v>52661.075799999999</v>
      </c>
      <c r="E211" s="341">
        <f>IFERROR(AVERAGE('LP Elementos'!F211,'LP Elementos'!I211,'LP Elementos'!N211,'LP Elementos'!S211,'LP Elementos'!X211,'LP Elementos'!AC211,'LP Elementos'!AH211,'LP Elementos'!AM211,'LP Elementos'!AR211,'LP Elementos'!AW211,'LP Elementos'!BB211,'LP Elementos'!BG211,'LP Elementos'!BL211,'LP Elementos'!BQ211,'LP Elementos'!BV211,'LP Elementos'!CA211,'LP Elementos'!CF211,'LP Elementos'!CK211,'LP Elementos'!CP211,'LP Elementos'!CU211,'LP Elementos'!CZ211)," ")</f>
        <v>59600.3586</v>
      </c>
      <c r="F211" s="341">
        <f>IFERROR(MEDIAN('LP Elementos'!F211,'LP Elementos'!I211,'LP Elementos'!N211,'LP Elementos'!S211,'LP Elementos'!X211,'LP Elementos'!AC211,'LP Elementos'!AH211,'LP Elementos'!AM211,'LP Elementos'!AR211,'LP Elementos'!AW211,'LP Elementos'!BB211,'LP Elementos'!BG211,'LP Elementos'!BL211,'LP Elementos'!BQ211,'LP Elementos'!BV211,'LP Elementos'!CA211,'LP Elementos'!CF211,'LP Elementos'!CK211,'LP Elementos'!CP211,'LP Elementos'!CU211,'LP Elementos'!CZ211)," ")</f>
        <v>59500</v>
      </c>
      <c r="G211" s="341">
        <f>IFERROR(GEOMEAN('LP Elementos'!F211,'LP Elementos'!I211,'LP Elementos'!N211,'LP Elementos'!S211,'LP Elementos'!X211,'LP Elementos'!AC211,'LP Elementos'!AH211,'LP Elementos'!AM211,'LP Elementos'!AR211,'LP Elementos'!AW211,'LP Elementos'!BB211,'LP Elementos'!BG211,'LP Elementos'!BL211,'LP Elementos'!BQ211,'LP Elementos'!BV211,'LP Elementos'!CA211,'LP Elementos'!CF211,'LP Elementos'!CK211,'LP Elementos'!CP211,'LP Elementos'!CU211,'LP Elementos'!CZ211)," ")</f>
        <v>59326.295009126501</v>
      </c>
      <c r="H211" s="341">
        <f t="shared" si="16"/>
        <v>3409.1180827026365</v>
      </c>
      <c r="I211" s="342">
        <f t="shared" si="17"/>
        <v>5.7199623673113882E-2</v>
      </c>
      <c r="J211" s="341">
        <f t="shared" si="19"/>
        <v>59500</v>
      </c>
      <c r="K211" s="326" t="str">
        <f t="shared" si="18"/>
        <v>Mediana</v>
      </c>
      <c r="L211" s="326">
        <f>IFERROR(COUNTA('LP Elementos'!F211,'LP Elementos'!I211,'LP Elementos'!N211,'LP Elementos'!S211,'LP Elementos'!X211,'LP Elementos'!AC211,'LP Elementos'!AH211,'LP Elementos'!AM211,'LP Elementos'!AR211,'LP Elementos'!AX211,'LP Elementos'!BB211,'LP Elementos'!BG211,'LP Elementos'!BL211,'LP Elementos'!BQ211,'LP Elementos'!BV211,'LP Elementos'!CA211,'LP Elementos'!CF211,'LP Elementos'!CK211,'LP Elementos'!CP211,'LP Elementos'!CU211,'LP Elementos'!CZ211)," ")</f>
        <v>3</v>
      </c>
    </row>
    <row r="212" spans="2:12" ht="54" x14ac:dyDescent="0.25">
      <c r="B212" s="411">
        <v>210</v>
      </c>
      <c r="C212" s="413" t="s">
        <v>3503</v>
      </c>
      <c r="D212" s="408">
        <f>IFERROR(MIN('LP Elementos'!F212,'LP Elementos'!I212,'LP Elementos'!N212,'LP Elementos'!S212,'LP Elementos'!X212,'LP Elementos'!AC212,'LP Elementos'!AH212,'LP Elementos'!AM212,'LP Elementos'!AR212,'LP Elementos'!AW212,'LP Elementos'!BB212,'LP Elementos'!BG212,'LP Elementos'!BL212,'LP Elementos'!BQ212,'LP Elementos'!BV212,'LP Elementos'!CA212,'LP Elementos'!CF212,'LP Elementos'!CK212,'LP Elementos'!CP212,'LP Elementos'!CU212,'LP Elementos'!CZ212)," ")</f>
        <v>40220.095999999998</v>
      </c>
      <c r="E212" s="341">
        <f>IFERROR(AVERAGE('LP Elementos'!F212,'LP Elementos'!I212,'LP Elementos'!N212,'LP Elementos'!S212,'LP Elementos'!X212,'LP Elementos'!AC212,'LP Elementos'!AH212,'LP Elementos'!AM212,'LP Elementos'!AR212,'LP Elementos'!AW212,'LP Elementos'!BB212,'LP Elementos'!BG212,'LP Elementos'!BL212,'LP Elementos'!BQ212,'LP Elementos'!BV212,'LP Elementos'!CA212,'LP Elementos'!CF212,'LP Elementos'!CK212,'LP Elementos'!CP212,'LP Elementos'!CU212,'LP Elementos'!CZ212)," ")</f>
        <v>43910.047999999995</v>
      </c>
      <c r="F212" s="341">
        <f>IFERROR(MEDIAN('LP Elementos'!F212,'LP Elementos'!I212,'LP Elementos'!N212,'LP Elementos'!S212,'LP Elementos'!X212,'LP Elementos'!AC212,'LP Elementos'!AH212,'LP Elementos'!AM212,'LP Elementos'!AR212,'LP Elementos'!AW212,'LP Elementos'!BB212,'LP Elementos'!BG212,'LP Elementos'!BL212,'LP Elementos'!BQ212,'LP Elementos'!BV212,'LP Elementos'!CA212,'LP Elementos'!CF212,'LP Elementos'!CK212,'LP Elementos'!CP212,'LP Elementos'!CU212,'LP Elementos'!CZ212)," ")</f>
        <v>43910.047999999995</v>
      </c>
      <c r="G212" s="341">
        <f>IFERROR(GEOMEAN('LP Elementos'!F212,'LP Elementos'!I212,'LP Elementos'!N212,'LP Elementos'!S212,'LP Elementos'!X212,'LP Elementos'!AC212,'LP Elementos'!AH212,'LP Elementos'!AM212,'LP Elementos'!AR212,'LP Elementos'!AW212,'LP Elementos'!BB212,'LP Elementos'!BG212,'LP Elementos'!BL212,'LP Elementos'!BQ212,'LP Elementos'!BV212,'LP Elementos'!CA212,'LP Elementos'!CF212,'LP Elementos'!CK212,'LP Elementos'!CP212,'LP Elementos'!CU212,'LP Elementos'!CZ212)," ")</f>
        <v>43754.731968096887</v>
      </c>
      <c r="H212" s="341">
        <f t="shared" si="16"/>
        <v>1820.5628500343983</v>
      </c>
      <c r="I212" s="342">
        <f t="shared" si="17"/>
        <v>4.1461190159354837E-2</v>
      </c>
      <c r="J212" s="341">
        <f t="shared" si="19"/>
        <v>43910.047999999995</v>
      </c>
      <c r="K212" s="326" t="str">
        <f t="shared" si="18"/>
        <v>Promedio</v>
      </c>
      <c r="L212" s="326">
        <f>IFERROR(COUNTA('LP Elementos'!F212,'LP Elementos'!I212,'LP Elementos'!N212,'LP Elementos'!S212,'LP Elementos'!X212,'LP Elementos'!AC212,'LP Elementos'!AH212,'LP Elementos'!AM212,'LP Elementos'!AR212,'LP Elementos'!AX212,'LP Elementos'!BB212,'LP Elementos'!BG212,'LP Elementos'!BL212,'LP Elementos'!BQ212,'LP Elementos'!BV212,'LP Elementos'!CA212,'LP Elementos'!CF212,'LP Elementos'!CK212,'LP Elementos'!CP212,'LP Elementos'!CU212,'LP Elementos'!CZ212)," ")</f>
        <v>2</v>
      </c>
    </row>
    <row r="213" spans="2:12" ht="40.5" x14ac:dyDescent="0.25">
      <c r="B213" s="411">
        <v>211</v>
      </c>
      <c r="C213" s="409" t="s">
        <v>3506</v>
      </c>
      <c r="D213" s="408">
        <f>IFERROR(MIN('LP Elementos'!F213,'LP Elementos'!I213,'LP Elementos'!N213,'LP Elementos'!S213,'LP Elementos'!X213,'LP Elementos'!AC213,'LP Elementos'!AH213,'LP Elementos'!AM213,'LP Elementos'!AR213,'LP Elementos'!AW213,'LP Elementos'!BB213,'LP Elementos'!BG213,'LP Elementos'!BL213,'LP Elementos'!BQ213,'LP Elementos'!BV213,'LP Elementos'!CA213,'LP Elementos'!CF213,'LP Elementos'!CK213,'LP Elementos'!CP213,'LP Elementos'!CU213,'LP Elementos'!CZ213)," ")</f>
        <v>4165</v>
      </c>
      <c r="E213" s="341">
        <f>IFERROR(AVERAGE('LP Elementos'!F213,'LP Elementos'!I213,'LP Elementos'!N213,'LP Elementos'!S213,'LP Elementos'!X213,'LP Elementos'!AC213,'LP Elementos'!AH213,'LP Elementos'!AM213,'LP Elementos'!AR213,'LP Elementos'!AW213,'LP Elementos'!BB213,'LP Elementos'!BG213,'LP Elementos'!BL213,'LP Elementos'!BQ213,'LP Elementos'!BV213,'LP Elementos'!CA213,'LP Elementos'!CF213,'LP Elementos'!CK213,'LP Elementos'!CP213,'LP Elementos'!CU213,'LP Elementos'!CZ213)," ")</f>
        <v>4165</v>
      </c>
      <c r="F213" s="341">
        <f>IFERROR(MEDIAN('LP Elementos'!F213,'LP Elementos'!I213,'LP Elementos'!N213,'LP Elementos'!S213,'LP Elementos'!X213,'LP Elementos'!AC213,'LP Elementos'!AH213,'LP Elementos'!AM213,'LP Elementos'!AR213,'LP Elementos'!AW213,'LP Elementos'!BB213,'LP Elementos'!BG213,'LP Elementos'!BL213,'LP Elementos'!BQ213,'LP Elementos'!BV213,'LP Elementos'!CA213,'LP Elementos'!CF213,'LP Elementos'!CK213,'LP Elementos'!CP213,'LP Elementos'!CU213,'LP Elementos'!CZ213)," ")</f>
        <v>4165</v>
      </c>
      <c r="G213" s="341">
        <f>IFERROR(GEOMEAN('LP Elementos'!F213,'LP Elementos'!I213,'LP Elementos'!N213,'LP Elementos'!S213,'LP Elementos'!X213,'LP Elementos'!AC213,'LP Elementos'!AH213,'LP Elementos'!AM213,'LP Elementos'!AR213,'LP Elementos'!AW213,'LP Elementos'!BB213,'LP Elementos'!BG213,'LP Elementos'!BL213,'LP Elementos'!BQ213,'LP Elementos'!BV213,'LP Elementos'!CA213,'LP Elementos'!CF213,'LP Elementos'!CK213,'LP Elementos'!CP213,'LP Elementos'!CU213,'LP Elementos'!CZ213)," ")</f>
        <v>4165</v>
      </c>
      <c r="H213" s="341">
        <f t="shared" si="16"/>
        <v>0</v>
      </c>
      <c r="I213" s="342">
        <f t="shared" si="17"/>
        <v>0</v>
      </c>
      <c r="J213" s="341">
        <f t="shared" si="19"/>
        <v>4165</v>
      </c>
      <c r="K213" s="326" t="str">
        <f t="shared" si="18"/>
        <v>Menor Valor</v>
      </c>
      <c r="L213" s="326">
        <f>IFERROR(COUNTA('LP Elementos'!F213,'LP Elementos'!I213,'LP Elementos'!N213,'LP Elementos'!S213,'LP Elementos'!X213,'LP Elementos'!AC213,'LP Elementos'!AH213,'LP Elementos'!AM213,'LP Elementos'!AR213,'LP Elementos'!AX213,'LP Elementos'!BB213,'LP Elementos'!BG213,'LP Elementos'!BL213,'LP Elementos'!BQ213,'LP Elementos'!BV213,'LP Elementos'!CA213,'LP Elementos'!CF213,'LP Elementos'!CK213,'LP Elementos'!CP213,'LP Elementos'!CU213,'LP Elementos'!CZ213)," ")</f>
        <v>1</v>
      </c>
    </row>
    <row r="214" spans="2:12" ht="27" x14ac:dyDescent="0.25">
      <c r="B214" s="411">
        <v>212</v>
      </c>
      <c r="C214" s="412" t="s">
        <v>3510</v>
      </c>
      <c r="D214" s="408">
        <f>IFERROR(MIN('LP Elementos'!F214,'LP Elementos'!I214,'LP Elementos'!N214,'LP Elementos'!S214,'LP Elementos'!X214,'LP Elementos'!AC214,'LP Elementos'!AH214,'LP Elementos'!AM214,'LP Elementos'!AR214,'LP Elementos'!AW214,'LP Elementos'!BB214,'LP Elementos'!BG214,'LP Elementos'!BL214,'LP Elementos'!BQ214,'LP Elementos'!BV214,'LP Elementos'!CA214,'LP Elementos'!CF214,'LP Elementos'!CK214,'LP Elementos'!CP214,'LP Elementos'!CU214,'LP Elementos'!CZ214)," ")</f>
        <v>29750</v>
      </c>
      <c r="E214" s="341">
        <f>IFERROR(AVERAGE('LP Elementos'!F214,'LP Elementos'!I214,'LP Elementos'!N214,'LP Elementos'!S214,'LP Elementos'!X214,'LP Elementos'!AC214,'LP Elementos'!AH214,'LP Elementos'!AM214,'LP Elementos'!AR214,'LP Elementos'!AW214,'LP Elementos'!BB214,'LP Elementos'!BG214,'LP Elementos'!BL214,'LP Elementos'!BQ214,'LP Elementos'!BV214,'LP Elementos'!CA214,'LP Elementos'!CF214,'LP Elementos'!CK214,'LP Elementos'!CP214,'LP Elementos'!CU214,'LP Elementos'!CZ214)," ")</f>
        <v>89673.223499999993</v>
      </c>
      <c r="F214" s="341">
        <f>IFERROR(MEDIAN('LP Elementos'!F214,'LP Elementos'!I214,'LP Elementos'!N214,'LP Elementos'!S214,'LP Elementos'!X214,'LP Elementos'!AC214,'LP Elementos'!AH214,'LP Elementos'!AM214,'LP Elementos'!AR214,'LP Elementos'!AW214,'LP Elementos'!BB214,'LP Elementos'!BG214,'LP Elementos'!BL214,'LP Elementos'!BQ214,'LP Elementos'!BV214,'LP Elementos'!CA214,'LP Elementos'!CF214,'LP Elementos'!CK214,'LP Elementos'!CP214,'LP Elementos'!CU214,'LP Elementos'!CZ214)," ")</f>
        <v>55751.5</v>
      </c>
      <c r="G214" s="341">
        <f>IFERROR(GEOMEAN('LP Elementos'!F214,'LP Elementos'!I214,'LP Elementos'!N214,'LP Elementos'!S214,'LP Elementos'!X214,'LP Elementos'!AC214,'LP Elementos'!AH214,'LP Elementos'!AM214,'LP Elementos'!AR214,'LP Elementos'!AW214,'LP Elementos'!BB214,'LP Elementos'!BG214,'LP Elementos'!BL214,'LP Elementos'!BQ214,'LP Elementos'!BV214,'LP Elementos'!CA214,'LP Elementos'!CF214,'LP Elementos'!CK214,'LP Elementos'!CP214,'LP Elementos'!CU214,'LP Elementos'!CZ214)," ")</f>
        <v>66450.529173054136</v>
      </c>
      <c r="H214" s="341">
        <f t="shared" si="16"/>
        <v>24863.369375988696</v>
      </c>
      <c r="I214" s="342">
        <f t="shared" si="17"/>
        <v>0.27726637234122287</v>
      </c>
      <c r="J214" s="341">
        <f t="shared" si="19"/>
        <v>66450.529173054136</v>
      </c>
      <c r="K214" s="326" t="str">
        <f t="shared" si="18"/>
        <v>Media Geometrica</v>
      </c>
      <c r="L214" s="326">
        <f>IFERROR(COUNTA('LP Elementos'!F214,'LP Elementos'!I214,'LP Elementos'!N214,'LP Elementos'!S214,'LP Elementos'!X214,'LP Elementos'!AC214,'LP Elementos'!AH214,'LP Elementos'!AM214,'LP Elementos'!AR214,'LP Elementos'!AX214,'LP Elementos'!BB214,'LP Elementos'!BG214,'LP Elementos'!BL214,'LP Elementos'!BQ214,'LP Elementos'!BV214,'LP Elementos'!CA214,'LP Elementos'!CF214,'LP Elementos'!CK214,'LP Elementos'!CP214,'LP Elementos'!CU214,'LP Elementos'!CZ214)," ")</f>
        <v>4</v>
      </c>
    </row>
    <row r="215" spans="2:12" ht="27" x14ac:dyDescent="0.25">
      <c r="B215" s="411">
        <v>213</v>
      </c>
      <c r="C215" s="412" t="s">
        <v>3517</v>
      </c>
      <c r="D215" s="408">
        <f>IFERROR(MIN('LP Elementos'!F215,'LP Elementos'!I215,'LP Elementos'!N215,'LP Elementos'!S215,'LP Elementos'!X215,'LP Elementos'!AC215,'LP Elementos'!AH215,'LP Elementos'!AM215,'LP Elementos'!AR215,'LP Elementos'!AW215,'LP Elementos'!BB215,'LP Elementos'!BG215,'LP Elementos'!BL215,'LP Elementos'!BQ215,'LP Elementos'!BV215,'LP Elementos'!CA215,'LP Elementos'!CF215,'LP Elementos'!CK215,'LP Elementos'!CP215,'LP Elementos'!CU215,'LP Elementos'!CZ215)," ")</f>
        <v>17596.292000000001</v>
      </c>
      <c r="E215" s="341">
        <f>IFERROR(AVERAGE('LP Elementos'!F215,'LP Elementos'!I215,'LP Elementos'!N215,'LP Elementos'!S215,'LP Elementos'!X215,'LP Elementos'!AC215,'LP Elementos'!AH215,'LP Elementos'!AM215,'LP Elementos'!AR215,'LP Elementos'!AW215,'LP Elementos'!BB215,'LP Elementos'!BG215,'LP Elementos'!BL215,'LP Elementos'!BQ215,'LP Elementos'!BV215,'LP Elementos'!CA215,'LP Elementos'!CF215,'LP Elementos'!CK215,'LP Elementos'!CP215,'LP Elementos'!CU215,'LP Elementos'!CZ215)," ")</f>
        <v>17596.292000000001</v>
      </c>
      <c r="F215" s="341">
        <f>IFERROR(MEDIAN('LP Elementos'!F215,'LP Elementos'!I215,'LP Elementos'!N215,'LP Elementos'!S215,'LP Elementos'!X215,'LP Elementos'!AC215,'LP Elementos'!AH215,'LP Elementos'!AM215,'LP Elementos'!AR215,'LP Elementos'!AW215,'LP Elementos'!BB215,'LP Elementos'!BG215,'LP Elementos'!BL215,'LP Elementos'!BQ215,'LP Elementos'!BV215,'LP Elementos'!CA215,'LP Elementos'!CF215,'LP Elementos'!CK215,'LP Elementos'!CP215,'LP Elementos'!CU215,'LP Elementos'!CZ215)," ")</f>
        <v>17596.292000000001</v>
      </c>
      <c r="G215" s="341">
        <f>IFERROR(GEOMEAN('LP Elementos'!F215,'LP Elementos'!I215,'LP Elementos'!N215,'LP Elementos'!S215,'LP Elementos'!X215,'LP Elementos'!AC215,'LP Elementos'!AH215,'LP Elementos'!AM215,'LP Elementos'!AR215,'LP Elementos'!AW215,'LP Elementos'!BB215,'LP Elementos'!BG215,'LP Elementos'!BL215,'LP Elementos'!BQ215,'LP Elementos'!BV215,'LP Elementos'!CA215,'LP Elementos'!CF215,'LP Elementos'!CK215,'LP Elementos'!CP215,'LP Elementos'!CU215,'LP Elementos'!CZ215)," ")</f>
        <v>17596.292000000001</v>
      </c>
      <c r="H215" s="341">
        <f t="shared" si="16"/>
        <v>0</v>
      </c>
      <c r="I215" s="342">
        <f t="shared" si="17"/>
        <v>0</v>
      </c>
      <c r="J215" s="341">
        <f t="shared" si="19"/>
        <v>17596.292000000001</v>
      </c>
      <c r="K215" s="326" t="str">
        <f t="shared" si="18"/>
        <v>Menor Valor</v>
      </c>
      <c r="L215" s="326">
        <f>IFERROR(COUNTA('LP Elementos'!F215,'LP Elementos'!I215,'LP Elementos'!N215,'LP Elementos'!S215,'LP Elementos'!X215,'LP Elementos'!AC215,'LP Elementos'!AH215,'LP Elementos'!AM215,'LP Elementos'!AR215,'LP Elementos'!AX215,'LP Elementos'!BB215,'LP Elementos'!BG215,'LP Elementos'!BL215,'LP Elementos'!BQ215,'LP Elementos'!BV215,'LP Elementos'!CA215,'LP Elementos'!CF215,'LP Elementos'!CK215,'LP Elementos'!CP215,'LP Elementos'!CU215,'LP Elementos'!CZ215)," ")</f>
        <v>1</v>
      </c>
    </row>
    <row r="216" spans="2:12" ht="27" x14ac:dyDescent="0.25">
      <c r="B216" s="411">
        <v>214</v>
      </c>
      <c r="C216" s="412" t="s">
        <v>3518</v>
      </c>
      <c r="D216" s="408">
        <f>IFERROR(MIN('LP Elementos'!F216,'LP Elementos'!I216,'LP Elementos'!N216,'LP Elementos'!S216,'LP Elementos'!X216,'LP Elementos'!AC216,'LP Elementos'!AH216,'LP Elementos'!AM216,'LP Elementos'!AR216,'LP Elementos'!AW216,'LP Elementos'!BB216,'LP Elementos'!BG216,'LP Elementos'!BL216,'LP Elementos'!BQ216,'LP Elementos'!BV216,'LP Elementos'!CA216,'LP Elementos'!CF216,'LP Elementos'!CK216,'LP Elementos'!CP216,'LP Elementos'!CU216,'LP Elementos'!CZ216)," ")</f>
        <v>20349</v>
      </c>
      <c r="E216" s="341">
        <f>IFERROR(AVERAGE('LP Elementos'!F216,'LP Elementos'!I216,'LP Elementos'!N216,'LP Elementos'!S216,'LP Elementos'!X216,'LP Elementos'!AC216,'LP Elementos'!AH216,'LP Elementos'!AM216,'LP Elementos'!AR216,'LP Elementos'!AW216,'LP Elementos'!BB216,'LP Elementos'!BG216,'LP Elementos'!BL216,'LP Elementos'!BQ216,'LP Elementos'!BV216,'LP Elementos'!CA216,'LP Elementos'!CF216,'LP Elementos'!CK216,'LP Elementos'!CP216,'LP Elementos'!CU216,'LP Elementos'!CZ216)," ")</f>
        <v>396848.63750000001</v>
      </c>
      <c r="F216" s="341">
        <f>IFERROR(MEDIAN('LP Elementos'!F216,'LP Elementos'!I216,'LP Elementos'!N216,'LP Elementos'!S216,'LP Elementos'!X216,'LP Elementos'!AC216,'LP Elementos'!AH216,'LP Elementos'!AM216,'LP Elementos'!AR216,'LP Elementos'!AW216,'LP Elementos'!BB216,'LP Elementos'!BG216,'LP Elementos'!BL216,'LP Elementos'!BQ216,'LP Elementos'!BV216,'LP Elementos'!CA216,'LP Elementos'!CF216,'LP Elementos'!CK216,'LP Elementos'!CP216,'LP Elementos'!CU216,'LP Elementos'!CZ216)," ")</f>
        <v>42569.274999999994</v>
      </c>
      <c r="G216" s="341">
        <f>IFERROR(GEOMEAN('LP Elementos'!F216,'LP Elementos'!I216,'LP Elementos'!N216,'LP Elementos'!S216,'LP Elementos'!X216,'LP Elementos'!AC216,'LP Elementos'!AH216,'LP Elementos'!AM216,'LP Elementos'!AR216,'LP Elementos'!AW216,'LP Elementos'!BB216,'LP Elementos'!BG216,'LP Elementos'!BL216,'LP Elementos'!BQ216,'LP Elementos'!BV216,'LP Elementos'!CA216,'LP Elementos'!CF216,'LP Elementos'!CK216,'LP Elementos'!CP216,'LP Elementos'!CU216,'LP Elementos'!CZ216)," ")</f>
        <v>82122.353940586952</v>
      </c>
      <c r="H216" s="341">
        <f t="shared" si="16"/>
        <v>176113.74431173335</v>
      </c>
      <c r="I216" s="342">
        <f t="shared" si="17"/>
        <v>0.44378064498642344</v>
      </c>
      <c r="J216" s="341">
        <f t="shared" si="19"/>
        <v>20349</v>
      </c>
      <c r="K216" s="326" t="str">
        <f t="shared" si="18"/>
        <v>Menor Valor</v>
      </c>
      <c r="L216" s="326">
        <f>IFERROR(COUNTA('LP Elementos'!F216,'LP Elementos'!I216,'LP Elementos'!N216,'LP Elementos'!S216,'LP Elementos'!X216,'LP Elementos'!AC216,'LP Elementos'!AH216,'LP Elementos'!AM216,'LP Elementos'!AR216,'LP Elementos'!AX216,'LP Elementos'!BB216,'LP Elementos'!BG216,'LP Elementos'!BL216,'LP Elementos'!BQ216,'LP Elementos'!BV216,'LP Elementos'!CA216,'LP Elementos'!CF216,'LP Elementos'!CK216,'LP Elementos'!CP216,'LP Elementos'!CU216,'LP Elementos'!CZ216)," ")</f>
        <v>4</v>
      </c>
    </row>
    <row r="217" spans="2:12" ht="54" x14ac:dyDescent="0.25">
      <c r="B217" s="411">
        <v>215</v>
      </c>
      <c r="C217" s="412" t="s">
        <v>3523</v>
      </c>
      <c r="D217" s="408">
        <f>IFERROR(MIN('LP Elementos'!F217,'LP Elementos'!I217,'LP Elementos'!N217,'LP Elementos'!S217,'LP Elementos'!X217,'LP Elementos'!AC217,'LP Elementos'!AH217,'LP Elementos'!AM217,'LP Elementos'!AR217,'LP Elementos'!AW217,'LP Elementos'!BB217,'LP Elementos'!BG217,'LP Elementos'!BL217,'LP Elementos'!BQ217,'LP Elementos'!BV217,'LP Elementos'!CA217,'LP Elementos'!CF217,'LP Elementos'!CK217,'LP Elementos'!CP217,'LP Elementos'!CU217,'LP Elementos'!CZ217)," ")</f>
        <v>87205.153000000006</v>
      </c>
      <c r="E217" s="341">
        <f>IFERROR(AVERAGE('LP Elementos'!F217,'LP Elementos'!I217,'LP Elementos'!N217,'LP Elementos'!S217,'LP Elementos'!X217,'LP Elementos'!AC217,'LP Elementos'!AH217,'LP Elementos'!AM217,'LP Elementos'!AR217,'LP Elementos'!AW217,'LP Elementos'!BB217,'LP Elementos'!BG217,'LP Elementos'!BL217,'LP Elementos'!BQ217,'LP Elementos'!BV217,'LP Elementos'!CA217,'LP Elementos'!CF217,'LP Elementos'!CK217,'LP Elementos'!CP217,'LP Elementos'!CU217,'LP Elementos'!CZ217)," ")</f>
        <v>87205.153000000006</v>
      </c>
      <c r="F217" s="341">
        <f>IFERROR(MEDIAN('LP Elementos'!F217,'LP Elementos'!I217,'LP Elementos'!N217,'LP Elementos'!S217,'LP Elementos'!X217,'LP Elementos'!AC217,'LP Elementos'!AH217,'LP Elementos'!AM217,'LP Elementos'!AR217,'LP Elementos'!AW217,'LP Elementos'!BB217,'LP Elementos'!BG217,'LP Elementos'!BL217,'LP Elementos'!BQ217,'LP Elementos'!BV217,'LP Elementos'!CA217,'LP Elementos'!CF217,'LP Elementos'!CK217,'LP Elementos'!CP217,'LP Elementos'!CU217,'LP Elementos'!CZ217)," ")</f>
        <v>87205.153000000006</v>
      </c>
      <c r="G217" s="341">
        <f>IFERROR(GEOMEAN('LP Elementos'!F217,'LP Elementos'!I217,'LP Elementos'!N217,'LP Elementos'!S217,'LP Elementos'!X217,'LP Elementos'!AC217,'LP Elementos'!AH217,'LP Elementos'!AM217,'LP Elementos'!AR217,'LP Elementos'!AW217,'LP Elementos'!BB217,'LP Elementos'!BG217,'LP Elementos'!BL217,'LP Elementos'!BQ217,'LP Elementos'!BV217,'LP Elementos'!CA217,'LP Elementos'!CF217,'LP Elementos'!CK217,'LP Elementos'!CP217,'LP Elementos'!CU217,'LP Elementos'!CZ217)," ")</f>
        <v>87205.153000000006</v>
      </c>
      <c r="H217" s="341">
        <f t="shared" si="16"/>
        <v>0</v>
      </c>
      <c r="I217" s="342">
        <f t="shared" si="17"/>
        <v>0</v>
      </c>
      <c r="J217" s="341">
        <f t="shared" si="19"/>
        <v>87205.153000000006</v>
      </c>
      <c r="K217" s="326" t="str">
        <f t="shared" si="18"/>
        <v>Menor Valor</v>
      </c>
      <c r="L217" s="326">
        <f>IFERROR(COUNTA('LP Elementos'!F217,'LP Elementos'!I217,'LP Elementos'!N217,'LP Elementos'!S217,'LP Elementos'!X217,'LP Elementos'!AC217,'LP Elementos'!AH217,'LP Elementos'!AM217,'LP Elementos'!AR217,'LP Elementos'!AX217,'LP Elementos'!BB217,'LP Elementos'!BG217,'LP Elementos'!BL217,'LP Elementos'!BQ217,'LP Elementos'!BV217,'LP Elementos'!CA217,'LP Elementos'!CF217,'LP Elementos'!CK217,'LP Elementos'!CP217,'LP Elementos'!CU217,'LP Elementos'!CZ217)," ")</f>
        <v>1</v>
      </c>
    </row>
    <row r="218" spans="2:12" ht="27" x14ac:dyDescent="0.25">
      <c r="B218" s="411">
        <v>216</v>
      </c>
      <c r="C218" s="412" t="s">
        <v>3524</v>
      </c>
      <c r="D218" s="408">
        <f>IFERROR(MIN('LP Elementos'!F218,'LP Elementos'!I218,'LP Elementos'!N218,'LP Elementos'!S218,'LP Elementos'!X218,'LP Elementos'!AC218,'LP Elementos'!AH218,'LP Elementos'!AM218,'LP Elementos'!AR218,'LP Elementos'!AW218,'LP Elementos'!BB218,'LP Elementos'!BG218,'LP Elementos'!BL218,'LP Elementos'!BQ218,'LP Elementos'!BV218,'LP Elementos'!CA218,'LP Elementos'!CF218,'LP Elementos'!CK218,'LP Elementos'!CP218,'LP Elementos'!CU218,'LP Elementos'!CZ218)," ")</f>
        <v>53550</v>
      </c>
      <c r="E218" s="341">
        <f>IFERROR(AVERAGE('LP Elementos'!F218,'LP Elementos'!I218,'LP Elementos'!N218,'LP Elementos'!S218,'LP Elementos'!X218,'LP Elementos'!AC218,'LP Elementos'!AH218,'LP Elementos'!AM218,'LP Elementos'!AR218,'LP Elementos'!AW218,'LP Elementos'!BB218,'LP Elementos'!BG218,'LP Elementos'!BL218,'LP Elementos'!BQ218,'LP Elementos'!BV218,'LP Elementos'!CA218,'LP Elementos'!CF218,'LP Elementos'!CK218,'LP Elementos'!CP218,'LP Elementos'!CU218,'LP Elementos'!CZ218)," ")</f>
        <v>294238.6384</v>
      </c>
      <c r="F218" s="341">
        <f>IFERROR(MEDIAN('LP Elementos'!F218,'LP Elementos'!I218,'LP Elementos'!N218,'LP Elementos'!S218,'LP Elementos'!X218,'LP Elementos'!AC218,'LP Elementos'!AH218,'LP Elementos'!AM218,'LP Elementos'!AR218,'LP Elementos'!AW218,'LP Elementos'!BB218,'LP Elementos'!BG218,'LP Elementos'!BL218,'LP Elementos'!BQ218,'LP Elementos'!BV218,'LP Elementos'!CA218,'LP Elementos'!CF218,'LP Elementos'!CK218,'LP Elementos'!CP218,'LP Elementos'!CU218,'LP Elementos'!CZ218)," ")</f>
        <v>294238.6384</v>
      </c>
      <c r="G218" s="341">
        <f>IFERROR(GEOMEAN('LP Elementos'!F218,'LP Elementos'!I218,'LP Elementos'!N218,'LP Elementos'!S218,'LP Elementos'!X218,'LP Elementos'!AC218,'LP Elementos'!AH218,'LP Elementos'!AM218,'LP Elementos'!AR218,'LP Elementos'!AW218,'LP Elementos'!BB218,'LP Elementos'!BG218,'LP Elementos'!BL218,'LP Elementos'!BQ218,'LP Elementos'!BV218,'LP Elementos'!CA218,'LP Elementos'!CF218,'LP Elementos'!CK218,'LP Elementos'!CP218,'LP Elementos'!CU218,'LP Elementos'!CZ218)," ")</f>
        <v>169249.38898749385</v>
      </c>
      <c r="H218" s="341">
        <f t="shared" si="16"/>
        <v>115647.81841838273</v>
      </c>
      <c r="I218" s="342">
        <f t="shared" si="17"/>
        <v>0.39304089716853013</v>
      </c>
      <c r="J218" s="341">
        <f t="shared" si="19"/>
        <v>53550</v>
      </c>
      <c r="K218" s="326" t="str">
        <f t="shared" si="18"/>
        <v>Menor Valor</v>
      </c>
      <c r="L218" s="326">
        <f>IFERROR(COUNTA('LP Elementos'!F218,'LP Elementos'!I218,'LP Elementos'!N218,'LP Elementos'!S218,'LP Elementos'!X218,'LP Elementos'!AC218,'LP Elementos'!AH218,'LP Elementos'!AM218,'LP Elementos'!AR218,'LP Elementos'!AX218,'LP Elementos'!BB218,'LP Elementos'!BG218,'LP Elementos'!BL218,'LP Elementos'!BQ218,'LP Elementos'!BV218,'LP Elementos'!CA218,'LP Elementos'!CF218,'LP Elementos'!CK218,'LP Elementos'!CP218,'LP Elementos'!CU218,'LP Elementos'!CZ218)," ")</f>
        <v>2</v>
      </c>
    </row>
    <row r="219" spans="2:12" x14ac:dyDescent="0.25">
      <c r="B219" s="411">
        <v>217</v>
      </c>
      <c r="C219" s="412" t="s">
        <v>3528</v>
      </c>
      <c r="D219" s="408">
        <f>IFERROR(MIN('LP Elementos'!F219,'LP Elementos'!I219,'LP Elementos'!N219,'LP Elementos'!S219,'LP Elementos'!X219,'LP Elementos'!AC219,'LP Elementos'!AH219,'LP Elementos'!AM219,'LP Elementos'!AR219,'LP Elementos'!AW219,'LP Elementos'!BB219,'LP Elementos'!BG219,'LP Elementos'!BL219,'LP Elementos'!BQ219,'LP Elementos'!BV219,'LP Elementos'!CA219,'LP Elementos'!CF219,'LP Elementos'!CK219,'LP Elementos'!CP219,'LP Elementos'!CU219,'LP Elementos'!CZ219)," ")</f>
        <v>50750.41</v>
      </c>
      <c r="E219" s="341">
        <f>IFERROR(AVERAGE('LP Elementos'!F219,'LP Elementos'!I219,'LP Elementos'!N219,'LP Elementos'!S219,'LP Elementos'!X219,'LP Elementos'!AC219,'LP Elementos'!AH219,'LP Elementos'!AM219,'LP Elementos'!AR219,'LP Elementos'!AW219,'LP Elementos'!BB219,'LP Elementos'!BG219,'LP Elementos'!BL219,'LP Elementos'!BQ219,'LP Elementos'!BV219,'LP Elementos'!CA219,'LP Elementos'!CF219,'LP Elementos'!CK219,'LP Elementos'!CP219,'LP Elementos'!CU219,'LP Elementos'!CZ219)," ")</f>
        <v>50750.41</v>
      </c>
      <c r="F219" s="341">
        <f>IFERROR(MEDIAN('LP Elementos'!F219,'LP Elementos'!I219,'LP Elementos'!N219,'LP Elementos'!S219,'LP Elementos'!X219,'LP Elementos'!AC219,'LP Elementos'!AH219,'LP Elementos'!AM219,'LP Elementos'!AR219,'LP Elementos'!AW219,'LP Elementos'!BB219,'LP Elementos'!BG219,'LP Elementos'!BL219,'LP Elementos'!BQ219,'LP Elementos'!BV219,'LP Elementos'!CA219,'LP Elementos'!CF219,'LP Elementos'!CK219,'LP Elementos'!CP219,'LP Elementos'!CU219,'LP Elementos'!CZ219)," ")</f>
        <v>50750.41</v>
      </c>
      <c r="G219" s="341">
        <f>IFERROR(GEOMEAN('LP Elementos'!F219,'LP Elementos'!I219,'LP Elementos'!N219,'LP Elementos'!S219,'LP Elementos'!X219,'LP Elementos'!AC219,'LP Elementos'!AH219,'LP Elementos'!AM219,'LP Elementos'!AR219,'LP Elementos'!AW219,'LP Elementos'!BB219,'LP Elementos'!BG219,'LP Elementos'!BL219,'LP Elementos'!BQ219,'LP Elementos'!BV219,'LP Elementos'!CA219,'LP Elementos'!CF219,'LP Elementos'!CK219,'LP Elementos'!CP219,'LP Elementos'!CU219,'LP Elementos'!CZ219)," ")</f>
        <v>50750.41</v>
      </c>
      <c r="H219" s="341">
        <f t="shared" si="16"/>
        <v>0</v>
      </c>
      <c r="I219" s="342">
        <f t="shared" si="17"/>
        <v>0</v>
      </c>
      <c r="J219" s="341">
        <f t="shared" si="19"/>
        <v>50750.41</v>
      </c>
      <c r="K219" s="326" t="str">
        <f t="shared" si="18"/>
        <v>Menor Valor</v>
      </c>
      <c r="L219" s="326">
        <f>IFERROR(COUNTA('LP Elementos'!F219,'LP Elementos'!I219,'LP Elementos'!N219,'LP Elementos'!S219,'LP Elementos'!X219,'LP Elementos'!AC219,'LP Elementos'!AH219,'LP Elementos'!AM219,'LP Elementos'!AR219,'LP Elementos'!AX219,'LP Elementos'!BB219,'LP Elementos'!BG219,'LP Elementos'!BL219,'LP Elementos'!BQ219,'LP Elementos'!BV219,'LP Elementos'!CA219,'LP Elementos'!CF219,'LP Elementos'!CK219,'LP Elementos'!CP219,'LP Elementos'!CU219,'LP Elementos'!CZ219)," ")</f>
        <v>1</v>
      </c>
    </row>
    <row r="220" spans="2:12" ht="27" x14ac:dyDescent="0.25">
      <c r="B220" s="411">
        <v>218</v>
      </c>
      <c r="C220" s="412" t="s">
        <v>3530</v>
      </c>
      <c r="D220" s="408">
        <f>IFERROR(MIN('LP Elementos'!F220,'LP Elementos'!I220,'LP Elementos'!N220,'LP Elementos'!S220,'LP Elementos'!X220,'LP Elementos'!AC220,'LP Elementos'!AH220,'LP Elementos'!AM220,'LP Elementos'!AR220,'LP Elementos'!AW220,'LP Elementos'!BB220,'LP Elementos'!BG220,'LP Elementos'!BL220,'LP Elementos'!BQ220,'LP Elementos'!BV220,'LP Elementos'!CA220,'LP Elementos'!CF220,'LP Elementos'!CK220,'LP Elementos'!CP220,'LP Elementos'!CU220,'LP Elementos'!CZ220)," ")</f>
        <v>104720</v>
      </c>
      <c r="E220" s="341">
        <f>IFERROR(AVERAGE('LP Elementos'!F220,'LP Elementos'!I220,'LP Elementos'!N220,'LP Elementos'!S220,'LP Elementos'!X220,'LP Elementos'!AC220,'LP Elementos'!AH220,'LP Elementos'!AM220,'LP Elementos'!AR220,'LP Elementos'!AW220,'LP Elementos'!BB220,'LP Elementos'!BG220,'LP Elementos'!BL220,'LP Elementos'!BQ220,'LP Elementos'!BV220,'LP Elementos'!CA220,'LP Elementos'!CF220,'LP Elementos'!CK220,'LP Elementos'!CP220,'LP Elementos'!CU220,'LP Elementos'!CZ220)," ")</f>
        <v>377640.02640000003</v>
      </c>
      <c r="F220" s="341">
        <f>IFERROR(MEDIAN('LP Elementos'!F220,'LP Elementos'!I220,'LP Elementos'!N220,'LP Elementos'!S220,'LP Elementos'!X220,'LP Elementos'!AC220,'LP Elementos'!AH220,'LP Elementos'!AM220,'LP Elementos'!AR220,'LP Elementos'!AW220,'LP Elementos'!BB220,'LP Elementos'!BG220,'LP Elementos'!BL220,'LP Elementos'!BQ220,'LP Elementos'!BV220,'LP Elementos'!CA220,'LP Elementos'!CF220,'LP Elementos'!CK220,'LP Elementos'!CP220,'LP Elementos'!CU220,'LP Elementos'!CZ220)," ")</f>
        <v>377640.02640000003</v>
      </c>
      <c r="G220" s="341">
        <f>IFERROR(GEOMEAN('LP Elementos'!F220,'LP Elementos'!I220,'LP Elementos'!N220,'LP Elementos'!S220,'LP Elementos'!X220,'LP Elementos'!AC220,'LP Elementos'!AH220,'LP Elementos'!AM220,'LP Elementos'!AR220,'LP Elementos'!AW220,'LP Elementos'!BB220,'LP Elementos'!BG220,'LP Elementos'!BL220,'LP Elementos'!BQ220,'LP Elementos'!BV220,'LP Elementos'!CA220,'LP Elementos'!CF220,'LP Elementos'!CK220,'LP Elementos'!CP220,'LP Elementos'!CU220,'LP Elementos'!CZ220)," ")</f>
        <v>261010.8210960151</v>
      </c>
      <c r="H220" s="341">
        <f t="shared" si="16"/>
        <v>129293.67264709773</v>
      </c>
      <c r="I220" s="342">
        <f t="shared" si="17"/>
        <v>0.34237279845476071</v>
      </c>
      <c r="J220" s="341">
        <f t="shared" si="19"/>
        <v>104720</v>
      </c>
      <c r="K220" s="326" t="str">
        <f t="shared" si="18"/>
        <v>Menor Valor</v>
      </c>
      <c r="L220" s="326">
        <f>IFERROR(COUNTA('LP Elementos'!F220,'LP Elementos'!I220,'LP Elementos'!N220,'LP Elementos'!S220,'LP Elementos'!X220,'LP Elementos'!AC220,'LP Elementos'!AH220,'LP Elementos'!AM220,'LP Elementos'!AR220,'LP Elementos'!AX220,'LP Elementos'!BB220,'LP Elementos'!BG220,'LP Elementos'!BL220,'LP Elementos'!BQ220,'LP Elementos'!BV220,'LP Elementos'!CA220,'LP Elementos'!CF220,'LP Elementos'!CK220,'LP Elementos'!CP220,'LP Elementos'!CU220,'LP Elementos'!CZ220)," ")</f>
        <v>2</v>
      </c>
    </row>
    <row r="221" spans="2:12" x14ac:dyDescent="0.25">
      <c r="B221" s="411">
        <v>219</v>
      </c>
      <c r="C221" s="412" t="s">
        <v>3532</v>
      </c>
      <c r="D221" s="408">
        <f>IFERROR(MIN('LP Elementos'!F221,'LP Elementos'!I221,'LP Elementos'!N221,'LP Elementos'!S221,'LP Elementos'!X221,'LP Elementos'!AC221,'LP Elementos'!AH221,'LP Elementos'!AM221,'LP Elementos'!AR221,'LP Elementos'!AW221,'LP Elementos'!BB221,'LP Elementos'!BG221,'LP Elementos'!BL221,'LP Elementos'!BQ221,'LP Elementos'!BV221,'LP Elementos'!CA221,'LP Elementos'!CF221,'LP Elementos'!CK221,'LP Elementos'!CP221,'LP Elementos'!CU221,'LP Elementos'!CZ221)," ")</f>
        <v>420453.15220000001</v>
      </c>
      <c r="E221" s="341">
        <f>IFERROR(AVERAGE('LP Elementos'!F221,'LP Elementos'!I221,'LP Elementos'!N221,'LP Elementos'!S221,'LP Elementos'!X221,'LP Elementos'!AC221,'LP Elementos'!AH221,'LP Elementos'!AM221,'LP Elementos'!AR221,'LP Elementos'!AW221,'LP Elementos'!BB221,'LP Elementos'!BG221,'LP Elementos'!BL221,'LP Elementos'!BQ221,'LP Elementos'!BV221,'LP Elementos'!CA221,'LP Elementos'!CF221,'LP Elementos'!CK221,'LP Elementos'!CP221,'LP Elementos'!CU221,'LP Elementos'!CZ221)," ")</f>
        <v>768931.57609999995</v>
      </c>
      <c r="F221" s="341">
        <f>IFERROR(MEDIAN('LP Elementos'!F221,'LP Elementos'!I221,'LP Elementos'!N221,'LP Elementos'!S221,'LP Elementos'!X221,'LP Elementos'!AC221,'LP Elementos'!AH221,'LP Elementos'!AM221,'LP Elementos'!AR221,'LP Elementos'!AW221,'LP Elementos'!BB221,'LP Elementos'!BG221,'LP Elementos'!BL221,'LP Elementos'!BQ221,'LP Elementos'!BV221,'LP Elementos'!CA221,'LP Elementos'!CF221,'LP Elementos'!CK221,'LP Elementos'!CP221,'LP Elementos'!CU221,'LP Elementos'!CZ221)," ")</f>
        <v>768931.57609999995</v>
      </c>
      <c r="G221" s="341">
        <f>IFERROR(GEOMEAN('LP Elementos'!F221,'LP Elementos'!I221,'LP Elementos'!N221,'LP Elementos'!S221,'LP Elementos'!X221,'LP Elementos'!AC221,'LP Elementos'!AH221,'LP Elementos'!AM221,'LP Elementos'!AR221,'LP Elementos'!AW221,'LP Elementos'!BB221,'LP Elementos'!BG221,'LP Elementos'!BL221,'LP Elementos'!BQ221,'LP Elementos'!BV221,'LP Elementos'!CA221,'LP Elementos'!CF221,'LP Elementos'!CK221,'LP Elementos'!CP221,'LP Elementos'!CU221,'LP Elementos'!CZ221)," ")</f>
        <v>685433.11621178768</v>
      </c>
      <c r="H221" s="341">
        <f t="shared" si="16"/>
        <v>165084.01668613849</v>
      </c>
      <c r="I221" s="342">
        <f t="shared" si="17"/>
        <v>0.21469272665773481</v>
      </c>
      <c r="J221" s="341">
        <f t="shared" si="19"/>
        <v>685433.11621178768</v>
      </c>
      <c r="K221" s="326" t="str">
        <f t="shared" si="18"/>
        <v>Media Geometrica</v>
      </c>
      <c r="L221" s="326">
        <f>IFERROR(COUNTA('LP Elementos'!F221,'LP Elementos'!I221,'LP Elementos'!N221,'LP Elementos'!S221,'LP Elementos'!X221,'LP Elementos'!AC221,'LP Elementos'!AH221,'LP Elementos'!AM221,'LP Elementos'!AR221,'LP Elementos'!AX221,'LP Elementos'!BB221,'LP Elementos'!BG221,'LP Elementos'!BL221,'LP Elementos'!BQ221,'LP Elementos'!BV221,'LP Elementos'!CA221,'LP Elementos'!CF221,'LP Elementos'!CK221,'LP Elementos'!CP221,'LP Elementos'!CU221,'LP Elementos'!CZ221)," ")</f>
        <v>2</v>
      </c>
    </row>
    <row r="222" spans="2:12" x14ac:dyDescent="0.25">
      <c r="B222" s="411">
        <v>220</v>
      </c>
      <c r="C222" s="412" t="s">
        <v>3537</v>
      </c>
      <c r="D222" s="408">
        <f>IFERROR(MIN('LP Elementos'!F222,'LP Elementos'!I222,'LP Elementos'!N222,'LP Elementos'!S222,'LP Elementos'!X222,'LP Elementos'!AC222,'LP Elementos'!AH222,'LP Elementos'!AM222,'LP Elementos'!AR222,'LP Elementos'!AW222,'LP Elementos'!BB222,'LP Elementos'!BG222,'LP Elementos'!BL222,'LP Elementos'!BQ222,'LP Elementos'!BV222,'LP Elementos'!CA222,'LP Elementos'!CF222,'LP Elementos'!CK222,'LP Elementos'!CP222,'LP Elementos'!CU222,'LP Elementos'!CZ222)," ")</f>
        <v>486411.78600000002</v>
      </c>
      <c r="E222" s="341">
        <f>IFERROR(AVERAGE('LP Elementos'!F222,'LP Elementos'!I222,'LP Elementos'!N222,'LP Elementos'!S222,'LP Elementos'!X222,'LP Elementos'!AC222,'LP Elementos'!AH222,'LP Elementos'!AM222,'LP Elementos'!AR222,'LP Elementos'!AW222,'LP Elementos'!BB222,'LP Elementos'!BG222,'LP Elementos'!BL222,'LP Elementos'!BQ222,'LP Elementos'!BV222,'LP Elementos'!CA222,'LP Elementos'!CF222,'LP Elementos'!CK222,'LP Elementos'!CP222,'LP Elementos'!CU222,'LP Elementos'!CZ222)," ")</f>
        <v>615675.89300000004</v>
      </c>
      <c r="F222" s="341">
        <f>IFERROR(MEDIAN('LP Elementos'!F222,'LP Elementos'!I222,'LP Elementos'!N222,'LP Elementos'!S222,'LP Elementos'!X222,'LP Elementos'!AC222,'LP Elementos'!AH222,'LP Elementos'!AM222,'LP Elementos'!AR222,'LP Elementos'!AW222,'LP Elementos'!BB222,'LP Elementos'!BG222,'LP Elementos'!BL222,'LP Elementos'!BQ222,'LP Elementos'!BV222,'LP Elementos'!CA222,'LP Elementos'!CF222,'LP Elementos'!CK222,'LP Elementos'!CP222,'LP Elementos'!CU222,'LP Elementos'!CZ222)," ")</f>
        <v>615675.89300000004</v>
      </c>
      <c r="G222" s="341">
        <f>IFERROR(GEOMEAN('LP Elementos'!F222,'LP Elementos'!I222,'LP Elementos'!N222,'LP Elementos'!S222,'LP Elementos'!X222,'LP Elementos'!AC222,'LP Elementos'!AH222,'LP Elementos'!AM222,'LP Elementos'!AR222,'LP Elementos'!AW222,'LP Elementos'!BB222,'LP Elementos'!BG222,'LP Elementos'!BL222,'LP Elementos'!BQ222,'LP Elementos'!BV222,'LP Elementos'!CA222,'LP Elementos'!CF222,'LP Elementos'!CK222,'LP Elementos'!CP222,'LP Elementos'!CU222,'LP Elementos'!CZ222)," ")</f>
        <v>601953.15088704368</v>
      </c>
      <c r="H222" s="341">
        <f t="shared" si="16"/>
        <v>62679.643837515338</v>
      </c>
      <c r="I222" s="342">
        <f t="shared" si="17"/>
        <v>0.10180623368587104</v>
      </c>
      <c r="J222" s="341">
        <f t="shared" si="19"/>
        <v>615675.89300000004</v>
      </c>
      <c r="K222" s="326" t="str">
        <f t="shared" si="18"/>
        <v>Promedio</v>
      </c>
      <c r="L222" s="326">
        <f>IFERROR(COUNTA('LP Elementos'!F222,'LP Elementos'!I222,'LP Elementos'!N222,'LP Elementos'!S222,'LP Elementos'!X222,'LP Elementos'!AC222,'LP Elementos'!AH222,'LP Elementos'!AM222,'LP Elementos'!AR222,'LP Elementos'!AX222,'LP Elementos'!BB222,'LP Elementos'!BG222,'LP Elementos'!BL222,'LP Elementos'!BQ222,'LP Elementos'!BV222,'LP Elementos'!CA222,'LP Elementos'!CF222,'LP Elementos'!CK222,'LP Elementos'!CP222,'LP Elementos'!CU222,'LP Elementos'!CZ222)," ")</f>
        <v>2</v>
      </c>
    </row>
    <row r="223" spans="2:12" ht="40.5" x14ac:dyDescent="0.25">
      <c r="B223" s="411">
        <v>221</v>
      </c>
      <c r="C223" s="412" t="s">
        <v>3541</v>
      </c>
      <c r="D223" s="408">
        <f>IFERROR(MIN('LP Elementos'!F223,'LP Elementos'!I223,'LP Elementos'!N223,'LP Elementos'!S223,'LP Elementos'!X223,'LP Elementos'!AC223,'LP Elementos'!AH223,'LP Elementos'!AM223,'LP Elementos'!AR223,'LP Elementos'!AW223,'LP Elementos'!BB223,'LP Elementos'!BG223,'LP Elementos'!BL223,'LP Elementos'!BQ223,'LP Elementos'!BV223,'LP Elementos'!CA223,'LP Elementos'!CF223,'LP Elementos'!CK223,'LP Elementos'!CP223,'LP Elementos'!CU223,'LP Elementos'!CZ223)," ")</f>
        <v>357333.58400000003</v>
      </c>
      <c r="E223" s="341">
        <f>IFERROR(AVERAGE('LP Elementos'!F223,'LP Elementos'!I223,'LP Elementos'!N223,'LP Elementos'!S223,'LP Elementos'!X223,'LP Elementos'!AC223,'LP Elementos'!AH223,'LP Elementos'!AM223,'LP Elementos'!AR223,'LP Elementos'!AW223,'LP Elementos'!BB223,'LP Elementos'!BG223,'LP Elementos'!BL223,'LP Elementos'!BQ223,'LP Elementos'!BV223,'LP Elementos'!CA223,'LP Elementos'!CF223,'LP Elementos'!CK223,'LP Elementos'!CP223,'LP Elementos'!CU223,'LP Elementos'!CZ223)," ")</f>
        <v>357333.58400000003</v>
      </c>
      <c r="F223" s="341">
        <f>IFERROR(MEDIAN('LP Elementos'!F223,'LP Elementos'!I223,'LP Elementos'!N223,'LP Elementos'!S223,'LP Elementos'!X223,'LP Elementos'!AC223,'LP Elementos'!AH223,'LP Elementos'!AM223,'LP Elementos'!AR223,'LP Elementos'!AW223,'LP Elementos'!BB223,'LP Elementos'!BG223,'LP Elementos'!BL223,'LP Elementos'!BQ223,'LP Elementos'!BV223,'LP Elementos'!CA223,'LP Elementos'!CF223,'LP Elementos'!CK223,'LP Elementos'!CP223,'LP Elementos'!CU223,'LP Elementos'!CZ223)," ")</f>
        <v>357333.58400000003</v>
      </c>
      <c r="G223" s="341">
        <f>IFERROR(GEOMEAN('LP Elementos'!F223,'LP Elementos'!I223,'LP Elementos'!N223,'LP Elementos'!S223,'LP Elementos'!X223,'LP Elementos'!AC223,'LP Elementos'!AH223,'LP Elementos'!AM223,'LP Elementos'!AR223,'LP Elementos'!AW223,'LP Elementos'!BB223,'LP Elementos'!BG223,'LP Elementos'!BL223,'LP Elementos'!BQ223,'LP Elementos'!BV223,'LP Elementos'!CA223,'LP Elementos'!CF223,'LP Elementos'!CK223,'LP Elementos'!CP223,'LP Elementos'!CU223,'LP Elementos'!CZ223)," ")</f>
        <v>357333.58400000003</v>
      </c>
      <c r="H223" s="341">
        <f t="shared" si="16"/>
        <v>0</v>
      </c>
      <c r="I223" s="342">
        <f t="shared" si="17"/>
        <v>0</v>
      </c>
      <c r="J223" s="341">
        <f t="shared" si="19"/>
        <v>357333.58400000003</v>
      </c>
      <c r="K223" s="326" t="str">
        <f t="shared" si="18"/>
        <v>Menor Valor</v>
      </c>
      <c r="L223" s="326">
        <f>IFERROR(COUNTA('LP Elementos'!F223,'LP Elementos'!I223,'LP Elementos'!N223,'LP Elementos'!S223,'LP Elementos'!X223,'LP Elementos'!AC223,'LP Elementos'!AH223,'LP Elementos'!AM223,'LP Elementos'!AR223,'LP Elementos'!AX223,'LP Elementos'!BB223,'LP Elementos'!BG223,'LP Elementos'!BL223,'LP Elementos'!BQ223,'LP Elementos'!BV223,'LP Elementos'!CA223,'LP Elementos'!CF223,'LP Elementos'!CK223,'LP Elementos'!CP223,'LP Elementos'!CU223,'LP Elementos'!CZ223)," ")</f>
        <v>1</v>
      </c>
    </row>
    <row r="224" spans="2:12" ht="40.5" x14ac:dyDescent="0.25">
      <c r="B224" s="411">
        <v>222</v>
      </c>
      <c r="C224" s="412" t="s">
        <v>3544</v>
      </c>
      <c r="D224" s="408">
        <f>IFERROR(MIN('LP Elementos'!F224,'LP Elementos'!I224,'LP Elementos'!N224,'LP Elementos'!S224,'LP Elementos'!X224,'LP Elementos'!AC224,'LP Elementos'!AH224,'LP Elementos'!AM224,'LP Elementos'!AR224,'LP Elementos'!AW224,'LP Elementos'!BB224,'LP Elementos'!BG224,'LP Elementos'!BL224,'LP Elementos'!BQ224,'LP Elementos'!BV224,'LP Elementos'!CA224,'LP Elementos'!CF224,'LP Elementos'!CK224,'LP Elementos'!CP224,'LP Elementos'!CU224,'LP Elementos'!CZ224)," ")</f>
        <v>216937.1428</v>
      </c>
      <c r="E224" s="341">
        <f>IFERROR(AVERAGE('LP Elementos'!F224,'LP Elementos'!I224,'LP Elementos'!N224,'LP Elementos'!S224,'LP Elementos'!X224,'LP Elementos'!AC224,'LP Elementos'!AH224,'LP Elementos'!AM224,'LP Elementos'!AR224,'LP Elementos'!AW224,'LP Elementos'!BB224,'LP Elementos'!BG224,'LP Elementos'!BL224,'LP Elementos'!BQ224,'LP Elementos'!BV224,'LP Elementos'!CA224,'LP Elementos'!CF224,'LP Elementos'!CK224,'LP Elementos'!CP224,'LP Elementos'!CU224,'LP Elementos'!CZ224)," ")</f>
        <v>216937.1428</v>
      </c>
      <c r="F224" s="341">
        <f>IFERROR(MEDIAN('LP Elementos'!F224,'LP Elementos'!I224,'LP Elementos'!N224,'LP Elementos'!S224,'LP Elementos'!X224,'LP Elementos'!AC224,'LP Elementos'!AH224,'LP Elementos'!AM224,'LP Elementos'!AR224,'LP Elementos'!AW224,'LP Elementos'!BB224,'LP Elementos'!BG224,'LP Elementos'!BL224,'LP Elementos'!BQ224,'LP Elementos'!BV224,'LP Elementos'!CA224,'LP Elementos'!CF224,'LP Elementos'!CK224,'LP Elementos'!CP224,'LP Elementos'!CU224,'LP Elementos'!CZ224)," ")</f>
        <v>216937.1428</v>
      </c>
      <c r="G224" s="341">
        <f>IFERROR(GEOMEAN('LP Elementos'!F224,'LP Elementos'!I224,'LP Elementos'!N224,'LP Elementos'!S224,'LP Elementos'!X224,'LP Elementos'!AC224,'LP Elementos'!AH224,'LP Elementos'!AM224,'LP Elementos'!AR224,'LP Elementos'!AW224,'LP Elementos'!BB224,'LP Elementos'!BG224,'LP Elementos'!BL224,'LP Elementos'!BQ224,'LP Elementos'!BV224,'LP Elementos'!CA224,'LP Elementos'!CF224,'LP Elementos'!CK224,'LP Elementos'!CP224,'LP Elementos'!CU224,'LP Elementos'!CZ224)," ")</f>
        <v>216937.1428</v>
      </c>
      <c r="H224" s="341">
        <f t="shared" si="16"/>
        <v>0</v>
      </c>
      <c r="I224" s="342">
        <f t="shared" si="17"/>
        <v>0</v>
      </c>
      <c r="J224" s="341">
        <f t="shared" si="19"/>
        <v>216937.1428</v>
      </c>
      <c r="K224" s="326" t="str">
        <f t="shared" si="18"/>
        <v>Menor Valor</v>
      </c>
      <c r="L224" s="326">
        <f>IFERROR(COUNTA('LP Elementos'!F224,'LP Elementos'!I224,'LP Elementos'!N224,'LP Elementos'!S224,'LP Elementos'!X224,'LP Elementos'!AC224,'LP Elementos'!AH224,'LP Elementos'!AM224,'LP Elementos'!AR224,'LP Elementos'!AX224,'LP Elementos'!BB224,'LP Elementos'!BG224,'LP Elementos'!BL224,'LP Elementos'!BQ224,'LP Elementos'!BV224,'LP Elementos'!CA224,'LP Elementos'!CF224,'LP Elementos'!CK224,'LP Elementos'!CP224,'LP Elementos'!CU224,'LP Elementos'!CZ224)," ")</f>
        <v>1</v>
      </c>
    </row>
    <row r="225" spans="2:12" ht="40.5" x14ac:dyDescent="0.25">
      <c r="B225" s="411">
        <v>223</v>
      </c>
      <c r="C225" s="412" t="s">
        <v>3545</v>
      </c>
      <c r="D225" s="408">
        <f>IFERROR(MIN('LP Elementos'!F225,'LP Elementos'!I225,'LP Elementos'!N225,'LP Elementos'!S225,'LP Elementos'!X225,'LP Elementos'!AC225,'LP Elementos'!AH225,'LP Elementos'!AM225,'LP Elementos'!AR225,'LP Elementos'!AW225,'LP Elementos'!BB225,'LP Elementos'!BG225,'LP Elementos'!BL225,'LP Elementos'!BQ225,'LP Elementos'!BV225,'LP Elementos'!CA225,'LP Elementos'!CF225,'LP Elementos'!CK225,'LP Elementos'!CP225,'LP Elementos'!CU225,'LP Elementos'!CZ225)," ")</f>
        <v>760410</v>
      </c>
      <c r="E225" s="341">
        <f>IFERROR(AVERAGE('LP Elementos'!F225,'LP Elementos'!I225,'LP Elementos'!N225,'LP Elementos'!S225,'LP Elementos'!X225,'LP Elementos'!AC225,'LP Elementos'!AH225,'LP Elementos'!AM225,'LP Elementos'!AR225,'LP Elementos'!AW225,'LP Elementos'!BB225,'LP Elementos'!BG225,'LP Elementos'!BL225,'LP Elementos'!BQ225,'LP Elementos'!BV225,'LP Elementos'!CA225,'LP Elementos'!CF225,'LP Elementos'!CK225,'LP Elementos'!CP225,'LP Elementos'!CU225,'LP Elementos'!CZ225)," ")</f>
        <v>1162389.4613333333</v>
      </c>
      <c r="F225" s="341">
        <f>IFERROR(MEDIAN('LP Elementos'!F225,'LP Elementos'!I225,'LP Elementos'!N225,'LP Elementos'!S225,'LP Elementos'!X225,'LP Elementos'!AC225,'LP Elementos'!AH225,'LP Elementos'!AM225,'LP Elementos'!AR225,'LP Elementos'!AW225,'LP Elementos'!BB225,'LP Elementos'!BG225,'LP Elementos'!BL225,'LP Elementos'!BQ225,'LP Elementos'!BV225,'LP Elementos'!CA225,'LP Elementos'!CF225,'LP Elementos'!CK225,'LP Elementos'!CP225,'LP Elementos'!CU225,'LP Elementos'!CZ225)," ")</f>
        <v>1309000</v>
      </c>
      <c r="G225" s="341">
        <f>IFERROR(GEOMEAN('LP Elementos'!F225,'LP Elementos'!I225,'LP Elementos'!N225,'LP Elementos'!S225,'LP Elementos'!X225,'LP Elementos'!AC225,'LP Elementos'!AH225,'LP Elementos'!AM225,'LP Elementos'!AR225,'LP Elementos'!AW225,'LP Elementos'!BB225,'LP Elementos'!BG225,'LP Elementos'!BL225,'LP Elementos'!BQ225,'LP Elementos'!BV225,'LP Elementos'!CA225,'LP Elementos'!CF225,'LP Elementos'!CK225,'LP Elementos'!CP225,'LP Elementos'!CU225,'LP Elementos'!CZ225)," ")</f>
        <v>1121665.1590171386</v>
      </c>
      <c r="H225" s="341">
        <f t="shared" si="16"/>
        <v>232968.38606051175</v>
      </c>
      <c r="I225" s="342">
        <f t="shared" si="17"/>
        <v>0.20042197026914066</v>
      </c>
      <c r="J225" s="341">
        <f t="shared" si="19"/>
        <v>1121665.1590171386</v>
      </c>
      <c r="K225" s="326" t="str">
        <f t="shared" si="18"/>
        <v>Media Geometrica</v>
      </c>
      <c r="L225" s="326">
        <f>IFERROR(COUNTA('LP Elementos'!F225,'LP Elementos'!I225,'LP Elementos'!N225,'LP Elementos'!S225,'LP Elementos'!X225,'LP Elementos'!AC225,'LP Elementos'!AH225,'LP Elementos'!AM225,'LP Elementos'!AR225,'LP Elementos'!AX225,'LP Elementos'!BB225,'LP Elementos'!BG225,'LP Elementos'!BL225,'LP Elementos'!BQ225,'LP Elementos'!BV225,'LP Elementos'!CA225,'LP Elementos'!CF225,'LP Elementos'!CK225,'LP Elementos'!CP225,'LP Elementos'!CU225,'LP Elementos'!CZ225)," ")</f>
        <v>3</v>
      </c>
    </row>
    <row r="226" spans="2:12" ht="27" x14ac:dyDescent="0.25">
      <c r="B226" s="411">
        <v>224</v>
      </c>
      <c r="C226" s="412" t="s">
        <v>3550</v>
      </c>
      <c r="D226" s="408">
        <f>IFERROR(MIN('LP Elementos'!F226,'LP Elementos'!I226,'LP Elementos'!N226,'LP Elementos'!S226,'LP Elementos'!X226,'LP Elementos'!AC226,'LP Elementos'!AH226,'LP Elementos'!AM226,'LP Elementos'!AR226,'LP Elementos'!AW226,'LP Elementos'!BB226,'LP Elementos'!BG226,'LP Elementos'!BL226,'LP Elementos'!BQ226,'LP Elementos'!BV226,'LP Elementos'!CA226,'LP Elementos'!CF226,'LP Elementos'!CK226,'LP Elementos'!CP226,'LP Elementos'!CU226,'LP Elementos'!CZ226)," ")</f>
        <v>622420.77240000002</v>
      </c>
      <c r="E226" s="341">
        <f>IFERROR(AVERAGE('LP Elementos'!F226,'LP Elementos'!I226,'LP Elementos'!N226,'LP Elementos'!S226,'LP Elementos'!X226,'LP Elementos'!AC226,'LP Elementos'!AH226,'LP Elementos'!AM226,'LP Elementos'!AR226,'LP Elementos'!AW226,'LP Elementos'!BB226,'LP Elementos'!BG226,'LP Elementos'!BL226,'LP Elementos'!BQ226,'LP Elementos'!BV226,'LP Elementos'!CA226,'LP Elementos'!CF226,'LP Elementos'!CK226,'LP Elementos'!CP226,'LP Elementos'!CU226,'LP Elementos'!CZ226)," ")</f>
        <v>1615846.6564799999</v>
      </c>
      <c r="F226" s="341">
        <f>IFERROR(MEDIAN('LP Elementos'!F226,'LP Elementos'!I226,'LP Elementos'!N226,'LP Elementos'!S226,'LP Elementos'!X226,'LP Elementos'!AC226,'LP Elementos'!AH226,'LP Elementos'!AM226,'LP Elementos'!AR226,'LP Elementos'!AW226,'LP Elementos'!BB226,'LP Elementos'!BG226,'LP Elementos'!BL226,'LP Elementos'!BQ226,'LP Elementos'!BV226,'LP Elementos'!CA226,'LP Elementos'!CF226,'LP Elementos'!CK226,'LP Elementos'!CP226,'LP Elementos'!CU226,'LP Elementos'!CZ226)," ")</f>
        <v>815422.51</v>
      </c>
      <c r="G226" s="341">
        <f>IFERROR(GEOMEAN('LP Elementos'!F226,'LP Elementos'!I226,'LP Elementos'!N226,'LP Elementos'!S226,'LP Elementos'!X226,'LP Elementos'!AC226,'LP Elementos'!AH226,'LP Elementos'!AM226,'LP Elementos'!AR226,'LP Elementos'!AW226,'LP Elementos'!BB226,'LP Elementos'!BG226,'LP Elementos'!BL226,'LP Elementos'!BQ226,'LP Elementos'!BV226,'LP Elementos'!CA226,'LP Elementos'!CF226,'LP Elementos'!CK226,'LP Elementos'!CP226,'LP Elementos'!CU226,'LP Elementos'!CZ226)," ")</f>
        <v>1232114.1201224916</v>
      </c>
      <c r="H226" s="341">
        <f t="shared" si="16"/>
        <v>443229.81320904347</v>
      </c>
      <c r="I226" s="342">
        <f t="shared" si="17"/>
        <v>0.27430190323541354</v>
      </c>
      <c r="J226" s="341">
        <f t="shared" si="19"/>
        <v>1232114.1201224916</v>
      </c>
      <c r="K226" s="326" t="str">
        <f t="shared" si="18"/>
        <v>Media Geometrica</v>
      </c>
      <c r="L226" s="326">
        <f>IFERROR(COUNTA('LP Elementos'!F226,'LP Elementos'!I226,'LP Elementos'!N226,'LP Elementos'!S226,'LP Elementos'!X226,'LP Elementos'!AC226,'LP Elementos'!AH226,'LP Elementos'!AM226,'LP Elementos'!AR226,'LP Elementos'!AX226,'LP Elementos'!BB226,'LP Elementos'!BG226,'LP Elementos'!BL226,'LP Elementos'!BQ226,'LP Elementos'!BV226,'LP Elementos'!CA226,'LP Elementos'!CF226,'LP Elementos'!CK226,'LP Elementos'!CP226,'LP Elementos'!CU226,'LP Elementos'!CZ226)," ")</f>
        <v>5</v>
      </c>
    </row>
    <row r="227" spans="2:12" ht="27" x14ac:dyDescent="0.25">
      <c r="B227" s="411">
        <v>225</v>
      </c>
      <c r="C227" s="412" t="s">
        <v>3554</v>
      </c>
      <c r="D227" s="408">
        <f>IFERROR(MIN('LP Elementos'!F227,'LP Elementos'!I227,'LP Elementos'!N227,'LP Elementos'!S227,'LP Elementos'!X227,'LP Elementos'!AC227,'LP Elementos'!AH227,'LP Elementos'!AM227,'LP Elementos'!AR227,'LP Elementos'!AW227,'LP Elementos'!BB227,'LP Elementos'!BG227,'LP Elementos'!BL227,'LP Elementos'!BQ227,'LP Elementos'!BV227,'LP Elementos'!CA227,'LP Elementos'!CF227,'LP Elementos'!CK227,'LP Elementos'!CP227,'LP Elementos'!CU227,'LP Elementos'!CZ227)," ")</f>
        <v>322490</v>
      </c>
      <c r="E227" s="341">
        <f>IFERROR(AVERAGE('LP Elementos'!F227,'LP Elementos'!I227,'LP Elementos'!N227,'LP Elementos'!S227,'LP Elementos'!X227,'LP Elementos'!AC227,'LP Elementos'!AH227,'LP Elementos'!AM227,'LP Elementos'!AR227,'LP Elementos'!AW227,'LP Elementos'!BB227,'LP Elementos'!BG227,'LP Elementos'!BL227,'LP Elementos'!BQ227,'LP Elementos'!BV227,'LP Elementos'!CA227,'LP Elementos'!CF227,'LP Elementos'!CK227,'LP Elementos'!CP227,'LP Elementos'!CU227,'LP Elementos'!CZ227)," ")</f>
        <v>674213.54</v>
      </c>
      <c r="F227" s="341">
        <f>IFERROR(MEDIAN('LP Elementos'!F227,'LP Elementos'!I227,'LP Elementos'!N227,'LP Elementos'!S227,'LP Elementos'!X227,'LP Elementos'!AC227,'LP Elementos'!AH227,'LP Elementos'!AM227,'LP Elementos'!AR227,'LP Elementos'!AW227,'LP Elementos'!BB227,'LP Elementos'!BG227,'LP Elementos'!BL227,'LP Elementos'!BQ227,'LP Elementos'!BV227,'LP Elementos'!CA227,'LP Elementos'!CF227,'LP Elementos'!CK227,'LP Elementos'!CP227,'LP Elementos'!CU227,'LP Elementos'!CZ227)," ")</f>
        <v>651087.08000000007</v>
      </c>
      <c r="G227" s="341">
        <f>IFERROR(GEOMEAN('LP Elementos'!F227,'LP Elementos'!I227,'LP Elementos'!N227,'LP Elementos'!S227,'LP Elementos'!X227,'LP Elementos'!AC227,'LP Elementos'!AH227,'LP Elementos'!AM227,'LP Elementos'!AR227,'LP Elementos'!AW227,'LP Elementos'!BB227,'LP Elementos'!BG227,'LP Elementos'!BL227,'LP Elementos'!BQ227,'LP Elementos'!BV227,'LP Elementos'!CA227,'LP Elementos'!CF227,'LP Elementos'!CK227,'LP Elementos'!CP227,'LP Elementos'!CU227,'LP Elementos'!CZ227)," ")</f>
        <v>596056.87639306625</v>
      </c>
      <c r="H227" s="341">
        <f t="shared" si="16"/>
        <v>162325.79019814788</v>
      </c>
      <c r="I227" s="342">
        <f t="shared" si="17"/>
        <v>0.24076317155859533</v>
      </c>
      <c r="J227" s="341">
        <f t="shared" si="19"/>
        <v>596056.87639306625</v>
      </c>
      <c r="K227" s="326" t="str">
        <f t="shared" si="18"/>
        <v>Media Geometrica</v>
      </c>
      <c r="L227" s="326">
        <f>IFERROR(COUNTA('LP Elementos'!F227,'LP Elementos'!I227,'LP Elementos'!N227,'LP Elementos'!S227,'LP Elementos'!X227,'LP Elementos'!AC227,'LP Elementos'!AH227,'LP Elementos'!AM227,'LP Elementos'!AR227,'LP Elementos'!AX227,'LP Elementos'!BB227,'LP Elementos'!BG227,'LP Elementos'!BL227,'LP Elementos'!BQ227,'LP Elementos'!BV227,'LP Elementos'!CA227,'LP Elementos'!CF227,'LP Elementos'!CK227,'LP Elementos'!CP227,'LP Elementos'!CU227,'LP Elementos'!CZ227)," ")</f>
        <v>4</v>
      </c>
    </row>
    <row r="228" spans="2:12" ht="27" x14ac:dyDescent="0.25">
      <c r="B228" s="411">
        <v>226</v>
      </c>
      <c r="C228" s="412" t="s">
        <v>3559</v>
      </c>
      <c r="D228" s="408">
        <f>IFERROR(MIN('LP Elementos'!F228,'LP Elementos'!I228,'LP Elementos'!N228,'LP Elementos'!S228,'LP Elementos'!X228,'LP Elementos'!AC228,'LP Elementos'!AH228,'LP Elementos'!AM228,'LP Elementos'!AR228,'LP Elementos'!AW228,'LP Elementos'!BB228,'LP Elementos'!BG228,'LP Elementos'!BL228,'LP Elementos'!BQ228,'LP Elementos'!BV228,'LP Elementos'!CA228,'LP Elementos'!CF228,'LP Elementos'!CK228,'LP Elementos'!CP228,'LP Elementos'!CU228,'LP Elementos'!CZ228)," ")</f>
        <v>446191.69</v>
      </c>
      <c r="E228" s="341">
        <f>IFERROR(AVERAGE('LP Elementos'!F228,'LP Elementos'!I228,'LP Elementos'!N228,'LP Elementos'!S228,'LP Elementos'!X228,'LP Elementos'!AC228,'LP Elementos'!AH228,'LP Elementos'!AM228,'LP Elementos'!AR228,'LP Elementos'!AW228,'LP Elementos'!BB228,'LP Elementos'!BG228,'LP Elementos'!BL228,'LP Elementos'!BQ228,'LP Elementos'!BV228,'LP Elementos'!CA228,'LP Elementos'!CF228,'LP Elementos'!CK228,'LP Elementos'!CP228,'LP Elementos'!CU228,'LP Elementos'!CZ228)," ")</f>
        <v>446191.69</v>
      </c>
      <c r="F228" s="341">
        <f>IFERROR(MEDIAN('LP Elementos'!F228,'LP Elementos'!I228,'LP Elementos'!N228,'LP Elementos'!S228,'LP Elementos'!X228,'LP Elementos'!AC228,'LP Elementos'!AH228,'LP Elementos'!AM228,'LP Elementos'!AR228,'LP Elementos'!AW228,'LP Elementos'!BB228,'LP Elementos'!BG228,'LP Elementos'!BL228,'LP Elementos'!BQ228,'LP Elementos'!BV228,'LP Elementos'!CA228,'LP Elementos'!CF228,'LP Elementos'!CK228,'LP Elementos'!CP228,'LP Elementos'!CU228,'LP Elementos'!CZ228)," ")</f>
        <v>446191.69</v>
      </c>
      <c r="G228" s="341">
        <f>IFERROR(GEOMEAN('LP Elementos'!F228,'LP Elementos'!I228,'LP Elementos'!N228,'LP Elementos'!S228,'LP Elementos'!X228,'LP Elementos'!AC228,'LP Elementos'!AH228,'LP Elementos'!AM228,'LP Elementos'!AR228,'LP Elementos'!AW228,'LP Elementos'!BB228,'LP Elementos'!BG228,'LP Elementos'!BL228,'LP Elementos'!BQ228,'LP Elementos'!BV228,'LP Elementos'!CA228,'LP Elementos'!CF228,'LP Elementos'!CK228,'LP Elementos'!CP228,'LP Elementos'!CU228,'LP Elementos'!CZ228)," ")</f>
        <v>446191.69</v>
      </c>
      <c r="H228" s="341">
        <f t="shared" si="16"/>
        <v>0</v>
      </c>
      <c r="I228" s="342">
        <f t="shared" si="17"/>
        <v>0</v>
      </c>
      <c r="J228" s="341">
        <f t="shared" si="19"/>
        <v>446191.69</v>
      </c>
      <c r="K228" s="326" t="str">
        <f t="shared" si="18"/>
        <v>Menor Valor</v>
      </c>
      <c r="L228" s="326">
        <f>IFERROR(COUNTA('LP Elementos'!F228,'LP Elementos'!I228,'LP Elementos'!N228,'LP Elementos'!S228,'LP Elementos'!X228,'LP Elementos'!AC228,'LP Elementos'!AH228,'LP Elementos'!AM228,'LP Elementos'!AR228,'LP Elementos'!AX228,'LP Elementos'!BB228,'LP Elementos'!BG228,'LP Elementos'!BL228,'LP Elementos'!BQ228,'LP Elementos'!BV228,'LP Elementos'!CA228,'LP Elementos'!CF228,'LP Elementos'!CK228,'LP Elementos'!CP228,'LP Elementos'!CU228,'LP Elementos'!CZ228)," ")</f>
        <v>1</v>
      </c>
    </row>
    <row r="229" spans="2:12" ht="27" x14ac:dyDescent="0.25">
      <c r="B229" s="411">
        <v>227</v>
      </c>
      <c r="C229" s="412" t="s">
        <v>3562</v>
      </c>
      <c r="D229" s="408">
        <f>IFERROR(MIN('LP Elementos'!F229,'LP Elementos'!I229,'LP Elementos'!N229,'LP Elementos'!S229,'LP Elementos'!X229,'LP Elementos'!AC229,'LP Elementos'!AH229,'LP Elementos'!AM229,'LP Elementos'!AR229,'LP Elementos'!AW229,'LP Elementos'!BB229,'LP Elementos'!BG229,'LP Elementos'!BL229,'LP Elementos'!BQ229,'LP Elementos'!BV229,'LP Elementos'!CA229,'LP Elementos'!CF229,'LP Elementos'!CK229,'LP Elementos'!CP229,'LP Elementos'!CU229,'LP Elementos'!CZ229)," ")</f>
        <v>52194.235399999998</v>
      </c>
      <c r="E229" s="341">
        <f>IFERROR(AVERAGE('LP Elementos'!F229,'LP Elementos'!I229,'LP Elementos'!N229,'LP Elementos'!S229,'LP Elementos'!X229,'LP Elementos'!AC229,'LP Elementos'!AH229,'LP Elementos'!AM229,'LP Elementos'!AR229,'LP Elementos'!AW229,'LP Elementos'!BB229,'LP Elementos'!BG229,'LP Elementos'!BL229,'LP Elementos'!BQ229,'LP Elementos'!BV229,'LP Elementos'!CA229,'LP Elementos'!CF229,'LP Elementos'!CK229,'LP Elementos'!CP229,'LP Elementos'!CU229,'LP Elementos'!CZ229)," ")</f>
        <v>58822.117700000003</v>
      </c>
      <c r="F229" s="341">
        <f>IFERROR(MEDIAN('LP Elementos'!F229,'LP Elementos'!I229,'LP Elementos'!N229,'LP Elementos'!S229,'LP Elementos'!X229,'LP Elementos'!AC229,'LP Elementos'!AH229,'LP Elementos'!AM229,'LP Elementos'!AR229,'LP Elementos'!AW229,'LP Elementos'!BB229,'LP Elementos'!BG229,'LP Elementos'!BL229,'LP Elementos'!BQ229,'LP Elementos'!BV229,'LP Elementos'!CA229,'LP Elementos'!CF229,'LP Elementos'!CK229,'LP Elementos'!CP229,'LP Elementos'!CU229,'LP Elementos'!CZ229)," ")</f>
        <v>58822.117700000003</v>
      </c>
      <c r="G229" s="341">
        <f>IFERROR(GEOMEAN('LP Elementos'!F229,'LP Elementos'!I229,'LP Elementos'!N229,'LP Elementos'!S229,'LP Elementos'!X229,'LP Elementos'!AC229,'LP Elementos'!AH229,'LP Elementos'!AM229,'LP Elementos'!AR229,'LP Elementos'!AW229,'LP Elementos'!BB229,'LP Elementos'!BG229,'LP Elementos'!BL229,'LP Elementos'!BQ229,'LP Elementos'!BV229,'LP Elementos'!CA229,'LP Elementos'!CF229,'LP Elementos'!CK229,'LP Elementos'!CP229,'LP Elementos'!CU229,'LP Elementos'!CZ229)," ")</f>
        <v>58447.520964793708</v>
      </c>
      <c r="H229" s="341">
        <f t="shared" si="16"/>
        <v>3256.299962485778</v>
      </c>
      <c r="I229" s="342">
        <f t="shared" si="17"/>
        <v>5.5358427914705591E-2</v>
      </c>
      <c r="J229" s="341">
        <f t="shared" si="19"/>
        <v>58822.117700000003</v>
      </c>
      <c r="K229" s="326" t="str">
        <f t="shared" si="18"/>
        <v>Promedio</v>
      </c>
      <c r="L229" s="326">
        <f>IFERROR(COUNTA('LP Elementos'!F229,'LP Elementos'!I229,'LP Elementos'!N229,'LP Elementos'!S229,'LP Elementos'!X229,'LP Elementos'!AC229,'LP Elementos'!AH229,'LP Elementos'!AM229,'LP Elementos'!AR229,'LP Elementos'!AX229,'LP Elementos'!BB229,'LP Elementos'!BG229,'LP Elementos'!BL229,'LP Elementos'!BQ229,'LP Elementos'!BV229,'LP Elementos'!CA229,'LP Elementos'!CF229,'LP Elementos'!CK229,'LP Elementos'!CP229,'LP Elementos'!CU229,'LP Elementos'!CZ229)," ")</f>
        <v>2</v>
      </c>
    </row>
    <row r="230" spans="2:12" ht="67.5" x14ac:dyDescent="0.25">
      <c r="B230" s="411">
        <v>228</v>
      </c>
      <c r="C230" s="412" t="s">
        <v>3566</v>
      </c>
      <c r="D230" s="408">
        <f>IFERROR(MIN('LP Elementos'!F230,'LP Elementos'!I230,'LP Elementos'!N230,'LP Elementos'!S230,'LP Elementos'!X230,'LP Elementos'!AC230,'LP Elementos'!AH230,'LP Elementos'!AM230,'LP Elementos'!AR230,'LP Elementos'!AW230,'LP Elementos'!BB230,'LP Elementos'!BG230,'LP Elementos'!BL230,'LP Elementos'!BQ230,'LP Elementos'!BV230,'LP Elementos'!CA230,'LP Elementos'!CF230,'LP Elementos'!CK230,'LP Elementos'!CP230,'LP Elementos'!CU230,'LP Elementos'!CZ230)," ")</f>
        <v>509436.62</v>
      </c>
      <c r="E230" s="341">
        <f>IFERROR(AVERAGE('LP Elementos'!F230,'LP Elementos'!I230,'LP Elementos'!N230,'LP Elementos'!S230,'LP Elementos'!X230,'LP Elementos'!AC230,'LP Elementos'!AH230,'LP Elementos'!AM230,'LP Elementos'!AR230,'LP Elementos'!AW230,'LP Elementos'!BB230,'LP Elementos'!BG230,'LP Elementos'!BL230,'LP Elementos'!BQ230,'LP Elementos'!BV230,'LP Elementos'!CA230,'LP Elementos'!CF230,'LP Elementos'!CK230,'LP Elementos'!CP230,'LP Elementos'!CU230,'LP Elementos'!CZ230)," ")</f>
        <v>509436.62</v>
      </c>
      <c r="F230" s="341">
        <f>IFERROR(MEDIAN('LP Elementos'!F230,'LP Elementos'!I230,'LP Elementos'!N230,'LP Elementos'!S230,'LP Elementos'!X230,'LP Elementos'!AC230,'LP Elementos'!AH230,'LP Elementos'!AM230,'LP Elementos'!AR230,'LP Elementos'!AW230,'LP Elementos'!BB230,'LP Elementos'!BG230,'LP Elementos'!BL230,'LP Elementos'!BQ230,'LP Elementos'!BV230,'LP Elementos'!CA230,'LP Elementos'!CF230,'LP Elementos'!CK230,'LP Elementos'!CP230,'LP Elementos'!CU230,'LP Elementos'!CZ230)," ")</f>
        <v>509436.62</v>
      </c>
      <c r="G230" s="341">
        <f>IFERROR(GEOMEAN('LP Elementos'!F230,'LP Elementos'!I230,'LP Elementos'!N230,'LP Elementos'!S230,'LP Elementos'!X230,'LP Elementos'!AC230,'LP Elementos'!AH230,'LP Elementos'!AM230,'LP Elementos'!AR230,'LP Elementos'!AW230,'LP Elementos'!BB230,'LP Elementos'!BG230,'LP Elementos'!BL230,'LP Elementos'!BQ230,'LP Elementos'!BV230,'LP Elementos'!CA230,'LP Elementos'!CF230,'LP Elementos'!CK230,'LP Elementos'!CP230,'LP Elementos'!CU230,'LP Elementos'!CZ230)," ")</f>
        <v>509436.62</v>
      </c>
      <c r="H230" s="341">
        <f t="shared" si="16"/>
        <v>0</v>
      </c>
      <c r="I230" s="342">
        <f t="shared" si="17"/>
        <v>0</v>
      </c>
      <c r="J230" s="341">
        <f t="shared" si="19"/>
        <v>509436.62</v>
      </c>
      <c r="K230" s="326" t="str">
        <f t="shared" si="18"/>
        <v>Menor Valor</v>
      </c>
      <c r="L230" s="326">
        <f>IFERROR(COUNTA('LP Elementos'!F230,'LP Elementos'!I230,'LP Elementos'!N230,'LP Elementos'!S230,'LP Elementos'!X230,'LP Elementos'!AC230,'LP Elementos'!AH230,'LP Elementos'!AM230,'LP Elementos'!AR230,'LP Elementos'!AX230,'LP Elementos'!BB230,'LP Elementos'!BG230,'LP Elementos'!BL230,'LP Elementos'!BQ230,'LP Elementos'!BV230,'LP Elementos'!CA230,'LP Elementos'!CF230,'LP Elementos'!CK230,'LP Elementos'!CP230,'LP Elementos'!CU230,'LP Elementos'!CZ230)," ")</f>
        <v>1</v>
      </c>
    </row>
    <row r="231" spans="2:12" ht="27" x14ac:dyDescent="0.25">
      <c r="B231" s="411">
        <v>229</v>
      </c>
      <c r="C231" s="412" t="s">
        <v>3568</v>
      </c>
      <c r="D231" s="408">
        <f>IFERROR(MIN('LP Elementos'!F231,'LP Elementos'!I231,'LP Elementos'!N231,'LP Elementos'!S231,'LP Elementos'!X231,'LP Elementos'!AC231,'LP Elementos'!AH231,'LP Elementos'!AM231,'LP Elementos'!AR231,'LP Elementos'!AW231,'LP Elementos'!BB231,'LP Elementos'!BG231,'LP Elementos'!BL231,'LP Elementos'!BQ231,'LP Elementos'!BV231,'LP Elementos'!CA231,'LP Elementos'!CF231,'LP Elementos'!CK231,'LP Elementos'!CP231,'LP Elementos'!CU231,'LP Elementos'!CZ231)," ")</f>
        <v>461274.22600000002</v>
      </c>
      <c r="E231" s="341">
        <f>IFERROR(AVERAGE('LP Elementos'!F231,'LP Elementos'!I231,'LP Elementos'!N231,'LP Elementos'!S231,'LP Elementos'!X231,'LP Elementos'!AC231,'LP Elementos'!AH231,'LP Elementos'!AM231,'LP Elementos'!AR231,'LP Elementos'!AW231,'LP Elementos'!BB231,'LP Elementos'!BG231,'LP Elementos'!BL231,'LP Elementos'!BQ231,'LP Elementos'!BV231,'LP Elementos'!CA231,'LP Elementos'!CF231,'LP Elementos'!CK231,'LP Elementos'!CP231,'LP Elementos'!CU231,'LP Elementos'!CZ231)," ")</f>
        <v>478752.11300000001</v>
      </c>
      <c r="F231" s="341">
        <f>IFERROR(MEDIAN('LP Elementos'!F231,'LP Elementos'!I231,'LP Elementos'!N231,'LP Elementos'!S231,'LP Elementos'!X231,'LP Elementos'!AC231,'LP Elementos'!AH231,'LP Elementos'!AM231,'LP Elementos'!AR231,'LP Elementos'!AW231,'LP Elementos'!BB231,'LP Elementos'!BG231,'LP Elementos'!BL231,'LP Elementos'!BQ231,'LP Elementos'!BV231,'LP Elementos'!CA231,'LP Elementos'!CF231,'LP Elementos'!CK231,'LP Elementos'!CP231,'LP Elementos'!CU231,'LP Elementos'!CZ231)," ")</f>
        <v>478752.11300000001</v>
      </c>
      <c r="G231" s="341">
        <f>IFERROR(GEOMEAN('LP Elementos'!F231,'LP Elementos'!I231,'LP Elementos'!N231,'LP Elementos'!S231,'LP Elementos'!X231,'LP Elementos'!AC231,'LP Elementos'!AH231,'LP Elementos'!AM231,'LP Elementos'!AR231,'LP Elementos'!AW231,'LP Elementos'!BB231,'LP Elementos'!BG231,'LP Elementos'!BL231,'LP Elementos'!BQ231,'LP Elementos'!BV231,'LP Elementos'!CA231,'LP Elementos'!CF231,'LP Elementos'!CK231,'LP Elementos'!CP231,'LP Elementos'!CU231,'LP Elementos'!CZ231)," ")</f>
        <v>478432.97249246942</v>
      </c>
      <c r="H231" s="341">
        <f t="shared" si="16"/>
        <v>8687.0562260251208</v>
      </c>
      <c r="I231" s="342">
        <f t="shared" si="17"/>
        <v>1.8145207070919225E-2</v>
      </c>
      <c r="J231" s="341">
        <f t="shared" si="19"/>
        <v>478752.11300000001</v>
      </c>
      <c r="K231" s="326" t="str">
        <f t="shared" si="18"/>
        <v>Promedio</v>
      </c>
      <c r="L231" s="326">
        <f>IFERROR(COUNTA('LP Elementos'!F231,'LP Elementos'!I231,'LP Elementos'!N231,'LP Elementos'!S231,'LP Elementos'!X231,'LP Elementos'!AC231,'LP Elementos'!AH231,'LP Elementos'!AM231,'LP Elementos'!AR231,'LP Elementos'!AX231,'LP Elementos'!BB231,'LP Elementos'!BG231,'LP Elementos'!BL231,'LP Elementos'!BQ231,'LP Elementos'!BV231,'LP Elementos'!CA231,'LP Elementos'!CF231,'LP Elementos'!CK231,'LP Elementos'!CP231,'LP Elementos'!CU231,'LP Elementos'!CZ231)," ")</f>
        <v>2</v>
      </c>
    </row>
    <row r="232" spans="2:12" ht="40.5" x14ac:dyDescent="0.25">
      <c r="B232" s="411">
        <v>230</v>
      </c>
      <c r="C232" s="412" t="s">
        <v>3570</v>
      </c>
      <c r="D232" s="408">
        <f>IFERROR(MIN('LP Elementos'!F232,'LP Elementos'!I232,'LP Elementos'!N232,'LP Elementos'!S232,'LP Elementos'!X232,'LP Elementos'!AC232,'LP Elementos'!AH232,'LP Elementos'!AM232,'LP Elementos'!AR232,'LP Elementos'!AW232,'LP Elementos'!BB232,'LP Elementos'!BG232,'LP Elementos'!BL232,'LP Elementos'!BQ232,'LP Elementos'!BV232,'LP Elementos'!CA232,'LP Elementos'!CF232,'LP Elementos'!CK232,'LP Elementos'!CP232,'LP Elementos'!CU232,'LP Elementos'!CZ232)," ")</f>
        <v>380834.03399999999</v>
      </c>
      <c r="E232" s="341">
        <f>IFERROR(AVERAGE('LP Elementos'!F232,'LP Elementos'!I232,'LP Elementos'!N232,'LP Elementos'!S232,'LP Elementos'!X232,'LP Elementos'!AC232,'LP Elementos'!AH232,'LP Elementos'!AM232,'LP Elementos'!AR232,'LP Elementos'!AW232,'LP Elementos'!BB232,'LP Elementos'!BG232,'LP Elementos'!BL232,'LP Elementos'!BQ232,'LP Elementos'!BV232,'LP Elementos'!CA232,'LP Elementos'!CF232,'LP Elementos'!CK232,'LP Elementos'!CP232,'LP Elementos'!CU232,'LP Elementos'!CZ232)," ")</f>
        <v>704497.01699999999</v>
      </c>
      <c r="F232" s="341">
        <f>IFERROR(MEDIAN('LP Elementos'!F232,'LP Elementos'!I232,'LP Elementos'!N232,'LP Elementos'!S232,'LP Elementos'!X232,'LP Elementos'!AC232,'LP Elementos'!AH232,'LP Elementos'!AM232,'LP Elementos'!AR232,'LP Elementos'!AW232,'LP Elementos'!BB232,'LP Elementos'!BG232,'LP Elementos'!BL232,'LP Elementos'!BQ232,'LP Elementos'!BV232,'LP Elementos'!CA232,'LP Elementos'!CF232,'LP Elementos'!CK232,'LP Elementos'!CP232,'LP Elementos'!CU232,'LP Elementos'!CZ232)," ")</f>
        <v>704497.01699999999</v>
      </c>
      <c r="G232" s="341">
        <f>IFERROR(GEOMEAN('LP Elementos'!F232,'LP Elementos'!I232,'LP Elementos'!N232,'LP Elementos'!S232,'LP Elementos'!X232,'LP Elementos'!AC232,'LP Elementos'!AH232,'LP Elementos'!AM232,'LP Elementos'!AR232,'LP Elementos'!AW232,'LP Elementos'!BB232,'LP Elementos'!BG232,'LP Elementos'!BL232,'LP Elementos'!BQ232,'LP Elementos'!BV232,'LP Elementos'!CA232,'LP Elementos'!CF232,'LP Elementos'!CK232,'LP Elementos'!CP232,'LP Elementos'!CU232,'LP Elementos'!CZ232)," ")</f>
        <v>625746.21085344173</v>
      </c>
      <c r="H232" s="341">
        <f t="shared" si="16"/>
        <v>153270.13365228553</v>
      </c>
      <c r="I232" s="342">
        <f t="shared" si="17"/>
        <v>0.21755966306992258</v>
      </c>
      <c r="J232" s="341">
        <f t="shared" si="19"/>
        <v>625746.21085344173</v>
      </c>
      <c r="K232" s="326" t="str">
        <f t="shared" si="18"/>
        <v>Media Geometrica</v>
      </c>
      <c r="L232" s="326">
        <f>IFERROR(COUNTA('LP Elementos'!F232,'LP Elementos'!I232,'LP Elementos'!N232,'LP Elementos'!S232,'LP Elementos'!X232,'LP Elementos'!AC232,'LP Elementos'!AH232,'LP Elementos'!AM232,'LP Elementos'!AR232,'LP Elementos'!AX232,'LP Elementos'!BB232,'LP Elementos'!BG232,'LP Elementos'!BL232,'LP Elementos'!BQ232,'LP Elementos'!BV232,'LP Elementos'!CA232,'LP Elementos'!CF232,'LP Elementos'!CK232,'LP Elementos'!CP232,'LP Elementos'!CU232,'LP Elementos'!CZ232)," ")</f>
        <v>2</v>
      </c>
    </row>
    <row r="233" spans="2:12" ht="40.5" x14ac:dyDescent="0.25">
      <c r="B233" s="411">
        <v>231</v>
      </c>
      <c r="C233" s="412" t="s">
        <v>3573</v>
      </c>
      <c r="D233" s="408">
        <f>IFERROR(MIN('LP Elementos'!F233,'LP Elementos'!I233,'LP Elementos'!N233,'LP Elementos'!S233,'LP Elementos'!X233,'LP Elementos'!AC233,'LP Elementos'!AH233,'LP Elementos'!AM233,'LP Elementos'!AR233,'LP Elementos'!AW233,'LP Elementos'!BB233,'LP Elementos'!BG233,'LP Elementos'!BL233,'LP Elementos'!BQ233,'LP Elementos'!BV233,'LP Elementos'!CA233,'LP Elementos'!CF233,'LP Elementos'!CK233,'LP Elementos'!CP233,'LP Elementos'!CU233,'LP Elementos'!CZ233)," ")</f>
        <v>1711867.8360000001</v>
      </c>
      <c r="E233" s="341">
        <f>IFERROR(AVERAGE('LP Elementos'!F233,'LP Elementos'!I233,'LP Elementos'!N233,'LP Elementos'!S233,'LP Elementos'!X233,'LP Elementos'!AC233,'LP Elementos'!AH233,'LP Elementos'!AM233,'LP Elementos'!AR233,'LP Elementos'!AW233,'LP Elementos'!BB233,'LP Elementos'!BG233,'LP Elementos'!BL233,'LP Elementos'!BQ233,'LP Elementos'!BV233,'LP Elementos'!CA233,'LP Elementos'!CF233,'LP Elementos'!CK233,'LP Elementos'!CP233,'LP Elementos'!CU233,'LP Elementos'!CZ233)," ")</f>
        <v>1719278.9180000001</v>
      </c>
      <c r="F233" s="341">
        <f>IFERROR(MEDIAN('LP Elementos'!F233,'LP Elementos'!I233,'LP Elementos'!N233,'LP Elementos'!S233,'LP Elementos'!X233,'LP Elementos'!AC233,'LP Elementos'!AH233,'LP Elementos'!AM233,'LP Elementos'!AR233,'LP Elementos'!AW233,'LP Elementos'!BB233,'LP Elementos'!BG233,'LP Elementos'!BL233,'LP Elementos'!BQ233,'LP Elementos'!BV233,'LP Elementos'!CA233,'LP Elementos'!CF233,'LP Elementos'!CK233,'LP Elementos'!CP233,'LP Elementos'!CU233,'LP Elementos'!CZ233)," ")</f>
        <v>1719278.9180000001</v>
      </c>
      <c r="G233" s="341">
        <f>IFERROR(GEOMEAN('LP Elementos'!F233,'LP Elementos'!I233,'LP Elementos'!N233,'LP Elementos'!S233,'LP Elementos'!X233,'LP Elementos'!AC233,'LP Elementos'!AH233,'LP Elementos'!AM233,'LP Elementos'!AR233,'LP Elementos'!AW233,'LP Elementos'!BB233,'LP Elementos'!BG233,'LP Elementos'!BL233,'LP Elementos'!BQ233,'LP Elementos'!BV233,'LP Elementos'!CA233,'LP Elementos'!CF233,'LP Elementos'!CK233,'LP Elementos'!CP233,'LP Elementos'!CU233,'LP Elementos'!CZ233)," ")</f>
        <v>1719262.9449106499</v>
      </c>
      <c r="H233" s="341">
        <f t="shared" si="16"/>
        <v>3702.8864743263093</v>
      </c>
      <c r="I233" s="342">
        <f t="shared" si="17"/>
        <v>2.1537438955127751E-3</v>
      </c>
      <c r="J233" s="341">
        <f t="shared" si="19"/>
        <v>1719278.9180000001</v>
      </c>
      <c r="K233" s="326" t="str">
        <f t="shared" si="18"/>
        <v>Promedio</v>
      </c>
      <c r="L233" s="326">
        <f>IFERROR(COUNTA('LP Elementos'!F233,'LP Elementos'!I233,'LP Elementos'!N233,'LP Elementos'!S233,'LP Elementos'!X233,'LP Elementos'!AC233,'LP Elementos'!AH233,'LP Elementos'!AM233,'LP Elementos'!AR233,'LP Elementos'!AX233,'LP Elementos'!BB233,'LP Elementos'!BG233,'LP Elementos'!BL233,'LP Elementos'!BQ233,'LP Elementos'!BV233,'LP Elementos'!CA233,'LP Elementos'!CF233,'LP Elementos'!CK233,'LP Elementos'!CP233,'LP Elementos'!CU233,'LP Elementos'!CZ233)," ")</f>
        <v>2</v>
      </c>
    </row>
    <row r="234" spans="2:12" ht="40.5" x14ac:dyDescent="0.25">
      <c r="B234" s="411">
        <v>232</v>
      </c>
      <c r="C234" s="412" t="s">
        <v>3576</v>
      </c>
      <c r="D234" s="408">
        <f>IFERROR(MIN('LP Elementos'!F234,'LP Elementos'!I234,'LP Elementos'!N234,'LP Elementos'!S234,'LP Elementos'!X234,'LP Elementos'!AC234,'LP Elementos'!AH234,'LP Elementos'!AM234,'LP Elementos'!AR234,'LP Elementos'!AW234,'LP Elementos'!BB234,'LP Elementos'!BG234,'LP Elementos'!BL234,'LP Elementos'!BQ234,'LP Elementos'!BV234,'LP Elementos'!CA234,'LP Elementos'!CF234,'LP Elementos'!CK234,'LP Elementos'!CP234,'LP Elementos'!CU234,'LP Elementos'!CZ234)," ")</f>
        <v>1886765.0501999999</v>
      </c>
      <c r="E234" s="341">
        <f>IFERROR(AVERAGE('LP Elementos'!F234,'LP Elementos'!I234,'LP Elementos'!N234,'LP Elementos'!S234,'LP Elementos'!X234,'LP Elementos'!AC234,'LP Elementos'!AH234,'LP Elementos'!AM234,'LP Elementos'!AR234,'LP Elementos'!AW234,'LP Elementos'!BB234,'LP Elementos'!BG234,'LP Elementos'!BL234,'LP Elementos'!BQ234,'LP Elementos'!BV234,'LP Elementos'!CA234,'LP Elementos'!CF234,'LP Elementos'!CK234,'LP Elementos'!CP234,'LP Elementos'!CU234,'LP Elementos'!CZ234)," ")</f>
        <v>1886765.0501999999</v>
      </c>
      <c r="F234" s="341">
        <f>IFERROR(MEDIAN('LP Elementos'!F234,'LP Elementos'!I234,'LP Elementos'!N234,'LP Elementos'!S234,'LP Elementos'!X234,'LP Elementos'!AC234,'LP Elementos'!AH234,'LP Elementos'!AM234,'LP Elementos'!AR234,'LP Elementos'!AW234,'LP Elementos'!BB234,'LP Elementos'!BG234,'LP Elementos'!BL234,'LP Elementos'!BQ234,'LP Elementos'!BV234,'LP Elementos'!CA234,'LP Elementos'!CF234,'LP Elementos'!CK234,'LP Elementos'!CP234,'LP Elementos'!CU234,'LP Elementos'!CZ234)," ")</f>
        <v>1886765.0501999999</v>
      </c>
      <c r="G234" s="341">
        <f>IFERROR(GEOMEAN('LP Elementos'!F234,'LP Elementos'!I234,'LP Elementos'!N234,'LP Elementos'!S234,'LP Elementos'!X234,'LP Elementos'!AC234,'LP Elementos'!AH234,'LP Elementos'!AM234,'LP Elementos'!AR234,'LP Elementos'!AW234,'LP Elementos'!BB234,'LP Elementos'!BG234,'LP Elementos'!BL234,'LP Elementos'!BQ234,'LP Elementos'!BV234,'LP Elementos'!CA234,'LP Elementos'!CF234,'LP Elementos'!CK234,'LP Elementos'!CP234,'LP Elementos'!CU234,'LP Elementos'!CZ234)," ")</f>
        <v>1886765.0501999999</v>
      </c>
      <c r="H234" s="341">
        <f t="shared" si="16"/>
        <v>0</v>
      </c>
      <c r="I234" s="342">
        <f t="shared" si="17"/>
        <v>0</v>
      </c>
      <c r="J234" s="341">
        <f t="shared" si="19"/>
        <v>1886765.0501999999</v>
      </c>
      <c r="K234" s="326" t="str">
        <f t="shared" si="18"/>
        <v>Menor Valor</v>
      </c>
      <c r="L234" s="326">
        <f>IFERROR(COUNTA('LP Elementos'!F234,'LP Elementos'!I234,'LP Elementos'!N234,'LP Elementos'!S234,'LP Elementos'!X234,'LP Elementos'!AC234,'LP Elementos'!AH234,'LP Elementos'!AM234,'LP Elementos'!AR234,'LP Elementos'!AX234,'LP Elementos'!BB234,'LP Elementos'!BG234,'LP Elementos'!BL234,'LP Elementos'!BQ234,'LP Elementos'!BV234,'LP Elementos'!CA234,'LP Elementos'!CF234,'LP Elementos'!CK234,'LP Elementos'!CP234,'LP Elementos'!CU234,'LP Elementos'!CZ234)," ")</f>
        <v>1</v>
      </c>
    </row>
    <row r="235" spans="2:12" ht="94.5" x14ac:dyDescent="0.25">
      <c r="B235" s="411">
        <v>233</v>
      </c>
      <c r="C235" s="412" t="s">
        <v>3577</v>
      </c>
      <c r="D235" s="408">
        <f>IFERROR(MIN('LP Elementos'!F235,'LP Elementos'!I235,'LP Elementos'!N235,'LP Elementos'!S235,'LP Elementos'!X235,'LP Elementos'!AC235,'LP Elementos'!AH235,'LP Elementos'!AM235,'LP Elementos'!AR235,'LP Elementos'!AW235,'LP Elementos'!BB235,'LP Elementos'!BG235,'LP Elementos'!BL235,'LP Elementos'!BQ235,'LP Elementos'!BV235,'LP Elementos'!CA235,'LP Elementos'!CF235,'LP Elementos'!CK235,'LP Elementos'!CP235,'LP Elementos'!CU235,'LP Elementos'!CZ235)," ")</f>
        <v>66223.5</v>
      </c>
      <c r="E235" s="341">
        <f>IFERROR(AVERAGE('LP Elementos'!F235,'LP Elementos'!I235,'LP Elementos'!N235,'LP Elementos'!S235,'LP Elementos'!X235,'LP Elementos'!AC235,'LP Elementos'!AH235,'LP Elementos'!AM235,'LP Elementos'!AR235,'LP Elementos'!AW235,'LP Elementos'!BB235,'LP Elementos'!BG235,'LP Elementos'!BL235,'LP Elementos'!BQ235,'LP Elementos'!BV235,'LP Elementos'!CA235,'LP Elementos'!CF235,'LP Elementos'!CK235,'LP Elementos'!CP235,'LP Elementos'!CU235,'LP Elementos'!CZ235)," ")</f>
        <v>95499.817240000004</v>
      </c>
      <c r="F235" s="341">
        <f>IFERROR(MEDIAN('LP Elementos'!F235,'LP Elementos'!I235,'LP Elementos'!N235,'LP Elementos'!S235,'LP Elementos'!X235,'LP Elementos'!AC235,'LP Elementos'!AH235,'LP Elementos'!AM235,'LP Elementos'!AR235,'LP Elementos'!AW235,'LP Elementos'!BB235,'LP Elementos'!BG235,'LP Elementos'!BL235,'LP Elementos'!BQ235,'LP Elementos'!BV235,'LP Elementos'!CA235,'LP Elementos'!CF235,'LP Elementos'!CK235,'LP Elementos'!CP235,'LP Elementos'!CU235,'LP Elementos'!CZ235)," ")</f>
        <v>101150</v>
      </c>
      <c r="G235" s="341">
        <f>IFERROR(GEOMEAN('LP Elementos'!F235,'LP Elementos'!I235,'LP Elementos'!N235,'LP Elementos'!S235,'LP Elementos'!X235,'LP Elementos'!AC235,'LP Elementos'!AH235,'LP Elementos'!AM235,'LP Elementos'!AR235,'LP Elementos'!AW235,'LP Elementos'!BB235,'LP Elementos'!BG235,'LP Elementos'!BL235,'LP Elementos'!BQ235,'LP Elementos'!BV235,'LP Elementos'!CA235,'LP Elementos'!CF235,'LP Elementos'!CK235,'LP Elementos'!CP235,'LP Elementos'!CU235,'LP Elementos'!CZ235)," ")</f>
        <v>93788.077512655029</v>
      </c>
      <c r="H235" s="341">
        <f t="shared" si="16"/>
        <v>15614.687550677816</v>
      </c>
      <c r="I235" s="342">
        <f t="shared" si="17"/>
        <v>0.16350489458463194</v>
      </c>
      <c r="J235" s="341">
        <f t="shared" si="19"/>
        <v>95499.817240000004</v>
      </c>
      <c r="K235" s="326" t="str">
        <f t="shared" si="18"/>
        <v>Promedio</v>
      </c>
      <c r="L235" s="326">
        <f>IFERROR(COUNTA('LP Elementos'!F235,'LP Elementos'!I235,'LP Elementos'!N235,'LP Elementos'!S235,'LP Elementos'!X235,'LP Elementos'!AC235,'LP Elementos'!AH235,'LP Elementos'!AM235,'LP Elementos'!AR235,'LP Elementos'!AX235,'LP Elementos'!BB235,'LP Elementos'!BG235,'LP Elementos'!BL235,'LP Elementos'!BQ235,'LP Elementos'!BV235,'LP Elementos'!CA235,'LP Elementos'!CF235,'LP Elementos'!CK235,'LP Elementos'!CP235,'LP Elementos'!CU235,'LP Elementos'!CZ235)," ")</f>
        <v>5</v>
      </c>
    </row>
    <row r="236" spans="2:12" ht="40.5" x14ac:dyDescent="0.25">
      <c r="B236" s="411">
        <v>234</v>
      </c>
      <c r="C236" s="412" t="s">
        <v>3581</v>
      </c>
      <c r="D236" s="408">
        <f>IFERROR(MIN('LP Elementos'!F236,'LP Elementos'!I236,'LP Elementos'!N236,'LP Elementos'!S236,'LP Elementos'!X236,'LP Elementos'!AC236,'LP Elementos'!AH236,'LP Elementos'!AM236,'LP Elementos'!AR236,'LP Elementos'!AW236,'LP Elementos'!BB236,'LP Elementos'!BG236,'LP Elementos'!BL236,'LP Elementos'!BQ236,'LP Elementos'!BV236,'LP Elementos'!CA236,'LP Elementos'!CF236,'LP Elementos'!CK236,'LP Elementos'!CP236,'LP Elementos'!CU236,'LP Elementos'!CZ236)," ")</f>
        <v>55930</v>
      </c>
      <c r="E236" s="341">
        <f>IFERROR(AVERAGE('LP Elementos'!F236,'LP Elementos'!I236,'LP Elementos'!N236,'LP Elementos'!S236,'LP Elementos'!X236,'LP Elementos'!AC236,'LP Elementos'!AH236,'LP Elementos'!AM236,'LP Elementos'!AR236,'LP Elementos'!AW236,'LP Elementos'!BB236,'LP Elementos'!BG236,'LP Elementos'!BL236,'LP Elementos'!BQ236,'LP Elementos'!BV236,'LP Elementos'!CA236,'LP Elementos'!CF236,'LP Elementos'!CK236,'LP Elementos'!CP236,'LP Elementos'!CU236,'LP Elementos'!CZ236)," ")</f>
        <v>210279.79483333332</v>
      </c>
      <c r="F236" s="341">
        <f>IFERROR(MEDIAN('LP Elementos'!F236,'LP Elementos'!I236,'LP Elementos'!N236,'LP Elementos'!S236,'LP Elementos'!X236,'LP Elementos'!AC236,'LP Elementos'!AH236,'LP Elementos'!AM236,'LP Elementos'!AR236,'LP Elementos'!AW236,'LP Elementos'!BB236,'LP Elementos'!BG236,'LP Elementos'!BL236,'LP Elementos'!BQ236,'LP Elementos'!BV236,'LP Elementos'!CA236,'LP Elementos'!CF236,'LP Elementos'!CK236,'LP Elementos'!CP236,'LP Elementos'!CU236,'LP Elementos'!CZ236)," ")</f>
        <v>183786.13449999999</v>
      </c>
      <c r="G236" s="341">
        <f>IFERROR(GEOMEAN('LP Elementos'!F236,'LP Elementos'!I236,'LP Elementos'!N236,'LP Elementos'!S236,'LP Elementos'!X236,'LP Elementos'!AC236,'LP Elementos'!AH236,'LP Elementos'!AM236,'LP Elementos'!AR236,'LP Elementos'!AW236,'LP Elementos'!BB236,'LP Elementos'!BG236,'LP Elementos'!BL236,'LP Elementos'!BQ236,'LP Elementos'!BV236,'LP Elementos'!CA236,'LP Elementos'!CF236,'LP Elementos'!CK236,'LP Elementos'!CP236,'LP Elementos'!CU236,'LP Elementos'!CZ236)," ")</f>
        <v>172064.31844761362</v>
      </c>
      <c r="H236" s="341">
        <f t="shared" si="16"/>
        <v>68287.363313962473</v>
      </c>
      <c r="I236" s="342">
        <f t="shared" si="17"/>
        <v>0.32474524415475431</v>
      </c>
      <c r="J236" s="341">
        <f t="shared" si="19"/>
        <v>55930</v>
      </c>
      <c r="K236" s="326" t="str">
        <f t="shared" si="18"/>
        <v>Menor Valor</v>
      </c>
      <c r="L236" s="326">
        <f>IFERROR(COUNTA('LP Elementos'!F236,'LP Elementos'!I236,'LP Elementos'!N236,'LP Elementos'!S236,'LP Elementos'!X236,'LP Elementos'!AC236,'LP Elementos'!AH236,'LP Elementos'!AM236,'LP Elementos'!AR236,'LP Elementos'!AX236,'LP Elementos'!BB236,'LP Elementos'!BG236,'LP Elementos'!BL236,'LP Elementos'!BQ236,'LP Elementos'!BV236,'LP Elementos'!CA236,'LP Elementos'!CF236,'LP Elementos'!CK236,'LP Elementos'!CP236,'LP Elementos'!CU236,'LP Elementos'!CZ236)," ")</f>
        <v>6</v>
      </c>
    </row>
    <row r="237" spans="2:12" ht="94.5" x14ac:dyDescent="0.25">
      <c r="B237" s="411">
        <v>235</v>
      </c>
      <c r="C237" s="412" t="s">
        <v>3585</v>
      </c>
      <c r="D237" s="408">
        <f>IFERROR(MIN('LP Elementos'!F237,'LP Elementos'!I237,'LP Elementos'!N237,'LP Elementos'!S237,'LP Elementos'!X237,'LP Elementos'!AC237,'LP Elementos'!AH237,'LP Elementos'!AM237,'LP Elementos'!AR237,'LP Elementos'!AW237,'LP Elementos'!BB237,'LP Elementos'!BG237,'LP Elementos'!BL237,'LP Elementos'!BQ237,'LP Elementos'!BV237,'LP Elementos'!CA237,'LP Elementos'!CF237,'LP Elementos'!CK237,'LP Elementos'!CP237,'LP Elementos'!CU237,'LP Elementos'!CZ237)," ")</f>
        <v>65450</v>
      </c>
      <c r="E237" s="341">
        <f>IFERROR(AVERAGE('LP Elementos'!F237,'LP Elementos'!I237,'LP Elementos'!N237,'LP Elementos'!S237,'LP Elementos'!X237,'LP Elementos'!AC237,'LP Elementos'!AH237,'LP Elementos'!AM237,'LP Elementos'!AR237,'LP Elementos'!AW237,'LP Elementos'!BB237,'LP Elementos'!BG237,'LP Elementos'!BL237,'LP Elementos'!BQ237,'LP Elementos'!BV237,'LP Elementos'!CA237,'LP Elementos'!CF237,'LP Elementos'!CK237,'LP Elementos'!CP237,'LP Elementos'!CU237,'LP Elementos'!CZ237)," ")</f>
        <v>66279.417799999996</v>
      </c>
      <c r="F237" s="341">
        <f>IFERROR(MEDIAN('LP Elementos'!F237,'LP Elementos'!I237,'LP Elementos'!N237,'LP Elementos'!S237,'LP Elementos'!X237,'LP Elementos'!AC237,'LP Elementos'!AH237,'LP Elementos'!AM237,'LP Elementos'!AR237,'LP Elementos'!AW237,'LP Elementos'!BB237,'LP Elementos'!BG237,'LP Elementos'!BL237,'LP Elementos'!BQ237,'LP Elementos'!BV237,'LP Elementos'!CA237,'LP Elementos'!CF237,'LP Elementos'!CK237,'LP Elementos'!CP237,'LP Elementos'!CU237,'LP Elementos'!CZ237)," ")</f>
        <v>66279.417799999996</v>
      </c>
      <c r="G237" s="341">
        <f>IFERROR(GEOMEAN('LP Elementos'!F237,'LP Elementos'!I237,'LP Elementos'!N237,'LP Elementos'!S237,'LP Elementos'!X237,'LP Elementos'!AC237,'LP Elementos'!AH237,'LP Elementos'!AM237,'LP Elementos'!AR237,'LP Elementos'!AW237,'LP Elementos'!BB237,'LP Elementos'!BG237,'LP Elementos'!BL237,'LP Elementos'!BQ237,'LP Elementos'!BV237,'LP Elementos'!CA237,'LP Elementos'!CF237,'LP Elementos'!CK237,'LP Elementos'!CP237,'LP Elementos'!CU237,'LP Elementos'!CZ237)," ")</f>
        <v>66274.227947370309</v>
      </c>
      <c r="H237" s="341">
        <f t="shared" si="16"/>
        <v>413.85115604129288</v>
      </c>
      <c r="I237" s="342">
        <f t="shared" si="17"/>
        <v>6.244037286056138E-3</v>
      </c>
      <c r="J237" s="341">
        <f t="shared" si="19"/>
        <v>66279.417799999996</v>
      </c>
      <c r="K237" s="326" t="str">
        <f t="shared" si="18"/>
        <v>Promedio</v>
      </c>
      <c r="L237" s="326">
        <f>IFERROR(COUNTA('LP Elementos'!F237,'LP Elementos'!I237,'LP Elementos'!N237,'LP Elementos'!S237,'LP Elementos'!X237,'LP Elementos'!AC237,'LP Elementos'!AH237,'LP Elementos'!AM237,'LP Elementos'!AR237,'LP Elementos'!AX237,'LP Elementos'!BB237,'LP Elementos'!BG237,'LP Elementos'!BL237,'LP Elementos'!BQ237,'LP Elementos'!BV237,'LP Elementos'!CA237,'LP Elementos'!CF237,'LP Elementos'!CK237,'LP Elementos'!CP237,'LP Elementos'!CU237,'LP Elementos'!CZ237)," ")</f>
        <v>2</v>
      </c>
    </row>
    <row r="238" spans="2:12" ht="94.5" x14ac:dyDescent="0.25">
      <c r="B238" s="411">
        <v>236</v>
      </c>
      <c r="C238" s="412" t="s">
        <v>3587</v>
      </c>
      <c r="D238" s="408">
        <f>IFERROR(MIN('LP Elementos'!F238,'LP Elementos'!I238,'LP Elementos'!N238,'LP Elementos'!S238,'LP Elementos'!X238,'LP Elementos'!AC238,'LP Elementos'!AH238,'LP Elementos'!AM238,'LP Elementos'!AR238,'LP Elementos'!AW238,'LP Elementos'!BB238,'LP Elementos'!BG238,'LP Elementos'!BL238,'LP Elementos'!BQ238,'LP Elementos'!BV238,'LP Elementos'!CA238,'LP Elementos'!CF238,'LP Elementos'!CK238,'LP Elementos'!CP238,'LP Elementos'!CU238,'LP Elementos'!CZ238)," ")</f>
        <v>113050</v>
      </c>
      <c r="E238" s="341">
        <f>IFERROR(AVERAGE('LP Elementos'!F238,'LP Elementos'!I238,'LP Elementos'!N238,'LP Elementos'!S238,'LP Elementos'!X238,'LP Elementos'!AC238,'LP Elementos'!AH238,'LP Elementos'!AM238,'LP Elementos'!AR238,'LP Elementos'!AW238,'LP Elementos'!BB238,'LP Elementos'!BG238,'LP Elementos'!BL238,'LP Elementos'!BQ238,'LP Elementos'!BV238,'LP Elementos'!CA238,'LP Elementos'!CF238,'LP Elementos'!CK238,'LP Elementos'!CP238,'LP Elementos'!CU238,'LP Elementos'!CZ238)," ")</f>
        <v>136834.98712000001</v>
      </c>
      <c r="F238" s="341">
        <f>IFERROR(MEDIAN('LP Elementos'!F238,'LP Elementos'!I238,'LP Elementos'!N238,'LP Elementos'!S238,'LP Elementos'!X238,'LP Elementos'!AC238,'LP Elementos'!AH238,'LP Elementos'!AM238,'LP Elementos'!AR238,'LP Elementos'!AW238,'LP Elementos'!BB238,'LP Elementos'!BG238,'LP Elementos'!BL238,'LP Elementos'!BQ238,'LP Elementos'!BV238,'LP Elementos'!CA238,'LP Elementos'!CF238,'LP Elementos'!CK238,'LP Elementos'!CP238,'LP Elementos'!CU238,'LP Elementos'!CZ238)," ")</f>
        <v>135660</v>
      </c>
      <c r="G238" s="341">
        <f>IFERROR(GEOMEAN('LP Elementos'!F238,'LP Elementos'!I238,'LP Elementos'!N238,'LP Elementos'!S238,'LP Elementos'!X238,'LP Elementos'!AC238,'LP Elementos'!AH238,'LP Elementos'!AM238,'LP Elementos'!AR238,'LP Elementos'!AW238,'LP Elementos'!BB238,'LP Elementos'!BG238,'LP Elementos'!BL238,'LP Elementos'!BQ238,'LP Elementos'!BV238,'LP Elementos'!CA238,'LP Elementos'!CF238,'LP Elementos'!CK238,'LP Elementos'!CP238,'LP Elementos'!CU238,'LP Elementos'!CZ238)," ")</f>
        <v>135623.20569135083</v>
      </c>
      <c r="H238" s="341">
        <f t="shared" si="16"/>
        <v>11508.46677547569</v>
      </c>
      <c r="I238" s="342">
        <f t="shared" si="17"/>
        <v>8.4104709019946225E-2</v>
      </c>
      <c r="J238" s="341">
        <f t="shared" si="19"/>
        <v>135660</v>
      </c>
      <c r="K238" s="326" t="str">
        <f t="shared" si="18"/>
        <v>Mediana</v>
      </c>
      <c r="L238" s="326">
        <f>IFERROR(COUNTA('LP Elementos'!F238,'LP Elementos'!I238,'LP Elementos'!N238,'LP Elementos'!S238,'LP Elementos'!X238,'LP Elementos'!AC238,'LP Elementos'!AH238,'LP Elementos'!AM238,'LP Elementos'!AR238,'LP Elementos'!AX238,'LP Elementos'!BB238,'LP Elementos'!BG238,'LP Elementos'!BL238,'LP Elementos'!BQ238,'LP Elementos'!BV238,'LP Elementos'!CA238,'LP Elementos'!CF238,'LP Elementos'!CK238,'LP Elementos'!CP238,'LP Elementos'!CU238,'LP Elementos'!CZ238)," ")</f>
        <v>5</v>
      </c>
    </row>
    <row r="239" spans="2:12" ht="27" x14ac:dyDescent="0.25">
      <c r="B239" s="411">
        <v>237</v>
      </c>
      <c r="C239" s="412" t="s">
        <v>3590</v>
      </c>
      <c r="D239" s="408">
        <f>IFERROR(MIN('LP Elementos'!F239,'LP Elementos'!I239,'LP Elementos'!N239,'LP Elementos'!S239,'LP Elementos'!X239,'LP Elementos'!AC239,'LP Elementos'!AH239,'LP Elementos'!AM239,'LP Elementos'!AR239,'LP Elementos'!AW239,'LP Elementos'!BB239,'LP Elementos'!BG239,'LP Elementos'!BL239,'LP Elementos'!BQ239,'LP Elementos'!BV239,'LP Elementos'!CA239,'LP Elementos'!CF239,'LP Elementos'!CK239,'LP Elementos'!CP239,'LP Elementos'!CU239,'LP Elementos'!CZ239)," ")</f>
        <v>191590</v>
      </c>
      <c r="E239" s="341">
        <f>IFERROR(AVERAGE('LP Elementos'!F239,'LP Elementos'!I239,'LP Elementos'!N239,'LP Elementos'!S239,'LP Elementos'!X239,'LP Elementos'!AC239,'LP Elementos'!AH239,'LP Elementos'!AM239,'LP Elementos'!AR239,'LP Elementos'!AW239,'LP Elementos'!BB239,'LP Elementos'!BG239,'LP Elementos'!BL239,'LP Elementos'!BQ239,'LP Elementos'!BV239,'LP Elementos'!CA239,'LP Elementos'!CF239,'LP Elementos'!CK239,'LP Elementos'!CP239,'LP Elementos'!CU239,'LP Elementos'!CZ239)," ")</f>
        <v>235801.22219999999</v>
      </c>
      <c r="F239" s="341">
        <f>IFERROR(MEDIAN('LP Elementos'!F239,'LP Elementos'!I239,'LP Elementos'!N239,'LP Elementos'!S239,'LP Elementos'!X239,'LP Elementos'!AC239,'LP Elementos'!AH239,'LP Elementos'!AM239,'LP Elementos'!AR239,'LP Elementos'!AW239,'LP Elementos'!BB239,'LP Elementos'!BG239,'LP Elementos'!BL239,'LP Elementos'!BQ239,'LP Elementos'!BV239,'LP Elementos'!CA239,'LP Elementos'!CF239,'LP Elementos'!CK239,'LP Elementos'!CP239,'LP Elementos'!CU239,'LP Elementos'!CZ239)," ")</f>
        <v>235663.435</v>
      </c>
      <c r="G239" s="341">
        <f>IFERROR(GEOMEAN('LP Elementos'!F239,'LP Elementos'!I239,'LP Elementos'!N239,'LP Elementos'!S239,'LP Elementos'!X239,'LP Elementos'!AC239,'LP Elementos'!AH239,'LP Elementos'!AM239,'LP Elementos'!AR239,'LP Elementos'!AW239,'LP Elementos'!BB239,'LP Elementos'!BG239,'LP Elementos'!BL239,'LP Elementos'!BQ239,'LP Elementos'!BV239,'LP Elementos'!CA239,'LP Elementos'!CF239,'LP Elementos'!CK239,'LP Elementos'!CP239,'LP Elementos'!CU239,'LP Elementos'!CZ239)," ")</f>
        <v>232014.03740035027</v>
      </c>
      <c r="H239" s="341">
        <f t="shared" si="16"/>
        <v>21523.0157771501</v>
      </c>
      <c r="I239" s="342">
        <f t="shared" si="17"/>
        <v>9.1276099319344842E-2</v>
      </c>
      <c r="J239" s="341">
        <f t="shared" si="19"/>
        <v>235663.435</v>
      </c>
      <c r="K239" s="326" t="str">
        <f t="shared" si="18"/>
        <v>Mediana</v>
      </c>
      <c r="L239" s="326">
        <f>IFERROR(COUNTA('LP Elementos'!F239,'LP Elementos'!I239,'LP Elementos'!N239,'LP Elementos'!S239,'LP Elementos'!X239,'LP Elementos'!AC239,'LP Elementos'!AH239,'LP Elementos'!AM239,'LP Elementos'!AR239,'LP Elementos'!AX239,'LP Elementos'!BB239,'LP Elementos'!BG239,'LP Elementos'!BL239,'LP Elementos'!BQ239,'LP Elementos'!BV239,'LP Elementos'!CA239,'LP Elementos'!CF239,'LP Elementos'!CK239,'LP Elementos'!CP239,'LP Elementos'!CU239,'LP Elementos'!CZ239)," ")</f>
        <v>4</v>
      </c>
    </row>
    <row r="240" spans="2:12" ht="94.5" x14ac:dyDescent="0.25">
      <c r="B240" s="411">
        <v>238</v>
      </c>
      <c r="C240" s="412" t="s">
        <v>3593</v>
      </c>
      <c r="D240" s="408">
        <f>IFERROR(MIN('LP Elementos'!F240,'LP Elementos'!I240,'LP Elementos'!N240,'LP Elementos'!S240,'LP Elementos'!X240,'LP Elementos'!AC240,'LP Elementos'!AH240,'LP Elementos'!AM240,'LP Elementos'!AR240,'LP Elementos'!AW240,'LP Elementos'!BB240,'LP Elementos'!BG240,'LP Elementos'!BL240,'LP Elementos'!BQ240,'LP Elementos'!BV240,'LP Elementos'!CA240,'LP Elementos'!CF240,'LP Elementos'!CK240,'LP Elementos'!CP240,'LP Elementos'!CU240,'LP Elementos'!CZ240)," ")</f>
        <v>12495</v>
      </c>
      <c r="E240" s="341">
        <f>IFERROR(AVERAGE('LP Elementos'!F240,'LP Elementos'!I240,'LP Elementos'!N240,'LP Elementos'!S240,'LP Elementos'!X240,'LP Elementos'!AC240,'LP Elementos'!AH240,'LP Elementos'!AM240,'LP Elementos'!AR240,'LP Elementos'!AW240,'LP Elementos'!BB240,'LP Elementos'!BG240,'LP Elementos'!BL240,'LP Elementos'!BQ240,'LP Elementos'!BV240,'LP Elementos'!CA240,'LP Elementos'!CF240,'LP Elementos'!CK240,'LP Elementos'!CP240,'LP Elementos'!CU240,'LP Elementos'!CZ240)," ")</f>
        <v>47746.337500000001</v>
      </c>
      <c r="F240" s="341">
        <f>IFERROR(MEDIAN('LP Elementos'!F240,'LP Elementos'!I240,'LP Elementos'!N240,'LP Elementos'!S240,'LP Elementos'!X240,'LP Elementos'!AC240,'LP Elementos'!AH240,'LP Elementos'!AM240,'LP Elementos'!AR240,'LP Elementos'!AW240,'LP Elementos'!BB240,'LP Elementos'!BG240,'LP Elementos'!BL240,'LP Elementos'!BQ240,'LP Elementos'!BV240,'LP Elementos'!CA240,'LP Elementos'!CF240,'LP Elementos'!CK240,'LP Elementos'!CP240,'LP Elementos'!CU240,'LP Elementos'!CZ240)," ")</f>
        <v>21717.5</v>
      </c>
      <c r="G240" s="341">
        <f>IFERROR(GEOMEAN('LP Elementos'!F240,'LP Elementos'!I240,'LP Elementos'!N240,'LP Elementos'!S240,'LP Elementos'!X240,'LP Elementos'!AC240,'LP Elementos'!AH240,'LP Elementos'!AM240,'LP Elementos'!AR240,'LP Elementos'!AW240,'LP Elementos'!BB240,'LP Elementos'!BG240,'LP Elementos'!BL240,'LP Elementos'!BQ240,'LP Elementos'!BV240,'LP Elementos'!CA240,'LP Elementos'!CF240,'LP Elementos'!CK240,'LP Elementos'!CP240,'LP Elementos'!CU240,'LP Elementos'!CZ240)," ")</f>
        <v>29624.761259993509</v>
      </c>
      <c r="H240" s="341">
        <f t="shared" si="16"/>
        <v>14970.962756479767</v>
      </c>
      <c r="I240" s="342">
        <f t="shared" si="17"/>
        <v>0.31355206577844358</v>
      </c>
      <c r="J240" s="341">
        <f>IF(I240&lt;=10%,F240,IF(AND(I240&gt;10%,I240&lt;=20%),E240,IF(AND(I240&gt;20%,I240&lt;=32%),G240,IF(I240&gt;32%,D240))))</f>
        <v>29624.761259993509</v>
      </c>
      <c r="K240" s="326" t="str">
        <f t="shared" si="18"/>
        <v>Media Geometrica</v>
      </c>
      <c r="L240" s="326">
        <f>IFERROR(COUNTA('LP Elementos'!F240,'LP Elementos'!I240,'LP Elementos'!N240,'LP Elementos'!S240,'LP Elementos'!X240,'LP Elementos'!AC240,'LP Elementos'!AH240,'LP Elementos'!AM240,'LP Elementos'!AR240,'LP Elementos'!AX240,'LP Elementos'!BB240,'LP Elementos'!BG240,'LP Elementos'!BL240,'LP Elementos'!BQ240,'LP Elementos'!BV240,'LP Elementos'!CA240,'LP Elementos'!CF240,'LP Elementos'!CK240,'LP Elementos'!CP240,'LP Elementos'!CU240,'LP Elementos'!CZ240)," ")</f>
        <v>6</v>
      </c>
    </row>
    <row r="241" spans="2:12" ht="94.5" x14ac:dyDescent="0.25">
      <c r="B241" s="411">
        <v>239</v>
      </c>
      <c r="C241" s="412" t="s">
        <v>3596</v>
      </c>
      <c r="D241" s="408">
        <f>IFERROR(MIN('LP Elementos'!F241,'LP Elementos'!I241,'LP Elementos'!N241,'LP Elementos'!S241,'LP Elementos'!X241,'LP Elementos'!AC241,'LP Elementos'!AH241,'LP Elementos'!AM241,'LP Elementos'!AR241,'LP Elementos'!AW241,'LP Elementos'!BB241,'LP Elementos'!BG241,'LP Elementos'!BL241,'LP Elementos'!BQ241,'LP Elementos'!BV241,'LP Elementos'!CA241,'LP Elementos'!CF241,'LP Elementos'!CK241,'LP Elementos'!CP241,'LP Elementos'!CU241,'LP Elementos'!CZ241)," ")</f>
        <v>28143.5</v>
      </c>
      <c r="E241" s="341">
        <f>IFERROR(AVERAGE('LP Elementos'!F241,'LP Elementos'!I241,'LP Elementos'!N241,'LP Elementos'!S241,'LP Elementos'!X241,'LP Elementos'!AC241,'LP Elementos'!AH241,'LP Elementos'!AM241,'LP Elementos'!AR241,'LP Elementos'!AW241,'LP Elementos'!BB241,'LP Elementos'!BG241,'LP Elementos'!BL241,'LP Elementos'!BQ241,'LP Elementos'!BV241,'LP Elementos'!CA241,'LP Elementos'!CF241,'LP Elementos'!CK241,'LP Elementos'!CP241,'LP Elementos'!CU241,'LP Elementos'!CZ241)," ")</f>
        <v>486259.52546666662</v>
      </c>
      <c r="F241" s="341">
        <f>IFERROR(MEDIAN('LP Elementos'!F241,'LP Elementos'!I241,'LP Elementos'!N241,'LP Elementos'!S241,'LP Elementos'!X241,'LP Elementos'!AC241,'LP Elementos'!AH241,'LP Elementos'!AM241,'LP Elementos'!AR241,'LP Elementos'!AW241,'LP Elementos'!BB241,'LP Elementos'!BG241,'LP Elementos'!BL241,'LP Elementos'!BQ241,'LP Elementos'!BV241,'LP Elementos'!CA241,'LP Elementos'!CF241,'LP Elementos'!CK241,'LP Elementos'!CP241,'LP Elementos'!CU241,'LP Elementos'!CZ241)," ")</f>
        <v>40519.5</v>
      </c>
      <c r="G241" s="341">
        <f>IFERROR(GEOMEAN('LP Elementos'!F241,'LP Elementos'!I241,'LP Elementos'!N241,'LP Elementos'!S241,'LP Elementos'!X241,'LP Elementos'!AC241,'LP Elementos'!AH241,'LP Elementos'!AM241,'LP Elementos'!AR241,'LP Elementos'!AW241,'LP Elementos'!BB241,'LP Elementos'!BG241,'LP Elementos'!BL241,'LP Elementos'!BQ241,'LP Elementos'!BV241,'LP Elementos'!CA241,'LP Elementos'!CF241,'LP Elementos'!CK241,'LP Elementos'!CP241,'LP Elementos'!CU241,'LP Elementos'!CZ241)," ")</f>
        <v>80117.804326365411</v>
      </c>
      <c r="H241" s="341">
        <f t="shared" si="16"/>
        <v>219455.40172112029</v>
      </c>
      <c r="I241" s="342">
        <f t="shared" si="17"/>
        <v>0.45131332185319645</v>
      </c>
      <c r="J241" s="341">
        <f>IF(I241&lt;=10%,F241,IF(AND(I241&gt;10%,I241&lt;=20%),E241,IF(AND(I241&gt;20%,I241&lt;=46%),G241,IF(I241&gt;46%,D241))))</f>
        <v>80117.804326365411</v>
      </c>
      <c r="K241" s="326" t="str">
        <f t="shared" si="18"/>
        <v>Media Geometrica</v>
      </c>
      <c r="L241" s="326">
        <f>IFERROR(COUNTA('LP Elementos'!F241,'LP Elementos'!I241,'LP Elementos'!N241,'LP Elementos'!S241,'LP Elementos'!X241,'LP Elementos'!AC241,'LP Elementos'!AH241,'LP Elementos'!AM241,'LP Elementos'!AR241,'LP Elementos'!AX241,'LP Elementos'!BB241,'LP Elementos'!BG241,'LP Elementos'!BL241,'LP Elementos'!BQ241,'LP Elementos'!BV241,'LP Elementos'!CA241,'LP Elementos'!CF241,'LP Elementos'!CK241,'LP Elementos'!CP241,'LP Elementos'!CU241,'LP Elementos'!CZ241)," ")</f>
        <v>6</v>
      </c>
    </row>
    <row r="242" spans="2:12" ht="94.5" x14ac:dyDescent="0.25">
      <c r="B242" s="411">
        <v>240</v>
      </c>
      <c r="C242" s="412" t="s">
        <v>3599</v>
      </c>
      <c r="D242" s="408">
        <f>IFERROR(MIN('LP Elementos'!F242,'LP Elementos'!I242,'LP Elementos'!N242,'LP Elementos'!S242,'LP Elementos'!X242,'LP Elementos'!AC242,'LP Elementos'!AH242,'LP Elementos'!AM242,'LP Elementos'!AR242,'LP Elementos'!AW242,'LP Elementos'!BB242,'LP Elementos'!BG242,'LP Elementos'!BL242,'LP Elementos'!BQ242,'LP Elementos'!BV242,'LP Elementos'!CA242,'LP Elementos'!CF242,'LP Elementos'!CK242,'LP Elementos'!CP242,'LP Elementos'!CU242,'LP Elementos'!CZ242)," ")</f>
        <v>46291</v>
      </c>
      <c r="E242" s="341">
        <f>IFERROR(AVERAGE('LP Elementos'!F242,'LP Elementos'!I242,'LP Elementos'!N242,'LP Elementos'!S242,'LP Elementos'!X242,'LP Elementos'!AC242,'LP Elementos'!AH242,'LP Elementos'!AM242,'LP Elementos'!AR242,'LP Elementos'!AW242,'LP Elementos'!BB242,'LP Elementos'!BG242,'LP Elementos'!BL242,'LP Elementos'!BQ242,'LP Elementos'!BV242,'LP Elementos'!CA242,'LP Elementos'!CF242,'LP Elementos'!CK242,'LP Elementos'!CP242,'LP Elementos'!CU242,'LP Elementos'!CZ242)," ")</f>
        <v>524805.06043333339</v>
      </c>
      <c r="F242" s="341">
        <f>IFERROR(MEDIAN('LP Elementos'!F242,'LP Elementos'!I242,'LP Elementos'!N242,'LP Elementos'!S242,'LP Elementos'!X242,'LP Elementos'!AC242,'LP Elementos'!AH242,'LP Elementos'!AM242,'LP Elementos'!AR242,'LP Elementos'!AW242,'LP Elementos'!BB242,'LP Elementos'!BG242,'LP Elementos'!BL242,'LP Elementos'!BQ242,'LP Elementos'!BV242,'LP Elementos'!CA242,'LP Elementos'!CF242,'LP Elementos'!CK242,'LP Elementos'!CP242,'LP Elementos'!CU242,'LP Elementos'!CZ242)," ")</f>
        <v>93593.5</v>
      </c>
      <c r="G242" s="341">
        <f>IFERROR(GEOMEAN('LP Elementos'!F242,'LP Elementos'!I242,'LP Elementos'!N242,'LP Elementos'!S242,'LP Elementos'!X242,'LP Elementos'!AC242,'LP Elementos'!AH242,'LP Elementos'!AM242,'LP Elementos'!AR242,'LP Elementos'!AW242,'LP Elementos'!BB242,'LP Elementos'!BG242,'LP Elementos'!BL242,'LP Elementos'!BQ242,'LP Elementos'!BV242,'LP Elementos'!CA242,'LP Elementos'!CF242,'LP Elementos'!CK242,'LP Elementos'!CP242,'LP Elementos'!CU242,'LP Elementos'!CZ242)," ")</f>
        <v>147864.2311899089</v>
      </c>
      <c r="H242" s="341">
        <f t="shared" si="16"/>
        <v>218423.03463290422</v>
      </c>
      <c r="I242" s="342">
        <f t="shared" si="17"/>
        <v>0.41619841556510823</v>
      </c>
      <c r="J242" s="341">
        <f>IF(I242&lt;=10%,F242,IF(AND(I242&gt;10%,I242&lt;=20%),E242,IF(AND(I242&gt;20%,I242&lt;=42%),G242,IF(I242&gt;42%,D242))))</f>
        <v>147864.2311899089</v>
      </c>
      <c r="K242" s="326" t="str">
        <f t="shared" si="18"/>
        <v>Media Geometrica</v>
      </c>
      <c r="L242" s="326">
        <f>IFERROR(COUNTA('LP Elementos'!F242,'LP Elementos'!I242,'LP Elementos'!N242,'LP Elementos'!S242,'LP Elementos'!X242,'LP Elementos'!AC242,'LP Elementos'!AH242,'LP Elementos'!AM242,'LP Elementos'!AR242,'LP Elementos'!AX242,'LP Elementos'!BB242,'LP Elementos'!BG242,'LP Elementos'!BL242,'LP Elementos'!BQ242,'LP Elementos'!BV242,'LP Elementos'!CA242,'LP Elementos'!CF242,'LP Elementos'!CK242,'LP Elementos'!CP242,'LP Elementos'!CU242,'LP Elementos'!CZ242)," ")</f>
        <v>6</v>
      </c>
    </row>
    <row r="243" spans="2:12" ht="94.5" x14ac:dyDescent="0.25">
      <c r="B243" s="411">
        <v>241</v>
      </c>
      <c r="C243" s="412" t="s">
        <v>3602</v>
      </c>
      <c r="D243" s="408">
        <f>IFERROR(MIN('LP Elementos'!F243,'LP Elementos'!I243,'LP Elementos'!N243,'LP Elementos'!S243,'LP Elementos'!X243,'LP Elementos'!AC243,'LP Elementos'!AH243,'LP Elementos'!AM243,'LP Elementos'!AR243,'LP Elementos'!AW243,'LP Elementos'!BB243,'LP Elementos'!BG243,'LP Elementos'!BL243,'LP Elementos'!BQ243,'LP Elementos'!BV243,'LP Elementos'!CA243,'LP Elementos'!CF243,'LP Elementos'!CK243,'LP Elementos'!CP243,'LP Elementos'!CU243,'LP Elementos'!CZ243)," ")</f>
        <v>19278</v>
      </c>
      <c r="E243" s="341">
        <f>IFERROR(AVERAGE('LP Elementos'!F243,'LP Elementos'!I243,'LP Elementos'!N243,'LP Elementos'!S243,'LP Elementos'!X243,'LP Elementos'!AC243,'LP Elementos'!AH243,'LP Elementos'!AM243,'LP Elementos'!AR243,'LP Elementos'!AW243,'LP Elementos'!BB243,'LP Elementos'!BG243,'LP Elementos'!BL243,'LP Elementos'!BQ243,'LP Elementos'!BV243,'LP Elementos'!CA243,'LP Elementos'!CF243,'LP Elementos'!CK243,'LP Elementos'!CP243,'LP Elementos'!CU243,'LP Elementos'!CZ243)," ")</f>
        <v>36180.601333333332</v>
      </c>
      <c r="F243" s="341">
        <f>IFERROR(MEDIAN('LP Elementos'!F243,'LP Elementos'!I243,'LP Elementos'!N243,'LP Elementos'!S243,'LP Elementos'!X243,'LP Elementos'!AC243,'LP Elementos'!AH243,'LP Elementos'!AM243,'LP Elementos'!AR243,'LP Elementos'!AW243,'LP Elementos'!BB243,'LP Elementos'!BG243,'LP Elementos'!BL243,'LP Elementos'!BQ243,'LP Elementos'!BV243,'LP Elementos'!CA243,'LP Elementos'!CF243,'LP Elementos'!CK243,'LP Elementos'!CP243,'LP Elementos'!CU243,'LP Elementos'!CZ243)," ")</f>
        <v>22623.804</v>
      </c>
      <c r="G243" s="341">
        <f>IFERROR(GEOMEAN('LP Elementos'!F243,'LP Elementos'!I243,'LP Elementos'!N243,'LP Elementos'!S243,'LP Elementos'!X243,'LP Elementos'!AC243,'LP Elementos'!AH243,'LP Elementos'!AM243,'LP Elementos'!AR243,'LP Elementos'!AW243,'LP Elementos'!BB243,'LP Elementos'!BG243,'LP Elementos'!BL243,'LP Elementos'!BQ243,'LP Elementos'!BV243,'LP Elementos'!CA243,'LP Elementos'!CF243,'LP Elementos'!CK243,'LP Elementos'!CP243,'LP Elementos'!CU243,'LP Elementos'!CZ243)," ")</f>
        <v>30745.92272575961</v>
      </c>
      <c r="H243" s="341">
        <f t="shared" si="16"/>
        <v>7679.5013183585106</v>
      </c>
      <c r="I243" s="342">
        <f t="shared" si="17"/>
        <v>0.21225466231495041</v>
      </c>
      <c r="J243" s="341">
        <f t="shared" si="19"/>
        <v>30745.92272575961</v>
      </c>
      <c r="K243" s="326" t="str">
        <f t="shared" si="18"/>
        <v>Media Geometrica</v>
      </c>
      <c r="L243" s="326">
        <f>IFERROR(COUNTA('LP Elementos'!F243,'LP Elementos'!I243,'LP Elementos'!N243,'LP Elementos'!S243,'LP Elementos'!X243,'LP Elementos'!AC243,'LP Elementos'!AH243,'LP Elementos'!AM243,'LP Elementos'!AR243,'LP Elementos'!AX243,'LP Elementos'!BB243,'LP Elementos'!BG243,'LP Elementos'!BL243,'LP Elementos'!BQ243,'LP Elementos'!BV243,'LP Elementos'!CA243,'LP Elementos'!CF243,'LP Elementos'!CK243,'LP Elementos'!CP243,'LP Elementos'!CU243,'LP Elementos'!CZ243)," ")</f>
        <v>3</v>
      </c>
    </row>
    <row r="244" spans="2:12" ht="94.5" x14ac:dyDescent="0.25">
      <c r="B244" s="411">
        <v>242</v>
      </c>
      <c r="C244" s="412" t="s">
        <v>3604</v>
      </c>
      <c r="D244" s="408">
        <f>IFERROR(MIN('LP Elementos'!F244,'LP Elementos'!I244,'LP Elementos'!N244,'LP Elementos'!S244,'LP Elementos'!X244,'LP Elementos'!AC244,'LP Elementos'!AH244,'LP Elementos'!AM244,'LP Elementos'!AR244,'LP Elementos'!AW244,'LP Elementos'!BB244,'LP Elementos'!BG244,'LP Elementos'!BL244,'LP Elementos'!BQ244,'LP Elementos'!BV244,'LP Elementos'!CA244,'LP Elementos'!CF244,'LP Elementos'!CK244,'LP Elementos'!CP244,'LP Elementos'!CU244,'LP Elementos'!CZ244)," ")</f>
        <v>13868.26</v>
      </c>
      <c r="E244" s="341">
        <f>IFERROR(AVERAGE('LP Elementos'!F244,'LP Elementos'!I244,'LP Elementos'!N244,'LP Elementos'!S244,'LP Elementos'!X244,'LP Elementos'!AC244,'LP Elementos'!AH244,'LP Elementos'!AM244,'LP Elementos'!AR244,'LP Elementos'!AW244,'LP Elementos'!BB244,'LP Elementos'!BG244,'LP Elementos'!BL244,'LP Elementos'!BQ244,'LP Elementos'!BV244,'LP Elementos'!CA244,'LP Elementos'!CF244,'LP Elementos'!CK244,'LP Elementos'!CP244,'LP Elementos'!CU244,'LP Elementos'!CZ244)," ")</f>
        <v>64977.637057142856</v>
      </c>
      <c r="F244" s="341">
        <f>IFERROR(MEDIAN('LP Elementos'!F244,'LP Elementos'!I244,'LP Elementos'!N244,'LP Elementos'!S244,'LP Elementos'!X244,'LP Elementos'!AC244,'LP Elementos'!AH244,'LP Elementos'!AM244,'LP Elementos'!AR244,'LP Elementos'!AW244,'LP Elementos'!BB244,'LP Elementos'!BG244,'LP Elementos'!BL244,'LP Elementos'!BQ244,'LP Elementos'!BV244,'LP Elementos'!CA244,'LP Elementos'!CF244,'LP Elementos'!CK244,'LP Elementos'!CP244,'LP Elementos'!CU244,'LP Elementos'!CZ244)," ")</f>
        <v>23800</v>
      </c>
      <c r="G244" s="341">
        <f>IFERROR(GEOMEAN('LP Elementos'!F244,'LP Elementos'!I244,'LP Elementos'!N244,'LP Elementos'!S244,'LP Elementos'!X244,'LP Elementos'!AC244,'LP Elementos'!AH244,'LP Elementos'!AM244,'LP Elementos'!AR244,'LP Elementos'!AW244,'LP Elementos'!BB244,'LP Elementos'!BG244,'LP Elementos'!BL244,'LP Elementos'!BQ244,'LP Elementos'!BV244,'LP Elementos'!CA244,'LP Elementos'!CF244,'LP Elementos'!CK244,'LP Elementos'!CP244,'LP Elementos'!CU244,'LP Elementos'!CZ244)," ")</f>
        <v>39290.382938877163</v>
      </c>
      <c r="H244" s="341">
        <f t="shared" si="16"/>
        <v>22271.949844769963</v>
      </c>
      <c r="I244" s="342">
        <f t="shared" si="17"/>
        <v>0.34276330832380819</v>
      </c>
      <c r="J244" s="341">
        <f>IF(I244&lt;=10%,F244,IF(AND(I244&gt;10%,I244&lt;=20%),E244,IF(AND(I244&gt;20%,I244&lt;=35%),G244,IF(I244&gt;35%,D244))))</f>
        <v>39290.382938877163</v>
      </c>
      <c r="K244" s="326" t="str">
        <f t="shared" si="18"/>
        <v>Media Geometrica</v>
      </c>
      <c r="L244" s="326">
        <f>IFERROR(COUNTA('LP Elementos'!F244,'LP Elementos'!I244,'LP Elementos'!N244,'LP Elementos'!S244,'LP Elementos'!X244,'LP Elementos'!AC244,'LP Elementos'!AH244,'LP Elementos'!AM244,'LP Elementos'!AR244,'LP Elementos'!AX244,'LP Elementos'!BB244,'LP Elementos'!BG244,'LP Elementos'!BL244,'LP Elementos'!BQ244,'LP Elementos'!BV244,'LP Elementos'!CA244,'LP Elementos'!CF244,'LP Elementos'!CK244,'LP Elementos'!CP244,'LP Elementos'!CU244,'LP Elementos'!CZ244)," ")</f>
        <v>7</v>
      </c>
    </row>
    <row r="245" spans="2:12" ht="94.5" x14ac:dyDescent="0.25">
      <c r="B245" s="411">
        <v>243</v>
      </c>
      <c r="C245" s="412" t="s">
        <v>3609</v>
      </c>
      <c r="D245" s="408">
        <f>IFERROR(MIN('LP Elementos'!F245,'LP Elementos'!I245,'LP Elementos'!N245,'LP Elementos'!S245,'LP Elementos'!X245,'LP Elementos'!AC245,'LP Elementos'!AH245,'LP Elementos'!AM245,'LP Elementos'!AR245,'LP Elementos'!AW245,'LP Elementos'!BB245,'LP Elementos'!BG245,'LP Elementos'!BL245,'LP Elementos'!BQ245,'LP Elementos'!BV245,'LP Elementos'!CA245,'LP Elementos'!CF245,'LP Elementos'!CK245,'LP Elementos'!CP245,'LP Elementos'!CU245,'LP Elementos'!CZ245)," ")</f>
        <v>16898</v>
      </c>
      <c r="E245" s="341">
        <f>IFERROR(AVERAGE('LP Elementos'!F245,'LP Elementos'!I245,'LP Elementos'!N245,'LP Elementos'!S245,'LP Elementos'!X245,'LP Elementos'!AC245,'LP Elementos'!AH245,'LP Elementos'!AM245,'LP Elementos'!AR245,'LP Elementos'!AW245,'LP Elementos'!BB245,'LP Elementos'!BG245,'LP Elementos'!BL245,'LP Elementos'!BQ245,'LP Elementos'!BV245,'LP Elementos'!CA245,'LP Elementos'!CF245,'LP Elementos'!CK245,'LP Elementos'!CP245,'LP Elementos'!CU245,'LP Elementos'!CZ245)," ")</f>
        <v>45310.108399999997</v>
      </c>
      <c r="F245" s="341">
        <f>IFERROR(MEDIAN('LP Elementos'!F245,'LP Elementos'!I245,'LP Elementos'!N245,'LP Elementos'!S245,'LP Elementos'!X245,'LP Elementos'!AC245,'LP Elementos'!AH245,'LP Elementos'!AM245,'LP Elementos'!AR245,'LP Elementos'!AW245,'LP Elementos'!BB245,'LP Elementos'!BG245,'LP Elementos'!BL245,'LP Elementos'!BQ245,'LP Elementos'!BV245,'LP Elementos'!CA245,'LP Elementos'!CF245,'LP Elementos'!CK245,'LP Elementos'!CP245,'LP Elementos'!CU245,'LP Elementos'!CZ245)," ")</f>
        <v>42066.5</v>
      </c>
      <c r="G245" s="341">
        <f>IFERROR(GEOMEAN('LP Elementos'!F245,'LP Elementos'!I245,'LP Elementos'!N245,'LP Elementos'!S245,'LP Elementos'!X245,'LP Elementos'!AC245,'LP Elementos'!AH245,'LP Elementos'!AM245,'LP Elementos'!AR245,'LP Elementos'!AW245,'LP Elementos'!BB245,'LP Elementos'!BG245,'LP Elementos'!BL245,'LP Elementos'!BQ245,'LP Elementos'!BV245,'LP Elementos'!CA245,'LP Elementos'!CF245,'LP Elementos'!CK245,'LP Elementos'!CP245,'LP Elementos'!CU245,'LP Elementos'!CZ245)," ")</f>
        <v>38985.283440745006</v>
      </c>
      <c r="H245" s="341">
        <f t="shared" si="16"/>
        <v>12872.993977956186</v>
      </c>
      <c r="I245" s="342">
        <f t="shared" si="17"/>
        <v>0.28410865549719555</v>
      </c>
      <c r="J245" s="341">
        <f t="shared" si="19"/>
        <v>38985.283440745006</v>
      </c>
      <c r="K245" s="326" t="str">
        <f t="shared" si="18"/>
        <v>Media Geometrica</v>
      </c>
      <c r="L245" s="326">
        <f>IFERROR(COUNTA('LP Elementos'!F245,'LP Elementos'!I245,'LP Elementos'!N245,'LP Elementos'!S245,'LP Elementos'!X245,'LP Elementos'!AC245,'LP Elementos'!AH245,'LP Elementos'!AM245,'LP Elementos'!AR245,'LP Elementos'!AX245,'LP Elementos'!BB245,'LP Elementos'!BG245,'LP Elementos'!BL245,'LP Elementos'!BQ245,'LP Elementos'!BV245,'LP Elementos'!CA245,'LP Elementos'!CF245,'LP Elementos'!CK245,'LP Elementos'!CP245,'LP Elementos'!CU245,'LP Elementos'!CZ245)," ")</f>
        <v>8</v>
      </c>
    </row>
    <row r="246" spans="2:12" ht="94.5" x14ac:dyDescent="0.25">
      <c r="B246" s="411">
        <v>244</v>
      </c>
      <c r="C246" s="412" t="s">
        <v>3612</v>
      </c>
      <c r="D246" s="408">
        <f>IFERROR(MIN('LP Elementos'!F246,'LP Elementos'!I246,'LP Elementos'!N246,'LP Elementos'!S246,'LP Elementos'!X246,'LP Elementos'!AC246,'LP Elementos'!AH246,'LP Elementos'!AM246,'LP Elementos'!AR246,'LP Elementos'!AW246,'LP Elementos'!BB246,'LP Elementos'!BG246,'LP Elementos'!BL246,'LP Elementos'!BQ246,'LP Elementos'!BV246,'LP Elementos'!CA246,'LP Elementos'!CF246,'LP Elementos'!CK246,'LP Elementos'!CP246,'LP Elementos'!CU246,'LP Elementos'!CZ246)," ")</f>
        <v>17136</v>
      </c>
      <c r="E246" s="341">
        <f>IFERROR(AVERAGE('LP Elementos'!F246,'LP Elementos'!I246,'LP Elementos'!N246,'LP Elementos'!S246,'LP Elementos'!X246,'LP Elementos'!AC246,'LP Elementos'!AH246,'LP Elementos'!AM246,'LP Elementos'!AR246,'LP Elementos'!AW246,'LP Elementos'!BB246,'LP Elementos'!BG246,'LP Elementos'!BL246,'LP Elementos'!BQ246,'LP Elementos'!BV246,'LP Elementos'!CA246,'LP Elementos'!CF246,'LP Elementos'!CK246,'LP Elementos'!CP246,'LP Elementos'!CU246,'LP Elementos'!CZ246)," ")</f>
        <v>72557.056599999996</v>
      </c>
      <c r="F246" s="341">
        <f>IFERROR(MEDIAN('LP Elementos'!F246,'LP Elementos'!I246,'LP Elementos'!N246,'LP Elementos'!S246,'LP Elementos'!X246,'LP Elementos'!AC246,'LP Elementos'!AH246,'LP Elementos'!AM246,'LP Elementos'!AR246,'LP Elementos'!AW246,'LP Elementos'!BB246,'LP Elementos'!BG246,'LP Elementos'!BL246,'LP Elementos'!BQ246,'LP Elementos'!BV246,'LP Elementos'!CA246,'LP Elementos'!CF246,'LP Elementos'!CK246,'LP Elementos'!CP246,'LP Elementos'!CU246,'LP Elementos'!CZ246)," ")</f>
        <v>28619.5</v>
      </c>
      <c r="G246" s="341">
        <f>IFERROR(GEOMEAN('LP Elementos'!F246,'LP Elementos'!I246,'LP Elementos'!N246,'LP Elementos'!S246,'LP Elementos'!X246,'LP Elementos'!AC246,'LP Elementos'!AH246,'LP Elementos'!AM246,'LP Elementos'!AR246,'LP Elementos'!AW246,'LP Elementos'!BB246,'LP Elementos'!BG246,'LP Elementos'!BL246,'LP Elementos'!BQ246,'LP Elementos'!BV246,'LP Elementos'!CA246,'LP Elementos'!CF246,'LP Elementos'!CK246,'LP Elementos'!CP246,'LP Elementos'!CU246,'LP Elementos'!CZ246)," ")</f>
        <v>40521.426736249749</v>
      </c>
      <c r="H246" s="341">
        <f t="shared" si="16"/>
        <v>23889.83185256748</v>
      </c>
      <c r="I246" s="342">
        <f t="shared" si="17"/>
        <v>0.32925580187561637</v>
      </c>
      <c r="J246" s="341">
        <f>IF(I246&lt;=10%,F246,IF(AND(I246&gt;10%,I246&lt;=20%),E246,IF(AND(I246&gt;20%,I246&lt;=34%),G246,IF(I246&gt;34%,D246))))</f>
        <v>40521.426736249749</v>
      </c>
      <c r="K246" s="326" t="str">
        <f t="shared" si="18"/>
        <v>Media Geometrica</v>
      </c>
      <c r="L246" s="326">
        <f>IFERROR(COUNTA('LP Elementos'!F246,'LP Elementos'!I246,'LP Elementos'!N246,'LP Elementos'!S246,'LP Elementos'!X246,'LP Elementos'!AC246,'LP Elementos'!AH246,'LP Elementos'!AM246,'LP Elementos'!AR246,'LP Elementos'!AX246,'LP Elementos'!BB246,'LP Elementos'!BG246,'LP Elementos'!BL246,'LP Elementos'!BQ246,'LP Elementos'!BV246,'LP Elementos'!CA246,'LP Elementos'!CF246,'LP Elementos'!CK246,'LP Elementos'!CP246,'LP Elementos'!CU246,'LP Elementos'!CZ246)," ")</f>
        <v>6</v>
      </c>
    </row>
    <row r="247" spans="2:12" ht="27" x14ac:dyDescent="0.25">
      <c r="B247" s="411">
        <v>245</v>
      </c>
      <c r="C247" s="409" t="s">
        <v>3615</v>
      </c>
      <c r="D247" s="408">
        <f>IFERROR(MIN('LP Elementos'!F247,'LP Elementos'!I247,'LP Elementos'!N247,'LP Elementos'!S247,'LP Elementos'!X247,'LP Elementos'!AC247,'LP Elementos'!AH247,'LP Elementos'!AM247,'LP Elementos'!AR247,'LP Elementos'!AW247,'LP Elementos'!BB247,'LP Elementos'!BG247,'LP Elementos'!BL247,'LP Elementos'!BQ247,'LP Elementos'!BV247,'LP Elementos'!CA247,'LP Elementos'!CF247,'LP Elementos'!CK247,'LP Elementos'!CP247,'LP Elementos'!CU247,'LP Elementos'!CZ247)," ")</f>
        <v>19040</v>
      </c>
      <c r="E247" s="341">
        <f>IFERROR(AVERAGE('LP Elementos'!F247,'LP Elementos'!I247,'LP Elementos'!N247,'LP Elementos'!S247,'LP Elementos'!X247,'LP Elementos'!AC247,'LP Elementos'!AH247,'LP Elementos'!AM247,'LP Elementos'!AR247,'LP Elementos'!AW247,'LP Elementos'!BB247,'LP Elementos'!BG247,'LP Elementos'!BL247,'LP Elementos'!BQ247,'LP Elementos'!BV247,'LP Elementos'!CA247,'LP Elementos'!CF247,'LP Elementos'!CK247,'LP Elementos'!CP247,'LP Elementos'!CU247,'LP Elementos'!CZ247)," ")</f>
        <v>19040</v>
      </c>
      <c r="F247" s="341">
        <f>IFERROR(MEDIAN('LP Elementos'!F247,'LP Elementos'!I247,'LP Elementos'!N247,'LP Elementos'!S247,'LP Elementos'!X247,'LP Elementos'!AC247,'LP Elementos'!AH247,'LP Elementos'!AM247,'LP Elementos'!AR247,'LP Elementos'!AW247,'LP Elementos'!BB247,'LP Elementos'!BG247,'LP Elementos'!BL247,'LP Elementos'!BQ247,'LP Elementos'!BV247,'LP Elementos'!CA247,'LP Elementos'!CF247,'LP Elementos'!CK247,'LP Elementos'!CP247,'LP Elementos'!CU247,'LP Elementos'!CZ247)," ")</f>
        <v>19040</v>
      </c>
      <c r="G247" s="341">
        <f>IFERROR(GEOMEAN('LP Elementos'!F247,'LP Elementos'!I247,'LP Elementos'!N247,'LP Elementos'!S247,'LP Elementos'!X247,'LP Elementos'!AC247,'LP Elementos'!AH247,'LP Elementos'!AM247,'LP Elementos'!AR247,'LP Elementos'!AW247,'LP Elementos'!BB247,'LP Elementos'!BG247,'LP Elementos'!BL247,'LP Elementos'!BQ247,'LP Elementos'!BV247,'LP Elementos'!CA247,'LP Elementos'!CF247,'LP Elementos'!CK247,'LP Elementos'!CP247,'LP Elementos'!CU247,'LP Elementos'!CZ247)," ")</f>
        <v>19040</v>
      </c>
      <c r="H247" s="341">
        <f t="shared" si="16"/>
        <v>0</v>
      </c>
      <c r="I247" s="342">
        <f t="shared" si="17"/>
        <v>0</v>
      </c>
      <c r="J247" s="341">
        <f t="shared" si="19"/>
        <v>19040</v>
      </c>
      <c r="K247" s="326" t="str">
        <f t="shared" si="18"/>
        <v>Menor Valor</v>
      </c>
      <c r="L247" s="326">
        <f>IFERROR(COUNTA('LP Elementos'!F247,'LP Elementos'!I247,'LP Elementos'!N247,'LP Elementos'!S247,'LP Elementos'!X247,'LP Elementos'!AC247,'LP Elementos'!AH247,'LP Elementos'!AM247,'LP Elementos'!AR247,'LP Elementos'!AX247,'LP Elementos'!BB247,'LP Elementos'!BG247,'LP Elementos'!BL247,'LP Elementos'!BQ247,'LP Elementos'!BV247,'LP Elementos'!CA247,'LP Elementos'!CF247,'LP Elementos'!CK247,'LP Elementos'!CP247,'LP Elementos'!CU247,'LP Elementos'!CZ247)," ")</f>
        <v>1</v>
      </c>
    </row>
    <row r="248" spans="2:12" ht="27" x14ac:dyDescent="0.25">
      <c r="B248" s="411">
        <v>246</v>
      </c>
      <c r="C248" s="412" t="s">
        <v>3616</v>
      </c>
      <c r="D248" s="408">
        <f>IFERROR(MIN('LP Elementos'!F248,'LP Elementos'!I248,'LP Elementos'!N248,'LP Elementos'!S248,'LP Elementos'!X248,'LP Elementos'!AC248,'LP Elementos'!AH248,'LP Elementos'!AM248,'LP Elementos'!AR248,'LP Elementos'!AW248,'LP Elementos'!BB248,'LP Elementos'!BG248,'LP Elementos'!BL248,'LP Elementos'!BQ248,'LP Elementos'!BV248,'LP Elementos'!CA248,'LP Elementos'!CF248,'LP Elementos'!CK248,'LP Elementos'!CP248,'LP Elementos'!CU248,'LP Elementos'!CZ248)," ")</f>
        <v>21001.119999999999</v>
      </c>
      <c r="E248" s="341">
        <f>IFERROR(AVERAGE('LP Elementos'!F248,'LP Elementos'!I248,'LP Elementos'!N248,'LP Elementos'!S248,'LP Elementos'!X248,'LP Elementos'!AC248,'LP Elementos'!AH248,'LP Elementos'!AM248,'LP Elementos'!AR248,'LP Elementos'!AW248,'LP Elementos'!BB248,'LP Elementos'!BG248,'LP Elementos'!BL248,'LP Elementos'!BQ248,'LP Elementos'!BV248,'LP Elementos'!CA248,'LP Elementos'!CF248,'LP Elementos'!CK248,'LP Elementos'!CP248,'LP Elementos'!CU248,'LP Elementos'!CZ248)," ")</f>
        <v>107999.43725</v>
      </c>
      <c r="F248" s="341">
        <f>IFERROR(MEDIAN('LP Elementos'!F248,'LP Elementos'!I248,'LP Elementos'!N248,'LP Elementos'!S248,'LP Elementos'!X248,'LP Elementos'!AC248,'LP Elementos'!AH248,'LP Elementos'!AM248,'LP Elementos'!AR248,'LP Elementos'!AW248,'LP Elementos'!BB248,'LP Elementos'!BG248,'LP Elementos'!BL248,'LP Elementos'!BQ248,'LP Elementos'!BV248,'LP Elementos'!CA248,'LP Elementos'!CF248,'LP Elementos'!CK248,'LP Elementos'!CP248,'LP Elementos'!CU248,'LP Elementos'!CZ248)," ")</f>
        <v>49013.3145</v>
      </c>
      <c r="G248" s="341">
        <f>IFERROR(GEOMEAN('LP Elementos'!F248,'LP Elementos'!I248,'LP Elementos'!N248,'LP Elementos'!S248,'LP Elementos'!X248,'LP Elementos'!AC248,'LP Elementos'!AH248,'LP Elementos'!AM248,'LP Elementos'!AR248,'LP Elementos'!AW248,'LP Elementos'!BB248,'LP Elementos'!BG248,'LP Elementos'!BL248,'LP Elementos'!BQ248,'LP Elementos'!BV248,'LP Elementos'!CA248,'LP Elementos'!CF248,'LP Elementos'!CK248,'LP Elementos'!CP248,'LP Elementos'!CU248,'LP Elementos'!CZ248)," ")</f>
        <v>60165.607498124278</v>
      </c>
      <c r="H248" s="341">
        <f t="shared" si="16"/>
        <v>36261.847386927366</v>
      </c>
      <c r="I248" s="342">
        <f t="shared" si="17"/>
        <v>0.33575959570036895</v>
      </c>
      <c r="J248" s="341">
        <f t="shared" si="19"/>
        <v>21001.119999999999</v>
      </c>
      <c r="K248" s="326" t="str">
        <f t="shared" si="18"/>
        <v>Menor Valor</v>
      </c>
      <c r="L248" s="326">
        <f>IFERROR(COUNTA('LP Elementos'!F248,'LP Elementos'!I248,'LP Elementos'!N248,'LP Elementos'!S248,'LP Elementos'!X248,'LP Elementos'!AC248,'LP Elementos'!AH248,'LP Elementos'!AM248,'LP Elementos'!AR248,'LP Elementos'!AX248,'LP Elementos'!BB248,'LP Elementos'!BG248,'LP Elementos'!BL248,'LP Elementos'!BQ248,'LP Elementos'!BV248,'LP Elementos'!CA248,'LP Elementos'!CF248,'LP Elementos'!CK248,'LP Elementos'!CP248,'LP Elementos'!CU248,'LP Elementos'!CZ248)," ")</f>
        <v>4</v>
      </c>
    </row>
    <row r="249" spans="2:12" ht="27" x14ac:dyDescent="0.25">
      <c r="B249" s="411">
        <v>247</v>
      </c>
      <c r="C249" s="412" t="s">
        <v>3623</v>
      </c>
      <c r="D249" s="408">
        <f>IFERROR(MIN('LP Elementos'!F249,'LP Elementos'!I249,'LP Elementos'!N249,'LP Elementos'!S249,'LP Elementos'!X249,'LP Elementos'!AC249,'LP Elementos'!AH249,'LP Elementos'!AM249,'LP Elementos'!AR249,'LP Elementos'!AW249,'LP Elementos'!BB249,'LP Elementos'!BG249,'LP Elementos'!BL249,'LP Elementos'!BQ249,'LP Elementos'!BV249,'LP Elementos'!CA249,'LP Elementos'!CF249,'LP Elementos'!CK249,'LP Elementos'!CP249,'LP Elementos'!CU249,'LP Elementos'!CZ249)," ")</f>
        <v>79183.313999999998</v>
      </c>
      <c r="E249" s="341">
        <f>IFERROR(AVERAGE('LP Elementos'!F249,'LP Elementos'!I249,'LP Elementos'!N249,'LP Elementos'!S249,'LP Elementos'!X249,'LP Elementos'!AC249,'LP Elementos'!AH249,'LP Elementos'!AM249,'LP Elementos'!AR249,'LP Elementos'!AW249,'LP Elementos'!BB249,'LP Elementos'!BG249,'LP Elementos'!BL249,'LP Elementos'!BQ249,'LP Elementos'!BV249,'LP Elementos'!CA249,'LP Elementos'!CF249,'LP Elementos'!CK249,'LP Elementos'!CP249,'LP Elementos'!CU249,'LP Elementos'!CZ249)," ")</f>
        <v>196076.65700000001</v>
      </c>
      <c r="F249" s="341">
        <f>IFERROR(MEDIAN('LP Elementos'!F249,'LP Elementos'!I249,'LP Elementos'!N249,'LP Elementos'!S249,'LP Elementos'!X249,'LP Elementos'!AC249,'LP Elementos'!AH249,'LP Elementos'!AM249,'LP Elementos'!AR249,'LP Elementos'!AW249,'LP Elementos'!BB249,'LP Elementos'!BG249,'LP Elementos'!BL249,'LP Elementos'!BQ249,'LP Elementos'!BV249,'LP Elementos'!CA249,'LP Elementos'!CF249,'LP Elementos'!CK249,'LP Elementos'!CP249,'LP Elementos'!CU249,'LP Elementos'!CZ249)," ")</f>
        <v>196076.65700000001</v>
      </c>
      <c r="G249" s="341">
        <f>IFERROR(GEOMEAN('LP Elementos'!F249,'LP Elementos'!I249,'LP Elementos'!N249,'LP Elementos'!S249,'LP Elementos'!X249,'LP Elementos'!AC249,'LP Elementos'!AH249,'LP Elementos'!AM249,'LP Elementos'!AR249,'LP Elementos'!AW249,'LP Elementos'!BB249,'LP Elementos'!BG249,'LP Elementos'!BL249,'LP Elementos'!BQ249,'LP Elementos'!BV249,'LP Elementos'!CA249,'LP Elementos'!CF249,'LP Elementos'!CK249,'LP Elementos'!CP249,'LP Elementos'!CU249,'LP Elementos'!CZ249)," ")</f>
        <v>157423.00271110318</v>
      </c>
      <c r="H249" s="341">
        <f t="shared" si="16"/>
        <v>55104.269454078858</v>
      </c>
      <c r="I249" s="342">
        <f t="shared" si="17"/>
        <v>0.28103431737965046</v>
      </c>
      <c r="J249" s="341">
        <f t="shared" si="19"/>
        <v>157423.00271110318</v>
      </c>
      <c r="K249" s="326" t="str">
        <f t="shared" si="18"/>
        <v>Media Geometrica</v>
      </c>
      <c r="L249" s="326">
        <f>IFERROR(COUNTA('LP Elementos'!F249,'LP Elementos'!I249,'LP Elementos'!N249,'LP Elementos'!S249,'LP Elementos'!X249,'LP Elementos'!AC249,'LP Elementos'!AH249,'LP Elementos'!AM249,'LP Elementos'!AR249,'LP Elementos'!AX249,'LP Elementos'!BB249,'LP Elementos'!BG249,'LP Elementos'!BL249,'LP Elementos'!BQ249,'LP Elementos'!BV249,'LP Elementos'!CA249,'LP Elementos'!CF249,'LP Elementos'!CK249,'LP Elementos'!CP249,'LP Elementos'!CU249,'LP Elementos'!CZ249)," ")</f>
        <v>2</v>
      </c>
    </row>
    <row r="250" spans="2:12" ht="40.5" x14ac:dyDescent="0.25">
      <c r="B250" s="411">
        <v>248</v>
      </c>
      <c r="C250" s="412" t="s">
        <v>3624</v>
      </c>
      <c r="D250" s="408">
        <f>IFERROR(MIN('LP Elementos'!F250,'LP Elementos'!I250,'LP Elementos'!N250,'LP Elementos'!S250,'LP Elementos'!X250,'LP Elementos'!AC250,'LP Elementos'!AH250,'LP Elementos'!AM250,'LP Elementos'!AR250,'LP Elementos'!AW250,'LP Elementos'!BB250,'LP Elementos'!BG250,'LP Elementos'!BL250,'LP Elementos'!BQ250,'LP Elementos'!BV250,'LP Elementos'!CA250,'LP Elementos'!CF250,'LP Elementos'!CK250,'LP Elementos'!CP250,'LP Elementos'!CU250,'LP Elementos'!CZ250)," ")</f>
        <v>123174.04400000001</v>
      </c>
      <c r="E250" s="341">
        <f>IFERROR(AVERAGE('LP Elementos'!F250,'LP Elementos'!I250,'LP Elementos'!N250,'LP Elementos'!S250,'LP Elementos'!X250,'LP Elementos'!AC250,'LP Elementos'!AH250,'LP Elementos'!AM250,'LP Elementos'!AR250,'LP Elementos'!AW250,'LP Elementos'!BB250,'LP Elementos'!BG250,'LP Elementos'!BL250,'LP Elementos'!BQ250,'LP Elementos'!BV250,'LP Elementos'!CA250,'LP Elementos'!CF250,'LP Elementos'!CK250,'LP Elementos'!CP250,'LP Elementos'!CU250,'LP Elementos'!CZ250)," ")</f>
        <v>123174.04400000001</v>
      </c>
      <c r="F250" s="341">
        <f>IFERROR(MEDIAN('LP Elementos'!F250,'LP Elementos'!I250,'LP Elementos'!N250,'LP Elementos'!S250,'LP Elementos'!X250,'LP Elementos'!AC250,'LP Elementos'!AH250,'LP Elementos'!AM250,'LP Elementos'!AR250,'LP Elementos'!AW250,'LP Elementos'!BB250,'LP Elementos'!BG250,'LP Elementos'!BL250,'LP Elementos'!BQ250,'LP Elementos'!BV250,'LP Elementos'!CA250,'LP Elementos'!CF250,'LP Elementos'!CK250,'LP Elementos'!CP250,'LP Elementos'!CU250,'LP Elementos'!CZ250)," ")</f>
        <v>123174.04400000001</v>
      </c>
      <c r="G250" s="341">
        <f>IFERROR(GEOMEAN('LP Elementos'!F250,'LP Elementos'!I250,'LP Elementos'!N250,'LP Elementos'!S250,'LP Elementos'!X250,'LP Elementos'!AC250,'LP Elementos'!AH250,'LP Elementos'!AM250,'LP Elementos'!AR250,'LP Elementos'!AW250,'LP Elementos'!BB250,'LP Elementos'!BG250,'LP Elementos'!BL250,'LP Elementos'!BQ250,'LP Elementos'!BV250,'LP Elementos'!CA250,'LP Elementos'!CF250,'LP Elementos'!CK250,'LP Elementos'!CP250,'LP Elementos'!CU250,'LP Elementos'!CZ250)," ")</f>
        <v>123174.04400000001</v>
      </c>
      <c r="H250" s="341">
        <f t="shared" si="16"/>
        <v>0</v>
      </c>
      <c r="I250" s="342">
        <f t="shared" si="17"/>
        <v>0</v>
      </c>
      <c r="J250" s="341">
        <f t="shared" si="19"/>
        <v>123174.04400000001</v>
      </c>
      <c r="K250" s="326" t="str">
        <f t="shared" si="18"/>
        <v>Menor Valor</v>
      </c>
      <c r="L250" s="326">
        <f>IFERROR(COUNTA('LP Elementos'!F250,'LP Elementos'!I250,'LP Elementos'!N250,'LP Elementos'!S250,'LP Elementos'!X250,'LP Elementos'!AC250,'LP Elementos'!AH250,'LP Elementos'!AM250,'LP Elementos'!AR250,'LP Elementos'!AX250,'LP Elementos'!BB250,'LP Elementos'!BG250,'LP Elementos'!BL250,'LP Elementos'!BQ250,'LP Elementos'!BV250,'LP Elementos'!CA250,'LP Elementos'!CF250,'LP Elementos'!CK250,'LP Elementos'!CP250,'LP Elementos'!CU250,'LP Elementos'!CZ250)," ")</f>
        <v>1</v>
      </c>
    </row>
    <row r="251" spans="2:12" ht="40.5" x14ac:dyDescent="0.25">
      <c r="B251" s="411">
        <v>249</v>
      </c>
      <c r="C251" s="412" t="s">
        <v>3625</v>
      </c>
      <c r="D251" s="408">
        <f>IFERROR(MIN('LP Elementos'!F251,'LP Elementos'!I251,'LP Elementos'!N251,'LP Elementos'!S251,'LP Elementos'!X251,'LP Elementos'!AC251,'LP Elementos'!AH251,'LP Elementos'!AM251,'LP Elementos'!AR251,'LP Elementos'!AW251,'LP Elementos'!BB251,'LP Elementos'!BG251,'LP Elementos'!BL251,'LP Elementos'!BQ251,'LP Elementos'!BV251,'LP Elementos'!CA251,'LP Elementos'!CF251,'LP Elementos'!CK251,'LP Elementos'!CP251,'LP Elementos'!CU251,'LP Elementos'!CZ251)," ")</f>
        <v>817.49880000000007</v>
      </c>
      <c r="E251" s="341">
        <f>IFERROR(AVERAGE('LP Elementos'!F251,'LP Elementos'!I251,'LP Elementos'!N251,'LP Elementos'!S251,'LP Elementos'!X251,'LP Elementos'!AC251,'LP Elementos'!AH251,'LP Elementos'!AM251,'LP Elementos'!AR251,'LP Elementos'!AW251,'LP Elementos'!BB251,'LP Elementos'!BG251,'LP Elementos'!BL251,'LP Elementos'!BQ251,'LP Elementos'!BV251,'LP Elementos'!CA251,'LP Elementos'!CF251,'LP Elementos'!CK251,'LP Elementos'!CP251,'LP Elementos'!CU251,'LP Elementos'!CZ251)," ")</f>
        <v>1003.7494</v>
      </c>
      <c r="F251" s="341">
        <f>IFERROR(MEDIAN('LP Elementos'!F251,'LP Elementos'!I251,'LP Elementos'!N251,'LP Elementos'!S251,'LP Elementos'!X251,'LP Elementos'!AC251,'LP Elementos'!AH251,'LP Elementos'!AM251,'LP Elementos'!AR251,'LP Elementos'!AW251,'LP Elementos'!BB251,'LP Elementos'!BG251,'LP Elementos'!BL251,'LP Elementos'!BQ251,'LP Elementos'!BV251,'LP Elementos'!CA251,'LP Elementos'!CF251,'LP Elementos'!CK251,'LP Elementos'!CP251,'LP Elementos'!CU251,'LP Elementos'!CZ251)," ")</f>
        <v>1003.7494</v>
      </c>
      <c r="G251" s="341">
        <f>IFERROR(GEOMEAN('LP Elementos'!F251,'LP Elementos'!I251,'LP Elementos'!N251,'LP Elementos'!S251,'LP Elementos'!X251,'LP Elementos'!AC251,'LP Elementos'!AH251,'LP Elementos'!AM251,'LP Elementos'!AR251,'LP Elementos'!AW251,'LP Elementos'!BB251,'LP Elementos'!BG251,'LP Elementos'!BL251,'LP Elementos'!BQ251,'LP Elementos'!BV251,'LP Elementos'!CA251,'LP Elementos'!CF251,'LP Elementos'!CK251,'LP Elementos'!CP251,'LP Elementos'!CU251,'LP Elementos'!CZ251)," ")</f>
        <v>986.318190038083</v>
      </c>
      <c r="H251" s="341">
        <f t="shared" si="16"/>
        <v>90.593530221084777</v>
      </c>
      <c r="I251" s="342">
        <f t="shared" si="17"/>
        <v>9.0255127645490776E-2</v>
      </c>
      <c r="J251" s="341">
        <f t="shared" si="19"/>
        <v>1003.7494</v>
      </c>
      <c r="K251" s="326" t="str">
        <f t="shared" si="18"/>
        <v>Promedio</v>
      </c>
      <c r="L251" s="326">
        <f>IFERROR(COUNTA('LP Elementos'!F251,'LP Elementos'!I251,'LP Elementos'!N251,'LP Elementos'!S251,'LP Elementos'!X251,'LP Elementos'!AC251,'LP Elementos'!AH251,'LP Elementos'!AM251,'LP Elementos'!AR251,'LP Elementos'!AX251,'LP Elementos'!BB251,'LP Elementos'!BG251,'LP Elementos'!BL251,'LP Elementos'!BQ251,'LP Elementos'!BV251,'LP Elementos'!CA251,'LP Elementos'!CF251,'LP Elementos'!CK251,'LP Elementos'!CP251,'LP Elementos'!CU251,'LP Elementos'!CZ251)," ")</f>
        <v>2</v>
      </c>
    </row>
    <row r="252" spans="2:12" ht="54" x14ac:dyDescent="0.25">
      <c r="B252" s="411">
        <v>250</v>
      </c>
      <c r="C252" s="412" t="s">
        <v>3628</v>
      </c>
      <c r="D252" s="408">
        <f>IFERROR(MIN('LP Elementos'!F252,'LP Elementos'!I252,'LP Elementos'!N252,'LP Elementos'!S252,'LP Elementos'!X252,'LP Elementos'!AC252,'LP Elementos'!AH252,'LP Elementos'!AM252,'LP Elementos'!AR252,'LP Elementos'!AW252,'LP Elementos'!BB252,'LP Elementos'!BG252,'LP Elementos'!BL252,'LP Elementos'!BQ252,'LP Elementos'!BV252,'LP Elementos'!CA252,'LP Elementos'!CF252,'LP Elementos'!CK252,'LP Elementos'!CP252,'LP Elementos'!CU252,'LP Elementos'!CZ252)," ")</f>
        <v>145150.39740000002</v>
      </c>
      <c r="E252" s="341">
        <f>IFERROR(AVERAGE('LP Elementos'!F252,'LP Elementos'!I252,'LP Elementos'!N252,'LP Elementos'!S252,'LP Elementos'!X252,'LP Elementos'!AC252,'LP Elementos'!AH252,'LP Elementos'!AM252,'LP Elementos'!AR252,'LP Elementos'!AW252,'LP Elementos'!BB252,'LP Elementos'!BG252,'LP Elementos'!BL252,'LP Elementos'!BQ252,'LP Elementos'!BV252,'LP Elementos'!CA252,'LP Elementos'!CF252,'LP Elementos'!CK252,'LP Elementos'!CP252,'LP Elementos'!CU252,'LP Elementos'!CZ252)," ")</f>
        <v>161825.19870000001</v>
      </c>
      <c r="F252" s="341">
        <f>IFERROR(MEDIAN('LP Elementos'!F252,'LP Elementos'!I252,'LP Elementos'!N252,'LP Elementos'!S252,'LP Elementos'!X252,'LP Elementos'!AC252,'LP Elementos'!AH252,'LP Elementos'!AM252,'LP Elementos'!AR252,'LP Elementos'!AW252,'LP Elementos'!BB252,'LP Elementos'!BG252,'LP Elementos'!BL252,'LP Elementos'!BQ252,'LP Elementos'!BV252,'LP Elementos'!CA252,'LP Elementos'!CF252,'LP Elementos'!CK252,'LP Elementos'!CP252,'LP Elementos'!CU252,'LP Elementos'!CZ252)," ")</f>
        <v>161825.19870000001</v>
      </c>
      <c r="G252" s="341">
        <f>IFERROR(GEOMEAN('LP Elementos'!F252,'LP Elementos'!I252,'LP Elementos'!N252,'LP Elementos'!S252,'LP Elementos'!X252,'LP Elementos'!AC252,'LP Elementos'!AH252,'LP Elementos'!AM252,'LP Elementos'!AR252,'LP Elementos'!AW252,'LP Elementos'!BB252,'LP Elementos'!BG252,'LP Elementos'!BL252,'LP Elementos'!BQ252,'LP Elementos'!BV252,'LP Elementos'!CA252,'LP Elementos'!CF252,'LP Elementos'!CK252,'LP Elementos'!CP252,'LP Elementos'!CU252,'LP Elementos'!CZ252)," ")</f>
        <v>160963.80318537456</v>
      </c>
      <c r="H252" s="341">
        <f t="shared" si="16"/>
        <v>8203.8903565478904</v>
      </c>
      <c r="I252" s="342">
        <f t="shared" si="17"/>
        <v>5.0696000514460604E-2</v>
      </c>
      <c r="J252" s="341">
        <f t="shared" si="19"/>
        <v>161825.19870000001</v>
      </c>
      <c r="K252" s="326" t="str">
        <f t="shared" si="18"/>
        <v>Promedio</v>
      </c>
      <c r="L252" s="326">
        <f>IFERROR(COUNTA('LP Elementos'!F252,'LP Elementos'!I252,'LP Elementos'!N252,'LP Elementos'!S252,'LP Elementos'!X252,'LP Elementos'!AC252,'LP Elementos'!AH252,'LP Elementos'!AM252,'LP Elementos'!AR252,'LP Elementos'!AX252,'LP Elementos'!BB252,'LP Elementos'!BG252,'LP Elementos'!BL252,'LP Elementos'!BQ252,'LP Elementos'!BV252,'LP Elementos'!CA252,'LP Elementos'!CF252,'LP Elementos'!CK252,'LP Elementos'!CP252,'LP Elementos'!CU252,'LP Elementos'!CZ252)," ")</f>
        <v>2</v>
      </c>
    </row>
    <row r="253" spans="2:12" ht="40.5" x14ac:dyDescent="0.25">
      <c r="B253" s="411">
        <v>251</v>
      </c>
      <c r="C253" s="412" t="s">
        <v>3632</v>
      </c>
      <c r="D253" s="408">
        <f>IFERROR(MIN('LP Elementos'!F253,'LP Elementos'!I253,'LP Elementos'!N253,'LP Elementos'!S253,'LP Elementos'!X253,'LP Elementos'!AC253,'LP Elementos'!AH253,'LP Elementos'!AM253,'LP Elementos'!AR253,'LP Elementos'!AW253,'LP Elementos'!BB253,'LP Elementos'!BG253,'LP Elementos'!BL253,'LP Elementos'!BQ253,'LP Elementos'!BV253,'LP Elementos'!CA253,'LP Elementos'!CF253,'LP Elementos'!CK253,'LP Elementos'!CP253,'LP Elementos'!CU253,'LP Elementos'!CZ253)," ")</f>
        <v>16484.113400000002</v>
      </c>
      <c r="E253" s="341">
        <f>IFERROR(AVERAGE('LP Elementos'!F253,'LP Elementos'!I253,'LP Elementos'!N253,'LP Elementos'!S253,'LP Elementos'!X253,'LP Elementos'!AC253,'LP Elementos'!AH253,'LP Elementos'!AM253,'LP Elementos'!AR253,'LP Elementos'!AW253,'LP Elementos'!BB253,'LP Elementos'!BG253,'LP Elementos'!BL253,'LP Elementos'!BQ253,'LP Elementos'!BV253,'LP Elementos'!CA253,'LP Elementos'!CF253,'LP Elementos'!CK253,'LP Elementos'!CP253,'LP Elementos'!CU253,'LP Elementos'!CZ253)," ")</f>
        <v>22522.056700000001</v>
      </c>
      <c r="F253" s="341">
        <f>IFERROR(MEDIAN('LP Elementos'!F253,'LP Elementos'!I253,'LP Elementos'!N253,'LP Elementos'!S253,'LP Elementos'!X253,'LP Elementos'!AC253,'LP Elementos'!AH253,'LP Elementos'!AM253,'LP Elementos'!AR253,'LP Elementos'!AW253,'LP Elementos'!BB253,'LP Elementos'!BG253,'LP Elementos'!BL253,'LP Elementos'!BQ253,'LP Elementos'!BV253,'LP Elementos'!CA253,'LP Elementos'!CF253,'LP Elementos'!CK253,'LP Elementos'!CP253,'LP Elementos'!CU253,'LP Elementos'!CZ253)," ")</f>
        <v>22522.056700000001</v>
      </c>
      <c r="G253" s="341">
        <f>IFERROR(GEOMEAN('LP Elementos'!F253,'LP Elementos'!I253,'LP Elementos'!N253,'LP Elementos'!S253,'LP Elementos'!X253,'LP Elementos'!AC253,'LP Elementos'!AH253,'LP Elementos'!AM253,'LP Elementos'!AR253,'LP Elementos'!AW253,'LP Elementos'!BB253,'LP Elementos'!BG253,'LP Elementos'!BL253,'LP Elementos'!BQ253,'LP Elementos'!BV253,'LP Elementos'!CA253,'LP Elementos'!CF253,'LP Elementos'!CK253,'LP Elementos'!CP253,'LP Elementos'!CU253,'LP Elementos'!CZ253)," ")</f>
        <v>21697.60997676933</v>
      </c>
      <c r="H253" s="341">
        <f t="shared" si="16"/>
        <v>2907.6549821535223</v>
      </c>
      <c r="I253" s="342">
        <f t="shared" si="17"/>
        <v>0.12910255137371723</v>
      </c>
      <c r="J253" s="341">
        <f t="shared" si="19"/>
        <v>22522.056700000001</v>
      </c>
      <c r="K253" s="326" t="str">
        <f t="shared" si="18"/>
        <v>Promedio</v>
      </c>
      <c r="L253" s="326">
        <f>IFERROR(COUNTA('LP Elementos'!F253,'LP Elementos'!I253,'LP Elementos'!N253,'LP Elementos'!S253,'LP Elementos'!X253,'LP Elementos'!AC253,'LP Elementos'!AH253,'LP Elementos'!AM253,'LP Elementos'!AR253,'LP Elementos'!AX253,'LP Elementos'!BB253,'LP Elementos'!BG253,'LP Elementos'!BL253,'LP Elementos'!BQ253,'LP Elementos'!BV253,'LP Elementos'!CA253,'LP Elementos'!CF253,'LP Elementos'!CK253,'LP Elementos'!CP253,'LP Elementos'!CU253,'LP Elementos'!CZ253)," ")</f>
        <v>2</v>
      </c>
    </row>
    <row r="254" spans="2:12" ht="27" x14ac:dyDescent="0.25">
      <c r="B254" s="411">
        <v>252</v>
      </c>
      <c r="C254" s="412" t="s">
        <v>3633</v>
      </c>
      <c r="D254" s="408">
        <f>IFERROR(MIN('LP Elementos'!F254,'LP Elementos'!I254,'LP Elementos'!N254,'LP Elementos'!S254,'LP Elementos'!X254,'LP Elementos'!AC254,'LP Elementos'!AH254,'LP Elementos'!AM254,'LP Elementos'!AR254,'LP Elementos'!AW254,'LP Elementos'!BB254,'LP Elementos'!BG254,'LP Elementos'!BL254,'LP Elementos'!BQ254,'LP Elementos'!BV254,'LP Elementos'!CA254,'LP Elementos'!CF254,'LP Elementos'!CK254,'LP Elementos'!CP254,'LP Elementos'!CU254,'LP Elementos'!CZ254)," ")</f>
        <v>279026.91600000003</v>
      </c>
      <c r="E254" s="341">
        <f>IFERROR(AVERAGE('LP Elementos'!F254,'LP Elementos'!I254,'LP Elementos'!N254,'LP Elementos'!S254,'LP Elementos'!X254,'LP Elementos'!AC254,'LP Elementos'!AH254,'LP Elementos'!AM254,'LP Elementos'!AR254,'LP Elementos'!AW254,'LP Elementos'!BB254,'LP Elementos'!BG254,'LP Elementos'!BL254,'LP Elementos'!BQ254,'LP Elementos'!BV254,'LP Elementos'!CA254,'LP Elementos'!CF254,'LP Elementos'!CK254,'LP Elementos'!CP254,'LP Elementos'!CU254,'LP Elementos'!CZ254)," ")</f>
        <v>1127213.4580000001</v>
      </c>
      <c r="F254" s="341">
        <f>IFERROR(MEDIAN('LP Elementos'!F254,'LP Elementos'!I254,'LP Elementos'!N254,'LP Elementos'!S254,'LP Elementos'!X254,'LP Elementos'!AC254,'LP Elementos'!AH254,'LP Elementos'!AM254,'LP Elementos'!AR254,'LP Elementos'!AW254,'LP Elementos'!BB254,'LP Elementos'!BG254,'LP Elementos'!BL254,'LP Elementos'!BQ254,'LP Elementos'!BV254,'LP Elementos'!CA254,'LP Elementos'!CF254,'LP Elementos'!CK254,'LP Elementos'!CP254,'LP Elementos'!CU254,'LP Elementos'!CZ254)," ")</f>
        <v>1127213.4580000001</v>
      </c>
      <c r="G254" s="341">
        <f>IFERROR(GEOMEAN('LP Elementos'!F254,'LP Elementos'!I254,'LP Elementos'!N254,'LP Elementos'!S254,'LP Elementos'!X254,'LP Elementos'!AC254,'LP Elementos'!AH254,'LP Elementos'!AM254,'LP Elementos'!AR254,'LP Elementos'!AW254,'LP Elementos'!BB254,'LP Elementos'!BG254,'LP Elementos'!BL254,'LP Elementos'!BQ254,'LP Elementos'!BV254,'LP Elementos'!CA254,'LP Elementos'!CF254,'LP Elementos'!CK254,'LP Elementos'!CP254,'LP Elementos'!CU254,'LP Elementos'!CZ254)," ")</f>
        <v>742421.55805606826</v>
      </c>
      <c r="H254" s="341">
        <f t="shared" si="16"/>
        <v>403082.39716702956</v>
      </c>
      <c r="I254" s="342">
        <f t="shared" si="17"/>
        <v>0.35759189557780235</v>
      </c>
      <c r="J254" s="341">
        <f>IF(I254&lt;=10%,F254,IF(AND(I254&gt;10%,I254&lt;=20%),E254,IF(AND(I254&gt;20%,I254&lt;=37%),G254,IF(I254&gt;37%,D254))))</f>
        <v>742421.55805606826</v>
      </c>
      <c r="K254" s="326" t="str">
        <f t="shared" si="18"/>
        <v>Media Geometrica</v>
      </c>
      <c r="L254" s="326">
        <f>IFERROR(COUNTA('LP Elementos'!F254,'LP Elementos'!I254,'LP Elementos'!N254,'LP Elementos'!S254,'LP Elementos'!X254,'LP Elementos'!AC254,'LP Elementos'!AH254,'LP Elementos'!AM254,'LP Elementos'!AR254,'LP Elementos'!AX254,'LP Elementos'!BB254,'LP Elementos'!BG254,'LP Elementos'!BL254,'LP Elementos'!BQ254,'LP Elementos'!BV254,'LP Elementos'!CA254,'LP Elementos'!CF254,'LP Elementos'!CK254,'LP Elementos'!CP254,'LP Elementos'!CU254,'LP Elementos'!CZ254)," ")</f>
        <v>2</v>
      </c>
    </row>
    <row r="255" spans="2:12" ht="27" x14ac:dyDescent="0.25">
      <c r="B255" s="411">
        <v>253</v>
      </c>
      <c r="C255" s="412" t="s">
        <v>3635</v>
      </c>
      <c r="D255" s="408">
        <f>IFERROR(MIN('LP Elementos'!F255,'LP Elementos'!I255,'LP Elementos'!N255,'LP Elementos'!S255,'LP Elementos'!X255,'LP Elementos'!AC255,'LP Elementos'!AH255,'LP Elementos'!AM255,'LP Elementos'!AR255,'LP Elementos'!AW255,'LP Elementos'!BB255,'LP Elementos'!BG255,'LP Elementos'!BL255,'LP Elementos'!BQ255,'LP Elementos'!BV255,'LP Elementos'!CA255,'LP Elementos'!CF255,'LP Elementos'!CK255,'LP Elementos'!CP255,'LP Elementos'!CU255,'LP Elementos'!CZ255)," ")</f>
        <v>359875.85740000004</v>
      </c>
      <c r="E255" s="341">
        <f>IFERROR(AVERAGE('LP Elementos'!F255,'LP Elementos'!I255,'LP Elementos'!N255,'LP Elementos'!S255,'LP Elementos'!X255,'LP Elementos'!AC255,'LP Elementos'!AH255,'LP Elementos'!AM255,'LP Elementos'!AR255,'LP Elementos'!AW255,'LP Elementos'!BB255,'LP Elementos'!BG255,'LP Elementos'!BL255,'LP Elementos'!BQ255,'LP Elementos'!BV255,'LP Elementos'!CA255,'LP Elementos'!CF255,'LP Elementos'!CK255,'LP Elementos'!CP255,'LP Elementos'!CU255,'LP Elementos'!CZ255)," ")</f>
        <v>359875.85740000004</v>
      </c>
      <c r="F255" s="341">
        <f>IFERROR(MEDIAN('LP Elementos'!F255,'LP Elementos'!I255,'LP Elementos'!N255,'LP Elementos'!S255,'LP Elementos'!X255,'LP Elementos'!AC255,'LP Elementos'!AH255,'LP Elementos'!AM255,'LP Elementos'!AR255,'LP Elementos'!AW255,'LP Elementos'!BB255,'LP Elementos'!BG255,'LP Elementos'!BL255,'LP Elementos'!BQ255,'LP Elementos'!BV255,'LP Elementos'!CA255,'LP Elementos'!CF255,'LP Elementos'!CK255,'LP Elementos'!CP255,'LP Elementos'!CU255,'LP Elementos'!CZ255)," ")</f>
        <v>359875.85740000004</v>
      </c>
      <c r="G255" s="341">
        <f>IFERROR(GEOMEAN('LP Elementos'!F255,'LP Elementos'!I255,'LP Elementos'!N255,'LP Elementos'!S255,'LP Elementos'!X255,'LP Elementos'!AC255,'LP Elementos'!AH255,'LP Elementos'!AM255,'LP Elementos'!AR255,'LP Elementos'!AW255,'LP Elementos'!BB255,'LP Elementos'!BG255,'LP Elementos'!BL255,'LP Elementos'!BQ255,'LP Elementos'!BV255,'LP Elementos'!CA255,'LP Elementos'!CF255,'LP Elementos'!CK255,'LP Elementos'!CP255,'LP Elementos'!CU255,'LP Elementos'!CZ255)," ")</f>
        <v>359875.85740000004</v>
      </c>
      <c r="H255" s="341">
        <f t="shared" si="16"/>
        <v>0</v>
      </c>
      <c r="I255" s="342">
        <f t="shared" si="17"/>
        <v>0</v>
      </c>
      <c r="J255" s="341">
        <f t="shared" si="19"/>
        <v>359875.85740000004</v>
      </c>
      <c r="K255" s="326" t="str">
        <f t="shared" si="18"/>
        <v>Menor Valor</v>
      </c>
      <c r="L255" s="326">
        <f>IFERROR(COUNTA('LP Elementos'!F255,'LP Elementos'!I255,'LP Elementos'!N255,'LP Elementos'!S255,'LP Elementos'!X255,'LP Elementos'!AC255,'LP Elementos'!AH255,'LP Elementos'!AM255,'LP Elementos'!AR255,'LP Elementos'!AX255,'LP Elementos'!BB255,'LP Elementos'!BG255,'LP Elementos'!BL255,'LP Elementos'!BQ255,'LP Elementos'!BV255,'LP Elementos'!CA255,'LP Elementos'!CF255,'LP Elementos'!CK255,'LP Elementos'!CP255,'LP Elementos'!CU255,'LP Elementos'!CZ255)," ")</f>
        <v>1</v>
      </c>
    </row>
    <row r="256" spans="2:12" ht="27" x14ac:dyDescent="0.25">
      <c r="B256" s="411">
        <v>254</v>
      </c>
      <c r="C256" s="412" t="s">
        <v>3638</v>
      </c>
      <c r="D256" s="408">
        <f>IFERROR(MIN('LP Elementos'!F256,'LP Elementos'!I256,'LP Elementos'!N256,'LP Elementos'!S256,'LP Elementos'!X256,'LP Elementos'!AC256,'LP Elementos'!AH256,'LP Elementos'!AM256,'LP Elementos'!AR256,'LP Elementos'!AW256,'LP Elementos'!BB256,'LP Elementos'!BG256,'LP Elementos'!BL256,'LP Elementos'!BQ256,'LP Elementos'!BV256,'LP Elementos'!CA256,'LP Elementos'!CF256,'LP Elementos'!CK256,'LP Elementos'!CP256,'LP Elementos'!CU256,'LP Elementos'!CZ256)," ")</f>
        <v>1666000</v>
      </c>
      <c r="E256" s="341">
        <f>IFERROR(AVERAGE('LP Elementos'!F256,'LP Elementos'!I256,'LP Elementos'!N256,'LP Elementos'!S256,'LP Elementos'!X256,'LP Elementos'!AC256,'LP Elementos'!AH256,'LP Elementos'!AM256,'LP Elementos'!AR256,'LP Elementos'!AW256,'LP Elementos'!BB256,'LP Elementos'!BG256,'LP Elementos'!BL256,'LP Elementos'!BQ256,'LP Elementos'!BV256,'LP Elementos'!CA256,'LP Elementos'!CF256,'LP Elementos'!CK256,'LP Elementos'!CP256,'LP Elementos'!CU256,'LP Elementos'!CZ256)," ")</f>
        <v>1666000</v>
      </c>
      <c r="F256" s="341">
        <f>IFERROR(MEDIAN('LP Elementos'!F256,'LP Elementos'!I256,'LP Elementos'!N256,'LP Elementos'!S256,'LP Elementos'!X256,'LP Elementos'!AC256,'LP Elementos'!AH256,'LP Elementos'!AM256,'LP Elementos'!AR256,'LP Elementos'!AW256,'LP Elementos'!BB256,'LP Elementos'!BG256,'LP Elementos'!BL256,'LP Elementos'!BQ256,'LP Elementos'!BV256,'LP Elementos'!CA256,'LP Elementos'!CF256,'LP Elementos'!CK256,'LP Elementos'!CP256,'LP Elementos'!CU256,'LP Elementos'!CZ256)," ")</f>
        <v>1666000</v>
      </c>
      <c r="G256" s="341">
        <f>IFERROR(GEOMEAN('LP Elementos'!F256,'LP Elementos'!I256,'LP Elementos'!N256,'LP Elementos'!S256,'LP Elementos'!X256,'LP Elementos'!AC256,'LP Elementos'!AH256,'LP Elementos'!AM256,'LP Elementos'!AR256,'LP Elementos'!AW256,'LP Elementos'!BB256,'LP Elementos'!BG256,'LP Elementos'!BL256,'LP Elementos'!BQ256,'LP Elementos'!BV256,'LP Elementos'!CA256,'LP Elementos'!CF256,'LP Elementos'!CK256,'LP Elementos'!CP256,'LP Elementos'!CU256,'LP Elementos'!CZ256)," ")</f>
        <v>1666000</v>
      </c>
      <c r="H256" s="341">
        <f t="shared" si="16"/>
        <v>0</v>
      </c>
      <c r="I256" s="342">
        <f t="shared" si="17"/>
        <v>0</v>
      </c>
      <c r="J256" s="341">
        <f t="shared" si="19"/>
        <v>1666000</v>
      </c>
      <c r="K256" s="326" t="str">
        <f t="shared" si="18"/>
        <v>Menor Valor</v>
      </c>
      <c r="L256" s="326">
        <f>IFERROR(COUNTA('LP Elementos'!F256,'LP Elementos'!I256,'LP Elementos'!N256,'LP Elementos'!S256,'LP Elementos'!X256,'LP Elementos'!AC256,'LP Elementos'!AH256,'LP Elementos'!AM256,'LP Elementos'!AR256,'LP Elementos'!AX256,'LP Elementos'!BB256,'LP Elementos'!BG256,'LP Elementos'!BL256,'LP Elementos'!BQ256,'LP Elementos'!BV256,'LP Elementos'!CA256,'LP Elementos'!CF256,'LP Elementos'!CK256,'LP Elementos'!CP256,'LP Elementos'!CU256,'LP Elementos'!CZ256)," ")</f>
        <v>1</v>
      </c>
    </row>
    <row r="257" spans="2:12" ht="27" x14ac:dyDescent="0.25">
      <c r="B257" s="411">
        <v>255</v>
      </c>
      <c r="C257" s="412" t="s">
        <v>3639</v>
      </c>
      <c r="D257" s="408">
        <f>IFERROR(MIN('LP Elementos'!F257,'LP Elementos'!I257,'LP Elementos'!N257,'LP Elementos'!S257,'LP Elementos'!X257,'LP Elementos'!AC257,'LP Elementos'!AH257,'LP Elementos'!AM257,'LP Elementos'!AR257,'LP Elementos'!AW257,'LP Elementos'!BB257,'LP Elementos'!BG257,'LP Elementos'!BL257,'LP Elementos'!BQ257,'LP Elementos'!BV257,'LP Elementos'!CA257,'LP Elementos'!CF257,'LP Elementos'!CK257,'LP Elementos'!CP257,'LP Elementos'!CU257,'LP Elementos'!CZ257)," ")</f>
        <v>242760</v>
      </c>
      <c r="E257" s="341">
        <f>IFERROR(AVERAGE('LP Elementos'!F257,'LP Elementos'!I257,'LP Elementos'!N257,'LP Elementos'!S257,'LP Elementos'!X257,'LP Elementos'!AC257,'LP Elementos'!AH257,'LP Elementos'!AM257,'LP Elementos'!AR257,'LP Elementos'!AW257,'LP Elementos'!BB257,'LP Elementos'!BG257,'LP Elementos'!BL257,'LP Elementos'!BQ257,'LP Elementos'!BV257,'LP Elementos'!CA257,'LP Elementos'!CF257,'LP Elementos'!CK257,'LP Elementos'!CP257,'LP Elementos'!CU257,'LP Elementos'!CZ257)," ")</f>
        <v>242760</v>
      </c>
      <c r="F257" s="341">
        <f>IFERROR(MEDIAN('LP Elementos'!F257,'LP Elementos'!I257,'LP Elementos'!N257,'LP Elementos'!S257,'LP Elementos'!X257,'LP Elementos'!AC257,'LP Elementos'!AH257,'LP Elementos'!AM257,'LP Elementos'!AR257,'LP Elementos'!AW257,'LP Elementos'!BB257,'LP Elementos'!BG257,'LP Elementos'!BL257,'LP Elementos'!BQ257,'LP Elementos'!BV257,'LP Elementos'!CA257,'LP Elementos'!CF257,'LP Elementos'!CK257,'LP Elementos'!CP257,'LP Elementos'!CU257,'LP Elementos'!CZ257)," ")</f>
        <v>242760</v>
      </c>
      <c r="G257" s="341">
        <f>IFERROR(GEOMEAN('LP Elementos'!F257,'LP Elementos'!I257,'LP Elementos'!N257,'LP Elementos'!S257,'LP Elementos'!X257,'LP Elementos'!AC257,'LP Elementos'!AH257,'LP Elementos'!AM257,'LP Elementos'!AR257,'LP Elementos'!AW257,'LP Elementos'!BB257,'LP Elementos'!BG257,'LP Elementos'!BL257,'LP Elementos'!BQ257,'LP Elementos'!BV257,'LP Elementos'!CA257,'LP Elementos'!CF257,'LP Elementos'!CK257,'LP Elementos'!CP257,'LP Elementos'!CU257,'LP Elementos'!CZ257)," ")</f>
        <v>242760</v>
      </c>
      <c r="H257" s="341">
        <f t="shared" ref="H257:H300" si="20">STDEVA(D257,E257,F257,G257)</f>
        <v>0</v>
      </c>
      <c r="I257" s="342">
        <f t="shared" ref="I257:I300" si="21">IFERROR(H257/E257," ")</f>
        <v>0</v>
      </c>
      <c r="J257" s="341">
        <f t="shared" ref="J257:J300" si="22">IF(I257&lt;=10%,F257,IF(AND(I257&gt;10%,I257&lt;=20%),E257,IF(AND(I257&gt;20%,I257&lt;=30%),G257,IF(I257&gt;30%,D257))))</f>
        <v>242760</v>
      </c>
      <c r="K257" s="326" t="str">
        <f t="shared" ref="K257:K300" si="23">IF(J257=D257,"Menor Valor",IF(J257=E257,"Promedio",IF(J257=F257,"Mediana",IF(J257=G257,"Media Geometrica"," "))))</f>
        <v>Menor Valor</v>
      </c>
      <c r="L257" s="326">
        <f>IFERROR(COUNTA('LP Elementos'!F257,'LP Elementos'!I257,'LP Elementos'!N257,'LP Elementos'!S257,'LP Elementos'!X257,'LP Elementos'!AC257,'LP Elementos'!AH257,'LP Elementos'!AM257,'LP Elementos'!AR257,'LP Elementos'!AX257,'LP Elementos'!BB257,'LP Elementos'!BG257,'LP Elementos'!BL257,'LP Elementos'!BQ257,'LP Elementos'!BV257,'LP Elementos'!CA257,'LP Elementos'!CF257,'LP Elementos'!CK257,'LP Elementos'!CP257,'LP Elementos'!CU257,'LP Elementos'!CZ257)," ")</f>
        <v>1</v>
      </c>
    </row>
    <row r="258" spans="2:12" ht="27" x14ac:dyDescent="0.25">
      <c r="B258" s="411">
        <v>256</v>
      </c>
      <c r="C258" s="412" t="s">
        <v>3641</v>
      </c>
      <c r="D258" s="408">
        <f>IFERROR(MIN('LP Elementos'!F258,'LP Elementos'!I258,'LP Elementos'!N258,'LP Elementos'!S258,'LP Elementos'!X258,'LP Elementos'!AC258,'LP Elementos'!AH258,'LP Elementos'!AM258,'LP Elementos'!AR258,'LP Elementos'!AW258,'LP Elementos'!BB258,'LP Elementos'!BG258,'LP Elementos'!BL258,'LP Elementos'!BQ258,'LP Elementos'!BV258,'LP Elementos'!CA258,'LP Elementos'!CF258,'LP Elementos'!CK258,'LP Elementos'!CP258,'LP Elementos'!CU258,'LP Elementos'!CZ258)," ")</f>
        <v>113119.02</v>
      </c>
      <c r="E258" s="341">
        <f>IFERROR(AVERAGE('LP Elementos'!F258,'LP Elementos'!I258,'LP Elementos'!N258,'LP Elementos'!S258,'LP Elementos'!X258,'LP Elementos'!AC258,'LP Elementos'!AH258,'LP Elementos'!AM258,'LP Elementos'!AR258,'LP Elementos'!AW258,'LP Elementos'!BB258,'LP Elementos'!BG258,'LP Elementos'!BL258,'LP Elementos'!BQ258,'LP Elementos'!BV258,'LP Elementos'!CA258,'LP Elementos'!CF258,'LP Elementos'!CK258,'LP Elementos'!CP258,'LP Elementos'!CU258,'LP Elementos'!CZ258)," ")</f>
        <v>889559.51</v>
      </c>
      <c r="F258" s="341">
        <f>IFERROR(MEDIAN('LP Elementos'!F258,'LP Elementos'!I258,'LP Elementos'!N258,'LP Elementos'!S258,'LP Elementos'!X258,'LP Elementos'!AC258,'LP Elementos'!AH258,'LP Elementos'!AM258,'LP Elementos'!AR258,'LP Elementos'!AW258,'LP Elementos'!BB258,'LP Elementos'!BG258,'LP Elementos'!BL258,'LP Elementos'!BQ258,'LP Elementos'!BV258,'LP Elementos'!CA258,'LP Elementos'!CF258,'LP Elementos'!CK258,'LP Elementos'!CP258,'LP Elementos'!CU258,'LP Elementos'!CZ258)," ")</f>
        <v>889559.51</v>
      </c>
      <c r="G258" s="341">
        <f>IFERROR(GEOMEAN('LP Elementos'!F258,'LP Elementos'!I258,'LP Elementos'!N258,'LP Elementos'!S258,'LP Elementos'!X258,'LP Elementos'!AC258,'LP Elementos'!AH258,'LP Elementos'!AM258,'LP Elementos'!AR258,'LP Elementos'!AW258,'LP Elementos'!BB258,'LP Elementos'!BG258,'LP Elementos'!BL258,'LP Elementos'!BQ258,'LP Elementos'!BV258,'LP Elementos'!CA258,'LP Elementos'!CF258,'LP Elementos'!CK258,'LP Elementos'!CP258,'LP Elementos'!CU258,'LP Elementos'!CZ258)," ")</f>
        <v>434115.52301202039</v>
      </c>
      <c r="H258" s="341">
        <f t="shared" si="20"/>
        <v>378991.74073408672</v>
      </c>
      <c r="I258" s="342">
        <f t="shared" si="21"/>
        <v>0.42604427975154435</v>
      </c>
      <c r="J258" s="341">
        <f>IF(I258&lt;=10%,F258,IF(AND(I258&gt;10%,I258&lt;=20%),E258,IF(AND(I258&gt;20%,I258&lt;=44%),G258,IF(I258&gt;44%,D258))))</f>
        <v>434115.52301202039</v>
      </c>
      <c r="K258" s="326" t="str">
        <f t="shared" si="23"/>
        <v>Media Geometrica</v>
      </c>
      <c r="L258" s="326">
        <f>IFERROR(COUNTA('LP Elementos'!F258,'LP Elementos'!I258,'LP Elementos'!N258,'LP Elementos'!S258,'LP Elementos'!X258,'LP Elementos'!AC258,'LP Elementos'!AH258,'LP Elementos'!AM258,'LP Elementos'!AR258,'LP Elementos'!AX258,'LP Elementos'!BB258,'LP Elementos'!BG258,'LP Elementos'!BL258,'LP Elementos'!BQ258,'LP Elementos'!BV258,'LP Elementos'!CA258,'LP Elementos'!CF258,'LP Elementos'!CK258,'LP Elementos'!CP258,'LP Elementos'!CU258,'LP Elementos'!CZ258)," ")</f>
        <v>2</v>
      </c>
    </row>
    <row r="259" spans="2:12" x14ac:dyDescent="0.25">
      <c r="B259" s="411">
        <v>257</v>
      </c>
      <c r="C259" s="412" t="s">
        <v>3643</v>
      </c>
      <c r="D259" s="408">
        <f>IFERROR(MIN('LP Elementos'!F259,'LP Elementos'!I259,'LP Elementos'!N259,'LP Elementos'!S259,'LP Elementos'!X259,'LP Elementos'!AC259,'LP Elementos'!AH259,'LP Elementos'!AM259,'LP Elementos'!AR259,'LP Elementos'!AW259,'LP Elementos'!BB259,'LP Elementos'!BG259,'LP Elementos'!BL259,'LP Elementos'!BQ259,'LP Elementos'!BV259,'LP Elementos'!CA259,'LP Elementos'!CF259,'LP Elementos'!CK259,'LP Elementos'!CP259,'LP Elementos'!CU259,'LP Elementos'!CZ259)," ")</f>
        <v>1190</v>
      </c>
      <c r="E259" s="341">
        <f>IFERROR(AVERAGE('LP Elementos'!F259,'LP Elementos'!I259,'LP Elementos'!N259,'LP Elementos'!S259,'LP Elementos'!X259,'LP Elementos'!AC259,'LP Elementos'!AH259,'LP Elementos'!AM259,'LP Elementos'!AR259,'LP Elementos'!AW259,'LP Elementos'!BB259,'LP Elementos'!BG259,'LP Elementos'!BL259,'LP Elementos'!BQ259,'LP Elementos'!BV259,'LP Elementos'!CA259,'LP Elementos'!CF259,'LP Elementos'!CK259,'LP Elementos'!CP259,'LP Elementos'!CU259,'LP Elementos'!CZ259)," ")</f>
        <v>21333.487000000001</v>
      </c>
      <c r="F259" s="341">
        <f>IFERROR(MEDIAN('LP Elementos'!F259,'LP Elementos'!I259,'LP Elementos'!N259,'LP Elementos'!S259,'LP Elementos'!X259,'LP Elementos'!AC259,'LP Elementos'!AH259,'LP Elementos'!AM259,'LP Elementos'!AR259,'LP Elementos'!AW259,'LP Elementos'!BB259,'LP Elementos'!BG259,'LP Elementos'!BL259,'LP Elementos'!BQ259,'LP Elementos'!BV259,'LP Elementos'!CA259,'LP Elementos'!CF259,'LP Elementos'!CK259,'LP Elementos'!CP259,'LP Elementos'!CU259,'LP Elementos'!CZ259)," ")</f>
        <v>21333.487000000001</v>
      </c>
      <c r="G259" s="341">
        <f>IFERROR(GEOMEAN('LP Elementos'!F259,'LP Elementos'!I259,'LP Elementos'!N259,'LP Elementos'!S259,'LP Elementos'!X259,'LP Elementos'!AC259,'LP Elementos'!AH259,'LP Elementos'!AM259,'LP Elementos'!AR259,'LP Elementos'!AW259,'LP Elementos'!BB259,'LP Elementos'!BG259,'LP Elementos'!BL259,'LP Elementos'!BQ259,'LP Elementos'!BV259,'LP Elementos'!CA259,'LP Elementos'!CF259,'LP Elementos'!CK259,'LP Elementos'!CP259,'LP Elementos'!CU259,'LP Elementos'!CZ259)," ")</f>
        <v>7025.4963568419844</v>
      </c>
      <c r="H259" s="341">
        <f t="shared" si="20"/>
        <v>10226.641462614729</v>
      </c>
      <c r="I259" s="342">
        <f t="shared" si="21"/>
        <v>0.47937036559540069</v>
      </c>
      <c r="J259" s="341">
        <f>IF(I259&lt;=10%,F259,IF(AND(I259&gt;10%,I259&lt;=20%),E259,IF(AND(I259&gt;20%,I259&lt;=49%),G259,IF(I259&gt;49%,D259))))</f>
        <v>7025.4963568419844</v>
      </c>
      <c r="K259" s="326" t="str">
        <f t="shared" si="23"/>
        <v>Media Geometrica</v>
      </c>
      <c r="L259" s="326">
        <f>IFERROR(COUNTA('LP Elementos'!F259,'LP Elementos'!I259,'LP Elementos'!N259,'LP Elementos'!S259,'LP Elementos'!X259,'LP Elementos'!AC259,'LP Elementos'!AH259,'LP Elementos'!AM259,'LP Elementos'!AR259,'LP Elementos'!AX259,'LP Elementos'!BB259,'LP Elementos'!BG259,'LP Elementos'!BL259,'LP Elementos'!BQ259,'LP Elementos'!BV259,'LP Elementos'!CA259,'LP Elementos'!CF259,'LP Elementos'!CK259,'LP Elementos'!CP259,'LP Elementos'!CU259,'LP Elementos'!CZ259)," ")</f>
        <v>2</v>
      </c>
    </row>
    <row r="260" spans="2:12" ht="27" x14ac:dyDescent="0.25">
      <c r="B260" s="411">
        <v>258</v>
      </c>
      <c r="C260" s="412" t="s">
        <v>3646</v>
      </c>
      <c r="D260" s="408">
        <f>IFERROR(MIN('LP Elementos'!F260,'LP Elementos'!I260,'LP Elementos'!N260,'LP Elementos'!S260,'LP Elementos'!X260,'LP Elementos'!AC260,'LP Elementos'!AH260,'LP Elementos'!AM260,'LP Elementos'!AR260,'LP Elementos'!AW260,'LP Elementos'!BB260,'LP Elementos'!BG260,'LP Elementos'!BL260,'LP Elementos'!BQ260,'LP Elementos'!BV260,'LP Elementos'!CA260,'LP Elementos'!CF260,'LP Elementos'!CK260,'LP Elementos'!CP260,'LP Elementos'!CU260,'LP Elementos'!CZ260)," ")</f>
        <v>36449.462</v>
      </c>
      <c r="E260" s="341">
        <f>IFERROR(AVERAGE('LP Elementos'!F260,'LP Elementos'!I260,'LP Elementos'!N260,'LP Elementos'!S260,'LP Elementos'!X260,'LP Elementos'!AC260,'LP Elementos'!AH260,'LP Elementos'!AM260,'LP Elementos'!AR260,'LP Elementos'!AW260,'LP Elementos'!BB260,'LP Elementos'!BG260,'LP Elementos'!BL260,'LP Elementos'!BQ260,'LP Elementos'!BV260,'LP Elementos'!CA260,'LP Elementos'!CF260,'LP Elementos'!CK260,'LP Elementos'!CP260,'LP Elementos'!CU260,'LP Elementos'!CZ260)," ")</f>
        <v>42024.731</v>
      </c>
      <c r="F260" s="341">
        <f>IFERROR(MEDIAN('LP Elementos'!F260,'LP Elementos'!I260,'LP Elementos'!N260,'LP Elementos'!S260,'LP Elementos'!X260,'LP Elementos'!AC260,'LP Elementos'!AH260,'LP Elementos'!AM260,'LP Elementos'!AR260,'LP Elementos'!AW260,'LP Elementos'!BB260,'LP Elementos'!BG260,'LP Elementos'!BL260,'LP Elementos'!BQ260,'LP Elementos'!BV260,'LP Elementos'!CA260,'LP Elementos'!CF260,'LP Elementos'!CK260,'LP Elementos'!CP260,'LP Elementos'!CU260,'LP Elementos'!CZ260)," ")</f>
        <v>42024.731</v>
      </c>
      <c r="G260" s="341">
        <f>IFERROR(GEOMEAN('LP Elementos'!F260,'LP Elementos'!I260,'LP Elementos'!N260,'LP Elementos'!S260,'LP Elementos'!X260,'LP Elementos'!AC260,'LP Elementos'!AH260,'LP Elementos'!AM260,'LP Elementos'!AR260,'LP Elementos'!AW260,'LP Elementos'!BB260,'LP Elementos'!BG260,'LP Elementos'!BL260,'LP Elementos'!BQ260,'LP Elementos'!BV260,'LP Elementos'!CA260,'LP Elementos'!CF260,'LP Elementos'!CK260,'LP Elementos'!CP260,'LP Elementos'!CU260,'LP Elementos'!CZ260)," ")</f>
        <v>41653.263872114512</v>
      </c>
      <c r="H260" s="341">
        <f t="shared" si="20"/>
        <v>2731.34244196182</v>
      </c>
      <c r="I260" s="342">
        <f t="shared" si="21"/>
        <v>6.4993692451281129E-2</v>
      </c>
      <c r="J260" s="341">
        <f t="shared" si="22"/>
        <v>42024.731</v>
      </c>
      <c r="K260" s="326" t="str">
        <f t="shared" si="23"/>
        <v>Promedio</v>
      </c>
      <c r="L260" s="326">
        <f>IFERROR(COUNTA('LP Elementos'!F260,'LP Elementos'!I260,'LP Elementos'!N260,'LP Elementos'!S260,'LP Elementos'!X260,'LP Elementos'!AC260,'LP Elementos'!AH260,'LP Elementos'!AM260,'LP Elementos'!AR260,'LP Elementos'!AX260,'LP Elementos'!BB260,'LP Elementos'!BG260,'LP Elementos'!BL260,'LP Elementos'!BQ260,'LP Elementos'!BV260,'LP Elementos'!CA260,'LP Elementos'!CF260,'LP Elementos'!CK260,'LP Elementos'!CP260,'LP Elementos'!CU260,'LP Elementos'!CZ260)," ")</f>
        <v>2</v>
      </c>
    </row>
    <row r="261" spans="2:12" ht="121.5" x14ac:dyDescent="0.25">
      <c r="B261" s="411">
        <v>259</v>
      </c>
      <c r="C261" s="412" t="s">
        <v>3650</v>
      </c>
      <c r="D261" s="408">
        <f>IFERROR(MIN('LP Elementos'!F261,'LP Elementos'!I261,'LP Elementos'!N261,'LP Elementos'!S261,'LP Elementos'!X261,'LP Elementos'!AC261,'LP Elementos'!AH261,'LP Elementos'!AM261,'LP Elementos'!AR261,'LP Elementos'!AW261,'LP Elementos'!BB261,'LP Elementos'!BG261,'LP Elementos'!BL261,'LP Elementos'!BQ261,'LP Elementos'!BV261,'LP Elementos'!CA261,'LP Elementos'!CF261,'LP Elementos'!CK261,'LP Elementos'!CP261,'LP Elementos'!CU261,'LP Elementos'!CZ261)," ")</f>
        <v>101807.118</v>
      </c>
      <c r="E261" s="341">
        <f>IFERROR(AVERAGE('LP Elementos'!F261,'LP Elementos'!I261,'LP Elementos'!N261,'LP Elementos'!S261,'LP Elementos'!X261,'LP Elementos'!AC261,'LP Elementos'!AH261,'LP Elementos'!AM261,'LP Elementos'!AR261,'LP Elementos'!AW261,'LP Elementos'!BB261,'LP Elementos'!BG261,'LP Elementos'!BL261,'LP Elementos'!BQ261,'LP Elementos'!BV261,'LP Elementos'!CA261,'LP Elementos'!CF261,'LP Elementos'!CK261,'LP Elementos'!CP261,'LP Elementos'!CU261,'LP Elementos'!CZ261)," ")</f>
        <v>121708.55900000001</v>
      </c>
      <c r="F261" s="341">
        <f>IFERROR(MEDIAN('LP Elementos'!F261,'LP Elementos'!I261,'LP Elementos'!N261,'LP Elementos'!S261,'LP Elementos'!X261,'LP Elementos'!AC261,'LP Elementos'!AH261,'LP Elementos'!AM261,'LP Elementos'!AR261,'LP Elementos'!AW261,'LP Elementos'!BB261,'LP Elementos'!BG261,'LP Elementos'!BL261,'LP Elementos'!BQ261,'LP Elementos'!BV261,'LP Elementos'!CA261,'LP Elementos'!CF261,'LP Elementos'!CK261,'LP Elementos'!CP261,'LP Elementos'!CU261,'LP Elementos'!CZ261)," ")</f>
        <v>121708.55900000001</v>
      </c>
      <c r="G261" s="341">
        <f>IFERROR(GEOMEAN('LP Elementos'!F261,'LP Elementos'!I261,'LP Elementos'!N261,'LP Elementos'!S261,'LP Elementos'!X261,'LP Elementos'!AC261,'LP Elementos'!AH261,'LP Elementos'!AM261,'LP Elementos'!AR261,'LP Elementos'!AW261,'LP Elementos'!BB261,'LP Elementos'!BG261,'LP Elementos'!BL261,'LP Elementos'!BQ261,'LP Elementos'!BV261,'LP Elementos'!CA261,'LP Elementos'!CF261,'LP Elementos'!CK261,'LP Elementos'!CP261,'LP Elementos'!CU261,'LP Elementos'!CZ261)," ")</f>
        <v>120070.42092030827</v>
      </c>
      <c r="H261" s="341">
        <f t="shared" si="20"/>
        <v>9708.458228301819</v>
      </c>
      <c r="I261" s="342">
        <f t="shared" si="21"/>
        <v>7.9768081292473592E-2</v>
      </c>
      <c r="J261" s="341">
        <f t="shared" si="22"/>
        <v>121708.55900000001</v>
      </c>
      <c r="K261" s="326" t="str">
        <f t="shared" si="23"/>
        <v>Promedio</v>
      </c>
      <c r="L261" s="326">
        <f>IFERROR(COUNTA('LP Elementos'!F261,'LP Elementos'!I261,'LP Elementos'!N261,'LP Elementos'!S261,'LP Elementos'!X261,'LP Elementos'!AC261,'LP Elementos'!AH261,'LP Elementos'!AM261,'LP Elementos'!AR261,'LP Elementos'!AX261,'LP Elementos'!BB261,'LP Elementos'!BG261,'LP Elementos'!BL261,'LP Elementos'!BQ261,'LP Elementos'!BV261,'LP Elementos'!CA261,'LP Elementos'!CF261,'LP Elementos'!CK261,'LP Elementos'!CP261,'LP Elementos'!CU261,'LP Elementos'!CZ261)," ")</f>
        <v>2</v>
      </c>
    </row>
    <row r="262" spans="2:12" ht="27" x14ac:dyDescent="0.25">
      <c r="B262" s="411">
        <v>260</v>
      </c>
      <c r="C262" s="412" t="s">
        <v>3653</v>
      </c>
      <c r="D262" s="408">
        <f>IFERROR(MIN('LP Elementos'!F262,'LP Elementos'!I262,'LP Elementos'!N262,'LP Elementos'!S262,'LP Elementos'!X262,'LP Elementos'!AC262,'LP Elementos'!AH262,'LP Elementos'!AM262,'LP Elementos'!AR262,'LP Elementos'!AW262,'LP Elementos'!BB262,'LP Elementos'!BG262,'LP Elementos'!BL262,'LP Elementos'!BQ262,'LP Elementos'!BV262,'LP Elementos'!CA262,'LP Elementos'!CF262,'LP Elementos'!CK262,'LP Elementos'!CP262,'LP Elementos'!CU262,'LP Elementos'!CZ262)," ")</f>
        <v>138256.58000000002</v>
      </c>
      <c r="E262" s="341">
        <f>IFERROR(AVERAGE('LP Elementos'!F262,'LP Elementos'!I262,'LP Elementos'!N262,'LP Elementos'!S262,'LP Elementos'!X262,'LP Elementos'!AC262,'LP Elementos'!AH262,'LP Elementos'!AM262,'LP Elementos'!AR262,'LP Elementos'!AW262,'LP Elementos'!BB262,'LP Elementos'!BG262,'LP Elementos'!BL262,'LP Elementos'!BQ262,'LP Elementos'!BV262,'LP Elementos'!CA262,'LP Elementos'!CF262,'LP Elementos'!CK262,'LP Elementos'!CP262,'LP Elementos'!CU262,'LP Elementos'!CZ262)," ")</f>
        <v>366628.29000000004</v>
      </c>
      <c r="F262" s="341">
        <f>IFERROR(MEDIAN('LP Elementos'!F262,'LP Elementos'!I262,'LP Elementos'!N262,'LP Elementos'!S262,'LP Elementos'!X262,'LP Elementos'!AC262,'LP Elementos'!AH262,'LP Elementos'!AM262,'LP Elementos'!AR262,'LP Elementos'!AW262,'LP Elementos'!BB262,'LP Elementos'!BG262,'LP Elementos'!BL262,'LP Elementos'!BQ262,'LP Elementos'!BV262,'LP Elementos'!CA262,'LP Elementos'!CF262,'LP Elementos'!CK262,'LP Elementos'!CP262,'LP Elementos'!CU262,'LP Elementos'!CZ262)," ")</f>
        <v>366628.29000000004</v>
      </c>
      <c r="G262" s="341">
        <f>IFERROR(GEOMEAN('LP Elementos'!F262,'LP Elementos'!I262,'LP Elementos'!N262,'LP Elementos'!S262,'LP Elementos'!X262,'LP Elementos'!AC262,'LP Elementos'!AH262,'LP Elementos'!AM262,'LP Elementos'!AR262,'LP Elementos'!AW262,'LP Elementos'!BB262,'LP Elementos'!BG262,'LP Elementos'!BL262,'LP Elementos'!BQ262,'LP Elementos'!BV262,'LP Elementos'!CA262,'LP Elementos'!CF262,'LP Elementos'!CK262,'LP Elementos'!CP262,'LP Elementos'!CU262,'LP Elementos'!CZ262)," ")</f>
        <v>286814.68773408385</v>
      </c>
      <c r="H262" s="341">
        <f t="shared" si="20"/>
        <v>107671.26258644243</v>
      </c>
      <c r="I262" s="342">
        <f t="shared" si="21"/>
        <v>0.29367963554160653</v>
      </c>
      <c r="J262" s="341">
        <f t="shared" si="22"/>
        <v>286814.68773408385</v>
      </c>
      <c r="K262" s="326" t="str">
        <f t="shared" si="23"/>
        <v>Media Geometrica</v>
      </c>
      <c r="L262" s="326">
        <f>IFERROR(COUNTA('LP Elementos'!F262,'LP Elementos'!I262,'LP Elementos'!N262,'LP Elementos'!S262,'LP Elementos'!X262,'LP Elementos'!AC262,'LP Elementos'!AH262,'LP Elementos'!AM262,'LP Elementos'!AR262,'LP Elementos'!AX262,'LP Elementos'!BB262,'LP Elementos'!BG262,'LP Elementos'!BL262,'LP Elementos'!BQ262,'LP Elementos'!BV262,'LP Elementos'!CA262,'LP Elementos'!CF262,'LP Elementos'!CK262,'LP Elementos'!CP262,'LP Elementos'!CU262,'LP Elementos'!CZ262)," ")</f>
        <v>2</v>
      </c>
    </row>
    <row r="263" spans="2:12" x14ac:dyDescent="0.25">
      <c r="B263" s="411">
        <v>261</v>
      </c>
      <c r="C263" s="412" t="s">
        <v>3654</v>
      </c>
      <c r="D263" s="408">
        <f>IFERROR(MIN('LP Elementos'!F263,'LP Elementos'!I263,'LP Elementos'!N263,'LP Elementos'!S263,'LP Elementos'!X263,'LP Elementos'!AC263,'LP Elementos'!AH263,'LP Elementos'!AM263,'LP Elementos'!AR263,'LP Elementos'!AW263,'LP Elementos'!BB263,'LP Elementos'!BG263,'LP Elementos'!BL263,'LP Elementos'!BQ263,'LP Elementos'!BV263,'LP Elementos'!CA263,'LP Elementos'!CF263,'LP Elementos'!CK263,'LP Elementos'!CP263,'LP Elementos'!CU263,'LP Elementos'!CZ263)," ")</f>
        <v>87981.46</v>
      </c>
      <c r="E263" s="341">
        <f>IFERROR(AVERAGE('LP Elementos'!F263,'LP Elementos'!I263,'LP Elementos'!N263,'LP Elementos'!S263,'LP Elementos'!X263,'LP Elementos'!AC263,'LP Elementos'!AH263,'LP Elementos'!AM263,'LP Elementos'!AR263,'LP Elementos'!AW263,'LP Elementos'!BB263,'LP Elementos'!BG263,'LP Elementos'!BL263,'LP Elementos'!BQ263,'LP Elementos'!BV263,'LP Elementos'!CA263,'LP Elementos'!CF263,'LP Elementos'!CK263,'LP Elementos'!CP263,'LP Elementos'!CU263,'LP Elementos'!CZ263)," ")</f>
        <v>109440.73000000001</v>
      </c>
      <c r="F263" s="341">
        <f>IFERROR(MEDIAN('LP Elementos'!F263,'LP Elementos'!I263,'LP Elementos'!N263,'LP Elementos'!S263,'LP Elementos'!X263,'LP Elementos'!AC263,'LP Elementos'!AH263,'LP Elementos'!AM263,'LP Elementos'!AR263,'LP Elementos'!AW263,'LP Elementos'!BB263,'LP Elementos'!BG263,'LP Elementos'!BL263,'LP Elementos'!BQ263,'LP Elementos'!BV263,'LP Elementos'!CA263,'LP Elementos'!CF263,'LP Elementos'!CK263,'LP Elementos'!CP263,'LP Elementos'!CU263,'LP Elementos'!CZ263)," ")</f>
        <v>109440.73000000001</v>
      </c>
      <c r="G263" s="341">
        <f>IFERROR(GEOMEAN('LP Elementos'!F263,'LP Elementos'!I263,'LP Elementos'!N263,'LP Elementos'!S263,'LP Elementos'!X263,'LP Elementos'!AC263,'LP Elementos'!AH263,'LP Elementos'!AM263,'LP Elementos'!AR263,'LP Elementos'!AW263,'LP Elementos'!BB263,'LP Elementos'!BG263,'LP Elementos'!BL263,'LP Elementos'!BQ263,'LP Elementos'!BV263,'LP Elementos'!CA263,'LP Elementos'!CF263,'LP Elementos'!CK263,'LP Elementos'!CP263,'LP Elementos'!CU263,'LP Elementos'!CZ263)," ")</f>
        <v>107316.2294995496</v>
      </c>
      <c r="H263" s="341">
        <f t="shared" si="20"/>
        <v>10423.774325307753</v>
      </c>
      <c r="I263" s="342">
        <f t="shared" si="21"/>
        <v>9.5245840605300711E-2</v>
      </c>
      <c r="J263" s="341">
        <f t="shared" si="22"/>
        <v>109440.73000000001</v>
      </c>
      <c r="K263" s="326" t="str">
        <f t="shared" si="23"/>
        <v>Promedio</v>
      </c>
      <c r="L263" s="326">
        <f>IFERROR(COUNTA('LP Elementos'!F263,'LP Elementos'!I263,'LP Elementos'!N263,'LP Elementos'!S263,'LP Elementos'!X263,'LP Elementos'!AC263,'LP Elementos'!AH263,'LP Elementos'!AM263,'LP Elementos'!AR263,'LP Elementos'!AX263,'LP Elementos'!BB263,'LP Elementos'!BG263,'LP Elementos'!BL263,'LP Elementos'!BQ263,'LP Elementos'!BV263,'LP Elementos'!CA263,'LP Elementos'!CF263,'LP Elementos'!CK263,'LP Elementos'!CP263,'LP Elementos'!CU263,'LP Elementos'!CZ263)," ")</f>
        <v>2</v>
      </c>
    </row>
    <row r="264" spans="2:12" ht="40.5" x14ac:dyDescent="0.25">
      <c r="B264" s="411">
        <v>262</v>
      </c>
      <c r="C264" s="412" t="s">
        <v>3658</v>
      </c>
      <c r="D264" s="408">
        <f>IFERROR(MIN('LP Elementos'!F264,'LP Elementos'!I264,'LP Elementos'!N264,'LP Elementos'!S264,'LP Elementos'!X264,'LP Elementos'!AC264,'LP Elementos'!AH264,'LP Elementos'!AM264,'LP Elementos'!AR264,'LP Elementos'!AW264,'LP Elementos'!BB264,'LP Elementos'!BG264,'LP Elementos'!BL264,'LP Elementos'!BQ264,'LP Elementos'!BV264,'LP Elementos'!CA264,'LP Elementos'!CF264,'LP Elementos'!CK264,'LP Elementos'!CP264,'LP Elementos'!CU264,'LP Elementos'!CZ264)," ")</f>
        <v>199450.69560000001</v>
      </c>
      <c r="E264" s="341">
        <f>IFERROR(AVERAGE('LP Elementos'!F264,'LP Elementos'!I264,'LP Elementos'!N264,'LP Elementos'!S264,'LP Elementos'!X264,'LP Elementos'!AC264,'LP Elementos'!AH264,'LP Elementos'!AM264,'LP Elementos'!AR264,'LP Elementos'!AW264,'LP Elementos'!BB264,'LP Elementos'!BG264,'LP Elementos'!BL264,'LP Elementos'!BQ264,'LP Elementos'!BV264,'LP Elementos'!CA264,'LP Elementos'!CF264,'LP Elementos'!CK264,'LP Elementos'!CP264,'LP Elementos'!CU264,'LP Elementos'!CZ264)," ")</f>
        <v>288935.34779999999</v>
      </c>
      <c r="F264" s="341">
        <f>IFERROR(MEDIAN('LP Elementos'!F264,'LP Elementos'!I264,'LP Elementos'!N264,'LP Elementos'!S264,'LP Elementos'!X264,'LP Elementos'!AC264,'LP Elementos'!AH264,'LP Elementos'!AM264,'LP Elementos'!AR264,'LP Elementos'!AW264,'LP Elementos'!BB264,'LP Elementos'!BG264,'LP Elementos'!BL264,'LP Elementos'!BQ264,'LP Elementos'!BV264,'LP Elementos'!CA264,'LP Elementos'!CF264,'LP Elementos'!CK264,'LP Elementos'!CP264,'LP Elementos'!CU264,'LP Elementos'!CZ264)," ")</f>
        <v>288935.34779999999</v>
      </c>
      <c r="G264" s="341">
        <f>IFERROR(GEOMEAN('LP Elementos'!F264,'LP Elementos'!I264,'LP Elementos'!N264,'LP Elementos'!S264,'LP Elementos'!X264,'LP Elementos'!AC264,'LP Elementos'!AH264,'LP Elementos'!AM264,'LP Elementos'!AR264,'LP Elementos'!AW264,'LP Elementos'!BB264,'LP Elementos'!BG264,'LP Elementos'!BL264,'LP Elementos'!BQ264,'LP Elementos'!BV264,'LP Elementos'!CA264,'LP Elementos'!CF264,'LP Elementos'!CK264,'LP Elementos'!CP264,'LP Elementos'!CU264,'LP Elementos'!CZ264)," ")</f>
        <v>274729.1979913165</v>
      </c>
      <c r="H264" s="341">
        <f t="shared" si="20"/>
        <v>42900.551925124055</v>
      </c>
      <c r="I264" s="342">
        <f t="shared" si="21"/>
        <v>0.14847803237567064</v>
      </c>
      <c r="J264" s="341">
        <f t="shared" si="22"/>
        <v>288935.34779999999</v>
      </c>
      <c r="K264" s="326" t="str">
        <f t="shared" si="23"/>
        <v>Promedio</v>
      </c>
      <c r="L264" s="326">
        <f>IFERROR(COUNTA('LP Elementos'!F264,'LP Elementos'!I264,'LP Elementos'!N264,'LP Elementos'!S264,'LP Elementos'!X264,'LP Elementos'!AC264,'LP Elementos'!AH264,'LP Elementos'!AM264,'LP Elementos'!AR264,'LP Elementos'!AX264,'LP Elementos'!BB264,'LP Elementos'!BG264,'LP Elementos'!BL264,'LP Elementos'!BQ264,'LP Elementos'!BV264,'LP Elementos'!CA264,'LP Elementos'!CF264,'LP Elementos'!CK264,'LP Elementos'!CP264,'LP Elementos'!CU264,'LP Elementos'!CZ264)," ")</f>
        <v>2</v>
      </c>
    </row>
    <row r="265" spans="2:12" ht="27" x14ac:dyDescent="0.25">
      <c r="B265" s="411">
        <v>263</v>
      </c>
      <c r="C265" s="412" t="s">
        <v>3660</v>
      </c>
      <c r="D265" s="408">
        <f>IFERROR(MIN('LP Elementos'!F265,'LP Elementos'!I265,'LP Elementos'!N265,'LP Elementos'!S265,'LP Elementos'!X265,'LP Elementos'!AC265,'LP Elementos'!AH265,'LP Elementos'!AM265,'LP Elementos'!AR265,'LP Elementos'!AW265,'LP Elementos'!BB265,'LP Elementos'!BG265,'LP Elementos'!BL265,'LP Elementos'!BQ265,'LP Elementos'!BV265,'LP Elementos'!CA265,'LP Elementos'!CF265,'LP Elementos'!CK265,'LP Elementos'!CP265,'LP Elementos'!CU265,'LP Elementos'!CZ265)," ")</f>
        <v>199843.60200000001</v>
      </c>
      <c r="E265" s="341">
        <f>IFERROR(AVERAGE('LP Elementos'!F265,'LP Elementos'!I265,'LP Elementos'!N265,'LP Elementos'!S265,'LP Elementos'!X265,'LP Elementos'!AC265,'LP Elementos'!AH265,'LP Elementos'!AM265,'LP Elementos'!AR265,'LP Elementos'!AW265,'LP Elementos'!BB265,'LP Elementos'!BG265,'LP Elementos'!BL265,'LP Elementos'!BQ265,'LP Elementos'!BV265,'LP Elementos'!CA265,'LP Elementos'!CF265,'LP Elementos'!CK265,'LP Elementos'!CP265,'LP Elementos'!CU265,'LP Elementos'!CZ265)," ")</f>
        <v>694921.80099999998</v>
      </c>
      <c r="F265" s="341">
        <f>IFERROR(MEDIAN('LP Elementos'!F265,'LP Elementos'!I265,'LP Elementos'!N265,'LP Elementos'!S265,'LP Elementos'!X265,'LP Elementos'!AC265,'LP Elementos'!AH265,'LP Elementos'!AM265,'LP Elementos'!AR265,'LP Elementos'!AW265,'LP Elementos'!BB265,'LP Elementos'!BG265,'LP Elementos'!BL265,'LP Elementos'!BQ265,'LP Elementos'!BV265,'LP Elementos'!CA265,'LP Elementos'!CF265,'LP Elementos'!CK265,'LP Elementos'!CP265,'LP Elementos'!CU265,'LP Elementos'!CZ265)," ")</f>
        <v>694921.80099999998</v>
      </c>
      <c r="G265" s="341">
        <f>IFERROR(GEOMEAN('LP Elementos'!F265,'LP Elementos'!I265,'LP Elementos'!N265,'LP Elementos'!S265,'LP Elementos'!X265,'LP Elementos'!AC265,'LP Elementos'!AH265,'LP Elementos'!AM265,'LP Elementos'!AR265,'LP Elementos'!AW265,'LP Elementos'!BB265,'LP Elementos'!BG265,'LP Elementos'!BL265,'LP Elementos'!BQ265,'LP Elementos'!BV265,'LP Elementos'!CA265,'LP Elementos'!CF265,'LP Elementos'!CK265,'LP Elementos'!CP265,'LP Elementos'!CU265,'LP Elementos'!CZ265)," ")</f>
        <v>487661.65153721086</v>
      </c>
      <c r="H265" s="341">
        <f t="shared" si="20"/>
        <v>234335.51711883934</v>
      </c>
      <c r="I265" s="342">
        <f t="shared" si="21"/>
        <v>0.33721134778276923</v>
      </c>
      <c r="J265" s="341">
        <f>IF(I265&lt;=10%,F265,IF(AND(I265&gt;10%,I265&lt;=20%),E265,IF(AND(I265&gt;20%,I265&lt;=35%),G265,IF(I265&gt;35%,D265))))</f>
        <v>487661.65153721086</v>
      </c>
      <c r="K265" s="326" t="str">
        <f t="shared" si="23"/>
        <v>Media Geometrica</v>
      </c>
      <c r="L265" s="326">
        <f>IFERROR(COUNTA('LP Elementos'!F265,'LP Elementos'!I265,'LP Elementos'!N265,'LP Elementos'!S265,'LP Elementos'!X265,'LP Elementos'!AC265,'LP Elementos'!AH265,'LP Elementos'!AM265,'LP Elementos'!AR265,'LP Elementos'!AX265,'LP Elementos'!BB265,'LP Elementos'!BG265,'LP Elementos'!BL265,'LP Elementos'!BQ265,'LP Elementos'!BV265,'LP Elementos'!CA265,'LP Elementos'!CF265,'LP Elementos'!CK265,'LP Elementos'!CP265,'LP Elementos'!CU265,'LP Elementos'!CZ265)," ")</f>
        <v>2</v>
      </c>
    </row>
    <row r="266" spans="2:12" ht="27" x14ac:dyDescent="0.25">
      <c r="B266" s="411">
        <v>264</v>
      </c>
      <c r="C266" s="412" t="s">
        <v>3662</v>
      </c>
      <c r="D266" s="408">
        <f>IFERROR(MIN('LP Elementos'!F266,'LP Elementos'!I266,'LP Elementos'!N266,'LP Elementos'!S266,'LP Elementos'!X266,'LP Elementos'!AC266,'LP Elementos'!AH266,'LP Elementos'!AM266,'LP Elementos'!AR266,'LP Elementos'!AW266,'LP Elementos'!BB266,'LP Elementos'!BG266,'LP Elementos'!BL266,'LP Elementos'!BQ266,'LP Elementos'!BV266,'LP Elementos'!CA266,'LP Elementos'!CF266,'LP Elementos'!CK266,'LP Elementos'!CP266,'LP Elementos'!CU266,'LP Elementos'!CZ266)," ")</f>
        <v>66240.639200000005</v>
      </c>
      <c r="E266" s="341">
        <f>IFERROR(AVERAGE('LP Elementos'!F266,'LP Elementos'!I266,'LP Elementos'!N266,'LP Elementos'!S266,'LP Elementos'!X266,'LP Elementos'!AC266,'LP Elementos'!AH266,'LP Elementos'!AM266,'LP Elementos'!AR266,'LP Elementos'!AW266,'LP Elementos'!BB266,'LP Elementos'!BG266,'LP Elementos'!BL266,'LP Elementos'!BQ266,'LP Elementos'!BV266,'LP Elementos'!CA266,'LP Elementos'!CF266,'LP Elementos'!CK266,'LP Elementos'!CP266,'LP Elementos'!CU266,'LP Elementos'!CZ266)," ")</f>
        <v>68820.319600000003</v>
      </c>
      <c r="F266" s="341">
        <f>IFERROR(MEDIAN('LP Elementos'!F266,'LP Elementos'!I266,'LP Elementos'!N266,'LP Elementos'!S266,'LP Elementos'!X266,'LP Elementos'!AC266,'LP Elementos'!AH266,'LP Elementos'!AM266,'LP Elementos'!AR266,'LP Elementos'!AW266,'LP Elementos'!BB266,'LP Elementos'!BG266,'LP Elementos'!BL266,'LP Elementos'!BQ266,'LP Elementos'!BV266,'LP Elementos'!CA266,'LP Elementos'!CF266,'LP Elementos'!CK266,'LP Elementos'!CP266,'LP Elementos'!CU266,'LP Elementos'!CZ266)," ")</f>
        <v>68820.319600000003</v>
      </c>
      <c r="G266" s="341">
        <f>IFERROR(GEOMEAN('LP Elementos'!F266,'LP Elementos'!I266,'LP Elementos'!N266,'LP Elementos'!S266,'LP Elementos'!X266,'LP Elementos'!AC266,'LP Elementos'!AH266,'LP Elementos'!AM266,'LP Elementos'!AR266,'LP Elementos'!AW266,'LP Elementos'!BB266,'LP Elementos'!BG266,'LP Elementos'!BL266,'LP Elementos'!BQ266,'LP Elementos'!BV266,'LP Elementos'!CA266,'LP Elementos'!CF266,'LP Elementos'!CK266,'LP Elementos'!CP266,'LP Elementos'!CU266,'LP Elementos'!CZ266)," ")</f>
        <v>68771.953868419354</v>
      </c>
      <c r="H266" s="341">
        <f t="shared" si="20"/>
        <v>1281.9820062058175</v>
      </c>
      <c r="I266" s="342">
        <f t="shared" si="21"/>
        <v>1.8627957755165923E-2</v>
      </c>
      <c r="J266" s="341">
        <f t="shared" si="22"/>
        <v>68820.319600000003</v>
      </c>
      <c r="K266" s="326" t="str">
        <f t="shared" si="23"/>
        <v>Promedio</v>
      </c>
      <c r="L266" s="326">
        <f>IFERROR(COUNTA('LP Elementos'!F266,'LP Elementos'!I266,'LP Elementos'!N266,'LP Elementos'!S266,'LP Elementos'!X266,'LP Elementos'!AC266,'LP Elementos'!AH266,'LP Elementos'!AM266,'LP Elementos'!AR266,'LP Elementos'!AX266,'LP Elementos'!BB266,'LP Elementos'!BG266,'LP Elementos'!BL266,'LP Elementos'!BQ266,'LP Elementos'!BV266,'LP Elementos'!CA266,'LP Elementos'!CF266,'LP Elementos'!CK266,'LP Elementos'!CP266,'LP Elementos'!CU266,'LP Elementos'!CZ266)," ")</f>
        <v>2</v>
      </c>
    </row>
    <row r="267" spans="2:12" ht="27" x14ac:dyDescent="0.25">
      <c r="B267" s="411">
        <v>265</v>
      </c>
      <c r="C267" s="412" t="s">
        <v>3664</v>
      </c>
      <c r="D267" s="408">
        <f>IFERROR(MIN('LP Elementos'!F267,'LP Elementos'!I267,'LP Elementos'!N267,'LP Elementos'!S267,'LP Elementos'!X267,'LP Elementos'!AC267,'LP Elementos'!AH267,'LP Elementos'!AM267,'LP Elementos'!AR267,'LP Elementos'!AW267,'LP Elementos'!BB267,'LP Elementos'!BG267,'LP Elementos'!BL267,'LP Elementos'!BQ267,'LP Elementos'!BV267,'LP Elementos'!CA267,'LP Elementos'!CF267,'LP Elementos'!CK267,'LP Elementos'!CP267,'LP Elementos'!CU267,'LP Elementos'!CZ267)," ")</f>
        <v>2045.8594000000001</v>
      </c>
      <c r="E267" s="341">
        <f>IFERROR(AVERAGE('LP Elementos'!F267,'LP Elementos'!I267,'LP Elementos'!N267,'LP Elementos'!S267,'LP Elementos'!X267,'LP Elementos'!AC267,'LP Elementos'!AH267,'LP Elementos'!AM267,'LP Elementos'!AR267,'LP Elementos'!AW267,'LP Elementos'!BB267,'LP Elementos'!BG267,'LP Elementos'!BL267,'LP Elementos'!BQ267,'LP Elementos'!BV267,'LP Elementos'!CA267,'LP Elementos'!CF267,'LP Elementos'!CK267,'LP Elementos'!CP267,'LP Elementos'!CU267,'LP Elementos'!CZ267)," ")</f>
        <v>4592.9296999999997</v>
      </c>
      <c r="F267" s="341">
        <f>IFERROR(MEDIAN('LP Elementos'!F267,'LP Elementos'!I267,'LP Elementos'!N267,'LP Elementos'!S267,'LP Elementos'!X267,'LP Elementos'!AC267,'LP Elementos'!AH267,'LP Elementos'!AM267,'LP Elementos'!AR267,'LP Elementos'!AW267,'LP Elementos'!BB267,'LP Elementos'!BG267,'LP Elementos'!BL267,'LP Elementos'!BQ267,'LP Elementos'!BV267,'LP Elementos'!CA267,'LP Elementos'!CF267,'LP Elementos'!CK267,'LP Elementos'!CP267,'LP Elementos'!CU267,'LP Elementos'!CZ267)," ")</f>
        <v>4592.9296999999997</v>
      </c>
      <c r="G267" s="341">
        <f>IFERROR(GEOMEAN('LP Elementos'!F267,'LP Elementos'!I267,'LP Elementos'!N267,'LP Elementos'!S267,'LP Elementos'!X267,'LP Elementos'!AC267,'LP Elementos'!AH267,'LP Elementos'!AM267,'LP Elementos'!AR267,'LP Elementos'!AW267,'LP Elementos'!BB267,'LP Elementos'!BG267,'LP Elementos'!BL267,'LP Elementos'!BQ267,'LP Elementos'!BV267,'LP Elementos'!CA267,'LP Elementos'!CF267,'LP Elementos'!CK267,'LP Elementos'!CP267,'LP Elementos'!CU267,'LP Elementos'!CZ267)," ")</f>
        <v>3821.9675712909966</v>
      </c>
      <c r="H267" s="341">
        <f t="shared" si="20"/>
        <v>1201.3346629970179</v>
      </c>
      <c r="I267" s="342">
        <f t="shared" si="21"/>
        <v>0.26156173542064404</v>
      </c>
      <c r="J267" s="341">
        <f t="shared" si="22"/>
        <v>3821.9675712909966</v>
      </c>
      <c r="K267" s="326" t="str">
        <f t="shared" si="23"/>
        <v>Media Geometrica</v>
      </c>
      <c r="L267" s="326">
        <f>IFERROR(COUNTA('LP Elementos'!F267,'LP Elementos'!I267,'LP Elementos'!N267,'LP Elementos'!S267,'LP Elementos'!X267,'LP Elementos'!AC267,'LP Elementos'!AH267,'LP Elementos'!AM267,'LP Elementos'!AR267,'LP Elementos'!AX267,'LP Elementos'!BB267,'LP Elementos'!BG267,'LP Elementos'!BL267,'LP Elementos'!BQ267,'LP Elementos'!BV267,'LP Elementos'!CA267,'LP Elementos'!CF267,'LP Elementos'!CK267,'LP Elementos'!CP267,'LP Elementos'!CU267,'LP Elementos'!CZ267)," ")</f>
        <v>2</v>
      </c>
    </row>
    <row r="268" spans="2:12" ht="27" x14ac:dyDescent="0.25">
      <c r="B268" s="411">
        <v>266</v>
      </c>
      <c r="C268" s="412" t="s">
        <v>3666</v>
      </c>
      <c r="D268" s="408">
        <f>IFERROR(MIN('LP Elementos'!F268,'LP Elementos'!I268,'LP Elementos'!N268,'LP Elementos'!S268,'LP Elementos'!X268,'LP Elementos'!AC268,'LP Elementos'!AH268,'LP Elementos'!AM268,'LP Elementos'!AR268,'LP Elementos'!AW268,'LP Elementos'!BB268,'LP Elementos'!BG268,'LP Elementos'!BL268,'LP Elementos'!BQ268,'LP Elementos'!BV268,'LP Elementos'!CA268,'LP Elementos'!CF268,'LP Elementos'!CK268,'LP Elementos'!CP268,'LP Elementos'!CU268,'LP Elementos'!CZ268)," ")</f>
        <v>299424.25040000002</v>
      </c>
      <c r="E268" s="341">
        <f>IFERROR(AVERAGE('LP Elementos'!F268,'LP Elementos'!I268,'LP Elementos'!N268,'LP Elementos'!S268,'LP Elementos'!X268,'LP Elementos'!AC268,'LP Elementos'!AH268,'LP Elementos'!AM268,'LP Elementos'!AR268,'LP Elementos'!AW268,'LP Elementos'!BB268,'LP Elementos'!BG268,'LP Elementos'!BL268,'LP Elementos'!BQ268,'LP Elementos'!BV268,'LP Elementos'!CA268,'LP Elementos'!CF268,'LP Elementos'!CK268,'LP Elementos'!CP268,'LP Elementos'!CU268,'LP Elementos'!CZ268)," ")</f>
        <v>299424.25040000002</v>
      </c>
      <c r="F268" s="341">
        <f>IFERROR(MEDIAN('LP Elementos'!F268,'LP Elementos'!I268,'LP Elementos'!N268,'LP Elementos'!S268,'LP Elementos'!X268,'LP Elementos'!AC268,'LP Elementos'!AH268,'LP Elementos'!AM268,'LP Elementos'!AR268,'LP Elementos'!AW268,'LP Elementos'!BB268,'LP Elementos'!BG268,'LP Elementos'!BL268,'LP Elementos'!BQ268,'LP Elementos'!BV268,'LP Elementos'!CA268,'LP Elementos'!CF268,'LP Elementos'!CK268,'LP Elementos'!CP268,'LP Elementos'!CU268,'LP Elementos'!CZ268)," ")</f>
        <v>299424.25040000002</v>
      </c>
      <c r="G268" s="341">
        <f>IFERROR(GEOMEAN('LP Elementos'!F268,'LP Elementos'!I268,'LP Elementos'!N268,'LP Elementos'!S268,'LP Elementos'!X268,'LP Elementos'!AC268,'LP Elementos'!AH268,'LP Elementos'!AM268,'LP Elementos'!AR268,'LP Elementos'!AW268,'LP Elementos'!BB268,'LP Elementos'!BG268,'LP Elementos'!BL268,'LP Elementos'!BQ268,'LP Elementos'!BV268,'LP Elementos'!CA268,'LP Elementos'!CF268,'LP Elementos'!CK268,'LP Elementos'!CP268,'LP Elementos'!CU268,'LP Elementos'!CZ268)," ")</f>
        <v>299424.25040000002</v>
      </c>
      <c r="H268" s="341">
        <f t="shared" si="20"/>
        <v>0</v>
      </c>
      <c r="I268" s="342">
        <f t="shared" si="21"/>
        <v>0</v>
      </c>
      <c r="J268" s="341">
        <f t="shared" si="22"/>
        <v>299424.25040000002</v>
      </c>
      <c r="K268" s="326" t="str">
        <f t="shared" si="23"/>
        <v>Menor Valor</v>
      </c>
      <c r="L268" s="326">
        <f>IFERROR(COUNTA('LP Elementos'!F268,'LP Elementos'!I268,'LP Elementos'!N268,'LP Elementos'!S268,'LP Elementos'!X268,'LP Elementos'!AC268,'LP Elementos'!AH268,'LP Elementos'!AM268,'LP Elementos'!AR268,'LP Elementos'!AX268,'LP Elementos'!BB268,'LP Elementos'!BG268,'LP Elementos'!BL268,'LP Elementos'!BQ268,'LP Elementos'!BV268,'LP Elementos'!CA268,'LP Elementos'!CF268,'LP Elementos'!CK268,'LP Elementos'!CP268,'LP Elementos'!CU268,'LP Elementos'!CZ268)," ")</f>
        <v>1</v>
      </c>
    </row>
    <row r="269" spans="2:12" ht="27" x14ac:dyDescent="0.25">
      <c r="B269" s="411">
        <v>267</v>
      </c>
      <c r="C269" s="412" t="s">
        <v>3669</v>
      </c>
      <c r="D269" s="408">
        <f>IFERROR(MIN('LP Elementos'!F269,'LP Elementos'!I269,'LP Elementos'!N269,'LP Elementos'!S269,'LP Elementos'!X269,'LP Elementos'!AC269,'LP Elementos'!AH269,'LP Elementos'!AM269,'LP Elementos'!AR269,'LP Elementos'!AW269,'LP Elementos'!BB269,'LP Elementos'!BG269,'LP Elementos'!BL269,'LP Elementos'!BQ269,'LP Elementos'!BV269,'LP Elementos'!CA269,'LP Elementos'!CF269,'LP Elementos'!CK269,'LP Elementos'!CP269,'LP Elementos'!CU269,'LP Elementos'!CZ269)," ")</f>
        <v>79300.41</v>
      </c>
      <c r="E269" s="341">
        <f>IFERROR(AVERAGE('LP Elementos'!F269,'LP Elementos'!I269,'LP Elementos'!N269,'LP Elementos'!S269,'LP Elementos'!X269,'LP Elementos'!AC269,'LP Elementos'!AH269,'LP Elementos'!AM269,'LP Elementos'!AR269,'LP Elementos'!AW269,'LP Elementos'!BB269,'LP Elementos'!BG269,'LP Elementos'!BL269,'LP Elementos'!BQ269,'LP Elementos'!BV269,'LP Elementos'!CA269,'LP Elementos'!CF269,'LP Elementos'!CK269,'LP Elementos'!CP269,'LP Elementos'!CU269,'LP Elementos'!CZ269)," ")</f>
        <v>90649.598666666658</v>
      </c>
      <c r="F269" s="341">
        <f>IFERROR(MEDIAN('LP Elementos'!F269,'LP Elementos'!I269,'LP Elementos'!N269,'LP Elementos'!S269,'LP Elementos'!X269,'LP Elementos'!AC269,'LP Elementos'!AH269,'LP Elementos'!AM269,'LP Elementos'!AR269,'LP Elementos'!AW269,'LP Elementos'!BB269,'LP Elementos'!BG269,'LP Elementos'!BL269,'LP Elementos'!BQ269,'LP Elementos'!BV269,'LP Elementos'!CA269,'LP Elementos'!CF269,'LP Elementos'!CK269,'LP Elementos'!CP269,'LP Elementos'!CU269,'LP Elementos'!CZ269)," ")</f>
        <v>83300</v>
      </c>
      <c r="G269" s="341">
        <f>IFERROR(GEOMEAN('LP Elementos'!F269,'LP Elementos'!I269,'LP Elementos'!N269,'LP Elementos'!S269,'LP Elementos'!X269,'LP Elementos'!AC269,'LP Elementos'!AH269,'LP Elementos'!AM269,'LP Elementos'!AR269,'LP Elementos'!AW269,'LP Elementos'!BB269,'LP Elementos'!BG269,'LP Elementos'!BL269,'LP Elementos'!BQ269,'LP Elementos'!BV269,'LP Elementos'!CA269,'LP Elementos'!CF269,'LP Elementos'!CK269,'LP Elementos'!CP269,'LP Elementos'!CU269,'LP Elementos'!CZ269)," ")</f>
        <v>89724.477323714396</v>
      </c>
      <c r="H269" s="341">
        <f t="shared" si="20"/>
        <v>5397.5946963454589</v>
      </c>
      <c r="I269" s="342">
        <f t="shared" si="21"/>
        <v>5.9543503509522352E-2</v>
      </c>
      <c r="J269" s="341">
        <f t="shared" si="22"/>
        <v>83300</v>
      </c>
      <c r="K269" s="326" t="str">
        <f t="shared" si="23"/>
        <v>Mediana</v>
      </c>
      <c r="L269" s="326">
        <f>IFERROR(COUNTA('LP Elementos'!F269,'LP Elementos'!I269,'LP Elementos'!N269,'LP Elementos'!S269,'LP Elementos'!X269,'LP Elementos'!AC269,'LP Elementos'!AH269,'LP Elementos'!AM269,'LP Elementos'!AR269,'LP Elementos'!AX269,'LP Elementos'!BB269,'LP Elementos'!BG269,'LP Elementos'!BL269,'LP Elementos'!BQ269,'LP Elementos'!BV269,'LP Elementos'!CA269,'LP Elementos'!CF269,'LP Elementos'!CK269,'LP Elementos'!CP269,'LP Elementos'!CU269,'LP Elementos'!CZ269)," ")</f>
        <v>3</v>
      </c>
    </row>
    <row r="270" spans="2:12" ht="40.5" x14ac:dyDescent="0.25">
      <c r="B270" s="411">
        <v>268</v>
      </c>
      <c r="C270" s="412" t="s">
        <v>3674</v>
      </c>
      <c r="D270" s="408">
        <f>IFERROR(MIN('LP Elementos'!F270,'LP Elementos'!I270,'LP Elementos'!N270,'LP Elementos'!S270,'LP Elementos'!X270,'LP Elementos'!AC270,'LP Elementos'!AH270,'LP Elementos'!AM270,'LP Elementos'!AR270,'LP Elementos'!AW270,'LP Elementos'!BB270,'LP Elementos'!BG270,'LP Elementos'!BL270,'LP Elementos'!BQ270,'LP Elementos'!BV270,'LP Elementos'!CA270,'LP Elementos'!CF270,'LP Elementos'!CK270,'LP Elementos'!CP270,'LP Elementos'!CU270,'LP Elementos'!CZ270)," ")</f>
        <v>63308</v>
      </c>
      <c r="E270" s="341">
        <f>IFERROR(AVERAGE('LP Elementos'!F270,'LP Elementos'!I270,'LP Elementos'!N270,'LP Elementos'!S270,'LP Elementos'!X270,'LP Elementos'!AC270,'LP Elementos'!AH270,'LP Elementos'!AM270,'LP Elementos'!AR270,'LP Elementos'!AW270,'LP Elementos'!BB270,'LP Elementos'!BG270,'LP Elementos'!BL270,'LP Elementos'!BQ270,'LP Elementos'!BV270,'LP Elementos'!CA270,'LP Elementos'!CF270,'LP Elementos'!CK270,'LP Elementos'!CP270,'LP Elementos'!CU270,'LP Elementos'!CZ270)," ")</f>
        <v>157623.592</v>
      </c>
      <c r="F270" s="341">
        <f>IFERROR(MEDIAN('LP Elementos'!F270,'LP Elementos'!I270,'LP Elementos'!N270,'LP Elementos'!S270,'LP Elementos'!X270,'LP Elementos'!AC270,'LP Elementos'!AH270,'LP Elementos'!AM270,'LP Elementos'!AR270,'LP Elementos'!AW270,'LP Elementos'!BB270,'LP Elementos'!BG270,'LP Elementos'!BL270,'LP Elementos'!BQ270,'LP Elementos'!BV270,'LP Elementos'!CA270,'LP Elementos'!CF270,'LP Elementos'!CK270,'LP Elementos'!CP270,'LP Elementos'!CU270,'LP Elementos'!CZ270)," ")</f>
        <v>115632.776</v>
      </c>
      <c r="G270" s="341">
        <f>IFERROR(GEOMEAN('LP Elementos'!F270,'LP Elementos'!I270,'LP Elementos'!N270,'LP Elementos'!S270,'LP Elementos'!X270,'LP Elementos'!AC270,'LP Elementos'!AH270,'LP Elementos'!AM270,'LP Elementos'!AR270,'LP Elementos'!AW270,'LP Elementos'!BB270,'LP Elementos'!BG270,'LP Elementos'!BL270,'LP Elementos'!BQ270,'LP Elementos'!BV270,'LP Elementos'!CA270,'LP Elementos'!CF270,'LP Elementos'!CK270,'LP Elementos'!CP270,'LP Elementos'!CU270,'LP Elementos'!CZ270)," ")</f>
        <v>129100.46902665317</v>
      </c>
      <c r="H270" s="341">
        <f t="shared" si="20"/>
        <v>39496.980882870906</v>
      </c>
      <c r="I270" s="342">
        <f t="shared" si="21"/>
        <v>0.25057785057246318</v>
      </c>
      <c r="J270" s="341">
        <f t="shared" si="22"/>
        <v>129100.46902665317</v>
      </c>
      <c r="K270" s="326" t="str">
        <f t="shared" si="23"/>
        <v>Media Geometrica</v>
      </c>
      <c r="L270" s="326">
        <f>IFERROR(COUNTA('LP Elementos'!F270,'LP Elementos'!I270,'LP Elementos'!N270,'LP Elementos'!S270,'LP Elementos'!X270,'LP Elementos'!AC270,'LP Elementos'!AH270,'LP Elementos'!AM270,'LP Elementos'!AR270,'LP Elementos'!AX270,'LP Elementos'!BB270,'LP Elementos'!BG270,'LP Elementos'!BL270,'LP Elementos'!BQ270,'LP Elementos'!BV270,'LP Elementos'!CA270,'LP Elementos'!CF270,'LP Elementos'!CK270,'LP Elementos'!CP270,'LP Elementos'!CU270,'LP Elementos'!CZ270)," ")</f>
        <v>3</v>
      </c>
    </row>
    <row r="271" spans="2:12" ht="27" x14ac:dyDescent="0.25">
      <c r="B271" s="411">
        <v>269</v>
      </c>
      <c r="C271" s="409" t="s">
        <v>3678</v>
      </c>
      <c r="D271" s="408">
        <f>IFERROR(MIN('LP Elementos'!F271,'LP Elementos'!I271,'LP Elementos'!N271,'LP Elementos'!S271,'LP Elementos'!X271,'LP Elementos'!AC271,'LP Elementos'!AH271,'LP Elementos'!AM271,'LP Elementos'!AR271,'LP Elementos'!AW271,'LP Elementos'!BB271,'LP Elementos'!BG271,'LP Elementos'!BL271,'LP Elementos'!BQ271,'LP Elementos'!BV271,'LP Elementos'!CA271,'LP Elementos'!CF271,'LP Elementos'!CK271,'LP Elementos'!CP271,'LP Elementos'!CU271,'LP Elementos'!CZ271)," ")</f>
        <v>217770</v>
      </c>
      <c r="E271" s="341">
        <f>IFERROR(AVERAGE('LP Elementos'!F271,'LP Elementos'!I271,'LP Elementos'!N271,'LP Elementos'!S271,'LP Elementos'!X271,'LP Elementos'!AC271,'LP Elementos'!AH271,'LP Elementos'!AM271,'LP Elementos'!AR271,'LP Elementos'!AW271,'LP Elementos'!BB271,'LP Elementos'!BG271,'LP Elementos'!BL271,'LP Elementos'!BQ271,'LP Elementos'!BV271,'LP Elementos'!CA271,'LP Elementos'!CF271,'LP Elementos'!CK271,'LP Elementos'!CP271,'LP Elementos'!CU271,'LP Elementos'!CZ271)," ")</f>
        <v>272158.20510000002</v>
      </c>
      <c r="F271" s="341">
        <f>IFERROR(MEDIAN('LP Elementos'!F271,'LP Elementos'!I271,'LP Elementos'!N271,'LP Elementos'!S271,'LP Elementos'!X271,'LP Elementos'!AC271,'LP Elementos'!AH271,'LP Elementos'!AM271,'LP Elementos'!AR271,'LP Elementos'!AW271,'LP Elementos'!BB271,'LP Elementos'!BG271,'LP Elementos'!BL271,'LP Elementos'!BQ271,'LP Elementos'!BV271,'LP Elementos'!CA271,'LP Elementos'!CF271,'LP Elementos'!CK271,'LP Elementos'!CP271,'LP Elementos'!CU271,'LP Elementos'!CZ271)," ")</f>
        <v>272158.20510000002</v>
      </c>
      <c r="G271" s="341">
        <f>IFERROR(GEOMEAN('LP Elementos'!F271,'LP Elementos'!I271,'LP Elementos'!N271,'LP Elementos'!S271,'LP Elementos'!X271,'LP Elementos'!AC271,'LP Elementos'!AH271,'LP Elementos'!AM271,'LP Elementos'!AR271,'LP Elementos'!AW271,'LP Elementos'!BB271,'LP Elementos'!BG271,'LP Elementos'!BL271,'LP Elementos'!BQ271,'LP Elementos'!BV271,'LP Elementos'!CA271,'LP Elementos'!CF271,'LP Elementos'!CK271,'LP Elementos'!CP271,'LP Elementos'!CU271,'LP Elementos'!CZ271)," ")</f>
        <v>266668.35535783769</v>
      </c>
      <c r="H271" s="341">
        <f t="shared" si="20"/>
        <v>26406.248889678478</v>
      </c>
      <c r="I271" s="342">
        <f t="shared" si="21"/>
        <v>9.7025363905438533E-2</v>
      </c>
      <c r="J271" s="341">
        <f t="shared" si="22"/>
        <v>272158.20510000002</v>
      </c>
      <c r="K271" s="326" t="str">
        <f t="shared" si="23"/>
        <v>Promedio</v>
      </c>
      <c r="L271" s="326">
        <f>IFERROR(COUNTA('LP Elementos'!F271,'LP Elementos'!I271,'LP Elementos'!N271,'LP Elementos'!S271,'LP Elementos'!X271,'LP Elementos'!AC271,'LP Elementos'!AH271,'LP Elementos'!AM271,'LP Elementos'!AR271,'LP Elementos'!AX271,'LP Elementos'!BB271,'LP Elementos'!BG271,'LP Elementos'!BL271,'LP Elementos'!BQ271,'LP Elementos'!BV271,'LP Elementos'!CA271,'LP Elementos'!CF271,'LP Elementos'!CK271,'LP Elementos'!CP271,'LP Elementos'!CU271,'LP Elementos'!CZ271)," ")</f>
        <v>2</v>
      </c>
    </row>
    <row r="272" spans="2:12" ht="27" x14ac:dyDescent="0.25">
      <c r="B272" s="411">
        <v>270</v>
      </c>
      <c r="C272" s="412" t="s">
        <v>3681</v>
      </c>
      <c r="D272" s="408">
        <f>IFERROR(MIN('LP Elementos'!F272,'LP Elementos'!I272,'LP Elementos'!N272,'LP Elementos'!S272,'LP Elementos'!X272,'LP Elementos'!AC272,'LP Elementos'!AH272,'LP Elementos'!AM272,'LP Elementos'!AR272,'LP Elementos'!AW272,'LP Elementos'!BB272,'LP Elementos'!BG272,'LP Elementos'!BL272,'LP Elementos'!BQ272,'LP Elementos'!BV272,'LP Elementos'!CA272,'LP Elementos'!CF272,'LP Elementos'!CK272,'LP Elementos'!CP272,'LP Elementos'!CU272,'LP Elementos'!CZ272)," ")</f>
        <v>61761</v>
      </c>
      <c r="E272" s="341">
        <f>IFERROR(AVERAGE('LP Elementos'!F272,'LP Elementos'!I272,'LP Elementos'!N272,'LP Elementos'!S272,'LP Elementos'!X272,'LP Elementos'!AC272,'LP Elementos'!AH272,'LP Elementos'!AM272,'LP Elementos'!AR272,'LP Elementos'!AW272,'LP Elementos'!BB272,'LP Elementos'!BG272,'LP Elementos'!BL272,'LP Elementos'!BQ272,'LP Elementos'!BV272,'LP Elementos'!CA272,'LP Elementos'!CF272,'LP Elementos'!CK272,'LP Elementos'!CP272,'LP Elementos'!CU272,'LP Elementos'!CZ272)," ")</f>
        <v>615328.37333333341</v>
      </c>
      <c r="F272" s="341">
        <f>IFERROR(MEDIAN('LP Elementos'!F272,'LP Elementos'!I272,'LP Elementos'!N272,'LP Elementos'!S272,'LP Elementos'!X272,'LP Elementos'!AC272,'LP Elementos'!AH272,'LP Elementos'!AM272,'LP Elementos'!AR272,'LP Elementos'!AW272,'LP Elementos'!BB272,'LP Elementos'!BG272,'LP Elementos'!BL272,'LP Elementos'!BQ272,'LP Elementos'!BV272,'LP Elementos'!CA272,'LP Elementos'!CF272,'LP Elementos'!CK272,'LP Elementos'!CP272,'LP Elementos'!CU272,'LP Elementos'!CZ272)," ")</f>
        <v>678714.12</v>
      </c>
      <c r="G272" s="341">
        <f>IFERROR(GEOMEAN('LP Elementos'!F272,'LP Elementos'!I272,'LP Elementos'!N272,'LP Elementos'!S272,'LP Elementos'!X272,'LP Elementos'!AC272,'LP Elementos'!AH272,'LP Elementos'!AM272,'LP Elementos'!AR272,'LP Elementos'!AW272,'LP Elementos'!BB272,'LP Elementos'!BG272,'LP Elementos'!BL272,'LP Elementos'!BQ272,'LP Elementos'!BV272,'LP Elementos'!CA272,'LP Elementos'!CF272,'LP Elementos'!CK272,'LP Elementos'!CP272,'LP Elementos'!CU272,'LP Elementos'!CZ272)," ")</f>
        <v>359187.56494124123</v>
      </c>
      <c r="H272" s="341">
        <f t="shared" si="20"/>
        <v>280958.72125954885</v>
      </c>
      <c r="I272" s="342">
        <f t="shared" si="21"/>
        <v>0.45659965221098125</v>
      </c>
      <c r="J272" s="341">
        <f t="shared" si="22"/>
        <v>61761</v>
      </c>
      <c r="K272" s="326" t="str">
        <f t="shared" si="23"/>
        <v>Menor Valor</v>
      </c>
      <c r="L272" s="326">
        <f>IFERROR(COUNTA('LP Elementos'!F272,'LP Elementos'!I272,'LP Elementos'!N272,'LP Elementos'!S272,'LP Elementos'!X272,'LP Elementos'!AC272,'LP Elementos'!AH272,'LP Elementos'!AM272,'LP Elementos'!AR272,'LP Elementos'!AX272,'LP Elementos'!BB272,'LP Elementos'!BG272,'LP Elementos'!BL272,'LP Elementos'!BQ272,'LP Elementos'!BV272,'LP Elementos'!CA272,'LP Elementos'!CF272,'LP Elementos'!CK272,'LP Elementos'!CP272,'LP Elementos'!CU272,'LP Elementos'!CZ272)," ")</f>
        <v>3</v>
      </c>
    </row>
    <row r="273" spans="2:12" ht="27" x14ac:dyDescent="0.25">
      <c r="B273" s="411">
        <v>271</v>
      </c>
      <c r="C273" s="412" t="s">
        <v>3685</v>
      </c>
      <c r="D273" s="408">
        <f>IFERROR(MIN('LP Elementos'!F273,'LP Elementos'!I273,'LP Elementos'!N273,'LP Elementos'!S273,'LP Elementos'!X273,'LP Elementos'!AC273,'LP Elementos'!AH273,'LP Elementos'!AM273,'LP Elementos'!AR273,'LP Elementos'!AW273,'LP Elementos'!BB273,'LP Elementos'!BG273,'LP Elementos'!BL273,'LP Elementos'!BQ273,'LP Elementos'!BV273,'LP Elementos'!CA273,'LP Elementos'!CF273,'LP Elementos'!CK273,'LP Elementos'!CP273,'LP Elementos'!CU273,'LP Elementos'!CZ273)," ")</f>
        <v>168440.6636</v>
      </c>
      <c r="E273" s="341">
        <f>IFERROR(AVERAGE('LP Elementos'!F273,'LP Elementos'!I273,'LP Elementos'!N273,'LP Elementos'!S273,'LP Elementos'!X273,'LP Elementos'!AC273,'LP Elementos'!AH273,'LP Elementos'!AM273,'LP Elementos'!AR273,'LP Elementos'!AW273,'LP Elementos'!BB273,'LP Elementos'!BG273,'LP Elementos'!BL273,'LP Elementos'!BQ273,'LP Elementos'!BV273,'LP Elementos'!CA273,'LP Elementos'!CF273,'LP Elementos'!CK273,'LP Elementos'!CP273,'LP Elementos'!CU273,'LP Elementos'!CZ273)," ")</f>
        <v>168440.6636</v>
      </c>
      <c r="F273" s="341">
        <f>IFERROR(MEDIAN('LP Elementos'!F273,'LP Elementos'!I273,'LP Elementos'!N273,'LP Elementos'!S273,'LP Elementos'!X273,'LP Elementos'!AC273,'LP Elementos'!AH273,'LP Elementos'!AM273,'LP Elementos'!AR273,'LP Elementos'!AW273,'LP Elementos'!BB273,'LP Elementos'!BG273,'LP Elementos'!BL273,'LP Elementos'!BQ273,'LP Elementos'!BV273,'LP Elementos'!CA273,'LP Elementos'!CF273,'LP Elementos'!CK273,'LP Elementos'!CP273,'LP Elementos'!CU273,'LP Elementos'!CZ273)," ")</f>
        <v>168440.6636</v>
      </c>
      <c r="G273" s="341">
        <f>IFERROR(GEOMEAN('LP Elementos'!F273,'LP Elementos'!I273,'LP Elementos'!N273,'LP Elementos'!S273,'LP Elementos'!X273,'LP Elementos'!AC273,'LP Elementos'!AH273,'LP Elementos'!AM273,'LP Elementos'!AR273,'LP Elementos'!AW273,'LP Elementos'!BB273,'LP Elementos'!BG273,'LP Elementos'!BL273,'LP Elementos'!BQ273,'LP Elementos'!BV273,'LP Elementos'!CA273,'LP Elementos'!CF273,'LP Elementos'!CK273,'LP Elementos'!CP273,'LP Elementos'!CU273,'LP Elementos'!CZ273)," ")</f>
        <v>168440.6636</v>
      </c>
      <c r="H273" s="341">
        <f t="shared" si="20"/>
        <v>0</v>
      </c>
      <c r="I273" s="342">
        <f t="shared" si="21"/>
        <v>0</v>
      </c>
      <c r="J273" s="341">
        <f t="shared" si="22"/>
        <v>168440.6636</v>
      </c>
      <c r="K273" s="326" t="str">
        <f t="shared" si="23"/>
        <v>Menor Valor</v>
      </c>
      <c r="L273" s="326">
        <f>IFERROR(COUNTA('LP Elementos'!F273,'LP Elementos'!I273,'LP Elementos'!N273,'LP Elementos'!S273,'LP Elementos'!X273,'LP Elementos'!AC273,'LP Elementos'!AH273,'LP Elementos'!AM273,'LP Elementos'!AR273,'LP Elementos'!AX273,'LP Elementos'!BB273,'LP Elementos'!BG273,'LP Elementos'!BL273,'LP Elementos'!BQ273,'LP Elementos'!BV273,'LP Elementos'!CA273,'LP Elementos'!CF273,'LP Elementos'!CK273,'LP Elementos'!CP273,'LP Elementos'!CU273,'LP Elementos'!CZ273)," ")</f>
        <v>1</v>
      </c>
    </row>
    <row r="274" spans="2:12" ht="27" x14ac:dyDescent="0.25">
      <c r="B274" s="411">
        <v>272</v>
      </c>
      <c r="C274" s="412" t="s">
        <v>3686</v>
      </c>
      <c r="D274" s="408">
        <f>IFERROR(MIN('LP Elementos'!F274,'LP Elementos'!I274,'LP Elementos'!N274,'LP Elementos'!S274,'LP Elementos'!X274,'LP Elementos'!AC274,'LP Elementos'!AH274,'LP Elementos'!AM274,'LP Elementos'!AR274,'LP Elementos'!AW274,'LP Elementos'!BB274,'LP Elementos'!BG274,'LP Elementos'!BL274,'LP Elementos'!BQ274,'LP Elementos'!BV274,'LP Elementos'!CA274,'LP Elementos'!CF274,'LP Elementos'!CK274,'LP Elementos'!CP274,'LP Elementos'!CU274,'LP Elementos'!CZ274)," ")</f>
        <v>90000.89</v>
      </c>
      <c r="E274" s="341">
        <f>IFERROR(AVERAGE('LP Elementos'!F274,'LP Elementos'!I274,'LP Elementos'!N274,'LP Elementos'!S274,'LP Elementos'!X274,'LP Elementos'!AC274,'LP Elementos'!AH274,'LP Elementos'!AM274,'LP Elementos'!AR274,'LP Elementos'!AW274,'LP Elementos'!BB274,'LP Elementos'!BG274,'LP Elementos'!BL274,'LP Elementos'!BQ274,'LP Elementos'!BV274,'LP Elementos'!CA274,'LP Elementos'!CF274,'LP Elementos'!CK274,'LP Elementos'!CP274,'LP Elementos'!CU274,'LP Elementos'!CZ274)," ")</f>
        <v>159376.34299999999</v>
      </c>
      <c r="F274" s="341">
        <f>IFERROR(MEDIAN('LP Elementos'!F274,'LP Elementos'!I274,'LP Elementos'!N274,'LP Elementos'!S274,'LP Elementos'!X274,'LP Elementos'!AC274,'LP Elementos'!AH274,'LP Elementos'!AM274,'LP Elementos'!AR274,'LP Elementos'!AW274,'LP Elementos'!BB274,'LP Elementos'!BG274,'LP Elementos'!BL274,'LP Elementos'!BQ274,'LP Elementos'!BV274,'LP Elementos'!CA274,'LP Elementos'!CF274,'LP Elementos'!CK274,'LP Elementos'!CP274,'LP Elementos'!CU274,'LP Elementos'!CZ274)," ")</f>
        <v>159376.34299999999</v>
      </c>
      <c r="G274" s="341">
        <f>IFERROR(GEOMEAN('LP Elementos'!F274,'LP Elementos'!I274,'LP Elementos'!N274,'LP Elementos'!S274,'LP Elementos'!X274,'LP Elementos'!AC274,'LP Elementos'!AH274,'LP Elementos'!AM274,'LP Elementos'!AR274,'LP Elementos'!AW274,'LP Elementos'!BB274,'LP Elementos'!BG274,'LP Elementos'!BL274,'LP Elementos'!BQ274,'LP Elementos'!BV274,'LP Elementos'!CA274,'LP Elementos'!CF274,'LP Elementos'!CK274,'LP Elementos'!CP274,'LP Elementos'!CU274,'LP Elementos'!CZ274)," ")</f>
        <v>143484.72123922617</v>
      </c>
      <c r="H274" s="341">
        <f t="shared" si="20"/>
        <v>32903.285608876256</v>
      </c>
      <c r="I274" s="342">
        <f t="shared" si="21"/>
        <v>0.20645024844669863</v>
      </c>
      <c r="J274" s="341">
        <f t="shared" si="22"/>
        <v>143484.72123922617</v>
      </c>
      <c r="K274" s="326" t="str">
        <f t="shared" si="23"/>
        <v>Media Geometrica</v>
      </c>
      <c r="L274" s="326">
        <f>IFERROR(COUNTA('LP Elementos'!F274,'LP Elementos'!I274,'LP Elementos'!N274,'LP Elementos'!S274,'LP Elementos'!X274,'LP Elementos'!AC274,'LP Elementos'!AH274,'LP Elementos'!AM274,'LP Elementos'!AR274,'LP Elementos'!AX274,'LP Elementos'!BB274,'LP Elementos'!BG274,'LP Elementos'!BL274,'LP Elementos'!BQ274,'LP Elementos'!BV274,'LP Elementos'!CA274,'LP Elementos'!CF274,'LP Elementos'!CK274,'LP Elementos'!CP274,'LP Elementos'!CU274,'LP Elementos'!CZ274)," ")</f>
        <v>2</v>
      </c>
    </row>
    <row r="275" spans="2:12" x14ac:dyDescent="0.25">
      <c r="B275" s="411">
        <v>273</v>
      </c>
      <c r="C275" s="412" t="s">
        <v>3689</v>
      </c>
      <c r="D275" s="408">
        <f>IFERROR(MIN('LP Elementos'!F275,'LP Elementos'!I275,'LP Elementos'!N275,'LP Elementos'!S275,'LP Elementos'!X275,'LP Elementos'!AC275,'LP Elementos'!AH275,'LP Elementos'!AM275,'LP Elementos'!AR275,'LP Elementos'!AW275,'LP Elementos'!BB275,'LP Elementos'!BG275,'LP Elementos'!BL275,'LP Elementos'!BQ275,'LP Elementos'!BV275,'LP Elementos'!CA275,'LP Elementos'!CF275,'LP Elementos'!CK275,'LP Elementos'!CP275,'LP Elementos'!CU275,'LP Elementos'!CZ275)," ")</f>
        <v>138256.58000000002</v>
      </c>
      <c r="E275" s="341">
        <f>IFERROR(AVERAGE('LP Elementos'!F275,'LP Elementos'!I275,'LP Elementos'!N275,'LP Elementos'!S275,'LP Elementos'!X275,'LP Elementos'!AC275,'LP Elementos'!AH275,'LP Elementos'!AM275,'LP Elementos'!AR275,'LP Elementos'!AW275,'LP Elementos'!BB275,'LP Elementos'!BG275,'LP Elementos'!BL275,'LP Elementos'!BQ275,'LP Elementos'!BV275,'LP Elementos'!CA275,'LP Elementos'!CF275,'LP Elementos'!CK275,'LP Elementos'!CP275,'LP Elementos'!CU275,'LP Elementos'!CZ275)," ")</f>
        <v>138256.58000000002</v>
      </c>
      <c r="F275" s="341">
        <f>IFERROR(MEDIAN('LP Elementos'!F275,'LP Elementos'!I275,'LP Elementos'!N275,'LP Elementos'!S275,'LP Elementos'!X275,'LP Elementos'!AC275,'LP Elementos'!AH275,'LP Elementos'!AM275,'LP Elementos'!AR275,'LP Elementos'!AW275,'LP Elementos'!BB275,'LP Elementos'!BG275,'LP Elementos'!BL275,'LP Elementos'!BQ275,'LP Elementos'!BV275,'LP Elementos'!CA275,'LP Elementos'!CF275,'LP Elementos'!CK275,'LP Elementos'!CP275,'LP Elementos'!CU275,'LP Elementos'!CZ275)," ")</f>
        <v>138256.58000000002</v>
      </c>
      <c r="G275" s="341">
        <f>IFERROR(GEOMEAN('LP Elementos'!F275,'LP Elementos'!I275,'LP Elementos'!N275,'LP Elementos'!S275,'LP Elementos'!X275,'LP Elementos'!AC275,'LP Elementos'!AH275,'LP Elementos'!AM275,'LP Elementos'!AR275,'LP Elementos'!AW275,'LP Elementos'!BB275,'LP Elementos'!BG275,'LP Elementos'!BL275,'LP Elementos'!BQ275,'LP Elementos'!BV275,'LP Elementos'!CA275,'LP Elementos'!CF275,'LP Elementos'!CK275,'LP Elementos'!CP275,'LP Elementos'!CU275,'LP Elementos'!CZ275)," ")</f>
        <v>138256.58000000002</v>
      </c>
      <c r="H275" s="341">
        <f t="shared" si="20"/>
        <v>0</v>
      </c>
      <c r="I275" s="342">
        <f t="shared" si="21"/>
        <v>0</v>
      </c>
      <c r="J275" s="341">
        <f t="shared" si="22"/>
        <v>138256.58000000002</v>
      </c>
      <c r="K275" s="326" t="str">
        <f t="shared" si="23"/>
        <v>Menor Valor</v>
      </c>
      <c r="L275" s="326">
        <f>IFERROR(COUNTA('LP Elementos'!F275,'LP Elementos'!I275,'LP Elementos'!N275,'LP Elementos'!S275,'LP Elementos'!X275,'LP Elementos'!AC275,'LP Elementos'!AH275,'LP Elementos'!AM275,'LP Elementos'!AR275,'LP Elementos'!AX275,'LP Elementos'!BB275,'LP Elementos'!BG275,'LP Elementos'!BL275,'LP Elementos'!BQ275,'LP Elementos'!BV275,'LP Elementos'!CA275,'LP Elementos'!CF275,'LP Elementos'!CK275,'LP Elementos'!CP275,'LP Elementos'!CU275,'LP Elementos'!CZ275)," ")</f>
        <v>1</v>
      </c>
    </row>
    <row r="276" spans="2:12" ht="27" x14ac:dyDescent="0.25">
      <c r="B276" s="411">
        <v>274</v>
      </c>
      <c r="C276" s="412" t="s">
        <v>3690</v>
      </c>
      <c r="D276" s="408">
        <f>IFERROR(MIN('LP Elementos'!F276,'LP Elementos'!I276,'LP Elementos'!N276,'LP Elementos'!S276,'LP Elementos'!X276,'LP Elementos'!AC276,'LP Elementos'!AH276,'LP Elementos'!AM276,'LP Elementos'!AR276,'LP Elementos'!AW276,'LP Elementos'!BB276,'LP Elementos'!BG276,'LP Elementos'!BL276,'LP Elementos'!BQ276,'LP Elementos'!BV276,'LP Elementos'!CA276,'LP Elementos'!CF276,'LP Elementos'!CK276,'LP Elementos'!CP276,'LP Elementos'!CU276,'LP Elementos'!CZ276)," ")</f>
        <v>22610</v>
      </c>
      <c r="E276" s="341">
        <f>IFERROR(AVERAGE('LP Elementos'!F276,'LP Elementos'!I276,'LP Elementos'!N276,'LP Elementos'!S276,'LP Elementos'!X276,'LP Elementos'!AC276,'LP Elementos'!AH276,'LP Elementos'!AM276,'LP Elementos'!AR276,'LP Elementos'!AW276,'LP Elementos'!BB276,'LP Elementos'!BG276,'LP Elementos'!BL276,'LP Elementos'!BQ276,'LP Elementos'!BV276,'LP Elementos'!CA276,'LP Elementos'!CF276,'LP Elementos'!CK276,'LP Elementos'!CP276,'LP Elementos'!CU276,'LP Elementos'!CZ276)," ")</f>
        <v>48333.94266666667</v>
      </c>
      <c r="F276" s="341">
        <f>IFERROR(MEDIAN('LP Elementos'!F276,'LP Elementos'!I276,'LP Elementos'!N276,'LP Elementos'!S276,'LP Elementos'!X276,'LP Elementos'!AC276,'LP Elementos'!AH276,'LP Elementos'!AM276,'LP Elementos'!AR276,'LP Elementos'!AW276,'LP Elementos'!BB276,'LP Elementos'!BG276,'LP Elementos'!BL276,'LP Elementos'!BQ276,'LP Elementos'!BV276,'LP Elementos'!CA276,'LP Elementos'!CF276,'LP Elementos'!CK276,'LP Elementos'!CP276,'LP Elementos'!CU276,'LP Elementos'!CZ276)," ")</f>
        <v>59083.828000000001</v>
      </c>
      <c r="G276" s="341">
        <f>IFERROR(GEOMEAN('LP Elementos'!F276,'LP Elementos'!I276,'LP Elementos'!N276,'LP Elementos'!S276,'LP Elementos'!X276,'LP Elementos'!AC276,'LP Elementos'!AH276,'LP Elementos'!AM276,'LP Elementos'!AR276,'LP Elementos'!AW276,'LP Elementos'!BB276,'LP Elementos'!BG276,'LP Elementos'!BL276,'LP Elementos'!BQ276,'LP Elementos'!BV276,'LP Elementos'!CA276,'LP Elementos'!CF276,'LP Elementos'!CK276,'LP Elementos'!CP276,'LP Elementos'!CU276,'LP Elementos'!CZ276)," ")</f>
        <v>43894.414498609083</v>
      </c>
      <c r="H276" s="341">
        <f t="shared" si="20"/>
        <v>15305.433085975186</v>
      </c>
      <c r="I276" s="342">
        <f t="shared" si="21"/>
        <v>0.31666014071164367</v>
      </c>
      <c r="J276" s="341">
        <f>IF(I276&lt;=10%,F276,IF(AND(I276&gt;10%,I276&lt;=20%),E276,IF(AND(I276&gt;20%,I276&lt;=33%),G276,IF(I276&gt;33%,D276))))</f>
        <v>43894.414498609083</v>
      </c>
      <c r="K276" s="326" t="str">
        <f t="shared" si="23"/>
        <v>Media Geometrica</v>
      </c>
      <c r="L276" s="326">
        <f>IFERROR(COUNTA('LP Elementos'!F276,'LP Elementos'!I276,'LP Elementos'!N276,'LP Elementos'!S276,'LP Elementos'!X276,'LP Elementos'!AC276,'LP Elementos'!AH276,'LP Elementos'!AM276,'LP Elementos'!AR276,'LP Elementos'!AX276,'LP Elementos'!BB276,'LP Elementos'!BG276,'LP Elementos'!BL276,'LP Elementos'!BQ276,'LP Elementos'!BV276,'LP Elementos'!CA276,'LP Elementos'!CF276,'LP Elementos'!CK276,'LP Elementos'!CP276,'LP Elementos'!CU276,'LP Elementos'!CZ276)," ")</f>
        <v>3</v>
      </c>
    </row>
    <row r="277" spans="2:12" ht="27" x14ac:dyDescent="0.25">
      <c r="B277" s="411">
        <v>275</v>
      </c>
      <c r="C277" s="409" t="s">
        <v>3692</v>
      </c>
      <c r="D277" s="408">
        <f>IFERROR(MIN('LP Elementos'!F277,'LP Elementos'!I277,'LP Elementos'!N277,'LP Elementos'!S277,'LP Elementos'!X277,'LP Elementos'!AC277,'LP Elementos'!AH277,'LP Elementos'!AM277,'LP Elementos'!AR277,'LP Elementos'!AW277,'LP Elementos'!BB277,'LP Elementos'!BG277,'LP Elementos'!BL277,'LP Elementos'!BQ277,'LP Elementos'!BV277,'LP Elementos'!CA277,'LP Elementos'!CF277,'LP Elementos'!CK277,'LP Elementos'!CP277,'LP Elementos'!CU277,'LP Elementos'!CZ277)," ")</f>
        <v>43903.065399999999</v>
      </c>
      <c r="E277" s="341">
        <f>IFERROR(AVERAGE('LP Elementos'!F277,'LP Elementos'!I277,'LP Elementos'!N277,'LP Elementos'!S277,'LP Elementos'!X277,'LP Elementos'!AC277,'LP Elementos'!AH277,'LP Elementos'!AM277,'LP Elementos'!AR277,'LP Elementos'!AW277,'LP Elementos'!BB277,'LP Elementos'!BG277,'LP Elementos'!BL277,'LP Elementos'!BQ277,'LP Elementos'!BV277,'LP Elementos'!CA277,'LP Elementos'!CF277,'LP Elementos'!CK277,'LP Elementos'!CP277,'LP Elementos'!CU277,'LP Elementos'!CZ277)," ")</f>
        <v>53605.532699999996</v>
      </c>
      <c r="F277" s="341">
        <f>IFERROR(MEDIAN('LP Elementos'!F277,'LP Elementos'!I277,'LP Elementos'!N277,'LP Elementos'!S277,'LP Elementos'!X277,'LP Elementos'!AC277,'LP Elementos'!AH277,'LP Elementos'!AM277,'LP Elementos'!AR277,'LP Elementos'!AW277,'LP Elementos'!BB277,'LP Elementos'!BG277,'LP Elementos'!BL277,'LP Elementos'!BQ277,'LP Elementos'!BV277,'LP Elementos'!CA277,'LP Elementos'!CF277,'LP Elementos'!CK277,'LP Elementos'!CP277,'LP Elementos'!CU277,'LP Elementos'!CZ277)," ")</f>
        <v>53605.532699999996</v>
      </c>
      <c r="G277" s="341">
        <f>IFERROR(GEOMEAN('LP Elementos'!F277,'LP Elementos'!I277,'LP Elementos'!N277,'LP Elementos'!S277,'LP Elementos'!X277,'LP Elementos'!AC277,'LP Elementos'!AH277,'LP Elementos'!AM277,'LP Elementos'!AR277,'LP Elementos'!AW277,'LP Elementos'!BB277,'LP Elementos'!BG277,'LP Elementos'!BL277,'LP Elementos'!BQ277,'LP Elementos'!BV277,'LP Elementos'!CA277,'LP Elementos'!CF277,'LP Elementos'!CK277,'LP Elementos'!CP277,'LP Elementos'!CU277,'LP Elementos'!CZ277)," ")</f>
        <v>52720.159942314283</v>
      </c>
      <c r="H277" s="341">
        <f t="shared" si="20"/>
        <v>4722.1523113878802</v>
      </c>
      <c r="I277" s="342">
        <f t="shared" si="21"/>
        <v>8.8090763649623816E-2</v>
      </c>
      <c r="J277" s="341">
        <f t="shared" si="22"/>
        <v>53605.532699999996</v>
      </c>
      <c r="K277" s="326" t="str">
        <f t="shared" si="23"/>
        <v>Promedio</v>
      </c>
      <c r="L277" s="326">
        <f>IFERROR(COUNTA('LP Elementos'!F277,'LP Elementos'!I277,'LP Elementos'!N277,'LP Elementos'!S277,'LP Elementos'!X277,'LP Elementos'!AC277,'LP Elementos'!AH277,'LP Elementos'!AM277,'LP Elementos'!AR277,'LP Elementos'!AX277,'LP Elementos'!BB277,'LP Elementos'!BG277,'LP Elementos'!BL277,'LP Elementos'!BQ277,'LP Elementos'!BV277,'LP Elementos'!CA277,'LP Elementos'!CF277,'LP Elementos'!CK277,'LP Elementos'!CP277,'LP Elementos'!CU277,'LP Elementos'!CZ277)," ")</f>
        <v>2</v>
      </c>
    </row>
    <row r="278" spans="2:12" ht="27" x14ac:dyDescent="0.25">
      <c r="B278" s="411">
        <v>276</v>
      </c>
      <c r="C278" s="412" t="s">
        <v>3694</v>
      </c>
      <c r="D278" s="408">
        <f>IFERROR(MIN('LP Elementos'!F278,'LP Elementos'!I278,'LP Elementos'!N278,'LP Elementos'!S278,'LP Elementos'!X278,'LP Elementos'!AC278,'LP Elementos'!AH278,'LP Elementos'!AM278,'LP Elementos'!AR278,'LP Elementos'!AW278,'LP Elementos'!BB278,'LP Elementos'!BG278,'LP Elementos'!BL278,'LP Elementos'!BQ278,'LP Elementos'!BV278,'LP Elementos'!CA278,'LP Elementos'!CF278,'LP Elementos'!CK278,'LP Elementos'!CP278,'LP Elementos'!CU278,'LP Elementos'!CZ278)," ")</f>
        <v>165128.4204</v>
      </c>
      <c r="E278" s="341">
        <f>IFERROR(AVERAGE('LP Elementos'!F278,'LP Elementos'!I278,'LP Elementos'!N278,'LP Elementos'!S278,'LP Elementos'!X278,'LP Elementos'!AC278,'LP Elementos'!AH278,'LP Elementos'!AM278,'LP Elementos'!AR278,'LP Elementos'!AW278,'LP Elementos'!BB278,'LP Elementos'!BG278,'LP Elementos'!BL278,'LP Elementos'!BQ278,'LP Elementos'!BV278,'LP Elementos'!CA278,'LP Elementos'!CF278,'LP Elementos'!CK278,'LP Elementos'!CP278,'LP Elementos'!CU278,'LP Elementos'!CZ278)," ")</f>
        <v>165128.4204</v>
      </c>
      <c r="F278" s="341">
        <f>IFERROR(MEDIAN('LP Elementos'!F278,'LP Elementos'!I278,'LP Elementos'!N278,'LP Elementos'!S278,'LP Elementos'!X278,'LP Elementos'!AC278,'LP Elementos'!AH278,'LP Elementos'!AM278,'LP Elementos'!AR278,'LP Elementos'!AW278,'LP Elementos'!BB278,'LP Elementos'!BG278,'LP Elementos'!BL278,'LP Elementos'!BQ278,'LP Elementos'!BV278,'LP Elementos'!CA278,'LP Elementos'!CF278,'LP Elementos'!CK278,'LP Elementos'!CP278,'LP Elementos'!CU278,'LP Elementos'!CZ278)," ")</f>
        <v>165128.4204</v>
      </c>
      <c r="G278" s="341">
        <f>IFERROR(GEOMEAN('LP Elementos'!F278,'LP Elementos'!I278,'LP Elementos'!N278,'LP Elementos'!S278,'LP Elementos'!X278,'LP Elementos'!AC278,'LP Elementos'!AH278,'LP Elementos'!AM278,'LP Elementos'!AR278,'LP Elementos'!AW278,'LP Elementos'!BB278,'LP Elementos'!BG278,'LP Elementos'!BL278,'LP Elementos'!BQ278,'LP Elementos'!BV278,'LP Elementos'!CA278,'LP Elementos'!CF278,'LP Elementos'!CK278,'LP Elementos'!CP278,'LP Elementos'!CU278,'LP Elementos'!CZ278)," ")</f>
        <v>165128.4204</v>
      </c>
      <c r="H278" s="341">
        <f t="shared" si="20"/>
        <v>0</v>
      </c>
      <c r="I278" s="342">
        <f t="shared" si="21"/>
        <v>0</v>
      </c>
      <c r="J278" s="341">
        <f t="shared" si="22"/>
        <v>165128.4204</v>
      </c>
      <c r="K278" s="326" t="str">
        <f t="shared" si="23"/>
        <v>Menor Valor</v>
      </c>
      <c r="L278" s="326">
        <f>IFERROR(COUNTA('LP Elementos'!F278,'LP Elementos'!I278,'LP Elementos'!N278,'LP Elementos'!S278,'LP Elementos'!X278,'LP Elementos'!AC278,'LP Elementos'!AH278,'LP Elementos'!AM278,'LP Elementos'!AR278,'LP Elementos'!AX278,'LP Elementos'!BB278,'LP Elementos'!BG278,'LP Elementos'!BL278,'LP Elementos'!BQ278,'LP Elementos'!BV278,'LP Elementos'!CA278,'LP Elementos'!CF278,'LP Elementos'!CK278,'LP Elementos'!CP278,'LP Elementos'!CU278,'LP Elementos'!CZ278)," ")</f>
        <v>1</v>
      </c>
    </row>
    <row r="279" spans="2:12" ht="54" x14ac:dyDescent="0.25">
      <c r="B279" s="411">
        <v>277</v>
      </c>
      <c r="C279" s="412" t="s">
        <v>3696</v>
      </c>
      <c r="D279" s="408">
        <f>IFERROR(MIN('LP Elementos'!F279,'LP Elementos'!I279,'LP Elementos'!N279,'LP Elementos'!S279,'LP Elementos'!X279,'LP Elementos'!AC279,'LP Elementos'!AH279,'LP Elementos'!AM279,'LP Elementos'!AR279,'LP Elementos'!AW279,'LP Elementos'!BB279,'LP Elementos'!BG279,'LP Elementos'!BL279,'LP Elementos'!BQ279,'LP Elementos'!BV279,'LP Elementos'!CA279,'LP Elementos'!CF279,'LP Elementos'!CK279,'LP Elementos'!CP279,'LP Elementos'!CU279,'LP Elementos'!CZ279)," ")</f>
        <v>64738.722800000003</v>
      </c>
      <c r="E279" s="341">
        <f>IFERROR(AVERAGE('LP Elementos'!F279,'LP Elementos'!I279,'LP Elementos'!N279,'LP Elementos'!S279,'LP Elementos'!X279,'LP Elementos'!AC279,'LP Elementos'!AH279,'LP Elementos'!AM279,'LP Elementos'!AR279,'LP Elementos'!AW279,'LP Elementos'!BB279,'LP Elementos'!BG279,'LP Elementos'!BL279,'LP Elementos'!BQ279,'LP Elementos'!BV279,'LP Elementos'!CA279,'LP Elementos'!CF279,'LP Elementos'!CK279,'LP Elementos'!CP279,'LP Elementos'!CU279,'LP Elementos'!CZ279)," ")</f>
        <v>64738.722800000003</v>
      </c>
      <c r="F279" s="341">
        <f>IFERROR(MEDIAN('LP Elementos'!F279,'LP Elementos'!I279,'LP Elementos'!N279,'LP Elementos'!S279,'LP Elementos'!X279,'LP Elementos'!AC279,'LP Elementos'!AH279,'LP Elementos'!AM279,'LP Elementos'!AR279,'LP Elementos'!AW279,'LP Elementos'!BB279,'LP Elementos'!BG279,'LP Elementos'!BL279,'LP Elementos'!BQ279,'LP Elementos'!BV279,'LP Elementos'!CA279,'LP Elementos'!CF279,'LP Elementos'!CK279,'LP Elementos'!CP279,'LP Elementos'!CU279,'LP Elementos'!CZ279)," ")</f>
        <v>64738.722800000003</v>
      </c>
      <c r="G279" s="341">
        <f>IFERROR(GEOMEAN('LP Elementos'!F279,'LP Elementos'!I279,'LP Elementos'!N279,'LP Elementos'!S279,'LP Elementos'!X279,'LP Elementos'!AC279,'LP Elementos'!AH279,'LP Elementos'!AM279,'LP Elementos'!AR279,'LP Elementos'!AW279,'LP Elementos'!BB279,'LP Elementos'!BG279,'LP Elementos'!BL279,'LP Elementos'!BQ279,'LP Elementos'!BV279,'LP Elementos'!CA279,'LP Elementos'!CF279,'LP Elementos'!CK279,'LP Elementos'!CP279,'LP Elementos'!CU279,'LP Elementos'!CZ279)," ")</f>
        <v>64738.722800000003</v>
      </c>
      <c r="H279" s="341">
        <f t="shared" si="20"/>
        <v>0</v>
      </c>
      <c r="I279" s="342">
        <f t="shared" si="21"/>
        <v>0</v>
      </c>
      <c r="J279" s="341">
        <f t="shared" si="22"/>
        <v>64738.722800000003</v>
      </c>
      <c r="K279" s="326" t="str">
        <f t="shared" si="23"/>
        <v>Menor Valor</v>
      </c>
      <c r="L279" s="326">
        <f>IFERROR(COUNTA('LP Elementos'!F279,'LP Elementos'!I279,'LP Elementos'!N279,'LP Elementos'!S279,'LP Elementos'!X279,'LP Elementos'!AC279,'LP Elementos'!AH279,'LP Elementos'!AM279,'LP Elementos'!AR279,'LP Elementos'!AX279,'LP Elementos'!BB279,'LP Elementos'!BG279,'LP Elementos'!BL279,'LP Elementos'!BQ279,'LP Elementos'!BV279,'LP Elementos'!CA279,'LP Elementos'!CF279,'LP Elementos'!CK279,'LP Elementos'!CP279,'LP Elementos'!CU279,'LP Elementos'!CZ279)," ")</f>
        <v>1</v>
      </c>
    </row>
    <row r="280" spans="2:12" ht="54" x14ac:dyDescent="0.25">
      <c r="B280" s="411">
        <v>278</v>
      </c>
      <c r="C280" s="412" t="s">
        <v>3698</v>
      </c>
      <c r="D280" s="408">
        <f>IFERROR(MIN('LP Elementos'!F280,'LP Elementos'!I280,'LP Elementos'!N280,'LP Elementos'!S280,'LP Elementos'!X280,'LP Elementos'!AC280,'LP Elementos'!AH280,'LP Elementos'!AM280,'LP Elementos'!AR280,'LP Elementos'!AW280,'LP Elementos'!BB280,'LP Elementos'!BG280,'LP Elementos'!BL280,'LP Elementos'!BQ280,'LP Elementos'!BV280,'LP Elementos'!CA280,'LP Elementos'!CF280,'LP Elementos'!CK280,'LP Elementos'!CP280,'LP Elementos'!CU280,'LP Elementos'!CZ280)," ")</f>
        <v>64826.3874</v>
      </c>
      <c r="E280" s="341">
        <f>IFERROR(AVERAGE('LP Elementos'!F280,'LP Elementos'!I280,'LP Elementos'!N280,'LP Elementos'!S280,'LP Elementos'!X280,'LP Elementos'!AC280,'LP Elementos'!AH280,'LP Elementos'!AM280,'LP Elementos'!AR280,'LP Elementos'!AW280,'LP Elementos'!BB280,'LP Elementos'!BG280,'LP Elementos'!BL280,'LP Elementos'!BQ280,'LP Elementos'!BV280,'LP Elementos'!CA280,'LP Elementos'!CF280,'LP Elementos'!CK280,'LP Elementos'!CP280,'LP Elementos'!CU280,'LP Elementos'!CZ280)," ")</f>
        <v>64826.3874</v>
      </c>
      <c r="F280" s="341">
        <f>IFERROR(MEDIAN('LP Elementos'!F280,'LP Elementos'!I280,'LP Elementos'!N280,'LP Elementos'!S280,'LP Elementos'!X280,'LP Elementos'!AC280,'LP Elementos'!AH280,'LP Elementos'!AM280,'LP Elementos'!AR280,'LP Elementos'!AW280,'LP Elementos'!BB280,'LP Elementos'!BG280,'LP Elementos'!BL280,'LP Elementos'!BQ280,'LP Elementos'!BV280,'LP Elementos'!CA280,'LP Elementos'!CF280,'LP Elementos'!CK280,'LP Elementos'!CP280,'LP Elementos'!CU280,'LP Elementos'!CZ280)," ")</f>
        <v>64826.3874</v>
      </c>
      <c r="G280" s="341">
        <f>IFERROR(GEOMEAN('LP Elementos'!F280,'LP Elementos'!I280,'LP Elementos'!N280,'LP Elementos'!S280,'LP Elementos'!X280,'LP Elementos'!AC280,'LP Elementos'!AH280,'LP Elementos'!AM280,'LP Elementos'!AR280,'LP Elementos'!AW280,'LP Elementos'!BB280,'LP Elementos'!BG280,'LP Elementos'!BL280,'LP Elementos'!BQ280,'LP Elementos'!BV280,'LP Elementos'!CA280,'LP Elementos'!CF280,'LP Elementos'!CK280,'LP Elementos'!CP280,'LP Elementos'!CU280,'LP Elementos'!CZ280)," ")</f>
        <v>64826.3874</v>
      </c>
      <c r="H280" s="341">
        <f t="shared" si="20"/>
        <v>0</v>
      </c>
      <c r="I280" s="342">
        <f t="shared" si="21"/>
        <v>0</v>
      </c>
      <c r="J280" s="341">
        <f t="shared" si="22"/>
        <v>64826.3874</v>
      </c>
      <c r="K280" s="326" t="str">
        <f t="shared" si="23"/>
        <v>Menor Valor</v>
      </c>
      <c r="L280" s="326">
        <f>IFERROR(COUNTA('LP Elementos'!F280,'LP Elementos'!I280,'LP Elementos'!N280,'LP Elementos'!S280,'LP Elementos'!X280,'LP Elementos'!AC280,'LP Elementos'!AH280,'LP Elementos'!AM280,'LP Elementos'!AR280,'LP Elementos'!AX280,'LP Elementos'!BB280,'LP Elementos'!BG280,'LP Elementos'!BL280,'LP Elementos'!BQ280,'LP Elementos'!BV280,'LP Elementos'!CA280,'LP Elementos'!CF280,'LP Elementos'!CK280,'LP Elementos'!CP280,'LP Elementos'!CU280,'LP Elementos'!CZ280)," ")</f>
        <v>1</v>
      </c>
    </row>
    <row r="281" spans="2:12" ht="27" x14ac:dyDescent="0.25">
      <c r="B281" s="411">
        <v>279</v>
      </c>
      <c r="C281" s="409" t="s">
        <v>3699</v>
      </c>
      <c r="D281" s="408">
        <f>IFERROR(MIN('LP Elementos'!F281,'LP Elementos'!I281,'LP Elementos'!N281,'LP Elementos'!S281,'LP Elementos'!X281,'LP Elementos'!AC281,'LP Elementos'!AH281,'LP Elementos'!AM281,'LP Elementos'!AR281,'LP Elementos'!AW281,'LP Elementos'!BB281,'LP Elementos'!BG281,'LP Elementos'!BL281,'LP Elementos'!BQ281,'LP Elementos'!BV281,'LP Elementos'!CA281,'LP Elementos'!CF281,'LP Elementos'!CK281,'LP Elementos'!CP281,'LP Elementos'!CU281,'LP Elementos'!CZ281)," ")</f>
        <v>94265.85</v>
      </c>
      <c r="E281" s="341">
        <f>IFERROR(AVERAGE('LP Elementos'!F281,'LP Elementos'!I281,'LP Elementos'!N281,'LP Elementos'!S281,'LP Elementos'!X281,'LP Elementos'!AC281,'LP Elementos'!AH281,'LP Elementos'!AM281,'LP Elementos'!AR281,'LP Elementos'!AW281,'LP Elementos'!BB281,'LP Elementos'!BG281,'LP Elementos'!BL281,'LP Elementos'!BQ281,'LP Elementos'!BV281,'LP Elementos'!CA281,'LP Elementos'!CF281,'LP Elementos'!CK281,'LP Elementos'!CP281,'LP Elementos'!CU281,'LP Elementos'!CZ281)," ")</f>
        <v>94265.85</v>
      </c>
      <c r="F281" s="341">
        <f>IFERROR(MEDIAN('LP Elementos'!F281,'LP Elementos'!I281,'LP Elementos'!N281,'LP Elementos'!S281,'LP Elementos'!X281,'LP Elementos'!AC281,'LP Elementos'!AH281,'LP Elementos'!AM281,'LP Elementos'!AR281,'LP Elementos'!AW281,'LP Elementos'!BB281,'LP Elementos'!BG281,'LP Elementos'!BL281,'LP Elementos'!BQ281,'LP Elementos'!BV281,'LP Elementos'!CA281,'LP Elementos'!CF281,'LP Elementos'!CK281,'LP Elementos'!CP281,'LP Elementos'!CU281,'LP Elementos'!CZ281)," ")</f>
        <v>94265.85</v>
      </c>
      <c r="G281" s="341">
        <f>IFERROR(GEOMEAN('LP Elementos'!F281,'LP Elementos'!I281,'LP Elementos'!N281,'LP Elementos'!S281,'LP Elementos'!X281,'LP Elementos'!AC281,'LP Elementos'!AH281,'LP Elementos'!AM281,'LP Elementos'!AR281,'LP Elementos'!AW281,'LP Elementos'!BB281,'LP Elementos'!BG281,'LP Elementos'!BL281,'LP Elementos'!BQ281,'LP Elementos'!BV281,'LP Elementos'!CA281,'LP Elementos'!CF281,'LP Elementos'!CK281,'LP Elementos'!CP281,'LP Elementos'!CU281,'LP Elementos'!CZ281)," ")</f>
        <v>94265.85</v>
      </c>
      <c r="H281" s="341">
        <f t="shared" si="20"/>
        <v>0</v>
      </c>
      <c r="I281" s="342">
        <f t="shared" si="21"/>
        <v>0</v>
      </c>
      <c r="J281" s="341">
        <f t="shared" si="22"/>
        <v>94265.85</v>
      </c>
      <c r="K281" s="326" t="str">
        <f t="shared" si="23"/>
        <v>Menor Valor</v>
      </c>
      <c r="L281" s="326">
        <f>IFERROR(COUNTA('LP Elementos'!F281,'LP Elementos'!I281,'LP Elementos'!N281,'LP Elementos'!S281,'LP Elementos'!X281,'LP Elementos'!AC281,'LP Elementos'!AH281,'LP Elementos'!AM281,'LP Elementos'!AR281,'LP Elementos'!AX281,'LP Elementos'!BB281,'LP Elementos'!BG281,'LP Elementos'!BL281,'LP Elementos'!BQ281,'LP Elementos'!BV281,'LP Elementos'!CA281,'LP Elementos'!CF281,'LP Elementos'!CK281,'LP Elementos'!CP281,'LP Elementos'!CU281,'LP Elementos'!CZ281)," ")</f>
        <v>1</v>
      </c>
    </row>
    <row r="282" spans="2:12" ht="67.5" x14ac:dyDescent="0.25">
      <c r="B282" s="411">
        <v>280</v>
      </c>
      <c r="C282" s="412" t="s">
        <v>3701</v>
      </c>
      <c r="D282" s="408">
        <f>IFERROR(MIN('LP Elementos'!F282,'LP Elementos'!I282,'LP Elementos'!N282,'LP Elementos'!S282,'LP Elementos'!X282,'LP Elementos'!AC282,'LP Elementos'!AH282,'LP Elementos'!AM282,'LP Elementos'!AR282,'LP Elementos'!AW282,'LP Elementos'!BB282,'LP Elementos'!BG282,'LP Elementos'!BL282,'LP Elementos'!BQ282,'LP Elementos'!BV282,'LP Elementos'!CA282,'LP Elementos'!CF282,'LP Elementos'!CK282,'LP Elementos'!CP282,'LP Elementos'!CU282,'LP Elementos'!CZ282)," ")</f>
        <v>78386.939200000008</v>
      </c>
      <c r="E282" s="341">
        <f>IFERROR(AVERAGE('LP Elementos'!F282,'LP Elementos'!I282,'LP Elementos'!N282,'LP Elementos'!S282,'LP Elementos'!X282,'LP Elementos'!AC282,'LP Elementos'!AH282,'LP Elementos'!AM282,'LP Elementos'!AR282,'LP Elementos'!AW282,'LP Elementos'!BB282,'LP Elementos'!BG282,'LP Elementos'!BL282,'LP Elementos'!BQ282,'LP Elementos'!BV282,'LP Elementos'!CA282,'LP Elementos'!CF282,'LP Elementos'!CK282,'LP Elementos'!CP282,'LP Elementos'!CU282,'LP Elementos'!CZ282)," ")</f>
        <v>78386.939200000008</v>
      </c>
      <c r="F282" s="341">
        <f>IFERROR(MEDIAN('LP Elementos'!F282,'LP Elementos'!I282,'LP Elementos'!N282,'LP Elementos'!S282,'LP Elementos'!X282,'LP Elementos'!AC282,'LP Elementos'!AH282,'LP Elementos'!AM282,'LP Elementos'!AR282,'LP Elementos'!AW282,'LP Elementos'!BB282,'LP Elementos'!BG282,'LP Elementos'!BL282,'LP Elementos'!BQ282,'LP Elementos'!BV282,'LP Elementos'!CA282,'LP Elementos'!CF282,'LP Elementos'!CK282,'LP Elementos'!CP282,'LP Elementos'!CU282,'LP Elementos'!CZ282)," ")</f>
        <v>78386.939200000008</v>
      </c>
      <c r="G282" s="341">
        <f>IFERROR(GEOMEAN('LP Elementos'!F282,'LP Elementos'!I282,'LP Elementos'!N282,'LP Elementos'!S282,'LP Elementos'!X282,'LP Elementos'!AC282,'LP Elementos'!AH282,'LP Elementos'!AM282,'LP Elementos'!AR282,'LP Elementos'!AW282,'LP Elementos'!BB282,'LP Elementos'!BG282,'LP Elementos'!BL282,'LP Elementos'!BQ282,'LP Elementos'!BV282,'LP Elementos'!CA282,'LP Elementos'!CF282,'LP Elementos'!CK282,'LP Elementos'!CP282,'LP Elementos'!CU282,'LP Elementos'!CZ282)," ")</f>
        <v>78386.939200000008</v>
      </c>
      <c r="H282" s="341">
        <f t="shared" si="20"/>
        <v>0</v>
      </c>
      <c r="I282" s="342">
        <f t="shared" si="21"/>
        <v>0</v>
      </c>
      <c r="J282" s="341">
        <f t="shared" si="22"/>
        <v>78386.939200000008</v>
      </c>
      <c r="K282" s="326" t="str">
        <f t="shared" si="23"/>
        <v>Menor Valor</v>
      </c>
      <c r="L282" s="326">
        <f>IFERROR(COUNTA('LP Elementos'!F282,'LP Elementos'!I282,'LP Elementos'!N282,'LP Elementos'!S282,'LP Elementos'!X282,'LP Elementos'!AC282,'LP Elementos'!AH282,'LP Elementos'!AM282,'LP Elementos'!AR282,'LP Elementos'!AX282,'LP Elementos'!BB282,'LP Elementos'!BG282,'LP Elementos'!BL282,'LP Elementos'!BQ282,'LP Elementos'!BV282,'LP Elementos'!CA282,'LP Elementos'!CF282,'LP Elementos'!CK282,'LP Elementos'!CP282,'LP Elementos'!CU282,'LP Elementos'!CZ282)," ")</f>
        <v>1</v>
      </c>
    </row>
    <row r="283" spans="2:12" ht="67.5" x14ac:dyDescent="0.25">
      <c r="B283" s="411">
        <v>281</v>
      </c>
      <c r="C283" s="412" t="s">
        <v>3702</v>
      </c>
      <c r="D283" s="408">
        <f>IFERROR(MIN('LP Elementos'!F283,'LP Elementos'!I283,'LP Elementos'!N283,'LP Elementos'!S283,'LP Elementos'!X283,'LP Elementos'!AC283,'LP Elementos'!AH283,'LP Elementos'!AM283,'LP Elementos'!AR283,'LP Elementos'!AW283,'LP Elementos'!BB283,'LP Elementos'!BG283,'LP Elementos'!BL283,'LP Elementos'!BQ283,'LP Elementos'!BV283,'LP Elementos'!CA283,'LP Elementos'!CF283,'LP Elementos'!CK283,'LP Elementos'!CP283,'LP Elementos'!CU283,'LP Elementos'!CZ283)," ")</f>
        <v>77395.167400000006</v>
      </c>
      <c r="E283" s="341">
        <f>IFERROR(AVERAGE('LP Elementos'!F283,'LP Elementos'!I283,'LP Elementos'!N283,'LP Elementos'!S283,'LP Elementos'!X283,'LP Elementos'!AC283,'LP Elementos'!AH283,'LP Elementos'!AM283,'LP Elementos'!AR283,'LP Elementos'!AW283,'LP Elementos'!BB283,'LP Elementos'!BG283,'LP Elementos'!BL283,'LP Elementos'!BQ283,'LP Elementos'!BV283,'LP Elementos'!CA283,'LP Elementos'!CF283,'LP Elementos'!CK283,'LP Elementos'!CP283,'LP Elementos'!CU283,'LP Elementos'!CZ283)," ")</f>
        <v>77395.167400000006</v>
      </c>
      <c r="F283" s="341">
        <f>IFERROR(MEDIAN('LP Elementos'!F283,'LP Elementos'!I283,'LP Elementos'!N283,'LP Elementos'!S283,'LP Elementos'!X283,'LP Elementos'!AC283,'LP Elementos'!AH283,'LP Elementos'!AM283,'LP Elementos'!AR283,'LP Elementos'!AW283,'LP Elementos'!BB283,'LP Elementos'!BG283,'LP Elementos'!BL283,'LP Elementos'!BQ283,'LP Elementos'!BV283,'LP Elementos'!CA283,'LP Elementos'!CF283,'LP Elementos'!CK283,'LP Elementos'!CP283,'LP Elementos'!CU283,'LP Elementos'!CZ283)," ")</f>
        <v>77395.167400000006</v>
      </c>
      <c r="G283" s="341">
        <f>IFERROR(GEOMEAN('LP Elementos'!F283,'LP Elementos'!I283,'LP Elementos'!N283,'LP Elementos'!S283,'LP Elementos'!X283,'LP Elementos'!AC283,'LP Elementos'!AH283,'LP Elementos'!AM283,'LP Elementos'!AR283,'LP Elementos'!AW283,'LP Elementos'!BB283,'LP Elementos'!BG283,'LP Elementos'!BL283,'LP Elementos'!BQ283,'LP Elementos'!BV283,'LP Elementos'!CA283,'LP Elementos'!CF283,'LP Elementos'!CK283,'LP Elementos'!CP283,'LP Elementos'!CU283,'LP Elementos'!CZ283)," ")</f>
        <v>77395.167400000006</v>
      </c>
      <c r="H283" s="341">
        <f t="shared" si="20"/>
        <v>0</v>
      </c>
      <c r="I283" s="342">
        <f t="shared" si="21"/>
        <v>0</v>
      </c>
      <c r="J283" s="341">
        <f t="shared" si="22"/>
        <v>77395.167400000006</v>
      </c>
      <c r="K283" s="326" t="str">
        <f t="shared" si="23"/>
        <v>Menor Valor</v>
      </c>
      <c r="L283" s="326">
        <f>IFERROR(COUNTA('LP Elementos'!F283,'LP Elementos'!I283,'LP Elementos'!N283,'LP Elementos'!S283,'LP Elementos'!X283,'LP Elementos'!AC283,'LP Elementos'!AH283,'LP Elementos'!AM283,'LP Elementos'!AR283,'LP Elementos'!AX283,'LP Elementos'!BB283,'LP Elementos'!BG283,'LP Elementos'!BL283,'LP Elementos'!BQ283,'LP Elementos'!BV283,'LP Elementos'!CA283,'LP Elementos'!CF283,'LP Elementos'!CK283,'LP Elementos'!CP283,'LP Elementos'!CU283,'LP Elementos'!CZ283)," ")</f>
        <v>1</v>
      </c>
    </row>
    <row r="284" spans="2:12" ht="67.5" x14ac:dyDescent="0.25">
      <c r="B284" s="411">
        <v>282</v>
      </c>
      <c r="C284" s="412" t="s">
        <v>3704</v>
      </c>
      <c r="D284" s="408">
        <f>IFERROR(MIN('LP Elementos'!F284,'LP Elementos'!I284,'LP Elementos'!N284,'LP Elementos'!S284,'LP Elementos'!X284,'LP Elementos'!AC284,'LP Elementos'!AH284,'LP Elementos'!AM284,'LP Elementos'!AR284,'LP Elementos'!AW284,'LP Elementos'!BB284,'LP Elementos'!BG284,'LP Elementos'!BL284,'LP Elementos'!BQ284,'LP Elementos'!BV284,'LP Elementos'!CA284,'LP Elementos'!CF284,'LP Elementos'!CK284,'LP Elementos'!CP284,'LP Elementos'!CU284,'LP Elementos'!CZ284)," ")</f>
        <v>83559.150600000008</v>
      </c>
      <c r="E284" s="341">
        <f>IFERROR(AVERAGE('LP Elementos'!F284,'LP Elementos'!I284,'LP Elementos'!N284,'LP Elementos'!S284,'LP Elementos'!X284,'LP Elementos'!AC284,'LP Elementos'!AH284,'LP Elementos'!AM284,'LP Elementos'!AR284,'LP Elementos'!AW284,'LP Elementos'!BB284,'LP Elementos'!BG284,'LP Elementos'!BL284,'LP Elementos'!BQ284,'LP Elementos'!BV284,'LP Elementos'!CA284,'LP Elementos'!CF284,'LP Elementos'!CK284,'LP Elementos'!CP284,'LP Elementos'!CU284,'LP Elementos'!CZ284)," ")</f>
        <v>83559.150600000008</v>
      </c>
      <c r="F284" s="341">
        <f>IFERROR(MEDIAN('LP Elementos'!F284,'LP Elementos'!I284,'LP Elementos'!N284,'LP Elementos'!S284,'LP Elementos'!X284,'LP Elementos'!AC284,'LP Elementos'!AH284,'LP Elementos'!AM284,'LP Elementos'!AR284,'LP Elementos'!AW284,'LP Elementos'!BB284,'LP Elementos'!BG284,'LP Elementos'!BL284,'LP Elementos'!BQ284,'LP Elementos'!BV284,'LP Elementos'!CA284,'LP Elementos'!CF284,'LP Elementos'!CK284,'LP Elementos'!CP284,'LP Elementos'!CU284,'LP Elementos'!CZ284)," ")</f>
        <v>83559.150600000008</v>
      </c>
      <c r="G284" s="341">
        <f>IFERROR(GEOMEAN('LP Elementos'!F284,'LP Elementos'!I284,'LP Elementos'!N284,'LP Elementos'!S284,'LP Elementos'!X284,'LP Elementos'!AC284,'LP Elementos'!AH284,'LP Elementos'!AM284,'LP Elementos'!AR284,'LP Elementos'!AW284,'LP Elementos'!BB284,'LP Elementos'!BG284,'LP Elementos'!BL284,'LP Elementos'!BQ284,'LP Elementos'!BV284,'LP Elementos'!CA284,'LP Elementos'!CF284,'LP Elementos'!CK284,'LP Elementos'!CP284,'LP Elementos'!CU284,'LP Elementos'!CZ284)," ")</f>
        <v>83559.150600000008</v>
      </c>
      <c r="H284" s="341">
        <f t="shared" si="20"/>
        <v>0</v>
      </c>
      <c r="I284" s="342">
        <f t="shared" si="21"/>
        <v>0</v>
      </c>
      <c r="J284" s="341">
        <f t="shared" si="22"/>
        <v>83559.150600000008</v>
      </c>
      <c r="K284" s="326" t="str">
        <f t="shared" si="23"/>
        <v>Menor Valor</v>
      </c>
      <c r="L284" s="326">
        <f>IFERROR(COUNTA('LP Elementos'!F284,'LP Elementos'!I284,'LP Elementos'!N284,'LP Elementos'!S284,'LP Elementos'!X284,'LP Elementos'!AC284,'LP Elementos'!AH284,'LP Elementos'!AM284,'LP Elementos'!AR284,'LP Elementos'!AX284,'LP Elementos'!BB284,'LP Elementos'!BG284,'LP Elementos'!BL284,'LP Elementos'!BQ284,'LP Elementos'!BV284,'LP Elementos'!CA284,'LP Elementos'!CF284,'LP Elementos'!CK284,'LP Elementos'!CP284,'LP Elementos'!CU284,'LP Elementos'!CZ284)," ")</f>
        <v>1</v>
      </c>
    </row>
    <row r="285" spans="2:12" ht="54" x14ac:dyDescent="0.25">
      <c r="B285" s="411">
        <v>283</v>
      </c>
      <c r="C285" s="412" t="s">
        <v>3705</v>
      </c>
      <c r="D285" s="408">
        <f>IFERROR(MIN('LP Elementos'!F285,'LP Elementos'!I285,'LP Elementos'!N285,'LP Elementos'!S285,'LP Elementos'!X285,'LP Elementos'!AC285,'LP Elementos'!AH285,'LP Elementos'!AM285,'LP Elementos'!AR285,'LP Elementos'!AW285,'LP Elementos'!BB285,'LP Elementos'!BG285,'LP Elementos'!BL285,'LP Elementos'!BQ285,'LP Elementos'!BV285,'LP Elementos'!CA285,'LP Elementos'!CF285,'LP Elementos'!CK285,'LP Elementos'!CP285,'LP Elementos'!CU285,'LP Elementos'!CZ285)," ")</f>
        <v>153087.74040000001</v>
      </c>
      <c r="E285" s="341">
        <f>IFERROR(AVERAGE('LP Elementos'!F285,'LP Elementos'!I285,'LP Elementos'!N285,'LP Elementos'!S285,'LP Elementos'!X285,'LP Elementos'!AC285,'LP Elementos'!AH285,'LP Elementos'!AM285,'LP Elementos'!AR285,'LP Elementos'!AW285,'LP Elementos'!BB285,'LP Elementos'!BG285,'LP Elementos'!BL285,'LP Elementos'!BQ285,'LP Elementos'!BV285,'LP Elementos'!CA285,'LP Elementos'!CF285,'LP Elementos'!CK285,'LP Elementos'!CP285,'LP Elementos'!CU285,'LP Elementos'!CZ285)," ")</f>
        <v>269989.24680000002</v>
      </c>
      <c r="F285" s="341">
        <f>IFERROR(MEDIAN('LP Elementos'!F285,'LP Elementos'!I285,'LP Elementos'!N285,'LP Elementos'!S285,'LP Elementos'!X285,'LP Elementos'!AC285,'LP Elementos'!AH285,'LP Elementos'!AM285,'LP Elementos'!AR285,'LP Elementos'!AW285,'LP Elementos'!BB285,'LP Elementos'!BG285,'LP Elementos'!BL285,'LP Elementos'!BQ285,'LP Elementos'!BV285,'LP Elementos'!CA285,'LP Elementos'!CF285,'LP Elementos'!CK285,'LP Elementos'!CP285,'LP Elementos'!CU285,'LP Elementos'!CZ285)," ")</f>
        <v>226100</v>
      </c>
      <c r="G285" s="341">
        <f>IFERROR(GEOMEAN('LP Elementos'!F285,'LP Elementos'!I285,'LP Elementos'!N285,'LP Elementos'!S285,'LP Elementos'!X285,'LP Elementos'!AC285,'LP Elementos'!AH285,'LP Elementos'!AM285,'LP Elementos'!AR285,'LP Elementos'!AW285,'LP Elementos'!BB285,'LP Elementos'!BG285,'LP Elementos'!BL285,'LP Elementos'!BQ285,'LP Elementos'!BV285,'LP Elementos'!CA285,'LP Elementos'!CF285,'LP Elementos'!CK285,'LP Elementos'!CP285,'LP Elementos'!CU285,'LP Elementos'!CZ285)," ")</f>
        <v>246130.53878098744</v>
      </c>
      <c r="H285" s="341">
        <f t="shared" si="20"/>
        <v>50456.615851240938</v>
      </c>
      <c r="I285" s="342">
        <f t="shared" si="21"/>
        <v>0.18688379796332294</v>
      </c>
      <c r="J285" s="341">
        <f t="shared" si="22"/>
        <v>269989.24680000002</v>
      </c>
      <c r="K285" s="326" t="str">
        <f t="shared" si="23"/>
        <v>Promedio</v>
      </c>
      <c r="L285" s="326">
        <f>IFERROR(COUNTA('LP Elementos'!F285,'LP Elementos'!I285,'LP Elementos'!N285,'LP Elementos'!S285,'LP Elementos'!X285,'LP Elementos'!AC285,'LP Elementos'!AH285,'LP Elementos'!AM285,'LP Elementos'!AR285,'LP Elementos'!AX285,'LP Elementos'!BB285,'LP Elementos'!BG285,'LP Elementos'!BL285,'LP Elementos'!BQ285,'LP Elementos'!BV285,'LP Elementos'!CA285,'LP Elementos'!CF285,'LP Elementos'!CK285,'LP Elementos'!CP285,'LP Elementos'!CU285,'LP Elementos'!CZ285)," ")</f>
        <v>3</v>
      </c>
    </row>
    <row r="286" spans="2:12" ht="54" x14ac:dyDescent="0.25">
      <c r="B286" s="411">
        <v>284</v>
      </c>
      <c r="C286" s="412" t="s">
        <v>3712</v>
      </c>
      <c r="D286" s="408">
        <f>IFERROR(MIN('LP Elementos'!F286,'LP Elementos'!I286,'LP Elementos'!N286,'LP Elementos'!S286,'LP Elementos'!X286,'LP Elementos'!AC286,'LP Elementos'!AH286,'LP Elementos'!AM286,'LP Elementos'!AR286,'LP Elementos'!AW286,'LP Elementos'!BB286,'LP Elementos'!BG286,'LP Elementos'!BL286,'LP Elementos'!BQ286,'LP Elementos'!BV286,'LP Elementos'!CA286,'LP Elementos'!CF286,'LP Elementos'!CK286,'LP Elementos'!CP286,'LP Elementos'!CU286,'LP Elementos'!CZ286)," ")</f>
        <v>157318.87760000001</v>
      </c>
      <c r="E286" s="341">
        <f>IFERROR(AVERAGE('LP Elementos'!F286,'LP Elementos'!I286,'LP Elementos'!N286,'LP Elementos'!S286,'LP Elementos'!X286,'LP Elementos'!AC286,'LP Elementos'!AH286,'LP Elementos'!AM286,'LP Elementos'!AR286,'LP Elementos'!AW286,'LP Elementos'!BB286,'LP Elementos'!BG286,'LP Elementos'!BL286,'LP Elementos'!BQ286,'LP Elementos'!BV286,'LP Elementos'!CA286,'LP Elementos'!CF286,'LP Elementos'!CK286,'LP Elementos'!CP286,'LP Elementos'!CU286,'LP Elementos'!CZ286)," ")</f>
        <v>271399.62586666667</v>
      </c>
      <c r="F286" s="341">
        <f>IFERROR(MEDIAN('LP Elementos'!F286,'LP Elementos'!I286,'LP Elementos'!N286,'LP Elementos'!S286,'LP Elementos'!X286,'LP Elementos'!AC286,'LP Elementos'!AH286,'LP Elementos'!AM286,'LP Elementos'!AR286,'LP Elementos'!AW286,'LP Elementos'!BB286,'LP Elementos'!BG286,'LP Elementos'!BL286,'LP Elementos'!BQ286,'LP Elementos'!BV286,'LP Elementos'!CA286,'LP Elementos'!CF286,'LP Elementos'!CK286,'LP Elementos'!CP286,'LP Elementos'!CU286,'LP Elementos'!CZ286)," ")</f>
        <v>226100</v>
      </c>
      <c r="G286" s="341">
        <f>IFERROR(GEOMEAN('LP Elementos'!F286,'LP Elementos'!I286,'LP Elementos'!N286,'LP Elementos'!S286,'LP Elementos'!X286,'LP Elementos'!AC286,'LP Elementos'!AH286,'LP Elementos'!AM286,'LP Elementos'!AR286,'LP Elementos'!AW286,'LP Elementos'!BB286,'LP Elementos'!BG286,'LP Elementos'!BL286,'LP Elementos'!BQ286,'LP Elementos'!BV286,'LP Elementos'!CA286,'LP Elementos'!CF286,'LP Elementos'!CK286,'LP Elementos'!CP286,'LP Elementos'!CU286,'LP Elementos'!CZ286)," ")</f>
        <v>248377.53415427645</v>
      </c>
      <c r="H286" s="341">
        <f t="shared" si="20"/>
        <v>49257.233136891307</v>
      </c>
      <c r="I286" s="342">
        <f t="shared" si="21"/>
        <v>0.18149337155346862</v>
      </c>
      <c r="J286" s="341">
        <f t="shared" si="22"/>
        <v>271399.62586666667</v>
      </c>
      <c r="K286" s="326" t="str">
        <f t="shared" si="23"/>
        <v>Promedio</v>
      </c>
      <c r="L286" s="326">
        <f>IFERROR(COUNTA('LP Elementos'!F286,'LP Elementos'!I286,'LP Elementos'!N286,'LP Elementos'!S286,'LP Elementos'!X286,'LP Elementos'!AC286,'LP Elementos'!AH286,'LP Elementos'!AM286,'LP Elementos'!AR286,'LP Elementos'!AX286,'LP Elementos'!BB286,'LP Elementos'!BG286,'LP Elementos'!BL286,'LP Elementos'!BQ286,'LP Elementos'!BV286,'LP Elementos'!CA286,'LP Elementos'!CF286,'LP Elementos'!CK286,'LP Elementos'!CP286,'LP Elementos'!CU286,'LP Elementos'!CZ286)," ")</f>
        <v>3</v>
      </c>
    </row>
    <row r="287" spans="2:12" ht="54" x14ac:dyDescent="0.25">
      <c r="B287" s="411">
        <v>285</v>
      </c>
      <c r="C287" s="412" t="s">
        <v>3716</v>
      </c>
      <c r="D287" s="408">
        <f>IFERROR(MIN('LP Elementos'!F287,'LP Elementos'!I287,'LP Elementos'!N287,'LP Elementos'!S287,'LP Elementos'!X287,'LP Elementos'!AC287,'LP Elementos'!AH287,'LP Elementos'!AM287,'LP Elementos'!AR287,'LP Elementos'!AW287,'LP Elementos'!BB287,'LP Elementos'!BG287,'LP Elementos'!BL287,'LP Elementos'!BQ287,'LP Elementos'!BV287,'LP Elementos'!CA287,'LP Elementos'!CF287,'LP Elementos'!CK287,'LP Elementos'!CP287,'LP Elementos'!CU287,'LP Elementos'!CZ287)," ")</f>
        <v>157318.87760000001</v>
      </c>
      <c r="E287" s="341">
        <f>IFERROR(AVERAGE('LP Elementos'!F287,'LP Elementos'!I287,'LP Elementos'!N287,'LP Elementos'!S287,'LP Elementos'!X287,'LP Elementos'!AC287,'LP Elementos'!AH287,'LP Elementos'!AM287,'LP Elementos'!AR287,'LP Elementos'!AW287,'LP Elementos'!BB287,'LP Elementos'!BG287,'LP Elementos'!BL287,'LP Elementos'!BQ287,'LP Elementos'!BV287,'LP Elementos'!CA287,'LP Elementos'!CF287,'LP Elementos'!CK287,'LP Elementos'!CP287,'LP Elementos'!CU287,'LP Elementos'!CZ287)," ")</f>
        <v>271399.62586666667</v>
      </c>
      <c r="F287" s="341">
        <f>IFERROR(MEDIAN('LP Elementos'!F287,'LP Elementos'!I287,'LP Elementos'!N287,'LP Elementos'!S287,'LP Elementos'!X287,'LP Elementos'!AC287,'LP Elementos'!AH287,'LP Elementos'!AM287,'LP Elementos'!AR287,'LP Elementos'!AW287,'LP Elementos'!BB287,'LP Elementos'!BG287,'LP Elementos'!BL287,'LP Elementos'!BQ287,'LP Elementos'!BV287,'LP Elementos'!CA287,'LP Elementos'!CF287,'LP Elementos'!CK287,'LP Elementos'!CP287,'LP Elementos'!CU287,'LP Elementos'!CZ287)," ")</f>
        <v>226100</v>
      </c>
      <c r="G287" s="341">
        <f>IFERROR(GEOMEAN('LP Elementos'!F287,'LP Elementos'!I287,'LP Elementos'!N287,'LP Elementos'!S287,'LP Elementos'!X287,'LP Elementos'!AC287,'LP Elementos'!AH287,'LP Elementos'!AM287,'LP Elementos'!AR287,'LP Elementos'!AW287,'LP Elementos'!BB287,'LP Elementos'!BG287,'LP Elementos'!BL287,'LP Elementos'!BQ287,'LP Elementos'!BV287,'LP Elementos'!CA287,'LP Elementos'!CF287,'LP Elementos'!CK287,'LP Elementos'!CP287,'LP Elementos'!CU287,'LP Elementos'!CZ287)," ")</f>
        <v>248377.53415427645</v>
      </c>
      <c r="H287" s="341">
        <f t="shared" si="20"/>
        <v>49257.233136891307</v>
      </c>
      <c r="I287" s="342">
        <f t="shared" si="21"/>
        <v>0.18149337155346862</v>
      </c>
      <c r="J287" s="341">
        <f t="shared" si="22"/>
        <v>271399.62586666667</v>
      </c>
      <c r="K287" s="326" t="str">
        <f t="shared" si="23"/>
        <v>Promedio</v>
      </c>
      <c r="L287" s="326">
        <f>IFERROR(COUNTA('LP Elementos'!F287,'LP Elementos'!I287,'LP Elementos'!N287,'LP Elementos'!S287,'LP Elementos'!X287,'LP Elementos'!AC287,'LP Elementos'!AH287,'LP Elementos'!AM287,'LP Elementos'!AR287,'LP Elementos'!AX287,'LP Elementos'!BB287,'LP Elementos'!BG287,'LP Elementos'!BL287,'LP Elementos'!BQ287,'LP Elementos'!BV287,'LP Elementos'!CA287,'LP Elementos'!CF287,'LP Elementos'!CK287,'LP Elementos'!CP287,'LP Elementos'!CU287,'LP Elementos'!CZ287)," ")</f>
        <v>3</v>
      </c>
    </row>
    <row r="288" spans="2:12" x14ac:dyDescent="0.25">
      <c r="B288" s="411">
        <v>286</v>
      </c>
      <c r="C288" s="412" t="s">
        <v>3720</v>
      </c>
      <c r="D288" s="408">
        <f>IFERROR(MIN('LP Elementos'!F288,'LP Elementos'!I288,'LP Elementos'!N288,'LP Elementos'!S288,'LP Elementos'!X288,'LP Elementos'!AC288,'LP Elementos'!AH288,'LP Elementos'!AM288,'LP Elementos'!AR288,'LP Elementos'!AW288,'LP Elementos'!BB288,'LP Elementos'!BG288,'LP Elementos'!BL288,'LP Elementos'!BQ288,'LP Elementos'!BV288,'LP Elementos'!CA288,'LP Elementos'!CF288,'LP Elementos'!CK288,'LP Elementos'!CP288,'LP Elementos'!CU288,'LP Elementos'!CZ288)," ")</f>
        <v>17596.292000000001</v>
      </c>
      <c r="E288" s="341">
        <f>IFERROR(AVERAGE('LP Elementos'!F288,'LP Elementos'!I288,'LP Elementos'!N288,'LP Elementos'!S288,'LP Elementos'!X288,'LP Elementos'!AC288,'LP Elementos'!AH288,'LP Elementos'!AM288,'LP Elementos'!AR288,'LP Elementos'!AW288,'LP Elementos'!BB288,'LP Elementos'!BG288,'LP Elementos'!BL288,'LP Elementos'!BQ288,'LP Elementos'!BV288,'LP Elementos'!CA288,'LP Elementos'!CF288,'LP Elementos'!CK288,'LP Elementos'!CP288,'LP Elementos'!CU288,'LP Elementos'!CZ288)," ")</f>
        <v>18318.146000000001</v>
      </c>
      <c r="F288" s="341">
        <f>IFERROR(MEDIAN('LP Elementos'!F288,'LP Elementos'!I288,'LP Elementos'!N288,'LP Elementos'!S288,'LP Elementos'!X288,'LP Elementos'!AC288,'LP Elementos'!AH288,'LP Elementos'!AM288,'LP Elementos'!AR288,'LP Elementos'!AW288,'LP Elementos'!BB288,'LP Elementos'!BG288,'LP Elementos'!BL288,'LP Elementos'!BQ288,'LP Elementos'!BV288,'LP Elementos'!CA288,'LP Elementos'!CF288,'LP Elementos'!CK288,'LP Elementos'!CP288,'LP Elementos'!CU288,'LP Elementos'!CZ288)," ")</f>
        <v>18318.146000000001</v>
      </c>
      <c r="G288" s="341">
        <f>IFERROR(GEOMEAN('LP Elementos'!F288,'LP Elementos'!I288,'LP Elementos'!N288,'LP Elementos'!S288,'LP Elementos'!X288,'LP Elementos'!AC288,'LP Elementos'!AH288,'LP Elementos'!AM288,'LP Elementos'!AR288,'LP Elementos'!AW288,'LP Elementos'!BB288,'LP Elementos'!BG288,'LP Elementos'!BL288,'LP Elementos'!BQ288,'LP Elementos'!BV288,'LP Elementos'!CA288,'LP Elementos'!CF288,'LP Elementos'!CK288,'LP Elementos'!CP288,'LP Elementos'!CU288,'LP Elementos'!CZ288)," ")</f>
        <v>18303.917604709655</v>
      </c>
      <c r="H288" s="341">
        <f t="shared" si="20"/>
        <v>358.61833071964992</v>
      </c>
      <c r="I288" s="342">
        <f t="shared" si="21"/>
        <v>1.9577217624515596E-2</v>
      </c>
      <c r="J288" s="341">
        <f t="shared" si="22"/>
        <v>18318.146000000001</v>
      </c>
      <c r="K288" s="326" t="str">
        <f t="shared" si="23"/>
        <v>Promedio</v>
      </c>
      <c r="L288" s="326">
        <f>IFERROR(COUNTA('LP Elementos'!F288,'LP Elementos'!I288,'LP Elementos'!N288,'LP Elementos'!S288,'LP Elementos'!X288,'LP Elementos'!AC288,'LP Elementos'!AH288,'LP Elementos'!AM288,'LP Elementos'!AR288,'LP Elementos'!AX288,'LP Elementos'!BB288,'LP Elementos'!BG288,'LP Elementos'!BL288,'LP Elementos'!BQ288,'LP Elementos'!BV288,'LP Elementos'!CA288,'LP Elementos'!CF288,'LP Elementos'!CK288,'LP Elementos'!CP288,'LP Elementos'!CU288,'LP Elementos'!CZ288)," ")</f>
        <v>2</v>
      </c>
    </row>
    <row r="289" spans="2:12" x14ac:dyDescent="0.25">
      <c r="B289" s="411">
        <v>287</v>
      </c>
      <c r="C289" s="412" t="s">
        <v>3723</v>
      </c>
      <c r="D289" s="408">
        <f>IFERROR(MIN('LP Elementos'!F289,'LP Elementos'!I289,'LP Elementos'!N289,'LP Elementos'!S289,'LP Elementos'!X289,'LP Elementos'!AC289,'LP Elementos'!AH289,'LP Elementos'!AM289,'LP Elementos'!AR289,'LP Elementos'!AW289,'LP Elementos'!BB289,'LP Elementos'!BG289,'LP Elementos'!BL289,'LP Elementos'!BQ289,'LP Elementos'!BV289,'LP Elementos'!CA289,'LP Elementos'!CF289,'LP Elementos'!CK289,'LP Elementos'!CP289,'LP Elementos'!CU289,'LP Elementos'!CZ289)," ")</f>
        <v>16660</v>
      </c>
      <c r="E289" s="341">
        <f>IFERROR(AVERAGE('LP Elementos'!F289,'LP Elementos'!I289,'LP Elementos'!N289,'LP Elementos'!S289,'LP Elementos'!X289,'LP Elementos'!AC289,'LP Elementos'!AH289,'LP Elementos'!AM289,'LP Elementos'!AR289,'LP Elementos'!AW289,'LP Elementos'!BB289,'LP Elementos'!BG289,'LP Elementos'!BL289,'LP Elementos'!BQ289,'LP Elementos'!BV289,'LP Elementos'!CA289,'LP Elementos'!CF289,'LP Elementos'!CK289,'LP Elementos'!CP289,'LP Elementos'!CU289,'LP Elementos'!CZ289)," ")</f>
        <v>17756.584999999999</v>
      </c>
      <c r="F289" s="341">
        <f>IFERROR(MEDIAN('LP Elementos'!F289,'LP Elementos'!I289,'LP Elementos'!N289,'LP Elementos'!S289,'LP Elementos'!X289,'LP Elementos'!AC289,'LP Elementos'!AH289,'LP Elementos'!AM289,'LP Elementos'!AR289,'LP Elementos'!AW289,'LP Elementos'!BB289,'LP Elementos'!BG289,'LP Elementos'!BL289,'LP Elementos'!BQ289,'LP Elementos'!BV289,'LP Elementos'!CA289,'LP Elementos'!CF289,'LP Elementos'!CK289,'LP Elementos'!CP289,'LP Elementos'!CU289,'LP Elementos'!CZ289)," ")</f>
        <v>17756.584999999999</v>
      </c>
      <c r="G289" s="341">
        <f>IFERROR(GEOMEAN('LP Elementos'!F289,'LP Elementos'!I289,'LP Elementos'!N289,'LP Elementos'!S289,'LP Elementos'!X289,'LP Elementos'!AC289,'LP Elementos'!AH289,'LP Elementos'!AM289,'LP Elementos'!AR289,'LP Elementos'!AW289,'LP Elementos'!BB289,'LP Elementos'!BG289,'LP Elementos'!BL289,'LP Elementos'!BQ289,'LP Elementos'!BV289,'LP Elementos'!CA289,'LP Elementos'!CF289,'LP Elementos'!CK289,'LP Elementos'!CP289,'LP Elementos'!CU289,'LP Elementos'!CZ289)," ")</f>
        <v>17722.692013348311</v>
      </c>
      <c r="H289" s="341">
        <f t="shared" si="20"/>
        <v>542.87883153706787</v>
      </c>
      <c r="I289" s="342">
        <f t="shared" si="21"/>
        <v>3.0573380609901505E-2</v>
      </c>
      <c r="J289" s="341">
        <f t="shared" si="22"/>
        <v>17756.584999999999</v>
      </c>
      <c r="K289" s="326" t="str">
        <f t="shared" si="23"/>
        <v>Promedio</v>
      </c>
      <c r="L289" s="326">
        <f>IFERROR(COUNTA('LP Elementos'!F289,'LP Elementos'!I289,'LP Elementos'!N289,'LP Elementos'!S289,'LP Elementos'!X289,'LP Elementos'!AC289,'LP Elementos'!AH289,'LP Elementos'!AM289,'LP Elementos'!AR289,'LP Elementos'!AX289,'LP Elementos'!BB289,'LP Elementos'!BG289,'LP Elementos'!BL289,'LP Elementos'!BQ289,'LP Elementos'!BV289,'LP Elementos'!CA289,'LP Elementos'!CF289,'LP Elementos'!CK289,'LP Elementos'!CP289,'LP Elementos'!CU289,'LP Elementos'!CZ289)," ")</f>
        <v>2</v>
      </c>
    </row>
    <row r="290" spans="2:12" ht="40.5" x14ac:dyDescent="0.25">
      <c r="B290" s="411">
        <v>288</v>
      </c>
      <c r="C290" s="412" t="s">
        <v>3724</v>
      </c>
      <c r="D290" s="408">
        <f>IFERROR(MIN('LP Elementos'!F290,'LP Elementos'!I290,'LP Elementos'!N290,'LP Elementos'!S290,'LP Elementos'!X290,'LP Elementos'!AC290,'LP Elementos'!AH290,'LP Elementos'!AM290,'LP Elementos'!AR290,'LP Elementos'!AW290,'LP Elementos'!BB290,'LP Elementos'!BG290,'LP Elementos'!BL290,'LP Elementos'!BQ290,'LP Elementos'!BV290,'LP Elementos'!CA290,'LP Elementos'!CF290,'LP Elementos'!CK290,'LP Elementos'!CP290,'LP Elementos'!CU290,'LP Elementos'!CZ290)," ")</f>
        <v>90620.9038</v>
      </c>
      <c r="E290" s="341">
        <f>IFERROR(AVERAGE('LP Elementos'!F290,'LP Elementos'!I290,'LP Elementos'!N290,'LP Elementos'!S290,'LP Elementos'!X290,'LP Elementos'!AC290,'LP Elementos'!AH290,'LP Elementos'!AM290,'LP Elementos'!AR290,'LP Elementos'!AW290,'LP Elementos'!BB290,'LP Elementos'!BG290,'LP Elementos'!BL290,'LP Elementos'!BQ290,'LP Elementos'!BV290,'LP Elementos'!CA290,'LP Elementos'!CF290,'LP Elementos'!CK290,'LP Elementos'!CP290,'LP Elementos'!CU290,'LP Elementos'!CZ290)," ")</f>
        <v>90620.9038</v>
      </c>
      <c r="F290" s="341">
        <f>IFERROR(MEDIAN('LP Elementos'!F290,'LP Elementos'!I290,'LP Elementos'!N290,'LP Elementos'!S290,'LP Elementos'!X290,'LP Elementos'!AC290,'LP Elementos'!AH290,'LP Elementos'!AM290,'LP Elementos'!AR290,'LP Elementos'!AW290,'LP Elementos'!BB290,'LP Elementos'!BG290,'LP Elementos'!BL290,'LP Elementos'!BQ290,'LP Elementos'!BV290,'LP Elementos'!CA290,'LP Elementos'!CF290,'LP Elementos'!CK290,'LP Elementos'!CP290,'LP Elementos'!CU290,'LP Elementos'!CZ290)," ")</f>
        <v>90620.9038</v>
      </c>
      <c r="G290" s="341">
        <f>IFERROR(GEOMEAN('LP Elementos'!F290,'LP Elementos'!I290,'LP Elementos'!N290,'LP Elementos'!S290,'LP Elementos'!X290,'LP Elementos'!AC290,'LP Elementos'!AH290,'LP Elementos'!AM290,'LP Elementos'!AR290,'LP Elementos'!AW290,'LP Elementos'!BB290,'LP Elementos'!BG290,'LP Elementos'!BL290,'LP Elementos'!BQ290,'LP Elementos'!BV290,'LP Elementos'!CA290,'LP Elementos'!CF290,'LP Elementos'!CK290,'LP Elementos'!CP290,'LP Elementos'!CU290,'LP Elementos'!CZ290)," ")</f>
        <v>90620.9038</v>
      </c>
      <c r="H290" s="341">
        <f t="shared" si="20"/>
        <v>0</v>
      </c>
      <c r="I290" s="342">
        <f t="shared" si="21"/>
        <v>0</v>
      </c>
      <c r="J290" s="341">
        <f t="shared" si="22"/>
        <v>90620.9038</v>
      </c>
      <c r="K290" s="326" t="str">
        <f t="shared" si="23"/>
        <v>Menor Valor</v>
      </c>
      <c r="L290" s="326">
        <f>IFERROR(COUNTA('LP Elementos'!F290,'LP Elementos'!I290,'LP Elementos'!N290,'LP Elementos'!S290,'LP Elementos'!X290,'LP Elementos'!AC290,'LP Elementos'!AH290,'LP Elementos'!AM290,'LP Elementos'!AR290,'LP Elementos'!AX290,'LP Elementos'!BB290,'LP Elementos'!BG290,'LP Elementos'!BL290,'LP Elementos'!BQ290,'LP Elementos'!BV290,'LP Elementos'!CA290,'LP Elementos'!CF290,'LP Elementos'!CK290,'LP Elementos'!CP290,'LP Elementos'!CU290,'LP Elementos'!CZ290)," ")</f>
        <v>1</v>
      </c>
    </row>
    <row r="291" spans="2:12" ht="40.5" x14ac:dyDescent="0.25">
      <c r="B291" s="411">
        <v>289</v>
      </c>
      <c r="C291" s="412" t="s">
        <v>3726</v>
      </c>
      <c r="D291" s="408">
        <f>IFERROR(MIN('LP Elementos'!F291,'LP Elementos'!I291,'LP Elementos'!N291,'LP Elementos'!S291,'LP Elementos'!X291,'LP Elementos'!AC291,'LP Elementos'!AH291,'LP Elementos'!AM291,'LP Elementos'!AR291,'LP Elementos'!AW291,'LP Elementos'!BB291,'LP Elementos'!BG291,'LP Elementos'!BL291,'LP Elementos'!BQ291,'LP Elementos'!BV291,'LP Elementos'!CA291,'LP Elementos'!CF291,'LP Elementos'!CK291,'LP Elementos'!CP291,'LP Elementos'!CU291,'LP Elementos'!CZ291)," ")</f>
        <v>174376.50760000001</v>
      </c>
      <c r="E291" s="341">
        <f>IFERROR(AVERAGE('LP Elementos'!F291,'LP Elementos'!I291,'LP Elementos'!N291,'LP Elementos'!S291,'LP Elementos'!X291,'LP Elementos'!AC291,'LP Elementos'!AH291,'LP Elementos'!AM291,'LP Elementos'!AR291,'LP Elementos'!AW291,'LP Elementos'!BB291,'LP Elementos'!BG291,'LP Elementos'!BL291,'LP Elementos'!BQ291,'LP Elementos'!BV291,'LP Elementos'!CA291,'LP Elementos'!CF291,'LP Elementos'!CK291,'LP Elementos'!CP291,'LP Elementos'!CU291,'LP Elementos'!CZ291)," ")</f>
        <v>174376.50760000001</v>
      </c>
      <c r="F291" s="341">
        <f>IFERROR(MEDIAN('LP Elementos'!F291,'LP Elementos'!I291,'LP Elementos'!N291,'LP Elementos'!S291,'LP Elementos'!X291,'LP Elementos'!AC291,'LP Elementos'!AH291,'LP Elementos'!AM291,'LP Elementos'!AR291,'LP Elementos'!AW291,'LP Elementos'!BB291,'LP Elementos'!BG291,'LP Elementos'!BL291,'LP Elementos'!BQ291,'LP Elementos'!BV291,'LP Elementos'!CA291,'LP Elementos'!CF291,'LP Elementos'!CK291,'LP Elementos'!CP291,'LP Elementos'!CU291,'LP Elementos'!CZ291)," ")</f>
        <v>174376.50760000001</v>
      </c>
      <c r="G291" s="341">
        <f>IFERROR(GEOMEAN('LP Elementos'!F291,'LP Elementos'!I291,'LP Elementos'!N291,'LP Elementos'!S291,'LP Elementos'!X291,'LP Elementos'!AC291,'LP Elementos'!AH291,'LP Elementos'!AM291,'LP Elementos'!AR291,'LP Elementos'!AW291,'LP Elementos'!BB291,'LP Elementos'!BG291,'LP Elementos'!BL291,'LP Elementos'!BQ291,'LP Elementos'!BV291,'LP Elementos'!CA291,'LP Elementos'!CF291,'LP Elementos'!CK291,'LP Elementos'!CP291,'LP Elementos'!CU291,'LP Elementos'!CZ291)," ")</f>
        <v>174376.50760000001</v>
      </c>
      <c r="H291" s="341">
        <f t="shared" si="20"/>
        <v>0</v>
      </c>
      <c r="I291" s="342">
        <f t="shared" si="21"/>
        <v>0</v>
      </c>
      <c r="J291" s="341">
        <f t="shared" si="22"/>
        <v>174376.50760000001</v>
      </c>
      <c r="K291" s="326" t="str">
        <f t="shared" si="23"/>
        <v>Menor Valor</v>
      </c>
      <c r="L291" s="326">
        <f>IFERROR(COUNTA('LP Elementos'!F291,'LP Elementos'!I291,'LP Elementos'!N291,'LP Elementos'!S291,'LP Elementos'!X291,'LP Elementos'!AC291,'LP Elementos'!AH291,'LP Elementos'!AM291,'LP Elementos'!AR291,'LP Elementos'!AX291,'LP Elementos'!BB291,'LP Elementos'!BG291,'LP Elementos'!BL291,'LP Elementos'!BQ291,'LP Elementos'!BV291,'LP Elementos'!CA291,'LP Elementos'!CF291,'LP Elementos'!CK291,'LP Elementos'!CP291,'LP Elementos'!CU291,'LP Elementos'!CZ291)," ")</f>
        <v>1</v>
      </c>
    </row>
    <row r="292" spans="2:12" ht="40.5" x14ac:dyDescent="0.25">
      <c r="B292" s="411">
        <v>290</v>
      </c>
      <c r="C292" s="415" t="s">
        <v>5101</v>
      </c>
      <c r="D292" s="408">
        <f>IFERROR(MIN('LP Elementos'!F292,'LP Elementos'!I292,'LP Elementos'!N292,'LP Elementos'!S292,'LP Elementos'!X292,'LP Elementos'!AC292,'LP Elementos'!AH292,'LP Elementos'!AM292,'LP Elementos'!AR292,'LP Elementos'!AW292,'LP Elementos'!BB292,'LP Elementos'!BG292,'LP Elementos'!BL292,'LP Elementos'!BQ292,'LP Elementos'!BV292,'LP Elementos'!CA292,'LP Elementos'!CF292,'LP Elementos'!CK292,'LP Elementos'!CP292,'LP Elementos'!CU292,'LP Elementos'!CZ292)," ")</f>
        <v>87013.980800000005</v>
      </c>
      <c r="E292" s="341">
        <f>IFERROR(AVERAGE('LP Elementos'!F292,'LP Elementos'!I292,'LP Elementos'!N292,'LP Elementos'!S292,'LP Elementos'!X292,'LP Elementos'!AC292,'LP Elementos'!AH292,'LP Elementos'!AM292,'LP Elementos'!AR292,'LP Elementos'!AW292,'LP Elementos'!BB292,'LP Elementos'!BG292,'LP Elementos'!BL292,'LP Elementos'!BQ292,'LP Elementos'!BV292,'LP Elementos'!CA292,'LP Elementos'!CF292,'LP Elementos'!CK292,'LP Elementos'!CP292,'LP Elementos'!CU292,'LP Elementos'!CZ292)," ")</f>
        <v>114906.99040000001</v>
      </c>
      <c r="F292" s="341">
        <f>IFERROR(MEDIAN('LP Elementos'!F292,'LP Elementos'!I292,'LP Elementos'!N292,'LP Elementos'!S292,'LP Elementos'!X292,'LP Elementos'!AC292,'LP Elementos'!AH292,'LP Elementos'!AM292,'LP Elementos'!AR292,'LP Elementos'!AW292,'LP Elementos'!BB292,'LP Elementos'!BG292,'LP Elementos'!BL292,'LP Elementos'!BQ292,'LP Elementos'!BV292,'LP Elementos'!CA292,'LP Elementos'!CF292,'LP Elementos'!CK292,'LP Elementos'!CP292,'LP Elementos'!CU292,'LP Elementos'!CZ292)," ")</f>
        <v>114906.99040000001</v>
      </c>
      <c r="G292" s="341">
        <f>IFERROR(GEOMEAN('LP Elementos'!F292,'LP Elementos'!I292,'LP Elementos'!N292,'LP Elementos'!S292,'LP Elementos'!X292,'LP Elementos'!AC292,'LP Elementos'!AH292,'LP Elementos'!AM292,'LP Elementos'!AR292,'LP Elementos'!AW292,'LP Elementos'!BB292,'LP Elementos'!BG292,'LP Elementos'!BL292,'LP Elementos'!BQ292,'LP Elementos'!BV292,'LP Elementos'!CA292,'LP Elementos'!CF292,'LP Elementos'!CK292,'LP Elementos'!CP292,'LP Elementos'!CU292,'LP Elementos'!CZ292)," ")</f>
        <v>111470.15949679089</v>
      </c>
      <c r="H292" s="341">
        <f t="shared" si="20"/>
        <v>13471.476839527855</v>
      </c>
      <c r="I292" s="342">
        <f t="shared" si="21"/>
        <v>0.11723809659127452</v>
      </c>
      <c r="J292" s="341">
        <f t="shared" si="22"/>
        <v>114906.99040000001</v>
      </c>
      <c r="K292" s="326" t="str">
        <f t="shared" si="23"/>
        <v>Promedio</v>
      </c>
      <c r="L292" s="326">
        <f>IFERROR(COUNTA('LP Elementos'!F292,'LP Elementos'!I292,'LP Elementos'!N292,'LP Elementos'!S292,'LP Elementos'!X292,'LP Elementos'!AC292,'LP Elementos'!AH292,'LP Elementos'!AM292,'LP Elementos'!AR292,'LP Elementos'!AX292,'LP Elementos'!BB292,'LP Elementos'!BG292,'LP Elementos'!BL292,'LP Elementos'!BQ292,'LP Elementos'!BV292,'LP Elementos'!CA292,'LP Elementos'!CF292,'LP Elementos'!CK292,'LP Elementos'!CP292,'LP Elementos'!CU292,'LP Elementos'!CZ292)," ")</f>
        <v>2</v>
      </c>
    </row>
    <row r="293" spans="2:12" ht="27" x14ac:dyDescent="0.25">
      <c r="B293" s="411">
        <v>291</v>
      </c>
      <c r="C293" s="412" t="s">
        <v>3728</v>
      </c>
      <c r="D293" s="408">
        <f>IFERROR(MIN('LP Elementos'!F293,'LP Elementos'!I293,'LP Elementos'!N293,'LP Elementos'!S293,'LP Elementos'!X293,'LP Elementos'!AC293,'LP Elementos'!AH293,'LP Elementos'!AM293,'LP Elementos'!AR293,'LP Elementos'!AW293,'LP Elementos'!BB293,'LP Elementos'!BG293,'LP Elementos'!BL293,'LP Elementos'!BQ293,'LP Elementos'!BV293,'LP Elementos'!CA293,'LP Elementos'!CF293,'LP Elementos'!CK293,'LP Elementos'!CP293,'LP Elementos'!CU293,'LP Elementos'!CZ293)," ")</f>
        <v>172000.22</v>
      </c>
      <c r="E293" s="341">
        <f>IFERROR(AVERAGE('LP Elementos'!F293,'LP Elementos'!I293,'LP Elementos'!N293,'LP Elementos'!S293,'LP Elementos'!X293,'LP Elementos'!AC293,'LP Elementos'!AH293,'LP Elementos'!AM293,'LP Elementos'!AR293,'LP Elementos'!AW293,'LP Elementos'!BB293,'LP Elementos'!BG293,'LP Elementos'!BL293,'LP Elementos'!BQ293,'LP Elementos'!BV293,'LP Elementos'!CA293,'LP Elementos'!CF293,'LP Elementos'!CK293,'LP Elementos'!CP293,'LP Elementos'!CU293,'LP Elementos'!CZ293)," ")</f>
        <v>459960.42540000001</v>
      </c>
      <c r="F293" s="341">
        <f>IFERROR(MEDIAN('LP Elementos'!F293,'LP Elementos'!I293,'LP Elementos'!N293,'LP Elementos'!S293,'LP Elementos'!X293,'LP Elementos'!AC293,'LP Elementos'!AH293,'LP Elementos'!AM293,'LP Elementos'!AR293,'LP Elementos'!AW293,'LP Elementos'!BB293,'LP Elementos'!BG293,'LP Elementos'!BL293,'LP Elementos'!BQ293,'LP Elementos'!BV293,'LP Elementos'!CA293,'LP Elementos'!CF293,'LP Elementos'!CK293,'LP Elementos'!CP293,'LP Elementos'!CU293,'LP Elementos'!CZ293)," ")</f>
        <v>422481.05619999999</v>
      </c>
      <c r="G293" s="341">
        <f>IFERROR(GEOMEAN('LP Elementos'!F293,'LP Elementos'!I293,'LP Elementos'!N293,'LP Elementos'!S293,'LP Elementos'!X293,'LP Elementos'!AC293,'LP Elementos'!AH293,'LP Elementos'!AM293,'LP Elementos'!AR293,'LP Elementos'!AW293,'LP Elementos'!BB293,'LP Elementos'!BG293,'LP Elementos'!BL293,'LP Elementos'!BQ293,'LP Elementos'!BV293,'LP Elementos'!CA293,'LP Elementos'!CF293,'LP Elementos'!CK293,'LP Elementos'!CP293,'LP Elementos'!CU293,'LP Elementos'!CZ293)," ")</f>
        <v>385013.28318581718</v>
      </c>
      <c r="H293" s="341">
        <f t="shared" si="20"/>
        <v>128925.65866343668</v>
      </c>
      <c r="I293" s="342">
        <f t="shared" si="21"/>
        <v>0.2802972854704136</v>
      </c>
      <c r="J293" s="341">
        <f t="shared" si="22"/>
        <v>385013.28318581718</v>
      </c>
      <c r="K293" s="326" t="str">
        <f t="shared" si="23"/>
        <v>Media Geometrica</v>
      </c>
      <c r="L293" s="326">
        <f>IFERROR(COUNTA('LP Elementos'!F293,'LP Elementos'!I293,'LP Elementos'!N293,'LP Elementos'!S293,'LP Elementos'!X293,'LP Elementos'!AC293,'LP Elementos'!AH293,'LP Elementos'!AM293,'LP Elementos'!AR293,'LP Elementos'!AX293,'LP Elementos'!BB293,'LP Elementos'!BG293,'LP Elementos'!BL293,'LP Elementos'!BQ293,'LP Elementos'!BV293,'LP Elementos'!CA293,'LP Elementos'!CF293,'LP Elementos'!CK293,'LP Elementos'!CP293,'LP Elementos'!CU293,'LP Elementos'!CZ293)," ")</f>
        <v>3</v>
      </c>
    </row>
    <row r="294" spans="2:12" x14ac:dyDescent="0.25">
      <c r="B294" s="411">
        <v>292</v>
      </c>
      <c r="C294" s="412" t="s">
        <v>3731</v>
      </c>
      <c r="D294" s="408">
        <f>IFERROR(MIN('LP Elementos'!F294,'LP Elementos'!I294,'LP Elementos'!N294,'LP Elementos'!S294,'LP Elementos'!X294,'LP Elementos'!AC294,'LP Elementos'!AH294,'LP Elementos'!AM294,'LP Elementos'!AR294,'LP Elementos'!AW294,'LP Elementos'!BB294,'LP Elementos'!BG294,'LP Elementos'!BL294,'LP Elementos'!BQ294,'LP Elementos'!BV294,'LP Elementos'!CA294,'LP Elementos'!CF294,'LP Elementos'!CK294,'LP Elementos'!CP294,'LP Elementos'!CU294,'LP Elementos'!CZ294)," ")</f>
        <v>140770.33600000001</v>
      </c>
      <c r="E294" s="341">
        <f>IFERROR(AVERAGE('LP Elementos'!F294,'LP Elementos'!I294,'LP Elementos'!N294,'LP Elementos'!S294,'LP Elementos'!X294,'LP Elementos'!AC294,'LP Elementos'!AH294,'LP Elementos'!AM294,'LP Elementos'!AR294,'LP Elementos'!AW294,'LP Elementos'!BB294,'LP Elementos'!BG294,'LP Elementos'!BL294,'LP Elementos'!BQ294,'LP Elementos'!BV294,'LP Elementos'!CA294,'LP Elementos'!CF294,'LP Elementos'!CK294,'LP Elementos'!CP294,'LP Elementos'!CU294,'LP Elementos'!CZ294)," ")</f>
        <v>447020.16800000001</v>
      </c>
      <c r="F294" s="341">
        <f>IFERROR(MEDIAN('LP Elementos'!F294,'LP Elementos'!I294,'LP Elementos'!N294,'LP Elementos'!S294,'LP Elementos'!X294,'LP Elementos'!AC294,'LP Elementos'!AH294,'LP Elementos'!AM294,'LP Elementos'!AR294,'LP Elementos'!AW294,'LP Elementos'!BB294,'LP Elementos'!BG294,'LP Elementos'!BL294,'LP Elementos'!BQ294,'LP Elementos'!BV294,'LP Elementos'!CA294,'LP Elementos'!CF294,'LP Elementos'!CK294,'LP Elementos'!CP294,'LP Elementos'!CU294,'LP Elementos'!CZ294)," ")</f>
        <v>447020.16800000001</v>
      </c>
      <c r="G294" s="341">
        <f>IFERROR(GEOMEAN('LP Elementos'!F294,'LP Elementos'!I294,'LP Elementos'!N294,'LP Elementos'!S294,'LP Elementos'!X294,'LP Elementos'!AC294,'LP Elementos'!AH294,'LP Elementos'!AM294,'LP Elementos'!AR294,'LP Elementos'!AW294,'LP Elementos'!BB294,'LP Elementos'!BG294,'LP Elementos'!BL294,'LP Elementos'!BQ294,'LP Elementos'!BV294,'LP Elementos'!CA294,'LP Elementos'!CF294,'LP Elementos'!CK294,'LP Elementos'!CP294,'LP Elementos'!CU294,'LP Elementos'!CZ294)," ")</f>
        <v>325634.87374468968</v>
      </c>
      <c r="H294" s="341">
        <f t="shared" si="20"/>
        <v>144689.78190094337</v>
      </c>
      <c r="I294" s="342">
        <f t="shared" si="21"/>
        <v>0.32367618344446458</v>
      </c>
      <c r="J294" s="341">
        <f t="shared" si="22"/>
        <v>140770.33600000001</v>
      </c>
      <c r="K294" s="326" t="str">
        <f t="shared" si="23"/>
        <v>Menor Valor</v>
      </c>
      <c r="L294" s="326">
        <f>IFERROR(COUNTA('LP Elementos'!F294,'LP Elementos'!I294,'LP Elementos'!N294,'LP Elementos'!S294,'LP Elementos'!X294,'LP Elementos'!AC294,'LP Elementos'!AH294,'LP Elementos'!AM294,'LP Elementos'!AR294,'LP Elementos'!AX294,'LP Elementos'!BB294,'LP Elementos'!BG294,'LP Elementos'!BL294,'LP Elementos'!BQ294,'LP Elementos'!BV294,'LP Elementos'!CA294,'LP Elementos'!CF294,'LP Elementos'!CK294,'LP Elementos'!CP294,'LP Elementos'!CU294,'LP Elementos'!CZ294)," ")</f>
        <v>2</v>
      </c>
    </row>
    <row r="295" spans="2:12" ht="27" x14ac:dyDescent="0.25">
      <c r="B295" s="411">
        <v>293</v>
      </c>
      <c r="C295" s="412" t="s">
        <v>3734</v>
      </c>
      <c r="D295" s="408">
        <f>IFERROR(MIN('LP Elementos'!F295,'LP Elementos'!I295,'LP Elementos'!N295,'LP Elementos'!S295,'LP Elementos'!X295,'LP Elementos'!AC295,'LP Elementos'!AH295,'LP Elementos'!AM295,'LP Elementos'!AR295,'LP Elementos'!AW295,'LP Elementos'!BB295,'LP Elementos'!BG295,'LP Elementos'!BL295,'LP Elementos'!BQ295,'LP Elementos'!BV295,'LP Elementos'!CA295,'LP Elementos'!CF295,'LP Elementos'!CK295,'LP Elementos'!CP295,'LP Elementos'!CU295,'LP Elementos'!CZ295)," ")</f>
        <v>17850</v>
      </c>
      <c r="E295" s="341">
        <f>IFERROR(AVERAGE('LP Elementos'!F295,'LP Elementos'!I295,'LP Elementos'!N295,'LP Elementos'!S295,'LP Elementos'!X295,'LP Elementos'!AC295,'LP Elementos'!AH295,'LP Elementos'!AM295,'LP Elementos'!AR295,'LP Elementos'!AW295,'LP Elementos'!BB295,'LP Elementos'!BG295,'LP Elementos'!BL295,'LP Elementos'!BQ295,'LP Elementos'!BV295,'LP Elementos'!CA295,'LP Elementos'!CF295,'LP Elementos'!CK295,'LP Elementos'!CP295,'LP Elementos'!CU295,'LP Elementos'!CZ295)," ")</f>
        <v>151521.0876</v>
      </c>
      <c r="F295" s="341">
        <f>IFERROR(MEDIAN('LP Elementos'!F295,'LP Elementos'!I295,'LP Elementos'!N295,'LP Elementos'!S295,'LP Elementos'!X295,'LP Elementos'!AC295,'LP Elementos'!AH295,'LP Elementos'!AM295,'LP Elementos'!AR295,'LP Elementos'!AW295,'LP Elementos'!BB295,'LP Elementos'!BG295,'LP Elementos'!BL295,'LP Elementos'!BQ295,'LP Elementos'!BV295,'LP Elementos'!CA295,'LP Elementos'!CF295,'LP Elementos'!CK295,'LP Elementos'!CP295,'LP Elementos'!CU295,'LP Elementos'!CZ295)," ")</f>
        <v>164220</v>
      </c>
      <c r="G295" s="341">
        <f>IFERROR(GEOMEAN('LP Elementos'!F295,'LP Elementos'!I295,'LP Elementos'!N295,'LP Elementos'!S295,'LP Elementos'!X295,'LP Elementos'!AC295,'LP Elementos'!AH295,'LP Elementos'!AM295,'LP Elementos'!AR295,'LP Elementos'!AW295,'LP Elementos'!BB295,'LP Elementos'!BG295,'LP Elementos'!BL295,'LP Elementos'!BQ295,'LP Elementos'!BV295,'LP Elementos'!CA295,'LP Elementos'!CF295,'LP Elementos'!CK295,'LP Elementos'!CP295,'LP Elementos'!CU295,'LP Elementos'!CZ295)," ")</f>
        <v>92784.054347686455</v>
      </c>
      <c r="H295" s="341">
        <f t="shared" si="20"/>
        <v>66846.618490775509</v>
      </c>
      <c r="I295" s="342">
        <f t="shared" si="21"/>
        <v>0.44117039779468631</v>
      </c>
      <c r="J295" s="341">
        <f t="shared" si="22"/>
        <v>17850</v>
      </c>
      <c r="K295" s="326" t="str">
        <f t="shared" si="23"/>
        <v>Menor Valor</v>
      </c>
      <c r="L295" s="326">
        <f>IFERROR(COUNTA('LP Elementos'!F295,'LP Elementos'!I295,'LP Elementos'!N295,'LP Elementos'!S295,'LP Elementos'!X295,'LP Elementos'!AC295,'LP Elementos'!AH295,'LP Elementos'!AM295,'LP Elementos'!AR295,'LP Elementos'!AX295,'LP Elementos'!BB295,'LP Elementos'!BG295,'LP Elementos'!BL295,'LP Elementos'!BQ295,'LP Elementos'!BV295,'LP Elementos'!CA295,'LP Elementos'!CF295,'LP Elementos'!CK295,'LP Elementos'!CP295,'LP Elementos'!CU295,'LP Elementos'!CZ295)," ")</f>
        <v>3</v>
      </c>
    </row>
    <row r="296" spans="2:12" ht="27" x14ac:dyDescent="0.25">
      <c r="B296" s="411">
        <v>294</v>
      </c>
      <c r="C296" s="412" t="s">
        <v>3738</v>
      </c>
      <c r="D296" s="408">
        <f>IFERROR(MIN('LP Elementos'!F296,'LP Elementos'!I296,'LP Elementos'!N296,'LP Elementos'!S296,'LP Elementos'!X296,'LP Elementos'!AC296,'LP Elementos'!AH296,'LP Elementos'!AM296,'LP Elementos'!AR296,'LP Elementos'!AW296,'LP Elementos'!BB296,'LP Elementos'!BG296,'LP Elementos'!BL296,'LP Elementos'!BQ296,'LP Elementos'!BV296,'LP Elementos'!CA296,'LP Elementos'!CF296,'LP Elementos'!CK296,'LP Elementos'!CP296,'LP Elementos'!CU296,'LP Elementos'!CZ296)," ")</f>
        <v>340340</v>
      </c>
      <c r="E296" s="341">
        <f>IFERROR(AVERAGE('LP Elementos'!F296,'LP Elementos'!I296,'LP Elementos'!N296,'LP Elementos'!S296,'LP Elementos'!X296,'LP Elementos'!AC296,'LP Elementos'!AH296,'LP Elementos'!AM296,'LP Elementos'!AR296,'LP Elementos'!AW296,'LP Elementos'!BB296,'LP Elementos'!BG296,'LP Elementos'!BL296,'LP Elementos'!BQ296,'LP Elementos'!BV296,'LP Elementos'!CA296,'LP Elementos'!CF296,'LP Elementos'!CK296,'LP Elementos'!CP296,'LP Elementos'!CU296,'LP Elementos'!CZ296)," ")</f>
        <v>751063.34036000003</v>
      </c>
      <c r="F296" s="341">
        <f>IFERROR(MEDIAN('LP Elementos'!F296,'LP Elementos'!I296,'LP Elementos'!N296,'LP Elementos'!S296,'LP Elementos'!X296,'LP Elementos'!AC296,'LP Elementos'!AH296,'LP Elementos'!AM296,'LP Elementos'!AR296,'LP Elementos'!AW296,'LP Elementos'!BB296,'LP Elementos'!BG296,'LP Elementos'!BL296,'LP Elementos'!BQ296,'LP Elementos'!BV296,'LP Elementos'!CA296,'LP Elementos'!CF296,'LP Elementos'!CK296,'LP Elementos'!CP296,'LP Elementos'!CU296,'LP Elementos'!CZ296)," ")</f>
        <v>726834.15</v>
      </c>
      <c r="G296" s="341">
        <f>IFERROR(GEOMEAN('LP Elementos'!F296,'LP Elementos'!I296,'LP Elementos'!N296,'LP Elementos'!S296,'LP Elementos'!X296,'LP Elementos'!AC296,'LP Elementos'!AH296,'LP Elementos'!AM296,'LP Elementos'!AR296,'LP Elementos'!AW296,'LP Elementos'!BB296,'LP Elementos'!BG296,'LP Elementos'!BL296,'LP Elementos'!BQ296,'LP Elementos'!BV296,'LP Elementos'!CA296,'LP Elementos'!CF296,'LP Elementos'!CK296,'LP Elementos'!CP296,'LP Elementos'!CU296,'LP Elementos'!CZ296)," ")</f>
        <v>656983.38611252082</v>
      </c>
      <c r="H296" s="341">
        <f t="shared" si="20"/>
        <v>189879.70861878886</v>
      </c>
      <c r="I296" s="342">
        <f t="shared" si="21"/>
        <v>0.25281450766559266</v>
      </c>
      <c r="J296" s="341">
        <f t="shared" si="22"/>
        <v>656983.38611252082</v>
      </c>
      <c r="K296" s="326" t="str">
        <f t="shared" si="23"/>
        <v>Media Geometrica</v>
      </c>
      <c r="L296" s="326">
        <f>IFERROR(COUNTA('LP Elementos'!F296,'LP Elementos'!I296,'LP Elementos'!N296,'LP Elementos'!S296,'LP Elementos'!X296,'LP Elementos'!AC296,'LP Elementos'!AH296,'LP Elementos'!AM296,'LP Elementos'!AR296,'LP Elementos'!AX296,'LP Elementos'!BB296,'LP Elementos'!BG296,'LP Elementos'!BL296,'LP Elementos'!BQ296,'LP Elementos'!BV296,'LP Elementos'!CA296,'LP Elementos'!CF296,'LP Elementos'!CK296,'LP Elementos'!CP296,'LP Elementos'!CU296,'LP Elementos'!CZ296)," ")</f>
        <v>5</v>
      </c>
    </row>
    <row r="297" spans="2:12" ht="27" x14ac:dyDescent="0.25">
      <c r="B297" s="411">
        <v>295</v>
      </c>
      <c r="C297" s="414" t="s">
        <v>3745</v>
      </c>
      <c r="D297" s="408">
        <f>IFERROR(MIN('LP Elementos'!F297,'LP Elementos'!I297,'LP Elementos'!N297,'LP Elementos'!S297,'LP Elementos'!X297,'LP Elementos'!AC297,'LP Elementos'!AH297,'LP Elementos'!AM297,'LP Elementos'!AR297,'LP Elementos'!AW297,'LP Elementos'!BB297,'LP Elementos'!BG297,'LP Elementos'!BL297,'LP Elementos'!BQ297,'LP Elementos'!BV297,'LP Elementos'!CA297,'LP Elementos'!CF297,'LP Elementos'!CK297,'LP Elementos'!CP297,'LP Elementos'!CU297,'LP Elementos'!CZ297)," ")</f>
        <v>126140</v>
      </c>
      <c r="E297" s="341">
        <f>IFERROR(AVERAGE('LP Elementos'!F297,'LP Elementos'!I297,'LP Elementos'!N297,'LP Elementos'!S297,'LP Elementos'!X297,'LP Elementos'!AC297,'LP Elementos'!AH297,'LP Elementos'!AM297,'LP Elementos'!AR297,'LP Elementos'!AW297,'LP Elementos'!BB297,'LP Elementos'!BG297,'LP Elementos'!BL297,'LP Elementos'!BQ297,'LP Elementos'!BV297,'LP Elementos'!CA297,'LP Elementos'!CF297,'LP Elementos'!CK297,'LP Elementos'!CP297,'LP Elementos'!CU297,'LP Elementos'!CZ297)," ")</f>
        <v>126140</v>
      </c>
      <c r="F297" s="341">
        <f>IFERROR(MEDIAN('LP Elementos'!F297,'LP Elementos'!I297,'LP Elementos'!N297,'LP Elementos'!S297,'LP Elementos'!X297,'LP Elementos'!AC297,'LP Elementos'!AH297,'LP Elementos'!AM297,'LP Elementos'!AR297,'LP Elementos'!AW297,'LP Elementos'!BB297,'LP Elementos'!BG297,'LP Elementos'!BL297,'LP Elementos'!BQ297,'LP Elementos'!BV297,'LP Elementos'!CA297,'LP Elementos'!CF297,'LP Elementos'!CK297,'LP Elementos'!CP297,'LP Elementos'!CU297,'LP Elementos'!CZ297)," ")</f>
        <v>126140</v>
      </c>
      <c r="G297" s="341">
        <f>IFERROR(GEOMEAN('LP Elementos'!F297,'LP Elementos'!I297,'LP Elementos'!N297,'LP Elementos'!S297,'LP Elementos'!X297,'LP Elementos'!AC297,'LP Elementos'!AH297,'LP Elementos'!AM297,'LP Elementos'!AR297,'LP Elementos'!AW297,'LP Elementos'!BB297,'LP Elementos'!BG297,'LP Elementos'!BL297,'LP Elementos'!BQ297,'LP Elementos'!BV297,'LP Elementos'!CA297,'LP Elementos'!CF297,'LP Elementos'!CK297,'LP Elementos'!CP297,'LP Elementos'!CU297,'LP Elementos'!CZ297)," ")</f>
        <v>126140</v>
      </c>
      <c r="H297" s="341">
        <f t="shared" si="20"/>
        <v>0</v>
      </c>
      <c r="I297" s="342">
        <f t="shared" si="21"/>
        <v>0</v>
      </c>
      <c r="J297" s="341">
        <f t="shared" si="22"/>
        <v>126140</v>
      </c>
      <c r="K297" s="326" t="str">
        <f t="shared" si="23"/>
        <v>Menor Valor</v>
      </c>
      <c r="L297" s="326">
        <f>IFERROR(COUNTA('LP Elementos'!F297,'LP Elementos'!I297,'LP Elementos'!N297,'LP Elementos'!S297,'LP Elementos'!X297,'LP Elementos'!AC297,'LP Elementos'!AH297,'LP Elementos'!AM297,'LP Elementos'!AR297,'LP Elementos'!AX297,'LP Elementos'!BB297,'LP Elementos'!BG297,'LP Elementos'!BL297,'LP Elementos'!BQ297,'LP Elementos'!BV297,'LP Elementos'!CA297,'LP Elementos'!CF297,'LP Elementos'!CK297,'LP Elementos'!CP297,'LP Elementos'!CU297,'LP Elementos'!CZ297)," ")</f>
        <v>1</v>
      </c>
    </row>
    <row r="298" spans="2:12" ht="27" x14ac:dyDescent="0.25">
      <c r="B298" s="411">
        <v>296</v>
      </c>
      <c r="C298" s="414" t="s">
        <v>3749</v>
      </c>
      <c r="D298" s="408">
        <f>IFERROR(MIN('LP Elementos'!F298,'LP Elementos'!I298,'LP Elementos'!N298,'LP Elementos'!S298,'LP Elementos'!X298,'LP Elementos'!AC298,'LP Elementos'!AH298,'LP Elementos'!AM298,'LP Elementos'!AR298,'LP Elementos'!AW298,'LP Elementos'!BB298,'LP Elementos'!BG298,'LP Elementos'!BL298,'LP Elementos'!BQ298,'LP Elementos'!BV298,'LP Elementos'!CA298,'LP Elementos'!CF298,'LP Elementos'!CK298,'LP Elementos'!CP298,'LP Elementos'!CU298,'LP Elementos'!CZ298)," ")</f>
        <v>119000</v>
      </c>
      <c r="E298" s="341">
        <f>IFERROR(AVERAGE('LP Elementos'!F298,'LP Elementos'!I298,'LP Elementos'!N298,'LP Elementos'!S298,'LP Elementos'!X298,'LP Elementos'!AC298,'LP Elementos'!AH298,'LP Elementos'!AM298,'LP Elementos'!AR298,'LP Elementos'!AW298,'LP Elementos'!BB298,'LP Elementos'!BG298,'LP Elementos'!BL298,'LP Elementos'!BQ298,'LP Elementos'!BV298,'LP Elementos'!CA298,'LP Elementos'!CF298,'LP Elementos'!CK298,'LP Elementos'!CP298,'LP Elementos'!CU298,'LP Elementos'!CZ298)," ")</f>
        <v>119000</v>
      </c>
      <c r="F298" s="341">
        <f>IFERROR(MEDIAN('LP Elementos'!F298,'LP Elementos'!I298,'LP Elementos'!N298,'LP Elementos'!S298,'LP Elementos'!X298,'LP Elementos'!AC298,'LP Elementos'!AH298,'LP Elementos'!AM298,'LP Elementos'!AR298,'LP Elementos'!AW298,'LP Elementos'!BB298,'LP Elementos'!BG298,'LP Elementos'!BL298,'LP Elementos'!BQ298,'LP Elementos'!BV298,'LP Elementos'!CA298,'LP Elementos'!CF298,'LP Elementos'!CK298,'LP Elementos'!CP298,'LP Elementos'!CU298,'LP Elementos'!CZ298)," ")</f>
        <v>119000</v>
      </c>
      <c r="G298" s="341">
        <f>IFERROR(GEOMEAN('LP Elementos'!F298,'LP Elementos'!I298,'LP Elementos'!N298,'LP Elementos'!S298,'LP Elementos'!X298,'LP Elementos'!AC298,'LP Elementos'!AH298,'LP Elementos'!AM298,'LP Elementos'!AR298,'LP Elementos'!AW298,'LP Elementos'!BB298,'LP Elementos'!BG298,'LP Elementos'!BL298,'LP Elementos'!BQ298,'LP Elementos'!BV298,'LP Elementos'!CA298,'LP Elementos'!CF298,'LP Elementos'!CK298,'LP Elementos'!CP298,'LP Elementos'!CU298,'LP Elementos'!CZ298)," ")</f>
        <v>119000</v>
      </c>
      <c r="H298" s="341">
        <f t="shared" si="20"/>
        <v>0</v>
      </c>
      <c r="I298" s="342">
        <f t="shared" si="21"/>
        <v>0</v>
      </c>
      <c r="J298" s="341">
        <f t="shared" si="22"/>
        <v>119000</v>
      </c>
      <c r="K298" s="326" t="str">
        <f t="shared" si="23"/>
        <v>Menor Valor</v>
      </c>
      <c r="L298" s="326">
        <f>IFERROR(COUNTA('LP Elementos'!F298,'LP Elementos'!I298,'LP Elementos'!N298,'LP Elementos'!S298,'LP Elementos'!X298,'LP Elementos'!AC298,'LP Elementos'!AH298,'LP Elementos'!AM298,'LP Elementos'!AR298,'LP Elementos'!AX298,'LP Elementos'!BB298,'LP Elementos'!BG298,'LP Elementos'!BL298,'LP Elementos'!BQ298,'LP Elementos'!BV298,'LP Elementos'!CA298,'LP Elementos'!CF298,'LP Elementos'!CK298,'LP Elementos'!CP298,'LP Elementos'!CU298,'LP Elementos'!CZ298)," ")</f>
        <v>1</v>
      </c>
    </row>
    <row r="299" spans="2:12" ht="40.5" x14ac:dyDescent="0.25">
      <c r="B299" s="411">
        <v>297</v>
      </c>
      <c r="C299" s="412" t="s">
        <v>3753</v>
      </c>
      <c r="D299" s="408">
        <f>IFERROR(MIN('LP Elementos'!F299,'LP Elementos'!I299,'LP Elementos'!N299,'LP Elementos'!S299,'LP Elementos'!X299,'LP Elementos'!AC299,'LP Elementos'!AH299,'LP Elementos'!AM299,'LP Elementos'!AR299,'LP Elementos'!AW299,'LP Elementos'!BB299,'LP Elementos'!BG299,'LP Elementos'!BL299,'LP Elementos'!BQ299,'LP Elementos'!BV299,'LP Elementos'!CA299,'LP Elementos'!CF299,'LP Elementos'!CK299,'LP Elementos'!CP299,'LP Elementos'!CU299,'LP Elementos'!CZ299)," ")</f>
        <v>238000</v>
      </c>
      <c r="E299" s="341">
        <f>IFERROR(AVERAGE('LP Elementos'!F299,'LP Elementos'!I299,'LP Elementos'!N299,'LP Elementos'!S299,'LP Elementos'!X299,'LP Elementos'!AC299,'LP Elementos'!AH299,'LP Elementos'!AM299,'LP Elementos'!AR299,'LP Elementos'!AW299,'LP Elementos'!BB299,'LP Elementos'!BG299,'LP Elementos'!BL299,'LP Elementos'!BQ299,'LP Elementos'!BV299,'LP Elementos'!CA299,'LP Elementos'!CF299,'LP Elementos'!CK299,'LP Elementos'!CP299,'LP Elementos'!CU299,'LP Elementos'!CZ299)," ")</f>
        <v>255371.26300000001</v>
      </c>
      <c r="F299" s="341">
        <f>IFERROR(MEDIAN('LP Elementos'!F299,'LP Elementos'!I299,'LP Elementos'!N299,'LP Elementos'!S299,'LP Elementos'!X299,'LP Elementos'!AC299,'LP Elementos'!AH299,'LP Elementos'!AM299,'LP Elementos'!AR299,'LP Elementos'!AW299,'LP Elementos'!BB299,'LP Elementos'!BG299,'LP Elementos'!BL299,'LP Elementos'!BQ299,'LP Elementos'!BV299,'LP Elementos'!CA299,'LP Elementos'!CF299,'LP Elementos'!CK299,'LP Elementos'!CP299,'LP Elementos'!CU299,'LP Elementos'!CZ299)," ")</f>
        <v>255371.26300000001</v>
      </c>
      <c r="G299" s="341">
        <f>IFERROR(GEOMEAN('LP Elementos'!F299,'LP Elementos'!I299,'LP Elementos'!N299,'LP Elementos'!S299,'LP Elementos'!X299,'LP Elementos'!AC299,'LP Elementos'!AH299,'LP Elementos'!AM299,'LP Elementos'!AR299,'LP Elementos'!AW299,'LP Elementos'!BB299,'LP Elementos'!BG299,'LP Elementos'!BL299,'LP Elementos'!BQ299,'LP Elementos'!BV299,'LP Elementos'!CA299,'LP Elementos'!CF299,'LP Elementos'!CK299,'LP Elementos'!CP299,'LP Elementos'!CU299,'LP Elementos'!CZ299)," ")</f>
        <v>254779.75034919867</v>
      </c>
      <c r="H299" s="341">
        <f t="shared" si="20"/>
        <v>8591.5721914166534</v>
      </c>
      <c r="I299" s="342">
        <f t="shared" si="21"/>
        <v>3.3643457335356695E-2</v>
      </c>
      <c r="J299" s="341">
        <f t="shared" si="22"/>
        <v>255371.26300000001</v>
      </c>
      <c r="K299" s="326" t="str">
        <f t="shared" si="23"/>
        <v>Promedio</v>
      </c>
      <c r="L299" s="326">
        <f>IFERROR(COUNTA('LP Elementos'!F299,'LP Elementos'!I299,'LP Elementos'!N299,'LP Elementos'!S299,'LP Elementos'!X299,'LP Elementos'!AC299,'LP Elementos'!AH299,'LP Elementos'!AM299,'LP Elementos'!AR299,'LP Elementos'!AX299,'LP Elementos'!BB299,'LP Elementos'!BG299,'LP Elementos'!BL299,'LP Elementos'!BQ299,'LP Elementos'!BV299,'LP Elementos'!CA299,'LP Elementos'!CF299,'LP Elementos'!CK299,'LP Elementos'!CP299,'LP Elementos'!CU299,'LP Elementos'!CZ299)," ")</f>
        <v>2</v>
      </c>
    </row>
    <row r="300" spans="2:12" x14ac:dyDescent="0.25">
      <c r="B300" s="411">
        <v>298</v>
      </c>
      <c r="C300" s="412" t="s">
        <v>3755</v>
      </c>
      <c r="D300" s="408">
        <f>IFERROR(MIN('LP Elementos'!F300,'LP Elementos'!I300,'LP Elementos'!N300,'LP Elementos'!S300,'LP Elementos'!X300,'LP Elementos'!AC300,'LP Elementos'!AH300,'LP Elementos'!AM300,'LP Elementos'!AR300,'LP Elementos'!AW300,'LP Elementos'!BB300,'LP Elementos'!BG300,'LP Elementos'!BL300,'LP Elementos'!BQ300,'LP Elementos'!BV300,'LP Elementos'!CA300,'LP Elementos'!CF300,'LP Elementos'!CK300,'LP Elementos'!CP300,'LP Elementos'!CU300,'LP Elementos'!CZ300)," ")</f>
        <v>38080</v>
      </c>
      <c r="E300" s="341">
        <f>IFERROR(AVERAGE('LP Elementos'!F300,'LP Elementos'!I300,'LP Elementos'!N300,'LP Elementos'!S300,'LP Elementos'!X300,'LP Elementos'!AC300,'LP Elementos'!AH300,'LP Elementos'!AM300,'LP Elementos'!AR300,'LP Elementos'!AW300,'LP Elementos'!BB300,'LP Elementos'!BG300,'LP Elementos'!BL300,'LP Elementos'!BQ300,'LP Elementos'!BV300,'LP Elementos'!CA300,'LP Elementos'!CF300,'LP Elementos'!CK300,'LP Elementos'!CP300,'LP Elementos'!CU300,'LP Elementos'!CZ300)," ")</f>
        <v>38080</v>
      </c>
      <c r="F300" s="341">
        <f>IFERROR(MEDIAN('LP Elementos'!F300,'LP Elementos'!I300,'LP Elementos'!N300,'LP Elementos'!S300,'LP Elementos'!X300,'LP Elementos'!AC300,'LP Elementos'!AH300,'LP Elementos'!AM300,'LP Elementos'!AR300,'LP Elementos'!AW300,'LP Elementos'!BB300,'LP Elementos'!BG300,'LP Elementos'!BL300,'LP Elementos'!BQ300,'LP Elementos'!BV300,'LP Elementos'!CA300,'LP Elementos'!CF300,'LP Elementos'!CK300,'LP Elementos'!CP300,'LP Elementos'!CU300,'LP Elementos'!CZ300)," ")</f>
        <v>38080</v>
      </c>
      <c r="G300" s="341">
        <f>IFERROR(GEOMEAN('LP Elementos'!F300,'LP Elementos'!I300,'LP Elementos'!N300,'LP Elementos'!S300,'LP Elementos'!X300,'LP Elementos'!AC300,'LP Elementos'!AH300,'LP Elementos'!AM300,'LP Elementos'!AR300,'LP Elementos'!AW300,'LP Elementos'!BB300,'LP Elementos'!BG300,'LP Elementos'!BL300,'LP Elementos'!BQ300,'LP Elementos'!BV300,'LP Elementos'!CA300,'LP Elementos'!CF300,'LP Elementos'!CK300,'LP Elementos'!CP300,'LP Elementos'!CU300,'LP Elementos'!CZ300)," ")</f>
        <v>38080</v>
      </c>
      <c r="H300" s="341">
        <f t="shared" si="20"/>
        <v>0</v>
      </c>
      <c r="I300" s="342">
        <f t="shared" si="21"/>
        <v>0</v>
      </c>
      <c r="J300" s="341">
        <f t="shared" si="22"/>
        <v>38080</v>
      </c>
      <c r="K300" s="326" t="str">
        <f t="shared" si="23"/>
        <v>Menor Valor</v>
      </c>
      <c r="L300" s="326">
        <f>IFERROR(COUNTA('LP Elementos'!F300,'LP Elementos'!I300,'LP Elementos'!N300,'LP Elementos'!S300,'LP Elementos'!X300,'LP Elementos'!AC300,'LP Elementos'!AH300,'LP Elementos'!AM300,'LP Elementos'!AR300,'LP Elementos'!AX300,'LP Elementos'!BB300,'LP Elementos'!BG300,'LP Elementos'!BL300,'LP Elementos'!BQ300,'LP Elementos'!BV300,'LP Elementos'!CA300,'LP Elementos'!CF300,'LP Elementos'!CK300,'LP Elementos'!CP300,'LP Elementos'!CU300,'LP Elementos'!CZ300)," ")</f>
        <v>1</v>
      </c>
    </row>
    <row r="301" spans="2:12" ht="29.25" customHeight="1" x14ac:dyDescent="0.25">
      <c r="B301" s="411">
        <v>299</v>
      </c>
      <c r="C301" s="409" t="s">
        <v>3758</v>
      </c>
      <c r="D301" s="408">
        <f>IFERROR(MIN('LP Elementos'!F301,'LP Elementos'!I301,'LP Elementos'!N301,'LP Elementos'!S301,'LP Elementos'!X301,'LP Elementos'!AC301,'LP Elementos'!AH301,'LP Elementos'!AM301,'LP Elementos'!AR301,'LP Elementos'!AW301,'LP Elementos'!BB301,'LP Elementos'!BG301,'LP Elementos'!BL301,'LP Elementos'!BQ301,'LP Elementos'!BV301,'LP Elementos'!CA301,'LP Elementos'!CF301,'LP Elementos'!CK301,'LP Elementos'!CP301,'LP Elementos'!CU301,'LP Elementos'!CZ301)," ")</f>
        <v>78000.929999999993</v>
      </c>
      <c r="E301" s="341">
        <f>IFERROR(AVERAGE('LP Elementos'!F301,'LP Elementos'!I301,'LP Elementos'!N301,'LP Elementos'!S301,'LP Elementos'!X301,'LP Elementos'!AC301,'LP Elementos'!AH301,'LP Elementos'!AM301,'LP Elementos'!AR301,'LP Elementos'!AW301,'LP Elementos'!BB301,'LP Elementos'!BG301,'LP Elementos'!BL301,'LP Elementos'!BQ301,'LP Elementos'!BV301,'LP Elementos'!CA301,'LP Elementos'!CF301,'LP Elementos'!CK301,'LP Elementos'!CP301,'LP Elementos'!CU301,'LP Elementos'!CZ301)," ")</f>
        <v>78000.929999999993</v>
      </c>
      <c r="F301" s="341">
        <f>IFERROR(MEDIAN('LP Elementos'!F301,'LP Elementos'!I301,'LP Elementos'!N301,'LP Elementos'!S301,'LP Elementos'!X301,'LP Elementos'!AC301,'LP Elementos'!AH301,'LP Elementos'!AM301,'LP Elementos'!AR301,'LP Elementos'!AW301,'LP Elementos'!BB301,'LP Elementos'!BG301,'LP Elementos'!BL301,'LP Elementos'!BQ301,'LP Elementos'!BV301,'LP Elementos'!CA301,'LP Elementos'!CF301,'LP Elementos'!CK301,'LP Elementos'!CP301,'LP Elementos'!CU301,'LP Elementos'!CZ301)," ")</f>
        <v>78000.929999999993</v>
      </c>
      <c r="G301" s="341">
        <f>IFERROR(GEOMEAN('LP Elementos'!F301,'LP Elementos'!I301,'LP Elementos'!N301,'LP Elementos'!S301,'LP Elementos'!X301,'LP Elementos'!AC301,'LP Elementos'!AH301,'LP Elementos'!AM301,'LP Elementos'!AR301,'LP Elementos'!AW301,'LP Elementos'!BB301,'LP Elementos'!BG301,'LP Elementos'!BL301,'LP Elementos'!BQ301,'LP Elementos'!BV301,'LP Elementos'!CA301,'LP Elementos'!CF301,'LP Elementos'!CK301,'LP Elementos'!CP301,'LP Elementos'!CU301,'LP Elementos'!CZ301)," ")</f>
        <v>78000.929999999993</v>
      </c>
      <c r="H301" s="341">
        <f t="shared" ref="H301:H341" si="24">STDEVA(D301,E301,F301,G301)</f>
        <v>0</v>
      </c>
      <c r="I301" s="342">
        <f t="shared" ref="I301:I341" si="25">IFERROR(H301/E301," ")</f>
        <v>0</v>
      </c>
      <c r="J301" s="341">
        <f t="shared" ref="J301:J341" si="26">IF(I301&lt;=10%,F301,IF(AND(I301&gt;10%,I301&lt;=20%),E301,IF(AND(I301&gt;20%,I301&lt;=30%),G301,IF(I301&gt;30%,D301))))</f>
        <v>78000.929999999993</v>
      </c>
      <c r="K301" s="326" t="str">
        <f t="shared" ref="K301:K341" si="27">IF(J301=D301,"Menor Valor",IF(J301=E301,"Promedio",IF(J301=F301,"Mediana",IF(J301=G301,"Media Geometrica"," "))))</f>
        <v>Menor Valor</v>
      </c>
      <c r="L301" s="326">
        <f>IFERROR(COUNTA('LP Elementos'!F301,'LP Elementos'!I301,'LP Elementos'!N301,'LP Elementos'!S301,'LP Elementos'!X301,'LP Elementos'!AC301,'LP Elementos'!AH301,'LP Elementos'!AM301,'LP Elementos'!AR301,'LP Elementos'!AX301,'LP Elementos'!BB301,'LP Elementos'!BG301,'LP Elementos'!BL301,'LP Elementos'!BQ301,'LP Elementos'!BV301,'LP Elementos'!CA301,'LP Elementos'!CF301,'LP Elementos'!CK301,'LP Elementos'!CP301,'LP Elementos'!CU301,'LP Elementos'!CZ301)," ")</f>
        <v>1</v>
      </c>
    </row>
    <row r="302" spans="2:12" ht="27" x14ac:dyDescent="0.25">
      <c r="B302" s="411">
        <v>300</v>
      </c>
      <c r="C302" s="412" t="s">
        <v>3761</v>
      </c>
      <c r="D302" s="408">
        <f>IFERROR(MIN('LP Elementos'!F302,'LP Elementos'!I302,'LP Elementos'!N302,'LP Elementos'!S302,'LP Elementos'!X302,'LP Elementos'!AC302,'LP Elementos'!AH302,'LP Elementos'!AM302,'LP Elementos'!AR302,'LP Elementos'!AW302,'LP Elementos'!BB302,'LP Elementos'!BG302,'LP Elementos'!BL302,'LP Elementos'!BQ302,'LP Elementos'!BV302,'LP Elementos'!CA302,'LP Elementos'!CF302,'LP Elementos'!CK302,'LP Elementos'!CP302,'LP Elementos'!CU302,'LP Elementos'!CZ302)," ")</f>
        <v>69959.519400000005</v>
      </c>
      <c r="E302" s="341">
        <f>IFERROR(AVERAGE('LP Elementos'!F302,'LP Elementos'!I302,'LP Elementos'!N302,'LP Elementos'!S302,'LP Elementos'!X302,'LP Elementos'!AC302,'LP Elementos'!AH302,'LP Elementos'!AM302,'LP Elementos'!AR302,'LP Elementos'!AW302,'LP Elementos'!BB302,'LP Elementos'!BG302,'LP Elementos'!BL302,'LP Elementos'!BQ302,'LP Elementos'!BV302,'LP Elementos'!CA302,'LP Elementos'!CF302,'LP Elementos'!CK302,'LP Elementos'!CP302,'LP Elementos'!CU302,'LP Elementos'!CZ302)," ")</f>
        <v>133749.7597</v>
      </c>
      <c r="F302" s="341">
        <f>IFERROR(MEDIAN('LP Elementos'!F302,'LP Elementos'!I302,'LP Elementos'!N302,'LP Elementos'!S302,'LP Elementos'!X302,'LP Elementos'!AC302,'LP Elementos'!AH302,'LP Elementos'!AM302,'LP Elementos'!AR302,'LP Elementos'!AW302,'LP Elementos'!BB302,'LP Elementos'!BG302,'LP Elementos'!BL302,'LP Elementos'!BQ302,'LP Elementos'!BV302,'LP Elementos'!CA302,'LP Elementos'!CF302,'LP Elementos'!CK302,'LP Elementos'!CP302,'LP Elementos'!CU302,'LP Elementos'!CZ302)," ")</f>
        <v>133749.7597</v>
      </c>
      <c r="G302" s="341">
        <f>IFERROR(GEOMEAN('LP Elementos'!F302,'LP Elementos'!I302,'LP Elementos'!N302,'LP Elementos'!S302,'LP Elementos'!X302,'LP Elementos'!AC302,'LP Elementos'!AH302,'LP Elementos'!AM302,'LP Elementos'!AR302,'LP Elementos'!AW302,'LP Elementos'!BB302,'LP Elementos'!BG302,'LP Elementos'!BL302,'LP Elementos'!BQ302,'LP Elementos'!BV302,'LP Elementos'!CA302,'LP Elementos'!CF302,'LP Elementos'!CK302,'LP Elementos'!CP302,'LP Elementos'!CU302,'LP Elementos'!CZ302)," ")</f>
        <v>117557.66015992322</v>
      </c>
      <c r="H302" s="341">
        <f t="shared" si="24"/>
        <v>30177.724530267431</v>
      </c>
      <c r="I302" s="342">
        <f t="shared" si="25"/>
        <v>0.22562825232700162</v>
      </c>
      <c r="J302" s="341">
        <f t="shared" si="26"/>
        <v>117557.66015992322</v>
      </c>
      <c r="K302" s="326" t="str">
        <f t="shared" si="27"/>
        <v>Media Geometrica</v>
      </c>
      <c r="L302" s="326">
        <f>IFERROR(COUNTA('LP Elementos'!F302,'LP Elementos'!I302,'LP Elementos'!N302,'LP Elementos'!S302,'LP Elementos'!X302,'LP Elementos'!AC302,'LP Elementos'!AH302,'LP Elementos'!AM302,'LP Elementos'!AR302,'LP Elementos'!AX302,'LP Elementos'!BB302,'LP Elementos'!BG302,'LP Elementos'!BL302,'LP Elementos'!BQ302,'LP Elementos'!BV302,'LP Elementos'!CA302,'LP Elementos'!CF302,'LP Elementos'!CK302,'LP Elementos'!CP302,'LP Elementos'!CU302,'LP Elementos'!CZ302)," ")</f>
        <v>2</v>
      </c>
    </row>
    <row r="303" spans="2:12" ht="40.5" x14ac:dyDescent="0.25">
      <c r="B303" s="411">
        <v>301</v>
      </c>
      <c r="C303" s="412" t="s">
        <v>3763</v>
      </c>
      <c r="D303" s="408">
        <f>IFERROR(MIN('LP Elementos'!F303,'LP Elementos'!I303,'LP Elementos'!N303,'LP Elementos'!S303,'LP Elementos'!X303,'LP Elementos'!AC303,'LP Elementos'!AH303,'LP Elementos'!AM303,'LP Elementos'!AR303,'LP Elementos'!AW303,'LP Elementos'!BB303,'LP Elementos'!BG303,'LP Elementos'!BL303,'LP Elementos'!BQ303,'LP Elementos'!BV303,'LP Elementos'!CA303,'LP Elementos'!CF303,'LP Elementos'!CK303,'LP Elementos'!CP303,'LP Elementos'!CU303,'LP Elementos'!CZ303)," ")</f>
        <v>78654.157800000001</v>
      </c>
      <c r="E303" s="341">
        <f>IFERROR(AVERAGE('LP Elementos'!F303,'LP Elementos'!I303,'LP Elementos'!N303,'LP Elementos'!S303,'LP Elementos'!X303,'LP Elementos'!AC303,'LP Elementos'!AH303,'LP Elementos'!AM303,'LP Elementos'!AR303,'LP Elementos'!AW303,'LP Elementos'!BB303,'LP Elementos'!BG303,'LP Elementos'!BL303,'LP Elementos'!BQ303,'LP Elementos'!BV303,'LP Elementos'!CA303,'LP Elementos'!CF303,'LP Elementos'!CK303,'LP Elementos'!CP303,'LP Elementos'!CU303,'LP Elementos'!CZ303)," ")</f>
        <v>95257.078899999993</v>
      </c>
      <c r="F303" s="341">
        <f>IFERROR(MEDIAN('LP Elementos'!F303,'LP Elementos'!I303,'LP Elementos'!N303,'LP Elementos'!S303,'LP Elementos'!X303,'LP Elementos'!AC303,'LP Elementos'!AH303,'LP Elementos'!AM303,'LP Elementos'!AR303,'LP Elementos'!AW303,'LP Elementos'!BB303,'LP Elementos'!BG303,'LP Elementos'!BL303,'LP Elementos'!BQ303,'LP Elementos'!BV303,'LP Elementos'!CA303,'LP Elementos'!CF303,'LP Elementos'!CK303,'LP Elementos'!CP303,'LP Elementos'!CU303,'LP Elementos'!CZ303)," ")</f>
        <v>95257.078899999993</v>
      </c>
      <c r="G303" s="341">
        <f>IFERROR(GEOMEAN('LP Elementos'!F303,'LP Elementos'!I303,'LP Elementos'!N303,'LP Elementos'!S303,'LP Elementos'!X303,'LP Elementos'!AC303,'LP Elementos'!AH303,'LP Elementos'!AM303,'LP Elementos'!AR303,'LP Elementos'!AW303,'LP Elementos'!BB303,'LP Elementos'!BG303,'LP Elementos'!BL303,'LP Elementos'!BQ303,'LP Elementos'!BV303,'LP Elementos'!CA303,'LP Elementos'!CF303,'LP Elementos'!CK303,'LP Elementos'!CP303,'LP Elementos'!CU303,'LP Elementos'!CZ303)," ")</f>
        <v>93799.009011332309</v>
      </c>
      <c r="H303" s="341">
        <f t="shared" si="24"/>
        <v>8087.7089458816163</v>
      </c>
      <c r="I303" s="342">
        <f t="shared" si="25"/>
        <v>8.4904020145022699E-2</v>
      </c>
      <c r="J303" s="341">
        <f t="shared" si="26"/>
        <v>95257.078899999993</v>
      </c>
      <c r="K303" s="326" t="str">
        <f t="shared" si="27"/>
        <v>Promedio</v>
      </c>
      <c r="L303" s="326">
        <f>IFERROR(COUNTA('LP Elementos'!F303,'LP Elementos'!I303,'LP Elementos'!N303,'LP Elementos'!S303,'LP Elementos'!X303,'LP Elementos'!AC303,'LP Elementos'!AH303,'LP Elementos'!AM303,'LP Elementos'!AR303,'LP Elementos'!AX303,'LP Elementos'!BB303,'LP Elementos'!BG303,'LP Elementos'!BL303,'LP Elementos'!BQ303,'LP Elementos'!BV303,'LP Elementos'!CA303,'LP Elementos'!CF303,'LP Elementos'!CK303,'LP Elementos'!CP303,'LP Elementos'!CU303,'LP Elementos'!CZ303)," ")</f>
        <v>2</v>
      </c>
    </row>
    <row r="304" spans="2:12" ht="27" x14ac:dyDescent="0.25">
      <c r="B304" s="411">
        <v>302</v>
      </c>
      <c r="C304" s="412" t="s">
        <v>3765</v>
      </c>
      <c r="D304" s="408">
        <f>IFERROR(MIN('LP Elementos'!F304,'LP Elementos'!I304,'LP Elementos'!N304,'LP Elementos'!S304,'LP Elementos'!X304,'LP Elementos'!AC304,'LP Elementos'!AH304,'LP Elementos'!AM304,'LP Elementos'!AR304,'LP Elementos'!AW304,'LP Elementos'!BB304,'LP Elementos'!BG304,'LP Elementos'!BL304,'LP Elementos'!BQ304,'LP Elementos'!BV304,'LP Elementos'!CA304,'LP Elementos'!CF304,'LP Elementos'!CK304,'LP Elementos'!CP304,'LP Elementos'!CU304,'LP Elementos'!CZ304)," ")</f>
        <v>54045.754000000001</v>
      </c>
      <c r="E304" s="341">
        <f>IFERROR(AVERAGE('LP Elementos'!F304,'LP Elementos'!I304,'LP Elementos'!N304,'LP Elementos'!S304,'LP Elementos'!X304,'LP Elementos'!AC304,'LP Elementos'!AH304,'LP Elementos'!AM304,'LP Elementos'!AR304,'LP Elementos'!AW304,'LP Elementos'!BB304,'LP Elementos'!BG304,'LP Elementos'!BL304,'LP Elementos'!BQ304,'LP Elementos'!BV304,'LP Elementos'!CA304,'LP Elementos'!CF304,'LP Elementos'!CK304,'LP Elementos'!CP304,'LP Elementos'!CU304,'LP Elementos'!CZ304)," ")</f>
        <v>63912.877</v>
      </c>
      <c r="F304" s="341">
        <f>IFERROR(MEDIAN('LP Elementos'!F304,'LP Elementos'!I304,'LP Elementos'!N304,'LP Elementos'!S304,'LP Elementos'!X304,'LP Elementos'!AC304,'LP Elementos'!AH304,'LP Elementos'!AM304,'LP Elementos'!AR304,'LP Elementos'!AW304,'LP Elementos'!BB304,'LP Elementos'!BG304,'LP Elementos'!BL304,'LP Elementos'!BQ304,'LP Elementos'!BV304,'LP Elementos'!CA304,'LP Elementos'!CF304,'LP Elementos'!CK304,'LP Elementos'!CP304,'LP Elementos'!CU304,'LP Elementos'!CZ304)," ")</f>
        <v>63912.877</v>
      </c>
      <c r="G304" s="341">
        <f>IFERROR(GEOMEAN('LP Elementos'!F304,'LP Elementos'!I304,'LP Elementos'!N304,'LP Elementos'!S304,'LP Elementos'!X304,'LP Elementos'!AC304,'LP Elementos'!AH304,'LP Elementos'!AM304,'LP Elementos'!AR304,'LP Elementos'!AW304,'LP Elementos'!BB304,'LP Elementos'!BG304,'LP Elementos'!BL304,'LP Elementos'!BQ304,'LP Elementos'!BV304,'LP Elementos'!CA304,'LP Elementos'!CF304,'LP Elementos'!CK304,'LP Elementos'!CP304,'LP Elementos'!CU304,'LP Elementos'!CZ304)," ")</f>
        <v>63146.620892332787</v>
      </c>
      <c r="H304" s="341">
        <f t="shared" si="24"/>
        <v>4819.4078788381912</v>
      </c>
      <c r="I304" s="342">
        <f t="shared" si="25"/>
        <v>7.5405897920041862E-2</v>
      </c>
      <c r="J304" s="341">
        <f t="shared" si="26"/>
        <v>63912.877</v>
      </c>
      <c r="K304" s="326" t="str">
        <f t="shared" si="27"/>
        <v>Promedio</v>
      </c>
      <c r="L304" s="326">
        <f>IFERROR(COUNTA('LP Elementos'!F304,'LP Elementos'!I304,'LP Elementos'!N304,'LP Elementos'!S304,'LP Elementos'!X304,'LP Elementos'!AC304,'LP Elementos'!AH304,'LP Elementos'!AM304,'LP Elementos'!AR304,'LP Elementos'!AX304,'LP Elementos'!BB304,'LP Elementos'!BG304,'LP Elementos'!BL304,'LP Elementos'!BQ304,'LP Elementos'!BV304,'LP Elementos'!CA304,'LP Elementos'!CF304,'LP Elementos'!CK304,'LP Elementos'!CP304,'LP Elementos'!CU304,'LP Elementos'!CZ304)," ")</f>
        <v>2</v>
      </c>
    </row>
    <row r="305" spans="2:12" x14ac:dyDescent="0.25">
      <c r="B305" s="411">
        <v>303</v>
      </c>
      <c r="C305" s="412" t="s">
        <v>3768</v>
      </c>
      <c r="D305" s="408">
        <f>IFERROR(MIN('LP Elementos'!F305,'LP Elementos'!I305,'LP Elementos'!N305,'LP Elementos'!S305,'LP Elementos'!X305,'LP Elementos'!AC305,'LP Elementos'!AH305,'LP Elementos'!AM305,'LP Elementos'!AR305,'LP Elementos'!AW305,'LP Elementos'!BB305,'LP Elementos'!BG305,'LP Elementos'!BL305,'LP Elementos'!BQ305,'LP Elementos'!BV305,'LP Elementos'!CA305,'LP Elementos'!CF305,'LP Elementos'!CK305,'LP Elementos'!CP305,'LP Elementos'!CU305,'LP Elementos'!CZ305)," ")</f>
        <v>40252.838199999998</v>
      </c>
      <c r="E305" s="341">
        <f>IFERROR(AVERAGE('LP Elementos'!F305,'LP Elementos'!I305,'LP Elementos'!N305,'LP Elementos'!S305,'LP Elementos'!X305,'LP Elementos'!AC305,'LP Elementos'!AH305,'LP Elementos'!AM305,'LP Elementos'!AR305,'LP Elementos'!AW305,'LP Elementos'!BB305,'LP Elementos'!BG305,'LP Elementos'!BL305,'LP Elementos'!BQ305,'LP Elementos'!BV305,'LP Elementos'!CA305,'LP Elementos'!CF305,'LP Elementos'!CK305,'LP Elementos'!CP305,'LP Elementos'!CU305,'LP Elementos'!CZ305)," ")</f>
        <v>57016.419099999999</v>
      </c>
      <c r="F305" s="341">
        <f>IFERROR(MEDIAN('LP Elementos'!F305,'LP Elementos'!I305,'LP Elementos'!N305,'LP Elementos'!S305,'LP Elementos'!X305,'LP Elementos'!AC305,'LP Elementos'!AH305,'LP Elementos'!AM305,'LP Elementos'!AR305,'LP Elementos'!AW305,'LP Elementos'!BB305,'LP Elementos'!BG305,'LP Elementos'!BL305,'LP Elementos'!BQ305,'LP Elementos'!BV305,'LP Elementos'!CA305,'LP Elementos'!CF305,'LP Elementos'!CK305,'LP Elementos'!CP305,'LP Elementos'!CU305,'LP Elementos'!CZ305)," ")</f>
        <v>57016.419099999999</v>
      </c>
      <c r="G305" s="341">
        <f>IFERROR(GEOMEAN('LP Elementos'!F305,'LP Elementos'!I305,'LP Elementos'!N305,'LP Elementos'!S305,'LP Elementos'!X305,'LP Elementos'!AC305,'LP Elementos'!AH305,'LP Elementos'!AM305,'LP Elementos'!AR305,'LP Elementos'!AW305,'LP Elementos'!BB305,'LP Elementos'!BG305,'LP Elementos'!BL305,'LP Elementos'!BQ305,'LP Elementos'!BV305,'LP Elementos'!CA305,'LP Elementos'!CF305,'LP Elementos'!CK305,'LP Elementos'!CP305,'LP Elementos'!CU305,'LP Elementos'!CZ305)," ")</f>
        <v>54496.370543330682</v>
      </c>
      <c r="H305" s="341">
        <f t="shared" si="24"/>
        <v>8049.9212845693055</v>
      </c>
      <c r="I305" s="342">
        <f t="shared" si="25"/>
        <v>0.14118601995068655</v>
      </c>
      <c r="J305" s="341">
        <f t="shared" si="26"/>
        <v>57016.419099999999</v>
      </c>
      <c r="K305" s="326" t="str">
        <f t="shared" si="27"/>
        <v>Promedio</v>
      </c>
      <c r="L305" s="326">
        <f>IFERROR(COUNTA('LP Elementos'!F305,'LP Elementos'!I305,'LP Elementos'!N305,'LP Elementos'!S305,'LP Elementos'!X305,'LP Elementos'!AC305,'LP Elementos'!AH305,'LP Elementos'!AM305,'LP Elementos'!AR305,'LP Elementos'!AX305,'LP Elementos'!BB305,'LP Elementos'!BG305,'LP Elementos'!BL305,'LP Elementos'!BQ305,'LP Elementos'!BV305,'LP Elementos'!CA305,'LP Elementos'!CF305,'LP Elementos'!CK305,'LP Elementos'!CP305,'LP Elementos'!CU305,'LP Elementos'!CZ305)," ")</f>
        <v>2</v>
      </c>
    </row>
    <row r="306" spans="2:12" ht="27" x14ac:dyDescent="0.25">
      <c r="B306" s="411">
        <v>304</v>
      </c>
      <c r="C306" s="412" t="s">
        <v>3769</v>
      </c>
      <c r="D306" s="408">
        <f>IFERROR(MIN('LP Elementos'!F306,'LP Elementos'!I306,'LP Elementos'!N306,'LP Elementos'!S306,'LP Elementos'!X306,'LP Elementos'!AC306,'LP Elementos'!AH306,'LP Elementos'!AM306,'LP Elementos'!AR306,'LP Elementos'!AW306,'LP Elementos'!BB306,'LP Elementos'!BG306,'LP Elementos'!BL306,'LP Elementos'!BQ306,'LP Elementos'!BV306,'LP Elementos'!CA306,'LP Elementos'!CF306,'LP Elementos'!CK306,'LP Elementos'!CP306,'LP Elementos'!CU306,'LP Elementos'!CZ306)," ")</f>
        <v>46659.7474</v>
      </c>
      <c r="E306" s="341">
        <f>IFERROR(AVERAGE('LP Elementos'!F306,'LP Elementos'!I306,'LP Elementos'!N306,'LP Elementos'!S306,'LP Elementos'!X306,'LP Elementos'!AC306,'LP Elementos'!AH306,'LP Elementos'!AM306,'LP Elementos'!AR306,'LP Elementos'!AW306,'LP Elementos'!BB306,'LP Elementos'!BG306,'LP Elementos'!BL306,'LP Elementos'!BQ306,'LP Elementos'!BV306,'LP Elementos'!CA306,'LP Elementos'!CF306,'LP Elementos'!CK306,'LP Elementos'!CP306,'LP Elementos'!CU306,'LP Elementos'!CZ306)," ")</f>
        <v>72119.873699999996</v>
      </c>
      <c r="F306" s="341">
        <f>IFERROR(MEDIAN('LP Elementos'!F306,'LP Elementos'!I306,'LP Elementos'!N306,'LP Elementos'!S306,'LP Elementos'!X306,'LP Elementos'!AC306,'LP Elementos'!AH306,'LP Elementos'!AM306,'LP Elementos'!AR306,'LP Elementos'!AW306,'LP Elementos'!BB306,'LP Elementos'!BG306,'LP Elementos'!BL306,'LP Elementos'!BQ306,'LP Elementos'!BV306,'LP Elementos'!CA306,'LP Elementos'!CF306,'LP Elementos'!CK306,'LP Elementos'!CP306,'LP Elementos'!CU306,'LP Elementos'!CZ306)," ")</f>
        <v>72119.873699999996</v>
      </c>
      <c r="G306" s="341">
        <f>IFERROR(GEOMEAN('LP Elementos'!F306,'LP Elementos'!I306,'LP Elementos'!N306,'LP Elementos'!S306,'LP Elementos'!X306,'LP Elementos'!AC306,'LP Elementos'!AH306,'LP Elementos'!AM306,'LP Elementos'!AR306,'LP Elementos'!AW306,'LP Elementos'!BB306,'LP Elementos'!BG306,'LP Elementos'!BL306,'LP Elementos'!BQ306,'LP Elementos'!BV306,'LP Elementos'!CA306,'LP Elementos'!CF306,'LP Elementos'!CK306,'LP Elementos'!CP306,'LP Elementos'!CU306,'LP Elementos'!CZ306)," ")</f>
        <v>67476.352533995188</v>
      </c>
      <c r="H306" s="341">
        <f t="shared" si="24"/>
        <v>12154.87450012977</v>
      </c>
      <c r="I306" s="342">
        <f t="shared" si="25"/>
        <v>0.16853710186308563</v>
      </c>
      <c r="J306" s="341">
        <f t="shared" si="26"/>
        <v>72119.873699999996</v>
      </c>
      <c r="K306" s="326" t="str">
        <f t="shared" si="27"/>
        <v>Promedio</v>
      </c>
      <c r="L306" s="326">
        <f>IFERROR(COUNTA('LP Elementos'!F306,'LP Elementos'!I306,'LP Elementos'!N306,'LP Elementos'!S306,'LP Elementos'!X306,'LP Elementos'!AC306,'LP Elementos'!AH306,'LP Elementos'!AM306,'LP Elementos'!AR306,'LP Elementos'!AX306,'LP Elementos'!BB306,'LP Elementos'!BG306,'LP Elementos'!BL306,'LP Elementos'!BQ306,'LP Elementos'!BV306,'LP Elementos'!CA306,'LP Elementos'!CF306,'LP Elementos'!CK306,'LP Elementos'!CP306,'LP Elementos'!CU306,'LP Elementos'!CZ306)," ")</f>
        <v>2</v>
      </c>
    </row>
    <row r="307" spans="2:12" ht="40.5" x14ac:dyDescent="0.25">
      <c r="B307" s="411">
        <v>305</v>
      </c>
      <c r="C307" s="412" t="s">
        <v>3771</v>
      </c>
      <c r="D307" s="408">
        <f>IFERROR(MIN('LP Elementos'!F307,'LP Elementos'!I307,'LP Elementos'!N307,'LP Elementos'!S307,'LP Elementos'!X307,'LP Elementos'!AC307,'LP Elementos'!AH307,'LP Elementos'!AM307,'LP Elementos'!AR307,'LP Elementos'!AW307,'LP Elementos'!BB307,'LP Elementos'!BG307,'LP Elementos'!BL307,'LP Elementos'!BQ307,'LP Elementos'!BV307,'LP Elementos'!CA307,'LP Elementos'!CF307,'LP Elementos'!CK307,'LP Elementos'!CP307,'LP Elementos'!CU307,'LP Elementos'!CZ307)," ")</f>
        <v>40135.599999999999</v>
      </c>
      <c r="E307" s="341">
        <f>IFERROR(AVERAGE('LP Elementos'!F307,'LP Elementos'!I307,'LP Elementos'!N307,'LP Elementos'!S307,'LP Elementos'!X307,'LP Elementos'!AC307,'LP Elementos'!AH307,'LP Elementos'!AM307,'LP Elementos'!AR307,'LP Elementos'!AW307,'LP Elementos'!BB307,'LP Elementos'!BG307,'LP Elementos'!BL307,'LP Elementos'!BQ307,'LP Elementos'!BV307,'LP Elementos'!CA307,'LP Elementos'!CF307,'LP Elementos'!CK307,'LP Elementos'!CP307,'LP Elementos'!CU307,'LP Elementos'!CZ307)," ")</f>
        <v>60527.8</v>
      </c>
      <c r="F307" s="341">
        <f>IFERROR(MEDIAN('LP Elementos'!F307,'LP Elementos'!I307,'LP Elementos'!N307,'LP Elementos'!S307,'LP Elementos'!X307,'LP Elementos'!AC307,'LP Elementos'!AH307,'LP Elementos'!AM307,'LP Elementos'!AR307,'LP Elementos'!AW307,'LP Elementos'!BB307,'LP Elementos'!BG307,'LP Elementos'!BL307,'LP Elementos'!BQ307,'LP Elementos'!BV307,'LP Elementos'!CA307,'LP Elementos'!CF307,'LP Elementos'!CK307,'LP Elementos'!CP307,'LP Elementos'!CU307,'LP Elementos'!CZ307)," ")</f>
        <v>60527.8</v>
      </c>
      <c r="G307" s="341">
        <f>IFERROR(GEOMEAN('LP Elementos'!F307,'LP Elementos'!I307,'LP Elementos'!N307,'LP Elementos'!S307,'LP Elementos'!X307,'LP Elementos'!AC307,'LP Elementos'!AH307,'LP Elementos'!AM307,'LP Elementos'!AR307,'LP Elementos'!AW307,'LP Elementos'!BB307,'LP Elementos'!BG307,'LP Elementos'!BL307,'LP Elementos'!BQ307,'LP Elementos'!BV307,'LP Elementos'!CA307,'LP Elementos'!CF307,'LP Elementos'!CK307,'LP Elementos'!CP307,'LP Elementos'!CU307,'LP Elementos'!CZ307)," ")</f>
        <v>56989.233649874608</v>
      </c>
      <c r="H307" s="341">
        <f t="shared" si="24"/>
        <v>9750.0919333813836</v>
      </c>
      <c r="I307" s="342">
        <f t="shared" si="25"/>
        <v>0.16108452534837517</v>
      </c>
      <c r="J307" s="341">
        <f t="shared" si="26"/>
        <v>60527.8</v>
      </c>
      <c r="K307" s="326" t="str">
        <f t="shared" si="27"/>
        <v>Promedio</v>
      </c>
      <c r="L307" s="326">
        <f>IFERROR(COUNTA('LP Elementos'!F307,'LP Elementos'!I307,'LP Elementos'!N307,'LP Elementos'!S307,'LP Elementos'!X307,'LP Elementos'!AC307,'LP Elementos'!AH307,'LP Elementos'!AM307,'LP Elementos'!AR307,'LP Elementos'!AX307,'LP Elementos'!BB307,'LP Elementos'!BG307,'LP Elementos'!BL307,'LP Elementos'!BQ307,'LP Elementos'!BV307,'LP Elementos'!CA307,'LP Elementos'!CF307,'LP Elementos'!CK307,'LP Elementos'!CP307,'LP Elementos'!CU307,'LP Elementos'!CZ307)," ")</f>
        <v>2</v>
      </c>
    </row>
    <row r="308" spans="2:12" x14ac:dyDescent="0.25">
      <c r="B308" s="411">
        <v>306</v>
      </c>
      <c r="C308" s="409" t="s">
        <v>3773</v>
      </c>
      <c r="D308" s="408">
        <f>IFERROR(MIN('LP Elementos'!F308,'LP Elementos'!I308,'LP Elementos'!N308,'LP Elementos'!S308,'LP Elementos'!X308,'LP Elementos'!AC308,'LP Elementos'!AH308,'LP Elementos'!AM308,'LP Elementos'!AR308,'LP Elementos'!AW308,'LP Elementos'!BB308,'LP Elementos'!BG308,'LP Elementos'!BL308,'LP Elementos'!BQ308,'LP Elementos'!BV308,'LP Elementos'!CA308,'LP Elementos'!CF308,'LP Elementos'!CK308,'LP Elementos'!CP308,'LP Elementos'!CU308,'LP Elementos'!CZ308)," ")</f>
        <v>132090</v>
      </c>
      <c r="E308" s="341">
        <f>IFERROR(AVERAGE('LP Elementos'!F308,'LP Elementos'!I308,'LP Elementos'!N308,'LP Elementos'!S308,'LP Elementos'!X308,'LP Elementos'!AC308,'LP Elementos'!AH308,'LP Elementos'!AM308,'LP Elementos'!AR308,'LP Elementos'!AW308,'LP Elementos'!BB308,'LP Elementos'!BG308,'LP Elementos'!BL308,'LP Elementos'!BQ308,'LP Elementos'!BV308,'LP Elementos'!CA308,'LP Elementos'!CF308,'LP Elementos'!CK308,'LP Elementos'!CP308,'LP Elementos'!CU308,'LP Elementos'!CZ308)," ")</f>
        <v>475787.228</v>
      </c>
      <c r="F308" s="341">
        <f>IFERROR(MEDIAN('LP Elementos'!F308,'LP Elementos'!I308,'LP Elementos'!N308,'LP Elementos'!S308,'LP Elementos'!X308,'LP Elementos'!AC308,'LP Elementos'!AH308,'LP Elementos'!AM308,'LP Elementos'!AR308,'LP Elementos'!AW308,'LP Elementos'!BB308,'LP Elementos'!BG308,'LP Elementos'!BL308,'LP Elementos'!BQ308,'LP Elementos'!BV308,'LP Elementos'!CA308,'LP Elementos'!CF308,'LP Elementos'!CK308,'LP Elementos'!CP308,'LP Elementos'!CU308,'LP Elementos'!CZ308)," ")</f>
        <v>475787.228</v>
      </c>
      <c r="G308" s="341">
        <f>IFERROR(GEOMEAN('LP Elementos'!F308,'LP Elementos'!I308,'LP Elementos'!N308,'LP Elementos'!S308,'LP Elementos'!X308,'LP Elementos'!AC308,'LP Elementos'!AH308,'LP Elementos'!AM308,'LP Elementos'!AR308,'LP Elementos'!AW308,'LP Elementos'!BB308,'LP Elementos'!BG308,'LP Elementos'!BL308,'LP Elementos'!BQ308,'LP Elementos'!BV308,'LP Elementos'!CA308,'LP Elementos'!CF308,'LP Elementos'!CK308,'LP Elementos'!CP308,'LP Elementos'!CU308,'LP Elementos'!CZ308)," ")</f>
        <v>329007.14550453157</v>
      </c>
      <c r="H308" s="341">
        <f t="shared" si="24"/>
        <v>162819.10117729157</v>
      </c>
      <c r="I308" s="342">
        <f t="shared" si="25"/>
        <v>0.34220990307308452</v>
      </c>
      <c r="J308" s="341">
        <f t="shared" si="26"/>
        <v>132090</v>
      </c>
      <c r="K308" s="326" t="str">
        <f t="shared" si="27"/>
        <v>Menor Valor</v>
      </c>
      <c r="L308" s="326">
        <f>IFERROR(COUNTA('LP Elementos'!F308,'LP Elementos'!I308,'LP Elementos'!N308,'LP Elementos'!S308,'LP Elementos'!X308,'LP Elementos'!AC308,'LP Elementos'!AH308,'LP Elementos'!AM308,'LP Elementos'!AR308,'LP Elementos'!AX308,'LP Elementos'!BB308,'LP Elementos'!BG308,'LP Elementos'!BL308,'LP Elementos'!BQ308,'LP Elementos'!BV308,'LP Elementos'!CA308,'LP Elementos'!CF308,'LP Elementos'!CK308,'LP Elementos'!CP308,'LP Elementos'!CU308,'LP Elementos'!CZ308)," ")</f>
        <v>2</v>
      </c>
    </row>
    <row r="309" spans="2:12" x14ac:dyDescent="0.25">
      <c r="B309" s="411">
        <v>307</v>
      </c>
      <c r="C309" s="412" t="s">
        <v>3778</v>
      </c>
      <c r="D309" s="408">
        <f>IFERROR(MIN('LP Elementos'!F309,'LP Elementos'!I309,'LP Elementos'!N309,'LP Elementos'!S309,'LP Elementos'!X309,'LP Elementos'!AC309,'LP Elementos'!AH309,'LP Elementos'!AM309,'LP Elementos'!AR309,'LP Elementos'!AW309,'LP Elementos'!BB309,'LP Elementos'!BG309,'LP Elementos'!BL309,'LP Elementos'!BQ309,'LP Elementos'!BV309,'LP Elementos'!CA309,'LP Elementos'!CF309,'LP Elementos'!CK309,'LP Elementos'!CP309,'LP Elementos'!CU309,'LP Elementos'!CZ309)," ")</f>
        <v>87483.989799999996</v>
      </c>
      <c r="E309" s="341">
        <f>IFERROR(AVERAGE('LP Elementos'!F309,'LP Elementos'!I309,'LP Elementos'!N309,'LP Elementos'!S309,'LP Elementos'!X309,'LP Elementos'!AC309,'LP Elementos'!AH309,'LP Elementos'!AM309,'LP Elementos'!AR309,'LP Elementos'!AW309,'LP Elementos'!BB309,'LP Elementos'!BG309,'LP Elementos'!BL309,'LP Elementos'!BQ309,'LP Elementos'!BV309,'LP Elementos'!CA309,'LP Elementos'!CF309,'LP Elementos'!CK309,'LP Elementos'!CP309,'LP Elementos'!CU309,'LP Elementos'!CZ309)," ")</f>
        <v>97291.994899999991</v>
      </c>
      <c r="F309" s="341">
        <f>IFERROR(MEDIAN('LP Elementos'!F309,'LP Elementos'!I309,'LP Elementos'!N309,'LP Elementos'!S309,'LP Elementos'!X309,'LP Elementos'!AC309,'LP Elementos'!AH309,'LP Elementos'!AM309,'LP Elementos'!AR309,'LP Elementos'!AW309,'LP Elementos'!BB309,'LP Elementos'!BG309,'LP Elementos'!BL309,'LP Elementos'!BQ309,'LP Elementos'!BV309,'LP Elementos'!CA309,'LP Elementos'!CF309,'LP Elementos'!CK309,'LP Elementos'!CP309,'LP Elementos'!CU309,'LP Elementos'!CZ309)," ")</f>
        <v>97291.994899999991</v>
      </c>
      <c r="G309" s="341">
        <f>IFERROR(GEOMEAN('LP Elementos'!F309,'LP Elementos'!I309,'LP Elementos'!N309,'LP Elementos'!S309,'LP Elementos'!X309,'LP Elementos'!AC309,'LP Elementos'!AH309,'LP Elementos'!AM309,'LP Elementos'!AR309,'LP Elementos'!AW309,'LP Elementos'!BB309,'LP Elementos'!BG309,'LP Elementos'!BL309,'LP Elementos'!BQ309,'LP Elementos'!BV309,'LP Elementos'!CA309,'LP Elementos'!CF309,'LP Elementos'!CK309,'LP Elementos'!CP309,'LP Elementos'!CU309,'LP Elementos'!CZ309)," ")</f>
        <v>96796.359991375706</v>
      </c>
      <c r="H309" s="341">
        <f t="shared" si="24"/>
        <v>4827.0546108174558</v>
      </c>
      <c r="I309" s="342">
        <f t="shared" si="25"/>
        <v>4.9614098423810364E-2</v>
      </c>
      <c r="J309" s="341">
        <f t="shared" si="26"/>
        <v>97291.994899999991</v>
      </c>
      <c r="K309" s="326" t="str">
        <f t="shared" si="27"/>
        <v>Promedio</v>
      </c>
      <c r="L309" s="326">
        <f>IFERROR(COUNTA('LP Elementos'!F309,'LP Elementos'!I309,'LP Elementos'!N309,'LP Elementos'!S309,'LP Elementos'!X309,'LP Elementos'!AC309,'LP Elementos'!AH309,'LP Elementos'!AM309,'LP Elementos'!AR309,'LP Elementos'!AX309,'LP Elementos'!BB309,'LP Elementos'!BG309,'LP Elementos'!BL309,'LP Elementos'!BQ309,'LP Elementos'!BV309,'LP Elementos'!CA309,'LP Elementos'!CF309,'LP Elementos'!CK309,'LP Elementos'!CP309,'LP Elementos'!CU309,'LP Elementos'!CZ309)," ")</f>
        <v>2</v>
      </c>
    </row>
    <row r="310" spans="2:12" ht="27" x14ac:dyDescent="0.25">
      <c r="B310" s="411">
        <v>308</v>
      </c>
      <c r="C310" s="412" t="s">
        <v>3781</v>
      </c>
      <c r="D310" s="408">
        <f>IFERROR(MIN('LP Elementos'!F310,'LP Elementos'!I310,'LP Elementos'!N310,'LP Elementos'!S310,'LP Elementos'!X310,'LP Elementos'!AC310,'LP Elementos'!AH310,'LP Elementos'!AM310,'LP Elementos'!AR310,'LP Elementos'!AW310,'LP Elementos'!BB310,'LP Elementos'!BG310,'LP Elementos'!BL310,'LP Elementos'!BQ310,'LP Elementos'!BV310,'LP Elementos'!CA310,'LP Elementos'!CF310,'LP Elementos'!CK310,'LP Elementos'!CP310,'LP Elementos'!CU310,'LP Elementos'!CZ310)," ")</f>
        <v>1822473.1</v>
      </c>
      <c r="E310" s="341">
        <f>IFERROR(AVERAGE('LP Elementos'!F310,'LP Elementos'!I310,'LP Elementos'!N310,'LP Elementos'!S310,'LP Elementos'!X310,'LP Elementos'!AC310,'LP Elementos'!AH310,'LP Elementos'!AM310,'LP Elementos'!AR310,'LP Elementos'!AW310,'LP Elementos'!BB310,'LP Elementos'!BG310,'LP Elementos'!BL310,'LP Elementos'!BQ310,'LP Elementos'!BV310,'LP Elementos'!CA310,'LP Elementos'!CF310,'LP Elementos'!CK310,'LP Elementos'!CP310,'LP Elementos'!CU310,'LP Elementos'!CZ310)," ")</f>
        <v>2339236.5499999998</v>
      </c>
      <c r="F310" s="341">
        <f>IFERROR(MEDIAN('LP Elementos'!F310,'LP Elementos'!I310,'LP Elementos'!N310,'LP Elementos'!S310,'LP Elementos'!X310,'LP Elementos'!AC310,'LP Elementos'!AH310,'LP Elementos'!AM310,'LP Elementos'!AR310,'LP Elementos'!AW310,'LP Elementos'!BB310,'LP Elementos'!BG310,'LP Elementos'!BL310,'LP Elementos'!BQ310,'LP Elementos'!BV310,'LP Elementos'!CA310,'LP Elementos'!CF310,'LP Elementos'!CK310,'LP Elementos'!CP310,'LP Elementos'!CU310,'LP Elementos'!CZ310)," ")</f>
        <v>2339236.5499999998</v>
      </c>
      <c r="G310" s="341">
        <f>IFERROR(GEOMEAN('LP Elementos'!F310,'LP Elementos'!I310,'LP Elementos'!N310,'LP Elementos'!S310,'LP Elementos'!X310,'LP Elementos'!AC310,'LP Elementos'!AH310,'LP Elementos'!AM310,'LP Elementos'!AR310,'LP Elementos'!AW310,'LP Elementos'!BB310,'LP Elementos'!BG310,'LP Elementos'!BL310,'LP Elementos'!BQ310,'LP Elementos'!BV310,'LP Elementos'!CA310,'LP Elementos'!CF310,'LP Elementos'!CK310,'LP Elementos'!CP310,'LP Elementos'!CU310,'LP Elementos'!CZ310)," ")</f>
        <v>2281443.22164721</v>
      </c>
      <c r="H310" s="341">
        <f t="shared" si="24"/>
        <v>250236.9937813695</v>
      </c>
      <c r="I310" s="342">
        <f t="shared" si="25"/>
        <v>0.10697378757243235</v>
      </c>
      <c r="J310" s="341">
        <f t="shared" si="26"/>
        <v>2339236.5499999998</v>
      </c>
      <c r="K310" s="326" t="str">
        <f t="shared" si="27"/>
        <v>Promedio</v>
      </c>
      <c r="L310" s="326">
        <f>IFERROR(COUNTA('LP Elementos'!F310,'LP Elementos'!I310,'LP Elementos'!N310,'LP Elementos'!S310,'LP Elementos'!X310,'LP Elementos'!AC310,'LP Elementos'!AH310,'LP Elementos'!AM310,'LP Elementos'!AR310,'LP Elementos'!AX310,'LP Elementos'!BB310,'LP Elementos'!BG310,'LP Elementos'!BL310,'LP Elementos'!BQ310,'LP Elementos'!BV310,'LP Elementos'!CA310,'LP Elementos'!CF310,'LP Elementos'!CK310,'LP Elementos'!CP310,'LP Elementos'!CU310,'LP Elementos'!CZ310)," ")</f>
        <v>2</v>
      </c>
    </row>
    <row r="311" spans="2:12" ht="81" x14ac:dyDescent="0.25">
      <c r="B311" s="411">
        <v>309</v>
      </c>
      <c r="C311" s="412" t="s">
        <v>3783</v>
      </c>
      <c r="D311" s="408">
        <f>IFERROR(MIN('LP Elementos'!F311,'LP Elementos'!I311,'LP Elementos'!N311,'LP Elementos'!S311,'LP Elementos'!X311,'LP Elementos'!AC311,'LP Elementos'!AH311,'LP Elementos'!AM311,'LP Elementos'!AR311,'LP Elementos'!AW311,'LP Elementos'!BB311,'LP Elementos'!BG311,'LP Elementos'!BL311,'LP Elementos'!BQ311,'LP Elementos'!BV311,'LP Elementos'!CA311,'LP Elementos'!CF311,'LP Elementos'!CK311,'LP Elementos'!CP311,'LP Elementos'!CU311,'LP Elementos'!CZ311)," ")</f>
        <v>3807819.6334000002</v>
      </c>
      <c r="E311" s="341">
        <f>IFERROR(AVERAGE('LP Elementos'!F311,'LP Elementos'!I311,'LP Elementos'!N311,'LP Elementos'!S311,'LP Elementos'!X311,'LP Elementos'!AC311,'LP Elementos'!AH311,'LP Elementos'!AM311,'LP Elementos'!AR311,'LP Elementos'!AW311,'LP Elementos'!BB311,'LP Elementos'!BG311,'LP Elementos'!BL311,'LP Elementos'!BQ311,'LP Elementos'!BV311,'LP Elementos'!CA311,'LP Elementos'!CF311,'LP Elementos'!CK311,'LP Elementos'!CP311,'LP Elementos'!CU311,'LP Elementos'!CZ311)," ")</f>
        <v>4581409.8167000003</v>
      </c>
      <c r="F311" s="341">
        <f>IFERROR(MEDIAN('LP Elementos'!F311,'LP Elementos'!I311,'LP Elementos'!N311,'LP Elementos'!S311,'LP Elementos'!X311,'LP Elementos'!AC311,'LP Elementos'!AH311,'LP Elementos'!AM311,'LP Elementos'!AR311,'LP Elementos'!AW311,'LP Elementos'!BB311,'LP Elementos'!BG311,'LP Elementos'!BL311,'LP Elementos'!BQ311,'LP Elementos'!BV311,'LP Elementos'!CA311,'LP Elementos'!CF311,'LP Elementos'!CK311,'LP Elementos'!CP311,'LP Elementos'!CU311,'LP Elementos'!CZ311)," ")</f>
        <v>4581409.8167000003</v>
      </c>
      <c r="G311" s="341">
        <f>IFERROR(GEOMEAN('LP Elementos'!F311,'LP Elementos'!I311,'LP Elementos'!N311,'LP Elementos'!S311,'LP Elementos'!X311,'LP Elementos'!AC311,'LP Elementos'!AH311,'LP Elementos'!AM311,'LP Elementos'!AR311,'LP Elementos'!AW311,'LP Elementos'!BB311,'LP Elementos'!BG311,'LP Elementos'!BL311,'LP Elementos'!BQ311,'LP Elementos'!BV311,'LP Elementos'!CA311,'LP Elementos'!CF311,'LP Elementos'!CK311,'LP Elementos'!CP311,'LP Elementos'!CU311,'LP Elementos'!CZ311)," ")</f>
        <v>4515625.5532159666</v>
      </c>
      <c r="H311" s="341">
        <f t="shared" si="24"/>
        <v>377108.28486513166</v>
      </c>
      <c r="I311" s="342">
        <f t="shared" si="25"/>
        <v>8.2312715944011225E-2</v>
      </c>
      <c r="J311" s="341">
        <f t="shared" si="26"/>
        <v>4581409.8167000003</v>
      </c>
      <c r="K311" s="326" t="str">
        <f t="shared" si="27"/>
        <v>Promedio</v>
      </c>
      <c r="L311" s="326">
        <f>IFERROR(COUNTA('LP Elementos'!F311,'LP Elementos'!I311,'LP Elementos'!N311,'LP Elementos'!S311,'LP Elementos'!X311,'LP Elementos'!AC311,'LP Elementos'!AH311,'LP Elementos'!AM311,'LP Elementos'!AR311,'LP Elementos'!AX311,'LP Elementos'!BB311,'LP Elementos'!BG311,'LP Elementos'!BL311,'LP Elementos'!BQ311,'LP Elementos'!BV311,'LP Elementos'!CA311,'LP Elementos'!CF311,'LP Elementos'!CK311,'LP Elementos'!CP311,'LP Elementos'!CU311,'LP Elementos'!CZ311)," ")</f>
        <v>2</v>
      </c>
    </row>
    <row r="312" spans="2:12" x14ac:dyDescent="0.25">
      <c r="B312" s="411">
        <v>310</v>
      </c>
      <c r="C312" s="412" t="s">
        <v>3788</v>
      </c>
      <c r="D312" s="408">
        <f>IFERROR(MIN('LP Elementos'!F312,'LP Elementos'!I312,'LP Elementos'!N312,'LP Elementos'!S312,'LP Elementos'!X312,'LP Elementos'!AC312,'LP Elementos'!AH312,'LP Elementos'!AM312,'LP Elementos'!AR312,'LP Elementos'!AW312,'LP Elementos'!BB312,'LP Elementos'!BG312,'LP Elementos'!BL312,'LP Elementos'!BQ312,'LP Elementos'!BV312,'LP Elementos'!CA312,'LP Elementos'!CF312,'LP Elementos'!CK312,'LP Elementos'!CP312,'LP Elementos'!CU312,'LP Elementos'!CZ312)," ")</f>
        <v>1014300.546</v>
      </c>
      <c r="E312" s="341">
        <f>IFERROR(AVERAGE('LP Elementos'!F312,'LP Elementos'!I312,'LP Elementos'!N312,'LP Elementos'!S312,'LP Elementos'!X312,'LP Elementos'!AC312,'LP Elementos'!AH312,'LP Elementos'!AM312,'LP Elementos'!AR312,'LP Elementos'!AW312,'LP Elementos'!BB312,'LP Elementos'!BG312,'LP Elementos'!BL312,'LP Elementos'!BQ312,'LP Elementos'!BV312,'LP Elementos'!CA312,'LP Elementos'!CF312,'LP Elementos'!CK312,'LP Elementos'!CP312,'LP Elementos'!CU312,'LP Elementos'!CZ312)," ")</f>
        <v>2718100.182</v>
      </c>
      <c r="F312" s="341">
        <f>IFERROR(MEDIAN('LP Elementos'!F312,'LP Elementos'!I312,'LP Elementos'!N312,'LP Elementos'!S312,'LP Elementos'!X312,'LP Elementos'!AC312,'LP Elementos'!AH312,'LP Elementos'!AM312,'LP Elementos'!AR312,'LP Elementos'!AW312,'LP Elementos'!BB312,'LP Elementos'!BG312,'LP Elementos'!BL312,'LP Elementos'!BQ312,'LP Elementos'!BV312,'LP Elementos'!CA312,'LP Elementos'!CF312,'LP Elementos'!CK312,'LP Elementos'!CP312,'LP Elementos'!CU312,'LP Elementos'!CZ312)," ")</f>
        <v>2380000</v>
      </c>
      <c r="G312" s="341">
        <f>IFERROR(GEOMEAN('LP Elementos'!F312,'LP Elementos'!I312,'LP Elementos'!N312,'LP Elementos'!S312,'LP Elementos'!X312,'LP Elementos'!AC312,'LP Elementos'!AH312,'LP Elementos'!AM312,'LP Elementos'!AR312,'LP Elementos'!AW312,'LP Elementos'!BB312,'LP Elementos'!BG312,'LP Elementos'!BL312,'LP Elementos'!BQ312,'LP Elementos'!BV312,'LP Elementos'!CA312,'LP Elementos'!CF312,'LP Elementos'!CK312,'LP Elementos'!CP312,'LP Elementos'!CU312,'LP Elementos'!CZ312)," ")</f>
        <v>2256577.1681842445</v>
      </c>
      <c r="H312" s="341">
        <f t="shared" si="24"/>
        <v>744640.17177641776</v>
      </c>
      <c r="I312" s="342">
        <f t="shared" si="25"/>
        <v>0.27395611710989459</v>
      </c>
      <c r="J312" s="341">
        <f t="shared" si="26"/>
        <v>2256577.1681842445</v>
      </c>
      <c r="K312" s="326" t="str">
        <f t="shared" si="27"/>
        <v>Media Geometrica</v>
      </c>
      <c r="L312" s="326">
        <f>IFERROR(COUNTA('LP Elementos'!F312,'LP Elementos'!I312,'LP Elementos'!N312,'LP Elementos'!S312,'LP Elementos'!X312,'LP Elementos'!AC312,'LP Elementos'!AH312,'LP Elementos'!AM312,'LP Elementos'!AR312,'LP Elementos'!AX312,'LP Elementos'!BB312,'LP Elementos'!BG312,'LP Elementos'!BL312,'LP Elementos'!BQ312,'LP Elementos'!BV312,'LP Elementos'!CA312,'LP Elementos'!CF312,'LP Elementos'!CK312,'LP Elementos'!CP312,'LP Elementos'!CU312,'LP Elementos'!CZ312)," ")</f>
        <v>3</v>
      </c>
    </row>
    <row r="313" spans="2:12" ht="324" x14ac:dyDescent="0.25">
      <c r="B313" s="411">
        <v>311</v>
      </c>
      <c r="C313" s="415" t="s">
        <v>3793</v>
      </c>
      <c r="D313" s="408">
        <f>IFERROR(MIN('LP Elementos'!F313,'LP Elementos'!I313,'LP Elementos'!N313,'LP Elementos'!S313,'LP Elementos'!X313,'LP Elementos'!AC313,'LP Elementos'!AH313,'LP Elementos'!AM313,'LP Elementos'!AR313,'LP Elementos'!AW313,'LP Elementos'!BB313,'LP Elementos'!BG313,'LP Elementos'!BL313,'LP Elementos'!BQ313,'LP Elementos'!BV313,'LP Elementos'!CA313,'LP Elementos'!CF313,'LP Elementos'!CK313,'LP Elementos'!CP313,'LP Elementos'!CU313,'LP Elementos'!CZ313)," ")</f>
        <v>2661439.165</v>
      </c>
      <c r="E313" s="341">
        <f>IFERROR(AVERAGE('LP Elementos'!F313,'LP Elementos'!I313,'LP Elementos'!N313,'LP Elementos'!S313,'LP Elementos'!X313,'LP Elementos'!AC313,'LP Elementos'!AH313,'LP Elementos'!AM313,'LP Elementos'!AR313,'LP Elementos'!AW313,'LP Elementos'!BB313,'LP Elementos'!BG313,'LP Elementos'!BL313,'LP Elementos'!BQ313,'LP Elementos'!BV313,'LP Elementos'!CA313,'LP Elementos'!CF313,'LP Elementos'!CK313,'LP Elementos'!CP313,'LP Elementos'!CU313,'LP Elementos'!CZ313)," ")</f>
        <v>2931269.5825</v>
      </c>
      <c r="F313" s="341">
        <f>IFERROR(MEDIAN('LP Elementos'!F313,'LP Elementos'!I313,'LP Elementos'!N313,'LP Elementos'!S313,'LP Elementos'!X313,'LP Elementos'!AC313,'LP Elementos'!AH313,'LP Elementos'!AM313,'LP Elementos'!AR313,'LP Elementos'!AW313,'LP Elementos'!BB313,'LP Elementos'!BG313,'LP Elementos'!BL313,'LP Elementos'!BQ313,'LP Elementos'!BV313,'LP Elementos'!CA313,'LP Elementos'!CF313,'LP Elementos'!CK313,'LP Elementos'!CP313,'LP Elementos'!CU313,'LP Elementos'!CZ313)," ")</f>
        <v>2931269.5825</v>
      </c>
      <c r="G313" s="341">
        <f>IFERROR(GEOMEAN('LP Elementos'!F313,'LP Elementos'!I313,'LP Elementos'!N313,'LP Elementos'!S313,'LP Elementos'!X313,'LP Elementos'!AC313,'LP Elementos'!AH313,'LP Elementos'!AM313,'LP Elementos'!AR313,'LP Elementos'!AW313,'LP Elementos'!BB313,'LP Elementos'!BG313,'LP Elementos'!BL313,'LP Elementos'!BQ313,'LP Elementos'!BV313,'LP Elementos'!CA313,'LP Elementos'!CF313,'LP Elementos'!CK313,'LP Elementos'!CP313,'LP Elementos'!CU313,'LP Elementos'!CZ313)," ")</f>
        <v>2918823.8917552903</v>
      </c>
      <c r="H313" s="341">
        <f t="shared" si="24"/>
        <v>132970.42165445728</v>
      </c>
      <c r="I313" s="342">
        <f t="shared" si="25"/>
        <v>4.5362740584593532E-2</v>
      </c>
      <c r="J313" s="341">
        <f t="shared" si="26"/>
        <v>2931269.5825</v>
      </c>
      <c r="K313" s="326" t="str">
        <f t="shared" si="27"/>
        <v>Promedio</v>
      </c>
      <c r="L313" s="326">
        <f>IFERROR(COUNTA('LP Elementos'!F313,'LP Elementos'!I313,'LP Elementos'!N313,'LP Elementos'!S313,'LP Elementos'!X313,'LP Elementos'!AC313,'LP Elementos'!AH313,'LP Elementos'!AM313,'LP Elementos'!AR313,'LP Elementos'!AX313,'LP Elementos'!BB313,'LP Elementos'!BG313,'LP Elementos'!BL313,'LP Elementos'!BQ313,'LP Elementos'!BV313,'LP Elementos'!CA313,'LP Elementos'!CF313,'LP Elementos'!CK313,'LP Elementos'!CP313,'LP Elementos'!CU313,'LP Elementos'!CZ313)," ")</f>
        <v>2</v>
      </c>
    </row>
    <row r="314" spans="2:12" ht="175.5" x14ac:dyDescent="0.25">
      <c r="B314" s="411">
        <v>312</v>
      </c>
      <c r="C314" s="415" t="s">
        <v>3794</v>
      </c>
      <c r="D314" s="408">
        <f>IFERROR(MIN('LP Elementos'!F314,'LP Elementos'!I314,'LP Elementos'!N314,'LP Elementos'!S314,'LP Elementos'!X314,'LP Elementos'!AC314,'LP Elementos'!AH314,'LP Elementos'!AM314,'LP Elementos'!AR314,'LP Elementos'!AW314,'LP Elementos'!BB314,'LP Elementos'!BG314,'LP Elementos'!BL314,'LP Elementos'!BQ314,'LP Elementos'!BV314,'LP Elementos'!CA314,'LP Elementos'!CF314,'LP Elementos'!CK314,'LP Elementos'!CP314,'LP Elementos'!CU314,'LP Elementos'!CZ314)," ")</f>
        <v>1194034.1000000001</v>
      </c>
      <c r="E314" s="341">
        <f>IFERROR(AVERAGE('LP Elementos'!F314,'LP Elementos'!I314,'LP Elementos'!N314,'LP Elementos'!S314,'LP Elementos'!X314,'LP Elementos'!AC314,'LP Elementos'!AH314,'LP Elementos'!AM314,'LP Elementos'!AR314,'LP Elementos'!AW314,'LP Elementos'!BB314,'LP Elementos'!BG314,'LP Elementos'!BL314,'LP Elementos'!BQ314,'LP Elementos'!BV314,'LP Elementos'!CA314,'LP Elementos'!CF314,'LP Elementos'!CK314,'LP Elementos'!CP314,'LP Elementos'!CU314,'LP Elementos'!CZ314)," ")</f>
        <v>1194034.1000000001</v>
      </c>
      <c r="F314" s="341">
        <f>IFERROR(MEDIAN('LP Elementos'!F314,'LP Elementos'!I314,'LP Elementos'!N314,'LP Elementos'!S314,'LP Elementos'!X314,'LP Elementos'!AC314,'LP Elementos'!AH314,'LP Elementos'!AM314,'LP Elementos'!AR314,'LP Elementos'!AW314,'LP Elementos'!BB314,'LP Elementos'!BG314,'LP Elementos'!BL314,'LP Elementos'!BQ314,'LP Elementos'!BV314,'LP Elementos'!CA314,'LP Elementos'!CF314,'LP Elementos'!CK314,'LP Elementos'!CP314,'LP Elementos'!CU314,'LP Elementos'!CZ314)," ")</f>
        <v>1194034.1000000001</v>
      </c>
      <c r="G314" s="341">
        <f>IFERROR(GEOMEAN('LP Elementos'!F314,'LP Elementos'!I314,'LP Elementos'!N314,'LP Elementos'!S314,'LP Elementos'!X314,'LP Elementos'!AC314,'LP Elementos'!AH314,'LP Elementos'!AM314,'LP Elementos'!AR314,'LP Elementos'!AW314,'LP Elementos'!BB314,'LP Elementos'!BG314,'LP Elementos'!BL314,'LP Elementos'!BQ314,'LP Elementos'!BV314,'LP Elementos'!CA314,'LP Elementos'!CF314,'LP Elementos'!CK314,'LP Elementos'!CP314,'LP Elementos'!CU314,'LP Elementos'!CZ314)," ")</f>
        <v>1194034.1000000001</v>
      </c>
      <c r="H314" s="341">
        <f t="shared" si="24"/>
        <v>0</v>
      </c>
      <c r="I314" s="342">
        <f t="shared" si="25"/>
        <v>0</v>
      </c>
      <c r="J314" s="341">
        <f t="shared" si="26"/>
        <v>1194034.1000000001</v>
      </c>
      <c r="K314" s="326" t="str">
        <f t="shared" si="27"/>
        <v>Menor Valor</v>
      </c>
      <c r="L314" s="326">
        <f>IFERROR(COUNTA('LP Elementos'!F314,'LP Elementos'!I314,'LP Elementos'!N314,'LP Elementos'!S314,'LP Elementos'!X314,'LP Elementos'!AC314,'LP Elementos'!AH314,'LP Elementos'!AM314,'LP Elementos'!AR314,'LP Elementos'!AX314,'LP Elementos'!BB314,'LP Elementos'!BG314,'LP Elementos'!BL314,'LP Elementos'!BQ314,'LP Elementos'!BV314,'LP Elementos'!CA314,'LP Elementos'!CF314,'LP Elementos'!CK314,'LP Elementos'!CP314,'LP Elementos'!CU314,'LP Elementos'!CZ314)," ")</f>
        <v>1</v>
      </c>
    </row>
    <row r="315" spans="2:12" ht="189" x14ac:dyDescent="0.25">
      <c r="B315" s="411">
        <v>313</v>
      </c>
      <c r="C315" s="412" t="s">
        <v>3795</v>
      </c>
      <c r="D315" s="408">
        <f>IFERROR(MIN('LP Elementos'!F315,'LP Elementos'!I315,'LP Elementos'!N315,'LP Elementos'!S315,'LP Elementos'!X315,'LP Elementos'!AC315,'LP Elementos'!AH315,'LP Elementos'!AM315,'LP Elementos'!AR315,'LP Elementos'!AW315,'LP Elementos'!BB315,'LP Elementos'!BG315,'LP Elementos'!BL315,'LP Elementos'!BQ315,'LP Elementos'!BV315,'LP Elementos'!CA315,'LP Elementos'!CF315,'LP Elementos'!CK315,'LP Elementos'!CP315,'LP Elementos'!CU315,'LP Elementos'!CZ315)," ")</f>
        <v>785548.75</v>
      </c>
      <c r="E315" s="341">
        <f>IFERROR(AVERAGE('LP Elementos'!F315,'LP Elementos'!I315,'LP Elementos'!N315,'LP Elementos'!S315,'LP Elementos'!X315,'LP Elementos'!AC315,'LP Elementos'!AH315,'LP Elementos'!AM315,'LP Elementos'!AR315,'LP Elementos'!AW315,'LP Elementos'!BB315,'LP Elementos'!BG315,'LP Elementos'!BL315,'LP Elementos'!BQ315,'LP Elementos'!BV315,'LP Elementos'!CA315,'LP Elementos'!CF315,'LP Elementos'!CK315,'LP Elementos'!CP315,'LP Elementos'!CU315,'LP Elementos'!CZ315)," ")</f>
        <v>856874.375</v>
      </c>
      <c r="F315" s="341">
        <f>IFERROR(MEDIAN('LP Elementos'!F315,'LP Elementos'!I315,'LP Elementos'!N315,'LP Elementos'!S315,'LP Elementos'!X315,'LP Elementos'!AC315,'LP Elementos'!AH315,'LP Elementos'!AM315,'LP Elementos'!AR315,'LP Elementos'!AW315,'LP Elementos'!BB315,'LP Elementos'!BG315,'LP Elementos'!BL315,'LP Elementos'!BQ315,'LP Elementos'!BV315,'LP Elementos'!CA315,'LP Elementos'!CF315,'LP Elementos'!CK315,'LP Elementos'!CP315,'LP Elementos'!CU315,'LP Elementos'!CZ315)," ")</f>
        <v>856874.375</v>
      </c>
      <c r="G315" s="341">
        <f>IFERROR(GEOMEAN('LP Elementos'!F315,'LP Elementos'!I315,'LP Elementos'!N315,'LP Elementos'!S315,'LP Elementos'!X315,'LP Elementos'!AC315,'LP Elementos'!AH315,'LP Elementos'!AM315,'LP Elementos'!AR315,'LP Elementos'!AW315,'LP Elementos'!BB315,'LP Elementos'!BG315,'LP Elementos'!BL315,'LP Elementos'!BQ315,'LP Elementos'!BV315,'LP Elementos'!CA315,'LP Elementos'!CF315,'LP Elementos'!CK315,'LP Elementos'!CP315,'LP Elementos'!CU315,'LP Elementos'!CZ315)," ")</f>
        <v>853900.66737882339</v>
      </c>
      <c r="H315" s="341">
        <f t="shared" si="24"/>
        <v>35195.122823429236</v>
      </c>
      <c r="I315" s="342">
        <f t="shared" si="25"/>
        <v>4.1073842152683393E-2</v>
      </c>
      <c r="J315" s="341">
        <f t="shared" si="26"/>
        <v>856874.375</v>
      </c>
      <c r="K315" s="326" t="str">
        <f t="shared" si="27"/>
        <v>Promedio</v>
      </c>
      <c r="L315" s="326">
        <f>IFERROR(COUNTA('LP Elementos'!F315,'LP Elementos'!I315,'LP Elementos'!N315,'LP Elementos'!S315,'LP Elementos'!X315,'LP Elementos'!AC315,'LP Elementos'!AH315,'LP Elementos'!AM315,'LP Elementos'!AR315,'LP Elementos'!AX315,'LP Elementos'!BB315,'LP Elementos'!BG315,'LP Elementos'!BL315,'LP Elementos'!BQ315,'LP Elementos'!BV315,'LP Elementos'!CA315,'LP Elementos'!CF315,'LP Elementos'!CK315,'LP Elementos'!CP315,'LP Elementos'!CU315,'LP Elementos'!CZ315)," ")</f>
        <v>2</v>
      </c>
    </row>
    <row r="316" spans="2:12" ht="54" x14ac:dyDescent="0.25">
      <c r="B316" s="411">
        <v>314</v>
      </c>
      <c r="C316" s="412" t="s">
        <v>3796</v>
      </c>
      <c r="D316" s="408">
        <f>IFERROR(MIN('LP Elementos'!F316,'LP Elementos'!I316,'LP Elementos'!N316,'LP Elementos'!S316,'LP Elementos'!X316,'LP Elementos'!AC316,'LP Elementos'!AH316,'LP Elementos'!AM316,'LP Elementos'!AR316,'LP Elementos'!AW316,'LP Elementos'!BB316,'LP Elementos'!BG316,'LP Elementos'!BL316,'LP Elementos'!BQ316,'LP Elementos'!BV316,'LP Elementos'!CA316,'LP Elementos'!CF316,'LP Elementos'!CK316,'LP Elementos'!CP316,'LP Elementos'!CU316,'LP Elementos'!CZ316)," ")</f>
        <v>720191.09400000004</v>
      </c>
      <c r="E316" s="341">
        <f>IFERROR(AVERAGE('LP Elementos'!F316,'LP Elementos'!I316,'LP Elementos'!N316,'LP Elementos'!S316,'LP Elementos'!X316,'LP Elementos'!AC316,'LP Elementos'!AH316,'LP Elementos'!AM316,'LP Elementos'!AR316,'LP Elementos'!AW316,'LP Elementos'!BB316,'LP Elementos'!BG316,'LP Elementos'!BL316,'LP Elementos'!BQ316,'LP Elementos'!BV316,'LP Elementos'!CA316,'LP Elementos'!CF316,'LP Elementos'!CK316,'LP Elementos'!CP316,'LP Elementos'!CU316,'LP Elementos'!CZ316)," ")</f>
        <v>1232365.547</v>
      </c>
      <c r="F316" s="341">
        <f>IFERROR(MEDIAN('LP Elementos'!F316,'LP Elementos'!I316,'LP Elementos'!N316,'LP Elementos'!S316,'LP Elementos'!X316,'LP Elementos'!AC316,'LP Elementos'!AH316,'LP Elementos'!AM316,'LP Elementos'!AR316,'LP Elementos'!AW316,'LP Elementos'!BB316,'LP Elementos'!BG316,'LP Elementos'!BL316,'LP Elementos'!BQ316,'LP Elementos'!BV316,'LP Elementos'!CA316,'LP Elementos'!CF316,'LP Elementos'!CK316,'LP Elementos'!CP316,'LP Elementos'!CU316,'LP Elementos'!CZ316)," ")</f>
        <v>1232365.547</v>
      </c>
      <c r="G316" s="341">
        <f>IFERROR(GEOMEAN('LP Elementos'!F316,'LP Elementos'!I316,'LP Elementos'!N316,'LP Elementos'!S316,'LP Elementos'!X316,'LP Elementos'!AC316,'LP Elementos'!AH316,'LP Elementos'!AM316,'LP Elementos'!AR316,'LP Elementos'!AW316,'LP Elementos'!BB316,'LP Elementos'!BG316,'LP Elementos'!BL316,'LP Elementos'!BQ316,'LP Elementos'!BV316,'LP Elementos'!CA316,'LP Elementos'!CF316,'LP Elementos'!CK316,'LP Elementos'!CP316,'LP Elementos'!CU316,'LP Elementos'!CZ316)," ")</f>
        <v>1120893.4700170038</v>
      </c>
      <c r="H316" s="341">
        <f t="shared" si="24"/>
        <v>243252.23237262314</v>
      </c>
      <c r="I316" s="342">
        <f t="shared" si="25"/>
        <v>0.19738642723726124</v>
      </c>
      <c r="J316" s="341">
        <f t="shared" si="26"/>
        <v>1232365.547</v>
      </c>
      <c r="K316" s="326" t="str">
        <f t="shared" si="27"/>
        <v>Promedio</v>
      </c>
      <c r="L316" s="326">
        <f>IFERROR(COUNTA('LP Elementos'!F316,'LP Elementos'!I316,'LP Elementos'!N316,'LP Elementos'!S316,'LP Elementos'!X316,'LP Elementos'!AC316,'LP Elementos'!AH316,'LP Elementos'!AM316,'LP Elementos'!AR316,'LP Elementos'!AX316,'LP Elementos'!BB316,'LP Elementos'!BG316,'LP Elementos'!BL316,'LP Elementos'!BQ316,'LP Elementos'!BV316,'LP Elementos'!CA316,'LP Elementos'!CF316,'LP Elementos'!CK316,'LP Elementos'!CP316,'LP Elementos'!CU316,'LP Elementos'!CZ316)," ")</f>
        <v>2</v>
      </c>
    </row>
    <row r="317" spans="2:12" ht="27" x14ac:dyDescent="0.25">
      <c r="B317" s="411">
        <v>315</v>
      </c>
      <c r="C317" s="412" t="s">
        <v>3800</v>
      </c>
      <c r="D317" s="408">
        <f>IFERROR(MIN('LP Elementos'!F317,'LP Elementos'!I317,'LP Elementos'!N317,'LP Elementos'!S317,'LP Elementos'!X317,'LP Elementos'!AC317,'LP Elementos'!AH317,'LP Elementos'!AM317,'LP Elementos'!AR317,'LP Elementos'!AW317,'LP Elementos'!BB317,'LP Elementos'!BG317,'LP Elementos'!BL317,'LP Elementos'!BQ317,'LP Elementos'!BV317,'LP Elementos'!CA317,'LP Elementos'!CF317,'LP Elementos'!CK317,'LP Elementos'!CP317,'LP Elementos'!CU317,'LP Elementos'!CZ317)," ")</f>
        <v>4403</v>
      </c>
      <c r="E317" s="341">
        <f>IFERROR(AVERAGE('LP Elementos'!F317,'LP Elementos'!I317,'LP Elementos'!N317,'LP Elementos'!S317,'LP Elementos'!X317,'LP Elementos'!AC317,'LP Elementos'!AH317,'LP Elementos'!AM317,'LP Elementos'!AR317,'LP Elementos'!AW317,'LP Elementos'!BB317,'LP Elementos'!BG317,'LP Elementos'!BL317,'LP Elementos'!BQ317,'LP Elementos'!BV317,'LP Elementos'!CA317,'LP Elementos'!CF317,'LP Elementos'!CK317,'LP Elementos'!CP317,'LP Elementos'!CU317,'LP Elementos'!CZ317)," ")</f>
        <v>10419.878000000001</v>
      </c>
      <c r="F317" s="341">
        <f>IFERROR(MEDIAN('LP Elementos'!F317,'LP Elementos'!I317,'LP Elementos'!N317,'LP Elementos'!S317,'LP Elementos'!X317,'LP Elementos'!AC317,'LP Elementos'!AH317,'LP Elementos'!AM317,'LP Elementos'!AR317,'LP Elementos'!AW317,'LP Elementos'!BB317,'LP Elementos'!BG317,'LP Elementos'!BL317,'LP Elementos'!BQ317,'LP Elementos'!BV317,'LP Elementos'!CA317,'LP Elementos'!CF317,'LP Elementos'!CK317,'LP Elementos'!CP317,'LP Elementos'!CU317,'LP Elementos'!CZ317)," ")</f>
        <v>7497</v>
      </c>
      <c r="G317" s="341">
        <f>IFERROR(GEOMEAN('LP Elementos'!F317,'LP Elementos'!I317,'LP Elementos'!N317,'LP Elementos'!S317,'LP Elementos'!X317,'LP Elementos'!AC317,'LP Elementos'!AH317,'LP Elementos'!AM317,'LP Elementos'!AR317,'LP Elementos'!AW317,'LP Elementos'!BB317,'LP Elementos'!BG317,'LP Elementos'!BL317,'LP Elementos'!BQ317,'LP Elementos'!BV317,'LP Elementos'!CA317,'LP Elementos'!CF317,'LP Elementos'!CK317,'LP Elementos'!CP317,'LP Elementos'!CU317,'LP Elementos'!CZ317)," ")</f>
        <v>8703.389781987853</v>
      </c>
      <c r="H317" s="341">
        <f t="shared" si="24"/>
        <v>2536.6305251825197</v>
      </c>
      <c r="I317" s="342">
        <f t="shared" si="25"/>
        <v>0.24344148033043378</v>
      </c>
      <c r="J317" s="341">
        <f t="shared" si="26"/>
        <v>8703.389781987853</v>
      </c>
      <c r="K317" s="326" t="str">
        <f t="shared" si="27"/>
        <v>Media Geometrica</v>
      </c>
      <c r="L317" s="326">
        <f>IFERROR(COUNTA('LP Elementos'!F317,'LP Elementos'!I317,'LP Elementos'!N317,'LP Elementos'!S317,'LP Elementos'!X317,'LP Elementos'!AC317,'LP Elementos'!AH317,'LP Elementos'!AM317,'LP Elementos'!AR317,'LP Elementos'!AX317,'LP Elementos'!BB317,'LP Elementos'!BG317,'LP Elementos'!BL317,'LP Elementos'!BQ317,'LP Elementos'!BV317,'LP Elementos'!CA317,'LP Elementos'!CF317,'LP Elementos'!CK317,'LP Elementos'!CP317,'LP Elementos'!CU317,'LP Elementos'!CZ317)," ")</f>
        <v>5</v>
      </c>
    </row>
    <row r="318" spans="2:12" ht="27" x14ac:dyDescent="0.25">
      <c r="B318" s="411">
        <v>316</v>
      </c>
      <c r="C318" s="412" t="s">
        <v>3804</v>
      </c>
      <c r="D318" s="408">
        <f>IFERROR(MIN('LP Elementos'!F318,'LP Elementos'!I318,'LP Elementos'!N318,'LP Elementos'!S318,'LP Elementos'!X318,'LP Elementos'!AC318,'LP Elementos'!AH318,'LP Elementos'!AM318,'LP Elementos'!AR318,'LP Elementos'!AW318,'LP Elementos'!BB318,'LP Elementos'!BG318,'LP Elementos'!BL318,'LP Elementos'!BQ318,'LP Elementos'!BV318,'LP Elementos'!CA318,'LP Elementos'!CF318,'LP Elementos'!CK318,'LP Elementos'!CP318,'LP Elementos'!CU318,'LP Elementos'!CZ318)," ")</f>
        <v>10115</v>
      </c>
      <c r="E318" s="341">
        <f>IFERROR(AVERAGE('LP Elementos'!F318,'LP Elementos'!I318,'LP Elementos'!N318,'LP Elementos'!S318,'LP Elementos'!X318,'LP Elementos'!AC318,'LP Elementos'!AH318,'LP Elementos'!AM318,'LP Elementos'!AR318,'LP Elementos'!AW318,'LP Elementos'!BB318,'LP Elementos'!BG318,'LP Elementos'!BL318,'LP Elementos'!BQ318,'LP Elementos'!BV318,'LP Elementos'!CA318,'LP Elementos'!CF318,'LP Elementos'!CK318,'LP Elementos'!CP318,'LP Elementos'!CU318,'LP Elementos'!CZ318)," ")</f>
        <v>24254.310266666667</v>
      </c>
      <c r="F318" s="341">
        <f>IFERROR(MEDIAN('LP Elementos'!F318,'LP Elementos'!I318,'LP Elementos'!N318,'LP Elementos'!S318,'LP Elementos'!X318,'LP Elementos'!AC318,'LP Elementos'!AH318,'LP Elementos'!AM318,'LP Elementos'!AR318,'LP Elementos'!AW318,'LP Elementos'!BB318,'LP Elementos'!BG318,'LP Elementos'!BL318,'LP Elementos'!BQ318,'LP Elementos'!BV318,'LP Elementos'!CA318,'LP Elementos'!CF318,'LP Elementos'!CK318,'LP Elementos'!CP318,'LP Elementos'!CU318,'LP Elementos'!CZ318)," ")</f>
        <v>23377.930800000002</v>
      </c>
      <c r="G318" s="341">
        <f>IFERROR(GEOMEAN('LP Elementos'!F318,'LP Elementos'!I318,'LP Elementos'!N318,'LP Elementos'!S318,'LP Elementos'!X318,'LP Elementos'!AC318,'LP Elementos'!AH318,'LP Elementos'!AM318,'LP Elementos'!AR318,'LP Elementos'!AW318,'LP Elementos'!BB318,'LP Elementos'!BG318,'LP Elementos'!BL318,'LP Elementos'!BQ318,'LP Elementos'!BV318,'LP Elementos'!CA318,'LP Elementos'!CF318,'LP Elementos'!CK318,'LP Elementos'!CP318,'LP Elementos'!CU318,'LP Elementos'!CZ318)," ")</f>
        <v>21018.946868304727</v>
      </c>
      <c r="H318" s="341">
        <f t="shared" si="24"/>
        <v>6528.9222439370897</v>
      </c>
      <c r="I318" s="342">
        <f t="shared" si="25"/>
        <v>0.26918606104045589</v>
      </c>
      <c r="J318" s="341">
        <f t="shared" si="26"/>
        <v>21018.946868304727</v>
      </c>
      <c r="K318" s="326" t="str">
        <f t="shared" si="27"/>
        <v>Media Geometrica</v>
      </c>
      <c r="L318" s="326">
        <f>IFERROR(COUNTA('LP Elementos'!F318,'LP Elementos'!I318,'LP Elementos'!N318,'LP Elementos'!S318,'LP Elementos'!X318,'LP Elementos'!AC318,'LP Elementos'!AH318,'LP Elementos'!AM318,'LP Elementos'!AR318,'LP Elementos'!AX318,'LP Elementos'!BB318,'LP Elementos'!BG318,'LP Elementos'!BL318,'LP Elementos'!BQ318,'LP Elementos'!BV318,'LP Elementos'!CA318,'LP Elementos'!CF318,'LP Elementos'!CK318,'LP Elementos'!CP318,'LP Elementos'!CU318,'LP Elementos'!CZ318)," ")</f>
        <v>3</v>
      </c>
    </row>
    <row r="319" spans="2:12" ht="27" x14ac:dyDescent="0.25">
      <c r="B319" s="411">
        <v>317</v>
      </c>
      <c r="C319" s="409" t="s">
        <v>3806</v>
      </c>
      <c r="D319" s="408">
        <f>IFERROR(MIN('LP Elementos'!F319,'LP Elementos'!I319,'LP Elementos'!N319,'LP Elementos'!S319,'LP Elementos'!X319,'LP Elementos'!AC319,'LP Elementos'!AH319,'LP Elementos'!AM319,'LP Elementos'!AR319,'LP Elementos'!AW319,'LP Elementos'!BB319,'LP Elementos'!BG319,'LP Elementos'!BL319,'LP Elementos'!BQ319,'LP Elementos'!BV319,'LP Elementos'!CA319,'LP Elementos'!CF319,'LP Elementos'!CK319,'LP Elementos'!CP319,'LP Elementos'!CU319,'LP Elementos'!CZ319)," ")</f>
        <v>5474</v>
      </c>
      <c r="E319" s="341">
        <f>IFERROR(AVERAGE('LP Elementos'!F319,'LP Elementos'!I319,'LP Elementos'!N319,'LP Elementos'!S319,'LP Elementos'!X319,'LP Elementos'!AC319,'LP Elementos'!AH319,'LP Elementos'!AM319,'LP Elementos'!AR319,'LP Elementos'!AW319,'LP Elementos'!BB319,'LP Elementos'!BG319,'LP Elementos'!BL319,'LP Elementos'!BQ319,'LP Elementos'!BV319,'LP Elementos'!CA319,'LP Elementos'!CF319,'LP Elementos'!CK319,'LP Elementos'!CP319,'LP Elementos'!CU319,'LP Elementos'!CZ319)," ")</f>
        <v>45785.071499999998</v>
      </c>
      <c r="F319" s="341">
        <f>IFERROR(MEDIAN('LP Elementos'!F319,'LP Elementos'!I319,'LP Elementos'!N319,'LP Elementos'!S319,'LP Elementos'!X319,'LP Elementos'!AC319,'LP Elementos'!AH319,'LP Elementos'!AM319,'LP Elementos'!AR319,'LP Elementos'!AW319,'LP Elementos'!BB319,'LP Elementos'!BG319,'LP Elementos'!BL319,'LP Elementos'!BQ319,'LP Elementos'!BV319,'LP Elementos'!CA319,'LP Elementos'!CF319,'LP Elementos'!CK319,'LP Elementos'!CP319,'LP Elementos'!CU319,'LP Elementos'!CZ319)," ")</f>
        <v>45785.071499999998</v>
      </c>
      <c r="G319" s="341">
        <f>IFERROR(GEOMEAN('LP Elementos'!F319,'LP Elementos'!I319,'LP Elementos'!N319,'LP Elementos'!S319,'LP Elementos'!X319,'LP Elementos'!AC319,'LP Elementos'!AH319,'LP Elementos'!AM319,'LP Elementos'!AR319,'LP Elementos'!AW319,'LP Elementos'!BB319,'LP Elementos'!BG319,'LP Elementos'!BL319,'LP Elementos'!BQ319,'LP Elementos'!BV319,'LP Elementos'!CA319,'LP Elementos'!CF319,'LP Elementos'!CK319,'LP Elementos'!CP319,'LP Elementos'!CU319,'LP Elementos'!CZ319)," ")</f>
        <v>21709.221238496786</v>
      </c>
      <c r="H319" s="341">
        <f t="shared" si="24"/>
        <v>19733.306259654451</v>
      </c>
      <c r="I319" s="342">
        <f t="shared" si="25"/>
        <v>0.4309986992082005</v>
      </c>
      <c r="J319" s="341">
        <f t="shared" si="26"/>
        <v>5474</v>
      </c>
      <c r="K319" s="326" t="str">
        <f t="shared" si="27"/>
        <v>Menor Valor</v>
      </c>
      <c r="L319" s="326">
        <f>IFERROR(COUNTA('LP Elementos'!F319,'LP Elementos'!I319,'LP Elementos'!N319,'LP Elementos'!S319,'LP Elementos'!X319,'LP Elementos'!AC319,'LP Elementos'!AH319,'LP Elementos'!AM319,'LP Elementos'!AR319,'LP Elementos'!AX319,'LP Elementos'!BB319,'LP Elementos'!BG319,'LP Elementos'!BL319,'LP Elementos'!BQ319,'LP Elementos'!BV319,'LP Elementos'!CA319,'LP Elementos'!CF319,'LP Elementos'!CK319,'LP Elementos'!CP319,'LP Elementos'!CU319,'LP Elementos'!CZ319)," ")</f>
        <v>2</v>
      </c>
    </row>
    <row r="320" spans="2:12" x14ac:dyDescent="0.25">
      <c r="B320" s="411">
        <v>318</v>
      </c>
      <c r="C320" s="412" t="s">
        <v>3808</v>
      </c>
      <c r="D320" s="408">
        <f>IFERROR(MIN('LP Elementos'!F320,'LP Elementos'!I320,'LP Elementos'!N320,'LP Elementos'!S320,'LP Elementos'!X320,'LP Elementos'!AC320,'LP Elementos'!AH320,'LP Elementos'!AM320,'LP Elementos'!AR320,'LP Elementos'!AW320,'LP Elementos'!BB320,'LP Elementos'!BG320,'LP Elementos'!BL320,'LP Elementos'!BQ320,'LP Elementos'!BV320,'LP Elementos'!CA320,'LP Elementos'!CF320,'LP Elementos'!CK320,'LP Elementos'!CP320,'LP Elementos'!CU320,'LP Elementos'!CZ320)," ")</f>
        <v>9520</v>
      </c>
      <c r="E320" s="341">
        <f>IFERROR(AVERAGE('LP Elementos'!F320,'LP Elementos'!I320,'LP Elementos'!N320,'LP Elementos'!S320,'LP Elementos'!X320,'LP Elementos'!AC320,'LP Elementos'!AH320,'LP Elementos'!AM320,'LP Elementos'!AR320,'LP Elementos'!AW320,'LP Elementos'!BB320,'LP Elementos'!BG320,'LP Elementos'!BL320,'LP Elementos'!BQ320,'LP Elementos'!BV320,'LP Elementos'!CA320,'LP Elementos'!CF320,'LP Elementos'!CK320,'LP Elementos'!CP320,'LP Elementos'!CU320,'LP Elementos'!CZ320)," ")</f>
        <v>108205.78766666667</v>
      </c>
      <c r="F320" s="341">
        <f>IFERROR(MEDIAN('LP Elementos'!F320,'LP Elementos'!I320,'LP Elementos'!N320,'LP Elementos'!S320,'LP Elementos'!X320,'LP Elementos'!AC320,'LP Elementos'!AH320,'LP Elementos'!AM320,'LP Elementos'!AR320,'LP Elementos'!AW320,'LP Elementos'!BB320,'LP Elementos'!BG320,'LP Elementos'!BL320,'LP Elementos'!BQ320,'LP Elementos'!BV320,'LP Elementos'!CA320,'LP Elementos'!CF320,'LP Elementos'!CK320,'LP Elementos'!CP320,'LP Elementos'!CU320,'LP Elementos'!CZ320)," ")</f>
        <v>73527.362999999998</v>
      </c>
      <c r="G320" s="341">
        <f>IFERROR(GEOMEAN('LP Elementos'!F320,'LP Elementos'!I320,'LP Elementos'!N320,'LP Elementos'!S320,'LP Elementos'!X320,'LP Elementos'!AC320,'LP Elementos'!AH320,'LP Elementos'!AM320,'LP Elementos'!AR320,'LP Elementos'!AW320,'LP Elementos'!BB320,'LP Elementos'!BG320,'LP Elementos'!BL320,'LP Elementos'!BQ320,'LP Elementos'!BV320,'LP Elementos'!CA320,'LP Elementos'!CF320,'LP Elementos'!CK320,'LP Elementos'!CP320,'LP Elementos'!CU320,'LP Elementos'!CZ320)," ")</f>
        <v>55298.028259008184</v>
      </c>
      <c r="H320" s="341">
        <f t="shared" si="24"/>
        <v>41094.999558833413</v>
      </c>
      <c r="I320" s="342">
        <f t="shared" si="25"/>
        <v>0.37978559599259709</v>
      </c>
      <c r="J320" s="341">
        <f t="shared" si="26"/>
        <v>9520</v>
      </c>
      <c r="K320" s="326" t="str">
        <f t="shared" si="27"/>
        <v>Menor Valor</v>
      </c>
      <c r="L320" s="326">
        <f>IFERROR(COUNTA('LP Elementos'!F320,'LP Elementos'!I320,'LP Elementos'!N320,'LP Elementos'!S320,'LP Elementos'!X320,'LP Elementos'!AC320,'LP Elementos'!AH320,'LP Elementos'!AM320,'LP Elementos'!AR320,'LP Elementos'!AX320,'LP Elementos'!BB320,'LP Elementos'!BG320,'LP Elementos'!BL320,'LP Elementos'!BQ320,'LP Elementos'!BV320,'LP Elementos'!CA320,'LP Elementos'!CF320,'LP Elementos'!CK320,'LP Elementos'!CP320,'LP Elementos'!CU320,'LP Elementos'!CZ320)," ")</f>
        <v>3</v>
      </c>
    </row>
    <row r="321" spans="2:12" x14ac:dyDescent="0.25">
      <c r="B321" s="411">
        <v>319</v>
      </c>
      <c r="C321" s="412" t="s">
        <v>3810</v>
      </c>
      <c r="D321" s="408">
        <f>IFERROR(MIN('LP Elementos'!F321,'LP Elementos'!I321,'LP Elementos'!N321,'LP Elementos'!S321,'LP Elementos'!X321,'LP Elementos'!AC321,'LP Elementos'!AH321,'LP Elementos'!AM321,'LP Elementos'!AR321,'LP Elementos'!AW321,'LP Elementos'!BB321,'LP Elementos'!BG321,'LP Elementos'!BL321,'LP Elementos'!BQ321,'LP Elementos'!BV321,'LP Elementos'!CA321,'LP Elementos'!CF321,'LP Elementos'!CK321,'LP Elementos'!CP321,'LP Elementos'!CU321,'LP Elementos'!CZ321)," ")</f>
        <v>3570</v>
      </c>
      <c r="E321" s="341">
        <f>IFERROR(AVERAGE('LP Elementos'!F321,'LP Elementos'!I321,'LP Elementos'!N321,'LP Elementos'!S321,'LP Elementos'!X321,'LP Elementos'!AC321,'LP Elementos'!AH321,'LP Elementos'!AM321,'LP Elementos'!AR321,'LP Elementos'!AW321,'LP Elementos'!BB321,'LP Elementos'!BG321,'LP Elementos'!BL321,'LP Elementos'!BQ321,'LP Elementos'!BV321,'LP Elementos'!CA321,'LP Elementos'!CF321,'LP Elementos'!CK321,'LP Elementos'!CP321,'LP Elementos'!CU321,'LP Elementos'!CZ321)," ")</f>
        <v>5054.4535999999998</v>
      </c>
      <c r="F321" s="341">
        <f>IFERROR(MEDIAN('LP Elementos'!F321,'LP Elementos'!I321,'LP Elementos'!N321,'LP Elementos'!S321,'LP Elementos'!X321,'LP Elementos'!AC321,'LP Elementos'!AH321,'LP Elementos'!AM321,'LP Elementos'!AR321,'LP Elementos'!AW321,'LP Elementos'!BB321,'LP Elementos'!BG321,'LP Elementos'!BL321,'LP Elementos'!BQ321,'LP Elementos'!BV321,'LP Elementos'!CA321,'LP Elementos'!CF321,'LP Elementos'!CK321,'LP Elementos'!CP321,'LP Elementos'!CU321,'LP Elementos'!CZ321)," ")</f>
        <v>5236</v>
      </c>
      <c r="G321" s="341">
        <f>IFERROR(GEOMEAN('LP Elementos'!F321,'LP Elementos'!I321,'LP Elementos'!N321,'LP Elementos'!S321,'LP Elementos'!X321,'LP Elementos'!AC321,'LP Elementos'!AH321,'LP Elementos'!AM321,'LP Elementos'!AR321,'LP Elementos'!AW321,'LP Elementos'!BB321,'LP Elementos'!BG321,'LP Elementos'!BL321,'LP Elementos'!BQ321,'LP Elementos'!BV321,'LP Elementos'!CA321,'LP Elementos'!CF321,'LP Elementos'!CK321,'LP Elementos'!CP321,'LP Elementos'!CU321,'LP Elementos'!CZ321)," ")</f>
        <v>4864.1180262209782</v>
      </c>
      <c r="H321" s="341">
        <f t="shared" si="24"/>
        <v>756.16261945670669</v>
      </c>
      <c r="I321" s="342">
        <f t="shared" si="25"/>
        <v>0.14960323692687708</v>
      </c>
      <c r="J321" s="341">
        <f t="shared" si="26"/>
        <v>5054.4535999999998</v>
      </c>
      <c r="K321" s="326" t="str">
        <f t="shared" si="27"/>
        <v>Promedio</v>
      </c>
      <c r="L321" s="326">
        <f>IFERROR(COUNTA('LP Elementos'!F321,'LP Elementos'!I321,'LP Elementos'!N321,'LP Elementos'!S321,'LP Elementos'!X321,'LP Elementos'!AC321,'LP Elementos'!AH321,'LP Elementos'!AM321,'LP Elementos'!AR321,'LP Elementos'!AX321,'LP Elementos'!BB321,'LP Elementos'!BG321,'LP Elementos'!BL321,'LP Elementos'!BQ321,'LP Elementos'!BV321,'LP Elementos'!CA321,'LP Elementos'!CF321,'LP Elementos'!CK321,'LP Elementos'!CP321,'LP Elementos'!CU321,'LP Elementos'!CZ321)," ")</f>
        <v>5</v>
      </c>
    </row>
    <row r="322" spans="2:12" x14ac:dyDescent="0.25">
      <c r="B322" s="411">
        <v>320</v>
      </c>
      <c r="C322" s="412" t="s">
        <v>3817</v>
      </c>
      <c r="D322" s="408">
        <f>IFERROR(MIN('LP Elementos'!F322,'LP Elementos'!I322,'LP Elementos'!N322,'LP Elementos'!S322,'LP Elementos'!X322,'LP Elementos'!AC322,'LP Elementos'!AH322,'LP Elementos'!AM322,'LP Elementos'!AR322,'LP Elementos'!AW322,'LP Elementos'!BB322,'LP Elementos'!BG322,'LP Elementos'!BL322,'LP Elementos'!BQ322,'LP Elementos'!BV322,'LP Elementos'!CA322,'LP Elementos'!CF322,'LP Elementos'!CK322,'LP Elementos'!CP322,'LP Elementos'!CU322,'LP Elementos'!CZ322)," ")</f>
        <v>9520</v>
      </c>
      <c r="E322" s="341">
        <f>IFERROR(AVERAGE('LP Elementos'!F322,'LP Elementos'!I322,'LP Elementos'!N322,'LP Elementos'!S322,'LP Elementos'!X322,'LP Elementos'!AC322,'LP Elementos'!AH322,'LP Elementos'!AM322,'LP Elementos'!AR322,'LP Elementos'!AW322,'LP Elementos'!BB322,'LP Elementos'!BG322,'LP Elementos'!BL322,'LP Elementos'!BQ322,'LP Elementos'!BV322,'LP Elementos'!CA322,'LP Elementos'!CF322,'LP Elementos'!CK322,'LP Elementos'!CP322,'LP Elementos'!CU322,'LP Elementos'!CZ322)," ")</f>
        <v>11572.789666666666</v>
      </c>
      <c r="F322" s="341">
        <f>IFERROR(MEDIAN('LP Elementos'!F322,'LP Elementos'!I322,'LP Elementos'!N322,'LP Elementos'!S322,'LP Elementos'!X322,'LP Elementos'!AC322,'LP Elementos'!AH322,'LP Elementos'!AM322,'LP Elementos'!AR322,'LP Elementos'!AW322,'LP Elementos'!BB322,'LP Elementos'!BG322,'LP Elementos'!BL322,'LP Elementos'!BQ322,'LP Elementos'!BV322,'LP Elementos'!CA322,'LP Elementos'!CF322,'LP Elementos'!CK322,'LP Elementos'!CP322,'LP Elementos'!CU322,'LP Elementos'!CZ322)," ")</f>
        <v>12001.15</v>
      </c>
      <c r="G322" s="341">
        <f>IFERROR(GEOMEAN('LP Elementos'!F322,'LP Elementos'!I322,'LP Elementos'!N322,'LP Elementos'!S322,'LP Elementos'!X322,'LP Elementos'!AC322,'LP Elementos'!AH322,'LP Elementos'!AM322,'LP Elementos'!AR322,'LP Elementos'!AW322,'LP Elementos'!BB322,'LP Elementos'!BG322,'LP Elementos'!BL322,'LP Elementos'!BQ322,'LP Elementos'!BV322,'LP Elementos'!CA322,'LP Elementos'!CF322,'LP Elementos'!CK322,'LP Elementos'!CP322,'LP Elementos'!CU322,'LP Elementos'!CZ322)," ")</f>
        <v>11466.936617257663</v>
      </c>
      <c r="H322" s="341">
        <f t="shared" si="24"/>
        <v>1104.5622930689103</v>
      </c>
      <c r="I322" s="342">
        <f t="shared" si="25"/>
        <v>9.5444773894958354E-2</v>
      </c>
      <c r="J322" s="341">
        <f t="shared" si="26"/>
        <v>12001.15</v>
      </c>
      <c r="K322" s="326" t="str">
        <f t="shared" si="27"/>
        <v>Mediana</v>
      </c>
      <c r="L322" s="326">
        <f>IFERROR(COUNTA('LP Elementos'!F322,'LP Elementos'!I322,'LP Elementos'!N322,'LP Elementos'!S322,'LP Elementos'!X322,'LP Elementos'!AC322,'LP Elementos'!AH322,'LP Elementos'!AM322,'LP Elementos'!AR322,'LP Elementos'!AX322,'LP Elementos'!BB322,'LP Elementos'!BG322,'LP Elementos'!BL322,'LP Elementos'!BQ322,'LP Elementos'!BV322,'LP Elementos'!CA322,'LP Elementos'!CF322,'LP Elementos'!CK322,'LP Elementos'!CP322,'LP Elementos'!CU322,'LP Elementos'!CZ322)," ")</f>
        <v>3</v>
      </c>
    </row>
    <row r="323" spans="2:12" x14ac:dyDescent="0.25">
      <c r="B323" s="411">
        <v>321</v>
      </c>
      <c r="C323" s="412" t="s">
        <v>3819</v>
      </c>
      <c r="D323" s="408">
        <f>IFERROR(MIN('LP Elementos'!F323,'LP Elementos'!I323,'LP Elementos'!N323,'LP Elementos'!S323,'LP Elementos'!X323,'LP Elementos'!AC323,'LP Elementos'!AH323,'LP Elementos'!AM323,'LP Elementos'!AR323,'LP Elementos'!AW323,'LP Elementos'!BB323,'LP Elementos'!BG323,'LP Elementos'!BL323,'LP Elementos'!BQ323,'LP Elementos'!BV323,'LP Elementos'!CA323,'LP Elementos'!CF323,'LP Elementos'!CK323,'LP Elementos'!CP323,'LP Elementos'!CU323,'LP Elementos'!CZ323)," ")</f>
        <v>10657.058000000001</v>
      </c>
      <c r="E323" s="341">
        <f>IFERROR(AVERAGE('LP Elementos'!F323,'LP Elementos'!I323,'LP Elementos'!N323,'LP Elementos'!S323,'LP Elementos'!X323,'LP Elementos'!AC323,'LP Elementos'!AH323,'LP Elementos'!AM323,'LP Elementos'!AR323,'LP Elementos'!AW323,'LP Elementos'!BB323,'LP Elementos'!BG323,'LP Elementos'!BL323,'LP Elementos'!BQ323,'LP Elementos'!BV323,'LP Elementos'!CA323,'LP Elementos'!CF323,'LP Elementos'!CK323,'LP Elementos'!CP323,'LP Elementos'!CU323,'LP Elementos'!CZ323)," ")</f>
        <v>10657.058000000001</v>
      </c>
      <c r="F323" s="341">
        <f>IFERROR(MEDIAN('LP Elementos'!F323,'LP Elementos'!I323,'LP Elementos'!N323,'LP Elementos'!S323,'LP Elementos'!X323,'LP Elementos'!AC323,'LP Elementos'!AH323,'LP Elementos'!AM323,'LP Elementos'!AR323,'LP Elementos'!AW323,'LP Elementos'!BB323,'LP Elementos'!BG323,'LP Elementos'!BL323,'LP Elementos'!BQ323,'LP Elementos'!BV323,'LP Elementos'!CA323,'LP Elementos'!CF323,'LP Elementos'!CK323,'LP Elementos'!CP323,'LP Elementos'!CU323,'LP Elementos'!CZ323)," ")</f>
        <v>10657.058000000001</v>
      </c>
      <c r="G323" s="341">
        <f>IFERROR(GEOMEAN('LP Elementos'!F323,'LP Elementos'!I323,'LP Elementos'!N323,'LP Elementos'!S323,'LP Elementos'!X323,'LP Elementos'!AC323,'LP Elementos'!AH323,'LP Elementos'!AM323,'LP Elementos'!AR323,'LP Elementos'!AW323,'LP Elementos'!BB323,'LP Elementos'!BG323,'LP Elementos'!BL323,'LP Elementos'!BQ323,'LP Elementos'!BV323,'LP Elementos'!CA323,'LP Elementos'!CF323,'LP Elementos'!CK323,'LP Elementos'!CP323,'LP Elementos'!CU323,'LP Elementos'!CZ323)," ")</f>
        <v>10657.058000000001</v>
      </c>
      <c r="H323" s="341">
        <f t="shared" si="24"/>
        <v>0</v>
      </c>
      <c r="I323" s="342">
        <f t="shared" si="25"/>
        <v>0</v>
      </c>
      <c r="J323" s="341">
        <f t="shared" si="26"/>
        <v>10657.058000000001</v>
      </c>
      <c r="K323" s="326" t="str">
        <f t="shared" si="27"/>
        <v>Menor Valor</v>
      </c>
      <c r="L323" s="326">
        <f>IFERROR(COUNTA('LP Elementos'!F323,'LP Elementos'!I323,'LP Elementos'!N323,'LP Elementos'!S323,'LP Elementos'!X323,'LP Elementos'!AC323,'LP Elementos'!AH323,'LP Elementos'!AM323,'LP Elementos'!AR323,'LP Elementos'!AX323,'LP Elementos'!BB323,'LP Elementos'!BG323,'LP Elementos'!BL323,'LP Elementos'!BQ323,'LP Elementos'!BV323,'LP Elementos'!CA323,'LP Elementos'!CF323,'LP Elementos'!CK323,'LP Elementos'!CP323,'LP Elementos'!CU323,'LP Elementos'!CZ323)," ")</f>
        <v>1</v>
      </c>
    </row>
    <row r="324" spans="2:12" x14ac:dyDescent="0.25">
      <c r="B324" s="411">
        <v>322</v>
      </c>
      <c r="C324" s="412" t="s">
        <v>3820</v>
      </c>
      <c r="D324" s="408">
        <f>IFERROR(MIN('LP Elementos'!F324,'LP Elementos'!I324,'LP Elementos'!N324,'LP Elementos'!S324,'LP Elementos'!X324,'LP Elementos'!AC324,'LP Elementos'!AH324,'LP Elementos'!AM324,'LP Elementos'!AR324,'LP Elementos'!AW324,'LP Elementos'!BB324,'LP Elementos'!BG324,'LP Elementos'!BL324,'LP Elementos'!BQ324,'LP Elementos'!BV324,'LP Elementos'!CA324,'LP Elementos'!CF324,'LP Elementos'!CK324,'LP Elementos'!CP324,'LP Elementos'!CU324,'LP Elementos'!CZ324)," ")</f>
        <v>66697.973800000007</v>
      </c>
      <c r="E324" s="341">
        <f>IFERROR(AVERAGE('LP Elementos'!F324,'LP Elementos'!I324,'LP Elementos'!N324,'LP Elementos'!S324,'LP Elementos'!X324,'LP Elementos'!AC324,'LP Elementos'!AH324,'LP Elementos'!AM324,'LP Elementos'!AR324,'LP Elementos'!AW324,'LP Elementos'!BB324,'LP Elementos'!BG324,'LP Elementos'!BL324,'LP Elementos'!BQ324,'LP Elementos'!BV324,'LP Elementos'!CA324,'LP Elementos'!CF324,'LP Elementos'!CK324,'LP Elementos'!CP324,'LP Elementos'!CU324,'LP Elementos'!CZ324)," ")</f>
        <v>66697.973800000007</v>
      </c>
      <c r="F324" s="341">
        <f>IFERROR(MEDIAN('LP Elementos'!F324,'LP Elementos'!I324,'LP Elementos'!N324,'LP Elementos'!S324,'LP Elementos'!X324,'LP Elementos'!AC324,'LP Elementos'!AH324,'LP Elementos'!AM324,'LP Elementos'!AR324,'LP Elementos'!AW324,'LP Elementos'!BB324,'LP Elementos'!BG324,'LP Elementos'!BL324,'LP Elementos'!BQ324,'LP Elementos'!BV324,'LP Elementos'!CA324,'LP Elementos'!CF324,'LP Elementos'!CK324,'LP Elementos'!CP324,'LP Elementos'!CU324,'LP Elementos'!CZ324)," ")</f>
        <v>66697.973800000007</v>
      </c>
      <c r="G324" s="341">
        <f>IFERROR(GEOMEAN('LP Elementos'!F324,'LP Elementos'!I324,'LP Elementos'!N324,'LP Elementos'!S324,'LP Elementos'!X324,'LP Elementos'!AC324,'LP Elementos'!AH324,'LP Elementos'!AM324,'LP Elementos'!AR324,'LP Elementos'!AW324,'LP Elementos'!BB324,'LP Elementos'!BG324,'LP Elementos'!BL324,'LP Elementos'!BQ324,'LP Elementos'!BV324,'LP Elementos'!CA324,'LP Elementos'!CF324,'LP Elementos'!CK324,'LP Elementos'!CP324,'LP Elementos'!CU324,'LP Elementos'!CZ324)," ")</f>
        <v>66697.973800000007</v>
      </c>
      <c r="H324" s="341">
        <f t="shared" si="24"/>
        <v>0</v>
      </c>
      <c r="I324" s="342">
        <f t="shared" si="25"/>
        <v>0</v>
      </c>
      <c r="J324" s="341">
        <f t="shared" si="26"/>
        <v>66697.973800000007</v>
      </c>
      <c r="K324" s="326" t="str">
        <f t="shared" si="27"/>
        <v>Menor Valor</v>
      </c>
      <c r="L324" s="326">
        <f>IFERROR(COUNTA('LP Elementos'!F324,'LP Elementos'!I324,'LP Elementos'!N324,'LP Elementos'!S324,'LP Elementos'!X324,'LP Elementos'!AC324,'LP Elementos'!AH324,'LP Elementos'!AM324,'LP Elementos'!AR324,'LP Elementos'!AX324,'LP Elementos'!BB324,'LP Elementos'!BG324,'LP Elementos'!BL324,'LP Elementos'!BQ324,'LP Elementos'!BV324,'LP Elementos'!CA324,'LP Elementos'!CF324,'LP Elementos'!CK324,'LP Elementos'!CP324,'LP Elementos'!CU324,'LP Elementos'!CZ324)," ")</f>
        <v>1</v>
      </c>
    </row>
    <row r="325" spans="2:12" x14ac:dyDescent="0.25">
      <c r="B325" s="411">
        <v>323</v>
      </c>
      <c r="C325" s="412" t="s">
        <v>3821</v>
      </c>
      <c r="D325" s="408">
        <f>IFERROR(MIN('LP Elementos'!F325,'LP Elementos'!I325,'LP Elementos'!N325,'LP Elementos'!S325,'LP Elementos'!X325,'LP Elementos'!AC325,'LP Elementos'!AH325,'LP Elementos'!AM325,'LP Elementos'!AR325,'LP Elementos'!AW325,'LP Elementos'!BB325,'LP Elementos'!BG325,'LP Elementos'!BL325,'LP Elementos'!BQ325,'LP Elementos'!BV325,'LP Elementos'!CA325,'LP Elementos'!CF325,'LP Elementos'!CK325,'LP Elementos'!CP325,'LP Elementos'!CU325,'LP Elementos'!CZ325)," ")</f>
        <v>119000</v>
      </c>
      <c r="E325" s="341">
        <f>IFERROR(AVERAGE('LP Elementos'!F325,'LP Elementos'!I325,'LP Elementos'!N325,'LP Elementos'!S325,'LP Elementos'!X325,'LP Elementos'!AC325,'LP Elementos'!AH325,'LP Elementos'!AM325,'LP Elementos'!AR325,'LP Elementos'!AW325,'LP Elementos'!BB325,'LP Elementos'!BG325,'LP Elementos'!BL325,'LP Elementos'!BQ325,'LP Elementos'!BV325,'LP Elementos'!CA325,'LP Elementos'!CF325,'LP Elementos'!CK325,'LP Elementos'!CP325,'LP Elementos'!CU325,'LP Elementos'!CZ325)," ")</f>
        <v>678526.14560000005</v>
      </c>
      <c r="F325" s="341">
        <f>IFERROR(MEDIAN('LP Elementos'!F325,'LP Elementos'!I325,'LP Elementos'!N325,'LP Elementos'!S325,'LP Elementos'!X325,'LP Elementos'!AC325,'LP Elementos'!AH325,'LP Elementos'!AM325,'LP Elementos'!AR325,'LP Elementos'!AW325,'LP Elementos'!BB325,'LP Elementos'!BG325,'LP Elementos'!BL325,'LP Elementos'!BQ325,'LP Elementos'!BV325,'LP Elementos'!CA325,'LP Elementos'!CF325,'LP Elementos'!CK325,'LP Elementos'!CP325,'LP Elementos'!CU325,'LP Elementos'!CZ325)," ")</f>
        <v>678526.14560000005</v>
      </c>
      <c r="G325" s="341">
        <f>IFERROR(GEOMEAN('LP Elementos'!F325,'LP Elementos'!I325,'LP Elementos'!N325,'LP Elementos'!S325,'LP Elementos'!X325,'LP Elementos'!AC325,'LP Elementos'!AH325,'LP Elementos'!AM325,'LP Elementos'!AR325,'LP Elementos'!AW325,'LP Elementos'!BB325,'LP Elementos'!BG325,'LP Elementos'!BL325,'LP Elementos'!BQ325,'LP Elementos'!BV325,'LP Elementos'!CA325,'LP Elementos'!CF325,'LP Elementos'!CK325,'LP Elementos'!CP325,'LP Elementos'!CU325,'LP Elementos'!CZ325)," ")</f>
        <v>383833.58718694746</v>
      </c>
      <c r="H325" s="341">
        <f t="shared" si="24"/>
        <v>269252.55370041722</v>
      </c>
      <c r="I325" s="342">
        <f t="shared" si="25"/>
        <v>0.39681971792306597</v>
      </c>
      <c r="J325" s="341">
        <f t="shared" si="26"/>
        <v>119000</v>
      </c>
      <c r="K325" s="326" t="str">
        <f t="shared" si="27"/>
        <v>Menor Valor</v>
      </c>
      <c r="L325" s="326">
        <f>IFERROR(COUNTA('LP Elementos'!F325,'LP Elementos'!I325,'LP Elementos'!N325,'LP Elementos'!S325,'LP Elementos'!X325,'LP Elementos'!AC325,'LP Elementos'!AH325,'LP Elementos'!AM325,'LP Elementos'!AR325,'LP Elementos'!AX325,'LP Elementos'!BB325,'LP Elementos'!BG325,'LP Elementos'!BL325,'LP Elementos'!BQ325,'LP Elementos'!BV325,'LP Elementos'!CA325,'LP Elementos'!CF325,'LP Elementos'!CK325,'LP Elementos'!CP325,'LP Elementos'!CU325,'LP Elementos'!CZ325)," ")</f>
        <v>2</v>
      </c>
    </row>
    <row r="326" spans="2:12" ht="27" x14ac:dyDescent="0.25">
      <c r="B326" s="411">
        <v>324</v>
      </c>
      <c r="C326" s="412" t="s">
        <v>3823</v>
      </c>
      <c r="D326" s="408">
        <f>IFERROR(MIN('LP Elementos'!F326,'LP Elementos'!I326,'LP Elementos'!N326,'LP Elementos'!S326,'LP Elementos'!X326,'LP Elementos'!AC326,'LP Elementos'!AH326,'LP Elementos'!AM326,'LP Elementos'!AR326,'LP Elementos'!AW326,'LP Elementos'!BB326,'LP Elementos'!BG326,'LP Elementos'!BL326,'LP Elementos'!BQ326,'LP Elementos'!BV326,'LP Elementos'!CA326,'LP Elementos'!CF326,'LP Elementos'!CK326,'LP Elementos'!CP326,'LP Elementos'!CU326,'LP Elementos'!CZ326)," ")</f>
        <v>47196.296999999999</v>
      </c>
      <c r="E326" s="341">
        <f>IFERROR(AVERAGE('LP Elementos'!F326,'LP Elementos'!I326,'LP Elementos'!N326,'LP Elementos'!S326,'LP Elementos'!X326,'LP Elementos'!AC326,'LP Elementos'!AH326,'LP Elementos'!AM326,'LP Elementos'!AR326,'LP Elementos'!AW326,'LP Elementos'!BB326,'LP Elementos'!BG326,'LP Elementos'!BL326,'LP Elementos'!BQ326,'LP Elementos'!BV326,'LP Elementos'!CA326,'LP Elementos'!CF326,'LP Elementos'!CK326,'LP Elementos'!CP326,'LP Elementos'!CU326,'LP Elementos'!CZ326)," ")</f>
        <v>302058.14850000001</v>
      </c>
      <c r="F326" s="341">
        <f>IFERROR(MEDIAN('LP Elementos'!F326,'LP Elementos'!I326,'LP Elementos'!N326,'LP Elementos'!S326,'LP Elementos'!X326,'LP Elementos'!AC326,'LP Elementos'!AH326,'LP Elementos'!AM326,'LP Elementos'!AR326,'LP Elementos'!AW326,'LP Elementos'!BB326,'LP Elementos'!BG326,'LP Elementos'!BL326,'LP Elementos'!BQ326,'LP Elementos'!BV326,'LP Elementos'!CA326,'LP Elementos'!CF326,'LP Elementos'!CK326,'LP Elementos'!CP326,'LP Elementos'!CU326,'LP Elementos'!CZ326)," ")</f>
        <v>302058.14850000001</v>
      </c>
      <c r="G326" s="341">
        <f>IFERROR(GEOMEAN('LP Elementos'!F326,'LP Elementos'!I326,'LP Elementos'!N326,'LP Elementos'!S326,'LP Elementos'!X326,'LP Elementos'!AC326,'LP Elementos'!AH326,'LP Elementos'!AM326,'LP Elementos'!AR326,'LP Elementos'!AW326,'LP Elementos'!BB326,'LP Elementos'!BG326,'LP Elementos'!BL326,'LP Elementos'!BQ326,'LP Elementos'!BV326,'LP Elementos'!CA326,'LP Elementos'!CF326,'LP Elementos'!CK326,'LP Elementos'!CP326,'LP Elementos'!CU326,'LP Elementos'!CZ326)," ")</f>
        <v>162125.14217492609</v>
      </c>
      <c r="H326" s="341">
        <f t="shared" si="24"/>
        <v>123247.80548134333</v>
      </c>
      <c r="I326" s="342">
        <f t="shared" si="25"/>
        <v>0.40802675277387301</v>
      </c>
      <c r="J326" s="341">
        <f t="shared" si="26"/>
        <v>47196.296999999999</v>
      </c>
      <c r="K326" s="326" t="str">
        <f t="shared" si="27"/>
        <v>Menor Valor</v>
      </c>
      <c r="L326" s="326">
        <f>IFERROR(COUNTA('LP Elementos'!F326,'LP Elementos'!I326,'LP Elementos'!N326,'LP Elementos'!S326,'LP Elementos'!X326,'LP Elementos'!AC326,'LP Elementos'!AH326,'LP Elementos'!AM326,'LP Elementos'!AR326,'LP Elementos'!AX326,'LP Elementos'!BB326,'LP Elementos'!BG326,'LP Elementos'!BL326,'LP Elementos'!BQ326,'LP Elementos'!BV326,'LP Elementos'!CA326,'LP Elementos'!CF326,'LP Elementos'!CK326,'LP Elementos'!CP326,'LP Elementos'!CU326,'LP Elementos'!CZ326)," ")</f>
        <v>2</v>
      </c>
    </row>
    <row r="327" spans="2:12" ht="54" x14ac:dyDescent="0.25">
      <c r="B327" s="411">
        <v>325</v>
      </c>
      <c r="C327" s="412" t="s">
        <v>3826</v>
      </c>
      <c r="D327" s="408">
        <f>IFERROR(MIN('LP Elementos'!F327,'LP Elementos'!I327,'LP Elementos'!N327,'LP Elementos'!S327,'LP Elementos'!X327,'LP Elementos'!AC327,'LP Elementos'!AH327,'LP Elementos'!AM327,'LP Elementos'!AR327,'LP Elementos'!AW327,'LP Elementos'!BB327,'LP Elementos'!BG327,'LP Elementos'!BL327,'LP Elementos'!BQ327,'LP Elementos'!BV327,'LP Elementos'!CA327,'LP Elementos'!CF327,'LP Elementos'!CK327,'LP Elementos'!CP327,'LP Elementos'!CU327,'LP Elementos'!CZ327)," ")</f>
        <v>149975.11900000001</v>
      </c>
      <c r="E327" s="341">
        <f>IFERROR(AVERAGE('LP Elementos'!F327,'LP Elementos'!I327,'LP Elementos'!N327,'LP Elementos'!S327,'LP Elementos'!X327,'LP Elementos'!AC327,'LP Elementos'!AH327,'LP Elementos'!AM327,'LP Elementos'!AR327,'LP Elementos'!AW327,'LP Elementos'!BB327,'LP Elementos'!BG327,'LP Elementos'!BL327,'LP Elementos'!BQ327,'LP Elementos'!BV327,'LP Elementos'!CA327,'LP Elementos'!CF327,'LP Elementos'!CK327,'LP Elementos'!CP327,'LP Elementos'!CU327,'LP Elementos'!CZ327)," ")</f>
        <v>206473.77974999999</v>
      </c>
      <c r="F327" s="341">
        <f>IFERROR(MEDIAN('LP Elementos'!F327,'LP Elementos'!I327,'LP Elementos'!N327,'LP Elementos'!S327,'LP Elementos'!X327,'LP Elementos'!AC327,'LP Elementos'!AH327,'LP Elementos'!AM327,'LP Elementos'!AR327,'LP Elementos'!AW327,'LP Elementos'!BB327,'LP Elementos'!BG327,'LP Elementos'!BL327,'LP Elementos'!BQ327,'LP Elementos'!BV327,'LP Elementos'!CA327,'LP Elementos'!CF327,'LP Elementos'!CK327,'LP Elementos'!CP327,'LP Elementos'!CU327,'LP Elementos'!CZ327)," ")</f>
        <v>218960</v>
      </c>
      <c r="G327" s="341">
        <f>IFERROR(GEOMEAN('LP Elementos'!F327,'LP Elementos'!I327,'LP Elementos'!N327,'LP Elementos'!S327,'LP Elementos'!X327,'LP Elementos'!AC327,'LP Elementos'!AH327,'LP Elementos'!AM327,'LP Elementos'!AR327,'LP Elementos'!AW327,'LP Elementos'!BB327,'LP Elementos'!BG327,'LP Elementos'!BL327,'LP Elementos'!BQ327,'LP Elementos'!BV327,'LP Elementos'!CA327,'LP Elementos'!CF327,'LP Elementos'!CK327,'LP Elementos'!CP327,'LP Elementos'!CU327,'LP Elementos'!CZ327)," ")</f>
        <v>203366.82685276266</v>
      </c>
      <c r="H327" s="341">
        <f t="shared" si="24"/>
        <v>30564.675746412016</v>
      </c>
      <c r="I327" s="342">
        <f t="shared" si="25"/>
        <v>0.14803175387896689</v>
      </c>
      <c r="J327" s="341">
        <f t="shared" si="26"/>
        <v>206473.77974999999</v>
      </c>
      <c r="K327" s="326" t="str">
        <f t="shared" si="27"/>
        <v>Promedio</v>
      </c>
      <c r="L327" s="326">
        <f>IFERROR(COUNTA('LP Elementos'!F327,'LP Elementos'!I327,'LP Elementos'!N327,'LP Elementos'!S327,'LP Elementos'!X327,'LP Elementos'!AC327,'LP Elementos'!AH327,'LP Elementos'!AM327,'LP Elementos'!AR327,'LP Elementos'!AX327,'LP Elementos'!BB327,'LP Elementos'!BG327,'LP Elementos'!BL327,'LP Elementos'!BQ327,'LP Elementos'!BV327,'LP Elementos'!CA327,'LP Elementos'!CF327,'LP Elementos'!CK327,'LP Elementos'!CP327,'LP Elementos'!CU327,'LP Elementos'!CZ327)," ")</f>
        <v>4</v>
      </c>
    </row>
    <row r="328" spans="2:12" x14ac:dyDescent="0.25">
      <c r="B328" s="411">
        <v>326</v>
      </c>
      <c r="C328" s="414" t="s">
        <v>3830</v>
      </c>
      <c r="D328" s="408">
        <f>IFERROR(MIN('LP Elementos'!F328,'LP Elementos'!I328,'LP Elementos'!N328,'LP Elementos'!S328,'LP Elementos'!X328,'LP Elementos'!AC328,'LP Elementos'!AH328,'LP Elementos'!AM328,'LP Elementos'!AR328,'LP Elementos'!AW328,'LP Elementos'!BB328,'LP Elementos'!BG328,'LP Elementos'!BL328,'LP Elementos'!BQ328,'LP Elementos'!BV328,'LP Elementos'!CA328,'LP Elementos'!CF328,'LP Elementos'!CK328,'LP Elementos'!CP328,'LP Elementos'!CU328,'LP Elementos'!CZ328)," ")</f>
        <v>135660</v>
      </c>
      <c r="E328" s="341">
        <f>IFERROR(AVERAGE('LP Elementos'!F328,'LP Elementos'!I328,'LP Elementos'!N328,'LP Elementos'!S328,'LP Elementos'!X328,'LP Elementos'!AC328,'LP Elementos'!AH328,'LP Elementos'!AM328,'LP Elementos'!AR328,'LP Elementos'!AW328,'LP Elementos'!BB328,'LP Elementos'!BG328,'LP Elementos'!BL328,'LP Elementos'!BQ328,'LP Elementos'!BV328,'LP Elementos'!CA328,'LP Elementos'!CF328,'LP Elementos'!CK328,'LP Elementos'!CP328,'LP Elementos'!CU328,'LP Elementos'!CZ328)," ")</f>
        <v>135660</v>
      </c>
      <c r="F328" s="341">
        <f>IFERROR(MEDIAN('LP Elementos'!F328,'LP Elementos'!I328,'LP Elementos'!N328,'LP Elementos'!S328,'LP Elementos'!X328,'LP Elementos'!AC328,'LP Elementos'!AH328,'LP Elementos'!AM328,'LP Elementos'!AR328,'LP Elementos'!AW328,'LP Elementos'!BB328,'LP Elementos'!BG328,'LP Elementos'!BL328,'LP Elementos'!BQ328,'LP Elementos'!BV328,'LP Elementos'!CA328,'LP Elementos'!CF328,'LP Elementos'!CK328,'LP Elementos'!CP328,'LP Elementos'!CU328,'LP Elementos'!CZ328)," ")</f>
        <v>135660</v>
      </c>
      <c r="G328" s="341">
        <f>IFERROR(GEOMEAN('LP Elementos'!F328,'LP Elementos'!I328,'LP Elementos'!N328,'LP Elementos'!S328,'LP Elementos'!X328,'LP Elementos'!AC328,'LP Elementos'!AH328,'LP Elementos'!AM328,'LP Elementos'!AR328,'LP Elementos'!AW328,'LP Elementos'!BB328,'LP Elementos'!BG328,'LP Elementos'!BL328,'LP Elementos'!BQ328,'LP Elementos'!BV328,'LP Elementos'!CA328,'LP Elementos'!CF328,'LP Elementos'!CK328,'LP Elementos'!CP328,'LP Elementos'!CU328,'LP Elementos'!CZ328)," ")</f>
        <v>135660</v>
      </c>
      <c r="H328" s="341">
        <f t="shared" si="24"/>
        <v>0</v>
      </c>
      <c r="I328" s="342">
        <f t="shared" si="25"/>
        <v>0</v>
      </c>
      <c r="J328" s="341">
        <f t="shared" si="26"/>
        <v>135660</v>
      </c>
      <c r="K328" s="326" t="str">
        <f t="shared" si="27"/>
        <v>Menor Valor</v>
      </c>
      <c r="L328" s="326">
        <f>IFERROR(COUNTA('LP Elementos'!F328,'LP Elementos'!I328,'LP Elementos'!N328,'LP Elementos'!S328,'LP Elementos'!X328,'LP Elementos'!AC328,'LP Elementos'!AH328,'LP Elementos'!AM328,'LP Elementos'!AR328,'LP Elementos'!AX328,'LP Elementos'!BB328,'LP Elementos'!BG328,'LP Elementos'!BL328,'LP Elementos'!BQ328,'LP Elementos'!BV328,'LP Elementos'!CA328,'LP Elementos'!CF328,'LP Elementos'!CK328,'LP Elementos'!CP328,'LP Elementos'!CU328,'LP Elementos'!CZ328)," ")</f>
        <v>1</v>
      </c>
    </row>
    <row r="329" spans="2:12" ht="27" x14ac:dyDescent="0.25">
      <c r="B329" s="411">
        <v>327</v>
      </c>
      <c r="C329" s="412" t="s">
        <v>3832</v>
      </c>
      <c r="D329" s="408">
        <f>IFERROR(MIN('LP Elementos'!F329,'LP Elementos'!I329,'LP Elementos'!N329,'LP Elementos'!S329,'LP Elementos'!X329,'LP Elementos'!AC329,'LP Elementos'!AH329,'LP Elementos'!AM329,'LP Elementos'!AR329,'LP Elementos'!AW329,'LP Elementos'!BB329,'LP Elementos'!BG329,'LP Elementos'!BL329,'LP Elementos'!BQ329,'LP Elementos'!BV329,'LP Elementos'!CA329,'LP Elementos'!CF329,'LP Elementos'!CK329,'LP Elementos'!CP329,'LP Elementos'!CU329,'LP Elementos'!CZ329)," ")</f>
        <v>166600</v>
      </c>
      <c r="E329" s="341">
        <f>IFERROR(AVERAGE('LP Elementos'!F329,'LP Elementos'!I329,'LP Elementos'!N329,'LP Elementos'!S329,'LP Elementos'!X329,'LP Elementos'!AC329,'LP Elementos'!AH329,'LP Elementos'!AM329,'LP Elementos'!AR329,'LP Elementos'!AW329,'LP Elementos'!BB329,'LP Elementos'!BG329,'LP Elementos'!BL329,'LP Elementos'!BQ329,'LP Elementos'!BV329,'LP Elementos'!CA329,'LP Elementos'!CF329,'LP Elementos'!CK329,'LP Elementos'!CP329,'LP Elementos'!CU329,'LP Elementos'!CZ329)," ")</f>
        <v>186992.435</v>
      </c>
      <c r="F329" s="341">
        <f>IFERROR(MEDIAN('LP Elementos'!F329,'LP Elementos'!I329,'LP Elementos'!N329,'LP Elementos'!S329,'LP Elementos'!X329,'LP Elementos'!AC329,'LP Elementos'!AH329,'LP Elementos'!AM329,'LP Elementos'!AR329,'LP Elementos'!AW329,'LP Elementos'!BB329,'LP Elementos'!BG329,'LP Elementos'!BL329,'LP Elementos'!BQ329,'LP Elementos'!BV329,'LP Elementos'!CA329,'LP Elementos'!CF329,'LP Elementos'!CK329,'LP Elementos'!CP329,'LP Elementos'!CU329,'LP Elementos'!CZ329)," ")</f>
        <v>186992.435</v>
      </c>
      <c r="G329" s="341">
        <f>IFERROR(GEOMEAN('LP Elementos'!F329,'LP Elementos'!I329,'LP Elementos'!N329,'LP Elementos'!S329,'LP Elementos'!X329,'LP Elementos'!AC329,'LP Elementos'!AH329,'LP Elementos'!AM329,'LP Elementos'!AR329,'LP Elementos'!AW329,'LP Elementos'!BB329,'LP Elementos'!BG329,'LP Elementos'!BL329,'LP Elementos'!BQ329,'LP Elementos'!BV329,'LP Elementos'!CA329,'LP Elementos'!CF329,'LP Elementos'!CK329,'LP Elementos'!CP329,'LP Elementos'!CU329,'LP Elementos'!CZ329)," ")</f>
        <v>185877.16196994187</v>
      </c>
      <c r="H329" s="341">
        <f t="shared" si="24"/>
        <v>10024.135257537899</v>
      </c>
      <c r="I329" s="342">
        <f t="shared" si="25"/>
        <v>5.3607170030904719E-2</v>
      </c>
      <c r="J329" s="341">
        <f t="shared" si="26"/>
        <v>186992.435</v>
      </c>
      <c r="K329" s="326" t="str">
        <f t="shared" si="27"/>
        <v>Promedio</v>
      </c>
      <c r="L329" s="326">
        <f>IFERROR(COUNTA('LP Elementos'!F329,'LP Elementos'!I329,'LP Elementos'!N329,'LP Elementos'!S329,'LP Elementos'!X329,'LP Elementos'!AC329,'LP Elementos'!AH329,'LP Elementos'!AM329,'LP Elementos'!AR329,'LP Elementos'!AX329,'LP Elementos'!BB329,'LP Elementos'!BG329,'LP Elementos'!BL329,'LP Elementos'!BQ329,'LP Elementos'!BV329,'LP Elementos'!CA329,'LP Elementos'!CF329,'LP Elementos'!CK329,'LP Elementos'!CP329,'LP Elementos'!CU329,'LP Elementos'!CZ329)," ")</f>
        <v>2</v>
      </c>
    </row>
    <row r="330" spans="2:12" x14ac:dyDescent="0.25">
      <c r="B330" s="411">
        <v>328</v>
      </c>
      <c r="C330" s="412" t="s">
        <v>3835</v>
      </c>
      <c r="D330" s="408">
        <f>IFERROR(MIN('LP Elementos'!F330,'LP Elementos'!I330,'LP Elementos'!N330,'LP Elementos'!S330,'LP Elementos'!X330,'LP Elementos'!AC330,'LP Elementos'!AH330,'LP Elementos'!AM330,'LP Elementos'!AR330,'LP Elementos'!AW330,'LP Elementos'!BB330,'LP Elementos'!BG330,'LP Elementos'!BL330,'LP Elementos'!BQ330,'LP Elementos'!BV330,'LP Elementos'!CA330,'LP Elementos'!CF330,'LP Elementos'!CK330,'LP Elementos'!CP330,'LP Elementos'!CU330,'LP Elementos'!CZ330)," ")</f>
        <v>1432840.92</v>
      </c>
      <c r="E330" s="341">
        <f>IFERROR(AVERAGE('LP Elementos'!F330,'LP Elementos'!I330,'LP Elementos'!N330,'LP Elementos'!S330,'LP Elementos'!X330,'LP Elementos'!AC330,'LP Elementos'!AH330,'LP Elementos'!AM330,'LP Elementos'!AR330,'LP Elementos'!AW330,'LP Elementos'!BB330,'LP Elementos'!BG330,'LP Elementos'!BL330,'LP Elementos'!BQ330,'LP Elementos'!BV330,'LP Elementos'!CA330,'LP Elementos'!CF330,'LP Elementos'!CK330,'LP Elementos'!CP330,'LP Elementos'!CU330,'LP Elementos'!CZ330)," ")</f>
        <v>1890355.46</v>
      </c>
      <c r="F330" s="341">
        <f>IFERROR(MEDIAN('LP Elementos'!F330,'LP Elementos'!I330,'LP Elementos'!N330,'LP Elementos'!S330,'LP Elementos'!X330,'LP Elementos'!AC330,'LP Elementos'!AH330,'LP Elementos'!AM330,'LP Elementos'!AR330,'LP Elementos'!AW330,'LP Elementos'!BB330,'LP Elementos'!BG330,'LP Elementos'!BL330,'LP Elementos'!BQ330,'LP Elementos'!BV330,'LP Elementos'!CA330,'LP Elementos'!CF330,'LP Elementos'!CK330,'LP Elementos'!CP330,'LP Elementos'!CU330,'LP Elementos'!CZ330)," ")</f>
        <v>1890355.46</v>
      </c>
      <c r="G330" s="341">
        <f>IFERROR(GEOMEAN('LP Elementos'!F330,'LP Elementos'!I330,'LP Elementos'!N330,'LP Elementos'!S330,'LP Elementos'!X330,'LP Elementos'!AC330,'LP Elementos'!AH330,'LP Elementos'!AM330,'LP Elementos'!AR330,'LP Elementos'!AW330,'LP Elementos'!BB330,'LP Elementos'!BG330,'LP Elementos'!BL330,'LP Elementos'!BQ330,'LP Elementos'!BV330,'LP Elementos'!CA330,'LP Elementos'!CF330,'LP Elementos'!CK330,'LP Elementos'!CP330,'LP Elementos'!CU330,'LP Elementos'!CZ330)," ")</f>
        <v>1834154.9037200755</v>
      </c>
      <c r="H330" s="341">
        <f t="shared" si="24"/>
        <v>220984.35600822762</v>
      </c>
      <c r="I330" s="342">
        <f t="shared" si="25"/>
        <v>0.11690095364827714</v>
      </c>
      <c r="J330" s="341">
        <f t="shared" si="26"/>
        <v>1890355.46</v>
      </c>
      <c r="K330" s="326" t="str">
        <f t="shared" si="27"/>
        <v>Promedio</v>
      </c>
      <c r="L330" s="326">
        <f>IFERROR(COUNTA('LP Elementos'!F330,'LP Elementos'!I330,'LP Elementos'!N330,'LP Elementos'!S330,'LP Elementos'!X330,'LP Elementos'!AC330,'LP Elementos'!AH330,'LP Elementos'!AM330,'LP Elementos'!AR330,'LP Elementos'!AX330,'LP Elementos'!BB330,'LP Elementos'!BG330,'LP Elementos'!BL330,'LP Elementos'!BQ330,'LP Elementos'!BV330,'LP Elementos'!CA330,'LP Elementos'!CF330,'LP Elementos'!CK330,'LP Elementos'!CP330,'LP Elementos'!CU330,'LP Elementos'!CZ330)," ")</f>
        <v>2</v>
      </c>
    </row>
    <row r="331" spans="2:12" x14ac:dyDescent="0.25">
      <c r="B331" s="411">
        <v>329</v>
      </c>
      <c r="C331" s="412" t="s">
        <v>3839</v>
      </c>
      <c r="D331" s="408">
        <f>IFERROR(MIN('LP Elementos'!F331,'LP Elementos'!I331,'LP Elementos'!N331,'LP Elementos'!S331,'LP Elementos'!X331,'LP Elementos'!AC331,'LP Elementos'!AH331,'LP Elementos'!AM331,'LP Elementos'!AR331,'LP Elementos'!AW331,'LP Elementos'!BB331,'LP Elementos'!BG331,'LP Elementos'!BL331,'LP Elementos'!BQ331,'LP Elementos'!BV331,'LP Elementos'!CA331,'LP Elementos'!CF331,'LP Elementos'!CK331,'LP Elementos'!CP331,'LP Elementos'!CU331,'LP Elementos'!CZ331)," ")</f>
        <v>2471630</v>
      </c>
      <c r="E331" s="341">
        <f>IFERROR(AVERAGE('LP Elementos'!F331,'LP Elementos'!I331,'LP Elementos'!N331,'LP Elementos'!S331,'LP Elementos'!X331,'LP Elementos'!AC331,'LP Elementos'!AH331,'LP Elementos'!AM331,'LP Elementos'!AR331,'LP Elementos'!AW331,'LP Elementos'!BB331,'LP Elementos'!BG331,'LP Elementos'!BL331,'LP Elementos'!BQ331,'LP Elementos'!BV331,'LP Elementos'!CA331,'LP Elementos'!CF331,'LP Elementos'!CK331,'LP Elementos'!CP331,'LP Elementos'!CU331,'LP Elementos'!CZ331)," ")</f>
        <v>4355386.1960000005</v>
      </c>
      <c r="F331" s="341">
        <f>IFERROR(MEDIAN('LP Elementos'!F331,'LP Elementos'!I331,'LP Elementos'!N331,'LP Elementos'!S331,'LP Elementos'!X331,'LP Elementos'!AC331,'LP Elementos'!AH331,'LP Elementos'!AM331,'LP Elementos'!AR331,'LP Elementos'!AW331,'LP Elementos'!BB331,'LP Elementos'!BG331,'LP Elementos'!BL331,'LP Elementos'!BQ331,'LP Elementos'!BV331,'LP Elementos'!CA331,'LP Elementos'!CF331,'LP Elementos'!CK331,'LP Elementos'!CP331,'LP Elementos'!CU331,'LP Elementos'!CZ331)," ")</f>
        <v>4355386.1960000005</v>
      </c>
      <c r="G331" s="341">
        <f>IFERROR(GEOMEAN('LP Elementos'!F331,'LP Elementos'!I331,'LP Elementos'!N331,'LP Elementos'!S331,'LP Elementos'!X331,'LP Elementos'!AC331,'LP Elementos'!AH331,'LP Elementos'!AM331,'LP Elementos'!AR331,'LP Elementos'!AW331,'LP Elementos'!BB331,'LP Elementos'!BG331,'LP Elementos'!BL331,'LP Elementos'!BQ331,'LP Elementos'!BV331,'LP Elementos'!CA331,'LP Elementos'!CF331,'LP Elementos'!CK331,'LP Elementos'!CP331,'LP Elementos'!CU331,'LP Elementos'!CZ331)," ")</f>
        <v>3926939.2037996924</v>
      </c>
      <c r="H331" s="341">
        <f t="shared" si="24"/>
        <v>893594.48954078369</v>
      </c>
      <c r="I331" s="342">
        <f t="shared" si="25"/>
        <v>0.20516997789116004</v>
      </c>
      <c r="J331" s="341">
        <f t="shared" si="26"/>
        <v>3926939.2037996924</v>
      </c>
      <c r="K331" s="326" t="str">
        <f t="shared" si="27"/>
        <v>Media Geometrica</v>
      </c>
      <c r="L331" s="326">
        <f>IFERROR(COUNTA('LP Elementos'!F331,'LP Elementos'!I331,'LP Elementos'!N331,'LP Elementos'!S331,'LP Elementos'!X331,'LP Elementos'!AC331,'LP Elementos'!AH331,'LP Elementos'!AM331,'LP Elementos'!AR331,'LP Elementos'!AX331,'LP Elementos'!BB331,'LP Elementos'!BG331,'LP Elementos'!BL331,'LP Elementos'!BQ331,'LP Elementos'!BV331,'LP Elementos'!CA331,'LP Elementos'!CF331,'LP Elementos'!CK331,'LP Elementos'!CP331,'LP Elementos'!CU331,'LP Elementos'!CZ331)," ")</f>
        <v>2</v>
      </c>
    </row>
    <row r="332" spans="2:12" x14ac:dyDescent="0.25">
      <c r="B332" s="411">
        <v>330</v>
      </c>
      <c r="C332" s="412" t="s">
        <v>3843</v>
      </c>
      <c r="D332" s="408">
        <f>IFERROR(MIN('LP Elementos'!F332,'LP Elementos'!I332,'LP Elementos'!N332,'LP Elementos'!S332,'LP Elementos'!X332,'LP Elementos'!AC332,'LP Elementos'!AH332,'LP Elementos'!AM332,'LP Elementos'!AR332,'LP Elementos'!AW332,'LP Elementos'!BB332,'LP Elementos'!BG332,'LP Elementos'!BL332,'LP Elementos'!BQ332,'LP Elementos'!BV332,'LP Elementos'!CA332,'LP Elementos'!CF332,'LP Elementos'!CK332,'LP Elementos'!CP332,'LP Elementos'!CU332,'LP Elementos'!CZ332)," ")</f>
        <v>144540.97</v>
      </c>
      <c r="E332" s="341">
        <f>IFERROR(AVERAGE('LP Elementos'!F332,'LP Elementos'!I332,'LP Elementos'!N332,'LP Elementos'!S332,'LP Elementos'!X332,'LP Elementos'!AC332,'LP Elementos'!AH332,'LP Elementos'!AM332,'LP Elementos'!AR332,'LP Elementos'!AW332,'LP Elementos'!BB332,'LP Elementos'!BG332,'LP Elementos'!BL332,'LP Elementos'!BQ332,'LP Elementos'!BV332,'LP Elementos'!CA332,'LP Elementos'!CF332,'LP Elementos'!CK332,'LP Elementos'!CP332,'LP Elementos'!CU332,'LP Elementos'!CZ332)," ")</f>
        <v>144540.97</v>
      </c>
      <c r="F332" s="341">
        <f>IFERROR(MEDIAN('LP Elementos'!F332,'LP Elementos'!I332,'LP Elementos'!N332,'LP Elementos'!S332,'LP Elementos'!X332,'LP Elementos'!AC332,'LP Elementos'!AH332,'LP Elementos'!AM332,'LP Elementos'!AR332,'LP Elementos'!AW332,'LP Elementos'!BB332,'LP Elementos'!BG332,'LP Elementos'!BL332,'LP Elementos'!BQ332,'LP Elementos'!BV332,'LP Elementos'!CA332,'LP Elementos'!CF332,'LP Elementos'!CK332,'LP Elementos'!CP332,'LP Elementos'!CU332,'LP Elementos'!CZ332)," ")</f>
        <v>144540.97</v>
      </c>
      <c r="G332" s="341">
        <f>IFERROR(GEOMEAN('LP Elementos'!F332,'LP Elementos'!I332,'LP Elementos'!N332,'LP Elementos'!S332,'LP Elementos'!X332,'LP Elementos'!AC332,'LP Elementos'!AH332,'LP Elementos'!AM332,'LP Elementos'!AR332,'LP Elementos'!AW332,'LP Elementos'!BB332,'LP Elementos'!BG332,'LP Elementos'!BL332,'LP Elementos'!BQ332,'LP Elementos'!BV332,'LP Elementos'!CA332,'LP Elementos'!CF332,'LP Elementos'!CK332,'LP Elementos'!CP332,'LP Elementos'!CU332,'LP Elementos'!CZ332)," ")</f>
        <v>144540.97</v>
      </c>
      <c r="H332" s="341">
        <f t="shared" si="24"/>
        <v>0</v>
      </c>
      <c r="I332" s="342">
        <f t="shared" si="25"/>
        <v>0</v>
      </c>
      <c r="J332" s="341">
        <f t="shared" si="26"/>
        <v>144540.97</v>
      </c>
      <c r="K332" s="326" t="str">
        <f t="shared" si="27"/>
        <v>Menor Valor</v>
      </c>
      <c r="L332" s="326">
        <f>IFERROR(COUNTA('LP Elementos'!F332,'LP Elementos'!I332,'LP Elementos'!N332,'LP Elementos'!S332,'LP Elementos'!X332,'LP Elementos'!AC332,'LP Elementos'!AH332,'LP Elementos'!AM332,'LP Elementos'!AR332,'LP Elementos'!AX332,'LP Elementos'!BB332,'LP Elementos'!BG332,'LP Elementos'!BL332,'LP Elementos'!BQ332,'LP Elementos'!BV332,'LP Elementos'!CA332,'LP Elementos'!CF332,'LP Elementos'!CK332,'LP Elementos'!CP332,'LP Elementos'!CU332,'LP Elementos'!CZ332)," ")</f>
        <v>1</v>
      </c>
    </row>
    <row r="333" spans="2:12" x14ac:dyDescent="0.25">
      <c r="B333" s="411">
        <v>331</v>
      </c>
      <c r="C333" s="412" t="s">
        <v>3845</v>
      </c>
      <c r="D333" s="408">
        <f>IFERROR(MIN('LP Elementos'!F333,'LP Elementos'!I333,'LP Elementos'!N333,'LP Elementos'!S333,'LP Elementos'!X333,'LP Elementos'!AC333,'LP Elementos'!AH333,'LP Elementos'!AM333,'LP Elementos'!AR333,'LP Elementos'!AW333,'LP Elementos'!BB333,'LP Elementos'!BG333,'LP Elementos'!BL333,'LP Elementos'!BQ333,'LP Elementos'!BV333,'LP Elementos'!CA333,'LP Elementos'!CF333,'LP Elementos'!CK333,'LP Elementos'!CP333,'LP Elementos'!CU333,'LP Elementos'!CZ333)," ")</f>
        <v>4760</v>
      </c>
      <c r="E333" s="341">
        <f>IFERROR(AVERAGE('LP Elementos'!F333,'LP Elementos'!I333,'LP Elementos'!N333,'LP Elementos'!S333,'LP Elementos'!X333,'LP Elementos'!AC333,'LP Elementos'!AH333,'LP Elementos'!AM333,'LP Elementos'!AR333,'LP Elementos'!AW333,'LP Elementos'!BB333,'LP Elementos'!BG333,'LP Elementos'!BL333,'LP Elementos'!BQ333,'LP Elementos'!BV333,'LP Elementos'!CA333,'LP Elementos'!CF333,'LP Elementos'!CK333,'LP Elementos'!CP333,'LP Elementos'!CU333,'LP Elementos'!CZ333)," ")</f>
        <v>4760</v>
      </c>
      <c r="F333" s="341">
        <f>IFERROR(MEDIAN('LP Elementos'!F333,'LP Elementos'!I333,'LP Elementos'!N333,'LP Elementos'!S333,'LP Elementos'!X333,'LP Elementos'!AC333,'LP Elementos'!AH333,'LP Elementos'!AM333,'LP Elementos'!AR333,'LP Elementos'!AW333,'LP Elementos'!BB333,'LP Elementos'!BG333,'LP Elementos'!BL333,'LP Elementos'!BQ333,'LP Elementos'!BV333,'LP Elementos'!CA333,'LP Elementos'!CF333,'LP Elementos'!CK333,'LP Elementos'!CP333,'LP Elementos'!CU333,'LP Elementos'!CZ333)," ")</f>
        <v>4760</v>
      </c>
      <c r="G333" s="341">
        <f>IFERROR(GEOMEAN('LP Elementos'!F333,'LP Elementos'!I333,'LP Elementos'!N333,'LP Elementos'!S333,'LP Elementos'!X333,'LP Elementos'!AC333,'LP Elementos'!AH333,'LP Elementos'!AM333,'LP Elementos'!AR333,'LP Elementos'!AW333,'LP Elementos'!BB333,'LP Elementos'!BG333,'LP Elementos'!BL333,'LP Elementos'!BQ333,'LP Elementos'!BV333,'LP Elementos'!CA333,'LP Elementos'!CF333,'LP Elementos'!CK333,'LP Elementos'!CP333,'LP Elementos'!CU333,'LP Elementos'!CZ333)," ")</f>
        <v>4760</v>
      </c>
      <c r="H333" s="341">
        <f t="shared" si="24"/>
        <v>0</v>
      </c>
      <c r="I333" s="342">
        <f t="shared" si="25"/>
        <v>0</v>
      </c>
      <c r="J333" s="341">
        <f t="shared" si="26"/>
        <v>4760</v>
      </c>
      <c r="K333" s="326" t="str">
        <f t="shared" si="27"/>
        <v>Menor Valor</v>
      </c>
      <c r="L333" s="326">
        <f>IFERROR(COUNTA('LP Elementos'!F333,'LP Elementos'!I333,'LP Elementos'!N333,'LP Elementos'!S333,'LP Elementos'!X333,'LP Elementos'!AC333,'LP Elementos'!AH333,'LP Elementos'!AM333,'LP Elementos'!AR333,'LP Elementos'!AX333,'LP Elementos'!BB333,'LP Elementos'!BG333,'LP Elementos'!BL333,'LP Elementos'!BQ333,'LP Elementos'!BV333,'LP Elementos'!CA333,'LP Elementos'!CF333,'LP Elementos'!CK333,'LP Elementos'!CP333,'LP Elementos'!CU333,'LP Elementos'!CZ333)," ")</f>
        <v>1</v>
      </c>
    </row>
    <row r="334" spans="2:12" x14ac:dyDescent="0.25">
      <c r="B334" s="411">
        <v>332</v>
      </c>
      <c r="C334" s="412" t="s">
        <v>3847</v>
      </c>
      <c r="D334" s="408">
        <f>IFERROR(MIN('LP Elementos'!F334,'LP Elementos'!I334,'LP Elementos'!N334,'LP Elementos'!S334,'LP Elementos'!X334,'LP Elementos'!AC334,'LP Elementos'!AH334,'LP Elementos'!AM334,'LP Elementos'!AR334,'LP Elementos'!AW334,'LP Elementos'!BB334,'LP Elementos'!BG334,'LP Elementos'!BL334,'LP Elementos'!BQ334,'LP Elementos'!BV334,'LP Elementos'!CA334,'LP Elementos'!CF334,'LP Elementos'!CK334,'LP Elementos'!CP334,'LP Elementos'!CU334,'LP Elementos'!CZ334)," ")</f>
        <v>8330</v>
      </c>
      <c r="E334" s="341">
        <f>IFERROR(AVERAGE('LP Elementos'!F334,'LP Elementos'!I334,'LP Elementos'!N334,'LP Elementos'!S334,'LP Elementos'!X334,'LP Elementos'!AC334,'LP Elementos'!AH334,'LP Elementos'!AM334,'LP Elementos'!AR334,'LP Elementos'!AW334,'LP Elementos'!BB334,'LP Elementos'!BG334,'LP Elementos'!BL334,'LP Elementos'!BQ334,'LP Elementos'!BV334,'LP Elementos'!CA334,'LP Elementos'!CF334,'LP Elementos'!CK334,'LP Elementos'!CP334,'LP Elementos'!CU334,'LP Elementos'!CZ334)," ")</f>
        <v>9192.5119999999988</v>
      </c>
      <c r="F334" s="341">
        <f>IFERROR(MEDIAN('LP Elementos'!F334,'LP Elementos'!I334,'LP Elementos'!N334,'LP Elementos'!S334,'LP Elementos'!X334,'LP Elementos'!AC334,'LP Elementos'!AH334,'LP Elementos'!AM334,'LP Elementos'!AR334,'LP Elementos'!AW334,'LP Elementos'!BB334,'LP Elementos'!BG334,'LP Elementos'!BL334,'LP Elementos'!BQ334,'LP Elementos'!BV334,'LP Elementos'!CA334,'LP Elementos'!CF334,'LP Elementos'!CK334,'LP Elementos'!CP334,'LP Elementos'!CU334,'LP Elementos'!CZ334)," ")</f>
        <v>9192.5119999999988</v>
      </c>
      <c r="G334" s="341">
        <f>IFERROR(GEOMEAN('LP Elementos'!F334,'LP Elementos'!I334,'LP Elementos'!N334,'LP Elementos'!S334,'LP Elementos'!X334,'LP Elementos'!AC334,'LP Elementos'!AH334,'LP Elementos'!AM334,'LP Elementos'!AR334,'LP Elementos'!AW334,'LP Elementos'!BB334,'LP Elementos'!BG334,'LP Elementos'!BL334,'LP Elementos'!BQ334,'LP Elementos'!BV334,'LP Elementos'!CA334,'LP Elementos'!CF334,'LP Elementos'!CK334,'LP Elementos'!CP334,'LP Elementos'!CU334,'LP Elementos'!CZ334)," ")</f>
        <v>9151.9588023548276</v>
      </c>
      <c r="H334" s="341">
        <f t="shared" si="24"/>
        <v>424.92737582782655</v>
      </c>
      <c r="I334" s="342">
        <f t="shared" si="25"/>
        <v>4.6225381683246823E-2</v>
      </c>
      <c r="J334" s="341">
        <f t="shared" si="26"/>
        <v>9192.5119999999988</v>
      </c>
      <c r="K334" s="326" t="str">
        <f t="shared" si="27"/>
        <v>Promedio</v>
      </c>
      <c r="L334" s="326">
        <f>IFERROR(COUNTA('LP Elementos'!F334,'LP Elementos'!I334,'LP Elementos'!N334,'LP Elementos'!S334,'LP Elementos'!X334,'LP Elementos'!AC334,'LP Elementos'!AH334,'LP Elementos'!AM334,'LP Elementos'!AR334,'LP Elementos'!AX334,'LP Elementos'!BB334,'LP Elementos'!BG334,'LP Elementos'!BL334,'LP Elementos'!BQ334,'LP Elementos'!BV334,'LP Elementos'!CA334,'LP Elementos'!CF334,'LP Elementos'!CK334,'LP Elementos'!CP334,'LP Elementos'!CU334,'LP Elementos'!CZ334)," ")</f>
        <v>2</v>
      </c>
    </row>
    <row r="335" spans="2:12" x14ac:dyDescent="0.25">
      <c r="B335" s="411">
        <v>333</v>
      </c>
      <c r="C335" s="412" t="s">
        <v>3851</v>
      </c>
      <c r="D335" s="408">
        <f>IFERROR(MIN('LP Elementos'!F335,'LP Elementos'!I335,'LP Elementos'!N335,'LP Elementos'!S335,'LP Elementos'!X335,'LP Elementos'!AC335,'LP Elementos'!AH335,'LP Elementos'!AM335,'LP Elementos'!AR335,'LP Elementos'!AW335,'LP Elementos'!BB335,'LP Elementos'!BG335,'LP Elementos'!BL335,'LP Elementos'!BQ335,'LP Elementos'!BV335,'LP Elementos'!CA335,'LP Elementos'!CF335,'LP Elementos'!CK335,'LP Elementos'!CP335,'LP Elementos'!CU335,'LP Elementos'!CZ335)," ")</f>
        <v>17596.292000000001</v>
      </c>
      <c r="E335" s="341">
        <f>IFERROR(AVERAGE('LP Elementos'!F335,'LP Elementos'!I335,'LP Elementos'!N335,'LP Elementos'!S335,'LP Elementos'!X335,'LP Elementos'!AC335,'LP Elementos'!AH335,'LP Elementos'!AM335,'LP Elementos'!AR335,'LP Elementos'!AW335,'LP Elementos'!BB335,'LP Elementos'!BG335,'LP Elementos'!BL335,'LP Elementos'!BQ335,'LP Elementos'!BV335,'LP Elementos'!CA335,'LP Elementos'!CF335,'LP Elementos'!CK335,'LP Elementos'!CP335,'LP Elementos'!CU335,'LP Elementos'!CZ335)," ")</f>
        <v>31408.146000000001</v>
      </c>
      <c r="F335" s="341">
        <f>IFERROR(MEDIAN('LP Elementos'!F335,'LP Elementos'!I335,'LP Elementos'!N335,'LP Elementos'!S335,'LP Elementos'!X335,'LP Elementos'!AC335,'LP Elementos'!AH335,'LP Elementos'!AM335,'LP Elementos'!AR335,'LP Elementos'!AW335,'LP Elementos'!BB335,'LP Elementos'!BG335,'LP Elementos'!BL335,'LP Elementos'!BQ335,'LP Elementos'!BV335,'LP Elementos'!CA335,'LP Elementos'!CF335,'LP Elementos'!CK335,'LP Elementos'!CP335,'LP Elementos'!CU335,'LP Elementos'!CZ335)," ")</f>
        <v>31408.146000000001</v>
      </c>
      <c r="G335" s="341">
        <f>IFERROR(GEOMEAN('LP Elementos'!F335,'LP Elementos'!I335,'LP Elementos'!N335,'LP Elementos'!S335,'LP Elementos'!X335,'LP Elementos'!AC335,'LP Elementos'!AH335,'LP Elementos'!AM335,'LP Elementos'!AR335,'LP Elementos'!AW335,'LP Elementos'!BB335,'LP Elementos'!BG335,'LP Elementos'!BL335,'LP Elementos'!BQ335,'LP Elementos'!BV335,'LP Elementos'!CA335,'LP Elementos'!CF335,'LP Elementos'!CK335,'LP Elementos'!CP335,'LP Elementos'!CU335,'LP Elementos'!CZ335)," ")</f>
        <v>28208.23149791564</v>
      </c>
      <c r="H335" s="341">
        <f t="shared" si="24"/>
        <v>6548.7071712880606</v>
      </c>
      <c r="I335" s="342">
        <f t="shared" si="25"/>
        <v>0.20850346184993093</v>
      </c>
      <c r="J335" s="341">
        <f t="shared" si="26"/>
        <v>28208.23149791564</v>
      </c>
      <c r="K335" s="326" t="str">
        <f t="shared" si="27"/>
        <v>Media Geometrica</v>
      </c>
      <c r="L335" s="326">
        <f>IFERROR(COUNTA('LP Elementos'!F335,'LP Elementos'!I335,'LP Elementos'!N335,'LP Elementos'!S335,'LP Elementos'!X335,'LP Elementos'!AC335,'LP Elementos'!AH335,'LP Elementos'!AM335,'LP Elementos'!AR335,'LP Elementos'!AX335,'LP Elementos'!BB335,'LP Elementos'!BG335,'LP Elementos'!BL335,'LP Elementos'!BQ335,'LP Elementos'!BV335,'LP Elementos'!CA335,'LP Elementos'!CF335,'LP Elementos'!CK335,'LP Elementos'!CP335,'LP Elementos'!CU335,'LP Elementos'!CZ335)," ")</f>
        <v>2</v>
      </c>
    </row>
    <row r="336" spans="2:12" ht="40.5" x14ac:dyDescent="0.25">
      <c r="B336" s="411">
        <v>334</v>
      </c>
      <c r="C336" s="412" t="s">
        <v>3854</v>
      </c>
      <c r="D336" s="408">
        <f>IFERROR(MIN('LP Elementos'!F336,'LP Elementos'!I336,'LP Elementos'!N336,'LP Elementos'!S336,'LP Elementos'!X336,'LP Elementos'!AC336,'LP Elementos'!AH336,'LP Elementos'!AM336,'LP Elementos'!AR336,'LP Elementos'!AW336,'LP Elementos'!BB336,'LP Elementos'!BG336,'LP Elementos'!BL336,'LP Elementos'!BQ336,'LP Elementos'!BV336,'LP Elementos'!CA336,'LP Elementos'!CF336,'LP Elementos'!CK336,'LP Elementos'!CP336,'LP Elementos'!CU336,'LP Elementos'!CZ336)," ")</f>
        <v>408485.35000000003</v>
      </c>
      <c r="E336" s="341">
        <f>IFERROR(AVERAGE('LP Elementos'!F336,'LP Elementos'!I336,'LP Elementos'!N336,'LP Elementos'!S336,'LP Elementos'!X336,'LP Elementos'!AC336,'LP Elementos'!AH336,'LP Elementos'!AM336,'LP Elementos'!AR336,'LP Elementos'!AW336,'LP Elementos'!BB336,'LP Elementos'!BG336,'LP Elementos'!BL336,'LP Elementos'!BQ336,'LP Elementos'!BV336,'LP Elementos'!CA336,'LP Elementos'!CF336,'LP Elementos'!CK336,'LP Elementos'!CP336,'LP Elementos'!CU336,'LP Elementos'!CZ336)," ")</f>
        <v>408485.35000000003</v>
      </c>
      <c r="F336" s="341">
        <f>IFERROR(MEDIAN('LP Elementos'!F336,'LP Elementos'!I336,'LP Elementos'!N336,'LP Elementos'!S336,'LP Elementos'!X336,'LP Elementos'!AC336,'LP Elementos'!AH336,'LP Elementos'!AM336,'LP Elementos'!AR336,'LP Elementos'!AW336,'LP Elementos'!BB336,'LP Elementos'!BG336,'LP Elementos'!BL336,'LP Elementos'!BQ336,'LP Elementos'!BV336,'LP Elementos'!CA336,'LP Elementos'!CF336,'LP Elementos'!CK336,'LP Elementos'!CP336,'LP Elementos'!CU336,'LP Elementos'!CZ336)," ")</f>
        <v>408485.35000000003</v>
      </c>
      <c r="G336" s="341">
        <f>IFERROR(GEOMEAN('LP Elementos'!F336,'LP Elementos'!I336,'LP Elementos'!N336,'LP Elementos'!S336,'LP Elementos'!X336,'LP Elementos'!AC336,'LP Elementos'!AH336,'LP Elementos'!AM336,'LP Elementos'!AR336,'LP Elementos'!AW336,'LP Elementos'!BB336,'LP Elementos'!BG336,'LP Elementos'!BL336,'LP Elementos'!BQ336,'LP Elementos'!BV336,'LP Elementos'!CA336,'LP Elementos'!CF336,'LP Elementos'!CK336,'LP Elementos'!CP336,'LP Elementos'!CU336,'LP Elementos'!CZ336)," ")</f>
        <v>408485.35000000003</v>
      </c>
      <c r="H336" s="341">
        <f t="shared" si="24"/>
        <v>0</v>
      </c>
      <c r="I336" s="342">
        <f t="shared" si="25"/>
        <v>0</v>
      </c>
      <c r="J336" s="341">
        <f t="shared" si="26"/>
        <v>408485.35000000003</v>
      </c>
      <c r="K336" s="326" t="str">
        <f t="shared" si="27"/>
        <v>Menor Valor</v>
      </c>
      <c r="L336" s="326">
        <f>IFERROR(COUNTA('LP Elementos'!F336,'LP Elementos'!I336,'LP Elementos'!N336,'LP Elementos'!S336,'LP Elementos'!X336,'LP Elementos'!AC336,'LP Elementos'!AH336,'LP Elementos'!AM336,'LP Elementos'!AR336,'LP Elementos'!AX336,'LP Elementos'!BB336,'LP Elementos'!BG336,'LP Elementos'!BL336,'LP Elementos'!BQ336,'LP Elementos'!BV336,'LP Elementos'!CA336,'LP Elementos'!CF336,'LP Elementos'!CK336,'LP Elementos'!CP336,'LP Elementos'!CU336,'LP Elementos'!CZ336)," ")</f>
        <v>1</v>
      </c>
    </row>
    <row r="337" spans="2:12" x14ac:dyDescent="0.25">
      <c r="B337" s="411">
        <v>335</v>
      </c>
      <c r="C337" s="412" t="s">
        <v>3856</v>
      </c>
      <c r="D337" s="408">
        <f>IFERROR(MIN('LP Elementos'!F337,'LP Elementos'!I337,'LP Elementos'!N337,'LP Elementos'!S337,'LP Elementos'!X337,'LP Elementos'!AC337,'LP Elementos'!AH337,'LP Elementos'!AM337,'LP Elementos'!AR337,'LP Elementos'!AW337,'LP Elementos'!BB337,'LP Elementos'!BG337,'LP Elementos'!BL337,'LP Elementos'!BQ337,'LP Elementos'!BV337,'LP Elementos'!CA337,'LP Elementos'!CF337,'LP Elementos'!CK337,'LP Elementos'!CP337,'LP Elementos'!CU337,'LP Elementos'!CZ337)," ")</f>
        <v>107086.0056</v>
      </c>
      <c r="E337" s="341">
        <f>IFERROR(AVERAGE('LP Elementos'!F337,'LP Elementos'!I337,'LP Elementos'!N337,'LP Elementos'!S337,'LP Elementos'!X337,'LP Elementos'!AC337,'LP Elementos'!AH337,'LP Elementos'!AM337,'LP Elementos'!AR337,'LP Elementos'!AW337,'LP Elementos'!BB337,'LP Elementos'!BG337,'LP Elementos'!BL337,'LP Elementos'!BQ337,'LP Elementos'!BV337,'LP Elementos'!CA337,'LP Elementos'!CF337,'LP Elementos'!CK337,'LP Elementos'!CP337,'LP Elementos'!CU337,'LP Elementos'!CZ337)," ")</f>
        <v>107086.0056</v>
      </c>
      <c r="F337" s="341">
        <f>IFERROR(MEDIAN('LP Elementos'!F337,'LP Elementos'!I337,'LP Elementos'!N337,'LP Elementos'!S337,'LP Elementos'!X337,'LP Elementos'!AC337,'LP Elementos'!AH337,'LP Elementos'!AM337,'LP Elementos'!AR337,'LP Elementos'!AW337,'LP Elementos'!BB337,'LP Elementos'!BG337,'LP Elementos'!BL337,'LP Elementos'!BQ337,'LP Elementos'!BV337,'LP Elementos'!CA337,'LP Elementos'!CF337,'LP Elementos'!CK337,'LP Elementos'!CP337,'LP Elementos'!CU337,'LP Elementos'!CZ337)," ")</f>
        <v>107086.0056</v>
      </c>
      <c r="G337" s="341">
        <f>IFERROR(GEOMEAN('LP Elementos'!F337,'LP Elementos'!I337,'LP Elementos'!N337,'LP Elementos'!S337,'LP Elementos'!X337,'LP Elementos'!AC337,'LP Elementos'!AH337,'LP Elementos'!AM337,'LP Elementos'!AR337,'LP Elementos'!AW337,'LP Elementos'!BB337,'LP Elementos'!BG337,'LP Elementos'!BL337,'LP Elementos'!BQ337,'LP Elementos'!BV337,'LP Elementos'!CA337,'LP Elementos'!CF337,'LP Elementos'!CK337,'LP Elementos'!CP337,'LP Elementos'!CU337,'LP Elementos'!CZ337)," ")</f>
        <v>107086.0056</v>
      </c>
      <c r="H337" s="341">
        <f t="shared" si="24"/>
        <v>0</v>
      </c>
      <c r="I337" s="342">
        <f t="shared" si="25"/>
        <v>0</v>
      </c>
      <c r="J337" s="341">
        <f t="shared" si="26"/>
        <v>107086.0056</v>
      </c>
      <c r="K337" s="326" t="str">
        <f t="shared" si="27"/>
        <v>Menor Valor</v>
      </c>
      <c r="L337" s="326">
        <f>IFERROR(COUNTA('LP Elementos'!F337,'LP Elementos'!I337,'LP Elementos'!N337,'LP Elementos'!S337,'LP Elementos'!X337,'LP Elementos'!AC337,'LP Elementos'!AH337,'LP Elementos'!AM337,'LP Elementos'!AR337,'LP Elementos'!AX337,'LP Elementos'!BB337,'LP Elementos'!BG337,'LP Elementos'!BL337,'LP Elementos'!BQ337,'LP Elementos'!BV337,'LP Elementos'!CA337,'LP Elementos'!CF337,'LP Elementos'!CK337,'LP Elementos'!CP337,'LP Elementos'!CU337,'LP Elementos'!CZ337)," ")</f>
        <v>1</v>
      </c>
    </row>
    <row r="338" spans="2:12" x14ac:dyDescent="0.25">
      <c r="B338" s="411">
        <v>336</v>
      </c>
      <c r="C338" s="412" t="s">
        <v>3858</v>
      </c>
      <c r="D338" s="408">
        <f>IFERROR(MIN('LP Elementos'!F338,'LP Elementos'!I338,'LP Elementos'!N338,'LP Elementos'!S338,'LP Elementos'!X338,'LP Elementos'!AC338,'LP Elementos'!AH338,'LP Elementos'!AM338,'LP Elementos'!AR338,'LP Elementos'!AW338,'LP Elementos'!BB338,'LP Elementos'!BG338,'LP Elementos'!BL338,'LP Elementos'!BQ338,'LP Elementos'!BV338,'LP Elementos'!CA338,'LP Elementos'!CF338,'LP Elementos'!CK338,'LP Elementos'!CP338,'LP Elementos'!CU338,'LP Elementos'!CZ338)," ")</f>
        <v>297500</v>
      </c>
      <c r="E338" s="341">
        <f>IFERROR(AVERAGE('LP Elementos'!F338,'LP Elementos'!I338,'LP Elementos'!N338,'LP Elementos'!S338,'LP Elementos'!X338,'LP Elementos'!AC338,'LP Elementos'!AH338,'LP Elementos'!AM338,'LP Elementos'!AR338,'LP Elementos'!AW338,'LP Elementos'!BB338,'LP Elementos'!BG338,'LP Elementos'!BL338,'LP Elementos'!BQ338,'LP Elementos'!BV338,'LP Elementos'!CA338,'LP Elementos'!CF338,'LP Elementos'!CK338,'LP Elementos'!CP338,'LP Elementos'!CU338,'LP Elementos'!CZ338)," ")</f>
        <v>525565.76099999994</v>
      </c>
      <c r="F338" s="341">
        <f>IFERROR(MEDIAN('LP Elementos'!F338,'LP Elementos'!I338,'LP Elementos'!N338,'LP Elementos'!S338,'LP Elementos'!X338,'LP Elementos'!AC338,'LP Elementos'!AH338,'LP Elementos'!AM338,'LP Elementos'!AR338,'LP Elementos'!AW338,'LP Elementos'!BB338,'LP Elementos'!BG338,'LP Elementos'!BL338,'LP Elementos'!BQ338,'LP Elementos'!BV338,'LP Elementos'!CA338,'LP Elementos'!CF338,'LP Elementos'!CK338,'LP Elementos'!CP338,'LP Elementos'!CU338,'LP Elementos'!CZ338)," ")</f>
        <v>526575</v>
      </c>
      <c r="G338" s="341">
        <f>IFERROR(GEOMEAN('LP Elementos'!F338,'LP Elementos'!I338,'LP Elementos'!N338,'LP Elementos'!S338,'LP Elementos'!X338,'LP Elementos'!AC338,'LP Elementos'!AH338,'LP Elementos'!AM338,'LP Elementos'!AR338,'LP Elementos'!AW338,'LP Elementos'!BB338,'LP Elementos'!BG338,'LP Elementos'!BL338,'LP Elementos'!BQ338,'LP Elementos'!BV338,'LP Elementos'!CA338,'LP Elementos'!CF338,'LP Elementos'!CK338,'LP Elementos'!CP338,'LP Elementos'!CU338,'LP Elementos'!CZ338)," ")</f>
        <v>482383.92614868557</v>
      </c>
      <c r="H338" s="341">
        <f t="shared" si="24"/>
        <v>108968.63216322059</v>
      </c>
      <c r="I338" s="342">
        <f t="shared" si="25"/>
        <v>0.20733586593594822</v>
      </c>
      <c r="J338" s="341">
        <f t="shared" si="26"/>
        <v>482383.92614868557</v>
      </c>
      <c r="K338" s="326" t="str">
        <f t="shared" si="27"/>
        <v>Media Geometrica</v>
      </c>
      <c r="L338" s="326">
        <f>IFERROR(COUNTA('LP Elementos'!F338,'LP Elementos'!I338,'LP Elementos'!N338,'LP Elementos'!S338,'LP Elementos'!X338,'LP Elementos'!AC338,'LP Elementos'!AH338,'LP Elementos'!AM338,'LP Elementos'!AR338,'LP Elementos'!AX338,'LP Elementos'!BB338,'LP Elementos'!BG338,'LP Elementos'!BL338,'LP Elementos'!BQ338,'LP Elementos'!BV338,'LP Elementos'!CA338,'LP Elementos'!CF338,'LP Elementos'!CK338,'LP Elementos'!CP338,'LP Elementos'!CU338,'LP Elementos'!CZ338)," ")</f>
        <v>4</v>
      </c>
    </row>
    <row r="339" spans="2:12" ht="189" x14ac:dyDescent="0.25">
      <c r="B339" s="411">
        <v>337</v>
      </c>
      <c r="C339" s="412" t="s">
        <v>3861</v>
      </c>
      <c r="D339" s="408">
        <f>IFERROR(MIN('LP Elementos'!F339,'LP Elementos'!I339,'LP Elementos'!N339,'LP Elementos'!S339,'LP Elementos'!X339,'LP Elementos'!AC339,'LP Elementos'!AH339,'LP Elementos'!AM339,'LP Elementos'!AR339,'LP Elementos'!AW339,'LP Elementos'!BB339,'LP Elementos'!BG339,'LP Elementos'!BL339,'LP Elementos'!BQ339,'LP Elementos'!BV339,'LP Elementos'!CA339,'LP Elementos'!CF339,'LP Elementos'!CK339,'LP Elementos'!CP339,'LP Elementos'!CU339,'LP Elementos'!CZ339)," ")</f>
        <v>193245.52060000002</v>
      </c>
      <c r="E339" s="341">
        <f>IFERROR(AVERAGE('LP Elementos'!F339,'LP Elementos'!I339,'LP Elementos'!N339,'LP Elementos'!S339,'LP Elementos'!X339,'LP Elementos'!AC339,'LP Elementos'!AH339,'LP Elementos'!AM339,'LP Elementos'!AR339,'LP Elementos'!AW339,'LP Elementos'!BB339,'LP Elementos'!BG339,'LP Elementos'!BL339,'LP Elementos'!BQ339,'LP Elementos'!BV339,'LP Elementos'!CA339,'LP Elementos'!CF339,'LP Elementos'!CK339,'LP Elementos'!CP339,'LP Elementos'!CU339,'LP Elementos'!CZ339)," ")</f>
        <v>262748.50686666666</v>
      </c>
      <c r="F339" s="341">
        <f>IFERROR(MEDIAN('LP Elementos'!F339,'LP Elementos'!I339,'LP Elementos'!N339,'LP Elementos'!S339,'LP Elementos'!X339,'LP Elementos'!AC339,'LP Elementos'!AH339,'LP Elementos'!AM339,'LP Elementos'!AR339,'LP Elementos'!AW339,'LP Elementos'!BB339,'LP Elementos'!BG339,'LP Elementos'!BL339,'LP Elementos'!BQ339,'LP Elementos'!BV339,'LP Elementos'!CA339,'LP Elementos'!CF339,'LP Elementos'!CK339,'LP Elementos'!CP339,'LP Elementos'!CU339,'LP Elementos'!CZ339)," ")</f>
        <v>238000</v>
      </c>
      <c r="G339" s="341">
        <f>IFERROR(GEOMEAN('LP Elementos'!F339,'LP Elementos'!I339,'LP Elementos'!N339,'LP Elementos'!S339,'LP Elementos'!X339,'LP Elementos'!AC339,'LP Elementos'!AH339,'LP Elementos'!AM339,'LP Elementos'!AR339,'LP Elementos'!AW339,'LP Elementos'!BB339,'LP Elementos'!BG339,'LP Elementos'!BL339,'LP Elementos'!BQ339,'LP Elementos'!BV339,'LP Elementos'!CA339,'LP Elementos'!CF339,'LP Elementos'!CK339,'LP Elementos'!CP339,'LP Elementos'!CU339,'LP Elementos'!CZ339)," ")</f>
        <v>254166.43824788128</v>
      </c>
      <c r="H339" s="341">
        <f t="shared" si="24"/>
        <v>30946.837416418777</v>
      </c>
      <c r="I339" s="342">
        <f t="shared" si="25"/>
        <v>0.11778121133956791</v>
      </c>
      <c r="J339" s="341">
        <f t="shared" si="26"/>
        <v>262748.50686666666</v>
      </c>
      <c r="K339" s="326" t="str">
        <f t="shared" si="27"/>
        <v>Promedio</v>
      </c>
      <c r="L339" s="326">
        <f>IFERROR(COUNTA('LP Elementos'!F339,'LP Elementos'!I339,'LP Elementos'!N339,'LP Elementos'!S339,'LP Elementos'!X339,'LP Elementos'!AC339,'LP Elementos'!AH339,'LP Elementos'!AM339,'LP Elementos'!AR339,'LP Elementos'!AX339,'LP Elementos'!BB339,'LP Elementos'!BG339,'LP Elementos'!BL339,'LP Elementos'!BQ339,'LP Elementos'!BV339,'LP Elementos'!CA339,'LP Elementos'!CF339,'LP Elementos'!CK339,'LP Elementos'!CP339,'LP Elementos'!CU339,'LP Elementos'!CZ339)," ")</f>
        <v>3</v>
      </c>
    </row>
    <row r="340" spans="2:12" x14ac:dyDescent="0.25">
      <c r="B340" s="411">
        <v>338</v>
      </c>
      <c r="C340" s="419" t="s">
        <v>3864</v>
      </c>
      <c r="D340" s="408">
        <f>IFERROR(MIN('LP Elementos'!F340,'LP Elementos'!I340,'LP Elementos'!N340,'LP Elementos'!S340,'LP Elementos'!X340,'LP Elementos'!AC340,'LP Elementos'!AH340,'LP Elementos'!AM340,'LP Elementos'!AR340,'LP Elementos'!AW340,'LP Elementos'!BB340,'LP Elementos'!BG340,'LP Elementos'!BL340,'LP Elementos'!BQ340,'LP Elementos'!BV340,'LP Elementos'!CA340,'LP Elementos'!CF340,'LP Elementos'!CK340,'LP Elementos'!CP340,'LP Elementos'!CU340,'LP Elementos'!CZ340)," ")</f>
        <v>192302.334</v>
      </c>
      <c r="E340" s="341">
        <f>IFERROR(AVERAGE('LP Elementos'!F340,'LP Elementos'!I340,'LP Elementos'!N340,'LP Elementos'!S340,'LP Elementos'!X340,'LP Elementos'!AC340,'LP Elementos'!AH340,'LP Elementos'!AM340,'LP Elementos'!AR340,'LP Elementos'!AW340,'LP Elementos'!BB340,'LP Elementos'!BG340,'LP Elementos'!BL340,'LP Elementos'!BQ340,'LP Elementos'!BV340,'LP Elementos'!CA340,'LP Elementos'!CF340,'LP Elementos'!CK340,'LP Elementos'!CP340,'LP Elementos'!CU340,'LP Elementos'!CZ340)," ")</f>
        <v>262751.16700000002</v>
      </c>
      <c r="F340" s="341">
        <f>IFERROR(MEDIAN('LP Elementos'!F340,'LP Elementos'!I340,'LP Elementos'!N340,'LP Elementos'!S340,'LP Elementos'!X340,'LP Elementos'!AC340,'LP Elementos'!AH340,'LP Elementos'!AM340,'LP Elementos'!AR340,'LP Elementos'!AW340,'LP Elementos'!BB340,'LP Elementos'!BG340,'LP Elementos'!BL340,'LP Elementos'!BQ340,'LP Elementos'!BV340,'LP Elementos'!CA340,'LP Elementos'!CF340,'LP Elementos'!CK340,'LP Elementos'!CP340,'LP Elementos'!CU340,'LP Elementos'!CZ340)," ")</f>
        <v>262751.16700000002</v>
      </c>
      <c r="G340" s="341">
        <f>IFERROR(GEOMEAN('LP Elementos'!F340,'LP Elementos'!I340,'LP Elementos'!N340,'LP Elementos'!S340,'LP Elementos'!X340,'LP Elementos'!AC340,'LP Elementos'!AH340,'LP Elementos'!AM340,'LP Elementos'!AR340,'LP Elementos'!AW340,'LP Elementos'!BB340,'LP Elementos'!BG340,'LP Elementos'!BL340,'LP Elementos'!BQ340,'LP Elementos'!BV340,'LP Elementos'!CA340,'LP Elementos'!CF340,'LP Elementos'!CK340,'LP Elementos'!CP340,'LP Elementos'!CU340,'LP Elementos'!CZ340)," ")</f>
        <v>253130.67314886992</v>
      </c>
      <c r="H340" s="341">
        <f t="shared" si="24"/>
        <v>33925.4953164689</v>
      </c>
      <c r="I340" s="342">
        <f t="shared" si="25"/>
        <v>0.12911644010497925</v>
      </c>
      <c r="J340" s="341">
        <f t="shared" si="26"/>
        <v>262751.16700000002</v>
      </c>
      <c r="K340" s="326" t="str">
        <f t="shared" si="27"/>
        <v>Promedio</v>
      </c>
      <c r="L340" s="326">
        <f>IFERROR(COUNTA('LP Elementos'!F340,'LP Elementos'!I340,'LP Elementos'!N340,'LP Elementos'!S340,'LP Elementos'!X340,'LP Elementos'!AC340,'LP Elementos'!AH340,'LP Elementos'!AM340,'LP Elementos'!AR340,'LP Elementos'!AX340,'LP Elementos'!BB340,'LP Elementos'!BG340,'LP Elementos'!BL340,'LP Elementos'!BQ340,'LP Elementos'!BV340,'LP Elementos'!CA340,'LP Elementos'!CF340,'LP Elementos'!CK340,'LP Elementos'!CP340,'LP Elementos'!CU340,'LP Elementos'!CZ340)," ")</f>
        <v>2</v>
      </c>
    </row>
    <row r="341" spans="2:12" x14ac:dyDescent="0.25">
      <c r="B341" s="411">
        <v>339</v>
      </c>
      <c r="C341" s="412" t="s">
        <v>3867</v>
      </c>
      <c r="D341" s="408">
        <f>IFERROR(MIN('LP Elementos'!F341,'LP Elementos'!I341,'LP Elementos'!N341,'LP Elementos'!S341,'LP Elementos'!X341,'LP Elementos'!AC341,'LP Elementos'!AH341,'LP Elementos'!AM341,'LP Elementos'!AR341,'LP Elementos'!AW341,'LP Elementos'!BB341,'LP Elementos'!BG341,'LP Elementos'!BL341,'LP Elementos'!BQ341,'LP Elementos'!BV341,'LP Elementos'!CA341,'LP Elementos'!CF341,'LP Elementos'!CK341,'LP Elementos'!CP341,'LP Elementos'!CU341,'LP Elementos'!CZ341)," ")</f>
        <v>14956.8482</v>
      </c>
      <c r="E341" s="341">
        <f>IFERROR(AVERAGE('LP Elementos'!F341,'LP Elementos'!I341,'LP Elementos'!N341,'LP Elementos'!S341,'LP Elementos'!X341,'LP Elementos'!AC341,'LP Elementos'!AH341,'LP Elementos'!AM341,'LP Elementos'!AR341,'LP Elementos'!AW341,'LP Elementos'!BB341,'LP Elementos'!BG341,'LP Elementos'!BL341,'LP Elementos'!BQ341,'LP Elementos'!BV341,'LP Elementos'!CA341,'LP Elementos'!CF341,'LP Elementos'!CK341,'LP Elementos'!CP341,'LP Elementos'!CU341,'LP Elementos'!CZ341)," ")</f>
        <v>14956.8482</v>
      </c>
      <c r="F341" s="341">
        <f>IFERROR(MEDIAN('LP Elementos'!F341,'LP Elementos'!I341,'LP Elementos'!N341,'LP Elementos'!S341,'LP Elementos'!X341,'LP Elementos'!AC341,'LP Elementos'!AH341,'LP Elementos'!AM341,'LP Elementos'!AR341,'LP Elementos'!AW341,'LP Elementos'!BB341,'LP Elementos'!BG341,'LP Elementos'!BL341,'LP Elementos'!BQ341,'LP Elementos'!BV341,'LP Elementos'!CA341,'LP Elementos'!CF341,'LP Elementos'!CK341,'LP Elementos'!CP341,'LP Elementos'!CU341,'LP Elementos'!CZ341)," ")</f>
        <v>14956.8482</v>
      </c>
      <c r="G341" s="341">
        <f>IFERROR(GEOMEAN('LP Elementos'!F341,'LP Elementos'!I341,'LP Elementos'!N341,'LP Elementos'!S341,'LP Elementos'!X341,'LP Elementos'!AC341,'LP Elementos'!AH341,'LP Elementos'!AM341,'LP Elementos'!AR341,'LP Elementos'!AW341,'LP Elementos'!BB341,'LP Elementos'!BG341,'LP Elementos'!BL341,'LP Elementos'!BQ341,'LP Elementos'!BV341,'LP Elementos'!CA341,'LP Elementos'!CF341,'LP Elementos'!CK341,'LP Elementos'!CP341,'LP Elementos'!CU341,'LP Elementos'!CZ341)," ")</f>
        <v>14956.8482</v>
      </c>
      <c r="H341" s="341">
        <f t="shared" si="24"/>
        <v>0</v>
      </c>
      <c r="I341" s="342">
        <f t="shared" si="25"/>
        <v>0</v>
      </c>
      <c r="J341" s="341">
        <f t="shared" si="26"/>
        <v>14956.8482</v>
      </c>
      <c r="K341" s="326" t="str">
        <f t="shared" si="27"/>
        <v>Menor Valor</v>
      </c>
      <c r="L341" s="326">
        <f>IFERROR(COUNTA('LP Elementos'!F341,'LP Elementos'!I341,'LP Elementos'!N341,'LP Elementos'!S341,'LP Elementos'!X341,'LP Elementos'!AC341,'LP Elementos'!AH341,'LP Elementos'!AM341,'LP Elementos'!AR341,'LP Elementos'!AX341,'LP Elementos'!BB341,'LP Elementos'!BG341,'LP Elementos'!BL341,'LP Elementos'!BQ341,'LP Elementos'!BV341,'LP Elementos'!CA341,'LP Elementos'!CF341,'LP Elementos'!CK341,'LP Elementos'!CP341,'LP Elementos'!CU341,'LP Elementos'!CZ341)," ")</f>
        <v>1</v>
      </c>
    </row>
    <row r="342" spans="2:12" ht="40.5" x14ac:dyDescent="0.25">
      <c r="B342" s="411">
        <v>340</v>
      </c>
      <c r="C342" s="412" t="s">
        <v>3869</v>
      </c>
      <c r="D342" s="408">
        <f>IFERROR(MIN('LP Elementos'!F342,'LP Elementos'!I342,'LP Elementos'!N342,'LP Elementos'!S342,'LP Elementos'!X342,'LP Elementos'!AC342,'LP Elementos'!AH342,'LP Elementos'!AM342,'LP Elementos'!AR342,'LP Elementos'!AW342,'LP Elementos'!BB342,'LP Elementos'!BG342,'LP Elementos'!BL342,'LP Elementos'!BQ342,'LP Elementos'!BV342,'LP Elementos'!CA342,'LP Elementos'!CF342,'LP Elementos'!CK342,'LP Elementos'!CP342,'LP Elementos'!CU342,'LP Elementos'!CZ342)," ")</f>
        <v>562870</v>
      </c>
      <c r="E342" s="341">
        <f>IFERROR(AVERAGE('LP Elementos'!F342,'LP Elementos'!I342,'LP Elementos'!N342,'LP Elementos'!S342,'LP Elementos'!X342,'LP Elementos'!AC342,'LP Elementos'!AH342,'LP Elementos'!AM342,'LP Elementos'!AR342,'LP Elementos'!AW342,'LP Elementos'!BB342,'LP Elementos'!BG342,'LP Elementos'!BL342,'LP Elementos'!BQ342,'LP Elementos'!BV342,'LP Elementos'!CA342,'LP Elementos'!CF342,'LP Elementos'!CK342,'LP Elementos'!CP342,'LP Elementos'!CU342,'LP Elementos'!CZ342)," ")</f>
        <v>1712084.3248000003</v>
      </c>
      <c r="F342" s="341">
        <f>IFERROR(MEDIAN('LP Elementos'!F342,'LP Elementos'!I342,'LP Elementos'!N342,'LP Elementos'!S342,'LP Elementos'!X342,'LP Elementos'!AC342,'LP Elementos'!AH342,'LP Elementos'!AM342,'LP Elementos'!AR342,'LP Elementos'!AW342,'LP Elementos'!BB342,'LP Elementos'!BG342,'LP Elementos'!BL342,'LP Elementos'!BQ342,'LP Elementos'!BV342,'LP Elementos'!CA342,'LP Elementos'!CF342,'LP Elementos'!CK342,'LP Elementos'!CP342,'LP Elementos'!CU342,'LP Elementos'!CZ342)," ")</f>
        <v>2232132.9443999999</v>
      </c>
      <c r="G342" s="341">
        <f>IFERROR(GEOMEAN('LP Elementos'!F342,'LP Elementos'!I342,'LP Elementos'!N342,'LP Elementos'!S342,'LP Elementos'!X342,'LP Elementos'!AC342,'LP Elementos'!AH342,'LP Elementos'!AM342,'LP Elementos'!AR342,'LP Elementos'!AW342,'LP Elementos'!BB342,'LP Elementos'!BG342,'LP Elementos'!BL342,'LP Elementos'!BQ342,'LP Elementos'!BV342,'LP Elementos'!CA342,'LP Elementos'!CF342,'LP Elementos'!CK342,'LP Elementos'!CP342,'LP Elementos'!CU342,'LP Elementos'!CZ342)," ")</f>
        <v>1432821.1552468487</v>
      </c>
      <c r="H342" s="341">
        <f t="shared" ref="H342:H379" si="28">STDEVA(D342,E342,F342,G342)</f>
        <v>698288.69240473397</v>
      </c>
      <c r="I342" s="342">
        <f t="shared" ref="I342:I379" si="29">IFERROR(H342/E342," ")</f>
        <v>0.40785881997156048</v>
      </c>
      <c r="J342" s="341">
        <f t="shared" ref="J342:J379" si="30">IF(I342&lt;=10%,F342,IF(AND(I342&gt;10%,I342&lt;=20%),E342,IF(AND(I342&gt;20%,I342&lt;=30%),G342,IF(I342&gt;30%,D342))))</f>
        <v>562870</v>
      </c>
      <c r="K342" s="326" t="str">
        <f t="shared" ref="K342:K379" si="31">IF(J342=D342,"Menor Valor",IF(J342=E342,"Promedio",IF(J342=F342,"Mediana",IF(J342=G342,"Media Geometrica"," "))))</f>
        <v>Menor Valor</v>
      </c>
      <c r="L342" s="326">
        <f>IFERROR(COUNTA('LP Elementos'!F342,'LP Elementos'!I342,'LP Elementos'!N342,'LP Elementos'!S342,'LP Elementos'!X342,'LP Elementos'!AC342,'LP Elementos'!AH342,'LP Elementos'!AM342,'LP Elementos'!AR342,'LP Elementos'!AX342,'LP Elementos'!BB342,'LP Elementos'!BG342,'LP Elementos'!BL342,'LP Elementos'!BQ342,'LP Elementos'!BV342,'LP Elementos'!CA342,'LP Elementos'!CF342,'LP Elementos'!CK342,'LP Elementos'!CP342,'LP Elementos'!CU342,'LP Elementos'!CZ342)," ")</f>
        <v>3</v>
      </c>
    </row>
    <row r="343" spans="2:12" ht="40.5" x14ac:dyDescent="0.25">
      <c r="B343" s="411">
        <v>341</v>
      </c>
      <c r="C343" s="412" t="s">
        <v>3874</v>
      </c>
      <c r="D343" s="408">
        <f>IFERROR(MIN('LP Elementos'!F343,'LP Elementos'!I343,'LP Elementos'!N343,'LP Elementos'!S343,'LP Elementos'!X343,'LP Elementos'!AC343,'LP Elementos'!AH343,'LP Elementos'!AM343,'LP Elementos'!AR343,'LP Elementos'!AW343,'LP Elementos'!BB343,'LP Elementos'!BG343,'LP Elementos'!BL343,'LP Elementos'!BQ343,'LP Elementos'!BV343,'LP Elementos'!CA343,'LP Elementos'!CF343,'LP Elementos'!CK343,'LP Elementos'!CP343,'LP Elementos'!CU343,'LP Elementos'!CZ343)," ")</f>
        <v>434350</v>
      </c>
      <c r="E343" s="341">
        <f>IFERROR(AVERAGE('LP Elementos'!F343,'LP Elementos'!I343,'LP Elementos'!N343,'LP Elementos'!S343,'LP Elementos'!X343,'LP Elementos'!AC343,'LP Elementos'!AH343,'LP Elementos'!AM343,'LP Elementos'!AR343,'LP Elementos'!AW343,'LP Elementos'!BB343,'LP Elementos'!BG343,'LP Elementos'!BL343,'LP Elementos'!BQ343,'LP Elementos'!BV343,'LP Elementos'!CA343,'LP Elementos'!CF343,'LP Elementos'!CK343,'LP Elementos'!CP343,'LP Elementos'!CU343,'LP Elementos'!CZ343)," ")</f>
        <v>753824.77800000005</v>
      </c>
      <c r="F343" s="341">
        <f>IFERROR(MEDIAN('LP Elementos'!F343,'LP Elementos'!I343,'LP Elementos'!N343,'LP Elementos'!S343,'LP Elementos'!X343,'LP Elementos'!AC343,'LP Elementos'!AH343,'LP Elementos'!AM343,'LP Elementos'!AR343,'LP Elementos'!AW343,'LP Elementos'!BB343,'LP Elementos'!BG343,'LP Elementos'!BL343,'LP Elementos'!BQ343,'LP Elementos'!BV343,'LP Elementos'!CA343,'LP Elementos'!CF343,'LP Elementos'!CK343,'LP Elementos'!CP343,'LP Elementos'!CU343,'LP Elementos'!CZ343)," ")</f>
        <v>613356.46400000004</v>
      </c>
      <c r="G343" s="341">
        <f>IFERROR(GEOMEAN('LP Elementos'!F343,'LP Elementos'!I343,'LP Elementos'!N343,'LP Elementos'!S343,'LP Elementos'!X343,'LP Elementos'!AC343,'LP Elementos'!AH343,'LP Elementos'!AM343,'LP Elementos'!AR343,'LP Elementos'!AW343,'LP Elementos'!BB343,'LP Elementos'!BG343,'LP Elementos'!BL343,'LP Elementos'!BQ343,'LP Elementos'!BV343,'LP Elementos'!CA343,'LP Elementos'!CF343,'LP Elementos'!CK343,'LP Elementos'!CP343,'LP Elementos'!CU343,'LP Elementos'!CZ343)," ")</f>
        <v>686377.12791205768</v>
      </c>
      <c r="H343" s="341">
        <f t="shared" si="28"/>
        <v>137609.85648869781</v>
      </c>
      <c r="I343" s="342">
        <f t="shared" si="29"/>
        <v>0.18254886348230093</v>
      </c>
      <c r="J343" s="341">
        <f t="shared" si="30"/>
        <v>753824.77800000005</v>
      </c>
      <c r="K343" s="326" t="str">
        <f t="shared" si="31"/>
        <v>Promedio</v>
      </c>
      <c r="L343" s="326">
        <f>IFERROR(COUNTA('LP Elementos'!F343,'LP Elementos'!I343,'LP Elementos'!N343,'LP Elementos'!S343,'LP Elementos'!X343,'LP Elementos'!AC343,'LP Elementos'!AH343,'LP Elementos'!AM343,'LP Elementos'!AR343,'LP Elementos'!AX343,'LP Elementos'!BB343,'LP Elementos'!BG343,'LP Elementos'!BL343,'LP Elementos'!BQ343,'LP Elementos'!BV343,'LP Elementos'!CA343,'LP Elementos'!CF343,'LP Elementos'!CK343,'LP Elementos'!CP343,'LP Elementos'!CU343,'LP Elementos'!CZ343)," ")</f>
        <v>3</v>
      </c>
    </row>
    <row r="344" spans="2:12" x14ac:dyDescent="0.25">
      <c r="B344" s="411">
        <v>342</v>
      </c>
      <c r="C344" s="412" t="s">
        <v>3879</v>
      </c>
      <c r="D344" s="408">
        <f>IFERROR(MIN('LP Elementos'!F344,'LP Elementos'!I344,'LP Elementos'!N344,'LP Elementos'!S344,'LP Elementos'!X344,'LP Elementos'!AC344,'LP Elementos'!AH344,'LP Elementos'!AM344,'LP Elementos'!AR344,'LP Elementos'!AW344,'LP Elementos'!BB344,'LP Elementos'!BG344,'LP Elementos'!BL344,'LP Elementos'!BQ344,'LP Elementos'!BV344,'LP Elementos'!CA344,'LP Elementos'!CF344,'LP Elementos'!CK344,'LP Elementos'!CP344,'LP Elementos'!CU344,'LP Elementos'!CZ344)," ")</f>
        <v>28279.755000000001</v>
      </c>
      <c r="E344" s="341">
        <f>IFERROR(AVERAGE('LP Elementos'!F344,'LP Elementos'!I344,'LP Elementos'!N344,'LP Elementos'!S344,'LP Elementos'!X344,'LP Elementos'!AC344,'LP Elementos'!AH344,'LP Elementos'!AM344,'LP Elementos'!AR344,'LP Elementos'!AW344,'LP Elementos'!BB344,'LP Elementos'!BG344,'LP Elementos'!BL344,'LP Elementos'!BQ344,'LP Elementos'!BV344,'LP Elementos'!CA344,'LP Elementos'!CF344,'LP Elementos'!CK344,'LP Elementos'!CP344,'LP Elementos'!CU344,'LP Elementos'!CZ344)," ")</f>
        <v>36749.877500000002</v>
      </c>
      <c r="F344" s="341">
        <f>IFERROR(MEDIAN('LP Elementos'!F344,'LP Elementos'!I344,'LP Elementos'!N344,'LP Elementos'!S344,'LP Elementos'!X344,'LP Elementos'!AC344,'LP Elementos'!AH344,'LP Elementos'!AM344,'LP Elementos'!AR344,'LP Elementos'!AW344,'LP Elementos'!BB344,'LP Elementos'!BG344,'LP Elementos'!BL344,'LP Elementos'!BQ344,'LP Elementos'!BV344,'LP Elementos'!CA344,'LP Elementos'!CF344,'LP Elementos'!CK344,'LP Elementos'!CP344,'LP Elementos'!CU344,'LP Elementos'!CZ344)," ")</f>
        <v>36749.877500000002</v>
      </c>
      <c r="G344" s="341">
        <f>IFERROR(GEOMEAN('LP Elementos'!F344,'LP Elementos'!I344,'LP Elementos'!N344,'LP Elementos'!S344,'LP Elementos'!X344,'LP Elementos'!AC344,'LP Elementos'!AH344,'LP Elementos'!AM344,'LP Elementos'!AR344,'LP Elementos'!AW344,'LP Elementos'!BB344,'LP Elementos'!BG344,'LP Elementos'!BL344,'LP Elementos'!BQ344,'LP Elementos'!BV344,'LP Elementos'!CA344,'LP Elementos'!CF344,'LP Elementos'!CK344,'LP Elementos'!CP344,'LP Elementos'!CU344,'LP Elementos'!CZ344)," ")</f>
        <v>35760.460303245542</v>
      </c>
      <c r="H344" s="341">
        <f t="shared" si="28"/>
        <v>4096.7954442311984</v>
      </c>
      <c r="I344" s="342">
        <f t="shared" si="29"/>
        <v>0.11147779864657231</v>
      </c>
      <c r="J344" s="341">
        <f t="shared" si="30"/>
        <v>36749.877500000002</v>
      </c>
      <c r="K344" s="326" t="str">
        <f t="shared" si="31"/>
        <v>Promedio</v>
      </c>
      <c r="L344" s="326">
        <f>IFERROR(COUNTA('LP Elementos'!F344,'LP Elementos'!I344,'LP Elementos'!N344,'LP Elementos'!S344,'LP Elementos'!X344,'LP Elementos'!AC344,'LP Elementos'!AH344,'LP Elementos'!AM344,'LP Elementos'!AR344,'LP Elementos'!AX344,'LP Elementos'!BB344,'LP Elementos'!BG344,'LP Elementos'!BL344,'LP Elementos'!BQ344,'LP Elementos'!BV344,'LP Elementos'!CA344,'LP Elementos'!CF344,'LP Elementos'!CK344,'LP Elementos'!CP344,'LP Elementos'!CU344,'LP Elementos'!CZ344)," ")</f>
        <v>2</v>
      </c>
    </row>
    <row r="345" spans="2:12" ht="40.5" x14ac:dyDescent="0.25">
      <c r="B345" s="411">
        <v>343</v>
      </c>
      <c r="C345" s="409" t="s">
        <v>3883</v>
      </c>
      <c r="D345" s="408">
        <f>IFERROR(MIN('LP Elementos'!F345,'LP Elementos'!I345,'LP Elementos'!N345,'LP Elementos'!S345,'LP Elementos'!X345,'LP Elementos'!AC345,'LP Elementos'!AH345,'LP Elementos'!AM345,'LP Elementos'!AR345,'LP Elementos'!AW345,'LP Elementos'!BB345,'LP Elementos'!BG345,'LP Elementos'!BL345,'LP Elementos'!BQ345,'LP Elementos'!BV345,'LP Elementos'!CA345,'LP Elementos'!CF345,'LP Elementos'!CK345,'LP Elementos'!CP345,'LP Elementos'!CU345,'LP Elementos'!CZ345)," ")</f>
        <v>18001.13</v>
      </c>
      <c r="E345" s="341">
        <f>IFERROR(AVERAGE('LP Elementos'!F345,'LP Elementos'!I345,'LP Elementos'!N345,'LP Elementos'!S345,'LP Elementos'!X345,'LP Elementos'!AC345,'LP Elementos'!AH345,'LP Elementos'!AM345,'LP Elementos'!AR345,'LP Elementos'!AW345,'LP Elementos'!BB345,'LP Elementos'!BG345,'LP Elementos'!BL345,'LP Elementos'!BQ345,'LP Elementos'!BV345,'LP Elementos'!CA345,'LP Elementos'!CF345,'LP Elementos'!CK345,'LP Elementos'!CP345,'LP Elementos'!CU345,'LP Elementos'!CZ345)," ")</f>
        <v>48013.619749999998</v>
      </c>
      <c r="F345" s="341">
        <f>IFERROR(MEDIAN('LP Elementos'!F345,'LP Elementos'!I345,'LP Elementos'!N345,'LP Elementos'!S345,'LP Elementos'!X345,'LP Elementos'!AC345,'LP Elementos'!AH345,'LP Elementos'!AM345,'LP Elementos'!AR345,'LP Elementos'!AW345,'LP Elementos'!BB345,'LP Elementos'!BG345,'LP Elementos'!BL345,'LP Elementos'!BQ345,'LP Elementos'!BV345,'LP Elementos'!CA345,'LP Elementos'!CF345,'LP Elementos'!CK345,'LP Elementos'!CP345,'LP Elementos'!CU345,'LP Elementos'!CZ345)," ")</f>
        <v>56443.674500000001</v>
      </c>
      <c r="G345" s="341">
        <f>IFERROR(GEOMEAN('LP Elementos'!F345,'LP Elementos'!I345,'LP Elementos'!N345,'LP Elementos'!S345,'LP Elementos'!X345,'LP Elementos'!AC345,'LP Elementos'!AH345,'LP Elementos'!AM345,'LP Elementos'!AR345,'LP Elementos'!AW345,'LP Elementos'!BB345,'LP Elementos'!BG345,'LP Elementos'!BL345,'LP Elementos'!BQ345,'LP Elementos'!BV345,'LP Elementos'!CA345,'LP Elementos'!CF345,'LP Elementos'!CK345,'LP Elementos'!CP345,'LP Elementos'!CU345,'LP Elementos'!CZ345)," ")</f>
        <v>43277.135668338182</v>
      </c>
      <c r="H345" s="341">
        <f t="shared" si="28"/>
        <v>16543.662131169964</v>
      </c>
      <c r="I345" s="342">
        <f t="shared" si="29"/>
        <v>0.34456186009949735</v>
      </c>
      <c r="J345" s="341">
        <f t="shared" si="30"/>
        <v>18001.13</v>
      </c>
      <c r="K345" s="326" t="str">
        <f t="shared" si="31"/>
        <v>Menor Valor</v>
      </c>
      <c r="L345" s="326">
        <f>IFERROR(COUNTA('LP Elementos'!F345,'LP Elementos'!I345,'LP Elementos'!N345,'LP Elementos'!S345,'LP Elementos'!X345,'LP Elementos'!AC345,'LP Elementos'!AH345,'LP Elementos'!AM345,'LP Elementos'!AR345,'LP Elementos'!AX345,'LP Elementos'!BB345,'LP Elementos'!BG345,'LP Elementos'!BL345,'LP Elementos'!BQ345,'LP Elementos'!BV345,'LP Elementos'!CA345,'LP Elementos'!CF345,'LP Elementos'!CK345,'LP Elementos'!CP345,'LP Elementos'!CU345,'LP Elementos'!CZ345)," ")</f>
        <v>4</v>
      </c>
    </row>
    <row r="346" spans="2:12" ht="40.5" x14ac:dyDescent="0.25">
      <c r="B346" s="411">
        <v>344</v>
      </c>
      <c r="C346" s="412" t="s">
        <v>3887</v>
      </c>
      <c r="D346" s="408">
        <f>IFERROR(MIN('LP Elementos'!F346,'LP Elementos'!I346,'LP Elementos'!N346,'LP Elementos'!S346,'LP Elementos'!X346,'LP Elementos'!AC346,'LP Elementos'!AH346,'LP Elementos'!AM346,'LP Elementos'!AR346,'LP Elementos'!AW346,'LP Elementos'!BB346,'LP Elementos'!BG346,'LP Elementos'!BL346,'LP Elementos'!BQ346,'LP Elementos'!BV346,'LP Elementos'!CA346,'LP Elementos'!CF346,'LP Elementos'!CK346,'LP Elementos'!CP346,'LP Elementos'!CU346,'LP Elementos'!CZ346)," ")</f>
        <v>1065050</v>
      </c>
      <c r="E346" s="341">
        <f>IFERROR(AVERAGE('LP Elementos'!F346,'LP Elementos'!I346,'LP Elementos'!N346,'LP Elementos'!S346,'LP Elementos'!X346,'LP Elementos'!AC346,'LP Elementos'!AH346,'LP Elementos'!AM346,'LP Elementos'!AR346,'LP Elementos'!AW346,'LP Elementos'!BB346,'LP Elementos'!BG346,'LP Elementos'!BL346,'LP Elementos'!BQ346,'LP Elementos'!BV346,'LP Elementos'!CA346,'LP Elementos'!CF346,'LP Elementos'!CK346,'LP Elementos'!CP346,'LP Elementos'!CU346,'LP Elementos'!CZ346)," ")</f>
        <v>1935653.8810000001</v>
      </c>
      <c r="F346" s="341">
        <f>IFERROR(MEDIAN('LP Elementos'!F346,'LP Elementos'!I346,'LP Elementos'!N346,'LP Elementos'!S346,'LP Elementos'!X346,'LP Elementos'!AC346,'LP Elementos'!AH346,'LP Elementos'!AM346,'LP Elementos'!AR346,'LP Elementos'!AW346,'LP Elementos'!BB346,'LP Elementos'!BG346,'LP Elementos'!BL346,'LP Elementos'!BQ346,'LP Elementos'!BV346,'LP Elementos'!CA346,'LP Elementos'!CF346,'LP Elementos'!CK346,'LP Elementos'!CP346,'LP Elementos'!CU346,'LP Elementos'!CZ346)," ")</f>
        <v>1872465</v>
      </c>
      <c r="G346" s="341">
        <f>IFERROR(GEOMEAN('LP Elementos'!F346,'LP Elementos'!I346,'LP Elementos'!N346,'LP Elementos'!S346,'LP Elementos'!X346,'LP Elementos'!AC346,'LP Elementos'!AH346,'LP Elementos'!AM346,'LP Elementos'!AR346,'LP Elementos'!AW346,'LP Elementos'!BB346,'LP Elementos'!BG346,'LP Elementos'!BL346,'LP Elementos'!BQ346,'LP Elementos'!BV346,'LP Elementos'!CA346,'LP Elementos'!CF346,'LP Elementos'!CK346,'LP Elementos'!CP346,'LP Elementos'!CU346,'LP Elementos'!CZ346)," ")</f>
        <v>1793442.8064073108</v>
      </c>
      <c r="H346" s="341">
        <f t="shared" si="28"/>
        <v>405266.11748354218</v>
      </c>
      <c r="I346" s="342">
        <f t="shared" si="29"/>
        <v>0.20936910336168835</v>
      </c>
      <c r="J346" s="341">
        <f t="shared" si="30"/>
        <v>1793442.8064073108</v>
      </c>
      <c r="K346" s="326" t="str">
        <f t="shared" si="31"/>
        <v>Media Geometrica</v>
      </c>
      <c r="L346" s="326">
        <f>IFERROR(COUNTA('LP Elementos'!F346,'LP Elementos'!I346,'LP Elementos'!N346,'LP Elementos'!S346,'LP Elementos'!X346,'LP Elementos'!AC346,'LP Elementos'!AH346,'LP Elementos'!AM346,'LP Elementos'!AR346,'LP Elementos'!AX346,'LP Elementos'!BB346,'LP Elementos'!BG346,'LP Elementos'!BL346,'LP Elementos'!BQ346,'LP Elementos'!BV346,'LP Elementos'!CA346,'LP Elementos'!CF346,'LP Elementos'!CK346,'LP Elementos'!CP346,'LP Elementos'!CU346,'LP Elementos'!CZ346)," ")</f>
        <v>6</v>
      </c>
    </row>
    <row r="347" spans="2:12" ht="54" x14ac:dyDescent="0.25">
      <c r="B347" s="411">
        <v>345</v>
      </c>
      <c r="C347" s="412" t="s">
        <v>3893</v>
      </c>
      <c r="D347" s="408">
        <f>IFERROR(MIN('LP Elementos'!F347,'LP Elementos'!I347,'LP Elementos'!N347,'LP Elementos'!S347,'LP Elementos'!X347,'LP Elementos'!AC347,'LP Elementos'!AH347,'LP Elementos'!AM347,'LP Elementos'!AR347,'LP Elementos'!AW347,'LP Elementos'!BB347,'LP Elementos'!BG347,'LP Elementos'!BL347,'LP Elementos'!BQ347,'LP Elementos'!BV347,'LP Elementos'!CA347,'LP Elementos'!CF347,'LP Elementos'!CK347,'LP Elementos'!CP347,'LP Elementos'!CU347,'LP Elementos'!CZ347)," ")</f>
        <v>827050</v>
      </c>
      <c r="E347" s="341">
        <f>IFERROR(AVERAGE('LP Elementos'!F347,'LP Elementos'!I347,'LP Elementos'!N347,'LP Elementos'!S347,'LP Elementos'!X347,'LP Elementos'!AC347,'LP Elementos'!AH347,'LP Elementos'!AM347,'LP Elementos'!AR347,'LP Elementos'!AW347,'LP Elementos'!BB347,'LP Elementos'!BG347,'LP Elementos'!BL347,'LP Elementos'!BQ347,'LP Elementos'!BV347,'LP Elementos'!CA347,'LP Elementos'!CF347,'LP Elementos'!CK347,'LP Elementos'!CP347,'LP Elementos'!CU347,'LP Elementos'!CZ347)," ")</f>
        <v>2027872.727</v>
      </c>
      <c r="F347" s="341">
        <f>IFERROR(MEDIAN('LP Elementos'!F347,'LP Elementos'!I347,'LP Elementos'!N347,'LP Elementos'!S347,'LP Elementos'!X347,'LP Elementos'!AC347,'LP Elementos'!AH347,'LP Elementos'!AM347,'LP Elementos'!AR347,'LP Elementos'!AW347,'LP Elementos'!BB347,'LP Elementos'!BG347,'LP Elementos'!BL347,'LP Elementos'!BQ347,'LP Elementos'!BV347,'LP Elementos'!CA347,'LP Elementos'!CF347,'LP Elementos'!CK347,'LP Elementos'!CP347,'LP Elementos'!CU347,'LP Elementos'!CZ347)," ")</f>
        <v>1686230</v>
      </c>
      <c r="G347" s="341">
        <f>IFERROR(GEOMEAN('LP Elementos'!F347,'LP Elementos'!I347,'LP Elementos'!N347,'LP Elementos'!S347,'LP Elementos'!X347,'LP Elementos'!AC347,'LP Elementos'!AH347,'LP Elementos'!AM347,'LP Elementos'!AR347,'LP Elementos'!AW347,'LP Elementos'!BB347,'LP Elementos'!BG347,'LP Elementos'!BL347,'LP Elementos'!BQ347,'LP Elementos'!BV347,'LP Elementos'!CA347,'LP Elementos'!CF347,'LP Elementos'!CK347,'LP Elementos'!CP347,'LP Elementos'!CU347,'LP Elementos'!CZ347)," ")</f>
        <v>1777174.4665386416</v>
      </c>
      <c r="H347" s="341">
        <f t="shared" si="28"/>
        <v>522074.56864412565</v>
      </c>
      <c r="I347" s="342">
        <f t="shared" si="29"/>
        <v>0.25744937623204478</v>
      </c>
      <c r="J347" s="341">
        <f t="shared" si="30"/>
        <v>1777174.4665386416</v>
      </c>
      <c r="K347" s="326" t="str">
        <f t="shared" si="31"/>
        <v>Media Geometrica</v>
      </c>
      <c r="L347" s="326">
        <f>IFERROR(COUNTA('LP Elementos'!F347,'LP Elementos'!I347,'LP Elementos'!N347,'LP Elementos'!S347,'LP Elementos'!X347,'LP Elementos'!AC347,'LP Elementos'!AH347,'LP Elementos'!AM347,'LP Elementos'!AR347,'LP Elementos'!AX347,'LP Elementos'!BB347,'LP Elementos'!BG347,'LP Elementos'!BL347,'LP Elementos'!BQ347,'LP Elementos'!BV347,'LP Elementos'!CA347,'LP Elementos'!CF347,'LP Elementos'!CK347,'LP Elementos'!CP347,'LP Elementos'!CU347,'LP Elementos'!CZ347)," ")</f>
        <v>7</v>
      </c>
    </row>
    <row r="348" spans="2:12" ht="40.5" x14ac:dyDescent="0.25">
      <c r="B348" s="411">
        <v>346</v>
      </c>
      <c r="C348" s="412" t="s">
        <v>3900</v>
      </c>
      <c r="D348" s="408">
        <f>IFERROR(MIN('LP Elementos'!F348,'LP Elementos'!I348,'LP Elementos'!N348,'LP Elementos'!S348,'LP Elementos'!X348,'LP Elementos'!AC348,'LP Elementos'!AH348,'LP Elementos'!AM348,'LP Elementos'!AR348,'LP Elementos'!AW348,'LP Elementos'!BB348,'LP Elementos'!BG348,'LP Elementos'!BL348,'LP Elementos'!BQ348,'LP Elementos'!BV348,'LP Elementos'!CA348,'LP Elementos'!CF348,'LP Elementos'!CK348,'LP Elementos'!CP348,'LP Elementos'!CU348,'LP Elementos'!CZ348)," ")</f>
        <v>827050</v>
      </c>
      <c r="E348" s="341">
        <f>IFERROR(AVERAGE('LP Elementos'!F348,'LP Elementos'!I348,'LP Elementos'!N348,'LP Elementos'!S348,'LP Elementos'!X348,'LP Elementos'!AC348,'LP Elementos'!AH348,'LP Elementos'!AM348,'LP Elementos'!AR348,'LP Elementos'!AW348,'LP Elementos'!BB348,'LP Elementos'!BG348,'LP Elementos'!BL348,'LP Elementos'!BQ348,'LP Elementos'!BV348,'LP Elementos'!CA348,'LP Elementos'!CF348,'LP Elementos'!CK348,'LP Elementos'!CP348,'LP Elementos'!CU348,'LP Elementos'!CZ348)," ")</f>
        <v>1880037.243675</v>
      </c>
      <c r="F348" s="341">
        <f>IFERROR(MEDIAN('LP Elementos'!F348,'LP Elementos'!I348,'LP Elementos'!N348,'LP Elementos'!S348,'LP Elementos'!X348,'LP Elementos'!AC348,'LP Elementos'!AH348,'LP Elementos'!AM348,'LP Elementos'!AR348,'LP Elementos'!AW348,'LP Elementos'!BB348,'LP Elementos'!BG348,'LP Elementos'!BL348,'LP Elementos'!BQ348,'LP Elementos'!BV348,'LP Elementos'!CA348,'LP Elementos'!CF348,'LP Elementos'!CK348,'LP Elementos'!CP348,'LP Elementos'!CU348,'LP Elementos'!CZ348)," ")</f>
        <v>1676115</v>
      </c>
      <c r="G348" s="341">
        <f>IFERROR(GEOMEAN('LP Elementos'!F348,'LP Elementos'!I348,'LP Elementos'!N348,'LP Elementos'!S348,'LP Elementos'!X348,'LP Elementos'!AC348,'LP Elementos'!AH348,'LP Elementos'!AM348,'LP Elementos'!AR348,'LP Elementos'!AW348,'LP Elementos'!BB348,'LP Elementos'!BG348,'LP Elementos'!BL348,'LP Elementos'!BQ348,'LP Elementos'!BV348,'LP Elementos'!CA348,'LP Elementos'!CF348,'LP Elementos'!CK348,'LP Elementos'!CP348,'LP Elementos'!CU348,'LP Elementos'!CZ348)," ")</f>
        <v>1646270.5306766692</v>
      </c>
      <c r="H348" s="341">
        <f t="shared" si="28"/>
        <v>465290.02043260762</v>
      </c>
      <c r="I348" s="342">
        <f t="shared" si="29"/>
        <v>0.2474897888315673</v>
      </c>
      <c r="J348" s="341">
        <f t="shared" si="30"/>
        <v>1646270.5306766692</v>
      </c>
      <c r="K348" s="326" t="str">
        <f t="shared" si="31"/>
        <v>Media Geometrica</v>
      </c>
      <c r="L348" s="326">
        <f>IFERROR(COUNTA('LP Elementos'!F348,'LP Elementos'!I348,'LP Elementos'!N348,'LP Elementos'!S348,'LP Elementos'!X348,'LP Elementos'!AC348,'LP Elementos'!AH348,'LP Elementos'!AM348,'LP Elementos'!AR348,'LP Elementos'!AX348,'LP Elementos'!BB348,'LP Elementos'!BG348,'LP Elementos'!BL348,'LP Elementos'!BQ348,'LP Elementos'!BV348,'LP Elementos'!CA348,'LP Elementos'!CF348,'LP Elementos'!CK348,'LP Elementos'!CP348,'LP Elementos'!CU348,'LP Elementos'!CZ348)," ")</f>
        <v>8</v>
      </c>
    </row>
    <row r="349" spans="2:12" ht="54" x14ac:dyDescent="0.25">
      <c r="B349" s="411">
        <v>347</v>
      </c>
      <c r="C349" s="412" t="s">
        <v>3904</v>
      </c>
      <c r="D349" s="408">
        <f>IFERROR(MIN('LP Elementos'!F349,'LP Elementos'!I349,'LP Elementos'!N349,'LP Elementos'!S349,'LP Elementos'!X349,'LP Elementos'!AC349,'LP Elementos'!AH349,'LP Elementos'!AM349,'LP Elementos'!AR349,'LP Elementos'!AW349,'LP Elementos'!BB349,'LP Elementos'!BG349,'LP Elementos'!BL349,'LP Elementos'!BQ349,'LP Elementos'!BV349,'LP Elementos'!CA349,'LP Elementos'!CF349,'LP Elementos'!CK349,'LP Elementos'!CP349,'LP Elementos'!CU349,'LP Elementos'!CZ349)," ")</f>
        <v>827050</v>
      </c>
      <c r="E349" s="341">
        <f>IFERROR(AVERAGE('LP Elementos'!F349,'LP Elementos'!I349,'LP Elementos'!N349,'LP Elementos'!S349,'LP Elementos'!X349,'LP Elementos'!AC349,'LP Elementos'!AH349,'LP Elementos'!AM349,'LP Elementos'!AR349,'LP Elementos'!AW349,'LP Elementos'!BB349,'LP Elementos'!BG349,'LP Elementos'!BL349,'LP Elementos'!BQ349,'LP Elementos'!BV349,'LP Elementos'!CA349,'LP Elementos'!CF349,'LP Elementos'!CK349,'LP Elementos'!CP349,'LP Elementos'!CU349,'LP Elementos'!CZ349)," ")</f>
        <v>1719691.93725</v>
      </c>
      <c r="F349" s="341">
        <f>IFERROR(MEDIAN('LP Elementos'!F349,'LP Elementos'!I349,'LP Elementos'!N349,'LP Elementos'!S349,'LP Elementos'!X349,'LP Elementos'!AC349,'LP Elementos'!AH349,'LP Elementos'!AM349,'LP Elementos'!AR349,'LP Elementos'!AW349,'LP Elementos'!BB349,'LP Elementos'!BG349,'LP Elementos'!BL349,'LP Elementos'!BQ349,'LP Elementos'!BV349,'LP Elementos'!CA349,'LP Elementos'!CF349,'LP Elementos'!CK349,'LP Elementos'!CP349,'LP Elementos'!CU349,'LP Elementos'!CZ349)," ")</f>
        <v>1676115</v>
      </c>
      <c r="G349" s="341">
        <f>IFERROR(GEOMEAN('LP Elementos'!F349,'LP Elementos'!I349,'LP Elementos'!N349,'LP Elementos'!S349,'LP Elementos'!X349,'LP Elementos'!AC349,'LP Elementos'!AH349,'LP Elementos'!AM349,'LP Elementos'!AR349,'LP Elementos'!AW349,'LP Elementos'!BB349,'LP Elementos'!BG349,'LP Elementos'!BL349,'LP Elementos'!BQ349,'LP Elementos'!BV349,'LP Elementos'!CA349,'LP Elementos'!CF349,'LP Elementos'!CK349,'LP Elementos'!CP349,'LP Elementos'!CU349,'LP Elementos'!CZ349)," ")</f>
        <v>1558427.8540705056</v>
      </c>
      <c r="H349" s="341">
        <f t="shared" si="28"/>
        <v>417770.85885367694</v>
      </c>
      <c r="I349" s="342">
        <f t="shared" si="29"/>
        <v>0.24293354513352211</v>
      </c>
      <c r="J349" s="341">
        <f t="shared" si="30"/>
        <v>1558427.8540705056</v>
      </c>
      <c r="K349" s="326" t="str">
        <f t="shared" si="31"/>
        <v>Media Geometrica</v>
      </c>
      <c r="L349" s="326">
        <f>IFERROR(COUNTA('LP Elementos'!F349,'LP Elementos'!I349,'LP Elementos'!N349,'LP Elementos'!S349,'LP Elementos'!X349,'LP Elementos'!AC349,'LP Elementos'!AH349,'LP Elementos'!AM349,'LP Elementos'!AR349,'LP Elementos'!AX349,'LP Elementos'!BB349,'LP Elementos'!BG349,'LP Elementos'!BL349,'LP Elementos'!BQ349,'LP Elementos'!BV349,'LP Elementos'!CA349,'LP Elementos'!CF349,'LP Elementos'!CK349,'LP Elementos'!CP349,'LP Elementos'!CU349,'LP Elementos'!CZ349)," ")</f>
        <v>8</v>
      </c>
    </row>
    <row r="350" spans="2:12" ht="54" x14ac:dyDescent="0.25">
      <c r="B350" s="411">
        <v>348</v>
      </c>
      <c r="C350" s="412" t="s">
        <v>3910</v>
      </c>
      <c r="D350" s="408">
        <f>IFERROR(MIN('LP Elementos'!F350,'LP Elementos'!I350,'LP Elementos'!N350,'LP Elementos'!S350,'LP Elementos'!X350,'LP Elementos'!AC350,'LP Elementos'!AH350,'LP Elementos'!AM350,'LP Elementos'!AR350,'LP Elementos'!AW350,'LP Elementos'!BB350,'LP Elementos'!BG350,'LP Elementos'!BL350,'LP Elementos'!BQ350,'LP Elementos'!BV350,'LP Elementos'!CA350,'LP Elementos'!CF350,'LP Elementos'!CK350,'LP Elementos'!CP350,'LP Elementos'!CU350,'LP Elementos'!CZ350)," ")</f>
        <v>943551</v>
      </c>
      <c r="E350" s="341">
        <f>IFERROR(AVERAGE('LP Elementos'!F350,'LP Elementos'!I350,'LP Elementos'!N350,'LP Elementos'!S350,'LP Elementos'!X350,'LP Elementos'!AC350,'LP Elementos'!AH350,'LP Elementos'!AM350,'LP Elementos'!AR350,'LP Elementos'!AW350,'LP Elementos'!BB350,'LP Elementos'!BG350,'LP Elementos'!BL350,'LP Elementos'!BQ350,'LP Elementos'!BV350,'LP Elementos'!CA350,'LP Elementos'!CF350,'LP Elementos'!CK350,'LP Elementos'!CP350,'LP Elementos'!CU350,'LP Elementos'!CZ350)," ")</f>
        <v>2034951</v>
      </c>
      <c r="F350" s="341">
        <f>IFERROR(MEDIAN('LP Elementos'!F350,'LP Elementos'!I350,'LP Elementos'!N350,'LP Elementos'!S350,'LP Elementos'!X350,'LP Elementos'!AC350,'LP Elementos'!AH350,'LP Elementos'!AM350,'LP Elementos'!AR350,'LP Elementos'!AW350,'LP Elementos'!BB350,'LP Elementos'!BG350,'LP Elementos'!BL350,'LP Elementos'!BQ350,'LP Elementos'!BV350,'LP Elementos'!CA350,'LP Elementos'!CF350,'LP Elementos'!CK350,'LP Elementos'!CP350,'LP Elementos'!CU350,'LP Elementos'!CZ350)," ")</f>
        <v>1751680</v>
      </c>
      <c r="G350" s="341">
        <f>IFERROR(GEOMEAN('LP Elementos'!F350,'LP Elementos'!I350,'LP Elementos'!N350,'LP Elementos'!S350,'LP Elementos'!X350,'LP Elementos'!AC350,'LP Elementos'!AH350,'LP Elementos'!AM350,'LP Elementos'!AR350,'LP Elementos'!AW350,'LP Elementos'!BB350,'LP Elementos'!BG350,'LP Elementos'!BL350,'LP Elementos'!BQ350,'LP Elementos'!BV350,'LP Elementos'!CA350,'LP Elementos'!CF350,'LP Elementos'!CK350,'LP Elementos'!CP350,'LP Elementos'!CU350,'LP Elementos'!CZ350)," ")</f>
        <v>1813290.1856486807</v>
      </c>
      <c r="H350" s="341">
        <f t="shared" si="28"/>
        <v>477305.32530109264</v>
      </c>
      <c r="I350" s="342">
        <f t="shared" si="29"/>
        <v>0.23455371913185755</v>
      </c>
      <c r="J350" s="341">
        <f t="shared" si="30"/>
        <v>1813290.1856486807</v>
      </c>
      <c r="K350" s="326" t="str">
        <f t="shared" si="31"/>
        <v>Media Geometrica</v>
      </c>
      <c r="L350" s="326">
        <f>IFERROR(COUNTA('LP Elementos'!F350,'LP Elementos'!I350,'LP Elementos'!N350,'LP Elementos'!S350,'LP Elementos'!X350,'LP Elementos'!AC350,'LP Elementos'!AH350,'LP Elementos'!AM350,'LP Elementos'!AR350,'LP Elementos'!AX350,'LP Elementos'!BB350,'LP Elementos'!BG350,'LP Elementos'!BL350,'LP Elementos'!BQ350,'LP Elementos'!BV350,'LP Elementos'!CA350,'LP Elementos'!CF350,'LP Elementos'!CK350,'LP Elementos'!CP350,'LP Elementos'!CU350,'LP Elementos'!CZ350)," ")</f>
        <v>7</v>
      </c>
    </row>
    <row r="351" spans="2:12" ht="54" x14ac:dyDescent="0.25">
      <c r="B351" s="411">
        <v>349</v>
      </c>
      <c r="C351" s="412" t="s">
        <v>3917</v>
      </c>
      <c r="D351" s="408">
        <f>IFERROR(MIN('LP Elementos'!F351,'LP Elementos'!I351,'LP Elementos'!N351,'LP Elementos'!S351,'LP Elementos'!X351,'LP Elementos'!AC351,'LP Elementos'!AH351,'LP Elementos'!AM351,'LP Elementos'!AR351,'LP Elementos'!AW351,'LP Elementos'!BB351,'LP Elementos'!BG351,'LP Elementos'!BL351,'LP Elementos'!BQ351,'LP Elementos'!BV351,'LP Elementos'!CA351,'LP Elementos'!CF351,'LP Elementos'!CK351,'LP Elementos'!CP351,'LP Elementos'!CU351,'LP Elementos'!CZ351)," ")</f>
        <v>827050</v>
      </c>
      <c r="E351" s="341">
        <f>IFERROR(AVERAGE('LP Elementos'!F351,'LP Elementos'!I351,'LP Elementos'!N351,'LP Elementos'!S351,'LP Elementos'!X351,'LP Elementos'!AC351,'LP Elementos'!AH351,'LP Elementos'!AM351,'LP Elementos'!AR351,'LP Elementos'!AW351,'LP Elementos'!BB351,'LP Elementos'!BG351,'LP Elementos'!BL351,'LP Elementos'!BQ351,'LP Elementos'!BV351,'LP Elementos'!CA351,'LP Elementos'!CF351,'LP Elementos'!CK351,'LP Elementos'!CP351,'LP Elementos'!CU351,'LP Elementos'!CZ351)," ")</f>
        <v>2007134.24</v>
      </c>
      <c r="F351" s="341">
        <f>IFERROR(MEDIAN('LP Elementos'!F351,'LP Elementos'!I351,'LP Elementos'!N351,'LP Elementos'!S351,'LP Elementos'!X351,'LP Elementos'!AC351,'LP Elementos'!AH351,'LP Elementos'!AM351,'LP Elementos'!AR351,'LP Elementos'!AW351,'LP Elementos'!BB351,'LP Elementos'!BG351,'LP Elementos'!BL351,'LP Elementos'!BQ351,'LP Elementos'!BV351,'LP Elementos'!CA351,'LP Elementos'!CF351,'LP Elementos'!CK351,'LP Elementos'!CP351,'LP Elementos'!CU351,'LP Elementos'!CZ351)," ")</f>
        <v>1686230</v>
      </c>
      <c r="G351" s="341">
        <f>IFERROR(GEOMEAN('LP Elementos'!F351,'LP Elementos'!I351,'LP Elementos'!N351,'LP Elementos'!S351,'LP Elementos'!X351,'LP Elementos'!AC351,'LP Elementos'!AH351,'LP Elementos'!AM351,'LP Elementos'!AR351,'LP Elementos'!AW351,'LP Elementos'!BB351,'LP Elementos'!BG351,'LP Elementos'!BL351,'LP Elementos'!BQ351,'LP Elementos'!BV351,'LP Elementos'!CA351,'LP Elementos'!CF351,'LP Elementos'!CK351,'LP Elementos'!CP351,'LP Elementos'!CU351,'LP Elementos'!CZ351)," ")</f>
        <v>1759132.9366544583</v>
      </c>
      <c r="H351" s="341">
        <f t="shared" si="28"/>
        <v>513920.12208308268</v>
      </c>
      <c r="I351" s="342">
        <f t="shared" si="29"/>
        <v>0.25604671169531873</v>
      </c>
      <c r="J351" s="341">
        <f t="shared" si="30"/>
        <v>1759132.9366544583</v>
      </c>
      <c r="K351" s="326" t="str">
        <f t="shared" si="31"/>
        <v>Media Geometrica</v>
      </c>
      <c r="L351" s="326">
        <f>IFERROR(COUNTA('LP Elementos'!F351,'LP Elementos'!I351,'LP Elementos'!N351,'LP Elementos'!S351,'LP Elementos'!X351,'LP Elementos'!AC351,'LP Elementos'!AH351,'LP Elementos'!AM351,'LP Elementos'!AR351,'LP Elementos'!AX351,'LP Elementos'!BB351,'LP Elementos'!BG351,'LP Elementos'!BL351,'LP Elementos'!BQ351,'LP Elementos'!BV351,'LP Elementos'!CA351,'LP Elementos'!CF351,'LP Elementos'!CK351,'LP Elementos'!CP351,'LP Elementos'!CU351,'LP Elementos'!CZ351)," ")</f>
        <v>7</v>
      </c>
    </row>
    <row r="352" spans="2:12" ht="94.5" x14ac:dyDescent="0.25">
      <c r="B352" s="411">
        <v>350</v>
      </c>
      <c r="C352" s="412" t="s">
        <v>3922</v>
      </c>
      <c r="D352" s="408">
        <f>IFERROR(MIN('LP Elementos'!F352,'LP Elementos'!I352,'LP Elementos'!N352,'LP Elementos'!S352,'LP Elementos'!X352,'LP Elementos'!AC352,'LP Elementos'!AH352,'LP Elementos'!AM352,'LP Elementos'!AR352,'LP Elementos'!AW352,'LP Elementos'!BB352,'LP Elementos'!BG352,'LP Elementos'!BL352,'LP Elementos'!BQ352,'LP Elementos'!BV352,'LP Elementos'!CA352,'LP Elementos'!CF352,'LP Elementos'!CK352,'LP Elementos'!CP352,'LP Elementos'!CU352,'LP Elementos'!CZ352)," ")</f>
        <v>1119790</v>
      </c>
      <c r="E352" s="341">
        <f>IFERROR(AVERAGE('LP Elementos'!F352,'LP Elementos'!I352,'LP Elementos'!N352,'LP Elementos'!S352,'LP Elementos'!X352,'LP Elementos'!AC352,'LP Elementos'!AH352,'LP Elementos'!AM352,'LP Elementos'!AR352,'LP Elementos'!AW352,'LP Elementos'!BB352,'LP Elementos'!BG352,'LP Elementos'!BL352,'LP Elementos'!BQ352,'LP Elementos'!BV352,'LP Elementos'!CA352,'LP Elementos'!CF352,'LP Elementos'!CK352,'LP Elementos'!CP352,'LP Elementos'!CU352,'LP Elementos'!CZ352)," ")</f>
        <v>2442669.6839999999</v>
      </c>
      <c r="F352" s="341">
        <f>IFERROR(MEDIAN('LP Elementos'!F352,'LP Elementos'!I352,'LP Elementos'!N352,'LP Elementos'!S352,'LP Elementos'!X352,'LP Elementos'!AC352,'LP Elementos'!AH352,'LP Elementos'!AM352,'LP Elementos'!AR352,'LP Elementos'!AW352,'LP Elementos'!BB352,'LP Elementos'!BG352,'LP Elementos'!BL352,'LP Elementos'!BQ352,'LP Elementos'!BV352,'LP Elementos'!CA352,'LP Elementos'!CF352,'LP Elementos'!CK352,'LP Elementos'!CP352,'LP Elementos'!CU352,'LP Elementos'!CZ352)," ")</f>
        <v>2375499.42</v>
      </c>
      <c r="G352" s="341">
        <f>IFERROR(GEOMEAN('LP Elementos'!F352,'LP Elementos'!I352,'LP Elementos'!N352,'LP Elementos'!S352,'LP Elementos'!X352,'LP Elementos'!AC352,'LP Elementos'!AH352,'LP Elementos'!AM352,'LP Elementos'!AR352,'LP Elementos'!AW352,'LP Elementos'!BB352,'LP Elementos'!BG352,'LP Elementos'!BL352,'LP Elementos'!BQ352,'LP Elementos'!BV352,'LP Elementos'!CA352,'LP Elementos'!CF352,'LP Elementos'!CK352,'LP Elementos'!CP352,'LP Elementos'!CU352,'LP Elementos'!CZ352)," ")</f>
        <v>2240918.4162585102</v>
      </c>
      <c r="H352" s="341">
        <f t="shared" si="28"/>
        <v>622299.04363632307</v>
      </c>
      <c r="I352" s="342">
        <f t="shared" si="29"/>
        <v>0.25476184836308924</v>
      </c>
      <c r="J352" s="341">
        <f t="shared" si="30"/>
        <v>2240918.4162585102</v>
      </c>
      <c r="K352" s="326" t="str">
        <f t="shared" si="31"/>
        <v>Media Geometrica</v>
      </c>
      <c r="L352" s="326">
        <f>IFERROR(COUNTA('LP Elementos'!F352,'LP Elementos'!I352,'LP Elementos'!N352,'LP Elementos'!S352,'LP Elementos'!X352,'LP Elementos'!AC352,'LP Elementos'!AH352,'LP Elementos'!AM352,'LP Elementos'!AR352,'LP Elementos'!AX352,'LP Elementos'!BB352,'LP Elementos'!BG352,'LP Elementos'!BL352,'LP Elementos'!BQ352,'LP Elementos'!BV352,'LP Elementos'!CA352,'LP Elementos'!CF352,'LP Elementos'!CK352,'LP Elementos'!CP352,'LP Elementos'!CU352,'LP Elementos'!CZ352)," ")</f>
        <v>5</v>
      </c>
    </row>
    <row r="353" spans="2:12" ht="216" x14ac:dyDescent="0.25">
      <c r="B353" s="411">
        <v>351</v>
      </c>
      <c r="C353" s="412" t="s">
        <v>3924</v>
      </c>
      <c r="D353" s="408">
        <f>IFERROR(MIN('LP Elementos'!F353,'LP Elementos'!I353,'LP Elementos'!N353,'LP Elementos'!S353,'LP Elementos'!X353,'LP Elementos'!AC353,'LP Elementos'!AH353,'LP Elementos'!AM353,'LP Elementos'!AR353,'LP Elementos'!AW353,'LP Elementos'!BB353,'LP Elementos'!BG353,'LP Elementos'!BL353,'LP Elementos'!BQ353,'LP Elementos'!BV353,'LP Elementos'!CA353,'LP Elementos'!CF353,'LP Elementos'!CK353,'LP Elementos'!CP353,'LP Elementos'!CU353,'LP Elementos'!CZ353)," ")</f>
        <v>3414229</v>
      </c>
      <c r="E353" s="341">
        <f>IFERROR(AVERAGE('LP Elementos'!F353,'LP Elementos'!I353,'LP Elementos'!N353,'LP Elementos'!S353,'LP Elementos'!X353,'LP Elementos'!AC353,'LP Elementos'!AH353,'LP Elementos'!AM353,'LP Elementos'!AR353,'LP Elementos'!AW353,'LP Elementos'!BB353,'LP Elementos'!BG353,'LP Elementos'!BL353,'LP Elementos'!BQ353,'LP Elementos'!BV353,'LP Elementos'!CA353,'LP Elementos'!CF353,'LP Elementos'!CK353,'LP Elementos'!CP353,'LP Elementos'!CU353,'LP Elementos'!CZ353)," ")</f>
        <v>3831040.8106</v>
      </c>
      <c r="F353" s="341">
        <f>IFERROR(MEDIAN('LP Elementos'!F353,'LP Elementos'!I353,'LP Elementos'!N353,'LP Elementos'!S353,'LP Elementos'!X353,'LP Elementos'!AC353,'LP Elementos'!AH353,'LP Elementos'!AM353,'LP Elementos'!AR353,'LP Elementos'!AW353,'LP Elementos'!BB353,'LP Elementos'!BG353,'LP Elementos'!BL353,'LP Elementos'!BQ353,'LP Elementos'!BV353,'LP Elementos'!CA353,'LP Elementos'!CF353,'LP Elementos'!CK353,'LP Elementos'!CP353,'LP Elementos'!CU353,'LP Elementos'!CZ353)," ")</f>
        <v>3831040.8106</v>
      </c>
      <c r="G353" s="341">
        <f>IFERROR(GEOMEAN('LP Elementos'!F353,'LP Elementos'!I353,'LP Elementos'!N353,'LP Elementos'!S353,'LP Elementos'!X353,'LP Elementos'!AC353,'LP Elementos'!AH353,'LP Elementos'!AM353,'LP Elementos'!AR353,'LP Elementos'!AW353,'LP Elementos'!BB353,'LP Elementos'!BG353,'LP Elementos'!BL353,'LP Elementos'!BQ353,'LP Elementos'!BV353,'LP Elementos'!CA353,'LP Elementos'!CF353,'LP Elementos'!CK353,'LP Elementos'!CP353,'LP Elementos'!CU353,'LP Elementos'!CZ353)," ")</f>
        <v>3808299.0438025026</v>
      </c>
      <c r="H353" s="341">
        <f t="shared" si="28"/>
        <v>204896.26364088696</v>
      </c>
      <c r="I353" s="342">
        <f t="shared" si="29"/>
        <v>5.3483184797709596E-2</v>
      </c>
      <c r="J353" s="341">
        <f t="shared" si="30"/>
        <v>3831040.8106</v>
      </c>
      <c r="K353" s="326" t="str">
        <f t="shared" si="31"/>
        <v>Promedio</v>
      </c>
      <c r="L353" s="326">
        <f>IFERROR(COUNTA('LP Elementos'!F353,'LP Elementos'!I353,'LP Elementos'!N353,'LP Elementos'!S353,'LP Elementos'!X353,'LP Elementos'!AC353,'LP Elementos'!AH353,'LP Elementos'!AM353,'LP Elementos'!AR353,'LP Elementos'!AX353,'LP Elementos'!BB353,'LP Elementos'!BG353,'LP Elementos'!BL353,'LP Elementos'!BQ353,'LP Elementos'!BV353,'LP Elementos'!CA353,'LP Elementos'!CF353,'LP Elementos'!CK353,'LP Elementos'!CP353,'LP Elementos'!CU353,'LP Elementos'!CZ353)," ")</f>
        <v>2</v>
      </c>
    </row>
    <row r="354" spans="2:12" ht="54" x14ac:dyDescent="0.25">
      <c r="B354" s="411">
        <v>352</v>
      </c>
      <c r="C354" s="412" t="s">
        <v>3927</v>
      </c>
      <c r="D354" s="408">
        <f>IFERROR(MIN('LP Elementos'!F354,'LP Elementos'!I354,'LP Elementos'!N354,'LP Elementos'!S354,'LP Elementos'!X354,'LP Elementos'!AC354,'LP Elementos'!AH354,'LP Elementos'!AM354,'LP Elementos'!AR354,'LP Elementos'!AW354,'LP Elementos'!BB354,'LP Elementos'!BG354,'LP Elementos'!BL354,'LP Elementos'!BQ354,'LP Elementos'!BV354,'LP Elementos'!CA354,'LP Elementos'!CF354,'LP Elementos'!CK354,'LP Elementos'!CP354,'LP Elementos'!CU354,'LP Elementos'!CZ354)," ")</f>
        <v>1119790</v>
      </c>
      <c r="E354" s="341">
        <f>IFERROR(AVERAGE('LP Elementos'!F354,'LP Elementos'!I354,'LP Elementos'!N354,'LP Elementos'!S354,'LP Elementos'!X354,'LP Elementos'!AC354,'LP Elementos'!AH354,'LP Elementos'!AM354,'LP Elementos'!AR354,'LP Elementos'!AW354,'LP Elementos'!BB354,'LP Elementos'!BG354,'LP Elementos'!BL354,'LP Elementos'!BQ354,'LP Elementos'!BV354,'LP Elementos'!CA354,'LP Elementos'!CF354,'LP Elementos'!CK354,'LP Elementos'!CP354,'LP Elementos'!CU354,'LP Elementos'!CZ354)," ")</f>
        <v>2438042.25</v>
      </c>
      <c r="F354" s="341">
        <f>IFERROR(MEDIAN('LP Elementos'!F354,'LP Elementos'!I354,'LP Elementos'!N354,'LP Elementos'!S354,'LP Elementos'!X354,'LP Elementos'!AC354,'LP Elementos'!AH354,'LP Elementos'!AM354,'LP Elementos'!AR354,'LP Elementos'!AW354,'LP Elementos'!BB354,'LP Elementos'!BG354,'LP Elementos'!BL354,'LP Elementos'!BQ354,'LP Elementos'!BV354,'LP Elementos'!CA354,'LP Elementos'!CF354,'LP Elementos'!CK354,'LP Elementos'!CP354,'LP Elementos'!CU354,'LP Elementos'!CZ354)," ")</f>
        <v>2540114.5</v>
      </c>
      <c r="G354" s="341">
        <f>IFERROR(GEOMEAN('LP Elementos'!F354,'LP Elementos'!I354,'LP Elementos'!N354,'LP Elementos'!S354,'LP Elementos'!X354,'LP Elementos'!AC354,'LP Elementos'!AH354,'LP Elementos'!AM354,'LP Elementos'!AR354,'LP Elementos'!AW354,'LP Elementos'!BB354,'LP Elementos'!BG354,'LP Elementos'!BL354,'LP Elementos'!BQ354,'LP Elementos'!BV354,'LP Elementos'!CA354,'LP Elementos'!CF354,'LP Elementos'!CK354,'LP Elementos'!CP354,'LP Elementos'!CU354,'LP Elementos'!CZ354)," ")</f>
        <v>2180965.9305526172</v>
      </c>
      <c r="H354" s="341">
        <f t="shared" si="28"/>
        <v>651069.61408972391</v>
      </c>
      <c r="I354" s="342">
        <f t="shared" si="29"/>
        <v>0.26704607522274232</v>
      </c>
      <c r="J354" s="341">
        <f t="shared" si="30"/>
        <v>2180965.9305526172</v>
      </c>
      <c r="K354" s="326" t="str">
        <f t="shared" si="31"/>
        <v>Media Geometrica</v>
      </c>
      <c r="L354" s="326">
        <f>IFERROR(COUNTA('LP Elementos'!F354,'LP Elementos'!I354,'LP Elementos'!N354,'LP Elementos'!S354,'LP Elementos'!X354,'LP Elementos'!AC354,'LP Elementos'!AH354,'LP Elementos'!AM354,'LP Elementos'!AR354,'LP Elementos'!AX354,'LP Elementos'!BB354,'LP Elementos'!BG354,'LP Elementos'!BL354,'LP Elementos'!BQ354,'LP Elementos'!BV354,'LP Elementos'!CA354,'LP Elementos'!CF354,'LP Elementos'!CK354,'LP Elementos'!CP354,'LP Elementos'!CU354,'LP Elementos'!CZ354)," ")</f>
        <v>4</v>
      </c>
    </row>
    <row r="355" spans="2:12" ht="216" x14ac:dyDescent="0.25">
      <c r="B355" s="411">
        <v>353</v>
      </c>
      <c r="C355" s="412" t="s">
        <v>3931</v>
      </c>
      <c r="D355" s="408">
        <f>IFERROR(MIN('LP Elementos'!F355,'LP Elementos'!I355,'LP Elementos'!N355,'LP Elementos'!S355,'LP Elementos'!X355,'LP Elementos'!AC355,'LP Elementos'!AH355,'LP Elementos'!AM355,'LP Elementos'!AR355,'LP Elementos'!AW355,'LP Elementos'!BB355,'LP Elementos'!BG355,'LP Elementos'!BL355,'LP Elementos'!BQ355,'LP Elementos'!BV355,'LP Elementos'!CA355,'LP Elementos'!CF355,'LP Elementos'!CK355,'LP Elementos'!CP355,'LP Elementos'!CU355,'LP Elementos'!CZ355)," ")</f>
        <v>2766750</v>
      </c>
      <c r="E355" s="341">
        <f>IFERROR(AVERAGE('LP Elementos'!F355,'LP Elementos'!I355,'LP Elementos'!N355,'LP Elementos'!S355,'LP Elementos'!X355,'LP Elementos'!AC355,'LP Elementos'!AH355,'LP Elementos'!AM355,'LP Elementos'!AR355,'LP Elementos'!AW355,'LP Elementos'!BB355,'LP Elementos'!BG355,'LP Elementos'!BL355,'LP Elementos'!BQ355,'LP Elementos'!BV355,'LP Elementos'!CA355,'LP Elementos'!CF355,'LP Elementos'!CK355,'LP Elementos'!CP355,'LP Elementos'!CU355,'LP Elementos'!CZ355)," ")</f>
        <v>4335600.0646000002</v>
      </c>
      <c r="F355" s="341">
        <f>IFERROR(MEDIAN('LP Elementos'!F355,'LP Elementos'!I355,'LP Elementos'!N355,'LP Elementos'!S355,'LP Elementos'!X355,'LP Elementos'!AC355,'LP Elementos'!AH355,'LP Elementos'!AM355,'LP Elementos'!AR355,'LP Elementos'!AW355,'LP Elementos'!BB355,'LP Elementos'!BG355,'LP Elementos'!BL355,'LP Elementos'!BQ355,'LP Elementos'!BV355,'LP Elementos'!CA355,'LP Elementos'!CF355,'LP Elementos'!CK355,'LP Elementos'!CP355,'LP Elementos'!CU355,'LP Elementos'!CZ355)," ")</f>
        <v>4379073.8530000001</v>
      </c>
      <c r="G355" s="341">
        <f>IFERROR(GEOMEAN('LP Elementos'!F355,'LP Elementos'!I355,'LP Elementos'!N355,'LP Elementos'!S355,'LP Elementos'!X355,'LP Elementos'!AC355,'LP Elementos'!AH355,'LP Elementos'!AM355,'LP Elementos'!AR355,'LP Elementos'!AW355,'LP Elementos'!BB355,'LP Elementos'!BG355,'LP Elementos'!BL355,'LP Elementos'!BQ355,'LP Elementos'!BV355,'LP Elementos'!CA355,'LP Elementos'!CF355,'LP Elementos'!CK355,'LP Elementos'!CP355,'LP Elementos'!CU355,'LP Elementos'!CZ355)," ")</f>
        <v>4091225.2026099525</v>
      </c>
      <c r="H355" s="341">
        <f t="shared" si="28"/>
        <v>761554.28693882085</v>
      </c>
      <c r="I355" s="342">
        <f t="shared" si="29"/>
        <v>0.17565141516554558</v>
      </c>
      <c r="J355" s="341">
        <f t="shared" si="30"/>
        <v>4335600.0646000002</v>
      </c>
      <c r="K355" s="326" t="str">
        <f t="shared" si="31"/>
        <v>Promedio</v>
      </c>
      <c r="L355" s="326">
        <f>IFERROR(COUNTA('LP Elementos'!F355,'LP Elementos'!I355,'LP Elementos'!N355,'LP Elementos'!S355,'LP Elementos'!X355,'LP Elementos'!AC355,'LP Elementos'!AH355,'LP Elementos'!AM355,'LP Elementos'!AR355,'LP Elementos'!AX355,'LP Elementos'!BB355,'LP Elementos'!BG355,'LP Elementos'!BL355,'LP Elementos'!BQ355,'LP Elementos'!BV355,'LP Elementos'!CA355,'LP Elementos'!CF355,'LP Elementos'!CK355,'LP Elementos'!CP355,'LP Elementos'!CU355,'LP Elementos'!CZ355)," ")</f>
        <v>5</v>
      </c>
    </row>
    <row r="356" spans="2:12" ht="202.5" x14ac:dyDescent="0.25">
      <c r="B356" s="411">
        <v>354</v>
      </c>
      <c r="C356" s="412" t="s">
        <v>3936</v>
      </c>
      <c r="D356" s="408">
        <f>IFERROR(MIN('LP Elementos'!F356,'LP Elementos'!I356,'LP Elementos'!N356,'LP Elementos'!S356,'LP Elementos'!X356,'LP Elementos'!AC356,'LP Elementos'!AH356,'LP Elementos'!AM356,'LP Elementos'!AR356,'LP Elementos'!AW356,'LP Elementos'!BB356,'LP Elementos'!BG356,'LP Elementos'!BL356,'LP Elementos'!BQ356,'LP Elementos'!BV356,'LP Elementos'!CA356,'LP Elementos'!CF356,'LP Elementos'!CK356,'LP Elementos'!CP356,'LP Elementos'!CU356,'LP Elementos'!CZ356)," ")</f>
        <v>2656080</v>
      </c>
      <c r="E356" s="341">
        <f>IFERROR(AVERAGE('LP Elementos'!F356,'LP Elementos'!I356,'LP Elementos'!N356,'LP Elementos'!S356,'LP Elementos'!X356,'LP Elementos'!AC356,'LP Elementos'!AH356,'LP Elementos'!AM356,'LP Elementos'!AR356,'LP Elementos'!AW356,'LP Elementos'!BB356,'LP Elementos'!BG356,'LP Elementos'!BL356,'LP Elementos'!BQ356,'LP Elementos'!BV356,'LP Elementos'!CA356,'LP Elementos'!CF356,'LP Elementos'!CK356,'LP Elementos'!CP356,'LP Elementos'!CU356,'LP Elementos'!CZ356)," ")</f>
        <v>3794510.0018000002</v>
      </c>
      <c r="F356" s="341">
        <f>IFERROR(MEDIAN('LP Elementos'!F356,'LP Elementos'!I356,'LP Elementos'!N356,'LP Elementos'!S356,'LP Elementos'!X356,'LP Elementos'!AC356,'LP Elementos'!AH356,'LP Elementos'!AM356,'LP Elementos'!AR356,'LP Elementos'!AW356,'LP Elementos'!BB356,'LP Elementos'!BG356,'LP Elementos'!BL356,'LP Elementos'!BQ356,'LP Elementos'!BV356,'LP Elementos'!CA356,'LP Elementos'!CF356,'LP Elementos'!CK356,'LP Elementos'!CP356,'LP Elementos'!CU356,'LP Elementos'!CZ356)," ")</f>
        <v>4267330.0054000001</v>
      </c>
      <c r="G356" s="341">
        <f>IFERROR(GEOMEAN('LP Elementos'!F356,'LP Elementos'!I356,'LP Elementos'!N356,'LP Elementos'!S356,'LP Elementos'!X356,'LP Elementos'!AC356,'LP Elementos'!AH356,'LP Elementos'!AM356,'LP Elementos'!AR356,'LP Elementos'!AW356,'LP Elementos'!BB356,'LP Elementos'!BG356,'LP Elementos'!BL356,'LP Elementos'!BQ356,'LP Elementos'!BV356,'LP Elementos'!CA356,'LP Elementos'!CF356,'LP Elementos'!CK356,'LP Elementos'!CP356,'LP Elementos'!CU356,'LP Elementos'!CZ356)," ")</f>
        <v>3697554.9902729411</v>
      </c>
      <c r="H356" s="341">
        <f t="shared" si="28"/>
        <v>679118.43604972155</v>
      </c>
      <c r="I356" s="342">
        <f t="shared" si="29"/>
        <v>0.17897394807961198</v>
      </c>
      <c r="J356" s="341">
        <f t="shared" si="30"/>
        <v>3794510.0018000002</v>
      </c>
      <c r="K356" s="326" t="str">
        <f t="shared" si="31"/>
        <v>Promedio</v>
      </c>
      <c r="L356" s="326">
        <f>IFERROR(COUNTA('LP Elementos'!F356,'LP Elementos'!I356,'LP Elementos'!N356,'LP Elementos'!S356,'LP Elementos'!X356,'LP Elementos'!AC356,'LP Elementos'!AH356,'LP Elementos'!AM356,'LP Elementos'!AR356,'LP Elementos'!AX356,'LP Elementos'!BB356,'LP Elementos'!BG356,'LP Elementos'!BL356,'LP Elementos'!BQ356,'LP Elementos'!BV356,'LP Elementos'!CA356,'LP Elementos'!CF356,'LP Elementos'!CK356,'LP Elementos'!CP356,'LP Elementos'!CU356,'LP Elementos'!CZ356)," ")</f>
        <v>3</v>
      </c>
    </row>
    <row r="357" spans="2:12" ht="108" x14ac:dyDescent="0.25">
      <c r="B357" s="411">
        <v>355</v>
      </c>
      <c r="C357" s="412" t="s">
        <v>3939</v>
      </c>
      <c r="D357" s="408">
        <f>IFERROR(MIN('LP Elementos'!F357,'LP Elementos'!I357,'LP Elementos'!N357,'LP Elementos'!S357,'LP Elementos'!X357,'LP Elementos'!AC357,'LP Elementos'!AH357,'LP Elementos'!AM357,'LP Elementos'!AR357,'LP Elementos'!AW357,'LP Elementos'!BB357,'LP Elementos'!BG357,'LP Elementos'!BL357,'LP Elementos'!BQ357,'LP Elementos'!BV357,'LP Elementos'!CA357,'LP Elementos'!CF357,'LP Elementos'!CK357,'LP Elementos'!CP357,'LP Elementos'!CU357,'LP Elementos'!CZ357)," ")</f>
        <v>1071000</v>
      </c>
      <c r="E357" s="341">
        <f>IFERROR(AVERAGE('LP Elementos'!F357,'LP Elementos'!I357,'LP Elementos'!N357,'LP Elementos'!S357,'LP Elementos'!X357,'LP Elementos'!AC357,'LP Elementos'!AH357,'LP Elementos'!AM357,'LP Elementos'!AR357,'LP Elementos'!AW357,'LP Elementos'!BB357,'LP Elementos'!BG357,'LP Elementos'!BL357,'LP Elementos'!BQ357,'LP Elementos'!BV357,'LP Elementos'!CA357,'LP Elementos'!CF357,'LP Elementos'!CK357,'LP Elementos'!CP357,'LP Elementos'!CU357,'LP Elementos'!CZ357)," ")</f>
        <v>2171345.2626400003</v>
      </c>
      <c r="F357" s="341">
        <f>IFERROR(MEDIAN('LP Elementos'!F357,'LP Elementos'!I357,'LP Elementos'!N357,'LP Elementos'!S357,'LP Elementos'!X357,'LP Elementos'!AC357,'LP Elementos'!AH357,'LP Elementos'!AM357,'LP Elementos'!AR357,'LP Elementos'!AW357,'LP Elementos'!BB357,'LP Elementos'!BG357,'LP Elementos'!BL357,'LP Elementos'!BQ357,'LP Elementos'!BV357,'LP Elementos'!CA357,'LP Elementos'!CF357,'LP Elementos'!CK357,'LP Elementos'!CP357,'LP Elementos'!CU357,'LP Elementos'!CZ357)," ")</f>
        <v>2280040</v>
      </c>
      <c r="G357" s="341">
        <f>IFERROR(GEOMEAN('LP Elementos'!F357,'LP Elementos'!I357,'LP Elementos'!N357,'LP Elementos'!S357,'LP Elementos'!X357,'LP Elementos'!AC357,'LP Elementos'!AH357,'LP Elementos'!AM357,'LP Elementos'!AR357,'LP Elementos'!AW357,'LP Elementos'!BB357,'LP Elementos'!BG357,'LP Elementos'!BL357,'LP Elementos'!BQ357,'LP Elementos'!BV357,'LP Elementos'!CA357,'LP Elementos'!CF357,'LP Elementos'!CK357,'LP Elementos'!CP357,'LP Elementos'!CU357,'LP Elementos'!CZ357)," ")</f>
        <v>2022685.1563227249</v>
      </c>
      <c r="H357" s="341">
        <f t="shared" si="28"/>
        <v>553653.61795406195</v>
      </c>
      <c r="I357" s="342">
        <f t="shared" si="29"/>
        <v>0.25498184350512265</v>
      </c>
      <c r="J357" s="341">
        <f t="shared" si="30"/>
        <v>2022685.1563227249</v>
      </c>
      <c r="K357" s="326" t="str">
        <f t="shared" si="31"/>
        <v>Media Geometrica</v>
      </c>
      <c r="L357" s="326">
        <f>IFERROR(COUNTA('LP Elementos'!F357,'LP Elementos'!I357,'LP Elementos'!N357,'LP Elementos'!S357,'LP Elementos'!X357,'LP Elementos'!AC357,'LP Elementos'!AH357,'LP Elementos'!AM357,'LP Elementos'!AR357,'LP Elementos'!AX357,'LP Elementos'!BB357,'LP Elementos'!BG357,'LP Elementos'!BL357,'LP Elementos'!BQ357,'LP Elementos'!BV357,'LP Elementos'!CA357,'LP Elementos'!CF357,'LP Elementos'!CK357,'LP Elementos'!CP357,'LP Elementos'!CU357,'LP Elementos'!CZ357)," ")</f>
        <v>5</v>
      </c>
    </row>
    <row r="358" spans="2:12" x14ac:dyDescent="0.25">
      <c r="B358" s="411">
        <v>356</v>
      </c>
      <c r="C358" s="412" t="s">
        <v>3944</v>
      </c>
      <c r="D358" s="408">
        <f>IFERROR(MIN('LP Elementos'!F358,'LP Elementos'!I358,'LP Elementos'!N358,'LP Elementos'!S358,'LP Elementos'!X358,'LP Elementos'!AC358,'LP Elementos'!AH358,'LP Elementos'!AM358,'LP Elementos'!AR358,'LP Elementos'!AW358,'LP Elementos'!BB358,'LP Elementos'!BG358,'LP Elementos'!BL358,'LP Elementos'!BQ358,'LP Elementos'!BV358,'LP Elementos'!CA358,'LP Elementos'!CF358,'LP Elementos'!CK358,'LP Elementos'!CP358,'LP Elementos'!CU358,'LP Elementos'!CZ358)," ")</f>
        <v>1354220</v>
      </c>
      <c r="E358" s="341">
        <f>IFERROR(AVERAGE('LP Elementos'!F358,'LP Elementos'!I358,'LP Elementos'!N358,'LP Elementos'!S358,'LP Elementos'!X358,'LP Elementos'!AC358,'LP Elementos'!AH358,'LP Elementos'!AM358,'LP Elementos'!AR358,'LP Elementos'!AW358,'LP Elementos'!BB358,'LP Elementos'!BG358,'LP Elementos'!BL358,'LP Elementos'!BQ358,'LP Elementos'!BV358,'LP Elementos'!CA358,'LP Elementos'!CF358,'LP Elementos'!CK358,'LP Elementos'!CP358,'LP Elementos'!CU358,'LP Elementos'!CZ358)," ")</f>
        <v>1821497.419</v>
      </c>
      <c r="F358" s="341">
        <f>IFERROR(MEDIAN('LP Elementos'!F358,'LP Elementos'!I358,'LP Elementos'!N358,'LP Elementos'!S358,'LP Elementos'!X358,'LP Elementos'!AC358,'LP Elementos'!AH358,'LP Elementos'!AM358,'LP Elementos'!AR358,'LP Elementos'!AW358,'LP Elementos'!BB358,'LP Elementos'!BG358,'LP Elementos'!BL358,'LP Elementos'!BQ358,'LP Elementos'!BV358,'LP Elementos'!CA358,'LP Elementos'!CF358,'LP Elementos'!CK358,'LP Elementos'!CP358,'LP Elementos'!CU358,'LP Elementos'!CZ358)," ")</f>
        <v>1821497.419</v>
      </c>
      <c r="G358" s="341">
        <f>IFERROR(GEOMEAN('LP Elementos'!F358,'LP Elementos'!I358,'LP Elementos'!N358,'LP Elementos'!S358,'LP Elementos'!X358,'LP Elementos'!AC358,'LP Elementos'!AH358,'LP Elementos'!AM358,'LP Elementos'!AR358,'LP Elementos'!AW358,'LP Elementos'!BB358,'LP Elementos'!BG358,'LP Elementos'!BL358,'LP Elementos'!BQ358,'LP Elementos'!BV358,'LP Elementos'!CA358,'LP Elementos'!CF358,'LP Elementos'!CK358,'LP Elementos'!CP358,'LP Elementos'!CU358,'LP Elementos'!CZ358)," ")</f>
        <v>1760541.013755817</v>
      </c>
      <c r="H358" s="341">
        <f t="shared" si="28"/>
        <v>225319.12655807947</v>
      </c>
      <c r="I358" s="342">
        <f t="shared" si="29"/>
        <v>0.12369994280957006</v>
      </c>
      <c r="J358" s="341">
        <f t="shared" si="30"/>
        <v>1821497.419</v>
      </c>
      <c r="K358" s="326" t="str">
        <f t="shared" si="31"/>
        <v>Promedio</v>
      </c>
      <c r="L358" s="326">
        <f>IFERROR(COUNTA('LP Elementos'!F358,'LP Elementos'!I358,'LP Elementos'!N358,'LP Elementos'!S358,'LP Elementos'!X358,'LP Elementos'!AC358,'LP Elementos'!AH358,'LP Elementos'!AM358,'LP Elementos'!AR358,'LP Elementos'!AX358,'LP Elementos'!BB358,'LP Elementos'!BG358,'LP Elementos'!BL358,'LP Elementos'!BQ358,'LP Elementos'!BV358,'LP Elementos'!CA358,'LP Elementos'!CF358,'LP Elementos'!CK358,'LP Elementos'!CP358,'LP Elementos'!CU358,'LP Elementos'!CZ358)," ")</f>
        <v>2</v>
      </c>
    </row>
    <row r="359" spans="2:12" ht="27" x14ac:dyDescent="0.25">
      <c r="B359" s="411">
        <v>357</v>
      </c>
      <c r="C359" s="412" t="s">
        <v>3946</v>
      </c>
      <c r="D359" s="408">
        <f>IFERROR(MIN('LP Elementos'!F359,'LP Elementos'!I359,'LP Elementos'!N359,'LP Elementos'!S359,'LP Elementos'!X359,'LP Elementos'!AC359,'LP Elementos'!AH359,'LP Elementos'!AM359,'LP Elementos'!AR359,'LP Elementos'!AW359,'LP Elementos'!BB359,'LP Elementos'!BG359,'LP Elementos'!BL359,'LP Elementos'!BQ359,'LP Elementos'!BV359,'LP Elementos'!CA359,'LP Elementos'!CF359,'LP Elementos'!CK359,'LP Elementos'!CP359,'LP Elementos'!CU359,'LP Elementos'!CZ359)," ")</f>
        <v>1958220.1488000001</v>
      </c>
      <c r="E359" s="341">
        <f>IFERROR(AVERAGE('LP Elementos'!F359,'LP Elementos'!I359,'LP Elementos'!N359,'LP Elementos'!S359,'LP Elementos'!X359,'LP Elementos'!AC359,'LP Elementos'!AH359,'LP Elementos'!AM359,'LP Elementos'!AR359,'LP Elementos'!AW359,'LP Elementos'!BB359,'LP Elementos'!BG359,'LP Elementos'!BL359,'LP Elementos'!BQ359,'LP Elementos'!BV359,'LP Elementos'!CA359,'LP Elementos'!CF359,'LP Elementos'!CK359,'LP Elementos'!CP359,'LP Elementos'!CU359,'LP Elementos'!CZ359)," ")</f>
        <v>2236940.0744000003</v>
      </c>
      <c r="F359" s="341">
        <f>IFERROR(MEDIAN('LP Elementos'!F359,'LP Elementos'!I359,'LP Elementos'!N359,'LP Elementos'!S359,'LP Elementos'!X359,'LP Elementos'!AC359,'LP Elementos'!AH359,'LP Elementos'!AM359,'LP Elementos'!AR359,'LP Elementos'!AW359,'LP Elementos'!BB359,'LP Elementos'!BG359,'LP Elementos'!BL359,'LP Elementos'!BQ359,'LP Elementos'!BV359,'LP Elementos'!CA359,'LP Elementos'!CF359,'LP Elementos'!CK359,'LP Elementos'!CP359,'LP Elementos'!CU359,'LP Elementos'!CZ359)," ")</f>
        <v>2236940.0744000003</v>
      </c>
      <c r="G359" s="341">
        <f>IFERROR(GEOMEAN('LP Elementos'!F359,'LP Elementos'!I359,'LP Elementos'!N359,'LP Elementos'!S359,'LP Elementos'!X359,'LP Elementos'!AC359,'LP Elementos'!AH359,'LP Elementos'!AM359,'LP Elementos'!AR359,'LP Elementos'!AW359,'LP Elementos'!BB359,'LP Elementos'!BG359,'LP Elementos'!BL359,'LP Elementos'!BQ359,'LP Elementos'!BV359,'LP Elementos'!CA359,'LP Elementos'!CF359,'LP Elementos'!CK359,'LP Elementos'!CP359,'LP Elementos'!CU359,'LP Elementos'!CZ359)," ")</f>
        <v>2219508.0760227498</v>
      </c>
      <c r="H359" s="341">
        <f t="shared" si="28"/>
        <v>136701.84219075381</v>
      </c>
      <c r="I359" s="342">
        <f t="shared" si="29"/>
        <v>6.111108820267367E-2</v>
      </c>
      <c r="J359" s="341">
        <f t="shared" si="30"/>
        <v>2236940.0744000003</v>
      </c>
      <c r="K359" s="326" t="str">
        <f t="shared" si="31"/>
        <v>Promedio</v>
      </c>
      <c r="L359" s="326">
        <f>IFERROR(COUNTA('LP Elementos'!F359,'LP Elementos'!I359,'LP Elementos'!N359,'LP Elementos'!S359,'LP Elementos'!X359,'LP Elementos'!AC359,'LP Elementos'!AH359,'LP Elementos'!AM359,'LP Elementos'!AR359,'LP Elementos'!AX359,'LP Elementos'!BB359,'LP Elementos'!BG359,'LP Elementos'!BL359,'LP Elementos'!BQ359,'LP Elementos'!BV359,'LP Elementos'!CA359,'LP Elementos'!CF359,'LP Elementos'!CK359,'LP Elementos'!CP359,'LP Elementos'!CU359,'LP Elementos'!CZ359)," ")</f>
        <v>2</v>
      </c>
    </row>
    <row r="360" spans="2:12" ht="27" x14ac:dyDescent="0.25">
      <c r="B360" s="411">
        <v>358</v>
      </c>
      <c r="C360" s="412" t="s">
        <v>3949</v>
      </c>
      <c r="D360" s="408">
        <f>IFERROR(MIN('LP Elementos'!F360,'LP Elementos'!I360,'LP Elementos'!N360,'LP Elementos'!S360,'LP Elementos'!X360,'LP Elementos'!AC360,'LP Elementos'!AH360,'LP Elementos'!AM360,'LP Elementos'!AR360,'LP Elementos'!AW360,'LP Elementos'!BB360,'LP Elementos'!BG360,'LP Elementos'!BL360,'LP Elementos'!BQ360,'LP Elementos'!BV360,'LP Elementos'!CA360,'LP Elementos'!CF360,'LP Elementos'!CK360,'LP Elementos'!CP360,'LP Elementos'!CU360,'LP Elementos'!CZ360)," ")</f>
        <v>898450</v>
      </c>
      <c r="E360" s="341">
        <f>IFERROR(AVERAGE('LP Elementos'!F360,'LP Elementos'!I360,'LP Elementos'!N360,'LP Elementos'!S360,'LP Elementos'!X360,'LP Elementos'!AC360,'LP Elementos'!AH360,'LP Elementos'!AM360,'LP Elementos'!AR360,'LP Elementos'!AW360,'LP Elementos'!BB360,'LP Elementos'!BG360,'LP Elementos'!BL360,'LP Elementos'!BQ360,'LP Elementos'!BV360,'LP Elementos'!CA360,'LP Elementos'!CF360,'LP Elementos'!CK360,'LP Elementos'!CP360,'LP Elementos'!CU360,'LP Elementos'!CZ360)," ")</f>
        <v>1039957.66</v>
      </c>
      <c r="F360" s="341">
        <f>IFERROR(MEDIAN('LP Elementos'!F360,'LP Elementos'!I360,'LP Elementos'!N360,'LP Elementos'!S360,'LP Elementos'!X360,'LP Elementos'!AC360,'LP Elementos'!AH360,'LP Elementos'!AM360,'LP Elementos'!AR360,'LP Elementos'!AW360,'LP Elementos'!BB360,'LP Elementos'!BG360,'LP Elementos'!BL360,'LP Elementos'!BQ360,'LP Elementos'!BV360,'LP Elementos'!CA360,'LP Elementos'!CF360,'LP Elementos'!CK360,'LP Elementos'!CP360,'LP Elementos'!CU360,'LP Elementos'!CZ360)," ")</f>
        <v>1039957.66</v>
      </c>
      <c r="G360" s="341">
        <f>IFERROR(GEOMEAN('LP Elementos'!F360,'LP Elementos'!I360,'LP Elementos'!N360,'LP Elementos'!S360,'LP Elementos'!X360,'LP Elementos'!AC360,'LP Elementos'!AH360,'LP Elementos'!AM360,'LP Elementos'!AR360,'LP Elementos'!AW360,'LP Elementos'!BB360,'LP Elementos'!BG360,'LP Elementos'!BL360,'LP Elementos'!BQ360,'LP Elementos'!BV360,'LP Elementos'!CA360,'LP Elementos'!CF360,'LP Elementos'!CK360,'LP Elementos'!CP360,'LP Elementos'!CU360,'LP Elementos'!CZ360)," ")</f>
        <v>1030285.1628330868</v>
      </c>
      <c r="H360" s="341">
        <f t="shared" si="28"/>
        <v>69291.930891137206</v>
      </c>
      <c r="I360" s="342">
        <f t="shared" si="29"/>
        <v>6.6629569218363369E-2</v>
      </c>
      <c r="J360" s="341">
        <f t="shared" si="30"/>
        <v>1039957.66</v>
      </c>
      <c r="K360" s="326" t="str">
        <f t="shared" si="31"/>
        <v>Promedio</v>
      </c>
      <c r="L360" s="326">
        <f>IFERROR(COUNTA('LP Elementos'!F360,'LP Elementos'!I360,'LP Elementos'!N360,'LP Elementos'!S360,'LP Elementos'!X360,'LP Elementos'!AC360,'LP Elementos'!AH360,'LP Elementos'!AM360,'LP Elementos'!AR360,'LP Elementos'!AX360,'LP Elementos'!BB360,'LP Elementos'!BG360,'LP Elementos'!BL360,'LP Elementos'!BQ360,'LP Elementos'!BV360,'LP Elementos'!CA360,'LP Elementos'!CF360,'LP Elementos'!CK360,'LP Elementos'!CP360,'LP Elementos'!CU360,'LP Elementos'!CZ360)," ")</f>
        <v>2</v>
      </c>
    </row>
    <row r="361" spans="2:12" ht="40.5" x14ac:dyDescent="0.25">
      <c r="B361" s="411">
        <v>359</v>
      </c>
      <c r="C361" s="412" t="s">
        <v>3953</v>
      </c>
      <c r="D361" s="408">
        <f>IFERROR(MIN('LP Elementos'!F361,'LP Elementos'!I361,'LP Elementos'!N361,'LP Elementos'!S361,'LP Elementos'!X361,'LP Elementos'!AC361,'LP Elementos'!AH361,'LP Elementos'!AM361,'LP Elementos'!AR361,'LP Elementos'!AW361,'LP Elementos'!BB361,'LP Elementos'!BG361,'LP Elementos'!BL361,'LP Elementos'!BQ361,'LP Elementos'!BV361,'LP Elementos'!CA361,'LP Elementos'!CF361,'LP Elementos'!CK361,'LP Elementos'!CP361,'LP Elementos'!CU361,'LP Elementos'!CZ361)," ")</f>
        <v>1974555.338</v>
      </c>
      <c r="E361" s="341">
        <f>IFERROR(AVERAGE('LP Elementos'!F361,'LP Elementos'!I361,'LP Elementos'!N361,'LP Elementos'!S361,'LP Elementos'!X361,'LP Elementos'!AC361,'LP Elementos'!AH361,'LP Elementos'!AM361,'LP Elementos'!AR361,'LP Elementos'!AW361,'LP Elementos'!BB361,'LP Elementos'!BG361,'LP Elementos'!BL361,'LP Elementos'!BQ361,'LP Elementos'!BV361,'LP Elementos'!CA361,'LP Elementos'!CF361,'LP Elementos'!CK361,'LP Elementos'!CP361,'LP Elementos'!CU361,'LP Elementos'!CZ361)," ")</f>
        <v>2318887.6689999998</v>
      </c>
      <c r="F361" s="341">
        <f>IFERROR(MEDIAN('LP Elementos'!F361,'LP Elementos'!I361,'LP Elementos'!N361,'LP Elementos'!S361,'LP Elementos'!X361,'LP Elementos'!AC361,'LP Elementos'!AH361,'LP Elementos'!AM361,'LP Elementos'!AR361,'LP Elementos'!AW361,'LP Elementos'!BB361,'LP Elementos'!BG361,'LP Elementos'!BL361,'LP Elementos'!BQ361,'LP Elementos'!BV361,'LP Elementos'!CA361,'LP Elementos'!CF361,'LP Elementos'!CK361,'LP Elementos'!CP361,'LP Elementos'!CU361,'LP Elementos'!CZ361)," ")</f>
        <v>2318887.6689999998</v>
      </c>
      <c r="G361" s="341">
        <f>IFERROR(GEOMEAN('LP Elementos'!F361,'LP Elementos'!I361,'LP Elementos'!N361,'LP Elementos'!S361,'LP Elementos'!X361,'LP Elementos'!AC361,'LP Elementos'!AH361,'LP Elementos'!AM361,'LP Elementos'!AR361,'LP Elementos'!AW361,'LP Elementos'!BB361,'LP Elementos'!BG361,'LP Elementos'!BL361,'LP Elementos'!BQ361,'LP Elementos'!BV361,'LP Elementos'!CA361,'LP Elementos'!CF361,'LP Elementos'!CK361,'LP Elementos'!CP361,'LP Elementos'!CU361,'LP Elementos'!CZ361)," ")</f>
        <v>2293180.1645898563</v>
      </c>
      <c r="H361" s="341">
        <f t="shared" si="28"/>
        <v>168318.40858652338</v>
      </c>
      <c r="I361" s="342">
        <f t="shared" si="29"/>
        <v>7.258583968369163E-2</v>
      </c>
      <c r="J361" s="341">
        <f t="shared" si="30"/>
        <v>2318887.6689999998</v>
      </c>
      <c r="K361" s="326" t="str">
        <f t="shared" si="31"/>
        <v>Promedio</v>
      </c>
      <c r="L361" s="326">
        <f>IFERROR(COUNTA('LP Elementos'!F361,'LP Elementos'!I361,'LP Elementos'!N361,'LP Elementos'!S361,'LP Elementos'!X361,'LP Elementos'!AC361,'LP Elementos'!AH361,'LP Elementos'!AM361,'LP Elementos'!AR361,'LP Elementos'!AX361,'LP Elementos'!BB361,'LP Elementos'!BG361,'LP Elementos'!BL361,'LP Elementos'!BQ361,'LP Elementos'!BV361,'LP Elementos'!CA361,'LP Elementos'!CF361,'LP Elementos'!CK361,'LP Elementos'!CP361,'LP Elementos'!CU361,'LP Elementos'!CZ361)," ")</f>
        <v>2</v>
      </c>
    </row>
    <row r="362" spans="2:12" ht="40.5" x14ac:dyDescent="0.25">
      <c r="B362" s="411">
        <v>360</v>
      </c>
      <c r="C362" s="412" t="s">
        <v>3957</v>
      </c>
      <c r="D362" s="408">
        <f>IFERROR(MIN('LP Elementos'!F362,'LP Elementos'!I362,'LP Elementos'!N362,'LP Elementos'!S362,'LP Elementos'!X362,'LP Elementos'!AC362,'LP Elementos'!AH362,'LP Elementos'!AM362,'LP Elementos'!AR362,'LP Elementos'!AW362,'LP Elementos'!BB362,'LP Elementos'!BG362,'LP Elementos'!BL362,'LP Elementos'!BQ362,'LP Elementos'!BV362,'LP Elementos'!CA362,'LP Elementos'!CF362,'LP Elementos'!CK362,'LP Elementos'!CP362,'LP Elementos'!CU362,'LP Elementos'!CZ362)," ")</f>
        <v>714000</v>
      </c>
      <c r="E362" s="341">
        <f>IFERROR(AVERAGE('LP Elementos'!F362,'LP Elementos'!I362,'LP Elementos'!N362,'LP Elementos'!S362,'LP Elementos'!X362,'LP Elementos'!AC362,'LP Elementos'!AH362,'LP Elementos'!AM362,'LP Elementos'!AR362,'LP Elementos'!AW362,'LP Elementos'!BB362,'LP Elementos'!BG362,'LP Elementos'!BL362,'LP Elementos'!BQ362,'LP Elementos'!BV362,'LP Elementos'!CA362,'LP Elementos'!CF362,'LP Elementos'!CK362,'LP Elementos'!CP362,'LP Elementos'!CU362,'LP Elementos'!CZ362)," ")</f>
        <v>787480.71500000008</v>
      </c>
      <c r="F362" s="341">
        <f>IFERROR(MEDIAN('LP Elementos'!F362,'LP Elementos'!I362,'LP Elementos'!N362,'LP Elementos'!S362,'LP Elementos'!X362,'LP Elementos'!AC362,'LP Elementos'!AH362,'LP Elementos'!AM362,'LP Elementos'!AR362,'LP Elementos'!AW362,'LP Elementos'!BB362,'LP Elementos'!BG362,'LP Elementos'!BL362,'LP Elementos'!BQ362,'LP Elementos'!BV362,'LP Elementos'!CA362,'LP Elementos'!CF362,'LP Elementos'!CK362,'LP Elementos'!CP362,'LP Elementos'!CU362,'LP Elementos'!CZ362)," ")</f>
        <v>787480.71500000008</v>
      </c>
      <c r="G362" s="341">
        <f>IFERROR(GEOMEAN('LP Elementos'!F362,'LP Elementos'!I362,'LP Elementos'!N362,'LP Elementos'!S362,'LP Elementos'!X362,'LP Elementos'!AC362,'LP Elementos'!AH362,'LP Elementos'!AM362,'LP Elementos'!AR362,'LP Elementos'!AW362,'LP Elementos'!BB362,'LP Elementos'!BG362,'LP Elementos'!BL362,'LP Elementos'!BQ362,'LP Elementos'!BV362,'LP Elementos'!CA362,'LP Elementos'!CF362,'LP Elementos'!CK362,'LP Elementos'!CP362,'LP Elementos'!CU362,'LP Elementos'!CZ362)," ")</f>
        <v>784044.93558724038</v>
      </c>
      <c r="H362" s="341">
        <f t="shared" si="28"/>
        <v>36203.974362388049</v>
      </c>
      <c r="I362" s="342">
        <f t="shared" si="29"/>
        <v>4.5974426640261336E-2</v>
      </c>
      <c r="J362" s="341">
        <f t="shared" si="30"/>
        <v>787480.71500000008</v>
      </c>
      <c r="K362" s="326" t="str">
        <f t="shared" si="31"/>
        <v>Promedio</v>
      </c>
      <c r="L362" s="326">
        <f>IFERROR(COUNTA('LP Elementos'!F362,'LP Elementos'!I362,'LP Elementos'!N362,'LP Elementos'!S362,'LP Elementos'!X362,'LP Elementos'!AC362,'LP Elementos'!AH362,'LP Elementos'!AM362,'LP Elementos'!AR362,'LP Elementos'!AX362,'LP Elementos'!BB362,'LP Elementos'!BG362,'LP Elementos'!BL362,'LP Elementos'!BQ362,'LP Elementos'!BV362,'LP Elementos'!CA362,'LP Elementos'!CF362,'LP Elementos'!CK362,'LP Elementos'!CP362,'LP Elementos'!CU362,'LP Elementos'!CZ362)," ")</f>
        <v>2</v>
      </c>
    </row>
    <row r="363" spans="2:12" x14ac:dyDescent="0.25">
      <c r="B363" s="411">
        <v>361</v>
      </c>
      <c r="C363" s="412" t="s">
        <v>3959</v>
      </c>
      <c r="D363" s="408">
        <f>IFERROR(MIN('LP Elementos'!F363,'LP Elementos'!I363,'LP Elementos'!N363,'LP Elementos'!S363,'LP Elementos'!X363,'LP Elementos'!AC363,'LP Elementos'!AH363,'LP Elementos'!AM363,'LP Elementos'!AR363,'LP Elementos'!AW363,'LP Elementos'!BB363,'LP Elementos'!BG363,'LP Elementos'!BL363,'LP Elementos'!BQ363,'LP Elementos'!BV363,'LP Elementos'!CA363,'LP Elementos'!CF363,'LP Elementos'!CK363,'LP Elementos'!CP363,'LP Elementos'!CU363,'LP Elementos'!CZ363)," ")</f>
        <v>1988380.996</v>
      </c>
      <c r="E363" s="341">
        <f>IFERROR(AVERAGE('LP Elementos'!F363,'LP Elementos'!I363,'LP Elementos'!N363,'LP Elementos'!S363,'LP Elementos'!X363,'LP Elementos'!AC363,'LP Elementos'!AH363,'LP Elementos'!AM363,'LP Elementos'!AR363,'LP Elementos'!AW363,'LP Elementos'!BB363,'LP Elementos'!BG363,'LP Elementos'!BL363,'LP Elementos'!BQ363,'LP Elementos'!BV363,'LP Elementos'!CA363,'LP Elementos'!CF363,'LP Elementos'!CK363,'LP Elementos'!CP363,'LP Elementos'!CU363,'LP Elementos'!CZ363)," ")</f>
        <v>3375380.4980000001</v>
      </c>
      <c r="F363" s="341">
        <f>IFERROR(MEDIAN('LP Elementos'!F363,'LP Elementos'!I363,'LP Elementos'!N363,'LP Elementos'!S363,'LP Elementos'!X363,'LP Elementos'!AC363,'LP Elementos'!AH363,'LP Elementos'!AM363,'LP Elementos'!AR363,'LP Elementos'!AW363,'LP Elementos'!BB363,'LP Elementos'!BG363,'LP Elementos'!BL363,'LP Elementos'!BQ363,'LP Elementos'!BV363,'LP Elementos'!CA363,'LP Elementos'!CF363,'LP Elementos'!CK363,'LP Elementos'!CP363,'LP Elementos'!CU363,'LP Elementos'!CZ363)," ")</f>
        <v>3375380.4979999997</v>
      </c>
      <c r="G363" s="341">
        <f>IFERROR(GEOMEAN('LP Elementos'!F363,'LP Elementos'!I363,'LP Elementos'!N363,'LP Elementos'!S363,'LP Elementos'!X363,'LP Elementos'!AC363,'LP Elementos'!AH363,'LP Elementos'!AM363,'LP Elementos'!AR363,'LP Elementos'!AW363,'LP Elementos'!BB363,'LP Elementos'!BG363,'LP Elementos'!BL363,'LP Elementos'!BQ363,'LP Elementos'!BV363,'LP Elementos'!CA363,'LP Elementos'!CF363,'LP Elementos'!CK363,'LP Elementos'!CP363,'LP Elementos'!CU363,'LP Elementos'!CZ363)," ")</f>
        <v>3077243.2285619671</v>
      </c>
      <c r="H363" s="341">
        <f t="shared" si="28"/>
        <v>658971.91780405596</v>
      </c>
      <c r="I363" s="342">
        <f t="shared" si="29"/>
        <v>0.19522892847029061</v>
      </c>
      <c r="J363" s="341">
        <f t="shared" si="30"/>
        <v>3375380.4980000001</v>
      </c>
      <c r="K363" s="326" t="str">
        <f t="shared" si="31"/>
        <v>Promedio</v>
      </c>
      <c r="L363" s="326">
        <f>IFERROR(COUNTA('LP Elementos'!F363,'LP Elementos'!I363,'LP Elementos'!N363,'LP Elementos'!S363,'LP Elementos'!X363,'LP Elementos'!AC363,'LP Elementos'!AH363,'LP Elementos'!AM363,'LP Elementos'!AR363,'LP Elementos'!AX363,'LP Elementos'!BB363,'LP Elementos'!BG363,'LP Elementos'!BL363,'LP Elementos'!BQ363,'LP Elementos'!BV363,'LP Elementos'!CA363,'LP Elementos'!CF363,'LP Elementos'!CK363,'LP Elementos'!CP363,'LP Elementos'!CU363,'LP Elementos'!CZ363)," ")</f>
        <v>2</v>
      </c>
    </row>
    <row r="364" spans="2:12" ht="54" x14ac:dyDescent="0.25">
      <c r="B364" s="411">
        <v>362</v>
      </c>
      <c r="C364" s="412" t="s">
        <v>3964</v>
      </c>
      <c r="D364" s="408">
        <f>IFERROR(MIN('LP Elementos'!F364,'LP Elementos'!I364,'LP Elementos'!N364,'LP Elementos'!S364,'LP Elementos'!X364,'LP Elementos'!AC364,'LP Elementos'!AH364,'LP Elementos'!AM364,'LP Elementos'!AR364,'LP Elementos'!AW364,'LP Elementos'!BB364,'LP Elementos'!BG364,'LP Elementos'!BL364,'LP Elementos'!BQ364,'LP Elementos'!BV364,'LP Elementos'!CA364,'LP Elementos'!CF364,'LP Elementos'!CK364,'LP Elementos'!CP364,'LP Elementos'!CU364,'LP Elementos'!CZ364)," ")</f>
        <v>2054995.53</v>
      </c>
      <c r="E364" s="341">
        <f>IFERROR(AVERAGE('LP Elementos'!F364,'LP Elementos'!I364,'LP Elementos'!N364,'LP Elementos'!S364,'LP Elementos'!X364,'LP Elementos'!AC364,'LP Elementos'!AH364,'LP Elementos'!AM364,'LP Elementos'!AR364,'LP Elementos'!AW364,'LP Elementos'!BB364,'LP Elementos'!BG364,'LP Elementos'!BL364,'LP Elementos'!BQ364,'LP Elementos'!BV364,'LP Elementos'!CA364,'LP Elementos'!CF364,'LP Elementos'!CK364,'LP Elementos'!CP364,'LP Elementos'!CU364,'LP Elementos'!CZ364)," ")</f>
        <v>2205597.7650000001</v>
      </c>
      <c r="F364" s="341">
        <f>IFERROR(MEDIAN('LP Elementos'!F364,'LP Elementos'!I364,'LP Elementos'!N364,'LP Elementos'!S364,'LP Elementos'!X364,'LP Elementos'!AC364,'LP Elementos'!AH364,'LP Elementos'!AM364,'LP Elementos'!AR364,'LP Elementos'!AW364,'LP Elementos'!BB364,'LP Elementos'!BG364,'LP Elementos'!BL364,'LP Elementos'!BQ364,'LP Elementos'!BV364,'LP Elementos'!CA364,'LP Elementos'!CF364,'LP Elementos'!CK364,'LP Elementos'!CP364,'LP Elementos'!CU364,'LP Elementos'!CZ364)," ")</f>
        <v>2205597.7650000001</v>
      </c>
      <c r="G364" s="341">
        <f>IFERROR(GEOMEAN('LP Elementos'!F364,'LP Elementos'!I364,'LP Elementos'!N364,'LP Elementos'!S364,'LP Elementos'!X364,'LP Elementos'!AC364,'LP Elementos'!AH364,'LP Elementos'!AM364,'LP Elementos'!AR364,'LP Elementos'!AW364,'LP Elementos'!BB364,'LP Elementos'!BG364,'LP Elementos'!BL364,'LP Elementos'!BQ364,'LP Elementos'!BV364,'LP Elementos'!CA364,'LP Elementos'!CF364,'LP Elementos'!CK364,'LP Elementos'!CP364,'LP Elementos'!CU364,'LP Elementos'!CZ364)," ")</f>
        <v>2200450.0602799421</v>
      </c>
      <c r="H364" s="341">
        <f t="shared" si="28"/>
        <v>74482.707434186203</v>
      </c>
      <c r="I364" s="342">
        <f t="shared" si="29"/>
        <v>3.3769850793345449E-2</v>
      </c>
      <c r="J364" s="341">
        <f t="shared" si="30"/>
        <v>2205597.7650000001</v>
      </c>
      <c r="K364" s="326" t="str">
        <f t="shared" si="31"/>
        <v>Promedio</v>
      </c>
      <c r="L364" s="326">
        <f>IFERROR(COUNTA('LP Elementos'!F364,'LP Elementos'!I364,'LP Elementos'!N364,'LP Elementos'!S364,'LP Elementos'!X364,'LP Elementos'!AC364,'LP Elementos'!AH364,'LP Elementos'!AM364,'LP Elementos'!AR364,'LP Elementos'!AX364,'LP Elementos'!BB364,'LP Elementos'!BG364,'LP Elementos'!BL364,'LP Elementos'!BQ364,'LP Elementos'!BV364,'LP Elementos'!CA364,'LP Elementos'!CF364,'LP Elementos'!CK364,'LP Elementos'!CP364,'LP Elementos'!CU364,'LP Elementos'!CZ364)," ")</f>
        <v>2</v>
      </c>
    </row>
    <row r="365" spans="2:12" ht="54" x14ac:dyDescent="0.25">
      <c r="B365" s="411">
        <v>363</v>
      </c>
      <c r="C365" s="412" t="s">
        <v>3966</v>
      </c>
      <c r="D365" s="408">
        <f>IFERROR(MIN('LP Elementos'!F365,'LP Elementos'!I365,'LP Elementos'!N365,'LP Elementos'!S365,'LP Elementos'!X365,'LP Elementos'!AC365,'LP Elementos'!AH365,'LP Elementos'!AM365,'LP Elementos'!AR365,'LP Elementos'!AW365,'LP Elementos'!BB365,'LP Elementos'!BG365,'LP Elementos'!BL365,'LP Elementos'!BQ365,'LP Elementos'!BV365,'LP Elementos'!CA365,'LP Elementos'!CF365,'LP Elementos'!CK365,'LP Elementos'!CP365,'LP Elementos'!CU365,'LP Elementos'!CZ365)," ")</f>
        <v>505750</v>
      </c>
      <c r="E365" s="341">
        <f>IFERROR(AVERAGE('LP Elementos'!F365,'LP Elementos'!I365,'LP Elementos'!N365,'LP Elementos'!S365,'LP Elementos'!X365,'LP Elementos'!AC365,'LP Elementos'!AH365,'LP Elementos'!AM365,'LP Elementos'!AR365,'LP Elementos'!AW365,'LP Elementos'!BB365,'LP Elementos'!BG365,'LP Elementos'!BL365,'LP Elementos'!BQ365,'LP Elementos'!BV365,'LP Elementos'!CA365,'LP Elementos'!CF365,'LP Elementos'!CK365,'LP Elementos'!CP365,'LP Elementos'!CU365,'LP Elementos'!CZ365)," ")</f>
        <v>1034653.116</v>
      </c>
      <c r="F365" s="341">
        <f>IFERROR(MEDIAN('LP Elementos'!F365,'LP Elementos'!I365,'LP Elementos'!N365,'LP Elementos'!S365,'LP Elementos'!X365,'LP Elementos'!AC365,'LP Elementos'!AH365,'LP Elementos'!AM365,'LP Elementos'!AR365,'LP Elementos'!AW365,'LP Elementos'!BB365,'LP Elementos'!BG365,'LP Elementos'!BL365,'LP Elementos'!BQ365,'LP Elementos'!BV365,'LP Elementos'!CA365,'LP Elementos'!CF365,'LP Elementos'!CK365,'LP Elementos'!CP365,'LP Elementos'!CU365,'LP Elementos'!CZ365)," ")</f>
        <v>1034653.116</v>
      </c>
      <c r="G365" s="341">
        <f>IFERROR(GEOMEAN('LP Elementos'!F365,'LP Elementos'!I365,'LP Elementos'!N365,'LP Elementos'!S365,'LP Elementos'!X365,'LP Elementos'!AC365,'LP Elementos'!AH365,'LP Elementos'!AM365,'LP Elementos'!AR365,'LP Elementos'!AW365,'LP Elementos'!BB365,'LP Elementos'!BG365,'LP Elementos'!BL365,'LP Elementos'!BQ365,'LP Elementos'!BV365,'LP Elementos'!CA365,'LP Elementos'!CF365,'LP Elementos'!CK365,'LP Elementos'!CP365,'LP Elementos'!CU365,'LP Elementos'!CZ365)," ")</f>
        <v>889251.6878443358</v>
      </c>
      <c r="H365" s="341">
        <f t="shared" si="28"/>
        <v>249805.54227703574</v>
      </c>
      <c r="I365" s="342">
        <f t="shared" si="29"/>
        <v>0.24143893099437178</v>
      </c>
      <c r="J365" s="341">
        <f t="shared" si="30"/>
        <v>889251.6878443358</v>
      </c>
      <c r="K365" s="326" t="str">
        <f t="shared" si="31"/>
        <v>Media Geometrica</v>
      </c>
      <c r="L365" s="326">
        <f>IFERROR(COUNTA('LP Elementos'!F365,'LP Elementos'!I365,'LP Elementos'!N365,'LP Elementos'!S365,'LP Elementos'!X365,'LP Elementos'!AC365,'LP Elementos'!AH365,'LP Elementos'!AM365,'LP Elementos'!AR365,'LP Elementos'!AX365,'LP Elementos'!BB365,'LP Elementos'!BG365,'LP Elementos'!BL365,'LP Elementos'!BQ365,'LP Elementos'!BV365,'LP Elementos'!CA365,'LP Elementos'!CF365,'LP Elementos'!CK365,'LP Elementos'!CP365,'LP Elementos'!CU365,'LP Elementos'!CZ365)," ")</f>
        <v>2</v>
      </c>
    </row>
    <row r="366" spans="2:12" ht="108" customHeight="1" x14ac:dyDescent="0.25">
      <c r="B366" s="411">
        <v>364</v>
      </c>
      <c r="C366" s="414" t="s">
        <v>3970</v>
      </c>
      <c r="D366" s="408">
        <f>IFERROR(MIN('LP Elementos'!F366,'LP Elementos'!I366,'LP Elementos'!N366,'LP Elementos'!S366,'LP Elementos'!X366,'LP Elementos'!AC366,'LP Elementos'!AH366,'LP Elementos'!AM366,'LP Elementos'!AR366,'LP Elementos'!AW366,'LP Elementos'!BB366,'LP Elementos'!BG366,'LP Elementos'!BL366,'LP Elementos'!BQ366,'LP Elementos'!BV366,'LP Elementos'!CA366,'LP Elementos'!CF366,'LP Elementos'!CK366,'LP Elementos'!CP366,'LP Elementos'!CU366,'LP Elementos'!CZ366)," ")</f>
        <v>1155490</v>
      </c>
      <c r="E366" s="341">
        <f>IFERROR(AVERAGE('LP Elementos'!F366,'LP Elementos'!I366,'LP Elementos'!N366,'LP Elementos'!S366,'LP Elementos'!X366,'LP Elementos'!AC366,'LP Elementos'!AH366,'LP Elementos'!AM366,'LP Elementos'!AR366,'LP Elementos'!AW366,'LP Elementos'!BB366,'LP Elementos'!BG366,'LP Elementos'!BL366,'LP Elementos'!BQ366,'LP Elementos'!BV366,'LP Elementos'!CA366,'LP Elementos'!CF366,'LP Elementos'!CK366,'LP Elementos'!CP366,'LP Elementos'!CU366,'LP Elementos'!CZ366)," ")</f>
        <v>1155490</v>
      </c>
      <c r="F366" s="341">
        <f>IFERROR(MEDIAN('LP Elementos'!F366,'LP Elementos'!I366,'LP Elementos'!N366,'LP Elementos'!S366,'LP Elementos'!X366,'LP Elementos'!AC366,'LP Elementos'!AH366,'LP Elementos'!AM366,'LP Elementos'!AR366,'LP Elementos'!AW366,'LP Elementos'!BB366,'LP Elementos'!BG366,'LP Elementos'!BL366,'LP Elementos'!BQ366,'LP Elementos'!BV366,'LP Elementos'!CA366,'LP Elementos'!CF366,'LP Elementos'!CK366,'LP Elementos'!CP366,'LP Elementos'!CU366,'LP Elementos'!CZ366)," ")</f>
        <v>1155490</v>
      </c>
      <c r="G366" s="341">
        <f>IFERROR(GEOMEAN('LP Elementos'!F366,'LP Elementos'!I366,'LP Elementos'!N366,'LP Elementos'!S366,'LP Elementos'!X366,'LP Elementos'!AC366,'LP Elementos'!AH366,'LP Elementos'!AM366,'LP Elementos'!AR366,'LP Elementos'!AW366,'LP Elementos'!BB366,'LP Elementos'!BG366,'LP Elementos'!BL366,'LP Elementos'!BQ366,'LP Elementos'!BV366,'LP Elementos'!CA366,'LP Elementos'!CF366,'LP Elementos'!CK366,'LP Elementos'!CP366,'LP Elementos'!CU366,'LP Elementos'!CZ366)," ")</f>
        <v>1155490</v>
      </c>
      <c r="H366" s="341">
        <f t="shared" si="28"/>
        <v>0</v>
      </c>
      <c r="I366" s="342">
        <f t="shared" si="29"/>
        <v>0</v>
      </c>
      <c r="J366" s="341">
        <f t="shared" si="30"/>
        <v>1155490</v>
      </c>
      <c r="K366" s="326" t="str">
        <f t="shared" si="31"/>
        <v>Menor Valor</v>
      </c>
      <c r="L366" s="326">
        <f>IFERROR(COUNTA('LP Elementos'!F366,'LP Elementos'!I366,'LP Elementos'!N366,'LP Elementos'!S366,'LP Elementos'!X366,'LP Elementos'!AC366,'LP Elementos'!AH366,'LP Elementos'!AM366,'LP Elementos'!AR366,'LP Elementos'!AX366,'LP Elementos'!BB366,'LP Elementos'!BG366,'LP Elementos'!BL366,'LP Elementos'!BQ366,'LP Elementos'!BV366,'LP Elementos'!CA366,'LP Elementos'!CF366,'LP Elementos'!CK366,'LP Elementos'!CP366,'LP Elementos'!CU366,'LP Elementos'!CZ366)," ")</f>
        <v>1</v>
      </c>
    </row>
    <row r="367" spans="2:12" ht="54" x14ac:dyDescent="0.25">
      <c r="B367" s="411">
        <v>365</v>
      </c>
      <c r="C367" s="412" t="s">
        <v>3974</v>
      </c>
      <c r="D367" s="408">
        <f>IFERROR(MIN('LP Elementos'!F367,'LP Elementos'!I367,'LP Elementos'!N367,'LP Elementos'!S367,'LP Elementos'!X367,'LP Elementos'!AC367,'LP Elementos'!AH367,'LP Elementos'!AM367,'LP Elementos'!AR367,'LP Elementos'!AW367,'LP Elementos'!BB367,'LP Elementos'!BG367,'LP Elementos'!BL367,'LP Elementos'!BQ367,'LP Elementos'!BV367,'LP Elementos'!CA367,'LP Elementos'!CF367,'LP Elementos'!CK367,'LP Elementos'!CP367,'LP Elementos'!CU367,'LP Elementos'!CZ367)," ")</f>
        <v>76517</v>
      </c>
      <c r="E367" s="341">
        <f>IFERROR(AVERAGE('LP Elementos'!F367,'LP Elementos'!I367,'LP Elementos'!N367,'LP Elementos'!S367,'LP Elementos'!X367,'LP Elementos'!AC367,'LP Elementos'!AH367,'LP Elementos'!AM367,'LP Elementos'!AR367,'LP Elementos'!AW367,'LP Elementos'!BB367,'LP Elementos'!BG367,'LP Elementos'!BL367,'LP Elementos'!BQ367,'LP Elementos'!BV367,'LP Elementos'!CA367,'LP Elementos'!CF367,'LP Elementos'!CK367,'LP Elementos'!CP367,'LP Elementos'!CU367,'LP Elementos'!CZ367)," ")</f>
        <v>121212.448</v>
      </c>
      <c r="F367" s="341">
        <f>IFERROR(MEDIAN('LP Elementos'!F367,'LP Elementos'!I367,'LP Elementos'!N367,'LP Elementos'!S367,'LP Elementos'!X367,'LP Elementos'!AC367,'LP Elementos'!AH367,'LP Elementos'!AM367,'LP Elementos'!AR367,'LP Elementos'!AW367,'LP Elementos'!BB367,'LP Elementos'!BG367,'LP Elementos'!BL367,'LP Elementos'!BQ367,'LP Elementos'!BV367,'LP Elementos'!CA367,'LP Elementos'!CF367,'LP Elementos'!CK367,'LP Elementos'!CP367,'LP Elementos'!CU367,'LP Elementos'!CZ367)," ")</f>
        <v>121212.448</v>
      </c>
      <c r="G367" s="341">
        <f>IFERROR(GEOMEAN('LP Elementos'!F367,'LP Elementos'!I367,'LP Elementos'!N367,'LP Elementos'!S367,'LP Elementos'!X367,'LP Elementos'!AC367,'LP Elementos'!AH367,'LP Elementos'!AM367,'LP Elementos'!AR367,'LP Elementos'!AW367,'LP Elementos'!BB367,'LP Elementos'!BG367,'LP Elementos'!BL367,'LP Elementos'!BQ367,'LP Elementos'!BV367,'LP Elementos'!CA367,'LP Elementos'!CF367,'LP Elementos'!CK367,'LP Elementos'!CP367,'LP Elementos'!CU367,'LP Elementos'!CZ367)," ")</f>
        <v>112671.08980671129</v>
      </c>
      <c r="H367" s="341">
        <f t="shared" si="28"/>
        <v>21308.04611949293</v>
      </c>
      <c r="I367" s="342">
        <f t="shared" si="29"/>
        <v>0.17579090655353261</v>
      </c>
      <c r="J367" s="341">
        <f t="shared" si="30"/>
        <v>121212.448</v>
      </c>
      <c r="K367" s="326" t="str">
        <f t="shared" si="31"/>
        <v>Promedio</v>
      </c>
      <c r="L367" s="326">
        <f>IFERROR(COUNTA('LP Elementos'!F367,'LP Elementos'!I367,'LP Elementos'!N367,'LP Elementos'!S367,'LP Elementos'!X367,'LP Elementos'!AC367,'LP Elementos'!AH367,'LP Elementos'!AM367,'LP Elementos'!AR367,'LP Elementos'!AX367,'LP Elementos'!BB367,'LP Elementos'!BG367,'LP Elementos'!BL367,'LP Elementos'!BQ367,'LP Elementos'!BV367,'LP Elementos'!CA367,'LP Elementos'!CF367,'LP Elementos'!CK367,'LP Elementos'!CP367,'LP Elementos'!CU367,'LP Elementos'!CZ367)," ")</f>
        <v>2</v>
      </c>
    </row>
    <row r="368" spans="2:12" ht="27" x14ac:dyDescent="0.25">
      <c r="B368" s="411">
        <v>366</v>
      </c>
      <c r="C368" s="412" t="s">
        <v>3976</v>
      </c>
      <c r="D368" s="408">
        <f>IFERROR(MIN('LP Elementos'!F368,'LP Elementos'!I368,'LP Elementos'!N368,'LP Elementos'!S368,'LP Elementos'!X368,'LP Elementos'!AC368,'LP Elementos'!AH368,'LP Elementos'!AM368,'LP Elementos'!AR368,'LP Elementos'!AW368,'LP Elementos'!BB368,'LP Elementos'!BG368,'LP Elementos'!BL368,'LP Elementos'!BQ368,'LP Elementos'!BV368,'LP Elementos'!CA368,'LP Elementos'!CF368,'LP Elementos'!CK368,'LP Elementos'!CP368,'LP Elementos'!CU368,'LP Elementos'!CZ368)," ")</f>
        <v>67830</v>
      </c>
      <c r="E368" s="341">
        <f>IFERROR(AVERAGE('LP Elementos'!F368,'LP Elementos'!I368,'LP Elementos'!N368,'LP Elementos'!S368,'LP Elementos'!X368,'LP Elementos'!AC368,'LP Elementos'!AH368,'LP Elementos'!AM368,'LP Elementos'!AR368,'LP Elementos'!AW368,'LP Elementos'!BB368,'LP Elementos'!BG368,'LP Elementos'!BL368,'LP Elementos'!BQ368,'LP Elementos'!BV368,'LP Elementos'!CA368,'LP Elementos'!CF368,'LP Elementos'!CK368,'LP Elementos'!CP368,'LP Elementos'!CU368,'LP Elementos'!CZ368)," ")</f>
        <v>80211.95</v>
      </c>
      <c r="F368" s="341">
        <f>IFERROR(MEDIAN('LP Elementos'!F368,'LP Elementos'!I368,'LP Elementos'!N368,'LP Elementos'!S368,'LP Elementos'!X368,'LP Elementos'!AC368,'LP Elementos'!AH368,'LP Elementos'!AM368,'LP Elementos'!AR368,'LP Elementos'!AW368,'LP Elementos'!BB368,'LP Elementos'!BG368,'LP Elementos'!BL368,'LP Elementos'!BQ368,'LP Elementos'!BV368,'LP Elementos'!CA368,'LP Elementos'!CF368,'LP Elementos'!CK368,'LP Elementos'!CP368,'LP Elementos'!CU368,'LP Elementos'!CZ368)," ")</f>
        <v>78540</v>
      </c>
      <c r="G368" s="341">
        <f>IFERROR(GEOMEAN('LP Elementos'!F368,'LP Elementos'!I368,'LP Elementos'!N368,'LP Elementos'!S368,'LP Elementos'!X368,'LP Elementos'!AC368,'LP Elementos'!AH368,'LP Elementos'!AM368,'LP Elementos'!AR368,'LP Elementos'!AW368,'LP Elementos'!BB368,'LP Elementos'!BG368,'LP Elementos'!BL368,'LP Elementos'!BQ368,'LP Elementos'!BV368,'LP Elementos'!CA368,'LP Elementos'!CF368,'LP Elementos'!CK368,'LP Elementos'!CP368,'LP Elementos'!CU368,'LP Elementos'!CZ368)," ")</f>
        <v>79485.705623795395</v>
      </c>
      <c r="H368" s="341">
        <f t="shared" si="28"/>
        <v>5831.5911651854121</v>
      </c>
      <c r="I368" s="342">
        <f t="shared" si="29"/>
        <v>7.270227397769799E-2</v>
      </c>
      <c r="J368" s="341">
        <f t="shared" si="30"/>
        <v>78540</v>
      </c>
      <c r="K368" s="326" t="str">
        <f t="shared" si="31"/>
        <v>Mediana</v>
      </c>
      <c r="L368" s="326">
        <f>IFERROR(COUNTA('LP Elementos'!F368,'LP Elementos'!I368,'LP Elementos'!N368,'LP Elementos'!S368,'LP Elementos'!X368,'LP Elementos'!AC368,'LP Elementos'!AH368,'LP Elementos'!AM368,'LP Elementos'!AR368,'LP Elementos'!AX368,'LP Elementos'!BB368,'LP Elementos'!BG368,'LP Elementos'!BL368,'LP Elementos'!BQ368,'LP Elementos'!BV368,'LP Elementos'!CA368,'LP Elementos'!CF368,'LP Elementos'!CK368,'LP Elementos'!CP368,'LP Elementos'!CU368,'LP Elementos'!CZ368)," ")</f>
        <v>3</v>
      </c>
    </row>
    <row r="369" spans="2:12" ht="27" x14ac:dyDescent="0.25">
      <c r="B369" s="411">
        <v>367</v>
      </c>
      <c r="C369" s="412" t="s">
        <v>3981</v>
      </c>
      <c r="D369" s="408">
        <f>IFERROR(MIN('LP Elementos'!F369,'LP Elementos'!I369,'LP Elementos'!N369,'LP Elementos'!S369,'LP Elementos'!X369,'LP Elementos'!AC369,'LP Elementos'!AH369,'LP Elementos'!AM369,'LP Elementos'!AR369,'LP Elementos'!AW369,'LP Elementos'!BB369,'LP Elementos'!BG369,'LP Elementos'!BL369,'LP Elementos'!BQ369,'LP Elementos'!BV369,'LP Elementos'!CA369,'LP Elementos'!CF369,'LP Elementos'!CK369,'LP Elementos'!CP369,'LP Elementos'!CU369,'LP Elementos'!CZ369)," ")</f>
        <v>183260</v>
      </c>
      <c r="E369" s="341">
        <f>IFERROR(AVERAGE('LP Elementos'!F369,'LP Elementos'!I369,'LP Elementos'!N369,'LP Elementos'!S369,'LP Elementos'!X369,'LP Elementos'!AC369,'LP Elementos'!AH369,'LP Elementos'!AM369,'LP Elementos'!AR369,'LP Elementos'!AW369,'LP Elementos'!BB369,'LP Elementos'!BG369,'LP Elementos'!BL369,'LP Elementos'!BQ369,'LP Elementos'!BV369,'LP Elementos'!CA369,'LP Elementos'!CF369,'LP Elementos'!CK369,'LP Elementos'!CP369,'LP Elementos'!CU369,'LP Elementos'!CZ369)," ")</f>
        <v>246225.99400000001</v>
      </c>
      <c r="F369" s="341">
        <f>IFERROR(MEDIAN('LP Elementos'!F369,'LP Elementos'!I369,'LP Elementos'!N369,'LP Elementos'!S369,'LP Elementos'!X369,'LP Elementos'!AC369,'LP Elementos'!AH369,'LP Elementos'!AM369,'LP Elementos'!AR369,'LP Elementos'!AW369,'LP Elementos'!BB369,'LP Elementos'!BG369,'LP Elementos'!BL369,'LP Elementos'!BQ369,'LP Elementos'!BV369,'LP Elementos'!CA369,'LP Elementos'!CF369,'LP Elementos'!CK369,'LP Elementos'!CP369,'LP Elementos'!CU369,'LP Elementos'!CZ369)," ")</f>
        <v>246225.99400000001</v>
      </c>
      <c r="G369" s="341">
        <f>IFERROR(GEOMEAN('LP Elementos'!F369,'LP Elementos'!I369,'LP Elementos'!N369,'LP Elementos'!S369,'LP Elementos'!X369,'LP Elementos'!AC369,'LP Elementos'!AH369,'LP Elementos'!AM369,'LP Elementos'!AR369,'LP Elementos'!AW369,'LP Elementos'!BB369,'LP Elementos'!BG369,'LP Elementos'!BL369,'LP Elementos'!BQ369,'LP Elementos'!BV369,'LP Elementos'!CA369,'LP Elementos'!CF369,'LP Elementos'!CK369,'LP Elementos'!CP369,'LP Elementos'!CU369,'LP Elementos'!CZ369)," ")</f>
        <v>238038.9121989932</v>
      </c>
      <c r="H369" s="341">
        <f t="shared" si="28"/>
        <v>30364.752920880925</v>
      </c>
      <c r="I369" s="342">
        <f t="shared" si="29"/>
        <v>0.12332066337756738</v>
      </c>
      <c r="J369" s="341">
        <f t="shared" si="30"/>
        <v>246225.99400000001</v>
      </c>
      <c r="K369" s="326" t="str">
        <f t="shared" si="31"/>
        <v>Promedio</v>
      </c>
      <c r="L369" s="326">
        <f>IFERROR(COUNTA('LP Elementos'!F369,'LP Elementos'!I369,'LP Elementos'!N369,'LP Elementos'!S369,'LP Elementos'!X369,'LP Elementos'!AC369,'LP Elementos'!AH369,'LP Elementos'!AM369,'LP Elementos'!AR369,'LP Elementos'!AX369,'LP Elementos'!BB369,'LP Elementos'!BG369,'LP Elementos'!BL369,'LP Elementos'!BQ369,'LP Elementos'!BV369,'LP Elementos'!CA369,'LP Elementos'!CF369,'LP Elementos'!CK369,'LP Elementos'!CP369,'LP Elementos'!CU369,'LP Elementos'!CZ369)," ")</f>
        <v>2</v>
      </c>
    </row>
    <row r="370" spans="2:12" ht="27" x14ac:dyDescent="0.25">
      <c r="B370" s="411">
        <v>368</v>
      </c>
      <c r="C370" s="409" t="s">
        <v>3983</v>
      </c>
      <c r="D370" s="408">
        <f>IFERROR(MIN('LP Elementos'!F370,'LP Elementos'!I370,'LP Elementos'!N370,'LP Elementos'!S370,'LP Elementos'!X370,'LP Elementos'!AC370,'LP Elementos'!AH370,'LP Elementos'!AM370,'LP Elementos'!AR370,'LP Elementos'!AW370,'LP Elementos'!BB370,'LP Elementos'!BG370,'LP Elementos'!BL370,'LP Elementos'!BQ370,'LP Elementos'!BV370,'LP Elementos'!CA370,'LP Elementos'!CF370,'LP Elementos'!CK370,'LP Elementos'!CP370,'LP Elementos'!CU370,'LP Elementos'!CZ370)," ")</f>
        <v>45001.04</v>
      </c>
      <c r="E370" s="341">
        <f>IFERROR(AVERAGE('LP Elementos'!F370,'LP Elementos'!I370,'LP Elementos'!N370,'LP Elementos'!S370,'LP Elementos'!X370,'LP Elementos'!AC370,'LP Elementos'!AH370,'LP Elementos'!AM370,'LP Elementos'!AR370,'LP Elementos'!AW370,'LP Elementos'!BB370,'LP Elementos'!BG370,'LP Elementos'!BL370,'LP Elementos'!BQ370,'LP Elementos'!BV370,'LP Elementos'!CA370,'LP Elementos'!CF370,'LP Elementos'!CK370,'LP Elementos'!CP370,'LP Elementos'!CU370,'LP Elementos'!CZ370)," ")</f>
        <v>45001.04</v>
      </c>
      <c r="F370" s="341">
        <f>IFERROR(MEDIAN('LP Elementos'!F370,'LP Elementos'!I370,'LP Elementos'!N370,'LP Elementos'!S370,'LP Elementos'!X370,'LP Elementos'!AC370,'LP Elementos'!AH370,'LP Elementos'!AM370,'LP Elementos'!AR370,'LP Elementos'!AW370,'LP Elementos'!BB370,'LP Elementos'!BG370,'LP Elementos'!BL370,'LP Elementos'!BQ370,'LP Elementos'!BV370,'LP Elementos'!CA370,'LP Elementos'!CF370,'LP Elementos'!CK370,'LP Elementos'!CP370,'LP Elementos'!CU370,'LP Elementos'!CZ370)," ")</f>
        <v>45001.04</v>
      </c>
      <c r="G370" s="341">
        <f>IFERROR(GEOMEAN('LP Elementos'!F370,'LP Elementos'!I370,'LP Elementos'!N370,'LP Elementos'!S370,'LP Elementos'!X370,'LP Elementos'!AC370,'LP Elementos'!AH370,'LP Elementos'!AM370,'LP Elementos'!AR370,'LP Elementos'!AW370,'LP Elementos'!BB370,'LP Elementos'!BG370,'LP Elementos'!BL370,'LP Elementos'!BQ370,'LP Elementos'!BV370,'LP Elementos'!CA370,'LP Elementos'!CF370,'LP Elementos'!CK370,'LP Elementos'!CP370,'LP Elementos'!CU370,'LP Elementos'!CZ370)," ")</f>
        <v>45001.04</v>
      </c>
      <c r="H370" s="341">
        <f t="shared" si="28"/>
        <v>0</v>
      </c>
      <c r="I370" s="342">
        <f t="shared" si="29"/>
        <v>0</v>
      </c>
      <c r="J370" s="341">
        <f t="shared" si="30"/>
        <v>45001.04</v>
      </c>
      <c r="K370" s="326" t="str">
        <f t="shared" si="31"/>
        <v>Menor Valor</v>
      </c>
      <c r="L370" s="326">
        <f>IFERROR(COUNTA('LP Elementos'!F370,'LP Elementos'!I370,'LP Elementos'!N370,'LP Elementos'!S370,'LP Elementos'!X370,'LP Elementos'!AC370,'LP Elementos'!AH370,'LP Elementos'!AM370,'LP Elementos'!AR370,'LP Elementos'!AX370,'LP Elementos'!BB370,'LP Elementos'!BG370,'LP Elementos'!BL370,'LP Elementos'!BQ370,'LP Elementos'!BV370,'LP Elementos'!CA370,'LP Elementos'!CF370,'LP Elementos'!CK370,'LP Elementos'!CP370,'LP Elementos'!CU370,'LP Elementos'!CZ370)," ")</f>
        <v>1</v>
      </c>
    </row>
    <row r="371" spans="2:12" ht="40.5" x14ac:dyDescent="0.25">
      <c r="B371" s="411">
        <v>369</v>
      </c>
      <c r="C371" s="412" t="s">
        <v>3985</v>
      </c>
      <c r="D371" s="408">
        <f>IFERROR(MIN('LP Elementos'!F371,'LP Elementos'!I371,'LP Elementos'!N371,'LP Elementos'!S371,'LP Elementos'!X371,'LP Elementos'!AC371,'LP Elementos'!AH371,'LP Elementos'!AM371,'LP Elementos'!AR371,'LP Elementos'!AW371,'LP Elementos'!BB371,'LP Elementos'!BG371,'LP Elementos'!BL371,'LP Elementos'!BQ371,'LP Elementos'!BV371,'LP Elementos'!CA371,'LP Elementos'!CF371,'LP Elementos'!CK371,'LP Elementos'!CP371,'LP Elementos'!CU371,'LP Elementos'!CZ371)," ")</f>
        <v>45001.04</v>
      </c>
      <c r="E371" s="341">
        <f>IFERROR(AVERAGE('LP Elementos'!F371,'LP Elementos'!I371,'LP Elementos'!N371,'LP Elementos'!S371,'LP Elementos'!X371,'LP Elementos'!AC371,'LP Elementos'!AH371,'LP Elementos'!AM371,'LP Elementos'!AR371,'LP Elementos'!AW371,'LP Elementos'!BB371,'LP Elementos'!BG371,'LP Elementos'!BL371,'LP Elementos'!BQ371,'LP Elementos'!BV371,'LP Elementos'!CA371,'LP Elementos'!CF371,'LP Elementos'!CK371,'LP Elementos'!CP371,'LP Elementos'!CU371,'LP Elementos'!CZ371)," ")</f>
        <v>77628.204799999992</v>
      </c>
      <c r="F371" s="341">
        <f>IFERROR(MEDIAN('LP Elementos'!F371,'LP Elementos'!I371,'LP Elementos'!N371,'LP Elementos'!S371,'LP Elementos'!X371,'LP Elementos'!AC371,'LP Elementos'!AH371,'LP Elementos'!AM371,'LP Elementos'!AR371,'LP Elementos'!AW371,'LP Elementos'!BB371,'LP Elementos'!BG371,'LP Elementos'!BL371,'LP Elementos'!BQ371,'LP Elementos'!BV371,'LP Elementos'!CA371,'LP Elementos'!CF371,'LP Elementos'!CK371,'LP Elementos'!CP371,'LP Elementos'!CU371,'LP Elementos'!CZ371)," ")</f>
        <v>88060</v>
      </c>
      <c r="G371" s="341">
        <f>IFERROR(GEOMEAN('LP Elementos'!F371,'LP Elementos'!I371,'LP Elementos'!N371,'LP Elementos'!S371,'LP Elementos'!X371,'LP Elementos'!AC371,'LP Elementos'!AH371,'LP Elementos'!AM371,'LP Elementos'!AR371,'LP Elementos'!AW371,'LP Elementos'!BB371,'LP Elementos'!BG371,'LP Elementos'!BL371,'LP Elementos'!BQ371,'LP Elementos'!BV371,'LP Elementos'!CA371,'LP Elementos'!CF371,'LP Elementos'!CK371,'LP Elementos'!CP371,'LP Elementos'!CU371,'LP Elementos'!CZ371)," ")</f>
        <v>73408.235108505251</v>
      </c>
      <c r="H371" s="341">
        <f t="shared" si="28"/>
        <v>18409.416437492371</v>
      </c>
      <c r="I371" s="342">
        <f t="shared" si="29"/>
        <v>0.23714855296373377</v>
      </c>
      <c r="J371" s="341">
        <f t="shared" si="30"/>
        <v>73408.235108505251</v>
      </c>
      <c r="K371" s="326" t="str">
        <f t="shared" si="31"/>
        <v>Media Geometrica</v>
      </c>
      <c r="L371" s="326">
        <f>IFERROR(COUNTA('LP Elementos'!F371,'LP Elementos'!I371,'LP Elementos'!N371,'LP Elementos'!S371,'LP Elementos'!X371,'LP Elementos'!AC371,'LP Elementos'!AH371,'LP Elementos'!AM371,'LP Elementos'!AR371,'LP Elementos'!AX371,'LP Elementos'!BB371,'LP Elementos'!BG371,'LP Elementos'!BL371,'LP Elementos'!BQ371,'LP Elementos'!BV371,'LP Elementos'!CA371,'LP Elementos'!CF371,'LP Elementos'!CK371,'LP Elementos'!CP371,'LP Elementos'!CU371,'LP Elementos'!CZ371)," ")</f>
        <v>3</v>
      </c>
    </row>
    <row r="372" spans="2:12" ht="40.5" x14ac:dyDescent="0.25">
      <c r="B372" s="411">
        <v>370</v>
      </c>
      <c r="C372" s="412" t="s">
        <v>3989</v>
      </c>
      <c r="D372" s="408">
        <f>IFERROR(MIN('LP Elementos'!F372,'LP Elementos'!I372,'LP Elementos'!N372,'LP Elementos'!S372,'LP Elementos'!X372,'LP Elementos'!AC372,'LP Elementos'!AH372,'LP Elementos'!AM372,'LP Elementos'!AR372,'LP Elementos'!AW372,'LP Elementos'!BB372,'LP Elementos'!BG372,'LP Elementos'!BL372,'LP Elementos'!BQ372,'LP Elementos'!BV372,'LP Elementos'!CA372,'LP Elementos'!CF372,'LP Elementos'!CK372,'LP Elementos'!CP372,'LP Elementos'!CU372,'LP Elementos'!CZ372)," ")</f>
        <v>45001.04</v>
      </c>
      <c r="E372" s="341">
        <f>IFERROR(AVERAGE('LP Elementos'!F372,'LP Elementos'!I372,'LP Elementos'!N372,'LP Elementos'!S372,'LP Elementos'!X372,'LP Elementos'!AC372,'LP Elementos'!AH372,'LP Elementos'!AM372,'LP Elementos'!AR372,'LP Elementos'!AW372,'LP Elementos'!BB372,'LP Elementos'!BG372,'LP Elementos'!BL372,'LP Elementos'!BQ372,'LP Elementos'!BV372,'LP Elementos'!CA372,'LP Elementos'!CF372,'LP Elementos'!CK372,'LP Elementos'!CP372,'LP Elementos'!CU372,'LP Elementos'!CZ372)," ")</f>
        <v>76960.334333333332</v>
      </c>
      <c r="F372" s="341">
        <f>IFERROR(MEDIAN('LP Elementos'!F372,'LP Elementos'!I372,'LP Elementos'!N372,'LP Elementos'!S372,'LP Elementos'!X372,'LP Elementos'!AC372,'LP Elementos'!AH372,'LP Elementos'!AM372,'LP Elementos'!AR372,'LP Elementos'!AW372,'LP Elementos'!BB372,'LP Elementos'!BG372,'LP Elementos'!BL372,'LP Elementos'!BQ372,'LP Elementos'!BV372,'LP Elementos'!CA372,'LP Elementos'!CF372,'LP Elementos'!CK372,'LP Elementos'!CP372,'LP Elementos'!CU372,'LP Elementos'!CZ372)," ")</f>
        <v>88060</v>
      </c>
      <c r="G372" s="341">
        <f>IFERROR(GEOMEAN('LP Elementos'!F372,'LP Elementos'!I372,'LP Elementos'!N372,'LP Elementos'!S372,'LP Elementos'!X372,'LP Elementos'!AC372,'LP Elementos'!AH372,'LP Elementos'!AM372,'LP Elementos'!AR372,'LP Elementos'!AW372,'LP Elementos'!BB372,'LP Elementos'!BG372,'LP Elementos'!BL372,'LP Elementos'!BQ372,'LP Elementos'!BV372,'LP Elementos'!CA372,'LP Elementos'!CF372,'LP Elementos'!CK372,'LP Elementos'!CP372,'LP Elementos'!CU372,'LP Elementos'!CZ372)," ")</f>
        <v>72913.773587567543</v>
      </c>
      <c r="H372" s="341">
        <f t="shared" si="28"/>
        <v>18311.14558862615</v>
      </c>
      <c r="I372" s="342">
        <f t="shared" si="29"/>
        <v>0.23792965229745841</v>
      </c>
      <c r="J372" s="341">
        <f t="shared" si="30"/>
        <v>72913.773587567543</v>
      </c>
      <c r="K372" s="326" t="str">
        <f t="shared" si="31"/>
        <v>Media Geometrica</v>
      </c>
      <c r="L372" s="326">
        <f>IFERROR(COUNTA('LP Elementos'!F372,'LP Elementos'!I372,'LP Elementos'!N372,'LP Elementos'!S372,'LP Elementos'!X372,'LP Elementos'!AC372,'LP Elementos'!AH372,'LP Elementos'!AM372,'LP Elementos'!AR372,'LP Elementos'!AX372,'LP Elementos'!BB372,'LP Elementos'!BG372,'LP Elementos'!BL372,'LP Elementos'!BQ372,'LP Elementos'!BV372,'LP Elementos'!CA372,'LP Elementos'!CF372,'LP Elementos'!CK372,'LP Elementos'!CP372,'LP Elementos'!CU372,'LP Elementos'!CZ372)," ")</f>
        <v>3</v>
      </c>
    </row>
    <row r="373" spans="2:12" x14ac:dyDescent="0.25">
      <c r="B373" s="411">
        <v>371</v>
      </c>
      <c r="C373" s="412" t="s">
        <v>3991</v>
      </c>
      <c r="D373" s="408">
        <f>IFERROR(MIN('LP Elementos'!F373,'LP Elementos'!I373,'LP Elementos'!N373,'LP Elementos'!S373,'LP Elementos'!X373,'LP Elementos'!AC373,'LP Elementos'!AH373,'LP Elementos'!AM373,'LP Elementos'!AR373,'LP Elementos'!AW373,'LP Elementos'!BB373,'LP Elementos'!BG373,'LP Elementos'!BL373,'LP Elementos'!BQ373,'LP Elementos'!BV373,'LP Elementos'!CA373,'LP Elementos'!CF373,'LP Elementos'!CK373,'LP Elementos'!CP373,'LP Elementos'!CU373,'LP Elementos'!CZ373)," ")</f>
        <v>385552.07939999999</v>
      </c>
      <c r="E373" s="341">
        <f>IFERROR(AVERAGE('LP Elementos'!F373,'LP Elementos'!I373,'LP Elementos'!N373,'LP Elementos'!S373,'LP Elementos'!X373,'LP Elementos'!AC373,'LP Elementos'!AH373,'LP Elementos'!AM373,'LP Elementos'!AR373,'LP Elementos'!AW373,'LP Elementos'!BB373,'LP Elementos'!BG373,'LP Elementos'!BL373,'LP Elementos'!BQ373,'LP Elementos'!BV373,'LP Elementos'!CA373,'LP Elementos'!CF373,'LP Elementos'!CK373,'LP Elementos'!CP373,'LP Elementos'!CU373,'LP Elementos'!CZ373)," ")</f>
        <v>385552.07939999999</v>
      </c>
      <c r="F373" s="341">
        <f>IFERROR(MEDIAN('LP Elementos'!F373,'LP Elementos'!I373,'LP Elementos'!N373,'LP Elementos'!S373,'LP Elementos'!X373,'LP Elementos'!AC373,'LP Elementos'!AH373,'LP Elementos'!AM373,'LP Elementos'!AR373,'LP Elementos'!AW373,'LP Elementos'!BB373,'LP Elementos'!BG373,'LP Elementos'!BL373,'LP Elementos'!BQ373,'LP Elementos'!BV373,'LP Elementos'!CA373,'LP Elementos'!CF373,'LP Elementos'!CK373,'LP Elementos'!CP373,'LP Elementos'!CU373,'LP Elementos'!CZ373)," ")</f>
        <v>385552.07939999999</v>
      </c>
      <c r="G373" s="341">
        <f>IFERROR(GEOMEAN('LP Elementos'!F373,'LP Elementos'!I373,'LP Elementos'!N373,'LP Elementos'!S373,'LP Elementos'!X373,'LP Elementos'!AC373,'LP Elementos'!AH373,'LP Elementos'!AM373,'LP Elementos'!AR373,'LP Elementos'!AW373,'LP Elementos'!BB373,'LP Elementos'!BG373,'LP Elementos'!BL373,'LP Elementos'!BQ373,'LP Elementos'!BV373,'LP Elementos'!CA373,'LP Elementos'!CF373,'LP Elementos'!CK373,'LP Elementos'!CP373,'LP Elementos'!CU373,'LP Elementos'!CZ373)," ")</f>
        <v>385552.07939999999</v>
      </c>
      <c r="H373" s="341">
        <f t="shared" si="28"/>
        <v>0</v>
      </c>
      <c r="I373" s="342">
        <f t="shared" si="29"/>
        <v>0</v>
      </c>
      <c r="J373" s="341">
        <f t="shared" si="30"/>
        <v>385552.07939999999</v>
      </c>
      <c r="K373" s="326" t="str">
        <f t="shared" si="31"/>
        <v>Menor Valor</v>
      </c>
      <c r="L373" s="326">
        <f>IFERROR(COUNTA('LP Elementos'!F373,'LP Elementos'!I373,'LP Elementos'!N373,'LP Elementos'!S373,'LP Elementos'!X373,'LP Elementos'!AC373,'LP Elementos'!AH373,'LP Elementos'!AM373,'LP Elementos'!AR373,'LP Elementos'!AX373,'LP Elementos'!BB373,'LP Elementos'!BG373,'LP Elementos'!BL373,'LP Elementos'!BQ373,'LP Elementos'!BV373,'LP Elementos'!CA373,'LP Elementos'!CF373,'LP Elementos'!CK373,'LP Elementos'!CP373,'LP Elementos'!CU373,'LP Elementos'!CZ373)," ")</f>
        <v>1</v>
      </c>
    </row>
    <row r="374" spans="2:12" ht="67.5" x14ac:dyDescent="0.25">
      <c r="B374" s="411">
        <v>372</v>
      </c>
      <c r="C374" s="412" t="s">
        <v>3993</v>
      </c>
      <c r="D374" s="408">
        <f>IFERROR(MIN('LP Elementos'!F374,'LP Elementos'!I374,'LP Elementos'!N374,'LP Elementos'!S374,'LP Elementos'!X374,'LP Elementos'!AC374,'LP Elementos'!AH374,'LP Elementos'!AM374,'LP Elementos'!AR374,'LP Elementos'!AW374,'LP Elementos'!BB374,'LP Elementos'!BG374,'LP Elementos'!BL374,'LP Elementos'!BQ374,'LP Elementos'!BV374,'LP Elementos'!CA374,'LP Elementos'!CF374,'LP Elementos'!CK374,'LP Elementos'!CP374,'LP Elementos'!CU374,'LP Elementos'!CZ374)," ")</f>
        <v>27022.877</v>
      </c>
      <c r="E374" s="341">
        <f>IFERROR(AVERAGE('LP Elementos'!F374,'LP Elementos'!I374,'LP Elementos'!N374,'LP Elementos'!S374,'LP Elementos'!X374,'LP Elementos'!AC374,'LP Elementos'!AH374,'LP Elementos'!AM374,'LP Elementos'!AR374,'LP Elementos'!AW374,'LP Elementos'!BB374,'LP Elementos'!BG374,'LP Elementos'!BL374,'LP Elementos'!BQ374,'LP Elementos'!BV374,'LP Elementos'!CA374,'LP Elementos'!CF374,'LP Elementos'!CK374,'LP Elementos'!CP374,'LP Elementos'!CU374,'LP Elementos'!CZ374)," ")</f>
        <v>31361.4385</v>
      </c>
      <c r="F374" s="341">
        <f>IFERROR(MEDIAN('LP Elementos'!F374,'LP Elementos'!I374,'LP Elementos'!N374,'LP Elementos'!S374,'LP Elementos'!X374,'LP Elementos'!AC374,'LP Elementos'!AH374,'LP Elementos'!AM374,'LP Elementos'!AR374,'LP Elementos'!AW374,'LP Elementos'!BB374,'LP Elementos'!BG374,'LP Elementos'!BL374,'LP Elementos'!BQ374,'LP Elementos'!BV374,'LP Elementos'!CA374,'LP Elementos'!CF374,'LP Elementos'!CK374,'LP Elementos'!CP374,'LP Elementos'!CU374,'LP Elementos'!CZ374)," ")</f>
        <v>31361.4385</v>
      </c>
      <c r="G374" s="341">
        <f>IFERROR(GEOMEAN('LP Elementos'!F374,'LP Elementos'!I374,'LP Elementos'!N374,'LP Elementos'!S374,'LP Elementos'!X374,'LP Elementos'!AC374,'LP Elementos'!AH374,'LP Elementos'!AM374,'LP Elementos'!AR374,'LP Elementos'!AW374,'LP Elementos'!BB374,'LP Elementos'!BG374,'LP Elementos'!BL374,'LP Elementos'!BQ374,'LP Elementos'!BV374,'LP Elementos'!CA374,'LP Elementos'!CF374,'LP Elementos'!CK374,'LP Elementos'!CP374,'LP Elementos'!CU374,'LP Elementos'!CZ374)," ")</f>
        <v>31059.889067734934</v>
      </c>
      <c r="H374" s="341">
        <f t="shared" si="28"/>
        <v>2123.7851887177121</v>
      </c>
      <c r="I374" s="342">
        <f t="shared" si="29"/>
        <v>6.7719635651206242E-2</v>
      </c>
      <c r="J374" s="341">
        <f t="shared" si="30"/>
        <v>31361.4385</v>
      </c>
      <c r="K374" s="326" t="str">
        <f t="shared" si="31"/>
        <v>Promedio</v>
      </c>
      <c r="L374" s="326">
        <f>IFERROR(COUNTA('LP Elementos'!F374,'LP Elementos'!I374,'LP Elementos'!N374,'LP Elementos'!S374,'LP Elementos'!X374,'LP Elementos'!AC374,'LP Elementos'!AH374,'LP Elementos'!AM374,'LP Elementos'!AR374,'LP Elementos'!AX374,'LP Elementos'!BB374,'LP Elementos'!BG374,'LP Elementos'!BL374,'LP Elementos'!BQ374,'LP Elementos'!BV374,'LP Elementos'!CA374,'LP Elementos'!CF374,'LP Elementos'!CK374,'LP Elementos'!CP374,'LP Elementos'!CU374,'LP Elementos'!CZ374)," ")</f>
        <v>2</v>
      </c>
    </row>
    <row r="375" spans="2:12" x14ac:dyDescent="0.25">
      <c r="B375" s="411">
        <v>373</v>
      </c>
      <c r="C375" s="412" t="s">
        <v>3995</v>
      </c>
      <c r="D375" s="408">
        <f>IFERROR(MIN('LP Elementos'!F375,'LP Elementos'!I375,'LP Elementos'!N375,'LP Elementos'!S375,'LP Elementos'!X375,'LP Elementos'!AC375,'LP Elementos'!AH375,'LP Elementos'!AM375,'LP Elementos'!AR375,'LP Elementos'!AW375,'LP Elementos'!BB375,'LP Elementos'!BG375,'LP Elementos'!BL375,'LP Elementos'!BQ375,'LP Elementos'!BV375,'LP Elementos'!CA375,'LP Elementos'!CF375,'LP Elementos'!CK375,'LP Elementos'!CP375,'LP Elementos'!CU375,'LP Elementos'!CZ375)," ")</f>
        <v>4342513.49</v>
      </c>
      <c r="E375" s="341">
        <f>IFERROR(AVERAGE('LP Elementos'!F375,'LP Elementos'!I375,'LP Elementos'!N375,'LP Elementos'!S375,'LP Elementos'!X375,'LP Elementos'!AC375,'LP Elementos'!AH375,'LP Elementos'!AM375,'LP Elementos'!AR375,'LP Elementos'!AW375,'LP Elementos'!BB375,'LP Elementos'!BG375,'LP Elementos'!BL375,'LP Elementos'!BQ375,'LP Elementos'!BV375,'LP Elementos'!CA375,'LP Elementos'!CF375,'LP Elementos'!CK375,'LP Elementos'!CP375,'LP Elementos'!CU375,'LP Elementos'!CZ375)," ")</f>
        <v>4342513.49</v>
      </c>
      <c r="F375" s="341">
        <f>IFERROR(MEDIAN('LP Elementos'!F375,'LP Elementos'!I375,'LP Elementos'!N375,'LP Elementos'!S375,'LP Elementos'!X375,'LP Elementos'!AC375,'LP Elementos'!AH375,'LP Elementos'!AM375,'LP Elementos'!AR375,'LP Elementos'!AW375,'LP Elementos'!BB375,'LP Elementos'!BG375,'LP Elementos'!BL375,'LP Elementos'!BQ375,'LP Elementos'!BV375,'LP Elementos'!CA375,'LP Elementos'!CF375,'LP Elementos'!CK375,'LP Elementos'!CP375,'LP Elementos'!CU375,'LP Elementos'!CZ375)," ")</f>
        <v>4342513.49</v>
      </c>
      <c r="G375" s="341">
        <f>IFERROR(GEOMEAN('LP Elementos'!F375,'LP Elementos'!I375,'LP Elementos'!N375,'LP Elementos'!S375,'LP Elementos'!X375,'LP Elementos'!AC375,'LP Elementos'!AH375,'LP Elementos'!AM375,'LP Elementos'!AR375,'LP Elementos'!AW375,'LP Elementos'!BB375,'LP Elementos'!BG375,'LP Elementos'!BL375,'LP Elementos'!BQ375,'LP Elementos'!BV375,'LP Elementos'!CA375,'LP Elementos'!CF375,'LP Elementos'!CK375,'LP Elementos'!CP375,'LP Elementos'!CU375,'LP Elementos'!CZ375)," ")</f>
        <v>4342513.49</v>
      </c>
      <c r="H375" s="341">
        <f t="shared" si="28"/>
        <v>0</v>
      </c>
      <c r="I375" s="342">
        <f t="shared" si="29"/>
        <v>0</v>
      </c>
      <c r="J375" s="341">
        <f t="shared" si="30"/>
        <v>4342513.49</v>
      </c>
      <c r="K375" s="326" t="str">
        <f t="shared" si="31"/>
        <v>Menor Valor</v>
      </c>
      <c r="L375" s="326">
        <f>IFERROR(COUNTA('LP Elementos'!F375,'LP Elementos'!I375,'LP Elementos'!N375,'LP Elementos'!S375,'LP Elementos'!X375,'LP Elementos'!AC375,'LP Elementos'!AH375,'LP Elementos'!AM375,'LP Elementos'!AR375,'LP Elementos'!AX375,'LP Elementos'!BB375,'LP Elementos'!BG375,'LP Elementos'!BL375,'LP Elementos'!BQ375,'LP Elementos'!BV375,'LP Elementos'!CA375,'LP Elementos'!CF375,'LP Elementos'!CK375,'LP Elementos'!CP375,'LP Elementos'!CU375,'LP Elementos'!CZ375)," ")</f>
        <v>1</v>
      </c>
    </row>
    <row r="376" spans="2:12" ht="40.5" x14ac:dyDescent="0.25">
      <c r="B376" s="411">
        <v>374</v>
      </c>
      <c r="C376" s="412" t="s">
        <v>3998</v>
      </c>
      <c r="D376" s="408">
        <f>IFERROR(MIN('LP Elementos'!F376,'LP Elementos'!I376,'LP Elementos'!N376,'LP Elementos'!S376,'LP Elementos'!X376,'LP Elementos'!AC376,'LP Elementos'!AH376,'LP Elementos'!AM376,'LP Elementos'!AR376,'LP Elementos'!AW376,'LP Elementos'!BB376,'LP Elementos'!BG376,'LP Elementos'!BL376,'LP Elementos'!BQ376,'LP Elementos'!BV376,'LP Elementos'!CA376,'LP Elementos'!CF376,'LP Elementos'!CK376,'LP Elementos'!CP376,'LP Elementos'!CU376,'LP Elementos'!CZ376)," ")</f>
        <v>1484372.9180000001</v>
      </c>
      <c r="E376" s="341">
        <f>IFERROR(AVERAGE('LP Elementos'!F376,'LP Elementos'!I376,'LP Elementos'!N376,'LP Elementos'!S376,'LP Elementos'!X376,'LP Elementos'!AC376,'LP Elementos'!AH376,'LP Elementos'!AM376,'LP Elementos'!AR376,'LP Elementos'!AW376,'LP Elementos'!BB376,'LP Elementos'!BG376,'LP Elementos'!BL376,'LP Elementos'!BQ376,'LP Elementos'!BV376,'LP Elementos'!CA376,'LP Elementos'!CF376,'LP Elementos'!CK376,'LP Elementos'!CP376,'LP Elementos'!CU376,'LP Elementos'!CZ376)," ")</f>
        <v>3219171.4589999998</v>
      </c>
      <c r="F376" s="341">
        <f>IFERROR(MEDIAN('LP Elementos'!F376,'LP Elementos'!I376,'LP Elementos'!N376,'LP Elementos'!S376,'LP Elementos'!X376,'LP Elementos'!AC376,'LP Elementos'!AH376,'LP Elementos'!AM376,'LP Elementos'!AR376,'LP Elementos'!AW376,'LP Elementos'!BB376,'LP Elementos'!BG376,'LP Elementos'!BL376,'LP Elementos'!BQ376,'LP Elementos'!BV376,'LP Elementos'!CA376,'LP Elementos'!CF376,'LP Elementos'!CK376,'LP Elementos'!CP376,'LP Elementos'!CU376,'LP Elementos'!CZ376)," ")</f>
        <v>3219171.4589999998</v>
      </c>
      <c r="G376" s="341">
        <f>IFERROR(GEOMEAN('LP Elementos'!F376,'LP Elementos'!I376,'LP Elementos'!N376,'LP Elementos'!S376,'LP Elementos'!X376,'LP Elementos'!AC376,'LP Elementos'!AH376,'LP Elementos'!AM376,'LP Elementos'!AR376,'LP Elementos'!AW376,'LP Elementos'!BB376,'LP Elementos'!BG376,'LP Elementos'!BL376,'LP Elementos'!BQ376,'LP Elementos'!BV376,'LP Elementos'!CA376,'LP Elementos'!CF376,'LP Elementos'!CK376,'LP Elementos'!CP376,'LP Elementos'!CU376,'LP Elementos'!CZ376)," ")</f>
        <v>2711740.9361117925</v>
      </c>
      <c r="H376" s="341">
        <f t="shared" si="28"/>
        <v>818558.47269821074</v>
      </c>
      <c r="I376" s="342">
        <f t="shared" si="29"/>
        <v>0.25427613382000069</v>
      </c>
      <c r="J376" s="341">
        <f t="shared" si="30"/>
        <v>2711740.9361117925</v>
      </c>
      <c r="K376" s="326" t="str">
        <f t="shared" si="31"/>
        <v>Media Geometrica</v>
      </c>
      <c r="L376" s="326">
        <f>IFERROR(COUNTA('LP Elementos'!F376,'LP Elementos'!I376,'LP Elementos'!N376,'LP Elementos'!S376,'LP Elementos'!X376,'LP Elementos'!AC376,'LP Elementos'!AH376,'LP Elementos'!AM376,'LP Elementos'!AR376,'LP Elementos'!AX376,'LP Elementos'!BB376,'LP Elementos'!BG376,'LP Elementos'!BL376,'LP Elementos'!BQ376,'LP Elementos'!BV376,'LP Elementos'!CA376,'LP Elementos'!CF376,'LP Elementos'!CK376,'LP Elementos'!CP376,'LP Elementos'!CU376,'LP Elementos'!CZ376)," ")</f>
        <v>2</v>
      </c>
    </row>
    <row r="377" spans="2:12" ht="27" x14ac:dyDescent="0.25">
      <c r="B377" s="411">
        <v>375</v>
      </c>
      <c r="C377" s="412" t="s">
        <v>4002</v>
      </c>
      <c r="D377" s="408">
        <f>IFERROR(MIN('LP Elementos'!F377,'LP Elementos'!I377,'LP Elementos'!N377,'LP Elementos'!S377,'LP Elementos'!X377,'LP Elementos'!AC377,'LP Elementos'!AH377,'LP Elementos'!AM377,'LP Elementos'!AR377,'LP Elementos'!AW377,'LP Elementos'!BB377,'LP Elementos'!BG377,'LP Elementos'!BL377,'LP Elementos'!BQ377,'LP Elementos'!BV377,'LP Elementos'!CA377,'LP Elementos'!CF377,'LP Elementos'!CK377,'LP Elementos'!CP377,'LP Elementos'!CU377,'LP Elementos'!CZ377)," ")</f>
        <v>135660</v>
      </c>
      <c r="E377" s="341">
        <f>IFERROR(AVERAGE('LP Elementos'!F377,'LP Elementos'!I377,'LP Elementos'!N377,'LP Elementos'!S377,'LP Elementos'!X377,'LP Elementos'!AC377,'LP Elementos'!AH377,'LP Elementos'!AM377,'LP Elementos'!AR377,'LP Elementos'!AW377,'LP Elementos'!BB377,'LP Elementos'!BG377,'LP Elementos'!BL377,'LP Elementos'!BQ377,'LP Elementos'!BV377,'LP Elementos'!CA377,'LP Elementos'!CF377,'LP Elementos'!CK377,'LP Elementos'!CP377,'LP Elementos'!CU377,'LP Elementos'!CZ377)," ")</f>
        <v>162724.28899999999</v>
      </c>
      <c r="F377" s="341">
        <f>IFERROR(MEDIAN('LP Elementos'!F377,'LP Elementos'!I377,'LP Elementos'!N377,'LP Elementos'!S377,'LP Elementos'!X377,'LP Elementos'!AC377,'LP Elementos'!AH377,'LP Elementos'!AM377,'LP Elementos'!AR377,'LP Elementos'!AW377,'LP Elementos'!BB377,'LP Elementos'!BG377,'LP Elementos'!BL377,'LP Elementos'!BQ377,'LP Elementos'!BV377,'LP Elementos'!CA377,'LP Elementos'!CF377,'LP Elementos'!CK377,'LP Elementos'!CP377,'LP Elementos'!CU377,'LP Elementos'!CZ377)," ")</f>
        <v>162724.28899999999</v>
      </c>
      <c r="G377" s="341">
        <f>IFERROR(GEOMEAN('LP Elementos'!F377,'LP Elementos'!I377,'LP Elementos'!N377,'LP Elementos'!S377,'LP Elementos'!X377,'LP Elementos'!AC377,'LP Elementos'!AH377,'LP Elementos'!AM377,'LP Elementos'!AR377,'LP Elementos'!AW377,'LP Elementos'!BB377,'LP Elementos'!BG377,'LP Elementos'!BL377,'LP Elementos'!BQ377,'LP Elementos'!BV377,'LP Elementos'!CA377,'LP Elementos'!CF377,'LP Elementos'!CK377,'LP Elementos'!CP377,'LP Elementos'!CU377,'LP Elementos'!CZ377)," ")</f>
        <v>160457.84023063505</v>
      </c>
      <c r="H377" s="341">
        <f t="shared" si="28"/>
        <v>13197.720568035775</v>
      </c>
      <c r="I377" s="342">
        <f t="shared" si="29"/>
        <v>8.1104797870929862E-2</v>
      </c>
      <c r="J377" s="341">
        <f t="shared" si="30"/>
        <v>162724.28899999999</v>
      </c>
      <c r="K377" s="326" t="str">
        <f t="shared" si="31"/>
        <v>Promedio</v>
      </c>
      <c r="L377" s="326">
        <f>IFERROR(COUNTA('LP Elementos'!F377,'LP Elementos'!I377,'LP Elementos'!N377,'LP Elementos'!S377,'LP Elementos'!X377,'LP Elementos'!AC377,'LP Elementos'!AH377,'LP Elementos'!AM377,'LP Elementos'!AR377,'LP Elementos'!AX377,'LP Elementos'!BB377,'LP Elementos'!BG377,'LP Elementos'!BL377,'LP Elementos'!BQ377,'LP Elementos'!BV377,'LP Elementos'!CA377,'LP Elementos'!CF377,'LP Elementos'!CK377,'LP Elementos'!CP377,'LP Elementos'!CU377,'LP Elementos'!CZ377)," ")</f>
        <v>2</v>
      </c>
    </row>
    <row r="378" spans="2:12" x14ac:dyDescent="0.25">
      <c r="B378" s="411">
        <v>376</v>
      </c>
      <c r="C378" s="412" t="s">
        <v>4007</v>
      </c>
      <c r="D378" s="408">
        <f>IFERROR(MIN('LP Elementos'!F378,'LP Elementos'!I378,'LP Elementos'!N378,'LP Elementos'!S378,'LP Elementos'!X378,'LP Elementos'!AC378,'LP Elementos'!AH378,'LP Elementos'!AM378,'LP Elementos'!AR378,'LP Elementos'!AW378,'LP Elementos'!BB378,'LP Elementos'!BG378,'LP Elementos'!BL378,'LP Elementos'!BQ378,'LP Elementos'!BV378,'LP Elementos'!CA378,'LP Elementos'!CF378,'LP Elementos'!CK378,'LP Elementos'!CP378,'LP Elementos'!CU378,'LP Elementos'!CZ378)," ")</f>
        <v>30940</v>
      </c>
      <c r="E378" s="341">
        <f>IFERROR(AVERAGE('LP Elementos'!F378,'LP Elementos'!I378,'LP Elementos'!N378,'LP Elementos'!S378,'LP Elementos'!X378,'LP Elementos'!AC378,'LP Elementos'!AH378,'LP Elementos'!AM378,'LP Elementos'!AR378,'LP Elementos'!AW378,'LP Elementos'!BB378,'LP Elementos'!BG378,'LP Elementos'!BL378,'LP Elementos'!BQ378,'LP Elementos'!BV378,'LP Elementos'!CA378,'LP Elementos'!CF378,'LP Elementos'!CK378,'LP Elementos'!CP378,'LP Elementos'!CU378,'LP Elementos'!CZ378)," ")</f>
        <v>34323.17</v>
      </c>
      <c r="F378" s="341">
        <f>IFERROR(MEDIAN('LP Elementos'!F378,'LP Elementos'!I378,'LP Elementos'!N378,'LP Elementos'!S378,'LP Elementos'!X378,'LP Elementos'!AC378,'LP Elementos'!AH378,'LP Elementos'!AM378,'LP Elementos'!AR378,'LP Elementos'!AW378,'LP Elementos'!BB378,'LP Elementos'!BG378,'LP Elementos'!BL378,'LP Elementos'!BQ378,'LP Elementos'!BV378,'LP Elementos'!CA378,'LP Elementos'!CF378,'LP Elementos'!CK378,'LP Elementos'!CP378,'LP Elementos'!CU378,'LP Elementos'!CZ378)," ")</f>
        <v>34323.17</v>
      </c>
      <c r="G378" s="341">
        <f>IFERROR(GEOMEAN('LP Elementos'!F378,'LP Elementos'!I378,'LP Elementos'!N378,'LP Elementos'!S378,'LP Elementos'!X378,'LP Elementos'!AC378,'LP Elementos'!AH378,'LP Elementos'!AM378,'LP Elementos'!AR378,'LP Elementos'!AW378,'LP Elementos'!BB378,'LP Elementos'!BG378,'LP Elementos'!BL378,'LP Elementos'!BQ378,'LP Elementos'!BV378,'LP Elementos'!CA378,'LP Elementos'!CF378,'LP Elementos'!CK378,'LP Elementos'!CP378,'LP Elementos'!CU378,'LP Elementos'!CZ378)," ")</f>
        <v>34156.026695152941</v>
      </c>
      <c r="H378" s="341">
        <f t="shared" si="28"/>
        <v>1665.5924864355507</v>
      </c>
      <c r="I378" s="342">
        <f t="shared" si="29"/>
        <v>4.8526767382952994E-2</v>
      </c>
      <c r="J378" s="341">
        <f t="shared" si="30"/>
        <v>34323.17</v>
      </c>
      <c r="K378" s="326" t="str">
        <f t="shared" si="31"/>
        <v>Promedio</v>
      </c>
      <c r="L378" s="326">
        <f>IFERROR(COUNTA('LP Elementos'!F378,'LP Elementos'!I378,'LP Elementos'!N378,'LP Elementos'!S378,'LP Elementos'!X378,'LP Elementos'!AC378,'LP Elementos'!AH378,'LP Elementos'!AM378,'LP Elementos'!AR378,'LP Elementos'!AX378,'LP Elementos'!BB378,'LP Elementos'!BG378,'LP Elementos'!BL378,'LP Elementos'!BQ378,'LP Elementos'!BV378,'LP Elementos'!CA378,'LP Elementos'!CF378,'LP Elementos'!CK378,'LP Elementos'!CP378,'LP Elementos'!CU378,'LP Elementos'!CZ378)," ")</f>
        <v>2</v>
      </c>
    </row>
    <row r="379" spans="2:12" x14ac:dyDescent="0.25">
      <c r="B379" s="411">
        <v>377</v>
      </c>
      <c r="C379" s="412" t="s">
        <v>4009</v>
      </c>
      <c r="D379" s="408">
        <f>IFERROR(MIN('LP Elementos'!F379,'LP Elementos'!I379,'LP Elementos'!N379,'LP Elementos'!S379,'LP Elementos'!X379,'LP Elementos'!AC379,'LP Elementos'!AH379,'LP Elementos'!AM379,'LP Elementos'!AR379,'LP Elementos'!AW379,'LP Elementos'!BB379,'LP Elementos'!BG379,'LP Elementos'!BL379,'LP Elementos'!BQ379,'LP Elementos'!BV379,'LP Elementos'!CA379,'LP Elementos'!CF379,'LP Elementos'!CK379,'LP Elementos'!CP379,'LP Elementos'!CU379,'LP Elementos'!CZ379)," ")</f>
        <v>166600</v>
      </c>
      <c r="E379" s="341">
        <f>IFERROR(AVERAGE('LP Elementos'!F379,'LP Elementos'!I379,'LP Elementos'!N379,'LP Elementos'!S379,'LP Elementos'!X379,'LP Elementos'!AC379,'LP Elementos'!AH379,'LP Elementos'!AM379,'LP Elementos'!AR379,'LP Elementos'!AW379,'LP Elementos'!BB379,'LP Elementos'!BG379,'LP Elementos'!BL379,'LP Elementos'!BQ379,'LP Elementos'!BV379,'LP Elementos'!CA379,'LP Elementos'!CF379,'LP Elementos'!CK379,'LP Elementos'!CP379,'LP Elementos'!CU379,'LP Elementos'!CZ379)," ")</f>
        <v>196419.02000000002</v>
      </c>
      <c r="F379" s="341">
        <f>IFERROR(MEDIAN('LP Elementos'!F379,'LP Elementos'!I379,'LP Elementos'!N379,'LP Elementos'!S379,'LP Elementos'!X379,'LP Elementos'!AC379,'LP Elementos'!AH379,'LP Elementos'!AM379,'LP Elementos'!AR379,'LP Elementos'!AW379,'LP Elementos'!BB379,'LP Elementos'!BG379,'LP Elementos'!BL379,'LP Elementos'!BQ379,'LP Elementos'!BV379,'LP Elementos'!CA379,'LP Elementos'!CF379,'LP Elementos'!CK379,'LP Elementos'!CP379,'LP Elementos'!CU379,'LP Elementos'!CZ379)," ")</f>
        <v>196419.02000000002</v>
      </c>
      <c r="G379" s="341">
        <f>IFERROR(GEOMEAN('LP Elementos'!F379,'LP Elementos'!I379,'LP Elementos'!N379,'LP Elementos'!S379,'LP Elementos'!X379,'LP Elementos'!AC379,'LP Elementos'!AH379,'LP Elementos'!AM379,'LP Elementos'!AR379,'LP Elementos'!AW379,'LP Elementos'!BB379,'LP Elementos'!BG379,'LP Elementos'!BL379,'LP Elementos'!BQ379,'LP Elementos'!BV379,'LP Elementos'!CA379,'LP Elementos'!CF379,'LP Elementos'!CK379,'LP Elementos'!CP379,'LP Elementos'!CU379,'LP Elementos'!CZ379)," ")</f>
        <v>194142.36390855038</v>
      </c>
      <c r="H379" s="341">
        <f t="shared" si="28"/>
        <v>14569.648940832705</v>
      </c>
      <c r="I379" s="342">
        <f t="shared" si="29"/>
        <v>7.4176365103708911E-2</v>
      </c>
      <c r="J379" s="341">
        <f t="shared" si="30"/>
        <v>196419.02000000002</v>
      </c>
      <c r="K379" s="326" t="str">
        <f t="shared" si="31"/>
        <v>Promedio</v>
      </c>
      <c r="L379" s="326">
        <f>IFERROR(COUNTA('LP Elementos'!F379,'LP Elementos'!I379,'LP Elementos'!N379,'LP Elementos'!S379,'LP Elementos'!X379,'LP Elementos'!AC379,'LP Elementos'!AH379,'LP Elementos'!AM379,'LP Elementos'!AR379,'LP Elementos'!AX379,'LP Elementos'!BB379,'LP Elementos'!BG379,'LP Elementos'!BL379,'LP Elementos'!BQ379,'LP Elementos'!BV379,'LP Elementos'!CA379,'LP Elementos'!CF379,'LP Elementos'!CK379,'LP Elementos'!CP379,'LP Elementos'!CU379,'LP Elementos'!CZ379)," ")</f>
        <v>2</v>
      </c>
    </row>
    <row r="380" spans="2:12" x14ac:dyDescent="0.25">
      <c r="B380" s="411">
        <v>378</v>
      </c>
      <c r="C380" s="412" t="s">
        <v>4013</v>
      </c>
      <c r="D380" s="408">
        <f>IFERROR(MIN('LP Elementos'!F380,'LP Elementos'!I380,'LP Elementos'!N380,'LP Elementos'!S380,'LP Elementos'!X380,'LP Elementos'!AC380,'LP Elementos'!AH380,'LP Elementos'!AM380,'LP Elementos'!AR380,'LP Elementos'!AW380,'LP Elementos'!BB380,'LP Elementos'!BG380,'LP Elementos'!BL380,'LP Elementos'!BQ380,'LP Elementos'!BV380,'LP Elementos'!CA380,'LP Elementos'!CF380,'LP Elementos'!CK380,'LP Elementos'!CP380,'LP Elementos'!CU380,'LP Elementos'!CZ380)," ")</f>
        <v>173449.16400000002</v>
      </c>
      <c r="E380" s="341">
        <f>IFERROR(AVERAGE('LP Elementos'!F380,'LP Elementos'!I380,'LP Elementos'!N380,'LP Elementos'!S380,'LP Elementos'!X380,'LP Elementos'!AC380,'LP Elementos'!AH380,'LP Elementos'!AM380,'LP Elementos'!AR380,'LP Elementos'!AW380,'LP Elementos'!BB380,'LP Elementos'!BG380,'LP Elementos'!BL380,'LP Elementos'!BQ380,'LP Elementos'!BV380,'LP Elementos'!CA380,'LP Elementos'!CF380,'LP Elementos'!CK380,'LP Elementos'!CP380,'LP Elementos'!CU380,'LP Elementos'!CZ380)," ")</f>
        <v>205724.58199999999</v>
      </c>
      <c r="F380" s="341">
        <f>IFERROR(MEDIAN('LP Elementos'!F380,'LP Elementos'!I380,'LP Elementos'!N380,'LP Elementos'!S380,'LP Elementos'!X380,'LP Elementos'!AC380,'LP Elementos'!AH380,'LP Elementos'!AM380,'LP Elementos'!AR380,'LP Elementos'!AW380,'LP Elementos'!BB380,'LP Elementos'!BG380,'LP Elementos'!BL380,'LP Elementos'!BQ380,'LP Elementos'!BV380,'LP Elementos'!CA380,'LP Elementos'!CF380,'LP Elementos'!CK380,'LP Elementos'!CP380,'LP Elementos'!CU380,'LP Elementos'!CZ380)," ")</f>
        <v>205724.58199999999</v>
      </c>
      <c r="G380" s="341">
        <f>IFERROR(GEOMEAN('LP Elementos'!F380,'LP Elementos'!I380,'LP Elementos'!N380,'LP Elementos'!S380,'LP Elementos'!X380,'LP Elementos'!AC380,'LP Elementos'!AH380,'LP Elementos'!AM380,'LP Elementos'!AR380,'LP Elementos'!AW380,'LP Elementos'!BB380,'LP Elementos'!BG380,'LP Elementos'!BL380,'LP Elementos'!BQ380,'LP Elementos'!BV380,'LP Elementos'!CA380,'LP Elementos'!CF380,'LP Elementos'!CK380,'LP Elementos'!CP380,'LP Elementos'!CU380,'LP Elementos'!CZ380)," ")</f>
        <v>203177.01895637708</v>
      </c>
      <c r="H380" s="341">
        <f t="shared" ref="H380:H435" si="32">STDEVA(D380,E380,F380,G380)</f>
        <v>15758.94119058369</v>
      </c>
      <c r="I380" s="342">
        <f t="shared" ref="I380:I435" si="33">IFERROR(H380/E380," ")</f>
        <v>7.6602130077890698E-2</v>
      </c>
      <c r="J380" s="341">
        <f t="shared" ref="J380:J435" si="34">IF(I380&lt;=10%,F380,IF(AND(I380&gt;10%,I380&lt;=20%),E380,IF(AND(I380&gt;20%,I380&lt;=30%),G380,IF(I380&gt;30%,D380))))</f>
        <v>205724.58199999999</v>
      </c>
      <c r="K380" s="326" t="str">
        <f t="shared" ref="K380:K435" si="35">IF(J380=D380,"Menor Valor",IF(J380=E380,"Promedio",IF(J380=F380,"Mediana",IF(J380=G380,"Media Geometrica"," "))))</f>
        <v>Promedio</v>
      </c>
      <c r="L380" s="326">
        <f>IFERROR(COUNTA('LP Elementos'!F380,'LP Elementos'!I380,'LP Elementos'!N380,'LP Elementos'!S380,'LP Elementos'!X380,'LP Elementos'!AC380,'LP Elementos'!AH380,'LP Elementos'!AM380,'LP Elementos'!AR380,'LP Elementos'!AX380,'LP Elementos'!BB380,'LP Elementos'!BG380,'LP Elementos'!BL380,'LP Elementos'!BQ380,'LP Elementos'!BV380,'LP Elementos'!CA380,'LP Elementos'!CF380,'LP Elementos'!CK380,'LP Elementos'!CP380,'LP Elementos'!CU380,'LP Elementos'!CZ380)," ")</f>
        <v>2</v>
      </c>
    </row>
    <row r="381" spans="2:12" ht="27" x14ac:dyDescent="0.25">
      <c r="B381" s="411">
        <v>379</v>
      </c>
      <c r="C381" s="409" t="s">
        <v>4016</v>
      </c>
      <c r="D381" s="408">
        <f>IFERROR(MIN('LP Elementos'!F381,'LP Elementos'!I381,'LP Elementos'!N381,'LP Elementos'!S381,'LP Elementos'!X381,'LP Elementos'!AC381,'LP Elementos'!AH381,'LP Elementos'!AM381,'LP Elementos'!AR381,'LP Elementos'!AW381,'LP Elementos'!BB381,'LP Elementos'!BG381,'LP Elementos'!BL381,'LP Elementos'!BQ381,'LP Elementos'!BV381,'LP Elementos'!CA381,'LP Elementos'!CF381,'LP Elementos'!CK381,'LP Elementos'!CP381,'LP Elementos'!CU381,'LP Elementos'!CZ381)," ")</f>
        <v>242577.454</v>
      </c>
      <c r="E381" s="341">
        <f>IFERROR(AVERAGE('LP Elementos'!F381,'LP Elementos'!I381,'LP Elementos'!N381,'LP Elementos'!S381,'LP Elementos'!X381,'LP Elementos'!AC381,'LP Elementos'!AH381,'LP Elementos'!AM381,'LP Elementos'!AR381,'LP Elementos'!AW381,'LP Elementos'!BB381,'LP Elementos'!BG381,'LP Elementos'!BL381,'LP Elementos'!BQ381,'LP Elementos'!BV381,'LP Elementos'!CA381,'LP Elementos'!CF381,'LP Elementos'!CK381,'LP Elementos'!CP381,'LP Elementos'!CU381,'LP Elementos'!CZ381)," ")</f>
        <v>268848.72700000001</v>
      </c>
      <c r="F381" s="341">
        <f>IFERROR(MEDIAN('LP Elementos'!F381,'LP Elementos'!I381,'LP Elementos'!N381,'LP Elementos'!S381,'LP Elementos'!X381,'LP Elementos'!AC381,'LP Elementos'!AH381,'LP Elementos'!AM381,'LP Elementos'!AR381,'LP Elementos'!AW381,'LP Elementos'!BB381,'LP Elementos'!BG381,'LP Elementos'!BL381,'LP Elementos'!BQ381,'LP Elementos'!BV381,'LP Elementos'!CA381,'LP Elementos'!CF381,'LP Elementos'!CK381,'LP Elementos'!CP381,'LP Elementos'!CU381,'LP Elementos'!CZ381)," ")</f>
        <v>268848.72700000001</v>
      </c>
      <c r="G381" s="341">
        <f>IFERROR(GEOMEAN('LP Elementos'!F381,'LP Elementos'!I381,'LP Elementos'!N381,'LP Elementos'!S381,'LP Elementos'!X381,'LP Elementos'!AC381,'LP Elementos'!AH381,'LP Elementos'!AM381,'LP Elementos'!AR381,'LP Elementos'!AW381,'LP Elementos'!BB381,'LP Elementos'!BG381,'LP Elementos'!BL381,'LP Elementos'!BQ381,'LP Elementos'!BV381,'LP Elementos'!CA381,'LP Elementos'!CF381,'LP Elementos'!CK381,'LP Elementos'!CP381,'LP Elementos'!CU381,'LP Elementos'!CZ381)," ")</f>
        <v>267562.06424768065</v>
      </c>
      <c r="H381" s="341">
        <f t="shared" si="32"/>
        <v>12935.420755255642</v>
      </c>
      <c r="I381" s="342">
        <f t="shared" si="33"/>
        <v>4.8114123133845603E-2</v>
      </c>
      <c r="J381" s="341">
        <f t="shared" si="34"/>
        <v>268848.72700000001</v>
      </c>
      <c r="K381" s="326" t="str">
        <f t="shared" si="35"/>
        <v>Promedio</v>
      </c>
      <c r="L381" s="326">
        <f>IFERROR(COUNTA('LP Elementos'!F381,'LP Elementos'!I381,'LP Elementos'!N381,'LP Elementos'!S381,'LP Elementos'!X381,'LP Elementos'!AC381,'LP Elementos'!AH381,'LP Elementos'!AM381,'LP Elementos'!AR381,'LP Elementos'!AX381,'LP Elementos'!BB381,'LP Elementos'!BG381,'LP Elementos'!BL381,'LP Elementos'!BQ381,'LP Elementos'!BV381,'LP Elementos'!CA381,'LP Elementos'!CF381,'LP Elementos'!CK381,'LP Elementos'!CP381,'LP Elementos'!CU381,'LP Elementos'!CZ381)," ")</f>
        <v>2</v>
      </c>
    </row>
    <row r="382" spans="2:12" ht="27" x14ac:dyDescent="0.25">
      <c r="B382" s="411">
        <v>380</v>
      </c>
      <c r="C382" s="409" t="s">
        <v>4019</v>
      </c>
      <c r="D382" s="408">
        <f>IFERROR(MIN('LP Elementos'!F382,'LP Elementos'!I382,'LP Elementos'!N382,'LP Elementos'!S382,'LP Elementos'!X382,'LP Elementos'!AC382,'LP Elementos'!AH382,'LP Elementos'!AM382,'LP Elementos'!AR382,'LP Elementos'!AW382,'LP Elementos'!BB382,'LP Elementos'!BG382,'LP Elementos'!BL382,'LP Elementos'!BQ382,'LP Elementos'!BV382,'LP Elementos'!CA382,'LP Elementos'!CF382,'LP Elementos'!CK382,'LP Elementos'!CP382,'LP Elementos'!CU382,'LP Elementos'!CZ382)," ")</f>
        <v>295120</v>
      </c>
      <c r="E382" s="341">
        <f>IFERROR(AVERAGE('LP Elementos'!F382,'LP Elementos'!I382,'LP Elementos'!N382,'LP Elementos'!S382,'LP Elementos'!X382,'LP Elementos'!AC382,'LP Elementos'!AH382,'LP Elementos'!AM382,'LP Elementos'!AR382,'LP Elementos'!AW382,'LP Elementos'!BB382,'LP Elementos'!BG382,'LP Elementos'!BL382,'LP Elementos'!BQ382,'LP Elementos'!BV382,'LP Elementos'!CA382,'LP Elementos'!CF382,'LP Elementos'!CK382,'LP Elementos'!CP382,'LP Elementos'!CU382,'LP Elementos'!CZ382)," ")</f>
        <v>295120</v>
      </c>
      <c r="F382" s="341">
        <f>IFERROR(MEDIAN('LP Elementos'!F382,'LP Elementos'!I382,'LP Elementos'!N382,'LP Elementos'!S382,'LP Elementos'!X382,'LP Elementos'!AC382,'LP Elementos'!AH382,'LP Elementos'!AM382,'LP Elementos'!AR382,'LP Elementos'!AW382,'LP Elementos'!BB382,'LP Elementos'!BG382,'LP Elementos'!BL382,'LP Elementos'!BQ382,'LP Elementos'!BV382,'LP Elementos'!CA382,'LP Elementos'!CF382,'LP Elementos'!CK382,'LP Elementos'!CP382,'LP Elementos'!CU382,'LP Elementos'!CZ382)," ")</f>
        <v>295120</v>
      </c>
      <c r="G382" s="341">
        <f>IFERROR(GEOMEAN('LP Elementos'!F382,'LP Elementos'!I382,'LP Elementos'!N382,'LP Elementos'!S382,'LP Elementos'!X382,'LP Elementos'!AC382,'LP Elementos'!AH382,'LP Elementos'!AM382,'LP Elementos'!AR382,'LP Elementos'!AW382,'LP Elementos'!BB382,'LP Elementos'!BG382,'LP Elementos'!BL382,'LP Elementos'!BQ382,'LP Elementos'!BV382,'LP Elementos'!CA382,'LP Elementos'!CF382,'LP Elementos'!CK382,'LP Elementos'!CP382,'LP Elementos'!CU382,'LP Elementos'!CZ382)," ")</f>
        <v>295120</v>
      </c>
      <c r="H382" s="341">
        <f t="shared" si="32"/>
        <v>0</v>
      </c>
      <c r="I382" s="342">
        <f t="shared" si="33"/>
        <v>0</v>
      </c>
      <c r="J382" s="341">
        <f t="shared" si="34"/>
        <v>295120</v>
      </c>
      <c r="K382" s="326" t="str">
        <f t="shared" si="35"/>
        <v>Menor Valor</v>
      </c>
      <c r="L382" s="326">
        <f>IFERROR(COUNTA('LP Elementos'!F382,'LP Elementos'!I382,'LP Elementos'!N382,'LP Elementos'!S382,'LP Elementos'!X382,'LP Elementos'!AC382,'LP Elementos'!AH382,'LP Elementos'!AM382,'LP Elementos'!AR382,'LP Elementos'!AX382,'LP Elementos'!BB382,'LP Elementos'!BG382,'LP Elementos'!BL382,'LP Elementos'!BQ382,'LP Elementos'!BV382,'LP Elementos'!CA382,'LP Elementos'!CF382,'LP Elementos'!CK382,'LP Elementos'!CP382,'LP Elementos'!CU382,'LP Elementos'!CZ382)," ")</f>
        <v>1</v>
      </c>
    </row>
    <row r="383" spans="2:12" ht="27" x14ac:dyDescent="0.25">
      <c r="B383" s="411">
        <v>381</v>
      </c>
      <c r="C383" s="409" t="s">
        <v>4021</v>
      </c>
      <c r="D383" s="408">
        <f>IFERROR(MIN('LP Elementos'!F383,'LP Elementos'!I383,'LP Elementos'!N383,'LP Elementos'!S383,'LP Elementos'!X383,'LP Elementos'!AC383,'LP Elementos'!AH383,'LP Elementos'!AM383,'LP Elementos'!AR383,'LP Elementos'!AW383,'LP Elementos'!BB383,'LP Elementos'!BG383,'LP Elementos'!BL383,'LP Elementos'!BQ383,'LP Elementos'!BV383,'LP Elementos'!CA383,'LP Elementos'!CF383,'LP Elementos'!CK383,'LP Elementos'!CP383,'LP Elementos'!CU383,'LP Elementos'!CZ383)," ")</f>
        <v>318920</v>
      </c>
      <c r="E383" s="341">
        <f>IFERROR(AVERAGE('LP Elementos'!F383,'LP Elementos'!I383,'LP Elementos'!N383,'LP Elementos'!S383,'LP Elementos'!X383,'LP Elementos'!AC383,'LP Elementos'!AH383,'LP Elementos'!AM383,'LP Elementos'!AR383,'LP Elementos'!AW383,'LP Elementos'!BB383,'LP Elementos'!BG383,'LP Elementos'!BL383,'LP Elementos'!BQ383,'LP Elementos'!BV383,'LP Elementos'!CA383,'LP Elementos'!CF383,'LP Elementos'!CK383,'LP Elementos'!CP383,'LP Elementos'!CU383,'LP Elementos'!CZ383)," ")</f>
        <v>318920</v>
      </c>
      <c r="F383" s="341">
        <f>IFERROR(MEDIAN('LP Elementos'!F383,'LP Elementos'!I383,'LP Elementos'!N383,'LP Elementos'!S383,'LP Elementos'!X383,'LP Elementos'!AC383,'LP Elementos'!AH383,'LP Elementos'!AM383,'LP Elementos'!AR383,'LP Elementos'!AW383,'LP Elementos'!BB383,'LP Elementos'!BG383,'LP Elementos'!BL383,'LP Elementos'!BQ383,'LP Elementos'!BV383,'LP Elementos'!CA383,'LP Elementos'!CF383,'LP Elementos'!CK383,'LP Elementos'!CP383,'LP Elementos'!CU383,'LP Elementos'!CZ383)," ")</f>
        <v>318920</v>
      </c>
      <c r="G383" s="341">
        <f>IFERROR(GEOMEAN('LP Elementos'!F383,'LP Elementos'!I383,'LP Elementos'!N383,'LP Elementos'!S383,'LP Elementos'!X383,'LP Elementos'!AC383,'LP Elementos'!AH383,'LP Elementos'!AM383,'LP Elementos'!AR383,'LP Elementos'!AW383,'LP Elementos'!BB383,'LP Elementos'!BG383,'LP Elementos'!BL383,'LP Elementos'!BQ383,'LP Elementos'!BV383,'LP Elementos'!CA383,'LP Elementos'!CF383,'LP Elementos'!CK383,'LP Elementos'!CP383,'LP Elementos'!CU383,'LP Elementos'!CZ383)," ")</f>
        <v>318920</v>
      </c>
      <c r="H383" s="341">
        <f t="shared" si="32"/>
        <v>0</v>
      </c>
      <c r="I383" s="342">
        <f t="shared" si="33"/>
        <v>0</v>
      </c>
      <c r="J383" s="341">
        <f t="shared" si="34"/>
        <v>318920</v>
      </c>
      <c r="K383" s="326" t="str">
        <f t="shared" si="35"/>
        <v>Menor Valor</v>
      </c>
      <c r="L383" s="326">
        <f>IFERROR(COUNTA('LP Elementos'!F383,'LP Elementos'!I383,'LP Elementos'!N383,'LP Elementos'!S383,'LP Elementos'!X383,'LP Elementos'!AC383,'LP Elementos'!AH383,'LP Elementos'!AM383,'LP Elementos'!AR383,'LP Elementos'!AX383,'LP Elementos'!BB383,'LP Elementos'!BG383,'LP Elementos'!BL383,'LP Elementos'!BQ383,'LP Elementos'!BV383,'LP Elementos'!CA383,'LP Elementos'!CF383,'LP Elementos'!CK383,'LP Elementos'!CP383,'LP Elementos'!CU383,'LP Elementos'!CZ383)," ")</f>
        <v>1</v>
      </c>
    </row>
    <row r="384" spans="2:12" x14ac:dyDescent="0.25">
      <c r="B384" s="411">
        <v>382</v>
      </c>
      <c r="C384" s="412" t="s">
        <v>4023</v>
      </c>
      <c r="D384" s="408">
        <f>IFERROR(MIN('LP Elementos'!F384,'LP Elementos'!I384,'LP Elementos'!N384,'LP Elementos'!S384,'LP Elementos'!X384,'LP Elementos'!AC384,'LP Elementos'!AH384,'LP Elementos'!AM384,'LP Elementos'!AR384,'LP Elementos'!AW384,'LP Elementos'!BB384,'LP Elementos'!BG384,'LP Elementos'!BL384,'LP Elementos'!BQ384,'LP Elementos'!BV384,'LP Elementos'!CA384,'LP Elementos'!CF384,'LP Elementos'!CK384,'LP Elementos'!CP384,'LP Elementos'!CU384,'LP Elementos'!CZ384)," ")</f>
        <v>155890</v>
      </c>
      <c r="E384" s="341">
        <f>IFERROR(AVERAGE('LP Elementos'!F384,'LP Elementos'!I384,'LP Elementos'!N384,'LP Elementos'!S384,'LP Elementos'!X384,'LP Elementos'!AC384,'LP Elementos'!AH384,'LP Elementos'!AM384,'LP Elementos'!AR384,'LP Elementos'!AW384,'LP Elementos'!BB384,'LP Elementos'!BG384,'LP Elementos'!BL384,'LP Elementos'!BQ384,'LP Elementos'!BV384,'LP Elementos'!CA384,'LP Elementos'!CF384,'LP Elementos'!CK384,'LP Elementos'!CP384,'LP Elementos'!CU384,'LP Elementos'!CZ384)," ")</f>
        <v>237405</v>
      </c>
      <c r="F384" s="341">
        <f>IFERROR(MEDIAN('LP Elementos'!F384,'LP Elementos'!I384,'LP Elementos'!N384,'LP Elementos'!S384,'LP Elementos'!X384,'LP Elementos'!AC384,'LP Elementos'!AH384,'LP Elementos'!AM384,'LP Elementos'!AR384,'LP Elementos'!AW384,'LP Elementos'!BB384,'LP Elementos'!BG384,'LP Elementos'!BL384,'LP Elementos'!BQ384,'LP Elementos'!BV384,'LP Elementos'!CA384,'LP Elementos'!CF384,'LP Elementos'!CK384,'LP Elementos'!CP384,'LP Elementos'!CU384,'LP Elementos'!CZ384)," ")</f>
        <v>237405</v>
      </c>
      <c r="G384" s="341">
        <f>IFERROR(GEOMEAN('LP Elementos'!F384,'LP Elementos'!I384,'LP Elementos'!N384,'LP Elementos'!S384,'LP Elementos'!X384,'LP Elementos'!AC384,'LP Elementos'!AH384,'LP Elementos'!AM384,'LP Elementos'!AR384,'LP Elementos'!AW384,'LP Elementos'!BB384,'LP Elementos'!BG384,'LP Elementos'!BL384,'LP Elementos'!BQ384,'LP Elementos'!BV384,'LP Elementos'!CA384,'LP Elementos'!CF384,'LP Elementos'!CK384,'LP Elementos'!CP384,'LP Elementos'!CU384,'LP Elementos'!CZ384)," ")</f>
        <v>222971.83409569919</v>
      </c>
      <c r="H384" s="341">
        <f t="shared" si="32"/>
        <v>38950.818852844139</v>
      </c>
      <c r="I384" s="342">
        <f t="shared" si="33"/>
        <v>0.16406907543162166</v>
      </c>
      <c r="J384" s="341">
        <f t="shared" si="34"/>
        <v>237405</v>
      </c>
      <c r="K384" s="326" t="str">
        <f t="shared" si="35"/>
        <v>Promedio</v>
      </c>
      <c r="L384" s="326">
        <f>IFERROR(COUNTA('LP Elementos'!F384,'LP Elementos'!I384,'LP Elementos'!N384,'LP Elementos'!S384,'LP Elementos'!X384,'LP Elementos'!AC384,'LP Elementos'!AH384,'LP Elementos'!AM384,'LP Elementos'!AR384,'LP Elementos'!AX384,'LP Elementos'!BB384,'LP Elementos'!BG384,'LP Elementos'!BL384,'LP Elementos'!BQ384,'LP Elementos'!BV384,'LP Elementos'!CA384,'LP Elementos'!CF384,'LP Elementos'!CK384,'LP Elementos'!CP384,'LP Elementos'!CU384,'LP Elementos'!CZ384)," ")</f>
        <v>2</v>
      </c>
    </row>
    <row r="385" spans="2:12" x14ac:dyDescent="0.25">
      <c r="B385" s="411">
        <v>383</v>
      </c>
      <c r="C385" s="412" t="s">
        <v>4026</v>
      </c>
      <c r="D385" s="408">
        <f>IFERROR(MIN('LP Elementos'!F385,'LP Elementos'!I385,'LP Elementos'!N385,'LP Elementos'!S385,'LP Elementos'!X385,'LP Elementos'!AC385,'LP Elementos'!AH385,'LP Elementos'!AM385,'LP Elementos'!AR385,'LP Elementos'!AW385,'LP Elementos'!BB385,'LP Elementos'!BG385,'LP Elementos'!BL385,'LP Elementos'!BQ385,'LP Elementos'!BV385,'LP Elementos'!CA385,'LP Elementos'!CF385,'LP Elementos'!CK385,'LP Elementos'!CP385,'LP Elementos'!CU385,'LP Elementos'!CZ385)," ")</f>
        <v>63070</v>
      </c>
      <c r="E385" s="341">
        <f>IFERROR(AVERAGE('LP Elementos'!F385,'LP Elementos'!I385,'LP Elementos'!N385,'LP Elementos'!S385,'LP Elementos'!X385,'LP Elementos'!AC385,'LP Elementos'!AH385,'LP Elementos'!AM385,'LP Elementos'!AR385,'LP Elementos'!AW385,'LP Elementos'!BB385,'LP Elementos'!BG385,'LP Elementos'!BL385,'LP Elementos'!BQ385,'LP Elementos'!BV385,'LP Elementos'!CA385,'LP Elementos'!CF385,'LP Elementos'!CK385,'LP Elementos'!CP385,'LP Elementos'!CU385,'LP Elementos'!CZ385)," ")</f>
        <v>155427.16933333335</v>
      </c>
      <c r="F385" s="341">
        <f>IFERROR(MEDIAN('LP Elementos'!F385,'LP Elementos'!I385,'LP Elementos'!N385,'LP Elementos'!S385,'LP Elementos'!X385,'LP Elementos'!AC385,'LP Elementos'!AH385,'LP Elementos'!AM385,'LP Elementos'!AR385,'LP Elementos'!AW385,'LP Elementos'!BB385,'LP Elementos'!BG385,'LP Elementos'!BL385,'LP Elementos'!BQ385,'LP Elementos'!BV385,'LP Elementos'!CA385,'LP Elementos'!CF385,'LP Elementos'!CK385,'LP Elementos'!CP385,'LP Elementos'!CU385,'LP Elementos'!CZ385)," ")</f>
        <v>108091.508</v>
      </c>
      <c r="G385" s="341">
        <f>IFERROR(GEOMEAN('LP Elementos'!F385,'LP Elementos'!I385,'LP Elementos'!N385,'LP Elementos'!S385,'LP Elementos'!X385,'LP Elementos'!AC385,'LP Elementos'!AH385,'LP Elementos'!AM385,'LP Elementos'!AR385,'LP Elementos'!AW385,'LP Elementos'!BB385,'LP Elementos'!BG385,'LP Elementos'!BL385,'LP Elementos'!BQ385,'LP Elementos'!BV385,'LP Elementos'!CA385,'LP Elementos'!CF385,'LP Elementos'!CK385,'LP Elementos'!CP385,'LP Elementos'!CU385,'LP Elementos'!CZ385)," ")</f>
        <v>126242.14051576915</v>
      </c>
      <c r="H385" s="341">
        <f t="shared" si="32"/>
        <v>38696.875895512945</v>
      </c>
      <c r="I385" s="342">
        <f t="shared" si="33"/>
        <v>0.24897111657822557</v>
      </c>
      <c r="J385" s="341">
        <f t="shared" si="34"/>
        <v>126242.14051576915</v>
      </c>
      <c r="K385" s="326" t="str">
        <f t="shared" si="35"/>
        <v>Media Geometrica</v>
      </c>
      <c r="L385" s="326">
        <f>IFERROR(COUNTA('LP Elementos'!F385,'LP Elementos'!I385,'LP Elementos'!N385,'LP Elementos'!S385,'LP Elementos'!X385,'LP Elementos'!AC385,'LP Elementos'!AH385,'LP Elementos'!AM385,'LP Elementos'!AR385,'LP Elementos'!AX385,'LP Elementos'!BB385,'LP Elementos'!BG385,'LP Elementos'!BL385,'LP Elementos'!BQ385,'LP Elementos'!BV385,'LP Elementos'!CA385,'LP Elementos'!CF385,'LP Elementos'!CK385,'LP Elementos'!CP385,'LP Elementos'!CU385,'LP Elementos'!CZ385)," ")</f>
        <v>3</v>
      </c>
    </row>
    <row r="386" spans="2:12" x14ac:dyDescent="0.25">
      <c r="B386" s="411">
        <v>384</v>
      </c>
      <c r="C386" s="412" t="s">
        <v>4029</v>
      </c>
      <c r="D386" s="408">
        <f>IFERROR(MIN('LP Elementos'!F386,'LP Elementos'!I386,'LP Elementos'!N386,'LP Elementos'!S386,'LP Elementos'!X386,'LP Elementos'!AC386,'LP Elementos'!AH386,'LP Elementos'!AM386,'LP Elementos'!AR386,'LP Elementos'!AW386,'LP Elementos'!BB386,'LP Elementos'!BG386,'LP Elementos'!BL386,'LP Elementos'!BQ386,'LP Elementos'!BV386,'LP Elementos'!CA386,'LP Elementos'!CF386,'LP Elementos'!CK386,'LP Elementos'!CP386,'LP Elementos'!CU386,'LP Elementos'!CZ386)," ")</f>
        <v>66640</v>
      </c>
      <c r="E386" s="341">
        <f>IFERROR(AVERAGE('LP Elementos'!F386,'LP Elementos'!I386,'LP Elementos'!N386,'LP Elementos'!S386,'LP Elementos'!X386,'LP Elementos'!AC386,'LP Elementos'!AH386,'LP Elementos'!AM386,'LP Elementos'!AR386,'LP Elementos'!AW386,'LP Elementos'!BB386,'LP Elementos'!BG386,'LP Elementos'!BL386,'LP Elementos'!BQ386,'LP Elementos'!BV386,'LP Elementos'!CA386,'LP Elementos'!CF386,'LP Elementos'!CK386,'LP Elementos'!CP386,'LP Elementos'!CU386,'LP Elementos'!CZ386)," ")</f>
        <v>160806.76266666668</v>
      </c>
      <c r="F386" s="341">
        <f>IFERROR(MEDIAN('LP Elementos'!F386,'LP Elementos'!I386,'LP Elementos'!N386,'LP Elementos'!S386,'LP Elementos'!X386,'LP Elementos'!AC386,'LP Elementos'!AH386,'LP Elementos'!AM386,'LP Elementos'!AR386,'LP Elementos'!AW386,'LP Elementos'!BB386,'LP Elementos'!BG386,'LP Elementos'!BL386,'LP Elementos'!BQ386,'LP Elementos'!BV386,'LP Elementos'!CA386,'LP Elementos'!CF386,'LP Elementos'!CK386,'LP Elementos'!CP386,'LP Elementos'!CU386,'LP Elementos'!CZ386)," ")</f>
        <v>120660.288</v>
      </c>
      <c r="G386" s="341">
        <f>IFERROR(GEOMEAN('LP Elementos'!F386,'LP Elementos'!I386,'LP Elementos'!N386,'LP Elementos'!S386,'LP Elementos'!X386,'LP Elementos'!AC386,'LP Elementos'!AH386,'LP Elementos'!AM386,'LP Elementos'!AR386,'LP Elementos'!AW386,'LP Elementos'!BB386,'LP Elementos'!BG386,'LP Elementos'!BL386,'LP Elementos'!BQ386,'LP Elementos'!BV386,'LP Elementos'!CA386,'LP Elementos'!CF386,'LP Elementos'!CK386,'LP Elementos'!CP386,'LP Elementos'!CU386,'LP Elementos'!CZ386)," ")</f>
        <v>133382.64625950798</v>
      </c>
      <c r="H386" s="341">
        <f t="shared" si="32"/>
        <v>39545.155123608398</v>
      </c>
      <c r="I386" s="342">
        <f t="shared" si="33"/>
        <v>0.24591723922445233</v>
      </c>
      <c r="J386" s="341">
        <f t="shared" si="34"/>
        <v>133382.64625950798</v>
      </c>
      <c r="K386" s="326" t="str">
        <f t="shared" si="35"/>
        <v>Media Geometrica</v>
      </c>
      <c r="L386" s="326">
        <f>IFERROR(COUNTA('LP Elementos'!F386,'LP Elementos'!I386,'LP Elementos'!N386,'LP Elementos'!S386,'LP Elementos'!X386,'LP Elementos'!AC386,'LP Elementos'!AH386,'LP Elementos'!AM386,'LP Elementos'!AR386,'LP Elementos'!AX386,'LP Elementos'!BB386,'LP Elementos'!BG386,'LP Elementos'!BL386,'LP Elementos'!BQ386,'LP Elementos'!BV386,'LP Elementos'!CA386,'LP Elementos'!CF386,'LP Elementos'!CK386,'LP Elementos'!CP386,'LP Elementos'!CU386,'LP Elementos'!CZ386)," ")</f>
        <v>3</v>
      </c>
    </row>
    <row r="387" spans="2:12" ht="27" x14ac:dyDescent="0.25">
      <c r="B387" s="411">
        <v>385</v>
      </c>
      <c r="C387" s="412" t="s">
        <v>5102</v>
      </c>
      <c r="D387" s="408">
        <f>IFERROR(MIN('LP Elementos'!F387,'LP Elementos'!I387,'LP Elementos'!N387,'LP Elementos'!S387,'LP Elementos'!X387,'LP Elementos'!AC387,'LP Elementos'!AH387,'LP Elementos'!AM387,'LP Elementos'!AR387,'LP Elementos'!AW387,'LP Elementos'!BB387,'LP Elementos'!BG387,'LP Elementos'!BL387,'LP Elementos'!BQ387,'LP Elementos'!BV387,'LP Elementos'!CA387,'LP Elementos'!CF387,'LP Elementos'!CK387,'LP Elementos'!CP387,'LP Elementos'!CU387,'LP Elementos'!CZ387)," ")</f>
        <v>111860</v>
      </c>
      <c r="E387" s="341">
        <f>IFERROR(AVERAGE('LP Elementos'!F387,'LP Elementos'!I387,'LP Elementos'!N387,'LP Elementos'!S387,'LP Elementos'!X387,'LP Elementos'!AC387,'LP Elementos'!AH387,'LP Elementos'!AM387,'LP Elementos'!AR387,'LP Elementos'!AW387,'LP Elementos'!BB387,'LP Elementos'!BG387,'LP Elementos'!BL387,'LP Elementos'!BQ387,'LP Elementos'!BV387,'LP Elementos'!CA387,'LP Elementos'!CF387,'LP Elementos'!CK387,'LP Elementos'!CP387,'LP Elementos'!CU387,'LP Elementos'!CZ387)," ")</f>
        <v>185516.16066666669</v>
      </c>
      <c r="F387" s="341">
        <f>IFERROR(MEDIAN('LP Elementos'!F387,'LP Elementos'!I387,'LP Elementos'!N387,'LP Elementos'!S387,'LP Elementos'!X387,'LP Elementos'!AC387,'LP Elementos'!AH387,'LP Elementos'!AM387,'LP Elementos'!AR387,'LP Elementos'!AW387,'LP Elementos'!BB387,'LP Elementos'!BG387,'LP Elementos'!BL387,'LP Elementos'!BQ387,'LP Elementos'!BV387,'LP Elementos'!CA387,'LP Elementos'!CF387,'LP Elementos'!CK387,'LP Elementos'!CP387,'LP Elementos'!CU387,'LP Elementos'!CZ387)," ")</f>
        <v>149568.48200000002</v>
      </c>
      <c r="G387" s="341">
        <f>IFERROR(GEOMEAN('LP Elementos'!F387,'LP Elementos'!I387,'LP Elementos'!N387,'LP Elementos'!S387,'LP Elementos'!X387,'LP Elementos'!AC387,'LP Elementos'!AH387,'LP Elementos'!AM387,'LP Elementos'!AR387,'LP Elementos'!AW387,'LP Elementos'!BB387,'LP Elementos'!BG387,'LP Elementos'!BL387,'LP Elementos'!BQ387,'LP Elementos'!BV387,'LP Elementos'!CA387,'LP Elementos'!CF387,'LP Elementos'!CK387,'LP Elementos'!CP387,'LP Elementos'!CU387,'LP Elementos'!CZ387)," ")</f>
        <v>170282.95616181864</v>
      </c>
      <c r="H387" s="341">
        <f t="shared" si="32"/>
        <v>31903.209068463457</v>
      </c>
      <c r="I387" s="342">
        <f t="shared" si="33"/>
        <v>0.17196997260948482</v>
      </c>
      <c r="J387" s="341">
        <f t="shared" si="34"/>
        <v>185516.16066666669</v>
      </c>
      <c r="K387" s="326" t="str">
        <f t="shared" si="35"/>
        <v>Promedio</v>
      </c>
      <c r="L387" s="326">
        <f>IFERROR(COUNTA('LP Elementos'!F387,'LP Elementos'!I387,'LP Elementos'!N387,'LP Elementos'!S387,'LP Elementos'!X387,'LP Elementos'!AC387,'LP Elementos'!AH387,'LP Elementos'!AM387,'LP Elementos'!AR387,'LP Elementos'!AX387,'LP Elementos'!BB387,'LP Elementos'!BG387,'LP Elementos'!BL387,'LP Elementos'!BQ387,'LP Elementos'!BV387,'LP Elementos'!CA387,'LP Elementos'!CF387,'LP Elementos'!CK387,'LP Elementos'!CP387,'LP Elementos'!CU387,'LP Elementos'!CZ387)," ")</f>
        <v>3</v>
      </c>
    </row>
    <row r="388" spans="2:12" ht="27" x14ac:dyDescent="0.25">
      <c r="B388" s="411">
        <v>386</v>
      </c>
      <c r="C388" s="412" t="s">
        <v>4034</v>
      </c>
      <c r="D388" s="408">
        <f>IFERROR(MIN('LP Elementos'!F388,'LP Elementos'!I388,'LP Elementos'!N388,'LP Elementos'!S388,'LP Elementos'!X388,'LP Elementos'!AC388,'LP Elementos'!AH388,'LP Elementos'!AM388,'LP Elementos'!AR388,'LP Elementos'!AW388,'LP Elementos'!BB388,'LP Elementos'!BG388,'LP Elementos'!BL388,'LP Elementos'!BQ388,'LP Elementos'!BV388,'LP Elementos'!CA388,'LP Elementos'!CF388,'LP Elementos'!CK388,'LP Elementos'!CP388,'LP Elementos'!CU388,'LP Elementos'!CZ388)," ")</f>
        <v>1463700</v>
      </c>
      <c r="E388" s="341">
        <f>IFERROR(AVERAGE('LP Elementos'!F388,'LP Elementos'!I388,'LP Elementos'!N388,'LP Elementos'!S388,'LP Elementos'!X388,'LP Elementos'!AC388,'LP Elementos'!AH388,'LP Elementos'!AM388,'LP Elementos'!AR388,'LP Elementos'!AW388,'LP Elementos'!BB388,'LP Elementos'!BG388,'LP Elementos'!BL388,'LP Elementos'!BQ388,'LP Elementos'!BV388,'LP Elementos'!CA388,'LP Elementos'!CF388,'LP Elementos'!CK388,'LP Elementos'!CP388,'LP Elementos'!CU388,'LP Elementos'!CZ388)," ")</f>
        <v>1871965.09</v>
      </c>
      <c r="F388" s="341">
        <f>IFERROR(MEDIAN('LP Elementos'!F388,'LP Elementos'!I388,'LP Elementos'!N388,'LP Elementos'!S388,'LP Elementos'!X388,'LP Elementos'!AC388,'LP Elementos'!AH388,'LP Elementos'!AM388,'LP Elementos'!AR388,'LP Elementos'!AW388,'LP Elementos'!BB388,'LP Elementos'!BG388,'LP Elementos'!BL388,'LP Elementos'!BQ388,'LP Elementos'!BV388,'LP Elementos'!CA388,'LP Elementos'!CF388,'LP Elementos'!CK388,'LP Elementos'!CP388,'LP Elementos'!CU388,'LP Elementos'!CZ388)," ")</f>
        <v>1871965.09</v>
      </c>
      <c r="G388" s="341">
        <f>IFERROR(GEOMEAN('LP Elementos'!F388,'LP Elementos'!I388,'LP Elementos'!N388,'LP Elementos'!S388,'LP Elementos'!X388,'LP Elementos'!AC388,'LP Elementos'!AH388,'LP Elementos'!AM388,'LP Elementos'!AR388,'LP Elementos'!AW388,'LP Elementos'!BB388,'LP Elementos'!BG388,'LP Elementos'!BL388,'LP Elementos'!BQ388,'LP Elementos'!BV388,'LP Elementos'!CA388,'LP Elementos'!CF388,'LP Elementos'!CK388,'LP Elementos'!CP388,'LP Elementos'!CU388,'LP Elementos'!CZ388)," ")</f>
        <v>1826902.5465158236</v>
      </c>
      <c r="H388" s="341">
        <f t="shared" si="32"/>
        <v>197766.3020822645</v>
      </c>
      <c r="I388" s="342">
        <f t="shared" si="33"/>
        <v>0.10564636228460035</v>
      </c>
      <c r="J388" s="341">
        <f t="shared" si="34"/>
        <v>1871965.09</v>
      </c>
      <c r="K388" s="326" t="str">
        <f t="shared" si="35"/>
        <v>Promedio</v>
      </c>
      <c r="L388" s="326">
        <f>IFERROR(COUNTA('LP Elementos'!F388,'LP Elementos'!I388,'LP Elementos'!N388,'LP Elementos'!S388,'LP Elementos'!X388,'LP Elementos'!AC388,'LP Elementos'!AH388,'LP Elementos'!AM388,'LP Elementos'!AR388,'LP Elementos'!AX388,'LP Elementos'!BB388,'LP Elementos'!BG388,'LP Elementos'!BL388,'LP Elementos'!BQ388,'LP Elementos'!BV388,'LP Elementos'!CA388,'LP Elementos'!CF388,'LP Elementos'!CK388,'LP Elementos'!CP388,'LP Elementos'!CU388,'LP Elementos'!CZ388)," ")</f>
        <v>2</v>
      </c>
    </row>
    <row r="389" spans="2:12" x14ac:dyDescent="0.25">
      <c r="B389" s="411">
        <v>387</v>
      </c>
      <c r="C389" s="412" t="s">
        <v>4038</v>
      </c>
      <c r="D389" s="408">
        <f>IFERROR(MIN('LP Elementos'!F389,'LP Elementos'!I389,'LP Elementos'!N389,'LP Elementos'!S389,'LP Elementos'!X389,'LP Elementos'!AC389,'LP Elementos'!AH389,'LP Elementos'!AM389,'LP Elementos'!AR389,'LP Elementos'!AW389,'LP Elementos'!BB389,'LP Elementos'!BG389,'LP Elementos'!BL389,'LP Elementos'!BQ389,'LP Elementos'!BV389,'LP Elementos'!CA389,'LP Elementos'!CF389,'LP Elementos'!CK389,'LP Elementos'!CP389,'LP Elementos'!CU389,'LP Elementos'!CZ389)," ")</f>
        <v>460907.72460000002</v>
      </c>
      <c r="E389" s="341">
        <f>IFERROR(AVERAGE('LP Elementos'!F389,'LP Elementos'!I389,'LP Elementos'!N389,'LP Elementos'!S389,'LP Elementos'!X389,'LP Elementos'!AC389,'LP Elementos'!AH389,'LP Elementos'!AM389,'LP Elementos'!AR389,'LP Elementos'!AW389,'LP Elementos'!BB389,'LP Elementos'!BG389,'LP Elementos'!BL389,'LP Elementos'!BQ389,'LP Elementos'!BV389,'LP Elementos'!CA389,'LP Elementos'!CF389,'LP Elementos'!CK389,'LP Elementos'!CP389,'LP Elementos'!CU389,'LP Elementos'!CZ389)," ")</f>
        <v>460907.72460000002</v>
      </c>
      <c r="F389" s="341">
        <f>IFERROR(MEDIAN('LP Elementos'!F389,'LP Elementos'!I389,'LP Elementos'!N389,'LP Elementos'!S389,'LP Elementos'!X389,'LP Elementos'!AC389,'LP Elementos'!AH389,'LP Elementos'!AM389,'LP Elementos'!AR389,'LP Elementos'!AW389,'LP Elementos'!BB389,'LP Elementos'!BG389,'LP Elementos'!BL389,'LP Elementos'!BQ389,'LP Elementos'!BV389,'LP Elementos'!CA389,'LP Elementos'!CF389,'LP Elementos'!CK389,'LP Elementos'!CP389,'LP Elementos'!CU389,'LP Elementos'!CZ389)," ")</f>
        <v>460907.72460000002</v>
      </c>
      <c r="G389" s="341">
        <f>IFERROR(GEOMEAN('LP Elementos'!F389,'LP Elementos'!I389,'LP Elementos'!N389,'LP Elementos'!S389,'LP Elementos'!X389,'LP Elementos'!AC389,'LP Elementos'!AH389,'LP Elementos'!AM389,'LP Elementos'!AR389,'LP Elementos'!AW389,'LP Elementos'!BB389,'LP Elementos'!BG389,'LP Elementos'!BL389,'LP Elementos'!BQ389,'LP Elementos'!BV389,'LP Elementos'!CA389,'LP Elementos'!CF389,'LP Elementos'!CK389,'LP Elementos'!CP389,'LP Elementos'!CU389,'LP Elementos'!CZ389)," ")</f>
        <v>460907.72460000002</v>
      </c>
      <c r="H389" s="341">
        <f t="shared" si="32"/>
        <v>0</v>
      </c>
      <c r="I389" s="342">
        <f t="shared" si="33"/>
        <v>0</v>
      </c>
      <c r="J389" s="341">
        <f t="shared" si="34"/>
        <v>460907.72460000002</v>
      </c>
      <c r="K389" s="326" t="str">
        <f t="shared" si="35"/>
        <v>Menor Valor</v>
      </c>
      <c r="L389" s="326">
        <f>IFERROR(COUNTA('LP Elementos'!F389,'LP Elementos'!I389,'LP Elementos'!N389,'LP Elementos'!S389,'LP Elementos'!X389,'LP Elementos'!AC389,'LP Elementos'!AH389,'LP Elementos'!AM389,'LP Elementos'!AR389,'LP Elementos'!AX389,'LP Elementos'!BB389,'LP Elementos'!BG389,'LP Elementos'!BL389,'LP Elementos'!BQ389,'LP Elementos'!BV389,'LP Elementos'!CA389,'LP Elementos'!CF389,'LP Elementos'!CK389,'LP Elementos'!CP389,'LP Elementos'!CU389,'LP Elementos'!CZ389)," ")</f>
        <v>1</v>
      </c>
    </row>
    <row r="390" spans="2:12" ht="27" x14ac:dyDescent="0.25">
      <c r="B390" s="411">
        <v>388</v>
      </c>
      <c r="C390" s="420" t="s">
        <v>4040</v>
      </c>
      <c r="D390" s="408">
        <f>IFERROR(MIN('LP Elementos'!F390,'LP Elementos'!I390,'LP Elementos'!N390,'LP Elementos'!S390,'LP Elementos'!X390,'LP Elementos'!AC390,'LP Elementos'!AH390,'LP Elementos'!AM390,'LP Elementos'!AR390,'LP Elementos'!AW390,'LP Elementos'!BB390,'LP Elementos'!BG390,'LP Elementos'!BL390,'LP Elementos'!BQ390,'LP Elementos'!BV390,'LP Elementos'!CA390,'LP Elementos'!CF390,'LP Elementos'!CK390,'LP Elementos'!CP390,'LP Elementos'!CU390,'LP Elementos'!CZ390)," ")</f>
        <v>74970</v>
      </c>
      <c r="E390" s="341">
        <f>IFERROR(AVERAGE('LP Elementos'!F390,'LP Elementos'!I390,'LP Elementos'!N390,'LP Elementos'!S390,'LP Elementos'!X390,'LP Elementos'!AC390,'LP Elementos'!AH390,'LP Elementos'!AM390,'LP Elementos'!AR390,'LP Elementos'!AW390,'LP Elementos'!BB390,'LP Elementos'!BG390,'LP Elementos'!BL390,'LP Elementos'!BQ390,'LP Elementos'!BV390,'LP Elementos'!CA390,'LP Elementos'!CF390,'LP Elementos'!CK390,'LP Elementos'!CP390,'LP Elementos'!CU390,'LP Elementos'!CZ390)," ")</f>
        <v>98443.582999999999</v>
      </c>
      <c r="F390" s="341">
        <f>IFERROR(MEDIAN('LP Elementos'!F390,'LP Elementos'!I390,'LP Elementos'!N390,'LP Elementos'!S390,'LP Elementos'!X390,'LP Elementos'!AC390,'LP Elementos'!AH390,'LP Elementos'!AM390,'LP Elementos'!AR390,'LP Elementos'!AW390,'LP Elementos'!BB390,'LP Elementos'!BG390,'LP Elementos'!BL390,'LP Elementos'!BQ390,'LP Elementos'!BV390,'LP Elementos'!CA390,'LP Elementos'!CF390,'LP Elementos'!CK390,'LP Elementos'!CP390,'LP Elementos'!CU390,'LP Elementos'!CZ390)," ")</f>
        <v>98443.582999999999</v>
      </c>
      <c r="G390" s="341">
        <f>IFERROR(GEOMEAN('LP Elementos'!F390,'LP Elementos'!I390,'LP Elementos'!N390,'LP Elementos'!S390,'LP Elementos'!X390,'LP Elementos'!AC390,'LP Elementos'!AH390,'LP Elementos'!AM390,'LP Elementos'!AR390,'LP Elementos'!AW390,'LP Elementos'!BB390,'LP Elementos'!BG390,'LP Elementos'!BL390,'LP Elementos'!BQ390,'LP Elementos'!BV390,'LP Elementos'!CA390,'LP Elementos'!CF390,'LP Elementos'!CK390,'LP Elementos'!CP390,'LP Elementos'!CU390,'LP Elementos'!CZ390)," ")</f>
        <v>95604.026771993245</v>
      </c>
      <c r="H390" s="341">
        <f t="shared" si="32"/>
        <v>11342.792930928832</v>
      </c>
      <c r="I390" s="342">
        <f t="shared" si="33"/>
        <v>0.11522125247034977</v>
      </c>
      <c r="J390" s="341">
        <f t="shared" si="34"/>
        <v>98443.582999999999</v>
      </c>
      <c r="K390" s="326" t="str">
        <f t="shared" si="35"/>
        <v>Promedio</v>
      </c>
      <c r="L390" s="326">
        <f>IFERROR(COUNTA('LP Elementos'!F390,'LP Elementos'!I390,'LP Elementos'!N390,'LP Elementos'!S390,'LP Elementos'!X390,'LP Elementos'!AC390,'LP Elementos'!AH390,'LP Elementos'!AM390,'LP Elementos'!AR390,'LP Elementos'!AX390,'LP Elementos'!BB390,'LP Elementos'!BG390,'LP Elementos'!BL390,'LP Elementos'!BQ390,'LP Elementos'!BV390,'LP Elementos'!CA390,'LP Elementos'!CF390,'LP Elementos'!CK390,'LP Elementos'!CP390,'LP Elementos'!CU390,'LP Elementos'!CZ390)," ")</f>
        <v>2</v>
      </c>
    </row>
    <row r="391" spans="2:12" x14ac:dyDescent="0.25">
      <c r="B391" s="411">
        <v>389</v>
      </c>
      <c r="C391" s="412" t="s">
        <v>4043</v>
      </c>
      <c r="D391" s="408">
        <f>IFERROR(MIN('LP Elementos'!F391,'LP Elementos'!I391,'LP Elementos'!N391,'LP Elementos'!S391,'LP Elementos'!X391,'LP Elementos'!AC391,'LP Elementos'!AH391,'LP Elementos'!AM391,'LP Elementos'!AR391,'LP Elementos'!AW391,'LP Elementos'!BB391,'LP Elementos'!BG391,'LP Elementos'!BL391,'LP Elementos'!BQ391,'LP Elementos'!BV391,'LP Elementos'!CA391,'LP Elementos'!CF391,'LP Elementos'!CK391,'LP Elementos'!CP391,'LP Elementos'!CU391,'LP Elementos'!CZ391)," ")</f>
        <v>99293.362000000008</v>
      </c>
      <c r="E391" s="341">
        <f>IFERROR(AVERAGE('LP Elementos'!F391,'LP Elementos'!I391,'LP Elementos'!N391,'LP Elementos'!S391,'LP Elementos'!X391,'LP Elementos'!AC391,'LP Elementos'!AH391,'LP Elementos'!AM391,'LP Elementos'!AR391,'LP Elementos'!AW391,'LP Elementos'!BB391,'LP Elementos'!BG391,'LP Elementos'!BL391,'LP Elementos'!BQ391,'LP Elementos'!BV391,'LP Elementos'!CA391,'LP Elementos'!CF391,'LP Elementos'!CK391,'LP Elementos'!CP391,'LP Elementos'!CU391,'LP Elementos'!CZ391)," ")</f>
        <v>99293.362000000008</v>
      </c>
      <c r="F391" s="341">
        <f>IFERROR(MEDIAN('LP Elementos'!F391,'LP Elementos'!I391,'LP Elementos'!N391,'LP Elementos'!S391,'LP Elementos'!X391,'LP Elementos'!AC391,'LP Elementos'!AH391,'LP Elementos'!AM391,'LP Elementos'!AR391,'LP Elementos'!AW391,'LP Elementos'!BB391,'LP Elementos'!BG391,'LP Elementos'!BL391,'LP Elementos'!BQ391,'LP Elementos'!BV391,'LP Elementos'!CA391,'LP Elementos'!CF391,'LP Elementos'!CK391,'LP Elementos'!CP391,'LP Elementos'!CU391,'LP Elementos'!CZ391)," ")</f>
        <v>99293.362000000008</v>
      </c>
      <c r="G391" s="341">
        <f>IFERROR(GEOMEAN('LP Elementos'!F391,'LP Elementos'!I391,'LP Elementos'!N391,'LP Elementos'!S391,'LP Elementos'!X391,'LP Elementos'!AC391,'LP Elementos'!AH391,'LP Elementos'!AM391,'LP Elementos'!AR391,'LP Elementos'!AW391,'LP Elementos'!BB391,'LP Elementos'!BG391,'LP Elementos'!BL391,'LP Elementos'!BQ391,'LP Elementos'!BV391,'LP Elementos'!CA391,'LP Elementos'!CF391,'LP Elementos'!CK391,'LP Elementos'!CP391,'LP Elementos'!CU391,'LP Elementos'!CZ391)," ")</f>
        <v>99293.362000000008</v>
      </c>
      <c r="H391" s="341">
        <f t="shared" si="32"/>
        <v>0</v>
      </c>
      <c r="I391" s="342">
        <f t="shared" si="33"/>
        <v>0</v>
      </c>
      <c r="J391" s="341">
        <f t="shared" si="34"/>
        <v>99293.362000000008</v>
      </c>
      <c r="K391" s="326" t="str">
        <f t="shared" si="35"/>
        <v>Menor Valor</v>
      </c>
      <c r="L391" s="326">
        <f>IFERROR(COUNTA('LP Elementos'!F391,'LP Elementos'!I391,'LP Elementos'!N391,'LP Elementos'!S391,'LP Elementos'!X391,'LP Elementos'!AC391,'LP Elementos'!AH391,'LP Elementos'!AM391,'LP Elementos'!AR391,'LP Elementos'!AX391,'LP Elementos'!BB391,'LP Elementos'!BG391,'LP Elementos'!BL391,'LP Elementos'!BQ391,'LP Elementos'!BV391,'LP Elementos'!CA391,'LP Elementos'!CF391,'LP Elementos'!CK391,'LP Elementos'!CP391,'LP Elementos'!CU391,'LP Elementos'!CZ391)," ")</f>
        <v>1</v>
      </c>
    </row>
    <row r="392" spans="2:12" x14ac:dyDescent="0.25">
      <c r="B392" s="411">
        <v>390</v>
      </c>
      <c r="C392" s="412" t="s">
        <v>4045</v>
      </c>
      <c r="D392" s="408">
        <f>IFERROR(MIN('LP Elementos'!F392,'LP Elementos'!I392,'LP Elementos'!N392,'LP Elementos'!S392,'LP Elementos'!X392,'LP Elementos'!AC392,'LP Elementos'!AH392,'LP Elementos'!AM392,'LP Elementos'!AR392,'LP Elementos'!AW392,'LP Elementos'!BB392,'LP Elementos'!BG392,'LP Elementos'!BL392,'LP Elementos'!BQ392,'LP Elementos'!BV392,'LP Elementos'!CA392,'LP Elementos'!CF392,'LP Elementos'!CK392,'LP Elementos'!CP392,'LP Elementos'!CU392,'LP Elementos'!CZ392)," ")</f>
        <v>389447.34500000003</v>
      </c>
      <c r="E392" s="341">
        <f>IFERROR(AVERAGE('LP Elementos'!F392,'LP Elementos'!I392,'LP Elementos'!N392,'LP Elementos'!S392,'LP Elementos'!X392,'LP Elementos'!AC392,'LP Elementos'!AH392,'LP Elementos'!AM392,'LP Elementos'!AR392,'LP Elementos'!AW392,'LP Elementos'!BB392,'LP Elementos'!BG392,'LP Elementos'!BL392,'LP Elementos'!BQ392,'LP Elementos'!BV392,'LP Elementos'!CA392,'LP Elementos'!CF392,'LP Elementos'!CK392,'LP Elementos'!CP392,'LP Elementos'!CU392,'LP Elementos'!CZ392)," ")</f>
        <v>389447.34500000003</v>
      </c>
      <c r="F392" s="341">
        <f>IFERROR(MEDIAN('LP Elementos'!F392,'LP Elementos'!I392,'LP Elementos'!N392,'LP Elementos'!S392,'LP Elementos'!X392,'LP Elementos'!AC392,'LP Elementos'!AH392,'LP Elementos'!AM392,'LP Elementos'!AR392,'LP Elementos'!AW392,'LP Elementos'!BB392,'LP Elementos'!BG392,'LP Elementos'!BL392,'LP Elementos'!BQ392,'LP Elementos'!BV392,'LP Elementos'!CA392,'LP Elementos'!CF392,'LP Elementos'!CK392,'LP Elementos'!CP392,'LP Elementos'!CU392,'LP Elementos'!CZ392)," ")</f>
        <v>389447.34500000003</v>
      </c>
      <c r="G392" s="341">
        <f>IFERROR(GEOMEAN('LP Elementos'!F392,'LP Elementos'!I392,'LP Elementos'!N392,'LP Elementos'!S392,'LP Elementos'!X392,'LP Elementos'!AC392,'LP Elementos'!AH392,'LP Elementos'!AM392,'LP Elementos'!AR392,'LP Elementos'!AW392,'LP Elementos'!BB392,'LP Elementos'!BG392,'LP Elementos'!BL392,'LP Elementos'!BQ392,'LP Elementos'!BV392,'LP Elementos'!CA392,'LP Elementos'!CF392,'LP Elementos'!CK392,'LP Elementos'!CP392,'LP Elementos'!CU392,'LP Elementos'!CZ392)," ")</f>
        <v>389447.34500000003</v>
      </c>
      <c r="H392" s="341">
        <f t="shared" si="32"/>
        <v>0</v>
      </c>
      <c r="I392" s="342">
        <f t="shared" si="33"/>
        <v>0</v>
      </c>
      <c r="J392" s="341">
        <f t="shared" si="34"/>
        <v>389447.34500000003</v>
      </c>
      <c r="K392" s="326" t="str">
        <f t="shared" si="35"/>
        <v>Menor Valor</v>
      </c>
      <c r="L392" s="326">
        <f>IFERROR(COUNTA('LP Elementos'!F392,'LP Elementos'!I392,'LP Elementos'!N392,'LP Elementos'!S392,'LP Elementos'!X392,'LP Elementos'!AC392,'LP Elementos'!AH392,'LP Elementos'!AM392,'LP Elementos'!AR392,'LP Elementos'!AX392,'LP Elementos'!BB392,'LP Elementos'!BG392,'LP Elementos'!BL392,'LP Elementos'!BQ392,'LP Elementos'!BV392,'LP Elementos'!CA392,'LP Elementos'!CF392,'LP Elementos'!CK392,'LP Elementos'!CP392,'LP Elementos'!CU392,'LP Elementos'!CZ392)," ")</f>
        <v>1</v>
      </c>
    </row>
    <row r="393" spans="2:12" ht="27" x14ac:dyDescent="0.25">
      <c r="B393" s="411">
        <v>391</v>
      </c>
      <c r="C393" s="412" t="s">
        <v>4047</v>
      </c>
      <c r="D393" s="408">
        <f>IFERROR(MIN('LP Elementos'!F393,'LP Elementos'!I393,'LP Elementos'!N393,'LP Elementos'!S393,'LP Elementos'!X393,'LP Elementos'!AC393,'LP Elementos'!AH393,'LP Elementos'!AM393,'LP Elementos'!AR393,'LP Elementos'!AW393,'LP Elementos'!BB393,'LP Elementos'!BG393,'LP Elementos'!BL393,'LP Elementos'!BQ393,'LP Elementos'!BV393,'LP Elementos'!CA393,'LP Elementos'!CF393,'LP Elementos'!CK393,'LP Elementos'!CP393,'LP Elementos'!CU393,'LP Elementos'!CZ393)," ")</f>
        <v>191045.45600000001</v>
      </c>
      <c r="E393" s="341">
        <f>IFERROR(AVERAGE('LP Elementos'!F393,'LP Elementos'!I393,'LP Elementos'!N393,'LP Elementos'!S393,'LP Elementos'!X393,'LP Elementos'!AC393,'LP Elementos'!AH393,'LP Elementos'!AM393,'LP Elementos'!AR393,'LP Elementos'!AW393,'LP Elementos'!BB393,'LP Elementos'!BG393,'LP Elementos'!BL393,'LP Elementos'!BQ393,'LP Elementos'!BV393,'LP Elementos'!CA393,'LP Elementos'!CF393,'LP Elementos'!CK393,'LP Elementos'!CP393,'LP Elementos'!CU393,'LP Elementos'!CZ393)," ")</f>
        <v>199647.728</v>
      </c>
      <c r="F393" s="341">
        <f>IFERROR(MEDIAN('LP Elementos'!F393,'LP Elementos'!I393,'LP Elementos'!N393,'LP Elementos'!S393,'LP Elementos'!X393,'LP Elementos'!AC393,'LP Elementos'!AH393,'LP Elementos'!AM393,'LP Elementos'!AR393,'LP Elementos'!AW393,'LP Elementos'!BB393,'LP Elementos'!BG393,'LP Elementos'!BL393,'LP Elementos'!BQ393,'LP Elementos'!BV393,'LP Elementos'!CA393,'LP Elementos'!CF393,'LP Elementos'!CK393,'LP Elementos'!CP393,'LP Elementos'!CU393,'LP Elementos'!CZ393)," ")</f>
        <v>199647.728</v>
      </c>
      <c r="G393" s="341">
        <f>IFERROR(GEOMEAN('LP Elementos'!F393,'LP Elementos'!I393,'LP Elementos'!N393,'LP Elementos'!S393,'LP Elementos'!X393,'LP Elementos'!AC393,'LP Elementos'!AH393,'LP Elementos'!AM393,'LP Elementos'!AR393,'LP Elementos'!AW393,'LP Elementos'!BB393,'LP Elementos'!BG393,'LP Elementos'!BL393,'LP Elementos'!BQ393,'LP Elementos'!BV393,'LP Elementos'!CA393,'LP Elementos'!CF393,'LP Elementos'!CK393,'LP Elementos'!CP393,'LP Elementos'!CU393,'LP Elementos'!CZ393)," ")</f>
        <v>199462.31777456112</v>
      </c>
      <c r="H393" s="341">
        <f t="shared" si="32"/>
        <v>4271.1286872776236</v>
      </c>
      <c r="I393" s="342">
        <f t="shared" si="33"/>
        <v>2.1393324782927776E-2</v>
      </c>
      <c r="J393" s="341">
        <f t="shared" si="34"/>
        <v>199647.728</v>
      </c>
      <c r="K393" s="326" t="str">
        <f t="shared" si="35"/>
        <v>Promedio</v>
      </c>
      <c r="L393" s="326">
        <f>IFERROR(COUNTA('LP Elementos'!F393,'LP Elementos'!I393,'LP Elementos'!N393,'LP Elementos'!S393,'LP Elementos'!X393,'LP Elementos'!AC393,'LP Elementos'!AH393,'LP Elementos'!AM393,'LP Elementos'!AR393,'LP Elementos'!AX393,'LP Elementos'!BB393,'LP Elementos'!BG393,'LP Elementos'!BL393,'LP Elementos'!BQ393,'LP Elementos'!BV393,'LP Elementos'!CA393,'LP Elementos'!CF393,'LP Elementos'!CK393,'LP Elementos'!CP393,'LP Elementos'!CU393,'LP Elementos'!CZ393)," ")</f>
        <v>2</v>
      </c>
    </row>
    <row r="394" spans="2:12" x14ac:dyDescent="0.25">
      <c r="B394" s="411">
        <v>392</v>
      </c>
      <c r="C394" s="412" t="s">
        <v>4050</v>
      </c>
      <c r="D394" s="408">
        <f>IFERROR(MIN('LP Elementos'!F394,'LP Elementos'!I394,'LP Elementos'!N394,'LP Elementos'!S394,'LP Elementos'!X394,'LP Elementos'!AC394,'LP Elementos'!AH394,'LP Elementos'!AM394,'LP Elementos'!AR394,'LP Elementos'!AW394,'LP Elementos'!BB394,'LP Elementos'!BG394,'LP Elementos'!BL394,'LP Elementos'!BQ394,'LP Elementos'!BV394,'LP Elementos'!CA394,'LP Elementos'!CF394,'LP Elementos'!CK394,'LP Elementos'!CP394,'LP Elementos'!CU394,'LP Elementos'!CZ394)," ")</f>
        <v>145000.31</v>
      </c>
      <c r="E394" s="341">
        <f>IFERROR(AVERAGE('LP Elementos'!F394,'LP Elementos'!I394,'LP Elementos'!N394,'LP Elementos'!S394,'LP Elementos'!X394,'LP Elementos'!AC394,'LP Elementos'!AH394,'LP Elementos'!AM394,'LP Elementos'!AR394,'LP Elementos'!AW394,'LP Elementos'!BB394,'LP Elementos'!BG394,'LP Elementos'!BL394,'LP Elementos'!BQ394,'LP Elementos'!BV394,'LP Elementos'!CA394,'LP Elementos'!CF394,'LP Elementos'!CK394,'LP Elementos'!CP394,'LP Elementos'!CU394,'LP Elementos'!CZ394)," ")</f>
        <v>196502.22173333331</v>
      </c>
      <c r="F394" s="341">
        <f>IFERROR(MEDIAN('LP Elementos'!F394,'LP Elementos'!I394,'LP Elementos'!N394,'LP Elementos'!S394,'LP Elementos'!X394,'LP Elementos'!AC394,'LP Elementos'!AH394,'LP Elementos'!AM394,'LP Elementos'!AR394,'LP Elementos'!AW394,'LP Elementos'!BB394,'LP Elementos'!BG394,'LP Elementos'!BL394,'LP Elementos'!BQ394,'LP Elementos'!BV394,'LP Elementos'!CA394,'LP Elementos'!CF394,'LP Elementos'!CK394,'LP Elementos'!CP394,'LP Elementos'!CU394,'LP Elementos'!CZ394)," ")</f>
        <v>200634</v>
      </c>
      <c r="G394" s="341">
        <f>IFERROR(GEOMEAN('LP Elementos'!F394,'LP Elementos'!I394,'LP Elementos'!N394,'LP Elementos'!S394,'LP Elementos'!X394,'LP Elementos'!AC394,'LP Elementos'!AH394,'LP Elementos'!AM394,'LP Elementos'!AR394,'LP Elementos'!AW394,'LP Elementos'!BB394,'LP Elementos'!BG394,'LP Elementos'!BL394,'LP Elementos'!BQ394,'LP Elementos'!BV394,'LP Elementos'!CA394,'LP Elementos'!CF394,'LP Elementos'!CK394,'LP Elementos'!CP394,'LP Elementos'!CU394,'LP Elementos'!CZ394)," ")</f>
        <v>192152.19282782389</v>
      </c>
      <c r="H394" s="341">
        <f t="shared" si="32"/>
        <v>25946.723983068499</v>
      </c>
      <c r="I394" s="342">
        <f t="shared" si="33"/>
        <v>0.13204290391321857</v>
      </c>
      <c r="J394" s="341">
        <f t="shared" si="34"/>
        <v>196502.22173333331</v>
      </c>
      <c r="K394" s="326" t="str">
        <f t="shared" si="35"/>
        <v>Promedio</v>
      </c>
      <c r="L394" s="326">
        <f>IFERROR(COUNTA('LP Elementos'!F394,'LP Elementos'!I394,'LP Elementos'!N394,'LP Elementos'!S394,'LP Elementos'!X394,'LP Elementos'!AC394,'LP Elementos'!AH394,'LP Elementos'!AM394,'LP Elementos'!AR394,'LP Elementos'!AX394,'LP Elementos'!BB394,'LP Elementos'!BG394,'LP Elementos'!BL394,'LP Elementos'!BQ394,'LP Elementos'!BV394,'LP Elementos'!CA394,'LP Elementos'!CF394,'LP Elementos'!CK394,'LP Elementos'!CP394,'LP Elementos'!CU394,'LP Elementos'!CZ394)," ")</f>
        <v>3</v>
      </c>
    </row>
    <row r="395" spans="2:12" ht="27" x14ac:dyDescent="0.25">
      <c r="B395" s="411">
        <v>393</v>
      </c>
      <c r="C395" s="412" t="s">
        <v>4054</v>
      </c>
      <c r="D395" s="408">
        <f>IFERROR(MIN('LP Elementos'!F395,'LP Elementos'!I395,'LP Elementos'!N395,'LP Elementos'!S395,'LP Elementos'!X395,'LP Elementos'!AC395,'LP Elementos'!AH395,'LP Elementos'!AM395,'LP Elementos'!AR395,'LP Elementos'!AW395,'LP Elementos'!BB395,'LP Elementos'!BG395,'LP Elementos'!BL395,'LP Elementos'!BQ395,'LP Elementos'!BV395,'LP Elementos'!CA395,'LP Elementos'!CF395,'LP Elementos'!CK395,'LP Elementos'!CP395,'LP Elementos'!CU395,'LP Elementos'!CZ395)," ")</f>
        <v>569477.6912</v>
      </c>
      <c r="E395" s="341">
        <f>IFERROR(AVERAGE('LP Elementos'!F395,'LP Elementos'!I395,'LP Elementos'!N395,'LP Elementos'!S395,'LP Elementos'!X395,'LP Elementos'!AC395,'LP Elementos'!AH395,'LP Elementos'!AM395,'LP Elementos'!AR395,'LP Elementos'!AW395,'LP Elementos'!BB395,'LP Elementos'!BG395,'LP Elementos'!BL395,'LP Elementos'!BQ395,'LP Elementos'!BV395,'LP Elementos'!CA395,'LP Elementos'!CF395,'LP Elementos'!CK395,'LP Elementos'!CP395,'LP Elementos'!CU395,'LP Elementos'!CZ395)," ")</f>
        <v>569477.6912</v>
      </c>
      <c r="F395" s="341">
        <f>IFERROR(MEDIAN('LP Elementos'!F395,'LP Elementos'!I395,'LP Elementos'!N395,'LP Elementos'!S395,'LP Elementos'!X395,'LP Elementos'!AC395,'LP Elementos'!AH395,'LP Elementos'!AM395,'LP Elementos'!AR395,'LP Elementos'!AW395,'LP Elementos'!BB395,'LP Elementos'!BG395,'LP Elementos'!BL395,'LP Elementos'!BQ395,'LP Elementos'!BV395,'LP Elementos'!CA395,'LP Elementos'!CF395,'LP Elementos'!CK395,'LP Elementos'!CP395,'LP Elementos'!CU395,'LP Elementos'!CZ395)," ")</f>
        <v>569477.6912</v>
      </c>
      <c r="G395" s="341">
        <f>IFERROR(GEOMEAN('LP Elementos'!F395,'LP Elementos'!I395,'LP Elementos'!N395,'LP Elementos'!S395,'LP Elementos'!X395,'LP Elementos'!AC395,'LP Elementos'!AH395,'LP Elementos'!AM395,'LP Elementos'!AR395,'LP Elementos'!AW395,'LP Elementos'!BB395,'LP Elementos'!BG395,'LP Elementos'!BL395,'LP Elementos'!BQ395,'LP Elementos'!BV395,'LP Elementos'!CA395,'LP Elementos'!CF395,'LP Elementos'!CK395,'LP Elementos'!CP395,'LP Elementos'!CU395,'LP Elementos'!CZ395)," ")</f>
        <v>569477.6912</v>
      </c>
      <c r="H395" s="341">
        <f t="shared" si="32"/>
        <v>0</v>
      </c>
      <c r="I395" s="342">
        <f t="shared" si="33"/>
        <v>0</v>
      </c>
      <c r="J395" s="341">
        <f t="shared" si="34"/>
        <v>569477.6912</v>
      </c>
      <c r="K395" s="326" t="str">
        <f t="shared" si="35"/>
        <v>Menor Valor</v>
      </c>
      <c r="L395" s="326">
        <f>IFERROR(COUNTA('LP Elementos'!F395,'LP Elementos'!I395,'LP Elementos'!N395,'LP Elementos'!S395,'LP Elementos'!X395,'LP Elementos'!AC395,'LP Elementos'!AH395,'LP Elementos'!AM395,'LP Elementos'!AR395,'LP Elementos'!AX395,'LP Elementos'!BB395,'LP Elementos'!BG395,'LP Elementos'!BL395,'LP Elementos'!BQ395,'LP Elementos'!BV395,'LP Elementos'!CA395,'LP Elementos'!CF395,'LP Elementos'!CK395,'LP Elementos'!CP395,'LP Elementos'!CU395,'LP Elementos'!CZ395)," ")</f>
        <v>1</v>
      </c>
    </row>
    <row r="396" spans="2:12" ht="27" x14ac:dyDescent="0.25">
      <c r="B396" s="411">
        <v>394</v>
      </c>
      <c r="C396" s="412" t="s">
        <v>4056</v>
      </c>
      <c r="D396" s="408">
        <f>IFERROR(MIN('LP Elementos'!F396,'LP Elementos'!I396,'LP Elementos'!N396,'LP Elementos'!S396,'LP Elementos'!X396,'LP Elementos'!AC396,'LP Elementos'!AH396,'LP Elementos'!AM396,'LP Elementos'!AR396,'LP Elementos'!AW396,'LP Elementos'!BB396,'LP Elementos'!BG396,'LP Elementos'!BL396,'LP Elementos'!BQ396,'LP Elementos'!BV396,'LP Elementos'!CA396,'LP Elementos'!CF396,'LP Elementos'!CK396,'LP Elementos'!CP396,'LP Elementos'!CU396,'LP Elementos'!CZ396)," ")</f>
        <v>44279.0726</v>
      </c>
      <c r="E396" s="341">
        <f>IFERROR(AVERAGE('LP Elementos'!F396,'LP Elementos'!I396,'LP Elementos'!N396,'LP Elementos'!S396,'LP Elementos'!X396,'LP Elementos'!AC396,'LP Elementos'!AH396,'LP Elementos'!AM396,'LP Elementos'!AR396,'LP Elementos'!AW396,'LP Elementos'!BB396,'LP Elementos'!BG396,'LP Elementos'!BL396,'LP Elementos'!BQ396,'LP Elementos'!BV396,'LP Elementos'!CA396,'LP Elementos'!CF396,'LP Elementos'!CK396,'LP Elementos'!CP396,'LP Elementos'!CU396,'LP Elementos'!CZ396)," ")</f>
        <v>44279.0726</v>
      </c>
      <c r="F396" s="341">
        <f>IFERROR(MEDIAN('LP Elementos'!F396,'LP Elementos'!I396,'LP Elementos'!N396,'LP Elementos'!S396,'LP Elementos'!X396,'LP Elementos'!AC396,'LP Elementos'!AH396,'LP Elementos'!AM396,'LP Elementos'!AR396,'LP Elementos'!AW396,'LP Elementos'!BB396,'LP Elementos'!BG396,'LP Elementos'!BL396,'LP Elementos'!BQ396,'LP Elementos'!BV396,'LP Elementos'!CA396,'LP Elementos'!CF396,'LP Elementos'!CK396,'LP Elementos'!CP396,'LP Elementos'!CU396,'LP Elementos'!CZ396)," ")</f>
        <v>44279.0726</v>
      </c>
      <c r="G396" s="341">
        <f>IFERROR(GEOMEAN('LP Elementos'!F396,'LP Elementos'!I396,'LP Elementos'!N396,'LP Elementos'!S396,'LP Elementos'!X396,'LP Elementos'!AC396,'LP Elementos'!AH396,'LP Elementos'!AM396,'LP Elementos'!AR396,'LP Elementos'!AW396,'LP Elementos'!BB396,'LP Elementos'!BG396,'LP Elementos'!BL396,'LP Elementos'!BQ396,'LP Elementos'!BV396,'LP Elementos'!CA396,'LP Elementos'!CF396,'LP Elementos'!CK396,'LP Elementos'!CP396,'LP Elementos'!CU396,'LP Elementos'!CZ396)," ")</f>
        <v>44279.0726</v>
      </c>
      <c r="H396" s="341">
        <f t="shared" si="32"/>
        <v>0</v>
      </c>
      <c r="I396" s="342">
        <f t="shared" si="33"/>
        <v>0</v>
      </c>
      <c r="J396" s="341">
        <f t="shared" si="34"/>
        <v>44279.0726</v>
      </c>
      <c r="K396" s="326" t="str">
        <f t="shared" si="35"/>
        <v>Menor Valor</v>
      </c>
      <c r="L396" s="326">
        <f>IFERROR(COUNTA('LP Elementos'!F396,'LP Elementos'!I396,'LP Elementos'!N396,'LP Elementos'!S396,'LP Elementos'!X396,'LP Elementos'!AC396,'LP Elementos'!AH396,'LP Elementos'!AM396,'LP Elementos'!AR396,'LP Elementos'!AX396,'LP Elementos'!BB396,'LP Elementos'!BG396,'LP Elementos'!BL396,'LP Elementos'!BQ396,'LP Elementos'!BV396,'LP Elementos'!CA396,'LP Elementos'!CF396,'LP Elementos'!CK396,'LP Elementos'!CP396,'LP Elementos'!CU396,'LP Elementos'!CZ396)," ")</f>
        <v>1</v>
      </c>
    </row>
    <row r="397" spans="2:12" x14ac:dyDescent="0.25">
      <c r="B397" s="411">
        <v>395</v>
      </c>
      <c r="C397" s="409" t="s">
        <v>4057</v>
      </c>
      <c r="D397" s="408">
        <f>IFERROR(MIN('LP Elementos'!F397,'LP Elementos'!I397,'LP Elementos'!N397,'LP Elementos'!S397,'LP Elementos'!X397,'LP Elementos'!AC397,'LP Elementos'!AH397,'LP Elementos'!AM397,'LP Elementos'!AR397,'LP Elementos'!AW397,'LP Elementos'!BB397,'LP Elementos'!BG397,'LP Elementos'!BL397,'LP Elementos'!BQ397,'LP Elementos'!BV397,'LP Elementos'!CA397,'LP Elementos'!CF397,'LP Elementos'!CK397,'LP Elementos'!CP397,'LP Elementos'!CU397,'LP Elementos'!CZ397)," ")</f>
        <v>67830</v>
      </c>
      <c r="E397" s="341">
        <f>IFERROR(AVERAGE('LP Elementos'!F397,'LP Elementos'!I397,'LP Elementos'!N397,'LP Elementos'!S397,'LP Elementos'!X397,'LP Elementos'!AC397,'LP Elementos'!AH397,'LP Elementos'!AM397,'LP Elementos'!AR397,'LP Elementos'!AW397,'LP Elementos'!BB397,'LP Elementos'!BG397,'LP Elementos'!BL397,'LP Elementos'!BQ397,'LP Elementos'!BV397,'LP Elementos'!CA397,'LP Elementos'!CF397,'LP Elementos'!CK397,'LP Elementos'!CP397,'LP Elementos'!CU397,'LP Elementos'!CZ397)," ")</f>
        <v>67830</v>
      </c>
      <c r="F397" s="341">
        <f>IFERROR(MEDIAN('LP Elementos'!F397,'LP Elementos'!I397,'LP Elementos'!N397,'LP Elementos'!S397,'LP Elementos'!X397,'LP Elementos'!AC397,'LP Elementos'!AH397,'LP Elementos'!AM397,'LP Elementos'!AR397,'LP Elementos'!AW397,'LP Elementos'!BB397,'LP Elementos'!BG397,'LP Elementos'!BL397,'LP Elementos'!BQ397,'LP Elementos'!BV397,'LP Elementos'!CA397,'LP Elementos'!CF397,'LP Elementos'!CK397,'LP Elementos'!CP397,'LP Elementos'!CU397,'LP Elementos'!CZ397)," ")</f>
        <v>67830</v>
      </c>
      <c r="G397" s="341">
        <f>IFERROR(GEOMEAN('LP Elementos'!F397,'LP Elementos'!I397,'LP Elementos'!N397,'LP Elementos'!S397,'LP Elementos'!X397,'LP Elementos'!AC397,'LP Elementos'!AH397,'LP Elementos'!AM397,'LP Elementos'!AR397,'LP Elementos'!AW397,'LP Elementos'!BB397,'LP Elementos'!BG397,'LP Elementos'!BL397,'LP Elementos'!BQ397,'LP Elementos'!BV397,'LP Elementos'!CA397,'LP Elementos'!CF397,'LP Elementos'!CK397,'LP Elementos'!CP397,'LP Elementos'!CU397,'LP Elementos'!CZ397)," ")</f>
        <v>67830</v>
      </c>
      <c r="H397" s="341">
        <f t="shared" si="32"/>
        <v>0</v>
      </c>
      <c r="I397" s="342">
        <f t="shared" si="33"/>
        <v>0</v>
      </c>
      <c r="J397" s="341">
        <f t="shared" si="34"/>
        <v>67830</v>
      </c>
      <c r="K397" s="326" t="str">
        <f t="shared" si="35"/>
        <v>Menor Valor</v>
      </c>
      <c r="L397" s="326">
        <f>IFERROR(COUNTA('LP Elementos'!F397,'LP Elementos'!I397,'LP Elementos'!N397,'LP Elementos'!S397,'LP Elementos'!X397,'LP Elementos'!AC397,'LP Elementos'!AH397,'LP Elementos'!AM397,'LP Elementos'!AR397,'LP Elementos'!AX397,'LP Elementos'!BB397,'LP Elementos'!BG397,'LP Elementos'!BL397,'LP Elementos'!BQ397,'LP Elementos'!BV397,'LP Elementos'!CA397,'LP Elementos'!CF397,'LP Elementos'!CK397,'LP Elementos'!CP397,'LP Elementos'!CU397,'LP Elementos'!CZ397)," ")</f>
        <v>1</v>
      </c>
    </row>
    <row r="398" spans="2:12" x14ac:dyDescent="0.25">
      <c r="B398" s="411">
        <v>396</v>
      </c>
      <c r="C398" s="412" t="s">
        <v>4060</v>
      </c>
      <c r="D398" s="408">
        <f>IFERROR(MIN('LP Elementos'!F398,'LP Elementos'!I398,'LP Elementos'!N398,'LP Elementos'!S398,'LP Elementos'!X398,'LP Elementos'!AC398,'LP Elementos'!AH398,'LP Elementos'!AM398,'LP Elementos'!AR398,'LP Elementos'!AW398,'LP Elementos'!BB398,'LP Elementos'!BG398,'LP Elementos'!BL398,'LP Elementos'!BQ398,'LP Elementos'!BV398,'LP Elementos'!CA398,'LP Elementos'!CF398,'LP Elementos'!CK398,'LP Elementos'!CP398,'LP Elementos'!CU398,'LP Elementos'!CZ398)," ")</f>
        <v>47600</v>
      </c>
      <c r="E398" s="341">
        <f>IFERROR(AVERAGE('LP Elementos'!F398,'LP Elementos'!I398,'LP Elementos'!N398,'LP Elementos'!S398,'LP Elementos'!X398,'LP Elementos'!AC398,'LP Elementos'!AH398,'LP Elementos'!AM398,'LP Elementos'!AR398,'LP Elementos'!AW398,'LP Elementos'!BB398,'LP Elementos'!BG398,'LP Elementos'!BL398,'LP Elementos'!BQ398,'LP Elementos'!BV398,'LP Elementos'!CA398,'LP Elementos'!CF398,'LP Elementos'!CK398,'LP Elementos'!CP398,'LP Elementos'!CU398,'LP Elementos'!CZ398)," ")</f>
        <v>51451.316000000006</v>
      </c>
      <c r="F398" s="341">
        <f>IFERROR(MEDIAN('LP Elementos'!F398,'LP Elementos'!I398,'LP Elementos'!N398,'LP Elementos'!S398,'LP Elementos'!X398,'LP Elementos'!AC398,'LP Elementos'!AH398,'LP Elementos'!AM398,'LP Elementos'!AR398,'LP Elementos'!AW398,'LP Elementos'!BB398,'LP Elementos'!BG398,'LP Elementos'!BL398,'LP Elementos'!BQ398,'LP Elementos'!BV398,'LP Elementos'!CA398,'LP Elementos'!CF398,'LP Elementos'!CK398,'LP Elementos'!CP398,'LP Elementos'!CU398,'LP Elementos'!CZ398)," ")</f>
        <v>51451.316000000006</v>
      </c>
      <c r="G398" s="341">
        <f>IFERROR(GEOMEAN('LP Elementos'!F398,'LP Elementos'!I398,'LP Elementos'!N398,'LP Elementos'!S398,'LP Elementos'!X398,'LP Elementos'!AC398,'LP Elementos'!AH398,'LP Elementos'!AM398,'LP Elementos'!AR398,'LP Elementos'!AW398,'LP Elementos'!BB398,'LP Elementos'!BG398,'LP Elementos'!BL398,'LP Elementos'!BQ398,'LP Elementos'!BV398,'LP Elementos'!CA398,'LP Elementos'!CF398,'LP Elementos'!CK398,'LP Elementos'!CP398,'LP Elementos'!CU398,'LP Elementos'!CZ398)," ")</f>
        <v>51306.971097502923</v>
      </c>
      <c r="H398" s="341">
        <f t="shared" si="32"/>
        <v>1902.8175486890466</v>
      </c>
      <c r="I398" s="342">
        <f t="shared" si="33"/>
        <v>3.6982874231808696E-2</v>
      </c>
      <c r="J398" s="341">
        <f t="shared" si="34"/>
        <v>51451.316000000006</v>
      </c>
      <c r="K398" s="326" t="str">
        <f t="shared" si="35"/>
        <v>Promedio</v>
      </c>
      <c r="L398" s="326">
        <f>IFERROR(COUNTA('LP Elementos'!F398,'LP Elementos'!I398,'LP Elementos'!N398,'LP Elementos'!S398,'LP Elementos'!X398,'LP Elementos'!AC398,'LP Elementos'!AH398,'LP Elementos'!AM398,'LP Elementos'!AR398,'LP Elementos'!AX398,'LP Elementos'!BB398,'LP Elementos'!BG398,'LP Elementos'!BL398,'LP Elementos'!BQ398,'LP Elementos'!BV398,'LP Elementos'!CA398,'LP Elementos'!CF398,'LP Elementos'!CK398,'LP Elementos'!CP398,'LP Elementos'!CU398,'LP Elementos'!CZ398)," ")</f>
        <v>2</v>
      </c>
    </row>
    <row r="399" spans="2:12" x14ac:dyDescent="0.25">
      <c r="B399" s="411">
        <v>397</v>
      </c>
      <c r="C399" s="409" t="s">
        <v>4062</v>
      </c>
      <c r="D399" s="408">
        <f>IFERROR(MIN('LP Elementos'!F399,'LP Elementos'!I399,'LP Elementos'!N399,'LP Elementos'!S399,'LP Elementos'!X399,'LP Elementos'!AC399,'LP Elementos'!AH399,'LP Elementos'!AM399,'LP Elementos'!AR399,'LP Elementos'!AW399,'LP Elementos'!BB399,'LP Elementos'!BG399,'LP Elementos'!BL399,'LP Elementos'!BQ399,'LP Elementos'!BV399,'LP Elementos'!CA399,'LP Elementos'!CF399,'LP Elementos'!CK399,'LP Elementos'!CP399,'LP Elementos'!CU399,'LP Elementos'!CZ399)," ")</f>
        <v>46504.486000000004</v>
      </c>
      <c r="E399" s="341">
        <f>IFERROR(AVERAGE('LP Elementos'!F399,'LP Elementos'!I399,'LP Elementos'!N399,'LP Elementos'!S399,'LP Elementos'!X399,'LP Elementos'!AC399,'LP Elementos'!AH399,'LP Elementos'!AM399,'LP Elementos'!AR399,'LP Elementos'!AW399,'LP Elementos'!BB399,'LP Elementos'!BG399,'LP Elementos'!BL399,'LP Elementos'!BQ399,'LP Elementos'!BV399,'LP Elementos'!CA399,'LP Elementos'!CF399,'LP Elementos'!CK399,'LP Elementos'!CP399,'LP Elementos'!CU399,'LP Elementos'!CZ399)," ")</f>
        <v>46504.486000000004</v>
      </c>
      <c r="F399" s="341">
        <f>IFERROR(MEDIAN('LP Elementos'!F399,'LP Elementos'!I399,'LP Elementos'!N399,'LP Elementos'!S399,'LP Elementos'!X399,'LP Elementos'!AC399,'LP Elementos'!AH399,'LP Elementos'!AM399,'LP Elementos'!AR399,'LP Elementos'!AW399,'LP Elementos'!BB399,'LP Elementos'!BG399,'LP Elementos'!BL399,'LP Elementos'!BQ399,'LP Elementos'!BV399,'LP Elementos'!CA399,'LP Elementos'!CF399,'LP Elementos'!CK399,'LP Elementos'!CP399,'LP Elementos'!CU399,'LP Elementos'!CZ399)," ")</f>
        <v>46504.486000000004</v>
      </c>
      <c r="G399" s="341">
        <f>IFERROR(GEOMEAN('LP Elementos'!F399,'LP Elementos'!I399,'LP Elementos'!N399,'LP Elementos'!S399,'LP Elementos'!X399,'LP Elementos'!AC399,'LP Elementos'!AH399,'LP Elementos'!AM399,'LP Elementos'!AR399,'LP Elementos'!AW399,'LP Elementos'!BB399,'LP Elementos'!BG399,'LP Elementos'!BL399,'LP Elementos'!BQ399,'LP Elementos'!BV399,'LP Elementos'!CA399,'LP Elementos'!CF399,'LP Elementos'!CK399,'LP Elementos'!CP399,'LP Elementos'!CU399,'LP Elementos'!CZ399)," ")</f>
        <v>46504.486000000004</v>
      </c>
      <c r="H399" s="341">
        <f t="shared" si="32"/>
        <v>0</v>
      </c>
      <c r="I399" s="342">
        <f t="shared" si="33"/>
        <v>0</v>
      </c>
      <c r="J399" s="341">
        <f t="shared" si="34"/>
        <v>46504.486000000004</v>
      </c>
      <c r="K399" s="326" t="str">
        <f t="shared" si="35"/>
        <v>Menor Valor</v>
      </c>
      <c r="L399" s="326">
        <f>IFERROR(COUNTA('LP Elementos'!F399,'LP Elementos'!I399,'LP Elementos'!N399,'LP Elementos'!S399,'LP Elementos'!X399,'LP Elementos'!AC399,'LP Elementos'!AH399,'LP Elementos'!AM399,'LP Elementos'!AR399,'LP Elementos'!AX399,'LP Elementos'!BB399,'LP Elementos'!BG399,'LP Elementos'!BL399,'LP Elementos'!BQ399,'LP Elementos'!BV399,'LP Elementos'!CA399,'LP Elementos'!CF399,'LP Elementos'!CK399,'LP Elementos'!CP399,'LP Elementos'!CU399,'LP Elementos'!CZ399)," ")</f>
        <v>1</v>
      </c>
    </row>
    <row r="400" spans="2:12" x14ac:dyDescent="0.25">
      <c r="B400" s="411">
        <v>398</v>
      </c>
      <c r="C400" s="412" t="s">
        <v>4063</v>
      </c>
      <c r="D400" s="408">
        <f>IFERROR(MIN('LP Elementos'!F400,'LP Elementos'!I400,'LP Elementos'!N400,'LP Elementos'!S400,'LP Elementos'!X400,'LP Elementos'!AC400,'LP Elementos'!AH400,'LP Elementos'!AM400,'LP Elementos'!AR400,'LP Elementos'!AW400,'LP Elementos'!BB400,'LP Elementos'!BG400,'LP Elementos'!BL400,'LP Elementos'!BQ400,'LP Elementos'!BV400,'LP Elementos'!CA400,'LP Elementos'!CF400,'LP Elementos'!CK400,'LP Elementos'!CP400,'LP Elementos'!CU400,'LP Elementos'!CZ400)," ")</f>
        <v>52788.876000000004</v>
      </c>
      <c r="E400" s="341">
        <f>IFERROR(AVERAGE('LP Elementos'!F400,'LP Elementos'!I400,'LP Elementos'!N400,'LP Elementos'!S400,'LP Elementos'!X400,'LP Elementos'!AC400,'LP Elementos'!AH400,'LP Elementos'!AM400,'LP Elementos'!AR400,'LP Elementos'!AW400,'LP Elementos'!BB400,'LP Elementos'!BG400,'LP Elementos'!BL400,'LP Elementos'!BQ400,'LP Elementos'!BV400,'LP Elementos'!CA400,'LP Elementos'!CF400,'LP Elementos'!CK400,'LP Elementos'!CP400,'LP Elementos'!CU400,'LP Elementos'!CZ400)," ")</f>
        <v>59714.438000000002</v>
      </c>
      <c r="F400" s="341">
        <f>IFERROR(MEDIAN('LP Elementos'!F400,'LP Elementos'!I400,'LP Elementos'!N400,'LP Elementos'!S400,'LP Elementos'!X400,'LP Elementos'!AC400,'LP Elementos'!AH400,'LP Elementos'!AM400,'LP Elementos'!AR400,'LP Elementos'!AW400,'LP Elementos'!BB400,'LP Elementos'!BG400,'LP Elementos'!BL400,'LP Elementos'!BQ400,'LP Elementos'!BV400,'LP Elementos'!CA400,'LP Elementos'!CF400,'LP Elementos'!CK400,'LP Elementos'!CP400,'LP Elementos'!CU400,'LP Elementos'!CZ400)," ")</f>
        <v>59714.438000000002</v>
      </c>
      <c r="G400" s="341">
        <f>IFERROR(GEOMEAN('LP Elementos'!F400,'LP Elementos'!I400,'LP Elementos'!N400,'LP Elementos'!S400,'LP Elementos'!X400,'LP Elementos'!AC400,'LP Elementos'!AH400,'LP Elementos'!AM400,'LP Elementos'!AR400,'LP Elementos'!AW400,'LP Elementos'!BB400,'LP Elementos'!BG400,'LP Elementos'!BL400,'LP Elementos'!BQ400,'LP Elementos'!BV400,'LP Elementos'!CA400,'LP Elementos'!CF400,'LP Elementos'!CK400,'LP Elementos'!CP400,'LP Elementos'!CU400,'LP Elementos'!CZ400)," ")</f>
        <v>59311.471880572994</v>
      </c>
      <c r="H400" s="341">
        <f t="shared" si="32"/>
        <v>3400.9292656538228</v>
      </c>
      <c r="I400" s="342">
        <f t="shared" si="33"/>
        <v>5.6953215663753255E-2</v>
      </c>
      <c r="J400" s="341">
        <f t="shared" si="34"/>
        <v>59714.438000000002</v>
      </c>
      <c r="K400" s="326" t="str">
        <f t="shared" si="35"/>
        <v>Promedio</v>
      </c>
      <c r="L400" s="326">
        <f>IFERROR(COUNTA('LP Elementos'!F400,'LP Elementos'!I400,'LP Elementos'!N400,'LP Elementos'!S400,'LP Elementos'!X400,'LP Elementos'!AC400,'LP Elementos'!AH400,'LP Elementos'!AM400,'LP Elementos'!AR400,'LP Elementos'!AX400,'LP Elementos'!BB400,'LP Elementos'!BG400,'LP Elementos'!BL400,'LP Elementos'!BQ400,'LP Elementos'!BV400,'LP Elementos'!CA400,'LP Elementos'!CF400,'LP Elementos'!CK400,'LP Elementos'!CP400,'LP Elementos'!CU400,'LP Elementos'!CZ400)," ")</f>
        <v>2</v>
      </c>
    </row>
    <row r="401" spans="2:12" x14ac:dyDescent="0.25">
      <c r="B401" s="411">
        <v>399</v>
      </c>
      <c r="C401" s="412" t="s">
        <v>4065</v>
      </c>
      <c r="D401" s="408">
        <f>IFERROR(MIN('LP Elementos'!F401,'LP Elementos'!I401,'LP Elementos'!N401,'LP Elementos'!S401,'LP Elementos'!X401,'LP Elementos'!AC401,'LP Elementos'!AH401,'LP Elementos'!AM401,'LP Elementos'!AR401,'LP Elementos'!AW401,'LP Elementos'!BB401,'LP Elementos'!BG401,'LP Elementos'!BL401,'LP Elementos'!BQ401,'LP Elementos'!BV401,'LP Elementos'!CA401,'LP Elementos'!CF401,'LP Elementos'!CK401,'LP Elementos'!CP401,'LP Elementos'!CU401,'LP Elementos'!CZ401)," ")</f>
        <v>54740</v>
      </c>
      <c r="E401" s="341">
        <f>IFERROR(AVERAGE('LP Elementos'!F401,'LP Elementos'!I401,'LP Elementos'!N401,'LP Elementos'!S401,'LP Elementos'!X401,'LP Elementos'!AC401,'LP Elementos'!AH401,'LP Elementos'!AM401,'LP Elementos'!AR401,'LP Elementos'!AW401,'LP Elementos'!BB401,'LP Elementos'!BG401,'LP Elementos'!BL401,'LP Elementos'!BQ401,'LP Elementos'!BV401,'LP Elementos'!CA401,'LP Elementos'!CF401,'LP Elementos'!CK401,'LP Elementos'!CP401,'LP Elementos'!CU401,'LP Elementos'!CZ401)," ")</f>
        <v>54740</v>
      </c>
      <c r="F401" s="341">
        <f>IFERROR(MEDIAN('LP Elementos'!F401,'LP Elementos'!I401,'LP Elementos'!N401,'LP Elementos'!S401,'LP Elementos'!X401,'LP Elementos'!AC401,'LP Elementos'!AH401,'LP Elementos'!AM401,'LP Elementos'!AR401,'LP Elementos'!AW401,'LP Elementos'!BB401,'LP Elementos'!BG401,'LP Elementos'!BL401,'LP Elementos'!BQ401,'LP Elementos'!BV401,'LP Elementos'!CA401,'LP Elementos'!CF401,'LP Elementos'!CK401,'LP Elementos'!CP401,'LP Elementos'!CU401,'LP Elementos'!CZ401)," ")</f>
        <v>54740</v>
      </c>
      <c r="G401" s="341">
        <f>IFERROR(GEOMEAN('LP Elementos'!F401,'LP Elementos'!I401,'LP Elementos'!N401,'LP Elementos'!S401,'LP Elementos'!X401,'LP Elementos'!AC401,'LP Elementos'!AH401,'LP Elementos'!AM401,'LP Elementos'!AR401,'LP Elementos'!AW401,'LP Elementos'!BB401,'LP Elementos'!BG401,'LP Elementos'!BL401,'LP Elementos'!BQ401,'LP Elementos'!BV401,'LP Elementos'!CA401,'LP Elementos'!CF401,'LP Elementos'!CK401,'LP Elementos'!CP401,'LP Elementos'!CU401,'LP Elementos'!CZ401)," ")</f>
        <v>54740</v>
      </c>
      <c r="H401" s="341">
        <f t="shared" si="32"/>
        <v>0</v>
      </c>
      <c r="I401" s="342">
        <f t="shared" si="33"/>
        <v>0</v>
      </c>
      <c r="J401" s="341">
        <f t="shared" si="34"/>
        <v>54740</v>
      </c>
      <c r="K401" s="326" t="str">
        <f t="shared" si="35"/>
        <v>Menor Valor</v>
      </c>
      <c r="L401" s="326">
        <f>IFERROR(COUNTA('LP Elementos'!F401,'LP Elementos'!I401,'LP Elementos'!N401,'LP Elementos'!S401,'LP Elementos'!X401,'LP Elementos'!AC401,'LP Elementos'!AH401,'LP Elementos'!AM401,'LP Elementos'!AR401,'LP Elementos'!AX401,'LP Elementos'!BB401,'LP Elementos'!BG401,'LP Elementos'!BL401,'LP Elementos'!BQ401,'LP Elementos'!BV401,'LP Elementos'!CA401,'LP Elementos'!CF401,'LP Elementos'!CK401,'LP Elementos'!CP401,'LP Elementos'!CU401,'LP Elementos'!CZ401)," ")</f>
        <v>1</v>
      </c>
    </row>
    <row r="402" spans="2:12" x14ac:dyDescent="0.25">
      <c r="B402" s="411">
        <v>400</v>
      </c>
      <c r="C402" s="412" t="s">
        <v>4067</v>
      </c>
      <c r="D402" s="408">
        <f>IFERROR(MIN('LP Elementos'!F402,'LP Elementos'!I402,'LP Elementos'!N402,'LP Elementos'!S402,'LP Elementos'!X402,'LP Elementos'!AC402,'LP Elementos'!AH402,'LP Elementos'!AM402,'LP Elementos'!AR402,'LP Elementos'!AW402,'LP Elementos'!BB402,'LP Elementos'!BG402,'LP Elementos'!BL402,'LP Elementos'!BQ402,'LP Elementos'!BV402,'LP Elementos'!CA402,'LP Elementos'!CF402,'LP Elementos'!CK402,'LP Elementos'!CP402,'LP Elementos'!CU402,'LP Elementos'!CZ402)," ")</f>
        <v>10055.023999999999</v>
      </c>
      <c r="E402" s="341">
        <f>IFERROR(AVERAGE('LP Elementos'!F402,'LP Elementos'!I402,'LP Elementos'!N402,'LP Elementos'!S402,'LP Elementos'!X402,'LP Elementos'!AC402,'LP Elementos'!AH402,'LP Elementos'!AM402,'LP Elementos'!AR402,'LP Elementos'!AW402,'LP Elementos'!BB402,'LP Elementos'!BG402,'LP Elementos'!BL402,'LP Elementos'!BQ402,'LP Elementos'!BV402,'LP Elementos'!CA402,'LP Elementos'!CF402,'LP Elementos'!CK402,'LP Elementos'!CP402,'LP Elementos'!CU402,'LP Elementos'!CZ402)," ")</f>
        <v>10977.511999999999</v>
      </c>
      <c r="F402" s="341">
        <f>IFERROR(MEDIAN('LP Elementos'!F402,'LP Elementos'!I402,'LP Elementos'!N402,'LP Elementos'!S402,'LP Elementos'!X402,'LP Elementos'!AC402,'LP Elementos'!AH402,'LP Elementos'!AM402,'LP Elementos'!AR402,'LP Elementos'!AW402,'LP Elementos'!BB402,'LP Elementos'!BG402,'LP Elementos'!BL402,'LP Elementos'!BQ402,'LP Elementos'!BV402,'LP Elementos'!CA402,'LP Elementos'!CF402,'LP Elementos'!CK402,'LP Elementos'!CP402,'LP Elementos'!CU402,'LP Elementos'!CZ402)," ")</f>
        <v>10977.511999999999</v>
      </c>
      <c r="G402" s="341">
        <f>IFERROR(GEOMEAN('LP Elementos'!F402,'LP Elementos'!I402,'LP Elementos'!N402,'LP Elementos'!S402,'LP Elementos'!X402,'LP Elementos'!AC402,'LP Elementos'!AH402,'LP Elementos'!AM402,'LP Elementos'!AR402,'LP Elementos'!AW402,'LP Elementos'!BB402,'LP Elementos'!BG402,'LP Elementos'!BL402,'LP Elementos'!BQ402,'LP Elementos'!BV402,'LP Elementos'!CA402,'LP Elementos'!CF402,'LP Elementos'!CK402,'LP Elementos'!CP402,'LP Elementos'!CU402,'LP Elementos'!CZ402)," ")</f>
        <v>10938.682992024222</v>
      </c>
      <c r="H402" s="341">
        <f t="shared" si="32"/>
        <v>455.14071250859956</v>
      </c>
      <c r="I402" s="342">
        <f t="shared" si="33"/>
        <v>4.1461190159354837E-2</v>
      </c>
      <c r="J402" s="341">
        <f t="shared" si="34"/>
        <v>10977.511999999999</v>
      </c>
      <c r="K402" s="326" t="str">
        <f t="shared" si="35"/>
        <v>Promedio</v>
      </c>
      <c r="L402" s="326">
        <f>IFERROR(COUNTA('LP Elementos'!F402,'LP Elementos'!I402,'LP Elementos'!N402,'LP Elementos'!S402,'LP Elementos'!X402,'LP Elementos'!AC402,'LP Elementos'!AH402,'LP Elementos'!AM402,'LP Elementos'!AR402,'LP Elementos'!AX402,'LP Elementos'!BB402,'LP Elementos'!BG402,'LP Elementos'!BL402,'LP Elementos'!BQ402,'LP Elementos'!BV402,'LP Elementos'!CA402,'LP Elementos'!CF402,'LP Elementos'!CK402,'LP Elementos'!CP402,'LP Elementos'!CU402,'LP Elementos'!CZ402)," ")</f>
        <v>2</v>
      </c>
    </row>
    <row r="403" spans="2:12" x14ac:dyDescent="0.25">
      <c r="B403" s="411">
        <v>401</v>
      </c>
      <c r="C403" s="412" t="s">
        <v>4070</v>
      </c>
      <c r="D403" s="408">
        <f>IFERROR(MIN('LP Elementos'!F403,'LP Elementos'!I403,'LP Elementos'!N403,'LP Elementos'!S403,'LP Elementos'!X403,'LP Elementos'!AC403,'LP Elementos'!AH403,'LP Elementos'!AM403,'LP Elementos'!AR403,'LP Elementos'!AW403,'LP Elementos'!BB403,'LP Elementos'!BG403,'LP Elementos'!BL403,'LP Elementos'!BQ403,'LP Elementos'!BV403,'LP Elementos'!CA403,'LP Elementos'!CF403,'LP Elementos'!CK403,'LP Elementos'!CP403,'LP Elementos'!CU403,'LP Elementos'!CZ403)," ")</f>
        <v>8446.4313999999995</v>
      </c>
      <c r="E403" s="341">
        <f>IFERROR(AVERAGE('LP Elementos'!F403,'LP Elementos'!I403,'LP Elementos'!N403,'LP Elementos'!S403,'LP Elementos'!X403,'LP Elementos'!AC403,'LP Elementos'!AH403,'LP Elementos'!AM403,'LP Elementos'!AR403,'LP Elementos'!AW403,'LP Elementos'!BB403,'LP Elementos'!BG403,'LP Elementos'!BL403,'LP Elementos'!BQ403,'LP Elementos'!BV403,'LP Elementos'!CA403,'LP Elementos'!CF403,'LP Elementos'!CK403,'LP Elementos'!CP403,'LP Elementos'!CU403,'LP Elementos'!CZ403)," ")</f>
        <v>8446.4313999999995</v>
      </c>
      <c r="F403" s="341">
        <f>IFERROR(MEDIAN('LP Elementos'!F403,'LP Elementos'!I403,'LP Elementos'!N403,'LP Elementos'!S403,'LP Elementos'!X403,'LP Elementos'!AC403,'LP Elementos'!AH403,'LP Elementos'!AM403,'LP Elementos'!AR403,'LP Elementos'!AW403,'LP Elementos'!BB403,'LP Elementos'!BG403,'LP Elementos'!BL403,'LP Elementos'!BQ403,'LP Elementos'!BV403,'LP Elementos'!CA403,'LP Elementos'!CF403,'LP Elementos'!CK403,'LP Elementos'!CP403,'LP Elementos'!CU403,'LP Elementos'!CZ403)," ")</f>
        <v>8446.4313999999995</v>
      </c>
      <c r="G403" s="341">
        <f>IFERROR(GEOMEAN('LP Elementos'!F403,'LP Elementos'!I403,'LP Elementos'!N403,'LP Elementos'!S403,'LP Elementos'!X403,'LP Elementos'!AC403,'LP Elementos'!AH403,'LP Elementos'!AM403,'LP Elementos'!AR403,'LP Elementos'!AW403,'LP Elementos'!BB403,'LP Elementos'!BG403,'LP Elementos'!BL403,'LP Elementos'!BQ403,'LP Elementos'!BV403,'LP Elementos'!CA403,'LP Elementos'!CF403,'LP Elementos'!CK403,'LP Elementos'!CP403,'LP Elementos'!CU403,'LP Elementos'!CZ403)," ")</f>
        <v>8446.4313999999995</v>
      </c>
      <c r="H403" s="341">
        <f t="shared" si="32"/>
        <v>0</v>
      </c>
      <c r="I403" s="342">
        <f t="shared" si="33"/>
        <v>0</v>
      </c>
      <c r="J403" s="341">
        <f t="shared" si="34"/>
        <v>8446.4313999999995</v>
      </c>
      <c r="K403" s="326" t="str">
        <f t="shared" si="35"/>
        <v>Menor Valor</v>
      </c>
      <c r="L403" s="326">
        <f>IFERROR(COUNTA('LP Elementos'!F403,'LP Elementos'!I403,'LP Elementos'!N403,'LP Elementos'!S403,'LP Elementos'!X403,'LP Elementos'!AC403,'LP Elementos'!AH403,'LP Elementos'!AM403,'LP Elementos'!AR403,'LP Elementos'!AX403,'LP Elementos'!BB403,'LP Elementos'!BG403,'LP Elementos'!BL403,'LP Elementos'!BQ403,'LP Elementos'!BV403,'LP Elementos'!CA403,'LP Elementos'!CF403,'LP Elementos'!CK403,'LP Elementos'!CP403,'LP Elementos'!CU403,'LP Elementos'!CZ403)," ")</f>
        <v>1</v>
      </c>
    </row>
    <row r="404" spans="2:12" x14ac:dyDescent="0.25">
      <c r="B404" s="411">
        <v>402</v>
      </c>
      <c r="C404" s="412" t="s">
        <v>4071</v>
      </c>
      <c r="D404" s="408">
        <f>IFERROR(MIN('LP Elementos'!F404,'LP Elementos'!I404,'LP Elementos'!N404,'LP Elementos'!S404,'LP Elementos'!X404,'LP Elementos'!AC404,'LP Elementos'!AH404,'LP Elementos'!AM404,'LP Elementos'!AR404,'LP Elementos'!AW404,'LP Elementos'!BB404,'LP Elementos'!BG404,'LP Elementos'!BL404,'LP Elementos'!BQ404,'LP Elementos'!BV404,'LP Elementos'!CA404,'LP Elementos'!CF404,'LP Elementos'!CK404,'LP Elementos'!CP404,'LP Elementos'!CU404,'LP Elementos'!CZ404)," ")</f>
        <v>9963.1345999999994</v>
      </c>
      <c r="E404" s="341">
        <f>IFERROR(AVERAGE('LP Elementos'!F404,'LP Elementos'!I404,'LP Elementos'!N404,'LP Elementos'!S404,'LP Elementos'!X404,'LP Elementos'!AC404,'LP Elementos'!AH404,'LP Elementos'!AM404,'LP Elementos'!AR404,'LP Elementos'!AW404,'LP Elementos'!BB404,'LP Elementos'!BG404,'LP Elementos'!BL404,'LP Elementos'!BQ404,'LP Elementos'!BV404,'LP Elementos'!CA404,'LP Elementos'!CF404,'LP Elementos'!CK404,'LP Elementos'!CP404,'LP Elementos'!CU404,'LP Elementos'!CZ404)," ")</f>
        <v>9963.1345999999994</v>
      </c>
      <c r="F404" s="341">
        <f>IFERROR(MEDIAN('LP Elementos'!F404,'LP Elementos'!I404,'LP Elementos'!N404,'LP Elementos'!S404,'LP Elementos'!X404,'LP Elementos'!AC404,'LP Elementos'!AH404,'LP Elementos'!AM404,'LP Elementos'!AR404,'LP Elementos'!AW404,'LP Elementos'!BB404,'LP Elementos'!BG404,'LP Elementos'!BL404,'LP Elementos'!BQ404,'LP Elementos'!BV404,'LP Elementos'!CA404,'LP Elementos'!CF404,'LP Elementos'!CK404,'LP Elementos'!CP404,'LP Elementos'!CU404,'LP Elementos'!CZ404)," ")</f>
        <v>9963.1345999999994</v>
      </c>
      <c r="G404" s="341">
        <f>IFERROR(GEOMEAN('LP Elementos'!F404,'LP Elementos'!I404,'LP Elementos'!N404,'LP Elementos'!S404,'LP Elementos'!X404,'LP Elementos'!AC404,'LP Elementos'!AH404,'LP Elementos'!AM404,'LP Elementos'!AR404,'LP Elementos'!AW404,'LP Elementos'!BB404,'LP Elementos'!BG404,'LP Elementos'!BL404,'LP Elementos'!BQ404,'LP Elementos'!BV404,'LP Elementos'!CA404,'LP Elementos'!CF404,'LP Elementos'!CK404,'LP Elementos'!CP404,'LP Elementos'!CU404,'LP Elementos'!CZ404)," ")</f>
        <v>9963.1345999999994</v>
      </c>
      <c r="H404" s="341">
        <f t="shared" si="32"/>
        <v>0</v>
      </c>
      <c r="I404" s="342">
        <f t="shared" si="33"/>
        <v>0</v>
      </c>
      <c r="J404" s="341">
        <f t="shared" si="34"/>
        <v>9963.1345999999994</v>
      </c>
      <c r="K404" s="326" t="str">
        <f t="shared" si="35"/>
        <v>Menor Valor</v>
      </c>
      <c r="L404" s="326">
        <f>IFERROR(COUNTA('LP Elementos'!F404,'LP Elementos'!I404,'LP Elementos'!N404,'LP Elementos'!S404,'LP Elementos'!X404,'LP Elementos'!AC404,'LP Elementos'!AH404,'LP Elementos'!AM404,'LP Elementos'!AR404,'LP Elementos'!AX404,'LP Elementos'!BB404,'LP Elementos'!BG404,'LP Elementos'!BL404,'LP Elementos'!BQ404,'LP Elementos'!BV404,'LP Elementos'!CA404,'LP Elementos'!CF404,'LP Elementos'!CK404,'LP Elementos'!CP404,'LP Elementos'!CU404,'LP Elementos'!CZ404)," ")</f>
        <v>1</v>
      </c>
    </row>
    <row r="405" spans="2:12" x14ac:dyDescent="0.25">
      <c r="B405" s="411">
        <v>403</v>
      </c>
      <c r="C405" s="412" t="s">
        <v>4072</v>
      </c>
      <c r="D405" s="408">
        <f>IFERROR(MIN('LP Elementos'!F405,'LP Elementos'!I405,'LP Elementos'!N405,'LP Elementos'!S405,'LP Elementos'!X405,'LP Elementos'!AC405,'LP Elementos'!AH405,'LP Elementos'!AM405,'LP Elementos'!AR405,'LP Elementos'!AW405,'LP Elementos'!BB405,'LP Elementos'!BG405,'LP Elementos'!BL405,'LP Elementos'!BQ405,'LP Elementos'!BV405,'LP Elementos'!CA405,'LP Elementos'!CF405,'LP Elementos'!CK405,'LP Elementos'!CP405,'LP Elementos'!CU405,'LP Elementos'!CZ405)," ")</f>
        <v>12743.053</v>
      </c>
      <c r="E405" s="341">
        <f>IFERROR(AVERAGE('LP Elementos'!F405,'LP Elementos'!I405,'LP Elementos'!N405,'LP Elementos'!S405,'LP Elementos'!X405,'LP Elementos'!AC405,'LP Elementos'!AH405,'LP Elementos'!AM405,'LP Elementos'!AR405,'LP Elementos'!AW405,'LP Elementos'!BB405,'LP Elementos'!BG405,'LP Elementos'!BL405,'LP Elementos'!BQ405,'LP Elementos'!BV405,'LP Elementos'!CA405,'LP Elementos'!CF405,'LP Elementos'!CK405,'LP Elementos'!CP405,'LP Elementos'!CU405,'LP Elementos'!CZ405)," ")</f>
        <v>12743.053</v>
      </c>
      <c r="F405" s="341">
        <f>IFERROR(MEDIAN('LP Elementos'!F405,'LP Elementos'!I405,'LP Elementos'!N405,'LP Elementos'!S405,'LP Elementos'!X405,'LP Elementos'!AC405,'LP Elementos'!AH405,'LP Elementos'!AM405,'LP Elementos'!AR405,'LP Elementos'!AW405,'LP Elementos'!BB405,'LP Elementos'!BG405,'LP Elementos'!BL405,'LP Elementos'!BQ405,'LP Elementos'!BV405,'LP Elementos'!CA405,'LP Elementos'!CF405,'LP Elementos'!CK405,'LP Elementos'!CP405,'LP Elementos'!CU405,'LP Elementos'!CZ405)," ")</f>
        <v>12743.053</v>
      </c>
      <c r="G405" s="341">
        <f>IFERROR(GEOMEAN('LP Elementos'!F405,'LP Elementos'!I405,'LP Elementos'!N405,'LP Elementos'!S405,'LP Elementos'!X405,'LP Elementos'!AC405,'LP Elementos'!AH405,'LP Elementos'!AM405,'LP Elementos'!AR405,'LP Elementos'!AW405,'LP Elementos'!BB405,'LP Elementos'!BG405,'LP Elementos'!BL405,'LP Elementos'!BQ405,'LP Elementos'!BV405,'LP Elementos'!CA405,'LP Elementos'!CF405,'LP Elementos'!CK405,'LP Elementos'!CP405,'LP Elementos'!CU405,'LP Elementos'!CZ405)," ")</f>
        <v>12743.053</v>
      </c>
      <c r="H405" s="341">
        <f t="shared" si="32"/>
        <v>0</v>
      </c>
      <c r="I405" s="342">
        <f t="shared" si="33"/>
        <v>0</v>
      </c>
      <c r="J405" s="341">
        <f t="shared" si="34"/>
        <v>12743.053</v>
      </c>
      <c r="K405" s="326" t="str">
        <f t="shared" si="35"/>
        <v>Menor Valor</v>
      </c>
      <c r="L405" s="326">
        <f>IFERROR(COUNTA('LP Elementos'!F405,'LP Elementos'!I405,'LP Elementos'!N405,'LP Elementos'!S405,'LP Elementos'!X405,'LP Elementos'!AC405,'LP Elementos'!AH405,'LP Elementos'!AM405,'LP Elementos'!AR405,'LP Elementos'!AX405,'LP Elementos'!BB405,'LP Elementos'!BG405,'LP Elementos'!BL405,'LP Elementos'!BQ405,'LP Elementos'!BV405,'LP Elementos'!CA405,'LP Elementos'!CF405,'LP Elementos'!CK405,'LP Elementos'!CP405,'LP Elementos'!CU405,'LP Elementos'!CZ405)," ")</f>
        <v>1</v>
      </c>
    </row>
    <row r="406" spans="2:12" x14ac:dyDescent="0.25">
      <c r="B406" s="411">
        <v>404</v>
      </c>
      <c r="C406" s="412" t="s">
        <v>4073</v>
      </c>
      <c r="D406" s="408">
        <f>IFERROR(MIN('LP Elementos'!F406,'LP Elementos'!I406,'LP Elementos'!N406,'LP Elementos'!S406,'LP Elementos'!X406,'LP Elementos'!AC406,'LP Elementos'!AH406,'LP Elementos'!AM406,'LP Elementos'!AR406,'LP Elementos'!AW406,'LP Elementos'!BB406,'LP Elementos'!BG406,'LP Elementos'!BL406,'LP Elementos'!BQ406,'LP Elementos'!BV406,'LP Elementos'!CA406,'LP Elementos'!CF406,'LP Elementos'!CK406,'LP Elementos'!CP406,'LP Elementos'!CU406,'LP Elementos'!CZ406)," ")</f>
        <v>10664.4514</v>
      </c>
      <c r="E406" s="341">
        <f>IFERROR(AVERAGE('LP Elementos'!F406,'LP Elementos'!I406,'LP Elementos'!N406,'LP Elementos'!S406,'LP Elementos'!X406,'LP Elementos'!AC406,'LP Elementos'!AH406,'LP Elementos'!AM406,'LP Elementos'!AR406,'LP Elementos'!AW406,'LP Elementos'!BB406,'LP Elementos'!BG406,'LP Elementos'!BL406,'LP Elementos'!BQ406,'LP Elementos'!BV406,'LP Elementos'!CA406,'LP Elementos'!CF406,'LP Elementos'!CK406,'LP Elementos'!CP406,'LP Elementos'!CU406,'LP Elementos'!CZ406)," ")</f>
        <v>10664.4514</v>
      </c>
      <c r="F406" s="341">
        <f>IFERROR(MEDIAN('LP Elementos'!F406,'LP Elementos'!I406,'LP Elementos'!N406,'LP Elementos'!S406,'LP Elementos'!X406,'LP Elementos'!AC406,'LP Elementos'!AH406,'LP Elementos'!AM406,'LP Elementos'!AR406,'LP Elementos'!AW406,'LP Elementos'!BB406,'LP Elementos'!BG406,'LP Elementos'!BL406,'LP Elementos'!BQ406,'LP Elementos'!BV406,'LP Elementos'!CA406,'LP Elementos'!CF406,'LP Elementos'!CK406,'LP Elementos'!CP406,'LP Elementos'!CU406,'LP Elementos'!CZ406)," ")</f>
        <v>10664.4514</v>
      </c>
      <c r="G406" s="341">
        <f>IFERROR(GEOMEAN('LP Elementos'!F406,'LP Elementos'!I406,'LP Elementos'!N406,'LP Elementos'!S406,'LP Elementos'!X406,'LP Elementos'!AC406,'LP Elementos'!AH406,'LP Elementos'!AM406,'LP Elementos'!AR406,'LP Elementos'!AW406,'LP Elementos'!BB406,'LP Elementos'!BG406,'LP Elementos'!BL406,'LP Elementos'!BQ406,'LP Elementos'!BV406,'LP Elementos'!CA406,'LP Elementos'!CF406,'LP Elementos'!CK406,'LP Elementos'!CP406,'LP Elementos'!CU406,'LP Elementos'!CZ406)," ")</f>
        <v>10664.4514</v>
      </c>
      <c r="H406" s="341">
        <f t="shared" si="32"/>
        <v>0</v>
      </c>
      <c r="I406" s="342">
        <f t="shared" si="33"/>
        <v>0</v>
      </c>
      <c r="J406" s="341">
        <f t="shared" si="34"/>
        <v>10664.4514</v>
      </c>
      <c r="K406" s="326" t="str">
        <f t="shared" si="35"/>
        <v>Menor Valor</v>
      </c>
      <c r="L406" s="326">
        <f>IFERROR(COUNTA('LP Elementos'!F406,'LP Elementos'!I406,'LP Elementos'!N406,'LP Elementos'!S406,'LP Elementos'!X406,'LP Elementos'!AC406,'LP Elementos'!AH406,'LP Elementos'!AM406,'LP Elementos'!AR406,'LP Elementos'!AX406,'LP Elementos'!BB406,'LP Elementos'!BG406,'LP Elementos'!BL406,'LP Elementos'!BQ406,'LP Elementos'!BV406,'LP Elementos'!CA406,'LP Elementos'!CF406,'LP Elementos'!CK406,'LP Elementos'!CP406,'LP Elementos'!CU406,'LP Elementos'!CZ406)," ")</f>
        <v>1</v>
      </c>
    </row>
    <row r="407" spans="2:12" ht="27" x14ac:dyDescent="0.25">
      <c r="B407" s="411">
        <v>405</v>
      </c>
      <c r="C407" s="412" t="s">
        <v>4074</v>
      </c>
      <c r="D407" s="408">
        <f>IFERROR(MIN('LP Elementos'!F407,'LP Elementos'!I407,'LP Elementos'!N407,'LP Elementos'!S407,'LP Elementos'!X407,'LP Elementos'!AC407,'LP Elementos'!AH407,'LP Elementos'!AM407,'LP Elementos'!AR407,'LP Elementos'!AW407,'LP Elementos'!BB407,'LP Elementos'!BG407,'LP Elementos'!BL407,'LP Elementos'!BQ407,'LP Elementos'!BV407,'LP Elementos'!CA407,'LP Elementos'!CF407,'LP Elementos'!CK407,'LP Elementos'!CP407,'LP Elementos'!CU407,'LP Elementos'!CZ407)," ")</f>
        <v>27370</v>
      </c>
      <c r="E407" s="341">
        <f>IFERROR(AVERAGE('LP Elementos'!F407,'LP Elementos'!I407,'LP Elementos'!N407,'LP Elementos'!S407,'LP Elementos'!X407,'LP Elementos'!AC407,'LP Elementos'!AH407,'LP Elementos'!AM407,'LP Elementos'!AR407,'LP Elementos'!AW407,'LP Elementos'!BB407,'LP Elementos'!BG407,'LP Elementos'!BL407,'LP Elementos'!BQ407,'LP Elementos'!BV407,'LP Elementos'!CA407,'LP Elementos'!CF407,'LP Elementos'!CK407,'LP Elementos'!CP407,'LP Elementos'!CU407,'LP Elementos'!CZ407)," ")</f>
        <v>30220.370866666664</v>
      </c>
      <c r="F407" s="341">
        <f>IFERROR(MEDIAN('LP Elementos'!F407,'LP Elementos'!I407,'LP Elementos'!N407,'LP Elementos'!S407,'LP Elementos'!X407,'LP Elementos'!AC407,'LP Elementos'!AH407,'LP Elementos'!AM407,'LP Elementos'!AR407,'LP Elementos'!AW407,'LP Elementos'!BB407,'LP Elementos'!BG407,'LP Elementos'!BL407,'LP Elementos'!BQ407,'LP Elementos'!BV407,'LP Elementos'!CA407,'LP Elementos'!CF407,'LP Elementos'!CK407,'LP Elementos'!CP407,'LP Elementos'!CU407,'LP Elementos'!CZ407)," ")</f>
        <v>27591.1126</v>
      </c>
      <c r="G407" s="341">
        <f>IFERROR(GEOMEAN('LP Elementos'!F407,'LP Elementos'!I407,'LP Elementos'!N407,'LP Elementos'!S407,'LP Elementos'!X407,'LP Elementos'!AC407,'LP Elementos'!AH407,'LP Elementos'!AM407,'LP Elementos'!AR407,'LP Elementos'!AW407,'LP Elementos'!BB407,'LP Elementos'!BG407,'LP Elementos'!BL407,'LP Elementos'!BQ407,'LP Elementos'!BV407,'LP Elementos'!CA407,'LP Elementos'!CF407,'LP Elementos'!CK407,'LP Elementos'!CP407,'LP Elementos'!CU407,'LP Elementos'!CZ407)," ")</f>
        <v>29985.001555202289</v>
      </c>
      <c r="H407" s="341">
        <f t="shared" si="32"/>
        <v>1519.6172782586007</v>
      </c>
      <c r="I407" s="342">
        <f t="shared" si="33"/>
        <v>5.0284534394472037E-2</v>
      </c>
      <c r="J407" s="341">
        <f t="shared" si="34"/>
        <v>27591.1126</v>
      </c>
      <c r="K407" s="326" t="str">
        <f t="shared" si="35"/>
        <v>Mediana</v>
      </c>
      <c r="L407" s="326">
        <f>IFERROR(COUNTA('LP Elementos'!F407,'LP Elementos'!I407,'LP Elementos'!N407,'LP Elementos'!S407,'LP Elementos'!X407,'LP Elementos'!AC407,'LP Elementos'!AH407,'LP Elementos'!AM407,'LP Elementos'!AR407,'LP Elementos'!AX407,'LP Elementos'!BB407,'LP Elementos'!BG407,'LP Elementos'!BL407,'LP Elementos'!BQ407,'LP Elementos'!BV407,'LP Elementos'!CA407,'LP Elementos'!CF407,'LP Elementos'!CK407,'LP Elementos'!CP407,'LP Elementos'!CU407,'LP Elementos'!CZ407)," ")</f>
        <v>3</v>
      </c>
    </row>
    <row r="408" spans="2:12" ht="27" x14ac:dyDescent="0.25">
      <c r="B408" s="411">
        <v>406</v>
      </c>
      <c r="C408" s="412" t="s">
        <v>4076</v>
      </c>
      <c r="D408" s="408">
        <f>IFERROR(MIN('LP Elementos'!F408,'LP Elementos'!I408,'LP Elementos'!N408,'LP Elementos'!S408,'LP Elementos'!X408,'LP Elementos'!AC408,'LP Elementos'!AH408,'LP Elementos'!AM408,'LP Elementos'!AR408,'LP Elementos'!AW408,'LP Elementos'!BB408,'LP Elementos'!BG408,'LP Elementos'!BL408,'LP Elementos'!BQ408,'LP Elementos'!BV408,'LP Elementos'!CA408,'LP Elementos'!CF408,'LP Elementos'!CK408,'LP Elementos'!CP408,'LP Elementos'!CU408,'LP Elementos'!CZ408)," ")</f>
        <v>10710</v>
      </c>
      <c r="E408" s="341">
        <f>IFERROR(AVERAGE('LP Elementos'!F408,'LP Elementos'!I408,'LP Elementos'!N408,'LP Elementos'!S408,'LP Elementos'!X408,'LP Elementos'!AC408,'LP Elementos'!AH408,'LP Elementos'!AM408,'LP Elementos'!AR408,'LP Elementos'!AW408,'LP Elementos'!BB408,'LP Elementos'!BG408,'LP Elementos'!BL408,'LP Elementos'!BQ408,'LP Elementos'!BV408,'LP Elementos'!CA408,'LP Elementos'!CF408,'LP Elementos'!CK408,'LP Elementos'!CP408,'LP Elementos'!CU408,'LP Elementos'!CZ408)," ")</f>
        <v>11010.951000000001</v>
      </c>
      <c r="F408" s="341">
        <f>IFERROR(MEDIAN('LP Elementos'!F408,'LP Elementos'!I408,'LP Elementos'!N408,'LP Elementos'!S408,'LP Elementos'!X408,'LP Elementos'!AC408,'LP Elementos'!AH408,'LP Elementos'!AM408,'LP Elementos'!AR408,'LP Elementos'!AW408,'LP Elementos'!BB408,'LP Elementos'!BG408,'LP Elementos'!BL408,'LP Elementos'!BQ408,'LP Elementos'!BV408,'LP Elementos'!CA408,'LP Elementos'!CF408,'LP Elementos'!CK408,'LP Elementos'!CP408,'LP Elementos'!CU408,'LP Elementos'!CZ408)," ")</f>
        <v>11010.951000000001</v>
      </c>
      <c r="G408" s="341">
        <f>IFERROR(GEOMEAN('LP Elementos'!F408,'LP Elementos'!I408,'LP Elementos'!N408,'LP Elementos'!S408,'LP Elementos'!X408,'LP Elementos'!AC408,'LP Elementos'!AH408,'LP Elementos'!AM408,'LP Elementos'!AR408,'LP Elementos'!AW408,'LP Elementos'!BB408,'LP Elementos'!BG408,'LP Elementos'!BL408,'LP Elementos'!BQ408,'LP Elementos'!BV408,'LP Elementos'!CA408,'LP Elementos'!CF408,'LP Elementos'!CK408,'LP Elementos'!CP408,'LP Elementos'!CU408,'LP Elementos'!CZ408)," ")</f>
        <v>11006.837439519128</v>
      </c>
      <c r="H408" s="341">
        <f t="shared" si="32"/>
        <v>149.80245799661537</v>
      </c>
      <c r="I408" s="342">
        <f t="shared" si="33"/>
        <v>1.3604861014876495E-2</v>
      </c>
      <c r="J408" s="341">
        <f t="shared" si="34"/>
        <v>11010.951000000001</v>
      </c>
      <c r="K408" s="326" t="str">
        <f t="shared" si="35"/>
        <v>Promedio</v>
      </c>
      <c r="L408" s="326">
        <f>IFERROR(COUNTA('LP Elementos'!F408,'LP Elementos'!I408,'LP Elementos'!N408,'LP Elementos'!S408,'LP Elementos'!X408,'LP Elementos'!AC408,'LP Elementos'!AH408,'LP Elementos'!AM408,'LP Elementos'!AR408,'LP Elementos'!AX408,'LP Elementos'!BB408,'LP Elementos'!BG408,'LP Elementos'!BL408,'LP Elementos'!BQ408,'LP Elementos'!BV408,'LP Elementos'!CA408,'LP Elementos'!CF408,'LP Elementos'!CK408,'LP Elementos'!CP408,'LP Elementos'!CU408,'LP Elementos'!CZ408)," ")</f>
        <v>2</v>
      </c>
    </row>
    <row r="409" spans="2:12" ht="27" x14ac:dyDescent="0.25">
      <c r="B409" s="411">
        <v>407</v>
      </c>
      <c r="C409" s="412" t="s">
        <v>4078</v>
      </c>
      <c r="D409" s="408">
        <f>IFERROR(MIN('LP Elementos'!F409,'LP Elementos'!I409,'LP Elementos'!N409,'LP Elementos'!S409,'LP Elementos'!X409,'LP Elementos'!AC409,'LP Elementos'!AH409,'LP Elementos'!AM409,'LP Elementos'!AR409,'LP Elementos'!AW409,'LP Elementos'!BB409,'LP Elementos'!BG409,'LP Elementos'!BL409,'LP Elementos'!BQ409,'LP Elementos'!BV409,'LP Elementos'!CA409,'LP Elementos'!CF409,'LP Elementos'!CK409,'LP Elementos'!CP409,'LP Elementos'!CU409,'LP Elementos'!CZ409)," ")</f>
        <v>9520</v>
      </c>
      <c r="E409" s="341">
        <f>IFERROR(AVERAGE('LP Elementos'!F409,'LP Elementos'!I409,'LP Elementos'!N409,'LP Elementos'!S409,'LP Elementos'!X409,'LP Elementos'!AC409,'LP Elementos'!AH409,'LP Elementos'!AM409,'LP Elementos'!AR409,'LP Elementos'!AW409,'LP Elementos'!BB409,'LP Elementos'!BG409,'LP Elementos'!BL409,'LP Elementos'!BQ409,'LP Elementos'!BV409,'LP Elementos'!CA409,'LP Elementos'!CF409,'LP Elementos'!CK409,'LP Elementos'!CP409,'LP Elementos'!CU409,'LP Elementos'!CZ409)," ")</f>
        <v>14815.023999999999</v>
      </c>
      <c r="F409" s="341">
        <f>IFERROR(MEDIAN('LP Elementos'!F409,'LP Elementos'!I409,'LP Elementos'!N409,'LP Elementos'!S409,'LP Elementos'!X409,'LP Elementos'!AC409,'LP Elementos'!AH409,'LP Elementos'!AM409,'LP Elementos'!AR409,'LP Elementos'!AW409,'LP Elementos'!BB409,'LP Elementos'!BG409,'LP Elementos'!BL409,'LP Elementos'!BQ409,'LP Elementos'!BV409,'LP Elementos'!CA409,'LP Elementos'!CF409,'LP Elementos'!CK409,'LP Elementos'!CP409,'LP Elementos'!CU409,'LP Elementos'!CZ409)," ")</f>
        <v>14815.023999999999</v>
      </c>
      <c r="G409" s="341">
        <f>IFERROR(GEOMEAN('LP Elementos'!F409,'LP Elementos'!I409,'LP Elementos'!N409,'LP Elementos'!S409,'LP Elementos'!X409,'LP Elementos'!AC409,'LP Elementos'!AH409,'LP Elementos'!AM409,'LP Elementos'!AR409,'LP Elementos'!AW409,'LP Elementos'!BB409,'LP Elementos'!BG409,'LP Elementos'!BL409,'LP Elementos'!BQ409,'LP Elementos'!BV409,'LP Elementos'!CA409,'LP Elementos'!CF409,'LP Elementos'!CK409,'LP Elementos'!CP409,'LP Elementos'!CU409,'LP Elementos'!CZ409)," ")</f>
        <v>13836.461142936801</v>
      </c>
      <c r="H409" s="341">
        <f t="shared" si="32"/>
        <v>2526.8815704025969</v>
      </c>
      <c r="I409" s="342">
        <f t="shared" si="33"/>
        <v>0.17056209766535627</v>
      </c>
      <c r="J409" s="341">
        <f t="shared" si="34"/>
        <v>14815.023999999999</v>
      </c>
      <c r="K409" s="326" t="str">
        <f t="shared" si="35"/>
        <v>Promedio</v>
      </c>
      <c r="L409" s="326">
        <f>IFERROR(COUNTA('LP Elementos'!F409,'LP Elementos'!I409,'LP Elementos'!N409,'LP Elementos'!S409,'LP Elementos'!X409,'LP Elementos'!AC409,'LP Elementos'!AH409,'LP Elementos'!AM409,'LP Elementos'!AR409,'LP Elementos'!AX409,'LP Elementos'!BB409,'LP Elementos'!BG409,'LP Elementos'!BL409,'LP Elementos'!BQ409,'LP Elementos'!BV409,'LP Elementos'!CA409,'LP Elementos'!CF409,'LP Elementos'!CK409,'LP Elementos'!CP409,'LP Elementos'!CU409,'LP Elementos'!CZ409)," ")</f>
        <v>2</v>
      </c>
    </row>
    <row r="410" spans="2:12" ht="27" x14ac:dyDescent="0.25">
      <c r="B410" s="411">
        <v>408</v>
      </c>
      <c r="C410" s="412" t="s">
        <v>4080</v>
      </c>
      <c r="D410" s="408">
        <f>IFERROR(MIN('LP Elementos'!F410,'LP Elementos'!I410,'LP Elementos'!N410,'LP Elementos'!S410,'LP Elementos'!X410,'LP Elementos'!AC410,'LP Elementos'!AH410,'LP Elementos'!AM410,'LP Elementos'!AR410,'LP Elementos'!AW410,'LP Elementos'!BB410,'LP Elementos'!BG410,'LP Elementos'!BL410,'LP Elementos'!BQ410,'LP Elementos'!BV410,'LP Elementos'!CA410,'LP Elementos'!CF410,'LP Elementos'!CK410,'LP Elementos'!CP410,'LP Elementos'!CU410,'LP Elementos'!CZ410)," ")</f>
        <v>19040</v>
      </c>
      <c r="E410" s="341">
        <f>IFERROR(AVERAGE('LP Elementos'!F410,'LP Elementos'!I410,'LP Elementos'!N410,'LP Elementos'!S410,'LP Elementos'!X410,'LP Elementos'!AC410,'LP Elementos'!AH410,'LP Elementos'!AM410,'LP Elementos'!AR410,'LP Elementos'!AW410,'LP Elementos'!BB410,'LP Elementos'!BG410,'LP Elementos'!BL410,'LP Elementos'!BQ410,'LP Elementos'!BV410,'LP Elementos'!CA410,'LP Elementos'!CF410,'LP Elementos'!CK410,'LP Elementos'!CP410,'LP Elementos'!CU410,'LP Elementos'!CZ410)," ")</f>
        <v>25230.974999999999</v>
      </c>
      <c r="F410" s="341">
        <f>IFERROR(MEDIAN('LP Elementos'!F410,'LP Elementos'!I410,'LP Elementos'!N410,'LP Elementos'!S410,'LP Elementos'!X410,'LP Elementos'!AC410,'LP Elementos'!AH410,'LP Elementos'!AM410,'LP Elementos'!AR410,'LP Elementos'!AW410,'LP Elementos'!BB410,'LP Elementos'!BG410,'LP Elementos'!BL410,'LP Elementos'!BQ410,'LP Elementos'!BV410,'LP Elementos'!CA410,'LP Elementos'!CF410,'LP Elementos'!CK410,'LP Elementos'!CP410,'LP Elementos'!CU410,'LP Elementos'!CZ410)," ")</f>
        <v>25230.974999999999</v>
      </c>
      <c r="G410" s="341">
        <f>IFERROR(GEOMEAN('LP Elementos'!F410,'LP Elementos'!I410,'LP Elementos'!N410,'LP Elementos'!S410,'LP Elementos'!X410,'LP Elementos'!AC410,'LP Elementos'!AH410,'LP Elementos'!AM410,'LP Elementos'!AR410,'LP Elementos'!AW410,'LP Elementos'!BB410,'LP Elementos'!BG410,'LP Elementos'!BL410,'LP Elementos'!BQ410,'LP Elementos'!BV410,'LP Elementos'!CA410,'LP Elementos'!CF410,'LP Elementos'!CK410,'LP Elementos'!CP410,'LP Elementos'!CU410,'LP Elementos'!CZ410)," ")</f>
        <v>24459.63875448695</v>
      </c>
      <c r="H410" s="341">
        <f t="shared" si="32"/>
        <v>2989.1295602799273</v>
      </c>
      <c r="I410" s="342">
        <f t="shared" si="33"/>
        <v>0.11847063223993236</v>
      </c>
      <c r="J410" s="341">
        <f t="shared" si="34"/>
        <v>25230.974999999999</v>
      </c>
      <c r="K410" s="326" t="str">
        <f t="shared" si="35"/>
        <v>Promedio</v>
      </c>
      <c r="L410" s="326">
        <f>IFERROR(COUNTA('LP Elementos'!F410,'LP Elementos'!I410,'LP Elementos'!N410,'LP Elementos'!S410,'LP Elementos'!X410,'LP Elementos'!AC410,'LP Elementos'!AH410,'LP Elementos'!AM410,'LP Elementos'!AR410,'LP Elementos'!AX410,'LP Elementos'!BB410,'LP Elementos'!BG410,'LP Elementos'!BL410,'LP Elementos'!BQ410,'LP Elementos'!BV410,'LP Elementos'!CA410,'LP Elementos'!CF410,'LP Elementos'!CK410,'LP Elementos'!CP410,'LP Elementos'!CU410,'LP Elementos'!CZ410)," ")</f>
        <v>2</v>
      </c>
    </row>
    <row r="411" spans="2:12" ht="27" x14ac:dyDescent="0.25">
      <c r="B411" s="411">
        <v>409</v>
      </c>
      <c r="C411" s="412" t="s">
        <v>4082</v>
      </c>
      <c r="D411" s="408">
        <f>IFERROR(MIN('LP Elementos'!F411,'LP Elementos'!I411,'LP Elementos'!N411,'LP Elementos'!S411,'LP Elementos'!X411,'LP Elementos'!AC411,'LP Elementos'!AH411,'LP Elementos'!AM411,'LP Elementos'!AR411,'LP Elementos'!AW411,'LP Elementos'!BB411,'LP Elementos'!BG411,'LP Elementos'!BL411,'LP Elementos'!BQ411,'LP Elementos'!BV411,'LP Elementos'!CA411,'LP Elementos'!CF411,'LP Elementos'!CK411,'LP Elementos'!CP411,'LP Elementos'!CU411,'LP Elementos'!CZ411)," ")</f>
        <v>47600</v>
      </c>
      <c r="E411" s="341">
        <f>IFERROR(AVERAGE('LP Elementos'!F411,'LP Elementos'!I411,'LP Elementos'!N411,'LP Elementos'!S411,'LP Elementos'!X411,'LP Elementos'!AC411,'LP Elementos'!AH411,'LP Elementos'!AM411,'LP Elementos'!AR411,'LP Elementos'!AW411,'LP Elementos'!BB411,'LP Elementos'!BG411,'LP Elementos'!BL411,'LP Elementos'!BQ411,'LP Elementos'!BV411,'LP Elementos'!CA411,'LP Elementos'!CF411,'LP Elementos'!CK411,'LP Elementos'!CP411,'LP Elementos'!CU411,'LP Elementos'!CZ411)," ")</f>
        <v>47680.682000000001</v>
      </c>
      <c r="F411" s="341">
        <f>IFERROR(MEDIAN('LP Elementos'!F411,'LP Elementos'!I411,'LP Elementos'!N411,'LP Elementos'!S411,'LP Elementos'!X411,'LP Elementos'!AC411,'LP Elementos'!AH411,'LP Elementos'!AM411,'LP Elementos'!AR411,'LP Elementos'!AW411,'LP Elementos'!BB411,'LP Elementos'!BG411,'LP Elementos'!BL411,'LP Elementos'!BQ411,'LP Elementos'!BV411,'LP Elementos'!CA411,'LP Elementos'!CF411,'LP Elementos'!CK411,'LP Elementos'!CP411,'LP Elementos'!CU411,'LP Elementos'!CZ411)," ")</f>
        <v>47680.682000000001</v>
      </c>
      <c r="G411" s="341">
        <f>IFERROR(GEOMEAN('LP Elementos'!F411,'LP Elementos'!I411,'LP Elementos'!N411,'LP Elementos'!S411,'LP Elementos'!X411,'LP Elementos'!AC411,'LP Elementos'!AH411,'LP Elementos'!AM411,'LP Elementos'!AR411,'LP Elementos'!AW411,'LP Elementos'!BB411,'LP Elementos'!BG411,'LP Elementos'!BL411,'LP Elementos'!BQ411,'LP Elementos'!BV411,'LP Elementos'!CA411,'LP Elementos'!CF411,'LP Elementos'!CK411,'LP Elementos'!CP411,'LP Elementos'!CU411,'LP Elementos'!CZ411)," ")</f>
        <v>47680.613737660722</v>
      </c>
      <c r="H411" s="341">
        <f t="shared" si="32"/>
        <v>40.329635781401372</v>
      </c>
      <c r="I411" s="342">
        <f t="shared" si="33"/>
        <v>8.4582757816680074E-4</v>
      </c>
      <c r="J411" s="341">
        <f t="shared" si="34"/>
        <v>47680.682000000001</v>
      </c>
      <c r="K411" s="326" t="str">
        <f t="shared" si="35"/>
        <v>Promedio</v>
      </c>
      <c r="L411" s="326">
        <f>IFERROR(COUNTA('LP Elementos'!F411,'LP Elementos'!I411,'LP Elementos'!N411,'LP Elementos'!S411,'LP Elementos'!X411,'LP Elementos'!AC411,'LP Elementos'!AH411,'LP Elementos'!AM411,'LP Elementos'!AR411,'LP Elementos'!AX411,'LP Elementos'!BB411,'LP Elementos'!BG411,'LP Elementos'!BL411,'LP Elementos'!BQ411,'LP Elementos'!BV411,'LP Elementos'!CA411,'LP Elementos'!CF411,'LP Elementos'!CK411,'LP Elementos'!CP411,'LP Elementos'!CU411,'LP Elementos'!CZ411)," ")</f>
        <v>2</v>
      </c>
    </row>
    <row r="412" spans="2:12" x14ac:dyDescent="0.25">
      <c r="B412" s="411">
        <v>410</v>
      </c>
      <c r="C412" s="412" t="s">
        <v>4084</v>
      </c>
      <c r="D412" s="408">
        <f>IFERROR(MIN('LP Elementos'!F412,'LP Elementos'!I412,'LP Elementos'!N412,'LP Elementos'!S412,'LP Elementos'!X412,'LP Elementos'!AC412,'LP Elementos'!AH412,'LP Elementos'!AM412,'LP Elementos'!AR412,'LP Elementos'!AW412,'LP Elementos'!BB412,'LP Elementos'!BG412,'LP Elementos'!BL412,'LP Elementos'!BQ412,'LP Elementos'!BV412,'LP Elementos'!CA412,'LP Elementos'!CF412,'LP Elementos'!CK412,'LP Elementos'!CP412,'LP Elementos'!CU412,'LP Elementos'!CZ412)," ")</f>
        <v>32050.388999999999</v>
      </c>
      <c r="E412" s="341">
        <f>IFERROR(AVERAGE('LP Elementos'!F412,'LP Elementos'!I412,'LP Elementos'!N412,'LP Elementos'!S412,'LP Elementos'!X412,'LP Elementos'!AC412,'LP Elementos'!AH412,'LP Elementos'!AM412,'LP Elementos'!AR412,'LP Elementos'!AW412,'LP Elementos'!BB412,'LP Elementos'!BG412,'LP Elementos'!BL412,'LP Elementos'!BQ412,'LP Elementos'!BV412,'LP Elementos'!CA412,'LP Elementos'!CF412,'LP Elementos'!CK412,'LP Elementos'!CP412,'LP Elementos'!CU412,'LP Elementos'!CZ412)," ")</f>
        <v>39825.194499999998</v>
      </c>
      <c r="F412" s="341">
        <f>IFERROR(MEDIAN('LP Elementos'!F412,'LP Elementos'!I412,'LP Elementos'!N412,'LP Elementos'!S412,'LP Elementos'!X412,'LP Elementos'!AC412,'LP Elementos'!AH412,'LP Elementos'!AM412,'LP Elementos'!AR412,'LP Elementos'!AW412,'LP Elementos'!BB412,'LP Elementos'!BG412,'LP Elementos'!BL412,'LP Elementos'!BQ412,'LP Elementos'!BV412,'LP Elementos'!CA412,'LP Elementos'!CF412,'LP Elementos'!CK412,'LP Elementos'!CP412,'LP Elementos'!CU412,'LP Elementos'!CZ412)," ")</f>
        <v>39825.194499999998</v>
      </c>
      <c r="G412" s="341">
        <f>IFERROR(GEOMEAN('LP Elementos'!F412,'LP Elementos'!I412,'LP Elementos'!N412,'LP Elementos'!S412,'LP Elementos'!X412,'LP Elementos'!AC412,'LP Elementos'!AH412,'LP Elementos'!AM412,'LP Elementos'!AR412,'LP Elementos'!AW412,'LP Elementos'!BB412,'LP Elementos'!BG412,'LP Elementos'!BL412,'LP Elementos'!BQ412,'LP Elementos'!BV412,'LP Elementos'!CA412,'LP Elementos'!CF412,'LP Elementos'!CK412,'LP Elementos'!CP412,'LP Elementos'!CU412,'LP Elementos'!CZ412)," ")</f>
        <v>39058.910845029968</v>
      </c>
      <c r="H412" s="341">
        <f t="shared" si="32"/>
        <v>3777.0023481776216</v>
      </c>
      <c r="I412" s="342">
        <f t="shared" si="33"/>
        <v>9.4839520449237769E-2</v>
      </c>
      <c r="J412" s="341">
        <f t="shared" si="34"/>
        <v>39825.194499999998</v>
      </c>
      <c r="K412" s="326" t="str">
        <f t="shared" si="35"/>
        <v>Promedio</v>
      </c>
      <c r="L412" s="326">
        <f>IFERROR(COUNTA('LP Elementos'!F412,'LP Elementos'!I412,'LP Elementos'!N412,'LP Elementos'!S412,'LP Elementos'!X412,'LP Elementos'!AC412,'LP Elementos'!AH412,'LP Elementos'!AM412,'LP Elementos'!AR412,'LP Elementos'!AX412,'LP Elementos'!BB412,'LP Elementos'!BG412,'LP Elementos'!BL412,'LP Elementos'!BQ412,'LP Elementos'!BV412,'LP Elementos'!CA412,'LP Elementos'!CF412,'LP Elementos'!CK412,'LP Elementos'!CP412,'LP Elementos'!CU412,'LP Elementos'!CZ412)," ")</f>
        <v>2</v>
      </c>
    </row>
    <row r="413" spans="2:12" ht="27" x14ac:dyDescent="0.25">
      <c r="B413" s="411">
        <v>411</v>
      </c>
      <c r="C413" s="412" t="s">
        <v>4086</v>
      </c>
      <c r="D413" s="408">
        <f>IFERROR(MIN('LP Elementos'!F413,'LP Elementos'!I413,'LP Elementos'!N413,'LP Elementos'!S413,'LP Elementos'!X413,'LP Elementos'!AC413,'LP Elementos'!AH413,'LP Elementos'!AM413,'LP Elementos'!AR413,'LP Elementos'!AW413,'LP Elementos'!BB413,'LP Elementos'!BG413,'LP Elementos'!BL413,'LP Elementos'!BQ413,'LP Elementos'!BV413,'LP Elementos'!CA413,'LP Elementos'!CF413,'LP Elementos'!CK413,'LP Elementos'!CP413,'LP Elementos'!CU413,'LP Elementos'!CZ413)," ")</f>
        <v>79526.578999999998</v>
      </c>
      <c r="E413" s="341">
        <f>IFERROR(AVERAGE('LP Elementos'!F413,'LP Elementos'!I413,'LP Elementos'!N413,'LP Elementos'!S413,'LP Elementos'!X413,'LP Elementos'!AC413,'LP Elementos'!AH413,'LP Elementos'!AM413,'LP Elementos'!AR413,'LP Elementos'!AW413,'LP Elementos'!BB413,'LP Elementos'!BG413,'LP Elementos'!BL413,'LP Elementos'!BQ413,'LP Elementos'!BV413,'LP Elementos'!CA413,'LP Elementos'!CF413,'LP Elementos'!CK413,'LP Elementos'!CP413,'LP Elementos'!CU413,'LP Elementos'!CZ413)," ")</f>
        <v>79526.578999999998</v>
      </c>
      <c r="F413" s="341">
        <f>IFERROR(MEDIAN('LP Elementos'!F413,'LP Elementos'!I413,'LP Elementos'!N413,'LP Elementos'!S413,'LP Elementos'!X413,'LP Elementos'!AC413,'LP Elementos'!AH413,'LP Elementos'!AM413,'LP Elementos'!AR413,'LP Elementos'!AW413,'LP Elementos'!BB413,'LP Elementos'!BG413,'LP Elementos'!BL413,'LP Elementos'!BQ413,'LP Elementos'!BV413,'LP Elementos'!CA413,'LP Elementos'!CF413,'LP Elementos'!CK413,'LP Elementos'!CP413,'LP Elementos'!CU413,'LP Elementos'!CZ413)," ")</f>
        <v>79526.578999999998</v>
      </c>
      <c r="G413" s="341">
        <f>IFERROR(GEOMEAN('LP Elementos'!F413,'LP Elementos'!I413,'LP Elementos'!N413,'LP Elementos'!S413,'LP Elementos'!X413,'LP Elementos'!AC413,'LP Elementos'!AH413,'LP Elementos'!AM413,'LP Elementos'!AR413,'LP Elementos'!AW413,'LP Elementos'!BB413,'LP Elementos'!BG413,'LP Elementos'!BL413,'LP Elementos'!BQ413,'LP Elementos'!BV413,'LP Elementos'!CA413,'LP Elementos'!CF413,'LP Elementos'!CK413,'LP Elementos'!CP413,'LP Elementos'!CU413,'LP Elementos'!CZ413)," ")</f>
        <v>79526.578999999998</v>
      </c>
      <c r="H413" s="341">
        <f t="shared" si="32"/>
        <v>0</v>
      </c>
      <c r="I413" s="342">
        <f t="shared" si="33"/>
        <v>0</v>
      </c>
      <c r="J413" s="341">
        <f t="shared" si="34"/>
        <v>79526.578999999998</v>
      </c>
      <c r="K413" s="326" t="str">
        <f t="shared" si="35"/>
        <v>Menor Valor</v>
      </c>
      <c r="L413" s="326">
        <f>IFERROR(COUNTA('LP Elementos'!F413,'LP Elementos'!I413,'LP Elementos'!N413,'LP Elementos'!S413,'LP Elementos'!X413,'LP Elementos'!AC413,'LP Elementos'!AH413,'LP Elementos'!AM413,'LP Elementos'!AR413,'LP Elementos'!AX413,'LP Elementos'!BB413,'LP Elementos'!BG413,'LP Elementos'!BL413,'LP Elementos'!BQ413,'LP Elementos'!BV413,'LP Elementos'!CA413,'LP Elementos'!CF413,'LP Elementos'!CK413,'LP Elementos'!CP413,'LP Elementos'!CU413,'LP Elementos'!CZ413)," ")</f>
        <v>1</v>
      </c>
    </row>
    <row r="414" spans="2:12" ht="27" x14ac:dyDescent="0.25">
      <c r="B414" s="411">
        <v>412</v>
      </c>
      <c r="C414" s="412" t="s">
        <v>4087</v>
      </c>
      <c r="D414" s="408">
        <f>IFERROR(MIN('LP Elementos'!F414,'LP Elementos'!I414,'LP Elementos'!N414,'LP Elementos'!S414,'LP Elementos'!X414,'LP Elementos'!AC414,'LP Elementos'!AH414,'LP Elementos'!AM414,'LP Elementos'!AR414,'LP Elementos'!AW414,'LP Elementos'!BB414,'LP Elementos'!BG414,'LP Elementos'!BL414,'LP Elementos'!BQ414,'LP Elementos'!BV414,'LP Elementos'!CA414,'LP Elementos'!CF414,'LP Elementos'!CK414,'LP Elementos'!CP414,'LP Elementos'!CU414,'LP Elementos'!CZ414)," ")</f>
        <v>75286.992200000008</v>
      </c>
      <c r="E414" s="341">
        <f>IFERROR(AVERAGE('LP Elementos'!F414,'LP Elementos'!I414,'LP Elementos'!N414,'LP Elementos'!S414,'LP Elementos'!X414,'LP Elementos'!AC414,'LP Elementos'!AH414,'LP Elementos'!AM414,'LP Elementos'!AR414,'LP Elementos'!AW414,'LP Elementos'!BB414,'LP Elementos'!BG414,'LP Elementos'!BL414,'LP Elementos'!BQ414,'LP Elementos'!BV414,'LP Elementos'!CA414,'LP Elementos'!CF414,'LP Elementos'!CK414,'LP Elementos'!CP414,'LP Elementos'!CU414,'LP Elementos'!CZ414)," ")</f>
        <v>75286.992200000008</v>
      </c>
      <c r="F414" s="341">
        <f>IFERROR(MEDIAN('LP Elementos'!F414,'LP Elementos'!I414,'LP Elementos'!N414,'LP Elementos'!S414,'LP Elementos'!X414,'LP Elementos'!AC414,'LP Elementos'!AH414,'LP Elementos'!AM414,'LP Elementos'!AR414,'LP Elementos'!AW414,'LP Elementos'!BB414,'LP Elementos'!BG414,'LP Elementos'!BL414,'LP Elementos'!BQ414,'LP Elementos'!BV414,'LP Elementos'!CA414,'LP Elementos'!CF414,'LP Elementos'!CK414,'LP Elementos'!CP414,'LP Elementos'!CU414,'LP Elementos'!CZ414)," ")</f>
        <v>75286.992200000008</v>
      </c>
      <c r="G414" s="341">
        <f>IFERROR(GEOMEAN('LP Elementos'!F414,'LP Elementos'!I414,'LP Elementos'!N414,'LP Elementos'!S414,'LP Elementos'!X414,'LP Elementos'!AC414,'LP Elementos'!AH414,'LP Elementos'!AM414,'LP Elementos'!AR414,'LP Elementos'!AW414,'LP Elementos'!BB414,'LP Elementos'!BG414,'LP Elementos'!BL414,'LP Elementos'!BQ414,'LP Elementos'!BV414,'LP Elementos'!CA414,'LP Elementos'!CF414,'LP Elementos'!CK414,'LP Elementos'!CP414,'LP Elementos'!CU414,'LP Elementos'!CZ414)," ")</f>
        <v>75286.992200000008</v>
      </c>
      <c r="H414" s="341">
        <f t="shared" si="32"/>
        <v>0</v>
      </c>
      <c r="I414" s="342">
        <f t="shared" si="33"/>
        <v>0</v>
      </c>
      <c r="J414" s="341">
        <f t="shared" si="34"/>
        <v>75286.992200000008</v>
      </c>
      <c r="K414" s="326" t="str">
        <f t="shared" si="35"/>
        <v>Menor Valor</v>
      </c>
      <c r="L414" s="326">
        <f>IFERROR(COUNTA('LP Elementos'!F414,'LP Elementos'!I414,'LP Elementos'!N414,'LP Elementos'!S414,'LP Elementos'!X414,'LP Elementos'!AC414,'LP Elementos'!AH414,'LP Elementos'!AM414,'LP Elementos'!AR414,'LP Elementos'!AX414,'LP Elementos'!BB414,'LP Elementos'!BG414,'LP Elementos'!BL414,'LP Elementos'!BQ414,'LP Elementos'!BV414,'LP Elementos'!CA414,'LP Elementos'!CF414,'LP Elementos'!CK414,'LP Elementos'!CP414,'LP Elementos'!CU414,'LP Elementos'!CZ414)," ")</f>
        <v>1</v>
      </c>
    </row>
    <row r="415" spans="2:12" ht="27" x14ac:dyDescent="0.25">
      <c r="B415" s="411">
        <v>413</v>
      </c>
      <c r="C415" s="412" t="s">
        <v>4088</v>
      </c>
      <c r="D415" s="408">
        <f>IFERROR(MIN('LP Elementos'!F415,'LP Elementos'!I415,'LP Elementos'!N415,'LP Elementos'!S415,'LP Elementos'!X415,'LP Elementos'!AC415,'LP Elementos'!AH415,'LP Elementos'!AM415,'LP Elementos'!AR415,'LP Elementos'!AW415,'LP Elementos'!BB415,'LP Elementos'!BG415,'LP Elementos'!BL415,'LP Elementos'!BQ415,'LP Elementos'!BV415,'LP Elementos'!CA415,'LP Elementos'!CF415,'LP Elementos'!CK415,'LP Elementos'!CP415,'LP Elementos'!CU415,'LP Elementos'!CZ415)," ")</f>
        <v>75286.992200000008</v>
      </c>
      <c r="E415" s="341">
        <f>IFERROR(AVERAGE('LP Elementos'!F415,'LP Elementos'!I415,'LP Elementos'!N415,'LP Elementos'!S415,'LP Elementos'!X415,'LP Elementos'!AC415,'LP Elementos'!AH415,'LP Elementos'!AM415,'LP Elementos'!AR415,'LP Elementos'!AW415,'LP Elementos'!BB415,'LP Elementos'!BG415,'LP Elementos'!BL415,'LP Elementos'!BQ415,'LP Elementos'!BV415,'LP Elementos'!CA415,'LP Elementos'!CF415,'LP Elementos'!CK415,'LP Elementos'!CP415,'LP Elementos'!CU415,'LP Elementos'!CZ415)," ")</f>
        <v>75286.992200000008</v>
      </c>
      <c r="F415" s="341">
        <f>IFERROR(MEDIAN('LP Elementos'!F415,'LP Elementos'!I415,'LP Elementos'!N415,'LP Elementos'!S415,'LP Elementos'!X415,'LP Elementos'!AC415,'LP Elementos'!AH415,'LP Elementos'!AM415,'LP Elementos'!AR415,'LP Elementos'!AW415,'LP Elementos'!BB415,'LP Elementos'!BG415,'LP Elementos'!BL415,'LP Elementos'!BQ415,'LP Elementos'!BV415,'LP Elementos'!CA415,'LP Elementos'!CF415,'LP Elementos'!CK415,'LP Elementos'!CP415,'LP Elementos'!CU415,'LP Elementos'!CZ415)," ")</f>
        <v>75286.992200000008</v>
      </c>
      <c r="G415" s="341">
        <f>IFERROR(GEOMEAN('LP Elementos'!F415,'LP Elementos'!I415,'LP Elementos'!N415,'LP Elementos'!S415,'LP Elementos'!X415,'LP Elementos'!AC415,'LP Elementos'!AH415,'LP Elementos'!AM415,'LP Elementos'!AR415,'LP Elementos'!AW415,'LP Elementos'!BB415,'LP Elementos'!BG415,'LP Elementos'!BL415,'LP Elementos'!BQ415,'LP Elementos'!BV415,'LP Elementos'!CA415,'LP Elementos'!CF415,'LP Elementos'!CK415,'LP Elementos'!CP415,'LP Elementos'!CU415,'LP Elementos'!CZ415)," ")</f>
        <v>75286.992200000008</v>
      </c>
      <c r="H415" s="341">
        <f t="shared" si="32"/>
        <v>0</v>
      </c>
      <c r="I415" s="342">
        <f t="shared" si="33"/>
        <v>0</v>
      </c>
      <c r="J415" s="341">
        <f t="shared" si="34"/>
        <v>75286.992200000008</v>
      </c>
      <c r="K415" s="326" t="str">
        <f t="shared" si="35"/>
        <v>Menor Valor</v>
      </c>
      <c r="L415" s="326">
        <f>IFERROR(COUNTA('LP Elementos'!F415,'LP Elementos'!I415,'LP Elementos'!N415,'LP Elementos'!S415,'LP Elementos'!X415,'LP Elementos'!AC415,'LP Elementos'!AH415,'LP Elementos'!AM415,'LP Elementos'!AR415,'LP Elementos'!AX415,'LP Elementos'!BB415,'LP Elementos'!BG415,'LP Elementos'!BL415,'LP Elementos'!BQ415,'LP Elementos'!BV415,'LP Elementos'!CA415,'LP Elementos'!CF415,'LP Elementos'!CK415,'LP Elementos'!CP415,'LP Elementos'!CU415,'LP Elementos'!CZ415)," ")</f>
        <v>1</v>
      </c>
    </row>
    <row r="416" spans="2:12" ht="27" x14ac:dyDescent="0.25">
      <c r="B416" s="411">
        <v>414</v>
      </c>
      <c r="C416" s="412" t="s">
        <v>4089</v>
      </c>
      <c r="D416" s="408">
        <f>IFERROR(MIN('LP Elementos'!F416,'LP Elementos'!I416,'LP Elementos'!N416,'LP Elementos'!S416,'LP Elementos'!X416,'LP Elementos'!AC416,'LP Elementos'!AH416,'LP Elementos'!AM416,'LP Elementos'!AR416,'LP Elementos'!AW416,'LP Elementos'!BB416,'LP Elementos'!BG416,'LP Elementos'!BL416,'LP Elementos'!BQ416,'LP Elementos'!BV416,'LP Elementos'!CA416,'LP Elementos'!CF416,'LP Elementos'!CK416,'LP Elementos'!CP416,'LP Elementos'!CU416,'LP Elementos'!CZ416)," ")</f>
        <v>75000.94</v>
      </c>
      <c r="E416" s="341">
        <f>IFERROR(AVERAGE('LP Elementos'!F416,'LP Elementos'!I416,'LP Elementos'!N416,'LP Elementos'!S416,'LP Elementos'!X416,'LP Elementos'!AC416,'LP Elementos'!AH416,'LP Elementos'!AM416,'LP Elementos'!AR416,'LP Elementos'!AW416,'LP Elementos'!BB416,'LP Elementos'!BG416,'LP Elementos'!BL416,'LP Elementos'!BQ416,'LP Elementos'!BV416,'LP Elementos'!CA416,'LP Elementos'!CF416,'LP Elementos'!CK416,'LP Elementos'!CP416,'LP Elementos'!CU416,'LP Elementos'!CZ416)," ")</f>
        <v>79590.568100000004</v>
      </c>
      <c r="F416" s="341">
        <f>IFERROR(MEDIAN('LP Elementos'!F416,'LP Elementos'!I416,'LP Elementos'!N416,'LP Elementos'!S416,'LP Elementos'!X416,'LP Elementos'!AC416,'LP Elementos'!AH416,'LP Elementos'!AM416,'LP Elementos'!AR416,'LP Elementos'!AW416,'LP Elementos'!BB416,'LP Elementos'!BG416,'LP Elementos'!BL416,'LP Elementos'!BQ416,'LP Elementos'!BV416,'LP Elementos'!CA416,'LP Elementos'!CF416,'LP Elementos'!CK416,'LP Elementos'!CP416,'LP Elementos'!CU416,'LP Elementos'!CZ416)," ")</f>
        <v>79590.568100000004</v>
      </c>
      <c r="G416" s="341">
        <f>IFERROR(GEOMEAN('LP Elementos'!F416,'LP Elementos'!I416,'LP Elementos'!N416,'LP Elementos'!S416,'LP Elementos'!X416,'LP Elementos'!AC416,'LP Elementos'!AH416,'LP Elementos'!AM416,'LP Elementos'!AR416,'LP Elementos'!AW416,'LP Elementos'!BB416,'LP Elementos'!BG416,'LP Elementos'!BL416,'LP Elementos'!BQ416,'LP Elementos'!BV416,'LP Elementos'!CA416,'LP Elementos'!CF416,'LP Elementos'!CK416,'LP Elementos'!CP416,'LP Elementos'!CU416,'LP Elementos'!CZ416)," ")</f>
        <v>79458.12635838092</v>
      </c>
      <c r="H416" s="341">
        <f t="shared" si="32"/>
        <v>2273.5978106626949</v>
      </c>
      <c r="I416" s="342">
        <f t="shared" si="33"/>
        <v>2.8566171406215844E-2</v>
      </c>
      <c r="J416" s="341">
        <f t="shared" si="34"/>
        <v>79590.568100000004</v>
      </c>
      <c r="K416" s="326" t="str">
        <f t="shared" si="35"/>
        <v>Promedio</v>
      </c>
      <c r="L416" s="326">
        <f>IFERROR(COUNTA('LP Elementos'!F416,'LP Elementos'!I416,'LP Elementos'!N416,'LP Elementos'!S416,'LP Elementos'!X416,'LP Elementos'!AC416,'LP Elementos'!AH416,'LP Elementos'!AM416,'LP Elementos'!AR416,'LP Elementos'!AX416,'LP Elementos'!BB416,'LP Elementos'!BG416,'LP Elementos'!BL416,'LP Elementos'!BQ416,'LP Elementos'!BV416,'LP Elementos'!CA416,'LP Elementos'!CF416,'LP Elementos'!CK416,'LP Elementos'!CP416,'LP Elementos'!CU416,'LP Elementos'!CZ416)," ")</f>
        <v>2</v>
      </c>
    </row>
    <row r="417" spans="2:12" ht="27" x14ac:dyDescent="0.25">
      <c r="B417" s="411">
        <v>415</v>
      </c>
      <c r="C417" s="412" t="s">
        <v>4090</v>
      </c>
      <c r="D417" s="408">
        <f>IFERROR(MIN('LP Elementos'!F417,'LP Elementos'!I417,'LP Elementos'!N417,'LP Elementos'!S417,'LP Elementos'!X417,'LP Elementos'!AC417,'LP Elementos'!AH417,'LP Elementos'!AM417,'LP Elementos'!AR417,'LP Elementos'!AW417,'LP Elementos'!BB417,'LP Elementos'!BG417,'LP Elementos'!BL417,'LP Elementos'!BQ417,'LP Elementos'!BV417,'LP Elementos'!CA417,'LP Elementos'!CF417,'LP Elementos'!CK417,'LP Elementos'!CP417,'LP Elementos'!CU417,'LP Elementos'!CZ417)," ")</f>
        <v>78330.960600000006</v>
      </c>
      <c r="E417" s="341">
        <f>IFERROR(AVERAGE('LP Elementos'!F417,'LP Elementos'!I417,'LP Elementos'!N417,'LP Elementos'!S417,'LP Elementos'!X417,'LP Elementos'!AC417,'LP Elementos'!AH417,'LP Elementos'!AM417,'LP Elementos'!AR417,'LP Elementos'!AW417,'LP Elementos'!BB417,'LP Elementos'!BG417,'LP Elementos'!BL417,'LP Elementos'!BQ417,'LP Elementos'!BV417,'LP Elementos'!CA417,'LP Elementos'!CF417,'LP Elementos'!CK417,'LP Elementos'!CP417,'LP Elementos'!CU417,'LP Elementos'!CZ417)," ")</f>
        <v>78330.960600000006</v>
      </c>
      <c r="F417" s="341">
        <f>IFERROR(MEDIAN('LP Elementos'!F417,'LP Elementos'!I417,'LP Elementos'!N417,'LP Elementos'!S417,'LP Elementos'!X417,'LP Elementos'!AC417,'LP Elementos'!AH417,'LP Elementos'!AM417,'LP Elementos'!AR417,'LP Elementos'!AW417,'LP Elementos'!BB417,'LP Elementos'!BG417,'LP Elementos'!BL417,'LP Elementos'!BQ417,'LP Elementos'!BV417,'LP Elementos'!CA417,'LP Elementos'!CF417,'LP Elementos'!CK417,'LP Elementos'!CP417,'LP Elementos'!CU417,'LP Elementos'!CZ417)," ")</f>
        <v>78330.960600000006</v>
      </c>
      <c r="G417" s="341">
        <f>IFERROR(GEOMEAN('LP Elementos'!F417,'LP Elementos'!I417,'LP Elementos'!N417,'LP Elementos'!S417,'LP Elementos'!X417,'LP Elementos'!AC417,'LP Elementos'!AH417,'LP Elementos'!AM417,'LP Elementos'!AR417,'LP Elementos'!AW417,'LP Elementos'!BB417,'LP Elementos'!BG417,'LP Elementos'!BL417,'LP Elementos'!BQ417,'LP Elementos'!BV417,'LP Elementos'!CA417,'LP Elementos'!CF417,'LP Elementos'!CK417,'LP Elementos'!CP417,'LP Elementos'!CU417,'LP Elementos'!CZ417)," ")</f>
        <v>78330.960600000006</v>
      </c>
      <c r="H417" s="341">
        <f t="shared" si="32"/>
        <v>0</v>
      </c>
      <c r="I417" s="342">
        <f t="shared" si="33"/>
        <v>0</v>
      </c>
      <c r="J417" s="341">
        <f t="shared" si="34"/>
        <v>78330.960600000006</v>
      </c>
      <c r="K417" s="326" t="str">
        <f t="shared" si="35"/>
        <v>Menor Valor</v>
      </c>
      <c r="L417" s="326">
        <f>IFERROR(COUNTA('LP Elementos'!F417,'LP Elementos'!I417,'LP Elementos'!N417,'LP Elementos'!S417,'LP Elementos'!X417,'LP Elementos'!AC417,'LP Elementos'!AH417,'LP Elementos'!AM417,'LP Elementos'!AR417,'LP Elementos'!AX417,'LP Elementos'!BB417,'LP Elementos'!BG417,'LP Elementos'!BL417,'LP Elementos'!BQ417,'LP Elementos'!BV417,'LP Elementos'!CA417,'LP Elementos'!CF417,'LP Elementos'!CK417,'LP Elementos'!CP417,'LP Elementos'!CU417,'LP Elementos'!CZ417)," ")</f>
        <v>1</v>
      </c>
    </row>
    <row r="418" spans="2:12" ht="27" x14ac:dyDescent="0.25">
      <c r="B418" s="411">
        <v>416</v>
      </c>
      <c r="C418" s="412" t="s">
        <v>4091</v>
      </c>
      <c r="D418" s="408">
        <f>IFERROR(MIN('LP Elementos'!F418,'LP Elementos'!I418,'LP Elementos'!N418,'LP Elementos'!S418,'LP Elementos'!X418,'LP Elementos'!AC418,'LP Elementos'!AH418,'LP Elementos'!AM418,'LP Elementos'!AR418,'LP Elementos'!AW418,'LP Elementos'!BB418,'LP Elementos'!BG418,'LP Elementos'!BL418,'LP Elementos'!BQ418,'LP Elementos'!BV418,'LP Elementos'!CA418,'LP Elementos'!CF418,'LP Elementos'!CK418,'LP Elementos'!CP418,'LP Elementos'!CU418,'LP Elementos'!CZ418)," ")</f>
        <v>90736.029600000009</v>
      </c>
      <c r="E418" s="341">
        <f>IFERROR(AVERAGE('LP Elementos'!F418,'LP Elementos'!I418,'LP Elementos'!N418,'LP Elementos'!S418,'LP Elementos'!X418,'LP Elementos'!AC418,'LP Elementos'!AH418,'LP Elementos'!AM418,'LP Elementos'!AR418,'LP Elementos'!AW418,'LP Elementos'!BB418,'LP Elementos'!BG418,'LP Elementos'!BL418,'LP Elementos'!BQ418,'LP Elementos'!BV418,'LP Elementos'!CA418,'LP Elementos'!CF418,'LP Elementos'!CK418,'LP Elementos'!CP418,'LP Elementos'!CU418,'LP Elementos'!CZ418)," ")</f>
        <v>90736.029600000009</v>
      </c>
      <c r="F418" s="341">
        <f>IFERROR(MEDIAN('LP Elementos'!F418,'LP Elementos'!I418,'LP Elementos'!N418,'LP Elementos'!S418,'LP Elementos'!X418,'LP Elementos'!AC418,'LP Elementos'!AH418,'LP Elementos'!AM418,'LP Elementos'!AR418,'LP Elementos'!AW418,'LP Elementos'!BB418,'LP Elementos'!BG418,'LP Elementos'!BL418,'LP Elementos'!BQ418,'LP Elementos'!BV418,'LP Elementos'!CA418,'LP Elementos'!CF418,'LP Elementos'!CK418,'LP Elementos'!CP418,'LP Elementos'!CU418,'LP Elementos'!CZ418)," ")</f>
        <v>90736.029600000009</v>
      </c>
      <c r="G418" s="341">
        <f>IFERROR(GEOMEAN('LP Elementos'!F418,'LP Elementos'!I418,'LP Elementos'!N418,'LP Elementos'!S418,'LP Elementos'!X418,'LP Elementos'!AC418,'LP Elementos'!AH418,'LP Elementos'!AM418,'LP Elementos'!AR418,'LP Elementos'!AW418,'LP Elementos'!BB418,'LP Elementos'!BG418,'LP Elementos'!BL418,'LP Elementos'!BQ418,'LP Elementos'!BV418,'LP Elementos'!CA418,'LP Elementos'!CF418,'LP Elementos'!CK418,'LP Elementos'!CP418,'LP Elementos'!CU418,'LP Elementos'!CZ418)," ")</f>
        <v>90736.029600000009</v>
      </c>
      <c r="H418" s="341">
        <f t="shared" si="32"/>
        <v>0</v>
      </c>
      <c r="I418" s="342">
        <f t="shared" si="33"/>
        <v>0</v>
      </c>
      <c r="J418" s="341">
        <f t="shared" si="34"/>
        <v>90736.029600000009</v>
      </c>
      <c r="K418" s="326" t="str">
        <f t="shared" si="35"/>
        <v>Menor Valor</v>
      </c>
      <c r="L418" s="326">
        <f>IFERROR(COUNTA('LP Elementos'!F418,'LP Elementos'!I418,'LP Elementos'!N418,'LP Elementos'!S418,'LP Elementos'!X418,'LP Elementos'!AC418,'LP Elementos'!AH418,'LP Elementos'!AM418,'LP Elementos'!AR418,'LP Elementos'!AX418,'LP Elementos'!BB418,'LP Elementos'!BG418,'LP Elementos'!BL418,'LP Elementos'!BQ418,'LP Elementos'!BV418,'LP Elementos'!CA418,'LP Elementos'!CF418,'LP Elementos'!CK418,'LP Elementos'!CP418,'LP Elementos'!CU418,'LP Elementos'!CZ418)," ")</f>
        <v>1</v>
      </c>
    </row>
    <row r="419" spans="2:12" ht="27" x14ac:dyDescent="0.25">
      <c r="B419" s="411">
        <v>417</v>
      </c>
      <c r="C419" s="412" t="s">
        <v>4092</v>
      </c>
      <c r="D419" s="408">
        <f>IFERROR(MIN('LP Elementos'!F419,'LP Elementos'!I419,'LP Elementos'!N419,'LP Elementos'!S419,'LP Elementos'!X419,'LP Elementos'!AC419,'LP Elementos'!AH419,'LP Elementos'!AM419,'LP Elementos'!AR419,'LP Elementos'!AW419,'LP Elementos'!BB419,'LP Elementos'!BG419,'LP Elementos'!BL419,'LP Elementos'!BQ419,'LP Elementos'!BV419,'LP Elementos'!CA419,'LP Elementos'!CF419,'LP Elementos'!CK419,'LP Elementos'!CP419,'LP Elementos'!CU419,'LP Elementos'!CZ419)," ")</f>
        <v>103649</v>
      </c>
      <c r="E419" s="341">
        <f>IFERROR(AVERAGE('LP Elementos'!F419,'LP Elementos'!I419,'LP Elementos'!N419,'LP Elementos'!S419,'LP Elementos'!X419,'LP Elementos'!AC419,'LP Elementos'!AH419,'LP Elementos'!AM419,'LP Elementos'!AR419,'LP Elementos'!AW419,'LP Elementos'!BB419,'LP Elementos'!BG419,'LP Elementos'!BL419,'LP Elementos'!BQ419,'LP Elementos'!BV419,'LP Elementos'!CA419,'LP Elementos'!CF419,'LP Elementos'!CK419,'LP Elementos'!CP419,'LP Elementos'!CU419,'LP Elementos'!CZ419)," ")</f>
        <v>218320.69940000001</v>
      </c>
      <c r="F419" s="341">
        <f>IFERROR(MEDIAN('LP Elementos'!F419,'LP Elementos'!I419,'LP Elementos'!N419,'LP Elementos'!S419,'LP Elementos'!X419,'LP Elementos'!AC419,'LP Elementos'!AH419,'LP Elementos'!AM419,'LP Elementos'!AR419,'LP Elementos'!AW419,'LP Elementos'!BB419,'LP Elementos'!BG419,'LP Elementos'!BL419,'LP Elementos'!BQ419,'LP Elementos'!BV419,'LP Elementos'!CA419,'LP Elementos'!CF419,'LP Elementos'!CK419,'LP Elementos'!CP419,'LP Elementos'!CU419,'LP Elementos'!CZ419)," ")</f>
        <v>218320.69940000001</v>
      </c>
      <c r="G419" s="341">
        <f>IFERROR(GEOMEAN('LP Elementos'!F419,'LP Elementos'!I419,'LP Elementos'!N419,'LP Elementos'!S419,'LP Elementos'!X419,'LP Elementos'!AC419,'LP Elementos'!AH419,'LP Elementos'!AM419,'LP Elementos'!AR419,'LP Elementos'!AW419,'LP Elementos'!BB419,'LP Elementos'!BG419,'LP Elementos'!BL419,'LP Elementos'!BQ419,'LP Elementos'!BV419,'LP Elementos'!CA419,'LP Elementos'!CF419,'LP Elementos'!CK419,'LP Elementos'!CP419,'LP Elementos'!CU419,'LP Elementos'!CZ419)," ")</f>
        <v>185780.32496263215</v>
      </c>
      <c r="H419" s="341">
        <f t="shared" si="32"/>
        <v>54131.401672022068</v>
      </c>
      <c r="I419" s="342">
        <f t="shared" si="33"/>
        <v>0.24794443138368796</v>
      </c>
      <c r="J419" s="341">
        <f t="shared" si="34"/>
        <v>185780.32496263215</v>
      </c>
      <c r="K419" s="326" t="str">
        <f t="shared" si="35"/>
        <v>Media Geometrica</v>
      </c>
      <c r="L419" s="326">
        <f>IFERROR(COUNTA('LP Elementos'!F419,'LP Elementos'!I419,'LP Elementos'!N419,'LP Elementos'!S419,'LP Elementos'!X419,'LP Elementos'!AC419,'LP Elementos'!AH419,'LP Elementos'!AM419,'LP Elementos'!AR419,'LP Elementos'!AX419,'LP Elementos'!BB419,'LP Elementos'!BG419,'LP Elementos'!BL419,'LP Elementos'!BQ419,'LP Elementos'!BV419,'LP Elementos'!CA419,'LP Elementos'!CF419,'LP Elementos'!CK419,'LP Elementos'!CP419,'LP Elementos'!CU419,'LP Elementos'!CZ419)," ")</f>
        <v>2</v>
      </c>
    </row>
    <row r="420" spans="2:12" ht="27" x14ac:dyDescent="0.25">
      <c r="B420" s="411">
        <v>418</v>
      </c>
      <c r="C420" s="412" t="s">
        <v>4094</v>
      </c>
      <c r="D420" s="408">
        <f>IFERROR(MIN('LP Elementos'!F420,'LP Elementos'!I420,'LP Elementos'!N420,'LP Elementos'!S420,'LP Elementos'!X420,'LP Elementos'!AC420,'LP Elementos'!AH420,'LP Elementos'!AM420,'LP Elementos'!AR420,'LP Elementos'!AW420,'LP Elementos'!BB420,'LP Elementos'!BG420,'LP Elementos'!BL420,'LP Elementos'!BQ420,'LP Elementos'!BV420,'LP Elementos'!CA420,'LP Elementos'!CF420,'LP Elementos'!CK420,'LP Elementos'!CP420,'LP Elementos'!CU420,'LP Elementos'!CZ420)," ")</f>
        <v>85990.523000000001</v>
      </c>
      <c r="E420" s="341">
        <f>IFERROR(AVERAGE('LP Elementos'!F420,'LP Elementos'!I420,'LP Elementos'!N420,'LP Elementos'!S420,'LP Elementos'!X420,'LP Elementos'!AC420,'LP Elementos'!AH420,'LP Elementos'!AM420,'LP Elementos'!AR420,'LP Elementos'!AW420,'LP Elementos'!BB420,'LP Elementos'!BG420,'LP Elementos'!BL420,'LP Elementos'!BQ420,'LP Elementos'!BV420,'LP Elementos'!CA420,'LP Elementos'!CF420,'LP Elementos'!CK420,'LP Elementos'!CP420,'LP Elementos'!CU420,'LP Elementos'!CZ420)," ")</f>
        <v>85990.523000000001</v>
      </c>
      <c r="F420" s="341">
        <f>IFERROR(MEDIAN('LP Elementos'!F420,'LP Elementos'!I420,'LP Elementos'!N420,'LP Elementos'!S420,'LP Elementos'!X420,'LP Elementos'!AC420,'LP Elementos'!AH420,'LP Elementos'!AM420,'LP Elementos'!AR420,'LP Elementos'!AW420,'LP Elementos'!BB420,'LP Elementos'!BG420,'LP Elementos'!BL420,'LP Elementos'!BQ420,'LP Elementos'!BV420,'LP Elementos'!CA420,'LP Elementos'!CF420,'LP Elementos'!CK420,'LP Elementos'!CP420,'LP Elementos'!CU420,'LP Elementos'!CZ420)," ")</f>
        <v>85990.523000000001</v>
      </c>
      <c r="G420" s="341">
        <f>IFERROR(GEOMEAN('LP Elementos'!F420,'LP Elementos'!I420,'LP Elementos'!N420,'LP Elementos'!S420,'LP Elementos'!X420,'LP Elementos'!AC420,'LP Elementos'!AH420,'LP Elementos'!AM420,'LP Elementos'!AR420,'LP Elementos'!AW420,'LP Elementos'!BB420,'LP Elementos'!BG420,'LP Elementos'!BL420,'LP Elementos'!BQ420,'LP Elementos'!BV420,'LP Elementos'!CA420,'LP Elementos'!CF420,'LP Elementos'!CK420,'LP Elementos'!CP420,'LP Elementos'!CU420,'LP Elementos'!CZ420)," ")</f>
        <v>85990.523000000001</v>
      </c>
      <c r="H420" s="341">
        <f t="shared" si="32"/>
        <v>0</v>
      </c>
      <c r="I420" s="342">
        <f t="shared" si="33"/>
        <v>0</v>
      </c>
      <c r="J420" s="341">
        <f t="shared" si="34"/>
        <v>85990.523000000001</v>
      </c>
      <c r="K420" s="326" t="str">
        <f t="shared" si="35"/>
        <v>Menor Valor</v>
      </c>
      <c r="L420" s="326">
        <f>IFERROR(COUNTA('LP Elementos'!F420,'LP Elementos'!I420,'LP Elementos'!N420,'LP Elementos'!S420,'LP Elementos'!X420,'LP Elementos'!AC420,'LP Elementos'!AH420,'LP Elementos'!AM420,'LP Elementos'!AR420,'LP Elementos'!AX420,'LP Elementos'!BB420,'LP Elementos'!BG420,'LP Elementos'!BL420,'LP Elementos'!BQ420,'LP Elementos'!BV420,'LP Elementos'!CA420,'LP Elementos'!CF420,'LP Elementos'!CK420,'LP Elementos'!CP420,'LP Elementos'!CU420,'LP Elementos'!CZ420)," ")</f>
        <v>1</v>
      </c>
    </row>
    <row r="421" spans="2:12" x14ac:dyDescent="0.25">
      <c r="B421" s="411">
        <v>419</v>
      </c>
      <c r="C421" s="412" t="s">
        <v>4095</v>
      </c>
      <c r="D421" s="408">
        <f>IFERROR(MIN('LP Elementos'!F421,'LP Elementos'!I421,'LP Elementos'!N421,'LP Elementos'!S421,'LP Elementos'!X421,'LP Elementos'!AC421,'LP Elementos'!AH421,'LP Elementos'!AM421,'LP Elementos'!AR421,'LP Elementos'!AW421,'LP Elementos'!BB421,'LP Elementos'!BG421,'LP Elementos'!BL421,'LP Elementos'!BQ421,'LP Elementos'!BV421,'LP Elementos'!CA421,'LP Elementos'!CF421,'LP Elementos'!CK421,'LP Elementos'!CP421,'LP Elementos'!CU421,'LP Elementos'!CZ421)," ")</f>
        <v>19040</v>
      </c>
      <c r="E421" s="341">
        <f>IFERROR(AVERAGE('LP Elementos'!F421,'LP Elementos'!I421,'LP Elementos'!N421,'LP Elementos'!S421,'LP Elementos'!X421,'LP Elementos'!AC421,'LP Elementos'!AH421,'LP Elementos'!AM421,'LP Elementos'!AR421,'LP Elementos'!AW421,'LP Elementos'!BB421,'LP Elementos'!BG421,'LP Elementos'!BL421,'LP Elementos'!BQ421,'LP Elementos'!BV421,'LP Elementos'!CA421,'LP Elementos'!CF421,'LP Elementos'!CK421,'LP Elementos'!CP421,'LP Elementos'!CU421,'LP Elementos'!CZ421)," ")</f>
        <v>27972.076533333337</v>
      </c>
      <c r="F421" s="341">
        <f>IFERROR(MEDIAN('LP Elementos'!F421,'LP Elementos'!I421,'LP Elementos'!N421,'LP Elementos'!S421,'LP Elementos'!X421,'LP Elementos'!AC421,'LP Elementos'!AH421,'LP Elementos'!AM421,'LP Elementos'!AR421,'LP Elementos'!AW421,'LP Elementos'!BB421,'LP Elementos'!BG421,'LP Elementos'!BL421,'LP Elementos'!BQ421,'LP Elementos'!BV421,'LP Elementos'!CA421,'LP Elementos'!CF421,'LP Elementos'!CK421,'LP Elementos'!CP421,'LP Elementos'!CU421,'LP Elementos'!CZ421)," ")</f>
        <v>22875.179599999999</v>
      </c>
      <c r="G421" s="341">
        <f>IFERROR(GEOMEAN('LP Elementos'!F421,'LP Elementos'!I421,'LP Elementos'!N421,'LP Elementos'!S421,'LP Elementos'!X421,'LP Elementos'!AC421,'LP Elementos'!AH421,'LP Elementos'!AM421,'LP Elementos'!AR421,'LP Elementos'!AW421,'LP Elementos'!BB421,'LP Elementos'!BG421,'LP Elementos'!BL421,'LP Elementos'!BQ421,'LP Elementos'!BV421,'LP Elementos'!CA421,'LP Elementos'!CF421,'LP Elementos'!CK421,'LP Elementos'!CP421,'LP Elementos'!CU421,'LP Elementos'!CZ421)," ")</f>
        <v>26348.983655032716</v>
      </c>
      <c r="H421" s="341">
        <f t="shared" si="32"/>
        <v>3964.3404168126199</v>
      </c>
      <c r="I421" s="342">
        <f t="shared" si="33"/>
        <v>0.141724923857135</v>
      </c>
      <c r="J421" s="341">
        <f t="shared" si="34"/>
        <v>27972.076533333337</v>
      </c>
      <c r="K421" s="326" t="str">
        <f t="shared" si="35"/>
        <v>Promedio</v>
      </c>
      <c r="L421" s="326">
        <f>IFERROR(COUNTA('LP Elementos'!F421,'LP Elementos'!I421,'LP Elementos'!N421,'LP Elementos'!S421,'LP Elementos'!X421,'LP Elementos'!AC421,'LP Elementos'!AH421,'LP Elementos'!AM421,'LP Elementos'!AR421,'LP Elementos'!AX421,'LP Elementos'!BB421,'LP Elementos'!BG421,'LP Elementos'!BL421,'LP Elementos'!BQ421,'LP Elementos'!BV421,'LP Elementos'!CA421,'LP Elementos'!CF421,'LP Elementos'!CK421,'LP Elementos'!CP421,'LP Elementos'!CU421,'LP Elementos'!CZ421)," ")</f>
        <v>3</v>
      </c>
    </row>
    <row r="422" spans="2:12" ht="94.5" x14ac:dyDescent="0.25">
      <c r="B422" s="411">
        <v>420</v>
      </c>
      <c r="C422" s="415" t="s">
        <v>4098</v>
      </c>
      <c r="D422" s="408">
        <f>IFERROR(MIN('LP Elementos'!F422,'LP Elementos'!I422,'LP Elementos'!N422,'LP Elementos'!S422,'LP Elementos'!X422,'LP Elementos'!AC422,'LP Elementos'!AH422,'LP Elementos'!AM422,'LP Elementos'!AR422,'LP Elementos'!AW422,'LP Elementos'!BB422,'LP Elementos'!BG422,'LP Elementos'!BL422,'LP Elementos'!BQ422,'LP Elementos'!BV422,'LP Elementos'!CA422,'LP Elementos'!CF422,'LP Elementos'!CK422,'LP Elementos'!CP422,'LP Elementos'!CU422,'LP Elementos'!CZ422)," ")</f>
        <v>21777</v>
      </c>
      <c r="E422" s="341">
        <f>IFERROR(AVERAGE('LP Elementos'!F422,'LP Elementos'!I422,'LP Elementos'!N422,'LP Elementos'!S422,'LP Elementos'!X422,'LP Elementos'!AC422,'LP Elementos'!AH422,'LP Elementos'!AM422,'LP Elementos'!AR422,'LP Elementos'!AW422,'LP Elementos'!BB422,'LP Elementos'!BG422,'LP Elementos'!BL422,'LP Elementos'!BQ422,'LP Elementos'!BV422,'LP Elementos'!CA422,'LP Elementos'!CF422,'LP Elementos'!CK422,'LP Elementos'!CP422,'LP Elementos'!CU422,'LP Elementos'!CZ422)," ")</f>
        <v>33481.887600000002</v>
      </c>
      <c r="F422" s="341">
        <f>IFERROR(MEDIAN('LP Elementos'!F422,'LP Elementos'!I422,'LP Elementos'!N422,'LP Elementos'!S422,'LP Elementos'!X422,'LP Elementos'!AC422,'LP Elementos'!AH422,'LP Elementos'!AM422,'LP Elementos'!AR422,'LP Elementos'!AW422,'LP Elementos'!BB422,'LP Elementos'!BG422,'LP Elementos'!BL422,'LP Elementos'!BQ422,'LP Elementos'!BV422,'LP Elementos'!CA422,'LP Elementos'!CF422,'LP Elementos'!CK422,'LP Elementos'!CP422,'LP Elementos'!CU422,'LP Elementos'!CZ422)," ")</f>
        <v>24990</v>
      </c>
      <c r="G422" s="341">
        <f>IFERROR(GEOMEAN('LP Elementos'!F422,'LP Elementos'!I422,'LP Elementos'!N422,'LP Elementos'!S422,'LP Elementos'!X422,'LP Elementos'!AC422,'LP Elementos'!AH422,'LP Elementos'!AM422,'LP Elementos'!AR422,'LP Elementos'!AW422,'LP Elementos'!BB422,'LP Elementos'!BG422,'LP Elementos'!BL422,'LP Elementos'!BQ422,'LP Elementos'!BV422,'LP Elementos'!CA422,'LP Elementos'!CF422,'LP Elementos'!CK422,'LP Elementos'!CP422,'LP Elementos'!CU422,'LP Elementos'!CZ422)," ")</f>
        <v>29782.738320524764</v>
      </c>
      <c r="H422" s="341">
        <f t="shared" si="32"/>
        <v>5165.4768237248145</v>
      </c>
      <c r="I422" s="342">
        <f t="shared" si="33"/>
        <v>0.15427675062515933</v>
      </c>
      <c r="J422" s="341">
        <f t="shared" si="34"/>
        <v>33481.887600000002</v>
      </c>
      <c r="K422" s="326" t="str">
        <f t="shared" si="35"/>
        <v>Promedio</v>
      </c>
      <c r="L422" s="326">
        <f>IFERROR(COUNTA('LP Elementos'!F422,'LP Elementos'!I422,'LP Elementos'!N422,'LP Elementos'!S422,'LP Elementos'!X422,'LP Elementos'!AC422,'LP Elementos'!AH422,'LP Elementos'!AM422,'LP Elementos'!AR422,'LP Elementos'!AX422,'LP Elementos'!BB422,'LP Elementos'!BG422,'LP Elementos'!BL422,'LP Elementos'!BQ422,'LP Elementos'!BV422,'LP Elementos'!CA422,'LP Elementos'!CF422,'LP Elementos'!CK422,'LP Elementos'!CP422,'LP Elementos'!CU422,'LP Elementos'!CZ422)," ")</f>
        <v>5</v>
      </c>
    </row>
    <row r="423" spans="2:12" ht="94.5" x14ac:dyDescent="0.25">
      <c r="B423" s="411">
        <v>421</v>
      </c>
      <c r="C423" s="415" t="s">
        <v>4103</v>
      </c>
      <c r="D423" s="408">
        <f>IFERROR(MIN('LP Elementos'!F423,'LP Elementos'!I423,'LP Elementos'!N423,'LP Elementos'!S423,'LP Elementos'!X423,'LP Elementos'!AC423,'LP Elementos'!AH423,'LP Elementos'!AM423,'LP Elementos'!AR423,'LP Elementos'!AW423,'LP Elementos'!BB423,'LP Elementos'!BG423,'LP Elementos'!BL423,'LP Elementos'!BQ423,'LP Elementos'!BV423,'LP Elementos'!CA423,'LP Elementos'!CF423,'LP Elementos'!CK423,'LP Elementos'!CP423,'LP Elementos'!CU423,'LP Elementos'!CZ423)," ")</f>
        <v>34391</v>
      </c>
      <c r="E423" s="341">
        <f>IFERROR(AVERAGE('LP Elementos'!F423,'LP Elementos'!I423,'LP Elementos'!N423,'LP Elementos'!S423,'LP Elementos'!X423,'LP Elementos'!AC423,'LP Elementos'!AH423,'LP Elementos'!AM423,'LP Elementos'!AR423,'LP Elementos'!AW423,'LP Elementos'!BB423,'LP Elementos'!BG423,'LP Elementos'!BL423,'LP Elementos'!BQ423,'LP Elementos'!BV423,'LP Elementos'!CA423,'LP Elementos'!CF423,'LP Elementos'!CK423,'LP Elementos'!CP423,'LP Elementos'!CU423,'LP Elementos'!CZ423)," ")</f>
        <v>162514.4325</v>
      </c>
      <c r="F423" s="341">
        <f>IFERROR(MEDIAN('LP Elementos'!F423,'LP Elementos'!I423,'LP Elementos'!N423,'LP Elementos'!S423,'LP Elementos'!X423,'LP Elementos'!AC423,'LP Elementos'!AH423,'LP Elementos'!AM423,'LP Elementos'!AR423,'LP Elementos'!AW423,'LP Elementos'!BB423,'LP Elementos'!BG423,'LP Elementos'!BL423,'LP Elementos'!BQ423,'LP Elementos'!BV423,'LP Elementos'!CA423,'LP Elementos'!CF423,'LP Elementos'!CK423,'LP Elementos'!CP423,'LP Elementos'!CU423,'LP Elementos'!CZ423)," ")</f>
        <v>41868.365000000005</v>
      </c>
      <c r="G423" s="341">
        <f>IFERROR(GEOMEAN('LP Elementos'!F423,'LP Elementos'!I423,'LP Elementos'!N423,'LP Elementos'!S423,'LP Elementos'!X423,'LP Elementos'!AC423,'LP Elementos'!AH423,'LP Elementos'!AM423,'LP Elementos'!AR423,'LP Elementos'!AW423,'LP Elementos'!BB423,'LP Elementos'!BG423,'LP Elementos'!BL423,'LP Elementos'!BQ423,'LP Elementos'!BV423,'LP Elementos'!CA423,'LP Elementos'!CF423,'LP Elementos'!CK423,'LP Elementos'!CP423,'LP Elementos'!CU423,'LP Elementos'!CZ423)," ")</f>
        <v>75203.572407559215</v>
      </c>
      <c r="H423" s="341">
        <f t="shared" si="32"/>
        <v>58755.912436997125</v>
      </c>
      <c r="I423" s="342">
        <f t="shared" si="33"/>
        <v>0.36154273520905367</v>
      </c>
      <c r="J423" s="341">
        <f t="shared" si="34"/>
        <v>34391</v>
      </c>
      <c r="K423" s="326" t="str">
        <f t="shared" si="35"/>
        <v>Menor Valor</v>
      </c>
      <c r="L423" s="326">
        <f>IFERROR(COUNTA('LP Elementos'!F423,'LP Elementos'!I423,'LP Elementos'!N423,'LP Elementos'!S423,'LP Elementos'!X423,'LP Elementos'!AC423,'LP Elementos'!AH423,'LP Elementos'!AM423,'LP Elementos'!AR423,'LP Elementos'!AX423,'LP Elementos'!BB423,'LP Elementos'!BG423,'LP Elementos'!BL423,'LP Elementos'!BQ423,'LP Elementos'!BV423,'LP Elementos'!CA423,'LP Elementos'!CF423,'LP Elementos'!CK423,'LP Elementos'!CP423,'LP Elementos'!CU423,'LP Elementos'!CZ423)," ")</f>
        <v>4</v>
      </c>
    </row>
    <row r="424" spans="2:12" ht="94.5" x14ac:dyDescent="0.25">
      <c r="B424" s="411">
        <v>422</v>
      </c>
      <c r="C424" s="415" t="s">
        <v>4106</v>
      </c>
      <c r="D424" s="408">
        <f>IFERROR(MIN('LP Elementos'!F424,'LP Elementos'!I424,'LP Elementos'!N424,'LP Elementos'!S424,'LP Elementos'!X424,'LP Elementos'!AC424,'LP Elementos'!AH424,'LP Elementos'!AM424,'LP Elementos'!AR424,'LP Elementos'!AW424,'LP Elementos'!BB424,'LP Elementos'!BG424,'LP Elementos'!BL424,'LP Elementos'!BQ424,'LP Elementos'!BV424,'LP Elementos'!CA424,'LP Elementos'!CF424,'LP Elementos'!CK424,'LP Elementos'!CP424,'LP Elementos'!CU424,'LP Elementos'!CZ424)," ")</f>
        <v>39151</v>
      </c>
      <c r="E424" s="341">
        <f>IFERROR(AVERAGE('LP Elementos'!F424,'LP Elementos'!I424,'LP Elementos'!N424,'LP Elementos'!S424,'LP Elementos'!X424,'LP Elementos'!AC424,'LP Elementos'!AH424,'LP Elementos'!AM424,'LP Elementos'!AR424,'LP Elementos'!AW424,'LP Elementos'!BB424,'LP Elementos'!BG424,'LP Elementos'!BL424,'LP Elementos'!BQ424,'LP Elementos'!BV424,'LP Elementos'!CA424,'LP Elementos'!CF424,'LP Elementos'!CK424,'LP Elementos'!CP424,'LP Elementos'!CU424,'LP Elementos'!CZ424)," ")</f>
        <v>166510.274</v>
      </c>
      <c r="F424" s="341">
        <f>IFERROR(MEDIAN('LP Elementos'!F424,'LP Elementos'!I424,'LP Elementos'!N424,'LP Elementos'!S424,'LP Elementos'!X424,'LP Elementos'!AC424,'LP Elementos'!AH424,'LP Elementos'!AM424,'LP Elementos'!AR424,'LP Elementos'!AW424,'LP Elementos'!BB424,'LP Elementos'!BG424,'LP Elementos'!BL424,'LP Elementos'!BQ424,'LP Elementos'!BV424,'LP Elementos'!CA424,'LP Elementos'!CF424,'LP Elementos'!CK424,'LP Elementos'!CP424,'LP Elementos'!CU424,'LP Elementos'!CZ424)," ")</f>
        <v>42125.047999999995</v>
      </c>
      <c r="G424" s="341">
        <f>IFERROR(GEOMEAN('LP Elementos'!F424,'LP Elementos'!I424,'LP Elementos'!N424,'LP Elementos'!S424,'LP Elementos'!X424,'LP Elementos'!AC424,'LP Elementos'!AH424,'LP Elementos'!AM424,'LP Elementos'!AR424,'LP Elementos'!AW424,'LP Elementos'!BB424,'LP Elementos'!BG424,'LP Elementos'!BL424,'LP Elementos'!BQ424,'LP Elementos'!BV424,'LP Elementos'!CA424,'LP Elementos'!CF424,'LP Elementos'!CK424,'LP Elementos'!CP424,'LP Elementos'!CU424,'LP Elementos'!CZ424)," ")</f>
        <v>78318.004424483122</v>
      </c>
      <c r="H424" s="341">
        <f t="shared" si="32"/>
        <v>59387.691503653288</v>
      </c>
      <c r="I424" s="342">
        <f t="shared" si="33"/>
        <v>0.3566608238459405</v>
      </c>
      <c r="J424" s="341">
        <f t="shared" si="34"/>
        <v>39151</v>
      </c>
      <c r="K424" s="326" t="str">
        <f t="shared" si="35"/>
        <v>Menor Valor</v>
      </c>
      <c r="L424" s="326">
        <f>IFERROR(COUNTA('LP Elementos'!F424,'LP Elementos'!I424,'LP Elementos'!N424,'LP Elementos'!S424,'LP Elementos'!X424,'LP Elementos'!AC424,'LP Elementos'!AH424,'LP Elementos'!AM424,'LP Elementos'!AR424,'LP Elementos'!AX424,'LP Elementos'!BB424,'LP Elementos'!BG424,'LP Elementos'!BL424,'LP Elementos'!BQ424,'LP Elementos'!BV424,'LP Elementos'!CA424,'LP Elementos'!CF424,'LP Elementos'!CK424,'LP Elementos'!CP424,'LP Elementos'!CU424,'LP Elementos'!CZ424)," ")</f>
        <v>4</v>
      </c>
    </row>
    <row r="425" spans="2:12" ht="94.5" x14ac:dyDescent="0.25">
      <c r="B425" s="411">
        <v>423</v>
      </c>
      <c r="C425" s="412" t="s">
        <v>4110</v>
      </c>
      <c r="D425" s="408">
        <f>IFERROR(MIN('LP Elementos'!F425,'LP Elementos'!I425,'LP Elementos'!N425,'LP Elementos'!S425,'LP Elementos'!X425,'LP Elementos'!AC425,'LP Elementos'!AH425,'LP Elementos'!AM425,'LP Elementos'!AR425,'LP Elementos'!AW425,'LP Elementos'!BB425,'LP Elementos'!BG425,'LP Elementos'!BL425,'LP Elementos'!BQ425,'LP Elementos'!BV425,'LP Elementos'!CA425,'LP Elementos'!CF425,'LP Elementos'!CK425,'LP Elementos'!CP425,'LP Elementos'!CU425,'LP Elementos'!CZ425)," ")</f>
        <v>15946</v>
      </c>
      <c r="E425" s="341">
        <f>IFERROR(AVERAGE('LP Elementos'!F425,'LP Elementos'!I425,'LP Elementos'!N425,'LP Elementos'!S425,'LP Elementos'!X425,'LP Elementos'!AC425,'LP Elementos'!AH425,'LP Elementos'!AM425,'LP Elementos'!AR425,'LP Elementos'!AW425,'LP Elementos'!BB425,'LP Elementos'!BG425,'LP Elementos'!BL425,'LP Elementos'!BQ425,'LP Elementos'!BV425,'LP Elementos'!CA425,'LP Elementos'!CF425,'LP Elementos'!CK425,'LP Elementos'!CP425,'LP Elementos'!CU425,'LP Elementos'!CZ425)," ")</f>
        <v>31666.369880000002</v>
      </c>
      <c r="F425" s="341">
        <f>IFERROR(MEDIAN('LP Elementos'!F425,'LP Elementos'!I425,'LP Elementos'!N425,'LP Elementos'!S425,'LP Elementos'!X425,'LP Elementos'!AC425,'LP Elementos'!AH425,'LP Elementos'!AM425,'LP Elementos'!AR425,'LP Elementos'!AW425,'LP Elementos'!BB425,'LP Elementos'!BG425,'LP Elementos'!BL425,'LP Elementos'!BQ425,'LP Elementos'!BV425,'LP Elementos'!CA425,'LP Elementos'!CF425,'LP Elementos'!CK425,'LP Elementos'!CP425,'LP Elementos'!CU425,'LP Elementos'!CZ425)," ")</f>
        <v>27370</v>
      </c>
      <c r="G425" s="341">
        <f>IFERROR(GEOMEAN('LP Elementos'!F425,'LP Elementos'!I425,'LP Elementos'!N425,'LP Elementos'!S425,'LP Elementos'!X425,'LP Elementos'!AC425,'LP Elementos'!AH425,'LP Elementos'!AM425,'LP Elementos'!AR425,'LP Elementos'!AW425,'LP Elementos'!BB425,'LP Elementos'!BG425,'LP Elementos'!BL425,'LP Elementos'!BQ425,'LP Elementos'!BV425,'LP Elementos'!CA425,'LP Elementos'!CF425,'LP Elementos'!CK425,'LP Elementos'!CP425,'LP Elementos'!CU425,'LP Elementos'!CZ425)," ")</f>
        <v>28040.587169126506</v>
      </c>
      <c r="H425" s="341">
        <f t="shared" si="32"/>
        <v>6806.6855953004579</v>
      </c>
      <c r="I425" s="342">
        <f t="shared" si="33"/>
        <v>0.21494998072385485</v>
      </c>
      <c r="J425" s="341">
        <f t="shared" si="34"/>
        <v>28040.587169126506</v>
      </c>
      <c r="K425" s="326" t="str">
        <f t="shared" si="35"/>
        <v>Media Geometrica</v>
      </c>
      <c r="L425" s="326">
        <f>IFERROR(COUNTA('LP Elementos'!F425,'LP Elementos'!I425,'LP Elementos'!N425,'LP Elementos'!S425,'LP Elementos'!X425,'LP Elementos'!AC425,'LP Elementos'!AH425,'LP Elementos'!AM425,'LP Elementos'!AR425,'LP Elementos'!AX425,'LP Elementos'!BB425,'LP Elementos'!BG425,'LP Elementos'!BL425,'LP Elementos'!BQ425,'LP Elementos'!BV425,'LP Elementos'!CA425,'LP Elementos'!CF425,'LP Elementos'!CK425,'LP Elementos'!CP425,'LP Elementos'!CU425,'LP Elementos'!CZ425)," ")</f>
        <v>5</v>
      </c>
    </row>
    <row r="426" spans="2:12" ht="40.5" x14ac:dyDescent="0.25">
      <c r="B426" s="411">
        <v>424</v>
      </c>
      <c r="C426" s="412" t="s">
        <v>4114</v>
      </c>
      <c r="D426" s="408">
        <f>IFERROR(MIN('LP Elementos'!F426,'LP Elementos'!I426,'LP Elementos'!N426,'LP Elementos'!S426,'LP Elementos'!X426,'LP Elementos'!AC426,'LP Elementos'!AH426,'LP Elementos'!AM426,'LP Elementos'!AR426,'LP Elementos'!AW426,'LP Elementos'!BB426,'LP Elementos'!BG426,'LP Elementos'!BL426,'LP Elementos'!BQ426,'LP Elementos'!BV426,'LP Elementos'!CA426,'LP Elementos'!CF426,'LP Elementos'!CK426,'LP Elementos'!CP426,'LP Elementos'!CU426,'LP Elementos'!CZ426)," ")</f>
        <v>53550</v>
      </c>
      <c r="E426" s="341">
        <f>IFERROR(AVERAGE('LP Elementos'!F426,'LP Elementos'!I426,'LP Elementos'!N426,'LP Elementos'!S426,'LP Elementos'!X426,'LP Elementos'!AC426,'LP Elementos'!AH426,'LP Elementos'!AM426,'LP Elementos'!AR426,'LP Elementos'!AW426,'LP Elementos'!BB426,'LP Elementos'!BG426,'LP Elementos'!BL426,'LP Elementos'!BQ426,'LP Elementos'!BV426,'LP Elementos'!CA426,'LP Elementos'!CF426,'LP Elementos'!CK426,'LP Elementos'!CP426,'LP Elementos'!CU426,'LP Elementos'!CZ426)," ")</f>
        <v>56948.5216</v>
      </c>
      <c r="F426" s="341">
        <f>IFERROR(MEDIAN('LP Elementos'!F426,'LP Elementos'!I426,'LP Elementos'!N426,'LP Elementos'!S426,'LP Elementos'!X426,'LP Elementos'!AC426,'LP Elementos'!AH426,'LP Elementos'!AM426,'LP Elementos'!AR426,'LP Elementos'!AW426,'LP Elementos'!BB426,'LP Elementos'!BG426,'LP Elementos'!BL426,'LP Elementos'!BQ426,'LP Elementos'!BV426,'LP Elementos'!CA426,'LP Elementos'!CF426,'LP Elementos'!CK426,'LP Elementos'!CP426,'LP Elementos'!CU426,'LP Elementos'!CZ426)," ")</f>
        <v>56948.5216</v>
      </c>
      <c r="G426" s="341">
        <f>IFERROR(GEOMEAN('LP Elementos'!F426,'LP Elementos'!I426,'LP Elementos'!N426,'LP Elementos'!S426,'LP Elementos'!X426,'LP Elementos'!AC426,'LP Elementos'!AH426,'LP Elementos'!AM426,'LP Elementos'!AR426,'LP Elementos'!AW426,'LP Elementos'!BB426,'LP Elementos'!BG426,'LP Elementos'!BL426,'LP Elementos'!BQ426,'LP Elementos'!BV426,'LP Elementos'!CA426,'LP Elementos'!CF426,'LP Elementos'!CK426,'LP Elementos'!CP426,'LP Elementos'!CU426,'LP Elementos'!CZ426)," ")</f>
        <v>56847.024226075366</v>
      </c>
      <c r="H426" s="341">
        <f t="shared" si="32"/>
        <v>1683.0248144459074</v>
      </c>
      <c r="I426" s="342">
        <f t="shared" si="33"/>
        <v>2.9553441725270482E-2</v>
      </c>
      <c r="J426" s="341">
        <f t="shared" si="34"/>
        <v>56948.5216</v>
      </c>
      <c r="K426" s="326" t="str">
        <f t="shared" si="35"/>
        <v>Promedio</v>
      </c>
      <c r="L426" s="326">
        <f>IFERROR(COUNTA('LP Elementos'!F426,'LP Elementos'!I426,'LP Elementos'!N426,'LP Elementos'!S426,'LP Elementos'!X426,'LP Elementos'!AC426,'LP Elementos'!AH426,'LP Elementos'!AM426,'LP Elementos'!AR426,'LP Elementos'!AX426,'LP Elementos'!BB426,'LP Elementos'!BG426,'LP Elementos'!BL426,'LP Elementos'!BQ426,'LP Elementos'!BV426,'LP Elementos'!CA426,'LP Elementos'!CF426,'LP Elementos'!CK426,'LP Elementos'!CP426,'LP Elementos'!CU426,'LP Elementos'!CZ426)," ")</f>
        <v>2</v>
      </c>
    </row>
    <row r="427" spans="2:12" ht="54" x14ac:dyDescent="0.25">
      <c r="B427" s="411">
        <v>425</v>
      </c>
      <c r="C427" s="412" t="s">
        <v>4116</v>
      </c>
      <c r="D427" s="408">
        <f>IFERROR(MIN('LP Elementos'!F427,'LP Elementos'!I427,'LP Elementos'!N427,'LP Elementos'!S427,'LP Elementos'!X427,'LP Elementos'!AC427,'LP Elementos'!AH427,'LP Elementos'!AM427,'LP Elementos'!AR427,'LP Elementos'!AW427,'LP Elementos'!BB427,'LP Elementos'!BG427,'LP Elementos'!BL427,'LP Elementos'!BQ427,'LP Elementos'!BV427,'LP Elementos'!CA427,'LP Elementos'!CF427,'LP Elementos'!CK427,'LP Elementos'!CP427,'LP Elementos'!CU427,'LP Elementos'!CZ427)," ")</f>
        <v>732670.09700000007</v>
      </c>
      <c r="E427" s="341">
        <f>IFERROR(AVERAGE('LP Elementos'!F427,'LP Elementos'!I427,'LP Elementos'!N427,'LP Elementos'!S427,'LP Elementos'!X427,'LP Elementos'!AC427,'LP Elementos'!AH427,'LP Elementos'!AM427,'LP Elementos'!AR427,'LP Elementos'!AW427,'LP Elementos'!BB427,'LP Elementos'!BG427,'LP Elementos'!BL427,'LP Elementos'!BQ427,'LP Elementos'!BV427,'LP Elementos'!CA427,'LP Elementos'!CF427,'LP Elementos'!CK427,'LP Elementos'!CP427,'LP Elementos'!CU427,'LP Elementos'!CZ427)," ")</f>
        <v>732670.09700000007</v>
      </c>
      <c r="F427" s="341">
        <f>IFERROR(MEDIAN('LP Elementos'!F427,'LP Elementos'!I427,'LP Elementos'!N427,'LP Elementos'!S427,'LP Elementos'!X427,'LP Elementos'!AC427,'LP Elementos'!AH427,'LP Elementos'!AM427,'LP Elementos'!AR427,'LP Elementos'!AW427,'LP Elementos'!BB427,'LP Elementos'!BG427,'LP Elementos'!BL427,'LP Elementos'!BQ427,'LP Elementos'!BV427,'LP Elementos'!CA427,'LP Elementos'!CF427,'LP Elementos'!CK427,'LP Elementos'!CP427,'LP Elementos'!CU427,'LP Elementos'!CZ427)," ")</f>
        <v>732670.09700000007</v>
      </c>
      <c r="G427" s="341">
        <f>IFERROR(GEOMEAN('LP Elementos'!F427,'LP Elementos'!I427,'LP Elementos'!N427,'LP Elementos'!S427,'LP Elementos'!X427,'LP Elementos'!AC427,'LP Elementos'!AH427,'LP Elementos'!AM427,'LP Elementos'!AR427,'LP Elementos'!AW427,'LP Elementos'!BB427,'LP Elementos'!BG427,'LP Elementos'!BL427,'LP Elementos'!BQ427,'LP Elementos'!BV427,'LP Elementos'!CA427,'LP Elementos'!CF427,'LP Elementos'!CK427,'LP Elementos'!CP427,'LP Elementos'!CU427,'LP Elementos'!CZ427)," ")</f>
        <v>732670.09700000007</v>
      </c>
      <c r="H427" s="341">
        <f t="shared" si="32"/>
        <v>0</v>
      </c>
      <c r="I427" s="342">
        <f t="shared" si="33"/>
        <v>0</v>
      </c>
      <c r="J427" s="341">
        <f t="shared" si="34"/>
        <v>732670.09700000007</v>
      </c>
      <c r="K427" s="326" t="str">
        <f t="shared" si="35"/>
        <v>Menor Valor</v>
      </c>
      <c r="L427" s="326">
        <f>IFERROR(COUNTA('LP Elementos'!F427,'LP Elementos'!I427,'LP Elementos'!N427,'LP Elementos'!S427,'LP Elementos'!X427,'LP Elementos'!AC427,'LP Elementos'!AH427,'LP Elementos'!AM427,'LP Elementos'!AR427,'LP Elementos'!AX427,'LP Elementos'!BB427,'LP Elementos'!BG427,'LP Elementos'!BL427,'LP Elementos'!BQ427,'LP Elementos'!BV427,'LP Elementos'!CA427,'LP Elementos'!CF427,'LP Elementos'!CK427,'LP Elementos'!CP427,'LP Elementos'!CU427,'LP Elementos'!CZ427)," ")</f>
        <v>1</v>
      </c>
    </row>
    <row r="428" spans="2:12" ht="27" x14ac:dyDescent="0.25">
      <c r="B428" s="411">
        <v>426</v>
      </c>
      <c r="C428" s="409" t="s">
        <v>4119</v>
      </c>
      <c r="D428" s="408">
        <f>IFERROR(MIN('LP Elementos'!F428,'LP Elementos'!I428,'LP Elementos'!N428,'LP Elementos'!S428,'LP Elementos'!X428,'LP Elementos'!AC428,'LP Elementos'!AH428,'LP Elementos'!AM428,'LP Elementos'!AR428,'LP Elementos'!AW428,'LP Elementos'!BB428,'LP Elementos'!BG428,'LP Elementos'!BL428,'LP Elementos'!BQ428,'LP Elementos'!BV428,'LP Elementos'!CA428,'LP Elementos'!CF428,'LP Elementos'!CK428,'LP Elementos'!CP428,'LP Elementos'!CU428,'LP Elementos'!CZ428)," ")</f>
        <v>61880</v>
      </c>
      <c r="E428" s="341">
        <f>IFERROR(AVERAGE('LP Elementos'!F428,'LP Elementos'!I428,'LP Elementos'!N428,'LP Elementos'!S428,'LP Elementos'!X428,'LP Elementos'!AC428,'LP Elementos'!AH428,'LP Elementos'!AM428,'LP Elementos'!AR428,'LP Elementos'!AW428,'LP Elementos'!BB428,'LP Elementos'!BG428,'LP Elementos'!BL428,'LP Elementos'!BQ428,'LP Elementos'!BV428,'LP Elementos'!CA428,'LP Elementos'!CF428,'LP Elementos'!CK428,'LP Elementos'!CP428,'LP Elementos'!CU428,'LP Elementos'!CZ428)," ")</f>
        <v>65152.5</v>
      </c>
      <c r="F428" s="341">
        <f>IFERROR(MEDIAN('LP Elementos'!F428,'LP Elementos'!I428,'LP Elementos'!N428,'LP Elementos'!S428,'LP Elementos'!X428,'LP Elementos'!AC428,'LP Elementos'!AH428,'LP Elementos'!AM428,'LP Elementos'!AR428,'LP Elementos'!AW428,'LP Elementos'!BB428,'LP Elementos'!BG428,'LP Elementos'!BL428,'LP Elementos'!BQ428,'LP Elementos'!BV428,'LP Elementos'!CA428,'LP Elementos'!CF428,'LP Elementos'!CK428,'LP Elementos'!CP428,'LP Elementos'!CU428,'LP Elementos'!CZ428)," ")</f>
        <v>65152.5</v>
      </c>
      <c r="G428" s="341">
        <f>IFERROR(GEOMEAN('LP Elementos'!F428,'LP Elementos'!I428,'LP Elementos'!N428,'LP Elementos'!S428,'LP Elementos'!X428,'LP Elementos'!AC428,'LP Elementos'!AH428,'LP Elementos'!AM428,'LP Elementos'!AR428,'LP Elementos'!AW428,'LP Elementos'!BB428,'LP Elementos'!BG428,'LP Elementos'!BL428,'LP Elementos'!BQ428,'LP Elementos'!BV428,'LP Elementos'!CA428,'LP Elementos'!CF428,'LP Elementos'!CK428,'LP Elementos'!CP428,'LP Elementos'!CU428,'LP Elementos'!CZ428)," ")</f>
        <v>65070.262024983429</v>
      </c>
      <c r="H428" s="341">
        <f t="shared" si="32"/>
        <v>1623.0067379486604</v>
      </c>
      <c r="I428" s="342">
        <f t="shared" si="33"/>
        <v>2.4910889650414957E-2</v>
      </c>
      <c r="J428" s="341">
        <f t="shared" si="34"/>
        <v>65152.5</v>
      </c>
      <c r="K428" s="326" t="str">
        <f t="shared" si="35"/>
        <v>Promedio</v>
      </c>
      <c r="L428" s="326">
        <f>IFERROR(COUNTA('LP Elementos'!F428,'LP Elementos'!I428,'LP Elementos'!N428,'LP Elementos'!S428,'LP Elementos'!X428,'LP Elementos'!AC428,'LP Elementos'!AH428,'LP Elementos'!AM428,'LP Elementos'!AR428,'LP Elementos'!AX428,'LP Elementos'!BB428,'LP Elementos'!BG428,'LP Elementos'!BL428,'LP Elementos'!BQ428,'LP Elementos'!BV428,'LP Elementos'!CA428,'LP Elementos'!CF428,'LP Elementos'!CK428,'LP Elementos'!CP428,'LP Elementos'!CU428,'LP Elementos'!CZ428)," ")</f>
        <v>2</v>
      </c>
    </row>
    <row r="429" spans="2:12" ht="27" x14ac:dyDescent="0.25">
      <c r="B429" s="411">
        <v>427</v>
      </c>
      <c r="C429" s="409" t="s">
        <v>4123</v>
      </c>
      <c r="D429" s="408">
        <f>IFERROR(MIN('LP Elementos'!F429,'LP Elementos'!I429,'LP Elementos'!N429,'LP Elementos'!S429,'LP Elementos'!X429,'LP Elementos'!AC429,'LP Elementos'!AH429,'LP Elementos'!AM429,'LP Elementos'!AR429,'LP Elementos'!AW429,'LP Elementos'!BB429,'LP Elementos'!BG429,'LP Elementos'!BL429,'LP Elementos'!BQ429,'LP Elementos'!BV429,'LP Elementos'!CA429,'LP Elementos'!CF429,'LP Elementos'!CK429,'LP Elementos'!CP429,'LP Elementos'!CU429,'LP Elementos'!CZ429)," ")</f>
        <v>68425</v>
      </c>
      <c r="E429" s="341">
        <f>IFERROR(AVERAGE('LP Elementos'!F429,'LP Elementos'!I429,'LP Elementos'!N429,'LP Elementos'!S429,'LP Elementos'!X429,'LP Elementos'!AC429,'LP Elementos'!AH429,'LP Elementos'!AM429,'LP Elementos'!AR429,'LP Elementos'!AW429,'LP Elementos'!BB429,'LP Elementos'!BG429,'LP Elementos'!BL429,'LP Elementos'!BQ429,'LP Elementos'!BV429,'LP Elementos'!CA429,'LP Elementos'!CF429,'LP Elementos'!CK429,'LP Elementos'!CP429,'LP Elementos'!CU429,'LP Elementos'!CZ429)," ")</f>
        <v>98333.666666666672</v>
      </c>
      <c r="F429" s="341">
        <f>IFERROR(MEDIAN('LP Elementos'!F429,'LP Elementos'!I429,'LP Elementos'!N429,'LP Elementos'!S429,'LP Elementos'!X429,'LP Elementos'!AC429,'LP Elementos'!AH429,'LP Elementos'!AM429,'LP Elementos'!AR429,'LP Elementos'!AW429,'LP Elementos'!BB429,'LP Elementos'!BG429,'LP Elementos'!BL429,'LP Elementos'!BQ429,'LP Elementos'!BV429,'LP Elementos'!CA429,'LP Elementos'!CF429,'LP Elementos'!CK429,'LP Elementos'!CP429,'LP Elementos'!CU429,'LP Elementos'!CZ429)," ")</f>
        <v>110551</v>
      </c>
      <c r="G429" s="341">
        <f>IFERROR(GEOMEAN('LP Elementos'!F429,'LP Elementos'!I429,'LP Elementos'!N429,'LP Elementos'!S429,'LP Elementos'!X429,'LP Elementos'!AC429,'LP Elementos'!AH429,'LP Elementos'!AM429,'LP Elementos'!AR429,'LP Elementos'!AW429,'LP Elementos'!BB429,'LP Elementos'!BG429,'LP Elementos'!BL429,'LP Elementos'!BQ429,'LP Elementos'!BV429,'LP Elementos'!CA429,'LP Elementos'!CF429,'LP Elementos'!CK429,'LP Elementos'!CP429,'LP Elementos'!CU429,'LP Elementos'!CZ429)," ")</f>
        <v>95743.585246230956</v>
      </c>
      <c r="H429" s="341">
        <f t="shared" si="32"/>
        <v>17773.258482117064</v>
      </c>
      <c r="I429" s="342">
        <f t="shared" si="33"/>
        <v>0.18074438882021143</v>
      </c>
      <c r="J429" s="341">
        <f t="shared" si="34"/>
        <v>98333.666666666672</v>
      </c>
      <c r="K429" s="326" t="str">
        <f t="shared" si="35"/>
        <v>Promedio</v>
      </c>
      <c r="L429" s="326">
        <f>IFERROR(COUNTA('LP Elementos'!F429,'LP Elementos'!I429,'LP Elementos'!N429,'LP Elementos'!S429,'LP Elementos'!X429,'LP Elementos'!AC429,'LP Elementos'!AH429,'LP Elementos'!AM429,'LP Elementos'!AR429,'LP Elementos'!AX429,'LP Elementos'!BB429,'LP Elementos'!BG429,'LP Elementos'!BL429,'LP Elementos'!BQ429,'LP Elementos'!BV429,'LP Elementos'!CA429,'LP Elementos'!CF429,'LP Elementos'!CK429,'LP Elementos'!CP429,'LP Elementos'!CU429,'LP Elementos'!CZ429)," ")</f>
        <v>3</v>
      </c>
    </row>
    <row r="430" spans="2:12" ht="27" x14ac:dyDescent="0.25">
      <c r="B430" s="411">
        <v>428</v>
      </c>
      <c r="C430" s="412" t="s">
        <v>4126</v>
      </c>
      <c r="D430" s="408">
        <f>IFERROR(MIN('LP Elementos'!F430,'LP Elementos'!I430,'LP Elementos'!N430,'LP Elementos'!S430,'LP Elementos'!X430,'LP Elementos'!AC430,'LP Elementos'!AH430,'LP Elementos'!AM430,'LP Elementos'!AR430,'LP Elementos'!AW430,'LP Elementos'!BB430,'LP Elementos'!BG430,'LP Elementos'!BL430,'LP Elementos'!BQ430,'LP Elementos'!BV430,'LP Elementos'!CA430,'LP Elementos'!CF430,'LP Elementos'!CK430,'LP Elementos'!CP430,'LP Elementos'!CU430,'LP Elementos'!CZ430)," ")</f>
        <v>75208</v>
      </c>
      <c r="E430" s="341">
        <f>IFERROR(AVERAGE('LP Elementos'!F430,'LP Elementos'!I430,'LP Elementos'!N430,'LP Elementos'!S430,'LP Elementos'!X430,'LP Elementos'!AC430,'LP Elementos'!AH430,'LP Elementos'!AM430,'LP Elementos'!AR430,'LP Elementos'!AW430,'LP Elementos'!BB430,'LP Elementos'!BG430,'LP Elementos'!BL430,'LP Elementos'!BQ430,'LP Elementos'!BV430,'LP Elementos'!CA430,'LP Elementos'!CF430,'LP Elementos'!CK430,'LP Elementos'!CP430,'LP Elementos'!CU430,'LP Elementos'!CZ430)," ")</f>
        <v>380442.12733333331</v>
      </c>
      <c r="F430" s="341">
        <f>IFERROR(MEDIAN('LP Elementos'!F430,'LP Elementos'!I430,'LP Elementos'!N430,'LP Elementos'!S430,'LP Elementos'!X430,'LP Elementos'!AC430,'LP Elementos'!AH430,'LP Elementos'!AM430,'LP Elementos'!AR430,'LP Elementos'!AW430,'LP Elementos'!BB430,'LP Elementos'!BG430,'LP Elementos'!BL430,'LP Elementos'!BQ430,'LP Elementos'!BV430,'LP Elementos'!CA430,'LP Elementos'!CF430,'LP Elementos'!CK430,'LP Elementos'!CP430,'LP Elementos'!CU430,'LP Elementos'!CZ430)," ")</f>
        <v>131001.15</v>
      </c>
      <c r="G430" s="341">
        <f>IFERROR(GEOMEAN('LP Elementos'!F430,'LP Elementos'!I430,'LP Elementos'!N430,'LP Elementos'!S430,'LP Elementos'!X430,'LP Elementos'!AC430,'LP Elementos'!AH430,'LP Elementos'!AM430,'LP Elementos'!AR430,'LP Elementos'!AW430,'LP Elementos'!BB430,'LP Elementos'!BG430,'LP Elementos'!BL430,'LP Elementos'!BQ430,'LP Elementos'!BV430,'LP Elementos'!CA430,'LP Elementos'!CF430,'LP Elementos'!CK430,'LP Elementos'!CP430,'LP Elementos'!CU430,'LP Elementos'!CZ430)," ")</f>
        <v>209637.22518909344</v>
      </c>
      <c r="H430" s="341">
        <f t="shared" si="32"/>
        <v>132894.29156020359</v>
      </c>
      <c r="I430" s="342">
        <f t="shared" si="33"/>
        <v>0.34931539388582256</v>
      </c>
      <c r="J430" s="341">
        <f t="shared" si="34"/>
        <v>75208</v>
      </c>
      <c r="K430" s="326" t="str">
        <f t="shared" si="35"/>
        <v>Menor Valor</v>
      </c>
      <c r="L430" s="326">
        <f>IFERROR(COUNTA('LP Elementos'!F430,'LP Elementos'!I430,'LP Elementos'!N430,'LP Elementos'!S430,'LP Elementos'!X430,'LP Elementos'!AC430,'LP Elementos'!AH430,'LP Elementos'!AM430,'LP Elementos'!AR430,'LP Elementos'!AX430,'LP Elementos'!BB430,'LP Elementos'!BG430,'LP Elementos'!BL430,'LP Elementos'!BQ430,'LP Elementos'!BV430,'LP Elementos'!CA430,'LP Elementos'!CF430,'LP Elementos'!CK430,'LP Elementos'!CP430,'LP Elementos'!CU430,'LP Elementos'!CZ430)," ")</f>
        <v>3</v>
      </c>
    </row>
    <row r="431" spans="2:12" x14ac:dyDescent="0.25">
      <c r="B431" s="411">
        <v>429</v>
      </c>
      <c r="C431" s="412" t="s">
        <v>4128</v>
      </c>
      <c r="D431" s="408">
        <f>IFERROR(MIN('LP Elementos'!F431,'LP Elementos'!I431,'LP Elementos'!N431,'LP Elementos'!S431,'LP Elementos'!X431,'LP Elementos'!AC431,'LP Elementos'!AH431,'LP Elementos'!AM431,'LP Elementos'!AR431,'LP Elementos'!AW431,'LP Elementos'!BB431,'LP Elementos'!BG431,'LP Elementos'!BL431,'LP Elementos'!BQ431,'LP Elementos'!BV431,'LP Elementos'!CA431,'LP Elementos'!CF431,'LP Elementos'!CK431,'LP Elementos'!CP431,'LP Elementos'!CU431,'LP Elementos'!CZ431)," ")</f>
        <v>61880</v>
      </c>
      <c r="E431" s="341">
        <f>IFERROR(AVERAGE('LP Elementos'!F431,'LP Elementos'!I431,'LP Elementos'!N431,'LP Elementos'!S431,'LP Elementos'!X431,'LP Elementos'!AC431,'LP Elementos'!AH431,'LP Elementos'!AM431,'LP Elementos'!AR431,'LP Elementos'!AW431,'LP Elementos'!BB431,'LP Elementos'!BG431,'LP Elementos'!BL431,'LP Elementos'!BQ431,'LP Elementos'!BV431,'LP Elementos'!CA431,'LP Elementos'!CF431,'LP Elementos'!CK431,'LP Elementos'!CP431,'LP Elementos'!CU431,'LP Elementos'!CZ431)," ")</f>
        <v>90777.404666666684</v>
      </c>
      <c r="F431" s="341">
        <f>IFERROR(MEDIAN('LP Elementos'!F431,'LP Elementos'!I431,'LP Elementos'!N431,'LP Elementos'!S431,'LP Elementos'!X431,'LP Elementos'!AC431,'LP Elementos'!AH431,'LP Elementos'!AM431,'LP Elementos'!AR431,'LP Elementos'!AW431,'LP Elementos'!BB431,'LP Elementos'!BG431,'LP Elementos'!BL431,'LP Elementos'!BQ431,'LP Elementos'!BV431,'LP Elementos'!CA431,'LP Elementos'!CF431,'LP Elementos'!CK431,'LP Elementos'!CP431,'LP Elementos'!CU431,'LP Elementos'!CZ431)," ")</f>
        <v>68425</v>
      </c>
      <c r="G431" s="341">
        <f>IFERROR(GEOMEAN('LP Elementos'!F431,'LP Elementos'!I431,'LP Elementos'!N431,'LP Elementos'!S431,'LP Elementos'!X431,'LP Elementos'!AC431,'LP Elementos'!AH431,'LP Elementos'!AM431,'LP Elementos'!AR431,'LP Elementos'!AW431,'LP Elementos'!BB431,'LP Elementos'!BG431,'LP Elementos'!BL431,'LP Elementos'!BQ431,'LP Elementos'!BV431,'LP Elementos'!CA431,'LP Elementos'!CF431,'LP Elementos'!CK431,'LP Elementos'!CP431,'LP Elementos'!CU431,'LP Elementos'!CZ431)," ")</f>
        <v>84407.083228270974</v>
      </c>
      <c r="H431" s="341">
        <f t="shared" si="32"/>
        <v>13481.482590850335</v>
      </c>
      <c r="I431" s="342">
        <f t="shared" si="33"/>
        <v>0.14851143453984111</v>
      </c>
      <c r="J431" s="341">
        <f t="shared" si="34"/>
        <v>90777.404666666684</v>
      </c>
      <c r="K431" s="326" t="str">
        <f t="shared" si="35"/>
        <v>Promedio</v>
      </c>
      <c r="L431" s="326">
        <f>IFERROR(COUNTA('LP Elementos'!F431,'LP Elementos'!I431,'LP Elementos'!N431,'LP Elementos'!S431,'LP Elementos'!X431,'LP Elementos'!AC431,'LP Elementos'!AH431,'LP Elementos'!AM431,'LP Elementos'!AR431,'LP Elementos'!AX431,'LP Elementos'!BB431,'LP Elementos'!BG431,'LP Elementos'!BL431,'LP Elementos'!BQ431,'LP Elementos'!BV431,'LP Elementos'!CA431,'LP Elementos'!CF431,'LP Elementos'!CK431,'LP Elementos'!CP431,'LP Elementos'!CU431,'LP Elementos'!CZ431)," ")</f>
        <v>3</v>
      </c>
    </row>
    <row r="432" spans="2:12" ht="40.5" x14ac:dyDescent="0.25">
      <c r="B432" s="411">
        <v>430</v>
      </c>
      <c r="C432" s="415" t="s">
        <v>4129</v>
      </c>
      <c r="D432" s="408">
        <f>IFERROR(MIN('LP Elementos'!F432,'LP Elementos'!I432,'LP Elementos'!N432,'LP Elementos'!S432,'LP Elementos'!X432,'LP Elementos'!AC432,'LP Elementos'!AH432,'LP Elementos'!AM432,'LP Elementos'!AR432,'LP Elementos'!AW432,'LP Elementos'!BB432,'LP Elementos'!BG432,'LP Elementos'!BL432,'LP Elementos'!BQ432,'LP Elementos'!BV432,'LP Elementos'!CA432,'LP Elementos'!CF432,'LP Elementos'!CK432,'LP Elementos'!CP432,'LP Elementos'!CU432,'LP Elementos'!CZ432)," ")</f>
        <v>443677.93400000001</v>
      </c>
      <c r="E432" s="341">
        <f>IFERROR(AVERAGE('LP Elementos'!F432,'LP Elementos'!I432,'LP Elementos'!N432,'LP Elementos'!S432,'LP Elementos'!X432,'LP Elementos'!AC432,'LP Elementos'!AH432,'LP Elementos'!AM432,'LP Elementos'!AR432,'LP Elementos'!AW432,'LP Elementos'!BB432,'LP Elementos'!BG432,'LP Elementos'!BL432,'LP Elementos'!BQ432,'LP Elementos'!BV432,'LP Elementos'!CA432,'LP Elementos'!CF432,'LP Elementos'!CK432,'LP Elementos'!CP432,'LP Elementos'!CU432,'LP Elementos'!CZ432)," ")</f>
        <v>443677.93400000001</v>
      </c>
      <c r="F432" s="341">
        <f>IFERROR(MEDIAN('LP Elementos'!F432,'LP Elementos'!I432,'LP Elementos'!N432,'LP Elementos'!S432,'LP Elementos'!X432,'LP Elementos'!AC432,'LP Elementos'!AH432,'LP Elementos'!AM432,'LP Elementos'!AR432,'LP Elementos'!AW432,'LP Elementos'!BB432,'LP Elementos'!BG432,'LP Elementos'!BL432,'LP Elementos'!BQ432,'LP Elementos'!BV432,'LP Elementos'!CA432,'LP Elementos'!CF432,'LP Elementos'!CK432,'LP Elementos'!CP432,'LP Elementos'!CU432,'LP Elementos'!CZ432)," ")</f>
        <v>443677.93400000001</v>
      </c>
      <c r="G432" s="341">
        <f>IFERROR(GEOMEAN('LP Elementos'!F432,'LP Elementos'!I432,'LP Elementos'!N432,'LP Elementos'!S432,'LP Elementos'!X432,'LP Elementos'!AC432,'LP Elementos'!AH432,'LP Elementos'!AM432,'LP Elementos'!AR432,'LP Elementos'!AW432,'LP Elementos'!BB432,'LP Elementos'!BG432,'LP Elementos'!BL432,'LP Elementos'!BQ432,'LP Elementos'!BV432,'LP Elementos'!CA432,'LP Elementos'!CF432,'LP Elementos'!CK432,'LP Elementos'!CP432,'LP Elementos'!CU432,'LP Elementos'!CZ432)," ")</f>
        <v>443677.93400000001</v>
      </c>
      <c r="H432" s="341">
        <f t="shared" si="32"/>
        <v>0</v>
      </c>
      <c r="I432" s="342">
        <f t="shared" si="33"/>
        <v>0</v>
      </c>
      <c r="J432" s="341">
        <f t="shared" si="34"/>
        <v>443677.93400000001</v>
      </c>
      <c r="K432" s="326" t="str">
        <f t="shared" si="35"/>
        <v>Menor Valor</v>
      </c>
      <c r="L432" s="326">
        <f>IFERROR(COUNTA('LP Elementos'!F432,'LP Elementos'!I432,'LP Elementos'!N432,'LP Elementos'!S432,'LP Elementos'!X432,'LP Elementos'!AC432,'LP Elementos'!AH432,'LP Elementos'!AM432,'LP Elementos'!AR432,'LP Elementos'!AX432,'LP Elementos'!BB432,'LP Elementos'!BG432,'LP Elementos'!BL432,'LP Elementos'!BQ432,'LP Elementos'!BV432,'LP Elementos'!CA432,'LP Elementos'!CF432,'LP Elementos'!CK432,'LP Elementos'!CP432,'LP Elementos'!CU432,'LP Elementos'!CZ432)," ")</f>
        <v>1</v>
      </c>
    </row>
    <row r="433" spans="2:12" ht="27" x14ac:dyDescent="0.25">
      <c r="B433" s="411">
        <v>431</v>
      </c>
      <c r="C433" s="415" t="s">
        <v>4130</v>
      </c>
      <c r="D433" s="408">
        <f>IFERROR(MIN('LP Elementos'!F433,'LP Elementos'!I433,'LP Elementos'!N433,'LP Elementos'!S433,'LP Elementos'!X433,'LP Elementos'!AC433,'LP Elementos'!AH433,'LP Elementos'!AM433,'LP Elementos'!AR433,'LP Elementos'!AW433,'LP Elementos'!BB433,'LP Elementos'!BG433,'LP Elementos'!BL433,'LP Elementos'!BQ433,'LP Elementos'!BV433,'LP Elementos'!CA433,'LP Elementos'!CF433,'LP Elementos'!CK433,'LP Elementos'!CP433,'LP Elementos'!CU433,'LP Elementos'!CZ433)," ")</f>
        <v>462079.05040000001</v>
      </c>
      <c r="E433" s="341">
        <f>IFERROR(AVERAGE('LP Elementos'!F433,'LP Elementos'!I433,'LP Elementos'!N433,'LP Elementos'!S433,'LP Elementos'!X433,'LP Elementos'!AC433,'LP Elementos'!AH433,'LP Elementos'!AM433,'LP Elementos'!AR433,'LP Elementos'!AW433,'LP Elementos'!BB433,'LP Elementos'!BG433,'LP Elementos'!BL433,'LP Elementos'!BQ433,'LP Elementos'!BV433,'LP Elementos'!CA433,'LP Elementos'!CF433,'LP Elementos'!CK433,'LP Elementos'!CP433,'LP Elementos'!CU433,'LP Elementos'!CZ433)," ")</f>
        <v>462079.05040000001</v>
      </c>
      <c r="F433" s="341">
        <f>IFERROR(MEDIAN('LP Elementos'!F433,'LP Elementos'!I433,'LP Elementos'!N433,'LP Elementos'!S433,'LP Elementos'!X433,'LP Elementos'!AC433,'LP Elementos'!AH433,'LP Elementos'!AM433,'LP Elementos'!AR433,'LP Elementos'!AW433,'LP Elementos'!BB433,'LP Elementos'!BG433,'LP Elementos'!BL433,'LP Elementos'!BQ433,'LP Elementos'!BV433,'LP Elementos'!CA433,'LP Elementos'!CF433,'LP Elementos'!CK433,'LP Elementos'!CP433,'LP Elementos'!CU433,'LP Elementos'!CZ433)," ")</f>
        <v>462079.05040000001</v>
      </c>
      <c r="G433" s="341">
        <f>IFERROR(GEOMEAN('LP Elementos'!F433,'LP Elementos'!I433,'LP Elementos'!N433,'LP Elementos'!S433,'LP Elementos'!X433,'LP Elementos'!AC433,'LP Elementos'!AH433,'LP Elementos'!AM433,'LP Elementos'!AR433,'LP Elementos'!AW433,'LP Elementos'!BB433,'LP Elementos'!BG433,'LP Elementos'!BL433,'LP Elementos'!BQ433,'LP Elementos'!BV433,'LP Elementos'!CA433,'LP Elementos'!CF433,'LP Elementos'!CK433,'LP Elementos'!CP433,'LP Elementos'!CU433,'LP Elementos'!CZ433)," ")</f>
        <v>462079.05040000001</v>
      </c>
      <c r="H433" s="341">
        <f t="shared" si="32"/>
        <v>0</v>
      </c>
      <c r="I433" s="342">
        <f t="shared" si="33"/>
        <v>0</v>
      </c>
      <c r="J433" s="341">
        <f t="shared" si="34"/>
        <v>462079.05040000001</v>
      </c>
      <c r="K433" s="326" t="str">
        <f t="shared" si="35"/>
        <v>Menor Valor</v>
      </c>
      <c r="L433" s="326">
        <f>IFERROR(COUNTA('LP Elementos'!F433,'LP Elementos'!I433,'LP Elementos'!N433,'LP Elementos'!S433,'LP Elementos'!X433,'LP Elementos'!AC433,'LP Elementos'!AH433,'LP Elementos'!AM433,'LP Elementos'!AR433,'LP Elementos'!AX433,'LP Elementos'!BB433,'LP Elementos'!BG433,'LP Elementos'!BL433,'LP Elementos'!BQ433,'LP Elementos'!BV433,'LP Elementos'!CA433,'LP Elementos'!CF433,'LP Elementos'!CK433,'LP Elementos'!CP433,'LP Elementos'!CU433,'LP Elementos'!CZ433)," ")</f>
        <v>1</v>
      </c>
    </row>
    <row r="434" spans="2:12" ht="27" x14ac:dyDescent="0.25">
      <c r="B434" s="411">
        <v>432</v>
      </c>
      <c r="C434" s="412" t="s">
        <v>4131</v>
      </c>
      <c r="D434" s="408">
        <f>IFERROR(MIN('LP Elementos'!F434,'LP Elementos'!I434,'LP Elementos'!N434,'LP Elementos'!S434,'LP Elementos'!X434,'LP Elementos'!AC434,'LP Elementos'!AH434,'LP Elementos'!AM434,'LP Elementos'!AR434,'LP Elementos'!AW434,'LP Elementos'!BB434,'LP Elementos'!BG434,'LP Elementos'!BL434,'LP Elementos'!BQ434,'LP Elementos'!BV434,'LP Elementos'!CA434,'LP Elementos'!CF434,'LP Elementos'!CK434,'LP Elementos'!CP434,'LP Elementos'!CU434,'LP Elementos'!CZ434)," ")</f>
        <v>503830.63640000002</v>
      </c>
      <c r="E434" s="341">
        <f>IFERROR(AVERAGE('LP Elementos'!F434,'LP Elementos'!I434,'LP Elementos'!N434,'LP Elementos'!S434,'LP Elementos'!X434,'LP Elementos'!AC434,'LP Elementos'!AH434,'LP Elementos'!AM434,'LP Elementos'!AR434,'LP Elementos'!AW434,'LP Elementos'!BB434,'LP Elementos'!BG434,'LP Elementos'!BL434,'LP Elementos'!BQ434,'LP Elementos'!BV434,'LP Elementos'!CA434,'LP Elementos'!CF434,'LP Elementos'!CK434,'LP Elementos'!CP434,'LP Elementos'!CU434,'LP Elementos'!CZ434)," ")</f>
        <v>503830.63640000002</v>
      </c>
      <c r="F434" s="341">
        <f>IFERROR(MEDIAN('LP Elementos'!F434,'LP Elementos'!I434,'LP Elementos'!N434,'LP Elementos'!S434,'LP Elementos'!X434,'LP Elementos'!AC434,'LP Elementos'!AH434,'LP Elementos'!AM434,'LP Elementos'!AR434,'LP Elementos'!AW434,'LP Elementos'!BB434,'LP Elementos'!BG434,'LP Elementos'!BL434,'LP Elementos'!BQ434,'LP Elementos'!BV434,'LP Elementos'!CA434,'LP Elementos'!CF434,'LP Elementos'!CK434,'LP Elementos'!CP434,'LP Elementos'!CU434,'LP Elementos'!CZ434)," ")</f>
        <v>503830.63640000002</v>
      </c>
      <c r="G434" s="341">
        <f>IFERROR(GEOMEAN('LP Elementos'!F434,'LP Elementos'!I434,'LP Elementos'!N434,'LP Elementos'!S434,'LP Elementos'!X434,'LP Elementos'!AC434,'LP Elementos'!AH434,'LP Elementos'!AM434,'LP Elementos'!AR434,'LP Elementos'!AW434,'LP Elementos'!BB434,'LP Elementos'!BG434,'LP Elementos'!BL434,'LP Elementos'!BQ434,'LP Elementos'!BV434,'LP Elementos'!CA434,'LP Elementos'!CF434,'LP Elementos'!CK434,'LP Elementos'!CP434,'LP Elementos'!CU434,'LP Elementos'!CZ434)," ")</f>
        <v>503830.63640000002</v>
      </c>
      <c r="H434" s="341">
        <f t="shared" si="32"/>
        <v>0</v>
      </c>
      <c r="I434" s="342">
        <f t="shared" si="33"/>
        <v>0</v>
      </c>
      <c r="J434" s="341">
        <f t="shared" si="34"/>
        <v>503830.63640000002</v>
      </c>
      <c r="K434" s="326" t="str">
        <f t="shared" si="35"/>
        <v>Menor Valor</v>
      </c>
      <c r="L434" s="326">
        <f>IFERROR(COUNTA('LP Elementos'!F434,'LP Elementos'!I434,'LP Elementos'!N434,'LP Elementos'!S434,'LP Elementos'!X434,'LP Elementos'!AC434,'LP Elementos'!AH434,'LP Elementos'!AM434,'LP Elementos'!AR434,'LP Elementos'!AX434,'LP Elementos'!BB434,'LP Elementos'!BG434,'LP Elementos'!BL434,'LP Elementos'!BQ434,'LP Elementos'!BV434,'LP Elementos'!CA434,'LP Elementos'!CF434,'LP Elementos'!CK434,'LP Elementos'!CP434,'LP Elementos'!CU434,'LP Elementos'!CZ434)," ")</f>
        <v>1</v>
      </c>
    </row>
    <row r="435" spans="2:12" ht="40.5" x14ac:dyDescent="0.25">
      <c r="B435" s="411">
        <v>433</v>
      </c>
      <c r="C435" s="412" t="s">
        <v>4132</v>
      </c>
      <c r="D435" s="408">
        <f>IFERROR(MIN('LP Elementos'!F435,'LP Elementos'!I435,'LP Elementos'!N435,'LP Elementos'!S435,'LP Elementos'!X435,'LP Elementos'!AC435,'LP Elementos'!AH435,'LP Elementos'!AM435,'LP Elementos'!AR435,'LP Elementos'!AW435,'LP Elementos'!BB435,'LP Elementos'!BG435,'LP Elementos'!BL435,'LP Elementos'!BQ435,'LP Elementos'!BV435,'LP Elementos'!CA435,'LP Elementos'!CF435,'LP Elementos'!CK435,'LP Elementos'!CP435,'LP Elementos'!CU435,'LP Elementos'!CZ435)," ")</f>
        <v>506521.83400000003</v>
      </c>
      <c r="E435" s="341">
        <f>IFERROR(AVERAGE('LP Elementos'!F435,'LP Elementos'!I435,'LP Elementos'!N435,'LP Elementos'!S435,'LP Elementos'!X435,'LP Elementos'!AC435,'LP Elementos'!AH435,'LP Elementos'!AM435,'LP Elementos'!AR435,'LP Elementos'!AW435,'LP Elementos'!BB435,'LP Elementos'!BG435,'LP Elementos'!BL435,'LP Elementos'!BQ435,'LP Elementos'!BV435,'LP Elementos'!CA435,'LP Elementos'!CF435,'LP Elementos'!CK435,'LP Elementos'!CP435,'LP Elementos'!CU435,'LP Elementos'!CZ435)," ")</f>
        <v>506521.83400000003</v>
      </c>
      <c r="F435" s="341">
        <f>IFERROR(MEDIAN('LP Elementos'!F435,'LP Elementos'!I435,'LP Elementos'!N435,'LP Elementos'!S435,'LP Elementos'!X435,'LP Elementos'!AC435,'LP Elementos'!AH435,'LP Elementos'!AM435,'LP Elementos'!AR435,'LP Elementos'!AW435,'LP Elementos'!BB435,'LP Elementos'!BG435,'LP Elementos'!BL435,'LP Elementos'!BQ435,'LP Elementos'!BV435,'LP Elementos'!CA435,'LP Elementos'!CF435,'LP Elementos'!CK435,'LP Elementos'!CP435,'LP Elementos'!CU435,'LP Elementos'!CZ435)," ")</f>
        <v>506521.83400000003</v>
      </c>
      <c r="G435" s="341">
        <f>IFERROR(GEOMEAN('LP Elementos'!F435,'LP Elementos'!I435,'LP Elementos'!N435,'LP Elementos'!S435,'LP Elementos'!X435,'LP Elementos'!AC435,'LP Elementos'!AH435,'LP Elementos'!AM435,'LP Elementos'!AR435,'LP Elementos'!AW435,'LP Elementos'!BB435,'LP Elementos'!BG435,'LP Elementos'!BL435,'LP Elementos'!BQ435,'LP Elementos'!BV435,'LP Elementos'!CA435,'LP Elementos'!CF435,'LP Elementos'!CK435,'LP Elementos'!CP435,'LP Elementos'!CU435,'LP Elementos'!CZ435)," ")</f>
        <v>506521.83400000003</v>
      </c>
      <c r="H435" s="341">
        <f t="shared" si="32"/>
        <v>0</v>
      </c>
      <c r="I435" s="342">
        <f t="shared" si="33"/>
        <v>0</v>
      </c>
      <c r="J435" s="341">
        <f t="shared" si="34"/>
        <v>506521.83400000003</v>
      </c>
      <c r="K435" s="326" t="str">
        <f t="shared" si="35"/>
        <v>Menor Valor</v>
      </c>
      <c r="L435" s="326">
        <f>IFERROR(COUNTA('LP Elementos'!F435,'LP Elementos'!I435,'LP Elementos'!N435,'LP Elementos'!S435,'LP Elementos'!X435,'LP Elementos'!AC435,'LP Elementos'!AH435,'LP Elementos'!AM435,'LP Elementos'!AR435,'LP Elementos'!AX435,'LP Elementos'!BB435,'LP Elementos'!BG435,'LP Elementos'!BL435,'LP Elementos'!BQ435,'LP Elementos'!BV435,'LP Elementos'!CA435,'LP Elementos'!CF435,'LP Elementos'!CK435,'LP Elementos'!CP435,'LP Elementos'!CU435,'LP Elementos'!CZ435)," ")</f>
        <v>1</v>
      </c>
    </row>
    <row r="436" spans="2:12" ht="27" x14ac:dyDescent="0.25">
      <c r="B436" s="411">
        <v>434</v>
      </c>
      <c r="C436" s="412" t="s">
        <v>4133</v>
      </c>
      <c r="D436" s="408">
        <f>IFERROR(MIN('LP Elementos'!F436,'LP Elementos'!I436,'LP Elementos'!N436,'LP Elementos'!S436,'LP Elementos'!X436,'LP Elementos'!AC436,'LP Elementos'!AH436,'LP Elementos'!AM436,'LP Elementos'!AR436,'LP Elementos'!AW436,'LP Elementos'!BB436,'LP Elementos'!BG436,'LP Elementos'!BL436,'LP Elementos'!BQ436,'LP Elementos'!BV436,'LP Elementos'!CA436,'LP Elementos'!CF436,'LP Elementos'!CK436,'LP Elementos'!CP436,'LP Elementos'!CU436,'LP Elementos'!CZ436)," ")</f>
        <v>41650</v>
      </c>
      <c r="E436" s="341">
        <f>IFERROR(AVERAGE('LP Elementos'!F436,'LP Elementos'!I436,'LP Elementos'!N436,'LP Elementos'!S436,'LP Elementos'!X436,'LP Elementos'!AC436,'LP Elementos'!AH436,'LP Elementos'!AM436,'LP Elementos'!AR436,'LP Elementos'!AW436,'LP Elementos'!BB436,'LP Elementos'!BG436,'LP Elementos'!BL436,'LP Elementos'!BQ436,'LP Elementos'!BV436,'LP Elementos'!CA436,'LP Elementos'!CF436,'LP Elementos'!CK436,'LP Elementos'!CP436,'LP Elementos'!CU436,'LP Elementos'!CZ436)," ")</f>
        <v>118572.89933333335</v>
      </c>
      <c r="F436" s="341">
        <f>IFERROR(MEDIAN('LP Elementos'!F436,'LP Elementos'!I436,'LP Elementos'!N436,'LP Elementos'!S436,'LP Elementos'!X436,'LP Elementos'!AC436,'LP Elementos'!AH436,'LP Elementos'!AM436,'LP Elementos'!AR436,'LP Elementos'!AW436,'LP Elementos'!BB436,'LP Elementos'!BG436,'LP Elementos'!BL436,'LP Elementos'!BQ436,'LP Elementos'!BV436,'LP Elementos'!CA436,'LP Elementos'!CF436,'LP Elementos'!CK436,'LP Elementos'!CP436,'LP Elementos'!CU436,'LP Elementos'!CZ436)," ")</f>
        <v>47600</v>
      </c>
      <c r="G436" s="341">
        <f>IFERROR(GEOMEAN('LP Elementos'!F436,'LP Elementos'!I436,'LP Elementos'!N436,'LP Elementos'!S436,'LP Elementos'!X436,'LP Elementos'!AC436,'LP Elementos'!AH436,'LP Elementos'!AM436,'LP Elementos'!AR436,'LP Elementos'!AW436,'LP Elementos'!BB436,'LP Elementos'!BG436,'LP Elementos'!BL436,'LP Elementos'!BQ436,'LP Elementos'!BV436,'LP Elementos'!CA436,'LP Elementos'!CF436,'LP Elementos'!CK436,'LP Elementos'!CP436,'LP Elementos'!CU436,'LP Elementos'!CZ436)," ")</f>
        <v>80839.332615778054</v>
      </c>
      <c r="H436" s="341">
        <f t="shared" ref="H436:H486" si="36">STDEVA(D436,E436,F436,G436)</f>
        <v>35419.117322036444</v>
      </c>
      <c r="I436" s="342">
        <f t="shared" ref="I436:I486" si="37">IFERROR(H436/E436," ")</f>
        <v>0.298711742069036</v>
      </c>
      <c r="J436" s="341">
        <f t="shared" ref="J436:J486" si="38">IF(I436&lt;=10%,F436,IF(AND(I436&gt;10%,I436&lt;=20%),E436,IF(AND(I436&gt;20%,I436&lt;=30%),G436,IF(I436&gt;30%,D436))))</f>
        <v>80839.332615778054</v>
      </c>
      <c r="K436" s="326" t="str">
        <f t="shared" ref="K436:K486" si="39">IF(J436=D436,"Menor Valor",IF(J436=E436,"Promedio",IF(J436=F436,"Mediana",IF(J436=G436,"Media Geometrica"," "))))</f>
        <v>Media Geometrica</v>
      </c>
      <c r="L436" s="326">
        <f>IFERROR(COUNTA('LP Elementos'!F436,'LP Elementos'!I436,'LP Elementos'!N436,'LP Elementos'!S436,'LP Elementos'!X436,'LP Elementos'!AC436,'LP Elementos'!AH436,'LP Elementos'!AM436,'LP Elementos'!AR436,'LP Elementos'!AX436,'LP Elementos'!BB436,'LP Elementos'!BG436,'LP Elementos'!BL436,'LP Elementos'!BQ436,'LP Elementos'!BV436,'LP Elementos'!CA436,'LP Elementos'!CF436,'LP Elementos'!CK436,'LP Elementos'!CP436,'LP Elementos'!CU436,'LP Elementos'!CZ436)," ")</f>
        <v>3</v>
      </c>
    </row>
    <row r="437" spans="2:12" x14ac:dyDescent="0.25">
      <c r="B437" s="411">
        <v>435</v>
      </c>
      <c r="C437" s="412" t="s">
        <v>4137</v>
      </c>
      <c r="D437" s="408">
        <f>IFERROR(MIN('LP Elementos'!F437,'LP Elementos'!I437,'LP Elementos'!N437,'LP Elementos'!S437,'LP Elementos'!X437,'LP Elementos'!AC437,'LP Elementos'!AH437,'LP Elementos'!AM437,'LP Elementos'!AR437,'LP Elementos'!AW437,'LP Elementos'!BB437,'LP Elementos'!BG437,'LP Elementos'!BL437,'LP Elementos'!BQ437,'LP Elementos'!BV437,'LP Elementos'!CA437,'LP Elementos'!CF437,'LP Elementos'!CK437,'LP Elementos'!CP437,'LP Elementos'!CU437,'LP Elementos'!CZ437)," ")</f>
        <v>31421.95</v>
      </c>
      <c r="E437" s="341">
        <f>IFERROR(AVERAGE('LP Elementos'!F437,'LP Elementos'!I437,'LP Elementos'!N437,'LP Elementos'!S437,'LP Elementos'!X437,'LP Elementos'!AC437,'LP Elementos'!AH437,'LP Elementos'!AM437,'LP Elementos'!AR437,'LP Elementos'!AW437,'LP Elementos'!BB437,'LP Elementos'!BG437,'LP Elementos'!BL437,'LP Elementos'!BQ437,'LP Elementos'!BV437,'LP Elementos'!CA437,'LP Elementos'!CF437,'LP Elementos'!CK437,'LP Elementos'!CP437,'LP Elementos'!CU437,'LP Elementos'!CZ437)," ")</f>
        <v>666805.79</v>
      </c>
      <c r="F437" s="341">
        <f>IFERROR(MEDIAN('LP Elementos'!F437,'LP Elementos'!I437,'LP Elementos'!N437,'LP Elementos'!S437,'LP Elementos'!X437,'LP Elementos'!AC437,'LP Elementos'!AH437,'LP Elementos'!AM437,'LP Elementos'!AR437,'LP Elementos'!AW437,'LP Elementos'!BB437,'LP Elementos'!BG437,'LP Elementos'!BL437,'LP Elementos'!BQ437,'LP Elementos'!BV437,'LP Elementos'!CA437,'LP Elementos'!CF437,'LP Elementos'!CK437,'LP Elementos'!CP437,'LP Elementos'!CU437,'LP Elementos'!CZ437)," ")</f>
        <v>42483</v>
      </c>
      <c r="G437" s="341">
        <f>IFERROR(GEOMEAN('LP Elementos'!F437,'LP Elementos'!I437,'LP Elementos'!N437,'LP Elementos'!S437,'LP Elementos'!X437,'LP Elementos'!AC437,'LP Elementos'!AH437,'LP Elementos'!AM437,'LP Elementos'!AR437,'LP Elementos'!AW437,'LP Elementos'!BB437,'LP Elementos'!BG437,'LP Elementos'!BL437,'LP Elementos'!BQ437,'LP Elementos'!BV437,'LP Elementos'!CA437,'LP Elementos'!CF437,'LP Elementos'!CK437,'LP Elementos'!CP437,'LP Elementos'!CU437,'LP Elementos'!CZ437)," ")</f>
        <v>106031.2826719631</v>
      </c>
      <c r="H437" s="341">
        <f t="shared" si="36"/>
        <v>305189.40865946212</v>
      </c>
      <c r="I437" s="342">
        <f t="shared" si="37"/>
        <v>0.45768860024365132</v>
      </c>
      <c r="J437" s="341">
        <f t="shared" si="38"/>
        <v>31421.95</v>
      </c>
      <c r="K437" s="326" t="str">
        <f t="shared" si="39"/>
        <v>Menor Valor</v>
      </c>
      <c r="L437" s="326">
        <f>IFERROR(COUNTA('LP Elementos'!F437,'LP Elementos'!I437,'LP Elementos'!N437,'LP Elementos'!S437,'LP Elementos'!X437,'LP Elementos'!AC437,'LP Elementos'!AH437,'LP Elementos'!AM437,'LP Elementos'!AR437,'LP Elementos'!AX437,'LP Elementos'!BB437,'LP Elementos'!BG437,'LP Elementos'!BL437,'LP Elementos'!BQ437,'LP Elementos'!BV437,'LP Elementos'!CA437,'LP Elementos'!CF437,'LP Elementos'!CK437,'LP Elementos'!CP437,'LP Elementos'!CU437,'LP Elementos'!CZ437)," ")</f>
        <v>5</v>
      </c>
    </row>
    <row r="438" spans="2:12" x14ac:dyDescent="0.25">
      <c r="B438" s="411">
        <v>436</v>
      </c>
      <c r="C438" s="412" t="s">
        <v>4142</v>
      </c>
      <c r="D438" s="408">
        <f>IFERROR(MIN('LP Elementos'!F438,'LP Elementos'!I438,'LP Elementos'!N438,'LP Elementos'!S438,'LP Elementos'!X438,'LP Elementos'!AC438,'LP Elementos'!AH438,'LP Elementos'!AM438,'LP Elementos'!AR438,'LP Elementos'!AW438,'LP Elementos'!BB438,'LP Elementos'!BG438,'LP Elementos'!BL438,'LP Elementos'!BQ438,'LP Elementos'!BV438,'LP Elementos'!CA438,'LP Elementos'!CF438,'LP Elementos'!CK438,'LP Elementos'!CP438,'LP Elementos'!CU438,'LP Elementos'!CZ438)," ")</f>
        <v>85000.51</v>
      </c>
      <c r="E438" s="341">
        <f>IFERROR(AVERAGE('LP Elementos'!F438,'LP Elementos'!I438,'LP Elementos'!N438,'LP Elementos'!S438,'LP Elementos'!X438,'LP Elementos'!AC438,'LP Elementos'!AH438,'LP Elementos'!AM438,'LP Elementos'!AR438,'LP Elementos'!AW438,'LP Elementos'!BB438,'LP Elementos'!BG438,'LP Elementos'!BL438,'LP Elementos'!BQ438,'LP Elementos'!BV438,'LP Elementos'!CA438,'LP Elementos'!CF438,'LP Elementos'!CK438,'LP Elementos'!CP438,'LP Elementos'!CU438,'LP Elementos'!CZ438)," ")</f>
        <v>303743.40350000001</v>
      </c>
      <c r="F438" s="341">
        <f>IFERROR(MEDIAN('LP Elementos'!F438,'LP Elementos'!I438,'LP Elementos'!N438,'LP Elementos'!S438,'LP Elementos'!X438,'LP Elementos'!AC438,'LP Elementos'!AH438,'LP Elementos'!AM438,'LP Elementos'!AR438,'LP Elementos'!AW438,'LP Elementos'!BB438,'LP Elementos'!BG438,'LP Elementos'!BL438,'LP Elementos'!BQ438,'LP Elementos'!BV438,'LP Elementos'!CA438,'LP Elementos'!CF438,'LP Elementos'!CK438,'LP Elementos'!CP438,'LP Elementos'!CU438,'LP Elementos'!CZ438)," ")</f>
        <v>303743.40350000001</v>
      </c>
      <c r="G438" s="341">
        <f>IFERROR(GEOMEAN('LP Elementos'!F438,'LP Elementos'!I438,'LP Elementos'!N438,'LP Elementos'!S438,'LP Elementos'!X438,'LP Elementos'!AC438,'LP Elementos'!AH438,'LP Elementos'!AM438,'LP Elementos'!AR438,'LP Elementos'!AW438,'LP Elementos'!BB438,'LP Elementos'!BG438,'LP Elementos'!BL438,'LP Elementos'!BQ438,'LP Elementos'!BV438,'LP Elementos'!CA438,'LP Elementos'!CF438,'LP Elementos'!CK438,'LP Elementos'!CP438,'LP Elementos'!CU438,'LP Elementos'!CZ438)," ")</f>
        <v>210740.60290558977</v>
      </c>
      <c r="H438" s="341">
        <f t="shared" si="36"/>
        <v>103604.42385753387</v>
      </c>
      <c r="I438" s="342">
        <f t="shared" si="37"/>
        <v>0.34109193043770536</v>
      </c>
      <c r="J438" s="341">
        <f t="shared" si="38"/>
        <v>85000.51</v>
      </c>
      <c r="K438" s="326" t="str">
        <f t="shared" si="39"/>
        <v>Menor Valor</v>
      </c>
      <c r="L438" s="326">
        <f>IFERROR(COUNTA('LP Elementos'!F438,'LP Elementos'!I438,'LP Elementos'!N438,'LP Elementos'!S438,'LP Elementos'!X438,'LP Elementos'!AC438,'LP Elementos'!AH438,'LP Elementos'!AM438,'LP Elementos'!AR438,'LP Elementos'!AX438,'LP Elementos'!BB438,'LP Elementos'!BG438,'LP Elementos'!BL438,'LP Elementos'!BQ438,'LP Elementos'!BV438,'LP Elementos'!CA438,'LP Elementos'!CF438,'LP Elementos'!CK438,'LP Elementos'!CP438,'LP Elementos'!CU438,'LP Elementos'!CZ438)," ")</f>
        <v>2</v>
      </c>
    </row>
    <row r="439" spans="2:12" ht="54" x14ac:dyDescent="0.25">
      <c r="B439" s="411">
        <v>437</v>
      </c>
      <c r="C439" s="409" t="s">
        <v>4144</v>
      </c>
      <c r="D439" s="408">
        <f>IFERROR(MIN('LP Elementos'!F439,'LP Elementos'!I439,'LP Elementos'!N439,'LP Elementos'!S439,'LP Elementos'!X439,'LP Elementos'!AC439,'LP Elementos'!AH439,'LP Elementos'!AM439,'LP Elementos'!AR439,'LP Elementos'!AW439,'LP Elementos'!BB439,'LP Elementos'!BG439,'LP Elementos'!BL439,'LP Elementos'!BQ439,'LP Elementos'!BV439,'LP Elementos'!CA439,'LP Elementos'!CF439,'LP Elementos'!CK439,'LP Elementos'!CP439,'LP Elementos'!CU439,'LP Elementos'!CZ439)," ")</f>
        <v>27001.1</v>
      </c>
      <c r="E439" s="341">
        <f>IFERROR(AVERAGE('LP Elementos'!F439,'LP Elementos'!I439,'LP Elementos'!N439,'LP Elementos'!S439,'LP Elementos'!X439,'LP Elementos'!AC439,'LP Elementos'!AH439,'LP Elementos'!AM439,'LP Elementos'!AR439,'LP Elementos'!AW439,'LP Elementos'!BB439,'LP Elementos'!BG439,'LP Elementos'!BL439,'LP Elementos'!BQ439,'LP Elementos'!BV439,'LP Elementos'!CA439,'LP Elementos'!CF439,'LP Elementos'!CK439,'LP Elementos'!CP439,'LP Elementos'!CU439,'LP Elementos'!CZ439)," ")</f>
        <v>1525644.1346</v>
      </c>
      <c r="F439" s="341">
        <f>IFERROR(MEDIAN('LP Elementos'!F439,'LP Elementos'!I439,'LP Elementos'!N439,'LP Elementos'!S439,'LP Elementos'!X439,'LP Elementos'!AC439,'LP Elementos'!AH439,'LP Elementos'!AM439,'LP Elementos'!AR439,'LP Elementos'!AW439,'LP Elementos'!BB439,'LP Elementos'!BG439,'LP Elementos'!BL439,'LP Elementos'!BQ439,'LP Elementos'!BV439,'LP Elementos'!CA439,'LP Elementos'!CF439,'LP Elementos'!CK439,'LP Elementos'!CP439,'LP Elementos'!CU439,'LP Elementos'!CZ439)," ")</f>
        <v>1525644.1346</v>
      </c>
      <c r="G439" s="341">
        <f>IFERROR(GEOMEAN('LP Elementos'!F439,'LP Elementos'!I439,'LP Elementos'!N439,'LP Elementos'!S439,'LP Elementos'!X439,'LP Elementos'!AC439,'LP Elementos'!AH439,'LP Elementos'!AM439,'LP Elementos'!AR439,'LP Elementos'!AW439,'LP Elementos'!BB439,'LP Elementos'!BG439,'LP Elementos'!BL439,'LP Elementos'!BQ439,'LP Elementos'!BV439,'LP Elementos'!CA439,'LP Elementos'!CF439,'LP Elementos'!CK439,'LP Elementos'!CP439,'LP Elementos'!CU439,'LP Elementos'!CZ439)," ")</f>
        <v>285760.52961227187</v>
      </c>
      <c r="H439" s="341">
        <f t="shared" si="36"/>
        <v>797571.36778672191</v>
      </c>
      <c r="I439" s="342">
        <f t="shared" si="37"/>
        <v>0.52277680600517806</v>
      </c>
      <c r="J439" s="341">
        <f t="shared" si="38"/>
        <v>27001.1</v>
      </c>
      <c r="K439" s="326" t="str">
        <f t="shared" si="39"/>
        <v>Menor Valor</v>
      </c>
      <c r="L439" s="326">
        <f>IFERROR(COUNTA('LP Elementos'!F439,'LP Elementos'!I439,'LP Elementos'!N439,'LP Elementos'!S439,'LP Elementos'!X439,'LP Elementos'!AC439,'LP Elementos'!AH439,'LP Elementos'!AM439,'LP Elementos'!AR439,'LP Elementos'!AX439,'LP Elementos'!BB439,'LP Elementos'!BG439,'LP Elementos'!BL439,'LP Elementos'!BQ439,'LP Elementos'!BV439,'LP Elementos'!CA439,'LP Elementos'!CF439,'LP Elementos'!CK439,'LP Elementos'!CP439,'LP Elementos'!CU439,'LP Elementos'!CZ439)," ")</f>
        <v>2</v>
      </c>
    </row>
    <row r="440" spans="2:12" ht="67.5" x14ac:dyDescent="0.25">
      <c r="B440" s="411">
        <v>438</v>
      </c>
      <c r="C440" s="415" t="s">
        <v>4147</v>
      </c>
      <c r="D440" s="408">
        <f>IFERROR(MIN('LP Elementos'!F440,'LP Elementos'!I440,'LP Elementos'!N440,'LP Elementos'!S440,'LP Elementos'!X440,'LP Elementos'!AC440,'LP Elementos'!AH440,'LP Elementos'!AM440,'LP Elementos'!AR440,'LP Elementos'!AW440,'LP Elementos'!BB440,'LP Elementos'!BG440,'LP Elementos'!BL440,'LP Elementos'!BQ440,'LP Elementos'!BV440,'LP Elementos'!CA440,'LP Elementos'!CF440,'LP Elementos'!CK440,'LP Elementos'!CP440,'LP Elementos'!CU440,'LP Elementos'!CZ440)," ")</f>
        <v>416500</v>
      </c>
      <c r="E440" s="341">
        <f>IFERROR(AVERAGE('LP Elementos'!F440,'LP Elementos'!I440,'LP Elementos'!N440,'LP Elementos'!S440,'LP Elementos'!X440,'LP Elementos'!AC440,'LP Elementos'!AH440,'LP Elementos'!AM440,'LP Elementos'!AR440,'LP Elementos'!AW440,'LP Elementos'!BB440,'LP Elementos'!BG440,'LP Elementos'!BL440,'LP Elementos'!BQ440,'LP Elementos'!BV440,'LP Elementos'!CA440,'LP Elementos'!CF440,'LP Elementos'!CK440,'LP Elementos'!CP440,'LP Elementos'!CU440,'LP Elementos'!CZ440)," ")</f>
        <v>449858.95266666665</v>
      </c>
      <c r="F440" s="341">
        <f>IFERROR(MEDIAN('LP Elementos'!F440,'LP Elementos'!I440,'LP Elementos'!N440,'LP Elementos'!S440,'LP Elementos'!X440,'LP Elementos'!AC440,'LP Elementos'!AH440,'LP Elementos'!AM440,'LP Elementos'!AR440,'LP Elementos'!AW440,'LP Elementos'!BB440,'LP Elementos'!BG440,'LP Elementos'!BL440,'LP Elementos'!BQ440,'LP Elementos'!BV440,'LP Elementos'!CA440,'LP Elementos'!CF440,'LP Elementos'!CK440,'LP Elementos'!CP440,'LP Elementos'!CU440,'LP Elementos'!CZ440)," ")</f>
        <v>416500</v>
      </c>
      <c r="G440" s="341">
        <f>IFERROR(GEOMEAN('LP Elementos'!F440,'LP Elementos'!I440,'LP Elementos'!N440,'LP Elementos'!S440,'LP Elementos'!X440,'LP Elementos'!AC440,'LP Elementos'!AH440,'LP Elementos'!AM440,'LP Elementos'!AR440,'LP Elementos'!AW440,'LP Elementos'!BB440,'LP Elementos'!BG440,'LP Elementos'!BL440,'LP Elementos'!BQ440,'LP Elementos'!BV440,'LP Elementos'!CA440,'LP Elementos'!CF440,'LP Elementos'!CK440,'LP Elementos'!CP440,'LP Elementos'!CU440,'LP Elementos'!CZ440)," ")</f>
        <v>447495.13614586473</v>
      </c>
      <c r="H440" s="341">
        <f t="shared" si="36"/>
        <v>18602.472962797194</v>
      </c>
      <c r="I440" s="342">
        <f t="shared" si="37"/>
        <v>4.1351790050027357E-2</v>
      </c>
      <c r="J440" s="341">
        <f t="shared" si="38"/>
        <v>416500</v>
      </c>
      <c r="K440" s="326" t="str">
        <f t="shared" si="39"/>
        <v>Menor Valor</v>
      </c>
      <c r="L440" s="326">
        <f>IFERROR(COUNTA('LP Elementos'!F440,'LP Elementos'!I440,'LP Elementos'!N440,'LP Elementos'!S440,'LP Elementos'!X440,'LP Elementos'!AC440,'LP Elementos'!AH440,'LP Elementos'!AM440,'LP Elementos'!AR440,'LP Elementos'!AX440,'LP Elementos'!BB440,'LP Elementos'!BG440,'LP Elementos'!BL440,'LP Elementos'!BQ440,'LP Elementos'!BV440,'LP Elementos'!CA440,'LP Elementos'!CF440,'LP Elementos'!CK440,'LP Elementos'!CP440,'LP Elementos'!CU440,'LP Elementos'!CZ440)," ")</f>
        <v>3</v>
      </c>
    </row>
    <row r="441" spans="2:12" ht="54" x14ac:dyDescent="0.25">
      <c r="B441" s="411">
        <v>439</v>
      </c>
      <c r="C441" s="412" t="s">
        <v>4150</v>
      </c>
      <c r="D441" s="408">
        <f>IFERROR(MIN('LP Elementos'!F441,'LP Elementos'!I441,'LP Elementos'!N441,'LP Elementos'!S441,'LP Elementos'!X441,'LP Elementos'!AC441,'LP Elementos'!AH441,'LP Elementos'!AM441,'LP Elementos'!AR441,'LP Elementos'!AW441,'LP Elementos'!BB441,'LP Elementos'!BG441,'LP Elementos'!BL441,'LP Elementos'!BQ441,'LP Elementos'!BV441,'LP Elementos'!CA441,'LP Elementos'!CF441,'LP Elementos'!CK441,'LP Elementos'!CP441,'LP Elementos'!CU441,'LP Elementos'!CZ441)," ")</f>
        <v>479712.30940000003</v>
      </c>
      <c r="E441" s="341">
        <f>IFERROR(AVERAGE('LP Elementos'!F441,'LP Elementos'!I441,'LP Elementos'!N441,'LP Elementos'!S441,'LP Elementos'!X441,'LP Elementos'!AC441,'LP Elementos'!AH441,'LP Elementos'!AM441,'LP Elementos'!AR441,'LP Elementos'!AW441,'LP Elementos'!BB441,'LP Elementos'!BG441,'LP Elementos'!BL441,'LP Elementos'!BQ441,'LP Elementos'!BV441,'LP Elementos'!CA441,'LP Elementos'!CF441,'LP Elementos'!CK441,'LP Elementos'!CP441,'LP Elementos'!CU441,'LP Elementos'!CZ441)," ")</f>
        <v>479712.30940000003</v>
      </c>
      <c r="F441" s="341">
        <f>IFERROR(MEDIAN('LP Elementos'!F441,'LP Elementos'!I441,'LP Elementos'!N441,'LP Elementos'!S441,'LP Elementos'!X441,'LP Elementos'!AC441,'LP Elementos'!AH441,'LP Elementos'!AM441,'LP Elementos'!AR441,'LP Elementos'!AW441,'LP Elementos'!BB441,'LP Elementos'!BG441,'LP Elementos'!BL441,'LP Elementos'!BQ441,'LP Elementos'!BV441,'LP Elementos'!CA441,'LP Elementos'!CF441,'LP Elementos'!CK441,'LP Elementos'!CP441,'LP Elementos'!CU441,'LP Elementos'!CZ441)," ")</f>
        <v>479712.30940000003</v>
      </c>
      <c r="G441" s="341">
        <f>IFERROR(GEOMEAN('LP Elementos'!F441,'LP Elementos'!I441,'LP Elementos'!N441,'LP Elementos'!S441,'LP Elementos'!X441,'LP Elementos'!AC441,'LP Elementos'!AH441,'LP Elementos'!AM441,'LP Elementos'!AR441,'LP Elementos'!AW441,'LP Elementos'!BB441,'LP Elementos'!BG441,'LP Elementos'!BL441,'LP Elementos'!BQ441,'LP Elementos'!BV441,'LP Elementos'!CA441,'LP Elementos'!CF441,'LP Elementos'!CK441,'LP Elementos'!CP441,'LP Elementos'!CU441,'LP Elementos'!CZ441)," ")</f>
        <v>479712.30940000003</v>
      </c>
      <c r="H441" s="341">
        <f t="shared" si="36"/>
        <v>0</v>
      </c>
      <c r="I441" s="342">
        <f t="shared" si="37"/>
        <v>0</v>
      </c>
      <c r="J441" s="341">
        <f t="shared" si="38"/>
        <v>479712.30940000003</v>
      </c>
      <c r="K441" s="326" t="str">
        <f t="shared" si="39"/>
        <v>Menor Valor</v>
      </c>
      <c r="L441" s="326">
        <f>IFERROR(COUNTA('LP Elementos'!F441,'LP Elementos'!I441,'LP Elementos'!N441,'LP Elementos'!S441,'LP Elementos'!X441,'LP Elementos'!AC441,'LP Elementos'!AH441,'LP Elementos'!AM441,'LP Elementos'!AR441,'LP Elementos'!AX441,'LP Elementos'!BB441,'LP Elementos'!BG441,'LP Elementos'!BL441,'LP Elementos'!BQ441,'LP Elementos'!BV441,'LP Elementos'!CA441,'LP Elementos'!CF441,'LP Elementos'!CK441,'LP Elementos'!CP441,'LP Elementos'!CU441,'LP Elementos'!CZ441)," ")</f>
        <v>1</v>
      </c>
    </row>
    <row r="442" spans="2:12" ht="108" x14ac:dyDescent="0.25">
      <c r="B442" s="411">
        <v>440</v>
      </c>
      <c r="C442" s="412" t="s">
        <v>4151</v>
      </c>
      <c r="D442" s="408">
        <f>IFERROR(MIN('LP Elementos'!F442,'LP Elementos'!I442,'LP Elementos'!N442,'LP Elementos'!S442,'LP Elementos'!X442,'LP Elementos'!AC442,'LP Elementos'!AH442,'LP Elementos'!AM442,'LP Elementos'!AR442,'LP Elementos'!AW442,'LP Elementos'!BB442,'LP Elementos'!BG442,'LP Elementos'!BL442,'LP Elementos'!BQ442,'LP Elementos'!BV442,'LP Elementos'!CA442,'LP Elementos'!CF442,'LP Elementos'!CK442,'LP Elementos'!CP442,'LP Elementos'!CU442,'LP Elementos'!CZ442)," ")</f>
        <v>37039.877800000002</v>
      </c>
      <c r="E442" s="341">
        <f>IFERROR(AVERAGE('LP Elementos'!F442,'LP Elementos'!I442,'LP Elementos'!N442,'LP Elementos'!S442,'LP Elementos'!X442,'LP Elementos'!AC442,'LP Elementos'!AH442,'LP Elementos'!AM442,'LP Elementos'!AR442,'LP Elementos'!AW442,'LP Elementos'!BB442,'LP Elementos'!BG442,'LP Elementos'!BL442,'LP Elementos'!BQ442,'LP Elementos'!BV442,'LP Elementos'!CA442,'LP Elementos'!CF442,'LP Elementos'!CK442,'LP Elementos'!CP442,'LP Elementos'!CU442,'LP Elementos'!CZ442)," ")</f>
        <v>218194.21945</v>
      </c>
      <c r="F442" s="341">
        <f>IFERROR(MEDIAN('LP Elementos'!F442,'LP Elementos'!I442,'LP Elementos'!N442,'LP Elementos'!S442,'LP Elementos'!X442,'LP Elementos'!AC442,'LP Elementos'!AH442,'LP Elementos'!AM442,'LP Elementos'!AR442,'LP Elementos'!AW442,'LP Elementos'!BB442,'LP Elementos'!BG442,'LP Elementos'!BL442,'LP Elementos'!BQ442,'LP Elementos'!BV442,'LP Elementos'!CA442,'LP Elementos'!CF442,'LP Elementos'!CK442,'LP Elementos'!CP442,'LP Elementos'!CU442,'LP Elementos'!CZ442)," ")</f>
        <v>44208.5</v>
      </c>
      <c r="G442" s="341">
        <f>IFERROR(GEOMEAN('LP Elementos'!F442,'LP Elementos'!I442,'LP Elementos'!N442,'LP Elementos'!S442,'LP Elementos'!X442,'LP Elementos'!AC442,'LP Elementos'!AH442,'LP Elementos'!AM442,'LP Elementos'!AR442,'LP Elementos'!AW442,'LP Elementos'!BB442,'LP Elementos'!BG442,'LP Elementos'!BL442,'LP Elementos'!BQ442,'LP Elementos'!BV442,'LP Elementos'!CA442,'LP Elementos'!CF442,'LP Elementos'!CK442,'LP Elementos'!CP442,'LP Elementos'!CU442,'LP Elementos'!CZ442)," ")</f>
        <v>85480.406357366708</v>
      </c>
      <c r="H442" s="341">
        <f t="shared" si="36"/>
        <v>84064.522075952715</v>
      </c>
      <c r="I442" s="342">
        <f t="shared" si="37"/>
        <v>0.38527382754618028</v>
      </c>
      <c r="J442" s="341">
        <f t="shared" si="38"/>
        <v>37039.877800000002</v>
      </c>
      <c r="K442" s="326" t="str">
        <f t="shared" si="39"/>
        <v>Menor Valor</v>
      </c>
      <c r="L442" s="326">
        <f>IFERROR(COUNTA('LP Elementos'!F442,'LP Elementos'!I442,'LP Elementos'!N442,'LP Elementos'!S442,'LP Elementos'!X442,'LP Elementos'!AC442,'LP Elementos'!AH442,'LP Elementos'!AM442,'LP Elementos'!AR442,'LP Elementos'!AX442,'LP Elementos'!BB442,'LP Elementos'!BG442,'LP Elementos'!BL442,'LP Elementos'!BQ442,'LP Elementos'!BV442,'LP Elementos'!CA442,'LP Elementos'!CF442,'LP Elementos'!CK442,'LP Elementos'!CP442,'LP Elementos'!CU442,'LP Elementos'!CZ442)," ")</f>
        <v>4</v>
      </c>
    </row>
    <row r="443" spans="2:12" ht="94.5" x14ac:dyDescent="0.25">
      <c r="B443" s="411">
        <v>441</v>
      </c>
      <c r="C443" s="412" t="s">
        <v>4155</v>
      </c>
      <c r="D443" s="408">
        <f>IFERROR(MIN('LP Elementos'!F443,'LP Elementos'!I443,'LP Elementos'!N443,'LP Elementos'!S443,'LP Elementos'!X443,'LP Elementos'!AC443,'LP Elementos'!AH443,'LP Elementos'!AM443,'LP Elementos'!AR443,'LP Elementos'!AW443,'LP Elementos'!BB443,'LP Elementos'!BG443,'LP Elementos'!BL443,'LP Elementos'!BQ443,'LP Elementos'!BV443,'LP Elementos'!CA443,'LP Elementos'!CF443,'LP Elementos'!CK443,'LP Elementos'!CP443,'LP Elementos'!CU443,'LP Elementos'!CZ443)," ")</f>
        <v>75803</v>
      </c>
      <c r="E443" s="341">
        <f>IFERROR(AVERAGE('LP Elementos'!F443,'LP Elementos'!I443,'LP Elementos'!N443,'LP Elementos'!S443,'LP Elementos'!X443,'LP Elementos'!AC443,'LP Elementos'!AH443,'LP Elementos'!AM443,'LP Elementos'!AR443,'LP Elementos'!AW443,'LP Elementos'!BB443,'LP Elementos'!BG443,'LP Elementos'!BL443,'LP Elementos'!BQ443,'LP Elementos'!BV443,'LP Elementos'!CA443,'LP Elementos'!CF443,'LP Elementos'!CK443,'LP Elementos'!CP443,'LP Elementos'!CU443,'LP Elementos'!CZ443)," ")</f>
        <v>395393.96960000001</v>
      </c>
      <c r="F443" s="341">
        <f>IFERROR(MEDIAN('LP Elementos'!F443,'LP Elementos'!I443,'LP Elementos'!N443,'LP Elementos'!S443,'LP Elementos'!X443,'LP Elementos'!AC443,'LP Elementos'!AH443,'LP Elementos'!AM443,'LP Elementos'!AR443,'LP Elementos'!AW443,'LP Elementos'!BB443,'LP Elementos'!BG443,'LP Elementos'!BL443,'LP Elementos'!BQ443,'LP Elementos'!BV443,'LP Elementos'!CA443,'LP Elementos'!CF443,'LP Elementos'!CK443,'LP Elementos'!CP443,'LP Elementos'!CU443,'LP Elementos'!CZ443)," ")</f>
        <v>145797.848</v>
      </c>
      <c r="G443" s="341">
        <f>IFERROR(GEOMEAN('LP Elementos'!F443,'LP Elementos'!I443,'LP Elementos'!N443,'LP Elementos'!S443,'LP Elementos'!X443,'LP Elementos'!AC443,'LP Elementos'!AH443,'LP Elementos'!AM443,'LP Elementos'!AR443,'LP Elementos'!AW443,'LP Elementos'!BB443,'LP Elementos'!BG443,'LP Elementos'!BL443,'LP Elementos'!BQ443,'LP Elementos'!BV443,'LP Elementos'!CA443,'LP Elementos'!CF443,'LP Elementos'!CK443,'LP Elementos'!CP443,'LP Elementos'!CU443,'LP Elementos'!CZ443)," ")</f>
        <v>210530.32271963987</v>
      </c>
      <c r="H443" s="341">
        <f t="shared" si="36"/>
        <v>137189.71147727349</v>
      </c>
      <c r="I443" s="342">
        <f t="shared" si="37"/>
        <v>0.34696966070590646</v>
      </c>
      <c r="J443" s="341">
        <f t="shared" si="38"/>
        <v>75803</v>
      </c>
      <c r="K443" s="326" t="str">
        <f t="shared" si="39"/>
        <v>Menor Valor</v>
      </c>
      <c r="L443" s="326">
        <f>IFERROR(COUNTA('LP Elementos'!F443,'LP Elementos'!I443,'LP Elementos'!N443,'LP Elementos'!S443,'LP Elementos'!X443,'LP Elementos'!AC443,'LP Elementos'!AH443,'LP Elementos'!AM443,'LP Elementos'!AR443,'LP Elementos'!AX443,'LP Elementos'!BB443,'LP Elementos'!BG443,'LP Elementos'!BL443,'LP Elementos'!BQ443,'LP Elementos'!BV443,'LP Elementos'!CA443,'LP Elementos'!CF443,'LP Elementos'!CK443,'LP Elementos'!CP443,'LP Elementos'!CU443,'LP Elementos'!CZ443)," ")</f>
        <v>5</v>
      </c>
    </row>
    <row r="444" spans="2:12" ht="54" x14ac:dyDescent="0.25">
      <c r="B444" s="411">
        <v>442</v>
      </c>
      <c r="C444" s="416" t="s">
        <v>4159</v>
      </c>
      <c r="D444" s="408">
        <f>IFERROR(MIN('LP Elementos'!F444,'LP Elementos'!I444,'LP Elementos'!N444,'LP Elementos'!S444,'LP Elementos'!X444,'LP Elementos'!AC444,'LP Elementos'!AH444,'LP Elementos'!AM444,'LP Elementos'!AR444,'LP Elementos'!AW444,'LP Elementos'!BB444,'LP Elementos'!BG444,'LP Elementos'!BL444,'LP Elementos'!BQ444,'LP Elementos'!BV444,'LP Elementos'!CA444,'LP Elementos'!CF444,'LP Elementos'!CK444,'LP Elementos'!CP444,'LP Elementos'!CU444,'LP Elementos'!CZ444)," ")</f>
        <v>42959</v>
      </c>
      <c r="E444" s="341">
        <f>IFERROR(AVERAGE('LP Elementos'!F444,'LP Elementos'!I444,'LP Elementos'!N444,'LP Elementos'!S444,'LP Elementos'!X444,'LP Elementos'!AC444,'LP Elementos'!AH444,'LP Elementos'!AM444,'LP Elementos'!AR444,'LP Elementos'!AW444,'LP Elementos'!BB444,'LP Elementos'!BG444,'LP Elementos'!BL444,'LP Elementos'!BQ444,'LP Elementos'!BV444,'LP Elementos'!CA444,'LP Elementos'!CF444,'LP Elementos'!CK444,'LP Elementos'!CP444,'LP Elementos'!CU444,'LP Elementos'!CZ444)," ")</f>
        <v>132250.12640000001</v>
      </c>
      <c r="F444" s="341">
        <f>IFERROR(MEDIAN('LP Elementos'!F444,'LP Elementos'!I444,'LP Elementos'!N444,'LP Elementos'!S444,'LP Elementos'!X444,'LP Elementos'!AC444,'LP Elementos'!AH444,'LP Elementos'!AM444,'LP Elementos'!AR444,'LP Elementos'!AW444,'LP Elementos'!BB444,'LP Elementos'!BG444,'LP Elementos'!BL444,'LP Elementos'!BQ444,'LP Elementos'!BV444,'LP Elementos'!CA444,'LP Elementos'!CF444,'LP Elementos'!CK444,'LP Elementos'!CP444,'LP Elementos'!CU444,'LP Elementos'!CZ444)," ")</f>
        <v>56049</v>
      </c>
      <c r="G444" s="341">
        <f>IFERROR(GEOMEAN('LP Elementos'!F444,'LP Elementos'!I444,'LP Elementos'!N444,'LP Elementos'!S444,'LP Elementos'!X444,'LP Elementos'!AC444,'LP Elementos'!AH444,'LP Elementos'!AM444,'LP Elementos'!AR444,'LP Elementos'!AW444,'LP Elementos'!BB444,'LP Elementos'!BG444,'LP Elementos'!BL444,'LP Elementos'!BQ444,'LP Elementos'!BV444,'LP Elementos'!CA444,'LP Elementos'!CF444,'LP Elementos'!CK444,'LP Elementos'!CP444,'LP Elementos'!CU444,'LP Elementos'!CZ444)," ")</f>
        <v>95391.631375855111</v>
      </c>
      <c r="H444" s="341">
        <f t="shared" si="36"/>
        <v>40421.154888691635</v>
      </c>
      <c r="I444" s="342">
        <f t="shared" si="37"/>
        <v>0.3056417108172354</v>
      </c>
      <c r="J444" s="341">
        <f t="shared" si="38"/>
        <v>42959</v>
      </c>
      <c r="K444" s="326" t="str">
        <f t="shared" si="39"/>
        <v>Menor Valor</v>
      </c>
      <c r="L444" s="326">
        <f>IFERROR(COUNTA('LP Elementos'!F444,'LP Elementos'!I444,'LP Elementos'!N444,'LP Elementos'!S444,'LP Elementos'!X444,'LP Elementos'!AC444,'LP Elementos'!AH444,'LP Elementos'!AM444,'LP Elementos'!AR444,'LP Elementos'!AX444,'LP Elementos'!BB444,'LP Elementos'!BG444,'LP Elementos'!BL444,'LP Elementos'!BQ444,'LP Elementos'!BV444,'LP Elementos'!CA444,'LP Elementos'!CF444,'LP Elementos'!CK444,'LP Elementos'!CP444,'LP Elementos'!CU444,'LP Elementos'!CZ444)," ")</f>
        <v>5</v>
      </c>
    </row>
    <row r="445" spans="2:12" ht="54" x14ac:dyDescent="0.25">
      <c r="B445" s="411">
        <v>443</v>
      </c>
      <c r="C445" s="416" t="s">
        <v>4163</v>
      </c>
      <c r="D445" s="408">
        <f>IFERROR(MIN('LP Elementos'!F445,'LP Elementos'!I445,'LP Elementos'!N445,'LP Elementos'!S445,'LP Elementos'!X445,'LP Elementos'!AC445,'LP Elementos'!AH445,'LP Elementos'!AM445,'LP Elementos'!AR445,'LP Elementos'!AW445,'LP Elementos'!BB445,'LP Elementos'!BG445,'LP Elementos'!BL445,'LP Elementos'!BQ445,'LP Elementos'!BV445,'LP Elementos'!CA445,'LP Elementos'!CF445,'LP Elementos'!CK445,'LP Elementos'!CP445,'LP Elementos'!CU445,'LP Elementos'!CZ445)," ")</f>
        <v>64379</v>
      </c>
      <c r="E445" s="341">
        <f>IFERROR(AVERAGE('LP Elementos'!F445,'LP Elementos'!I445,'LP Elementos'!N445,'LP Elementos'!S445,'LP Elementos'!X445,'LP Elementos'!AC445,'LP Elementos'!AH445,'LP Elementos'!AM445,'LP Elementos'!AR445,'LP Elementos'!AW445,'LP Elementos'!BB445,'LP Elementos'!BG445,'LP Elementos'!BL445,'LP Elementos'!BQ445,'LP Elementos'!BV445,'LP Elementos'!CA445,'LP Elementos'!CF445,'LP Elementos'!CK445,'LP Elementos'!CP445,'LP Elementos'!CU445,'LP Elementos'!CZ445)," ")</f>
        <v>216223</v>
      </c>
      <c r="F445" s="341">
        <f>IFERROR(MEDIAN('LP Elementos'!F445,'LP Elementos'!I445,'LP Elementos'!N445,'LP Elementos'!S445,'LP Elementos'!X445,'LP Elementos'!AC445,'LP Elementos'!AH445,'LP Elementos'!AM445,'LP Elementos'!AR445,'LP Elementos'!AW445,'LP Elementos'!BB445,'LP Elementos'!BG445,'LP Elementos'!BL445,'LP Elementos'!BQ445,'LP Elementos'!BV445,'LP Elementos'!CA445,'LP Elementos'!CF445,'LP Elementos'!CK445,'LP Elementos'!CP445,'LP Elementos'!CU445,'LP Elementos'!CZ445)," ")</f>
        <v>172371.5</v>
      </c>
      <c r="G445" s="341">
        <f>IFERROR(GEOMEAN('LP Elementos'!F445,'LP Elementos'!I445,'LP Elementos'!N445,'LP Elementos'!S445,'LP Elementos'!X445,'LP Elementos'!AC445,'LP Elementos'!AH445,'LP Elementos'!AM445,'LP Elementos'!AR445,'LP Elementos'!AW445,'LP Elementos'!BB445,'LP Elementos'!BG445,'LP Elementos'!BL445,'LP Elementos'!BQ445,'LP Elementos'!BV445,'LP Elementos'!CA445,'LP Elementos'!CF445,'LP Elementos'!CK445,'LP Elementos'!CP445,'LP Elementos'!CU445,'LP Elementos'!CZ445)," ")</f>
        <v>157253.13711179828</v>
      </c>
      <c r="H445" s="341">
        <f t="shared" si="36"/>
        <v>63883.715592103857</v>
      </c>
      <c r="I445" s="342">
        <f t="shared" si="37"/>
        <v>0.29545291477827917</v>
      </c>
      <c r="J445" s="341">
        <f t="shared" si="38"/>
        <v>157253.13711179828</v>
      </c>
      <c r="K445" s="326" t="str">
        <f t="shared" si="39"/>
        <v>Media Geometrica</v>
      </c>
      <c r="L445" s="326">
        <f>IFERROR(COUNTA('LP Elementos'!F445,'LP Elementos'!I445,'LP Elementos'!N445,'LP Elementos'!S445,'LP Elementos'!X445,'LP Elementos'!AC445,'LP Elementos'!AH445,'LP Elementos'!AM445,'LP Elementos'!AR445,'LP Elementos'!AX445,'LP Elementos'!BB445,'LP Elementos'!BG445,'LP Elementos'!BL445,'LP Elementos'!BQ445,'LP Elementos'!BV445,'LP Elementos'!CA445,'LP Elementos'!CF445,'LP Elementos'!CK445,'LP Elementos'!CP445,'LP Elementos'!CU445,'LP Elementos'!CZ445)," ")</f>
        <v>4</v>
      </c>
    </row>
    <row r="446" spans="2:12" x14ac:dyDescent="0.25">
      <c r="B446" s="411">
        <v>444</v>
      </c>
      <c r="C446" s="412" t="s">
        <v>4167</v>
      </c>
      <c r="D446" s="408">
        <f>IFERROR(MIN('LP Elementos'!F446,'LP Elementos'!I446,'LP Elementos'!N446,'LP Elementos'!S446,'LP Elementos'!X446,'LP Elementos'!AC446,'LP Elementos'!AH446,'LP Elementos'!AM446,'LP Elementos'!AR446,'LP Elementos'!AW446,'LP Elementos'!BB446,'LP Elementos'!BG446,'LP Elementos'!BL446,'LP Elementos'!BQ446,'LP Elementos'!BV446,'LP Elementos'!CA446,'LP Elementos'!CF446,'LP Elementos'!CK446,'LP Elementos'!CP446,'LP Elementos'!CU446,'LP Elementos'!CZ446)," ")</f>
        <v>38318</v>
      </c>
      <c r="E446" s="341">
        <f>IFERROR(AVERAGE('LP Elementos'!F446,'LP Elementos'!I446,'LP Elementos'!N446,'LP Elementos'!S446,'LP Elementos'!X446,'LP Elementos'!AC446,'LP Elementos'!AH446,'LP Elementos'!AM446,'LP Elementos'!AR446,'LP Elementos'!AW446,'LP Elementos'!BB446,'LP Elementos'!BG446,'LP Elementos'!BL446,'LP Elementos'!BQ446,'LP Elementos'!BV446,'LP Elementos'!CA446,'LP Elementos'!CF446,'LP Elementos'!CK446,'LP Elementos'!CP446,'LP Elementos'!CU446,'LP Elementos'!CZ446)," ")</f>
        <v>52320.333333333336</v>
      </c>
      <c r="F446" s="341">
        <f>IFERROR(MEDIAN('LP Elementos'!F446,'LP Elementos'!I446,'LP Elementos'!N446,'LP Elementos'!S446,'LP Elementos'!X446,'LP Elementos'!AC446,'LP Elementos'!AH446,'LP Elementos'!AM446,'LP Elementos'!AR446,'LP Elementos'!AW446,'LP Elementos'!BB446,'LP Elementos'!BG446,'LP Elementos'!BL446,'LP Elementos'!BQ446,'LP Elementos'!BV446,'LP Elementos'!CA446,'LP Elementos'!CF446,'LP Elementos'!CK446,'LP Elementos'!CP446,'LP Elementos'!CU446,'LP Elementos'!CZ446)," ")</f>
        <v>48433</v>
      </c>
      <c r="G446" s="341">
        <f>IFERROR(GEOMEAN('LP Elementos'!F446,'LP Elementos'!I446,'LP Elementos'!N446,'LP Elementos'!S446,'LP Elementos'!X446,'LP Elementos'!AC446,'LP Elementos'!AH446,'LP Elementos'!AM446,'LP Elementos'!AR446,'LP Elementos'!AW446,'LP Elementos'!BB446,'LP Elementos'!BG446,'LP Elementos'!BL446,'LP Elementos'!BQ446,'LP Elementos'!BV446,'LP Elementos'!CA446,'LP Elementos'!CF446,'LP Elementos'!CK446,'LP Elementos'!CP446,'LP Elementos'!CU446,'LP Elementos'!CZ446)," ")</f>
        <v>50696.859713628175</v>
      </c>
      <c r="H446" s="341">
        <f t="shared" si="36"/>
        <v>6288.1291562539991</v>
      </c>
      <c r="I446" s="342">
        <f t="shared" si="37"/>
        <v>0.12018518911552549</v>
      </c>
      <c r="J446" s="341">
        <f t="shared" si="38"/>
        <v>52320.333333333336</v>
      </c>
      <c r="K446" s="326" t="str">
        <f t="shared" si="39"/>
        <v>Promedio</v>
      </c>
      <c r="L446" s="326">
        <f>IFERROR(COUNTA('LP Elementos'!F446,'LP Elementos'!I446,'LP Elementos'!N446,'LP Elementos'!S446,'LP Elementos'!X446,'LP Elementos'!AC446,'LP Elementos'!AH446,'LP Elementos'!AM446,'LP Elementos'!AR446,'LP Elementos'!AX446,'LP Elementos'!BB446,'LP Elementos'!BG446,'LP Elementos'!BL446,'LP Elementos'!BQ446,'LP Elementos'!BV446,'LP Elementos'!CA446,'LP Elementos'!CF446,'LP Elementos'!CK446,'LP Elementos'!CP446,'LP Elementos'!CU446,'LP Elementos'!CZ446)," ")</f>
        <v>3</v>
      </c>
    </row>
    <row r="447" spans="2:12" x14ac:dyDescent="0.25">
      <c r="B447" s="411">
        <v>445</v>
      </c>
      <c r="C447" s="412" t="s">
        <v>4171</v>
      </c>
      <c r="D447" s="408">
        <f>IFERROR(MIN('LP Elementos'!F447,'LP Elementos'!I447,'LP Elementos'!N447,'LP Elementos'!S447,'LP Elementos'!X447,'LP Elementos'!AC447,'LP Elementos'!AH447,'LP Elementos'!AM447,'LP Elementos'!AR447,'LP Elementos'!AW447,'LP Elementos'!BB447,'LP Elementos'!BG447,'LP Elementos'!BL447,'LP Elementos'!BQ447,'LP Elementos'!BV447,'LP Elementos'!CA447,'LP Elementos'!CF447,'LP Elementos'!CK447,'LP Elementos'!CP447,'LP Elementos'!CU447,'LP Elementos'!CZ447)," ")</f>
        <v>34986</v>
      </c>
      <c r="E447" s="341">
        <f>IFERROR(AVERAGE('LP Elementos'!F447,'LP Elementos'!I447,'LP Elementos'!N447,'LP Elementos'!S447,'LP Elementos'!X447,'LP Elementos'!AC447,'LP Elementos'!AH447,'LP Elementos'!AM447,'LP Elementos'!AR447,'LP Elementos'!AW447,'LP Elementos'!BB447,'LP Elementos'!BG447,'LP Elementos'!BL447,'LP Elementos'!BQ447,'LP Elementos'!BV447,'LP Elementos'!CA447,'LP Elementos'!CF447,'LP Elementos'!CK447,'LP Elementos'!CP447,'LP Elementos'!CU447,'LP Elementos'!CZ447)," ")</f>
        <v>45375.652000000002</v>
      </c>
      <c r="F447" s="341">
        <f>IFERROR(MEDIAN('LP Elementos'!F447,'LP Elementos'!I447,'LP Elementos'!N447,'LP Elementos'!S447,'LP Elementos'!X447,'LP Elementos'!AC447,'LP Elementos'!AH447,'LP Elementos'!AM447,'LP Elementos'!AR447,'LP Elementos'!AW447,'LP Elementos'!BB447,'LP Elementos'!BG447,'LP Elementos'!BL447,'LP Elementos'!BQ447,'LP Elementos'!BV447,'LP Elementos'!CA447,'LP Elementos'!CF447,'LP Elementos'!CK447,'LP Elementos'!CP447,'LP Elementos'!CU447,'LP Elementos'!CZ447)," ")</f>
        <v>43508.304000000004</v>
      </c>
      <c r="G447" s="341">
        <f>IFERROR(GEOMEAN('LP Elementos'!F447,'LP Elementos'!I447,'LP Elementos'!N447,'LP Elementos'!S447,'LP Elementos'!X447,'LP Elementos'!AC447,'LP Elementos'!AH447,'LP Elementos'!AM447,'LP Elementos'!AR447,'LP Elementos'!AW447,'LP Elementos'!BB447,'LP Elementos'!BG447,'LP Elementos'!BL447,'LP Elementos'!BQ447,'LP Elementos'!BV447,'LP Elementos'!CA447,'LP Elementos'!CF447,'LP Elementos'!CK447,'LP Elementos'!CP447,'LP Elementos'!CU447,'LP Elementos'!CZ447)," ")</f>
        <v>44536.413462567587</v>
      </c>
      <c r="H447" s="341">
        <f t="shared" si="36"/>
        <v>4804.8001206983017</v>
      </c>
      <c r="I447" s="342">
        <f t="shared" si="37"/>
        <v>0.10588939021081838</v>
      </c>
      <c r="J447" s="341">
        <f t="shared" si="38"/>
        <v>45375.652000000002</v>
      </c>
      <c r="K447" s="326" t="str">
        <f t="shared" si="39"/>
        <v>Promedio</v>
      </c>
      <c r="L447" s="326">
        <f>IFERROR(COUNTA('LP Elementos'!F447,'LP Elementos'!I447,'LP Elementos'!N447,'LP Elementos'!S447,'LP Elementos'!X447,'LP Elementos'!AC447,'LP Elementos'!AH447,'LP Elementos'!AM447,'LP Elementos'!AR447,'LP Elementos'!AX447,'LP Elementos'!BB447,'LP Elementos'!BG447,'LP Elementos'!BL447,'LP Elementos'!BQ447,'LP Elementos'!BV447,'LP Elementos'!CA447,'LP Elementos'!CF447,'LP Elementos'!CK447,'LP Elementos'!CP447,'LP Elementos'!CU447,'LP Elementos'!CZ447)," ")</f>
        <v>4</v>
      </c>
    </row>
    <row r="448" spans="2:12" x14ac:dyDescent="0.25">
      <c r="B448" s="411">
        <v>446</v>
      </c>
      <c r="C448" s="412" t="s">
        <v>4174</v>
      </c>
      <c r="D448" s="408">
        <f>IFERROR(MIN('LP Elementos'!F448,'LP Elementos'!I448,'LP Elementos'!N448,'LP Elementos'!S448,'LP Elementos'!X448,'LP Elementos'!AC448,'LP Elementos'!AH448,'LP Elementos'!AM448,'LP Elementos'!AR448,'LP Elementos'!AW448,'LP Elementos'!BB448,'LP Elementos'!BG448,'LP Elementos'!BL448,'LP Elementos'!BQ448,'LP Elementos'!BV448,'LP Elementos'!CA448,'LP Elementos'!CF448,'LP Elementos'!CK448,'LP Elementos'!CP448,'LP Elementos'!CU448,'LP Elementos'!CZ448)," ")</f>
        <v>56763</v>
      </c>
      <c r="E448" s="341">
        <f>IFERROR(AVERAGE('LP Elementos'!F448,'LP Elementos'!I448,'LP Elementos'!N448,'LP Elementos'!S448,'LP Elementos'!X448,'LP Elementos'!AC448,'LP Elementos'!AH448,'LP Elementos'!AM448,'LP Elementos'!AR448,'LP Elementos'!AW448,'LP Elementos'!BB448,'LP Elementos'!BG448,'LP Elementos'!BL448,'LP Elementos'!BQ448,'LP Elementos'!BV448,'LP Elementos'!CA448,'LP Elementos'!CF448,'LP Elementos'!CK448,'LP Elementos'!CP448,'LP Elementos'!CU448,'LP Elementos'!CZ448)," ")</f>
        <v>93623.785499999998</v>
      </c>
      <c r="F448" s="341">
        <f>IFERROR(MEDIAN('LP Elementos'!F448,'LP Elementos'!I448,'LP Elementos'!N448,'LP Elementos'!S448,'LP Elementos'!X448,'LP Elementos'!AC448,'LP Elementos'!AH448,'LP Elementos'!AM448,'LP Elementos'!AR448,'LP Elementos'!AW448,'LP Elementos'!BB448,'LP Elementos'!BG448,'LP Elementos'!BL448,'LP Elementos'!BQ448,'LP Elementos'!BV448,'LP Elementos'!CA448,'LP Elementos'!CF448,'LP Elementos'!CK448,'LP Elementos'!CP448,'LP Elementos'!CU448,'LP Elementos'!CZ448)," ")</f>
        <v>91631.070999999996</v>
      </c>
      <c r="G448" s="341">
        <f>IFERROR(GEOMEAN('LP Elementos'!F448,'LP Elementos'!I448,'LP Elementos'!N448,'LP Elementos'!S448,'LP Elementos'!X448,'LP Elementos'!AC448,'LP Elementos'!AH448,'LP Elementos'!AM448,'LP Elementos'!AR448,'LP Elementos'!AW448,'LP Elementos'!BB448,'LP Elementos'!BG448,'LP Elementos'!BL448,'LP Elementos'!BQ448,'LP Elementos'!BV448,'LP Elementos'!CA448,'LP Elementos'!CF448,'LP Elementos'!CK448,'LP Elementos'!CP448,'LP Elementos'!CU448,'LP Elementos'!CZ448)," ")</f>
        <v>88362.505574724797</v>
      </c>
      <c r="H448" s="341">
        <f t="shared" si="36"/>
        <v>17357.429084244737</v>
      </c>
      <c r="I448" s="342">
        <f t="shared" si="37"/>
        <v>0.1853955059768945</v>
      </c>
      <c r="J448" s="341">
        <f t="shared" si="38"/>
        <v>93623.785499999998</v>
      </c>
      <c r="K448" s="326" t="str">
        <f t="shared" si="39"/>
        <v>Promedio</v>
      </c>
      <c r="L448" s="326">
        <f>IFERROR(COUNTA('LP Elementos'!F448,'LP Elementos'!I448,'LP Elementos'!N448,'LP Elementos'!S448,'LP Elementos'!X448,'LP Elementos'!AC448,'LP Elementos'!AH448,'LP Elementos'!AM448,'LP Elementos'!AR448,'LP Elementos'!AX448,'LP Elementos'!BB448,'LP Elementos'!BG448,'LP Elementos'!BL448,'LP Elementos'!BQ448,'LP Elementos'!BV448,'LP Elementos'!CA448,'LP Elementos'!CF448,'LP Elementos'!CK448,'LP Elementos'!CP448,'LP Elementos'!CU448,'LP Elementos'!CZ448)," ")</f>
        <v>4</v>
      </c>
    </row>
    <row r="449" spans="2:12" x14ac:dyDescent="0.25">
      <c r="B449" s="411">
        <v>447</v>
      </c>
      <c r="C449" s="412" t="s">
        <v>4177</v>
      </c>
      <c r="D449" s="408">
        <f>IFERROR(MIN('LP Elementos'!F449,'LP Elementos'!I449,'LP Elementos'!N449,'LP Elementos'!S449,'LP Elementos'!X449,'LP Elementos'!AC449,'LP Elementos'!AH449,'LP Elementos'!AM449,'LP Elementos'!AR449,'LP Elementos'!AW449,'LP Elementos'!BB449,'LP Elementos'!BG449,'LP Elementos'!BL449,'LP Elementos'!BQ449,'LP Elementos'!BV449,'LP Elementos'!CA449,'LP Elementos'!CF449,'LP Elementos'!CK449,'LP Elementos'!CP449,'LP Elementos'!CU449,'LP Elementos'!CZ449)," ")</f>
        <v>36890</v>
      </c>
      <c r="E449" s="341">
        <f>IFERROR(AVERAGE('LP Elementos'!F449,'LP Elementos'!I449,'LP Elementos'!N449,'LP Elementos'!S449,'LP Elementos'!X449,'LP Elementos'!AC449,'LP Elementos'!AH449,'LP Elementos'!AM449,'LP Elementos'!AR449,'LP Elementos'!AW449,'LP Elementos'!BB449,'LP Elementos'!BG449,'LP Elementos'!BL449,'LP Elementos'!BQ449,'LP Elementos'!BV449,'LP Elementos'!CA449,'LP Elementos'!CF449,'LP Elementos'!CK449,'LP Elementos'!CP449,'LP Elementos'!CU449,'LP Elementos'!CZ449)," ")</f>
        <v>48231.652000000002</v>
      </c>
      <c r="F449" s="341">
        <f>IFERROR(MEDIAN('LP Elementos'!F449,'LP Elementos'!I449,'LP Elementos'!N449,'LP Elementos'!S449,'LP Elementos'!X449,'LP Elementos'!AC449,'LP Elementos'!AH449,'LP Elementos'!AM449,'LP Elementos'!AR449,'LP Elementos'!AW449,'LP Elementos'!BB449,'LP Elementos'!BG449,'LP Elementos'!BL449,'LP Elementos'!BQ449,'LP Elementos'!BV449,'LP Elementos'!CA449,'LP Elementos'!CF449,'LP Elementos'!CK449,'LP Elementos'!CP449,'LP Elementos'!CU449,'LP Elementos'!CZ449)," ")</f>
        <v>44698.304000000004</v>
      </c>
      <c r="G449" s="341">
        <f>IFERROR(GEOMEAN('LP Elementos'!F449,'LP Elementos'!I449,'LP Elementos'!N449,'LP Elementos'!S449,'LP Elementos'!X449,'LP Elementos'!AC449,'LP Elementos'!AH449,'LP Elementos'!AM449,'LP Elementos'!AR449,'LP Elementos'!AW449,'LP Elementos'!BB449,'LP Elementos'!BG449,'LP Elementos'!BL449,'LP Elementos'!BQ449,'LP Elementos'!BV449,'LP Elementos'!CA449,'LP Elementos'!CF449,'LP Elementos'!CK449,'LP Elementos'!CP449,'LP Elementos'!CU449,'LP Elementos'!CZ449)," ")</f>
        <v>47074.96816438136</v>
      </c>
      <c r="H449" s="341">
        <f t="shared" si="36"/>
        <v>5105.6117499107613</v>
      </c>
      <c r="I449" s="342">
        <f t="shared" si="37"/>
        <v>0.10585604137944023</v>
      </c>
      <c r="J449" s="341">
        <f t="shared" si="38"/>
        <v>48231.652000000002</v>
      </c>
      <c r="K449" s="326" t="str">
        <f t="shared" si="39"/>
        <v>Promedio</v>
      </c>
      <c r="L449" s="326">
        <f>IFERROR(COUNTA('LP Elementos'!F449,'LP Elementos'!I449,'LP Elementos'!N449,'LP Elementos'!S449,'LP Elementos'!X449,'LP Elementos'!AC449,'LP Elementos'!AH449,'LP Elementos'!AM449,'LP Elementos'!AR449,'LP Elementos'!AX449,'LP Elementos'!BB449,'LP Elementos'!BG449,'LP Elementos'!BL449,'LP Elementos'!BQ449,'LP Elementos'!BV449,'LP Elementos'!CA449,'LP Elementos'!CF449,'LP Elementos'!CK449,'LP Elementos'!CP449,'LP Elementos'!CU449,'LP Elementos'!CZ449)," ")</f>
        <v>4</v>
      </c>
    </row>
    <row r="450" spans="2:12" ht="121.5" x14ac:dyDescent="0.25">
      <c r="B450" s="411">
        <v>448</v>
      </c>
      <c r="C450" s="415" t="s">
        <v>4180</v>
      </c>
      <c r="D450" s="408">
        <f>IFERROR(MIN('LP Elementos'!F450,'LP Elementos'!I450,'LP Elementos'!N450,'LP Elementos'!S450,'LP Elementos'!X450,'LP Elementos'!AC450,'LP Elementos'!AH450,'LP Elementos'!AM450,'LP Elementos'!AR450,'LP Elementos'!AW450,'LP Elementos'!BB450,'LP Elementos'!BG450,'LP Elementos'!BL450,'LP Elementos'!BQ450,'LP Elementos'!BV450,'LP Elementos'!CA450,'LP Elementos'!CF450,'LP Elementos'!CK450,'LP Elementos'!CP450,'LP Elementos'!CU450,'LP Elementos'!CZ450)," ")</f>
        <v>39865</v>
      </c>
      <c r="E450" s="341">
        <f>IFERROR(AVERAGE('LP Elementos'!F450,'LP Elementos'!I450,'LP Elementos'!N450,'LP Elementos'!S450,'LP Elementos'!X450,'LP Elementos'!AC450,'LP Elementos'!AH450,'LP Elementos'!AM450,'LP Elementos'!AR450,'LP Elementos'!AW450,'LP Elementos'!BB450,'LP Elementos'!BG450,'LP Elementos'!BL450,'LP Elementos'!BQ450,'LP Elementos'!BV450,'LP Elementos'!CA450,'LP Elementos'!CF450,'LP Elementos'!CK450,'LP Elementos'!CP450,'LP Elementos'!CU450,'LP Elementos'!CZ450)," ")</f>
        <v>183438.024</v>
      </c>
      <c r="F450" s="341">
        <f>IFERROR(MEDIAN('LP Elementos'!F450,'LP Elementos'!I450,'LP Elementos'!N450,'LP Elementos'!S450,'LP Elementos'!X450,'LP Elementos'!AC450,'LP Elementos'!AH450,'LP Elementos'!AM450,'LP Elementos'!AR450,'LP Elementos'!AW450,'LP Elementos'!BB450,'LP Elementos'!BG450,'LP Elementos'!BL450,'LP Elementos'!BQ450,'LP Elementos'!BV450,'LP Elementos'!CA450,'LP Elementos'!CF450,'LP Elementos'!CK450,'LP Elementos'!CP450,'LP Elementos'!CU450,'LP Elementos'!CZ450)," ")</f>
        <v>50275.12</v>
      </c>
      <c r="G450" s="341">
        <f>IFERROR(GEOMEAN('LP Elementos'!F450,'LP Elementos'!I450,'LP Elementos'!N450,'LP Elementos'!S450,'LP Elementos'!X450,'LP Elementos'!AC450,'LP Elementos'!AH450,'LP Elementos'!AM450,'LP Elementos'!AR450,'LP Elementos'!AW450,'LP Elementos'!BB450,'LP Elementos'!BG450,'LP Elementos'!BL450,'LP Elementos'!BQ450,'LP Elementos'!BV450,'LP Elementos'!CA450,'LP Elementos'!CF450,'LP Elementos'!CK450,'LP Elementos'!CP450,'LP Elementos'!CU450,'LP Elementos'!CZ450)," ")</f>
        <v>82987.969307386869</v>
      </c>
      <c r="H450" s="341">
        <f t="shared" si="36"/>
        <v>65494.196498668774</v>
      </c>
      <c r="I450" s="342">
        <f t="shared" si="37"/>
        <v>0.35703718929434591</v>
      </c>
      <c r="J450" s="341">
        <f t="shared" si="38"/>
        <v>39865</v>
      </c>
      <c r="K450" s="326" t="str">
        <f t="shared" si="39"/>
        <v>Menor Valor</v>
      </c>
      <c r="L450" s="326">
        <f>IFERROR(COUNTA('LP Elementos'!F450,'LP Elementos'!I450,'LP Elementos'!N450,'LP Elementos'!S450,'LP Elementos'!X450,'LP Elementos'!AC450,'LP Elementos'!AH450,'LP Elementos'!AM450,'LP Elementos'!AR450,'LP Elementos'!AX450,'LP Elementos'!BB450,'LP Elementos'!BG450,'LP Elementos'!BL450,'LP Elementos'!BQ450,'LP Elementos'!BV450,'LP Elementos'!CA450,'LP Elementos'!CF450,'LP Elementos'!CK450,'LP Elementos'!CP450,'LP Elementos'!CU450,'LP Elementos'!CZ450)," ")</f>
        <v>5</v>
      </c>
    </row>
    <row r="451" spans="2:12" ht="121.5" x14ac:dyDescent="0.25">
      <c r="B451" s="411">
        <v>449</v>
      </c>
      <c r="C451" s="415" t="s">
        <v>4184</v>
      </c>
      <c r="D451" s="408">
        <f>IFERROR(MIN('LP Elementos'!F451,'LP Elementos'!I451,'LP Elementos'!N451,'LP Elementos'!S451,'LP Elementos'!X451,'LP Elementos'!AC451,'LP Elementos'!AH451,'LP Elementos'!AM451,'LP Elementos'!AR451,'LP Elementos'!AW451,'LP Elementos'!BB451,'LP Elementos'!BG451,'LP Elementos'!BL451,'LP Elementos'!BQ451,'LP Elementos'!BV451,'LP Elementos'!CA451,'LP Elementos'!CF451,'LP Elementos'!CK451,'LP Elementos'!CP451,'LP Elementos'!CU451,'LP Elementos'!CZ451)," ")</f>
        <v>42959</v>
      </c>
      <c r="E451" s="341">
        <f>IFERROR(AVERAGE('LP Elementos'!F451,'LP Elementos'!I451,'LP Elementos'!N451,'LP Elementos'!S451,'LP Elementos'!X451,'LP Elementos'!AC451,'LP Elementos'!AH451,'LP Elementos'!AM451,'LP Elementos'!AR451,'LP Elementos'!AW451,'LP Elementos'!BB451,'LP Elementos'!BG451,'LP Elementos'!BL451,'LP Elementos'!BQ451,'LP Elementos'!BV451,'LP Elementos'!CA451,'LP Elementos'!CF451,'LP Elementos'!CK451,'LP Elementos'!CP451,'LP Elementos'!CU451,'LP Elementos'!CZ451)," ")</f>
        <v>181529.50200000001</v>
      </c>
      <c r="F451" s="341">
        <f>IFERROR(MEDIAN('LP Elementos'!F451,'LP Elementos'!I451,'LP Elementos'!N451,'LP Elementos'!S451,'LP Elementos'!X451,'LP Elementos'!AC451,'LP Elementos'!AH451,'LP Elementos'!AM451,'LP Elementos'!AR451,'LP Elementos'!AW451,'LP Elementos'!BB451,'LP Elementos'!BG451,'LP Elementos'!BL451,'LP Elementos'!BQ451,'LP Elementos'!BV451,'LP Elementos'!CA451,'LP Elementos'!CF451,'LP Elementos'!CK451,'LP Elementos'!CP451,'LP Elementos'!CU451,'LP Elementos'!CZ451)," ")</f>
        <v>56559.51</v>
      </c>
      <c r="G451" s="341">
        <f>IFERROR(GEOMEAN('LP Elementos'!F451,'LP Elementos'!I451,'LP Elementos'!N451,'LP Elementos'!S451,'LP Elementos'!X451,'LP Elementos'!AC451,'LP Elementos'!AH451,'LP Elementos'!AM451,'LP Elementos'!AR451,'LP Elementos'!AW451,'LP Elementos'!BB451,'LP Elementos'!BG451,'LP Elementos'!BL451,'LP Elementos'!BQ451,'LP Elementos'!BV451,'LP Elementos'!CA451,'LP Elementos'!CF451,'LP Elementos'!CK451,'LP Elementos'!CP451,'LP Elementos'!CU451,'LP Elementos'!CZ451)," ")</f>
        <v>91800.626546825733</v>
      </c>
      <c r="H451" s="341">
        <f t="shared" si="36"/>
        <v>62371.847727006083</v>
      </c>
      <c r="I451" s="342">
        <f t="shared" si="37"/>
        <v>0.34359069484477561</v>
      </c>
      <c r="J451" s="341">
        <f t="shared" si="38"/>
        <v>42959</v>
      </c>
      <c r="K451" s="326" t="str">
        <f t="shared" si="39"/>
        <v>Menor Valor</v>
      </c>
      <c r="L451" s="326">
        <f>IFERROR(COUNTA('LP Elementos'!F451,'LP Elementos'!I451,'LP Elementos'!N451,'LP Elementos'!S451,'LP Elementos'!X451,'LP Elementos'!AC451,'LP Elementos'!AH451,'LP Elementos'!AM451,'LP Elementos'!AR451,'LP Elementos'!AX451,'LP Elementos'!BB451,'LP Elementos'!BG451,'LP Elementos'!BL451,'LP Elementos'!BQ451,'LP Elementos'!BV451,'LP Elementos'!CA451,'LP Elementos'!CF451,'LP Elementos'!CK451,'LP Elementos'!CP451,'LP Elementos'!CU451,'LP Elementos'!CZ451)," ")</f>
        <v>5</v>
      </c>
    </row>
    <row r="452" spans="2:12" ht="135" x14ac:dyDescent="0.25">
      <c r="B452" s="411">
        <v>450</v>
      </c>
      <c r="C452" s="415" t="s">
        <v>4186</v>
      </c>
      <c r="D452" s="408">
        <f>IFERROR(MIN('LP Elementos'!F452,'LP Elementos'!I452,'LP Elementos'!N452,'LP Elementos'!S452,'LP Elementos'!X452,'LP Elementos'!AC452,'LP Elementos'!AH452,'LP Elementos'!AM452,'LP Elementos'!AR452,'LP Elementos'!AW452,'LP Elementos'!BB452,'LP Elementos'!BG452,'LP Elementos'!BL452,'LP Elementos'!BQ452,'LP Elementos'!BV452,'LP Elementos'!CA452,'LP Elementos'!CF452,'LP Elementos'!CK452,'LP Elementos'!CP452,'LP Elementos'!CU452,'LP Elementos'!CZ452)," ")</f>
        <v>316540</v>
      </c>
      <c r="E452" s="341">
        <f>IFERROR(AVERAGE('LP Elementos'!F452,'LP Elementos'!I452,'LP Elementos'!N452,'LP Elementos'!S452,'LP Elementos'!X452,'LP Elementos'!AC452,'LP Elementos'!AH452,'LP Elementos'!AM452,'LP Elementos'!AR452,'LP Elementos'!AW452,'LP Elementos'!BB452,'LP Elementos'!BG452,'LP Elementos'!BL452,'LP Elementos'!BQ452,'LP Elementos'!BV452,'LP Elementos'!CA452,'LP Elementos'!CF452,'LP Elementos'!CK452,'LP Elementos'!CP452,'LP Elementos'!CU452,'LP Elementos'!CZ452)," ")</f>
        <v>423992.00199999998</v>
      </c>
      <c r="F452" s="341">
        <f>IFERROR(MEDIAN('LP Elementos'!F452,'LP Elementos'!I452,'LP Elementos'!N452,'LP Elementos'!S452,'LP Elementos'!X452,'LP Elementos'!AC452,'LP Elementos'!AH452,'LP Elementos'!AM452,'LP Elementos'!AR452,'LP Elementos'!AW452,'LP Elementos'!BB452,'LP Elementos'!BG452,'LP Elementos'!BL452,'LP Elementos'!BQ452,'LP Elementos'!BV452,'LP Elementos'!CA452,'LP Elementos'!CF452,'LP Elementos'!CK452,'LP Elementos'!CP452,'LP Elementos'!CU452,'LP Elementos'!CZ452)," ")</f>
        <v>386264.00400000002</v>
      </c>
      <c r="G452" s="341">
        <f>IFERROR(GEOMEAN('LP Elementos'!F452,'LP Elementos'!I452,'LP Elementos'!N452,'LP Elementos'!S452,'LP Elementos'!X452,'LP Elementos'!AC452,'LP Elementos'!AH452,'LP Elementos'!AM452,'LP Elementos'!AR452,'LP Elementos'!AW452,'LP Elementos'!BB452,'LP Elementos'!BG452,'LP Elementos'!BL452,'LP Elementos'!BQ452,'LP Elementos'!BV452,'LP Elementos'!CA452,'LP Elementos'!CF452,'LP Elementos'!CK452,'LP Elementos'!CP452,'LP Elementos'!CU452,'LP Elementos'!CZ452)," ")</f>
        <v>410562.08501147473</v>
      </c>
      <c r="H452" s="341">
        <f t="shared" si="36"/>
        <v>47820.570174482673</v>
      </c>
      <c r="I452" s="342">
        <f t="shared" si="37"/>
        <v>0.11278649113405369</v>
      </c>
      <c r="J452" s="341">
        <f t="shared" si="38"/>
        <v>423992.00199999998</v>
      </c>
      <c r="K452" s="326" t="str">
        <f t="shared" si="39"/>
        <v>Promedio</v>
      </c>
      <c r="L452" s="326">
        <f>IFERROR(COUNTA('LP Elementos'!F452,'LP Elementos'!I452,'LP Elementos'!N452,'LP Elementos'!S452,'LP Elementos'!X452,'LP Elementos'!AC452,'LP Elementos'!AH452,'LP Elementos'!AM452,'LP Elementos'!AR452,'LP Elementos'!AX452,'LP Elementos'!BB452,'LP Elementos'!BG452,'LP Elementos'!BL452,'LP Elementos'!BQ452,'LP Elementos'!BV452,'LP Elementos'!CA452,'LP Elementos'!CF452,'LP Elementos'!CK452,'LP Elementos'!CP452,'LP Elementos'!CU452,'LP Elementos'!CZ452)," ")</f>
        <v>4</v>
      </c>
    </row>
    <row r="453" spans="2:12" ht="40.5" x14ac:dyDescent="0.25">
      <c r="B453" s="411">
        <v>451</v>
      </c>
      <c r="C453" s="412" t="s">
        <v>4189</v>
      </c>
      <c r="D453" s="408">
        <f>IFERROR(MIN('LP Elementos'!F453,'LP Elementos'!I453,'LP Elementos'!N453,'LP Elementos'!S453,'LP Elementos'!X453,'LP Elementos'!AC453,'LP Elementos'!AH453,'LP Elementos'!AM453,'LP Elementos'!AR453,'LP Elementos'!AW453,'LP Elementos'!BB453,'LP Elementos'!BG453,'LP Elementos'!BL453,'LP Elementos'!BQ453,'LP Elementos'!BV453,'LP Elementos'!CA453,'LP Elementos'!CF453,'LP Elementos'!CK453,'LP Elementos'!CP453,'LP Elementos'!CU453,'LP Elementos'!CZ453)," ")</f>
        <v>50099</v>
      </c>
      <c r="E453" s="341">
        <f>IFERROR(AVERAGE('LP Elementos'!F453,'LP Elementos'!I453,'LP Elementos'!N453,'LP Elementos'!S453,'LP Elementos'!X453,'LP Elementos'!AC453,'LP Elementos'!AH453,'LP Elementos'!AM453,'LP Elementos'!AR453,'LP Elementos'!AW453,'LP Elementos'!BB453,'LP Elementos'!BG453,'LP Elementos'!BL453,'LP Elementos'!BQ453,'LP Elementos'!BV453,'LP Elementos'!CA453,'LP Elementos'!CF453,'LP Elementos'!CK453,'LP Elementos'!CP453,'LP Elementos'!CU453,'LP Elementos'!CZ453)," ")</f>
        <v>52498.04</v>
      </c>
      <c r="F453" s="341">
        <f>IFERROR(MEDIAN('LP Elementos'!F453,'LP Elementos'!I453,'LP Elementos'!N453,'LP Elementos'!S453,'LP Elementos'!X453,'LP Elementos'!AC453,'LP Elementos'!AH453,'LP Elementos'!AM453,'LP Elementos'!AR453,'LP Elementos'!AW453,'LP Elementos'!BB453,'LP Elementos'!BG453,'LP Elementos'!BL453,'LP Elementos'!BQ453,'LP Elementos'!BV453,'LP Elementos'!CA453,'LP Elementos'!CF453,'LP Elementos'!CK453,'LP Elementos'!CP453,'LP Elementos'!CU453,'LP Elementos'!CZ453)," ")</f>
        <v>50275.12</v>
      </c>
      <c r="G453" s="341">
        <f>IFERROR(GEOMEAN('LP Elementos'!F453,'LP Elementos'!I453,'LP Elementos'!N453,'LP Elementos'!S453,'LP Elementos'!X453,'LP Elementos'!AC453,'LP Elementos'!AH453,'LP Elementos'!AM453,'LP Elementos'!AR453,'LP Elementos'!AW453,'LP Elementos'!BB453,'LP Elementos'!BG453,'LP Elementos'!BL453,'LP Elementos'!BQ453,'LP Elementos'!BV453,'LP Elementos'!CA453,'LP Elementos'!CF453,'LP Elementos'!CK453,'LP Elementos'!CP453,'LP Elementos'!CU453,'LP Elementos'!CZ453)," ")</f>
        <v>52399.055313197554</v>
      </c>
      <c r="H453" s="341">
        <f t="shared" si="36"/>
        <v>1308.2729751163445</v>
      </c>
      <c r="I453" s="342">
        <f t="shared" si="37"/>
        <v>2.4920415602493817E-2</v>
      </c>
      <c r="J453" s="341">
        <f t="shared" si="38"/>
        <v>50275.12</v>
      </c>
      <c r="K453" s="326" t="str">
        <f t="shared" si="39"/>
        <v>Mediana</v>
      </c>
      <c r="L453" s="326">
        <f>IFERROR(COUNTA('LP Elementos'!F453,'LP Elementos'!I453,'LP Elementos'!N453,'LP Elementos'!S453,'LP Elementos'!X453,'LP Elementos'!AC453,'LP Elementos'!AH453,'LP Elementos'!AM453,'LP Elementos'!AR453,'LP Elementos'!AX453,'LP Elementos'!BB453,'LP Elementos'!BG453,'LP Elementos'!BL453,'LP Elementos'!BQ453,'LP Elementos'!BV453,'LP Elementos'!CA453,'LP Elementos'!CF453,'LP Elementos'!CK453,'LP Elementos'!CP453,'LP Elementos'!CU453,'LP Elementos'!CZ453)," ")</f>
        <v>3</v>
      </c>
    </row>
    <row r="454" spans="2:12" ht="121.5" x14ac:dyDescent="0.25">
      <c r="B454" s="411">
        <v>452</v>
      </c>
      <c r="C454" s="412" t="s">
        <v>4191</v>
      </c>
      <c r="D454" s="408">
        <f>IFERROR(MIN('LP Elementos'!F454,'LP Elementos'!I454,'LP Elementos'!N454,'LP Elementos'!S454,'LP Elementos'!X454,'LP Elementos'!AC454,'LP Elementos'!AH454,'LP Elementos'!AM454,'LP Elementos'!AR454,'LP Elementos'!AW454,'LP Elementos'!BB454,'LP Elementos'!BG454,'LP Elementos'!BL454,'LP Elementos'!BQ454,'LP Elementos'!BV454,'LP Elementos'!CA454,'LP Elementos'!CF454,'LP Elementos'!CK454,'LP Elementos'!CP454,'LP Elementos'!CU454,'LP Elementos'!CZ454)," ")</f>
        <v>134470</v>
      </c>
      <c r="E454" s="341">
        <f>IFERROR(AVERAGE('LP Elementos'!F454,'LP Elementos'!I454,'LP Elementos'!N454,'LP Elementos'!S454,'LP Elementos'!X454,'LP Elementos'!AC454,'LP Elementos'!AH454,'LP Elementos'!AM454,'LP Elementos'!AR454,'LP Elementos'!AW454,'LP Elementos'!BB454,'LP Elementos'!BG454,'LP Elementos'!BL454,'LP Elementos'!BQ454,'LP Elementos'!BV454,'LP Elementos'!CA454,'LP Elementos'!CF454,'LP Elementos'!CK454,'LP Elementos'!CP454,'LP Elementos'!CU454,'LP Elementos'!CZ454)," ")</f>
        <v>714372.42239999992</v>
      </c>
      <c r="F454" s="341">
        <f>IFERROR(MEDIAN('LP Elementos'!F454,'LP Elementos'!I454,'LP Elementos'!N454,'LP Elementos'!S454,'LP Elementos'!X454,'LP Elementos'!AC454,'LP Elementos'!AH454,'LP Elementos'!AM454,'LP Elementos'!AR454,'LP Elementos'!AW454,'LP Elementos'!BB454,'LP Elementos'!BG454,'LP Elementos'!BL454,'LP Elementos'!BQ454,'LP Elementos'!BV454,'LP Elementos'!CA454,'LP Elementos'!CF454,'LP Elementos'!CK454,'LP Elementos'!CP454,'LP Elementos'!CU454,'LP Elementos'!CZ454)," ")</f>
        <v>186949</v>
      </c>
      <c r="G454" s="341">
        <f>IFERROR(GEOMEAN('LP Elementos'!F454,'LP Elementos'!I454,'LP Elementos'!N454,'LP Elementos'!S454,'LP Elementos'!X454,'LP Elementos'!AC454,'LP Elementos'!AH454,'LP Elementos'!AM454,'LP Elementos'!AR454,'LP Elementos'!AW454,'LP Elementos'!BB454,'LP Elementos'!BG454,'LP Elementos'!BL454,'LP Elementos'!BQ454,'LP Elementos'!BV454,'LP Elementos'!CA454,'LP Elementos'!CF454,'LP Elementos'!CK454,'LP Elementos'!CP454,'LP Elementos'!CU454,'LP Elementos'!CZ454)," ")</f>
        <v>303682.23738104774</v>
      </c>
      <c r="H454" s="341">
        <f t="shared" si="36"/>
        <v>262701.06418741093</v>
      </c>
      <c r="I454" s="342">
        <f t="shared" si="37"/>
        <v>0.3677368497860577</v>
      </c>
      <c r="J454" s="341">
        <f t="shared" si="38"/>
        <v>134470</v>
      </c>
      <c r="K454" s="326" t="str">
        <f t="shared" si="39"/>
        <v>Menor Valor</v>
      </c>
      <c r="L454" s="326">
        <f>IFERROR(COUNTA('LP Elementos'!F454,'LP Elementos'!I454,'LP Elementos'!N454,'LP Elementos'!S454,'LP Elementos'!X454,'LP Elementos'!AC454,'LP Elementos'!AH454,'LP Elementos'!AM454,'LP Elementos'!AR454,'LP Elementos'!AX454,'LP Elementos'!BB454,'LP Elementos'!BG454,'LP Elementos'!BL454,'LP Elementos'!BQ454,'LP Elementos'!BV454,'LP Elementos'!CA454,'LP Elementos'!CF454,'LP Elementos'!CK454,'LP Elementos'!CP454,'LP Elementos'!CU454,'LP Elementos'!CZ454)," ")</f>
        <v>5</v>
      </c>
    </row>
    <row r="455" spans="2:12" ht="121.5" x14ac:dyDescent="0.25">
      <c r="B455" s="411">
        <v>453</v>
      </c>
      <c r="C455" s="412" t="s">
        <v>4195</v>
      </c>
      <c r="D455" s="408">
        <f>IFERROR(MIN('LP Elementos'!F455,'LP Elementos'!I455,'LP Elementos'!N455,'LP Elementos'!S455,'LP Elementos'!X455,'LP Elementos'!AC455,'LP Elementos'!AH455,'LP Elementos'!AM455,'LP Elementos'!AR455,'LP Elementos'!AW455,'LP Elementos'!BB455,'LP Elementos'!BG455,'LP Elementos'!BL455,'LP Elementos'!BQ455,'LP Elementos'!BV455,'LP Elementos'!CA455,'LP Elementos'!CF455,'LP Elementos'!CK455,'LP Elementos'!CP455,'LP Elementos'!CU455,'LP Elementos'!CZ455)," ")</f>
        <v>64379</v>
      </c>
      <c r="E455" s="341">
        <f>IFERROR(AVERAGE('LP Elementos'!F455,'LP Elementos'!I455,'LP Elementos'!N455,'LP Elementos'!S455,'LP Elementos'!X455,'LP Elementos'!AC455,'LP Elementos'!AH455,'LP Elementos'!AM455,'LP Elementos'!AR455,'LP Elementos'!AW455,'LP Elementos'!BB455,'LP Elementos'!BG455,'LP Elementos'!BL455,'LP Elementos'!BQ455,'LP Elementos'!BV455,'LP Elementos'!CA455,'LP Elementos'!CF455,'LP Elementos'!CK455,'LP Elementos'!CP455,'LP Elementos'!CU455,'LP Elementos'!CZ455)," ")</f>
        <v>339830.20400000003</v>
      </c>
      <c r="F455" s="341">
        <f>IFERROR(MEDIAN('LP Elementos'!F455,'LP Elementos'!I455,'LP Elementos'!N455,'LP Elementos'!S455,'LP Elementos'!X455,'LP Elementos'!AC455,'LP Elementos'!AH455,'LP Elementos'!AM455,'LP Elementos'!AR455,'LP Elementos'!AW455,'LP Elementos'!BB455,'LP Elementos'!BG455,'LP Elementos'!BL455,'LP Elementos'!BQ455,'LP Elementos'!BV455,'LP Elementos'!CA455,'LP Elementos'!CF455,'LP Elementos'!CK455,'LP Elementos'!CP455,'LP Elementos'!CU455,'LP Elementos'!CZ455)," ")</f>
        <v>113119.02</v>
      </c>
      <c r="G455" s="341">
        <f>IFERROR(GEOMEAN('LP Elementos'!F455,'LP Elementos'!I455,'LP Elementos'!N455,'LP Elementos'!S455,'LP Elementos'!X455,'LP Elementos'!AC455,'LP Elementos'!AH455,'LP Elementos'!AM455,'LP Elementos'!AR455,'LP Elementos'!AW455,'LP Elementos'!BB455,'LP Elementos'!BG455,'LP Elementos'!BL455,'LP Elementos'!BQ455,'LP Elementos'!BV455,'LP Elementos'!CA455,'LP Elementos'!CF455,'LP Elementos'!CK455,'LP Elementos'!CP455,'LP Elementos'!CU455,'LP Elementos'!CZ455)," ")</f>
        <v>158559.20096018998</v>
      </c>
      <c r="H455" s="341">
        <f t="shared" si="36"/>
        <v>120222.29865509817</v>
      </c>
      <c r="I455" s="342">
        <f t="shared" si="37"/>
        <v>0.3537716696162127</v>
      </c>
      <c r="J455" s="341">
        <f t="shared" si="38"/>
        <v>64379</v>
      </c>
      <c r="K455" s="326" t="str">
        <f t="shared" si="39"/>
        <v>Menor Valor</v>
      </c>
      <c r="L455" s="326">
        <f>IFERROR(COUNTA('LP Elementos'!F455,'LP Elementos'!I455,'LP Elementos'!N455,'LP Elementos'!S455,'LP Elementos'!X455,'LP Elementos'!AC455,'LP Elementos'!AH455,'LP Elementos'!AM455,'LP Elementos'!AR455,'LP Elementos'!AX455,'LP Elementos'!BB455,'LP Elementos'!BG455,'LP Elementos'!BL455,'LP Elementos'!BQ455,'LP Elementos'!BV455,'LP Elementos'!CA455,'LP Elementos'!CF455,'LP Elementos'!CK455,'LP Elementos'!CP455,'LP Elementos'!CU455,'LP Elementos'!CZ455)," ")</f>
        <v>5</v>
      </c>
    </row>
    <row r="456" spans="2:12" ht="121.5" x14ac:dyDescent="0.25">
      <c r="B456" s="411">
        <v>454</v>
      </c>
      <c r="C456" s="415" t="s">
        <v>4197</v>
      </c>
      <c r="D456" s="408">
        <f>IFERROR(MIN('LP Elementos'!F456,'LP Elementos'!I456,'LP Elementos'!N456,'LP Elementos'!S456,'LP Elementos'!X456,'LP Elementos'!AC456,'LP Elementos'!AH456,'LP Elementos'!AM456,'LP Elementos'!AR456,'LP Elementos'!AW456,'LP Elementos'!BB456,'LP Elementos'!BG456,'LP Elementos'!BL456,'LP Elementos'!BQ456,'LP Elementos'!BV456,'LP Elementos'!CA456,'LP Elementos'!CF456,'LP Elementos'!CK456,'LP Elementos'!CP456,'LP Elementos'!CU456,'LP Elementos'!CZ456)," ")</f>
        <v>89012</v>
      </c>
      <c r="E456" s="341">
        <f>IFERROR(AVERAGE('LP Elementos'!F456,'LP Elementos'!I456,'LP Elementos'!N456,'LP Elementos'!S456,'LP Elementos'!X456,'LP Elementos'!AC456,'LP Elementos'!AH456,'LP Elementos'!AM456,'LP Elementos'!AR456,'LP Elementos'!AW456,'LP Elementos'!BB456,'LP Elementos'!BG456,'LP Elementos'!BL456,'LP Elementos'!BQ456,'LP Elementos'!BV456,'LP Elementos'!CA456,'LP Elementos'!CF456,'LP Elementos'!CK456,'LP Elementos'!CP456,'LP Elementos'!CU456,'LP Elementos'!CZ456)," ")</f>
        <v>406033.75959999999</v>
      </c>
      <c r="F456" s="341">
        <f>IFERROR(MEDIAN('LP Elementos'!F456,'LP Elementos'!I456,'LP Elementos'!N456,'LP Elementos'!S456,'LP Elementos'!X456,'LP Elementos'!AC456,'LP Elementos'!AH456,'LP Elementos'!AM456,'LP Elementos'!AR456,'LP Elementos'!AW456,'LP Elementos'!BB456,'LP Elementos'!BG456,'LP Elementos'!BL456,'LP Elementos'!BQ456,'LP Elementos'!BV456,'LP Elementos'!CA456,'LP Elementos'!CF456,'LP Elementos'!CK456,'LP Elementos'!CP456,'LP Elementos'!CU456,'LP Elementos'!CZ456)," ")</f>
        <v>177219.79800000001</v>
      </c>
      <c r="G456" s="341">
        <f>IFERROR(GEOMEAN('LP Elementos'!F456,'LP Elementos'!I456,'LP Elementos'!N456,'LP Elementos'!S456,'LP Elementos'!X456,'LP Elementos'!AC456,'LP Elementos'!AH456,'LP Elementos'!AM456,'LP Elementos'!AR456,'LP Elementos'!AW456,'LP Elementos'!BB456,'LP Elementos'!BG456,'LP Elementos'!BL456,'LP Elementos'!BQ456,'LP Elementos'!BV456,'LP Elementos'!CA456,'LP Elementos'!CF456,'LP Elementos'!CK456,'LP Elementos'!CP456,'LP Elementos'!CU456,'LP Elementos'!CZ456)," ")</f>
        <v>229314.92917382999</v>
      </c>
      <c r="H456" s="341">
        <f t="shared" si="36"/>
        <v>133624.97282972722</v>
      </c>
      <c r="I456" s="342">
        <f t="shared" si="37"/>
        <v>0.32909818376030237</v>
      </c>
      <c r="J456" s="341">
        <f t="shared" si="38"/>
        <v>89012</v>
      </c>
      <c r="K456" s="326" t="str">
        <f t="shared" si="39"/>
        <v>Menor Valor</v>
      </c>
      <c r="L456" s="326">
        <f>IFERROR(COUNTA('LP Elementos'!F456,'LP Elementos'!I456,'LP Elementos'!N456,'LP Elementos'!S456,'LP Elementos'!X456,'LP Elementos'!AC456,'LP Elementos'!AH456,'LP Elementos'!AM456,'LP Elementos'!AR456,'LP Elementos'!AX456,'LP Elementos'!BB456,'LP Elementos'!BG456,'LP Elementos'!BL456,'LP Elementos'!BQ456,'LP Elementos'!BV456,'LP Elementos'!CA456,'LP Elementos'!CF456,'LP Elementos'!CK456,'LP Elementos'!CP456,'LP Elementos'!CU456,'LP Elementos'!CZ456)," ")</f>
        <v>5</v>
      </c>
    </row>
    <row r="457" spans="2:12" ht="121.5" x14ac:dyDescent="0.25">
      <c r="B457" s="411">
        <v>455</v>
      </c>
      <c r="C457" s="412" t="s">
        <v>4199</v>
      </c>
      <c r="D457" s="408">
        <f>IFERROR(MIN('LP Elementos'!F457,'LP Elementos'!I457,'LP Elementos'!N457,'LP Elementos'!S457,'LP Elementos'!X457,'LP Elementos'!AC457,'LP Elementos'!AH457,'LP Elementos'!AM457,'LP Elementos'!AR457,'LP Elementos'!AW457,'LP Elementos'!BB457,'LP Elementos'!BG457,'LP Elementos'!BL457,'LP Elementos'!BQ457,'LP Elementos'!BV457,'LP Elementos'!CA457,'LP Elementos'!CF457,'LP Elementos'!CK457,'LP Elementos'!CP457,'LP Elementos'!CU457,'LP Elementos'!CZ457)," ")</f>
        <v>41650</v>
      </c>
      <c r="E457" s="341">
        <f>IFERROR(AVERAGE('LP Elementos'!F457,'LP Elementos'!I457,'LP Elementos'!N457,'LP Elementos'!S457,'LP Elementos'!X457,'LP Elementos'!AC457,'LP Elementos'!AH457,'LP Elementos'!AM457,'LP Elementos'!AR457,'LP Elementos'!AW457,'LP Elementos'!BB457,'LP Elementos'!BG457,'LP Elementos'!BL457,'LP Elementos'!BQ457,'LP Elementos'!BV457,'LP Elementos'!CA457,'LP Elementos'!CF457,'LP Elementos'!CK457,'LP Elementos'!CP457,'LP Elementos'!CU457,'LP Elementos'!CZ457)," ")</f>
        <v>142486.2573</v>
      </c>
      <c r="F457" s="341">
        <f>IFERROR(MEDIAN('LP Elementos'!F457,'LP Elementos'!I457,'LP Elementos'!N457,'LP Elementos'!S457,'LP Elementos'!X457,'LP Elementos'!AC457,'LP Elementos'!AH457,'LP Elementos'!AM457,'LP Elementos'!AR457,'LP Elementos'!AW457,'LP Elementos'!BB457,'LP Elementos'!BG457,'LP Elementos'!BL457,'LP Elementos'!BQ457,'LP Elementos'!BV457,'LP Elementos'!CA457,'LP Elementos'!CF457,'LP Elementos'!CK457,'LP Elementos'!CP457,'LP Elementos'!CU457,'LP Elementos'!CZ457)," ")</f>
        <v>119562.51459999999</v>
      </c>
      <c r="G457" s="341">
        <f>IFERROR(GEOMEAN('LP Elementos'!F457,'LP Elementos'!I457,'LP Elementos'!N457,'LP Elementos'!S457,'LP Elementos'!X457,'LP Elementos'!AC457,'LP Elementos'!AH457,'LP Elementos'!AM457,'LP Elementos'!AR457,'LP Elementos'!AW457,'LP Elementos'!BB457,'LP Elementos'!BG457,'LP Elementos'!BL457,'LP Elementos'!BQ457,'LP Elementos'!BV457,'LP Elementos'!CA457,'LP Elementos'!CF457,'LP Elementos'!CK457,'LP Elementos'!CP457,'LP Elementos'!CU457,'LP Elementos'!CZ457)," ")</f>
        <v>109832.98517152535</v>
      </c>
      <c r="H457" s="341">
        <f t="shared" si="36"/>
        <v>43372.060983463241</v>
      </c>
      <c r="I457" s="342">
        <f t="shared" si="37"/>
        <v>0.30439469605931774</v>
      </c>
      <c r="J457" s="341">
        <f t="shared" si="38"/>
        <v>41650</v>
      </c>
      <c r="K457" s="326" t="str">
        <f t="shared" si="39"/>
        <v>Menor Valor</v>
      </c>
      <c r="L457" s="326">
        <f>IFERROR(COUNTA('LP Elementos'!F457,'LP Elementos'!I457,'LP Elementos'!N457,'LP Elementos'!S457,'LP Elementos'!X457,'LP Elementos'!AC457,'LP Elementos'!AH457,'LP Elementos'!AM457,'LP Elementos'!AR457,'LP Elementos'!AX457,'LP Elementos'!BB457,'LP Elementos'!BG457,'LP Elementos'!BL457,'LP Elementos'!BQ457,'LP Elementos'!BV457,'LP Elementos'!CA457,'LP Elementos'!CF457,'LP Elementos'!CK457,'LP Elementos'!CP457,'LP Elementos'!CU457,'LP Elementos'!CZ457)," ")</f>
        <v>4</v>
      </c>
    </row>
    <row r="458" spans="2:12" x14ac:dyDescent="0.25">
      <c r="B458" s="411">
        <v>456</v>
      </c>
      <c r="C458" s="412" t="s">
        <v>4202</v>
      </c>
      <c r="D458" s="408">
        <f>IFERROR(MIN('LP Elementos'!F458,'LP Elementos'!I458,'LP Elementos'!N458,'LP Elementos'!S458,'LP Elementos'!X458,'LP Elementos'!AC458,'LP Elementos'!AH458,'LP Elementos'!AM458,'LP Elementos'!AR458,'LP Elementos'!AW458,'LP Elementos'!BB458,'LP Elementos'!BG458,'LP Elementos'!BL458,'LP Elementos'!BQ458,'LP Elementos'!BV458,'LP Elementos'!CA458,'LP Elementos'!CF458,'LP Elementos'!CK458,'LP Elementos'!CP458,'LP Elementos'!CU458,'LP Elementos'!CZ458)," ")</f>
        <v>8092</v>
      </c>
      <c r="E458" s="341">
        <f>IFERROR(AVERAGE('LP Elementos'!F458,'LP Elementos'!I458,'LP Elementos'!N458,'LP Elementos'!S458,'LP Elementos'!X458,'LP Elementos'!AC458,'LP Elementos'!AH458,'LP Elementos'!AM458,'LP Elementos'!AR458,'LP Elementos'!AW458,'LP Elementos'!BB458,'LP Elementos'!BG458,'LP Elementos'!BL458,'LP Elementos'!BQ458,'LP Elementos'!BV458,'LP Elementos'!CA458,'LP Elementos'!CF458,'LP Elementos'!CK458,'LP Elementos'!CP458,'LP Elementos'!CU458,'LP Elementos'!CZ458)," ")</f>
        <v>16306.451000000001</v>
      </c>
      <c r="F458" s="341">
        <f>IFERROR(MEDIAN('LP Elementos'!F458,'LP Elementos'!I458,'LP Elementos'!N458,'LP Elementos'!S458,'LP Elementos'!X458,'LP Elementos'!AC458,'LP Elementos'!AH458,'LP Elementos'!AM458,'LP Elementos'!AR458,'LP Elementos'!AW458,'LP Elementos'!BB458,'LP Elementos'!BG458,'LP Elementos'!BL458,'LP Elementos'!BQ458,'LP Elementos'!BV458,'LP Elementos'!CA458,'LP Elementos'!CF458,'LP Elementos'!CK458,'LP Elementos'!CP458,'LP Elementos'!CU458,'LP Elementos'!CZ458)," ")</f>
        <v>17255</v>
      </c>
      <c r="G458" s="341">
        <f>IFERROR(GEOMEAN('LP Elementos'!F458,'LP Elementos'!I458,'LP Elementos'!N458,'LP Elementos'!S458,'LP Elementos'!X458,'LP Elementos'!AC458,'LP Elementos'!AH458,'LP Elementos'!AM458,'LP Elementos'!AR458,'LP Elementos'!AW458,'LP Elementos'!BB458,'LP Elementos'!BG458,'LP Elementos'!BL458,'LP Elementos'!BQ458,'LP Elementos'!BV458,'LP Elementos'!CA458,'LP Elementos'!CF458,'LP Elementos'!CK458,'LP Elementos'!CP458,'LP Elementos'!CU458,'LP Elementos'!CZ458)," ")</f>
        <v>15275.086572642505</v>
      </c>
      <c r="H458" s="341">
        <f t="shared" si="36"/>
        <v>4172.509455838378</v>
      </c>
      <c r="I458" s="342">
        <f t="shared" si="37"/>
        <v>0.25588090601924218</v>
      </c>
      <c r="J458" s="341">
        <f t="shared" si="38"/>
        <v>15275.086572642505</v>
      </c>
      <c r="K458" s="326" t="str">
        <f t="shared" si="39"/>
        <v>Media Geometrica</v>
      </c>
      <c r="L458" s="326">
        <f>IFERROR(COUNTA('LP Elementos'!F458,'LP Elementos'!I458,'LP Elementos'!N458,'LP Elementos'!S458,'LP Elementos'!X458,'LP Elementos'!AC458,'LP Elementos'!AH458,'LP Elementos'!AM458,'LP Elementos'!AR458,'LP Elementos'!AX458,'LP Elementos'!BB458,'LP Elementos'!BG458,'LP Elementos'!BL458,'LP Elementos'!BQ458,'LP Elementos'!BV458,'LP Elementos'!CA458,'LP Elementos'!CF458,'LP Elementos'!CK458,'LP Elementos'!CP458,'LP Elementos'!CU458,'LP Elementos'!CZ458)," ")</f>
        <v>4</v>
      </c>
    </row>
    <row r="459" spans="2:12" x14ac:dyDescent="0.25">
      <c r="B459" s="411">
        <v>457</v>
      </c>
      <c r="C459" s="409" t="s">
        <v>4207</v>
      </c>
      <c r="D459" s="408">
        <f>IFERROR(MIN('LP Elementos'!F459,'LP Elementos'!I459,'LP Elementos'!N459,'LP Elementos'!S459,'LP Elementos'!X459,'LP Elementos'!AC459,'LP Elementos'!AH459,'LP Elementos'!AM459,'LP Elementos'!AR459,'LP Elementos'!AW459,'LP Elementos'!BB459,'LP Elementos'!BG459,'LP Elementos'!BL459,'LP Elementos'!BQ459,'LP Elementos'!BV459,'LP Elementos'!CA459,'LP Elementos'!CF459,'LP Elementos'!CK459,'LP Elementos'!CP459,'LP Elementos'!CU459,'LP Elementos'!CZ459)," ")</f>
        <v>28560</v>
      </c>
      <c r="E459" s="341">
        <f>IFERROR(AVERAGE('LP Elementos'!F459,'LP Elementos'!I459,'LP Elementos'!N459,'LP Elementos'!S459,'LP Elementos'!X459,'LP Elementos'!AC459,'LP Elementos'!AH459,'LP Elementos'!AM459,'LP Elementos'!AR459,'LP Elementos'!AW459,'LP Elementos'!BB459,'LP Elementos'!BG459,'LP Elementos'!BL459,'LP Elementos'!BQ459,'LP Elementos'!BV459,'LP Elementos'!CA459,'LP Elementos'!CF459,'LP Elementos'!CK459,'LP Elementos'!CP459,'LP Elementos'!CU459,'LP Elementos'!CZ459)," ")</f>
        <v>48472.666666666664</v>
      </c>
      <c r="F459" s="341">
        <f>IFERROR(MEDIAN('LP Elementos'!F459,'LP Elementos'!I459,'LP Elementos'!N459,'LP Elementos'!S459,'LP Elementos'!X459,'LP Elementos'!AC459,'LP Elementos'!AH459,'LP Elementos'!AM459,'LP Elementos'!AR459,'LP Elementos'!AW459,'LP Elementos'!BB459,'LP Elementos'!BG459,'LP Elementos'!BL459,'LP Elementos'!BQ459,'LP Elementos'!BV459,'LP Elementos'!CA459,'LP Elementos'!CF459,'LP Elementos'!CK459,'LP Elementos'!CP459,'LP Elementos'!CU459,'LP Elementos'!CZ459)," ")</f>
        <v>48909</v>
      </c>
      <c r="G459" s="341">
        <f>IFERROR(GEOMEAN('LP Elementos'!F459,'LP Elementos'!I459,'LP Elementos'!N459,'LP Elementos'!S459,'LP Elementos'!X459,'LP Elementos'!AC459,'LP Elementos'!AH459,'LP Elementos'!AM459,'LP Elementos'!AR459,'LP Elementos'!AW459,'LP Elementos'!BB459,'LP Elementos'!BG459,'LP Elementos'!BL459,'LP Elementos'!BQ459,'LP Elementos'!BV459,'LP Elementos'!CA459,'LP Elementos'!CF459,'LP Elementos'!CK459,'LP Elementos'!CP459,'LP Elementos'!CU459,'LP Elementos'!CZ459)," ")</f>
        <v>45615.245720913801</v>
      </c>
      <c r="H459" s="341">
        <f t="shared" si="36"/>
        <v>9663.856889929828</v>
      </c>
      <c r="I459" s="342">
        <f t="shared" si="37"/>
        <v>0.19936713934856404</v>
      </c>
      <c r="J459" s="341">
        <f t="shared" si="38"/>
        <v>48472.666666666664</v>
      </c>
      <c r="K459" s="326" t="str">
        <f t="shared" si="39"/>
        <v>Promedio</v>
      </c>
      <c r="L459" s="326">
        <f>IFERROR(COUNTA('LP Elementos'!F459,'LP Elementos'!I459,'LP Elementos'!N459,'LP Elementos'!S459,'LP Elementos'!X459,'LP Elementos'!AC459,'LP Elementos'!AH459,'LP Elementos'!AM459,'LP Elementos'!AR459,'LP Elementos'!AX459,'LP Elementos'!BB459,'LP Elementos'!BG459,'LP Elementos'!BL459,'LP Elementos'!BQ459,'LP Elementos'!BV459,'LP Elementos'!CA459,'LP Elementos'!CF459,'LP Elementos'!CK459,'LP Elementos'!CP459,'LP Elementos'!CU459,'LP Elementos'!CZ459)," ")</f>
        <v>3</v>
      </c>
    </row>
    <row r="460" spans="2:12" x14ac:dyDescent="0.25">
      <c r="B460" s="411">
        <v>458</v>
      </c>
      <c r="C460" s="412" t="s">
        <v>4211</v>
      </c>
      <c r="D460" s="408">
        <f>IFERROR(MIN('LP Elementos'!F460,'LP Elementos'!I460,'LP Elementos'!N460,'LP Elementos'!S460,'LP Elementos'!X460,'LP Elementos'!AC460,'LP Elementos'!AH460,'LP Elementos'!AM460,'LP Elementos'!AR460,'LP Elementos'!AW460,'LP Elementos'!BB460,'LP Elementos'!BG460,'LP Elementos'!BL460,'LP Elementos'!BQ460,'LP Elementos'!BV460,'LP Elementos'!CA460,'LP Elementos'!CF460,'LP Elementos'!CK460,'LP Elementos'!CP460,'LP Elementos'!CU460,'LP Elementos'!CZ460)," ")</f>
        <v>9282</v>
      </c>
      <c r="E460" s="341">
        <f>IFERROR(AVERAGE('LP Elementos'!F460,'LP Elementos'!I460,'LP Elementos'!N460,'LP Elementos'!S460,'LP Elementos'!X460,'LP Elementos'!AC460,'LP Elementos'!AH460,'LP Elementos'!AM460,'LP Elementos'!AR460,'LP Elementos'!AW460,'LP Elementos'!BB460,'LP Elementos'!BG460,'LP Elementos'!BL460,'LP Elementos'!BQ460,'LP Elementos'!BV460,'LP Elementos'!CA460,'LP Elementos'!CF460,'LP Elementos'!CK460,'LP Elementos'!CP460,'LP Elementos'!CU460,'LP Elementos'!CZ460)," ")</f>
        <v>16473.883999999998</v>
      </c>
      <c r="F460" s="341">
        <f>IFERROR(MEDIAN('LP Elementos'!F460,'LP Elementos'!I460,'LP Elementos'!N460,'LP Elementos'!S460,'LP Elementos'!X460,'LP Elementos'!AC460,'LP Elementos'!AH460,'LP Elementos'!AM460,'LP Elementos'!AR460,'LP Elementos'!AW460,'LP Elementos'!BB460,'LP Elementos'!BG460,'LP Elementos'!BL460,'LP Elementos'!BQ460,'LP Elementos'!BV460,'LP Elementos'!CA460,'LP Elementos'!CF460,'LP Elementos'!CK460,'LP Elementos'!CP460,'LP Elementos'!CU460,'LP Elementos'!CZ460)," ")</f>
        <v>17656.268</v>
      </c>
      <c r="G460" s="341">
        <f>IFERROR(GEOMEAN('LP Elementos'!F460,'LP Elementos'!I460,'LP Elementos'!N460,'LP Elementos'!S460,'LP Elementos'!X460,'LP Elementos'!AC460,'LP Elementos'!AH460,'LP Elementos'!AM460,'LP Elementos'!AR460,'LP Elementos'!AW460,'LP Elementos'!BB460,'LP Elementos'!BG460,'LP Elementos'!BL460,'LP Elementos'!BQ460,'LP Elementos'!BV460,'LP Elementos'!CA460,'LP Elementos'!CF460,'LP Elementos'!CK460,'LP Elementos'!CP460,'LP Elementos'!CU460,'LP Elementos'!CZ460)," ")</f>
        <v>15672.127365302025</v>
      </c>
      <c r="H460" s="341">
        <f t="shared" si="36"/>
        <v>3749.0326244808275</v>
      </c>
      <c r="I460" s="342">
        <f t="shared" si="37"/>
        <v>0.2275743002974179</v>
      </c>
      <c r="J460" s="341">
        <f t="shared" si="38"/>
        <v>15672.127365302025</v>
      </c>
      <c r="K460" s="326" t="str">
        <f t="shared" si="39"/>
        <v>Media Geometrica</v>
      </c>
      <c r="L460" s="326">
        <f>IFERROR(COUNTA('LP Elementos'!F460,'LP Elementos'!I460,'LP Elementos'!N460,'LP Elementos'!S460,'LP Elementos'!X460,'LP Elementos'!AC460,'LP Elementos'!AH460,'LP Elementos'!AM460,'LP Elementos'!AR460,'LP Elementos'!AX460,'LP Elementos'!BB460,'LP Elementos'!BG460,'LP Elementos'!BL460,'LP Elementos'!BQ460,'LP Elementos'!BV460,'LP Elementos'!CA460,'LP Elementos'!CF460,'LP Elementos'!CK460,'LP Elementos'!CP460,'LP Elementos'!CU460,'LP Elementos'!CZ460)," ")</f>
        <v>4</v>
      </c>
    </row>
    <row r="461" spans="2:12" x14ac:dyDescent="0.25">
      <c r="B461" s="411">
        <v>459</v>
      </c>
      <c r="C461" s="412" t="s">
        <v>4215</v>
      </c>
      <c r="D461" s="408">
        <f>IFERROR(MIN('LP Elementos'!F461,'LP Elementos'!I461,'LP Elementos'!N461,'LP Elementos'!S461,'LP Elementos'!X461,'LP Elementos'!AC461,'LP Elementos'!AH461,'LP Elementos'!AM461,'LP Elementos'!AR461,'LP Elementos'!AW461,'LP Elementos'!BB461,'LP Elementos'!BG461,'LP Elementos'!BL461,'LP Elementos'!BQ461,'LP Elementos'!BV461,'LP Elementos'!CA461,'LP Elementos'!CF461,'LP Elementos'!CK461,'LP Elementos'!CP461,'LP Elementos'!CU461,'LP Elementos'!CZ461)," ")</f>
        <v>10234</v>
      </c>
      <c r="E461" s="341">
        <f>IFERROR(AVERAGE('LP Elementos'!F461,'LP Elementos'!I461,'LP Elementos'!N461,'LP Elementos'!S461,'LP Elementos'!X461,'LP Elementos'!AC461,'LP Elementos'!AH461,'LP Elementos'!AM461,'LP Elementos'!AR461,'LP Elementos'!AW461,'LP Elementos'!BB461,'LP Elementos'!BG461,'LP Elementos'!BL461,'LP Elementos'!BQ461,'LP Elementos'!BV461,'LP Elementos'!CA461,'LP Elementos'!CF461,'LP Elementos'!CK461,'LP Elementos'!CP461,'LP Elementos'!CU461,'LP Elementos'!CZ461)," ")</f>
        <v>22358.731500000002</v>
      </c>
      <c r="F461" s="341">
        <f>IFERROR(MEDIAN('LP Elementos'!F461,'LP Elementos'!I461,'LP Elementos'!N461,'LP Elementos'!S461,'LP Elementos'!X461,'LP Elementos'!AC461,'LP Elementos'!AH461,'LP Elementos'!AM461,'LP Elementos'!AR461,'LP Elementos'!AW461,'LP Elementos'!BB461,'LP Elementos'!BG461,'LP Elementos'!BL461,'LP Elementos'!BQ461,'LP Elementos'!BV461,'LP Elementos'!CA461,'LP Elementos'!CF461,'LP Elementos'!CK461,'LP Elementos'!CP461,'LP Elementos'!CU461,'LP Elementos'!CZ461)," ")</f>
        <v>21750.463</v>
      </c>
      <c r="G461" s="341">
        <f>IFERROR(GEOMEAN('LP Elementos'!F461,'LP Elementos'!I461,'LP Elementos'!N461,'LP Elementos'!S461,'LP Elementos'!X461,'LP Elementos'!AC461,'LP Elementos'!AH461,'LP Elementos'!AM461,'LP Elementos'!AR461,'LP Elementos'!AW461,'LP Elementos'!BB461,'LP Elementos'!BG461,'LP Elementos'!BL461,'LP Elementos'!BQ461,'LP Elementos'!BV461,'LP Elementos'!CA461,'LP Elementos'!CF461,'LP Elementos'!CK461,'LP Elementos'!CP461,'LP Elementos'!CU461,'LP Elementos'!CZ461)," ")</f>
        <v>20388.200463805111</v>
      </c>
      <c r="H461" s="341">
        <f t="shared" si="36"/>
        <v>5692.49918303918</v>
      </c>
      <c r="I461" s="342">
        <f t="shared" si="37"/>
        <v>0.25459848574321758</v>
      </c>
      <c r="J461" s="341">
        <f t="shared" si="38"/>
        <v>20388.200463805111</v>
      </c>
      <c r="K461" s="326" t="str">
        <f t="shared" si="39"/>
        <v>Media Geometrica</v>
      </c>
      <c r="L461" s="326">
        <f>IFERROR(COUNTA('LP Elementos'!F461,'LP Elementos'!I461,'LP Elementos'!N461,'LP Elementos'!S461,'LP Elementos'!X461,'LP Elementos'!AC461,'LP Elementos'!AH461,'LP Elementos'!AM461,'LP Elementos'!AR461,'LP Elementos'!AX461,'LP Elementos'!BB461,'LP Elementos'!BG461,'LP Elementos'!BL461,'LP Elementos'!BQ461,'LP Elementos'!BV461,'LP Elementos'!CA461,'LP Elementos'!CF461,'LP Elementos'!CK461,'LP Elementos'!CP461,'LP Elementos'!CU461,'LP Elementos'!CZ461)," ")</f>
        <v>4</v>
      </c>
    </row>
    <row r="462" spans="2:12" ht="27" x14ac:dyDescent="0.25">
      <c r="B462" s="411">
        <v>460</v>
      </c>
      <c r="C462" s="412" t="s">
        <v>4220</v>
      </c>
      <c r="D462" s="408">
        <f>IFERROR(MIN('LP Elementos'!F462,'LP Elementos'!I462,'LP Elementos'!N462,'LP Elementos'!S462,'LP Elementos'!X462,'LP Elementos'!AC462,'LP Elementos'!AH462,'LP Elementos'!AM462,'LP Elementos'!AR462,'LP Elementos'!AW462,'LP Elementos'!BB462,'LP Elementos'!BG462,'LP Elementos'!BL462,'LP Elementos'!BQ462,'LP Elementos'!BV462,'LP Elementos'!CA462,'LP Elementos'!CF462,'LP Elementos'!CK462,'LP Elementos'!CP462,'LP Elementos'!CU462,'LP Elementos'!CZ462)," ")</f>
        <v>64260</v>
      </c>
      <c r="E462" s="341">
        <f>IFERROR(AVERAGE('LP Elementos'!F462,'LP Elementos'!I462,'LP Elementos'!N462,'LP Elementos'!S462,'LP Elementos'!X462,'LP Elementos'!AC462,'LP Elementos'!AH462,'LP Elementos'!AM462,'LP Elementos'!AR462,'LP Elementos'!AW462,'LP Elementos'!BB462,'LP Elementos'!BG462,'LP Elementos'!BL462,'LP Elementos'!BQ462,'LP Elementos'!BV462,'LP Elementos'!CA462,'LP Elementos'!CF462,'LP Elementos'!CK462,'LP Elementos'!CP462,'LP Elementos'!CU462,'LP Elementos'!CZ462)," ")</f>
        <v>221918.57800000001</v>
      </c>
      <c r="F462" s="341">
        <f>IFERROR(MEDIAN('LP Elementos'!F462,'LP Elementos'!I462,'LP Elementos'!N462,'LP Elementos'!S462,'LP Elementos'!X462,'LP Elementos'!AC462,'LP Elementos'!AH462,'LP Elementos'!AM462,'LP Elementos'!AR462,'LP Elementos'!AW462,'LP Elementos'!BB462,'LP Elementos'!BG462,'LP Elementos'!BL462,'LP Elementos'!BQ462,'LP Elementos'!BV462,'LP Elementos'!CA462,'LP Elementos'!CF462,'LP Elementos'!CK462,'LP Elementos'!CP462,'LP Elementos'!CU462,'LP Elementos'!CZ462)," ")</f>
        <v>221918.57800000001</v>
      </c>
      <c r="G462" s="341">
        <f>IFERROR(GEOMEAN('LP Elementos'!F462,'LP Elementos'!I462,'LP Elementos'!N462,'LP Elementos'!S462,'LP Elementos'!X462,'LP Elementos'!AC462,'LP Elementos'!AH462,'LP Elementos'!AM462,'LP Elementos'!AR462,'LP Elementos'!AW462,'LP Elementos'!BB462,'LP Elementos'!BG462,'LP Elementos'!BL462,'LP Elementos'!BQ462,'LP Elementos'!BV462,'LP Elementos'!CA462,'LP Elementos'!CF462,'LP Elementos'!CK462,'LP Elementos'!CP462,'LP Elementos'!CU462,'LP Elementos'!CZ462)," ")</f>
        <v>156178.19324271876</v>
      </c>
      <c r="H462" s="341">
        <f t="shared" si="36"/>
        <v>74612.89268564833</v>
      </c>
      <c r="I462" s="342">
        <f t="shared" si="37"/>
        <v>0.33621742423767842</v>
      </c>
      <c r="J462" s="341">
        <f t="shared" si="38"/>
        <v>64260</v>
      </c>
      <c r="K462" s="326" t="str">
        <f t="shared" si="39"/>
        <v>Menor Valor</v>
      </c>
      <c r="L462" s="326">
        <f>IFERROR(COUNTA('LP Elementos'!F462,'LP Elementos'!I462,'LP Elementos'!N462,'LP Elementos'!S462,'LP Elementos'!X462,'LP Elementos'!AC462,'LP Elementos'!AH462,'LP Elementos'!AM462,'LP Elementos'!AR462,'LP Elementos'!AX462,'LP Elementos'!BB462,'LP Elementos'!BG462,'LP Elementos'!BL462,'LP Elementos'!BQ462,'LP Elementos'!BV462,'LP Elementos'!CA462,'LP Elementos'!CF462,'LP Elementos'!CK462,'LP Elementos'!CP462,'LP Elementos'!CU462,'LP Elementos'!CZ462)," ")</f>
        <v>2</v>
      </c>
    </row>
    <row r="463" spans="2:12" ht="40.5" x14ac:dyDescent="0.25">
      <c r="B463" s="411">
        <v>461</v>
      </c>
      <c r="C463" s="412" t="s">
        <v>4222</v>
      </c>
      <c r="D463" s="408">
        <f>IFERROR(MIN('LP Elementos'!F463,'LP Elementos'!I463,'LP Elementos'!N463,'LP Elementos'!S463,'LP Elementos'!X463,'LP Elementos'!AC463,'LP Elementos'!AH463,'LP Elementos'!AM463,'LP Elementos'!AR463,'LP Elementos'!AW463,'LP Elementos'!BB463,'LP Elementos'!BG463,'LP Elementos'!BL463,'LP Elementos'!BQ463,'LP Elementos'!BV463,'LP Elementos'!CA463,'LP Elementos'!CF463,'LP Elementos'!CK463,'LP Elementos'!CP463,'LP Elementos'!CU463,'LP Elementos'!CZ463)," ")</f>
        <v>547400</v>
      </c>
      <c r="E463" s="341">
        <f>IFERROR(AVERAGE('LP Elementos'!F463,'LP Elementos'!I463,'LP Elementos'!N463,'LP Elementos'!S463,'LP Elementos'!X463,'LP Elementos'!AC463,'LP Elementos'!AH463,'LP Elementos'!AM463,'LP Elementos'!AR463,'LP Elementos'!AW463,'LP Elementos'!BB463,'LP Elementos'!BG463,'LP Elementos'!BL463,'LP Elementos'!BQ463,'LP Elementos'!BV463,'LP Elementos'!CA463,'LP Elementos'!CF463,'LP Elementos'!CK463,'LP Elementos'!CP463,'LP Elementos'!CU463,'LP Elementos'!CZ463)," ")</f>
        <v>929753.75919999997</v>
      </c>
      <c r="F463" s="341">
        <f>IFERROR(MEDIAN('LP Elementos'!F463,'LP Elementos'!I463,'LP Elementos'!N463,'LP Elementos'!S463,'LP Elementos'!X463,'LP Elementos'!AC463,'LP Elementos'!AH463,'LP Elementos'!AM463,'LP Elementos'!AR463,'LP Elementos'!AW463,'LP Elementos'!BB463,'LP Elementos'!BG463,'LP Elementos'!BL463,'LP Elementos'!BQ463,'LP Elementos'!BV463,'LP Elementos'!CA463,'LP Elementos'!CF463,'LP Elementos'!CK463,'LP Elementos'!CP463,'LP Elementos'!CU463,'LP Elementos'!CZ463)," ")</f>
        <v>654500</v>
      </c>
      <c r="G463" s="341">
        <f>IFERROR(GEOMEAN('LP Elementos'!F463,'LP Elementos'!I463,'LP Elementos'!N463,'LP Elementos'!S463,'LP Elementos'!X463,'LP Elementos'!AC463,'LP Elementos'!AH463,'LP Elementos'!AM463,'LP Elementos'!AR463,'LP Elementos'!AW463,'LP Elementos'!BB463,'LP Elementos'!BG463,'LP Elementos'!BL463,'LP Elementos'!BQ463,'LP Elementos'!BV463,'LP Elementos'!CA463,'LP Elementos'!CF463,'LP Elementos'!CK463,'LP Elementos'!CP463,'LP Elementos'!CU463,'LP Elementos'!CZ463)," ")</f>
        <v>794424.730448624</v>
      </c>
      <c r="H463" s="341">
        <f t="shared" si="36"/>
        <v>166419.03256419409</v>
      </c>
      <c r="I463" s="342">
        <f t="shared" si="37"/>
        <v>0.17899258907798143</v>
      </c>
      <c r="J463" s="341">
        <f t="shared" si="38"/>
        <v>929753.75919999997</v>
      </c>
      <c r="K463" s="326" t="str">
        <f t="shared" si="39"/>
        <v>Promedio</v>
      </c>
      <c r="L463" s="326">
        <f>IFERROR(COUNTA('LP Elementos'!F463,'LP Elementos'!I463,'LP Elementos'!N463,'LP Elementos'!S463,'LP Elementos'!X463,'LP Elementos'!AC463,'LP Elementos'!AH463,'LP Elementos'!AM463,'LP Elementos'!AR463,'LP Elementos'!AX463,'LP Elementos'!BB463,'LP Elementos'!BG463,'LP Elementos'!BL463,'LP Elementos'!BQ463,'LP Elementos'!BV463,'LP Elementos'!CA463,'LP Elementos'!CF463,'LP Elementos'!CK463,'LP Elementos'!CP463,'LP Elementos'!CU463,'LP Elementos'!CZ463)," ")</f>
        <v>5</v>
      </c>
    </row>
    <row r="464" spans="2:12" ht="40.5" x14ac:dyDescent="0.25">
      <c r="B464" s="411">
        <v>462</v>
      </c>
      <c r="C464" s="412" t="s">
        <v>4228</v>
      </c>
      <c r="D464" s="408">
        <f>IFERROR(MIN('LP Elementos'!F464,'LP Elementos'!I464,'LP Elementos'!N464,'LP Elementos'!S464,'LP Elementos'!X464,'LP Elementos'!AC464,'LP Elementos'!AH464,'LP Elementos'!AM464,'LP Elementos'!AR464,'LP Elementos'!AW464,'LP Elementos'!BB464,'LP Elementos'!BG464,'LP Elementos'!BL464,'LP Elementos'!BQ464,'LP Elementos'!BV464,'LP Elementos'!CA464,'LP Elementos'!CF464,'LP Elementos'!CK464,'LP Elementos'!CP464,'LP Elementos'!CU464,'LP Elementos'!CZ464)," ")</f>
        <v>190982.084</v>
      </c>
      <c r="E464" s="341">
        <f>IFERROR(AVERAGE('LP Elementos'!F464,'LP Elementos'!I464,'LP Elementos'!N464,'LP Elementos'!S464,'LP Elementos'!X464,'LP Elementos'!AC464,'LP Elementos'!AH464,'LP Elementos'!AM464,'LP Elementos'!AR464,'LP Elementos'!AW464,'LP Elementos'!BB464,'LP Elementos'!BG464,'LP Elementos'!BL464,'LP Elementos'!BQ464,'LP Elementos'!BV464,'LP Elementos'!CA464,'LP Elementos'!CF464,'LP Elementos'!CK464,'LP Elementos'!CP464,'LP Elementos'!CU464,'LP Elementos'!CZ464)," ")</f>
        <v>535215.14879999997</v>
      </c>
      <c r="F464" s="341">
        <f>IFERROR(MEDIAN('LP Elementos'!F464,'LP Elementos'!I464,'LP Elementos'!N464,'LP Elementos'!S464,'LP Elementos'!X464,'LP Elementos'!AC464,'LP Elementos'!AH464,'LP Elementos'!AM464,'LP Elementos'!AR464,'LP Elementos'!AW464,'LP Elementos'!BB464,'LP Elementos'!BG464,'LP Elementos'!BL464,'LP Elementos'!BQ464,'LP Elementos'!BV464,'LP Elementos'!CA464,'LP Elementos'!CF464,'LP Elementos'!CK464,'LP Elementos'!CP464,'LP Elementos'!CU464,'LP Elementos'!CZ464)," ")</f>
        <v>392700</v>
      </c>
      <c r="G464" s="341">
        <f>IFERROR(GEOMEAN('LP Elementos'!F464,'LP Elementos'!I464,'LP Elementos'!N464,'LP Elementos'!S464,'LP Elementos'!X464,'LP Elementos'!AC464,'LP Elementos'!AH464,'LP Elementos'!AM464,'LP Elementos'!AR464,'LP Elementos'!AW464,'LP Elementos'!BB464,'LP Elementos'!BG464,'LP Elementos'!BL464,'LP Elementos'!BQ464,'LP Elementos'!BV464,'LP Elementos'!CA464,'LP Elementos'!CF464,'LP Elementos'!CK464,'LP Elementos'!CP464,'LP Elementos'!CU464,'LP Elementos'!CZ464)," ")</f>
        <v>429939.44061178219</v>
      </c>
      <c r="H464" s="341">
        <f t="shared" si="36"/>
        <v>144068.11384578064</v>
      </c>
      <c r="I464" s="342">
        <f t="shared" si="37"/>
        <v>0.26917794492325969</v>
      </c>
      <c r="J464" s="341">
        <f t="shared" si="38"/>
        <v>429939.44061178219</v>
      </c>
      <c r="K464" s="326" t="str">
        <f t="shared" si="39"/>
        <v>Media Geometrica</v>
      </c>
      <c r="L464" s="326">
        <f>IFERROR(COUNTA('LP Elementos'!F464,'LP Elementos'!I464,'LP Elementos'!N464,'LP Elementos'!S464,'LP Elementos'!X464,'LP Elementos'!AC464,'LP Elementos'!AH464,'LP Elementos'!AM464,'LP Elementos'!AR464,'LP Elementos'!AX464,'LP Elementos'!BB464,'LP Elementos'!BG464,'LP Elementos'!BL464,'LP Elementos'!BQ464,'LP Elementos'!BV464,'LP Elementos'!CA464,'LP Elementos'!CF464,'LP Elementos'!CK464,'LP Elementos'!CP464,'LP Elementos'!CU464,'LP Elementos'!CZ464)," ")</f>
        <v>5</v>
      </c>
    </row>
    <row r="465" spans="2:12" x14ac:dyDescent="0.25">
      <c r="B465" s="411">
        <v>463</v>
      </c>
      <c r="C465" s="412" t="s">
        <v>4232</v>
      </c>
      <c r="D465" s="408">
        <f>IFERROR(MIN('LP Elementos'!F465,'LP Elementos'!I465,'LP Elementos'!N465,'LP Elementos'!S465,'LP Elementos'!X465,'LP Elementos'!AC465,'LP Elementos'!AH465,'LP Elementos'!AM465,'LP Elementos'!AR465,'LP Elementos'!AW465,'LP Elementos'!BB465,'LP Elementos'!BG465,'LP Elementos'!BL465,'LP Elementos'!BQ465,'LP Elementos'!BV465,'LP Elementos'!CA465,'LP Elementos'!CF465,'LP Elementos'!CK465,'LP Elementos'!CP465,'LP Elementos'!CU465,'LP Elementos'!CZ465)," ")</f>
        <v>323680</v>
      </c>
      <c r="E465" s="341">
        <f>IFERROR(AVERAGE('LP Elementos'!F465,'LP Elementos'!I465,'LP Elementos'!N465,'LP Elementos'!S465,'LP Elementos'!X465,'LP Elementos'!AC465,'LP Elementos'!AH465,'LP Elementos'!AM465,'LP Elementos'!AR465,'LP Elementos'!AW465,'LP Elementos'!BB465,'LP Elementos'!BG465,'LP Elementos'!BL465,'LP Elementos'!BQ465,'LP Elementos'!BV465,'LP Elementos'!CA465,'LP Elementos'!CF465,'LP Elementos'!CK465,'LP Elementos'!CP465,'LP Elementos'!CU465,'LP Elementos'!CZ465)," ")</f>
        <v>480119.8395</v>
      </c>
      <c r="F465" s="341">
        <f>IFERROR(MEDIAN('LP Elementos'!F465,'LP Elementos'!I465,'LP Elementos'!N465,'LP Elementos'!S465,'LP Elementos'!X465,'LP Elementos'!AC465,'LP Elementos'!AH465,'LP Elementos'!AM465,'LP Elementos'!AR465,'LP Elementos'!AW465,'LP Elementos'!BB465,'LP Elementos'!BG465,'LP Elementos'!BL465,'LP Elementos'!BQ465,'LP Elementos'!BV465,'LP Elementos'!CA465,'LP Elementos'!CF465,'LP Elementos'!CK465,'LP Elementos'!CP465,'LP Elementos'!CU465,'LP Elementos'!CZ465)," ")</f>
        <v>424382.679</v>
      </c>
      <c r="G465" s="341">
        <f>IFERROR(GEOMEAN('LP Elementos'!F465,'LP Elementos'!I465,'LP Elementos'!N465,'LP Elementos'!S465,'LP Elementos'!X465,'LP Elementos'!AC465,'LP Elementos'!AH465,'LP Elementos'!AM465,'LP Elementos'!AR465,'LP Elementos'!AW465,'LP Elementos'!BB465,'LP Elementos'!BG465,'LP Elementos'!BL465,'LP Elementos'!BQ465,'LP Elementos'!BV465,'LP Elementos'!CA465,'LP Elementos'!CF465,'LP Elementos'!CK465,'LP Elementos'!CP465,'LP Elementos'!CU465,'LP Elementos'!CZ465)," ")</f>
        <v>456257.18898379355</v>
      </c>
      <c r="H465" s="341">
        <f t="shared" si="36"/>
        <v>68849.597866397031</v>
      </c>
      <c r="I465" s="342">
        <f t="shared" si="37"/>
        <v>0.14340085995633395</v>
      </c>
      <c r="J465" s="341">
        <f t="shared" si="38"/>
        <v>480119.8395</v>
      </c>
      <c r="K465" s="326" t="str">
        <f t="shared" si="39"/>
        <v>Promedio</v>
      </c>
      <c r="L465" s="326">
        <f>IFERROR(COUNTA('LP Elementos'!F465,'LP Elementos'!I465,'LP Elementos'!N465,'LP Elementos'!S465,'LP Elementos'!X465,'LP Elementos'!AC465,'LP Elementos'!AH465,'LP Elementos'!AM465,'LP Elementos'!AR465,'LP Elementos'!AX465,'LP Elementos'!BB465,'LP Elementos'!BG465,'LP Elementos'!BL465,'LP Elementos'!BQ465,'LP Elementos'!BV465,'LP Elementos'!CA465,'LP Elementos'!CF465,'LP Elementos'!CK465,'LP Elementos'!CP465,'LP Elementos'!CU465,'LP Elementos'!CZ465)," ")</f>
        <v>4</v>
      </c>
    </row>
    <row r="466" spans="2:12" x14ac:dyDescent="0.25">
      <c r="B466" s="411">
        <v>464</v>
      </c>
      <c r="C466" s="412" t="s">
        <v>4237</v>
      </c>
      <c r="D466" s="408">
        <f>IFERROR(MIN('LP Elementos'!F466,'LP Elementos'!I466,'LP Elementos'!N466,'LP Elementos'!S466,'LP Elementos'!X466,'LP Elementos'!AC466,'LP Elementos'!AH466,'LP Elementos'!AM466,'LP Elementos'!AR466,'LP Elementos'!AW466,'LP Elementos'!BB466,'LP Elementos'!BG466,'LP Elementos'!BL466,'LP Elementos'!BQ466,'LP Elementos'!BV466,'LP Elementos'!CA466,'LP Elementos'!CF466,'LP Elementos'!CK466,'LP Elementos'!CP466,'LP Elementos'!CU466,'LP Elementos'!CZ466)," ")</f>
        <v>266322</v>
      </c>
      <c r="E466" s="341">
        <f>IFERROR(AVERAGE('LP Elementos'!F466,'LP Elementos'!I466,'LP Elementos'!N466,'LP Elementos'!S466,'LP Elementos'!X466,'LP Elementos'!AC466,'LP Elementos'!AH466,'LP Elementos'!AM466,'LP Elementos'!AR466,'LP Elementos'!AW466,'LP Elementos'!BB466,'LP Elementos'!BG466,'LP Elementos'!BL466,'LP Elementos'!BQ466,'LP Elementos'!BV466,'LP Elementos'!CA466,'LP Elementos'!CF466,'LP Elementos'!CK466,'LP Elementos'!CP466,'LP Elementos'!CU466,'LP Elementos'!CZ466)," ")</f>
        <v>482527.7846666667</v>
      </c>
      <c r="F466" s="341">
        <f>IFERROR(MEDIAN('LP Elementos'!F466,'LP Elementos'!I466,'LP Elementos'!N466,'LP Elementos'!S466,'LP Elementos'!X466,'LP Elementos'!AC466,'LP Elementos'!AH466,'LP Elementos'!AM466,'LP Elementos'!AR466,'LP Elementos'!AW466,'LP Elementos'!BB466,'LP Elementos'!BG466,'LP Elementos'!BL466,'LP Elementos'!BQ466,'LP Elementos'!BV466,'LP Elementos'!CA466,'LP Elementos'!CF466,'LP Elementos'!CK466,'LP Elementos'!CP466,'LP Elementos'!CU466,'LP Elementos'!CZ466)," ")</f>
        <v>305421.35399999999</v>
      </c>
      <c r="G466" s="341">
        <f>IFERROR(GEOMEAN('LP Elementos'!F466,'LP Elementos'!I466,'LP Elementos'!N466,'LP Elementos'!S466,'LP Elementos'!X466,'LP Elementos'!AC466,'LP Elementos'!AH466,'LP Elementos'!AM466,'LP Elementos'!AR466,'LP Elementos'!AW466,'LP Elementos'!BB466,'LP Elementos'!BG466,'LP Elementos'!BL466,'LP Elementos'!BQ466,'LP Elementos'!BV466,'LP Elementos'!CA466,'LP Elementos'!CF466,'LP Elementos'!CK466,'LP Elementos'!CP466,'LP Elementos'!CU466,'LP Elementos'!CZ466)," ")</f>
        <v>414550.14604897221</v>
      </c>
      <c r="H466" s="341">
        <f t="shared" si="36"/>
        <v>99222.823515750788</v>
      </c>
      <c r="I466" s="342">
        <f t="shared" si="37"/>
        <v>0.20563131630709008</v>
      </c>
      <c r="J466" s="341">
        <f t="shared" si="38"/>
        <v>414550.14604897221</v>
      </c>
      <c r="K466" s="326" t="str">
        <f t="shared" si="39"/>
        <v>Media Geometrica</v>
      </c>
      <c r="L466" s="326">
        <f>IFERROR(COUNTA('LP Elementos'!F466,'LP Elementos'!I466,'LP Elementos'!N466,'LP Elementos'!S466,'LP Elementos'!X466,'LP Elementos'!AC466,'LP Elementos'!AH466,'LP Elementos'!AM466,'LP Elementos'!AR466,'LP Elementos'!AX466,'LP Elementos'!BB466,'LP Elementos'!BG466,'LP Elementos'!BL466,'LP Elementos'!BQ466,'LP Elementos'!BV466,'LP Elementos'!CA466,'LP Elementos'!CF466,'LP Elementos'!CK466,'LP Elementos'!CP466,'LP Elementos'!CU466,'LP Elementos'!CZ466)," ")</f>
        <v>3</v>
      </c>
    </row>
    <row r="467" spans="2:12" x14ac:dyDescent="0.25">
      <c r="B467" s="411">
        <v>465</v>
      </c>
      <c r="C467" s="412" t="s">
        <v>4242</v>
      </c>
      <c r="D467" s="408">
        <f>IFERROR(MIN('LP Elementos'!F467,'LP Elementos'!I467,'LP Elementos'!N467,'LP Elementos'!S467,'LP Elementos'!X467,'LP Elementos'!AC467,'LP Elementos'!AH467,'LP Elementos'!AM467,'LP Elementos'!AR467,'LP Elementos'!AW467,'LP Elementos'!BB467,'LP Elementos'!BG467,'LP Elementos'!BL467,'LP Elementos'!BQ467,'LP Elementos'!BV467,'LP Elementos'!CA467,'LP Elementos'!CF467,'LP Elementos'!CK467,'LP Elementos'!CP467,'LP Elementos'!CU467,'LP Elementos'!CZ467)," ")</f>
        <v>1131690</v>
      </c>
      <c r="E467" s="341">
        <f>IFERROR(AVERAGE('LP Elementos'!F467,'LP Elementos'!I467,'LP Elementos'!N467,'LP Elementos'!S467,'LP Elementos'!X467,'LP Elementos'!AC467,'LP Elementos'!AH467,'LP Elementos'!AM467,'LP Elementos'!AR467,'LP Elementos'!AW467,'LP Elementos'!BB467,'LP Elementos'!BG467,'LP Elementos'!BL467,'LP Elementos'!BQ467,'LP Elementos'!BV467,'LP Elementos'!CA467,'LP Elementos'!CF467,'LP Elementos'!CK467,'LP Elementos'!CP467,'LP Elementos'!CU467,'LP Elementos'!CZ467)," ")</f>
        <v>1335689.1121999999</v>
      </c>
      <c r="F467" s="341">
        <f>IFERROR(MEDIAN('LP Elementos'!F467,'LP Elementos'!I467,'LP Elementos'!N467,'LP Elementos'!S467,'LP Elementos'!X467,'LP Elementos'!AC467,'LP Elementos'!AH467,'LP Elementos'!AM467,'LP Elementos'!AR467,'LP Elementos'!AW467,'LP Elementos'!BB467,'LP Elementos'!BG467,'LP Elementos'!BL467,'LP Elementos'!BQ467,'LP Elementos'!BV467,'LP Elementos'!CA467,'LP Elementos'!CF467,'LP Elementos'!CK467,'LP Elementos'!CP467,'LP Elementos'!CU467,'LP Elementos'!CZ467)," ")</f>
        <v>1335689.1121999999</v>
      </c>
      <c r="G467" s="341">
        <f>IFERROR(GEOMEAN('LP Elementos'!F467,'LP Elementos'!I467,'LP Elementos'!N467,'LP Elementos'!S467,'LP Elementos'!X467,'LP Elementos'!AC467,'LP Elementos'!AH467,'LP Elementos'!AM467,'LP Elementos'!AR467,'LP Elementos'!AW467,'LP Elementos'!BB467,'LP Elementos'!BG467,'LP Elementos'!BL467,'LP Elementos'!BQ467,'LP Elementos'!BV467,'LP Elementos'!CA467,'LP Elementos'!CF467,'LP Elementos'!CK467,'LP Elementos'!CP467,'LP Elementos'!CU467,'LP Elementos'!CZ467)," ")</f>
        <v>1320018.8508772273</v>
      </c>
      <c r="H467" s="341">
        <f t="shared" si="36"/>
        <v>99661.989498404524</v>
      </c>
      <c r="I467" s="342">
        <f t="shared" si="37"/>
        <v>7.4614660393729104E-2</v>
      </c>
      <c r="J467" s="341">
        <f t="shared" si="38"/>
        <v>1335689.1121999999</v>
      </c>
      <c r="K467" s="326" t="str">
        <f t="shared" si="39"/>
        <v>Promedio</v>
      </c>
      <c r="L467" s="326">
        <f>IFERROR(COUNTA('LP Elementos'!F467,'LP Elementos'!I467,'LP Elementos'!N467,'LP Elementos'!S467,'LP Elementos'!X467,'LP Elementos'!AC467,'LP Elementos'!AH467,'LP Elementos'!AM467,'LP Elementos'!AR467,'LP Elementos'!AX467,'LP Elementos'!BB467,'LP Elementos'!BG467,'LP Elementos'!BL467,'LP Elementos'!BQ467,'LP Elementos'!BV467,'LP Elementos'!CA467,'LP Elementos'!CF467,'LP Elementos'!CK467,'LP Elementos'!CP467,'LP Elementos'!CU467,'LP Elementos'!CZ467)," ")</f>
        <v>2</v>
      </c>
    </row>
    <row r="468" spans="2:12" x14ac:dyDescent="0.25">
      <c r="B468" s="411">
        <v>466</v>
      </c>
      <c r="C468" s="412" t="s">
        <v>4245</v>
      </c>
      <c r="D468" s="408">
        <f>IFERROR(MIN('LP Elementos'!F468,'LP Elementos'!I468,'LP Elementos'!N468,'LP Elementos'!S468,'LP Elementos'!X468,'LP Elementos'!AC468,'LP Elementos'!AH468,'LP Elementos'!AM468,'LP Elementos'!AR468,'LP Elementos'!AW468,'LP Elementos'!BB468,'LP Elementos'!BG468,'LP Elementos'!BL468,'LP Elementos'!BQ468,'LP Elementos'!BV468,'LP Elementos'!CA468,'LP Elementos'!CF468,'LP Elementos'!CK468,'LP Elementos'!CP468,'LP Elementos'!CU468,'LP Elementos'!CZ468)," ")</f>
        <v>64855</v>
      </c>
      <c r="E468" s="341">
        <f>IFERROR(AVERAGE('LP Elementos'!F468,'LP Elementos'!I468,'LP Elementos'!N468,'LP Elementos'!S468,'LP Elementos'!X468,'LP Elementos'!AC468,'LP Elementos'!AH468,'LP Elementos'!AM468,'LP Elementos'!AR468,'LP Elementos'!AW468,'LP Elementos'!BB468,'LP Elementos'!BG468,'LP Elementos'!BL468,'LP Elementos'!BQ468,'LP Elementos'!BV468,'LP Elementos'!CA468,'LP Elementos'!CF468,'LP Elementos'!CK468,'LP Elementos'!CP468,'LP Elementos'!CU468,'LP Elementos'!CZ468)," ")</f>
        <v>154570.44808</v>
      </c>
      <c r="F468" s="341">
        <f>IFERROR(MEDIAN('LP Elementos'!F468,'LP Elementos'!I468,'LP Elementos'!N468,'LP Elementos'!S468,'LP Elementos'!X468,'LP Elementos'!AC468,'LP Elementos'!AH468,'LP Elementos'!AM468,'LP Elementos'!AR468,'LP Elementos'!AW468,'LP Elementos'!BB468,'LP Elementos'!BG468,'LP Elementos'!BL468,'LP Elementos'!BQ468,'LP Elementos'!BV468,'LP Elementos'!CA468,'LP Elementos'!CF468,'LP Elementos'!CK468,'LP Elementos'!CP468,'LP Elementos'!CU468,'LP Elementos'!CZ468)," ")</f>
        <v>81634</v>
      </c>
      <c r="G468" s="341">
        <f>IFERROR(GEOMEAN('LP Elementos'!F468,'LP Elementos'!I468,'LP Elementos'!N468,'LP Elementos'!S468,'LP Elementos'!X468,'LP Elementos'!AC468,'LP Elementos'!AH468,'LP Elementos'!AM468,'LP Elementos'!AR468,'LP Elementos'!AW468,'LP Elementos'!BB468,'LP Elementos'!BG468,'LP Elementos'!BL468,'LP Elementos'!BQ468,'LP Elementos'!BV468,'LP Elementos'!CA468,'LP Elementos'!CF468,'LP Elementos'!CK468,'LP Elementos'!CP468,'LP Elementos'!CU468,'LP Elementos'!CZ468)," ")</f>
        <v>124518.80358364142</v>
      </c>
      <c r="H468" s="341">
        <f t="shared" si="36"/>
        <v>40775.91108437685</v>
      </c>
      <c r="I468" s="342">
        <f t="shared" si="37"/>
        <v>0.26380146781532737</v>
      </c>
      <c r="J468" s="341">
        <f t="shared" si="38"/>
        <v>124518.80358364142</v>
      </c>
      <c r="K468" s="326" t="str">
        <f t="shared" si="39"/>
        <v>Media Geometrica</v>
      </c>
      <c r="L468" s="326">
        <f>IFERROR(COUNTA('LP Elementos'!F468,'LP Elementos'!I468,'LP Elementos'!N468,'LP Elementos'!S468,'LP Elementos'!X468,'LP Elementos'!AC468,'LP Elementos'!AH468,'LP Elementos'!AM468,'LP Elementos'!AR468,'LP Elementos'!AX468,'LP Elementos'!BB468,'LP Elementos'!BG468,'LP Elementos'!BL468,'LP Elementos'!BQ468,'LP Elementos'!BV468,'LP Elementos'!CA468,'LP Elementos'!CF468,'LP Elementos'!CK468,'LP Elementos'!CP468,'LP Elementos'!CU468,'LP Elementos'!CZ468)," ")</f>
        <v>5</v>
      </c>
    </row>
    <row r="469" spans="2:12" x14ac:dyDescent="0.25">
      <c r="B469" s="411">
        <v>467</v>
      </c>
      <c r="C469" s="412" t="s">
        <v>4252</v>
      </c>
      <c r="D469" s="408">
        <f>IFERROR(MIN('LP Elementos'!F469,'LP Elementos'!I469,'LP Elementos'!N469,'LP Elementos'!S469,'LP Elementos'!X469,'LP Elementos'!AC469,'LP Elementos'!AH469,'LP Elementos'!AM469,'LP Elementos'!AR469,'LP Elementos'!AW469,'LP Elementos'!BB469,'LP Elementos'!BG469,'LP Elementos'!BL469,'LP Elementos'!BQ469,'LP Elementos'!BV469,'LP Elementos'!CA469,'LP Elementos'!CF469,'LP Elementos'!CK469,'LP Elementos'!CP469,'LP Elementos'!CU469,'LP Elementos'!CZ469)," ")</f>
        <v>233656.78880000001</v>
      </c>
      <c r="E469" s="341">
        <f>IFERROR(AVERAGE('LP Elementos'!F469,'LP Elementos'!I469,'LP Elementos'!N469,'LP Elementos'!S469,'LP Elementos'!X469,'LP Elementos'!AC469,'LP Elementos'!AH469,'LP Elementos'!AM469,'LP Elementos'!AR469,'LP Elementos'!AW469,'LP Elementos'!BB469,'LP Elementos'!BG469,'LP Elementos'!BL469,'LP Elementos'!BQ469,'LP Elementos'!BV469,'LP Elementos'!CA469,'LP Elementos'!CF469,'LP Elementos'!CK469,'LP Elementos'!CP469,'LP Elementos'!CU469,'LP Elementos'!CZ469)," ")</f>
        <v>321508.39439999999</v>
      </c>
      <c r="F469" s="341">
        <f>IFERROR(MEDIAN('LP Elementos'!F469,'LP Elementos'!I469,'LP Elementos'!N469,'LP Elementos'!S469,'LP Elementos'!X469,'LP Elementos'!AC469,'LP Elementos'!AH469,'LP Elementos'!AM469,'LP Elementos'!AR469,'LP Elementos'!AW469,'LP Elementos'!BB469,'LP Elementos'!BG469,'LP Elementos'!BL469,'LP Elementos'!BQ469,'LP Elementos'!BV469,'LP Elementos'!CA469,'LP Elementos'!CF469,'LP Elementos'!CK469,'LP Elementos'!CP469,'LP Elementos'!CU469,'LP Elementos'!CZ469)," ")</f>
        <v>321508.39439999999</v>
      </c>
      <c r="G469" s="341">
        <f>IFERROR(GEOMEAN('LP Elementos'!F469,'LP Elementos'!I469,'LP Elementos'!N469,'LP Elementos'!S469,'LP Elementos'!X469,'LP Elementos'!AC469,'LP Elementos'!AH469,'LP Elementos'!AM469,'LP Elementos'!AR469,'LP Elementos'!AW469,'LP Elementos'!BB469,'LP Elementos'!BG469,'LP Elementos'!BL469,'LP Elementos'!BQ469,'LP Elementos'!BV469,'LP Elementos'!CA469,'LP Elementos'!CF469,'LP Elementos'!CK469,'LP Elementos'!CP469,'LP Elementos'!CU469,'LP Elementos'!CZ469)," ")</f>
        <v>309272.92649562459</v>
      </c>
      <c r="H469" s="341">
        <f t="shared" si="36"/>
        <v>42281.815282180556</v>
      </c>
      <c r="I469" s="342">
        <f t="shared" si="37"/>
        <v>0.13151076618415211</v>
      </c>
      <c r="J469" s="341">
        <f t="shared" si="38"/>
        <v>321508.39439999999</v>
      </c>
      <c r="K469" s="326" t="str">
        <f t="shared" si="39"/>
        <v>Promedio</v>
      </c>
      <c r="L469" s="326">
        <f>IFERROR(COUNTA('LP Elementos'!F469,'LP Elementos'!I469,'LP Elementos'!N469,'LP Elementos'!S469,'LP Elementos'!X469,'LP Elementos'!AC469,'LP Elementos'!AH469,'LP Elementos'!AM469,'LP Elementos'!AR469,'LP Elementos'!AX469,'LP Elementos'!BB469,'LP Elementos'!BG469,'LP Elementos'!BL469,'LP Elementos'!BQ469,'LP Elementos'!BV469,'LP Elementos'!CA469,'LP Elementos'!CF469,'LP Elementos'!CK469,'LP Elementos'!CP469,'LP Elementos'!CU469,'LP Elementos'!CZ469)," ")</f>
        <v>2</v>
      </c>
    </row>
    <row r="470" spans="2:12" ht="40.5" x14ac:dyDescent="0.25">
      <c r="B470" s="411">
        <v>468</v>
      </c>
      <c r="C470" s="409" t="s">
        <v>4256</v>
      </c>
      <c r="D470" s="408">
        <f>IFERROR(MIN('LP Elementos'!F470,'LP Elementos'!I470,'LP Elementos'!N470,'LP Elementos'!S470,'LP Elementos'!X470,'LP Elementos'!AC470,'LP Elementos'!AH470,'LP Elementos'!AM470,'LP Elementos'!AR470,'LP Elementos'!AW470,'LP Elementos'!BB470,'LP Elementos'!BG470,'LP Elementos'!BL470,'LP Elementos'!BQ470,'LP Elementos'!BV470,'LP Elementos'!CA470,'LP Elementos'!CF470,'LP Elementos'!CK470,'LP Elementos'!CP470,'LP Elementos'!CU470,'LP Elementos'!CZ470)," ")</f>
        <v>595000</v>
      </c>
      <c r="E470" s="341">
        <f>IFERROR(AVERAGE('LP Elementos'!F470,'LP Elementos'!I470,'LP Elementos'!N470,'LP Elementos'!S470,'LP Elementos'!X470,'LP Elementos'!AC470,'LP Elementos'!AH470,'LP Elementos'!AM470,'LP Elementos'!AR470,'LP Elementos'!AW470,'LP Elementos'!BB470,'LP Elementos'!BG470,'LP Elementos'!BL470,'LP Elementos'!BQ470,'LP Elementos'!BV470,'LP Elementos'!CA470,'LP Elementos'!CF470,'LP Elementos'!CK470,'LP Elementos'!CP470,'LP Elementos'!CU470,'LP Elementos'!CZ470)," ")</f>
        <v>595000</v>
      </c>
      <c r="F470" s="341">
        <f>IFERROR(MEDIAN('LP Elementos'!F470,'LP Elementos'!I470,'LP Elementos'!N470,'LP Elementos'!S470,'LP Elementos'!X470,'LP Elementos'!AC470,'LP Elementos'!AH470,'LP Elementos'!AM470,'LP Elementos'!AR470,'LP Elementos'!AW470,'LP Elementos'!BB470,'LP Elementos'!BG470,'LP Elementos'!BL470,'LP Elementos'!BQ470,'LP Elementos'!BV470,'LP Elementos'!CA470,'LP Elementos'!CF470,'LP Elementos'!CK470,'LP Elementos'!CP470,'LP Elementos'!CU470,'LP Elementos'!CZ470)," ")</f>
        <v>595000</v>
      </c>
      <c r="G470" s="341">
        <f>IFERROR(GEOMEAN('LP Elementos'!F470,'LP Elementos'!I470,'LP Elementos'!N470,'LP Elementos'!S470,'LP Elementos'!X470,'LP Elementos'!AC470,'LP Elementos'!AH470,'LP Elementos'!AM470,'LP Elementos'!AR470,'LP Elementos'!AW470,'LP Elementos'!BB470,'LP Elementos'!BG470,'LP Elementos'!BL470,'LP Elementos'!BQ470,'LP Elementos'!BV470,'LP Elementos'!CA470,'LP Elementos'!CF470,'LP Elementos'!CK470,'LP Elementos'!CP470,'LP Elementos'!CU470,'LP Elementos'!CZ470)," ")</f>
        <v>595000</v>
      </c>
      <c r="H470" s="341">
        <f t="shared" si="36"/>
        <v>0</v>
      </c>
      <c r="I470" s="342">
        <f t="shared" si="37"/>
        <v>0</v>
      </c>
      <c r="J470" s="341">
        <f t="shared" si="38"/>
        <v>595000</v>
      </c>
      <c r="K470" s="326" t="str">
        <f t="shared" si="39"/>
        <v>Menor Valor</v>
      </c>
      <c r="L470" s="326">
        <f>IFERROR(COUNTA('LP Elementos'!F470,'LP Elementos'!I470,'LP Elementos'!N470,'LP Elementos'!S470,'LP Elementos'!X470,'LP Elementos'!AC470,'LP Elementos'!AH470,'LP Elementos'!AM470,'LP Elementos'!AR470,'LP Elementos'!AX470,'LP Elementos'!BB470,'LP Elementos'!BG470,'LP Elementos'!BL470,'LP Elementos'!BQ470,'LP Elementos'!BV470,'LP Elementos'!CA470,'LP Elementos'!CF470,'LP Elementos'!CK470,'LP Elementos'!CP470,'LP Elementos'!CU470,'LP Elementos'!CZ470)," ")</f>
        <v>1</v>
      </c>
    </row>
    <row r="471" spans="2:12" ht="54" x14ac:dyDescent="0.25">
      <c r="B471" s="411">
        <v>469</v>
      </c>
      <c r="C471" s="412" t="s">
        <v>4259</v>
      </c>
      <c r="D471" s="408">
        <f>IFERROR(MIN('LP Elementos'!F471,'LP Elementos'!I471,'LP Elementos'!N471,'LP Elementos'!S471,'LP Elementos'!X471,'LP Elementos'!AC471,'LP Elementos'!AH471,'LP Elementos'!AM471,'LP Elementos'!AR471,'LP Elementos'!AW471,'LP Elementos'!BB471,'LP Elementos'!BG471,'LP Elementos'!BL471,'LP Elementos'!BQ471,'LP Elementos'!BV471,'LP Elementos'!CA471,'LP Elementos'!CF471,'LP Elementos'!CK471,'LP Elementos'!CP471,'LP Elementos'!CU471,'LP Elementos'!CZ471)," ")</f>
        <v>361760</v>
      </c>
      <c r="E471" s="341">
        <f>IFERROR(AVERAGE('LP Elementos'!F471,'LP Elementos'!I471,'LP Elementos'!N471,'LP Elementos'!S471,'LP Elementos'!X471,'LP Elementos'!AC471,'LP Elementos'!AH471,'LP Elementos'!AM471,'LP Elementos'!AR471,'LP Elementos'!AW471,'LP Elementos'!BB471,'LP Elementos'!BG471,'LP Elementos'!BL471,'LP Elementos'!BQ471,'LP Elementos'!BV471,'LP Elementos'!CA471,'LP Elementos'!CF471,'LP Elementos'!CK471,'LP Elementos'!CP471,'LP Elementos'!CU471,'LP Elementos'!CZ471)," ")</f>
        <v>537566.96962857142</v>
      </c>
      <c r="F471" s="341">
        <f>IFERROR(MEDIAN('LP Elementos'!F471,'LP Elementos'!I471,'LP Elementos'!N471,'LP Elementos'!S471,'LP Elementos'!X471,'LP Elementos'!AC471,'LP Elementos'!AH471,'LP Elementos'!AM471,'LP Elementos'!AR471,'LP Elementos'!AW471,'LP Elementos'!BB471,'LP Elementos'!BG471,'LP Elementos'!BL471,'LP Elementos'!BQ471,'LP Elementos'!BV471,'LP Elementos'!CA471,'LP Elementos'!CF471,'LP Elementos'!CK471,'LP Elementos'!CP471,'LP Elementos'!CU471,'LP Elementos'!CZ471)," ")</f>
        <v>593810</v>
      </c>
      <c r="G471" s="341">
        <f>IFERROR(GEOMEAN('LP Elementos'!F471,'LP Elementos'!I471,'LP Elementos'!N471,'LP Elementos'!S471,'LP Elementos'!X471,'LP Elementos'!AC471,'LP Elementos'!AH471,'LP Elementos'!AM471,'LP Elementos'!AR471,'LP Elementos'!AW471,'LP Elementos'!BB471,'LP Elementos'!BG471,'LP Elementos'!BL471,'LP Elementos'!BQ471,'LP Elementos'!BV471,'LP Elementos'!CA471,'LP Elementos'!CF471,'LP Elementos'!CK471,'LP Elementos'!CP471,'LP Elementos'!CU471,'LP Elementos'!CZ471)," ")</f>
        <v>521749.22887376364</v>
      </c>
      <c r="H471" s="341">
        <f t="shared" si="36"/>
        <v>99564.920424170952</v>
      </c>
      <c r="I471" s="342">
        <f t="shared" si="37"/>
        <v>0.18521398458124153</v>
      </c>
      <c r="J471" s="341">
        <f t="shared" si="38"/>
        <v>537566.96962857142</v>
      </c>
      <c r="K471" s="326" t="str">
        <f t="shared" si="39"/>
        <v>Promedio</v>
      </c>
      <c r="L471" s="326">
        <f>IFERROR(COUNTA('LP Elementos'!F471,'LP Elementos'!I471,'LP Elementos'!N471,'LP Elementos'!S471,'LP Elementos'!X471,'LP Elementos'!AC471,'LP Elementos'!AH471,'LP Elementos'!AM471,'LP Elementos'!AR471,'LP Elementos'!AX471,'LP Elementos'!BB471,'LP Elementos'!BG471,'LP Elementos'!BL471,'LP Elementos'!BQ471,'LP Elementos'!BV471,'LP Elementos'!CA471,'LP Elementos'!CF471,'LP Elementos'!CK471,'LP Elementos'!CP471,'LP Elementos'!CU471,'LP Elementos'!CZ471)," ")</f>
        <v>7</v>
      </c>
    </row>
    <row r="472" spans="2:12" x14ac:dyDescent="0.25">
      <c r="B472" s="411">
        <v>470</v>
      </c>
      <c r="C472" s="412" t="s">
        <v>4266</v>
      </c>
      <c r="D472" s="408">
        <f>IFERROR(MIN('LP Elementos'!F472,'LP Elementos'!I472,'LP Elementos'!N472,'LP Elementos'!S472,'LP Elementos'!X472,'LP Elementos'!AC472,'LP Elementos'!AH472,'LP Elementos'!AM472,'LP Elementos'!AR472,'LP Elementos'!AW472,'LP Elementos'!BB472,'LP Elementos'!BG472,'LP Elementos'!BL472,'LP Elementos'!BQ472,'LP Elementos'!BV472,'LP Elementos'!CA472,'LP Elementos'!CF472,'LP Elementos'!CK472,'LP Elementos'!CP472,'LP Elementos'!CU472,'LP Elementos'!CZ472)," ")</f>
        <v>361760</v>
      </c>
      <c r="E472" s="341">
        <f>IFERROR(AVERAGE('LP Elementos'!F472,'LP Elementos'!I472,'LP Elementos'!N472,'LP Elementos'!S472,'LP Elementos'!X472,'LP Elementos'!AC472,'LP Elementos'!AH472,'LP Elementos'!AM472,'LP Elementos'!AR472,'LP Elementos'!AW472,'LP Elementos'!BB472,'LP Elementos'!BG472,'LP Elementos'!BL472,'LP Elementos'!BQ472,'LP Elementos'!BV472,'LP Elementos'!CA472,'LP Elementos'!CF472,'LP Elementos'!CK472,'LP Elementos'!CP472,'LP Elementos'!CU472,'LP Elementos'!CZ472)," ")</f>
        <v>395868.6703</v>
      </c>
      <c r="F472" s="341">
        <f>IFERROR(MEDIAN('LP Elementos'!F472,'LP Elementos'!I472,'LP Elementos'!N472,'LP Elementos'!S472,'LP Elementos'!X472,'LP Elementos'!AC472,'LP Elementos'!AH472,'LP Elementos'!AM472,'LP Elementos'!AR472,'LP Elementos'!AW472,'LP Elementos'!BB472,'LP Elementos'!BG472,'LP Elementos'!BL472,'LP Elementos'!BQ472,'LP Elementos'!BV472,'LP Elementos'!CA472,'LP Elementos'!CF472,'LP Elementos'!CK472,'LP Elementos'!CP472,'LP Elementos'!CU472,'LP Elementos'!CZ472)," ")</f>
        <v>387404.5</v>
      </c>
      <c r="G472" s="341">
        <f>IFERROR(GEOMEAN('LP Elementos'!F472,'LP Elementos'!I472,'LP Elementos'!N472,'LP Elementos'!S472,'LP Elementos'!X472,'LP Elementos'!AC472,'LP Elementos'!AH472,'LP Elementos'!AM472,'LP Elementos'!AR472,'LP Elementos'!AW472,'LP Elementos'!BB472,'LP Elementos'!BG472,'LP Elementos'!BL472,'LP Elementos'!BQ472,'LP Elementos'!BV472,'LP Elementos'!CA472,'LP Elementos'!CF472,'LP Elementos'!CK472,'LP Elementos'!CP472,'LP Elementos'!CU472,'LP Elementos'!CZ472)," ")</f>
        <v>394647.97217788763</v>
      </c>
      <c r="H472" s="341">
        <f t="shared" si="36"/>
        <v>15885.687100401037</v>
      </c>
      <c r="I472" s="342">
        <f t="shared" si="37"/>
        <v>4.0128679767364346E-2</v>
      </c>
      <c r="J472" s="341">
        <f t="shared" si="38"/>
        <v>387404.5</v>
      </c>
      <c r="K472" s="326" t="str">
        <f t="shared" si="39"/>
        <v>Mediana</v>
      </c>
      <c r="L472" s="326">
        <f>IFERROR(COUNTA('LP Elementos'!F472,'LP Elementos'!I472,'LP Elementos'!N472,'LP Elementos'!S472,'LP Elementos'!X472,'LP Elementos'!AC472,'LP Elementos'!AH472,'LP Elementos'!AM472,'LP Elementos'!AR472,'LP Elementos'!AX472,'LP Elementos'!BB472,'LP Elementos'!BG472,'LP Elementos'!BL472,'LP Elementos'!BQ472,'LP Elementos'!BV472,'LP Elementos'!CA472,'LP Elementos'!CF472,'LP Elementos'!CK472,'LP Elementos'!CP472,'LP Elementos'!CU472,'LP Elementos'!CZ472)," ")</f>
        <v>4</v>
      </c>
    </row>
    <row r="473" spans="2:12" x14ac:dyDescent="0.25">
      <c r="B473" s="411">
        <v>471</v>
      </c>
      <c r="C473" s="412" t="s">
        <v>4270</v>
      </c>
      <c r="D473" s="408">
        <f>IFERROR(MIN('LP Elementos'!F473,'LP Elementos'!I473,'LP Elementos'!N473,'LP Elementos'!S473,'LP Elementos'!X473,'LP Elementos'!AC473,'LP Elementos'!AH473,'LP Elementos'!AM473,'LP Elementos'!AR473,'LP Elementos'!AW473,'LP Elementos'!BB473,'LP Elementos'!BG473,'LP Elementos'!BL473,'LP Elementos'!BQ473,'LP Elementos'!BV473,'LP Elementos'!CA473,'LP Elementos'!CF473,'LP Elementos'!CK473,'LP Elementos'!CP473,'LP Elementos'!CU473,'LP Elementos'!CZ473)," ")</f>
        <v>115430</v>
      </c>
      <c r="E473" s="341">
        <f>IFERROR(AVERAGE('LP Elementos'!F473,'LP Elementos'!I473,'LP Elementos'!N473,'LP Elementos'!S473,'LP Elementos'!X473,'LP Elementos'!AC473,'LP Elementos'!AH473,'LP Elementos'!AM473,'LP Elementos'!AR473,'LP Elementos'!AW473,'LP Elementos'!BB473,'LP Elementos'!BG473,'LP Elementos'!BL473,'LP Elementos'!BQ473,'LP Elementos'!BV473,'LP Elementos'!CA473,'LP Elementos'!CF473,'LP Elementos'!CK473,'LP Elementos'!CP473,'LP Elementos'!CU473,'LP Elementos'!CZ473)," ")</f>
        <v>378711.17413333338</v>
      </c>
      <c r="F473" s="341">
        <f>IFERROR(MEDIAN('LP Elementos'!F473,'LP Elementos'!I473,'LP Elementos'!N473,'LP Elementos'!S473,'LP Elementos'!X473,'LP Elementos'!AC473,'LP Elementos'!AH473,'LP Elementos'!AM473,'LP Elementos'!AR473,'LP Elementos'!AW473,'LP Elementos'!BB473,'LP Elementos'!BG473,'LP Elementos'!BL473,'LP Elementos'!BQ473,'LP Elementos'!BV473,'LP Elementos'!CA473,'LP Elementos'!CF473,'LP Elementos'!CK473,'LP Elementos'!CP473,'LP Elementos'!CU473,'LP Elementos'!CZ473)," ")</f>
        <v>425703.52240000002</v>
      </c>
      <c r="G473" s="341">
        <f>IFERROR(GEOMEAN('LP Elementos'!F473,'LP Elementos'!I473,'LP Elementos'!N473,'LP Elementos'!S473,'LP Elementos'!X473,'LP Elementos'!AC473,'LP Elementos'!AH473,'LP Elementos'!AM473,'LP Elementos'!AR473,'LP Elementos'!AW473,'LP Elementos'!BB473,'LP Elementos'!BG473,'LP Elementos'!BL473,'LP Elementos'!BQ473,'LP Elementos'!BV473,'LP Elementos'!CA473,'LP Elementos'!CF473,'LP Elementos'!CK473,'LP Elementos'!CP473,'LP Elementos'!CU473,'LP Elementos'!CZ473)," ")</f>
        <v>308068.7419174969</v>
      </c>
      <c r="H473" s="341">
        <f t="shared" si="36"/>
        <v>136544.52748927654</v>
      </c>
      <c r="I473" s="342">
        <f t="shared" si="37"/>
        <v>0.36055056416477199</v>
      </c>
      <c r="J473" s="341">
        <f t="shared" si="38"/>
        <v>115430</v>
      </c>
      <c r="K473" s="326" t="str">
        <f t="shared" si="39"/>
        <v>Menor Valor</v>
      </c>
      <c r="L473" s="326">
        <f>IFERROR(COUNTA('LP Elementos'!F473,'LP Elementos'!I473,'LP Elementos'!N473,'LP Elementos'!S473,'LP Elementos'!X473,'LP Elementos'!AC473,'LP Elementos'!AH473,'LP Elementos'!AM473,'LP Elementos'!AR473,'LP Elementos'!AX473,'LP Elementos'!BB473,'LP Elementos'!BG473,'LP Elementos'!BL473,'LP Elementos'!BQ473,'LP Elementos'!BV473,'LP Elementos'!CA473,'LP Elementos'!CF473,'LP Elementos'!CK473,'LP Elementos'!CP473,'LP Elementos'!CU473,'LP Elementos'!CZ473)," ")</f>
        <v>3</v>
      </c>
    </row>
    <row r="474" spans="2:12" ht="27" x14ac:dyDescent="0.25">
      <c r="B474" s="411">
        <v>472</v>
      </c>
      <c r="C474" s="412" t="s">
        <v>4272</v>
      </c>
      <c r="D474" s="408">
        <f>IFERROR(MIN('LP Elementos'!F474,'LP Elementos'!I474,'LP Elementos'!N474,'LP Elementos'!S474,'LP Elementos'!X474,'LP Elementos'!AC474,'LP Elementos'!AH474,'LP Elementos'!AM474,'LP Elementos'!AR474,'LP Elementos'!AW474,'LP Elementos'!BB474,'LP Elementos'!BG474,'LP Elementos'!BL474,'LP Elementos'!BQ474,'LP Elementos'!BV474,'LP Elementos'!CA474,'LP Elementos'!CF474,'LP Elementos'!CK474,'LP Elementos'!CP474,'LP Elementos'!CU474,'LP Elementos'!CZ474)," ")</f>
        <v>475828.66200000001</v>
      </c>
      <c r="E474" s="341">
        <f>IFERROR(AVERAGE('LP Elementos'!F474,'LP Elementos'!I474,'LP Elementos'!N474,'LP Elementos'!S474,'LP Elementos'!X474,'LP Elementos'!AC474,'LP Elementos'!AH474,'LP Elementos'!AM474,'LP Elementos'!AR474,'LP Elementos'!AW474,'LP Elementos'!BB474,'LP Elementos'!BG474,'LP Elementos'!BL474,'LP Elementos'!BQ474,'LP Elementos'!BV474,'LP Elementos'!CA474,'LP Elementos'!CF474,'LP Elementos'!CK474,'LP Elementos'!CP474,'LP Elementos'!CU474,'LP Elementos'!CZ474)," ")</f>
        <v>619860.53240000003</v>
      </c>
      <c r="F474" s="341">
        <f>IFERROR(MEDIAN('LP Elementos'!F474,'LP Elementos'!I474,'LP Elementos'!N474,'LP Elementos'!S474,'LP Elementos'!X474,'LP Elementos'!AC474,'LP Elementos'!AH474,'LP Elementos'!AM474,'LP Elementos'!AR474,'LP Elementos'!AW474,'LP Elementos'!BB474,'LP Elementos'!BG474,'LP Elementos'!BL474,'LP Elementos'!BQ474,'LP Elementos'!BV474,'LP Elementos'!CA474,'LP Elementos'!CF474,'LP Elementos'!CK474,'LP Elementos'!CP474,'LP Elementos'!CU474,'LP Elementos'!CZ474)," ")</f>
        <v>654500</v>
      </c>
      <c r="G474" s="341">
        <f>IFERROR(GEOMEAN('LP Elementos'!F474,'LP Elementos'!I474,'LP Elementos'!N474,'LP Elementos'!S474,'LP Elementos'!X474,'LP Elementos'!AC474,'LP Elementos'!AH474,'LP Elementos'!AM474,'LP Elementos'!AR474,'LP Elementos'!AW474,'LP Elementos'!BB474,'LP Elementos'!BG474,'LP Elementos'!BL474,'LP Elementos'!BQ474,'LP Elementos'!BV474,'LP Elementos'!CA474,'LP Elementos'!CF474,'LP Elementos'!CK474,'LP Elementos'!CP474,'LP Elementos'!CU474,'LP Elementos'!CZ474)," ")</f>
        <v>612054.30172450107</v>
      </c>
      <c r="H474" s="341">
        <f t="shared" si="36"/>
        <v>78681.064477128602</v>
      </c>
      <c r="I474" s="342">
        <f t="shared" si="37"/>
        <v>0.12693349610837168</v>
      </c>
      <c r="J474" s="341">
        <f t="shared" si="38"/>
        <v>619860.53240000003</v>
      </c>
      <c r="K474" s="326" t="str">
        <f t="shared" si="39"/>
        <v>Promedio</v>
      </c>
      <c r="L474" s="326">
        <f>IFERROR(COUNTA('LP Elementos'!F474,'LP Elementos'!I474,'LP Elementos'!N474,'LP Elementos'!S474,'LP Elementos'!X474,'LP Elementos'!AC474,'LP Elementos'!AH474,'LP Elementos'!AM474,'LP Elementos'!AR474,'LP Elementos'!AX474,'LP Elementos'!BB474,'LP Elementos'!BG474,'LP Elementos'!BL474,'LP Elementos'!BQ474,'LP Elementos'!BV474,'LP Elementos'!CA474,'LP Elementos'!CF474,'LP Elementos'!CK474,'LP Elementos'!CP474,'LP Elementos'!CU474,'LP Elementos'!CZ474)," ")</f>
        <v>5</v>
      </c>
    </row>
    <row r="475" spans="2:12" ht="27" x14ac:dyDescent="0.25">
      <c r="B475" s="411">
        <v>473</v>
      </c>
      <c r="C475" s="412" t="s">
        <v>4275</v>
      </c>
      <c r="D475" s="408">
        <f>IFERROR(MIN('LP Elementos'!F475,'LP Elementos'!I475,'LP Elementos'!N475,'LP Elementos'!S475,'LP Elementos'!X475,'LP Elementos'!AC475,'LP Elementos'!AH475,'LP Elementos'!AM475,'LP Elementos'!AR475,'LP Elementos'!AW475,'LP Elementos'!BB475,'LP Elementos'!BG475,'LP Elementos'!BL475,'LP Elementos'!BQ475,'LP Elementos'!BV475,'LP Elementos'!CA475,'LP Elementos'!CF475,'LP Elementos'!CK475,'LP Elementos'!CP475,'LP Elementos'!CU475,'LP Elementos'!CZ475)," ")</f>
        <v>398786.26540000003</v>
      </c>
      <c r="E475" s="341">
        <f>IFERROR(AVERAGE('LP Elementos'!F475,'LP Elementos'!I475,'LP Elementos'!N475,'LP Elementos'!S475,'LP Elementos'!X475,'LP Elementos'!AC475,'LP Elementos'!AH475,'LP Elementos'!AM475,'LP Elementos'!AR475,'LP Elementos'!AW475,'LP Elementos'!BB475,'LP Elementos'!BG475,'LP Elementos'!BL475,'LP Elementos'!BQ475,'LP Elementos'!BV475,'LP Elementos'!CA475,'LP Elementos'!CF475,'LP Elementos'!CK475,'LP Elementos'!CP475,'LP Elementos'!CU475,'LP Elementos'!CZ475)," ")</f>
        <v>1018113.1327</v>
      </c>
      <c r="F475" s="341">
        <f>IFERROR(MEDIAN('LP Elementos'!F475,'LP Elementos'!I475,'LP Elementos'!N475,'LP Elementos'!S475,'LP Elementos'!X475,'LP Elementos'!AC475,'LP Elementos'!AH475,'LP Elementos'!AM475,'LP Elementos'!AR475,'LP Elementos'!AW475,'LP Elementos'!BB475,'LP Elementos'!BG475,'LP Elementos'!BL475,'LP Elementos'!BQ475,'LP Elementos'!BV475,'LP Elementos'!CA475,'LP Elementos'!CF475,'LP Elementos'!CK475,'LP Elementos'!CP475,'LP Elementos'!CU475,'LP Elementos'!CZ475)," ")</f>
        <v>1018113.1327000001</v>
      </c>
      <c r="G475" s="341">
        <f>IFERROR(GEOMEAN('LP Elementos'!F475,'LP Elementos'!I475,'LP Elementos'!N475,'LP Elementos'!S475,'LP Elementos'!X475,'LP Elementos'!AC475,'LP Elementos'!AH475,'LP Elementos'!AM475,'LP Elementos'!AR475,'LP Elementos'!AW475,'LP Elementos'!BB475,'LP Elementos'!BG475,'LP Elementos'!BL475,'LP Elementos'!BQ475,'LP Elementos'!BV475,'LP Elementos'!CA475,'LP Elementos'!CF475,'LP Elementos'!CK475,'LP Elementos'!CP475,'LP Elementos'!CU475,'LP Elementos'!CZ475)," ")</f>
        <v>808077.08940210403</v>
      </c>
      <c r="H475" s="341">
        <f t="shared" si="36"/>
        <v>291959.01463219948</v>
      </c>
      <c r="I475" s="342">
        <f t="shared" si="37"/>
        <v>0.28676480565370421</v>
      </c>
      <c r="J475" s="341">
        <f t="shared" si="38"/>
        <v>808077.08940210403</v>
      </c>
      <c r="K475" s="326" t="str">
        <f t="shared" si="39"/>
        <v>Media Geometrica</v>
      </c>
      <c r="L475" s="326">
        <f>IFERROR(COUNTA('LP Elementos'!F475,'LP Elementos'!I475,'LP Elementos'!N475,'LP Elementos'!S475,'LP Elementos'!X475,'LP Elementos'!AC475,'LP Elementos'!AH475,'LP Elementos'!AM475,'LP Elementos'!AR475,'LP Elementos'!AX475,'LP Elementos'!BB475,'LP Elementos'!BG475,'LP Elementos'!BL475,'LP Elementos'!BQ475,'LP Elementos'!BV475,'LP Elementos'!CA475,'LP Elementos'!CF475,'LP Elementos'!CK475,'LP Elementos'!CP475,'LP Elementos'!CU475,'LP Elementos'!CZ475)," ")</f>
        <v>2</v>
      </c>
    </row>
    <row r="476" spans="2:12" ht="27" x14ac:dyDescent="0.25">
      <c r="B476" s="411">
        <v>474</v>
      </c>
      <c r="C476" s="412" t="s">
        <v>4278</v>
      </c>
      <c r="D476" s="408">
        <f>IFERROR(MIN('LP Elementos'!F476,'LP Elementos'!I476,'LP Elementos'!N476,'LP Elementos'!S476,'LP Elementos'!X476,'LP Elementos'!AC476,'LP Elementos'!AH476,'LP Elementos'!AM476,'LP Elementos'!AR476,'LP Elementos'!AW476,'LP Elementos'!BB476,'LP Elementos'!BG476,'LP Elementos'!BL476,'LP Elementos'!BQ476,'LP Elementos'!BV476,'LP Elementos'!CA476,'LP Elementos'!CF476,'LP Elementos'!CK476,'LP Elementos'!CP476,'LP Elementos'!CU476,'LP Elementos'!CZ476)," ")</f>
        <v>490990.413</v>
      </c>
      <c r="E476" s="341">
        <f>IFERROR(AVERAGE('LP Elementos'!F476,'LP Elementos'!I476,'LP Elementos'!N476,'LP Elementos'!S476,'LP Elementos'!X476,'LP Elementos'!AC476,'LP Elementos'!AH476,'LP Elementos'!AM476,'LP Elementos'!AR476,'LP Elementos'!AW476,'LP Elementos'!BB476,'LP Elementos'!BG476,'LP Elementos'!BL476,'LP Elementos'!BQ476,'LP Elementos'!BV476,'LP Elementos'!CA476,'LP Elementos'!CF476,'LP Elementos'!CK476,'LP Elementos'!CP476,'LP Elementos'!CU476,'LP Elementos'!CZ476)," ")</f>
        <v>576244.8825999999</v>
      </c>
      <c r="F476" s="341">
        <f>IFERROR(MEDIAN('LP Elementos'!F476,'LP Elementos'!I476,'LP Elementos'!N476,'LP Elementos'!S476,'LP Elementos'!X476,'LP Elementos'!AC476,'LP Elementos'!AH476,'LP Elementos'!AM476,'LP Elementos'!AR476,'LP Elementos'!AW476,'LP Elementos'!BB476,'LP Elementos'!BG476,'LP Elementos'!BL476,'LP Elementos'!BQ476,'LP Elementos'!BV476,'LP Elementos'!CA476,'LP Elementos'!CF476,'LP Elementos'!CK476,'LP Elementos'!CP476,'LP Elementos'!CU476,'LP Elementos'!CZ476)," ")</f>
        <v>547400</v>
      </c>
      <c r="G476" s="341">
        <f>IFERROR(GEOMEAN('LP Elementos'!F476,'LP Elementos'!I476,'LP Elementos'!N476,'LP Elementos'!S476,'LP Elementos'!X476,'LP Elementos'!AC476,'LP Elementos'!AH476,'LP Elementos'!AM476,'LP Elementos'!AR476,'LP Elementos'!AW476,'LP Elementos'!BB476,'LP Elementos'!BG476,'LP Elementos'!BL476,'LP Elementos'!BQ476,'LP Elementos'!BV476,'LP Elementos'!CA476,'LP Elementos'!CF476,'LP Elementos'!CK476,'LP Elementos'!CP476,'LP Elementos'!CU476,'LP Elementos'!CZ476)," ")</f>
        <v>569275.4721696293</v>
      </c>
      <c r="H476" s="341">
        <f t="shared" si="36"/>
        <v>38663.131445516236</v>
      </c>
      <c r="I476" s="342">
        <f t="shared" si="37"/>
        <v>6.7094967110283621E-2</v>
      </c>
      <c r="J476" s="341">
        <f t="shared" si="38"/>
        <v>547400</v>
      </c>
      <c r="K476" s="326" t="str">
        <f t="shared" si="39"/>
        <v>Mediana</v>
      </c>
      <c r="L476" s="326">
        <f>IFERROR(COUNTA('LP Elementos'!F476,'LP Elementos'!I476,'LP Elementos'!N476,'LP Elementos'!S476,'LP Elementos'!X476,'LP Elementos'!AC476,'LP Elementos'!AH476,'LP Elementos'!AM476,'LP Elementos'!AR476,'LP Elementos'!AX476,'LP Elementos'!BB476,'LP Elementos'!BG476,'LP Elementos'!BL476,'LP Elementos'!BQ476,'LP Elementos'!BV476,'LP Elementos'!CA476,'LP Elementos'!CF476,'LP Elementos'!CK476,'LP Elementos'!CP476,'LP Elementos'!CU476,'LP Elementos'!CZ476)," ")</f>
        <v>5</v>
      </c>
    </row>
    <row r="477" spans="2:12" ht="27" x14ac:dyDescent="0.25">
      <c r="B477" s="411">
        <v>475</v>
      </c>
      <c r="C477" s="412" t="s">
        <v>4281</v>
      </c>
      <c r="D477" s="408">
        <f>IFERROR(MIN('LP Elementos'!F477,'LP Elementos'!I477,'LP Elementos'!N477,'LP Elementos'!S477,'LP Elementos'!X477,'LP Elementos'!AC477,'LP Elementos'!AH477,'LP Elementos'!AM477,'LP Elementos'!AR477,'LP Elementos'!AW477,'LP Elementos'!BB477,'LP Elementos'!BG477,'LP Elementos'!BL477,'LP Elementos'!BQ477,'LP Elementos'!BV477,'LP Elementos'!CA477,'LP Elementos'!CF477,'LP Elementos'!CK477,'LP Elementos'!CP477,'LP Elementos'!CU477,'LP Elementos'!CZ477)," ")</f>
        <v>499800</v>
      </c>
      <c r="E477" s="341">
        <f>IFERROR(AVERAGE('LP Elementos'!F477,'LP Elementos'!I477,'LP Elementos'!N477,'LP Elementos'!S477,'LP Elementos'!X477,'LP Elementos'!AC477,'LP Elementos'!AH477,'LP Elementos'!AM477,'LP Elementos'!AR477,'LP Elementos'!AW477,'LP Elementos'!BB477,'LP Elementos'!BG477,'LP Elementos'!BL477,'LP Elementos'!BQ477,'LP Elementos'!BV477,'LP Elementos'!CA477,'LP Elementos'!CF477,'LP Elementos'!CK477,'LP Elementos'!CP477,'LP Elementos'!CU477,'LP Elementos'!CZ477)," ")</f>
        <v>594064.22640000004</v>
      </c>
      <c r="F477" s="341">
        <f>IFERROR(MEDIAN('LP Elementos'!F477,'LP Elementos'!I477,'LP Elementos'!N477,'LP Elementos'!S477,'LP Elementos'!X477,'LP Elementos'!AC477,'LP Elementos'!AH477,'LP Elementos'!AM477,'LP Elementos'!AR477,'LP Elementos'!AW477,'LP Elementos'!BB477,'LP Elementos'!BG477,'LP Elementos'!BL477,'LP Elementos'!BQ477,'LP Elementos'!BV477,'LP Elementos'!CA477,'LP Elementos'!CF477,'LP Elementos'!CK477,'LP Elementos'!CP477,'LP Elementos'!CU477,'LP Elementos'!CZ477)," ")</f>
        <v>547400</v>
      </c>
      <c r="G477" s="341">
        <f>IFERROR(GEOMEAN('LP Elementos'!F477,'LP Elementos'!I477,'LP Elementos'!N477,'LP Elementos'!S477,'LP Elementos'!X477,'LP Elementos'!AC477,'LP Elementos'!AH477,'LP Elementos'!AM477,'LP Elementos'!AR477,'LP Elementos'!AW477,'LP Elementos'!BB477,'LP Elementos'!BG477,'LP Elementos'!BL477,'LP Elementos'!BQ477,'LP Elementos'!BV477,'LP Elementos'!CA477,'LP Elementos'!CF477,'LP Elementos'!CK477,'LP Elementos'!CP477,'LP Elementos'!CU477,'LP Elementos'!CZ477)," ")</f>
        <v>586056.52464991505</v>
      </c>
      <c r="H477" s="341">
        <f t="shared" si="36"/>
        <v>43135.148694065931</v>
      </c>
      <c r="I477" s="342">
        <f t="shared" si="37"/>
        <v>7.2610244443539057E-2</v>
      </c>
      <c r="J477" s="341">
        <f t="shared" si="38"/>
        <v>547400</v>
      </c>
      <c r="K477" s="326" t="str">
        <f t="shared" si="39"/>
        <v>Mediana</v>
      </c>
      <c r="L477" s="326">
        <f>IFERROR(COUNTA('LP Elementos'!F477,'LP Elementos'!I477,'LP Elementos'!N477,'LP Elementos'!S477,'LP Elementos'!X477,'LP Elementos'!AC477,'LP Elementos'!AH477,'LP Elementos'!AM477,'LP Elementos'!AR477,'LP Elementos'!AX477,'LP Elementos'!BB477,'LP Elementos'!BG477,'LP Elementos'!BL477,'LP Elementos'!BQ477,'LP Elementos'!BV477,'LP Elementos'!CA477,'LP Elementos'!CF477,'LP Elementos'!CK477,'LP Elementos'!CP477,'LP Elementos'!CU477,'LP Elementos'!CZ477)," ")</f>
        <v>5</v>
      </c>
    </row>
    <row r="478" spans="2:12" x14ac:dyDescent="0.25">
      <c r="B478" s="411">
        <v>476</v>
      </c>
      <c r="C478" s="412" t="s">
        <v>4286</v>
      </c>
      <c r="D478" s="408">
        <f>IFERROR(MIN('LP Elementos'!F478,'LP Elementos'!I478,'LP Elementos'!N478,'LP Elementos'!S478,'LP Elementos'!X478,'LP Elementos'!AC478,'LP Elementos'!AH478,'LP Elementos'!AM478,'LP Elementos'!AR478,'LP Elementos'!AW478,'LP Elementos'!BB478,'LP Elementos'!BG478,'LP Elementos'!BL478,'LP Elementos'!BQ478,'LP Elementos'!BV478,'LP Elementos'!CA478,'LP Elementos'!CF478,'LP Elementos'!CK478,'LP Elementos'!CP478,'LP Elementos'!CU478,'LP Elementos'!CZ478)," ")</f>
        <v>547400</v>
      </c>
      <c r="E478" s="341">
        <f>IFERROR(AVERAGE('LP Elementos'!F478,'LP Elementos'!I478,'LP Elementos'!N478,'LP Elementos'!S478,'LP Elementos'!X478,'LP Elementos'!AC478,'LP Elementos'!AH478,'LP Elementos'!AM478,'LP Elementos'!AR478,'LP Elementos'!AW478,'LP Elementos'!BB478,'LP Elementos'!BG478,'LP Elementos'!BL478,'LP Elementos'!BQ478,'LP Elementos'!BV478,'LP Elementos'!CA478,'LP Elementos'!CF478,'LP Elementos'!CK478,'LP Elementos'!CP478,'LP Elementos'!CU478,'LP Elementos'!CZ478)," ")</f>
        <v>2090959.3584666669</v>
      </c>
      <c r="F478" s="341">
        <f>IFERROR(MEDIAN('LP Elementos'!F478,'LP Elementos'!I478,'LP Elementos'!N478,'LP Elementos'!S478,'LP Elementos'!X478,'LP Elementos'!AC478,'LP Elementos'!AH478,'LP Elementos'!AM478,'LP Elementos'!AR478,'LP Elementos'!AW478,'LP Elementos'!BB478,'LP Elementos'!BG478,'LP Elementos'!BL478,'LP Elementos'!BQ478,'LP Elementos'!BV478,'LP Elementos'!CA478,'LP Elementos'!CF478,'LP Elementos'!CK478,'LP Elementos'!CP478,'LP Elementos'!CU478,'LP Elementos'!CZ478)," ")</f>
        <v>1476790</v>
      </c>
      <c r="G478" s="341">
        <f>IFERROR(GEOMEAN('LP Elementos'!F478,'LP Elementos'!I478,'LP Elementos'!N478,'LP Elementos'!S478,'LP Elementos'!X478,'LP Elementos'!AC478,'LP Elementos'!AH478,'LP Elementos'!AM478,'LP Elementos'!AR478,'LP Elementos'!AW478,'LP Elementos'!BB478,'LP Elementos'!BG478,'LP Elementos'!BL478,'LP Elementos'!BQ478,'LP Elementos'!BV478,'LP Elementos'!CA478,'LP Elementos'!CF478,'LP Elementos'!CK478,'LP Elementos'!CP478,'LP Elementos'!CU478,'LP Elementos'!CZ478)," ")</f>
        <v>1508780.7274262258</v>
      </c>
      <c r="H478" s="341">
        <f t="shared" si="36"/>
        <v>638210.61924710893</v>
      </c>
      <c r="I478" s="342">
        <f t="shared" si="37"/>
        <v>0.30522382783906365</v>
      </c>
      <c r="J478" s="341">
        <f>IF(I478&lt;=10%,F478,IF(AND(I478&gt;10%,I478&lt;=20%),E478,IF(AND(I478&gt;20%,I478&lt;=32%),G478,IF(I478&gt;32%,D478))))</f>
        <v>1508780.7274262258</v>
      </c>
      <c r="K478" s="326" t="str">
        <f t="shared" si="39"/>
        <v>Media Geometrica</v>
      </c>
      <c r="L478" s="326">
        <f>IFERROR(COUNTA('LP Elementos'!F478,'LP Elementos'!I478,'LP Elementos'!N478,'LP Elementos'!S478,'LP Elementos'!X478,'LP Elementos'!AC478,'LP Elementos'!AH478,'LP Elementos'!AM478,'LP Elementos'!AR478,'LP Elementos'!AX478,'LP Elementos'!BB478,'LP Elementos'!BG478,'LP Elementos'!BL478,'LP Elementos'!BQ478,'LP Elementos'!BV478,'LP Elementos'!CA478,'LP Elementos'!CF478,'LP Elementos'!CK478,'LP Elementos'!CP478,'LP Elementos'!CU478,'LP Elementos'!CZ478)," ")</f>
        <v>3</v>
      </c>
    </row>
    <row r="479" spans="2:12" x14ac:dyDescent="0.25">
      <c r="B479" s="411">
        <v>477</v>
      </c>
      <c r="C479" s="412" t="s">
        <v>4290</v>
      </c>
      <c r="D479" s="408">
        <f>IFERROR(MIN('LP Elementos'!F479,'LP Elementos'!I479,'LP Elementos'!N479,'LP Elementos'!S479,'LP Elementos'!X479,'LP Elementos'!AC479,'LP Elementos'!AH479,'LP Elementos'!AM479,'LP Elementos'!AR479,'LP Elementos'!AW479,'LP Elementos'!BB479,'LP Elementos'!BG479,'LP Elementos'!BL479,'LP Elementos'!BQ479,'LP Elementos'!BV479,'LP Elementos'!CA479,'LP Elementos'!CF479,'LP Elementos'!CK479,'LP Elementos'!CP479,'LP Elementos'!CU479,'LP Elementos'!CZ479)," ")</f>
        <v>499800</v>
      </c>
      <c r="E479" s="341">
        <f>IFERROR(AVERAGE('LP Elementos'!F479,'LP Elementos'!I479,'LP Elementos'!N479,'LP Elementos'!S479,'LP Elementos'!X479,'LP Elementos'!AC479,'LP Elementos'!AH479,'LP Elementos'!AM479,'LP Elementos'!AR479,'LP Elementos'!AW479,'LP Elementos'!BB479,'LP Elementos'!BG479,'LP Elementos'!BL479,'LP Elementos'!BQ479,'LP Elementos'!BV479,'LP Elementos'!CA479,'LP Elementos'!CF479,'LP Elementos'!CK479,'LP Elementos'!CP479,'LP Elementos'!CU479,'LP Elementos'!CZ479)," ")</f>
        <v>2288092.4092399999</v>
      </c>
      <c r="F479" s="341">
        <f>IFERROR(MEDIAN('LP Elementos'!F479,'LP Elementos'!I479,'LP Elementos'!N479,'LP Elementos'!S479,'LP Elementos'!X479,'LP Elementos'!AC479,'LP Elementos'!AH479,'LP Elementos'!AM479,'LP Elementos'!AR479,'LP Elementos'!AW479,'LP Elementos'!BB479,'LP Elementos'!BG479,'LP Elementos'!BL479,'LP Elementos'!BQ479,'LP Elementos'!BV479,'LP Elementos'!CA479,'LP Elementos'!CF479,'LP Elementos'!CK479,'LP Elementos'!CP479,'LP Elementos'!CU479,'LP Elementos'!CZ479)," ")</f>
        <v>748034</v>
      </c>
      <c r="G479" s="341">
        <f>IFERROR(GEOMEAN('LP Elementos'!F479,'LP Elementos'!I479,'LP Elementos'!N479,'LP Elementos'!S479,'LP Elementos'!X479,'LP Elementos'!AC479,'LP Elementos'!AH479,'LP Elementos'!AM479,'LP Elementos'!AR479,'LP Elementos'!AW479,'LP Elementos'!BB479,'LP Elementos'!BG479,'LP Elementos'!BL479,'LP Elementos'!BQ479,'LP Elementos'!BV479,'LP Elementos'!CA479,'LP Elementos'!CF479,'LP Elementos'!CK479,'LP Elementos'!CP479,'LP Elementos'!CU479,'LP Elementos'!CZ479)," ")</f>
        <v>1308417.7072970844</v>
      </c>
      <c r="H479" s="341">
        <f t="shared" si="36"/>
        <v>793675.24745943758</v>
      </c>
      <c r="I479" s="342">
        <f t="shared" si="37"/>
        <v>0.34687202503462716</v>
      </c>
      <c r="J479" s="341">
        <f>IF(I479&lt;=10%,F479,IF(AND(I479&gt;10%,I479&lt;=20%),E479,IF(AND(I479&gt;20%,I479&lt;=36%),G479,IF(I479&gt;36%,D479))))</f>
        <v>1308417.7072970844</v>
      </c>
      <c r="K479" s="326" t="str">
        <f t="shared" si="39"/>
        <v>Media Geometrica</v>
      </c>
      <c r="L479" s="326">
        <f>IFERROR(COUNTA('LP Elementos'!F479,'LP Elementos'!I479,'LP Elementos'!N479,'LP Elementos'!S479,'LP Elementos'!X479,'LP Elementos'!AC479,'LP Elementos'!AH479,'LP Elementos'!AM479,'LP Elementos'!AR479,'LP Elementos'!AX479,'LP Elementos'!BB479,'LP Elementos'!BG479,'LP Elementos'!BL479,'LP Elementos'!BQ479,'LP Elementos'!BV479,'LP Elementos'!CA479,'LP Elementos'!CF479,'LP Elementos'!CK479,'LP Elementos'!CP479,'LP Elementos'!CU479,'LP Elementos'!CZ479)," ")</f>
        <v>5</v>
      </c>
    </row>
    <row r="480" spans="2:12" ht="54" x14ac:dyDescent="0.25">
      <c r="B480" s="411">
        <v>478</v>
      </c>
      <c r="C480" s="412" t="s">
        <v>4292</v>
      </c>
      <c r="D480" s="408">
        <f>IFERROR(MIN('LP Elementos'!F480,'LP Elementos'!I480,'LP Elementos'!N480,'LP Elementos'!S480,'LP Elementos'!X480,'LP Elementos'!AC480,'LP Elementos'!AH480,'LP Elementos'!AM480,'LP Elementos'!AR480,'LP Elementos'!AW480,'LP Elementos'!BB480,'LP Elementos'!BG480,'LP Elementos'!BL480,'LP Elementos'!BQ480,'LP Elementos'!BV480,'LP Elementos'!CA480,'LP Elementos'!CF480,'LP Elementos'!CK480,'LP Elementos'!CP480,'LP Elementos'!CU480,'LP Elementos'!CZ480)," ")</f>
        <v>80801</v>
      </c>
      <c r="E480" s="341">
        <f>IFERROR(AVERAGE('LP Elementos'!F480,'LP Elementos'!I480,'LP Elementos'!N480,'LP Elementos'!S480,'LP Elementos'!X480,'LP Elementos'!AC480,'LP Elementos'!AH480,'LP Elementos'!AM480,'LP Elementos'!AR480,'LP Elementos'!AW480,'LP Elementos'!BB480,'LP Elementos'!BG480,'LP Elementos'!BL480,'LP Elementos'!BQ480,'LP Elementos'!BV480,'LP Elementos'!CA480,'LP Elementos'!CF480,'LP Elementos'!CK480,'LP Elementos'!CP480,'LP Elementos'!CU480,'LP Elementos'!CZ480)," ")</f>
        <v>133943.87719999999</v>
      </c>
      <c r="F480" s="341">
        <f>IFERROR(MEDIAN('LP Elementos'!F480,'LP Elementos'!I480,'LP Elementos'!N480,'LP Elementos'!S480,'LP Elementos'!X480,'LP Elementos'!AC480,'LP Elementos'!AH480,'LP Elementos'!AM480,'LP Elementos'!AR480,'LP Elementos'!AW480,'LP Elementos'!BB480,'LP Elementos'!BG480,'LP Elementos'!BL480,'LP Elementos'!BQ480,'LP Elementos'!BV480,'LP Elementos'!CA480,'LP Elementos'!CF480,'LP Elementos'!CK480,'LP Elementos'!CP480,'LP Elementos'!CU480,'LP Elementos'!CZ480)," ")</f>
        <v>109348.386</v>
      </c>
      <c r="G480" s="341">
        <f>IFERROR(GEOMEAN('LP Elementos'!F480,'LP Elementos'!I480,'LP Elementos'!N480,'LP Elementos'!S480,'LP Elementos'!X480,'LP Elementos'!AC480,'LP Elementos'!AH480,'LP Elementos'!AM480,'LP Elementos'!AR480,'LP Elementos'!AW480,'LP Elementos'!BB480,'LP Elementos'!BG480,'LP Elementos'!BL480,'LP Elementos'!BQ480,'LP Elementos'!BV480,'LP Elementos'!CA480,'LP Elementos'!CF480,'LP Elementos'!CK480,'LP Elementos'!CP480,'LP Elementos'!CU480,'LP Elementos'!CZ480)," ")</f>
        <v>121525.59574074387</v>
      </c>
      <c r="H480" s="341">
        <f t="shared" si="36"/>
        <v>22739.553795121985</v>
      </c>
      <c r="I480" s="342">
        <f t="shared" si="37"/>
        <v>0.16976926657997315</v>
      </c>
      <c r="J480" s="341">
        <f t="shared" si="38"/>
        <v>133943.87719999999</v>
      </c>
      <c r="K480" s="326" t="str">
        <f t="shared" si="39"/>
        <v>Promedio</v>
      </c>
      <c r="L480" s="326">
        <f>IFERROR(COUNTA('LP Elementos'!F480,'LP Elementos'!I480,'LP Elementos'!N480,'LP Elementos'!S480,'LP Elementos'!X480,'LP Elementos'!AC480,'LP Elementos'!AH480,'LP Elementos'!AM480,'LP Elementos'!AR480,'LP Elementos'!AX480,'LP Elementos'!BB480,'LP Elementos'!BG480,'LP Elementos'!BL480,'LP Elementos'!BQ480,'LP Elementos'!BV480,'LP Elementos'!CA480,'LP Elementos'!CF480,'LP Elementos'!CK480,'LP Elementos'!CP480,'LP Elementos'!CU480,'LP Elementos'!CZ480)," ")</f>
        <v>5</v>
      </c>
    </row>
    <row r="481" spans="2:12" x14ac:dyDescent="0.25">
      <c r="B481" s="411">
        <v>479</v>
      </c>
      <c r="C481" s="412" t="s">
        <v>4298</v>
      </c>
      <c r="D481" s="408">
        <f>IFERROR(MIN('LP Elementos'!F481,'LP Elementos'!I481,'LP Elementos'!N481,'LP Elementos'!S481,'LP Elementos'!X481,'LP Elementos'!AC481,'LP Elementos'!AH481,'LP Elementos'!AM481,'LP Elementos'!AR481,'LP Elementos'!AW481,'LP Elementos'!BB481,'LP Elementos'!BG481,'LP Elementos'!BL481,'LP Elementos'!BQ481,'LP Elementos'!BV481,'LP Elementos'!CA481,'LP Elementos'!CF481,'LP Elementos'!CK481,'LP Elementos'!CP481,'LP Elementos'!CU481,'LP Elementos'!CZ481)," ")</f>
        <v>410999.10600000003</v>
      </c>
      <c r="E481" s="341">
        <f>IFERROR(AVERAGE('LP Elementos'!F481,'LP Elementos'!I481,'LP Elementos'!N481,'LP Elementos'!S481,'LP Elementos'!X481,'LP Elementos'!AC481,'LP Elementos'!AH481,'LP Elementos'!AM481,'LP Elementos'!AR481,'LP Elementos'!AW481,'LP Elementos'!BB481,'LP Elementos'!BG481,'LP Elementos'!BL481,'LP Elementos'!BQ481,'LP Elementos'!BV481,'LP Elementos'!CA481,'LP Elementos'!CF481,'LP Elementos'!CK481,'LP Elementos'!CP481,'LP Elementos'!CU481,'LP Elementos'!CZ481)," ")</f>
        <v>575358.27650000004</v>
      </c>
      <c r="F481" s="341">
        <f>IFERROR(MEDIAN('LP Elementos'!F481,'LP Elementos'!I481,'LP Elementos'!N481,'LP Elementos'!S481,'LP Elementos'!X481,'LP Elementos'!AC481,'LP Elementos'!AH481,'LP Elementos'!AM481,'LP Elementos'!AR481,'LP Elementos'!AW481,'LP Elementos'!BB481,'LP Elementos'!BG481,'LP Elementos'!BL481,'LP Elementos'!BQ481,'LP Elementos'!BV481,'LP Elementos'!CA481,'LP Elementos'!CF481,'LP Elementos'!CK481,'LP Elementos'!CP481,'LP Elementos'!CU481,'LP Elementos'!CZ481)," ")</f>
        <v>571200</v>
      </c>
      <c r="G481" s="341">
        <f>IFERROR(GEOMEAN('LP Elementos'!F481,'LP Elementos'!I481,'LP Elementos'!N481,'LP Elementos'!S481,'LP Elementos'!X481,'LP Elementos'!AC481,'LP Elementos'!AH481,'LP Elementos'!AM481,'LP Elementos'!AR481,'LP Elementos'!AW481,'LP Elementos'!BB481,'LP Elementos'!BG481,'LP Elementos'!BL481,'LP Elementos'!BQ481,'LP Elementos'!BV481,'LP Elementos'!CA481,'LP Elementos'!CF481,'LP Elementos'!CK481,'LP Elementos'!CP481,'LP Elementos'!CU481,'LP Elementos'!CZ481)," ")</f>
        <v>562530.39503564336</v>
      </c>
      <c r="H481" s="341">
        <f t="shared" si="36"/>
        <v>79528.298306956509</v>
      </c>
      <c r="I481" s="342">
        <f t="shared" si="37"/>
        <v>0.1382239581061393</v>
      </c>
      <c r="J481" s="341">
        <f t="shared" si="38"/>
        <v>575358.27650000004</v>
      </c>
      <c r="K481" s="326" t="str">
        <f t="shared" si="39"/>
        <v>Promedio</v>
      </c>
      <c r="L481" s="326">
        <f>IFERROR(COUNTA('LP Elementos'!F481,'LP Elementos'!I481,'LP Elementos'!N481,'LP Elementos'!S481,'LP Elementos'!X481,'LP Elementos'!AC481,'LP Elementos'!AH481,'LP Elementos'!AM481,'LP Elementos'!AR481,'LP Elementos'!AX481,'LP Elementos'!BB481,'LP Elementos'!BG481,'LP Elementos'!BL481,'LP Elementos'!BQ481,'LP Elementos'!BV481,'LP Elementos'!CA481,'LP Elementos'!CF481,'LP Elementos'!CK481,'LP Elementos'!CP481,'LP Elementos'!CU481,'LP Elementos'!CZ481)," ")</f>
        <v>4</v>
      </c>
    </row>
    <row r="482" spans="2:12" x14ac:dyDescent="0.25">
      <c r="B482" s="411">
        <v>480</v>
      </c>
      <c r="C482" s="412" t="s">
        <v>4302</v>
      </c>
      <c r="D482" s="408">
        <f>IFERROR(MIN('LP Elementos'!F482,'LP Elementos'!I482,'LP Elementos'!N482,'LP Elementos'!S482,'LP Elementos'!X482,'LP Elementos'!AC482,'LP Elementos'!AH482,'LP Elementos'!AM482,'LP Elementos'!AR482,'LP Elementos'!AW482,'LP Elementos'!BB482,'LP Elementos'!BG482,'LP Elementos'!BL482,'LP Elementos'!BQ482,'LP Elementos'!BV482,'LP Elementos'!CA482,'LP Elementos'!CF482,'LP Elementos'!CK482,'LP Elementos'!CP482,'LP Elementos'!CU482,'LP Elementos'!CZ482)," ")</f>
        <v>428972.46140000003</v>
      </c>
      <c r="E482" s="341">
        <f>IFERROR(AVERAGE('LP Elementos'!F482,'LP Elementos'!I482,'LP Elementos'!N482,'LP Elementos'!S482,'LP Elementos'!X482,'LP Elementos'!AC482,'LP Elementos'!AH482,'LP Elementos'!AM482,'LP Elementos'!AR482,'LP Elementos'!AW482,'LP Elementos'!BB482,'LP Elementos'!BG482,'LP Elementos'!BL482,'LP Elementos'!BQ482,'LP Elementos'!BV482,'LP Elementos'!CA482,'LP Elementos'!CF482,'LP Elementos'!CK482,'LP Elementos'!CP482,'LP Elementos'!CU482,'LP Elementos'!CZ482)," ")</f>
        <v>567951.61534999998</v>
      </c>
      <c r="F482" s="341">
        <f>IFERROR(MEDIAN('LP Elementos'!F482,'LP Elementos'!I482,'LP Elementos'!N482,'LP Elementos'!S482,'LP Elementos'!X482,'LP Elementos'!AC482,'LP Elementos'!AH482,'LP Elementos'!AM482,'LP Elementos'!AR482,'LP Elementos'!AW482,'LP Elementos'!BB482,'LP Elementos'!BG482,'LP Elementos'!BL482,'LP Elementos'!BQ482,'LP Elementos'!BV482,'LP Elementos'!CA482,'LP Elementos'!CF482,'LP Elementos'!CK482,'LP Elementos'!CP482,'LP Elementos'!CU482,'LP Elementos'!CZ482)," ")</f>
        <v>547400</v>
      </c>
      <c r="G482" s="341">
        <f>IFERROR(GEOMEAN('LP Elementos'!F482,'LP Elementos'!I482,'LP Elementos'!N482,'LP Elementos'!S482,'LP Elementos'!X482,'LP Elementos'!AC482,'LP Elementos'!AH482,'LP Elementos'!AM482,'LP Elementos'!AR482,'LP Elementos'!AW482,'LP Elementos'!BB482,'LP Elementos'!BG482,'LP Elementos'!BL482,'LP Elementos'!BQ482,'LP Elementos'!BV482,'LP Elementos'!CA482,'LP Elementos'!CF482,'LP Elementos'!CK482,'LP Elementos'!CP482,'LP Elementos'!CU482,'LP Elementos'!CZ482)," ")</f>
        <v>555796.73614725005</v>
      </c>
      <c r="H482" s="341">
        <f t="shared" si="36"/>
        <v>64591.858979113502</v>
      </c>
      <c r="I482" s="342">
        <f t="shared" si="37"/>
        <v>0.11372774939518182</v>
      </c>
      <c r="J482" s="341">
        <f t="shared" si="38"/>
        <v>567951.61534999998</v>
      </c>
      <c r="K482" s="326" t="str">
        <f t="shared" si="39"/>
        <v>Promedio</v>
      </c>
      <c r="L482" s="326">
        <f>IFERROR(COUNTA('LP Elementos'!F482,'LP Elementos'!I482,'LP Elementos'!N482,'LP Elementos'!S482,'LP Elementos'!X482,'LP Elementos'!AC482,'LP Elementos'!AH482,'LP Elementos'!AM482,'LP Elementos'!AR482,'LP Elementos'!AX482,'LP Elementos'!BB482,'LP Elementos'!BG482,'LP Elementos'!BL482,'LP Elementos'!BQ482,'LP Elementos'!BV482,'LP Elementos'!CA482,'LP Elementos'!CF482,'LP Elementos'!CK482,'LP Elementos'!CP482,'LP Elementos'!CU482,'LP Elementos'!CZ482)," ")</f>
        <v>4</v>
      </c>
    </row>
    <row r="483" spans="2:12" x14ac:dyDescent="0.25">
      <c r="B483" s="411">
        <v>481</v>
      </c>
      <c r="C483" s="412" t="s">
        <v>4304</v>
      </c>
      <c r="D483" s="408">
        <f>IFERROR(MIN('LP Elementos'!F483,'LP Elementos'!I483,'LP Elementos'!N483,'LP Elementos'!S483,'LP Elementos'!X483,'LP Elementos'!AC483,'LP Elementos'!AH483,'LP Elementos'!AM483,'LP Elementos'!AR483,'LP Elementos'!AW483,'LP Elementos'!BB483,'LP Elementos'!BG483,'LP Elementos'!BL483,'LP Elementos'!BQ483,'LP Elementos'!BV483,'LP Elementos'!CA483,'LP Elementos'!CF483,'LP Elementos'!CK483,'LP Elementos'!CP483,'LP Elementos'!CU483,'LP Elementos'!CZ483)," ")</f>
        <v>412255.984</v>
      </c>
      <c r="E483" s="341">
        <f>IFERROR(AVERAGE('LP Elementos'!F483,'LP Elementos'!I483,'LP Elementos'!N483,'LP Elementos'!S483,'LP Elementos'!X483,'LP Elementos'!AC483,'LP Elementos'!AH483,'LP Elementos'!AM483,'LP Elementos'!AR483,'LP Elementos'!AW483,'LP Elementos'!BB483,'LP Elementos'!BG483,'LP Elementos'!BL483,'LP Elementos'!BQ483,'LP Elementos'!BV483,'LP Elementos'!CA483,'LP Elementos'!CF483,'LP Elementos'!CK483,'LP Elementos'!CP483,'LP Elementos'!CU483,'LP Elementos'!CZ483)," ")</f>
        <v>583407.49600000004</v>
      </c>
      <c r="F483" s="341">
        <f>IFERROR(MEDIAN('LP Elementos'!F483,'LP Elementos'!I483,'LP Elementos'!N483,'LP Elementos'!S483,'LP Elementos'!X483,'LP Elementos'!AC483,'LP Elementos'!AH483,'LP Elementos'!AM483,'LP Elementos'!AR483,'LP Elementos'!AW483,'LP Elementos'!BB483,'LP Elementos'!BG483,'LP Elementos'!BL483,'LP Elementos'!BQ483,'LP Elementos'!BV483,'LP Elementos'!CA483,'LP Elementos'!CF483,'LP Elementos'!CK483,'LP Elementos'!CP483,'LP Elementos'!CU483,'LP Elementos'!CZ483)," ")</f>
        <v>586670</v>
      </c>
      <c r="G483" s="341">
        <f>IFERROR(GEOMEAN('LP Elementos'!F483,'LP Elementos'!I483,'LP Elementos'!N483,'LP Elementos'!S483,'LP Elementos'!X483,'LP Elementos'!AC483,'LP Elementos'!AH483,'LP Elementos'!AM483,'LP Elementos'!AR483,'LP Elementos'!AW483,'LP Elementos'!BB483,'LP Elementos'!BG483,'LP Elementos'!BL483,'LP Elementos'!BQ483,'LP Elementos'!BV483,'LP Elementos'!CA483,'LP Elementos'!CF483,'LP Elementos'!CK483,'LP Elementos'!CP483,'LP Elementos'!CU483,'LP Elementos'!CZ483)," ")</f>
        <v>567625.61790842458</v>
      </c>
      <c r="H483" s="341">
        <f t="shared" si="36"/>
        <v>83902.330259489769</v>
      </c>
      <c r="I483" s="342">
        <f t="shared" si="37"/>
        <v>0.14381428218654524</v>
      </c>
      <c r="J483" s="341">
        <f t="shared" si="38"/>
        <v>583407.49600000004</v>
      </c>
      <c r="K483" s="326" t="str">
        <f t="shared" si="39"/>
        <v>Promedio</v>
      </c>
      <c r="L483" s="326">
        <f>IFERROR(COUNTA('LP Elementos'!F483,'LP Elementos'!I483,'LP Elementos'!N483,'LP Elementos'!S483,'LP Elementos'!X483,'LP Elementos'!AC483,'LP Elementos'!AH483,'LP Elementos'!AM483,'LP Elementos'!AR483,'LP Elementos'!AX483,'LP Elementos'!BB483,'LP Elementos'!BG483,'LP Elementos'!BL483,'LP Elementos'!BQ483,'LP Elementos'!BV483,'LP Elementos'!CA483,'LP Elementos'!CF483,'LP Elementos'!CK483,'LP Elementos'!CP483,'LP Elementos'!CU483,'LP Elementos'!CZ483)," ")</f>
        <v>4</v>
      </c>
    </row>
    <row r="484" spans="2:12" x14ac:dyDescent="0.25">
      <c r="B484" s="411">
        <v>482</v>
      </c>
      <c r="C484" s="412" t="s">
        <v>4306</v>
      </c>
      <c r="D484" s="408">
        <f>IFERROR(MIN('LP Elementos'!F484,'LP Elementos'!I484,'LP Elementos'!N484,'LP Elementos'!S484,'LP Elementos'!X484,'LP Elementos'!AC484,'LP Elementos'!AH484,'LP Elementos'!AM484,'LP Elementos'!AR484,'LP Elementos'!AW484,'LP Elementos'!BB484,'LP Elementos'!BG484,'LP Elementos'!BL484,'LP Elementos'!BQ484,'LP Elementos'!BV484,'LP Elementos'!CA484,'LP Elementos'!CF484,'LP Elementos'!CK484,'LP Elementos'!CP484,'LP Elementos'!CU484,'LP Elementos'!CZ484)," ")</f>
        <v>267750</v>
      </c>
      <c r="E484" s="341">
        <f>IFERROR(AVERAGE('LP Elementos'!F484,'LP Elementos'!I484,'LP Elementos'!N484,'LP Elementos'!S484,'LP Elementos'!X484,'LP Elementos'!AC484,'LP Elementos'!AH484,'LP Elementos'!AM484,'LP Elementos'!AR484,'LP Elementos'!AW484,'LP Elementos'!BB484,'LP Elementos'!BG484,'LP Elementos'!BL484,'LP Elementos'!BQ484,'LP Elementos'!BV484,'LP Elementos'!CA484,'LP Elementos'!CF484,'LP Elementos'!CK484,'LP Elementos'!CP484,'LP Elementos'!CU484,'LP Elementos'!CZ484)," ")</f>
        <v>384936.38049999997</v>
      </c>
      <c r="F484" s="341">
        <f>IFERROR(MEDIAN('LP Elementos'!F484,'LP Elementos'!I484,'LP Elementos'!N484,'LP Elementos'!S484,'LP Elementos'!X484,'LP Elementos'!AC484,'LP Elementos'!AH484,'LP Elementos'!AM484,'LP Elementos'!AR484,'LP Elementos'!AW484,'LP Elementos'!BB484,'LP Elementos'!BG484,'LP Elementos'!BL484,'LP Elementos'!BQ484,'LP Elementos'!BV484,'LP Elementos'!CA484,'LP Elementos'!CF484,'LP Elementos'!CK484,'LP Elementos'!CP484,'LP Elementos'!CU484,'LP Elementos'!CZ484)," ")</f>
        <v>384936.38049999997</v>
      </c>
      <c r="G484" s="341">
        <f>IFERROR(GEOMEAN('LP Elementos'!F484,'LP Elementos'!I484,'LP Elementos'!N484,'LP Elementos'!S484,'LP Elementos'!X484,'LP Elementos'!AC484,'LP Elementos'!AH484,'LP Elementos'!AM484,'LP Elementos'!AR484,'LP Elementos'!AW484,'LP Elementos'!BB484,'LP Elementos'!BG484,'LP Elementos'!BL484,'LP Elementos'!BQ484,'LP Elementos'!BV484,'LP Elementos'!CA484,'LP Elementos'!CF484,'LP Elementos'!CK484,'LP Elementos'!CP484,'LP Elementos'!CU484,'LP Elementos'!CZ484)," ")</f>
        <v>366665.2005000611</v>
      </c>
      <c r="H484" s="341">
        <f t="shared" si="36"/>
        <v>56211.790338363251</v>
      </c>
      <c r="I484" s="342">
        <f t="shared" si="37"/>
        <v>0.14602878082177856</v>
      </c>
      <c r="J484" s="341">
        <f t="shared" si="38"/>
        <v>384936.38049999997</v>
      </c>
      <c r="K484" s="326" t="str">
        <f t="shared" si="39"/>
        <v>Promedio</v>
      </c>
      <c r="L484" s="326">
        <f>IFERROR(COUNTA('LP Elementos'!F484,'LP Elementos'!I484,'LP Elementos'!N484,'LP Elementos'!S484,'LP Elementos'!X484,'LP Elementos'!AC484,'LP Elementos'!AH484,'LP Elementos'!AM484,'LP Elementos'!AR484,'LP Elementos'!AX484,'LP Elementos'!BB484,'LP Elementos'!BG484,'LP Elementos'!BL484,'LP Elementos'!BQ484,'LP Elementos'!BV484,'LP Elementos'!CA484,'LP Elementos'!CF484,'LP Elementos'!CK484,'LP Elementos'!CP484,'LP Elementos'!CU484,'LP Elementos'!CZ484)," ")</f>
        <v>2</v>
      </c>
    </row>
    <row r="485" spans="2:12" x14ac:dyDescent="0.25">
      <c r="B485" s="411">
        <v>483</v>
      </c>
      <c r="C485" s="412" t="s">
        <v>4308</v>
      </c>
      <c r="D485" s="408">
        <f>IFERROR(MIN('LP Elementos'!F485,'LP Elementos'!I485,'LP Elementos'!N485,'LP Elementos'!S485,'LP Elementos'!X485,'LP Elementos'!AC485,'LP Elementos'!AH485,'LP Elementos'!AM485,'LP Elementos'!AR485,'LP Elementos'!AW485,'LP Elementos'!BB485,'LP Elementos'!BG485,'LP Elementos'!BL485,'LP Elementos'!BQ485,'LP Elementos'!BV485,'LP Elementos'!CA485,'LP Elementos'!CF485,'LP Elementos'!CK485,'LP Elementos'!CP485,'LP Elementos'!CU485,'LP Elementos'!CZ485)," ")</f>
        <v>267750</v>
      </c>
      <c r="E485" s="341">
        <f>IFERROR(AVERAGE('LP Elementos'!F485,'LP Elementos'!I485,'LP Elementos'!N485,'LP Elementos'!S485,'LP Elementos'!X485,'LP Elementos'!AC485,'LP Elementos'!AH485,'LP Elementos'!AM485,'LP Elementos'!AR485,'LP Elementos'!AW485,'LP Elementos'!BB485,'LP Elementos'!BG485,'LP Elementos'!BL485,'LP Elementos'!BQ485,'LP Elementos'!BV485,'LP Elementos'!CA485,'LP Elementos'!CF485,'LP Elementos'!CK485,'LP Elementos'!CP485,'LP Elementos'!CU485,'LP Elementos'!CZ485)," ")</f>
        <v>374221.75959999999</v>
      </c>
      <c r="F485" s="341">
        <f>IFERROR(MEDIAN('LP Elementos'!F485,'LP Elementos'!I485,'LP Elementos'!N485,'LP Elementos'!S485,'LP Elementos'!X485,'LP Elementos'!AC485,'LP Elementos'!AH485,'LP Elementos'!AM485,'LP Elementos'!AR485,'LP Elementos'!AW485,'LP Elementos'!BB485,'LP Elementos'!BG485,'LP Elementos'!BL485,'LP Elementos'!BQ485,'LP Elementos'!BV485,'LP Elementos'!CA485,'LP Elementos'!CF485,'LP Elementos'!CK485,'LP Elementos'!CP485,'LP Elementos'!CU485,'LP Elementos'!CZ485)," ")</f>
        <v>374221.75959999999</v>
      </c>
      <c r="G485" s="341">
        <f>IFERROR(GEOMEAN('LP Elementos'!F485,'LP Elementos'!I485,'LP Elementos'!N485,'LP Elementos'!S485,'LP Elementos'!X485,'LP Elementos'!AC485,'LP Elementos'!AH485,'LP Elementos'!AM485,'LP Elementos'!AR485,'LP Elementos'!AW485,'LP Elementos'!BB485,'LP Elementos'!BG485,'LP Elementos'!BL485,'LP Elementos'!BQ485,'LP Elementos'!BV485,'LP Elementos'!CA485,'LP Elementos'!CF485,'LP Elementos'!CK485,'LP Elementos'!CP485,'LP Elementos'!CU485,'LP Elementos'!CZ485)," ")</f>
        <v>358755.75224071322</v>
      </c>
      <c r="H485" s="341">
        <f t="shared" si="36"/>
        <v>51180.166155791601</v>
      </c>
      <c r="I485" s="342">
        <f t="shared" si="37"/>
        <v>0.13676427103142616</v>
      </c>
      <c r="J485" s="341">
        <f t="shared" si="38"/>
        <v>374221.75959999999</v>
      </c>
      <c r="K485" s="326" t="str">
        <f t="shared" si="39"/>
        <v>Promedio</v>
      </c>
      <c r="L485" s="326">
        <f>IFERROR(COUNTA('LP Elementos'!F485,'LP Elementos'!I485,'LP Elementos'!N485,'LP Elementos'!S485,'LP Elementos'!X485,'LP Elementos'!AC485,'LP Elementos'!AH485,'LP Elementos'!AM485,'LP Elementos'!AR485,'LP Elementos'!AX485,'LP Elementos'!BB485,'LP Elementos'!BG485,'LP Elementos'!BL485,'LP Elementos'!BQ485,'LP Elementos'!BV485,'LP Elementos'!CA485,'LP Elementos'!CF485,'LP Elementos'!CK485,'LP Elementos'!CP485,'LP Elementos'!CU485,'LP Elementos'!CZ485)," ")</f>
        <v>2</v>
      </c>
    </row>
    <row r="486" spans="2:12" x14ac:dyDescent="0.25">
      <c r="B486" s="411">
        <v>484</v>
      </c>
      <c r="C486" s="412" t="s">
        <v>4310</v>
      </c>
      <c r="D486" s="408">
        <f>IFERROR(MIN('LP Elementos'!F486,'LP Elementos'!I486,'LP Elementos'!N486,'LP Elementos'!S486,'LP Elementos'!X486,'LP Elementos'!AC486,'LP Elementos'!AH486,'LP Elementos'!AM486,'LP Elementos'!AR486,'LP Elementos'!AW486,'LP Elementos'!BB486,'LP Elementos'!BG486,'LP Elementos'!BL486,'LP Elementos'!BQ486,'LP Elementos'!BV486,'LP Elementos'!CA486,'LP Elementos'!CF486,'LP Elementos'!CK486,'LP Elementos'!CP486,'LP Elementos'!CU486,'LP Elementos'!CZ486)," ")</f>
        <v>109599</v>
      </c>
      <c r="E486" s="341">
        <f>IFERROR(AVERAGE('LP Elementos'!F486,'LP Elementos'!I486,'LP Elementos'!N486,'LP Elementos'!S486,'LP Elementos'!X486,'LP Elementos'!AC486,'LP Elementos'!AH486,'LP Elementos'!AM486,'LP Elementos'!AR486,'LP Elementos'!AW486,'LP Elementos'!BB486,'LP Elementos'!BG486,'LP Elementos'!BL486,'LP Elementos'!BQ486,'LP Elementos'!BV486,'LP Elementos'!CA486,'LP Elementos'!CF486,'LP Elementos'!CK486,'LP Elementos'!CP486,'LP Elementos'!CU486,'LP Elementos'!CZ486)," ")</f>
        <v>323405.60109999997</v>
      </c>
      <c r="F486" s="341">
        <f>IFERROR(MEDIAN('LP Elementos'!F486,'LP Elementos'!I486,'LP Elementos'!N486,'LP Elementos'!S486,'LP Elementos'!X486,'LP Elementos'!AC486,'LP Elementos'!AH486,'LP Elementos'!AM486,'LP Elementos'!AR486,'LP Elementos'!AW486,'LP Elementos'!BB486,'LP Elementos'!BG486,'LP Elementos'!BL486,'LP Elementos'!BQ486,'LP Elementos'!BV486,'LP Elementos'!CA486,'LP Elementos'!CF486,'LP Elementos'!CK486,'LP Elementos'!CP486,'LP Elementos'!CU486,'LP Elementos'!CZ486)," ")</f>
        <v>255790.5</v>
      </c>
      <c r="G486" s="341">
        <f>IFERROR(GEOMEAN('LP Elementos'!F486,'LP Elementos'!I486,'LP Elementos'!N486,'LP Elementos'!S486,'LP Elementos'!X486,'LP Elementos'!AC486,'LP Elementos'!AH486,'LP Elementos'!AM486,'LP Elementos'!AR486,'LP Elementos'!AW486,'LP Elementos'!BB486,'LP Elementos'!BG486,'LP Elementos'!BL486,'LP Elementos'!BQ486,'LP Elementos'!BV486,'LP Elementos'!CA486,'LP Elementos'!CF486,'LP Elementos'!CK486,'LP Elementos'!CP486,'LP Elementos'!CU486,'LP Elementos'!CZ486)," ")</f>
        <v>246537.66375241295</v>
      </c>
      <c r="H486" s="341">
        <f t="shared" si="36"/>
        <v>89630.496876500911</v>
      </c>
      <c r="I486" s="342">
        <f t="shared" si="37"/>
        <v>0.27714577784565436</v>
      </c>
      <c r="J486" s="341">
        <f t="shared" si="38"/>
        <v>246537.66375241295</v>
      </c>
      <c r="K486" s="326" t="str">
        <f t="shared" si="39"/>
        <v>Media Geometrica</v>
      </c>
      <c r="L486" s="326">
        <f>IFERROR(COUNTA('LP Elementos'!F486,'LP Elementos'!I486,'LP Elementos'!N486,'LP Elementos'!S486,'LP Elementos'!X486,'LP Elementos'!AC486,'LP Elementos'!AH486,'LP Elementos'!AM486,'LP Elementos'!AR486,'LP Elementos'!AX486,'LP Elementos'!BB486,'LP Elementos'!BG486,'LP Elementos'!BL486,'LP Elementos'!BQ486,'LP Elementos'!BV486,'LP Elementos'!CA486,'LP Elementos'!CF486,'LP Elementos'!CK486,'LP Elementos'!CP486,'LP Elementos'!CU486,'LP Elementos'!CZ486)," ")</f>
        <v>4</v>
      </c>
    </row>
    <row r="487" spans="2:12" x14ac:dyDescent="0.25">
      <c r="B487" s="411">
        <v>485</v>
      </c>
      <c r="C487" s="412" t="s">
        <v>4315</v>
      </c>
      <c r="D487" s="408">
        <f>IFERROR(MIN('LP Elementos'!F487,'LP Elementos'!I487,'LP Elementos'!N487,'LP Elementos'!S487,'LP Elementos'!X487,'LP Elementos'!AC487,'LP Elementos'!AH487,'LP Elementos'!AM487,'LP Elementos'!AR487,'LP Elementos'!AW487,'LP Elementos'!BB487,'LP Elementos'!BG487,'LP Elementos'!BL487,'LP Elementos'!BQ487,'LP Elementos'!BV487,'LP Elementos'!CA487,'LP Elementos'!CF487,'LP Elementos'!CK487,'LP Elementos'!CP487,'LP Elementos'!CU487,'LP Elementos'!CZ487)," ")</f>
        <v>341530</v>
      </c>
      <c r="E487" s="341">
        <f>IFERROR(AVERAGE('LP Elementos'!F487,'LP Elementos'!I487,'LP Elementos'!N487,'LP Elementos'!S487,'LP Elementos'!X487,'LP Elementos'!AC487,'LP Elementos'!AH487,'LP Elementos'!AM487,'LP Elementos'!AR487,'LP Elementos'!AW487,'LP Elementos'!BB487,'LP Elementos'!BG487,'LP Elementos'!BL487,'LP Elementos'!BQ487,'LP Elementos'!BV487,'LP Elementos'!CA487,'LP Elementos'!CF487,'LP Elementos'!CK487,'LP Elementos'!CP487,'LP Elementos'!CU487,'LP Elementos'!CZ487)," ")</f>
        <v>601240.69319999998</v>
      </c>
      <c r="F487" s="341">
        <f>IFERROR(MEDIAN('LP Elementos'!F487,'LP Elementos'!I487,'LP Elementos'!N487,'LP Elementos'!S487,'LP Elementos'!X487,'LP Elementos'!AC487,'LP Elementos'!AH487,'LP Elementos'!AM487,'LP Elementos'!AR487,'LP Elementos'!AW487,'LP Elementos'!BB487,'LP Elementos'!BG487,'LP Elementos'!BL487,'LP Elementos'!BQ487,'LP Elementos'!BV487,'LP Elementos'!CA487,'LP Elementos'!CF487,'LP Elementos'!CK487,'LP Elementos'!CP487,'LP Elementos'!CU487,'LP Elementos'!CZ487)," ")</f>
        <v>714158.07960000006</v>
      </c>
      <c r="G487" s="341">
        <f>IFERROR(GEOMEAN('LP Elementos'!F487,'LP Elementos'!I487,'LP Elementos'!N487,'LP Elementos'!S487,'LP Elementos'!X487,'LP Elementos'!AC487,'LP Elementos'!AH487,'LP Elementos'!AM487,'LP Elementos'!AR487,'LP Elementos'!AW487,'LP Elementos'!BB487,'LP Elementos'!BG487,'LP Elementos'!BL487,'LP Elementos'!BQ487,'LP Elementos'!BV487,'LP Elementos'!CA487,'LP Elementos'!CF487,'LP Elementos'!CK487,'LP Elementos'!CP487,'LP Elementos'!CU487,'LP Elementos'!CZ487)," ")</f>
        <v>567172.08812259522</v>
      </c>
      <c r="H487" s="341">
        <f t="shared" ref="H487:H526" si="40">STDEVA(D487,E487,F487,G487)</f>
        <v>156186.73905911946</v>
      </c>
      <c r="I487" s="342">
        <f t="shared" ref="I487:I526" si="41">IFERROR(H487/E487," ")</f>
        <v>0.2597740652380704</v>
      </c>
      <c r="J487" s="341">
        <f t="shared" ref="J487:J526" si="42">IF(I487&lt;=10%,F487,IF(AND(I487&gt;10%,I487&lt;=20%),E487,IF(AND(I487&gt;20%,I487&lt;=30%),G487,IF(I487&gt;30%,D487))))</f>
        <v>567172.08812259522</v>
      </c>
      <c r="K487" s="326" t="str">
        <f t="shared" ref="K487:K526" si="43">IF(J487=D487,"Menor Valor",IF(J487=E487,"Promedio",IF(J487=F487,"Mediana",IF(J487=G487,"Media Geometrica"," "))))</f>
        <v>Media Geometrica</v>
      </c>
      <c r="L487" s="326">
        <f>IFERROR(COUNTA('LP Elementos'!F487,'LP Elementos'!I487,'LP Elementos'!N487,'LP Elementos'!S487,'LP Elementos'!X487,'LP Elementos'!AC487,'LP Elementos'!AH487,'LP Elementos'!AM487,'LP Elementos'!AR487,'LP Elementos'!AX487,'LP Elementos'!BB487,'LP Elementos'!BG487,'LP Elementos'!BL487,'LP Elementos'!BQ487,'LP Elementos'!BV487,'LP Elementos'!CA487,'LP Elementos'!CF487,'LP Elementos'!CK487,'LP Elementos'!CP487,'LP Elementos'!CU487,'LP Elementos'!CZ487)," ")</f>
        <v>3</v>
      </c>
    </row>
    <row r="488" spans="2:12" ht="27" x14ac:dyDescent="0.25">
      <c r="B488" s="411">
        <v>486</v>
      </c>
      <c r="C488" s="412" t="s">
        <v>4319</v>
      </c>
      <c r="D488" s="408">
        <f>IFERROR(MIN('LP Elementos'!F488,'LP Elementos'!I488,'LP Elementos'!N488,'LP Elementos'!S488,'LP Elementos'!X488,'LP Elementos'!AC488,'LP Elementos'!AH488,'LP Elementos'!AM488,'LP Elementos'!AR488,'LP Elementos'!AW488,'LP Elementos'!BB488,'LP Elementos'!BG488,'LP Elementos'!BL488,'LP Elementos'!BQ488,'LP Elementos'!BV488,'LP Elementos'!CA488,'LP Elementos'!CF488,'LP Elementos'!CK488,'LP Elementos'!CP488,'LP Elementos'!CU488,'LP Elementos'!CZ488)," ")</f>
        <v>123760</v>
      </c>
      <c r="E488" s="341">
        <f>IFERROR(AVERAGE('LP Elementos'!F488,'LP Elementos'!I488,'LP Elementos'!N488,'LP Elementos'!S488,'LP Elementos'!X488,'LP Elementos'!AC488,'LP Elementos'!AH488,'LP Elementos'!AM488,'LP Elementos'!AR488,'LP Elementos'!AW488,'LP Elementos'!BB488,'LP Elementos'!BG488,'LP Elementos'!BL488,'LP Elementos'!BQ488,'LP Elementos'!BV488,'LP Elementos'!CA488,'LP Elementos'!CF488,'LP Elementos'!CK488,'LP Elementos'!CP488,'LP Elementos'!CU488,'LP Elementos'!CZ488)," ")</f>
        <v>195011.56733333334</v>
      </c>
      <c r="F488" s="341">
        <f>IFERROR(MEDIAN('LP Elementos'!F488,'LP Elementos'!I488,'LP Elementos'!N488,'LP Elementos'!S488,'LP Elementos'!X488,'LP Elementos'!AC488,'LP Elementos'!AH488,'LP Elementos'!AM488,'LP Elementos'!AR488,'LP Elementos'!AW488,'LP Elementos'!BB488,'LP Elementos'!BG488,'LP Elementos'!BL488,'LP Elementos'!BQ488,'LP Elementos'!BV488,'LP Elementos'!CA488,'LP Elementos'!CF488,'LP Elementos'!CK488,'LP Elementos'!CP488,'LP Elementos'!CU488,'LP Elementos'!CZ488)," ")</f>
        <v>136999.70199999999</v>
      </c>
      <c r="G488" s="341">
        <f>IFERROR(GEOMEAN('LP Elementos'!F488,'LP Elementos'!I488,'LP Elementos'!N488,'LP Elementos'!S488,'LP Elementos'!X488,'LP Elementos'!AC488,'LP Elementos'!AH488,'LP Elementos'!AM488,'LP Elementos'!AR488,'LP Elementos'!AW488,'LP Elementos'!BB488,'LP Elementos'!BG488,'LP Elementos'!BL488,'LP Elementos'!BQ488,'LP Elementos'!BV488,'LP Elementos'!CA488,'LP Elementos'!CF488,'LP Elementos'!CK488,'LP Elementos'!CP488,'LP Elementos'!CU488,'LP Elementos'!CZ488)," ")</f>
        <v>176497.19067272707</v>
      </c>
      <c r="H488" s="341">
        <f t="shared" si="40"/>
        <v>33293.514271542481</v>
      </c>
      <c r="I488" s="342">
        <f t="shared" si="41"/>
        <v>0.17072584322464249</v>
      </c>
      <c r="J488" s="341">
        <f t="shared" si="42"/>
        <v>195011.56733333334</v>
      </c>
      <c r="K488" s="326" t="str">
        <f t="shared" si="43"/>
        <v>Promedio</v>
      </c>
      <c r="L488" s="326">
        <f>IFERROR(COUNTA('LP Elementos'!F488,'LP Elementos'!I488,'LP Elementos'!N488,'LP Elementos'!S488,'LP Elementos'!X488,'LP Elementos'!AC488,'LP Elementos'!AH488,'LP Elementos'!AM488,'LP Elementos'!AR488,'LP Elementos'!AX488,'LP Elementos'!BB488,'LP Elementos'!BG488,'LP Elementos'!BL488,'LP Elementos'!BQ488,'LP Elementos'!BV488,'LP Elementos'!CA488,'LP Elementos'!CF488,'LP Elementos'!CK488,'LP Elementos'!CP488,'LP Elementos'!CU488,'LP Elementos'!CZ488)," ")</f>
        <v>3</v>
      </c>
    </row>
    <row r="489" spans="2:12" x14ac:dyDescent="0.25">
      <c r="B489" s="411">
        <v>487</v>
      </c>
      <c r="C489" s="412" t="s">
        <v>4323</v>
      </c>
      <c r="D489" s="408">
        <f>IFERROR(MIN('LP Elementos'!F489,'LP Elementos'!I489,'LP Elementos'!N489,'LP Elementos'!S489,'LP Elementos'!X489,'LP Elementos'!AC489,'LP Elementos'!AH489,'LP Elementos'!AM489,'LP Elementos'!AR489,'LP Elementos'!AW489,'LP Elementos'!BB489,'LP Elementos'!BG489,'LP Elementos'!BL489,'LP Elementos'!BQ489,'LP Elementos'!BV489,'LP Elementos'!CA489,'LP Elementos'!CF489,'LP Elementos'!CK489,'LP Elementos'!CP489,'LP Elementos'!CU489,'LP Elementos'!CZ489)," ")</f>
        <v>149940</v>
      </c>
      <c r="E489" s="341">
        <f>IFERROR(AVERAGE('LP Elementos'!F489,'LP Elementos'!I489,'LP Elementos'!N489,'LP Elementos'!S489,'LP Elementos'!X489,'LP Elementos'!AC489,'LP Elementos'!AH489,'LP Elementos'!AM489,'LP Elementos'!AR489,'LP Elementos'!AW489,'LP Elementos'!BB489,'LP Elementos'!BG489,'LP Elementos'!BL489,'LP Elementos'!BQ489,'LP Elementos'!BV489,'LP Elementos'!CA489,'LP Elementos'!CF489,'LP Elementos'!CK489,'LP Elementos'!CP489,'LP Elementos'!CU489,'LP Elementos'!CZ489)," ")</f>
        <v>304107.83199999999</v>
      </c>
      <c r="F489" s="341">
        <f>IFERROR(MEDIAN('LP Elementos'!F489,'LP Elementos'!I489,'LP Elementos'!N489,'LP Elementos'!S489,'LP Elementos'!X489,'LP Elementos'!AC489,'LP Elementos'!AH489,'LP Elementos'!AM489,'LP Elementos'!AR489,'LP Elementos'!AW489,'LP Elementos'!BB489,'LP Elementos'!BG489,'LP Elementos'!BL489,'LP Elementos'!BQ489,'LP Elementos'!BV489,'LP Elementos'!CA489,'LP Elementos'!CF489,'LP Elementos'!CK489,'LP Elementos'!CP489,'LP Elementos'!CU489,'LP Elementos'!CZ489)," ")</f>
        <v>345100</v>
      </c>
      <c r="G489" s="341">
        <f>IFERROR(GEOMEAN('LP Elementos'!F489,'LP Elementos'!I489,'LP Elementos'!N489,'LP Elementos'!S489,'LP Elementos'!X489,'LP Elementos'!AC489,'LP Elementos'!AH489,'LP Elementos'!AM489,'LP Elementos'!AR489,'LP Elementos'!AW489,'LP Elementos'!BB489,'LP Elementos'!BG489,'LP Elementos'!BL489,'LP Elementos'!BQ489,'LP Elementos'!BV489,'LP Elementos'!CA489,'LP Elementos'!CF489,'LP Elementos'!CK489,'LP Elementos'!CP489,'LP Elementos'!CU489,'LP Elementos'!CZ489)," ")</f>
        <v>278461.11514784623</v>
      </c>
      <c r="H489" s="341">
        <f t="shared" si="40"/>
        <v>84237.598473701975</v>
      </c>
      <c r="I489" s="342">
        <f t="shared" si="41"/>
        <v>0.27699910890062829</v>
      </c>
      <c r="J489" s="341">
        <f t="shared" si="42"/>
        <v>278461.11514784623</v>
      </c>
      <c r="K489" s="326" t="str">
        <f t="shared" si="43"/>
        <v>Media Geometrica</v>
      </c>
      <c r="L489" s="326">
        <f>IFERROR(COUNTA('LP Elementos'!F489,'LP Elementos'!I489,'LP Elementos'!N489,'LP Elementos'!S489,'LP Elementos'!X489,'LP Elementos'!AC489,'LP Elementos'!AH489,'LP Elementos'!AM489,'LP Elementos'!AR489,'LP Elementos'!AX489,'LP Elementos'!BB489,'LP Elementos'!BG489,'LP Elementos'!BL489,'LP Elementos'!BQ489,'LP Elementos'!BV489,'LP Elementos'!CA489,'LP Elementos'!CF489,'LP Elementos'!CK489,'LP Elementos'!CP489,'LP Elementos'!CU489,'LP Elementos'!CZ489)," ")</f>
        <v>3</v>
      </c>
    </row>
    <row r="490" spans="2:12" x14ac:dyDescent="0.25">
      <c r="B490" s="411">
        <v>488</v>
      </c>
      <c r="C490" s="412" t="s">
        <v>4327</v>
      </c>
      <c r="D490" s="408">
        <f>IFERROR(MIN('LP Elementos'!F490,'LP Elementos'!I490,'LP Elementos'!N490,'LP Elementos'!S490,'LP Elementos'!X490,'LP Elementos'!AC490,'LP Elementos'!AH490,'LP Elementos'!AM490,'LP Elementos'!AR490,'LP Elementos'!AW490,'LP Elementos'!BB490,'LP Elementos'!BG490,'LP Elementos'!BL490,'LP Elementos'!BQ490,'LP Elementos'!BV490,'LP Elementos'!CA490,'LP Elementos'!CF490,'LP Elementos'!CK490,'LP Elementos'!CP490,'LP Elementos'!CU490,'LP Elementos'!CZ490)," ")</f>
        <v>378420</v>
      </c>
      <c r="E490" s="341">
        <f>IFERROR(AVERAGE('LP Elementos'!F490,'LP Elementos'!I490,'LP Elementos'!N490,'LP Elementos'!S490,'LP Elementos'!X490,'LP Elementos'!AC490,'LP Elementos'!AH490,'LP Elementos'!AM490,'LP Elementos'!AR490,'LP Elementos'!AW490,'LP Elementos'!BB490,'LP Elementos'!BG490,'LP Elementos'!BL490,'LP Elementos'!BQ490,'LP Elementos'!BV490,'LP Elementos'!CA490,'LP Elementos'!CF490,'LP Elementos'!CK490,'LP Elementos'!CP490,'LP Elementos'!CU490,'LP Elementos'!CZ490)," ")</f>
        <v>385911.40700000001</v>
      </c>
      <c r="F490" s="341">
        <f>IFERROR(MEDIAN('LP Elementos'!F490,'LP Elementos'!I490,'LP Elementos'!N490,'LP Elementos'!S490,'LP Elementos'!X490,'LP Elementos'!AC490,'LP Elementos'!AH490,'LP Elementos'!AM490,'LP Elementos'!AR490,'LP Elementos'!AW490,'LP Elementos'!BB490,'LP Elementos'!BG490,'LP Elementos'!BL490,'LP Elementos'!BQ490,'LP Elementos'!BV490,'LP Elementos'!CA490,'LP Elementos'!CF490,'LP Elementos'!CK490,'LP Elementos'!CP490,'LP Elementos'!CU490,'LP Elementos'!CZ490)," ")</f>
        <v>385911.40700000001</v>
      </c>
      <c r="G490" s="341">
        <f>IFERROR(GEOMEAN('LP Elementos'!F490,'LP Elementos'!I490,'LP Elementos'!N490,'LP Elementos'!S490,'LP Elementos'!X490,'LP Elementos'!AC490,'LP Elementos'!AH490,'LP Elementos'!AM490,'LP Elementos'!AR490,'LP Elementos'!AW490,'LP Elementos'!BB490,'LP Elementos'!BG490,'LP Elementos'!BL490,'LP Elementos'!BQ490,'LP Elementos'!BV490,'LP Elementos'!CA490,'LP Elementos'!CF490,'LP Elementos'!CK490,'LP Elementos'!CP490,'LP Elementos'!CU490,'LP Elementos'!CZ490)," ")</f>
        <v>385838.68763238349</v>
      </c>
      <c r="H490" s="341">
        <f t="shared" si="40"/>
        <v>3733.7409756506386</v>
      </c>
      <c r="I490" s="342">
        <f t="shared" si="41"/>
        <v>9.6751246734995792E-3</v>
      </c>
      <c r="J490" s="341">
        <f t="shared" si="42"/>
        <v>385911.40700000001</v>
      </c>
      <c r="K490" s="326" t="str">
        <f t="shared" si="43"/>
        <v>Promedio</v>
      </c>
      <c r="L490" s="326">
        <f>IFERROR(COUNTA('LP Elementos'!F490,'LP Elementos'!I490,'LP Elementos'!N490,'LP Elementos'!S490,'LP Elementos'!X490,'LP Elementos'!AC490,'LP Elementos'!AH490,'LP Elementos'!AM490,'LP Elementos'!AR490,'LP Elementos'!AX490,'LP Elementos'!BB490,'LP Elementos'!BG490,'LP Elementos'!BL490,'LP Elementos'!BQ490,'LP Elementos'!BV490,'LP Elementos'!CA490,'LP Elementos'!CF490,'LP Elementos'!CK490,'LP Elementos'!CP490,'LP Elementos'!CU490,'LP Elementos'!CZ490)," ")</f>
        <v>2</v>
      </c>
    </row>
    <row r="491" spans="2:12" x14ac:dyDescent="0.25">
      <c r="B491" s="411">
        <v>489</v>
      </c>
      <c r="C491" s="412" t="s">
        <v>4329</v>
      </c>
      <c r="D491" s="408">
        <f>IFERROR(MIN('LP Elementos'!F491,'LP Elementos'!I491,'LP Elementos'!N491,'LP Elementos'!S491,'LP Elementos'!X491,'LP Elementos'!AC491,'LP Elementos'!AH491,'LP Elementos'!AM491,'LP Elementos'!AR491,'LP Elementos'!AW491,'LP Elementos'!BB491,'LP Elementos'!BG491,'LP Elementos'!BL491,'LP Elementos'!BQ491,'LP Elementos'!BV491,'LP Elementos'!CA491,'LP Elementos'!CF491,'LP Elementos'!CK491,'LP Elementos'!CP491,'LP Elementos'!CU491,'LP Elementos'!CZ491)," ")</f>
        <v>316540</v>
      </c>
      <c r="E491" s="341">
        <f>IFERROR(AVERAGE('LP Elementos'!F491,'LP Elementos'!I491,'LP Elementos'!N491,'LP Elementos'!S491,'LP Elementos'!X491,'LP Elementos'!AC491,'LP Elementos'!AH491,'LP Elementos'!AM491,'LP Elementos'!AR491,'LP Elementos'!AW491,'LP Elementos'!BB491,'LP Elementos'!BG491,'LP Elementos'!BL491,'LP Elementos'!BQ491,'LP Elementos'!BV491,'LP Elementos'!CA491,'LP Elementos'!CF491,'LP Elementos'!CK491,'LP Elementos'!CP491,'LP Elementos'!CU491,'LP Elementos'!CZ491)," ")</f>
        <v>369240.81600000005</v>
      </c>
      <c r="F491" s="341">
        <f>IFERROR(MEDIAN('LP Elementos'!F491,'LP Elementos'!I491,'LP Elementos'!N491,'LP Elementos'!S491,'LP Elementos'!X491,'LP Elementos'!AC491,'LP Elementos'!AH491,'LP Elementos'!AM491,'LP Elementos'!AR491,'LP Elementos'!AW491,'LP Elementos'!BB491,'LP Elementos'!BG491,'LP Elementos'!BL491,'LP Elementos'!BQ491,'LP Elementos'!BV491,'LP Elementos'!CA491,'LP Elementos'!CF491,'LP Elementos'!CK491,'LP Elementos'!CP491,'LP Elementos'!CU491,'LP Elementos'!CZ491)," ")</f>
        <v>394009</v>
      </c>
      <c r="G491" s="341">
        <f>IFERROR(GEOMEAN('LP Elementos'!F491,'LP Elementos'!I491,'LP Elementos'!N491,'LP Elementos'!S491,'LP Elementos'!X491,'LP Elementos'!AC491,'LP Elementos'!AH491,'LP Elementos'!AM491,'LP Elementos'!AR491,'LP Elementos'!AW491,'LP Elementos'!BB491,'LP Elementos'!BG491,'LP Elementos'!BL491,'LP Elementos'!BQ491,'LP Elementos'!BV491,'LP Elementos'!CA491,'LP Elementos'!CF491,'LP Elementos'!CK491,'LP Elementos'!CP491,'LP Elementos'!CU491,'LP Elementos'!CZ491)," ")</f>
        <v>367258.32496887591</v>
      </c>
      <c r="H491" s="341">
        <f t="shared" si="40"/>
        <v>32511.744390401334</v>
      </c>
      <c r="I491" s="342">
        <f t="shared" si="41"/>
        <v>8.8050245210164774E-2</v>
      </c>
      <c r="J491" s="341">
        <f t="shared" si="42"/>
        <v>394009</v>
      </c>
      <c r="K491" s="326" t="str">
        <f t="shared" si="43"/>
        <v>Mediana</v>
      </c>
      <c r="L491" s="326">
        <f>IFERROR(COUNTA('LP Elementos'!F491,'LP Elementos'!I491,'LP Elementos'!N491,'LP Elementos'!S491,'LP Elementos'!X491,'LP Elementos'!AC491,'LP Elementos'!AH491,'LP Elementos'!AM491,'LP Elementos'!AR491,'LP Elementos'!AX491,'LP Elementos'!BB491,'LP Elementos'!BG491,'LP Elementos'!BL491,'LP Elementos'!BQ491,'LP Elementos'!BV491,'LP Elementos'!CA491,'LP Elementos'!CF491,'LP Elementos'!CK491,'LP Elementos'!CP491,'LP Elementos'!CU491,'LP Elementos'!CZ491)," ")</f>
        <v>3</v>
      </c>
    </row>
    <row r="492" spans="2:12" x14ac:dyDescent="0.25">
      <c r="B492" s="411">
        <v>490</v>
      </c>
      <c r="C492" s="412" t="s">
        <v>4331</v>
      </c>
      <c r="D492" s="408">
        <f>IFERROR(MIN('LP Elementos'!F492,'LP Elementos'!I492,'LP Elementos'!N492,'LP Elementos'!S492,'LP Elementos'!X492,'LP Elementos'!AC492,'LP Elementos'!AH492,'LP Elementos'!AM492,'LP Elementos'!AR492,'LP Elementos'!AW492,'LP Elementos'!BB492,'LP Elementos'!BG492,'LP Elementos'!BL492,'LP Elementos'!BQ492,'LP Elementos'!BV492,'LP Elementos'!CA492,'LP Elementos'!CF492,'LP Elementos'!CK492,'LP Elementos'!CP492,'LP Elementos'!CU492,'LP Elementos'!CZ492)," ")</f>
        <v>1101968.3145999999</v>
      </c>
      <c r="E492" s="341">
        <f>IFERROR(AVERAGE('LP Elementos'!F492,'LP Elementos'!I492,'LP Elementos'!N492,'LP Elementos'!S492,'LP Elementos'!X492,'LP Elementos'!AC492,'LP Elementos'!AH492,'LP Elementos'!AM492,'LP Elementos'!AR492,'LP Elementos'!AW492,'LP Elementos'!BB492,'LP Elementos'!BG492,'LP Elementos'!BL492,'LP Elementos'!BQ492,'LP Elementos'!BV492,'LP Elementos'!CA492,'LP Elementos'!CF492,'LP Elementos'!CK492,'LP Elementos'!CP492,'LP Elementos'!CU492,'LP Elementos'!CZ492)," ")</f>
        <v>1116829.1573000001</v>
      </c>
      <c r="F492" s="341">
        <f>IFERROR(MEDIAN('LP Elementos'!F492,'LP Elementos'!I492,'LP Elementos'!N492,'LP Elementos'!S492,'LP Elementos'!X492,'LP Elementos'!AC492,'LP Elementos'!AH492,'LP Elementos'!AM492,'LP Elementos'!AR492,'LP Elementos'!AW492,'LP Elementos'!BB492,'LP Elementos'!BG492,'LP Elementos'!BL492,'LP Elementos'!BQ492,'LP Elementos'!BV492,'LP Elementos'!CA492,'LP Elementos'!CF492,'LP Elementos'!CK492,'LP Elementos'!CP492,'LP Elementos'!CU492,'LP Elementos'!CZ492)," ")</f>
        <v>1116829.1573000001</v>
      </c>
      <c r="G492" s="341">
        <f>IFERROR(GEOMEAN('LP Elementos'!F492,'LP Elementos'!I492,'LP Elementos'!N492,'LP Elementos'!S492,'LP Elementos'!X492,'LP Elementos'!AC492,'LP Elementos'!AH492,'LP Elementos'!AM492,'LP Elementos'!AR492,'LP Elementos'!AW492,'LP Elementos'!BB492,'LP Elementos'!BG492,'LP Elementos'!BL492,'LP Elementos'!BQ492,'LP Elementos'!BV492,'LP Elementos'!CA492,'LP Elementos'!CF492,'LP Elementos'!CK492,'LP Elementos'!CP492,'LP Elementos'!CU492,'LP Elementos'!CZ492)," ")</f>
        <v>1116730.2816480235</v>
      </c>
      <c r="H492" s="341">
        <f t="shared" si="40"/>
        <v>7414.0885898871493</v>
      </c>
      <c r="I492" s="342">
        <f t="shared" si="41"/>
        <v>6.6385163222378099E-3</v>
      </c>
      <c r="J492" s="341">
        <f t="shared" si="42"/>
        <v>1116829.1573000001</v>
      </c>
      <c r="K492" s="326" t="str">
        <f t="shared" si="43"/>
        <v>Promedio</v>
      </c>
      <c r="L492" s="326">
        <f>IFERROR(COUNTA('LP Elementos'!F492,'LP Elementos'!I492,'LP Elementos'!N492,'LP Elementos'!S492,'LP Elementos'!X492,'LP Elementos'!AC492,'LP Elementos'!AH492,'LP Elementos'!AM492,'LP Elementos'!AR492,'LP Elementos'!AX492,'LP Elementos'!BB492,'LP Elementos'!BG492,'LP Elementos'!BL492,'LP Elementos'!BQ492,'LP Elementos'!BV492,'LP Elementos'!CA492,'LP Elementos'!CF492,'LP Elementos'!CK492,'LP Elementos'!CP492,'LP Elementos'!CU492,'LP Elementos'!CZ492)," ")</f>
        <v>2</v>
      </c>
    </row>
    <row r="493" spans="2:12" x14ac:dyDescent="0.25">
      <c r="B493" s="411">
        <v>491</v>
      </c>
      <c r="C493" s="412" t="s">
        <v>4335</v>
      </c>
      <c r="D493" s="408">
        <f>IFERROR(MIN('LP Elementos'!F493,'LP Elementos'!I493,'LP Elementos'!N493,'LP Elementos'!S493,'LP Elementos'!X493,'LP Elementos'!AC493,'LP Elementos'!AH493,'LP Elementos'!AM493,'LP Elementos'!AR493,'LP Elementos'!AW493,'LP Elementos'!BB493,'LP Elementos'!BG493,'LP Elementos'!BL493,'LP Elementos'!BQ493,'LP Elementos'!BV493,'LP Elementos'!CA493,'LP Elementos'!CF493,'LP Elementos'!CK493,'LP Elementos'!CP493,'LP Elementos'!CU493,'LP Elementos'!CZ493)," ")</f>
        <v>45220</v>
      </c>
      <c r="E493" s="341">
        <f>IFERROR(AVERAGE('LP Elementos'!F493,'LP Elementos'!I493,'LP Elementos'!N493,'LP Elementos'!S493,'LP Elementos'!X493,'LP Elementos'!AC493,'LP Elementos'!AH493,'LP Elementos'!AM493,'LP Elementos'!AR493,'LP Elementos'!AW493,'LP Elementos'!BB493,'LP Elementos'!BG493,'LP Elementos'!BL493,'LP Elementos'!BQ493,'LP Elementos'!BV493,'LP Elementos'!CA493,'LP Elementos'!CF493,'LP Elementos'!CK493,'LP Elementos'!CP493,'LP Elementos'!CU493,'LP Elementos'!CZ493)," ")</f>
        <v>89273.006666666668</v>
      </c>
      <c r="F493" s="341">
        <f>IFERROR(MEDIAN('LP Elementos'!F493,'LP Elementos'!I493,'LP Elementos'!N493,'LP Elementos'!S493,'LP Elementos'!X493,'LP Elementos'!AC493,'LP Elementos'!AH493,'LP Elementos'!AM493,'LP Elementos'!AR493,'LP Elementos'!AW493,'LP Elementos'!BB493,'LP Elementos'!BG493,'LP Elementos'!BL493,'LP Elementos'!BQ493,'LP Elementos'!BV493,'LP Elementos'!CA493,'LP Elementos'!CF493,'LP Elementos'!CK493,'LP Elementos'!CP493,'LP Elementos'!CU493,'LP Elementos'!CZ493)," ")</f>
        <v>109480</v>
      </c>
      <c r="G493" s="341">
        <f>IFERROR(GEOMEAN('LP Elementos'!F493,'LP Elementos'!I493,'LP Elementos'!N493,'LP Elementos'!S493,'LP Elementos'!X493,'LP Elementos'!AC493,'LP Elementos'!AH493,'LP Elementos'!AM493,'LP Elementos'!AR493,'LP Elementos'!AW493,'LP Elementos'!BB493,'LP Elementos'!BG493,'LP Elementos'!BL493,'LP Elementos'!BQ493,'LP Elementos'!BV493,'LP Elementos'!CA493,'LP Elementos'!CF493,'LP Elementos'!CK493,'LP Elementos'!CP493,'LP Elementos'!CU493,'LP Elementos'!CZ493)," ")</f>
        <v>82426.525505610582</v>
      </c>
      <c r="H493" s="341">
        <f t="shared" si="40"/>
        <v>26835.032921310292</v>
      </c>
      <c r="I493" s="342">
        <f t="shared" si="41"/>
        <v>0.30059515102374312</v>
      </c>
      <c r="J493" s="341">
        <f>IF(I493&lt;=10%,F493,IF(AND(I493&gt;10%,I493&lt;=20%),E493,IF(AND(I493&gt;20%,I493&lt;=31%),G493,IF(I493&gt;31%,D493))))</f>
        <v>82426.525505610582</v>
      </c>
      <c r="K493" s="326" t="str">
        <f t="shared" si="43"/>
        <v>Media Geometrica</v>
      </c>
      <c r="L493" s="326">
        <f>IFERROR(COUNTA('LP Elementos'!F493,'LP Elementos'!I493,'LP Elementos'!N493,'LP Elementos'!S493,'LP Elementos'!X493,'LP Elementos'!AC493,'LP Elementos'!AH493,'LP Elementos'!AM493,'LP Elementos'!AR493,'LP Elementos'!AX493,'LP Elementos'!BB493,'LP Elementos'!BG493,'LP Elementos'!BL493,'LP Elementos'!BQ493,'LP Elementos'!BV493,'LP Elementos'!CA493,'LP Elementos'!CF493,'LP Elementos'!CK493,'LP Elementos'!CP493,'LP Elementos'!CU493,'LP Elementos'!CZ493)," ")</f>
        <v>3</v>
      </c>
    </row>
    <row r="494" spans="2:12" ht="40.5" x14ac:dyDescent="0.25">
      <c r="B494" s="411">
        <v>492</v>
      </c>
      <c r="C494" s="412" t="s">
        <v>4338</v>
      </c>
      <c r="D494" s="408">
        <f>IFERROR(MIN('LP Elementos'!F494,'LP Elementos'!I494,'LP Elementos'!N494,'LP Elementos'!S494,'LP Elementos'!X494,'LP Elementos'!AC494,'LP Elementos'!AH494,'LP Elementos'!AM494,'LP Elementos'!AR494,'LP Elementos'!AW494,'LP Elementos'!BB494,'LP Elementos'!BG494,'LP Elementos'!BL494,'LP Elementos'!BQ494,'LP Elementos'!BV494,'LP Elementos'!CA494,'LP Elementos'!CF494,'LP Elementos'!CK494,'LP Elementos'!CP494,'LP Elementos'!CU494,'LP Elementos'!CZ494)," ")</f>
        <v>356650.22260000004</v>
      </c>
      <c r="E494" s="341">
        <f>IFERROR(AVERAGE('LP Elementos'!F494,'LP Elementos'!I494,'LP Elementos'!N494,'LP Elementos'!S494,'LP Elementos'!X494,'LP Elementos'!AC494,'LP Elementos'!AH494,'LP Elementos'!AM494,'LP Elementos'!AR494,'LP Elementos'!AW494,'LP Elementos'!BB494,'LP Elementos'!BG494,'LP Elementos'!BL494,'LP Elementos'!BQ494,'LP Elementos'!BV494,'LP Elementos'!CA494,'LP Elementos'!CF494,'LP Elementos'!CK494,'LP Elementos'!CP494,'LP Elementos'!CU494,'LP Elementos'!CZ494)," ")</f>
        <v>475230.11129999999</v>
      </c>
      <c r="F494" s="341">
        <f>IFERROR(MEDIAN('LP Elementos'!F494,'LP Elementos'!I494,'LP Elementos'!N494,'LP Elementos'!S494,'LP Elementos'!X494,'LP Elementos'!AC494,'LP Elementos'!AH494,'LP Elementos'!AM494,'LP Elementos'!AR494,'LP Elementos'!AW494,'LP Elementos'!BB494,'LP Elementos'!BG494,'LP Elementos'!BL494,'LP Elementos'!BQ494,'LP Elementos'!BV494,'LP Elementos'!CA494,'LP Elementos'!CF494,'LP Elementos'!CK494,'LP Elementos'!CP494,'LP Elementos'!CU494,'LP Elementos'!CZ494)," ")</f>
        <v>475230.11129999999</v>
      </c>
      <c r="G494" s="341">
        <f>IFERROR(GEOMEAN('LP Elementos'!F494,'LP Elementos'!I494,'LP Elementos'!N494,'LP Elementos'!S494,'LP Elementos'!X494,'LP Elementos'!AC494,'LP Elementos'!AH494,'LP Elementos'!AM494,'LP Elementos'!AR494,'LP Elementos'!AW494,'LP Elementos'!BB494,'LP Elementos'!BG494,'LP Elementos'!BL494,'LP Elementos'!BQ494,'LP Elementos'!BV494,'LP Elementos'!CA494,'LP Elementos'!CF494,'LP Elementos'!CK494,'LP Elementos'!CP494,'LP Elementos'!CU494,'LP Elementos'!CZ494)," ")</f>
        <v>460198.29278486688</v>
      </c>
      <c r="H494" s="341">
        <f t="shared" si="40"/>
        <v>57225.06296993979</v>
      </c>
      <c r="I494" s="342">
        <f t="shared" si="41"/>
        <v>0.12041548211959816</v>
      </c>
      <c r="J494" s="341">
        <f t="shared" si="42"/>
        <v>475230.11129999999</v>
      </c>
      <c r="K494" s="326" t="str">
        <f t="shared" si="43"/>
        <v>Promedio</v>
      </c>
      <c r="L494" s="326">
        <f>IFERROR(COUNTA('LP Elementos'!F494,'LP Elementos'!I494,'LP Elementos'!N494,'LP Elementos'!S494,'LP Elementos'!X494,'LP Elementos'!AC494,'LP Elementos'!AH494,'LP Elementos'!AM494,'LP Elementos'!AR494,'LP Elementos'!AX494,'LP Elementos'!BB494,'LP Elementos'!BG494,'LP Elementos'!BL494,'LP Elementos'!BQ494,'LP Elementos'!BV494,'LP Elementos'!CA494,'LP Elementos'!CF494,'LP Elementos'!CK494,'LP Elementos'!CP494,'LP Elementos'!CU494,'LP Elementos'!CZ494)," ")</f>
        <v>2</v>
      </c>
    </row>
    <row r="495" spans="2:12" ht="40.5" x14ac:dyDescent="0.25">
      <c r="B495" s="411">
        <v>493</v>
      </c>
      <c r="C495" s="412" t="s">
        <v>4341</v>
      </c>
      <c r="D495" s="408">
        <f>IFERROR(MIN('LP Elementos'!F495,'LP Elementos'!I495,'LP Elementos'!N495,'LP Elementos'!S495,'LP Elementos'!X495,'LP Elementos'!AC495,'LP Elementos'!AH495,'LP Elementos'!AM495,'LP Elementos'!AR495,'LP Elementos'!AW495,'LP Elementos'!BB495,'LP Elementos'!BG495,'LP Elementos'!BL495,'LP Elementos'!BQ495,'LP Elementos'!BV495,'LP Elementos'!CA495,'LP Elementos'!CF495,'LP Elementos'!CK495,'LP Elementos'!CP495,'LP Elementos'!CU495,'LP Elementos'!CZ495)," ")</f>
        <v>198039.61240000001</v>
      </c>
      <c r="E495" s="341">
        <f>IFERROR(AVERAGE('LP Elementos'!F495,'LP Elementos'!I495,'LP Elementos'!N495,'LP Elementos'!S495,'LP Elementos'!X495,'LP Elementos'!AC495,'LP Elementos'!AH495,'LP Elementos'!AM495,'LP Elementos'!AR495,'LP Elementos'!AW495,'LP Elementos'!BB495,'LP Elementos'!BG495,'LP Elementos'!BL495,'LP Elementos'!BQ495,'LP Elementos'!BV495,'LP Elementos'!CA495,'LP Elementos'!CF495,'LP Elementos'!CK495,'LP Elementos'!CP495,'LP Elementos'!CU495,'LP Elementos'!CZ495)," ")</f>
        <v>419129.80619999999</v>
      </c>
      <c r="F495" s="341">
        <f>IFERROR(MEDIAN('LP Elementos'!F495,'LP Elementos'!I495,'LP Elementos'!N495,'LP Elementos'!S495,'LP Elementos'!X495,'LP Elementos'!AC495,'LP Elementos'!AH495,'LP Elementos'!AM495,'LP Elementos'!AR495,'LP Elementos'!AW495,'LP Elementos'!BB495,'LP Elementos'!BG495,'LP Elementos'!BL495,'LP Elementos'!BQ495,'LP Elementos'!BV495,'LP Elementos'!CA495,'LP Elementos'!CF495,'LP Elementos'!CK495,'LP Elementos'!CP495,'LP Elementos'!CU495,'LP Elementos'!CZ495)," ")</f>
        <v>419129.80619999999</v>
      </c>
      <c r="G495" s="341">
        <f>IFERROR(GEOMEAN('LP Elementos'!F495,'LP Elementos'!I495,'LP Elementos'!N495,'LP Elementos'!S495,'LP Elementos'!X495,'LP Elementos'!AC495,'LP Elementos'!AH495,'LP Elementos'!AM495,'LP Elementos'!AR495,'LP Elementos'!AW495,'LP Elementos'!BB495,'LP Elementos'!BG495,'LP Elementos'!BL495,'LP Elementos'!BQ495,'LP Elementos'!BV495,'LP Elementos'!CA495,'LP Elementos'!CF495,'LP Elementos'!CK495,'LP Elementos'!CP495,'LP Elementos'!CU495,'LP Elementos'!CZ495)," ")</f>
        <v>356074.31899917749</v>
      </c>
      <c r="H495" s="341">
        <f t="shared" si="40"/>
        <v>104358.63844263095</v>
      </c>
      <c r="I495" s="342">
        <f t="shared" si="41"/>
        <v>0.24898882613190529</v>
      </c>
      <c r="J495" s="341">
        <f t="shared" si="42"/>
        <v>356074.31899917749</v>
      </c>
      <c r="K495" s="326" t="str">
        <f t="shared" si="43"/>
        <v>Media Geometrica</v>
      </c>
      <c r="L495" s="326">
        <f>IFERROR(COUNTA('LP Elementos'!F495,'LP Elementos'!I495,'LP Elementos'!N495,'LP Elementos'!S495,'LP Elementos'!X495,'LP Elementos'!AC495,'LP Elementos'!AH495,'LP Elementos'!AM495,'LP Elementos'!AR495,'LP Elementos'!AX495,'LP Elementos'!BB495,'LP Elementos'!BG495,'LP Elementos'!BL495,'LP Elementos'!BQ495,'LP Elementos'!BV495,'LP Elementos'!CA495,'LP Elementos'!CF495,'LP Elementos'!CK495,'LP Elementos'!CP495,'LP Elementos'!CU495,'LP Elementos'!CZ495)," ")</f>
        <v>2</v>
      </c>
    </row>
    <row r="496" spans="2:12" x14ac:dyDescent="0.25">
      <c r="B496" s="411">
        <v>494</v>
      </c>
      <c r="C496" s="412" t="s">
        <v>4344</v>
      </c>
      <c r="D496" s="408">
        <f>IFERROR(MIN('LP Elementos'!F496,'LP Elementos'!I496,'LP Elementos'!N496,'LP Elementos'!S496,'LP Elementos'!X496,'LP Elementos'!AC496,'LP Elementos'!AH496,'LP Elementos'!AM496,'LP Elementos'!AR496,'LP Elementos'!AW496,'LP Elementos'!BB496,'LP Elementos'!BG496,'LP Elementos'!BL496,'LP Elementos'!BQ496,'LP Elementos'!BV496,'LP Elementos'!CA496,'LP Elementos'!CF496,'LP Elementos'!CK496,'LP Elementos'!CP496,'LP Elementos'!CU496,'LP Elementos'!CZ496)," ")</f>
        <v>416305.45480000001</v>
      </c>
      <c r="E496" s="341">
        <f>IFERROR(AVERAGE('LP Elementos'!F496,'LP Elementos'!I496,'LP Elementos'!N496,'LP Elementos'!S496,'LP Elementos'!X496,'LP Elementos'!AC496,'LP Elementos'!AH496,'LP Elementos'!AM496,'LP Elementos'!AR496,'LP Elementos'!AW496,'LP Elementos'!BB496,'LP Elementos'!BG496,'LP Elementos'!BL496,'LP Elementos'!BQ496,'LP Elementos'!BV496,'LP Elementos'!CA496,'LP Elementos'!CF496,'LP Elementos'!CK496,'LP Elementos'!CP496,'LP Elementos'!CU496,'LP Elementos'!CZ496)," ")</f>
        <v>605244.86369999999</v>
      </c>
      <c r="F496" s="341">
        <f>IFERROR(MEDIAN('LP Elementos'!F496,'LP Elementos'!I496,'LP Elementos'!N496,'LP Elementos'!S496,'LP Elementos'!X496,'LP Elementos'!AC496,'LP Elementos'!AH496,'LP Elementos'!AM496,'LP Elementos'!AR496,'LP Elementos'!AW496,'LP Elementos'!BB496,'LP Elementos'!BG496,'LP Elementos'!BL496,'LP Elementos'!BQ496,'LP Elementos'!BV496,'LP Elementos'!CA496,'LP Elementos'!CF496,'LP Elementos'!CK496,'LP Elementos'!CP496,'LP Elementos'!CU496,'LP Elementos'!CZ496)," ")</f>
        <v>628320</v>
      </c>
      <c r="G496" s="341">
        <f>IFERROR(GEOMEAN('LP Elementos'!F496,'LP Elementos'!I496,'LP Elementos'!N496,'LP Elementos'!S496,'LP Elementos'!X496,'LP Elementos'!AC496,'LP Elementos'!AH496,'LP Elementos'!AM496,'LP Elementos'!AR496,'LP Elementos'!AW496,'LP Elementos'!BB496,'LP Elementos'!BG496,'LP Elementos'!BL496,'LP Elementos'!BQ496,'LP Elementos'!BV496,'LP Elementos'!CA496,'LP Elementos'!CF496,'LP Elementos'!CK496,'LP Elementos'!CP496,'LP Elementos'!CU496,'LP Elementos'!CZ496)," ")</f>
        <v>591370.92490837211</v>
      </c>
      <c r="H496" s="341">
        <f t="shared" si="40"/>
        <v>97205.267638081976</v>
      </c>
      <c r="I496" s="342">
        <f t="shared" si="41"/>
        <v>0.16060486171471822</v>
      </c>
      <c r="J496" s="341">
        <f t="shared" si="42"/>
        <v>605244.86369999999</v>
      </c>
      <c r="K496" s="326" t="str">
        <f t="shared" si="43"/>
        <v>Promedio</v>
      </c>
      <c r="L496" s="326">
        <f>IFERROR(COUNTA('LP Elementos'!F496,'LP Elementos'!I496,'LP Elementos'!N496,'LP Elementos'!S496,'LP Elementos'!X496,'LP Elementos'!AC496,'LP Elementos'!AH496,'LP Elementos'!AM496,'LP Elementos'!AR496,'LP Elementos'!AX496,'LP Elementos'!BB496,'LP Elementos'!BG496,'LP Elementos'!BL496,'LP Elementos'!BQ496,'LP Elementos'!BV496,'LP Elementos'!CA496,'LP Elementos'!CF496,'LP Elementos'!CK496,'LP Elementos'!CP496,'LP Elementos'!CU496,'LP Elementos'!CZ496)," ")</f>
        <v>4</v>
      </c>
    </row>
    <row r="497" spans="2:12" ht="67.5" x14ac:dyDescent="0.25">
      <c r="B497" s="411">
        <v>495</v>
      </c>
      <c r="C497" s="412" t="s">
        <v>4348</v>
      </c>
      <c r="D497" s="408">
        <f>IFERROR(MIN('LP Elementos'!F497,'LP Elementos'!I497,'LP Elementos'!N497,'LP Elementos'!S497,'LP Elementos'!X497,'LP Elementos'!AC497,'LP Elementos'!AH497,'LP Elementos'!AM497,'LP Elementos'!AR497,'LP Elementos'!AW497,'LP Elementos'!BB497,'LP Elementos'!BG497,'LP Elementos'!BL497,'LP Elementos'!BQ497,'LP Elementos'!BV497,'LP Elementos'!CA497,'LP Elementos'!CF497,'LP Elementos'!CK497,'LP Elementos'!CP497,'LP Elementos'!CU497,'LP Elementos'!CZ497)," ")</f>
        <v>208641.74799999999</v>
      </c>
      <c r="E497" s="341">
        <f>IFERROR(AVERAGE('LP Elementos'!F497,'LP Elementos'!I497,'LP Elementos'!N497,'LP Elementos'!S497,'LP Elementos'!X497,'LP Elementos'!AC497,'LP Elementos'!AH497,'LP Elementos'!AM497,'LP Elementos'!AR497,'LP Elementos'!AW497,'LP Elementos'!BB497,'LP Elementos'!BG497,'LP Elementos'!BL497,'LP Elementos'!BQ497,'LP Elementos'!BV497,'LP Elementos'!CA497,'LP Elementos'!CF497,'LP Elementos'!CK497,'LP Elementos'!CP497,'LP Elementos'!CU497,'LP Elementos'!CZ497)," ")</f>
        <v>615201.91600000008</v>
      </c>
      <c r="F497" s="341">
        <f>IFERROR(MEDIAN('LP Elementos'!F497,'LP Elementos'!I497,'LP Elementos'!N497,'LP Elementos'!S497,'LP Elementos'!X497,'LP Elementos'!AC497,'LP Elementos'!AH497,'LP Elementos'!AM497,'LP Elementos'!AR497,'LP Elementos'!AW497,'LP Elementos'!BB497,'LP Elementos'!BG497,'LP Elementos'!BL497,'LP Elementos'!BQ497,'LP Elementos'!BV497,'LP Elementos'!CA497,'LP Elementos'!CF497,'LP Elementos'!CK497,'LP Elementos'!CP497,'LP Elementos'!CU497,'LP Elementos'!CZ497)," ")</f>
        <v>748034</v>
      </c>
      <c r="G497" s="341">
        <f>IFERROR(GEOMEAN('LP Elementos'!F497,'LP Elementos'!I497,'LP Elementos'!N497,'LP Elementos'!S497,'LP Elementos'!X497,'LP Elementos'!AC497,'LP Elementos'!AH497,'LP Elementos'!AM497,'LP Elementos'!AR497,'LP Elementos'!AW497,'LP Elementos'!BB497,'LP Elementos'!BG497,'LP Elementos'!BL497,'LP Elementos'!BQ497,'LP Elementos'!BV497,'LP Elementos'!CA497,'LP Elementos'!CF497,'LP Elementos'!CK497,'LP Elementos'!CP497,'LP Elementos'!CU497,'LP Elementos'!CZ497)," ")</f>
        <v>517682.36550392443</v>
      </c>
      <c r="H497" s="341">
        <f t="shared" si="40"/>
        <v>229484.49035697014</v>
      </c>
      <c r="I497" s="342">
        <f t="shared" si="41"/>
        <v>0.37302304233553479</v>
      </c>
      <c r="J497" s="341">
        <f>IF(I497&lt;=10%,F497,IF(AND(I497&gt;10%,I497&lt;=20%),E497,IF(AND(I497&gt;20%,I497&lt;=38%),G497,IF(I497&gt;38%,D497))))</f>
        <v>517682.36550392443</v>
      </c>
      <c r="K497" s="326" t="str">
        <f t="shared" si="43"/>
        <v>Media Geometrica</v>
      </c>
      <c r="L497" s="326">
        <f>IFERROR(COUNTA('LP Elementos'!F497,'LP Elementos'!I497,'LP Elementos'!N497,'LP Elementos'!S497,'LP Elementos'!X497,'LP Elementos'!AC497,'LP Elementos'!AH497,'LP Elementos'!AM497,'LP Elementos'!AR497,'LP Elementos'!AX497,'LP Elementos'!BB497,'LP Elementos'!BG497,'LP Elementos'!BL497,'LP Elementos'!BQ497,'LP Elementos'!BV497,'LP Elementos'!CA497,'LP Elementos'!CF497,'LP Elementos'!CK497,'LP Elementos'!CP497,'LP Elementos'!CU497,'LP Elementos'!CZ497)," ")</f>
        <v>3</v>
      </c>
    </row>
    <row r="498" spans="2:12" ht="54" x14ac:dyDescent="0.25">
      <c r="B498" s="411">
        <v>496</v>
      </c>
      <c r="C498" s="412" t="s">
        <v>4351</v>
      </c>
      <c r="D498" s="408">
        <f>IFERROR(MIN('LP Elementos'!F498,'LP Elementos'!I498,'LP Elementos'!N498,'LP Elementos'!S498,'LP Elementos'!X498,'LP Elementos'!AC498,'LP Elementos'!AH498,'LP Elementos'!AM498,'LP Elementos'!AR498,'LP Elementos'!AW498,'LP Elementos'!BB498,'LP Elementos'!BG498,'LP Elementos'!BL498,'LP Elementos'!BQ498,'LP Elementos'!BV498,'LP Elementos'!CA498,'LP Elementos'!CF498,'LP Elementos'!CK498,'LP Elementos'!CP498,'LP Elementos'!CU498,'LP Elementos'!CZ498)," ")</f>
        <v>129458.43400000001</v>
      </c>
      <c r="E498" s="341">
        <f>IFERROR(AVERAGE('LP Elementos'!F498,'LP Elementos'!I498,'LP Elementos'!N498,'LP Elementos'!S498,'LP Elementos'!X498,'LP Elementos'!AC498,'LP Elementos'!AH498,'LP Elementos'!AM498,'LP Elementos'!AR498,'LP Elementos'!AW498,'LP Elementos'!BB498,'LP Elementos'!BG498,'LP Elementos'!BL498,'LP Elementos'!BQ498,'LP Elementos'!BV498,'LP Elementos'!CA498,'LP Elementos'!CF498,'LP Elementos'!CK498,'LP Elementos'!CP498,'LP Elementos'!CU498,'LP Elementos'!CZ498)," ")</f>
        <v>348189.478</v>
      </c>
      <c r="F498" s="341">
        <f>IFERROR(MEDIAN('LP Elementos'!F498,'LP Elementos'!I498,'LP Elementos'!N498,'LP Elementos'!S498,'LP Elementos'!X498,'LP Elementos'!AC498,'LP Elementos'!AH498,'LP Elementos'!AM498,'LP Elementos'!AR498,'LP Elementos'!AW498,'LP Elementos'!BB498,'LP Elementos'!BG498,'LP Elementos'!BL498,'LP Elementos'!BQ498,'LP Elementos'!BV498,'LP Elementos'!CA498,'LP Elementos'!CF498,'LP Elementos'!CK498,'LP Elementos'!CP498,'LP Elementos'!CU498,'LP Elementos'!CZ498)," ")</f>
        <v>267750</v>
      </c>
      <c r="G498" s="341">
        <f>IFERROR(GEOMEAN('LP Elementos'!F498,'LP Elementos'!I498,'LP Elementos'!N498,'LP Elementos'!S498,'LP Elementos'!X498,'LP Elementos'!AC498,'LP Elementos'!AH498,'LP Elementos'!AM498,'LP Elementos'!AR498,'LP Elementos'!AW498,'LP Elementos'!BB498,'LP Elementos'!BG498,'LP Elementos'!BL498,'LP Elementos'!BQ498,'LP Elementos'!BV498,'LP Elementos'!CA498,'LP Elementos'!CF498,'LP Elementos'!CK498,'LP Elementos'!CP498,'LP Elementos'!CU498,'LP Elementos'!CZ498)," ")</f>
        <v>282055.92681587377</v>
      </c>
      <c r="H498" s="341">
        <f t="shared" si="40"/>
        <v>91879.739063694054</v>
      </c>
      <c r="I498" s="342">
        <f t="shared" si="41"/>
        <v>0.26387856287746309</v>
      </c>
      <c r="J498" s="341">
        <f t="shared" si="42"/>
        <v>282055.92681587377</v>
      </c>
      <c r="K498" s="326" t="str">
        <f t="shared" si="43"/>
        <v>Media Geometrica</v>
      </c>
      <c r="L498" s="326">
        <f>IFERROR(COUNTA('LP Elementos'!F498,'LP Elementos'!I498,'LP Elementos'!N498,'LP Elementos'!S498,'LP Elementos'!X498,'LP Elementos'!AC498,'LP Elementos'!AH498,'LP Elementos'!AM498,'LP Elementos'!AR498,'LP Elementos'!AX498,'LP Elementos'!BB498,'LP Elementos'!BG498,'LP Elementos'!BL498,'LP Elementos'!BQ498,'LP Elementos'!BV498,'LP Elementos'!CA498,'LP Elementos'!CF498,'LP Elementos'!CK498,'LP Elementos'!CP498,'LP Elementos'!CU498,'LP Elementos'!CZ498)," ")</f>
        <v>3</v>
      </c>
    </row>
    <row r="499" spans="2:12" ht="67.5" x14ac:dyDescent="0.25">
      <c r="B499" s="411">
        <v>497</v>
      </c>
      <c r="C499" s="412" t="s">
        <v>4354</v>
      </c>
      <c r="D499" s="408">
        <f>IFERROR(MIN('LP Elementos'!F499,'LP Elementos'!I499,'LP Elementos'!N499,'LP Elementos'!S499,'LP Elementos'!X499,'LP Elementos'!AC499,'LP Elementos'!AH499,'LP Elementos'!AM499,'LP Elementos'!AR499,'LP Elementos'!AW499,'LP Elementos'!BB499,'LP Elementos'!BG499,'LP Elementos'!BL499,'LP Elementos'!BQ499,'LP Elementos'!BV499,'LP Elementos'!CA499,'LP Elementos'!CF499,'LP Elementos'!CK499,'LP Elementos'!CP499,'LP Elementos'!CU499,'LP Elementos'!CZ499)," ")</f>
        <v>152662.09179999999</v>
      </c>
      <c r="E499" s="341">
        <f>IFERROR(AVERAGE('LP Elementos'!F499,'LP Elementos'!I499,'LP Elementos'!N499,'LP Elementos'!S499,'LP Elementos'!X499,'LP Elementos'!AC499,'LP Elementos'!AH499,'LP Elementos'!AM499,'LP Elementos'!AR499,'LP Elementos'!AW499,'LP Elementos'!BB499,'LP Elementos'!BG499,'LP Elementos'!BL499,'LP Elementos'!BQ499,'LP Elementos'!BV499,'LP Elementos'!CA499,'LP Elementos'!CF499,'LP Elementos'!CK499,'LP Elementos'!CP499,'LP Elementos'!CU499,'LP Elementos'!CZ499)," ")</f>
        <v>469626.04590000003</v>
      </c>
      <c r="F499" s="341">
        <f>IFERROR(MEDIAN('LP Elementos'!F499,'LP Elementos'!I499,'LP Elementos'!N499,'LP Elementos'!S499,'LP Elementos'!X499,'LP Elementos'!AC499,'LP Elementos'!AH499,'LP Elementos'!AM499,'LP Elementos'!AR499,'LP Elementos'!AW499,'LP Elementos'!BB499,'LP Elementos'!BG499,'LP Elementos'!BL499,'LP Elementos'!BQ499,'LP Elementos'!BV499,'LP Elementos'!CA499,'LP Elementos'!CF499,'LP Elementos'!CK499,'LP Elementos'!CP499,'LP Elementos'!CU499,'LP Elementos'!CZ499)," ")</f>
        <v>469626.04589999997</v>
      </c>
      <c r="G499" s="341">
        <f>IFERROR(GEOMEAN('LP Elementos'!F499,'LP Elementos'!I499,'LP Elementos'!N499,'LP Elementos'!S499,'LP Elementos'!X499,'LP Elementos'!AC499,'LP Elementos'!AH499,'LP Elementos'!AM499,'LP Elementos'!AR499,'LP Elementos'!AW499,'LP Elementos'!BB499,'LP Elementos'!BG499,'LP Elementos'!BL499,'LP Elementos'!BQ499,'LP Elementos'!BV499,'LP Elementos'!CA499,'LP Elementos'!CF499,'LP Elementos'!CK499,'LP Elementos'!CP499,'LP Elementos'!CU499,'LP Elementos'!CZ499)," ")</f>
        <v>346529.1831707136</v>
      </c>
      <c r="H499" s="341">
        <f t="shared" si="40"/>
        <v>149672.53721083357</v>
      </c>
      <c r="I499" s="342">
        <f t="shared" si="41"/>
        <v>0.31870578413937489</v>
      </c>
      <c r="J499" s="341">
        <f>IF(I499&lt;=10%,F499,IF(AND(I499&gt;10%,I499&lt;=20%),E499,IF(AND(I499&gt;20%,I499&lt;=33%),G499,IF(I499&gt;33%,D499))))</f>
        <v>346529.1831707136</v>
      </c>
      <c r="K499" s="326" t="str">
        <f t="shared" si="43"/>
        <v>Media Geometrica</v>
      </c>
      <c r="L499" s="326">
        <f>IFERROR(COUNTA('LP Elementos'!F499,'LP Elementos'!I499,'LP Elementos'!N499,'LP Elementos'!S499,'LP Elementos'!X499,'LP Elementos'!AC499,'LP Elementos'!AH499,'LP Elementos'!AM499,'LP Elementos'!AR499,'LP Elementos'!AX499,'LP Elementos'!BB499,'LP Elementos'!BG499,'LP Elementos'!BL499,'LP Elementos'!BQ499,'LP Elementos'!BV499,'LP Elementos'!CA499,'LP Elementos'!CF499,'LP Elementos'!CK499,'LP Elementos'!CP499,'LP Elementos'!CU499,'LP Elementos'!CZ499)," ")</f>
        <v>2</v>
      </c>
    </row>
    <row r="500" spans="2:12" x14ac:dyDescent="0.25">
      <c r="B500" s="411">
        <v>498</v>
      </c>
      <c r="C500" s="412" t="s">
        <v>4357</v>
      </c>
      <c r="D500" s="408">
        <f>IFERROR(MIN('LP Elementos'!F500,'LP Elementos'!I500,'LP Elementos'!N500,'LP Elementos'!S500,'LP Elementos'!X500,'LP Elementos'!AC500,'LP Elementos'!AH500,'LP Elementos'!AM500,'LP Elementos'!AR500,'LP Elementos'!AW500,'LP Elementos'!BB500,'LP Elementos'!BG500,'LP Elementos'!BL500,'LP Elementos'!BQ500,'LP Elementos'!BV500,'LP Elementos'!CA500,'LP Elementos'!CF500,'LP Elementos'!CK500,'LP Elementos'!CP500,'LP Elementos'!CU500,'LP Elementos'!CZ500)," ")</f>
        <v>45220</v>
      </c>
      <c r="E500" s="341">
        <f>IFERROR(AVERAGE('LP Elementos'!F500,'LP Elementos'!I500,'LP Elementos'!N500,'LP Elementos'!S500,'LP Elementos'!X500,'LP Elementos'!AC500,'LP Elementos'!AH500,'LP Elementos'!AM500,'LP Elementos'!AR500,'LP Elementos'!AW500,'LP Elementos'!BB500,'LP Elementos'!BG500,'LP Elementos'!BL500,'LP Elementos'!BQ500,'LP Elementos'!BV500,'LP Elementos'!CA500,'LP Elementos'!CF500,'LP Elementos'!CK500,'LP Elementos'!CP500,'LP Elementos'!CU500,'LP Elementos'!CZ500)," ")</f>
        <v>89273.006666666668</v>
      </c>
      <c r="F500" s="341">
        <f>IFERROR(MEDIAN('LP Elementos'!F500,'LP Elementos'!I500,'LP Elementos'!N500,'LP Elementos'!S500,'LP Elementos'!X500,'LP Elementos'!AC500,'LP Elementos'!AH500,'LP Elementos'!AM500,'LP Elementos'!AR500,'LP Elementos'!AW500,'LP Elementos'!BB500,'LP Elementos'!BG500,'LP Elementos'!BL500,'LP Elementos'!BQ500,'LP Elementos'!BV500,'LP Elementos'!CA500,'LP Elementos'!CF500,'LP Elementos'!CK500,'LP Elementos'!CP500,'LP Elementos'!CU500,'LP Elementos'!CZ500)," ")</f>
        <v>109480</v>
      </c>
      <c r="G500" s="341">
        <f>IFERROR(GEOMEAN('LP Elementos'!F500,'LP Elementos'!I500,'LP Elementos'!N500,'LP Elementos'!S500,'LP Elementos'!X500,'LP Elementos'!AC500,'LP Elementos'!AH500,'LP Elementos'!AM500,'LP Elementos'!AR500,'LP Elementos'!AW500,'LP Elementos'!BB500,'LP Elementos'!BG500,'LP Elementos'!BL500,'LP Elementos'!BQ500,'LP Elementos'!BV500,'LP Elementos'!CA500,'LP Elementos'!CF500,'LP Elementos'!CK500,'LP Elementos'!CP500,'LP Elementos'!CU500,'LP Elementos'!CZ500)," ")</f>
        <v>82426.525505610582</v>
      </c>
      <c r="H500" s="341">
        <f t="shared" si="40"/>
        <v>26835.032921310292</v>
      </c>
      <c r="I500" s="342">
        <f t="shared" si="41"/>
        <v>0.30059515102374312</v>
      </c>
      <c r="J500" s="341">
        <f>IF(I500&lt;=10%,F500,IF(AND(I500&gt;10%,I500&lt;=20%),E500,IF(AND(I500&gt;20%,I500&lt;=31%),G500,IF(I500&gt;31%,D500))))</f>
        <v>82426.525505610582</v>
      </c>
      <c r="K500" s="326" t="str">
        <f t="shared" si="43"/>
        <v>Media Geometrica</v>
      </c>
      <c r="L500" s="326">
        <f>IFERROR(COUNTA('LP Elementos'!F500,'LP Elementos'!I500,'LP Elementos'!N500,'LP Elementos'!S500,'LP Elementos'!X500,'LP Elementos'!AC500,'LP Elementos'!AH500,'LP Elementos'!AM500,'LP Elementos'!AR500,'LP Elementos'!AX500,'LP Elementos'!BB500,'LP Elementos'!BG500,'LP Elementos'!BL500,'LP Elementos'!BQ500,'LP Elementos'!BV500,'LP Elementos'!CA500,'LP Elementos'!CF500,'LP Elementos'!CK500,'LP Elementos'!CP500,'LP Elementos'!CU500,'LP Elementos'!CZ500)," ")</f>
        <v>3</v>
      </c>
    </row>
    <row r="501" spans="2:12" ht="40.5" x14ac:dyDescent="0.25">
      <c r="B501" s="411">
        <v>499</v>
      </c>
      <c r="C501" s="416" t="s">
        <v>4359</v>
      </c>
      <c r="D501" s="408">
        <f>IFERROR(MIN('LP Elementos'!F501,'LP Elementos'!I501,'LP Elementos'!N501,'LP Elementos'!S501,'LP Elementos'!X501,'LP Elementos'!AC501,'LP Elementos'!AH501,'LP Elementos'!AM501,'LP Elementos'!AR501,'LP Elementos'!AW501,'LP Elementos'!BB501,'LP Elementos'!BG501,'LP Elementos'!BL501,'LP Elementos'!BQ501,'LP Elementos'!BV501,'LP Elementos'!CA501,'LP Elementos'!CF501,'LP Elementos'!CK501,'LP Elementos'!CP501,'LP Elementos'!CU501,'LP Elementos'!CZ501)," ")</f>
        <v>597618</v>
      </c>
      <c r="E501" s="341">
        <f>IFERROR(AVERAGE('LP Elementos'!F501,'LP Elementos'!I501,'LP Elementos'!N501,'LP Elementos'!S501,'LP Elementos'!X501,'LP Elementos'!AC501,'LP Elementos'!AH501,'LP Elementos'!AM501,'LP Elementos'!AR501,'LP Elementos'!AW501,'LP Elementos'!BB501,'LP Elementos'!BG501,'LP Elementos'!BL501,'LP Elementos'!BQ501,'LP Elementos'!BV501,'LP Elementos'!CA501,'LP Elementos'!CF501,'LP Elementos'!CK501,'LP Elementos'!CP501,'LP Elementos'!CU501,'LP Elementos'!CZ501)," ")</f>
        <v>745019.33333333337</v>
      </c>
      <c r="F501" s="341">
        <f>IFERROR(MEDIAN('LP Elementos'!F501,'LP Elementos'!I501,'LP Elementos'!N501,'LP Elementos'!S501,'LP Elementos'!X501,'LP Elementos'!AC501,'LP Elementos'!AH501,'LP Elementos'!AM501,'LP Elementos'!AR501,'LP Elementos'!AW501,'LP Elementos'!BB501,'LP Elementos'!BG501,'LP Elementos'!BL501,'LP Elementos'!BQ501,'LP Elementos'!BV501,'LP Elementos'!CA501,'LP Elementos'!CF501,'LP Elementos'!CK501,'LP Elementos'!CP501,'LP Elementos'!CU501,'LP Elementos'!CZ501)," ")</f>
        <v>708050</v>
      </c>
      <c r="G501" s="341">
        <f>IFERROR(GEOMEAN('LP Elementos'!F501,'LP Elementos'!I501,'LP Elementos'!N501,'LP Elementos'!S501,'LP Elementos'!X501,'LP Elementos'!AC501,'LP Elementos'!AH501,'LP Elementos'!AM501,'LP Elementos'!AR501,'LP Elementos'!AW501,'LP Elementos'!BB501,'LP Elementos'!BG501,'LP Elementos'!BL501,'LP Elementos'!BQ501,'LP Elementos'!BV501,'LP Elementos'!CA501,'LP Elementos'!CF501,'LP Elementos'!CK501,'LP Elementos'!CP501,'LP Elementos'!CU501,'LP Elementos'!CZ501)," ")</f>
        <v>732647.71150463098</v>
      </c>
      <c r="H501" s="341">
        <f t="shared" si="40"/>
        <v>67255.878755761893</v>
      </c>
      <c r="I501" s="342">
        <f t="shared" si="41"/>
        <v>9.0274004642065517E-2</v>
      </c>
      <c r="J501" s="341">
        <f t="shared" si="42"/>
        <v>708050</v>
      </c>
      <c r="K501" s="326" t="str">
        <f t="shared" si="43"/>
        <v>Mediana</v>
      </c>
      <c r="L501" s="326">
        <f>IFERROR(COUNTA('LP Elementos'!F501,'LP Elementos'!I501,'LP Elementos'!N501,'LP Elementos'!S501,'LP Elementos'!X501,'LP Elementos'!AC501,'LP Elementos'!AH501,'LP Elementos'!AM501,'LP Elementos'!AR501,'LP Elementos'!AX501,'LP Elementos'!BB501,'LP Elementos'!BG501,'LP Elementos'!BL501,'LP Elementos'!BQ501,'LP Elementos'!BV501,'LP Elementos'!CA501,'LP Elementos'!CF501,'LP Elementos'!CK501,'LP Elementos'!CP501,'LP Elementos'!CU501,'LP Elementos'!CZ501)," ")</f>
        <v>3</v>
      </c>
    </row>
    <row r="502" spans="2:12" x14ac:dyDescent="0.25">
      <c r="B502" s="411">
        <v>500</v>
      </c>
      <c r="C502" s="409" t="s">
        <v>5103</v>
      </c>
      <c r="D502" s="408">
        <f>IFERROR(MIN('LP Elementos'!F502,'LP Elementos'!I502,'LP Elementos'!N502,'LP Elementos'!S502,'LP Elementos'!X502,'LP Elementos'!AC502,'LP Elementos'!AH502,'LP Elementos'!AM502,'LP Elementos'!AR502,'LP Elementos'!AW502,'LP Elementos'!BB502,'LP Elementos'!BG502,'LP Elementos'!BL502,'LP Elementos'!BQ502,'LP Elementos'!BV502,'LP Elementos'!CA502,'LP Elementos'!CF502,'LP Elementos'!CK502,'LP Elementos'!CP502,'LP Elementos'!CU502,'LP Elementos'!CZ502)," ")</f>
        <v>109599</v>
      </c>
      <c r="E502" s="341">
        <f>IFERROR(AVERAGE('LP Elementos'!F502,'LP Elementos'!I502,'LP Elementos'!N502,'LP Elementos'!S502,'LP Elementos'!X502,'LP Elementos'!AC502,'LP Elementos'!AH502,'LP Elementos'!AM502,'LP Elementos'!AR502,'LP Elementos'!AW502,'LP Elementos'!BB502,'LP Elementos'!BG502,'LP Elementos'!BL502,'LP Elementos'!BQ502,'LP Elementos'!BV502,'LP Elementos'!CA502,'LP Elementos'!CF502,'LP Elementos'!CK502,'LP Elementos'!CP502,'LP Elementos'!CU502,'LP Elementos'!CZ502)," ")</f>
        <v>207060</v>
      </c>
      <c r="F502" s="341">
        <f>IFERROR(MEDIAN('LP Elementos'!F502,'LP Elementos'!I502,'LP Elementos'!N502,'LP Elementos'!S502,'LP Elementos'!X502,'LP Elementos'!AC502,'LP Elementos'!AH502,'LP Elementos'!AM502,'LP Elementos'!AR502,'LP Elementos'!AW502,'LP Elementos'!BB502,'LP Elementos'!BG502,'LP Elementos'!BL502,'LP Elementos'!BQ502,'LP Elementos'!BV502,'LP Elementos'!CA502,'LP Elementos'!CF502,'LP Elementos'!CK502,'LP Elementos'!CP502,'LP Elementos'!CU502,'LP Elementos'!CZ502)," ")</f>
        <v>132090</v>
      </c>
      <c r="G502" s="341">
        <f>IFERROR(GEOMEAN('LP Elementos'!F502,'LP Elementos'!I502,'LP Elementos'!N502,'LP Elementos'!S502,'LP Elementos'!X502,'LP Elementos'!AC502,'LP Elementos'!AH502,'LP Elementos'!AM502,'LP Elementos'!AR502,'LP Elementos'!AW502,'LP Elementos'!BB502,'LP Elementos'!BG502,'LP Elementos'!BL502,'LP Elementos'!BQ502,'LP Elementos'!BV502,'LP Elementos'!CA502,'LP Elementos'!CF502,'LP Elementos'!CK502,'LP Elementos'!CP502,'LP Elementos'!CU502,'LP Elementos'!CZ502)," ")</f>
        <v>176451.76389689275</v>
      </c>
      <c r="H502" s="341">
        <f t="shared" si="40"/>
        <v>43778.909263899448</v>
      </c>
      <c r="I502" s="342">
        <f t="shared" si="41"/>
        <v>0.21143103092774773</v>
      </c>
      <c r="J502" s="341">
        <f t="shared" si="42"/>
        <v>176451.76389689275</v>
      </c>
      <c r="K502" s="326" t="str">
        <f t="shared" si="43"/>
        <v>Media Geometrica</v>
      </c>
      <c r="L502" s="326">
        <f>IFERROR(COUNTA('LP Elementos'!F502,'LP Elementos'!I502,'LP Elementos'!N502,'LP Elementos'!S502,'LP Elementos'!X502,'LP Elementos'!AC502,'LP Elementos'!AH502,'LP Elementos'!AM502,'LP Elementos'!AR502,'LP Elementos'!AX502,'LP Elementos'!BB502,'LP Elementos'!BG502,'LP Elementos'!BL502,'LP Elementos'!BQ502,'LP Elementos'!BV502,'LP Elementos'!CA502,'LP Elementos'!CF502,'LP Elementos'!CK502,'LP Elementos'!CP502,'LP Elementos'!CU502,'LP Elementos'!CZ502)," ")</f>
        <v>3</v>
      </c>
    </row>
    <row r="503" spans="2:12" ht="40.5" x14ac:dyDescent="0.25">
      <c r="B503" s="411">
        <v>501</v>
      </c>
      <c r="C503" s="412" t="s">
        <v>4363</v>
      </c>
      <c r="D503" s="408">
        <f>IFERROR(MIN('LP Elementos'!F503,'LP Elementos'!I503,'LP Elementos'!N503,'LP Elementos'!S503,'LP Elementos'!X503,'LP Elementos'!AC503,'LP Elementos'!AH503,'LP Elementos'!AM503,'LP Elementos'!AR503,'LP Elementos'!AW503,'LP Elementos'!BB503,'LP Elementos'!BG503,'LP Elementos'!BL503,'LP Elementos'!BQ503,'LP Elementos'!BV503,'LP Elementos'!CA503,'LP Elementos'!CF503,'LP Elementos'!CK503,'LP Elementos'!CP503,'LP Elementos'!CU503,'LP Elementos'!CZ503)," ")</f>
        <v>29750</v>
      </c>
      <c r="E503" s="341">
        <f>IFERROR(AVERAGE('LP Elementos'!F503,'LP Elementos'!I503,'LP Elementos'!N503,'LP Elementos'!S503,'LP Elementos'!X503,'LP Elementos'!AC503,'LP Elementos'!AH503,'LP Elementos'!AM503,'LP Elementos'!AR503,'LP Elementos'!AW503,'LP Elementos'!BB503,'LP Elementos'!BG503,'LP Elementos'!BL503,'LP Elementos'!BQ503,'LP Elementos'!BV503,'LP Elementos'!CA503,'LP Elementos'!CF503,'LP Elementos'!CK503,'LP Elementos'!CP503,'LP Elementos'!CU503,'LP Elementos'!CZ503)," ")</f>
        <v>58334.087266666669</v>
      </c>
      <c r="F503" s="341">
        <f>IFERROR(MEDIAN('LP Elementos'!F503,'LP Elementos'!I503,'LP Elementos'!N503,'LP Elementos'!S503,'LP Elementos'!X503,'LP Elementos'!AC503,'LP Elementos'!AH503,'LP Elementos'!AM503,'LP Elementos'!AR503,'LP Elementos'!AW503,'LP Elementos'!BB503,'LP Elementos'!BG503,'LP Elementos'!BL503,'LP Elementos'!BQ503,'LP Elementos'!BV503,'LP Elementos'!CA503,'LP Elementos'!CF503,'LP Elementos'!CK503,'LP Elementos'!CP503,'LP Elementos'!CU503,'LP Elementos'!CZ503)," ")</f>
        <v>50052.2618</v>
      </c>
      <c r="G503" s="341">
        <f>IFERROR(GEOMEAN('LP Elementos'!F503,'LP Elementos'!I503,'LP Elementos'!N503,'LP Elementos'!S503,'LP Elementos'!X503,'LP Elementos'!AC503,'LP Elementos'!AH503,'LP Elementos'!AM503,'LP Elementos'!AR503,'LP Elementos'!AW503,'LP Elementos'!BB503,'LP Elementos'!BG503,'LP Elementos'!BL503,'LP Elementos'!BQ503,'LP Elementos'!BV503,'LP Elementos'!CA503,'LP Elementos'!CF503,'LP Elementos'!CK503,'LP Elementos'!CP503,'LP Elementos'!CU503,'LP Elementos'!CZ503)," ")</f>
        <v>52141.382489958502</v>
      </c>
      <c r="H503" s="341">
        <f t="shared" si="40"/>
        <v>12389.204102916858</v>
      </c>
      <c r="I503" s="342">
        <f t="shared" si="41"/>
        <v>0.21238361108285156</v>
      </c>
      <c r="J503" s="341">
        <f t="shared" si="42"/>
        <v>52141.382489958502</v>
      </c>
      <c r="K503" s="326" t="str">
        <f t="shared" si="43"/>
        <v>Media Geometrica</v>
      </c>
      <c r="L503" s="326">
        <f>IFERROR(COUNTA('LP Elementos'!F503,'LP Elementos'!I503,'LP Elementos'!N503,'LP Elementos'!S503,'LP Elementos'!X503,'LP Elementos'!AC503,'LP Elementos'!AH503,'LP Elementos'!AM503,'LP Elementos'!AR503,'LP Elementos'!AX503,'LP Elementos'!BB503,'LP Elementos'!BG503,'LP Elementos'!BL503,'LP Elementos'!BQ503,'LP Elementos'!BV503,'LP Elementos'!CA503,'LP Elementos'!CF503,'LP Elementos'!CK503,'LP Elementos'!CP503,'LP Elementos'!CU503,'LP Elementos'!CZ503)," ")</f>
        <v>3</v>
      </c>
    </row>
    <row r="504" spans="2:12" ht="40.5" x14ac:dyDescent="0.25">
      <c r="B504" s="411">
        <v>502</v>
      </c>
      <c r="C504" s="412" t="s">
        <v>4366</v>
      </c>
      <c r="D504" s="408">
        <f>IFERROR(MIN('LP Elementos'!F504,'LP Elementos'!I504,'LP Elementos'!N504,'LP Elementos'!S504,'LP Elementos'!X504,'LP Elementos'!AC504,'LP Elementos'!AH504,'LP Elementos'!AM504,'LP Elementos'!AR504,'LP Elementos'!AW504,'LP Elementos'!BB504,'LP Elementos'!BG504,'LP Elementos'!BL504,'LP Elementos'!BQ504,'LP Elementos'!BV504,'LP Elementos'!CA504,'LP Elementos'!CF504,'LP Elementos'!CK504,'LP Elementos'!CP504,'LP Elementos'!CU504,'LP Elementos'!CZ504)," ")</f>
        <v>309400</v>
      </c>
      <c r="E504" s="341">
        <f>IFERROR(AVERAGE('LP Elementos'!F504,'LP Elementos'!I504,'LP Elementos'!N504,'LP Elementos'!S504,'LP Elementos'!X504,'LP Elementos'!AC504,'LP Elementos'!AH504,'LP Elementos'!AM504,'LP Elementos'!AR504,'LP Elementos'!AW504,'LP Elementos'!BB504,'LP Elementos'!BG504,'LP Elementos'!BL504,'LP Elementos'!BQ504,'LP Elementos'!BV504,'LP Elementos'!CA504,'LP Elementos'!CF504,'LP Elementos'!CK504,'LP Elementos'!CP504,'LP Elementos'!CU504,'LP Elementos'!CZ504)," ")</f>
        <v>490286.42600000004</v>
      </c>
      <c r="F504" s="341">
        <f>IFERROR(MEDIAN('LP Elementos'!F504,'LP Elementos'!I504,'LP Elementos'!N504,'LP Elementos'!S504,'LP Elementos'!X504,'LP Elementos'!AC504,'LP Elementos'!AH504,'LP Elementos'!AM504,'LP Elementos'!AR504,'LP Elementos'!AW504,'LP Elementos'!BB504,'LP Elementos'!BG504,'LP Elementos'!BL504,'LP Elementos'!BQ504,'LP Elementos'!BV504,'LP Elementos'!CA504,'LP Elementos'!CF504,'LP Elementos'!CK504,'LP Elementos'!CP504,'LP Elementos'!CU504,'LP Elementos'!CZ504)," ")</f>
        <v>490286.42600000004</v>
      </c>
      <c r="G504" s="341">
        <f>IFERROR(GEOMEAN('LP Elementos'!F504,'LP Elementos'!I504,'LP Elementos'!N504,'LP Elementos'!S504,'LP Elementos'!X504,'LP Elementos'!AC504,'LP Elementos'!AH504,'LP Elementos'!AM504,'LP Elementos'!AR504,'LP Elementos'!AW504,'LP Elementos'!BB504,'LP Elementos'!BG504,'LP Elementos'!BL504,'LP Elementos'!BQ504,'LP Elementos'!BV504,'LP Elementos'!CA504,'LP Elementos'!CF504,'LP Elementos'!CK504,'LP Elementos'!CP504,'LP Elementos'!CU504,'LP Elementos'!CZ504)," ")</f>
        <v>455698.2339320617</v>
      </c>
      <c r="H504" s="341">
        <f t="shared" si="40"/>
        <v>86234.011819972162</v>
      </c>
      <c r="I504" s="342">
        <f t="shared" si="41"/>
        <v>0.17588496692333913</v>
      </c>
      <c r="J504" s="341">
        <f t="shared" si="42"/>
        <v>490286.42600000004</v>
      </c>
      <c r="K504" s="326" t="str">
        <f t="shared" si="43"/>
        <v>Promedio</v>
      </c>
      <c r="L504" s="326">
        <f>IFERROR(COUNTA('LP Elementos'!F504,'LP Elementos'!I504,'LP Elementos'!N504,'LP Elementos'!S504,'LP Elementos'!X504,'LP Elementos'!AC504,'LP Elementos'!AH504,'LP Elementos'!AM504,'LP Elementos'!AR504,'LP Elementos'!AX504,'LP Elementos'!BB504,'LP Elementos'!BG504,'LP Elementos'!BL504,'LP Elementos'!BQ504,'LP Elementos'!BV504,'LP Elementos'!CA504,'LP Elementos'!CF504,'LP Elementos'!CK504,'LP Elementos'!CP504,'LP Elementos'!CU504,'LP Elementos'!CZ504)," ")</f>
        <v>2</v>
      </c>
    </row>
    <row r="505" spans="2:12" ht="27" x14ac:dyDescent="0.25">
      <c r="B505" s="411">
        <v>503</v>
      </c>
      <c r="C505" s="412" t="s">
        <v>4369</v>
      </c>
      <c r="D505" s="408">
        <f>IFERROR(MIN('LP Elementos'!F505,'LP Elementos'!I505,'LP Elementos'!N505,'LP Elementos'!S505,'LP Elementos'!X505,'LP Elementos'!AC505,'LP Elementos'!AH505,'LP Elementos'!AM505,'LP Elementos'!AR505,'LP Elementos'!AW505,'LP Elementos'!BB505,'LP Elementos'!BG505,'LP Elementos'!BL505,'LP Elementos'!BQ505,'LP Elementos'!BV505,'LP Elementos'!CA505,'LP Elementos'!CF505,'LP Elementos'!CK505,'LP Elementos'!CP505,'LP Elementos'!CU505,'LP Elementos'!CZ505)," ")</f>
        <v>6284.39</v>
      </c>
      <c r="E505" s="341">
        <f>IFERROR(AVERAGE('LP Elementos'!F505,'LP Elementos'!I505,'LP Elementos'!N505,'LP Elementos'!S505,'LP Elementos'!X505,'LP Elementos'!AC505,'LP Elementos'!AH505,'LP Elementos'!AM505,'LP Elementos'!AR505,'LP Elementos'!AW505,'LP Elementos'!BB505,'LP Elementos'!BG505,'LP Elementos'!BL505,'LP Elementos'!BQ505,'LP Elementos'!BV505,'LP Elementos'!CA505,'LP Elementos'!CF505,'LP Elementos'!CK505,'LP Elementos'!CP505,'LP Elementos'!CU505,'LP Elementos'!CZ505)," ")</f>
        <v>6284.39</v>
      </c>
      <c r="F505" s="341">
        <f>IFERROR(MEDIAN('LP Elementos'!F505,'LP Elementos'!I505,'LP Elementos'!N505,'LP Elementos'!S505,'LP Elementos'!X505,'LP Elementos'!AC505,'LP Elementos'!AH505,'LP Elementos'!AM505,'LP Elementos'!AR505,'LP Elementos'!AW505,'LP Elementos'!BB505,'LP Elementos'!BG505,'LP Elementos'!BL505,'LP Elementos'!BQ505,'LP Elementos'!BV505,'LP Elementos'!CA505,'LP Elementos'!CF505,'LP Elementos'!CK505,'LP Elementos'!CP505,'LP Elementos'!CU505,'LP Elementos'!CZ505)," ")</f>
        <v>6284.39</v>
      </c>
      <c r="G505" s="341">
        <f>IFERROR(GEOMEAN('LP Elementos'!F505,'LP Elementos'!I505,'LP Elementos'!N505,'LP Elementos'!S505,'LP Elementos'!X505,'LP Elementos'!AC505,'LP Elementos'!AH505,'LP Elementos'!AM505,'LP Elementos'!AR505,'LP Elementos'!AW505,'LP Elementos'!BB505,'LP Elementos'!BG505,'LP Elementos'!BL505,'LP Elementos'!BQ505,'LP Elementos'!BV505,'LP Elementos'!CA505,'LP Elementos'!CF505,'LP Elementos'!CK505,'LP Elementos'!CP505,'LP Elementos'!CU505,'LP Elementos'!CZ505)," ")</f>
        <v>6284.39</v>
      </c>
      <c r="H505" s="341">
        <f t="shared" si="40"/>
        <v>0</v>
      </c>
      <c r="I505" s="342">
        <f t="shared" si="41"/>
        <v>0</v>
      </c>
      <c r="J505" s="341">
        <f t="shared" si="42"/>
        <v>6284.39</v>
      </c>
      <c r="K505" s="326" t="str">
        <f t="shared" si="43"/>
        <v>Menor Valor</v>
      </c>
      <c r="L505" s="326">
        <f>IFERROR(COUNTA('LP Elementos'!F505,'LP Elementos'!I505,'LP Elementos'!N505,'LP Elementos'!S505,'LP Elementos'!X505,'LP Elementos'!AC505,'LP Elementos'!AH505,'LP Elementos'!AM505,'LP Elementos'!AR505,'LP Elementos'!AX505,'LP Elementos'!BB505,'LP Elementos'!BG505,'LP Elementos'!BL505,'LP Elementos'!BQ505,'LP Elementos'!BV505,'LP Elementos'!CA505,'LP Elementos'!CF505,'LP Elementos'!CK505,'LP Elementos'!CP505,'LP Elementos'!CU505,'LP Elementos'!CZ505)," ")</f>
        <v>1</v>
      </c>
    </row>
    <row r="506" spans="2:12" ht="27" x14ac:dyDescent="0.25">
      <c r="B506" s="411">
        <v>504</v>
      </c>
      <c r="C506" s="412" t="s">
        <v>4370</v>
      </c>
      <c r="D506" s="408">
        <f>IFERROR(MIN('LP Elementos'!F506,'LP Elementos'!I506,'LP Elementos'!N506,'LP Elementos'!S506,'LP Elementos'!X506,'LP Elementos'!AC506,'LP Elementos'!AH506,'LP Elementos'!AM506,'LP Elementos'!AR506,'LP Elementos'!AW506,'LP Elementos'!BB506,'LP Elementos'!BG506,'LP Elementos'!BL506,'LP Elementos'!BQ506,'LP Elementos'!BV506,'LP Elementos'!CA506,'LP Elementos'!CF506,'LP Elementos'!CK506,'LP Elementos'!CP506,'LP Elementos'!CU506,'LP Elementos'!CZ506)," ")</f>
        <v>165588.92360000001</v>
      </c>
      <c r="E506" s="341">
        <f>IFERROR(AVERAGE('LP Elementos'!F506,'LP Elementos'!I506,'LP Elementos'!N506,'LP Elementos'!S506,'LP Elementos'!X506,'LP Elementos'!AC506,'LP Elementos'!AH506,'LP Elementos'!AM506,'LP Elementos'!AR506,'LP Elementos'!AW506,'LP Elementos'!BB506,'LP Elementos'!BG506,'LP Elementos'!BL506,'LP Elementos'!BQ506,'LP Elementos'!BV506,'LP Elementos'!CA506,'LP Elementos'!CF506,'LP Elementos'!CK506,'LP Elementos'!CP506,'LP Elementos'!CU506,'LP Elementos'!CZ506)," ")</f>
        <v>165588.92360000001</v>
      </c>
      <c r="F506" s="341">
        <f>IFERROR(MEDIAN('LP Elementos'!F506,'LP Elementos'!I506,'LP Elementos'!N506,'LP Elementos'!S506,'LP Elementos'!X506,'LP Elementos'!AC506,'LP Elementos'!AH506,'LP Elementos'!AM506,'LP Elementos'!AR506,'LP Elementos'!AW506,'LP Elementos'!BB506,'LP Elementos'!BG506,'LP Elementos'!BL506,'LP Elementos'!BQ506,'LP Elementos'!BV506,'LP Elementos'!CA506,'LP Elementos'!CF506,'LP Elementos'!CK506,'LP Elementos'!CP506,'LP Elementos'!CU506,'LP Elementos'!CZ506)," ")</f>
        <v>165588.92360000001</v>
      </c>
      <c r="G506" s="341">
        <f>IFERROR(GEOMEAN('LP Elementos'!F506,'LP Elementos'!I506,'LP Elementos'!N506,'LP Elementos'!S506,'LP Elementos'!X506,'LP Elementos'!AC506,'LP Elementos'!AH506,'LP Elementos'!AM506,'LP Elementos'!AR506,'LP Elementos'!AW506,'LP Elementos'!BB506,'LP Elementos'!BG506,'LP Elementos'!BL506,'LP Elementos'!BQ506,'LP Elementos'!BV506,'LP Elementos'!CA506,'LP Elementos'!CF506,'LP Elementos'!CK506,'LP Elementos'!CP506,'LP Elementos'!CU506,'LP Elementos'!CZ506)," ")</f>
        <v>165588.92360000001</v>
      </c>
      <c r="H506" s="341">
        <f t="shared" si="40"/>
        <v>0</v>
      </c>
      <c r="I506" s="342">
        <f t="shared" si="41"/>
        <v>0</v>
      </c>
      <c r="J506" s="341">
        <f t="shared" si="42"/>
        <v>165588.92360000001</v>
      </c>
      <c r="K506" s="326" t="str">
        <f t="shared" si="43"/>
        <v>Menor Valor</v>
      </c>
      <c r="L506" s="326">
        <f>IFERROR(COUNTA('LP Elementos'!F506,'LP Elementos'!I506,'LP Elementos'!N506,'LP Elementos'!S506,'LP Elementos'!X506,'LP Elementos'!AC506,'LP Elementos'!AH506,'LP Elementos'!AM506,'LP Elementos'!AR506,'LP Elementos'!AX506,'LP Elementos'!BB506,'LP Elementos'!BG506,'LP Elementos'!BL506,'LP Elementos'!BQ506,'LP Elementos'!BV506,'LP Elementos'!CA506,'LP Elementos'!CF506,'LP Elementos'!CK506,'LP Elementos'!CP506,'LP Elementos'!CU506,'LP Elementos'!CZ506)," ")</f>
        <v>1</v>
      </c>
    </row>
    <row r="507" spans="2:12" ht="54" x14ac:dyDescent="0.25">
      <c r="B507" s="411">
        <v>505</v>
      </c>
      <c r="C507" s="412" t="s">
        <v>4371</v>
      </c>
      <c r="D507" s="408">
        <f>IFERROR(MIN('LP Elementos'!F507,'LP Elementos'!I507,'LP Elementos'!N507,'LP Elementos'!S507,'LP Elementos'!X507,'LP Elementos'!AC507,'LP Elementos'!AH507,'LP Elementos'!AM507,'LP Elementos'!AR507,'LP Elementos'!AW507,'LP Elementos'!BB507,'LP Elementos'!BG507,'LP Elementos'!BL507,'LP Elementos'!BQ507,'LP Elementos'!BV507,'LP Elementos'!CA507,'LP Elementos'!CF507,'LP Elementos'!CK507,'LP Elementos'!CP507,'LP Elementos'!CU507,'LP Elementos'!CZ507)," ")</f>
        <v>7541.268</v>
      </c>
      <c r="E507" s="341">
        <f>IFERROR(AVERAGE('LP Elementos'!F507,'LP Elementos'!I507,'LP Elementos'!N507,'LP Elementos'!S507,'LP Elementos'!X507,'LP Elementos'!AC507,'LP Elementos'!AH507,'LP Elementos'!AM507,'LP Elementos'!AR507,'LP Elementos'!AW507,'LP Elementos'!BB507,'LP Elementos'!BG507,'LP Elementos'!BL507,'LP Elementos'!BQ507,'LP Elementos'!BV507,'LP Elementos'!CA507,'LP Elementos'!CF507,'LP Elementos'!CK507,'LP Elementos'!CP507,'LP Elementos'!CU507,'LP Elementos'!CZ507)," ")</f>
        <v>7541.268</v>
      </c>
      <c r="F507" s="341">
        <f>IFERROR(MEDIAN('LP Elementos'!F507,'LP Elementos'!I507,'LP Elementos'!N507,'LP Elementos'!S507,'LP Elementos'!X507,'LP Elementos'!AC507,'LP Elementos'!AH507,'LP Elementos'!AM507,'LP Elementos'!AR507,'LP Elementos'!AW507,'LP Elementos'!BB507,'LP Elementos'!BG507,'LP Elementos'!BL507,'LP Elementos'!BQ507,'LP Elementos'!BV507,'LP Elementos'!CA507,'LP Elementos'!CF507,'LP Elementos'!CK507,'LP Elementos'!CP507,'LP Elementos'!CU507,'LP Elementos'!CZ507)," ")</f>
        <v>7541.268</v>
      </c>
      <c r="G507" s="341">
        <f>IFERROR(GEOMEAN('LP Elementos'!F507,'LP Elementos'!I507,'LP Elementos'!N507,'LP Elementos'!S507,'LP Elementos'!X507,'LP Elementos'!AC507,'LP Elementos'!AH507,'LP Elementos'!AM507,'LP Elementos'!AR507,'LP Elementos'!AW507,'LP Elementos'!BB507,'LP Elementos'!BG507,'LP Elementos'!BL507,'LP Elementos'!BQ507,'LP Elementos'!BV507,'LP Elementos'!CA507,'LP Elementos'!CF507,'LP Elementos'!CK507,'LP Elementos'!CP507,'LP Elementos'!CU507,'LP Elementos'!CZ507)," ")</f>
        <v>7541.268</v>
      </c>
      <c r="H507" s="341">
        <f t="shared" si="40"/>
        <v>0</v>
      </c>
      <c r="I507" s="342">
        <f t="shared" si="41"/>
        <v>0</v>
      </c>
      <c r="J507" s="341">
        <f t="shared" si="42"/>
        <v>7541.268</v>
      </c>
      <c r="K507" s="326" t="str">
        <f t="shared" si="43"/>
        <v>Menor Valor</v>
      </c>
      <c r="L507" s="326">
        <f>IFERROR(COUNTA('LP Elementos'!F507,'LP Elementos'!I507,'LP Elementos'!N507,'LP Elementos'!S507,'LP Elementos'!X507,'LP Elementos'!AC507,'LP Elementos'!AH507,'LP Elementos'!AM507,'LP Elementos'!AR507,'LP Elementos'!AX507,'LP Elementos'!BB507,'LP Elementos'!BG507,'LP Elementos'!BL507,'LP Elementos'!BQ507,'LP Elementos'!BV507,'LP Elementos'!CA507,'LP Elementos'!CF507,'LP Elementos'!CK507,'LP Elementos'!CP507,'LP Elementos'!CU507,'LP Elementos'!CZ507)," ")</f>
        <v>1</v>
      </c>
    </row>
    <row r="508" spans="2:12" ht="27" x14ac:dyDescent="0.25">
      <c r="B508" s="411">
        <v>506</v>
      </c>
      <c r="C508" s="412" t="s">
        <v>4373</v>
      </c>
      <c r="D508" s="408">
        <f>IFERROR(MIN('LP Elementos'!F508,'LP Elementos'!I508,'LP Elementos'!N508,'LP Elementos'!S508,'LP Elementos'!X508,'LP Elementos'!AC508,'LP Elementos'!AH508,'LP Elementos'!AM508,'LP Elementos'!AR508,'LP Elementos'!AW508,'LP Elementos'!BB508,'LP Elementos'!BG508,'LP Elementos'!BL508,'LP Elementos'!BQ508,'LP Elementos'!BV508,'LP Elementos'!CA508,'LP Elementos'!CF508,'LP Elementos'!CK508,'LP Elementos'!CP508,'LP Elementos'!CU508,'LP Elementos'!CZ508)," ")</f>
        <v>6284.39</v>
      </c>
      <c r="E508" s="341">
        <f>IFERROR(AVERAGE('LP Elementos'!F508,'LP Elementos'!I508,'LP Elementos'!N508,'LP Elementos'!S508,'LP Elementos'!X508,'LP Elementos'!AC508,'LP Elementos'!AH508,'LP Elementos'!AM508,'LP Elementos'!AR508,'LP Elementos'!AW508,'LP Elementos'!BB508,'LP Elementos'!BG508,'LP Elementos'!BL508,'LP Elementos'!BQ508,'LP Elementos'!BV508,'LP Elementos'!CA508,'LP Elementos'!CF508,'LP Elementos'!CK508,'LP Elementos'!CP508,'LP Elementos'!CU508,'LP Elementos'!CZ508)," ")</f>
        <v>9687.1949999999997</v>
      </c>
      <c r="F508" s="341">
        <f>IFERROR(MEDIAN('LP Elementos'!F508,'LP Elementos'!I508,'LP Elementos'!N508,'LP Elementos'!S508,'LP Elementos'!X508,'LP Elementos'!AC508,'LP Elementos'!AH508,'LP Elementos'!AM508,'LP Elementos'!AR508,'LP Elementos'!AW508,'LP Elementos'!BB508,'LP Elementos'!BG508,'LP Elementos'!BL508,'LP Elementos'!BQ508,'LP Elementos'!BV508,'LP Elementos'!CA508,'LP Elementos'!CF508,'LP Elementos'!CK508,'LP Elementos'!CP508,'LP Elementos'!CU508,'LP Elementos'!CZ508)," ")</f>
        <v>9687.1949999999997</v>
      </c>
      <c r="G508" s="341">
        <f>IFERROR(GEOMEAN('LP Elementos'!F508,'LP Elementos'!I508,'LP Elementos'!N508,'LP Elementos'!S508,'LP Elementos'!X508,'LP Elementos'!AC508,'LP Elementos'!AH508,'LP Elementos'!AM508,'LP Elementos'!AR508,'LP Elementos'!AW508,'LP Elementos'!BB508,'LP Elementos'!BG508,'LP Elementos'!BL508,'LP Elementos'!BQ508,'LP Elementos'!BV508,'LP Elementos'!CA508,'LP Elementos'!CF508,'LP Elementos'!CK508,'LP Elementos'!CP508,'LP Elementos'!CU508,'LP Elementos'!CZ508)," ")</f>
        <v>9069.8767962966285</v>
      </c>
      <c r="H508" s="341">
        <f t="shared" si="40"/>
        <v>1624.7888057026614</v>
      </c>
      <c r="I508" s="342">
        <f t="shared" si="41"/>
        <v>0.16772541542754754</v>
      </c>
      <c r="J508" s="341">
        <f t="shared" si="42"/>
        <v>9687.1949999999997</v>
      </c>
      <c r="K508" s="326" t="str">
        <f t="shared" si="43"/>
        <v>Promedio</v>
      </c>
      <c r="L508" s="326">
        <f>IFERROR(COUNTA('LP Elementos'!F508,'LP Elementos'!I508,'LP Elementos'!N508,'LP Elementos'!S508,'LP Elementos'!X508,'LP Elementos'!AC508,'LP Elementos'!AH508,'LP Elementos'!AM508,'LP Elementos'!AR508,'LP Elementos'!AX508,'LP Elementos'!BB508,'LP Elementos'!BG508,'LP Elementos'!BL508,'LP Elementos'!BQ508,'LP Elementos'!BV508,'LP Elementos'!CA508,'LP Elementos'!CF508,'LP Elementos'!CK508,'LP Elementos'!CP508,'LP Elementos'!CU508,'LP Elementos'!CZ508)," ")</f>
        <v>2</v>
      </c>
    </row>
    <row r="509" spans="2:12" x14ac:dyDescent="0.25">
      <c r="B509" s="411">
        <v>507</v>
      </c>
      <c r="C509" s="412" t="s">
        <v>4375</v>
      </c>
      <c r="D509" s="408">
        <f>IFERROR(MIN('LP Elementos'!F509,'LP Elementos'!I509,'LP Elementos'!N509,'LP Elementos'!S509,'LP Elementos'!X509,'LP Elementos'!AC509,'LP Elementos'!AH509,'LP Elementos'!AM509,'LP Elementos'!AR509,'LP Elementos'!AW509,'LP Elementos'!BB509,'LP Elementos'!BG509,'LP Elementos'!BL509,'LP Elementos'!BQ509,'LP Elementos'!BV509,'LP Elementos'!CA509,'LP Elementos'!CF509,'LP Elementos'!CK509,'LP Elementos'!CP509,'LP Elementos'!CU509,'LP Elementos'!CZ509)," ")</f>
        <v>9520</v>
      </c>
      <c r="E509" s="341">
        <f>IFERROR(AVERAGE('LP Elementos'!F509,'LP Elementos'!I509,'LP Elementos'!N509,'LP Elementos'!S509,'LP Elementos'!X509,'LP Elementos'!AC509,'LP Elementos'!AH509,'LP Elementos'!AM509,'LP Elementos'!AR509,'LP Elementos'!AW509,'LP Elementos'!BB509,'LP Elementos'!BG509,'LP Elementos'!BL509,'LP Elementos'!BQ509,'LP Elementos'!BV509,'LP Elementos'!CA509,'LP Elementos'!CF509,'LP Elementos'!CK509,'LP Elementos'!CP509,'LP Elementos'!CU509,'LP Elementos'!CZ509)," ")</f>
        <v>10415.951000000001</v>
      </c>
      <c r="F509" s="341">
        <f>IFERROR(MEDIAN('LP Elementos'!F509,'LP Elementos'!I509,'LP Elementos'!N509,'LP Elementos'!S509,'LP Elementos'!X509,'LP Elementos'!AC509,'LP Elementos'!AH509,'LP Elementos'!AM509,'LP Elementos'!AR509,'LP Elementos'!AW509,'LP Elementos'!BB509,'LP Elementos'!BG509,'LP Elementos'!BL509,'LP Elementos'!BQ509,'LP Elementos'!BV509,'LP Elementos'!CA509,'LP Elementos'!CF509,'LP Elementos'!CK509,'LP Elementos'!CP509,'LP Elementos'!CU509,'LP Elementos'!CZ509)," ")</f>
        <v>10415.951000000001</v>
      </c>
      <c r="G509" s="341">
        <f>IFERROR(GEOMEAN('LP Elementos'!F509,'LP Elementos'!I509,'LP Elementos'!N509,'LP Elementos'!S509,'LP Elementos'!X509,'LP Elementos'!AC509,'LP Elementos'!AH509,'LP Elementos'!AM509,'LP Elementos'!AR509,'LP Elementos'!AW509,'LP Elementos'!BB509,'LP Elementos'!BG509,'LP Elementos'!BL509,'LP Elementos'!BQ509,'LP Elementos'!BV509,'LP Elementos'!CA509,'LP Elementos'!CF509,'LP Elementos'!CK509,'LP Elementos'!CP509,'LP Elementos'!CU509,'LP Elementos'!CZ509)," ")</f>
        <v>10377.345857202601</v>
      </c>
      <c r="H509" s="341">
        <f t="shared" si="40"/>
        <v>441.91618943012276</v>
      </c>
      <c r="I509" s="342">
        <f t="shared" si="41"/>
        <v>4.2426869080905115E-2</v>
      </c>
      <c r="J509" s="341">
        <f t="shared" si="42"/>
        <v>10415.951000000001</v>
      </c>
      <c r="K509" s="326" t="str">
        <f t="shared" si="43"/>
        <v>Promedio</v>
      </c>
      <c r="L509" s="326">
        <f>IFERROR(COUNTA('LP Elementos'!F509,'LP Elementos'!I509,'LP Elementos'!N509,'LP Elementos'!S509,'LP Elementos'!X509,'LP Elementos'!AC509,'LP Elementos'!AH509,'LP Elementos'!AM509,'LP Elementos'!AR509,'LP Elementos'!AX509,'LP Elementos'!BB509,'LP Elementos'!BG509,'LP Elementos'!BL509,'LP Elementos'!BQ509,'LP Elementos'!BV509,'LP Elementos'!CA509,'LP Elementos'!CF509,'LP Elementos'!CK509,'LP Elementos'!CP509,'LP Elementos'!CU509,'LP Elementos'!CZ509)," ")</f>
        <v>2</v>
      </c>
    </row>
    <row r="510" spans="2:12" x14ac:dyDescent="0.25">
      <c r="B510" s="411">
        <v>508</v>
      </c>
      <c r="C510" s="412" t="s">
        <v>4378</v>
      </c>
      <c r="D510" s="408">
        <f>IFERROR(MIN('LP Elementos'!F510,'LP Elementos'!I510,'LP Elementos'!N510,'LP Elementos'!S510,'LP Elementos'!X510,'LP Elementos'!AC510,'LP Elementos'!AH510,'LP Elementos'!AM510,'LP Elementos'!AR510,'LP Elementos'!AW510,'LP Elementos'!BB510,'LP Elementos'!BG510,'LP Elementos'!BL510,'LP Elementos'!BQ510,'LP Elementos'!BV510,'LP Elementos'!CA510,'LP Elementos'!CF510,'LP Elementos'!CK510,'LP Elementos'!CP510,'LP Elementos'!CU510,'LP Elementos'!CZ510)," ")</f>
        <v>8798.1460000000006</v>
      </c>
      <c r="E510" s="341">
        <f>IFERROR(AVERAGE('LP Elementos'!F510,'LP Elementos'!I510,'LP Elementos'!N510,'LP Elementos'!S510,'LP Elementos'!X510,'LP Elementos'!AC510,'LP Elementos'!AH510,'LP Elementos'!AM510,'LP Elementos'!AR510,'LP Elementos'!AW510,'LP Elementos'!BB510,'LP Elementos'!BG510,'LP Elementos'!BL510,'LP Elementos'!BQ510,'LP Elementos'!BV510,'LP Elementos'!CA510,'LP Elementos'!CF510,'LP Elementos'!CK510,'LP Elementos'!CP510,'LP Elementos'!CU510,'LP Elementos'!CZ510)," ")</f>
        <v>10944.073</v>
      </c>
      <c r="F510" s="341">
        <f>IFERROR(MEDIAN('LP Elementos'!F510,'LP Elementos'!I510,'LP Elementos'!N510,'LP Elementos'!S510,'LP Elementos'!X510,'LP Elementos'!AC510,'LP Elementos'!AH510,'LP Elementos'!AM510,'LP Elementos'!AR510,'LP Elementos'!AW510,'LP Elementos'!BB510,'LP Elementos'!BG510,'LP Elementos'!BL510,'LP Elementos'!BQ510,'LP Elementos'!BV510,'LP Elementos'!CA510,'LP Elementos'!CF510,'LP Elementos'!CK510,'LP Elementos'!CP510,'LP Elementos'!CU510,'LP Elementos'!CZ510)," ")</f>
        <v>10944.073</v>
      </c>
      <c r="G510" s="341">
        <f>IFERROR(GEOMEAN('LP Elementos'!F510,'LP Elementos'!I510,'LP Elementos'!N510,'LP Elementos'!S510,'LP Elementos'!X510,'LP Elementos'!AC510,'LP Elementos'!AH510,'LP Elementos'!AM510,'LP Elementos'!AR510,'LP Elementos'!AW510,'LP Elementos'!BB510,'LP Elementos'!BG510,'LP Elementos'!BL510,'LP Elementos'!BQ510,'LP Elementos'!BV510,'LP Elementos'!CA510,'LP Elementos'!CF510,'LP Elementos'!CK510,'LP Elementos'!CP510,'LP Elementos'!CU510,'LP Elementos'!CZ510)," ")</f>
        <v>10731.622949954961</v>
      </c>
      <c r="H510" s="341">
        <f t="shared" si="40"/>
        <v>1042.3774325307754</v>
      </c>
      <c r="I510" s="342">
        <f t="shared" si="41"/>
        <v>9.5245840605300738E-2</v>
      </c>
      <c r="J510" s="341">
        <f t="shared" si="42"/>
        <v>10944.073</v>
      </c>
      <c r="K510" s="326" t="str">
        <f t="shared" si="43"/>
        <v>Promedio</v>
      </c>
      <c r="L510" s="326">
        <f>IFERROR(COUNTA('LP Elementos'!F510,'LP Elementos'!I510,'LP Elementos'!N510,'LP Elementos'!S510,'LP Elementos'!X510,'LP Elementos'!AC510,'LP Elementos'!AH510,'LP Elementos'!AM510,'LP Elementos'!AR510,'LP Elementos'!AX510,'LP Elementos'!BB510,'LP Elementos'!BG510,'LP Elementos'!BL510,'LP Elementos'!BQ510,'LP Elementos'!BV510,'LP Elementos'!CA510,'LP Elementos'!CF510,'LP Elementos'!CK510,'LP Elementos'!CP510,'LP Elementos'!CU510,'LP Elementos'!CZ510)," ")</f>
        <v>2</v>
      </c>
    </row>
    <row r="511" spans="2:12" ht="27" x14ac:dyDescent="0.25">
      <c r="B511" s="411">
        <v>509</v>
      </c>
      <c r="C511" s="412" t="s">
        <v>4379</v>
      </c>
      <c r="D511" s="408">
        <f>IFERROR(MIN('LP Elementos'!F511,'LP Elementos'!I511,'LP Elementos'!N511,'LP Elementos'!S511,'LP Elementos'!X511,'LP Elementos'!AC511,'LP Elementos'!AH511,'LP Elementos'!AM511,'LP Elementos'!AR511,'LP Elementos'!AW511,'LP Elementos'!BB511,'LP Elementos'!BG511,'LP Elementos'!BL511,'LP Elementos'!BQ511,'LP Elementos'!BV511,'LP Elementos'!CA511,'LP Elementos'!CF511,'LP Elementos'!CK511,'LP Elementos'!CP511,'LP Elementos'!CU511,'LP Elementos'!CZ511)," ")</f>
        <v>169678.53</v>
      </c>
      <c r="E511" s="341">
        <f>IFERROR(AVERAGE('LP Elementos'!F511,'LP Elementos'!I511,'LP Elementos'!N511,'LP Elementos'!S511,'LP Elementos'!X511,'LP Elementos'!AC511,'LP Elementos'!AH511,'LP Elementos'!AM511,'LP Elementos'!AR511,'LP Elementos'!AW511,'LP Elementos'!BB511,'LP Elementos'!BG511,'LP Elementos'!BL511,'LP Elementos'!BQ511,'LP Elementos'!BV511,'LP Elementos'!CA511,'LP Elementos'!CF511,'LP Elementos'!CK511,'LP Elementos'!CP511,'LP Elementos'!CU511,'LP Elementos'!CZ511)," ")</f>
        <v>483769.51</v>
      </c>
      <c r="F511" s="341">
        <f>IFERROR(MEDIAN('LP Elementos'!F511,'LP Elementos'!I511,'LP Elementos'!N511,'LP Elementos'!S511,'LP Elementos'!X511,'LP Elementos'!AC511,'LP Elementos'!AH511,'LP Elementos'!AM511,'LP Elementos'!AR511,'LP Elementos'!AW511,'LP Elementos'!BB511,'LP Elementos'!BG511,'LP Elementos'!BL511,'LP Elementos'!BQ511,'LP Elementos'!BV511,'LP Elementos'!CA511,'LP Elementos'!CF511,'LP Elementos'!CK511,'LP Elementos'!CP511,'LP Elementos'!CU511,'LP Elementos'!CZ511)," ")</f>
        <v>186830</v>
      </c>
      <c r="G511" s="341">
        <f>IFERROR(GEOMEAN('LP Elementos'!F511,'LP Elementos'!I511,'LP Elementos'!N511,'LP Elementos'!S511,'LP Elementos'!X511,'LP Elementos'!AC511,'LP Elementos'!AH511,'LP Elementos'!AM511,'LP Elementos'!AR511,'LP Elementos'!AW511,'LP Elementos'!BB511,'LP Elementos'!BG511,'LP Elementos'!BL511,'LP Elementos'!BQ511,'LP Elementos'!BV511,'LP Elementos'!CA511,'LP Elementos'!CF511,'LP Elementos'!CK511,'LP Elementos'!CP511,'LP Elementos'!CU511,'LP Elementos'!CZ511)," ")</f>
        <v>326189.09052456514</v>
      </c>
      <c r="H511" s="341">
        <f t="shared" si="40"/>
        <v>146021.82756616754</v>
      </c>
      <c r="I511" s="342">
        <f t="shared" si="41"/>
        <v>0.30184173361022182</v>
      </c>
      <c r="J511" s="341">
        <f t="shared" si="42"/>
        <v>169678.53</v>
      </c>
      <c r="K511" s="326" t="str">
        <f t="shared" si="43"/>
        <v>Menor Valor</v>
      </c>
      <c r="L511" s="326">
        <f>IFERROR(COUNTA('LP Elementos'!F511,'LP Elementos'!I511,'LP Elementos'!N511,'LP Elementos'!S511,'LP Elementos'!X511,'LP Elementos'!AC511,'LP Elementos'!AH511,'LP Elementos'!AM511,'LP Elementos'!AR511,'LP Elementos'!AX511,'LP Elementos'!BB511,'LP Elementos'!BG511,'LP Elementos'!BL511,'LP Elementos'!BQ511,'LP Elementos'!BV511,'LP Elementos'!CA511,'LP Elementos'!CF511,'LP Elementos'!CK511,'LP Elementos'!CP511,'LP Elementos'!CU511,'LP Elementos'!CZ511)," ")</f>
        <v>3</v>
      </c>
    </row>
    <row r="512" spans="2:12" ht="27" x14ac:dyDescent="0.25">
      <c r="B512" s="411">
        <v>510</v>
      </c>
      <c r="C512" s="412" t="s">
        <v>4383</v>
      </c>
      <c r="D512" s="408">
        <f>IFERROR(MIN('LP Elementos'!F512,'LP Elementos'!I512,'LP Elementos'!N512,'LP Elementos'!S512,'LP Elementos'!X512,'LP Elementos'!AC512,'LP Elementos'!AH512,'LP Elementos'!AM512,'LP Elementos'!AR512,'LP Elementos'!AW512,'LP Elementos'!BB512,'LP Elementos'!BG512,'LP Elementos'!BL512,'LP Elementos'!BQ512,'LP Elementos'!BV512,'LP Elementos'!CA512,'LP Elementos'!CF512,'LP Elementos'!CK512,'LP Elementos'!CP512,'LP Elementos'!CU512,'LP Elementos'!CZ512)," ")</f>
        <v>179690</v>
      </c>
      <c r="E512" s="341">
        <f>IFERROR(AVERAGE('LP Elementos'!F512,'LP Elementos'!I512,'LP Elementos'!N512,'LP Elementos'!S512,'LP Elementos'!X512,'LP Elementos'!AC512,'LP Elementos'!AH512,'LP Elementos'!AM512,'LP Elementos'!AR512,'LP Elementos'!AW512,'LP Elementos'!BB512,'LP Elementos'!BG512,'LP Elementos'!BL512,'LP Elementos'!BQ512,'LP Elementos'!BV512,'LP Elementos'!CA512,'LP Elementos'!CF512,'LP Elementos'!CK512,'LP Elementos'!CP512,'LP Elementos'!CU512,'LP Elementos'!CZ512)," ")</f>
        <v>375103.39066666667</v>
      </c>
      <c r="F512" s="341">
        <f>IFERROR(MEDIAN('LP Elementos'!F512,'LP Elementos'!I512,'LP Elementos'!N512,'LP Elementos'!S512,'LP Elementos'!X512,'LP Elementos'!AC512,'LP Elementos'!AH512,'LP Elementos'!AM512,'LP Elementos'!AR512,'LP Elementos'!AW512,'LP Elementos'!BB512,'LP Elementos'!BG512,'LP Elementos'!BL512,'LP Elementos'!BQ512,'LP Elementos'!BV512,'LP Elementos'!CA512,'LP Elementos'!CF512,'LP Elementos'!CK512,'LP Elementos'!CP512,'LP Elementos'!CU512,'LP Elementos'!CZ512)," ")</f>
        <v>349860</v>
      </c>
      <c r="G512" s="341">
        <f>IFERROR(GEOMEAN('LP Elementos'!F512,'LP Elementos'!I512,'LP Elementos'!N512,'LP Elementos'!S512,'LP Elementos'!X512,'LP Elementos'!AC512,'LP Elementos'!AH512,'LP Elementos'!AM512,'LP Elementos'!AR512,'LP Elementos'!AW512,'LP Elementos'!BB512,'LP Elementos'!BG512,'LP Elementos'!BL512,'LP Elementos'!BQ512,'LP Elementos'!BV512,'LP Elementos'!CA512,'LP Elementos'!CF512,'LP Elementos'!CK512,'LP Elementos'!CP512,'LP Elementos'!CU512,'LP Elementos'!CZ512)," ")</f>
        <v>334577.36427839525</v>
      </c>
      <c r="H512" s="341">
        <f t="shared" si="40"/>
        <v>88339.99863534997</v>
      </c>
      <c r="I512" s="342">
        <f t="shared" si="41"/>
        <v>0.23550839804018933</v>
      </c>
      <c r="J512" s="341">
        <f t="shared" si="42"/>
        <v>334577.36427839525</v>
      </c>
      <c r="K512" s="326" t="str">
        <f t="shared" si="43"/>
        <v>Media Geometrica</v>
      </c>
      <c r="L512" s="326">
        <f>IFERROR(COUNTA('LP Elementos'!F512,'LP Elementos'!I512,'LP Elementos'!N512,'LP Elementos'!S512,'LP Elementos'!X512,'LP Elementos'!AC512,'LP Elementos'!AH512,'LP Elementos'!AM512,'LP Elementos'!AR512,'LP Elementos'!AX512,'LP Elementos'!BB512,'LP Elementos'!BG512,'LP Elementos'!BL512,'LP Elementos'!BQ512,'LP Elementos'!BV512,'LP Elementos'!CA512,'LP Elementos'!CF512,'LP Elementos'!CK512,'LP Elementos'!CP512,'LP Elementos'!CU512,'LP Elementos'!CZ512)," ")</f>
        <v>3</v>
      </c>
    </row>
    <row r="513" spans="2:12" ht="108" x14ac:dyDescent="0.25">
      <c r="B513" s="411">
        <v>511</v>
      </c>
      <c r="C513" s="412" t="s">
        <v>4386</v>
      </c>
      <c r="D513" s="408">
        <f>IFERROR(MIN('LP Elementos'!F513,'LP Elementos'!I513,'LP Elementos'!N513,'LP Elementos'!S513,'LP Elementos'!X513,'LP Elementos'!AC513,'LP Elementos'!AH513,'LP Elementos'!AM513,'LP Elementos'!AR513,'LP Elementos'!AW513,'LP Elementos'!BB513,'LP Elementos'!BG513,'LP Elementos'!BL513,'LP Elementos'!BQ513,'LP Elementos'!BV513,'LP Elementos'!CA513,'LP Elementos'!CF513,'LP Elementos'!CK513,'LP Elementos'!CP513,'LP Elementos'!CU513,'LP Elementos'!CZ513)," ")</f>
        <v>313508.67739999999</v>
      </c>
      <c r="E513" s="341">
        <f>IFERROR(AVERAGE('LP Elementos'!F513,'LP Elementos'!I513,'LP Elementos'!N513,'LP Elementos'!S513,'LP Elementos'!X513,'LP Elementos'!AC513,'LP Elementos'!AH513,'LP Elementos'!AM513,'LP Elementos'!AR513,'LP Elementos'!AW513,'LP Elementos'!BB513,'LP Elementos'!BG513,'LP Elementos'!BL513,'LP Elementos'!BQ513,'LP Elementos'!BV513,'LP Elementos'!CA513,'LP Elementos'!CF513,'LP Elementos'!CK513,'LP Elementos'!CP513,'LP Elementos'!CU513,'LP Elementos'!CZ513)," ")</f>
        <v>848739.33869999996</v>
      </c>
      <c r="F513" s="341">
        <f>IFERROR(MEDIAN('LP Elementos'!F513,'LP Elementos'!I513,'LP Elementos'!N513,'LP Elementos'!S513,'LP Elementos'!X513,'LP Elementos'!AC513,'LP Elementos'!AH513,'LP Elementos'!AM513,'LP Elementos'!AR513,'LP Elementos'!AW513,'LP Elementos'!BB513,'LP Elementos'!BG513,'LP Elementos'!BL513,'LP Elementos'!BQ513,'LP Elementos'!BV513,'LP Elementos'!CA513,'LP Elementos'!CF513,'LP Elementos'!CK513,'LP Elementos'!CP513,'LP Elementos'!CU513,'LP Elementos'!CZ513)," ")</f>
        <v>848739.33869999996</v>
      </c>
      <c r="G513" s="341">
        <f>IFERROR(GEOMEAN('LP Elementos'!F513,'LP Elementos'!I513,'LP Elementos'!N513,'LP Elementos'!S513,'LP Elementos'!X513,'LP Elementos'!AC513,'LP Elementos'!AH513,'LP Elementos'!AM513,'LP Elementos'!AR513,'LP Elementos'!AW513,'LP Elementos'!BB513,'LP Elementos'!BG513,'LP Elementos'!BL513,'LP Elementos'!BQ513,'LP Elementos'!BV513,'LP Elementos'!CA513,'LP Elementos'!CF513,'LP Elementos'!CK513,'LP Elementos'!CP513,'LP Elementos'!CU513,'LP Elementos'!CZ513)," ")</f>
        <v>658700.69398876303</v>
      </c>
      <c r="H513" s="341">
        <f t="shared" si="40"/>
        <v>252377.13559856819</v>
      </c>
      <c r="I513" s="342">
        <f t="shared" si="41"/>
        <v>0.29735529401185773</v>
      </c>
      <c r="J513" s="341">
        <f t="shared" si="42"/>
        <v>658700.69398876303</v>
      </c>
      <c r="K513" s="326" t="str">
        <f t="shared" si="43"/>
        <v>Media Geometrica</v>
      </c>
      <c r="L513" s="326">
        <f>IFERROR(COUNTA('LP Elementos'!F513,'LP Elementos'!I513,'LP Elementos'!N513,'LP Elementos'!S513,'LP Elementos'!X513,'LP Elementos'!AC513,'LP Elementos'!AH513,'LP Elementos'!AM513,'LP Elementos'!AR513,'LP Elementos'!AX513,'LP Elementos'!BB513,'LP Elementos'!BG513,'LP Elementos'!BL513,'LP Elementos'!BQ513,'LP Elementos'!BV513,'LP Elementos'!CA513,'LP Elementos'!CF513,'LP Elementos'!CK513,'LP Elementos'!CP513,'LP Elementos'!CU513,'LP Elementos'!CZ513)," ")</f>
        <v>2</v>
      </c>
    </row>
    <row r="514" spans="2:12" ht="148.5" x14ac:dyDescent="0.25">
      <c r="B514" s="411">
        <v>512</v>
      </c>
      <c r="C514" s="412" t="s">
        <v>4390</v>
      </c>
      <c r="D514" s="408">
        <f>IFERROR(MIN('LP Elementos'!F514,'LP Elementos'!I514,'LP Elementos'!N514,'LP Elementos'!S514,'LP Elementos'!X514,'LP Elementos'!AC514,'LP Elementos'!AH514,'LP Elementos'!AM514,'LP Elementos'!AR514,'LP Elementos'!AW514,'LP Elementos'!BB514,'LP Elementos'!BG514,'LP Elementos'!BL514,'LP Elementos'!BQ514,'LP Elementos'!BV514,'LP Elementos'!CA514,'LP Elementos'!CF514,'LP Elementos'!CK514,'LP Elementos'!CP514,'LP Elementos'!CU514,'LP Elementos'!CZ514)," ")</f>
        <v>269316.2132</v>
      </c>
      <c r="E514" s="341">
        <f>IFERROR(AVERAGE('LP Elementos'!F514,'LP Elementos'!I514,'LP Elementos'!N514,'LP Elementos'!S514,'LP Elementos'!X514,'LP Elementos'!AC514,'LP Elementos'!AH514,'LP Elementos'!AM514,'LP Elementos'!AR514,'LP Elementos'!AW514,'LP Elementos'!BB514,'LP Elementos'!BG514,'LP Elementos'!BL514,'LP Elementos'!BQ514,'LP Elementos'!BV514,'LP Elementos'!CA514,'LP Elementos'!CF514,'LP Elementos'!CK514,'LP Elementos'!CP514,'LP Elementos'!CU514,'LP Elementos'!CZ514)," ")</f>
        <v>557108.10660000006</v>
      </c>
      <c r="F514" s="341">
        <f>IFERROR(MEDIAN('LP Elementos'!F514,'LP Elementos'!I514,'LP Elementos'!N514,'LP Elementos'!S514,'LP Elementos'!X514,'LP Elementos'!AC514,'LP Elementos'!AH514,'LP Elementos'!AM514,'LP Elementos'!AR514,'LP Elementos'!AW514,'LP Elementos'!BB514,'LP Elementos'!BG514,'LP Elementos'!BL514,'LP Elementos'!BQ514,'LP Elementos'!BV514,'LP Elementos'!CA514,'LP Elementos'!CF514,'LP Elementos'!CK514,'LP Elementos'!CP514,'LP Elementos'!CU514,'LP Elementos'!CZ514)," ")</f>
        <v>557108.10660000006</v>
      </c>
      <c r="G514" s="341">
        <f>IFERROR(GEOMEAN('LP Elementos'!F514,'LP Elementos'!I514,'LP Elementos'!N514,'LP Elementos'!S514,'LP Elementos'!X514,'LP Elementos'!AC514,'LP Elementos'!AH514,'LP Elementos'!AM514,'LP Elementos'!AR514,'LP Elementos'!AW514,'LP Elementos'!BB514,'LP Elementos'!BG514,'LP Elementos'!BL514,'LP Elementos'!BQ514,'LP Elementos'!BV514,'LP Elementos'!CA514,'LP Elementos'!CF514,'LP Elementos'!CK514,'LP Elementos'!CP514,'LP Elementos'!CU514,'LP Elementos'!CZ514)," ")</f>
        <v>477017.05266445142</v>
      </c>
      <c r="H514" s="341">
        <f t="shared" si="40"/>
        <v>135897.369476861</v>
      </c>
      <c r="I514" s="342">
        <f t="shared" si="41"/>
        <v>0.24393357028357587</v>
      </c>
      <c r="J514" s="341">
        <f t="shared" si="42"/>
        <v>477017.05266445142</v>
      </c>
      <c r="K514" s="326" t="str">
        <f t="shared" si="43"/>
        <v>Media Geometrica</v>
      </c>
      <c r="L514" s="326">
        <f>IFERROR(COUNTA('LP Elementos'!F514,'LP Elementos'!I514,'LP Elementos'!N514,'LP Elementos'!S514,'LP Elementos'!X514,'LP Elementos'!AC514,'LP Elementos'!AH514,'LP Elementos'!AM514,'LP Elementos'!AR514,'LP Elementos'!AX514,'LP Elementos'!BB514,'LP Elementos'!BG514,'LP Elementos'!BL514,'LP Elementos'!BQ514,'LP Elementos'!BV514,'LP Elementos'!CA514,'LP Elementos'!CF514,'LP Elementos'!CK514,'LP Elementos'!CP514,'LP Elementos'!CU514,'LP Elementos'!CZ514)," ")</f>
        <v>2</v>
      </c>
    </row>
    <row r="515" spans="2:12" ht="40.5" x14ac:dyDescent="0.25">
      <c r="B515" s="411">
        <v>513</v>
      </c>
      <c r="C515" s="416" t="s">
        <v>4393</v>
      </c>
      <c r="D515" s="408">
        <f>IFERROR(MIN('LP Elementos'!F515,'LP Elementos'!I515,'LP Elementos'!N515,'LP Elementos'!S515,'LP Elementos'!X515,'LP Elementos'!AC515,'LP Elementos'!AH515,'LP Elementos'!AM515,'LP Elementos'!AR515,'LP Elementos'!AW515,'LP Elementos'!BB515,'LP Elementos'!BG515,'LP Elementos'!BL515,'LP Elementos'!BQ515,'LP Elementos'!BV515,'LP Elementos'!CA515,'LP Elementos'!CF515,'LP Elementos'!CK515,'LP Elementos'!CP515,'LP Elementos'!CU515,'LP Elementos'!CZ515)," ")</f>
        <v>201910.58540000001</v>
      </c>
      <c r="E515" s="341">
        <f>IFERROR(AVERAGE('LP Elementos'!F515,'LP Elementos'!I515,'LP Elementos'!N515,'LP Elementos'!S515,'LP Elementos'!X515,'LP Elementos'!AC515,'LP Elementos'!AH515,'LP Elementos'!AM515,'LP Elementos'!AR515,'LP Elementos'!AW515,'LP Elementos'!BB515,'LP Elementos'!BG515,'LP Elementos'!BL515,'LP Elementos'!BQ515,'LP Elementos'!BV515,'LP Elementos'!CA515,'LP Elementos'!CF515,'LP Elementos'!CK515,'LP Elementos'!CP515,'LP Elementos'!CU515,'LP Elementos'!CZ515)," ")</f>
        <v>201910.58540000001</v>
      </c>
      <c r="F515" s="341">
        <f>IFERROR(MEDIAN('LP Elementos'!F515,'LP Elementos'!I515,'LP Elementos'!N515,'LP Elementos'!S515,'LP Elementos'!X515,'LP Elementos'!AC515,'LP Elementos'!AH515,'LP Elementos'!AM515,'LP Elementos'!AR515,'LP Elementos'!AW515,'LP Elementos'!BB515,'LP Elementos'!BG515,'LP Elementos'!BL515,'LP Elementos'!BQ515,'LP Elementos'!BV515,'LP Elementos'!CA515,'LP Elementos'!CF515,'LP Elementos'!CK515,'LP Elementos'!CP515,'LP Elementos'!CU515,'LP Elementos'!CZ515)," ")</f>
        <v>201910.58540000001</v>
      </c>
      <c r="G515" s="341">
        <f>IFERROR(GEOMEAN('LP Elementos'!F515,'LP Elementos'!I515,'LP Elementos'!N515,'LP Elementos'!S515,'LP Elementos'!X515,'LP Elementos'!AC515,'LP Elementos'!AH515,'LP Elementos'!AM515,'LP Elementos'!AR515,'LP Elementos'!AW515,'LP Elementos'!BB515,'LP Elementos'!BG515,'LP Elementos'!BL515,'LP Elementos'!BQ515,'LP Elementos'!BV515,'LP Elementos'!CA515,'LP Elementos'!CF515,'LP Elementos'!CK515,'LP Elementos'!CP515,'LP Elementos'!CU515,'LP Elementos'!CZ515)," ")</f>
        <v>201910.58540000001</v>
      </c>
      <c r="H515" s="341">
        <f t="shared" si="40"/>
        <v>0</v>
      </c>
      <c r="I515" s="342">
        <f t="shared" si="41"/>
        <v>0</v>
      </c>
      <c r="J515" s="341">
        <f t="shared" si="42"/>
        <v>201910.58540000001</v>
      </c>
      <c r="K515" s="326" t="str">
        <f t="shared" si="43"/>
        <v>Menor Valor</v>
      </c>
      <c r="L515" s="326">
        <f>IFERROR(COUNTA('LP Elementos'!F515,'LP Elementos'!I515,'LP Elementos'!N515,'LP Elementos'!S515,'LP Elementos'!X515,'LP Elementos'!AC515,'LP Elementos'!AH515,'LP Elementos'!AM515,'LP Elementos'!AR515,'LP Elementos'!AX515,'LP Elementos'!BB515,'LP Elementos'!BG515,'LP Elementos'!BL515,'LP Elementos'!BQ515,'LP Elementos'!BV515,'LP Elementos'!CA515,'LP Elementos'!CF515,'LP Elementos'!CK515,'LP Elementos'!CP515,'LP Elementos'!CU515,'LP Elementos'!CZ515)," ")</f>
        <v>1</v>
      </c>
    </row>
    <row r="516" spans="2:12" ht="27" x14ac:dyDescent="0.25">
      <c r="B516" s="411">
        <v>514</v>
      </c>
      <c r="C516" s="412" t="s">
        <v>4395</v>
      </c>
      <c r="D516" s="408">
        <f>IFERROR(MIN('LP Elementos'!F516,'LP Elementos'!I516,'LP Elementos'!N516,'LP Elementos'!S516,'LP Elementos'!X516,'LP Elementos'!AC516,'LP Elementos'!AH516,'LP Elementos'!AM516,'LP Elementos'!AR516,'LP Elementos'!AW516,'LP Elementos'!BB516,'LP Elementos'!BG516,'LP Elementos'!BL516,'LP Elementos'!BQ516,'LP Elementos'!BV516,'LP Elementos'!CA516,'LP Elementos'!CF516,'LP Elementos'!CK516,'LP Elementos'!CP516,'LP Elementos'!CU516,'LP Elementos'!CZ516)," ")</f>
        <v>36413.551200000002</v>
      </c>
      <c r="E516" s="341">
        <f>IFERROR(AVERAGE('LP Elementos'!F516,'LP Elementos'!I516,'LP Elementos'!N516,'LP Elementos'!S516,'LP Elementos'!X516,'LP Elementos'!AC516,'LP Elementos'!AH516,'LP Elementos'!AM516,'LP Elementos'!AR516,'LP Elementos'!AW516,'LP Elementos'!BB516,'LP Elementos'!BG516,'LP Elementos'!BL516,'LP Elementos'!BQ516,'LP Elementos'!BV516,'LP Elementos'!CA516,'LP Elementos'!CF516,'LP Elementos'!CK516,'LP Elementos'!CP516,'LP Elementos'!CU516,'LP Elementos'!CZ516)," ")</f>
        <v>36413.551200000002</v>
      </c>
      <c r="F516" s="341">
        <f>IFERROR(MEDIAN('LP Elementos'!F516,'LP Elementos'!I516,'LP Elementos'!N516,'LP Elementos'!S516,'LP Elementos'!X516,'LP Elementos'!AC516,'LP Elementos'!AH516,'LP Elementos'!AM516,'LP Elementos'!AR516,'LP Elementos'!AW516,'LP Elementos'!BB516,'LP Elementos'!BG516,'LP Elementos'!BL516,'LP Elementos'!BQ516,'LP Elementos'!BV516,'LP Elementos'!CA516,'LP Elementos'!CF516,'LP Elementos'!CK516,'LP Elementos'!CP516,'LP Elementos'!CU516,'LP Elementos'!CZ516)," ")</f>
        <v>36413.551200000002</v>
      </c>
      <c r="G516" s="341">
        <f>IFERROR(GEOMEAN('LP Elementos'!F516,'LP Elementos'!I516,'LP Elementos'!N516,'LP Elementos'!S516,'LP Elementos'!X516,'LP Elementos'!AC516,'LP Elementos'!AH516,'LP Elementos'!AM516,'LP Elementos'!AR516,'LP Elementos'!AW516,'LP Elementos'!BB516,'LP Elementos'!BG516,'LP Elementos'!BL516,'LP Elementos'!BQ516,'LP Elementos'!BV516,'LP Elementos'!CA516,'LP Elementos'!CF516,'LP Elementos'!CK516,'LP Elementos'!CP516,'LP Elementos'!CU516,'LP Elementos'!CZ516)," ")</f>
        <v>36413.551200000002</v>
      </c>
      <c r="H516" s="341">
        <f t="shared" si="40"/>
        <v>0</v>
      </c>
      <c r="I516" s="342">
        <f t="shared" si="41"/>
        <v>0</v>
      </c>
      <c r="J516" s="341">
        <f t="shared" si="42"/>
        <v>36413.551200000002</v>
      </c>
      <c r="K516" s="326" t="str">
        <f t="shared" si="43"/>
        <v>Menor Valor</v>
      </c>
      <c r="L516" s="326">
        <f>IFERROR(COUNTA('LP Elementos'!F516,'LP Elementos'!I516,'LP Elementos'!N516,'LP Elementos'!S516,'LP Elementos'!X516,'LP Elementos'!AC516,'LP Elementos'!AH516,'LP Elementos'!AM516,'LP Elementos'!AR516,'LP Elementos'!AX516,'LP Elementos'!BB516,'LP Elementos'!BG516,'LP Elementos'!BL516,'LP Elementos'!BQ516,'LP Elementos'!BV516,'LP Elementos'!CA516,'LP Elementos'!CF516,'LP Elementos'!CK516,'LP Elementos'!CP516,'LP Elementos'!CU516,'LP Elementos'!CZ516)," ")</f>
        <v>1</v>
      </c>
    </row>
    <row r="517" spans="2:12" x14ac:dyDescent="0.25">
      <c r="B517" s="411">
        <v>515</v>
      </c>
      <c r="C517" s="412" t="s">
        <v>4396</v>
      </c>
      <c r="D517" s="408">
        <f>IFERROR(MIN('LP Elementos'!F517,'LP Elementos'!I517,'LP Elementos'!N517,'LP Elementos'!S517,'LP Elementos'!X517,'LP Elementos'!AC517,'LP Elementos'!AH517,'LP Elementos'!AM517,'LP Elementos'!AR517,'LP Elementos'!AW517,'LP Elementos'!BB517,'LP Elementos'!BG517,'LP Elementos'!BL517,'LP Elementos'!BQ517,'LP Elementos'!BV517,'LP Elementos'!CA517,'LP Elementos'!CF517,'LP Elementos'!CK517,'LP Elementos'!CP517,'LP Elementos'!CU517,'LP Elementos'!CZ517)," ")</f>
        <v>308210</v>
      </c>
      <c r="E517" s="341">
        <f>IFERROR(AVERAGE('LP Elementos'!F517,'LP Elementos'!I517,'LP Elementos'!N517,'LP Elementos'!S517,'LP Elementos'!X517,'LP Elementos'!AC517,'LP Elementos'!AH517,'LP Elementos'!AM517,'LP Elementos'!AR517,'LP Elementos'!AW517,'LP Elementos'!BB517,'LP Elementos'!BG517,'LP Elementos'!BL517,'LP Elementos'!BQ517,'LP Elementos'!BV517,'LP Elementos'!CA517,'LP Elementos'!CF517,'LP Elementos'!CK517,'LP Elementos'!CP517,'LP Elementos'!CU517,'LP Elementos'!CZ517)," ")</f>
        <v>380215.76789999998</v>
      </c>
      <c r="F517" s="341">
        <f>IFERROR(MEDIAN('LP Elementos'!F517,'LP Elementos'!I517,'LP Elementos'!N517,'LP Elementos'!S517,'LP Elementos'!X517,'LP Elementos'!AC517,'LP Elementos'!AH517,'LP Elementos'!AM517,'LP Elementos'!AR517,'LP Elementos'!AW517,'LP Elementos'!BB517,'LP Elementos'!BG517,'LP Elementos'!BL517,'LP Elementos'!BQ517,'LP Elementos'!BV517,'LP Elementos'!CA517,'LP Elementos'!CF517,'LP Elementos'!CK517,'LP Elementos'!CP517,'LP Elementos'!CU517,'LP Elementos'!CZ517)," ")</f>
        <v>380215.76789999998</v>
      </c>
      <c r="G517" s="341">
        <f>IFERROR(GEOMEAN('LP Elementos'!F517,'LP Elementos'!I517,'LP Elementos'!N517,'LP Elementos'!S517,'LP Elementos'!X517,'LP Elementos'!AC517,'LP Elementos'!AH517,'LP Elementos'!AM517,'LP Elementos'!AR517,'LP Elementos'!AW517,'LP Elementos'!BB517,'LP Elementos'!BG517,'LP Elementos'!BL517,'LP Elementos'!BQ517,'LP Elementos'!BV517,'LP Elementos'!CA517,'LP Elementos'!CF517,'LP Elementos'!CK517,'LP Elementos'!CP517,'LP Elementos'!CU517,'LP Elementos'!CZ517)," ")</f>
        <v>373335.23748625442</v>
      </c>
      <c r="H517" s="341">
        <f t="shared" si="40"/>
        <v>35006.71504264971</v>
      </c>
      <c r="I517" s="342">
        <f t="shared" si="41"/>
        <v>9.2070655659543241E-2</v>
      </c>
      <c r="J517" s="341">
        <f t="shared" si="42"/>
        <v>380215.76789999998</v>
      </c>
      <c r="K517" s="326" t="str">
        <f t="shared" si="43"/>
        <v>Promedio</v>
      </c>
      <c r="L517" s="326">
        <f>IFERROR(COUNTA('LP Elementos'!F517,'LP Elementos'!I517,'LP Elementos'!N517,'LP Elementos'!S517,'LP Elementos'!X517,'LP Elementos'!AC517,'LP Elementos'!AH517,'LP Elementos'!AM517,'LP Elementos'!AR517,'LP Elementos'!AX517,'LP Elementos'!BB517,'LP Elementos'!BG517,'LP Elementos'!BL517,'LP Elementos'!BQ517,'LP Elementos'!BV517,'LP Elementos'!CA517,'LP Elementos'!CF517,'LP Elementos'!CK517,'LP Elementos'!CP517,'LP Elementos'!CU517,'LP Elementos'!CZ517)," ")</f>
        <v>2</v>
      </c>
    </row>
    <row r="518" spans="2:12" x14ac:dyDescent="0.25">
      <c r="B518" s="411">
        <v>516</v>
      </c>
      <c r="C518" s="412" t="s">
        <v>4398</v>
      </c>
      <c r="D518" s="408">
        <f>IFERROR(MIN('LP Elementos'!F518,'LP Elementos'!I518,'LP Elementos'!N518,'LP Elementos'!S518,'LP Elementos'!X518,'LP Elementos'!AC518,'LP Elementos'!AH518,'LP Elementos'!AM518,'LP Elementos'!AR518,'LP Elementos'!AW518,'LP Elementos'!BB518,'LP Elementos'!BG518,'LP Elementos'!BL518,'LP Elementos'!BQ518,'LP Elementos'!BV518,'LP Elementos'!CA518,'LP Elementos'!CF518,'LP Elementos'!CK518,'LP Elementos'!CP518,'LP Elementos'!CU518,'LP Elementos'!CZ518)," ")</f>
        <v>188007.8248</v>
      </c>
      <c r="E518" s="341">
        <f>IFERROR(AVERAGE('LP Elementos'!F518,'LP Elementos'!I518,'LP Elementos'!N518,'LP Elementos'!S518,'LP Elementos'!X518,'LP Elementos'!AC518,'LP Elementos'!AH518,'LP Elementos'!AM518,'LP Elementos'!AR518,'LP Elementos'!AW518,'LP Elementos'!BB518,'LP Elementos'!BG518,'LP Elementos'!BL518,'LP Elementos'!BQ518,'LP Elementos'!BV518,'LP Elementos'!CA518,'LP Elementos'!CF518,'LP Elementos'!CK518,'LP Elementos'!CP518,'LP Elementos'!CU518,'LP Elementos'!CZ518)," ")</f>
        <v>188007.8248</v>
      </c>
      <c r="F518" s="341">
        <f>IFERROR(MEDIAN('LP Elementos'!F518,'LP Elementos'!I518,'LP Elementos'!N518,'LP Elementos'!S518,'LP Elementos'!X518,'LP Elementos'!AC518,'LP Elementos'!AH518,'LP Elementos'!AM518,'LP Elementos'!AR518,'LP Elementos'!AW518,'LP Elementos'!BB518,'LP Elementos'!BG518,'LP Elementos'!BL518,'LP Elementos'!BQ518,'LP Elementos'!BV518,'LP Elementos'!CA518,'LP Elementos'!CF518,'LP Elementos'!CK518,'LP Elementos'!CP518,'LP Elementos'!CU518,'LP Elementos'!CZ518)," ")</f>
        <v>188007.8248</v>
      </c>
      <c r="G518" s="341">
        <f>IFERROR(GEOMEAN('LP Elementos'!F518,'LP Elementos'!I518,'LP Elementos'!N518,'LP Elementos'!S518,'LP Elementos'!X518,'LP Elementos'!AC518,'LP Elementos'!AH518,'LP Elementos'!AM518,'LP Elementos'!AR518,'LP Elementos'!AW518,'LP Elementos'!BB518,'LP Elementos'!BG518,'LP Elementos'!BL518,'LP Elementos'!BQ518,'LP Elementos'!BV518,'LP Elementos'!CA518,'LP Elementos'!CF518,'LP Elementos'!CK518,'LP Elementos'!CP518,'LP Elementos'!CU518,'LP Elementos'!CZ518)," ")</f>
        <v>188007.8248</v>
      </c>
      <c r="H518" s="341">
        <f t="shared" si="40"/>
        <v>0</v>
      </c>
      <c r="I518" s="342">
        <f t="shared" si="41"/>
        <v>0</v>
      </c>
      <c r="J518" s="341">
        <f t="shared" si="42"/>
        <v>188007.8248</v>
      </c>
      <c r="K518" s="326" t="str">
        <f t="shared" si="43"/>
        <v>Menor Valor</v>
      </c>
      <c r="L518" s="326">
        <f>IFERROR(COUNTA('LP Elementos'!F518,'LP Elementos'!I518,'LP Elementos'!N518,'LP Elementos'!S518,'LP Elementos'!X518,'LP Elementos'!AC518,'LP Elementos'!AH518,'LP Elementos'!AM518,'LP Elementos'!AR518,'LP Elementos'!AX518,'LP Elementos'!BB518,'LP Elementos'!BG518,'LP Elementos'!BL518,'LP Elementos'!BQ518,'LP Elementos'!BV518,'LP Elementos'!CA518,'LP Elementos'!CF518,'LP Elementos'!CK518,'LP Elementos'!CP518,'LP Elementos'!CU518,'LP Elementos'!CZ518)," ")</f>
        <v>1</v>
      </c>
    </row>
    <row r="519" spans="2:12" ht="162" x14ac:dyDescent="0.25">
      <c r="B519" s="411">
        <v>517</v>
      </c>
      <c r="C519" s="414" t="s">
        <v>4400</v>
      </c>
      <c r="D519" s="408">
        <f>IFERROR(MIN('LP Elementos'!F519,'LP Elementos'!I519,'LP Elementos'!N519,'LP Elementos'!S519,'LP Elementos'!X519,'LP Elementos'!AC519,'LP Elementos'!AH519,'LP Elementos'!AM519,'LP Elementos'!AR519,'LP Elementos'!AW519,'LP Elementos'!BB519,'LP Elementos'!BG519,'LP Elementos'!BL519,'LP Elementos'!BQ519,'LP Elementos'!BV519,'LP Elementos'!CA519,'LP Elementos'!CF519,'LP Elementos'!CK519,'LP Elementos'!CP519,'LP Elementos'!CU519,'LP Elementos'!CZ519)," ")</f>
        <v>2211020</v>
      </c>
      <c r="E519" s="341">
        <f>IFERROR(AVERAGE('LP Elementos'!F519,'LP Elementos'!I519,'LP Elementos'!N519,'LP Elementos'!S519,'LP Elementos'!X519,'LP Elementos'!AC519,'LP Elementos'!AH519,'LP Elementos'!AM519,'LP Elementos'!AR519,'LP Elementos'!AW519,'LP Elementos'!BB519,'LP Elementos'!BG519,'LP Elementos'!BL519,'LP Elementos'!BQ519,'LP Elementos'!BV519,'LP Elementos'!CA519,'LP Elementos'!CF519,'LP Elementos'!CK519,'LP Elementos'!CP519,'LP Elementos'!CU519,'LP Elementos'!CZ519)," ")</f>
        <v>2859689.3966666665</v>
      </c>
      <c r="F519" s="341">
        <f>IFERROR(MEDIAN('LP Elementos'!F519,'LP Elementos'!I519,'LP Elementos'!N519,'LP Elementos'!S519,'LP Elementos'!X519,'LP Elementos'!AC519,'LP Elementos'!AH519,'LP Elementos'!AM519,'LP Elementos'!AR519,'LP Elementos'!AW519,'LP Elementos'!BB519,'LP Elementos'!BG519,'LP Elementos'!BL519,'LP Elementos'!BQ519,'LP Elementos'!BV519,'LP Elementos'!CA519,'LP Elementos'!CF519,'LP Elementos'!CK519,'LP Elementos'!CP519,'LP Elementos'!CU519,'LP Elementos'!CZ519)," ")</f>
        <v>2682260</v>
      </c>
      <c r="G519" s="341">
        <f>IFERROR(GEOMEAN('LP Elementos'!F519,'LP Elementos'!I519,'LP Elementos'!N519,'LP Elementos'!S519,'LP Elementos'!X519,'LP Elementos'!AC519,'LP Elementos'!AH519,'LP Elementos'!AM519,'LP Elementos'!AR519,'LP Elementos'!AW519,'LP Elementos'!BB519,'LP Elementos'!BG519,'LP Elementos'!BL519,'LP Elementos'!BQ519,'LP Elementos'!BV519,'LP Elementos'!CA519,'LP Elementos'!CF519,'LP Elementos'!CK519,'LP Elementos'!CP519,'LP Elementos'!CU519,'LP Elementos'!CZ519)," ")</f>
        <v>2796026.6472773263</v>
      </c>
      <c r="H519" s="341">
        <f t="shared" si="40"/>
        <v>293477.55275099917</v>
      </c>
      <c r="I519" s="342">
        <f t="shared" si="41"/>
        <v>0.10262567434529245</v>
      </c>
      <c r="J519" s="341">
        <f t="shared" si="42"/>
        <v>2859689.3966666665</v>
      </c>
      <c r="K519" s="326" t="str">
        <f t="shared" si="43"/>
        <v>Promedio</v>
      </c>
      <c r="L519" s="326">
        <f>IFERROR(COUNTA('LP Elementos'!F519,'LP Elementos'!I519,'LP Elementos'!N519,'LP Elementos'!S519,'LP Elementos'!X519,'LP Elementos'!AC519,'LP Elementos'!AH519,'LP Elementos'!AM519,'LP Elementos'!AR519,'LP Elementos'!AX519,'LP Elementos'!BB519,'LP Elementos'!BG519,'LP Elementos'!BL519,'LP Elementos'!BQ519,'LP Elementos'!BV519,'LP Elementos'!CA519,'LP Elementos'!CF519,'LP Elementos'!CK519,'LP Elementos'!CP519,'LP Elementos'!CU519,'LP Elementos'!CZ519)," ")</f>
        <v>3</v>
      </c>
    </row>
    <row r="520" spans="2:12" ht="27" x14ac:dyDescent="0.25">
      <c r="B520" s="411">
        <v>518</v>
      </c>
      <c r="C520" s="409" t="s">
        <v>4403</v>
      </c>
      <c r="D520" s="408">
        <f>IFERROR(MIN('LP Elementos'!F520,'LP Elementos'!I520,'LP Elementos'!N520,'LP Elementos'!S520,'LP Elementos'!X520,'LP Elementos'!AC520,'LP Elementos'!AH520,'LP Elementos'!AM520,'LP Elementos'!AR520,'LP Elementos'!AW520,'LP Elementos'!BB520,'LP Elementos'!BG520,'LP Elementos'!BL520,'LP Elementos'!BQ520,'LP Elementos'!BV520,'LP Elementos'!CA520,'LP Elementos'!CF520,'LP Elementos'!CK520,'LP Elementos'!CP520,'LP Elementos'!CU520,'LP Elementos'!CZ520)," ")</f>
        <v>529550</v>
      </c>
      <c r="E520" s="341">
        <f>IFERROR(AVERAGE('LP Elementos'!F520,'LP Elementos'!I520,'LP Elementos'!N520,'LP Elementos'!S520,'LP Elementos'!X520,'LP Elementos'!AC520,'LP Elementos'!AH520,'LP Elementos'!AM520,'LP Elementos'!AR520,'LP Elementos'!AW520,'LP Elementos'!BB520,'LP Elementos'!BG520,'LP Elementos'!BL520,'LP Elementos'!BQ520,'LP Elementos'!BV520,'LP Elementos'!CA520,'LP Elementos'!CF520,'LP Elementos'!CK520,'LP Elementos'!CP520,'LP Elementos'!CU520,'LP Elementos'!CZ520)," ")</f>
        <v>670848.22</v>
      </c>
      <c r="F520" s="341">
        <f>IFERROR(MEDIAN('LP Elementos'!F520,'LP Elementos'!I520,'LP Elementos'!N520,'LP Elementos'!S520,'LP Elementos'!X520,'LP Elementos'!AC520,'LP Elementos'!AH520,'LP Elementos'!AM520,'LP Elementos'!AR520,'LP Elementos'!AW520,'LP Elementos'!BB520,'LP Elementos'!BG520,'LP Elementos'!BL520,'LP Elementos'!BQ520,'LP Elementos'!BV520,'LP Elementos'!CA520,'LP Elementos'!CF520,'LP Elementos'!CK520,'LP Elementos'!CP520,'LP Elementos'!CU520,'LP Elementos'!CZ520)," ")</f>
        <v>622281.93999999994</v>
      </c>
      <c r="G520" s="341">
        <f>IFERROR(GEOMEAN('LP Elementos'!F520,'LP Elementos'!I520,'LP Elementos'!N520,'LP Elementos'!S520,'LP Elementos'!X520,'LP Elementos'!AC520,'LP Elementos'!AH520,'LP Elementos'!AM520,'LP Elementos'!AR520,'LP Elementos'!AW520,'LP Elementos'!BB520,'LP Elementos'!BG520,'LP Elementos'!BL520,'LP Elementos'!BQ520,'LP Elementos'!BV520,'LP Elementos'!CA520,'LP Elementos'!CF520,'LP Elementos'!CK520,'LP Elementos'!CP520,'LP Elementos'!CU520,'LP Elementos'!CZ520)," ")</f>
        <v>656292.6182905006</v>
      </c>
      <c r="H520" s="341">
        <f t="shared" si="40"/>
        <v>63479.239581671791</v>
      </c>
      <c r="I520" s="342">
        <f t="shared" si="41"/>
        <v>9.4625338026046779E-2</v>
      </c>
      <c r="J520" s="341">
        <f t="shared" si="42"/>
        <v>622281.93999999994</v>
      </c>
      <c r="K520" s="326" t="str">
        <f t="shared" si="43"/>
        <v>Mediana</v>
      </c>
      <c r="L520" s="326">
        <f>IFERROR(COUNTA('LP Elementos'!F520,'LP Elementos'!I520,'LP Elementos'!N520,'LP Elementos'!S520,'LP Elementos'!X520,'LP Elementos'!AC520,'LP Elementos'!AH520,'LP Elementos'!AM520,'LP Elementos'!AR520,'LP Elementos'!AX520,'LP Elementos'!BB520,'LP Elementos'!BG520,'LP Elementos'!BL520,'LP Elementos'!BQ520,'LP Elementos'!BV520,'LP Elementos'!CA520,'LP Elementos'!CF520,'LP Elementos'!CK520,'LP Elementos'!CP520,'LP Elementos'!CU520,'LP Elementos'!CZ520)," ")</f>
        <v>4</v>
      </c>
    </row>
    <row r="521" spans="2:12" ht="27" x14ac:dyDescent="0.25">
      <c r="B521" s="411">
        <v>519</v>
      </c>
      <c r="C521" s="412" t="s">
        <v>4408</v>
      </c>
      <c r="D521" s="408">
        <f>IFERROR(MIN('LP Elementos'!F521,'LP Elementos'!I521,'LP Elementos'!N521,'LP Elementos'!S521,'LP Elementos'!X521,'LP Elementos'!AC521,'LP Elementos'!AH521,'LP Elementos'!AM521,'LP Elementos'!AR521,'LP Elementos'!AW521,'LP Elementos'!BB521,'LP Elementos'!BG521,'LP Elementos'!BL521,'LP Elementos'!BQ521,'LP Elementos'!BV521,'LP Elementos'!CA521,'LP Elementos'!CF521,'LP Elementos'!CK521,'LP Elementos'!CP521,'LP Elementos'!CU521,'LP Elementos'!CZ521)," ")</f>
        <v>500038</v>
      </c>
      <c r="E521" s="341">
        <f>IFERROR(AVERAGE('LP Elementos'!F521,'LP Elementos'!I521,'LP Elementos'!N521,'LP Elementos'!S521,'LP Elementos'!X521,'LP Elementos'!AC521,'LP Elementos'!AH521,'LP Elementos'!AM521,'LP Elementos'!AR521,'LP Elementos'!AW521,'LP Elementos'!BB521,'LP Elementos'!BG521,'LP Elementos'!BL521,'LP Elementos'!BQ521,'LP Elementos'!BV521,'LP Elementos'!CA521,'LP Elementos'!CF521,'LP Elementos'!CK521,'LP Elementos'!CP521,'LP Elementos'!CU521,'LP Elementos'!CZ521)," ")</f>
        <v>581482.49314999999</v>
      </c>
      <c r="F521" s="341">
        <f>IFERROR(MEDIAN('LP Elementos'!F521,'LP Elementos'!I521,'LP Elementos'!N521,'LP Elementos'!S521,'LP Elementos'!X521,'LP Elementos'!AC521,'LP Elementos'!AH521,'LP Elementos'!AM521,'LP Elementos'!AR521,'LP Elementos'!AW521,'LP Elementos'!BB521,'LP Elementos'!BG521,'LP Elementos'!BL521,'LP Elementos'!BQ521,'LP Elementos'!BV521,'LP Elementos'!CA521,'LP Elementos'!CF521,'LP Elementos'!CK521,'LP Elementos'!CP521,'LP Elementos'!CU521,'LP Elementos'!CZ521)," ")</f>
        <v>579745.98629999999</v>
      </c>
      <c r="G521" s="341">
        <f>IFERROR(GEOMEAN('LP Elementos'!F521,'LP Elementos'!I521,'LP Elementos'!N521,'LP Elementos'!S521,'LP Elementos'!X521,'LP Elementos'!AC521,'LP Elementos'!AH521,'LP Elementos'!AM521,'LP Elementos'!AR521,'LP Elementos'!AW521,'LP Elementos'!BB521,'LP Elementos'!BG521,'LP Elementos'!BL521,'LP Elementos'!BQ521,'LP Elementos'!BV521,'LP Elementos'!CA521,'LP Elementos'!CF521,'LP Elementos'!CK521,'LP Elementos'!CP521,'LP Elementos'!CU521,'LP Elementos'!CZ521)," ")</f>
        <v>577412.76283484884</v>
      </c>
      <c r="H521" s="341">
        <f t="shared" si="40"/>
        <v>39789.492499933294</v>
      </c>
      <c r="I521" s="342">
        <f t="shared" si="41"/>
        <v>6.8427670598277396E-2</v>
      </c>
      <c r="J521" s="341">
        <f t="shared" si="42"/>
        <v>579745.98629999999</v>
      </c>
      <c r="K521" s="326" t="str">
        <f t="shared" si="43"/>
        <v>Mediana</v>
      </c>
      <c r="L521" s="326">
        <f>IFERROR(COUNTA('LP Elementos'!F521,'LP Elementos'!I521,'LP Elementos'!N521,'LP Elementos'!S521,'LP Elementos'!X521,'LP Elementos'!AC521,'LP Elementos'!AH521,'LP Elementos'!AM521,'LP Elementos'!AR521,'LP Elementos'!AX521,'LP Elementos'!BB521,'LP Elementos'!BG521,'LP Elementos'!BL521,'LP Elementos'!BQ521,'LP Elementos'!BV521,'LP Elementos'!CA521,'LP Elementos'!CF521,'LP Elementos'!CK521,'LP Elementos'!CP521,'LP Elementos'!CU521,'LP Elementos'!CZ521)," ")</f>
        <v>4</v>
      </c>
    </row>
    <row r="522" spans="2:12" x14ac:dyDescent="0.25">
      <c r="B522" s="411">
        <v>520</v>
      </c>
      <c r="C522" s="412" t="s">
        <v>4410</v>
      </c>
      <c r="D522" s="408">
        <f>IFERROR(MIN('LP Elementos'!F522,'LP Elementos'!I522,'LP Elementos'!N522,'LP Elementos'!S522,'LP Elementos'!X522,'LP Elementos'!AC522,'LP Elementos'!AH522,'LP Elementos'!AM522,'LP Elementos'!AR522,'LP Elementos'!AW522,'LP Elementos'!BB522,'LP Elementos'!BG522,'LP Elementos'!BL522,'LP Elementos'!BQ522,'LP Elementos'!BV522,'LP Elementos'!CA522,'LP Elementos'!CF522,'LP Elementos'!CK522,'LP Elementos'!CP522,'LP Elementos'!CU522,'LP Elementos'!CZ522)," ")</f>
        <v>203966</v>
      </c>
      <c r="E522" s="341">
        <f>IFERROR(AVERAGE('LP Elementos'!F522,'LP Elementos'!I522,'LP Elementos'!N522,'LP Elementos'!S522,'LP Elementos'!X522,'LP Elementos'!AC522,'LP Elementos'!AH522,'LP Elementos'!AM522,'LP Elementos'!AR522,'LP Elementos'!AW522,'LP Elementos'!BB522,'LP Elementos'!BG522,'LP Elementos'!BL522,'LP Elementos'!BQ522,'LP Elementos'!BV522,'LP Elementos'!CA522,'LP Elementos'!CF522,'LP Elementos'!CK522,'LP Elementos'!CP522,'LP Elementos'!CU522,'LP Elementos'!CZ522)," ")</f>
        <v>373223.50800000003</v>
      </c>
      <c r="F522" s="341">
        <f>IFERROR(MEDIAN('LP Elementos'!F522,'LP Elementos'!I522,'LP Elementos'!N522,'LP Elementos'!S522,'LP Elementos'!X522,'LP Elementos'!AC522,'LP Elementos'!AH522,'LP Elementos'!AM522,'LP Elementos'!AR522,'LP Elementos'!AW522,'LP Elementos'!BB522,'LP Elementos'!BG522,'LP Elementos'!BL522,'LP Elementos'!BQ522,'LP Elementos'!BV522,'LP Elementos'!CA522,'LP Elementos'!CF522,'LP Elementos'!CK522,'LP Elementos'!CP522,'LP Elementos'!CU522,'LP Elementos'!CZ522)," ")</f>
        <v>339357.06</v>
      </c>
      <c r="G522" s="341">
        <f>IFERROR(GEOMEAN('LP Elementos'!F522,'LP Elementos'!I522,'LP Elementos'!N522,'LP Elementos'!S522,'LP Elementos'!X522,'LP Elementos'!AC522,'LP Elementos'!AH522,'LP Elementos'!AM522,'LP Elementos'!AR522,'LP Elementos'!AW522,'LP Elementos'!BB522,'LP Elementos'!BG522,'LP Elementos'!BL522,'LP Elementos'!BQ522,'LP Elementos'!BV522,'LP Elementos'!CA522,'LP Elementos'!CF522,'LP Elementos'!CK522,'LP Elementos'!CP522,'LP Elementos'!CU522,'LP Elementos'!CZ522)," ")</f>
        <v>348354.65388812299</v>
      </c>
      <c r="H522" s="341">
        <f t="shared" si="40"/>
        <v>76197.812421938841</v>
      </c>
      <c r="I522" s="342">
        <f t="shared" si="41"/>
        <v>0.20416134243596154</v>
      </c>
      <c r="J522" s="341">
        <f t="shared" si="42"/>
        <v>348354.65388812299</v>
      </c>
      <c r="K522" s="326" t="str">
        <f t="shared" si="43"/>
        <v>Media Geometrica</v>
      </c>
      <c r="L522" s="326">
        <f>IFERROR(COUNTA('LP Elementos'!F522,'LP Elementos'!I522,'LP Elementos'!N522,'LP Elementos'!S522,'LP Elementos'!X522,'LP Elementos'!AC522,'LP Elementos'!AH522,'LP Elementos'!AM522,'LP Elementos'!AR522,'LP Elementos'!AX522,'LP Elementos'!BB522,'LP Elementos'!BG522,'LP Elementos'!BL522,'LP Elementos'!BQ522,'LP Elementos'!BV522,'LP Elementos'!CA522,'LP Elementos'!CF522,'LP Elementos'!CK522,'LP Elementos'!CP522,'LP Elementos'!CU522,'LP Elementos'!CZ522)," ")</f>
        <v>5</v>
      </c>
    </row>
    <row r="523" spans="2:12" x14ac:dyDescent="0.25">
      <c r="B523" s="411">
        <v>521</v>
      </c>
      <c r="C523" s="412" t="s">
        <v>4414</v>
      </c>
      <c r="D523" s="408">
        <f>IFERROR(MIN('LP Elementos'!F523,'LP Elementos'!I523,'LP Elementos'!N523,'LP Elementos'!S523,'LP Elementos'!X523,'LP Elementos'!AC523,'LP Elementos'!AH523,'LP Elementos'!AM523,'LP Elementos'!AR523,'LP Elementos'!AW523,'LP Elementos'!BB523,'LP Elementos'!BG523,'LP Elementos'!BL523,'LP Elementos'!BQ523,'LP Elementos'!BV523,'LP Elementos'!CA523,'LP Elementos'!CF523,'LP Elementos'!CK523,'LP Elementos'!CP523,'LP Elementos'!CU523,'LP Elementos'!CZ523)," ")</f>
        <v>76517</v>
      </c>
      <c r="E523" s="341">
        <f>IFERROR(AVERAGE('LP Elementos'!F523,'LP Elementos'!I523,'LP Elementos'!N523,'LP Elementos'!S523,'LP Elementos'!X523,'LP Elementos'!AC523,'LP Elementos'!AH523,'LP Elementos'!AM523,'LP Elementos'!AR523,'LP Elementos'!AW523,'LP Elementos'!BB523,'LP Elementos'!BG523,'LP Elementos'!BL523,'LP Elementos'!BQ523,'LP Elementos'!BV523,'LP Elementos'!CA523,'LP Elementos'!CF523,'LP Elementos'!CK523,'LP Elementos'!CP523,'LP Elementos'!CU523,'LP Elementos'!CZ523)," ")</f>
        <v>220746.0955</v>
      </c>
      <c r="F523" s="341">
        <f>IFERROR(MEDIAN('LP Elementos'!F523,'LP Elementos'!I523,'LP Elementos'!N523,'LP Elementos'!S523,'LP Elementos'!X523,'LP Elementos'!AC523,'LP Elementos'!AH523,'LP Elementos'!AM523,'LP Elementos'!AR523,'LP Elementos'!AW523,'LP Elementos'!BB523,'LP Elementos'!BG523,'LP Elementos'!BL523,'LP Elementos'!BQ523,'LP Elementos'!BV523,'LP Elementos'!CA523,'LP Elementos'!CF523,'LP Elementos'!CK523,'LP Elementos'!CP523,'LP Elementos'!CU523,'LP Elementos'!CZ523)," ")</f>
        <v>220746.0955</v>
      </c>
      <c r="G523" s="341">
        <f>IFERROR(GEOMEAN('LP Elementos'!F523,'LP Elementos'!I523,'LP Elementos'!N523,'LP Elementos'!S523,'LP Elementos'!X523,'LP Elementos'!AC523,'LP Elementos'!AH523,'LP Elementos'!AM523,'LP Elementos'!AR523,'LP Elementos'!AW523,'LP Elementos'!BB523,'LP Elementos'!BG523,'LP Elementos'!BL523,'LP Elementos'!BQ523,'LP Elementos'!BV523,'LP Elementos'!CA523,'LP Elementos'!CF523,'LP Elementos'!CK523,'LP Elementos'!CP523,'LP Elementos'!CU523,'LP Elementos'!CZ523)," ")</f>
        <v>167113.15534615162</v>
      </c>
      <c r="H523" s="341">
        <f t="shared" si="40"/>
        <v>68046.988593724062</v>
      </c>
      <c r="I523" s="342">
        <f t="shared" si="41"/>
        <v>0.30825908127432344</v>
      </c>
      <c r="J523" s="341">
        <f t="shared" si="42"/>
        <v>76517</v>
      </c>
      <c r="K523" s="326" t="str">
        <f t="shared" si="43"/>
        <v>Menor Valor</v>
      </c>
      <c r="L523" s="326">
        <f>IFERROR(COUNTA('LP Elementos'!F523,'LP Elementos'!I523,'LP Elementos'!N523,'LP Elementos'!S523,'LP Elementos'!X523,'LP Elementos'!AC523,'LP Elementos'!AH523,'LP Elementos'!AM523,'LP Elementos'!AR523,'LP Elementos'!AX523,'LP Elementos'!BB523,'LP Elementos'!BG523,'LP Elementos'!BL523,'LP Elementos'!BQ523,'LP Elementos'!BV523,'LP Elementos'!CA523,'LP Elementos'!CF523,'LP Elementos'!CK523,'LP Elementos'!CP523,'LP Elementos'!CU523,'LP Elementos'!CZ523)," ")</f>
        <v>2</v>
      </c>
    </row>
    <row r="524" spans="2:12" ht="27" x14ac:dyDescent="0.25">
      <c r="B524" s="411">
        <v>522</v>
      </c>
      <c r="C524" s="412" t="s">
        <v>4416</v>
      </c>
      <c r="D524" s="408">
        <f>IFERROR(MIN('LP Elementos'!F524,'LP Elementos'!I524,'LP Elementos'!N524,'LP Elementos'!S524,'LP Elementos'!X524,'LP Elementos'!AC524,'LP Elementos'!AH524,'LP Elementos'!AM524,'LP Elementos'!AR524,'LP Elementos'!AW524,'LP Elementos'!BB524,'LP Elementos'!BG524,'LP Elementos'!BL524,'LP Elementos'!BQ524,'LP Elementos'!BV524,'LP Elementos'!CA524,'LP Elementos'!CF524,'LP Elementos'!CK524,'LP Elementos'!CP524,'LP Elementos'!CU524,'LP Elementos'!CZ524)," ")</f>
        <v>1539675.55</v>
      </c>
      <c r="E524" s="341">
        <f>IFERROR(AVERAGE('LP Elementos'!F524,'LP Elementos'!I524,'LP Elementos'!N524,'LP Elementos'!S524,'LP Elementos'!X524,'LP Elementos'!AC524,'LP Elementos'!AH524,'LP Elementos'!AM524,'LP Elementos'!AR524,'LP Elementos'!AW524,'LP Elementos'!BB524,'LP Elementos'!BG524,'LP Elementos'!BL524,'LP Elementos'!BQ524,'LP Elementos'!BV524,'LP Elementos'!CA524,'LP Elementos'!CF524,'LP Elementos'!CK524,'LP Elementos'!CP524,'LP Elementos'!CU524,'LP Elementos'!CZ524)," ")</f>
        <v>2554837.7749999999</v>
      </c>
      <c r="F524" s="341">
        <f>IFERROR(MEDIAN('LP Elementos'!F524,'LP Elementos'!I524,'LP Elementos'!N524,'LP Elementos'!S524,'LP Elementos'!X524,'LP Elementos'!AC524,'LP Elementos'!AH524,'LP Elementos'!AM524,'LP Elementos'!AR524,'LP Elementos'!AW524,'LP Elementos'!BB524,'LP Elementos'!BG524,'LP Elementos'!BL524,'LP Elementos'!BQ524,'LP Elementos'!BV524,'LP Elementos'!CA524,'LP Elementos'!CF524,'LP Elementos'!CK524,'LP Elementos'!CP524,'LP Elementos'!CU524,'LP Elementos'!CZ524)," ")</f>
        <v>2554837.7749999999</v>
      </c>
      <c r="G524" s="341">
        <f>IFERROR(GEOMEAN('LP Elementos'!F524,'LP Elementos'!I524,'LP Elementos'!N524,'LP Elementos'!S524,'LP Elementos'!X524,'LP Elementos'!AC524,'LP Elementos'!AH524,'LP Elementos'!AM524,'LP Elementos'!AR524,'LP Elementos'!AW524,'LP Elementos'!BB524,'LP Elementos'!BG524,'LP Elementos'!BL524,'LP Elementos'!BQ524,'LP Elementos'!BV524,'LP Elementos'!CA524,'LP Elementos'!CF524,'LP Elementos'!CK524,'LP Elementos'!CP524,'LP Elementos'!CU524,'LP Elementos'!CZ524)," ")</f>
        <v>2344491.781495512</v>
      </c>
      <c r="H524" s="341">
        <f t="shared" si="40"/>
        <v>482815.41733352304</v>
      </c>
      <c r="I524" s="342">
        <f t="shared" si="41"/>
        <v>0.18898085117499214</v>
      </c>
      <c r="J524" s="341">
        <f t="shared" si="42"/>
        <v>2554837.7749999999</v>
      </c>
      <c r="K524" s="326" t="str">
        <f t="shared" si="43"/>
        <v>Promedio</v>
      </c>
      <c r="L524" s="326">
        <f>IFERROR(COUNTA('LP Elementos'!F524,'LP Elementos'!I524,'LP Elementos'!N524,'LP Elementos'!S524,'LP Elementos'!X524,'LP Elementos'!AC524,'LP Elementos'!AH524,'LP Elementos'!AM524,'LP Elementos'!AR524,'LP Elementos'!AX524,'LP Elementos'!BB524,'LP Elementos'!BG524,'LP Elementos'!BL524,'LP Elementos'!BQ524,'LP Elementos'!BV524,'LP Elementos'!CA524,'LP Elementos'!CF524,'LP Elementos'!CK524,'LP Elementos'!CP524,'LP Elementos'!CU524,'LP Elementos'!CZ524)," ")</f>
        <v>2</v>
      </c>
    </row>
    <row r="525" spans="2:12" ht="67.5" x14ac:dyDescent="0.25">
      <c r="B525" s="411">
        <v>523</v>
      </c>
      <c r="C525" s="412" t="s">
        <v>4418</v>
      </c>
      <c r="D525" s="408">
        <f>IFERROR(MIN('LP Elementos'!F525,'LP Elementos'!I525,'LP Elementos'!N525,'LP Elementos'!S525,'LP Elementos'!X525,'LP Elementos'!AC525,'LP Elementos'!AH525,'LP Elementos'!AM525,'LP Elementos'!AR525,'LP Elementos'!AW525,'LP Elementos'!BB525,'LP Elementos'!BG525,'LP Elementos'!BL525,'LP Elementos'!BQ525,'LP Elementos'!BV525,'LP Elementos'!CA525,'LP Elementos'!CF525,'LP Elementos'!CK525,'LP Elementos'!CP525,'LP Elementos'!CU525,'LP Elementos'!CZ525)," ")</f>
        <v>188734</v>
      </c>
      <c r="E525" s="341">
        <f>IFERROR(AVERAGE('LP Elementos'!F525,'LP Elementos'!I525,'LP Elementos'!N525,'LP Elementos'!S525,'LP Elementos'!X525,'LP Elementos'!AC525,'LP Elementos'!AH525,'LP Elementos'!AM525,'LP Elementos'!AR525,'LP Elementos'!AW525,'LP Elementos'!BB525,'LP Elementos'!BG525,'LP Elementos'!BL525,'LP Elementos'!BQ525,'LP Elementos'!BV525,'LP Elementos'!CA525,'LP Elementos'!CF525,'LP Elementos'!CK525,'LP Elementos'!CP525,'LP Elementos'!CU525,'LP Elementos'!CZ525)," ")</f>
        <v>1224925.39005</v>
      </c>
      <c r="F525" s="341">
        <f>IFERROR(MEDIAN('LP Elementos'!F525,'LP Elementos'!I525,'LP Elementos'!N525,'LP Elementos'!S525,'LP Elementos'!X525,'LP Elementos'!AC525,'LP Elementos'!AH525,'LP Elementos'!AM525,'LP Elementos'!AR525,'LP Elementos'!AW525,'LP Elementos'!BB525,'LP Elementos'!BG525,'LP Elementos'!BL525,'LP Elementos'!BQ525,'LP Elementos'!BV525,'LP Elementos'!CA525,'LP Elementos'!CF525,'LP Elementos'!CK525,'LP Elementos'!CP525,'LP Elementos'!CU525,'LP Elementos'!CZ525)," ")</f>
        <v>867983.78010000009</v>
      </c>
      <c r="G525" s="341">
        <f>IFERROR(GEOMEAN('LP Elementos'!F525,'LP Elementos'!I525,'LP Elementos'!N525,'LP Elementos'!S525,'LP Elementos'!X525,'LP Elementos'!AC525,'LP Elementos'!AH525,'LP Elementos'!AM525,'LP Elementos'!AR525,'LP Elementos'!AW525,'LP Elementos'!BB525,'LP Elementos'!BG525,'LP Elementos'!BL525,'LP Elementos'!BQ525,'LP Elementos'!BV525,'LP Elementos'!CA525,'LP Elementos'!CF525,'LP Elementos'!CK525,'LP Elementos'!CP525,'LP Elementos'!CU525,'LP Elementos'!CZ525)," ")</f>
        <v>806145.74497608573</v>
      </c>
      <c r="H525" s="341">
        <f t="shared" si="40"/>
        <v>430394.95137644449</v>
      </c>
      <c r="I525" s="342">
        <f t="shared" si="41"/>
        <v>0.35136421766788284</v>
      </c>
      <c r="J525" s="341">
        <f t="shared" si="42"/>
        <v>188734</v>
      </c>
      <c r="K525" s="326" t="str">
        <f t="shared" si="43"/>
        <v>Menor Valor</v>
      </c>
      <c r="L525" s="326">
        <f>IFERROR(COUNTA('LP Elementos'!F525,'LP Elementos'!I525,'LP Elementos'!N525,'LP Elementos'!S525,'LP Elementos'!X525,'LP Elementos'!AC525,'LP Elementos'!AH525,'LP Elementos'!AM525,'LP Elementos'!AR525,'LP Elementos'!AX525,'LP Elementos'!BB525,'LP Elementos'!BG525,'LP Elementos'!BL525,'LP Elementos'!BQ525,'LP Elementos'!BV525,'LP Elementos'!CA525,'LP Elementos'!CF525,'LP Elementos'!CK525,'LP Elementos'!CP525,'LP Elementos'!CU525,'LP Elementos'!CZ525)," ")</f>
        <v>4</v>
      </c>
    </row>
    <row r="526" spans="2:12" ht="27" x14ac:dyDescent="0.25">
      <c r="B526" s="411">
        <v>524</v>
      </c>
      <c r="C526" s="412" t="s">
        <v>4421</v>
      </c>
      <c r="D526" s="408">
        <f>IFERROR(MIN('LP Elementos'!F526,'LP Elementos'!I526,'LP Elementos'!N526,'LP Elementos'!S526,'LP Elementos'!X526,'LP Elementos'!AC526,'LP Elementos'!AH526,'LP Elementos'!AM526,'LP Elementos'!AR526,'LP Elementos'!AW526,'LP Elementos'!BB526,'LP Elementos'!BG526,'LP Elementos'!BL526,'LP Elementos'!BQ526,'LP Elementos'!BV526,'LP Elementos'!CA526,'LP Elementos'!CF526,'LP Elementos'!CK526,'LP Elementos'!CP526,'LP Elementos'!CU526,'LP Elementos'!CZ526)," ")</f>
        <v>476000</v>
      </c>
      <c r="E526" s="341">
        <f>IFERROR(AVERAGE('LP Elementos'!F526,'LP Elementos'!I526,'LP Elementos'!N526,'LP Elementos'!S526,'LP Elementos'!X526,'LP Elementos'!AC526,'LP Elementos'!AH526,'LP Elementos'!AM526,'LP Elementos'!AR526,'LP Elementos'!AW526,'LP Elementos'!BB526,'LP Elementos'!BG526,'LP Elementos'!BL526,'LP Elementos'!BQ526,'LP Elementos'!BV526,'LP Elementos'!CA526,'LP Elementos'!CF526,'LP Elementos'!CK526,'LP Elementos'!CP526,'LP Elementos'!CU526,'LP Elementos'!CZ526)," ")</f>
        <v>714000</v>
      </c>
      <c r="F526" s="341">
        <f>IFERROR(MEDIAN('LP Elementos'!F526,'LP Elementos'!I526,'LP Elementos'!N526,'LP Elementos'!S526,'LP Elementos'!X526,'LP Elementos'!AC526,'LP Elementos'!AH526,'LP Elementos'!AM526,'LP Elementos'!AR526,'LP Elementos'!AW526,'LP Elementos'!BB526,'LP Elementos'!BG526,'LP Elementos'!BL526,'LP Elementos'!BQ526,'LP Elementos'!BV526,'LP Elementos'!CA526,'LP Elementos'!CF526,'LP Elementos'!CK526,'LP Elementos'!CP526,'LP Elementos'!CU526,'LP Elementos'!CZ526)," ")</f>
        <v>714000</v>
      </c>
      <c r="G526" s="341">
        <f>IFERROR(GEOMEAN('LP Elementos'!F526,'LP Elementos'!I526,'LP Elementos'!N526,'LP Elementos'!S526,'LP Elementos'!X526,'LP Elementos'!AC526,'LP Elementos'!AH526,'LP Elementos'!AM526,'LP Elementos'!AR526,'LP Elementos'!AW526,'LP Elementos'!BB526,'LP Elementos'!BG526,'LP Elementos'!BL526,'LP Elementos'!BQ526,'LP Elementos'!BV526,'LP Elementos'!CA526,'LP Elementos'!CF526,'LP Elementos'!CK526,'LP Elementos'!CP526,'LP Elementos'!CU526,'LP Elementos'!CZ526)," ")</f>
        <v>673165.65568959329</v>
      </c>
      <c r="H526" s="341">
        <f t="shared" si="40"/>
        <v>113833.6443873355</v>
      </c>
      <c r="I526" s="342">
        <f t="shared" si="41"/>
        <v>0.15943087449206653</v>
      </c>
      <c r="J526" s="341">
        <f t="shared" si="42"/>
        <v>714000</v>
      </c>
      <c r="K526" s="326" t="str">
        <f t="shared" si="43"/>
        <v>Promedio</v>
      </c>
      <c r="L526" s="326">
        <f>IFERROR(COUNTA('LP Elementos'!F526,'LP Elementos'!I526,'LP Elementos'!N526,'LP Elementos'!S526,'LP Elementos'!X526,'LP Elementos'!AC526,'LP Elementos'!AH526,'LP Elementos'!AM526,'LP Elementos'!AR526,'LP Elementos'!AX526,'LP Elementos'!BB526,'LP Elementos'!BG526,'LP Elementos'!BL526,'LP Elementos'!BQ526,'LP Elementos'!BV526,'LP Elementos'!CA526,'LP Elementos'!CF526,'LP Elementos'!CK526,'LP Elementos'!CP526,'LP Elementos'!CU526,'LP Elementos'!CZ526)," ")</f>
        <v>2</v>
      </c>
    </row>
    <row r="527" spans="2:12" ht="27" x14ac:dyDescent="0.25">
      <c r="B527" s="411">
        <v>525</v>
      </c>
      <c r="C527" s="412" t="s">
        <v>4422</v>
      </c>
      <c r="D527" s="408">
        <f>IFERROR(MIN('LP Elementos'!F527,'LP Elementos'!I527,'LP Elementos'!N527,'LP Elementos'!S527,'LP Elementos'!X527,'LP Elementos'!AC527,'LP Elementos'!AH527,'LP Elementos'!AM527,'LP Elementos'!AR527,'LP Elementos'!AW527,'LP Elementos'!BB527,'LP Elementos'!BG527,'LP Elementos'!BL527,'LP Elementos'!BQ527,'LP Elementos'!BV527,'LP Elementos'!CA527,'LP Elementos'!CF527,'LP Elementos'!CK527,'LP Elementos'!CP527,'LP Elementos'!CU527,'LP Elementos'!CZ527)," ")</f>
        <v>88060</v>
      </c>
      <c r="E527" s="341">
        <f>IFERROR(AVERAGE('LP Elementos'!F527,'LP Elementos'!I527,'LP Elementos'!N527,'LP Elementos'!S527,'LP Elementos'!X527,'LP Elementos'!AC527,'LP Elementos'!AH527,'LP Elementos'!AM527,'LP Elementos'!AR527,'LP Elementos'!AW527,'LP Elementos'!BB527,'LP Elementos'!BG527,'LP Elementos'!BL527,'LP Elementos'!BQ527,'LP Elementos'!BV527,'LP Elementos'!CA527,'LP Elementos'!CF527,'LP Elementos'!CK527,'LP Elementos'!CP527,'LP Elementos'!CU527,'LP Elementos'!CZ527)," ")</f>
        <v>331832.53133333335</v>
      </c>
      <c r="F527" s="341">
        <f>IFERROR(MEDIAN('LP Elementos'!F527,'LP Elementos'!I527,'LP Elementos'!N527,'LP Elementos'!S527,'LP Elementos'!X527,'LP Elementos'!AC527,'LP Elementos'!AH527,'LP Elementos'!AM527,'LP Elementos'!AR527,'LP Elementos'!AW527,'LP Elementos'!BB527,'LP Elementos'!BG527,'LP Elementos'!BL527,'LP Elementos'!BQ527,'LP Elementos'!BV527,'LP Elementos'!CA527,'LP Elementos'!CF527,'LP Elementos'!CK527,'LP Elementos'!CP527,'LP Elementos'!CU527,'LP Elementos'!CZ527)," ")</f>
        <v>230008.674</v>
      </c>
      <c r="G527" s="341">
        <f>IFERROR(GEOMEAN('LP Elementos'!F527,'LP Elementos'!I527,'LP Elementos'!N527,'LP Elementos'!S527,'LP Elementos'!X527,'LP Elementos'!AC527,'LP Elementos'!AH527,'LP Elementos'!AM527,'LP Elementos'!AR527,'LP Elementos'!AW527,'LP Elementos'!BB527,'LP Elementos'!BG527,'LP Elementos'!BL527,'LP Elementos'!BQ527,'LP Elementos'!BV527,'LP Elementos'!CA527,'LP Elementos'!CF527,'LP Elementos'!CK527,'LP Elementos'!CP527,'LP Elementos'!CU527,'LP Elementos'!CZ527)," ")</f>
        <v>239402.60742591458</v>
      </c>
      <c r="H527" s="341">
        <f t="shared" ref="H527:H570" si="44">STDEVA(D527,E527,F527,G527)</f>
        <v>100614.23550972401</v>
      </c>
      <c r="I527" s="342">
        <f t="shared" ref="I527:I570" si="45">IFERROR(H527/E527," ")</f>
        <v>0.30320787146892092</v>
      </c>
      <c r="J527" s="341">
        <f t="shared" ref="J527:J570" si="46">IF(I527&lt;=10%,F527,IF(AND(I527&gt;10%,I527&lt;=20%),E527,IF(AND(I527&gt;20%,I527&lt;=30%),G527,IF(I527&gt;30%,D527))))</f>
        <v>88060</v>
      </c>
      <c r="K527" s="326" t="str">
        <f t="shared" ref="K527:K570" si="47">IF(J527=D527,"Menor Valor",IF(J527=E527,"Promedio",IF(J527=F527,"Mediana",IF(J527=G527,"Media Geometrica"," "))))</f>
        <v>Menor Valor</v>
      </c>
      <c r="L527" s="326">
        <f>IFERROR(COUNTA('LP Elementos'!F527,'LP Elementos'!I527,'LP Elementos'!N527,'LP Elementos'!S527,'LP Elementos'!X527,'LP Elementos'!AC527,'LP Elementos'!AH527,'LP Elementos'!AM527,'LP Elementos'!AR527,'LP Elementos'!AX527,'LP Elementos'!BB527,'LP Elementos'!BG527,'LP Elementos'!BL527,'LP Elementos'!BQ527,'LP Elementos'!BV527,'LP Elementos'!CA527,'LP Elementos'!CF527,'LP Elementos'!CK527,'LP Elementos'!CP527,'LP Elementos'!CU527,'LP Elementos'!CZ527)," ")</f>
        <v>3</v>
      </c>
    </row>
    <row r="528" spans="2:12" ht="81" x14ac:dyDescent="0.25">
      <c r="B528" s="411">
        <v>526</v>
      </c>
      <c r="C528" s="421" t="s">
        <v>4426</v>
      </c>
      <c r="D528" s="408">
        <f>IFERROR(MIN('LP Elementos'!F528,'LP Elementos'!I528,'LP Elementos'!N528,'LP Elementos'!S528,'LP Elementos'!X528,'LP Elementos'!AC528,'LP Elementos'!AH528,'LP Elementos'!AM528,'LP Elementos'!AR528,'LP Elementos'!AW528,'LP Elementos'!BB528,'LP Elementos'!BG528,'LP Elementos'!BL528,'LP Elementos'!BQ528,'LP Elementos'!BV528,'LP Elementos'!CA528,'LP Elementos'!CF528,'LP Elementos'!CK528,'LP Elementos'!CP528,'LP Elementos'!CU528,'LP Elementos'!CZ528)," ")</f>
        <v>31421.95</v>
      </c>
      <c r="E528" s="341">
        <f>IFERROR(AVERAGE('LP Elementos'!F528,'LP Elementos'!I528,'LP Elementos'!N528,'LP Elementos'!S528,'LP Elementos'!X528,'LP Elementos'!AC528,'LP Elementos'!AH528,'LP Elementos'!AM528,'LP Elementos'!AR528,'LP Elementos'!AW528,'LP Elementos'!BB528,'LP Elementos'!BG528,'LP Elementos'!BL528,'LP Elementos'!BQ528,'LP Elementos'!BV528,'LP Elementos'!CA528,'LP Elementos'!CF528,'LP Elementos'!CK528,'LP Elementos'!CP528,'LP Elementos'!CU528,'LP Elementos'!CZ528)," ")</f>
        <v>68070.975000000006</v>
      </c>
      <c r="F528" s="341">
        <f>IFERROR(MEDIAN('LP Elementos'!F528,'LP Elementos'!I528,'LP Elementos'!N528,'LP Elementos'!S528,'LP Elementos'!X528,'LP Elementos'!AC528,'LP Elementos'!AH528,'LP Elementos'!AM528,'LP Elementos'!AR528,'LP Elementos'!AW528,'LP Elementos'!BB528,'LP Elementos'!BG528,'LP Elementos'!BL528,'LP Elementos'!BQ528,'LP Elementos'!BV528,'LP Elementos'!CA528,'LP Elementos'!CF528,'LP Elementos'!CK528,'LP Elementos'!CP528,'LP Elementos'!CU528,'LP Elementos'!CZ528)," ")</f>
        <v>68070.975000000006</v>
      </c>
      <c r="G528" s="341">
        <f>IFERROR(GEOMEAN('LP Elementos'!F528,'LP Elementos'!I528,'LP Elementos'!N528,'LP Elementos'!S528,'LP Elementos'!X528,'LP Elementos'!AC528,'LP Elementos'!AH528,'LP Elementos'!AM528,'LP Elementos'!AR528,'LP Elementos'!AW528,'LP Elementos'!BB528,'LP Elementos'!BG528,'LP Elementos'!BL528,'LP Elementos'!BQ528,'LP Elementos'!BV528,'LP Elementos'!CA528,'LP Elementos'!CF528,'LP Elementos'!CK528,'LP Elementos'!CP528,'LP Elementos'!CU528,'LP Elementos'!CZ528)," ")</f>
        <v>57362.937546816764</v>
      </c>
      <c r="H528" s="341">
        <f t="shared" si="44"/>
        <v>17292.968306036251</v>
      </c>
      <c r="I528" s="342">
        <f t="shared" si="45"/>
        <v>0.25404319985186419</v>
      </c>
      <c r="J528" s="341">
        <f t="shared" si="46"/>
        <v>57362.937546816764</v>
      </c>
      <c r="K528" s="326" t="str">
        <f t="shared" si="47"/>
        <v>Media Geometrica</v>
      </c>
      <c r="L528" s="326">
        <f>IFERROR(COUNTA('LP Elementos'!F528,'LP Elementos'!I528,'LP Elementos'!N528,'LP Elementos'!S528,'LP Elementos'!X528,'LP Elementos'!AC528,'LP Elementos'!AH528,'LP Elementos'!AM528,'LP Elementos'!AR528,'LP Elementos'!AX528,'LP Elementos'!BB528,'LP Elementos'!BG528,'LP Elementos'!BL528,'LP Elementos'!BQ528,'LP Elementos'!BV528,'LP Elementos'!CA528,'LP Elementos'!CF528,'LP Elementos'!CK528,'LP Elementos'!CP528,'LP Elementos'!CU528,'LP Elementos'!CZ528)," ")</f>
        <v>2</v>
      </c>
    </row>
    <row r="529" spans="2:12" ht="81" x14ac:dyDescent="0.25">
      <c r="B529" s="411">
        <v>527</v>
      </c>
      <c r="C529" s="422" t="s">
        <v>4428</v>
      </c>
      <c r="D529" s="408">
        <f>IFERROR(MIN('LP Elementos'!F529,'LP Elementos'!I529,'LP Elementos'!N529,'LP Elementos'!S529,'LP Elementos'!X529,'LP Elementos'!AC529,'LP Elementos'!AH529,'LP Elementos'!AM529,'LP Elementos'!AR529,'LP Elementos'!AW529,'LP Elementos'!BB529,'LP Elementos'!BG529,'LP Elementos'!BL529,'LP Elementos'!BQ529,'LP Elementos'!BV529,'LP Elementos'!CA529,'LP Elementos'!CF529,'LP Elementos'!CK529,'LP Elementos'!CP529,'LP Elementos'!CU529,'LP Elementos'!CZ529)," ")</f>
        <v>1700510</v>
      </c>
      <c r="E529" s="341">
        <f>IFERROR(AVERAGE('LP Elementos'!F529,'LP Elementos'!I529,'LP Elementos'!N529,'LP Elementos'!S529,'LP Elementos'!X529,'LP Elementos'!AC529,'LP Elementos'!AH529,'LP Elementos'!AM529,'LP Elementos'!AR529,'LP Elementos'!AW529,'LP Elementos'!BB529,'LP Elementos'!BG529,'LP Elementos'!BL529,'LP Elementos'!BQ529,'LP Elementos'!BV529,'LP Elementos'!CA529,'LP Elementos'!CF529,'LP Elementos'!CK529,'LP Elementos'!CP529,'LP Elementos'!CU529,'LP Elementos'!CZ529)," ")</f>
        <v>2154419.6020999998</v>
      </c>
      <c r="F529" s="341">
        <f>IFERROR(MEDIAN('LP Elementos'!F529,'LP Elementos'!I529,'LP Elementos'!N529,'LP Elementos'!S529,'LP Elementos'!X529,'LP Elementos'!AC529,'LP Elementos'!AH529,'LP Elementos'!AM529,'LP Elementos'!AR529,'LP Elementos'!AW529,'LP Elementos'!BB529,'LP Elementos'!BG529,'LP Elementos'!BL529,'LP Elementos'!BQ529,'LP Elementos'!BV529,'LP Elementos'!CA529,'LP Elementos'!CF529,'LP Elementos'!CK529,'LP Elementos'!CP529,'LP Elementos'!CU529,'LP Elementos'!CZ529)," ")</f>
        <v>2154419.6020999998</v>
      </c>
      <c r="G529" s="341">
        <f>IFERROR(GEOMEAN('LP Elementos'!F529,'LP Elementos'!I529,'LP Elementos'!N529,'LP Elementos'!S529,'LP Elementos'!X529,'LP Elementos'!AC529,'LP Elementos'!AH529,'LP Elementos'!AM529,'LP Elementos'!AR529,'LP Elementos'!AW529,'LP Elementos'!BB529,'LP Elementos'!BG529,'LP Elementos'!BL529,'LP Elementos'!BQ529,'LP Elementos'!BV529,'LP Elementos'!CA529,'LP Elementos'!CF529,'LP Elementos'!CK529,'LP Elementos'!CP529,'LP Elementos'!CU529,'LP Elementos'!CZ529)," ")</f>
        <v>2106060.2781103253</v>
      </c>
      <c r="H529" s="341">
        <f t="shared" si="44"/>
        <v>220078.79843857425</v>
      </c>
      <c r="I529" s="342">
        <f t="shared" si="45"/>
        <v>0.10215224472709705</v>
      </c>
      <c r="J529" s="341">
        <f t="shared" si="46"/>
        <v>2154419.6020999998</v>
      </c>
      <c r="K529" s="326" t="str">
        <f t="shared" si="47"/>
        <v>Promedio</v>
      </c>
      <c r="L529" s="326">
        <f>IFERROR(COUNTA('LP Elementos'!F529,'LP Elementos'!I529,'LP Elementos'!N529,'LP Elementos'!S529,'LP Elementos'!X529,'LP Elementos'!AC529,'LP Elementos'!AH529,'LP Elementos'!AM529,'LP Elementos'!AR529,'LP Elementos'!AX529,'LP Elementos'!BB529,'LP Elementos'!BG529,'LP Elementos'!BL529,'LP Elementos'!BQ529,'LP Elementos'!BV529,'LP Elementos'!CA529,'LP Elementos'!CF529,'LP Elementos'!CK529,'LP Elementos'!CP529,'LP Elementos'!CU529,'LP Elementos'!CZ529)," ")</f>
        <v>2</v>
      </c>
    </row>
    <row r="530" spans="2:12" ht="94.5" x14ac:dyDescent="0.25">
      <c r="B530" s="411">
        <v>528</v>
      </c>
      <c r="C530" s="421" t="s">
        <v>4431</v>
      </c>
      <c r="D530" s="408">
        <f>IFERROR(MIN('LP Elementos'!F530,'LP Elementos'!I530,'LP Elementos'!N530,'LP Elementos'!S530,'LP Elementos'!X530,'LP Elementos'!AC530,'LP Elementos'!AH530,'LP Elementos'!AM530,'LP Elementos'!AR530,'LP Elementos'!AW530,'LP Elementos'!BB530,'LP Elementos'!BG530,'LP Elementos'!BL530,'LP Elementos'!BQ530,'LP Elementos'!BV530,'LP Elementos'!CA530,'LP Elementos'!CF530,'LP Elementos'!CK530,'LP Elementos'!CP530,'LP Elementos'!CU530,'LP Elementos'!CZ530)," ")</f>
        <v>1132447.078</v>
      </c>
      <c r="E530" s="341">
        <f>IFERROR(AVERAGE('LP Elementos'!F530,'LP Elementos'!I530,'LP Elementos'!N530,'LP Elementos'!S530,'LP Elementos'!X530,'LP Elementos'!AC530,'LP Elementos'!AH530,'LP Elementos'!AM530,'LP Elementos'!AR530,'LP Elementos'!AW530,'LP Elementos'!BB530,'LP Elementos'!BG530,'LP Elementos'!BL530,'LP Elementos'!BQ530,'LP Elementos'!BV530,'LP Elementos'!CA530,'LP Elementos'!CF530,'LP Elementos'!CK530,'LP Elementos'!CP530,'LP Elementos'!CU530,'LP Elementos'!CZ530)," ")</f>
        <v>1151703.5389999999</v>
      </c>
      <c r="F530" s="341">
        <f>IFERROR(MEDIAN('LP Elementos'!F530,'LP Elementos'!I530,'LP Elementos'!N530,'LP Elementos'!S530,'LP Elementos'!X530,'LP Elementos'!AC530,'LP Elementos'!AH530,'LP Elementos'!AM530,'LP Elementos'!AR530,'LP Elementos'!AW530,'LP Elementos'!BB530,'LP Elementos'!BG530,'LP Elementos'!BL530,'LP Elementos'!BQ530,'LP Elementos'!BV530,'LP Elementos'!CA530,'LP Elementos'!CF530,'LP Elementos'!CK530,'LP Elementos'!CP530,'LP Elementos'!CU530,'LP Elementos'!CZ530)," ")</f>
        <v>1151703.5389999999</v>
      </c>
      <c r="G530" s="341">
        <f>IFERROR(GEOMEAN('LP Elementos'!F530,'LP Elementos'!I530,'LP Elementos'!N530,'LP Elementos'!S530,'LP Elementos'!X530,'LP Elementos'!AC530,'LP Elementos'!AH530,'LP Elementos'!AM530,'LP Elementos'!AR530,'LP Elementos'!AW530,'LP Elementos'!BB530,'LP Elementos'!BG530,'LP Elementos'!BL530,'LP Elementos'!BQ530,'LP Elementos'!BV530,'LP Elementos'!CA530,'LP Elementos'!CF530,'LP Elementos'!CK530,'LP Elementos'!CP530,'LP Elementos'!CU530,'LP Elementos'!CZ530)," ")</f>
        <v>1151542.5439187558</v>
      </c>
      <c r="H530" s="341">
        <f t="shared" si="44"/>
        <v>9601.6979313373267</v>
      </c>
      <c r="I530" s="342">
        <f t="shared" si="45"/>
        <v>8.3369527019724887E-3</v>
      </c>
      <c r="J530" s="341">
        <f t="shared" si="46"/>
        <v>1151703.5389999999</v>
      </c>
      <c r="K530" s="326" t="str">
        <f t="shared" si="47"/>
        <v>Promedio</v>
      </c>
      <c r="L530" s="326">
        <f>IFERROR(COUNTA('LP Elementos'!F530,'LP Elementos'!I530,'LP Elementos'!N530,'LP Elementos'!S530,'LP Elementos'!X530,'LP Elementos'!AC530,'LP Elementos'!AH530,'LP Elementos'!AM530,'LP Elementos'!AR530,'LP Elementos'!AX530,'LP Elementos'!BB530,'LP Elementos'!BG530,'LP Elementos'!BL530,'LP Elementos'!BQ530,'LP Elementos'!BV530,'LP Elementos'!CA530,'LP Elementos'!CF530,'LP Elementos'!CK530,'LP Elementos'!CP530,'LP Elementos'!CU530,'LP Elementos'!CZ530)," ")</f>
        <v>2</v>
      </c>
    </row>
    <row r="531" spans="2:12" ht="175.5" x14ac:dyDescent="0.25">
      <c r="B531" s="411">
        <v>529</v>
      </c>
      <c r="C531" s="421" t="s">
        <v>4434</v>
      </c>
      <c r="D531" s="408">
        <f>IFERROR(MIN('LP Elementos'!F531,'LP Elementos'!I531,'LP Elementos'!N531,'LP Elementos'!S531,'LP Elementos'!X531,'LP Elementos'!AC531,'LP Elementos'!AH531,'LP Elementos'!AM531,'LP Elementos'!AR531,'LP Elementos'!AW531,'LP Elementos'!BB531,'LP Elementos'!BG531,'LP Elementos'!BL531,'LP Elementos'!BQ531,'LP Elementos'!BV531,'LP Elementos'!CA531,'LP Elementos'!CF531,'LP Elementos'!CK531,'LP Elementos'!CP531,'LP Elementos'!CU531,'LP Elementos'!CZ531)," ")</f>
        <v>862459.12160000007</v>
      </c>
      <c r="E531" s="341">
        <f>IFERROR(AVERAGE('LP Elementos'!F531,'LP Elementos'!I531,'LP Elementos'!N531,'LP Elementos'!S531,'LP Elementos'!X531,'LP Elementos'!AC531,'LP Elementos'!AH531,'LP Elementos'!AM531,'LP Elementos'!AR531,'LP Elementos'!AW531,'LP Elementos'!BB531,'LP Elementos'!BG531,'LP Elementos'!BL531,'LP Elementos'!BQ531,'LP Elementos'!BV531,'LP Elementos'!CA531,'LP Elementos'!CF531,'LP Elementos'!CK531,'LP Elementos'!CP531,'LP Elementos'!CU531,'LP Elementos'!CZ531)," ")</f>
        <v>2391159.5608000001</v>
      </c>
      <c r="F531" s="341">
        <f>IFERROR(MEDIAN('LP Elementos'!F531,'LP Elementos'!I531,'LP Elementos'!N531,'LP Elementos'!S531,'LP Elementos'!X531,'LP Elementos'!AC531,'LP Elementos'!AH531,'LP Elementos'!AM531,'LP Elementos'!AR531,'LP Elementos'!AW531,'LP Elementos'!BB531,'LP Elementos'!BG531,'LP Elementos'!BL531,'LP Elementos'!BQ531,'LP Elementos'!BV531,'LP Elementos'!CA531,'LP Elementos'!CF531,'LP Elementos'!CK531,'LP Elementos'!CP531,'LP Elementos'!CU531,'LP Elementos'!CZ531)," ")</f>
        <v>2391159.5608000001</v>
      </c>
      <c r="G531" s="341">
        <f>IFERROR(GEOMEAN('LP Elementos'!F531,'LP Elementos'!I531,'LP Elementos'!N531,'LP Elementos'!S531,'LP Elementos'!X531,'LP Elementos'!AC531,'LP Elementos'!AH531,'LP Elementos'!AM531,'LP Elementos'!AR531,'LP Elementos'!AW531,'LP Elementos'!BB531,'LP Elementos'!BG531,'LP Elementos'!BL531,'LP Elementos'!BQ531,'LP Elementos'!BV531,'LP Elementos'!CA531,'LP Elementos'!CF531,'LP Elementos'!CK531,'LP Elementos'!CP531,'LP Elementos'!CU531,'LP Elementos'!CZ531)," ")</f>
        <v>1838673.1662791448</v>
      </c>
      <c r="H531" s="341">
        <f t="shared" si="44"/>
        <v>720955.75216228771</v>
      </c>
      <c r="I531" s="342">
        <f t="shared" si="45"/>
        <v>0.30150884281477253</v>
      </c>
      <c r="J531" s="341">
        <f t="shared" si="46"/>
        <v>862459.12160000007</v>
      </c>
      <c r="K531" s="326" t="str">
        <f t="shared" si="47"/>
        <v>Menor Valor</v>
      </c>
      <c r="L531" s="326">
        <f>IFERROR(COUNTA('LP Elementos'!F531,'LP Elementos'!I531,'LP Elementos'!N531,'LP Elementos'!S531,'LP Elementos'!X531,'LP Elementos'!AC531,'LP Elementos'!AH531,'LP Elementos'!AM531,'LP Elementos'!AR531,'LP Elementos'!AX531,'LP Elementos'!BB531,'LP Elementos'!BG531,'LP Elementos'!BL531,'LP Elementos'!BQ531,'LP Elementos'!BV531,'LP Elementos'!CA531,'LP Elementos'!CF531,'LP Elementos'!CK531,'LP Elementos'!CP531,'LP Elementos'!CU531,'LP Elementos'!CZ531)," ")</f>
        <v>2</v>
      </c>
    </row>
    <row r="532" spans="2:12" ht="108" x14ac:dyDescent="0.25">
      <c r="B532" s="411">
        <v>530</v>
      </c>
      <c r="C532" s="422" t="s">
        <v>4436</v>
      </c>
      <c r="D532" s="408">
        <f>IFERROR(MIN('LP Elementos'!F532,'LP Elementos'!I532,'LP Elementos'!N532,'LP Elementos'!S532,'LP Elementos'!X532,'LP Elementos'!AC532,'LP Elementos'!AH532,'LP Elementos'!AM532,'LP Elementos'!AR532,'LP Elementos'!AW532,'LP Elementos'!BB532,'LP Elementos'!BG532,'LP Elementos'!BL532,'LP Elementos'!BQ532,'LP Elementos'!BV532,'LP Elementos'!CA532,'LP Elementos'!CF532,'LP Elementos'!CK532,'LP Elementos'!CP532,'LP Elementos'!CU532,'LP Elementos'!CZ532)," ")</f>
        <v>764810.26300000004</v>
      </c>
      <c r="E532" s="341">
        <f>IFERROR(AVERAGE('LP Elementos'!F532,'LP Elementos'!I532,'LP Elementos'!N532,'LP Elementos'!S532,'LP Elementos'!X532,'LP Elementos'!AC532,'LP Elementos'!AH532,'LP Elementos'!AM532,'LP Elementos'!AR532,'LP Elementos'!AW532,'LP Elementos'!BB532,'LP Elementos'!BG532,'LP Elementos'!BL532,'LP Elementos'!BQ532,'LP Elementos'!BV532,'LP Elementos'!CA532,'LP Elementos'!CF532,'LP Elementos'!CK532,'LP Elementos'!CP532,'LP Elementos'!CU532,'LP Elementos'!CZ532)," ")</f>
        <v>2123970.1315000001</v>
      </c>
      <c r="F532" s="341">
        <f>IFERROR(MEDIAN('LP Elementos'!F532,'LP Elementos'!I532,'LP Elementos'!N532,'LP Elementos'!S532,'LP Elementos'!X532,'LP Elementos'!AC532,'LP Elementos'!AH532,'LP Elementos'!AM532,'LP Elementos'!AR532,'LP Elementos'!AW532,'LP Elementos'!BB532,'LP Elementos'!BG532,'LP Elementos'!BL532,'LP Elementos'!BQ532,'LP Elementos'!BV532,'LP Elementos'!CA532,'LP Elementos'!CF532,'LP Elementos'!CK532,'LP Elementos'!CP532,'LP Elementos'!CU532,'LP Elementos'!CZ532)," ")</f>
        <v>2123970.1315000001</v>
      </c>
      <c r="G532" s="341">
        <f>IFERROR(GEOMEAN('LP Elementos'!F532,'LP Elementos'!I532,'LP Elementos'!N532,'LP Elementos'!S532,'LP Elementos'!X532,'LP Elementos'!AC532,'LP Elementos'!AH532,'LP Elementos'!AM532,'LP Elementos'!AR532,'LP Elementos'!AW532,'LP Elementos'!BB532,'LP Elementos'!BG532,'LP Elementos'!BL532,'LP Elementos'!BQ532,'LP Elementos'!BV532,'LP Elementos'!CA532,'LP Elementos'!CF532,'LP Elementos'!CK532,'LP Elementos'!CP532,'LP Elementos'!CU532,'LP Elementos'!CZ532)," ")</f>
        <v>1632156.1112109313</v>
      </c>
      <c r="H532" s="341">
        <f t="shared" si="44"/>
        <v>641007.14880285633</v>
      </c>
      <c r="I532" s="342">
        <f t="shared" si="45"/>
        <v>0.3017966869195855</v>
      </c>
      <c r="J532" s="341">
        <f t="shared" si="46"/>
        <v>764810.26300000004</v>
      </c>
      <c r="K532" s="326" t="str">
        <f t="shared" si="47"/>
        <v>Menor Valor</v>
      </c>
      <c r="L532" s="326">
        <f>IFERROR(COUNTA('LP Elementos'!F532,'LP Elementos'!I532,'LP Elementos'!N532,'LP Elementos'!S532,'LP Elementos'!X532,'LP Elementos'!AC532,'LP Elementos'!AH532,'LP Elementos'!AM532,'LP Elementos'!AR532,'LP Elementos'!AX532,'LP Elementos'!BB532,'LP Elementos'!BG532,'LP Elementos'!BL532,'LP Elementos'!BQ532,'LP Elementos'!BV532,'LP Elementos'!CA532,'LP Elementos'!CF532,'LP Elementos'!CK532,'LP Elementos'!CP532,'LP Elementos'!CU532,'LP Elementos'!CZ532)," ")</f>
        <v>2</v>
      </c>
    </row>
    <row r="533" spans="2:12" ht="54" x14ac:dyDescent="0.25">
      <c r="B533" s="411">
        <v>531</v>
      </c>
      <c r="C533" s="421" t="s">
        <v>4437</v>
      </c>
      <c r="D533" s="408">
        <f>IFERROR(MIN('LP Elementos'!F533,'LP Elementos'!I533,'LP Elementos'!N533,'LP Elementos'!S533,'LP Elementos'!X533,'LP Elementos'!AC533,'LP Elementos'!AH533,'LP Elementos'!AM533,'LP Elementos'!AR533,'LP Elementos'!AW533,'LP Elementos'!BB533,'LP Elementos'!BG533,'LP Elementos'!BL533,'LP Elementos'!BQ533,'LP Elementos'!BV533,'LP Elementos'!CA533,'LP Elementos'!CF533,'LP Elementos'!CK533,'LP Elementos'!CP533,'LP Elementos'!CU533,'LP Elementos'!CZ533)," ")</f>
        <v>1097071.7714</v>
      </c>
      <c r="E533" s="341">
        <f>IFERROR(AVERAGE('LP Elementos'!F533,'LP Elementos'!I533,'LP Elementos'!N533,'LP Elementos'!S533,'LP Elementos'!X533,'LP Elementos'!AC533,'LP Elementos'!AH533,'LP Elementos'!AM533,'LP Elementos'!AR533,'LP Elementos'!AW533,'LP Elementos'!BB533,'LP Elementos'!BG533,'LP Elementos'!BL533,'LP Elementos'!BQ533,'LP Elementos'!BV533,'LP Elementos'!CA533,'LP Elementos'!CF533,'LP Elementos'!CK533,'LP Elementos'!CP533,'LP Elementos'!CU533,'LP Elementos'!CZ533)," ")</f>
        <v>1122115.8857</v>
      </c>
      <c r="F533" s="341">
        <f>IFERROR(MEDIAN('LP Elementos'!F533,'LP Elementos'!I533,'LP Elementos'!N533,'LP Elementos'!S533,'LP Elementos'!X533,'LP Elementos'!AC533,'LP Elementos'!AH533,'LP Elementos'!AM533,'LP Elementos'!AR533,'LP Elementos'!AW533,'LP Elementos'!BB533,'LP Elementos'!BG533,'LP Elementos'!BL533,'LP Elementos'!BQ533,'LP Elementos'!BV533,'LP Elementos'!CA533,'LP Elementos'!CF533,'LP Elementos'!CK533,'LP Elementos'!CP533,'LP Elementos'!CU533,'LP Elementos'!CZ533)," ")</f>
        <v>1122115.8857</v>
      </c>
      <c r="G533" s="341">
        <f>IFERROR(GEOMEAN('LP Elementos'!F533,'LP Elementos'!I533,'LP Elementos'!N533,'LP Elementos'!S533,'LP Elementos'!X533,'LP Elementos'!AC533,'LP Elementos'!AH533,'LP Elementos'!AM533,'LP Elementos'!AR533,'LP Elementos'!AW533,'LP Elementos'!BB533,'LP Elementos'!BG533,'LP Elementos'!BL533,'LP Elementos'!BQ533,'LP Elementos'!BV533,'LP Elementos'!CA533,'LP Elementos'!CF533,'LP Elementos'!CK533,'LP Elementos'!CP533,'LP Elementos'!CU533,'LP Elementos'!CZ533)," ")</f>
        <v>1121836.375448409</v>
      </c>
      <c r="H533" s="341">
        <f t="shared" si="44"/>
        <v>12476.167907183735</v>
      </c>
      <c r="I533" s="342">
        <f t="shared" si="45"/>
        <v>1.11184308734751E-2</v>
      </c>
      <c r="J533" s="341">
        <f t="shared" si="46"/>
        <v>1122115.8857</v>
      </c>
      <c r="K533" s="326" t="str">
        <f t="shared" si="47"/>
        <v>Promedio</v>
      </c>
      <c r="L533" s="326">
        <f>IFERROR(COUNTA('LP Elementos'!F533,'LP Elementos'!I533,'LP Elementos'!N533,'LP Elementos'!S533,'LP Elementos'!X533,'LP Elementos'!AC533,'LP Elementos'!AH533,'LP Elementos'!AM533,'LP Elementos'!AR533,'LP Elementos'!AX533,'LP Elementos'!BB533,'LP Elementos'!BG533,'LP Elementos'!BL533,'LP Elementos'!BQ533,'LP Elementos'!BV533,'LP Elementos'!CA533,'LP Elementos'!CF533,'LP Elementos'!CK533,'LP Elementos'!CP533,'LP Elementos'!CU533,'LP Elementos'!CZ533)," ")</f>
        <v>2</v>
      </c>
    </row>
    <row r="534" spans="2:12" ht="202.5" x14ac:dyDescent="0.25">
      <c r="B534" s="411">
        <v>532</v>
      </c>
      <c r="C534" s="421" t="s">
        <v>4438</v>
      </c>
      <c r="D534" s="408">
        <f>IFERROR(MIN('LP Elementos'!F534,'LP Elementos'!I534,'LP Elementos'!N534,'LP Elementos'!S534,'LP Elementos'!X534,'LP Elementos'!AC534,'LP Elementos'!AH534,'LP Elementos'!AM534,'LP Elementos'!AR534,'LP Elementos'!AW534,'LP Elementos'!BB534,'LP Elementos'!BG534,'LP Elementos'!BL534,'LP Elementos'!BQ534,'LP Elementos'!BV534,'LP Elementos'!CA534,'LP Elementos'!CF534,'LP Elementos'!CK534,'LP Elementos'!CP534,'LP Elementos'!CU534,'LP Elementos'!CZ534)," ")</f>
        <v>2671550</v>
      </c>
      <c r="E534" s="341">
        <f>IFERROR(AVERAGE('LP Elementos'!F534,'LP Elementos'!I534,'LP Elementos'!N534,'LP Elementos'!S534,'LP Elementos'!X534,'LP Elementos'!AC534,'LP Elementos'!AH534,'LP Elementos'!AM534,'LP Elementos'!AR534,'LP Elementos'!AW534,'LP Elementos'!BB534,'LP Elementos'!BG534,'LP Elementos'!BL534,'LP Elementos'!BQ534,'LP Elementos'!BV534,'LP Elementos'!CA534,'LP Elementos'!CF534,'LP Elementos'!CK534,'LP Elementos'!CP534,'LP Elementos'!CU534,'LP Elementos'!CZ534)," ")</f>
        <v>3614917.8221</v>
      </c>
      <c r="F534" s="341">
        <f>IFERROR(MEDIAN('LP Elementos'!F534,'LP Elementos'!I534,'LP Elementos'!N534,'LP Elementos'!S534,'LP Elementos'!X534,'LP Elementos'!AC534,'LP Elementos'!AH534,'LP Elementos'!AM534,'LP Elementos'!AR534,'LP Elementos'!AW534,'LP Elementos'!BB534,'LP Elementos'!BG534,'LP Elementos'!BL534,'LP Elementos'!BQ534,'LP Elementos'!BV534,'LP Elementos'!CA534,'LP Elementos'!CF534,'LP Elementos'!CK534,'LP Elementos'!CP534,'LP Elementos'!CU534,'LP Elementos'!CZ534)," ")</f>
        <v>3614917.8221</v>
      </c>
      <c r="G534" s="341">
        <f>IFERROR(GEOMEAN('LP Elementos'!F534,'LP Elementos'!I534,'LP Elementos'!N534,'LP Elementos'!S534,'LP Elementos'!X534,'LP Elementos'!AC534,'LP Elementos'!AH534,'LP Elementos'!AM534,'LP Elementos'!AR534,'LP Elementos'!AW534,'LP Elementos'!BB534,'LP Elementos'!BG534,'LP Elementos'!BL534,'LP Elementos'!BQ534,'LP Elementos'!BV534,'LP Elementos'!CA534,'LP Elementos'!CF534,'LP Elementos'!CK534,'LP Elementos'!CP534,'LP Elementos'!CU534,'LP Elementos'!CZ534)," ")</f>
        <v>3489654.4259801009</v>
      </c>
      <c r="H534" s="341">
        <f t="shared" si="44"/>
        <v>454657.59865443374</v>
      </c>
      <c r="I534" s="342">
        <f t="shared" si="45"/>
        <v>0.12577259595636153</v>
      </c>
      <c r="J534" s="341">
        <f t="shared" si="46"/>
        <v>3614917.8221</v>
      </c>
      <c r="K534" s="326" t="str">
        <f t="shared" si="47"/>
        <v>Promedio</v>
      </c>
      <c r="L534" s="326">
        <f>IFERROR(COUNTA('LP Elementos'!F534,'LP Elementos'!I534,'LP Elementos'!N534,'LP Elementos'!S534,'LP Elementos'!X534,'LP Elementos'!AC534,'LP Elementos'!AH534,'LP Elementos'!AM534,'LP Elementos'!AR534,'LP Elementos'!AX534,'LP Elementos'!BB534,'LP Elementos'!BG534,'LP Elementos'!BL534,'LP Elementos'!BQ534,'LP Elementos'!BV534,'LP Elementos'!CA534,'LP Elementos'!CF534,'LP Elementos'!CK534,'LP Elementos'!CP534,'LP Elementos'!CU534,'LP Elementos'!CZ534)," ")</f>
        <v>2</v>
      </c>
    </row>
    <row r="535" spans="2:12" x14ac:dyDescent="0.25">
      <c r="B535" s="411">
        <v>533</v>
      </c>
      <c r="C535" s="410" t="s">
        <v>4441</v>
      </c>
      <c r="D535" s="408">
        <f>IFERROR(MIN('LP Elementos'!F535,'LP Elementos'!I535,'LP Elementos'!N535,'LP Elementos'!S535,'LP Elementos'!X535,'LP Elementos'!AC535,'LP Elementos'!AH535,'LP Elementos'!AM535,'LP Elementos'!AR535,'LP Elementos'!AW535,'LP Elementos'!BB535,'LP Elementos'!BG535,'LP Elementos'!BL535,'LP Elementos'!BQ535,'LP Elementos'!BV535,'LP Elementos'!CA535,'LP Elementos'!CF535,'LP Elementos'!CK535,'LP Elementos'!CP535,'LP Elementos'!CU535,'LP Elementos'!CZ535)," ")</f>
        <v>35700</v>
      </c>
      <c r="E535" s="341">
        <f>IFERROR(AVERAGE('LP Elementos'!F535,'LP Elementos'!I535,'LP Elementos'!N535,'LP Elementos'!S535,'LP Elementos'!X535,'LP Elementos'!AC535,'LP Elementos'!AH535,'LP Elementos'!AM535,'LP Elementos'!AR535,'LP Elementos'!AW535,'LP Elementos'!BB535,'LP Elementos'!BG535,'LP Elementos'!BL535,'LP Elementos'!BQ535,'LP Elementos'!BV535,'LP Elementos'!CA535,'LP Elementos'!CF535,'LP Elementos'!CK535,'LP Elementos'!CP535,'LP Elementos'!CU535,'LP Elementos'!CZ535)," ")</f>
        <v>35700</v>
      </c>
      <c r="F535" s="341">
        <f>IFERROR(MEDIAN('LP Elementos'!F535,'LP Elementos'!I535,'LP Elementos'!N535,'LP Elementos'!S535,'LP Elementos'!X535,'LP Elementos'!AC535,'LP Elementos'!AH535,'LP Elementos'!AM535,'LP Elementos'!AR535,'LP Elementos'!AW535,'LP Elementos'!BB535,'LP Elementos'!BG535,'LP Elementos'!BL535,'LP Elementos'!BQ535,'LP Elementos'!BV535,'LP Elementos'!CA535,'LP Elementos'!CF535,'LP Elementos'!CK535,'LP Elementos'!CP535,'LP Elementos'!CU535,'LP Elementos'!CZ535)," ")</f>
        <v>35700</v>
      </c>
      <c r="G535" s="341">
        <f>IFERROR(GEOMEAN('LP Elementos'!F535,'LP Elementos'!I535,'LP Elementos'!N535,'LP Elementos'!S535,'LP Elementos'!X535,'LP Elementos'!AC535,'LP Elementos'!AH535,'LP Elementos'!AM535,'LP Elementos'!AR535,'LP Elementos'!AW535,'LP Elementos'!BB535,'LP Elementos'!BG535,'LP Elementos'!BL535,'LP Elementos'!BQ535,'LP Elementos'!BV535,'LP Elementos'!CA535,'LP Elementos'!CF535,'LP Elementos'!CK535,'LP Elementos'!CP535,'LP Elementos'!CU535,'LP Elementos'!CZ535)," ")</f>
        <v>35700</v>
      </c>
      <c r="H535" s="341">
        <f t="shared" si="44"/>
        <v>0</v>
      </c>
      <c r="I535" s="342">
        <f t="shared" si="45"/>
        <v>0</v>
      </c>
      <c r="J535" s="341">
        <f t="shared" si="46"/>
        <v>35700</v>
      </c>
      <c r="K535" s="326" t="str">
        <f t="shared" si="47"/>
        <v>Menor Valor</v>
      </c>
      <c r="L535" s="326">
        <f>IFERROR(COUNTA('LP Elementos'!F535,'LP Elementos'!I535,'LP Elementos'!N535,'LP Elementos'!S535,'LP Elementos'!X535,'LP Elementos'!AC535,'LP Elementos'!AH535,'LP Elementos'!AM535,'LP Elementos'!AR535,'LP Elementos'!AX535,'LP Elementos'!BB535,'LP Elementos'!BG535,'LP Elementos'!BL535,'LP Elementos'!BQ535,'LP Elementos'!BV535,'LP Elementos'!CA535,'LP Elementos'!CF535,'LP Elementos'!CK535,'LP Elementos'!CP535,'LP Elementos'!CU535,'LP Elementos'!CZ535)," ")</f>
        <v>1</v>
      </c>
    </row>
    <row r="536" spans="2:12" ht="202.5" x14ac:dyDescent="0.25">
      <c r="B536" s="411">
        <v>534</v>
      </c>
      <c r="C536" s="421" t="s">
        <v>4443</v>
      </c>
      <c r="D536" s="408">
        <f>IFERROR(MIN('LP Elementos'!F536,'LP Elementos'!I536,'LP Elementos'!N536,'LP Elementos'!S536,'LP Elementos'!X536,'LP Elementos'!AC536,'LP Elementos'!AH536,'LP Elementos'!AM536,'LP Elementos'!AR536,'LP Elementos'!AW536,'LP Elementos'!BB536,'LP Elementos'!BG536,'LP Elementos'!BL536,'LP Elementos'!BQ536,'LP Elementos'!BV536,'LP Elementos'!CA536,'LP Elementos'!CF536,'LP Elementos'!CK536,'LP Elementos'!CP536,'LP Elementos'!CU536,'LP Elementos'!CZ536)," ")</f>
        <v>894420.78980000003</v>
      </c>
      <c r="E536" s="341">
        <f>IFERROR(AVERAGE('LP Elementos'!F536,'LP Elementos'!I536,'LP Elementos'!N536,'LP Elementos'!S536,'LP Elementos'!X536,'LP Elementos'!AC536,'LP Elementos'!AH536,'LP Elementos'!AM536,'LP Elementos'!AR536,'LP Elementos'!AW536,'LP Elementos'!BB536,'LP Elementos'!BG536,'LP Elementos'!BL536,'LP Elementos'!BQ536,'LP Elementos'!BV536,'LP Elementos'!CA536,'LP Elementos'!CF536,'LP Elementos'!CK536,'LP Elementos'!CP536,'LP Elementos'!CU536,'LP Elementos'!CZ536)," ")</f>
        <v>9944600.3948999997</v>
      </c>
      <c r="F536" s="341">
        <f>IFERROR(MEDIAN('LP Elementos'!F536,'LP Elementos'!I536,'LP Elementos'!N536,'LP Elementos'!S536,'LP Elementos'!X536,'LP Elementos'!AC536,'LP Elementos'!AH536,'LP Elementos'!AM536,'LP Elementos'!AR536,'LP Elementos'!AW536,'LP Elementos'!BB536,'LP Elementos'!BG536,'LP Elementos'!BL536,'LP Elementos'!BQ536,'LP Elementos'!BV536,'LP Elementos'!CA536,'LP Elementos'!CF536,'LP Elementos'!CK536,'LP Elementos'!CP536,'LP Elementos'!CU536,'LP Elementos'!CZ536)," ")</f>
        <v>9944600.3948999997</v>
      </c>
      <c r="G536" s="341">
        <f>IFERROR(GEOMEAN('LP Elementos'!F536,'LP Elementos'!I536,'LP Elementos'!N536,'LP Elementos'!S536,'LP Elementos'!X536,'LP Elementos'!AC536,'LP Elementos'!AH536,'LP Elementos'!AM536,'LP Elementos'!AR536,'LP Elementos'!AW536,'LP Elementos'!BB536,'LP Elementos'!BG536,'LP Elementos'!BL536,'LP Elementos'!BQ536,'LP Elementos'!BV536,'LP Elementos'!CA536,'LP Elementos'!CF536,'LP Elementos'!CK536,'LP Elementos'!CP536,'LP Elementos'!CU536,'LP Elementos'!CZ536)," ")</f>
        <v>4121811.0254689315</v>
      </c>
      <c r="H536" s="341">
        <f t="shared" si="44"/>
        <v>4491077.2796730539</v>
      </c>
      <c r="I536" s="342">
        <f t="shared" si="45"/>
        <v>0.45160962746942179</v>
      </c>
      <c r="J536" s="341">
        <f t="shared" si="46"/>
        <v>894420.78980000003</v>
      </c>
      <c r="K536" s="326" t="str">
        <f t="shared" si="47"/>
        <v>Menor Valor</v>
      </c>
      <c r="L536" s="326">
        <f>IFERROR(COUNTA('LP Elementos'!F536,'LP Elementos'!I536,'LP Elementos'!N536,'LP Elementos'!S536,'LP Elementos'!X536,'LP Elementos'!AC536,'LP Elementos'!AH536,'LP Elementos'!AM536,'LP Elementos'!AR536,'LP Elementos'!AX536,'LP Elementos'!BB536,'LP Elementos'!BG536,'LP Elementos'!BL536,'LP Elementos'!BQ536,'LP Elementos'!BV536,'LP Elementos'!CA536,'LP Elementos'!CF536,'LP Elementos'!CK536,'LP Elementos'!CP536,'LP Elementos'!CU536,'LP Elementos'!CZ536)," ")</f>
        <v>2</v>
      </c>
    </row>
    <row r="537" spans="2:12" ht="27" x14ac:dyDescent="0.25">
      <c r="B537" s="411">
        <v>535</v>
      </c>
      <c r="C537" s="421" t="s">
        <v>4446</v>
      </c>
      <c r="D537" s="408">
        <f>IFERROR(MIN('LP Elementos'!F537,'LP Elementos'!I537,'LP Elementos'!N537,'LP Elementos'!S537,'LP Elementos'!X537,'LP Elementos'!AC537,'LP Elementos'!AH537,'LP Elementos'!AM537,'LP Elementos'!AR537,'LP Elementos'!AW537,'LP Elementos'!BB537,'LP Elementos'!BG537,'LP Elementos'!BL537,'LP Elementos'!BQ537,'LP Elementos'!BV537,'LP Elementos'!CA537,'LP Elementos'!CF537,'LP Elementos'!CK537,'LP Elementos'!CP537,'LP Elementos'!CU537,'LP Elementos'!CZ537)," ")</f>
        <v>428400</v>
      </c>
      <c r="E537" s="341">
        <f>IFERROR(AVERAGE('LP Elementos'!F537,'LP Elementos'!I537,'LP Elementos'!N537,'LP Elementos'!S537,'LP Elementos'!X537,'LP Elementos'!AC537,'LP Elementos'!AH537,'LP Elementos'!AM537,'LP Elementos'!AR537,'LP Elementos'!AW537,'LP Elementos'!BB537,'LP Elementos'!BG537,'LP Elementos'!BL537,'LP Elementos'!BQ537,'LP Elementos'!BV537,'LP Elementos'!CA537,'LP Elementos'!CF537,'LP Elementos'!CK537,'LP Elementos'!CP537,'LP Elementos'!CU537,'LP Elementos'!CZ537)," ")</f>
        <v>726377.78500000003</v>
      </c>
      <c r="F537" s="341">
        <f>IFERROR(MEDIAN('LP Elementos'!F537,'LP Elementos'!I537,'LP Elementos'!N537,'LP Elementos'!S537,'LP Elementos'!X537,'LP Elementos'!AC537,'LP Elementos'!AH537,'LP Elementos'!AM537,'LP Elementos'!AR537,'LP Elementos'!AW537,'LP Elementos'!BB537,'LP Elementos'!BG537,'LP Elementos'!BL537,'LP Elementos'!BQ537,'LP Elementos'!BV537,'LP Elementos'!CA537,'LP Elementos'!CF537,'LP Elementos'!CK537,'LP Elementos'!CP537,'LP Elementos'!CU537,'LP Elementos'!CZ537)," ")</f>
        <v>726377.78500000003</v>
      </c>
      <c r="G537" s="341">
        <f>IFERROR(GEOMEAN('LP Elementos'!F537,'LP Elementos'!I537,'LP Elementos'!N537,'LP Elementos'!S537,'LP Elementos'!X537,'LP Elementos'!AC537,'LP Elementos'!AH537,'LP Elementos'!AM537,'LP Elementos'!AR537,'LP Elementos'!AW537,'LP Elementos'!BB537,'LP Elementos'!BG537,'LP Elementos'!BL537,'LP Elementos'!BQ537,'LP Elementos'!BV537,'LP Elementos'!CA537,'LP Elementos'!CF537,'LP Elementos'!CK537,'LP Elementos'!CP537,'LP Elementos'!CU537,'LP Elementos'!CZ537)," ")</f>
        <v>662445.41374214378</v>
      </c>
      <c r="H537" s="341">
        <f t="shared" si="44"/>
        <v>141578.44486068722</v>
      </c>
      <c r="I537" s="342">
        <f t="shared" si="45"/>
        <v>0.19491020758665853</v>
      </c>
      <c r="J537" s="341">
        <f t="shared" si="46"/>
        <v>726377.78500000003</v>
      </c>
      <c r="K537" s="326" t="str">
        <f t="shared" si="47"/>
        <v>Promedio</v>
      </c>
      <c r="L537" s="326">
        <f>IFERROR(COUNTA('LP Elementos'!F537,'LP Elementos'!I537,'LP Elementos'!N537,'LP Elementos'!S537,'LP Elementos'!X537,'LP Elementos'!AC537,'LP Elementos'!AH537,'LP Elementos'!AM537,'LP Elementos'!AR537,'LP Elementos'!AX537,'LP Elementos'!BB537,'LP Elementos'!BG537,'LP Elementos'!BL537,'LP Elementos'!BQ537,'LP Elementos'!BV537,'LP Elementos'!CA537,'LP Elementos'!CF537,'LP Elementos'!CK537,'LP Elementos'!CP537,'LP Elementos'!CU537,'LP Elementos'!CZ537)," ")</f>
        <v>2</v>
      </c>
    </row>
    <row r="538" spans="2:12" ht="237.75" customHeight="1" x14ac:dyDescent="0.25">
      <c r="B538" s="411">
        <v>536</v>
      </c>
      <c r="C538" s="412" t="s">
        <v>4448</v>
      </c>
      <c r="D538" s="408">
        <f>IFERROR(MIN('LP Elementos'!F538,'LP Elementos'!I538,'LP Elementos'!N538,'LP Elementos'!S538,'LP Elementos'!X538,'LP Elementos'!AC538,'LP Elementos'!AH538,'LP Elementos'!AM538,'LP Elementos'!AR538,'LP Elementos'!AW538,'LP Elementos'!BB538,'LP Elementos'!BG538,'LP Elementos'!BL538,'LP Elementos'!BQ538,'LP Elementos'!BV538,'LP Elementos'!CA538,'LP Elementos'!CF538,'LP Elementos'!CK538,'LP Elementos'!CP538,'LP Elementos'!CU538,'LP Elementos'!CZ538)," ")</f>
        <v>870291.90080000006</v>
      </c>
      <c r="E538" s="341">
        <f>IFERROR(AVERAGE('LP Elementos'!F538,'LP Elementos'!I538,'LP Elementos'!N538,'LP Elementos'!S538,'LP Elementos'!X538,'LP Elementos'!AC538,'LP Elementos'!AH538,'LP Elementos'!AM538,'LP Elementos'!AR538,'LP Elementos'!AW538,'LP Elementos'!BB538,'LP Elementos'!BG538,'LP Elementos'!BL538,'LP Elementos'!BQ538,'LP Elementos'!BV538,'LP Elementos'!CA538,'LP Elementos'!CF538,'LP Elementos'!CK538,'LP Elementos'!CP538,'LP Elementos'!CU538,'LP Elementos'!CZ538)," ")</f>
        <v>870291.90080000006</v>
      </c>
      <c r="F538" s="341">
        <f>IFERROR(MEDIAN('LP Elementos'!F538,'LP Elementos'!I538,'LP Elementos'!N538,'LP Elementos'!S538,'LP Elementos'!X538,'LP Elementos'!AC538,'LP Elementos'!AH538,'LP Elementos'!AM538,'LP Elementos'!AR538,'LP Elementos'!AW538,'LP Elementos'!BB538,'LP Elementos'!BG538,'LP Elementos'!BL538,'LP Elementos'!BQ538,'LP Elementos'!BV538,'LP Elementos'!CA538,'LP Elementos'!CF538,'LP Elementos'!CK538,'LP Elementos'!CP538,'LP Elementos'!CU538,'LP Elementos'!CZ538)," ")</f>
        <v>870291.90080000006</v>
      </c>
      <c r="G538" s="341">
        <f>IFERROR(GEOMEAN('LP Elementos'!F538,'LP Elementos'!I538,'LP Elementos'!N538,'LP Elementos'!S538,'LP Elementos'!X538,'LP Elementos'!AC538,'LP Elementos'!AH538,'LP Elementos'!AM538,'LP Elementos'!AR538,'LP Elementos'!AW538,'LP Elementos'!BB538,'LP Elementos'!BG538,'LP Elementos'!BL538,'LP Elementos'!BQ538,'LP Elementos'!BV538,'LP Elementos'!CA538,'LP Elementos'!CF538,'LP Elementos'!CK538,'LP Elementos'!CP538,'LP Elementos'!CU538,'LP Elementos'!CZ538)," ")</f>
        <v>870291.90080000006</v>
      </c>
      <c r="H538" s="341">
        <f t="shared" si="44"/>
        <v>0</v>
      </c>
      <c r="I538" s="342">
        <f t="shared" si="45"/>
        <v>0</v>
      </c>
      <c r="J538" s="341">
        <f t="shared" si="46"/>
        <v>870291.90080000006</v>
      </c>
      <c r="K538" s="326" t="str">
        <f t="shared" si="47"/>
        <v>Menor Valor</v>
      </c>
      <c r="L538" s="326">
        <f>IFERROR(COUNTA('LP Elementos'!F538,'LP Elementos'!I538,'LP Elementos'!N538,'LP Elementos'!S538,'LP Elementos'!X538,'LP Elementos'!AC538,'LP Elementos'!AH538,'LP Elementos'!AM538,'LP Elementos'!AR538,'LP Elementos'!AX538,'LP Elementos'!BB538,'LP Elementos'!BG538,'LP Elementos'!BL538,'LP Elementos'!BQ538,'LP Elementos'!BV538,'LP Elementos'!CA538,'LP Elementos'!CF538,'LP Elementos'!CK538,'LP Elementos'!CP538,'LP Elementos'!CU538,'LP Elementos'!CZ538)," ")</f>
        <v>1</v>
      </c>
    </row>
    <row r="539" spans="2:12" ht="54" x14ac:dyDescent="0.25">
      <c r="B539" s="411">
        <v>537</v>
      </c>
      <c r="C539" s="421" t="s">
        <v>4449</v>
      </c>
      <c r="D539" s="408">
        <f>IFERROR(MIN('LP Elementos'!F539,'LP Elementos'!I539,'LP Elementos'!N539,'LP Elementos'!S539,'LP Elementos'!X539,'LP Elementos'!AC539,'LP Elementos'!AH539,'LP Elementos'!AM539,'LP Elementos'!AR539,'LP Elementos'!AW539,'LP Elementos'!BB539,'LP Elementos'!BG539,'LP Elementos'!BL539,'LP Elementos'!BQ539,'LP Elementos'!BV539,'LP Elementos'!CA539,'LP Elementos'!CF539,'LP Elementos'!CK539,'LP Elementos'!CP539,'LP Elementos'!CU539,'LP Elementos'!CZ539)," ")</f>
        <v>986649.23</v>
      </c>
      <c r="E539" s="341">
        <f>IFERROR(AVERAGE('LP Elementos'!F539,'LP Elementos'!I539,'LP Elementos'!N539,'LP Elementos'!S539,'LP Elementos'!X539,'LP Elementos'!AC539,'LP Elementos'!AH539,'LP Elementos'!AM539,'LP Elementos'!AR539,'LP Elementos'!AW539,'LP Elementos'!BB539,'LP Elementos'!BG539,'LP Elementos'!BL539,'LP Elementos'!BQ539,'LP Elementos'!BV539,'LP Elementos'!CA539,'LP Elementos'!CF539,'LP Elementos'!CK539,'LP Elementos'!CP539,'LP Elementos'!CU539,'LP Elementos'!CZ539)," ")</f>
        <v>2415174.6150000002</v>
      </c>
      <c r="F539" s="341">
        <f>IFERROR(MEDIAN('LP Elementos'!F539,'LP Elementos'!I539,'LP Elementos'!N539,'LP Elementos'!S539,'LP Elementos'!X539,'LP Elementos'!AC539,'LP Elementos'!AH539,'LP Elementos'!AM539,'LP Elementos'!AR539,'LP Elementos'!AW539,'LP Elementos'!BB539,'LP Elementos'!BG539,'LP Elementos'!BL539,'LP Elementos'!BQ539,'LP Elementos'!BV539,'LP Elementos'!CA539,'LP Elementos'!CF539,'LP Elementos'!CK539,'LP Elementos'!CP539,'LP Elementos'!CU539,'LP Elementos'!CZ539)," ")</f>
        <v>2415174.6150000002</v>
      </c>
      <c r="G539" s="341">
        <f>IFERROR(GEOMEAN('LP Elementos'!F539,'LP Elementos'!I539,'LP Elementos'!N539,'LP Elementos'!S539,'LP Elementos'!X539,'LP Elementos'!AC539,'LP Elementos'!AH539,'LP Elementos'!AM539,'LP Elementos'!AR539,'LP Elementos'!AW539,'LP Elementos'!BB539,'LP Elementos'!BG539,'LP Elementos'!BL539,'LP Elementos'!BQ539,'LP Elementos'!BV539,'LP Elementos'!CA539,'LP Elementos'!CF539,'LP Elementos'!CK539,'LP Elementos'!CP539,'LP Elementos'!CU539,'LP Elementos'!CZ539)," ")</f>
        <v>1947404.3353528306</v>
      </c>
      <c r="H539" s="341">
        <f t="shared" si="44"/>
        <v>673426.4370047343</v>
      </c>
      <c r="I539" s="342">
        <f t="shared" si="45"/>
        <v>0.2788313659899635</v>
      </c>
      <c r="J539" s="341">
        <f t="shared" si="46"/>
        <v>1947404.3353528306</v>
      </c>
      <c r="K539" s="326" t="str">
        <f t="shared" si="47"/>
        <v>Media Geometrica</v>
      </c>
      <c r="L539" s="326">
        <f>IFERROR(COUNTA('LP Elementos'!F539,'LP Elementos'!I539,'LP Elementos'!N539,'LP Elementos'!S539,'LP Elementos'!X539,'LP Elementos'!AC539,'LP Elementos'!AH539,'LP Elementos'!AM539,'LP Elementos'!AR539,'LP Elementos'!AX539,'LP Elementos'!BB539,'LP Elementos'!BG539,'LP Elementos'!BL539,'LP Elementos'!BQ539,'LP Elementos'!BV539,'LP Elementos'!CA539,'LP Elementos'!CF539,'LP Elementos'!CK539,'LP Elementos'!CP539,'LP Elementos'!CU539,'LP Elementos'!CZ539)," ")</f>
        <v>2</v>
      </c>
    </row>
    <row r="540" spans="2:12" ht="67.5" x14ac:dyDescent="0.25">
      <c r="B540" s="411">
        <v>538</v>
      </c>
      <c r="C540" s="421" t="s">
        <v>4452</v>
      </c>
      <c r="D540" s="408">
        <f>IFERROR(MIN('LP Elementos'!F540,'LP Elementos'!I540,'LP Elementos'!N540,'LP Elementos'!S540,'LP Elementos'!X540,'LP Elementos'!AC540,'LP Elementos'!AH540,'LP Elementos'!AM540,'LP Elementos'!AR540,'LP Elementos'!AW540,'LP Elementos'!BB540,'LP Elementos'!BG540,'LP Elementos'!BL540,'LP Elementos'!BQ540,'LP Elementos'!BV540,'LP Elementos'!CA540,'LP Elementos'!CF540,'LP Elementos'!CK540,'LP Elementos'!CP540,'LP Elementos'!CU540,'LP Elementos'!CZ540)," ")</f>
        <v>819484.45600000001</v>
      </c>
      <c r="E540" s="341">
        <f>IFERROR(AVERAGE('LP Elementos'!F540,'LP Elementos'!I540,'LP Elementos'!N540,'LP Elementos'!S540,'LP Elementos'!X540,'LP Elementos'!AC540,'LP Elementos'!AH540,'LP Elementos'!AM540,'LP Elementos'!AR540,'LP Elementos'!AW540,'LP Elementos'!BB540,'LP Elementos'!BG540,'LP Elementos'!BL540,'LP Elementos'!BQ540,'LP Elementos'!BV540,'LP Elementos'!CA540,'LP Elementos'!CF540,'LP Elementos'!CK540,'LP Elementos'!CP540,'LP Elementos'!CU540,'LP Elementos'!CZ540)," ")</f>
        <v>1537267.2280000001</v>
      </c>
      <c r="F540" s="341">
        <f>IFERROR(MEDIAN('LP Elementos'!F540,'LP Elementos'!I540,'LP Elementos'!N540,'LP Elementos'!S540,'LP Elementos'!X540,'LP Elementos'!AC540,'LP Elementos'!AH540,'LP Elementos'!AM540,'LP Elementos'!AR540,'LP Elementos'!AW540,'LP Elementos'!BB540,'LP Elementos'!BG540,'LP Elementos'!BL540,'LP Elementos'!BQ540,'LP Elementos'!BV540,'LP Elementos'!CA540,'LP Elementos'!CF540,'LP Elementos'!CK540,'LP Elementos'!CP540,'LP Elementos'!CU540,'LP Elementos'!CZ540)," ")</f>
        <v>1537267.2280000001</v>
      </c>
      <c r="G540" s="341">
        <f>IFERROR(GEOMEAN('LP Elementos'!F540,'LP Elementos'!I540,'LP Elementos'!N540,'LP Elementos'!S540,'LP Elementos'!X540,'LP Elementos'!AC540,'LP Elementos'!AH540,'LP Elementos'!AM540,'LP Elementos'!AR540,'LP Elementos'!AW540,'LP Elementos'!BB540,'LP Elementos'!BG540,'LP Elementos'!BL540,'LP Elementos'!BQ540,'LP Elementos'!BV540,'LP Elementos'!CA540,'LP Elementos'!CF540,'LP Elementos'!CK540,'LP Elementos'!CP540,'LP Elementos'!CU540,'LP Elementos'!CZ540)," ")</f>
        <v>1359403.7010773511</v>
      </c>
      <c r="H540" s="341">
        <f t="shared" si="44"/>
        <v>339755.77934545238</v>
      </c>
      <c r="I540" s="342">
        <f t="shared" si="45"/>
        <v>0.22101282923169968</v>
      </c>
      <c r="J540" s="341">
        <f t="shared" si="46"/>
        <v>1359403.7010773511</v>
      </c>
      <c r="K540" s="326" t="str">
        <f t="shared" si="47"/>
        <v>Media Geometrica</v>
      </c>
      <c r="L540" s="326">
        <f>IFERROR(COUNTA('LP Elementos'!F540,'LP Elementos'!I540,'LP Elementos'!N540,'LP Elementos'!S540,'LP Elementos'!X540,'LP Elementos'!AC540,'LP Elementos'!AH540,'LP Elementos'!AM540,'LP Elementos'!AR540,'LP Elementos'!AX540,'LP Elementos'!BB540,'LP Elementos'!BG540,'LP Elementos'!BL540,'LP Elementos'!BQ540,'LP Elementos'!BV540,'LP Elementos'!CA540,'LP Elementos'!CF540,'LP Elementos'!CK540,'LP Elementos'!CP540,'LP Elementos'!CU540,'LP Elementos'!CZ540)," ")</f>
        <v>2</v>
      </c>
    </row>
    <row r="541" spans="2:12" ht="27" x14ac:dyDescent="0.25">
      <c r="B541" s="411">
        <v>539</v>
      </c>
      <c r="C541" s="421" t="s">
        <v>4455</v>
      </c>
      <c r="D541" s="408">
        <f>IFERROR(MIN('LP Elementos'!F541,'LP Elementos'!I541,'LP Elementos'!N541,'LP Elementos'!S541,'LP Elementos'!X541,'LP Elementos'!AC541,'LP Elementos'!AH541,'LP Elementos'!AM541,'LP Elementos'!AR541,'LP Elementos'!AW541,'LP Elementos'!BB541,'LP Elementos'!BG541,'LP Elementos'!BL541,'LP Elementos'!BQ541,'LP Elementos'!BV541,'LP Elementos'!CA541,'LP Elementos'!CF541,'LP Elementos'!CK541,'LP Elementos'!CP541,'LP Elementos'!CU541,'LP Elementos'!CZ541)," ")</f>
        <v>18853.170000000002</v>
      </c>
      <c r="E541" s="341">
        <f>IFERROR(AVERAGE('LP Elementos'!F541,'LP Elementos'!I541,'LP Elementos'!N541,'LP Elementos'!S541,'LP Elementos'!X541,'LP Elementos'!AC541,'LP Elementos'!AH541,'LP Elementos'!AM541,'LP Elementos'!AR541,'LP Elementos'!AW541,'LP Elementos'!BB541,'LP Elementos'!BG541,'LP Elementos'!BL541,'LP Elementos'!BQ541,'LP Elementos'!BV541,'LP Elementos'!CA541,'LP Elementos'!CF541,'LP Elementos'!CK541,'LP Elementos'!CP541,'LP Elementos'!CU541,'LP Elementos'!CZ541)," ")</f>
        <v>18946.584999999999</v>
      </c>
      <c r="F541" s="341">
        <f>IFERROR(MEDIAN('LP Elementos'!F541,'LP Elementos'!I541,'LP Elementos'!N541,'LP Elementos'!S541,'LP Elementos'!X541,'LP Elementos'!AC541,'LP Elementos'!AH541,'LP Elementos'!AM541,'LP Elementos'!AR541,'LP Elementos'!AW541,'LP Elementos'!BB541,'LP Elementos'!BG541,'LP Elementos'!BL541,'LP Elementos'!BQ541,'LP Elementos'!BV541,'LP Elementos'!CA541,'LP Elementos'!CF541,'LP Elementos'!CK541,'LP Elementos'!CP541,'LP Elementos'!CU541,'LP Elementos'!CZ541)," ")</f>
        <v>18946.584999999999</v>
      </c>
      <c r="G541" s="341">
        <f>IFERROR(GEOMEAN('LP Elementos'!F541,'LP Elementos'!I541,'LP Elementos'!N541,'LP Elementos'!S541,'LP Elementos'!X541,'LP Elementos'!AC541,'LP Elementos'!AH541,'LP Elementos'!AM541,'LP Elementos'!AR541,'LP Elementos'!AW541,'LP Elementos'!BB541,'LP Elementos'!BG541,'LP Elementos'!BL541,'LP Elementos'!BQ541,'LP Elementos'!BV541,'LP Elementos'!CA541,'LP Elementos'!CF541,'LP Elementos'!CK541,'LP Elementos'!CP541,'LP Elementos'!CU541,'LP Elementos'!CZ541)," ")</f>
        <v>18946.354710075499</v>
      </c>
      <c r="H541" s="341">
        <f t="shared" si="44"/>
        <v>46.669244609228464</v>
      </c>
      <c r="I541" s="342">
        <f t="shared" si="45"/>
        <v>2.4632008675562625E-3</v>
      </c>
      <c r="J541" s="341">
        <f t="shared" si="46"/>
        <v>18946.584999999999</v>
      </c>
      <c r="K541" s="326" t="str">
        <f t="shared" si="47"/>
        <v>Promedio</v>
      </c>
      <c r="L541" s="326">
        <f>IFERROR(COUNTA('LP Elementos'!F541,'LP Elementos'!I541,'LP Elementos'!N541,'LP Elementos'!S541,'LP Elementos'!X541,'LP Elementos'!AC541,'LP Elementos'!AH541,'LP Elementos'!AM541,'LP Elementos'!AR541,'LP Elementos'!AX541,'LP Elementos'!BB541,'LP Elementos'!BG541,'LP Elementos'!BL541,'LP Elementos'!BQ541,'LP Elementos'!BV541,'LP Elementos'!CA541,'LP Elementos'!CF541,'LP Elementos'!CK541,'LP Elementos'!CP541,'LP Elementos'!CU541,'LP Elementos'!CZ541)," ")</f>
        <v>2</v>
      </c>
    </row>
    <row r="542" spans="2:12" ht="27" x14ac:dyDescent="0.25">
      <c r="B542" s="411">
        <v>540</v>
      </c>
      <c r="C542" s="412" t="s">
        <v>4457</v>
      </c>
      <c r="D542" s="408">
        <f>IFERROR(MIN('LP Elementos'!F542,'LP Elementos'!I542,'LP Elementos'!N542,'LP Elementos'!S542,'LP Elementos'!X542,'LP Elementos'!AC542,'LP Elementos'!AH542,'LP Elementos'!AM542,'LP Elementos'!AR542,'LP Elementos'!AW542,'LP Elementos'!BB542,'LP Elementos'!BG542,'LP Elementos'!BL542,'LP Elementos'!BQ542,'LP Elementos'!BV542,'LP Elementos'!CA542,'LP Elementos'!CF542,'LP Elementos'!CK542,'LP Elementos'!CP542,'LP Elementos'!CU542,'LP Elementos'!CZ542)," ")</f>
        <v>17596.292000000001</v>
      </c>
      <c r="E542" s="341">
        <f>IFERROR(AVERAGE('LP Elementos'!F542,'LP Elementos'!I542,'LP Elementos'!N542,'LP Elementos'!S542,'LP Elementos'!X542,'LP Elementos'!AC542,'LP Elementos'!AH542,'LP Elementos'!AM542,'LP Elementos'!AR542,'LP Elementos'!AW542,'LP Elementos'!BB542,'LP Elementos'!BG542,'LP Elementos'!BL542,'LP Elementos'!BQ542,'LP Elementos'!BV542,'LP Elementos'!CA542,'LP Elementos'!CF542,'LP Elementos'!CK542,'LP Elementos'!CP542,'LP Elementos'!CU542,'LP Elementos'!CZ542)," ")</f>
        <v>18318.146000000001</v>
      </c>
      <c r="F542" s="341">
        <f>IFERROR(MEDIAN('LP Elementos'!F542,'LP Elementos'!I542,'LP Elementos'!N542,'LP Elementos'!S542,'LP Elementos'!X542,'LP Elementos'!AC542,'LP Elementos'!AH542,'LP Elementos'!AM542,'LP Elementos'!AR542,'LP Elementos'!AW542,'LP Elementos'!BB542,'LP Elementos'!BG542,'LP Elementos'!BL542,'LP Elementos'!BQ542,'LP Elementos'!BV542,'LP Elementos'!CA542,'LP Elementos'!CF542,'LP Elementos'!CK542,'LP Elementos'!CP542,'LP Elementos'!CU542,'LP Elementos'!CZ542)," ")</f>
        <v>18318.146000000001</v>
      </c>
      <c r="G542" s="341">
        <f>IFERROR(GEOMEAN('LP Elementos'!F542,'LP Elementos'!I542,'LP Elementos'!N542,'LP Elementos'!S542,'LP Elementos'!X542,'LP Elementos'!AC542,'LP Elementos'!AH542,'LP Elementos'!AM542,'LP Elementos'!AR542,'LP Elementos'!AW542,'LP Elementos'!BB542,'LP Elementos'!BG542,'LP Elementos'!BL542,'LP Elementos'!BQ542,'LP Elementos'!BV542,'LP Elementos'!CA542,'LP Elementos'!CF542,'LP Elementos'!CK542,'LP Elementos'!CP542,'LP Elementos'!CU542,'LP Elementos'!CZ542)," ")</f>
        <v>18303.917604709655</v>
      </c>
      <c r="H542" s="341">
        <f t="shared" si="44"/>
        <v>358.61833071964992</v>
      </c>
      <c r="I542" s="342">
        <f t="shared" si="45"/>
        <v>1.9577217624515596E-2</v>
      </c>
      <c r="J542" s="341">
        <f t="shared" si="46"/>
        <v>18318.146000000001</v>
      </c>
      <c r="K542" s="326" t="str">
        <f t="shared" si="47"/>
        <v>Promedio</v>
      </c>
      <c r="L542" s="326">
        <f>IFERROR(COUNTA('LP Elementos'!F542,'LP Elementos'!I542,'LP Elementos'!N542,'LP Elementos'!S542,'LP Elementos'!X542,'LP Elementos'!AC542,'LP Elementos'!AH542,'LP Elementos'!AM542,'LP Elementos'!AR542,'LP Elementos'!AX542,'LP Elementos'!BB542,'LP Elementos'!BG542,'LP Elementos'!BL542,'LP Elementos'!BQ542,'LP Elementos'!BV542,'LP Elementos'!CA542,'LP Elementos'!CF542,'LP Elementos'!CK542,'LP Elementos'!CP542,'LP Elementos'!CU542,'LP Elementos'!CZ542)," ")</f>
        <v>2</v>
      </c>
    </row>
    <row r="543" spans="2:12" ht="27" x14ac:dyDescent="0.25">
      <c r="B543" s="411">
        <v>541</v>
      </c>
      <c r="C543" s="421" t="s">
        <v>4459</v>
      </c>
      <c r="D543" s="408">
        <f>IFERROR(MIN('LP Elementos'!F543,'LP Elementos'!I543,'LP Elementos'!N543,'LP Elementos'!S543,'LP Elementos'!X543,'LP Elementos'!AC543,'LP Elementos'!AH543,'LP Elementos'!AM543,'LP Elementos'!AR543,'LP Elementos'!AW543,'LP Elementos'!BB543,'LP Elementos'!BG543,'LP Elementos'!BL543,'LP Elementos'!BQ543,'LP Elementos'!BV543,'LP Elementos'!CA543,'LP Elementos'!CF543,'LP Elementos'!CK543,'LP Elementos'!CP543,'LP Elementos'!CU543,'LP Elementos'!CZ543)," ")</f>
        <v>82299.104000000007</v>
      </c>
      <c r="E543" s="341">
        <f>IFERROR(AVERAGE('LP Elementos'!F543,'LP Elementos'!I543,'LP Elementos'!N543,'LP Elementos'!S543,'LP Elementos'!X543,'LP Elementos'!AC543,'LP Elementos'!AH543,'LP Elementos'!AM543,'LP Elementos'!AR543,'LP Elementos'!AW543,'LP Elementos'!BB543,'LP Elementos'!BG543,'LP Elementos'!BL543,'LP Elementos'!BQ543,'LP Elementos'!BV543,'LP Elementos'!CA543,'LP Elementos'!CF543,'LP Elementos'!CK543,'LP Elementos'!CP543,'LP Elementos'!CU543,'LP Elementos'!CZ543)," ")</f>
        <v>82299.104000000007</v>
      </c>
      <c r="F543" s="341">
        <f>IFERROR(MEDIAN('LP Elementos'!F543,'LP Elementos'!I543,'LP Elementos'!N543,'LP Elementos'!S543,'LP Elementos'!X543,'LP Elementos'!AC543,'LP Elementos'!AH543,'LP Elementos'!AM543,'LP Elementos'!AR543,'LP Elementos'!AW543,'LP Elementos'!BB543,'LP Elementos'!BG543,'LP Elementos'!BL543,'LP Elementos'!BQ543,'LP Elementos'!BV543,'LP Elementos'!CA543,'LP Elementos'!CF543,'LP Elementos'!CK543,'LP Elementos'!CP543,'LP Elementos'!CU543,'LP Elementos'!CZ543)," ")</f>
        <v>82299.104000000007</v>
      </c>
      <c r="G543" s="341">
        <f>IFERROR(GEOMEAN('LP Elementos'!F543,'LP Elementos'!I543,'LP Elementos'!N543,'LP Elementos'!S543,'LP Elementos'!X543,'LP Elementos'!AC543,'LP Elementos'!AH543,'LP Elementos'!AM543,'LP Elementos'!AR543,'LP Elementos'!AW543,'LP Elementos'!BB543,'LP Elementos'!BG543,'LP Elementos'!BL543,'LP Elementos'!BQ543,'LP Elementos'!BV543,'LP Elementos'!CA543,'LP Elementos'!CF543,'LP Elementos'!CK543,'LP Elementos'!CP543,'LP Elementos'!CU543,'LP Elementos'!CZ543)," ")</f>
        <v>82299.104000000007</v>
      </c>
      <c r="H543" s="341">
        <f t="shared" si="44"/>
        <v>0</v>
      </c>
      <c r="I543" s="342">
        <f t="shared" si="45"/>
        <v>0</v>
      </c>
      <c r="J543" s="341">
        <f t="shared" si="46"/>
        <v>82299.104000000007</v>
      </c>
      <c r="K543" s="326" t="str">
        <f t="shared" si="47"/>
        <v>Menor Valor</v>
      </c>
      <c r="L543" s="326">
        <f>IFERROR(COUNTA('LP Elementos'!F543,'LP Elementos'!I543,'LP Elementos'!N543,'LP Elementos'!S543,'LP Elementos'!X543,'LP Elementos'!AC543,'LP Elementos'!AH543,'LP Elementos'!AM543,'LP Elementos'!AR543,'LP Elementos'!AX543,'LP Elementos'!BB543,'LP Elementos'!BG543,'LP Elementos'!BL543,'LP Elementos'!BQ543,'LP Elementos'!BV543,'LP Elementos'!CA543,'LP Elementos'!CF543,'LP Elementos'!CK543,'LP Elementos'!CP543,'LP Elementos'!CU543,'LP Elementos'!CZ543)," ")</f>
        <v>1</v>
      </c>
    </row>
    <row r="544" spans="2:12" x14ac:dyDescent="0.25">
      <c r="B544" s="411">
        <v>542</v>
      </c>
      <c r="C544" s="421" t="s">
        <v>4460</v>
      </c>
      <c r="D544" s="408">
        <f>IFERROR(MIN('LP Elementos'!F544,'LP Elementos'!I544,'LP Elementos'!N544,'LP Elementos'!S544,'LP Elementos'!X544,'LP Elementos'!AC544,'LP Elementos'!AH544,'LP Elementos'!AM544,'LP Elementos'!AR544,'LP Elementos'!AW544,'LP Elementos'!BB544,'LP Elementos'!BG544,'LP Elementos'!BL544,'LP Elementos'!BQ544,'LP Elementos'!BV544,'LP Elementos'!CA544,'LP Elementos'!CF544,'LP Elementos'!CK544,'LP Elementos'!CP544,'LP Elementos'!CU544,'LP Elementos'!CZ544)," ")</f>
        <v>19273.5376</v>
      </c>
      <c r="E544" s="341">
        <f>IFERROR(AVERAGE('LP Elementos'!F544,'LP Elementos'!I544,'LP Elementos'!N544,'LP Elementos'!S544,'LP Elementos'!X544,'LP Elementos'!AC544,'LP Elementos'!AH544,'LP Elementos'!AM544,'LP Elementos'!AR544,'LP Elementos'!AW544,'LP Elementos'!BB544,'LP Elementos'!BG544,'LP Elementos'!BL544,'LP Elementos'!BQ544,'LP Elementos'!BV544,'LP Elementos'!CA544,'LP Elementos'!CF544,'LP Elementos'!CK544,'LP Elementos'!CP544,'LP Elementos'!CU544,'LP Elementos'!CZ544)," ")</f>
        <v>67946.768800000005</v>
      </c>
      <c r="F544" s="341">
        <f>IFERROR(MEDIAN('LP Elementos'!F544,'LP Elementos'!I544,'LP Elementos'!N544,'LP Elementos'!S544,'LP Elementos'!X544,'LP Elementos'!AC544,'LP Elementos'!AH544,'LP Elementos'!AM544,'LP Elementos'!AR544,'LP Elementos'!AW544,'LP Elementos'!BB544,'LP Elementos'!BG544,'LP Elementos'!BL544,'LP Elementos'!BQ544,'LP Elementos'!BV544,'LP Elementos'!CA544,'LP Elementos'!CF544,'LP Elementos'!CK544,'LP Elementos'!CP544,'LP Elementos'!CU544,'LP Elementos'!CZ544)," ")</f>
        <v>67946.768800000005</v>
      </c>
      <c r="G544" s="341">
        <f>IFERROR(GEOMEAN('LP Elementos'!F544,'LP Elementos'!I544,'LP Elementos'!N544,'LP Elementos'!S544,'LP Elementos'!X544,'LP Elementos'!AC544,'LP Elementos'!AH544,'LP Elementos'!AM544,'LP Elementos'!AR544,'LP Elementos'!AW544,'LP Elementos'!BB544,'LP Elementos'!BG544,'LP Elementos'!BL544,'LP Elementos'!BQ544,'LP Elementos'!BV544,'LP Elementos'!CA544,'LP Elementos'!CF544,'LP Elementos'!CK544,'LP Elementos'!CP544,'LP Elementos'!CU544,'LP Elementos'!CZ544)," ")</f>
        <v>47409.703172578505</v>
      </c>
      <c r="H544" s="341">
        <f t="shared" si="44"/>
        <v>23045.88324262941</v>
      </c>
      <c r="I544" s="342">
        <f t="shared" si="45"/>
        <v>0.33917555830306695</v>
      </c>
      <c r="J544" s="341">
        <f>IF(I544&lt;=10%,F544,IF(AND(I544&gt;10%,I544&lt;=20%),E544,IF(AND(I544&gt;20%,I544&lt;=35%),G544,IF(I544&gt;35%,D544))))</f>
        <v>47409.703172578505</v>
      </c>
      <c r="K544" s="326" t="str">
        <f t="shared" si="47"/>
        <v>Media Geometrica</v>
      </c>
      <c r="L544" s="326">
        <f>IFERROR(COUNTA('LP Elementos'!F544,'LP Elementos'!I544,'LP Elementos'!N544,'LP Elementos'!S544,'LP Elementos'!X544,'LP Elementos'!AC544,'LP Elementos'!AH544,'LP Elementos'!AM544,'LP Elementos'!AR544,'LP Elementos'!AX544,'LP Elementos'!BB544,'LP Elementos'!BG544,'LP Elementos'!BL544,'LP Elementos'!BQ544,'LP Elementos'!BV544,'LP Elementos'!CA544,'LP Elementos'!CF544,'LP Elementos'!CK544,'LP Elementos'!CP544,'LP Elementos'!CU544,'LP Elementos'!CZ544)," ")</f>
        <v>2</v>
      </c>
    </row>
    <row r="545" spans="2:12" ht="27" x14ac:dyDescent="0.25">
      <c r="B545" s="411">
        <v>543</v>
      </c>
      <c r="C545" s="421" t="s">
        <v>4462</v>
      </c>
      <c r="D545" s="408">
        <f>IFERROR(MIN('LP Elementos'!F545,'LP Elementos'!I545,'LP Elementos'!N545,'LP Elementos'!S545,'LP Elementos'!X545,'LP Elementos'!AC545,'LP Elementos'!AH545,'LP Elementos'!AM545,'LP Elementos'!AR545,'LP Elementos'!AW545,'LP Elementos'!BB545,'LP Elementos'!BG545,'LP Elementos'!BL545,'LP Elementos'!BQ545,'LP Elementos'!BV545,'LP Elementos'!CA545,'LP Elementos'!CF545,'LP Elementos'!CK545,'LP Elementos'!CP545,'LP Elementos'!CU545,'LP Elementos'!CZ545)," ")</f>
        <v>98036.483999999997</v>
      </c>
      <c r="E545" s="341">
        <f>IFERROR(AVERAGE('LP Elementos'!F545,'LP Elementos'!I545,'LP Elementos'!N545,'LP Elementos'!S545,'LP Elementos'!X545,'LP Elementos'!AC545,'LP Elementos'!AH545,'LP Elementos'!AM545,'LP Elementos'!AR545,'LP Elementos'!AW545,'LP Elementos'!BB545,'LP Elementos'!BG545,'LP Elementos'!BL545,'LP Elementos'!BQ545,'LP Elementos'!BV545,'LP Elementos'!CA545,'LP Elementos'!CF545,'LP Elementos'!CK545,'LP Elementos'!CP545,'LP Elementos'!CU545,'LP Elementos'!CZ545)," ")</f>
        <v>106733.242</v>
      </c>
      <c r="F545" s="341">
        <f>IFERROR(MEDIAN('LP Elementos'!F545,'LP Elementos'!I545,'LP Elementos'!N545,'LP Elementos'!S545,'LP Elementos'!X545,'LP Elementos'!AC545,'LP Elementos'!AH545,'LP Elementos'!AM545,'LP Elementos'!AR545,'LP Elementos'!AW545,'LP Elementos'!BB545,'LP Elementos'!BG545,'LP Elementos'!BL545,'LP Elementos'!BQ545,'LP Elementos'!BV545,'LP Elementos'!CA545,'LP Elementos'!CF545,'LP Elementos'!CK545,'LP Elementos'!CP545,'LP Elementos'!CU545,'LP Elementos'!CZ545)," ")</f>
        <v>106733.242</v>
      </c>
      <c r="G545" s="341">
        <f>IFERROR(GEOMEAN('LP Elementos'!F545,'LP Elementos'!I545,'LP Elementos'!N545,'LP Elementos'!S545,'LP Elementos'!X545,'LP Elementos'!AC545,'LP Elementos'!AH545,'LP Elementos'!AM545,'LP Elementos'!AR545,'LP Elementos'!AW545,'LP Elementos'!BB545,'LP Elementos'!BG545,'LP Elementos'!BL545,'LP Elementos'!BQ545,'LP Elementos'!BV545,'LP Elementos'!CA545,'LP Elementos'!CF545,'LP Elementos'!CK545,'LP Elementos'!CP545,'LP Elementos'!CU545,'LP Elementos'!CZ545)," ")</f>
        <v>106378.34059675869</v>
      </c>
      <c r="H545" s="341">
        <f t="shared" si="44"/>
        <v>4292.4903505430257</v>
      </c>
      <c r="I545" s="342">
        <f t="shared" si="45"/>
        <v>4.0216995849737473E-2</v>
      </c>
      <c r="J545" s="341">
        <f t="shared" si="46"/>
        <v>106733.242</v>
      </c>
      <c r="K545" s="326" t="str">
        <f t="shared" si="47"/>
        <v>Promedio</v>
      </c>
      <c r="L545" s="326">
        <f>IFERROR(COUNTA('LP Elementos'!F545,'LP Elementos'!I545,'LP Elementos'!N545,'LP Elementos'!S545,'LP Elementos'!X545,'LP Elementos'!AC545,'LP Elementos'!AH545,'LP Elementos'!AM545,'LP Elementos'!AR545,'LP Elementos'!AX545,'LP Elementos'!BB545,'LP Elementos'!BG545,'LP Elementos'!BL545,'LP Elementos'!BQ545,'LP Elementos'!BV545,'LP Elementos'!CA545,'LP Elementos'!CF545,'LP Elementos'!CK545,'LP Elementos'!CP545,'LP Elementos'!CU545,'LP Elementos'!CZ545)," ")</f>
        <v>2</v>
      </c>
    </row>
    <row r="546" spans="2:12" ht="27" x14ac:dyDescent="0.25">
      <c r="B546" s="411">
        <v>544</v>
      </c>
      <c r="C546" s="421" t="s">
        <v>4464</v>
      </c>
      <c r="D546" s="408">
        <f>IFERROR(MIN('LP Elementos'!F546,'LP Elementos'!I546,'LP Elementos'!N546,'LP Elementos'!S546,'LP Elementos'!X546,'LP Elementos'!AC546,'LP Elementos'!AH546,'LP Elementos'!AM546,'LP Elementos'!AR546,'LP Elementos'!AW546,'LP Elementos'!BB546,'LP Elementos'!BG546,'LP Elementos'!BL546,'LP Elementos'!BQ546,'LP Elementos'!BV546,'LP Elementos'!CA546,'LP Elementos'!CF546,'LP Elementos'!CK546,'LP Elementos'!CP546,'LP Elementos'!CU546,'LP Elementos'!CZ546)," ")</f>
        <v>166600</v>
      </c>
      <c r="E546" s="341">
        <f>IFERROR(AVERAGE('LP Elementos'!F546,'LP Elementos'!I546,'LP Elementos'!N546,'LP Elementos'!S546,'LP Elementos'!X546,'LP Elementos'!AC546,'LP Elementos'!AH546,'LP Elementos'!AM546,'LP Elementos'!AR546,'LP Elementos'!AW546,'LP Elementos'!BB546,'LP Elementos'!BG546,'LP Elementos'!BL546,'LP Elementos'!BQ546,'LP Elementos'!BV546,'LP Elementos'!CA546,'LP Elementos'!CF546,'LP Elementos'!CK546,'LP Elementos'!CP546,'LP Elementos'!CU546,'LP Elementos'!CZ546)," ")</f>
        <v>166600</v>
      </c>
      <c r="F546" s="341">
        <f>IFERROR(MEDIAN('LP Elementos'!F546,'LP Elementos'!I546,'LP Elementos'!N546,'LP Elementos'!S546,'LP Elementos'!X546,'LP Elementos'!AC546,'LP Elementos'!AH546,'LP Elementos'!AM546,'LP Elementos'!AR546,'LP Elementos'!AW546,'LP Elementos'!BB546,'LP Elementos'!BG546,'LP Elementos'!BL546,'LP Elementos'!BQ546,'LP Elementos'!BV546,'LP Elementos'!CA546,'LP Elementos'!CF546,'LP Elementos'!CK546,'LP Elementos'!CP546,'LP Elementos'!CU546,'LP Elementos'!CZ546)," ")</f>
        <v>166600</v>
      </c>
      <c r="G546" s="341">
        <f>IFERROR(GEOMEAN('LP Elementos'!F546,'LP Elementos'!I546,'LP Elementos'!N546,'LP Elementos'!S546,'LP Elementos'!X546,'LP Elementos'!AC546,'LP Elementos'!AH546,'LP Elementos'!AM546,'LP Elementos'!AR546,'LP Elementos'!AW546,'LP Elementos'!BB546,'LP Elementos'!BG546,'LP Elementos'!BL546,'LP Elementos'!BQ546,'LP Elementos'!BV546,'LP Elementos'!CA546,'LP Elementos'!CF546,'LP Elementos'!CK546,'LP Elementos'!CP546,'LP Elementos'!CU546,'LP Elementos'!CZ546)," ")</f>
        <v>166600</v>
      </c>
      <c r="H546" s="341">
        <f t="shared" si="44"/>
        <v>0</v>
      </c>
      <c r="I546" s="342">
        <f t="shared" si="45"/>
        <v>0</v>
      </c>
      <c r="J546" s="341">
        <f t="shared" si="46"/>
        <v>166600</v>
      </c>
      <c r="K546" s="326" t="str">
        <f t="shared" si="47"/>
        <v>Menor Valor</v>
      </c>
      <c r="L546" s="326">
        <f>IFERROR(COUNTA('LP Elementos'!F546,'LP Elementos'!I546,'LP Elementos'!N546,'LP Elementos'!S546,'LP Elementos'!X546,'LP Elementos'!AC546,'LP Elementos'!AH546,'LP Elementos'!AM546,'LP Elementos'!AR546,'LP Elementos'!AX546,'LP Elementos'!BB546,'LP Elementos'!BG546,'LP Elementos'!BL546,'LP Elementos'!BQ546,'LP Elementos'!BV546,'LP Elementos'!CA546,'LP Elementos'!CF546,'LP Elementos'!CK546,'LP Elementos'!CP546,'LP Elementos'!CU546,'LP Elementos'!CZ546)," ")</f>
        <v>1</v>
      </c>
    </row>
    <row r="547" spans="2:12" x14ac:dyDescent="0.25">
      <c r="B547" s="411">
        <v>545</v>
      </c>
      <c r="C547" s="423" t="s">
        <v>4465</v>
      </c>
      <c r="D547" s="408">
        <f>IFERROR(MIN('LP Elementos'!F547,'LP Elementos'!I547,'LP Elementos'!N547,'LP Elementos'!S547,'LP Elementos'!X547,'LP Elementos'!AC547,'LP Elementos'!AH547,'LP Elementos'!AM547,'LP Elementos'!AR547,'LP Elementos'!AW547,'LP Elementos'!BB547,'LP Elementos'!BG547,'LP Elementos'!BL547,'LP Elementos'!BQ547,'LP Elementos'!BV547,'LP Elementos'!CA547,'LP Elementos'!CF547,'LP Elementos'!CK547,'LP Elementos'!CP547,'LP Elementos'!CU547,'LP Elementos'!CZ547)," ")</f>
        <v>261800</v>
      </c>
      <c r="E547" s="341">
        <f>IFERROR(AVERAGE('LP Elementos'!F547,'LP Elementos'!I547,'LP Elementos'!N547,'LP Elementos'!S547,'LP Elementos'!X547,'LP Elementos'!AC547,'LP Elementos'!AH547,'LP Elementos'!AM547,'LP Elementos'!AR547,'LP Elementos'!AW547,'LP Elementos'!BB547,'LP Elementos'!BG547,'LP Elementos'!BL547,'LP Elementos'!BQ547,'LP Elementos'!BV547,'LP Elementos'!CA547,'LP Elementos'!CF547,'LP Elementos'!CK547,'LP Elementos'!CP547,'LP Elementos'!CU547,'LP Elementos'!CZ547)," ")</f>
        <v>271670.33600000001</v>
      </c>
      <c r="F547" s="341">
        <f>IFERROR(MEDIAN('LP Elementos'!F547,'LP Elementos'!I547,'LP Elementos'!N547,'LP Elementos'!S547,'LP Elementos'!X547,'LP Elementos'!AC547,'LP Elementos'!AH547,'LP Elementos'!AM547,'LP Elementos'!AR547,'LP Elementos'!AW547,'LP Elementos'!BB547,'LP Elementos'!BG547,'LP Elementos'!BL547,'LP Elementos'!BQ547,'LP Elementos'!BV547,'LP Elementos'!CA547,'LP Elementos'!CF547,'LP Elementos'!CK547,'LP Elementos'!CP547,'LP Elementos'!CU547,'LP Elementos'!CZ547)," ")</f>
        <v>271670.33600000001</v>
      </c>
      <c r="G547" s="341">
        <f>IFERROR(GEOMEAN('LP Elementos'!F547,'LP Elementos'!I547,'LP Elementos'!N547,'LP Elementos'!S547,'LP Elementos'!X547,'LP Elementos'!AC547,'LP Elementos'!AH547,'LP Elementos'!AM547,'LP Elementos'!AR547,'LP Elementos'!AW547,'LP Elementos'!BB547,'LP Elementos'!BG547,'LP Elementos'!BL547,'LP Elementos'!BQ547,'LP Elementos'!BV547,'LP Elementos'!CA547,'LP Elementos'!CF547,'LP Elementos'!CK547,'LP Elementos'!CP547,'LP Elementos'!CU547,'LP Elementos'!CZ547)," ")</f>
        <v>271490.97209594282</v>
      </c>
      <c r="H547" s="341">
        <f t="shared" si="44"/>
        <v>4906.0026879518737</v>
      </c>
      <c r="I547" s="342">
        <f t="shared" si="45"/>
        <v>1.8058661686021816E-2</v>
      </c>
      <c r="J547" s="341">
        <f t="shared" si="46"/>
        <v>271670.33600000001</v>
      </c>
      <c r="K547" s="326" t="str">
        <f t="shared" si="47"/>
        <v>Promedio</v>
      </c>
      <c r="L547" s="326">
        <f>IFERROR(COUNTA('LP Elementos'!F547,'LP Elementos'!I547,'LP Elementos'!N547,'LP Elementos'!S547,'LP Elementos'!X547,'LP Elementos'!AC547,'LP Elementos'!AH547,'LP Elementos'!AM547,'LP Elementos'!AR547,'LP Elementos'!AX547,'LP Elementos'!BB547,'LP Elementos'!BG547,'LP Elementos'!BL547,'LP Elementos'!BQ547,'LP Elementos'!BV547,'LP Elementos'!CA547,'LP Elementos'!CF547,'LP Elementos'!CK547,'LP Elementos'!CP547,'LP Elementos'!CU547,'LP Elementos'!CZ547)," ")</f>
        <v>2</v>
      </c>
    </row>
    <row r="548" spans="2:12" ht="27" x14ac:dyDescent="0.25">
      <c r="B548" s="411">
        <v>546</v>
      </c>
      <c r="C548" s="423" t="s">
        <v>4467</v>
      </c>
      <c r="D548" s="408">
        <f>IFERROR(MIN('LP Elementos'!F548,'LP Elementos'!I548,'LP Elementos'!N548,'LP Elementos'!S548,'LP Elementos'!X548,'LP Elementos'!AC548,'LP Elementos'!AH548,'LP Elementos'!AM548,'LP Elementos'!AR548,'LP Elementos'!AW548,'LP Elementos'!BB548,'LP Elementos'!BG548,'LP Elementos'!BL548,'LP Elementos'!BQ548,'LP Elementos'!BV548,'LP Elementos'!CA548,'LP Elementos'!CF548,'LP Elementos'!CK548,'LP Elementos'!CP548,'LP Elementos'!CU548,'LP Elementos'!CZ548)," ")</f>
        <v>14280</v>
      </c>
      <c r="E548" s="341">
        <f>IFERROR(AVERAGE('LP Elementos'!F548,'LP Elementos'!I548,'LP Elementos'!N548,'LP Elementos'!S548,'LP Elementos'!X548,'LP Elementos'!AC548,'LP Elementos'!AH548,'LP Elementos'!AM548,'LP Elementos'!AR548,'LP Elementos'!AW548,'LP Elementos'!BB548,'LP Elementos'!BG548,'LP Elementos'!BL548,'LP Elementos'!BQ548,'LP Elementos'!BV548,'LP Elementos'!CA548,'LP Elementos'!CF548,'LP Elementos'!CK548,'LP Elementos'!CP548,'LP Elementos'!CU548,'LP Elementos'!CZ548)," ")</f>
        <v>21279.877500000002</v>
      </c>
      <c r="F548" s="341">
        <f>IFERROR(MEDIAN('LP Elementos'!F548,'LP Elementos'!I548,'LP Elementos'!N548,'LP Elementos'!S548,'LP Elementos'!X548,'LP Elementos'!AC548,'LP Elementos'!AH548,'LP Elementos'!AM548,'LP Elementos'!AR548,'LP Elementos'!AW548,'LP Elementos'!BB548,'LP Elementos'!BG548,'LP Elementos'!BL548,'LP Elementos'!BQ548,'LP Elementos'!BV548,'LP Elementos'!CA548,'LP Elementos'!CF548,'LP Elementos'!CK548,'LP Elementos'!CP548,'LP Elementos'!CU548,'LP Elementos'!CZ548)," ")</f>
        <v>21279.877500000002</v>
      </c>
      <c r="G548" s="341">
        <f>IFERROR(GEOMEAN('LP Elementos'!F548,'LP Elementos'!I548,'LP Elementos'!N548,'LP Elementos'!S548,'LP Elementos'!X548,'LP Elementos'!AC548,'LP Elementos'!AH548,'LP Elementos'!AM548,'LP Elementos'!AR548,'LP Elementos'!AW548,'LP Elementos'!BB548,'LP Elementos'!BG548,'LP Elementos'!BL548,'LP Elementos'!BQ548,'LP Elementos'!BV548,'LP Elementos'!CA548,'LP Elementos'!CF548,'LP Elementos'!CK548,'LP Elementos'!CP548,'LP Elementos'!CU548,'LP Elementos'!CZ548)," ")</f>
        <v>20095.643841390105</v>
      </c>
      <c r="H548" s="341">
        <f t="shared" si="44"/>
        <v>3349.4166412013778</v>
      </c>
      <c r="I548" s="342">
        <f t="shared" si="45"/>
        <v>0.15739830462846308</v>
      </c>
      <c r="J548" s="341">
        <f t="shared" si="46"/>
        <v>21279.877500000002</v>
      </c>
      <c r="K548" s="326" t="str">
        <f t="shared" si="47"/>
        <v>Promedio</v>
      </c>
      <c r="L548" s="326">
        <f>IFERROR(COUNTA('LP Elementos'!F548,'LP Elementos'!I548,'LP Elementos'!N548,'LP Elementos'!S548,'LP Elementos'!X548,'LP Elementos'!AC548,'LP Elementos'!AH548,'LP Elementos'!AM548,'LP Elementos'!AR548,'LP Elementos'!AX548,'LP Elementos'!BB548,'LP Elementos'!BG548,'LP Elementos'!BL548,'LP Elementos'!BQ548,'LP Elementos'!BV548,'LP Elementos'!CA548,'LP Elementos'!CF548,'LP Elementos'!CK548,'LP Elementos'!CP548,'LP Elementos'!CU548,'LP Elementos'!CZ548)," ")</f>
        <v>2</v>
      </c>
    </row>
    <row r="549" spans="2:12" ht="27" x14ac:dyDescent="0.25">
      <c r="B549" s="411">
        <v>547</v>
      </c>
      <c r="C549" s="423" t="s">
        <v>4471</v>
      </c>
      <c r="D549" s="408">
        <f>IFERROR(MIN('LP Elementos'!F549,'LP Elementos'!I549,'LP Elementos'!N549,'LP Elementos'!S549,'LP Elementos'!X549,'LP Elementos'!AC549,'LP Elementos'!AH549,'LP Elementos'!AM549,'LP Elementos'!AR549,'LP Elementos'!AW549,'LP Elementos'!BB549,'LP Elementos'!BG549,'LP Elementos'!BL549,'LP Elementos'!BQ549,'LP Elementos'!BV549,'LP Elementos'!CA549,'LP Elementos'!CF549,'LP Elementos'!CK549,'LP Elementos'!CP549,'LP Elementos'!CU549,'LP Elementos'!CZ549)," ")</f>
        <v>301650.72000000003</v>
      </c>
      <c r="E549" s="341">
        <f>IFERROR(AVERAGE('LP Elementos'!F549,'LP Elementos'!I549,'LP Elementos'!N549,'LP Elementos'!S549,'LP Elementos'!X549,'LP Elementos'!AC549,'LP Elementos'!AH549,'LP Elementos'!AM549,'LP Elementos'!AR549,'LP Elementos'!AW549,'LP Elementos'!BB549,'LP Elementos'!BG549,'LP Elementos'!BL549,'LP Elementos'!BQ549,'LP Elementos'!BV549,'LP Elementos'!CA549,'LP Elementos'!CF549,'LP Elementos'!CK549,'LP Elementos'!CP549,'LP Elementos'!CU549,'LP Elementos'!CZ549)," ")</f>
        <v>329325.36</v>
      </c>
      <c r="F549" s="341">
        <f>IFERROR(MEDIAN('LP Elementos'!F549,'LP Elementos'!I549,'LP Elementos'!N549,'LP Elementos'!S549,'LP Elementos'!X549,'LP Elementos'!AC549,'LP Elementos'!AH549,'LP Elementos'!AM549,'LP Elementos'!AR549,'LP Elementos'!AW549,'LP Elementos'!BB549,'LP Elementos'!BG549,'LP Elementos'!BL549,'LP Elementos'!BQ549,'LP Elementos'!BV549,'LP Elementos'!CA549,'LP Elementos'!CF549,'LP Elementos'!CK549,'LP Elementos'!CP549,'LP Elementos'!CU549,'LP Elementos'!CZ549)," ")</f>
        <v>329325.36</v>
      </c>
      <c r="G549" s="341">
        <f>IFERROR(GEOMEAN('LP Elementos'!F549,'LP Elementos'!I549,'LP Elementos'!N549,'LP Elementos'!S549,'LP Elementos'!X549,'LP Elementos'!AC549,'LP Elementos'!AH549,'LP Elementos'!AM549,'LP Elementos'!AR549,'LP Elementos'!AW549,'LP Elementos'!BB549,'LP Elementos'!BG549,'LP Elementos'!BL549,'LP Elementos'!BQ549,'LP Elementos'!BV549,'LP Elementos'!CA549,'LP Elementos'!CF549,'LP Elementos'!CK549,'LP Elementos'!CP549,'LP Elementos'!CU549,'LP Elementos'!CZ549)," ")</f>
        <v>328160.48976072669</v>
      </c>
      <c r="H549" s="341">
        <f t="shared" si="44"/>
        <v>13654.221375257976</v>
      </c>
      <c r="I549" s="342">
        <f t="shared" si="45"/>
        <v>4.1461190159354795E-2</v>
      </c>
      <c r="J549" s="341">
        <f t="shared" si="46"/>
        <v>329325.36</v>
      </c>
      <c r="K549" s="326" t="str">
        <f t="shared" si="47"/>
        <v>Promedio</v>
      </c>
      <c r="L549" s="326">
        <f>IFERROR(COUNTA('LP Elementos'!F549,'LP Elementos'!I549,'LP Elementos'!N549,'LP Elementos'!S549,'LP Elementos'!X549,'LP Elementos'!AC549,'LP Elementos'!AH549,'LP Elementos'!AM549,'LP Elementos'!AR549,'LP Elementos'!AX549,'LP Elementos'!BB549,'LP Elementos'!BG549,'LP Elementos'!BL549,'LP Elementos'!BQ549,'LP Elementos'!BV549,'LP Elementos'!CA549,'LP Elementos'!CF549,'LP Elementos'!CK549,'LP Elementos'!CP549,'LP Elementos'!CU549,'LP Elementos'!CZ549)," ")</f>
        <v>2</v>
      </c>
    </row>
    <row r="550" spans="2:12" x14ac:dyDescent="0.25">
      <c r="B550" s="411">
        <v>548</v>
      </c>
      <c r="C550" s="424" t="s">
        <v>4476</v>
      </c>
      <c r="D550" s="408">
        <f>IFERROR(MIN('LP Elementos'!F550,'LP Elementos'!I550,'LP Elementos'!N550,'LP Elementos'!S550,'LP Elementos'!X550,'LP Elementos'!AC550,'LP Elementos'!AH550,'LP Elementos'!AM550,'LP Elementos'!AR550,'LP Elementos'!AW550,'LP Elementos'!BB550,'LP Elementos'!BG550,'LP Elementos'!BL550,'LP Elementos'!BQ550,'LP Elementos'!BV550,'LP Elementos'!CA550,'LP Elementos'!CF550,'LP Elementos'!CK550,'LP Elementos'!CP550,'LP Elementos'!CU550,'LP Elementos'!CZ550)," ")</f>
        <v>63070</v>
      </c>
      <c r="E550" s="341">
        <f>IFERROR(AVERAGE('LP Elementos'!F550,'LP Elementos'!I550,'LP Elementos'!N550,'LP Elementos'!S550,'LP Elementos'!X550,'LP Elementos'!AC550,'LP Elementos'!AH550,'LP Elementos'!AM550,'LP Elementos'!AR550,'LP Elementos'!AW550,'LP Elementos'!BB550,'LP Elementos'!BG550,'LP Elementos'!BL550,'LP Elementos'!BQ550,'LP Elementos'!BV550,'LP Elementos'!CA550,'LP Elementos'!CF550,'LP Elementos'!CK550,'LP Elementos'!CP550,'LP Elementos'!CU550,'LP Elementos'!CZ550)," ")</f>
        <v>195478.12666666668</v>
      </c>
      <c r="F550" s="341">
        <f>IFERROR(MEDIAN('LP Elementos'!F550,'LP Elementos'!I550,'LP Elementos'!N550,'LP Elementos'!S550,'LP Elementos'!X550,'LP Elementos'!AC550,'LP Elementos'!AH550,'LP Elementos'!AM550,'LP Elementos'!AR550,'LP Elementos'!AW550,'LP Elementos'!BB550,'LP Elementos'!BG550,'LP Elementos'!BL550,'LP Elementos'!BQ550,'LP Elementos'!BV550,'LP Elementos'!CA550,'LP Elementos'!CF550,'LP Elementos'!CK550,'LP Elementos'!CP550,'LP Elementos'!CU550,'LP Elementos'!CZ550)," ")</f>
        <v>259420</v>
      </c>
      <c r="G550" s="341">
        <f>IFERROR(GEOMEAN('LP Elementos'!F550,'LP Elementos'!I550,'LP Elementos'!N550,'LP Elementos'!S550,'LP Elementos'!X550,'LP Elementos'!AC550,'LP Elementos'!AH550,'LP Elementos'!AM550,'LP Elementos'!AR550,'LP Elementos'!AW550,'LP Elementos'!BB550,'LP Elementos'!BG550,'LP Elementos'!BL550,'LP Elementos'!BQ550,'LP Elementos'!BV550,'LP Elementos'!CA550,'LP Elementos'!CF550,'LP Elementos'!CK550,'LP Elementos'!CP550,'LP Elementos'!CU550,'LP Elementos'!CZ550)," ")</f>
        <v>162846.92729663866</v>
      </c>
      <c r="H550" s="341">
        <f t="shared" si="44"/>
        <v>81914.786229962745</v>
      </c>
      <c r="I550" s="342">
        <f t="shared" si="45"/>
        <v>0.41904834892164444</v>
      </c>
      <c r="J550" s="341">
        <f t="shared" si="46"/>
        <v>63070</v>
      </c>
      <c r="K550" s="326" t="str">
        <f t="shared" si="47"/>
        <v>Menor Valor</v>
      </c>
      <c r="L550" s="326">
        <f>IFERROR(COUNTA('LP Elementos'!F550,'LP Elementos'!I550,'LP Elementos'!N550,'LP Elementos'!S550,'LP Elementos'!X550,'LP Elementos'!AC550,'LP Elementos'!AH550,'LP Elementos'!AM550,'LP Elementos'!AR550,'LP Elementos'!AX550,'LP Elementos'!BB550,'LP Elementos'!BG550,'LP Elementos'!BL550,'LP Elementos'!BQ550,'LP Elementos'!BV550,'LP Elementos'!CA550,'LP Elementos'!CF550,'LP Elementos'!CK550,'LP Elementos'!CP550,'LP Elementos'!CU550,'LP Elementos'!CZ550)," ")</f>
        <v>3</v>
      </c>
    </row>
    <row r="551" spans="2:12" ht="67.5" x14ac:dyDescent="0.25">
      <c r="B551" s="411">
        <v>549</v>
      </c>
      <c r="C551" s="415" t="s">
        <v>4480</v>
      </c>
      <c r="D551" s="408">
        <f>IFERROR(MIN('LP Elementos'!F551,'LP Elementos'!I551,'LP Elementos'!N551,'LP Elementos'!S551,'LP Elementos'!X551,'LP Elementos'!AC551,'LP Elementos'!AH551,'LP Elementos'!AM551,'LP Elementos'!AR551,'LP Elementos'!AW551,'LP Elementos'!BB551,'LP Elementos'!BG551,'LP Elementos'!BL551,'LP Elementos'!BQ551,'LP Elementos'!BV551,'LP Elementos'!CA551,'LP Elementos'!CF551,'LP Elementos'!CK551,'LP Elementos'!CP551,'LP Elementos'!CU551,'LP Elementos'!CZ551)," ")</f>
        <v>56188.229999999996</v>
      </c>
      <c r="E551" s="341">
        <f>IFERROR(AVERAGE('LP Elementos'!F551,'LP Elementos'!I551,'LP Elementos'!N551,'LP Elementos'!S551,'LP Elementos'!X551,'LP Elementos'!AC551,'LP Elementos'!AH551,'LP Elementos'!AM551,'LP Elementos'!AR551,'LP Elementos'!AW551,'LP Elementos'!BB551,'LP Elementos'!BG551,'LP Elementos'!BL551,'LP Elementos'!BQ551,'LP Elementos'!BV551,'LP Elementos'!CA551,'LP Elementos'!CF551,'LP Elementos'!CK551,'LP Elementos'!CP551,'LP Elementos'!CU551,'LP Elementos'!CZ551)," ")</f>
        <v>575730.99639999995</v>
      </c>
      <c r="F551" s="341">
        <f>IFERROR(MEDIAN('LP Elementos'!F551,'LP Elementos'!I551,'LP Elementos'!N551,'LP Elementos'!S551,'LP Elementos'!X551,'LP Elementos'!AC551,'LP Elementos'!AH551,'LP Elementos'!AM551,'LP Elementos'!AR551,'LP Elementos'!AW551,'LP Elementos'!BB551,'LP Elementos'!BG551,'LP Elementos'!BL551,'LP Elementos'!BQ551,'LP Elementos'!BV551,'LP Elementos'!CA551,'LP Elementos'!CF551,'LP Elementos'!CK551,'LP Elementos'!CP551,'LP Elementos'!CU551,'LP Elementos'!CZ551)," ")</f>
        <v>678300</v>
      </c>
      <c r="G551" s="341">
        <f>IFERROR(GEOMEAN('LP Elementos'!F551,'LP Elementos'!I551,'LP Elementos'!N551,'LP Elementos'!S551,'LP Elementos'!X551,'LP Elementos'!AC551,'LP Elementos'!AH551,'LP Elementos'!AM551,'LP Elementos'!AR551,'LP Elementos'!AW551,'LP Elementos'!BB551,'LP Elementos'!BG551,'LP Elementos'!BL551,'LP Elementos'!BQ551,'LP Elementos'!BV551,'LP Elementos'!CA551,'LP Elementos'!CF551,'LP Elementos'!CK551,'LP Elementos'!CP551,'LP Elementos'!CU551,'LP Elementos'!CZ551)," ")</f>
        <v>424815.83388951741</v>
      </c>
      <c r="H551" s="341">
        <f t="shared" si="44"/>
        <v>272394.33120695525</v>
      </c>
      <c r="I551" s="342">
        <f t="shared" si="45"/>
        <v>0.47312778521603893</v>
      </c>
      <c r="J551" s="341">
        <f t="shared" si="46"/>
        <v>56188.229999999996</v>
      </c>
      <c r="K551" s="326" t="str">
        <f t="shared" si="47"/>
        <v>Menor Valor</v>
      </c>
      <c r="L551" s="326">
        <f>IFERROR(COUNTA('LP Elementos'!F551,'LP Elementos'!I551,'LP Elementos'!N551,'LP Elementos'!S551,'LP Elementos'!X551,'LP Elementos'!AC551,'LP Elementos'!AH551,'LP Elementos'!AM551,'LP Elementos'!AR551,'LP Elementos'!AX551,'LP Elementos'!BB551,'LP Elementos'!BG551,'LP Elementos'!BL551,'LP Elementos'!BQ551,'LP Elementos'!BV551,'LP Elementos'!CA551,'LP Elementos'!CF551,'LP Elementos'!CK551,'LP Elementos'!CP551,'LP Elementos'!CU551,'LP Elementos'!CZ551)," ")</f>
        <v>5</v>
      </c>
    </row>
    <row r="552" spans="2:12" ht="27" x14ac:dyDescent="0.25">
      <c r="B552" s="411">
        <v>550</v>
      </c>
      <c r="C552" s="412" t="s">
        <v>4486</v>
      </c>
      <c r="D552" s="408">
        <f>IFERROR(MIN('LP Elementos'!F552,'LP Elementos'!I552,'LP Elementos'!N552,'LP Elementos'!S552,'LP Elementos'!X552,'LP Elementos'!AC552,'LP Elementos'!AH552,'LP Elementos'!AM552,'LP Elementos'!AR552,'LP Elementos'!AW552,'LP Elementos'!BB552,'LP Elementos'!BG552,'LP Elementos'!BL552,'LP Elementos'!BQ552,'LP Elementos'!BV552,'LP Elementos'!CA552,'LP Elementos'!CF552,'LP Elementos'!CK552,'LP Elementos'!CP552,'LP Elementos'!CU552,'LP Elementos'!CZ552)," ")</f>
        <v>535500</v>
      </c>
      <c r="E552" s="341">
        <f>IFERROR(AVERAGE('LP Elementos'!F552,'LP Elementos'!I552,'LP Elementos'!N552,'LP Elementos'!S552,'LP Elementos'!X552,'LP Elementos'!AC552,'LP Elementos'!AH552,'LP Elementos'!AM552,'LP Elementos'!AR552,'LP Elementos'!AW552,'LP Elementos'!BB552,'LP Elementos'!BG552,'LP Elementos'!BL552,'LP Elementos'!BQ552,'LP Elementos'!BV552,'LP Elementos'!CA552,'LP Elementos'!CF552,'LP Elementos'!CK552,'LP Elementos'!CP552,'LP Elementos'!CU552,'LP Elementos'!CZ552)," ")</f>
        <v>890439.45550000016</v>
      </c>
      <c r="F552" s="341">
        <f>IFERROR(MEDIAN('LP Elementos'!F552,'LP Elementos'!I552,'LP Elementos'!N552,'LP Elementos'!S552,'LP Elementos'!X552,'LP Elementos'!AC552,'LP Elementos'!AH552,'LP Elementos'!AM552,'LP Elementos'!AR552,'LP Elementos'!AW552,'LP Elementos'!BB552,'LP Elementos'!BG552,'LP Elementos'!BL552,'LP Elementos'!BQ552,'LP Elementos'!BV552,'LP Elementos'!CA552,'LP Elementos'!CF552,'LP Elementos'!CK552,'LP Elementos'!CP552,'LP Elementos'!CU552,'LP Elementos'!CZ552)," ")</f>
        <v>875891.76500000001</v>
      </c>
      <c r="G552" s="341">
        <f>IFERROR(GEOMEAN('LP Elementos'!F552,'LP Elementos'!I552,'LP Elementos'!N552,'LP Elementos'!S552,'LP Elementos'!X552,'LP Elementos'!AC552,'LP Elementos'!AH552,'LP Elementos'!AM552,'LP Elementos'!AR552,'LP Elementos'!AW552,'LP Elementos'!BB552,'LP Elementos'!BG552,'LP Elementos'!BL552,'LP Elementos'!BQ552,'LP Elementos'!BV552,'LP Elementos'!CA552,'LP Elementos'!CF552,'LP Elementos'!CK552,'LP Elementos'!CP552,'LP Elementos'!CU552,'LP Elementos'!CZ552)," ")</f>
        <v>850578.13046386407</v>
      </c>
      <c r="H552" s="341">
        <f t="shared" si="44"/>
        <v>169205.03826053857</v>
      </c>
      <c r="I552" s="342">
        <f t="shared" si="45"/>
        <v>0.19002419222935987</v>
      </c>
      <c r="J552" s="341">
        <f t="shared" si="46"/>
        <v>890439.45550000016</v>
      </c>
      <c r="K552" s="326" t="str">
        <f t="shared" si="47"/>
        <v>Promedio</v>
      </c>
      <c r="L552" s="326">
        <f>IFERROR(COUNTA('LP Elementos'!F552,'LP Elementos'!I552,'LP Elementos'!N552,'LP Elementos'!S552,'LP Elementos'!X552,'LP Elementos'!AC552,'LP Elementos'!AH552,'LP Elementos'!AM552,'LP Elementos'!AR552,'LP Elementos'!AX552,'LP Elementos'!BB552,'LP Elementos'!BG552,'LP Elementos'!BL552,'LP Elementos'!BQ552,'LP Elementos'!BV552,'LP Elementos'!CA552,'LP Elementos'!CF552,'LP Elementos'!CK552,'LP Elementos'!CP552,'LP Elementos'!CU552,'LP Elementos'!CZ552)," ")</f>
        <v>4</v>
      </c>
    </row>
    <row r="553" spans="2:12" ht="81" x14ac:dyDescent="0.25">
      <c r="B553" s="411">
        <v>551</v>
      </c>
      <c r="C553" s="412" t="s">
        <v>4492</v>
      </c>
      <c r="D553" s="408">
        <f>IFERROR(MIN('LP Elementos'!F553,'LP Elementos'!I553,'LP Elementos'!N553,'LP Elementos'!S553,'LP Elementos'!X553,'LP Elementos'!AC553,'LP Elementos'!AH553,'LP Elementos'!AM553,'LP Elementos'!AR553,'LP Elementos'!AW553,'LP Elementos'!BB553,'LP Elementos'!BG553,'LP Elementos'!BL553,'LP Elementos'!BQ553,'LP Elementos'!BV553,'LP Elementos'!CA553,'LP Elementos'!CF553,'LP Elementos'!CK553,'LP Elementos'!CP553,'LP Elementos'!CU553,'LP Elementos'!CZ553)," ")</f>
        <v>56188.229999999996</v>
      </c>
      <c r="E553" s="341">
        <f>IFERROR(AVERAGE('LP Elementos'!F553,'LP Elementos'!I553,'LP Elementos'!N553,'LP Elementos'!S553,'LP Elementos'!X553,'LP Elementos'!AC553,'LP Elementos'!AH553,'LP Elementos'!AM553,'LP Elementos'!AR553,'LP Elementos'!AW553,'LP Elementos'!BB553,'LP Elementos'!BG553,'LP Elementos'!BL553,'LP Elementos'!BQ553,'LP Elementos'!BV553,'LP Elementos'!CA553,'LP Elementos'!CF553,'LP Elementos'!CK553,'LP Elementos'!CP553,'LP Elementos'!CU553,'LP Elementos'!CZ553)," ")</f>
        <v>780764.0932</v>
      </c>
      <c r="F553" s="341">
        <f>IFERROR(MEDIAN('LP Elementos'!F553,'LP Elementos'!I553,'LP Elementos'!N553,'LP Elementos'!S553,'LP Elementos'!X553,'LP Elementos'!AC553,'LP Elementos'!AH553,'LP Elementos'!AM553,'LP Elementos'!AR553,'LP Elementos'!AW553,'LP Elementos'!BB553,'LP Elementos'!BG553,'LP Elementos'!BL553,'LP Elementos'!BQ553,'LP Elementos'!BV553,'LP Elementos'!CA553,'LP Elementos'!CF553,'LP Elementos'!CK553,'LP Elementos'!CP553,'LP Elementos'!CU553,'LP Elementos'!CZ553)," ")</f>
        <v>805630</v>
      </c>
      <c r="G553" s="341">
        <f>IFERROR(GEOMEAN('LP Elementos'!F553,'LP Elementos'!I553,'LP Elementos'!N553,'LP Elementos'!S553,'LP Elementos'!X553,'LP Elementos'!AC553,'LP Elementos'!AH553,'LP Elementos'!AM553,'LP Elementos'!AR553,'LP Elementos'!AW553,'LP Elementos'!BB553,'LP Elementos'!BG553,'LP Elementos'!BL553,'LP Elementos'!BQ553,'LP Elementos'!BV553,'LP Elementos'!CA553,'LP Elementos'!CF553,'LP Elementos'!CK553,'LP Elementos'!CP553,'LP Elementos'!CU553,'LP Elementos'!CZ553)," ")</f>
        <v>526620.98093950655</v>
      </c>
      <c r="H553" s="341">
        <f t="shared" si="44"/>
        <v>347734.71555876278</v>
      </c>
      <c r="I553" s="342">
        <f t="shared" si="45"/>
        <v>0.4453774431833244</v>
      </c>
      <c r="J553" s="341">
        <f t="shared" si="46"/>
        <v>56188.229999999996</v>
      </c>
      <c r="K553" s="326" t="str">
        <f t="shared" si="47"/>
        <v>Menor Valor</v>
      </c>
      <c r="L553" s="326">
        <f>IFERROR(COUNTA('LP Elementos'!F553,'LP Elementos'!I553,'LP Elementos'!N553,'LP Elementos'!S553,'LP Elementos'!X553,'LP Elementos'!AC553,'LP Elementos'!AH553,'LP Elementos'!AM553,'LP Elementos'!AR553,'LP Elementos'!AX553,'LP Elementos'!BB553,'LP Elementos'!BG553,'LP Elementos'!BL553,'LP Elementos'!BQ553,'LP Elementos'!BV553,'LP Elementos'!CA553,'LP Elementos'!CF553,'LP Elementos'!CK553,'LP Elementos'!CP553,'LP Elementos'!CU553,'LP Elementos'!CZ553)," ")</f>
        <v>5</v>
      </c>
    </row>
    <row r="554" spans="2:12" x14ac:dyDescent="0.25">
      <c r="B554" s="411">
        <v>552</v>
      </c>
      <c r="C554" s="412" t="s">
        <v>4498</v>
      </c>
      <c r="D554" s="408">
        <f>IFERROR(MIN('LP Elementos'!F554,'LP Elementos'!I554,'LP Elementos'!N554,'LP Elementos'!S554,'LP Elementos'!X554,'LP Elementos'!AC554,'LP Elementos'!AH554,'LP Elementos'!AM554,'LP Elementos'!AR554,'LP Elementos'!AW554,'LP Elementos'!BB554,'LP Elementos'!BG554,'LP Elementos'!BL554,'LP Elementos'!BQ554,'LP Elementos'!BV554,'LP Elementos'!CA554,'LP Elementos'!CF554,'LP Elementos'!CK554,'LP Elementos'!CP554,'LP Elementos'!CU554,'LP Elementos'!CZ554)," ")</f>
        <v>903210</v>
      </c>
      <c r="E554" s="341">
        <f>IFERROR(AVERAGE('LP Elementos'!F554,'LP Elementos'!I554,'LP Elementos'!N554,'LP Elementos'!S554,'LP Elementos'!X554,'LP Elementos'!AC554,'LP Elementos'!AH554,'LP Elementos'!AM554,'LP Elementos'!AR554,'LP Elementos'!AW554,'LP Elementos'!BB554,'LP Elementos'!BG554,'LP Elementos'!BL554,'LP Elementos'!BQ554,'LP Elementos'!BV554,'LP Elementos'!CA554,'LP Elementos'!CF554,'LP Elementos'!CK554,'LP Elementos'!CP554,'LP Elementos'!CU554,'LP Elementos'!CZ554)," ")</f>
        <v>939902.103</v>
      </c>
      <c r="F554" s="341">
        <f>IFERROR(MEDIAN('LP Elementos'!F554,'LP Elementos'!I554,'LP Elementos'!N554,'LP Elementos'!S554,'LP Elementos'!X554,'LP Elementos'!AC554,'LP Elementos'!AH554,'LP Elementos'!AM554,'LP Elementos'!AR554,'LP Elementos'!AW554,'LP Elementos'!BB554,'LP Elementos'!BG554,'LP Elementos'!BL554,'LP Elementos'!BQ554,'LP Elementos'!BV554,'LP Elementos'!CA554,'LP Elementos'!CF554,'LP Elementos'!CK554,'LP Elementos'!CP554,'LP Elementos'!CU554,'LP Elementos'!CZ554)," ")</f>
        <v>939902.103</v>
      </c>
      <c r="G554" s="341">
        <f>IFERROR(GEOMEAN('LP Elementos'!F554,'LP Elementos'!I554,'LP Elementos'!N554,'LP Elementos'!S554,'LP Elementos'!X554,'LP Elementos'!AC554,'LP Elementos'!AH554,'LP Elementos'!AM554,'LP Elementos'!AR554,'LP Elementos'!AW554,'LP Elementos'!BB554,'LP Elementos'!BG554,'LP Elementos'!BL554,'LP Elementos'!BQ554,'LP Elementos'!BV554,'LP Elementos'!CA554,'LP Elementos'!CF554,'LP Elementos'!CK554,'LP Elementos'!CP554,'LP Elementos'!CU554,'LP Elementos'!CZ554)," ")</f>
        <v>939185.6327698268</v>
      </c>
      <c r="H554" s="341">
        <f t="shared" si="44"/>
        <v>18229.768826236075</v>
      </c>
      <c r="I554" s="342">
        <f t="shared" si="45"/>
        <v>1.9395391039183658E-2</v>
      </c>
      <c r="J554" s="341">
        <f t="shared" si="46"/>
        <v>939902.103</v>
      </c>
      <c r="K554" s="326" t="str">
        <f t="shared" si="47"/>
        <v>Promedio</v>
      </c>
      <c r="L554" s="326">
        <f>IFERROR(COUNTA('LP Elementos'!F554,'LP Elementos'!I554,'LP Elementos'!N554,'LP Elementos'!S554,'LP Elementos'!X554,'LP Elementos'!AC554,'LP Elementos'!AH554,'LP Elementos'!AM554,'LP Elementos'!AR554,'LP Elementos'!AX554,'LP Elementos'!BB554,'LP Elementos'!BG554,'LP Elementos'!BL554,'LP Elementos'!BQ554,'LP Elementos'!BV554,'LP Elementos'!CA554,'LP Elementos'!CF554,'LP Elementos'!CK554,'LP Elementos'!CP554,'LP Elementos'!CU554,'LP Elementos'!CZ554)," ")</f>
        <v>2</v>
      </c>
    </row>
    <row r="555" spans="2:12" ht="40.5" x14ac:dyDescent="0.25">
      <c r="B555" s="411">
        <v>553</v>
      </c>
      <c r="C555" s="409" t="s">
        <v>4502</v>
      </c>
      <c r="D555" s="408">
        <f>IFERROR(MIN('LP Elementos'!F555,'LP Elementos'!I555,'LP Elementos'!N555,'LP Elementos'!S555,'LP Elementos'!X555,'LP Elementos'!AC555,'LP Elementos'!AH555,'LP Elementos'!AM555,'LP Elementos'!AR555,'LP Elementos'!AW555,'LP Elementos'!BB555,'LP Elementos'!BG555,'LP Elementos'!BL555,'LP Elementos'!BQ555,'LP Elementos'!BV555,'LP Elementos'!CA555,'LP Elementos'!CF555,'LP Elementos'!CK555,'LP Elementos'!CP555,'LP Elementos'!CU555,'LP Elementos'!CZ555)," ")</f>
        <v>66071.647200000007</v>
      </c>
      <c r="E555" s="341">
        <f>IFERROR(AVERAGE('LP Elementos'!F555,'LP Elementos'!I555,'LP Elementos'!N555,'LP Elementos'!S555,'LP Elementos'!X555,'LP Elementos'!AC555,'LP Elementos'!AH555,'LP Elementos'!AM555,'LP Elementos'!AR555,'LP Elementos'!AW555,'LP Elementos'!BB555,'LP Elementos'!BG555,'LP Elementos'!BL555,'LP Elementos'!BQ555,'LP Elementos'!BV555,'LP Elementos'!CA555,'LP Elementos'!CF555,'LP Elementos'!CK555,'LP Elementos'!CP555,'LP Elementos'!CU555,'LP Elementos'!CZ555)," ")</f>
        <v>240190.54906666666</v>
      </c>
      <c r="F555" s="341">
        <f>IFERROR(MEDIAN('LP Elementos'!F555,'LP Elementos'!I555,'LP Elementos'!N555,'LP Elementos'!S555,'LP Elementos'!X555,'LP Elementos'!AC555,'LP Elementos'!AH555,'LP Elementos'!AM555,'LP Elementos'!AR555,'LP Elementos'!AW555,'LP Elementos'!BB555,'LP Elementos'!BG555,'LP Elementos'!BL555,'LP Elementos'!BQ555,'LP Elementos'!BV555,'LP Elementos'!CA555,'LP Elementos'!CF555,'LP Elementos'!CK555,'LP Elementos'!CP555,'LP Elementos'!CU555,'LP Elementos'!CZ555)," ")</f>
        <v>297500</v>
      </c>
      <c r="G555" s="341">
        <f>IFERROR(GEOMEAN('LP Elementos'!F555,'LP Elementos'!I555,'LP Elementos'!N555,'LP Elementos'!S555,'LP Elementos'!X555,'LP Elementos'!AC555,'LP Elementos'!AH555,'LP Elementos'!AM555,'LP Elementos'!AR555,'LP Elementos'!AW555,'LP Elementos'!BB555,'LP Elementos'!BG555,'LP Elementos'!BL555,'LP Elementos'!BQ555,'LP Elementos'!BV555,'LP Elementos'!CA555,'LP Elementos'!CF555,'LP Elementos'!CK555,'LP Elementos'!CP555,'LP Elementos'!CU555,'LP Elementos'!CZ555)," ")</f>
        <v>191450.61837556929</v>
      </c>
      <c r="H555" s="341">
        <f t="shared" si="44"/>
        <v>98532.053258908607</v>
      </c>
      <c r="I555" s="342">
        <f t="shared" si="45"/>
        <v>0.41022452232939566</v>
      </c>
      <c r="J555" s="341">
        <f>IF(I555&lt;=10%,F555,IF(AND(I555&gt;10%,I555&lt;=20%),E555,IF(AND(I555&gt;20%,I555&lt;=42%),G555,IF(I555&gt;42%,D555))))</f>
        <v>191450.61837556929</v>
      </c>
      <c r="K555" s="326" t="str">
        <f t="shared" si="47"/>
        <v>Media Geometrica</v>
      </c>
      <c r="L555" s="326">
        <f>IFERROR(COUNTA('LP Elementos'!F555,'LP Elementos'!I555,'LP Elementos'!N555,'LP Elementos'!S555,'LP Elementos'!X555,'LP Elementos'!AC555,'LP Elementos'!AH555,'LP Elementos'!AM555,'LP Elementos'!AR555,'LP Elementos'!AX555,'LP Elementos'!BB555,'LP Elementos'!BG555,'LP Elementos'!BL555,'LP Elementos'!BQ555,'LP Elementos'!BV555,'LP Elementos'!CA555,'LP Elementos'!CF555,'LP Elementos'!CK555,'LP Elementos'!CP555,'LP Elementos'!CU555,'LP Elementos'!CZ555)," ")</f>
        <v>3</v>
      </c>
    </row>
    <row r="556" spans="2:12" ht="27" x14ac:dyDescent="0.25">
      <c r="B556" s="411">
        <v>554</v>
      </c>
      <c r="C556" s="412" t="s">
        <v>4505</v>
      </c>
      <c r="D556" s="408">
        <f>IFERROR(MIN('LP Elementos'!F556,'LP Elementos'!I556,'LP Elementos'!N556,'LP Elementos'!S556,'LP Elementos'!X556,'LP Elementos'!AC556,'LP Elementos'!AH556,'LP Elementos'!AM556,'LP Elementos'!AR556,'LP Elementos'!AW556,'LP Elementos'!BB556,'LP Elementos'!BG556,'LP Elementos'!BL556,'LP Elementos'!BQ556,'LP Elementos'!BV556,'LP Elementos'!CA556,'LP Elementos'!CF556,'LP Elementos'!CK556,'LP Elementos'!CP556,'LP Elementos'!CU556,'LP Elementos'!CZ556)," ")</f>
        <v>348155.20600000001</v>
      </c>
      <c r="E556" s="341">
        <f>IFERROR(AVERAGE('LP Elementos'!F556,'LP Elementos'!I556,'LP Elementos'!N556,'LP Elementos'!S556,'LP Elementos'!X556,'LP Elementos'!AC556,'LP Elementos'!AH556,'LP Elementos'!AM556,'LP Elementos'!AR556,'LP Elementos'!AW556,'LP Elementos'!BB556,'LP Elementos'!BG556,'LP Elementos'!BL556,'LP Elementos'!BQ556,'LP Elementos'!BV556,'LP Elementos'!CA556,'LP Elementos'!CF556,'LP Elementos'!CK556,'LP Elementos'!CP556,'LP Elementos'!CU556,'LP Elementos'!CZ556)," ")</f>
        <v>348155.20600000001</v>
      </c>
      <c r="F556" s="341">
        <f>IFERROR(MEDIAN('LP Elementos'!F556,'LP Elementos'!I556,'LP Elementos'!N556,'LP Elementos'!S556,'LP Elementos'!X556,'LP Elementos'!AC556,'LP Elementos'!AH556,'LP Elementos'!AM556,'LP Elementos'!AR556,'LP Elementos'!AW556,'LP Elementos'!BB556,'LP Elementos'!BG556,'LP Elementos'!BL556,'LP Elementos'!BQ556,'LP Elementos'!BV556,'LP Elementos'!CA556,'LP Elementos'!CF556,'LP Elementos'!CK556,'LP Elementos'!CP556,'LP Elementos'!CU556,'LP Elementos'!CZ556)," ")</f>
        <v>348155.20600000001</v>
      </c>
      <c r="G556" s="341">
        <f>IFERROR(GEOMEAN('LP Elementos'!F556,'LP Elementos'!I556,'LP Elementos'!N556,'LP Elementos'!S556,'LP Elementos'!X556,'LP Elementos'!AC556,'LP Elementos'!AH556,'LP Elementos'!AM556,'LP Elementos'!AR556,'LP Elementos'!AW556,'LP Elementos'!BB556,'LP Elementos'!BG556,'LP Elementos'!BL556,'LP Elementos'!BQ556,'LP Elementos'!BV556,'LP Elementos'!CA556,'LP Elementos'!CF556,'LP Elementos'!CK556,'LP Elementos'!CP556,'LP Elementos'!CU556,'LP Elementos'!CZ556)," ")</f>
        <v>348155.20600000001</v>
      </c>
      <c r="H556" s="341">
        <f t="shared" si="44"/>
        <v>0</v>
      </c>
      <c r="I556" s="342">
        <f t="shared" si="45"/>
        <v>0</v>
      </c>
      <c r="J556" s="341">
        <f t="shared" si="46"/>
        <v>348155.20600000001</v>
      </c>
      <c r="K556" s="326" t="str">
        <f t="shared" si="47"/>
        <v>Menor Valor</v>
      </c>
      <c r="L556" s="326">
        <f>IFERROR(COUNTA('LP Elementos'!F556,'LP Elementos'!I556,'LP Elementos'!N556,'LP Elementos'!S556,'LP Elementos'!X556,'LP Elementos'!AC556,'LP Elementos'!AH556,'LP Elementos'!AM556,'LP Elementos'!AR556,'LP Elementos'!AX556,'LP Elementos'!BB556,'LP Elementos'!BG556,'LP Elementos'!BL556,'LP Elementos'!BQ556,'LP Elementos'!BV556,'LP Elementos'!CA556,'LP Elementos'!CF556,'LP Elementos'!CK556,'LP Elementos'!CP556,'LP Elementos'!CU556,'LP Elementos'!CZ556)," ")</f>
        <v>1</v>
      </c>
    </row>
    <row r="557" spans="2:12" ht="27" x14ac:dyDescent="0.25">
      <c r="B557" s="411">
        <v>555</v>
      </c>
      <c r="C557" s="412" t="s">
        <v>4506</v>
      </c>
      <c r="D557" s="408">
        <f>IFERROR(MIN('LP Elementos'!F557,'LP Elementos'!I557,'LP Elementos'!N557,'LP Elementos'!S557,'LP Elementos'!X557,'LP Elementos'!AC557,'LP Elementos'!AH557,'LP Elementos'!AM557,'LP Elementos'!AR557,'LP Elementos'!AW557,'LP Elementos'!BB557,'LP Elementos'!BG557,'LP Elementos'!BL557,'LP Elementos'!BQ557,'LP Elementos'!BV557,'LP Elementos'!CA557,'LP Elementos'!CF557,'LP Elementos'!CK557,'LP Elementos'!CP557,'LP Elementos'!CU557,'LP Elementos'!CZ557)," ")</f>
        <v>2262.3804</v>
      </c>
      <c r="E557" s="341">
        <f>IFERROR(AVERAGE('LP Elementos'!F557,'LP Elementos'!I557,'LP Elementos'!N557,'LP Elementos'!S557,'LP Elementos'!X557,'LP Elementos'!AC557,'LP Elementos'!AH557,'LP Elementos'!AM557,'LP Elementos'!AR557,'LP Elementos'!AW557,'LP Elementos'!BB557,'LP Elementos'!BG557,'LP Elementos'!BL557,'LP Elementos'!BQ557,'LP Elementos'!BV557,'LP Elementos'!CA557,'LP Elementos'!CF557,'LP Elementos'!CK557,'LP Elementos'!CP557,'LP Elementos'!CU557,'LP Elementos'!CZ557)," ")</f>
        <v>2262.3804</v>
      </c>
      <c r="F557" s="341">
        <f>IFERROR(MEDIAN('LP Elementos'!F557,'LP Elementos'!I557,'LP Elementos'!N557,'LP Elementos'!S557,'LP Elementos'!X557,'LP Elementos'!AC557,'LP Elementos'!AH557,'LP Elementos'!AM557,'LP Elementos'!AR557,'LP Elementos'!AW557,'LP Elementos'!BB557,'LP Elementos'!BG557,'LP Elementos'!BL557,'LP Elementos'!BQ557,'LP Elementos'!BV557,'LP Elementos'!CA557,'LP Elementos'!CF557,'LP Elementos'!CK557,'LP Elementos'!CP557,'LP Elementos'!CU557,'LP Elementos'!CZ557)," ")</f>
        <v>2262.3804</v>
      </c>
      <c r="G557" s="341">
        <f>IFERROR(GEOMEAN('LP Elementos'!F557,'LP Elementos'!I557,'LP Elementos'!N557,'LP Elementos'!S557,'LP Elementos'!X557,'LP Elementos'!AC557,'LP Elementos'!AH557,'LP Elementos'!AM557,'LP Elementos'!AR557,'LP Elementos'!AW557,'LP Elementos'!BB557,'LP Elementos'!BG557,'LP Elementos'!BL557,'LP Elementos'!BQ557,'LP Elementos'!BV557,'LP Elementos'!CA557,'LP Elementos'!CF557,'LP Elementos'!CK557,'LP Elementos'!CP557,'LP Elementos'!CU557,'LP Elementos'!CZ557)," ")</f>
        <v>2262.3804</v>
      </c>
      <c r="H557" s="341">
        <f t="shared" si="44"/>
        <v>0</v>
      </c>
      <c r="I557" s="342">
        <f t="shared" si="45"/>
        <v>0</v>
      </c>
      <c r="J557" s="341">
        <f t="shared" si="46"/>
        <v>2262.3804</v>
      </c>
      <c r="K557" s="326" t="str">
        <f t="shared" si="47"/>
        <v>Menor Valor</v>
      </c>
      <c r="L557" s="326">
        <f>IFERROR(COUNTA('LP Elementos'!F557,'LP Elementos'!I557,'LP Elementos'!N557,'LP Elementos'!S557,'LP Elementos'!X557,'LP Elementos'!AC557,'LP Elementos'!AH557,'LP Elementos'!AM557,'LP Elementos'!AR557,'LP Elementos'!AX557,'LP Elementos'!BB557,'LP Elementos'!BG557,'LP Elementos'!BL557,'LP Elementos'!BQ557,'LP Elementos'!BV557,'LP Elementos'!CA557,'LP Elementos'!CF557,'LP Elementos'!CK557,'LP Elementos'!CP557,'LP Elementos'!CU557,'LP Elementos'!CZ557)," ")</f>
        <v>1</v>
      </c>
    </row>
    <row r="558" spans="2:12" ht="27" x14ac:dyDescent="0.25">
      <c r="B558" s="411">
        <v>556</v>
      </c>
      <c r="C558" s="412" t="s">
        <v>4508</v>
      </c>
      <c r="D558" s="408">
        <f>IFERROR(MIN('LP Elementos'!F558,'LP Elementos'!I558,'LP Elementos'!N558,'LP Elementos'!S558,'LP Elementos'!X558,'LP Elementos'!AC558,'LP Elementos'!AH558,'LP Elementos'!AM558,'LP Elementos'!AR558,'LP Elementos'!AW558,'LP Elementos'!BB558,'LP Elementos'!BG558,'LP Elementos'!BL558,'LP Elementos'!BQ558,'LP Elementos'!BV558,'LP Elementos'!CA558,'LP Elementos'!CF558,'LP Elementos'!CK558,'LP Elementos'!CP558,'LP Elementos'!CU558,'LP Elementos'!CZ558)," ")</f>
        <v>167441.49840000001</v>
      </c>
      <c r="E558" s="341">
        <f>IFERROR(AVERAGE('LP Elementos'!F558,'LP Elementos'!I558,'LP Elementos'!N558,'LP Elementos'!S558,'LP Elementos'!X558,'LP Elementos'!AC558,'LP Elementos'!AH558,'LP Elementos'!AM558,'LP Elementos'!AR558,'LP Elementos'!AW558,'LP Elementos'!BB558,'LP Elementos'!BG558,'LP Elementos'!BL558,'LP Elementos'!BQ558,'LP Elementos'!BV558,'LP Elementos'!CA558,'LP Elementos'!CF558,'LP Elementos'!CK558,'LP Elementos'!CP558,'LP Elementos'!CU558,'LP Elementos'!CZ558)," ")</f>
        <v>238420.74920000002</v>
      </c>
      <c r="F558" s="341">
        <f>IFERROR(MEDIAN('LP Elementos'!F558,'LP Elementos'!I558,'LP Elementos'!N558,'LP Elementos'!S558,'LP Elementos'!X558,'LP Elementos'!AC558,'LP Elementos'!AH558,'LP Elementos'!AM558,'LP Elementos'!AR558,'LP Elementos'!AW558,'LP Elementos'!BB558,'LP Elementos'!BG558,'LP Elementos'!BL558,'LP Elementos'!BQ558,'LP Elementos'!BV558,'LP Elementos'!CA558,'LP Elementos'!CF558,'LP Elementos'!CK558,'LP Elementos'!CP558,'LP Elementos'!CU558,'LP Elementos'!CZ558)," ")</f>
        <v>238420.74920000002</v>
      </c>
      <c r="G558" s="341">
        <f>IFERROR(GEOMEAN('LP Elementos'!F558,'LP Elementos'!I558,'LP Elementos'!N558,'LP Elementos'!S558,'LP Elementos'!X558,'LP Elementos'!AC558,'LP Elementos'!AH558,'LP Elementos'!AM558,'LP Elementos'!AR558,'LP Elementos'!AW558,'LP Elementos'!BB558,'LP Elementos'!BG558,'LP Elementos'!BL558,'LP Elementos'!BQ558,'LP Elementos'!BV558,'LP Elementos'!CA558,'LP Elementos'!CF558,'LP Elementos'!CK558,'LP Elementos'!CP558,'LP Elementos'!CU558,'LP Elementos'!CZ558)," ")</f>
        <v>227610.192225568</v>
      </c>
      <c r="H558" s="341">
        <f t="shared" si="44"/>
        <v>34071.14625936994</v>
      </c>
      <c r="I558" s="342">
        <f t="shared" si="45"/>
        <v>0.14290344432559957</v>
      </c>
      <c r="J558" s="341">
        <f t="shared" si="46"/>
        <v>238420.74920000002</v>
      </c>
      <c r="K558" s="326" t="str">
        <f t="shared" si="47"/>
        <v>Promedio</v>
      </c>
      <c r="L558" s="326">
        <f>IFERROR(COUNTA('LP Elementos'!F558,'LP Elementos'!I558,'LP Elementos'!N558,'LP Elementos'!S558,'LP Elementos'!X558,'LP Elementos'!AC558,'LP Elementos'!AH558,'LP Elementos'!AM558,'LP Elementos'!AR558,'LP Elementos'!AX558,'LP Elementos'!BB558,'LP Elementos'!BG558,'LP Elementos'!BL558,'LP Elementos'!BQ558,'LP Elementos'!BV558,'LP Elementos'!CA558,'LP Elementos'!CF558,'LP Elementos'!CK558,'LP Elementos'!CP558,'LP Elementos'!CU558,'LP Elementos'!CZ558)," ")</f>
        <v>2</v>
      </c>
    </row>
    <row r="559" spans="2:12" ht="40.5" x14ac:dyDescent="0.25">
      <c r="B559" s="411">
        <v>557</v>
      </c>
      <c r="C559" s="412" t="s">
        <v>4511</v>
      </c>
      <c r="D559" s="408">
        <f>IFERROR(MIN('LP Elementos'!F559,'LP Elementos'!I559,'LP Elementos'!N559,'LP Elementos'!S559,'LP Elementos'!X559,'LP Elementos'!AC559,'LP Elementos'!AH559,'LP Elementos'!AM559,'LP Elementos'!AR559,'LP Elementos'!AW559,'LP Elementos'!BB559,'LP Elementos'!BG559,'LP Elementos'!BL559,'LP Elementos'!BQ559,'LP Elementos'!BV559,'LP Elementos'!CA559,'LP Elementos'!CF559,'LP Elementos'!CK559,'LP Elementos'!CP559,'LP Elementos'!CU559,'LP Elementos'!CZ559)," ")</f>
        <v>4165</v>
      </c>
      <c r="E559" s="341">
        <f>IFERROR(AVERAGE('LP Elementos'!F559,'LP Elementos'!I559,'LP Elementos'!N559,'LP Elementos'!S559,'LP Elementos'!X559,'LP Elementos'!AC559,'LP Elementos'!AH559,'LP Elementos'!AM559,'LP Elementos'!AR559,'LP Elementos'!AW559,'LP Elementos'!BB559,'LP Elementos'!BG559,'LP Elementos'!BL559,'LP Elementos'!BQ559,'LP Elementos'!BV559,'LP Elementos'!CA559,'LP Elementos'!CF559,'LP Elementos'!CK559,'LP Elementos'!CP559,'LP Elementos'!CU559,'LP Elementos'!CZ559)," ")</f>
        <v>4193.8438000000006</v>
      </c>
      <c r="F559" s="341">
        <f>IFERROR(MEDIAN('LP Elementos'!F559,'LP Elementos'!I559,'LP Elementos'!N559,'LP Elementos'!S559,'LP Elementos'!X559,'LP Elementos'!AC559,'LP Elementos'!AH559,'LP Elementos'!AM559,'LP Elementos'!AR559,'LP Elementos'!AW559,'LP Elementos'!BB559,'LP Elementos'!BG559,'LP Elementos'!BL559,'LP Elementos'!BQ559,'LP Elementos'!BV559,'LP Elementos'!CA559,'LP Elementos'!CF559,'LP Elementos'!CK559,'LP Elementos'!CP559,'LP Elementos'!CU559,'LP Elementos'!CZ559)," ")</f>
        <v>4193.8438000000006</v>
      </c>
      <c r="G559" s="341">
        <f>IFERROR(GEOMEAN('LP Elementos'!F559,'LP Elementos'!I559,'LP Elementos'!N559,'LP Elementos'!S559,'LP Elementos'!X559,'LP Elementos'!AC559,'LP Elementos'!AH559,'LP Elementos'!AM559,'LP Elementos'!AR559,'LP Elementos'!AW559,'LP Elementos'!BB559,'LP Elementos'!BG559,'LP Elementos'!BL559,'LP Elementos'!BQ559,'LP Elementos'!BV559,'LP Elementos'!CA559,'LP Elementos'!CF559,'LP Elementos'!CK559,'LP Elementos'!CP559,'LP Elementos'!CU559,'LP Elementos'!CZ559)," ")</f>
        <v>4193.7446100114394</v>
      </c>
      <c r="H559" s="341">
        <f t="shared" si="44"/>
        <v>14.405444222288166</v>
      </c>
      <c r="I559" s="342">
        <f t="shared" si="45"/>
        <v>3.4349024210887785E-3</v>
      </c>
      <c r="J559" s="341">
        <f t="shared" si="46"/>
        <v>4193.8438000000006</v>
      </c>
      <c r="K559" s="326" t="str">
        <f t="shared" si="47"/>
        <v>Promedio</v>
      </c>
      <c r="L559" s="326">
        <f>IFERROR(COUNTA('LP Elementos'!F559,'LP Elementos'!I559,'LP Elementos'!N559,'LP Elementos'!S559,'LP Elementos'!X559,'LP Elementos'!AC559,'LP Elementos'!AH559,'LP Elementos'!AM559,'LP Elementos'!AR559,'LP Elementos'!AX559,'LP Elementos'!BB559,'LP Elementos'!BG559,'LP Elementos'!BL559,'LP Elementos'!BQ559,'LP Elementos'!BV559,'LP Elementos'!CA559,'LP Elementos'!CF559,'LP Elementos'!CK559,'LP Elementos'!CP559,'LP Elementos'!CU559,'LP Elementos'!CZ559)," ")</f>
        <v>2</v>
      </c>
    </row>
    <row r="560" spans="2:12" ht="27" x14ac:dyDescent="0.25">
      <c r="B560" s="411">
        <v>558</v>
      </c>
      <c r="C560" s="412" t="s">
        <v>4513</v>
      </c>
      <c r="D560" s="408">
        <f>IFERROR(MIN('LP Elementos'!F560,'LP Elementos'!I560,'LP Elementos'!N560,'LP Elementos'!S560,'LP Elementos'!X560,'LP Elementos'!AC560,'LP Elementos'!AH560,'LP Elementos'!AM560,'LP Elementos'!AR560,'LP Elementos'!AW560,'LP Elementos'!BB560,'LP Elementos'!BG560,'LP Elementos'!BL560,'LP Elementos'!BQ560,'LP Elementos'!BV560,'LP Elementos'!CA560,'LP Elementos'!CF560,'LP Elementos'!CK560,'LP Elementos'!CP560,'LP Elementos'!CU560,'LP Elementos'!CZ560)," ")</f>
        <v>411264</v>
      </c>
      <c r="E560" s="341">
        <f>IFERROR(AVERAGE('LP Elementos'!F560,'LP Elementos'!I560,'LP Elementos'!N560,'LP Elementos'!S560,'LP Elementos'!X560,'LP Elementos'!AC560,'LP Elementos'!AH560,'LP Elementos'!AM560,'LP Elementos'!AR560,'LP Elementos'!AW560,'LP Elementos'!BB560,'LP Elementos'!BG560,'LP Elementos'!BL560,'LP Elementos'!BQ560,'LP Elementos'!BV560,'LP Elementos'!CA560,'LP Elementos'!CF560,'LP Elementos'!CK560,'LP Elementos'!CP560,'LP Elementos'!CU560,'LP Elementos'!CZ560)," ")</f>
        <v>578759.91133333335</v>
      </c>
      <c r="F560" s="341">
        <f>IFERROR(MEDIAN('LP Elementos'!F560,'LP Elementos'!I560,'LP Elementos'!N560,'LP Elementos'!S560,'LP Elementos'!X560,'LP Elementos'!AC560,'LP Elementos'!AH560,'LP Elementos'!AM560,'LP Elementos'!AR560,'LP Elementos'!AW560,'LP Elementos'!BB560,'LP Elementos'!BG560,'LP Elementos'!BL560,'LP Elementos'!BQ560,'LP Elementos'!BV560,'LP Elementos'!CA560,'LP Elementos'!CF560,'LP Elementos'!CK560,'LP Elementos'!CP560,'LP Elementos'!CU560,'LP Elementos'!CZ560)," ")</f>
        <v>569365.73400000005</v>
      </c>
      <c r="G560" s="341">
        <f>IFERROR(GEOMEAN('LP Elementos'!F560,'LP Elementos'!I560,'LP Elementos'!N560,'LP Elementos'!S560,'LP Elementos'!X560,'LP Elementos'!AC560,'LP Elementos'!AH560,'LP Elementos'!AM560,'LP Elementos'!AR560,'LP Elementos'!AW560,'LP Elementos'!BB560,'LP Elementos'!BG560,'LP Elementos'!BL560,'LP Elementos'!BQ560,'LP Elementos'!BV560,'LP Elementos'!CA560,'LP Elementos'!CF560,'LP Elementos'!CK560,'LP Elementos'!CP560,'LP Elementos'!CU560,'LP Elementos'!CZ560)," ")</f>
        <v>561406.6717515433</v>
      </c>
      <c r="H560" s="341">
        <f t="shared" si="44"/>
        <v>79606.633230481995</v>
      </c>
      <c r="I560" s="342">
        <f t="shared" si="45"/>
        <v>0.13754690273396117</v>
      </c>
      <c r="J560" s="341">
        <f>IF(I560&lt;=10%,F560,IF(AND(I560&gt;10%,I560&lt;=20%),E560,IF(AND(I560&gt;20%,I560&lt;=30%),G560,IF(I560&gt;30%,D560))))</f>
        <v>578759.91133333335</v>
      </c>
      <c r="K560" s="326" t="str">
        <f t="shared" si="47"/>
        <v>Promedio</v>
      </c>
      <c r="L560" s="326">
        <f>IFERROR(COUNTA('LP Elementos'!F560,'LP Elementos'!I560,'LP Elementos'!N560,'LP Elementos'!S560,'LP Elementos'!X560,'LP Elementos'!AC560,'LP Elementos'!AH560,'LP Elementos'!AM560,'LP Elementos'!AR560,'LP Elementos'!AX560,'LP Elementos'!BB560,'LP Elementos'!BG560,'LP Elementos'!BL560,'LP Elementos'!BQ560,'LP Elementos'!BV560,'LP Elementos'!CA560,'LP Elementos'!CF560,'LP Elementos'!CK560,'LP Elementos'!CP560,'LP Elementos'!CU560,'LP Elementos'!CZ560)," ")</f>
        <v>3</v>
      </c>
    </row>
    <row r="561" spans="2:12" x14ac:dyDescent="0.25">
      <c r="B561" s="411">
        <v>559</v>
      </c>
      <c r="C561" s="412" t="s">
        <v>4518</v>
      </c>
      <c r="D561" s="408">
        <f>IFERROR(MIN('LP Elementos'!F561,'LP Elementos'!I561,'LP Elementos'!N561,'LP Elementos'!S561,'LP Elementos'!X561,'LP Elementos'!AC561,'LP Elementos'!AH561,'LP Elementos'!AM561,'LP Elementos'!AR561,'LP Elementos'!AW561,'LP Elementos'!BB561,'LP Elementos'!BG561,'LP Elementos'!BL561,'LP Elementos'!BQ561,'LP Elementos'!BV561,'LP Elementos'!CA561,'LP Elementos'!CF561,'LP Elementos'!CK561,'LP Elementos'!CP561,'LP Elementos'!CU561,'LP Elementos'!CZ561)," ")</f>
        <v>43990.73</v>
      </c>
      <c r="E561" s="341">
        <f>IFERROR(AVERAGE('LP Elementos'!F561,'LP Elementos'!I561,'LP Elementos'!N561,'LP Elementos'!S561,'LP Elementos'!X561,'LP Elementos'!AC561,'LP Elementos'!AH561,'LP Elementos'!AM561,'LP Elementos'!AR561,'LP Elementos'!AW561,'LP Elementos'!BB561,'LP Elementos'!BG561,'LP Elementos'!BL561,'LP Elementos'!BQ561,'LP Elementos'!BV561,'LP Elementos'!CA561,'LP Elementos'!CF561,'LP Elementos'!CK561,'LP Elementos'!CP561,'LP Elementos'!CU561,'LP Elementos'!CZ561)," ")</f>
        <v>45795.365000000005</v>
      </c>
      <c r="F561" s="341">
        <f>IFERROR(MEDIAN('LP Elementos'!F561,'LP Elementos'!I561,'LP Elementos'!N561,'LP Elementos'!S561,'LP Elementos'!X561,'LP Elementos'!AC561,'LP Elementos'!AH561,'LP Elementos'!AM561,'LP Elementos'!AR561,'LP Elementos'!AW561,'LP Elementos'!BB561,'LP Elementos'!BG561,'LP Elementos'!BL561,'LP Elementos'!BQ561,'LP Elementos'!BV561,'LP Elementos'!CA561,'LP Elementos'!CF561,'LP Elementos'!CK561,'LP Elementos'!CP561,'LP Elementos'!CU561,'LP Elementos'!CZ561)," ")</f>
        <v>45795.365000000005</v>
      </c>
      <c r="G561" s="341">
        <f>IFERROR(GEOMEAN('LP Elementos'!F561,'LP Elementos'!I561,'LP Elementos'!N561,'LP Elementos'!S561,'LP Elementos'!X561,'LP Elementos'!AC561,'LP Elementos'!AH561,'LP Elementos'!AM561,'LP Elementos'!AR561,'LP Elementos'!AW561,'LP Elementos'!BB561,'LP Elementos'!BG561,'LP Elementos'!BL561,'LP Elementos'!BQ561,'LP Elementos'!BV561,'LP Elementos'!CA561,'LP Elementos'!CF561,'LP Elementos'!CK561,'LP Elementos'!CP561,'LP Elementos'!CU561,'LP Elementos'!CZ561)," ")</f>
        <v>45759.794011774138</v>
      </c>
      <c r="H561" s="341">
        <f t="shared" si="44"/>
        <v>896.54582679912596</v>
      </c>
      <c r="I561" s="342">
        <f t="shared" si="45"/>
        <v>1.9577217624515621E-2</v>
      </c>
      <c r="J561" s="341">
        <f t="shared" si="46"/>
        <v>45795.365000000005</v>
      </c>
      <c r="K561" s="326" t="str">
        <f t="shared" si="47"/>
        <v>Promedio</v>
      </c>
      <c r="L561" s="326">
        <f>IFERROR(COUNTA('LP Elementos'!F561,'LP Elementos'!I561,'LP Elementos'!N561,'LP Elementos'!S561,'LP Elementos'!X561,'LP Elementos'!AC561,'LP Elementos'!AH561,'LP Elementos'!AM561,'LP Elementos'!AR561,'LP Elementos'!AX561,'LP Elementos'!BB561,'LP Elementos'!BG561,'LP Elementos'!BL561,'LP Elementos'!BQ561,'LP Elementos'!BV561,'LP Elementos'!CA561,'LP Elementos'!CF561,'LP Elementos'!CK561,'LP Elementos'!CP561,'LP Elementos'!CU561,'LP Elementos'!CZ561)," ")</f>
        <v>2</v>
      </c>
    </row>
    <row r="562" spans="2:12" ht="40.5" x14ac:dyDescent="0.25">
      <c r="B562" s="411">
        <v>560</v>
      </c>
      <c r="C562" s="415" t="s">
        <v>4520</v>
      </c>
      <c r="D562" s="408">
        <f>IFERROR(MIN('LP Elementos'!F562,'LP Elementos'!I562,'LP Elementos'!N562,'LP Elementos'!S562,'LP Elementos'!X562,'LP Elementos'!AC562,'LP Elementos'!AH562,'LP Elementos'!AM562,'LP Elementos'!AR562,'LP Elementos'!AW562,'LP Elementos'!BB562,'LP Elementos'!BG562,'LP Elementos'!BL562,'LP Elementos'!BQ562,'LP Elementos'!BV562,'LP Elementos'!CA562,'LP Elementos'!CF562,'LP Elementos'!CK562,'LP Elementos'!CP562,'LP Elementos'!CU562,'LP Elementos'!CZ562)," ")</f>
        <v>70385.168000000005</v>
      </c>
      <c r="E562" s="341">
        <f>IFERROR(AVERAGE('LP Elementos'!F562,'LP Elementos'!I562,'LP Elementos'!N562,'LP Elementos'!S562,'LP Elementos'!X562,'LP Elementos'!AC562,'LP Elementos'!AH562,'LP Elementos'!AM562,'LP Elementos'!AR562,'LP Elementos'!AW562,'LP Elementos'!BB562,'LP Elementos'!BG562,'LP Elementos'!BL562,'LP Elementos'!BQ562,'LP Elementos'!BV562,'LP Elementos'!CA562,'LP Elementos'!CF562,'LP Elementos'!CK562,'LP Elementos'!CP562,'LP Elementos'!CU562,'LP Elementos'!CZ562)," ")</f>
        <v>118492.584</v>
      </c>
      <c r="F562" s="341">
        <f>IFERROR(MEDIAN('LP Elementos'!F562,'LP Elementos'!I562,'LP Elementos'!N562,'LP Elementos'!S562,'LP Elementos'!X562,'LP Elementos'!AC562,'LP Elementos'!AH562,'LP Elementos'!AM562,'LP Elementos'!AR562,'LP Elementos'!AW562,'LP Elementos'!BB562,'LP Elementos'!BG562,'LP Elementos'!BL562,'LP Elementos'!BQ562,'LP Elementos'!BV562,'LP Elementos'!CA562,'LP Elementos'!CF562,'LP Elementos'!CK562,'LP Elementos'!CP562,'LP Elementos'!CU562,'LP Elementos'!CZ562)," ")</f>
        <v>118492.584</v>
      </c>
      <c r="G562" s="341">
        <f>IFERROR(GEOMEAN('LP Elementos'!F562,'LP Elementos'!I562,'LP Elementos'!N562,'LP Elementos'!S562,'LP Elementos'!X562,'LP Elementos'!AC562,'LP Elementos'!AH562,'LP Elementos'!AM562,'LP Elementos'!AR562,'LP Elementos'!AW562,'LP Elementos'!BB562,'LP Elementos'!BG562,'LP Elementos'!BL562,'LP Elementos'!BQ562,'LP Elementos'!BV562,'LP Elementos'!CA562,'LP Elementos'!CF562,'LP Elementos'!CK562,'LP Elementos'!CP562,'LP Elementos'!CU562,'LP Elementos'!CZ562)," ")</f>
        <v>108287.43689274394</v>
      </c>
      <c r="H562" s="341">
        <f t="shared" si="44"/>
        <v>22864.672514918231</v>
      </c>
      <c r="I562" s="342">
        <f t="shared" si="45"/>
        <v>0.19296289896858212</v>
      </c>
      <c r="J562" s="341">
        <f t="shared" si="46"/>
        <v>118492.584</v>
      </c>
      <c r="K562" s="326" t="str">
        <f t="shared" si="47"/>
        <v>Promedio</v>
      </c>
      <c r="L562" s="326">
        <f>IFERROR(COUNTA('LP Elementos'!F562,'LP Elementos'!I562,'LP Elementos'!N562,'LP Elementos'!S562,'LP Elementos'!X562,'LP Elementos'!AC562,'LP Elementos'!AH562,'LP Elementos'!AM562,'LP Elementos'!AR562,'LP Elementos'!AX562,'LP Elementos'!BB562,'LP Elementos'!BG562,'LP Elementos'!BL562,'LP Elementos'!BQ562,'LP Elementos'!BV562,'LP Elementos'!CA562,'LP Elementos'!CF562,'LP Elementos'!CK562,'LP Elementos'!CP562,'LP Elementos'!CU562,'LP Elementos'!CZ562)," ")</f>
        <v>2</v>
      </c>
    </row>
    <row r="563" spans="2:12" ht="54" x14ac:dyDescent="0.25">
      <c r="B563" s="411">
        <v>561</v>
      </c>
      <c r="C563" s="415" t="s">
        <v>4523</v>
      </c>
      <c r="D563" s="408">
        <f>IFERROR(MIN('LP Elementos'!F563,'LP Elementos'!I563,'LP Elementos'!N563,'LP Elementos'!S563,'LP Elementos'!X563,'LP Elementos'!AC563,'LP Elementos'!AH563,'LP Elementos'!AM563,'LP Elementos'!AR563,'LP Elementos'!AW563,'LP Elementos'!BB563,'LP Elementos'!BG563,'LP Elementos'!BL563,'LP Elementos'!BQ563,'LP Elementos'!BV563,'LP Elementos'!CA563,'LP Elementos'!CF563,'LP Elementos'!CK563,'LP Elementos'!CP563,'LP Elementos'!CU563,'LP Elementos'!CZ563)," ")</f>
        <v>127449</v>
      </c>
      <c r="E563" s="341">
        <f>IFERROR(AVERAGE('LP Elementos'!F563,'LP Elementos'!I563,'LP Elementos'!N563,'LP Elementos'!S563,'LP Elementos'!X563,'LP Elementos'!AC563,'LP Elementos'!AH563,'LP Elementos'!AM563,'LP Elementos'!AR563,'LP Elementos'!AW563,'LP Elementos'!BB563,'LP Elementos'!BG563,'LP Elementos'!BL563,'LP Elementos'!BQ563,'LP Elementos'!BV563,'LP Elementos'!CA563,'LP Elementos'!CF563,'LP Elementos'!CK563,'LP Elementos'!CP563,'LP Elementos'!CU563,'LP Elementos'!CZ563)," ")</f>
        <v>223222.18333333335</v>
      </c>
      <c r="F563" s="341">
        <f>IFERROR(MEDIAN('LP Elementos'!F563,'LP Elementos'!I563,'LP Elementos'!N563,'LP Elementos'!S563,'LP Elementos'!X563,'LP Elementos'!AC563,'LP Elementos'!AH563,'LP Elementos'!AM563,'LP Elementos'!AR563,'LP Elementos'!AW563,'LP Elementos'!BB563,'LP Elementos'!BG563,'LP Elementos'!BL563,'LP Elementos'!BQ563,'LP Elementos'!BV563,'LP Elementos'!CA563,'LP Elementos'!CF563,'LP Elementos'!CK563,'LP Elementos'!CP563,'LP Elementos'!CU563,'LP Elementos'!CZ563)," ")</f>
        <v>259420</v>
      </c>
      <c r="G563" s="341">
        <f>IFERROR(GEOMEAN('LP Elementos'!F563,'LP Elementos'!I563,'LP Elementos'!N563,'LP Elementos'!S563,'LP Elementos'!X563,'LP Elementos'!AC563,'LP Elementos'!AH563,'LP Elementos'!AM563,'LP Elementos'!AR563,'LP Elementos'!AW563,'LP Elementos'!BB563,'LP Elementos'!BG563,'LP Elementos'!BL563,'LP Elementos'!BQ563,'LP Elementos'!BV563,'LP Elementos'!CA563,'LP Elementos'!CF563,'LP Elementos'!CK563,'LP Elementos'!CP563,'LP Elementos'!CU563,'LP Elementos'!CZ563)," ")</f>
        <v>210671.20368004273</v>
      </c>
      <c r="H563" s="341">
        <f t="shared" si="44"/>
        <v>55796.532774969011</v>
      </c>
      <c r="I563" s="342">
        <f t="shared" si="45"/>
        <v>0.24995962292712248</v>
      </c>
      <c r="J563" s="341">
        <f t="shared" si="46"/>
        <v>210671.20368004273</v>
      </c>
      <c r="K563" s="326" t="str">
        <f t="shared" si="47"/>
        <v>Media Geometrica</v>
      </c>
      <c r="L563" s="326">
        <f>IFERROR(COUNTA('LP Elementos'!F563,'LP Elementos'!I563,'LP Elementos'!N563,'LP Elementos'!S563,'LP Elementos'!X563,'LP Elementos'!AC563,'LP Elementos'!AH563,'LP Elementos'!AM563,'LP Elementos'!AR563,'LP Elementos'!AX563,'LP Elementos'!BB563,'LP Elementos'!BG563,'LP Elementos'!BL563,'LP Elementos'!BQ563,'LP Elementos'!BV563,'LP Elementos'!CA563,'LP Elementos'!CF563,'LP Elementos'!CK563,'LP Elementos'!CP563,'LP Elementos'!CU563,'LP Elementos'!CZ563)," ")</f>
        <v>3</v>
      </c>
    </row>
    <row r="564" spans="2:12" x14ac:dyDescent="0.25">
      <c r="B564" s="411">
        <v>562</v>
      </c>
      <c r="C564" s="415" t="s">
        <v>4526</v>
      </c>
      <c r="D564" s="408">
        <f>IFERROR(MIN('LP Elementos'!F564,'LP Elementos'!I564,'LP Elementos'!N564,'LP Elementos'!S564,'LP Elementos'!X564,'LP Elementos'!AC564,'LP Elementos'!AH564,'LP Elementos'!AM564,'LP Elementos'!AR564,'LP Elementos'!AW564,'LP Elementos'!BB564,'LP Elementos'!BG564,'LP Elementos'!BL564,'LP Elementos'!BQ564,'LP Elementos'!BV564,'LP Elementos'!CA564,'LP Elementos'!CF564,'LP Elementos'!CK564,'LP Elementos'!CP564,'LP Elementos'!CU564,'LP Elementos'!CZ564)," ")</f>
        <v>8710.4814000000006</v>
      </c>
      <c r="E564" s="341">
        <f>IFERROR(AVERAGE('LP Elementos'!F564,'LP Elementos'!I564,'LP Elementos'!N564,'LP Elementos'!S564,'LP Elementos'!X564,'LP Elementos'!AC564,'LP Elementos'!AH564,'LP Elementos'!AM564,'LP Elementos'!AR564,'LP Elementos'!AW564,'LP Elementos'!BB564,'LP Elementos'!BG564,'LP Elementos'!BL564,'LP Elementos'!BQ564,'LP Elementos'!BV564,'LP Elementos'!CA564,'LP Elementos'!CF564,'LP Elementos'!CK564,'LP Elementos'!CP564,'LP Elementos'!CU564,'LP Elementos'!CZ564)," ")</f>
        <v>73629.160466666668</v>
      </c>
      <c r="F564" s="341">
        <f>IFERROR(MEDIAN('LP Elementos'!F564,'LP Elementos'!I564,'LP Elementos'!N564,'LP Elementos'!S564,'LP Elementos'!X564,'LP Elementos'!AC564,'LP Elementos'!AH564,'LP Elementos'!AM564,'LP Elementos'!AR564,'LP Elementos'!AW564,'LP Elementos'!BB564,'LP Elementos'!BG564,'LP Elementos'!BL564,'LP Elementos'!BQ564,'LP Elementos'!BV564,'LP Elementos'!CA564,'LP Elementos'!CF564,'LP Elementos'!CK564,'LP Elementos'!CP564,'LP Elementos'!CU564,'LP Elementos'!CZ564)," ")</f>
        <v>14637</v>
      </c>
      <c r="G564" s="341">
        <f>IFERROR(GEOMEAN('LP Elementos'!F564,'LP Elementos'!I564,'LP Elementos'!N564,'LP Elementos'!S564,'LP Elementos'!X564,'LP Elementos'!AC564,'LP Elementos'!AH564,'LP Elementos'!AM564,'LP Elementos'!AR564,'LP Elementos'!AW564,'LP Elementos'!BB564,'LP Elementos'!BG564,'LP Elementos'!BL564,'LP Elementos'!BQ564,'LP Elementos'!BV564,'LP Elementos'!CA564,'LP Elementos'!CF564,'LP Elementos'!CK564,'LP Elementos'!CP564,'LP Elementos'!CU564,'LP Elementos'!CZ564)," ")</f>
        <v>29312.29076327751</v>
      </c>
      <c r="H564" s="341">
        <f t="shared" si="44"/>
        <v>29344.813794116868</v>
      </c>
      <c r="I564" s="342">
        <f t="shared" si="45"/>
        <v>0.39854880332910803</v>
      </c>
      <c r="J564" s="341">
        <f>IF(I564&lt;=10%,F564,IF(AND(I564&gt;10%,I564&lt;=20%),E564,IF(AND(I564&gt;20%,I564&lt;=41%),G564,IF(I564&gt;41%,D564))))</f>
        <v>29312.29076327751</v>
      </c>
      <c r="K564" s="326" t="str">
        <f t="shared" si="47"/>
        <v>Media Geometrica</v>
      </c>
      <c r="L564" s="326">
        <f>IFERROR(COUNTA('LP Elementos'!F564,'LP Elementos'!I564,'LP Elementos'!N564,'LP Elementos'!S564,'LP Elementos'!X564,'LP Elementos'!AC564,'LP Elementos'!AH564,'LP Elementos'!AM564,'LP Elementos'!AR564,'LP Elementos'!AX564,'LP Elementos'!BB564,'LP Elementos'!BG564,'LP Elementos'!BL564,'LP Elementos'!BQ564,'LP Elementos'!BV564,'LP Elementos'!CA564,'LP Elementos'!CF564,'LP Elementos'!CK564,'LP Elementos'!CP564,'LP Elementos'!CU564,'LP Elementos'!CZ564)," ")</f>
        <v>3</v>
      </c>
    </row>
    <row r="565" spans="2:12" ht="27" x14ac:dyDescent="0.25">
      <c r="B565" s="411">
        <v>563</v>
      </c>
      <c r="C565" s="412" t="s">
        <v>4531</v>
      </c>
      <c r="D565" s="408">
        <f>IFERROR(MIN('LP Elementos'!F565,'LP Elementos'!I565,'LP Elementos'!N565,'LP Elementos'!S565,'LP Elementos'!X565,'LP Elementos'!AC565,'LP Elementos'!AH565,'LP Elementos'!AM565,'LP Elementos'!AR565,'LP Elementos'!AW565,'LP Elementos'!BB565,'LP Elementos'!BG565,'LP Elementos'!BL565,'LP Elementos'!BQ565,'LP Elementos'!BV565,'LP Elementos'!CA565,'LP Elementos'!CF565,'LP Elementos'!CK565,'LP Elementos'!CP565,'LP Elementos'!CU565,'LP Elementos'!CZ565)," ")</f>
        <v>74970</v>
      </c>
      <c r="E565" s="341">
        <f>IFERROR(AVERAGE('LP Elementos'!F565,'LP Elementos'!I565,'LP Elementos'!N565,'LP Elementos'!S565,'LP Elementos'!X565,'LP Elementos'!AC565,'LP Elementos'!AH565,'LP Elementos'!AM565,'LP Elementos'!AR565,'LP Elementos'!AW565,'LP Elementos'!BB565,'LP Elementos'!BG565,'LP Elementos'!BL565,'LP Elementos'!BQ565,'LP Elementos'!BV565,'LP Elementos'!CA565,'LP Elementos'!CF565,'LP Elementos'!CK565,'LP Elementos'!CP565,'LP Elementos'!CU565,'LP Elementos'!CZ565)," ")</f>
        <v>263326.53200000001</v>
      </c>
      <c r="F565" s="341">
        <f>IFERROR(MEDIAN('LP Elementos'!F565,'LP Elementos'!I565,'LP Elementos'!N565,'LP Elementos'!S565,'LP Elementos'!X565,'LP Elementos'!AC565,'LP Elementos'!AH565,'LP Elementos'!AM565,'LP Elementos'!AR565,'LP Elementos'!AW565,'LP Elementos'!BB565,'LP Elementos'!BG565,'LP Elementos'!BL565,'LP Elementos'!BQ565,'LP Elementos'!BV565,'LP Elementos'!CA565,'LP Elementos'!CF565,'LP Elementos'!CK565,'LP Elementos'!CP565,'LP Elementos'!CU565,'LP Elementos'!CZ565)," ")</f>
        <v>354439.59600000002</v>
      </c>
      <c r="G565" s="341">
        <f>IFERROR(GEOMEAN('LP Elementos'!F565,'LP Elementos'!I565,'LP Elementos'!N565,'LP Elementos'!S565,'LP Elementos'!X565,'LP Elementos'!AC565,'LP Elementos'!AH565,'LP Elementos'!AM565,'LP Elementos'!AR565,'LP Elementos'!AW565,'LP Elementos'!BB565,'LP Elementos'!BG565,'LP Elementos'!BL565,'LP Elementos'!BQ565,'LP Elementos'!BV565,'LP Elementos'!CA565,'LP Elementos'!CF565,'LP Elementos'!CK565,'LP Elementos'!CP565,'LP Elementos'!CU565,'LP Elementos'!CZ565)," ")</f>
        <v>212392.79391392757</v>
      </c>
      <c r="H565" s="341">
        <f t="shared" si="44"/>
        <v>116740.3074536057</v>
      </c>
      <c r="I565" s="342">
        <f t="shared" si="45"/>
        <v>0.44332907347750927</v>
      </c>
      <c r="J565" s="341">
        <f>IF(I565&lt;=10%,F565,IF(AND(I565&gt;10%,I565&lt;=20%),E565,IF(AND(I565&gt;20%,I565&lt;=45%),G565,IF(I565&gt;45%,D565))))</f>
        <v>212392.79391392757</v>
      </c>
      <c r="K565" s="326" t="str">
        <f t="shared" si="47"/>
        <v>Media Geometrica</v>
      </c>
      <c r="L565" s="326">
        <f>IFERROR(COUNTA('LP Elementos'!F565,'LP Elementos'!I565,'LP Elementos'!N565,'LP Elementos'!S565,'LP Elementos'!X565,'LP Elementos'!AC565,'LP Elementos'!AH565,'LP Elementos'!AM565,'LP Elementos'!AR565,'LP Elementos'!AX565,'LP Elementos'!BB565,'LP Elementos'!BG565,'LP Elementos'!BL565,'LP Elementos'!BQ565,'LP Elementos'!BV565,'LP Elementos'!CA565,'LP Elementos'!CF565,'LP Elementos'!CK565,'LP Elementos'!CP565,'LP Elementos'!CU565,'LP Elementos'!CZ565)," ")</f>
        <v>3</v>
      </c>
    </row>
    <row r="566" spans="2:12" x14ac:dyDescent="0.25">
      <c r="B566" s="411">
        <v>564</v>
      </c>
      <c r="C566" s="415" t="s">
        <v>4535</v>
      </c>
      <c r="D566" s="408">
        <f>IFERROR(MIN('LP Elementos'!F566,'LP Elementos'!I566,'LP Elementos'!N566,'LP Elementos'!S566,'LP Elementos'!X566,'LP Elementos'!AC566,'LP Elementos'!AH566,'LP Elementos'!AM566,'LP Elementos'!AR566,'LP Elementos'!AW566,'LP Elementos'!BB566,'LP Elementos'!BG566,'LP Elementos'!BL566,'LP Elementos'!BQ566,'LP Elementos'!BV566,'LP Elementos'!CA566,'LP Elementos'!CF566,'LP Elementos'!CK566,'LP Elementos'!CP566,'LP Elementos'!CU566,'LP Elementos'!CZ566)," ")</f>
        <v>33796</v>
      </c>
      <c r="E566" s="341">
        <f>IFERROR(AVERAGE('LP Elementos'!F566,'LP Elementos'!I566,'LP Elementos'!N566,'LP Elementos'!S566,'LP Elementos'!X566,'LP Elementos'!AC566,'LP Elementos'!AH566,'LP Elementos'!AM566,'LP Elementos'!AR566,'LP Elementos'!AW566,'LP Elementos'!BB566,'LP Elementos'!BG566,'LP Elementos'!BL566,'LP Elementos'!BQ566,'LP Elementos'!BV566,'LP Elementos'!CA566,'LP Elementos'!CF566,'LP Elementos'!CK566,'LP Elementos'!CP566,'LP Elementos'!CU566,'LP Elementos'!CZ566)," ")</f>
        <v>262871.5355</v>
      </c>
      <c r="F566" s="341">
        <f>IFERROR(MEDIAN('LP Elementos'!F566,'LP Elementos'!I566,'LP Elementos'!N566,'LP Elementos'!S566,'LP Elementos'!X566,'LP Elementos'!AC566,'LP Elementos'!AH566,'LP Elementos'!AM566,'LP Elementos'!AR566,'LP Elementos'!AW566,'LP Elementos'!BB566,'LP Elementos'!BG566,'LP Elementos'!BL566,'LP Elementos'!BQ566,'LP Elementos'!BV566,'LP Elementos'!CA566,'LP Elementos'!CF566,'LP Elementos'!CK566,'LP Elementos'!CP566,'LP Elementos'!CU566,'LP Elementos'!CZ566)," ")</f>
        <v>279906.92099999997</v>
      </c>
      <c r="G566" s="341">
        <f>IFERROR(GEOMEAN('LP Elementos'!F566,'LP Elementos'!I566,'LP Elementos'!N566,'LP Elementos'!S566,'LP Elementos'!X566,'LP Elementos'!AC566,'LP Elementos'!AH566,'LP Elementos'!AM566,'LP Elementos'!AR566,'LP Elementos'!AW566,'LP Elementos'!BB566,'LP Elementos'!BG566,'LP Elementos'!BL566,'LP Elementos'!BQ566,'LP Elementos'!BV566,'LP Elementos'!CA566,'LP Elementos'!CF566,'LP Elementos'!CK566,'LP Elementos'!CP566,'LP Elementos'!CU566,'LP Elementos'!CZ566)," ")</f>
        <v>186348.96572056061</v>
      </c>
      <c r="H566" s="341">
        <f t="shared" si="44"/>
        <v>112256.25178992294</v>
      </c>
      <c r="I566" s="342">
        <f t="shared" si="45"/>
        <v>0.42703844513406031</v>
      </c>
      <c r="J566" s="341">
        <f>IF(I566&lt;=10%,F566,IF(AND(I566&gt;10%,I566&lt;=20%),E566,IF(AND(I566&gt;20%,I566&lt;=44%),G566,IF(I566&gt;44%,D566))))</f>
        <v>186348.96572056061</v>
      </c>
      <c r="K566" s="326" t="str">
        <f t="shared" si="47"/>
        <v>Media Geometrica</v>
      </c>
      <c r="L566" s="326">
        <f>IFERROR(COUNTA('LP Elementos'!F566,'LP Elementos'!I566,'LP Elementos'!N566,'LP Elementos'!S566,'LP Elementos'!X566,'LP Elementos'!AC566,'LP Elementos'!AH566,'LP Elementos'!AM566,'LP Elementos'!AR566,'LP Elementos'!AX566,'LP Elementos'!BB566,'LP Elementos'!BG566,'LP Elementos'!BL566,'LP Elementos'!BQ566,'LP Elementos'!BV566,'LP Elementos'!CA566,'LP Elementos'!CF566,'LP Elementos'!CK566,'LP Elementos'!CP566,'LP Elementos'!CU566,'LP Elementos'!CZ566)," ")</f>
        <v>4</v>
      </c>
    </row>
    <row r="567" spans="2:12" ht="27" x14ac:dyDescent="0.25">
      <c r="B567" s="411">
        <v>565</v>
      </c>
      <c r="C567" s="412" t="s">
        <v>4539</v>
      </c>
      <c r="D567" s="408">
        <f>IFERROR(MIN('LP Elementos'!F567,'LP Elementos'!I567,'LP Elementos'!N567,'LP Elementos'!S567,'LP Elementos'!X567,'LP Elementos'!AC567,'LP Elementos'!AH567,'LP Elementos'!AM567,'LP Elementos'!AR567,'LP Elementos'!AW567,'LP Elementos'!BB567,'LP Elementos'!BG567,'LP Elementos'!BL567,'LP Elementos'!BQ567,'LP Elementos'!BV567,'LP Elementos'!CA567,'LP Elementos'!CF567,'LP Elementos'!CK567,'LP Elementos'!CP567,'LP Elementos'!CU567,'LP Elementos'!CZ567)," ")</f>
        <v>171360</v>
      </c>
      <c r="E567" s="341">
        <f>IFERROR(AVERAGE('LP Elementos'!F567,'LP Elementos'!I567,'LP Elementos'!N567,'LP Elementos'!S567,'LP Elementos'!X567,'LP Elementos'!AC567,'LP Elementos'!AH567,'LP Elementos'!AM567,'LP Elementos'!AR567,'LP Elementos'!AW567,'LP Elementos'!BB567,'LP Elementos'!BG567,'LP Elementos'!BL567,'LP Elementos'!BQ567,'LP Elementos'!BV567,'LP Elementos'!CA567,'LP Elementos'!CF567,'LP Elementos'!CK567,'LP Elementos'!CP567,'LP Elementos'!CU567,'LP Elementos'!CZ567)," ")</f>
        <v>357153.65279999998</v>
      </c>
      <c r="F567" s="341">
        <f>IFERROR(MEDIAN('LP Elementos'!F567,'LP Elementos'!I567,'LP Elementos'!N567,'LP Elementos'!S567,'LP Elementos'!X567,'LP Elementos'!AC567,'LP Elementos'!AH567,'LP Elementos'!AM567,'LP Elementos'!AR567,'LP Elementos'!AW567,'LP Elementos'!BB567,'LP Elementos'!BG567,'LP Elementos'!BL567,'LP Elementos'!BQ567,'LP Elementos'!BV567,'LP Elementos'!CA567,'LP Elementos'!CF567,'LP Elementos'!CK567,'LP Elementos'!CP567,'LP Elementos'!CU567,'LP Elementos'!CZ567)," ")</f>
        <v>383180</v>
      </c>
      <c r="G567" s="341">
        <f>IFERROR(GEOMEAN('LP Elementos'!F567,'LP Elementos'!I567,'LP Elementos'!N567,'LP Elementos'!S567,'LP Elementos'!X567,'LP Elementos'!AC567,'LP Elementos'!AH567,'LP Elementos'!AM567,'LP Elementos'!AR567,'LP Elementos'!AW567,'LP Elementos'!BB567,'LP Elementos'!BG567,'LP Elementos'!BL567,'LP Elementos'!BQ567,'LP Elementos'!BV567,'LP Elementos'!CA567,'LP Elementos'!CF567,'LP Elementos'!CK567,'LP Elementos'!CP567,'LP Elementos'!CU567,'LP Elementos'!CZ567)," ")</f>
        <v>335911.28440544533</v>
      </c>
      <c r="H567" s="341">
        <f t="shared" si="44"/>
        <v>95667.418460079803</v>
      </c>
      <c r="I567" s="342">
        <f t="shared" si="45"/>
        <v>0.26786067483860215</v>
      </c>
      <c r="J567" s="341">
        <f t="shared" si="46"/>
        <v>335911.28440544533</v>
      </c>
      <c r="K567" s="326" t="str">
        <f t="shared" si="47"/>
        <v>Media Geometrica</v>
      </c>
      <c r="L567" s="326">
        <f>IFERROR(COUNTA('LP Elementos'!F567,'LP Elementos'!I567,'LP Elementos'!N567,'LP Elementos'!S567,'LP Elementos'!X567,'LP Elementos'!AC567,'LP Elementos'!AH567,'LP Elementos'!AM567,'LP Elementos'!AR567,'LP Elementos'!AX567,'LP Elementos'!BB567,'LP Elementos'!BG567,'LP Elementos'!BL567,'LP Elementos'!BQ567,'LP Elementos'!BV567,'LP Elementos'!CA567,'LP Elementos'!CF567,'LP Elementos'!CK567,'LP Elementos'!CP567,'LP Elementos'!CU567,'LP Elementos'!CZ567)," ")</f>
        <v>5</v>
      </c>
    </row>
    <row r="568" spans="2:12" ht="54" x14ac:dyDescent="0.25">
      <c r="B568" s="411">
        <v>566</v>
      </c>
      <c r="C568" s="415" t="s">
        <v>4546</v>
      </c>
      <c r="D568" s="408">
        <f>IFERROR(MIN('LP Elementos'!F568,'LP Elementos'!I568,'LP Elementos'!N568,'LP Elementos'!S568,'LP Elementos'!X568,'LP Elementos'!AC568,'LP Elementos'!AH568,'LP Elementos'!AM568,'LP Elementos'!AR568,'LP Elementos'!AW568,'LP Elementos'!BB568,'LP Elementos'!BG568,'LP Elementos'!BL568,'LP Elementos'!BQ568,'LP Elementos'!BV568,'LP Elementos'!CA568,'LP Elementos'!CF568,'LP Elementos'!CK568,'LP Elementos'!CP568,'LP Elementos'!CU568,'LP Elementos'!CZ568)," ")</f>
        <v>88534.908800000005</v>
      </c>
      <c r="E568" s="341">
        <f>IFERROR(AVERAGE('LP Elementos'!F568,'LP Elementos'!I568,'LP Elementos'!N568,'LP Elementos'!S568,'LP Elementos'!X568,'LP Elementos'!AC568,'LP Elementos'!AH568,'LP Elementos'!AM568,'LP Elementos'!AR568,'LP Elementos'!AW568,'LP Elementos'!BB568,'LP Elementos'!BG568,'LP Elementos'!BL568,'LP Elementos'!BQ568,'LP Elementos'!BV568,'LP Elementos'!CA568,'LP Elementos'!CF568,'LP Elementos'!CK568,'LP Elementos'!CP568,'LP Elementos'!CU568,'LP Elementos'!CZ568)," ")</f>
        <v>139467.45439999999</v>
      </c>
      <c r="F568" s="341">
        <f>IFERROR(MEDIAN('LP Elementos'!F568,'LP Elementos'!I568,'LP Elementos'!N568,'LP Elementos'!S568,'LP Elementos'!X568,'LP Elementos'!AC568,'LP Elementos'!AH568,'LP Elementos'!AM568,'LP Elementos'!AR568,'LP Elementos'!AW568,'LP Elementos'!BB568,'LP Elementos'!BG568,'LP Elementos'!BL568,'LP Elementos'!BQ568,'LP Elementos'!BV568,'LP Elementos'!CA568,'LP Elementos'!CF568,'LP Elementos'!CK568,'LP Elementos'!CP568,'LP Elementos'!CU568,'LP Elementos'!CZ568)," ")</f>
        <v>139467.45439999999</v>
      </c>
      <c r="G568" s="341">
        <f>IFERROR(GEOMEAN('LP Elementos'!F568,'LP Elementos'!I568,'LP Elementos'!N568,'LP Elementos'!S568,'LP Elementos'!X568,'LP Elementos'!AC568,'LP Elementos'!AH568,'LP Elementos'!AM568,'LP Elementos'!AR568,'LP Elementos'!AW568,'LP Elementos'!BB568,'LP Elementos'!BG568,'LP Elementos'!BL568,'LP Elementos'!BQ568,'LP Elementos'!BV568,'LP Elementos'!CA568,'LP Elementos'!CF568,'LP Elementos'!CK568,'LP Elementos'!CP568,'LP Elementos'!CU568,'LP Elementos'!CZ568)," ")</f>
        <v>129834.68964618046</v>
      </c>
      <c r="H568" s="341">
        <f t="shared" si="44"/>
        <v>24289.05894660448</v>
      </c>
      <c r="I568" s="342">
        <f t="shared" si="45"/>
        <v>0.17415574874509562</v>
      </c>
      <c r="J568" s="341">
        <f t="shared" si="46"/>
        <v>139467.45439999999</v>
      </c>
      <c r="K568" s="326" t="str">
        <f t="shared" si="47"/>
        <v>Promedio</v>
      </c>
      <c r="L568" s="326">
        <f>IFERROR(COUNTA('LP Elementos'!F568,'LP Elementos'!I568,'LP Elementos'!N568,'LP Elementos'!S568,'LP Elementos'!X568,'LP Elementos'!AC568,'LP Elementos'!AH568,'LP Elementos'!AM568,'LP Elementos'!AR568,'LP Elementos'!AX568,'LP Elementos'!BB568,'LP Elementos'!BG568,'LP Elementos'!BL568,'LP Elementos'!BQ568,'LP Elementos'!BV568,'LP Elementos'!CA568,'LP Elementos'!CF568,'LP Elementos'!CK568,'LP Elementos'!CP568,'LP Elementos'!CU568,'LP Elementos'!CZ568)," ")</f>
        <v>2</v>
      </c>
    </row>
    <row r="569" spans="2:12" ht="54" x14ac:dyDescent="0.25">
      <c r="B569" s="411">
        <v>567</v>
      </c>
      <c r="C569" s="415" t="s">
        <v>4547</v>
      </c>
      <c r="D569" s="408">
        <f>IFERROR(MIN('LP Elementos'!F569,'LP Elementos'!I569,'LP Elementos'!N569,'LP Elementos'!S569,'LP Elementos'!X569,'LP Elementos'!AC569,'LP Elementos'!AH569,'LP Elementos'!AM569,'LP Elementos'!AR569,'LP Elementos'!AW569,'LP Elementos'!BB569,'LP Elementos'!BG569,'LP Elementos'!BL569,'LP Elementos'!BQ569,'LP Elementos'!BV569,'LP Elementos'!CA569,'LP Elementos'!CF569,'LP Elementos'!CK569,'LP Elementos'!CP569,'LP Elementos'!CU569,'LP Elementos'!CZ569)," ")</f>
        <v>101798.66840000001</v>
      </c>
      <c r="E569" s="341">
        <f>IFERROR(AVERAGE('LP Elementos'!F569,'LP Elementos'!I569,'LP Elementos'!N569,'LP Elementos'!S569,'LP Elementos'!X569,'LP Elementos'!AC569,'LP Elementos'!AH569,'LP Elementos'!AM569,'LP Elementos'!AR569,'LP Elementos'!AW569,'LP Elementos'!BB569,'LP Elementos'!BG569,'LP Elementos'!BL569,'LP Elementos'!BQ569,'LP Elementos'!BV569,'LP Elementos'!CA569,'LP Elementos'!CF569,'LP Elementos'!CK569,'LP Elementos'!CP569,'LP Elementos'!CU569,'LP Elementos'!CZ569)," ")</f>
        <v>146099.33420000001</v>
      </c>
      <c r="F569" s="341">
        <f>IFERROR(MEDIAN('LP Elementos'!F569,'LP Elementos'!I569,'LP Elementos'!N569,'LP Elementos'!S569,'LP Elementos'!X569,'LP Elementos'!AC569,'LP Elementos'!AH569,'LP Elementos'!AM569,'LP Elementos'!AR569,'LP Elementos'!AW569,'LP Elementos'!BB569,'LP Elementos'!BG569,'LP Elementos'!BL569,'LP Elementos'!BQ569,'LP Elementos'!BV569,'LP Elementos'!CA569,'LP Elementos'!CF569,'LP Elementos'!CK569,'LP Elementos'!CP569,'LP Elementos'!CU569,'LP Elementos'!CZ569)," ")</f>
        <v>146099.33420000001</v>
      </c>
      <c r="G569" s="341">
        <f>IFERROR(GEOMEAN('LP Elementos'!F569,'LP Elementos'!I569,'LP Elementos'!N569,'LP Elementos'!S569,'LP Elementos'!X569,'LP Elementos'!AC569,'LP Elementos'!AH569,'LP Elementos'!AM569,'LP Elementos'!AR569,'LP Elementos'!AW569,'LP Elementos'!BB569,'LP Elementos'!BG569,'LP Elementos'!BL569,'LP Elementos'!BQ569,'LP Elementos'!BV569,'LP Elementos'!CA569,'LP Elementos'!CF569,'LP Elementos'!CK569,'LP Elementos'!CP569,'LP Elementos'!CU569,'LP Elementos'!CZ569)," ")</f>
        <v>139220.92681547557</v>
      </c>
      <c r="H569" s="341">
        <f t="shared" si="44"/>
        <v>21252.741748333203</v>
      </c>
      <c r="I569" s="342">
        <f t="shared" si="45"/>
        <v>0.14546775222972372</v>
      </c>
      <c r="J569" s="341">
        <f t="shared" si="46"/>
        <v>146099.33420000001</v>
      </c>
      <c r="K569" s="326" t="str">
        <f t="shared" si="47"/>
        <v>Promedio</v>
      </c>
      <c r="L569" s="326">
        <f>IFERROR(COUNTA('LP Elementos'!F569,'LP Elementos'!I569,'LP Elementos'!N569,'LP Elementos'!S569,'LP Elementos'!X569,'LP Elementos'!AC569,'LP Elementos'!AH569,'LP Elementos'!AM569,'LP Elementos'!AR569,'LP Elementos'!AX569,'LP Elementos'!BB569,'LP Elementos'!BG569,'LP Elementos'!BL569,'LP Elementos'!BQ569,'LP Elementos'!BV569,'LP Elementos'!CA569,'LP Elementos'!CF569,'LP Elementos'!CK569,'LP Elementos'!CP569,'LP Elementos'!CU569,'LP Elementos'!CZ569)," ")</f>
        <v>2</v>
      </c>
    </row>
    <row r="570" spans="2:12" x14ac:dyDescent="0.25">
      <c r="B570" s="411">
        <v>568</v>
      </c>
      <c r="C570" s="412" t="s">
        <v>4548</v>
      </c>
      <c r="D570" s="408">
        <f>IFERROR(MIN('LP Elementos'!F570,'LP Elementos'!I570,'LP Elementos'!N570,'LP Elementos'!S570,'LP Elementos'!X570,'LP Elementos'!AC570,'LP Elementos'!AH570,'LP Elementos'!AM570,'LP Elementos'!AR570,'LP Elementos'!AW570,'LP Elementos'!BB570,'LP Elementos'!BG570,'LP Elementos'!BL570,'LP Elementos'!BQ570,'LP Elementos'!BV570,'LP Elementos'!CA570,'LP Elementos'!CF570,'LP Elementos'!CK570,'LP Elementos'!CP570,'LP Elementos'!CU570,'LP Elementos'!CZ570)," ")</f>
        <v>129710</v>
      </c>
      <c r="E570" s="341">
        <f>IFERROR(AVERAGE('LP Elementos'!F570,'LP Elementos'!I570,'LP Elementos'!N570,'LP Elementos'!S570,'LP Elementos'!X570,'LP Elementos'!AC570,'LP Elementos'!AH570,'LP Elementos'!AM570,'LP Elementos'!AR570,'LP Elementos'!AW570,'LP Elementos'!BB570,'LP Elementos'!BG570,'LP Elementos'!BL570,'LP Elementos'!BQ570,'LP Elementos'!BV570,'LP Elementos'!CA570,'LP Elementos'!CF570,'LP Elementos'!CK570,'LP Elementos'!CP570,'LP Elementos'!CU570,'LP Elementos'!CZ570)," ")</f>
        <v>285544.01049999997</v>
      </c>
      <c r="F570" s="341">
        <f>IFERROR(MEDIAN('LP Elementos'!F570,'LP Elementos'!I570,'LP Elementos'!N570,'LP Elementos'!S570,'LP Elementos'!X570,'LP Elementos'!AC570,'LP Elementos'!AH570,'LP Elementos'!AM570,'LP Elementos'!AR570,'LP Elementos'!AW570,'LP Elementos'!BB570,'LP Elementos'!BG570,'LP Elementos'!BL570,'LP Elementos'!BQ570,'LP Elementos'!BV570,'LP Elementos'!CA570,'LP Elementos'!CF570,'LP Elementos'!CK570,'LP Elementos'!CP570,'LP Elementos'!CU570,'LP Elementos'!CZ570)," ")</f>
        <v>285488.02100000001</v>
      </c>
      <c r="G570" s="341">
        <f>IFERROR(GEOMEAN('LP Elementos'!F570,'LP Elementos'!I570,'LP Elementos'!N570,'LP Elementos'!S570,'LP Elementos'!X570,'LP Elementos'!AC570,'LP Elementos'!AH570,'LP Elementos'!AM570,'LP Elementos'!AR570,'LP Elementos'!AW570,'LP Elementos'!BB570,'LP Elementos'!BG570,'LP Elementos'!BL570,'LP Elementos'!BQ570,'LP Elementos'!BV570,'LP Elementos'!CA570,'LP Elementos'!CF570,'LP Elementos'!CK570,'LP Elementos'!CP570,'LP Elementos'!CU570,'LP Elementos'!CZ570)," ")</f>
        <v>250927.5593810998</v>
      </c>
      <c r="H570" s="341">
        <f t="shared" si="44"/>
        <v>73958.01437736128</v>
      </c>
      <c r="I570" s="342">
        <f t="shared" si="45"/>
        <v>0.2590074092181362</v>
      </c>
      <c r="J570" s="341">
        <f t="shared" si="46"/>
        <v>250927.5593810998</v>
      </c>
      <c r="K570" s="326" t="str">
        <f t="shared" si="47"/>
        <v>Media Geometrica</v>
      </c>
      <c r="L570" s="326">
        <f>IFERROR(COUNTA('LP Elementos'!F570,'LP Elementos'!I570,'LP Elementos'!N570,'LP Elementos'!S570,'LP Elementos'!X570,'LP Elementos'!AC570,'LP Elementos'!AH570,'LP Elementos'!AM570,'LP Elementos'!AR570,'LP Elementos'!AX570,'LP Elementos'!BB570,'LP Elementos'!BG570,'LP Elementos'!BL570,'LP Elementos'!BQ570,'LP Elementos'!BV570,'LP Elementos'!CA570,'LP Elementos'!CF570,'LP Elementos'!CK570,'LP Elementos'!CP570,'LP Elementos'!CU570,'LP Elementos'!CZ570)," ")</f>
        <v>4</v>
      </c>
    </row>
    <row r="571" spans="2:12" ht="81" x14ac:dyDescent="0.25">
      <c r="B571" s="411">
        <v>569</v>
      </c>
      <c r="C571" s="420" t="s">
        <v>4552</v>
      </c>
      <c r="D571" s="408">
        <f>IFERROR(MIN('LP Elementos'!F571,'LP Elementos'!I571,'LP Elementos'!N571,'LP Elementos'!S571,'LP Elementos'!X571,'LP Elementos'!AC571,'LP Elementos'!AH571,'LP Elementos'!AM571,'LP Elementos'!AR571,'LP Elementos'!AW571,'LP Elementos'!BB571,'LP Elementos'!BG571,'LP Elementos'!BL571,'LP Elementos'!BQ571,'LP Elementos'!BV571,'LP Elementos'!CA571,'LP Elementos'!CF571,'LP Elementos'!CK571,'LP Elementos'!CP571,'LP Elementos'!CU571,'LP Elementos'!CZ571)," ")</f>
        <v>85693.730800000005</v>
      </c>
      <c r="E571" s="341">
        <f>IFERROR(AVERAGE('LP Elementos'!F571,'LP Elementos'!I571,'LP Elementos'!N571,'LP Elementos'!S571,'LP Elementos'!X571,'LP Elementos'!AC571,'LP Elementos'!AH571,'LP Elementos'!AM571,'LP Elementos'!AR571,'LP Elementos'!AW571,'LP Elementos'!BB571,'LP Elementos'!BG571,'LP Elementos'!BL571,'LP Elementos'!BQ571,'LP Elementos'!BV571,'LP Elementos'!CA571,'LP Elementos'!CF571,'LP Elementos'!CK571,'LP Elementos'!CP571,'LP Elementos'!CU571,'LP Elementos'!CZ571)," ")</f>
        <v>332126.04026666668</v>
      </c>
      <c r="F571" s="341">
        <f>IFERROR(MEDIAN('LP Elementos'!F571,'LP Elementos'!I571,'LP Elementos'!N571,'LP Elementos'!S571,'LP Elementos'!X571,'LP Elementos'!AC571,'LP Elementos'!AH571,'LP Elementos'!AM571,'LP Elementos'!AR571,'LP Elementos'!AW571,'LP Elementos'!BB571,'LP Elementos'!BG571,'LP Elementos'!BL571,'LP Elementos'!BQ571,'LP Elementos'!BV571,'LP Elementos'!CA571,'LP Elementos'!CF571,'LP Elementos'!CK571,'LP Elementos'!CP571,'LP Elementos'!CU571,'LP Elementos'!CZ571)," ")</f>
        <v>143134.39000000001</v>
      </c>
      <c r="G571" s="341">
        <f>IFERROR(GEOMEAN('LP Elementos'!F571,'LP Elementos'!I571,'LP Elementos'!N571,'LP Elementos'!S571,'LP Elementos'!X571,'LP Elementos'!AC571,'LP Elementos'!AH571,'LP Elementos'!AM571,'LP Elementos'!AR571,'LP Elementos'!AW571,'LP Elementos'!BB571,'LP Elementos'!BG571,'LP Elementos'!BL571,'LP Elementos'!BQ571,'LP Elementos'!BV571,'LP Elementos'!CA571,'LP Elementos'!CF571,'LP Elementos'!CK571,'LP Elementos'!CP571,'LP Elementos'!CU571,'LP Elementos'!CZ571)," ")</f>
        <v>211154.28842909014</v>
      </c>
      <c r="H571" s="341">
        <f t="shared" ref="H571:H620" si="48">STDEVA(D571,E571,F571,G571)</f>
        <v>105966.73188414758</v>
      </c>
      <c r="I571" s="342">
        <f t="shared" ref="I571:I620" si="49">IFERROR(H571/E571," ")</f>
        <v>0.31905577713528888</v>
      </c>
      <c r="J571" s="341">
        <f>IF(I571&lt;=10%,F571,IF(AND(I571&gt;10%,I571&lt;=20%),E571,IF(AND(I571&gt;20%,I571&lt;=33%),G571,IF(I571&gt;33%,D571))))</f>
        <v>211154.28842909014</v>
      </c>
      <c r="K571" s="326" t="str">
        <f t="shared" ref="K571:K620" si="50">IF(J571=D571,"Menor Valor",IF(J571=E571,"Promedio",IF(J571=F571,"Mediana",IF(J571=G571,"Media Geometrica"," "))))</f>
        <v>Media Geometrica</v>
      </c>
      <c r="L571" s="326">
        <f>IFERROR(COUNTA('LP Elementos'!F571,'LP Elementos'!I571,'LP Elementos'!N571,'LP Elementos'!S571,'LP Elementos'!X571,'LP Elementos'!AC571,'LP Elementos'!AH571,'LP Elementos'!AM571,'LP Elementos'!AR571,'LP Elementos'!AX571,'LP Elementos'!BB571,'LP Elementos'!BG571,'LP Elementos'!BL571,'LP Elementos'!BQ571,'LP Elementos'!BV571,'LP Elementos'!CA571,'LP Elementos'!CF571,'LP Elementos'!CK571,'LP Elementos'!CP571,'LP Elementos'!CU571,'LP Elementos'!CZ571)," ")</f>
        <v>3</v>
      </c>
    </row>
    <row r="572" spans="2:12" ht="81" x14ac:dyDescent="0.25">
      <c r="B572" s="411">
        <v>570</v>
      </c>
      <c r="C572" s="415" t="s">
        <v>4555</v>
      </c>
      <c r="D572" s="408">
        <f>IFERROR(MIN('LP Elementos'!F572,'LP Elementos'!I572,'LP Elementos'!N572,'LP Elementos'!S572,'LP Elementos'!X572,'LP Elementos'!AC572,'LP Elementos'!AH572,'LP Elementos'!AM572,'LP Elementos'!AR572,'LP Elementos'!AW572,'LP Elementos'!BB572,'LP Elementos'!BG572,'LP Elementos'!BL572,'LP Elementos'!BQ572,'LP Elementos'!BV572,'LP Elementos'!CA572,'LP Elementos'!CF572,'LP Elementos'!CK572,'LP Elementos'!CP572,'LP Elementos'!CU572,'LP Elementos'!CZ572)," ")</f>
        <v>58000.6</v>
      </c>
      <c r="E572" s="341">
        <f>IFERROR(AVERAGE('LP Elementos'!F572,'LP Elementos'!I572,'LP Elementos'!N572,'LP Elementos'!S572,'LP Elementos'!X572,'LP Elementos'!AC572,'LP Elementos'!AH572,'LP Elementos'!AM572,'LP Elementos'!AR572,'LP Elementos'!AW572,'LP Elementos'!BB572,'LP Elementos'!BG572,'LP Elementos'!BL572,'LP Elementos'!BQ572,'LP Elementos'!BV572,'LP Elementos'!CA572,'LP Elementos'!CF572,'LP Elementos'!CK572,'LP Elementos'!CP572,'LP Elementos'!CU572,'LP Elementos'!CZ572)," ")</f>
        <v>125579.70833333333</v>
      </c>
      <c r="F572" s="341">
        <f>IFERROR(MEDIAN('LP Elementos'!F572,'LP Elementos'!I572,'LP Elementos'!N572,'LP Elementos'!S572,'LP Elementos'!X572,'LP Elementos'!AC572,'LP Elementos'!AH572,'LP Elementos'!AM572,'LP Elementos'!AR572,'LP Elementos'!AW572,'LP Elementos'!BB572,'LP Elementos'!BG572,'LP Elementos'!BL572,'LP Elementos'!BQ572,'LP Elementos'!BV572,'LP Elementos'!CA572,'LP Elementos'!CF572,'LP Elementos'!CK572,'LP Elementos'!CP572,'LP Elementos'!CU572,'LP Elementos'!CZ572)," ")</f>
        <v>77618.94</v>
      </c>
      <c r="G572" s="341">
        <f>IFERROR(GEOMEAN('LP Elementos'!F572,'LP Elementos'!I572,'LP Elementos'!N572,'LP Elementos'!S572,'LP Elementos'!X572,'LP Elementos'!AC572,'LP Elementos'!AH572,'LP Elementos'!AM572,'LP Elementos'!AR572,'LP Elementos'!AW572,'LP Elementos'!BB572,'LP Elementos'!BG572,'LP Elementos'!BL572,'LP Elementos'!BQ572,'LP Elementos'!BV572,'LP Elementos'!CA572,'LP Elementos'!CF572,'LP Elementos'!CK572,'LP Elementos'!CP572,'LP Elementos'!CU572,'LP Elementos'!CZ572)," ")</f>
        <v>104155.57861394747</v>
      </c>
      <c r="H572" s="341">
        <f t="shared" si="48"/>
        <v>29644.447232466584</v>
      </c>
      <c r="I572" s="342">
        <f t="shared" si="49"/>
        <v>0.23606080652600059</v>
      </c>
      <c r="J572" s="341">
        <f t="shared" ref="J572:J620" si="51">IF(I572&lt;=10%,F572,IF(AND(I572&gt;10%,I572&lt;=20%),E572,IF(AND(I572&gt;20%,I572&lt;=30%),G572,IF(I572&gt;30%,D572))))</f>
        <v>104155.57861394747</v>
      </c>
      <c r="K572" s="326" t="str">
        <f t="shared" si="50"/>
        <v>Media Geometrica</v>
      </c>
      <c r="L572" s="326">
        <f>IFERROR(COUNTA('LP Elementos'!F572,'LP Elementos'!I572,'LP Elementos'!N572,'LP Elementos'!S572,'LP Elementos'!X572,'LP Elementos'!AC572,'LP Elementos'!AH572,'LP Elementos'!AM572,'LP Elementos'!AR572,'LP Elementos'!AX572,'LP Elementos'!BB572,'LP Elementos'!BG572,'LP Elementos'!BL572,'LP Elementos'!BQ572,'LP Elementos'!BV572,'LP Elementos'!CA572,'LP Elementos'!CF572,'LP Elementos'!CK572,'LP Elementos'!CP572,'LP Elementos'!CU572,'LP Elementos'!CZ572)," ")</f>
        <v>6</v>
      </c>
    </row>
    <row r="573" spans="2:12" ht="54" x14ac:dyDescent="0.25">
      <c r="B573" s="411">
        <v>571</v>
      </c>
      <c r="C573" s="415" t="s">
        <v>4560</v>
      </c>
      <c r="D573" s="408">
        <f>IFERROR(MIN('LP Elementos'!F573,'LP Elementos'!I573,'LP Elementos'!N573,'LP Elementos'!S573,'LP Elementos'!X573,'LP Elementos'!AC573,'LP Elementos'!AH573,'LP Elementos'!AM573,'LP Elementos'!AR573,'LP Elementos'!AW573,'LP Elementos'!BB573,'LP Elementos'!BG573,'LP Elementos'!BL573,'LP Elementos'!BQ573,'LP Elementos'!BV573,'LP Elementos'!CA573,'LP Elementos'!CF573,'LP Elementos'!CK573,'LP Elementos'!CP573,'LP Elementos'!CU573,'LP Elementos'!CZ573)," ")</f>
        <v>155852.872</v>
      </c>
      <c r="E573" s="341">
        <f>IFERROR(AVERAGE('LP Elementos'!F573,'LP Elementos'!I573,'LP Elementos'!N573,'LP Elementos'!S573,'LP Elementos'!X573,'LP Elementos'!AC573,'LP Elementos'!AH573,'LP Elementos'!AM573,'LP Elementos'!AR573,'LP Elementos'!AW573,'LP Elementos'!BB573,'LP Elementos'!BG573,'LP Elementos'!BL573,'LP Elementos'!BQ573,'LP Elementos'!BV573,'LP Elementos'!CA573,'LP Elementos'!CF573,'LP Elementos'!CK573,'LP Elementos'!CP573,'LP Elementos'!CU573,'LP Elementos'!CZ573)," ")</f>
        <v>167176.43599999999</v>
      </c>
      <c r="F573" s="341">
        <f>IFERROR(MEDIAN('LP Elementos'!F573,'LP Elementos'!I573,'LP Elementos'!N573,'LP Elementos'!S573,'LP Elementos'!X573,'LP Elementos'!AC573,'LP Elementos'!AH573,'LP Elementos'!AM573,'LP Elementos'!AR573,'LP Elementos'!AW573,'LP Elementos'!BB573,'LP Elementos'!BG573,'LP Elementos'!BL573,'LP Elementos'!BQ573,'LP Elementos'!BV573,'LP Elementos'!CA573,'LP Elementos'!CF573,'LP Elementos'!CK573,'LP Elementos'!CP573,'LP Elementos'!CU573,'LP Elementos'!CZ573)," ")</f>
        <v>167176.43599999999</v>
      </c>
      <c r="G573" s="341">
        <f>IFERROR(GEOMEAN('LP Elementos'!F573,'LP Elementos'!I573,'LP Elementos'!N573,'LP Elementos'!S573,'LP Elementos'!X573,'LP Elementos'!AC573,'LP Elementos'!AH573,'LP Elementos'!AM573,'LP Elementos'!AR573,'LP Elementos'!AW573,'LP Elementos'!BB573,'LP Elementos'!BG573,'LP Elementos'!BL573,'LP Elementos'!BQ573,'LP Elementos'!BV573,'LP Elementos'!CA573,'LP Elementos'!CF573,'LP Elementos'!CK573,'LP Elementos'!CP573,'LP Elementos'!CU573,'LP Elementos'!CZ573)," ")</f>
        <v>166792.49878816493</v>
      </c>
      <c r="H573" s="341">
        <f t="shared" si="48"/>
        <v>5600.7176114151534</v>
      </c>
      <c r="I573" s="342">
        <f t="shared" si="49"/>
        <v>3.3501836415600783E-2</v>
      </c>
      <c r="J573" s="341">
        <f t="shared" si="51"/>
        <v>167176.43599999999</v>
      </c>
      <c r="K573" s="326" t="str">
        <f t="shared" si="50"/>
        <v>Promedio</v>
      </c>
      <c r="L573" s="326">
        <f>IFERROR(COUNTA('LP Elementos'!F573,'LP Elementos'!I573,'LP Elementos'!N573,'LP Elementos'!S573,'LP Elementos'!X573,'LP Elementos'!AC573,'LP Elementos'!AH573,'LP Elementos'!AM573,'LP Elementos'!AR573,'LP Elementos'!AX573,'LP Elementos'!BB573,'LP Elementos'!BG573,'LP Elementos'!BL573,'LP Elementos'!BQ573,'LP Elementos'!BV573,'LP Elementos'!CA573,'LP Elementos'!CF573,'LP Elementos'!CK573,'LP Elementos'!CP573,'LP Elementos'!CU573,'LP Elementos'!CZ573)," ")</f>
        <v>2</v>
      </c>
    </row>
    <row r="574" spans="2:12" ht="54" x14ac:dyDescent="0.25">
      <c r="B574" s="411">
        <v>572</v>
      </c>
      <c r="C574" s="415" t="s">
        <v>4562</v>
      </c>
      <c r="D574" s="408">
        <f>IFERROR(MIN('LP Elementos'!F574,'LP Elementos'!I574,'LP Elementos'!N574,'LP Elementos'!S574,'LP Elementos'!X574,'LP Elementos'!AC574,'LP Elementos'!AH574,'LP Elementos'!AM574,'LP Elementos'!AR574,'LP Elementos'!AW574,'LP Elementos'!BB574,'LP Elementos'!BG574,'LP Elementos'!BL574,'LP Elementos'!BQ574,'LP Elementos'!BV574,'LP Elementos'!CA574,'LP Elementos'!CF574,'LP Elementos'!CK574,'LP Elementos'!CP574,'LP Elementos'!CU574,'LP Elementos'!CZ574)," ")</f>
        <v>104320.874</v>
      </c>
      <c r="E574" s="341">
        <f>IFERROR(AVERAGE('LP Elementos'!F574,'LP Elementos'!I574,'LP Elementos'!N574,'LP Elementos'!S574,'LP Elementos'!X574,'LP Elementos'!AC574,'LP Elementos'!AH574,'LP Elementos'!AM574,'LP Elementos'!AR574,'LP Elementos'!AW574,'LP Elementos'!BB574,'LP Elementos'!BG574,'LP Elementos'!BL574,'LP Elementos'!BQ574,'LP Elementos'!BV574,'LP Elementos'!CA574,'LP Elementos'!CF574,'LP Elementos'!CK574,'LP Elementos'!CP574,'LP Elementos'!CU574,'LP Elementos'!CZ574)," ")</f>
        <v>111660.43700000001</v>
      </c>
      <c r="F574" s="341">
        <f>IFERROR(MEDIAN('LP Elementos'!F574,'LP Elementos'!I574,'LP Elementos'!N574,'LP Elementos'!S574,'LP Elementos'!X574,'LP Elementos'!AC574,'LP Elementos'!AH574,'LP Elementos'!AM574,'LP Elementos'!AR574,'LP Elementos'!AW574,'LP Elementos'!BB574,'LP Elementos'!BG574,'LP Elementos'!BL574,'LP Elementos'!BQ574,'LP Elementos'!BV574,'LP Elementos'!CA574,'LP Elementos'!CF574,'LP Elementos'!CK574,'LP Elementos'!CP574,'LP Elementos'!CU574,'LP Elementos'!CZ574)," ")</f>
        <v>111660.43700000001</v>
      </c>
      <c r="G574" s="341">
        <f>IFERROR(GEOMEAN('LP Elementos'!F574,'LP Elementos'!I574,'LP Elementos'!N574,'LP Elementos'!S574,'LP Elementos'!X574,'LP Elementos'!AC574,'LP Elementos'!AH574,'LP Elementos'!AM574,'LP Elementos'!AR574,'LP Elementos'!AW574,'LP Elementos'!BB574,'LP Elementos'!BG574,'LP Elementos'!BL574,'LP Elementos'!BQ574,'LP Elementos'!BV574,'LP Elementos'!CA574,'LP Elementos'!CF574,'LP Elementos'!CK574,'LP Elementos'!CP574,'LP Elementos'!CU574,'LP Elementos'!CZ574)," ")</f>
        <v>111418.95712130859</v>
      </c>
      <c r="H574" s="341">
        <f t="shared" si="48"/>
        <v>3631.3195388931949</v>
      </c>
      <c r="I574" s="342">
        <f t="shared" si="49"/>
        <v>3.2521093741494089E-2</v>
      </c>
      <c r="J574" s="341">
        <f t="shared" si="51"/>
        <v>111660.43700000001</v>
      </c>
      <c r="K574" s="326" t="str">
        <f t="shared" si="50"/>
        <v>Promedio</v>
      </c>
      <c r="L574" s="326">
        <f>IFERROR(COUNTA('LP Elementos'!F574,'LP Elementos'!I574,'LP Elementos'!N574,'LP Elementos'!S574,'LP Elementos'!X574,'LP Elementos'!AC574,'LP Elementos'!AH574,'LP Elementos'!AM574,'LP Elementos'!AR574,'LP Elementos'!AX574,'LP Elementos'!BB574,'LP Elementos'!BG574,'LP Elementos'!BL574,'LP Elementos'!BQ574,'LP Elementos'!BV574,'LP Elementos'!CA574,'LP Elementos'!CF574,'LP Elementos'!CK574,'LP Elementos'!CP574,'LP Elementos'!CU574,'LP Elementos'!CZ574)," ")</f>
        <v>2</v>
      </c>
    </row>
    <row r="575" spans="2:12" ht="54" x14ac:dyDescent="0.25">
      <c r="B575" s="411">
        <v>573</v>
      </c>
      <c r="C575" s="412" t="s">
        <v>4566</v>
      </c>
      <c r="D575" s="408">
        <f>IFERROR(MIN('LP Elementos'!F575,'LP Elementos'!I575,'LP Elementos'!N575,'LP Elementos'!S575,'LP Elementos'!X575,'LP Elementos'!AC575,'LP Elementos'!AH575,'LP Elementos'!AM575,'LP Elementos'!AR575,'LP Elementos'!AW575,'LP Elementos'!BB575,'LP Elementos'!BG575,'LP Elementos'!BL575,'LP Elementos'!BQ575,'LP Elementos'!BV575,'LP Elementos'!CA575,'LP Elementos'!CF575,'LP Elementos'!CK575,'LP Elementos'!CP575,'LP Elementos'!CU575,'LP Elementos'!CZ575)," ")</f>
        <v>77612.744600000005</v>
      </c>
      <c r="E575" s="341">
        <f>IFERROR(AVERAGE('LP Elementos'!F575,'LP Elementos'!I575,'LP Elementos'!N575,'LP Elementos'!S575,'LP Elementos'!X575,'LP Elementos'!AC575,'LP Elementos'!AH575,'LP Elementos'!AM575,'LP Elementos'!AR575,'LP Elementos'!AW575,'LP Elementos'!BB575,'LP Elementos'!BG575,'LP Elementos'!BL575,'LP Elementos'!BQ575,'LP Elementos'!BV575,'LP Elementos'!CA575,'LP Elementos'!CF575,'LP Elementos'!CK575,'LP Elementos'!CP575,'LP Elementos'!CU575,'LP Elementos'!CZ575)," ")</f>
        <v>77612.744600000005</v>
      </c>
      <c r="F575" s="341">
        <f>IFERROR(MEDIAN('LP Elementos'!F575,'LP Elementos'!I575,'LP Elementos'!N575,'LP Elementos'!S575,'LP Elementos'!X575,'LP Elementos'!AC575,'LP Elementos'!AH575,'LP Elementos'!AM575,'LP Elementos'!AR575,'LP Elementos'!AW575,'LP Elementos'!BB575,'LP Elementos'!BG575,'LP Elementos'!BL575,'LP Elementos'!BQ575,'LP Elementos'!BV575,'LP Elementos'!CA575,'LP Elementos'!CF575,'LP Elementos'!CK575,'LP Elementos'!CP575,'LP Elementos'!CU575,'LP Elementos'!CZ575)," ")</f>
        <v>77612.744600000005</v>
      </c>
      <c r="G575" s="341">
        <f>IFERROR(GEOMEAN('LP Elementos'!F575,'LP Elementos'!I575,'LP Elementos'!N575,'LP Elementos'!S575,'LP Elementos'!X575,'LP Elementos'!AC575,'LP Elementos'!AH575,'LP Elementos'!AM575,'LP Elementos'!AR575,'LP Elementos'!AW575,'LP Elementos'!BB575,'LP Elementos'!BG575,'LP Elementos'!BL575,'LP Elementos'!BQ575,'LP Elementos'!BV575,'LP Elementos'!CA575,'LP Elementos'!CF575,'LP Elementos'!CK575,'LP Elementos'!CP575,'LP Elementos'!CU575,'LP Elementos'!CZ575)," ")</f>
        <v>77612.744600000005</v>
      </c>
      <c r="H575" s="341">
        <f t="shared" si="48"/>
        <v>0</v>
      </c>
      <c r="I575" s="342">
        <f t="shared" si="49"/>
        <v>0</v>
      </c>
      <c r="J575" s="341">
        <f t="shared" si="51"/>
        <v>77612.744600000005</v>
      </c>
      <c r="K575" s="326" t="str">
        <f t="shared" si="50"/>
        <v>Menor Valor</v>
      </c>
      <c r="L575" s="326">
        <f>IFERROR(COUNTA('LP Elementos'!F575,'LP Elementos'!I575,'LP Elementos'!N575,'LP Elementos'!S575,'LP Elementos'!X575,'LP Elementos'!AC575,'LP Elementos'!AH575,'LP Elementos'!AM575,'LP Elementos'!AR575,'LP Elementos'!AX575,'LP Elementos'!BB575,'LP Elementos'!BG575,'LP Elementos'!BL575,'LP Elementos'!BQ575,'LP Elementos'!BV575,'LP Elementos'!CA575,'LP Elementos'!CF575,'LP Elementos'!CK575,'LP Elementos'!CP575,'LP Elementos'!CU575,'LP Elementos'!CZ575)," ")</f>
        <v>1</v>
      </c>
    </row>
    <row r="576" spans="2:12" x14ac:dyDescent="0.25">
      <c r="B576" s="411">
        <v>574</v>
      </c>
      <c r="C576" s="412" t="s">
        <v>4568</v>
      </c>
      <c r="D576" s="408">
        <f>IFERROR(MIN('LP Elementos'!F576,'LP Elementos'!I576,'LP Elementos'!N576,'LP Elementos'!S576,'LP Elementos'!X576,'LP Elementos'!AC576,'LP Elementos'!AH576,'LP Elementos'!AM576,'LP Elementos'!AR576,'LP Elementos'!AW576,'LP Elementos'!BB576,'LP Elementos'!BG576,'LP Elementos'!BL576,'LP Elementos'!BQ576,'LP Elementos'!BV576,'LP Elementos'!CA576,'LP Elementos'!CF576,'LP Elementos'!CK576,'LP Elementos'!CP576,'LP Elementos'!CU576,'LP Elementos'!CZ576)," ")</f>
        <v>2287370.0920000002</v>
      </c>
      <c r="E576" s="341">
        <f>IFERROR(AVERAGE('LP Elementos'!F576,'LP Elementos'!I576,'LP Elementos'!N576,'LP Elementos'!S576,'LP Elementos'!X576,'LP Elementos'!AC576,'LP Elementos'!AH576,'LP Elementos'!AM576,'LP Elementos'!AR576,'LP Elementos'!AW576,'LP Elementos'!BB576,'LP Elementos'!BG576,'LP Elementos'!BL576,'LP Elementos'!BQ576,'LP Elementos'!BV576,'LP Elementos'!CA576,'LP Elementos'!CF576,'LP Elementos'!CK576,'LP Elementos'!CP576,'LP Elementos'!CU576,'LP Elementos'!CZ576)," ")</f>
        <v>4635264.0460000001</v>
      </c>
      <c r="F576" s="341">
        <f>IFERROR(MEDIAN('LP Elementos'!F576,'LP Elementos'!I576,'LP Elementos'!N576,'LP Elementos'!S576,'LP Elementos'!X576,'LP Elementos'!AC576,'LP Elementos'!AH576,'LP Elementos'!AM576,'LP Elementos'!AR576,'LP Elementos'!AW576,'LP Elementos'!BB576,'LP Elementos'!BG576,'LP Elementos'!BL576,'LP Elementos'!BQ576,'LP Elementos'!BV576,'LP Elementos'!CA576,'LP Elementos'!CF576,'LP Elementos'!CK576,'LP Elementos'!CP576,'LP Elementos'!CU576,'LP Elementos'!CZ576)," ")</f>
        <v>4635264.0460000001</v>
      </c>
      <c r="G576" s="341">
        <f>IFERROR(GEOMEAN('LP Elementos'!F576,'LP Elementos'!I576,'LP Elementos'!N576,'LP Elementos'!S576,'LP Elementos'!X576,'LP Elementos'!AC576,'LP Elementos'!AH576,'LP Elementos'!AM576,'LP Elementos'!AR576,'LP Elementos'!AW576,'LP Elementos'!BB576,'LP Elementos'!BG576,'LP Elementos'!BL576,'LP Elementos'!BQ576,'LP Elementos'!BV576,'LP Elementos'!CA576,'LP Elementos'!CF576,'LP Elementos'!CK576,'LP Elementos'!CP576,'LP Elementos'!CU576,'LP Elementos'!CZ576)," ")</f>
        <v>3996631.9266240336</v>
      </c>
      <c r="H576" s="341">
        <f t="shared" si="48"/>
        <v>1109147.1958806571</v>
      </c>
      <c r="I576" s="342">
        <f t="shared" si="49"/>
        <v>0.23928457685982213</v>
      </c>
      <c r="J576" s="341">
        <f t="shared" si="51"/>
        <v>3996631.9266240336</v>
      </c>
      <c r="K576" s="326" t="str">
        <f t="shared" si="50"/>
        <v>Media Geometrica</v>
      </c>
      <c r="L576" s="326">
        <f>IFERROR(COUNTA('LP Elementos'!F576,'LP Elementos'!I576,'LP Elementos'!N576,'LP Elementos'!S576,'LP Elementos'!X576,'LP Elementos'!AC576,'LP Elementos'!AH576,'LP Elementos'!AM576,'LP Elementos'!AR576,'LP Elementos'!AX576,'LP Elementos'!BB576,'LP Elementos'!BG576,'LP Elementos'!BL576,'LP Elementos'!BQ576,'LP Elementos'!BV576,'LP Elementos'!CA576,'LP Elementos'!CF576,'LP Elementos'!CK576,'LP Elementos'!CP576,'LP Elementos'!CU576,'LP Elementos'!CZ576)," ")</f>
        <v>2</v>
      </c>
    </row>
    <row r="577" spans="2:12" x14ac:dyDescent="0.25">
      <c r="B577" s="411">
        <v>575</v>
      </c>
      <c r="C577" s="412" t="s">
        <v>4571</v>
      </c>
      <c r="D577" s="408">
        <f>IFERROR(MIN('LP Elementos'!F577,'LP Elementos'!I577,'LP Elementos'!N577,'LP Elementos'!S577,'LP Elementos'!X577,'LP Elementos'!AC577,'LP Elementos'!AH577,'LP Elementos'!AM577,'LP Elementos'!AR577,'LP Elementos'!AW577,'LP Elementos'!BB577,'LP Elementos'!BG577,'LP Elementos'!BL577,'LP Elementos'!BQ577,'LP Elementos'!BV577,'LP Elementos'!CA577,'LP Elementos'!CF577,'LP Elementos'!CK577,'LP Elementos'!CP577,'LP Elementos'!CU577,'LP Elementos'!CZ577)," ")</f>
        <v>1855015.6782</v>
      </c>
      <c r="E577" s="341">
        <f>IFERROR(AVERAGE('LP Elementos'!F577,'LP Elementos'!I577,'LP Elementos'!N577,'LP Elementos'!S577,'LP Elementos'!X577,'LP Elementos'!AC577,'LP Elementos'!AH577,'LP Elementos'!AM577,'LP Elementos'!AR577,'LP Elementos'!AW577,'LP Elementos'!BB577,'LP Elementos'!BG577,'LP Elementos'!BL577,'LP Elementos'!BQ577,'LP Elementos'!BV577,'LP Elementos'!CA577,'LP Elementos'!CF577,'LP Elementos'!CK577,'LP Elementos'!CP577,'LP Elementos'!CU577,'LP Elementos'!CZ577)," ")</f>
        <v>4419086.8390999995</v>
      </c>
      <c r="F577" s="341">
        <f>IFERROR(MEDIAN('LP Elementos'!F577,'LP Elementos'!I577,'LP Elementos'!N577,'LP Elementos'!S577,'LP Elementos'!X577,'LP Elementos'!AC577,'LP Elementos'!AH577,'LP Elementos'!AM577,'LP Elementos'!AR577,'LP Elementos'!AW577,'LP Elementos'!BB577,'LP Elementos'!BG577,'LP Elementos'!BL577,'LP Elementos'!BQ577,'LP Elementos'!BV577,'LP Elementos'!CA577,'LP Elementos'!CF577,'LP Elementos'!CK577,'LP Elementos'!CP577,'LP Elementos'!CU577,'LP Elementos'!CZ577)," ")</f>
        <v>4419086.8390999995</v>
      </c>
      <c r="G577" s="341">
        <f>IFERROR(GEOMEAN('LP Elementos'!F577,'LP Elementos'!I577,'LP Elementos'!N577,'LP Elementos'!S577,'LP Elementos'!X577,'LP Elementos'!AC577,'LP Elementos'!AH577,'LP Elementos'!AM577,'LP Elementos'!AR577,'LP Elementos'!AW577,'LP Elementos'!BB577,'LP Elementos'!BG577,'LP Elementos'!BL577,'LP Elementos'!BQ577,'LP Elementos'!BV577,'LP Elementos'!CA577,'LP Elementos'!CF577,'LP Elementos'!CK577,'LP Elementos'!CP577,'LP Elementos'!CU577,'LP Elementos'!CZ577)," ")</f>
        <v>3599148.1732970867</v>
      </c>
      <c r="H577" s="341">
        <f t="shared" si="48"/>
        <v>1208839.6236380662</v>
      </c>
      <c r="I577" s="342">
        <f t="shared" si="49"/>
        <v>0.27354964218903222</v>
      </c>
      <c r="J577" s="341">
        <f t="shared" si="51"/>
        <v>3599148.1732970867</v>
      </c>
      <c r="K577" s="326" t="str">
        <f t="shared" si="50"/>
        <v>Media Geometrica</v>
      </c>
      <c r="L577" s="326">
        <f>IFERROR(COUNTA('LP Elementos'!F577,'LP Elementos'!I577,'LP Elementos'!N577,'LP Elementos'!S577,'LP Elementos'!X577,'LP Elementos'!AC577,'LP Elementos'!AH577,'LP Elementos'!AM577,'LP Elementos'!AR577,'LP Elementos'!AX577,'LP Elementos'!BB577,'LP Elementos'!BG577,'LP Elementos'!BL577,'LP Elementos'!BQ577,'LP Elementos'!BV577,'LP Elementos'!CA577,'LP Elementos'!CF577,'LP Elementos'!CK577,'LP Elementos'!CP577,'LP Elementos'!CU577,'LP Elementos'!CZ577)," ")</f>
        <v>2</v>
      </c>
    </row>
    <row r="578" spans="2:12" ht="54" x14ac:dyDescent="0.25">
      <c r="B578" s="411">
        <v>576</v>
      </c>
      <c r="C578" s="409" t="s">
        <v>4572</v>
      </c>
      <c r="D578" s="408">
        <f>IFERROR(MIN('LP Elementos'!F578,'LP Elementos'!I578,'LP Elementos'!N578,'LP Elementos'!S578,'LP Elementos'!X578,'LP Elementos'!AC578,'LP Elementos'!AH578,'LP Elementos'!AM578,'LP Elementos'!AR578,'LP Elementos'!AW578,'LP Elementos'!BB578,'LP Elementos'!BG578,'LP Elementos'!BL578,'LP Elementos'!BQ578,'LP Elementos'!BV578,'LP Elementos'!CA578,'LP Elementos'!CF578,'LP Elementos'!CK578,'LP Elementos'!CP578,'LP Elementos'!CU578,'LP Elementos'!CZ578)," ")</f>
        <v>447440</v>
      </c>
      <c r="E578" s="341">
        <f>IFERROR(AVERAGE('LP Elementos'!F578,'LP Elementos'!I578,'LP Elementos'!N578,'LP Elementos'!S578,'LP Elementos'!X578,'LP Elementos'!AC578,'LP Elementos'!AH578,'LP Elementos'!AM578,'LP Elementos'!AR578,'LP Elementos'!AW578,'LP Elementos'!BB578,'LP Elementos'!BG578,'LP Elementos'!BL578,'LP Elementos'!BQ578,'LP Elementos'!BV578,'LP Elementos'!CA578,'LP Elementos'!CF578,'LP Elementos'!CK578,'LP Elementos'!CP578,'LP Elementos'!CU578,'LP Elementos'!CZ578)," ")</f>
        <v>447440</v>
      </c>
      <c r="F578" s="341">
        <f>IFERROR(MEDIAN('LP Elementos'!F578,'LP Elementos'!I578,'LP Elementos'!N578,'LP Elementos'!S578,'LP Elementos'!X578,'LP Elementos'!AC578,'LP Elementos'!AH578,'LP Elementos'!AM578,'LP Elementos'!AR578,'LP Elementos'!AW578,'LP Elementos'!BB578,'LP Elementos'!BG578,'LP Elementos'!BL578,'LP Elementos'!BQ578,'LP Elementos'!BV578,'LP Elementos'!CA578,'LP Elementos'!CF578,'LP Elementos'!CK578,'LP Elementos'!CP578,'LP Elementos'!CU578,'LP Elementos'!CZ578)," ")</f>
        <v>447440</v>
      </c>
      <c r="G578" s="341">
        <f>IFERROR(GEOMEAN('LP Elementos'!F578,'LP Elementos'!I578,'LP Elementos'!N578,'LP Elementos'!S578,'LP Elementos'!X578,'LP Elementos'!AC578,'LP Elementos'!AH578,'LP Elementos'!AM578,'LP Elementos'!AR578,'LP Elementos'!AW578,'LP Elementos'!BB578,'LP Elementos'!BG578,'LP Elementos'!BL578,'LP Elementos'!BQ578,'LP Elementos'!BV578,'LP Elementos'!CA578,'LP Elementos'!CF578,'LP Elementos'!CK578,'LP Elementos'!CP578,'LP Elementos'!CU578,'LP Elementos'!CZ578)," ")</f>
        <v>447440</v>
      </c>
      <c r="H578" s="341">
        <f t="shared" si="48"/>
        <v>0</v>
      </c>
      <c r="I578" s="342">
        <f t="shared" si="49"/>
        <v>0</v>
      </c>
      <c r="J578" s="341">
        <f t="shared" si="51"/>
        <v>447440</v>
      </c>
      <c r="K578" s="326" t="str">
        <f t="shared" si="50"/>
        <v>Menor Valor</v>
      </c>
      <c r="L578" s="326">
        <f>IFERROR(COUNTA('LP Elementos'!F578,'LP Elementos'!I578,'LP Elementos'!N578,'LP Elementos'!S578,'LP Elementos'!X578,'LP Elementos'!AC578,'LP Elementos'!AH578,'LP Elementos'!AM578,'LP Elementos'!AR578,'LP Elementos'!AX578,'LP Elementos'!BB578,'LP Elementos'!BG578,'LP Elementos'!BL578,'LP Elementos'!BQ578,'LP Elementos'!BV578,'LP Elementos'!CA578,'LP Elementos'!CF578,'LP Elementos'!CK578,'LP Elementos'!CP578,'LP Elementos'!CU578,'LP Elementos'!CZ578)," ")</f>
        <v>1</v>
      </c>
    </row>
    <row r="579" spans="2:12" ht="67.5" x14ac:dyDescent="0.25">
      <c r="B579" s="411">
        <v>577</v>
      </c>
      <c r="C579" s="412" t="s">
        <v>4577</v>
      </c>
      <c r="D579" s="408">
        <f>IFERROR(MIN('LP Elementos'!F579,'LP Elementos'!I579,'LP Elementos'!N579,'LP Elementos'!S579,'LP Elementos'!X579,'LP Elementos'!AC579,'LP Elementos'!AH579,'LP Elementos'!AM579,'LP Elementos'!AR579,'LP Elementos'!AW579,'LP Elementos'!BB579,'LP Elementos'!BG579,'LP Elementos'!BL579,'LP Elementos'!BQ579,'LP Elementos'!BV579,'LP Elementos'!CA579,'LP Elementos'!CF579,'LP Elementos'!CK579,'LP Elementos'!CP579,'LP Elementos'!CU579,'LP Elementos'!CZ579)," ")</f>
        <v>665690.11780000001</v>
      </c>
      <c r="E579" s="341">
        <f>IFERROR(AVERAGE('LP Elementos'!F579,'LP Elementos'!I579,'LP Elementos'!N579,'LP Elementos'!S579,'LP Elementos'!X579,'LP Elementos'!AC579,'LP Elementos'!AH579,'LP Elementos'!AM579,'LP Elementos'!AR579,'LP Elementos'!AW579,'LP Elementos'!BB579,'LP Elementos'!BG579,'LP Elementos'!BL579,'LP Elementos'!BQ579,'LP Elementos'!BV579,'LP Elementos'!CA579,'LP Elementos'!CF579,'LP Elementos'!CK579,'LP Elementos'!CP579,'LP Elementos'!CU579,'LP Elementos'!CZ579)," ")</f>
        <v>665690.11780000001</v>
      </c>
      <c r="F579" s="341">
        <f>IFERROR(MEDIAN('LP Elementos'!F579,'LP Elementos'!I579,'LP Elementos'!N579,'LP Elementos'!S579,'LP Elementos'!X579,'LP Elementos'!AC579,'LP Elementos'!AH579,'LP Elementos'!AM579,'LP Elementos'!AR579,'LP Elementos'!AW579,'LP Elementos'!BB579,'LP Elementos'!BG579,'LP Elementos'!BL579,'LP Elementos'!BQ579,'LP Elementos'!BV579,'LP Elementos'!CA579,'LP Elementos'!CF579,'LP Elementos'!CK579,'LP Elementos'!CP579,'LP Elementos'!CU579,'LP Elementos'!CZ579)," ")</f>
        <v>665690.11780000001</v>
      </c>
      <c r="G579" s="341">
        <f>IFERROR(GEOMEAN('LP Elementos'!F579,'LP Elementos'!I579,'LP Elementos'!N579,'LP Elementos'!S579,'LP Elementos'!X579,'LP Elementos'!AC579,'LP Elementos'!AH579,'LP Elementos'!AM579,'LP Elementos'!AR579,'LP Elementos'!AW579,'LP Elementos'!BB579,'LP Elementos'!BG579,'LP Elementos'!BL579,'LP Elementos'!BQ579,'LP Elementos'!BV579,'LP Elementos'!CA579,'LP Elementos'!CF579,'LP Elementos'!CK579,'LP Elementos'!CP579,'LP Elementos'!CU579,'LP Elementos'!CZ579)," ")</f>
        <v>665690.11780000001</v>
      </c>
      <c r="H579" s="341">
        <f t="shared" si="48"/>
        <v>0</v>
      </c>
      <c r="I579" s="342">
        <f t="shared" si="49"/>
        <v>0</v>
      </c>
      <c r="J579" s="341">
        <f t="shared" si="51"/>
        <v>665690.11780000001</v>
      </c>
      <c r="K579" s="326" t="str">
        <f t="shared" si="50"/>
        <v>Menor Valor</v>
      </c>
      <c r="L579" s="326">
        <f>IFERROR(COUNTA('LP Elementos'!F579,'LP Elementos'!I579,'LP Elementos'!N579,'LP Elementos'!S579,'LP Elementos'!X579,'LP Elementos'!AC579,'LP Elementos'!AH579,'LP Elementos'!AM579,'LP Elementos'!AR579,'LP Elementos'!AX579,'LP Elementos'!BB579,'LP Elementos'!BG579,'LP Elementos'!BL579,'LP Elementos'!BQ579,'LP Elementos'!BV579,'LP Elementos'!CA579,'LP Elementos'!CF579,'LP Elementos'!CK579,'LP Elementos'!CP579,'LP Elementos'!CU579,'LP Elementos'!CZ579)," ")</f>
        <v>1</v>
      </c>
    </row>
    <row r="580" spans="2:12" ht="40.5" x14ac:dyDescent="0.25">
      <c r="B580" s="411">
        <v>578</v>
      </c>
      <c r="C580" s="412" t="s">
        <v>4579</v>
      </c>
      <c r="D580" s="408">
        <f>IFERROR(MIN('LP Elementos'!F580,'LP Elementos'!I580,'LP Elementos'!N580,'LP Elementos'!S580,'LP Elementos'!X580,'LP Elementos'!AC580,'LP Elementos'!AH580,'LP Elementos'!AM580,'LP Elementos'!AR580,'LP Elementos'!AW580,'LP Elementos'!BB580,'LP Elementos'!BG580,'LP Elementos'!BL580,'LP Elementos'!BQ580,'LP Elementos'!BV580,'LP Elementos'!CA580,'LP Elementos'!CF580,'LP Elementos'!CK580,'LP Elementos'!CP580,'LP Elementos'!CU580,'LP Elementos'!CZ580)," ")</f>
        <v>110605.26400000001</v>
      </c>
      <c r="E580" s="341">
        <f>IFERROR(AVERAGE('LP Elementos'!F580,'LP Elementos'!I580,'LP Elementos'!N580,'LP Elementos'!S580,'LP Elementos'!X580,'LP Elementos'!AC580,'LP Elementos'!AH580,'LP Elementos'!AM580,'LP Elementos'!AR580,'LP Elementos'!AW580,'LP Elementos'!BB580,'LP Elementos'!BG580,'LP Elementos'!BL580,'LP Elementos'!BQ580,'LP Elementos'!BV580,'LP Elementos'!CA580,'LP Elementos'!CF580,'LP Elementos'!CK580,'LP Elementos'!CP580,'LP Elementos'!CU580,'LP Elementos'!CZ580)," ")</f>
        <v>151692.63200000001</v>
      </c>
      <c r="F580" s="341">
        <f>IFERROR(MEDIAN('LP Elementos'!F580,'LP Elementos'!I580,'LP Elementos'!N580,'LP Elementos'!S580,'LP Elementos'!X580,'LP Elementos'!AC580,'LP Elementos'!AH580,'LP Elementos'!AM580,'LP Elementos'!AR580,'LP Elementos'!AW580,'LP Elementos'!BB580,'LP Elementos'!BG580,'LP Elementos'!BL580,'LP Elementos'!BQ580,'LP Elementos'!BV580,'LP Elementos'!CA580,'LP Elementos'!CF580,'LP Elementos'!CK580,'LP Elementos'!CP580,'LP Elementos'!CU580,'LP Elementos'!CZ580)," ")</f>
        <v>151692.63200000001</v>
      </c>
      <c r="G580" s="341">
        <f>IFERROR(GEOMEAN('LP Elementos'!F580,'LP Elementos'!I580,'LP Elementos'!N580,'LP Elementos'!S580,'LP Elementos'!X580,'LP Elementos'!AC580,'LP Elementos'!AH580,'LP Elementos'!AM580,'LP Elementos'!AR580,'LP Elementos'!AW580,'LP Elementos'!BB580,'LP Elementos'!BG580,'LP Elementos'!BL580,'LP Elementos'!BQ580,'LP Elementos'!BV580,'LP Elementos'!CA580,'LP Elementos'!CF580,'LP Elementos'!CK580,'LP Elementos'!CP580,'LP Elementos'!CU580,'LP Elementos'!CZ580)," ")</f>
        <v>146022.19966128439</v>
      </c>
      <c r="H580" s="341">
        <f t="shared" si="48"/>
        <v>19780.062680609979</v>
      </c>
      <c r="I580" s="342">
        <f t="shared" si="49"/>
        <v>0.13039567195729043</v>
      </c>
      <c r="J580" s="341">
        <f t="shared" si="51"/>
        <v>151692.63200000001</v>
      </c>
      <c r="K580" s="326" t="str">
        <f t="shared" si="50"/>
        <v>Promedio</v>
      </c>
      <c r="L580" s="326">
        <f>IFERROR(COUNTA('LP Elementos'!F580,'LP Elementos'!I580,'LP Elementos'!N580,'LP Elementos'!S580,'LP Elementos'!X580,'LP Elementos'!AC580,'LP Elementos'!AH580,'LP Elementos'!AM580,'LP Elementos'!AR580,'LP Elementos'!AX580,'LP Elementos'!BB580,'LP Elementos'!BG580,'LP Elementos'!BL580,'LP Elementos'!BQ580,'LP Elementos'!BV580,'LP Elementos'!CA580,'LP Elementos'!CF580,'LP Elementos'!CK580,'LP Elementos'!CP580,'LP Elementos'!CU580,'LP Elementos'!CZ580)," ")</f>
        <v>2</v>
      </c>
    </row>
    <row r="581" spans="2:12" x14ac:dyDescent="0.25">
      <c r="B581" s="411">
        <v>579</v>
      </c>
      <c r="C581" s="412" t="s">
        <v>4582</v>
      </c>
      <c r="D581" s="408">
        <f>IFERROR(MIN('LP Elementos'!F581,'LP Elementos'!I581,'LP Elementos'!N581,'LP Elementos'!S581,'LP Elementos'!X581,'LP Elementos'!AC581,'LP Elementos'!AH581,'LP Elementos'!AM581,'LP Elementos'!AR581,'LP Elementos'!AW581,'LP Elementos'!BB581,'LP Elementos'!BG581,'LP Elementos'!BL581,'LP Elementos'!BQ581,'LP Elementos'!BV581,'LP Elementos'!CA581,'LP Elementos'!CF581,'LP Elementos'!CK581,'LP Elementos'!CP581,'LP Elementos'!CU581,'LP Elementos'!CZ581)," ")</f>
        <v>22411.507799999999</v>
      </c>
      <c r="E581" s="341">
        <f>IFERROR(AVERAGE('LP Elementos'!F581,'LP Elementos'!I581,'LP Elementos'!N581,'LP Elementos'!S581,'LP Elementos'!X581,'LP Elementos'!AC581,'LP Elementos'!AH581,'LP Elementos'!AM581,'LP Elementos'!AR581,'LP Elementos'!AW581,'LP Elementos'!BB581,'LP Elementos'!BG581,'LP Elementos'!BL581,'LP Elementos'!BQ581,'LP Elementos'!BV581,'LP Elementos'!CA581,'LP Elementos'!CF581,'LP Elementos'!CK581,'LP Elementos'!CP581,'LP Elementos'!CU581,'LP Elementos'!CZ581)," ")</f>
        <v>380938.75390000001</v>
      </c>
      <c r="F581" s="341">
        <f>IFERROR(MEDIAN('LP Elementos'!F581,'LP Elementos'!I581,'LP Elementos'!N581,'LP Elementos'!S581,'LP Elementos'!X581,'LP Elementos'!AC581,'LP Elementos'!AH581,'LP Elementos'!AM581,'LP Elementos'!AR581,'LP Elementos'!AW581,'LP Elementos'!BB581,'LP Elementos'!BG581,'LP Elementos'!BL581,'LP Elementos'!BQ581,'LP Elementos'!BV581,'LP Elementos'!CA581,'LP Elementos'!CF581,'LP Elementos'!CK581,'LP Elementos'!CP581,'LP Elementos'!CU581,'LP Elementos'!CZ581)," ")</f>
        <v>380938.75390000001</v>
      </c>
      <c r="G581" s="341">
        <f>IFERROR(GEOMEAN('LP Elementos'!F581,'LP Elementos'!I581,'LP Elementos'!N581,'LP Elementos'!S581,'LP Elementos'!X581,'LP Elementos'!AC581,'LP Elementos'!AH581,'LP Elementos'!AM581,'LP Elementos'!AR581,'LP Elementos'!AW581,'LP Elementos'!BB581,'LP Elementos'!BG581,'LP Elementos'!BL581,'LP Elementos'!BQ581,'LP Elementos'!BV581,'LP Elementos'!CA581,'LP Elementos'!CF581,'LP Elementos'!CK581,'LP Elementos'!CP581,'LP Elementos'!CU581,'LP Elementos'!CZ581)," ")</f>
        <v>128734.40886893759</v>
      </c>
      <c r="H581" s="341">
        <f t="shared" si="48"/>
        <v>181567.7547980618</v>
      </c>
      <c r="I581" s="342">
        <f t="shared" si="49"/>
        <v>0.47663240596866402</v>
      </c>
      <c r="J581" s="341">
        <f>IF(I581&lt;=10%,F581,IF(AND(I581&gt;10%,I581&lt;=20%),E581,IF(AND(I581&gt;20%,I581&lt;=49%),G581,IF(I581&gt;49%,D581))))</f>
        <v>128734.40886893759</v>
      </c>
      <c r="K581" s="326" t="str">
        <f t="shared" si="50"/>
        <v>Media Geometrica</v>
      </c>
      <c r="L581" s="326">
        <f>IFERROR(COUNTA('LP Elementos'!F581,'LP Elementos'!I581,'LP Elementos'!N581,'LP Elementos'!S581,'LP Elementos'!X581,'LP Elementos'!AC581,'LP Elementos'!AH581,'LP Elementos'!AM581,'LP Elementos'!AR581,'LP Elementos'!AX581,'LP Elementos'!BB581,'LP Elementos'!BG581,'LP Elementos'!BL581,'LP Elementos'!BQ581,'LP Elementos'!BV581,'LP Elementos'!CA581,'LP Elementos'!CF581,'LP Elementos'!CK581,'LP Elementos'!CP581,'LP Elementos'!CU581,'LP Elementos'!CZ581)," ")</f>
        <v>2</v>
      </c>
    </row>
    <row r="582" spans="2:12" x14ac:dyDescent="0.25">
      <c r="B582" s="411">
        <v>580</v>
      </c>
      <c r="C582" s="409" t="s">
        <v>4586</v>
      </c>
      <c r="D582" s="408">
        <f>IFERROR(MIN('LP Elementos'!F582,'LP Elementos'!I582,'LP Elementos'!N582,'LP Elementos'!S582,'LP Elementos'!X582,'LP Elementos'!AC582,'LP Elementos'!AH582,'LP Elementos'!AM582,'LP Elementos'!AR582,'LP Elementos'!AW582,'LP Elementos'!BB582,'LP Elementos'!BG582,'LP Elementos'!BL582,'LP Elementos'!BQ582,'LP Elementos'!BV582,'LP Elementos'!CA582,'LP Elementos'!CF582,'LP Elementos'!CK582,'LP Elementos'!CP582,'LP Elementos'!CU582,'LP Elementos'!CZ582)," ")</f>
        <v>5027.5119999999997</v>
      </c>
      <c r="E582" s="341">
        <f>IFERROR(AVERAGE('LP Elementos'!F582,'LP Elementos'!I582,'LP Elementos'!N582,'LP Elementos'!S582,'LP Elementos'!X582,'LP Elementos'!AC582,'LP Elementos'!AH582,'LP Elementos'!AM582,'LP Elementos'!AR582,'LP Elementos'!AW582,'LP Elementos'!BB582,'LP Elementos'!BG582,'LP Elementos'!BL582,'LP Elementos'!BQ582,'LP Elementos'!BV582,'LP Elementos'!CA582,'LP Elementos'!CF582,'LP Elementos'!CK582,'LP Elementos'!CP582,'LP Elementos'!CU582,'LP Elementos'!CZ582)," ")</f>
        <v>434483.75599999999</v>
      </c>
      <c r="F582" s="341">
        <f>IFERROR(MEDIAN('LP Elementos'!F582,'LP Elementos'!I582,'LP Elementos'!N582,'LP Elementos'!S582,'LP Elementos'!X582,'LP Elementos'!AC582,'LP Elementos'!AH582,'LP Elementos'!AM582,'LP Elementos'!AR582,'LP Elementos'!AW582,'LP Elementos'!BB582,'LP Elementos'!BG582,'LP Elementos'!BL582,'LP Elementos'!BQ582,'LP Elementos'!BV582,'LP Elementos'!CA582,'LP Elementos'!CF582,'LP Elementos'!CK582,'LP Elementos'!CP582,'LP Elementos'!CU582,'LP Elementos'!CZ582)," ")</f>
        <v>434483.75599999999</v>
      </c>
      <c r="G582" s="341">
        <f>IFERROR(GEOMEAN('LP Elementos'!F582,'LP Elementos'!I582,'LP Elementos'!N582,'LP Elementos'!S582,'LP Elementos'!X582,'LP Elementos'!AC582,'LP Elementos'!AH582,'LP Elementos'!AM582,'LP Elementos'!AR582,'LP Elementos'!AW582,'LP Elementos'!BB582,'LP Elementos'!BG582,'LP Elementos'!BL582,'LP Elementos'!BQ582,'LP Elementos'!BV582,'LP Elementos'!CA582,'LP Elementos'!CF582,'LP Elementos'!CK582,'LP Elementos'!CP582,'LP Elementos'!CU582,'LP Elementos'!CZ582)," ")</f>
        <v>65904.997665427465</v>
      </c>
      <c r="H582" s="341">
        <f t="shared" si="48"/>
        <v>231709.5886148992</v>
      </c>
      <c r="I582" s="342">
        <f t="shared" si="49"/>
        <v>0.53329862259545369</v>
      </c>
      <c r="J582" s="341">
        <f>IF(I582&lt;=10%,F582,IF(AND(I582&gt;10%,I582&lt;=20%),E582,IF(AND(I582&gt;20%,I582&lt;=54%),G582,IF(I582&gt;54%,D582))))</f>
        <v>65904.997665427465</v>
      </c>
      <c r="K582" s="326" t="str">
        <f t="shared" si="50"/>
        <v>Media Geometrica</v>
      </c>
      <c r="L582" s="326">
        <f>IFERROR(COUNTA('LP Elementos'!F582,'LP Elementos'!I582,'LP Elementos'!N582,'LP Elementos'!S582,'LP Elementos'!X582,'LP Elementos'!AC582,'LP Elementos'!AH582,'LP Elementos'!AM582,'LP Elementos'!AR582,'LP Elementos'!AX582,'LP Elementos'!BB582,'LP Elementos'!BG582,'LP Elementos'!BL582,'LP Elementos'!BQ582,'LP Elementos'!BV582,'LP Elementos'!CA582,'LP Elementos'!CF582,'LP Elementos'!CK582,'LP Elementos'!CP582,'LP Elementos'!CU582,'LP Elementos'!CZ582)," ")</f>
        <v>2</v>
      </c>
    </row>
    <row r="583" spans="2:12" x14ac:dyDescent="0.25">
      <c r="B583" s="411">
        <v>581</v>
      </c>
      <c r="C583" s="412" t="s">
        <v>4588</v>
      </c>
      <c r="D583" s="408">
        <f>IFERROR(MIN('LP Elementos'!F583,'LP Elementos'!I583,'LP Elementos'!N583,'LP Elementos'!S583,'LP Elementos'!X583,'LP Elementos'!AC583,'LP Elementos'!AH583,'LP Elementos'!AM583,'LP Elementos'!AR583,'LP Elementos'!AW583,'LP Elementos'!BB583,'LP Elementos'!BG583,'LP Elementos'!BL583,'LP Elementos'!BQ583,'LP Elementos'!BV583,'LP Elementos'!CA583,'LP Elementos'!CF583,'LP Elementos'!CK583,'LP Elementos'!CP583,'LP Elementos'!CU583,'LP Elementos'!CZ583)," ")</f>
        <v>107722.89420000001</v>
      </c>
      <c r="E583" s="341">
        <f>IFERROR(AVERAGE('LP Elementos'!F583,'LP Elementos'!I583,'LP Elementos'!N583,'LP Elementos'!S583,'LP Elementos'!X583,'LP Elementos'!AC583,'LP Elementos'!AH583,'LP Elementos'!AM583,'LP Elementos'!AR583,'LP Elementos'!AW583,'LP Elementos'!BB583,'LP Elementos'!BG583,'LP Elementos'!BL583,'LP Elementos'!BQ583,'LP Elementos'!BV583,'LP Elementos'!CA583,'LP Elementos'!CF583,'LP Elementos'!CK583,'LP Elementos'!CP583,'LP Elementos'!CU583,'LP Elementos'!CZ583)," ")</f>
        <v>107722.89420000001</v>
      </c>
      <c r="F583" s="341">
        <f>IFERROR(MEDIAN('LP Elementos'!F583,'LP Elementos'!I583,'LP Elementos'!N583,'LP Elementos'!S583,'LP Elementos'!X583,'LP Elementos'!AC583,'LP Elementos'!AH583,'LP Elementos'!AM583,'LP Elementos'!AR583,'LP Elementos'!AW583,'LP Elementos'!BB583,'LP Elementos'!BG583,'LP Elementos'!BL583,'LP Elementos'!BQ583,'LP Elementos'!BV583,'LP Elementos'!CA583,'LP Elementos'!CF583,'LP Elementos'!CK583,'LP Elementos'!CP583,'LP Elementos'!CU583,'LP Elementos'!CZ583)," ")</f>
        <v>107722.89420000001</v>
      </c>
      <c r="G583" s="341">
        <f>IFERROR(GEOMEAN('LP Elementos'!F583,'LP Elementos'!I583,'LP Elementos'!N583,'LP Elementos'!S583,'LP Elementos'!X583,'LP Elementos'!AC583,'LP Elementos'!AH583,'LP Elementos'!AM583,'LP Elementos'!AR583,'LP Elementos'!AW583,'LP Elementos'!BB583,'LP Elementos'!BG583,'LP Elementos'!BL583,'LP Elementos'!BQ583,'LP Elementos'!BV583,'LP Elementos'!CA583,'LP Elementos'!CF583,'LP Elementos'!CK583,'LP Elementos'!CP583,'LP Elementos'!CU583,'LP Elementos'!CZ583)," ")</f>
        <v>107722.89420000001</v>
      </c>
      <c r="H583" s="341">
        <f t="shared" si="48"/>
        <v>0</v>
      </c>
      <c r="I583" s="342">
        <f t="shared" si="49"/>
        <v>0</v>
      </c>
      <c r="J583" s="341">
        <f t="shared" si="51"/>
        <v>107722.89420000001</v>
      </c>
      <c r="K583" s="326" t="str">
        <f t="shared" si="50"/>
        <v>Menor Valor</v>
      </c>
      <c r="L583" s="326">
        <f>IFERROR(COUNTA('LP Elementos'!F583,'LP Elementos'!I583,'LP Elementos'!N583,'LP Elementos'!S583,'LP Elementos'!X583,'LP Elementos'!AC583,'LP Elementos'!AH583,'LP Elementos'!AM583,'LP Elementos'!AR583,'LP Elementos'!AX583,'LP Elementos'!BB583,'LP Elementos'!BG583,'LP Elementos'!BL583,'LP Elementos'!BQ583,'LP Elementos'!BV583,'LP Elementos'!CA583,'LP Elementos'!CF583,'LP Elementos'!CK583,'LP Elementos'!CP583,'LP Elementos'!CU583,'LP Elementos'!CZ583)," ")</f>
        <v>1</v>
      </c>
    </row>
    <row r="584" spans="2:12" ht="40.5" x14ac:dyDescent="0.25">
      <c r="B584" s="411">
        <v>582</v>
      </c>
      <c r="C584" s="409" t="s">
        <v>4589</v>
      </c>
      <c r="D584" s="408">
        <f>IFERROR(MIN('LP Elementos'!F584,'LP Elementos'!I584,'LP Elementos'!N584,'LP Elementos'!S584,'LP Elementos'!X584,'LP Elementos'!AC584,'LP Elementos'!AH584,'LP Elementos'!AM584,'LP Elementos'!AR584,'LP Elementos'!AW584,'LP Elementos'!BB584,'LP Elementos'!BG584,'LP Elementos'!BL584,'LP Elementos'!BQ584,'LP Elementos'!BV584,'LP Elementos'!CA584,'LP Elementos'!CF584,'LP Elementos'!CK584,'LP Elementos'!CP584,'LP Elementos'!CU584,'LP Elementos'!CZ584)," ")</f>
        <v>714000</v>
      </c>
      <c r="E584" s="341">
        <f>IFERROR(AVERAGE('LP Elementos'!F584,'LP Elementos'!I584,'LP Elementos'!N584,'LP Elementos'!S584,'LP Elementos'!X584,'LP Elementos'!AC584,'LP Elementos'!AH584,'LP Elementos'!AM584,'LP Elementos'!AR584,'LP Elementos'!AW584,'LP Elementos'!BB584,'LP Elementos'!BG584,'LP Elementos'!BL584,'LP Elementos'!BQ584,'LP Elementos'!BV584,'LP Elementos'!CA584,'LP Elementos'!CF584,'LP Elementos'!CK584,'LP Elementos'!CP584,'LP Elementos'!CU584,'LP Elementos'!CZ584)," ")</f>
        <v>714000</v>
      </c>
      <c r="F584" s="341">
        <f>IFERROR(MEDIAN('LP Elementos'!F584,'LP Elementos'!I584,'LP Elementos'!N584,'LP Elementos'!S584,'LP Elementos'!X584,'LP Elementos'!AC584,'LP Elementos'!AH584,'LP Elementos'!AM584,'LP Elementos'!AR584,'LP Elementos'!AW584,'LP Elementos'!BB584,'LP Elementos'!BG584,'LP Elementos'!BL584,'LP Elementos'!BQ584,'LP Elementos'!BV584,'LP Elementos'!CA584,'LP Elementos'!CF584,'LP Elementos'!CK584,'LP Elementos'!CP584,'LP Elementos'!CU584,'LP Elementos'!CZ584)," ")</f>
        <v>714000</v>
      </c>
      <c r="G584" s="341">
        <f>IFERROR(GEOMEAN('LP Elementos'!F584,'LP Elementos'!I584,'LP Elementos'!N584,'LP Elementos'!S584,'LP Elementos'!X584,'LP Elementos'!AC584,'LP Elementos'!AH584,'LP Elementos'!AM584,'LP Elementos'!AR584,'LP Elementos'!AW584,'LP Elementos'!BB584,'LP Elementos'!BG584,'LP Elementos'!BL584,'LP Elementos'!BQ584,'LP Elementos'!BV584,'LP Elementos'!CA584,'LP Elementos'!CF584,'LP Elementos'!CK584,'LP Elementos'!CP584,'LP Elementos'!CU584,'LP Elementos'!CZ584)," ")</f>
        <v>714000</v>
      </c>
      <c r="H584" s="341">
        <f t="shared" si="48"/>
        <v>0</v>
      </c>
      <c r="I584" s="342">
        <f t="shared" si="49"/>
        <v>0</v>
      </c>
      <c r="J584" s="341">
        <f t="shared" si="51"/>
        <v>714000</v>
      </c>
      <c r="K584" s="326" t="str">
        <f t="shared" si="50"/>
        <v>Menor Valor</v>
      </c>
      <c r="L584" s="326">
        <f>IFERROR(COUNTA('LP Elementos'!F584,'LP Elementos'!I584,'LP Elementos'!N584,'LP Elementos'!S584,'LP Elementos'!X584,'LP Elementos'!AC584,'LP Elementos'!AH584,'LP Elementos'!AM584,'LP Elementos'!AR584,'LP Elementos'!AX584,'LP Elementos'!BB584,'LP Elementos'!BG584,'LP Elementos'!BL584,'LP Elementos'!BQ584,'LP Elementos'!BV584,'LP Elementos'!CA584,'LP Elementos'!CF584,'LP Elementos'!CK584,'LP Elementos'!CP584,'LP Elementos'!CU584,'LP Elementos'!CZ584)," ")</f>
        <v>1</v>
      </c>
    </row>
    <row r="585" spans="2:12" ht="27" x14ac:dyDescent="0.25">
      <c r="B585" s="411">
        <v>583</v>
      </c>
      <c r="C585" s="415" t="s">
        <v>4592</v>
      </c>
      <c r="D585" s="408">
        <f>IFERROR(MIN('LP Elementos'!F585,'LP Elementos'!I585,'LP Elementos'!N585,'LP Elementos'!S585,'LP Elementos'!X585,'LP Elementos'!AC585,'LP Elementos'!AH585,'LP Elementos'!AM585,'LP Elementos'!AR585,'LP Elementos'!AW585,'LP Elementos'!BB585,'LP Elementos'!BG585,'LP Elementos'!BL585,'LP Elementos'!BQ585,'LP Elementos'!BV585,'LP Elementos'!CA585,'LP Elementos'!CF585,'LP Elementos'!CK585,'LP Elementos'!CP585,'LP Elementos'!CU585,'LP Elementos'!CZ585)," ")</f>
        <v>33118.207200000004</v>
      </c>
      <c r="E585" s="341">
        <f>IFERROR(AVERAGE('LP Elementos'!F585,'LP Elementos'!I585,'LP Elementos'!N585,'LP Elementos'!S585,'LP Elementos'!X585,'LP Elementos'!AC585,'LP Elementos'!AH585,'LP Elementos'!AM585,'LP Elementos'!AR585,'LP Elementos'!AW585,'LP Elementos'!BB585,'LP Elementos'!BG585,'LP Elementos'!BL585,'LP Elementos'!BQ585,'LP Elementos'!BV585,'LP Elementos'!CA585,'LP Elementos'!CF585,'LP Elementos'!CK585,'LP Elementos'!CP585,'LP Elementos'!CU585,'LP Elementos'!CZ585)," ")</f>
        <v>137972.73573333333</v>
      </c>
      <c r="F585" s="341">
        <f>IFERROR(MEDIAN('LP Elementos'!F585,'LP Elementos'!I585,'LP Elementos'!N585,'LP Elementos'!S585,'LP Elementos'!X585,'LP Elementos'!AC585,'LP Elementos'!AH585,'LP Elementos'!AM585,'LP Elementos'!AR585,'LP Elementos'!AW585,'LP Elementos'!BB585,'LP Elementos'!BG585,'LP Elementos'!BL585,'LP Elementos'!BQ585,'LP Elementos'!BV585,'LP Elementos'!CA585,'LP Elementos'!CF585,'LP Elementos'!CK585,'LP Elementos'!CP585,'LP Elementos'!CU585,'LP Elementos'!CZ585)," ")</f>
        <v>153510</v>
      </c>
      <c r="G585" s="341">
        <f>IFERROR(GEOMEAN('LP Elementos'!F585,'LP Elementos'!I585,'LP Elementos'!N585,'LP Elementos'!S585,'LP Elementos'!X585,'LP Elementos'!AC585,'LP Elementos'!AH585,'LP Elementos'!AM585,'LP Elementos'!AR585,'LP Elementos'!AW585,'LP Elementos'!BB585,'LP Elementos'!BG585,'LP Elementos'!BL585,'LP Elementos'!BQ585,'LP Elementos'!BV585,'LP Elementos'!CA585,'LP Elementos'!CF585,'LP Elementos'!CK585,'LP Elementos'!CP585,'LP Elementos'!CU585,'LP Elementos'!CZ585)," ")</f>
        <v>104936.82979287939</v>
      </c>
      <c r="H585" s="341">
        <f t="shared" si="48"/>
        <v>53493.536217669047</v>
      </c>
      <c r="I585" s="342">
        <f t="shared" si="49"/>
        <v>0.38771091935915963</v>
      </c>
      <c r="J585" s="341">
        <f t="shared" si="51"/>
        <v>33118.207200000004</v>
      </c>
      <c r="K585" s="326" t="str">
        <f t="shared" si="50"/>
        <v>Menor Valor</v>
      </c>
      <c r="L585" s="326">
        <f>IFERROR(COUNTA('LP Elementos'!F585,'LP Elementos'!I585,'LP Elementos'!N585,'LP Elementos'!S585,'LP Elementos'!X585,'LP Elementos'!AC585,'LP Elementos'!AH585,'LP Elementos'!AM585,'LP Elementos'!AR585,'LP Elementos'!AX585,'LP Elementos'!BB585,'LP Elementos'!BG585,'LP Elementos'!BL585,'LP Elementos'!BQ585,'LP Elementos'!BV585,'LP Elementos'!CA585,'LP Elementos'!CF585,'LP Elementos'!CK585,'LP Elementos'!CP585,'LP Elementos'!CU585,'LP Elementos'!CZ585)," ")</f>
        <v>3</v>
      </c>
    </row>
    <row r="586" spans="2:12" x14ac:dyDescent="0.25">
      <c r="B586" s="411">
        <v>584</v>
      </c>
      <c r="C586" s="415" t="s">
        <v>4595</v>
      </c>
      <c r="D586" s="408">
        <f>IFERROR(MIN('LP Elementos'!F586,'LP Elementos'!I586,'LP Elementos'!N586,'LP Elementos'!S586,'LP Elementos'!X586,'LP Elementos'!AC586,'LP Elementos'!AH586,'LP Elementos'!AM586,'LP Elementos'!AR586,'LP Elementos'!AW586,'LP Elementos'!BB586,'LP Elementos'!BG586,'LP Elementos'!BL586,'LP Elementos'!BQ586,'LP Elementos'!BV586,'LP Elementos'!CA586,'LP Elementos'!CF586,'LP Elementos'!CK586,'LP Elementos'!CP586,'LP Elementos'!CU586,'LP Elementos'!CZ586)," ")</f>
        <v>11543</v>
      </c>
      <c r="E586" s="341">
        <f>IFERROR(AVERAGE('LP Elementos'!F586,'LP Elementos'!I586,'LP Elementos'!N586,'LP Elementos'!S586,'LP Elementos'!X586,'LP Elementos'!AC586,'LP Elementos'!AH586,'LP Elementos'!AM586,'LP Elementos'!AR586,'LP Elementos'!AW586,'LP Elementos'!BB586,'LP Elementos'!BG586,'LP Elementos'!BL586,'LP Elementos'!BQ586,'LP Elementos'!BV586,'LP Elementos'!CA586,'LP Elementos'!CF586,'LP Elementos'!CK586,'LP Elementos'!CP586,'LP Elementos'!CU586,'LP Elementos'!CZ586)," ")</f>
        <v>37934.82</v>
      </c>
      <c r="F586" s="341">
        <f>IFERROR(MEDIAN('LP Elementos'!F586,'LP Elementos'!I586,'LP Elementos'!N586,'LP Elementos'!S586,'LP Elementos'!X586,'LP Elementos'!AC586,'LP Elementos'!AH586,'LP Elementos'!AM586,'LP Elementos'!AR586,'LP Elementos'!AW586,'LP Elementos'!BB586,'LP Elementos'!BG586,'LP Elementos'!BL586,'LP Elementos'!BQ586,'LP Elementos'!BV586,'LP Elementos'!CA586,'LP Elementos'!CF586,'LP Elementos'!CK586,'LP Elementos'!CP586,'LP Elementos'!CU586,'LP Elementos'!CZ586)," ")</f>
        <v>14280</v>
      </c>
      <c r="G586" s="341">
        <f>IFERROR(GEOMEAN('LP Elementos'!F586,'LP Elementos'!I586,'LP Elementos'!N586,'LP Elementos'!S586,'LP Elementos'!X586,'LP Elementos'!AC586,'LP Elementos'!AH586,'LP Elementos'!AM586,'LP Elementos'!AR586,'LP Elementos'!AW586,'LP Elementos'!BB586,'LP Elementos'!BG586,'LP Elementos'!BL586,'LP Elementos'!BQ586,'LP Elementos'!BV586,'LP Elementos'!CA586,'LP Elementos'!CF586,'LP Elementos'!CK586,'LP Elementos'!CP586,'LP Elementos'!CU586,'LP Elementos'!CZ586)," ")</f>
        <v>24386.306197362592</v>
      </c>
      <c r="H586" s="341">
        <f t="shared" si="48"/>
        <v>11952.057028112764</v>
      </c>
      <c r="I586" s="342">
        <f t="shared" si="49"/>
        <v>0.3150682414761099</v>
      </c>
      <c r="J586" s="341">
        <f t="shared" si="51"/>
        <v>11543</v>
      </c>
      <c r="K586" s="326" t="str">
        <f t="shared" si="50"/>
        <v>Menor Valor</v>
      </c>
      <c r="L586" s="326">
        <f>IFERROR(COUNTA('LP Elementos'!F586,'LP Elementos'!I586,'LP Elementos'!N586,'LP Elementos'!S586,'LP Elementos'!X586,'LP Elementos'!AC586,'LP Elementos'!AH586,'LP Elementos'!AM586,'LP Elementos'!AR586,'LP Elementos'!AX586,'LP Elementos'!BB586,'LP Elementos'!BG586,'LP Elementos'!BL586,'LP Elementos'!BQ586,'LP Elementos'!BV586,'LP Elementos'!CA586,'LP Elementos'!CF586,'LP Elementos'!CK586,'LP Elementos'!CP586,'LP Elementos'!CU586,'LP Elementos'!CZ586)," ")</f>
        <v>3</v>
      </c>
    </row>
    <row r="587" spans="2:12" x14ac:dyDescent="0.25">
      <c r="B587" s="411">
        <v>585</v>
      </c>
      <c r="C587" s="412" t="s">
        <v>4599</v>
      </c>
      <c r="D587" s="408">
        <f>IFERROR(MIN('LP Elementos'!F587,'LP Elementos'!I587,'LP Elementos'!N587,'LP Elementos'!S587,'LP Elementos'!X587,'LP Elementos'!AC587,'LP Elementos'!AH587,'LP Elementos'!AM587,'LP Elementos'!AR587,'LP Elementos'!AW587,'LP Elementos'!BB587,'LP Elementos'!BG587,'LP Elementos'!BL587,'LP Elementos'!BQ587,'LP Elementos'!BV587,'LP Elementos'!CA587,'LP Elementos'!CF587,'LP Elementos'!CK587,'LP Elementos'!CP587,'LP Elementos'!CU587,'LP Elementos'!CZ587)," ")</f>
        <v>9232.244200000001</v>
      </c>
      <c r="E587" s="341">
        <f>IFERROR(AVERAGE('LP Elementos'!F587,'LP Elementos'!I587,'LP Elementos'!N587,'LP Elementos'!S587,'LP Elementos'!X587,'LP Elementos'!AC587,'LP Elementos'!AH587,'LP Elementos'!AM587,'LP Elementos'!AR587,'LP Elementos'!AW587,'LP Elementos'!BB587,'LP Elementos'!BG587,'LP Elementos'!BL587,'LP Elementos'!BQ587,'LP Elementos'!BV587,'LP Elementos'!CA587,'LP Elementos'!CF587,'LP Elementos'!CK587,'LP Elementos'!CP587,'LP Elementos'!CU587,'LP Elementos'!CZ587)," ")</f>
        <v>9232.244200000001</v>
      </c>
      <c r="F587" s="341">
        <f>IFERROR(MEDIAN('LP Elementos'!F587,'LP Elementos'!I587,'LP Elementos'!N587,'LP Elementos'!S587,'LP Elementos'!X587,'LP Elementos'!AC587,'LP Elementos'!AH587,'LP Elementos'!AM587,'LP Elementos'!AR587,'LP Elementos'!AW587,'LP Elementos'!BB587,'LP Elementos'!BG587,'LP Elementos'!BL587,'LP Elementos'!BQ587,'LP Elementos'!BV587,'LP Elementos'!CA587,'LP Elementos'!CF587,'LP Elementos'!CK587,'LP Elementos'!CP587,'LP Elementos'!CU587,'LP Elementos'!CZ587)," ")</f>
        <v>9232.244200000001</v>
      </c>
      <c r="G587" s="341">
        <f>IFERROR(GEOMEAN('LP Elementos'!F587,'LP Elementos'!I587,'LP Elementos'!N587,'LP Elementos'!S587,'LP Elementos'!X587,'LP Elementos'!AC587,'LP Elementos'!AH587,'LP Elementos'!AM587,'LP Elementos'!AR587,'LP Elementos'!AW587,'LP Elementos'!BB587,'LP Elementos'!BG587,'LP Elementos'!BL587,'LP Elementos'!BQ587,'LP Elementos'!BV587,'LP Elementos'!CA587,'LP Elementos'!CF587,'LP Elementos'!CK587,'LP Elementos'!CP587,'LP Elementos'!CU587,'LP Elementos'!CZ587)," ")</f>
        <v>9232.244200000001</v>
      </c>
      <c r="H587" s="341">
        <f t="shared" si="48"/>
        <v>0</v>
      </c>
      <c r="I587" s="342">
        <f t="shared" si="49"/>
        <v>0</v>
      </c>
      <c r="J587" s="341">
        <f t="shared" si="51"/>
        <v>9232.244200000001</v>
      </c>
      <c r="K587" s="326" t="str">
        <f t="shared" si="50"/>
        <v>Menor Valor</v>
      </c>
      <c r="L587" s="326">
        <f>IFERROR(COUNTA('LP Elementos'!F587,'LP Elementos'!I587,'LP Elementos'!N587,'LP Elementos'!S587,'LP Elementos'!X587,'LP Elementos'!AC587,'LP Elementos'!AH587,'LP Elementos'!AM587,'LP Elementos'!AR587,'LP Elementos'!AX587,'LP Elementos'!BB587,'LP Elementos'!BG587,'LP Elementos'!BL587,'LP Elementos'!BQ587,'LP Elementos'!BV587,'LP Elementos'!CA587,'LP Elementos'!CF587,'LP Elementos'!CK587,'LP Elementos'!CP587,'LP Elementos'!CU587,'LP Elementos'!CZ587)," ")</f>
        <v>1</v>
      </c>
    </row>
    <row r="588" spans="2:12" x14ac:dyDescent="0.25">
      <c r="B588" s="411">
        <v>586</v>
      </c>
      <c r="C588" s="412" t="s">
        <v>4600</v>
      </c>
      <c r="D588" s="408">
        <f>IFERROR(MIN('LP Elementos'!F588,'LP Elementos'!I588,'LP Elementos'!N588,'LP Elementos'!S588,'LP Elementos'!X588,'LP Elementos'!AC588,'LP Elementos'!AH588,'LP Elementos'!AM588,'LP Elementos'!AR588,'LP Elementos'!AW588,'LP Elementos'!BB588,'LP Elementos'!BG588,'LP Elementos'!BL588,'LP Elementos'!BQ588,'LP Elementos'!BV588,'LP Elementos'!CA588,'LP Elementos'!CF588,'LP Elementos'!CK588,'LP Elementos'!CP588,'LP Elementos'!CU588,'LP Elementos'!CZ588)," ")</f>
        <v>10234</v>
      </c>
      <c r="E588" s="341">
        <f>IFERROR(AVERAGE('LP Elementos'!F588,'LP Elementos'!I588,'LP Elementos'!N588,'LP Elementos'!S588,'LP Elementos'!X588,'LP Elementos'!AC588,'LP Elementos'!AH588,'LP Elementos'!AM588,'LP Elementos'!AR588,'LP Elementos'!AW588,'LP Elementos'!BB588,'LP Elementos'!BG588,'LP Elementos'!BL588,'LP Elementos'!BQ588,'LP Elementos'!BV588,'LP Elementos'!CA588,'LP Elementos'!CF588,'LP Elementos'!CK588,'LP Elementos'!CP588,'LP Elementos'!CU588,'LP Elementos'!CZ588)," ")</f>
        <v>40324.667600000001</v>
      </c>
      <c r="F588" s="341">
        <f>IFERROR(MEDIAN('LP Elementos'!F588,'LP Elementos'!I588,'LP Elementos'!N588,'LP Elementos'!S588,'LP Elementos'!X588,'LP Elementos'!AC588,'LP Elementos'!AH588,'LP Elementos'!AM588,'LP Elementos'!AR588,'LP Elementos'!AW588,'LP Elementos'!BB588,'LP Elementos'!BG588,'LP Elementos'!BL588,'LP Elementos'!BQ588,'LP Elementos'!BV588,'LP Elementos'!CA588,'LP Elementos'!CF588,'LP Elementos'!CK588,'LP Elementos'!CP588,'LP Elementos'!CU588,'LP Elementos'!CZ588)," ")</f>
        <v>20230</v>
      </c>
      <c r="G588" s="341">
        <f>IFERROR(GEOMEAN('LP Elementos'!F588,'LP Elementos'!I588,'LP Elementos'!N588,'LP Elementos'!S588,'LP Elementos'!X588,'LP Elementos'!AC588,'LP Elementos'!AH588,'LP Elementos'!AM588,'LP Elementos'!AR588,'LP Elementos'!AW588,'LP Elementos'!BB588,'LP Elementos'!BG588,'LP Elementos'!BL588,'LP Elementos'!BQ588,'LP Elementos'!BV588,'LP Elementos'!CA588,'LP Elementos'!CF588,'LP Elementos'!CK588,'LP Elementos'!CP588,'LP Elementos'!CU588,'LP Elementos'!CZ588)," ")</f>
        <v>26561.093944934055</v>
      </c>
      <c r="H588" s="341">
        <f t="shared" si="48"/>
        <v>12600.451928247418</v>
      </c>
      <c r="I588" s="342">
        <f t="shared" si="49"/>
        <v>0.31247503521262548</v>
      </c>
      <c r="J588" s="341">
        <f t="shared" si="51"/>
        <v>10234</v>
      </c>
      <c r="K588" s="326" t="str">
        <f t="shared" si="50"/>
        <v>Menor Valor</v>
      </c>
      <c r="L588" s="326">
        <f>IFERROR(COUNTA('LP Elementos'!F588,'LP Elementos'!I588,'LP Elementos'!N588,'LP Elementos'!S588,'LP Elementos'!X588,'LP Elementos'!AC588,'LP Elementos'!AH588,'LP Elementos'!AM588,'LP Elementos'!AR588,'LP Elementos'!AX588,'LP Elementos'!BB588,'LP Elementos'!BG588,'LP Elementos'!BL588,'LP Elementos'!BQ588,'LP Elementos'!BV588,'LP Elementos'!CA588,'LP Elementos'!CF588,'LP Elementos'!CK588,'LP Elementos'!CP588,'LP Elementos'!CU588,'LP Elementos'!CZ588)," ")</f>
        <v>3</v>
      </c>
    </row>
    <row r="589" spans="2:12" ht="40.5" x14ac:dyDescent="0.25">
      <c r="B589" s="411">
        <v>587</v>
      </c>
      <c r="C589" s="413" t="s">
        <v>4603</v>
      </c>
      <c r="D589" s="408">
        <f>IFERROR(MIN('LP Elementos'!F589,'LP Elementos'!I589,'LP Elementos'!N589,'LP Elementos'!S589,'LP Elementos'!X589,'LP Elementos'!AC589,'LP Elementos'!AH589,'LP Elementos'!AM589,'LP Elementos'!AR589,'LP Elementos'!AW589,'LP Elementos'!BB589,'LP Elementos'!BG589,'LP Elementos'!BL589,'LP Elementos'!BQ589,'LP Elementos'!BV589,'LP Elementos'!CA589,'LP Elementos'!CF589,'LP Elementos'!CK589,'LP Elementos'!CP589,'LP Elementos'!CU589,'LP Elementos'!CZ589)," ")</f>
        <v>149568.48200000002</v>
      </c>
      <c r="E589" s="341">
        <f>IFERROR(AVERAGE('LP Elementos'!F589,'LP Elementos'!I589,'LP Elementos'!N589,'LP Elementos'!S589,'LP Elementos'!X589,'LP Elementos'!AC589,'LP Elementos'!AH589,'LP Elementos'!AM589,'LP Elementos'!AR589,'LP Elementos'!AW589,'LP Elementos'!BB589,'LP Elementos'!BG589,'LP Elementos'!BL589,'LP Elementos'!BQ589,'LP Elementos'!BV589,'LP Elementos'!CA589,'LP Elementos'!CF589,'LP Elementos'!CK589,'LP Elementos'!CP589,'LP Elementos'!CU589,'LP Elementos'!CZ589)," ")</f>
        <v>151539.24100000001</v>
      </c>
      <c r="F589" s="341">
        <f>IFERROR(MEDIAN('LP Elementos'!F589,'LP Elementos'!I589,'LP Elementos'!N589,'LP Elementos'!S589,'LP Elementos'!X589,'LP Elementos'!AC589,'LP Elementos'!AH589,'LP Elementos'!AM589,'LP Elementos'!AR589,'LP Elementos'!AW589,'LP Elementos'!BB589,'LP Elementos'!BG589,'LP Elementos'!BL589,'LP Elementos'!BQ589,'LP Elementos'!BV589,'LP Elementos'!CA589,'LP Elementos'!CF589,'LP Elementos'!CK589,'LP Elementos'!CP589,'LP Elementos'!CU589,'LP Elementos'!CZ589)," ")</f>
        <v>151539.24100000001</v>
      </c>
      <c r="G589" s="341">
        <f>IFERROR(GEOMEAN('LP Elementos'!F589,'LP Elementos'!I589,'LP Elementos'!N589,'LP Elementos'!S589,'LP Elementos'!X589,'LP Elementos'!AC589,'LP Elementos'!AH589,'LP Elementos'!AM589,'LP Elementos'!AR589,'LP Elementos'!AW589,'LP Elementos'!BB589,'LP Elementos'!BG589,'LP Elementos'!BL589,'LP Elementos'!BQ589,'LP Elementos'!BV589,'LP Elementos'!CA589,'LP Elementos'!CF589,'LP Elementos'!CK589,'LP Elementos'!CP589,'LP Elementos'!CU589,'LP Elementos'!CZ589)," ")</f>
        <v>151526.4256551312</v>
      </c>
      <c r="H589" s="341">
        <f t="shared" si="48"/>
        <v>983.26216811517213</v>
      </c>
      <c r="I589" s="342">
        <f t="shared" si="49"/>
        <v>6.4884986992588415E-3</v>
      </c>
      <c r="J589" s="341">
        <f t="shared" si="51"/>
        <v>151539.24100000001</v>
      </c>
      <c r="K589" s="326" t="str">
        <f t="shared" si="50"/>
        <v>Promedio</v>
      </c>
      <c r="L589" s="326">
        <f>IFERROR(COUNTA('LP Elementos'!F589,'LP Elementos'!I589,'LP Elementos'!N589,'LP Elementos'!S589,'LP Elementos'!X589,'LP Elementos'!AC589,'LP Elementos'!AH589,'LP Elementos'!AM589,'LP Elementos'!AR589,'LP Elementos'!AX589,'LP Elementos'!BB589,'LP Elementos'!BG589,'LP Elementos'!BL589,'LP Elementos'!BQ589,'LP Elementos'!BV589,'LP Elementos'!CA589,'LP Elementos'!CF589,'LP Elementos'!CK589,'LP Elementos'!CP589,'LP Elementos'!CU589,'LP Elementos'!CZ589)," ")</f>
        <v>2</v>
      </c>
    </row>
    <row r="590" spans="2:12" x14ac:dyDescent="0.25">
      <c r="B590" s="411">
        <v>588</v>
      </c>
      <c r="C590" s="412" t="s">
        <v>4605</v>
      </c>
      <c r="D590" s="408">
        <f>IFERROR(MIN('LP Elementos'!F590,'LP Elementos'!I590,'LP Elementos'!N590,'LP Elementos'!S590,'LP Elementos'!X590,'LP Elementos'!AC590,'LP Elementos'!AH590,'LP Elementos'!AM590,'LP Elementos'!AR590,'LP Elementos'!AW590,'LP Elementos'!BB590,'LP Elementos'!BG590,'LP Elementos'!BL590,'LP Elementos'!BQ590,'LP Elementos'!BV590,'LP Elementos'!CA590,'LP Elementos'!CF590,'LP Elementos'!CK590,'LP Elementos'!CP590,'LP Elementos'!CU590,'LP Elementos'!CZ590)," ")</f>
        <v>21420</v>
      </c>
      <c r="E590" s="341">
        <f>IFERROR(AVERAGE('LP Elementos'!F590,'LP Elementos'!I590,'LP Elementos'!N590,'LP Elementos'!S590,'LP Elementos'!X590,'LP Elementos'!AC590,'LP Elementos'!AH590,'LP Elementos'!AM590,'LP Elementos'!AR590,'LP Elementos'!AW590,'LP Elementos'!BB590,'LP Elementos'!BG590,'LP Elementos'!BL590,'LP Elementos'!BQ590,'LP Elementos'!BV590,'LP Elementos'!CA590,'LP Elementos'!CF590,'LP Elementos'!CK590,'LP Elementos'!CP590,'LP Elementos'!CU590,'LP Elementos'!CZ590)," ")</f>
        <v>49599.812100000003</v>
      </c>
      <c r="F590" s="341">
        <f>IFERROR(MEDIAN('LP Elementos'!F590,'LP Elementos'!I590,'LP Elementos'!N590,'LP Elementos'!S590,'LP Elementos'!X590,'LP Elementos'!AC590,'LP Elementos'!AH590,'LP Elementos'!AM590,'LP Elementos'!AR590,'LP Elementos'!AW590,'LP Elementos'!BB590,'LP Elementos'!BG590,'LP Elementos'!BL590,'LP Elementos'!BQ590,'LP Elementos'!BV590,'LP Elementos'!CA590,'LP Elementos'!CF590,'LP Elementos'!CK590,'LP Elementos'!CP590,'LP Elementos'!CU590,'LP Elementos'!CZ590)," ")</f>
        <v>49599.812100000003</v>
      </c>
      <c r="G590" s="341">
        <f>IFERROR(GEOMEAN('LP Elementos'!F590,'LP Elementos'!I590,'LP Elementos'!N590,'LP Elementos'!S590,'LP Elementos'!X590,'LP Elementos'!AC590,'LP Elementos'!AH590,'LP Elementos'!AM590,'LP Elementos'!AR590,'LP Elementos'!AW590,'LP Elementos'!BB590,'LP Elementos'!BG590,'LP Elementos'!BL590,'LP Elementos'!BQ590,'LP Elementos'!BV590,'LP Elementos'!CA590,'LP Elementos'!CF590,'LP Elementos'!CK590,'LP Elementos'!CP590,'LP Elementos'!CU590,'LP Elementos'!CZ590)," ")</f>
        <v>40817.147749003729</v>
      </c>
      <c r="H590" s="341">
        <f t="shared" si="48"/>
        <v>13287.598688827033</v>
      </c>
      <c r="I590" s="342">
        <f t="shared" si="49"/>
        <v>0.26789614972809611</v>
      </c>
      <c r="J590" s="341">
        <f t="shared" si="51"/>
        <v>40817.147749003729</v>
      </c>
      <c r="K590" s="326" t="str">
        <f t="shared" si="50"/>
        <v>Media Geometrica</v>
      </c>
      <c r="L590" s="326">
        <f>IFERROR(COUNTA('LP Elementos'!F590,'LP Elementos'!I590,'LP Elementos'!N590,'LP Elementos'!S590,'LP Elementos'!X590,'LP Elementos'!AC590,'LP Elementos'!AH590,'LP Elementos'!AM590,'LP Elementos'!AR590,'LP Elementos'!AX590,'LP Elementos'!BB590,'LP Elementos'!BG590,'LP Elementos'!BL590,'LP Elementos'!BQ590,'LP Elementos'!BV590,'LP Elementos'!CA590,'LP Elementos'!CF590,'LP Elementos'!CK590,'LP Elementos'!CP590,'LP Elementos'!CU590,'LP Elementos'!CZ590)," ")</f>
        <v>2</v>
      </c>
    </row>
    <row r="591" spans="2:12" ht="94.5" x14ac:dyDescent="0.25">
      <c r="B591" s="411">
        <v>589</v>
      </c>
      <c r="C591" s="420" t="s">
        <v>4608</v>
      </c>
      <c r="D591" s="408">
        <f>IFERROR(MIN('LP Elementos'!F591,'LP Elementos'!I591,'LP Elementos'!N591,'LP Elementos'!S591,'LP Elementos'!X591,'LP Elementos'!AC591,'LP Elementos'!AH591,'LP Elementos'!AM591,'LP Elementos'!AR591,'LP Elementos'!AW591,'LP Elementos'!BB591,'LP Elementos'!BG591,'LP Elementos'!BL591,'LP Elementos'!BQ591,'LP Elementos'!BV591,'LP Elementos'!CA591,'LP Elementos'!CF591,'LP Elementos'!CK591,'LP Elementos'!CP591,'LP Elementos'!CU591,'LP Elementos'!CZ591)," ")</f>
        <v>21554.929599999999</v>
      </c>
      <c r="E591" s="341">
        <f>IFERROR(AVERAGE('LP Elementos'!F591,'LP Elementos'!I591,'LP Elementos'!N591,'LP Elementos'!S591,'LP Elementos'!X591,'LP Elementos'!AC591,'LP Elementos'!AH591,'LP Elementos'!AM591,'LP Elementos'!AR591,'LP Elementos'!AW591,'LP Elementos'!BB591,'LP Elementos'!BG591,'LP Elementos'!BL591,'LP Elementos'!BQ591,'LP Elementos'!BV591,'LP Elementos'!CA591,'LP Elementos'!CF591,'LP Elementos'!CK591,'LP Elementos'!CP591,'LP Elementos'!CU591,'LP Elementos'!CZ591)," ")</f>
        <v>336416.98239999998</v>
      </c>
      <c r="F591" s="341">
        <f>IFERROR(MEDIAN('LP Elementos'!F591,'LP Elementos'!I591,'LP Elementos'!N591,'LP Elementos'!S591,'LP Elementos'!X591,'LP Elementos'!AC591,'LP Elementos'!AH591,'LP Elementos'!AM591,'LP Elementos'!AR591,'LP Elementos'!AW591,'LP Elementos'!BB591,'LP Elementos'!BG591,'LP Elementos'!BL591,'LP Elementos'!BQ591,'LP Elementos'!BV591,'LP Elementos'!CA591,'LP Elementos'!CF591,'LP Elementos'!CK591,'LP Elementos'!CP591,'LP Elementos'!CU591,'LP Elementos'!CZ591)," ")</f>
        <v>40281.5</v>
      </c>
      <c r="G591" s="341">
        <f>IFERROR(GEOMEAN('LP Elementos'!F591,'LP Elementos'!I591,'LP Elementos'!N591,'LP Elementos'!S591,'LP Elementos'!X591,'LP Elementos'!AC591,'LP Elementos'!AH591,'LP Elementos'!AM591,'LP Elementos'!AR591,'LP Elementos'!AW591,'LP Elementos'!BB591,'LP Elementos'!BG591,'LP Elementos'!BL591,'LP Elementos'!BQ591,'LP Elementos'!BV591,'LP Elementos'!CA591,'LP Elementos'!CF591,'LP Elementos'!CK591,'LP Elementos'!CP591,'LP Elementos'!CU591,'LP Elementos'!CZ591)," ")</f>
        <v>80902.316547564697</v>
      </c>
      <c r="H591" s="341">
        <f t="shared" si="48"/>
        <v>146527.84951697564</v>
      </c>
      <c r="I591" s="342">
        <f t="shared" si="49"/>
        <v>0.43555425909728285</v>
      </c>
      <c r="J591" s="341">
        <f>IF(I591&lt;=10%,F591,IF(AND(I591&gt;10%,I591&lt;=20%),E591,IF(AND(I591&gt;20%,I591&lt;=45%),G591,IF(I591&gt;45%,D591))))</f>
        <v>80902.316547564697</v>
      </c>
      <c r="K591" s="326" t="str">
        <f t="shared" si="50"/>
        <v>Media Geometrica</v>
      </c>
      <c r="L591" s="326">
        <f>IFERROR(COUNTA('LP Elementos'!F591,'LP Elementos'!I591,'LP Elementos'!N591,'LP Elementos'!S591,'LP Elementos'!X591,'LP Elementos'!AC591,'LP Elementos'!AH591,'LP Elementos'!AM591,'LP Elementos'!AR591,'LP Elementos'!AX591,'LP Elementos'!BB591,'LP Elementos'!BG591,'LP Elementos'!BL591,'LP Elementos'!BQ591,'LP Elementos'!BV591,'LP Elementos'!CA591,'LP Elementos'!CF591,'LP Elementos'!CK591,'LP Elementos'!CP591,'LP Elementos'!CU591,'LP Elementos'!CZ591)," ")</f>
        <v>4</v>
      </c>
    </row>
    <row r="592" spans="2:12" ht="67.5" x14ac:dyDescent="0.25">
      <c r="B592" s="411">
        <v>590</v>
      </c>
      <c r="C592" s="415" t="s">
        <v>4611</v>
      </c>
      <c r="D592" s="408">
        <f>IFERROR(MIN('LP Elementos'!F592,'LP Elementos'!I592,'LP Elementos'!N592,'LP Elementos'!S592,'LP Elementos'!X592,'LP Elementos'!AC592,'LP Elementos'!AH592,'LP Elementos'!AM592,'LP Elementos'!AR592,'LP Elementos'!AW592,'LP Elementos'!BB592,'LP Elementos'!BG592,'LP Elementos'!BL592,'LP Elementos'!BQ592,'LP Elementos'!BV592,'LP Elementos'!CA592,'LP Elementos'!CF592,'LP Elementos'!CK592,'LP Elementos'!CP592,'LP Elementos'!CU592,'LP Elementos'!CZ592)," ")</f>
        <v>60333</v>
      </c>
      <c r="E592" s="341">
        <f>IFERROR(AVERAGE('LP Elementos'!F592,'LP Elementos'!I592,'LP Elementos'!N592,'LP Elementos'!S592,'LP Elementos'!X592,'LP Elementos'!AC592,'LP Elementos'!AH592,'LP Elementos'!AM592,'LP Elementos'!AR592,'LP Elementos'!AW592,'LP Elementos'!BB592,'LP Elementos'!BG592,'LP Elementos'!BL592,'LP Elementos'!BQ592,'LP Elementos'!BV592,'LP Elementos'!CA592,'LP Elementos'!CF592,'LP Elementos'!CK592,'LP Elementos'!CP592,'LP Elementos'!CU592,'LP Elementos'!CZ592)," ")</f>
        <v>416621.73700000002</v>
      </c>
      <c r="F592" s="341">
        <f>IFERROR(MEDIAN('LP Elementos'!F592,'LP Elementos'!I592,'LP Elementos'!N592,'LP Elementos'!S592,'LP Elementos'!X592,'LP Elementos'!AC592,'LP Elementos'!AH592,'LP Elementos'!AM592,'LP Elementos'!AR592,'LP Elementos'!AW592,'LP Elementos'!BB592,'LP Elementos'!BG592,'LP Elementos'!BL592,'LP Elementos'!BQ592,'LP Elementos'!BV592,'LP Elementos'!CA592,'LP Elementos'!CF592,'LP Elementos'!CK592,'LP Elementos'!CP592,'LP Elementos'!CU592,'LP Elementos'!CZ592)," ")</f>
        <v>87291.974000000002</v>
      </c>
      <c r="G592" s="341">
        <f>IFERROR(GEOMEAN('LP Elementos'!F592,'LP Elementos'!I592,'LP Elementos'!N592,'LP Elementos'!S592,'LP Elementos'!X592,'LP Elementos'!AC592,'LP Elementos'!AH592,'LP Elementos'!AM592,'LP Elementos'!AR592,'LP Elementos'!AW592,'LP Elementos'!BB592,'LP Elementos'!BG592,'LP Elementos'!BL592,'LP Elementos'!BQ592,'LP Elementos'!BV592,'LP Elementos'!CA592,'LP Elementos'!CF592,'LP Elementos'!CK592,'LP Elementos'!CP592,'LP Elementos'!CU592,'LP Elementos'!CZ592)," ")</f>
        <v>160070.22818002562</v>
      </c>
      <c r="H592" s="341">
        <f t="shared" si="48"/>
        <v>162580.59766214326</v>
      </c>
      <c r="I592" s="342">
        <f t="shared" si="49"/>
        <v>0.39023551395289596</v>
      </c>
      <c r="J592" s="341">
        <f>IF(I592&lt;=10%,F592,IF(AND(I592&gt;10%,I592&lt;=20%),E592,IF(AND(I592&gt;20%,I592&lt;=40%),G592,IF(I592&gt;40%,D592))))</f>
        <v>160070.22818002562</v>
      </c>
      <c r="K592" s="326" t="str">
        <f t="shared" si="50"/>
        <v>Media Geometrica</v>
      </c>
      <c r="L592" s="326">
        <f>IFERROR(COUNTA('LP Elementos'!F592,'LP Elementos'!I592,'LP Elementos'!N592,'LP Elementos'!S592,'LP Elementos'!X592,'LP Elementos'!AC592,'LP Elementos'!AH592,'LP Elementos'!AM592,'LP Elementos'!AR592,'LP Elementos'!AX592,'LP Elementos'!BB592,'LP Elementos'!BG592,'LP Elementos'!BL592,'LP Elementos'!BQ592,'LP Elementos'!BV592,'LP Elementos'!CA592,'LP Elementos'!CF592,'LP Elementos'!CK592,'LP Elementos'!CP592,'LP Elementos'!CU592,'LP Elementos'!CZ592)," ")</f>
        <v>4</v>
      </c>
    </row>
    <row r="593" spans="2:12" ht="40.5" x14ac:dyDescent="0.25">
      <c r="B593" s="411">
        <v>591</v>
      </c>
      <c r="C593" s="409" t="s">
        <v>4614</v>
      </c>
      <c r="D593" s="408">
        <f>IFERROR(MIN('LP Elementos'!F593,'LP Elementos'!I593,'LP Elementos'!N593,'LP Elementos'!S593,'LP Elementos'!X593,'LP Elementos'!AC593,'LP Elementos'!AH593,'LP Elementos'!AM593,'LP Elementos'!AR593,'LP Elementos'!AW593,'LP Elementos'!BB593,'LP Elementos'!BG593,'LP Elementos'!BL593,'LP Elementos'!BQ593,'LP Elementos'!BV593,'LP Elementos'!CA593,'LP Elementos'!CF593,'LP Elementos'!CK593,'LP Elementos'!CP593,'LP Elementos'!CU593,'LP Elementos'!CZ593)," ")</f>
        <v>714000</v>
      </c>
      <c r="E593" s="341">
        <f>IFERROR(AVERAGE('LP Elementos'!F593,'LP Elementos'!I593,'LP Elementos'!N593,'LP Elementos'!S593,'LP Elementos'!X593,'LP Elementos'!AC593,'LP Elementos'!AH593,'LP Elementos'!AM593,'LP Elementos'!AR593,'LP Elementos'!AW593,'LP Elementos'!BB593,'LP Elementos'!BG593,'LP Elementos'!BL593,'LP Elementos'!BQ593,'LP Elementos'!BV593,'LP Elementos'!CA593,'LP Elementos'!CF593,'LP Elementos'!CK593,'LP Elementos'!CP593,'LP Elementos'!CU593,'LP Elementos'!CZ593)," ")</f>
        <v>714000</v>
      </c>
      <c r="F593" s="341">
        <f>IFERROR(MEDIAN('LP Elementos'!F593,'LP Elementos'!I593,'LP Elementos'!N593,'LP Elementos'!S593,'LP Elementos'!X593,'LP Elementos'!AC593,'LP Elementos'!AH593,'LP Elementos'!AM593,'LP Elementos'!AR593,'LP Elementos'!AW593,'LP Elementos'!BB593,'LP Elementos'!BG593,'LP Elementos'!BL593,'LP Elementos'!BQ593,'LP Elementos'!BV593,'LP Elementos'!CA593,'LP Elementos'!CF593,'LP Elementos'!CK593,'LP Elementos'!CP593,'LP Elementos'!CU593,'LP Elementos'!CZ593)," ")</f>
        <v>714000</v>
      </c>
      <c r="G593" s="341">
        <f>IFERROR(GEOMEAN('LP Elementos'!F593,'LP Elementos'!I593,'LP Elementos'!N593,'LP Elementos'!S593,'LP Elementos'!X593,'LP Elementos'!AC593,'LP Elementos'!AH593,'LP Elementos'!AM593,'LP Elementos'!AR593,'LP Elementos'!AW593,'LP Elementos'!BB593,'LP Elementos'!BG593,'LP Elementos'!BL593,'LP Elementos'!BQ593,'LP Elementos'!BV593,'LP Elementos'!CA593,'LP Elementos'!CF593,'LP Elementos'!CK593,'LP Elementos'!CP593,'LP Elementos'!CU593,'LP Elementos'!CZ593)," ")</f>
        <v>714000</v>
      </c>
      <c r="H593" s="341">
        <f t="shared" si="48"/>
        <v>0</v>
      </c>
      <c r="I593" s="342">
        <f t="shared" si="49"/>
        <v>0</v>
      </c>
      <c r="J593" s="341">
        <f t="shared" si="51"/>
        <v>714000</v>
      </c>
      <c r="K593" s="326" t="str">
        <f t="shared" si="50"/>
        <v>Menor Valor</v>
      </c>
      <c r="L593" s="326">
        <f>IFERROR(COUNTA('LP Elementos'!F593,'LP Elementos'!I593,'LP Elementos'!N593,'LP Elementos'!S593,'LP Elementos'!X593,'LP Elementos'!AC593,'LP Elementos'!AH593,'LP Elementos'!AM593,'LP Elementos'!AR593,'LP Elementos'!AX593,'LP Elementos'!BB593,'LP Elementos'!BG593,'LP Elementos'!BL593,'LP Elementos'!BQ593,'LP Elementos'!BV593,'LP Elementos'!CA593,'LP Elementos'!CF593,'LP Elementos'!CK593,'LP Elementos'!CP593,'LP Elementos'!CU593,'LP Elementos'!CZ593)," ")</f>
        <v>1</v>
      </c>
    </row>
    <row r="594" spans="2:12" ht="67.5" x14ac:dyDescent="0.25">
      <c r="B594" s="411">
        <v>592</v>
      </c>
      <c r="C594" s="415" t="s">
        <v>4615</v>
      </c>
      <c r="D594" s="408">
        <f>IFERROR(MIN('LP Elementos'!F594,'LP Elementos'!I594,'LP Elementos'!N594,'LP Elementos'!S594,'LP Elementos'!X594,'LP Elementos'!AC594,'LP Elementos'!AH594,'LP Elementos'!AM594,'LP Elementos'!AR594,'LP Elementos'!AW594,'LP Elementos'!BB594,'LP Elementos'!BG594,'LP Elementos'!BL594,'LP Elementos'!BQ594,'LP Elementos'!BV594,'LP Elementos'!CA594,'LP Elementos'!CF594,'LP Elementos'!CK594,'LP Elementos'!CP594,'LP Elementos'!CU594,'LP Elementos'!CZ594)," ")</f>
        <v>10710</v>
      </c>
      <c r="E594" s="341">
        <f>IFERROR(AVERAGE('LP Elementos'!F594,'LP Elementos'!I594,'LP Elementos'!N594,'LP Elementos'!S594,'LP Elementos'!X594,'LP Elementos'!AC594,'LP Elementos'!AH594,'LP Elementos'!AM594,'LP Elementos'!AR594,'LP Elementos'!AW594,'LP Elementos'!BB594,'LP Elementos'!BG594,'LP Elementos'!BL594,'LP Elementos'!BQ594,'LP Elementos'!BV594,'LP Elementos'!CA594,'LP Elementos'!CF594,'LP Elementos'!CK594,'LP Elementos'!CP594,'LP Elementos'!CU594,'LP Elementos'!CZ594)," ")</f>
        <v>108579.80466666666</v>
      </c>
      <c r="F594" s="341">
        <f>IFERROR(MEDIAN('LP Elementos'!F594,'LP Elementos'!I594,'LP Elementos'!N594,'LP Elementos'!S594,'LP Elementos'!X594,'LP Elementos'!AC594,'LP Elementos'!AH594,'LP Elementos'!AM594,'LP Elementos'!AR594,'LP Elementos'!AW594,'LP Elementos'!BB594,'LP Elementos'!BG594,'LP Elementos'!BL594,'LP Elementos'!BQ594,'LP Elementos'!BV594,'LP Elementos'!CA594,'LP Elementos'!CF594,'LP Elementos'!CK594,'LP Elementos'!CP594,'LP Elementos'!CU594,'LP Elementos'!CZ594)," ")</f>
        <v>16339.414000000001</v>
      </c>
      <c r="G594" s="341">
        <f>IFERROR(GEOMEAN('LP Elementos'!F594,'LP Elementos'!I594,'LP Elementos'!N594,'LP Elementos'!S594,'LP Elementos'!X594,'LP Elementos'!AC594,'LP Elementos'!AH594,'LP Elementos'!AM594,'LP Elementos'!AR594,'LP Elementos'!AW594,'LP Elementos'!BB594,'LP Elementos'!BG594,'LP Elementos'!BL594,'LP Elementos'!BQ594,'LP Elementos'!BV594,'LP Elementos'!CA594,'LP Elementos'!CF594,'LP Elementos'!CK594,'LP Elementos'!CP594,'LP Elementos'!CU594,'LP Elementos'!CZ594)," ")</f>
        <v>37389.43279330965</v>
      </c>
      <c r="H594" s="341">
        <f t="shared" si="48"/>
        <v>45038.356903359287</v>
      </c>
      <c r="I594" s="342">
        <f t="shared" si="49"/>
        <v>0.4147949707740245</v>
      </c>
      <c r="J594" s="341">
        <f>IF(I594&lt;=10%,F594,IF(AND(I594&gt;10%,I594&lt;=20%),E594,IF(AND(I594&gt;20%,I594&lt;=42%),G594,IF(I594&gt;42%,D594))))</f>
        <v>37389.43279330965</v>
      </c>
      <c r="K594" s="326" t="str">
        <f t="shared" si="50"/>
        <v>Media Geometrica</v>
      </c>
      <c r="L594" s="326">
        <f>IFERROR(COUNTA('LP Elementos'!F594,'LP Elementos'!I594,'LP Elementos'!N594,'LP Elementos'!S594,'LP Elementos'!X594,'LP Elementos'!AC594,'LP Elementos'!AH594,'LP Elementos'!AM594,'LP Elementos'!AR594,'LP Elementos'!AX594,'LP Elementos'!BB594,'LP Elementos'!BG594,'LP Elementos'!BL594,'LP Elementos'!BQ594,'LP Elementos'!BV594,'LP Elementos'!CA594,'LP Elementos'!CF594,'LP Elementos'!CK594,'LP Elementos'!CP594,'LP Elementos'!CU594,'LP Elementos'!CZ594)," ")</f>
        <v>3</v>
      </c>
    </row>
    <row r="595" spans="2:12" ht="67.5" x14ac:dyDescent="0.25">
      <c r="B595" s="411">
        <v>593</v>
      </c>
      <c r="C595" s="415" t="s">
        <v>4617</v>
      </c>
      <c r="D595" s="408">
        <f>IFERROR(MIN('LP Elementos'!F595,'LP Elementos'!I595,'LP Elementos'!N595,'LP Elementos'!S595,'LP Elementos'!X595,'LP Elementos'!AC595,'LP Elementos'!AH595,'LP Elementos'!AM595,'LP Elementos'!AR595,'LP Elementos'!AW595,'LP Elementos'!BB595,'LP Elementos'!BG595,'LP Elementos'!BL595,'LP Elementos'!BQ595,'LP Elementos'!BV595,'LP Elementos'!CA595,'LP Elementos'!CF595,'LP Elementos'!CK595,'LP Elementos'!CP595,'LP Elementos'!CU595,'LP Elementos'!CZ595)," ")</f>
        <v>10353</v>
      </c>
      <c r="E595" s="341">
        <f>IFERROR(AVERAGE('LP Elementos'!F595,'LP Elementos'!I595,'LP Elementos'!N595,'LP Elementos'!S595,'LP Elementos'!X595,'LP Elementos'!AC595,'LP Elementos'!AH595,'LP Elementos'!AM595,'LP Elementos'!AR595,'LP Elementos'!AW595,'LP Elementos'!BB595,'LP Elementos'!BG595,'LP Elementos'!BL595,'LP Elementos'!BQ595,'LP Elementos'!BV595,'LP Elementos'!CA595,'LP Elementos'!CF595,'LP Elementos'!CK595,'LP Elementos'!CP595,'LP Elementos'!CU595,'LP Elementos'!CZ595)," ")</f>
        <v>34059.823000000004</v>
      </c>
      <c r="F595" s="341">
        <f>IFERROR(MEDIAN('LP Elementos'!F595,'LP Elementos'!I595,'LP Elementos'!N595,'LP Elementos'!S595,'LP Elementos'!X595,'LP Elementos'!AC595,'LP Elementos'!AH595,'LP Elementos'!AM595,'LP Elementos'!AR595,'LP Elementos'!AW595,'LP Elementos'!BB595,'LP Elementos'!BG595,'LP Elementos'!BL595,'LP Elementos'!BQ595,'LP Elementos'!BV595,'LP Elementos'!CA595,'LP Elementos'!CF595,'LP Elementos'!CK595,'LP Elementos'!CP595,'LP Elementos'!CU595,'LP Elementos'!CZ595)," ")</f>
        <v>15343.146000000001</v>
      </c>
      <c r="G595" s="341">
        <f>IFERROR(GEOMEAN('LP Elementos'!F595,'LP Elementos'!I595,'LP Elementos'!N595,'LP Elementos'!S595,'LP Elementos'!X595,'LP Elementos'!AC595,'LP Elementos'!AH595,'LP Elementos'!AM595,'LP Elementos'!AR595,'LP Elementos'!AW595,'LP Elementos'!BB595,'LP Elementos'!BG595,'LP Elementos'!BL595,'LP Elementos'!BQ595,'LP Elementos'!BV595,'LP Elementos'!CA595,'LP Elementos'!CF595,'LP Elementos'!CK595,'LP Elementos'!CP595,'LP Elementos'!CU595,'LP Elementos'!CZ595)," ")</f>
        <v>21828.102893268388</v>
      </c>
      <c r="H595" s="341">
        <f t="shared" si="48"/>
        <v>10249.295263842298</v>
      </c>
      <c r="I595" s="342">
        <f t="shared" si="49"/>
        <v>0.30092039127279951</v>
      </c>
      <c r="J595" s="341">
        <f>IF(I595&lt;=10%,F595,IF(AND(I595&gt;10%,I595&lt;=20%),E595,IF(AND(I595&gt;20%,I595&lt;=31%),G595,IF(I595&gt;31%,D595))))</f>
        <v>21828.102893268388</v>
      </c>
      <c r="K595" s="326" t="str">
        <f t="shared" si="50"/>
        <v>Media Geometrica</v>
      </c>
      <c r="L595" s="326">
        <f>IFERROR(COUNTA('LP Elementos'!F595,'LP Elementos'!I595,'LP Elementos'!N595,'LP Elementos'!S595,'LP Elementos'!X595,'LP Elementos'!AC595,'LP Elementos'!AH595,'LP Elementos'!AM595,'LP Elementos'!AR595,'LP Elementos'!AX595,'LP Elementos'!BB595,'LP Elementos'!BG595,'LP Elementos'!BL595,'LP Elementos'!BQ595,'LP Elementos'!BV595,'LP Elementos'!CA595,'LP Elementos'!CF595,'LP Elementos'!CK595,'LP Elementos'!CP595,'LP Elementos'!CU595,'LP Elementos'!CZ595)," ")</f>
        <v>4</v>
      </c>
    </row>
    <row r="596" spans="2:12" ht="67.5" x14ac:dyDescent="0.25">
      <c r="B596" s="411">
        <v>594</v>
      </c>
      <c r="C596" s="415" t="s">
        <v>4620</v>
      </c>
      <c r="D596" s="408">
        <f>IFERROR(MIN('LP Elementos'!F596,'LP Elementos'!I596,'LP Elementos'!N596,'LP Elementos'!S596,'LP Elementos'!X596,'LP Elementos'!AC596,'LP Elementos'!AH596,'LP Elementos'!AM596,'LP Elementos'!AR596,'LP Elementos'!AW596,'LP Elementos'!BB596,'LP Elementos'!BG596,'LP Elementos'!BL596,'LP Elementos'!BQ596,'LP Elementos'!BV596,'LP Elementos'!CA596,'LP Elementos'!CF596,'LP Elementos'!CK596,'LP Elementos'!CP596,'LP Elementos'!CU596,'LP Elementos'!CZ596)," ")</f>
        <v>10234</v>
      </c>
      <c r="E596" s="341">
        <f>IFERROR(AVERAGE('LP Elementos'!F596,'LP Elementos'!I596,'LP Elementos'!N596,'LP Elementos'!S596,'LP Elementos'!X596,'LP Elementos'!AC596,'LP Elementos'!AH596,'LP Elementos'!AM596,'LP Elementos'!AR596,'LP Elementos'!AW596,'LP Elementos'!BB596,'LP Elementos'!BG596,'LP Elementos'!BL596,'LP Elementos'!BQ596,'LP Elementos'!BV596,'LP Elementos'!CA596,'LP Elementos'!CF596,'LP Elementos'!CK596,'LP Elementos'!CP596,'LP Elementos'!CU596,'LP Elementos'!CZ596)," ")</f>
        <v>148320.23149999999</v>
      </c>
      <c r="F596" s="341">
        <f>IFERROR(MEDIAN('LP Elementos'!F596,'LP Elementos'!I596,'LP Elementos'!N596,'LP Elementos'!S596,'LP Elementos'!X596,'LP Elementos'!AC596,'LP Elementos'!AH596,'LP Elementos'!AM596,'LP Elementos'!AR596,'LP Elementos'!AW596,'LP Elementos'!BB596,'LP Elementos'!BG596,'LP Elementos'!BL596,'LP Elementos'!BQ596,'LP Elementos'!BV596,'LP Elementos'!CA596,'LP Elementos'!CF596,'LP Elementos'!CK596,'LP Elementos'!CP596,'LP Elementos'!CU596,'LP Elementos'!CZ596)," ")</f>
        <v>41623.463000000003</v>
      </c>
      <c r="G596" s="341">
        <f>IFERROR(GEOMEAN('LP Elementos'!F596,'LP Elementos'!I596,'LP Elementos'!N596,'LP Elementos'!S596,'LP Elementos'!X596,'LP Elementos'!AC596,'LP Elementos'!AH596,'LP Elementos'!AM596,'LP Elementos'!AR596,'LP Elementos'!AW596,'LP Elementos'!BB596,'LP Elementos'!BG596,'LP Elementos'!BL596,'LP Elementos'!BQ596,'LP Elementos'!BV596,'LP Elementos'!CA596,'LP Elementos'!CF596,'LP Elementos'!CK596,'LP Elementos'!CP596,'LP Elementos'!CU596,'LP Elementos'!CZ596)," ")</f>
        <v>50995.693691603235</v>
      </c>
      <c r="H596" s="341">
        <f t="shared" si="48"/>
        <v>59622.930548297525</v>
      </c>
      <c r="I596" s="342">
        <f t="shared" si="49"/>
        <v>0.40198784714206387</v>
      </c>
      <c r="J596" s="341">
        <f>IF(I596&lt;=10%,F596,IF(AND(I596&gt;10%,I596&lt;=20%),E596,IF(AND(I596&gt;20%,I596&lt;=41%),G596,IF(I596&gt;41%,D596))))</f>
        <v>50995.693691603235</v>
      </c>
      <c r="K596" s="326" t="str">
        <f t="shared" si="50"/>
        <v>Media Geometrica</v>
      </c>
      <c r="L596" s="326">
        <f>IFERROR(COUNTA('LP Elementos'!F596,'LP Elementos'!I596,'LP Elementos'!N596,'LP Elementos'!S596,'LP Elementos'!X596,'LP Elementos'!AC596,'LP Elementos'!AH596,'LP Elementos'!AM596,'LP Elementos'!AR596,'LP Elementos'!AX596,'LP Elementos'!BB596,'LP Elementos'!BG596,'LP Elementos'!BL596,'LP Elementos'!BQ596,'LP Elementos'!BV596,'LP Elementos'!CA596,'LP Elementos'!CF596,'LP Elementos'!CK596,'LP Elementos'!CP596,'LP Elementos'!CU596,'LP Elementos'!CZ596)," ")</f>
        <v>4</v>
      </c>
    </row>
    <row r="597" spans="2:12" ht="81" x14ac:dyDescent="0.25">
      <c r="B597" s="411">
        <v>595</v>
      </c>
      <c r="C597" s="413" t="s">
        <v>4623</v>
      </c>
      <c r="D597" s="408">
        <f>IFERROR(MIN('LP Elementos'!F597,'LP Elementos'!I597,'LP Elementos'!N597,'LP Elementos'!S597,'LP Elementos'!X597,'LP Elementos'!AC597,'LP Elementos'!AH597,'LP Elementos'!AM597,'LP Elementos'!AR597,'LP Elementos'!AW597,'LP Elementos'!BB597,'LP Elementos'!BG597,'LP Elementos'!BL597,'LP Elementos'!BQ597,'LP Elementos'!BV597,'LP Elementos'!CA597,'LP Elementos'!CF597,'LP Elementos'!CK597,'LP Elementos'!CP597,'LP Elementos'!CU597,'LP Elementos'!CZ597)," ")</f>
        <v>12614</v>
      </c>
      <c r="E597" s="341">
        <f>IFERROR(AVERAGE('LP Elementos'!F597,'LP Elementos'!I597,'LP Elementos'!N597,'LP Elementos'!S597,'LP Elementos'!X597,'LP Elementos'!AC597,'LP Elementos'!AH597,'LP Elementos'!AM597,'LP Elementos'!AR597,'LP Elementos'!AW597,'LP Elementos'!BB597,'LP Elementos'!BG597,'LP Elementos'!BL597,'LP Elementos'!BQ597,'LP Elementos'!BV597,'LP Elementos'!CA597,'LP Elementos'!CF597,'LP Elementos'!CK597,'LP Elementos'!CP597,'LP Elementos'!CU597,'LP Elementos'!CZ597)," ")</f>
        <v>44756.792500000003</v>
      </c>
      <c r="F597" s="341">
        <f>IFERROR(MEDIAN('LP Elementos'!F597,'LP Elementos'!I597,'LP Elementos'!N597,'LP Elementos'!S597,'LP Elementos'!X597,'LP Elementos'!AC597,'LP Elementos'!AH597,'LP Elementos'!AM597,'LP Elementos'!AR597,'LP Elementos'!AW597,'LP Elementos'!BB597,'LP Elementos'!BG597,'LP Elementos'!BL597,'LP Elementos'!BQ597,'LP Elementos'!BV597,'LP Elementos'!CA597,'LP Elementos'!CF597,'LP Elementos'!CK597,'LP Elementos'!CP597,'LP Elementos'!CU597,'LP Elementos'!CZ597)," ")</f>
        <v>17161.584999999999</v>
      </c>
      <c r="G597" s="341">
        <f>IFERROR(GEOMEAN('LP Elementos'!F597,'LP Elementos'!I597,'LP Elementos'!N597,'LP Elementos'!S597,'LP Elementos'!X597,'LP Elementos'!AC597,'LP Elementos'!AH597,'LP Elementos'!AM597,'LP Elementos'!AR597,'LP Elementos'!AW597,'LP Elementos'!BB597,'LP Elementos'!BG597,'LP Elementos'!BL597,'LP Elementos'!BQ597,'LP Elementos'!BV597,'LP Elementos'!CA597,'LP Elementos'!CF597,'LP Elementos'!CK597,'LP Elementos'!CP597,'LP Elementos'!CU597,'LP Elementos'!CZ597)," ")</f>
        <v>26402.762311622908</v>
      </c>
      <c r="H597" s="341">
        <f t="shared" si="48"/>
        <v>14223.615528249384</v>
      </c>
      <c r="I597" s="342">
        <f t="shared" si="49"/>
        <v>0.31779791923760808</v>
      </c>
      <c r="J597" s="341">
        <f>IF(I597&lt;=10%,F597,IF(AND(I597&gt;10%,I597&lt;=20%),E597,IF(AND(I597&gt;20%,I597&lt;=33%),G597,IF(I597&gt;33%,D597))))</f>
        <v>26402.762311622908</v>
      </c>
      <c r="K597" s="326" t="str">
        <f t="shared" si="50"/>
        <v>Media Geometrica</v>
      </c>
      <c r="L597" s="326">
        <f>IFERROR(COUNTA('LP Elementos'!F597,'LP Elementos'!I597,'LP Elementos'!N597,'LP Elementos'!S597,'LP Elementos'!X597,'LP Elementos'!AC597,'LP Elementos'!AH597,'LP Elementos'!AM597,'LP Elementos'!AR597,'LP Elementos'!AX597,'LP Elementos'!BB597,'LP Elementos'!BG597,'LP Elementos'!BL597,'LP Elementos'!BQ597,'LP Elementos'!BV597,'LP Elementos'!CA597,'LP Elementos'!CF597,'LP Elementos'!CK597,'LP Elementos'!CP597,'LP Elementos'!CU597,'LP Elementos'!CZ597)," ")</f>
        <v>4</v>
      </c>
    </row>
    <row r="598" spans="2:12" ht="67.5" x14ac:dyDescent="0.25">
      <c r="B598" s="411">
        <v>596</v>
      </c>
      <c r="C598" s="415" t="s">
        <v>4626</v>
      </c>
      <c r="D598" s="408">
        <f>IFERROR(MIN('LP Elementos'!F598,'LP Elementos'!I598,'LP Elementos'!N598,'LP Elementos'!S598,'LP Elementos'!X598,'LP Elementos'!AC598,'LP Elementos'!AH598,'LP Elementos'!AM598,'LP Elementos'!AR598,'LP Elementos'!AW598,'LP Elementos'!BB598,'LP Elementos'!BG598,'LP Elementos'!BL598,'LP Elementos'!BQ598,'LP Elementos'!BV598,'LP Elementos'!CA598,'LP Elementos'!CF598,'LP Elementos'!CK598,'LP Elementos'!CP598,'LP Elementos'!CU598,'LP Elementos'!CZ598)," ")</f>
        <v>18564</v>
      </c>
      <c r="E598" s="341">
        <f>IFERROR(AVERAGE('LP Elementos'!F598,'LP Elementos'!I598,'LP Elementos'!N598,'LP Elementos'!S598,'LP Elementos'!X598,'LP Elementos'!AC598,'LP Elementos'!AH598,'LP Elementos'!AM598,'LP Elementos'!AR598,'LP Elementos'!AW598,'LP Elementos'!BB598,'LP Elementos'!BG598,'LP Elementos'!BL598,'LP Elementos'!BQ598,'LP Elementos'!BV598,'LP Elementos'!CA598,'LP Elementos'!CF598,'LP Elementos'!CK598,'LP Elementos'!CP598,'LP Elementos'!CU598,'LP Elementos'!CZ598)," ")</f>
        <v>180219.60949999999</v>
      </c>
      <c r="F598" s="341">
        <f>IFERROR(MEDIAN('LP Elementos'!F598,'LP Elementos'!I598,'LP Elementos'!N598,'LP Elementos'!S598,'LP Elementos'!X598,'LP Elementos'!AC598,'LP Elementos'!AH598,'LP Elementos'!AM598,'LP Elementos'!AR598,'LP Elementos'!AW598,'LP Elementos'!BB598,'LP Elementos'!BG598,'LP Elementos'!BL598,'LP Elementos'!BQ598,'LP Elementos'!BV598,'LP Elementos'!CA598,'LP Elementos'!CF598,'LP Elementos'!CK598,'LP Elementos'!CP598,'LP Elementos'!CU598,'LP Elementos'!CZ598)," ")</f>
        <v>23312.219000000001</v>
      </c>
      <c r="G598" s="341">
        <f>IFERROR(GEOMEAN('LP Elementos'!F598,'LP Elementos'!I598,'LP Elementos'!N598,'LP Elementos'!S598,'LP Elementos'!X598,'LP Elementos'!AC598,'LP Elementos'!AH598,'LP Elementos'!AM598,'LP Elementos'!AR598,'LP Elementos'!AW598,'LP Elementos'!BB598,'LP Elementos'!BG598,'LP Elementos'!BL598,'LP Elementos'!BQ598,'LP Elementos'!BV598,'LP Elementos'!CA598,'LP Elementos'!CF598,'LP Elementos'!CK598,'LP Elementos'!CP598,'LP Elementos'!CU598,'LP Elementos'!CZ598)," ")</f>
        <v>50491.654931403958</v>
      </c>
      <c r="H598" s="341">
        <f t="shared" si="48"/>
        <v>76027.653929084539</v>
      </c>
      <c r="I598" s="342">
        <f t="shared" si="49"/>
        <v>0.42186116227870607</v>
      </c>
      <c r="J598" s="341">
        <f>IF(I598&lt;=10%,F598,IF(AND(I598&gt;10%,I598&lt;=20%),E598,IF(AND(I598&gt;20%,I598&lt;=43%),G598,IF(I598&gt;43%,D598))))</f>
        <v>50491.654931403958</v>
      </c>
      <c r="K598" s="326" t="str">
        <f t="shared" si="50"/>
        <v>Media Geometrica</v>
      </c>
      <c r="L598" s="326">
        <f>IFERROR(COUNTA('LP Elementos'!F598,'LP Elementos'!I598,'LP Elementos'!N598,'LP Elementos'!S598,'LP Elementos'!X598,'LP Elementos'!AC598,'LP Elementos'!AH598,'LP Elementos'!AM598,'LP Elementos'!AR598,'LP Elementos'!AX598,'LP Elementos'!BB598,'LP Elementos'!BG598,'LP Elementos'!BL598,'LP Elementos'!BQ598,'LP Elementos'!BV598,'LP Elementos'!CA598,'LP Elementos'!CF598,'LP Elementos'!CK598,'LP Elementos'!CP598,'LP Elementos'!CU598,'LP Elementos'!CZ598)," ")</f>
        <v>4</v>
      </c>
    </row>
    <row r="599" spans="2:12" ht="67.5" x14ac:dyDescent="0.25">
      <c r="B599" s="411">
        <v>597</v>
      </c>
      <c r="C599" s="412" t="s">
        <v>4629</v>
      </c>
      <c r="D599" s="408">
        <f>IFERROR(MIN('LP Elementos'!F599,'LP Elementos'!I599,'LP Elementos'!N599,'LP Elementos'!S599,'LP Elementos'!X599,'LP Elementos'!AC599,'LP Elementos'!AH599,'LP Elementos'!AM599,'LP Elementos'!AR599,'LP Elementos'!AW599,'LP Elementos'!BB599,'LP Elementos'!BG599,'LP Elementos'!BL599,'LP Elementos'!BQ599,'LP Elementos'!BV599,'LP Elementos'!CA599,'LP Elementos'!CF599,'LP Elementos'!CK599,'LP Elementos'!CP599,'LP Elementos'!CU599,'LP Elementos'!CZ599)," ")</f>
        <v>10234</v>
      </c>
      <c r="E599" s="341">
        <f>IFERROR(AVERAGE('LP Elementos'!F599,'LP Elementos'!I599,'LP Elementos'!N599,'LP Elementos'!S599,'LP Elementos'!X599,'LP Elementos'!AC599,'LP Elementos'!AH599,'LP Elementos'!AM599,'LP Elementos'!AR599,'LP Elementos'!AW599,'LP Elementos'!BB599,'LP Elementos'!BG599,'LP Elementos'!BL599,'LP Elementos'!BQ599,'LP Elementos'!BV599,'LP Elementos'!CA599,'LP Elementos'!CF599,'LP Elementos'!CK599,'LP Elementos'!CP599,'LP Elementos'!CU599,'LP Elementos'!CZ599)," ")</f>
        <v>117772.98020000001</v>
      </c>
      <c r="F599" s="341">
        <f>IFERROR(MEDIAN('LP Elementos'!F599,'LP Elementos'!I599,'LP Elementos'!N599,'LP Elementos'!S599,'LP Elementos'!X599,'LP Elementos'!AC599,'LP Elementos'!AH599,'LP Elementos'!AM599,'LP Elementos'!AR599,'LP Elementos'!AW599,'LP Elementos'!BB599,'LP Elementos'!BG599,'LP Elementos'!BL599,'LP Elementos'!BQ599,'LP Elementos'!BV599,'LP Elementos'!CA599,'LP Elementos'!CF599,'LP Elementos'!CK599,'LP Elementos'!CP599,'LP Elementos'!CU599,'LP Elementos'!CZ599)," ")</f>
        <v>15038.9604</v>
      </c>
      <c r="G599" s="341">
        <f>IFERROR(GEOMEAN('LP Elementos'!F599,'LP Elementos'!I599,'LP Elementos'!N599,'LP Elementos'!S599,'LP Elementos'!X599,'LP Elementos'!AC599,'LP Elementos'!AH599,'LP Elementos'!AM599,'LP Elementos'!AR599,'LP Elementos'!AW599,'LP Elementos'!BB599,'LP Elementos'!BG599,'LP Elementos'!BL599,'LP Elementos'!BQ599,'LP Elementos'!BV599,'LP Elementos'!CA599,'LP Elementos'!CF599,'LP Elementos'!CK599,'LP Elementos'!CP599,'LP Elementos'!CU599,'LP Elementos'!CZ599)," ")</f>
        <v>31466.265639506044</v>
      </c>
      <c r="H599" s="341">
        <f t="shared" si="48"/>
        <v>50258.923893352337</v>
      </c>
      <c r="I599" s="342">
        <f t="shared" si="49"/>
        <v>0.42674409536044272</v>
      </c>
      <c r="J599" s="341">
        <f>IF(I599&lt;=10%,F599,IF(AND(I599&gt;10%,I599&lt;=20%),E599,IF(AND(I599&gt;20%,I599&lt;=44%),G599,IF(I599&gt;44%,D599))))</f>
        <v>31466.265639506044</v>
      </c>
      <c r="K599" s="326" t="str">
        <f t="shared" si="50"/>
        <v>Media Geometrica</v>
      </c>
      <c r="L599" s="326">
        <f>IFERROR(COUNTA('LP Elementos'!F599,'LP Elementos'!I599,'LP Elementos'!N599,'LP Elementos'!S599,'LP Elementos'!X599,'LP Elementos'!AC599,'LP Elementos'!AH599,'LP Elementos'!AM599,'LP Elementos'!AR599,'LP Elementos'!AX599,'LP Elementos'!BB599,'LP Elementos'!BG599,'LP Elementos'!BL599,'LP Elementos'!BQ599,'LP Elementos'!BV599,'LP Elementos'!CA599,'LP Elementos'!CF599,'LP Elementos'!CK599,'LP Elementos'!CP599,'LP Elementos'!CU599,'LP Elementos'!CZ599)," ")</f>
        <v>4</v>
      </c>
    </row>
    <row r="600" spans="2:12" ht="54" x14ac:dyDescent="0.25">
      <c r="B600" s="411">
        <v>598</v>
      </c>
      <c r="C600" s="413" t="s">
        <v>4632</v>
      </c>
      <c r="D600" s="408">
        <f>IFERROR(MIN('LP Elementos'!F600,'LP Elementos'!I600,'LP Elementos'!N600,'LP Elementos'!S600,'LP Elementos'!X600,'LP Elementos'!AC600,'LP Elementos'!AH600,'LP Elementos'!AM600,'LP Elementos'!AR600,'LP Elementos'!AW600,'LP Elementos'!BB600,'LP Elementos'!BG600,'LP Elementos'!BL600,'LP Elementos'!BQ600,'LP Elementos'!BV600,'LP Elementos'!CA600,'LP Elementos'!CF600,'LP Elementos'!CK600,'LP Elementos'!CP600,'LP Elementos'!CU600,'LP Elementos'!CZ600)," ")</f>
        <v>21420</v>
      </c>
      <c r="E600" s="341">
        <f>IFERROR(AVERAGE('LP Elementos'!F600,'LP Elementos'!I600,'LP Elementos'!N600,'LP Elementos'!S600,'LP Elementos'!X600,'LP Elementos'!AC600,'LP Elementos'!AH600,'LP Elementos'!AM600,'LP Elementos'!AR600,'LP Elementos'!AW600,'LP Elementos'!BB600,'LP Elementos'!BG600,'LP Elementos'!BL600,'LP Elementos'!BQ600,'LP Elementos'!BV600,'LP Elementos'!CA600,'LP Elementos'!CF600,'LP Elementos'!CK600,'LP Elementos'!CP600,'LP Elementos'!CU600,'LP Elementos'!CZ600)," ")</f>
        <v>90722.267999999996</v>
      </c>
      <c r="F600" s="341">
        <f>IFERROR(MEDIAN('LP Elementos'!F600,'LP Elementos'!I600,'LP Elementos'!N600,'LP Elementos'!S600,'LP Elementos'!X600,'LP Elementos'!AC600,'LP Elementos'!AH600,'LP Elementos'!AM600,'LP Elementos'!AR600,'LP Elementos'!AW600,'LP Elementos'!BB600,'LP Elementos'!BG600,'LP Elementos'!BL600,'LP Elementos'!BQ600,'LP Elementos'!BV600,'LP Elementos'!CA600,'LP Elementos'!CF600,'LP Elementos'!CK600,'LP Elementos'!CP600,'LP Elementos'!CU600,'LP Elementos'!CZ600)," ")</f>
        <v>26149.536</v>
      </c>
      <c r="G600" s="341">
        <f>IFERROR(GEOMEAN('LP Elementos'!F600,'LP Elementos'!I600,'LP Elementos'!N600,'LP Elementos'!S600,'LP Elementos'!X600,'LP Elementos'!AC600,'LP Elementos'!AH600,'LP Elementos'!AM600,'LP Elementos'!AR600,'LP Elementos'!AW600,'LP Elementos'!BB600,'LP Elementos'!BG600,'LP Elementos'!BL600,'LP Elementos'!BQ600,'LP Elementos'!BV600,'LP Elementos'!CA600,'LP Elementos'!CF600,'LP Elementos'!CK600,'LP Elementos'!CP600,'LP Elementos'!CU600,'LP Elementos'!CZ600)," ")</f>
        <v>45095.607654907682</v>
      </c>
      <c r="H600" s="341">
        <f t="shared" si="48"/>
        <v>31617.625282284389</v>
      </c>
      <c r="I600" s="342">
        <f t="shared" si="49"/>
        <v>0.34851008445119991</v>
      </c>
      <c r="J600" s="341">
        <f>IF(I600&lt;=10%,F600,IF(AND(I600&gt;10%,I600&lt;=20%),E600,IF(AND(I600&gt;20%,I600&lt;=36%),G600,IF(I600&gt;36%,D600))))</f>
        <v>45095.607654907682</v>
      </c>
      <c r="K600" s="326" t="str">
        <f t="shared" si="50"/>
        <v>Media Geometrica</v>
      </c>
      <c r="L600" s="326">
        <f>IFERROR(COUNTA('LP Elementos'!F600,'LP Elementos'!I600,'LP Elementos'!N600,'LP Elementos'!S600,'LP Elementos'!X600,'LP Elementos'!AC600,'LP Elementos'!AH600,'LP Elementos'!AM600,'LP Elementos'!AR600,'LP Elementos'!AX600,'LP Elementos'!BB600,'LP Elementos'!BG600,'LP Elementos'!BL600,'LP Elementos'!BQ600,'LP Elementos'!BV600,'LP Elementos'!CA600,'LP Elementos'!CF600,'LP Elementos'!CK600,'LP Elementos'!CP600,'LP Elementos'!CU600,'LP Elementos'!CZ600)," ")</f>
        <v>4</v>
      </c>
    </row>
    <row r="601" spans="2:12" ht="67.5" x14ac:dyDescent="0.25">
      <c r="B601" s="411">
        <v>599</v>
      </c>
      <c r="C601" s="415" t="s">
        <v>4635</v>
      </c>
      <c r="D601" s="408">
        <f>IFERROR(MIN('LP Elementos'!F601,'LP Elementos'!I601,'LP Elementos'!N601,'LP Elementos'!S601,'LP Elementos'!X601,'LP Elementos'!AC601,'LP Elementos'!AH601,'LP Elementos'!AM601,'LP Elementos'!AR601,'LP Elementos'!AW601,'LP Elementos'!BB601,'LP Elementos'!BG601,'LP Elementos'!BL601,'LP Elementos'!BQ601,'LP Elementos'!BV601,'LP Elementos'!CA601,'LP Elementos'!CF601,'LP Elementos'!CK601,'LP Elementos'!CP601,'LP Elementos'!CU601,'LP Elementos'!CZ601)," ")</f>
        <v>21420</v>
      </c>
      <c r="E601" s="341">
        <f>IFERROR(AVERAGE('LP Elementos'!F601,'LP Elementos'!I601,'LP Elementos'!N601,'LP Elementos'!S601,'LP Elementos'!X601,'LP Elementos'!AC601,'LP Elementos'!AH601,'LP Elementos'!AM601,'LP Elementos'!AR601,'LP Elementos'!AW601,'LP Elementos'!BB601,'LP Elementos'!BG601,'LP Elementos'!BL601,'LP Elementos'!BQ601,'LP Elementos'!BV601,'LP Elementos'!CA601,'LP Elementos'!CF601,'LP Elementos'!CK601,'LP Elementos'!CP601,'LP Elementos'!CU601,'LP Elementos'!CZ601)," ")</f>
        <v>90093.828999999998</v>
      </c>
      <c r="F601" s="341">
        <f>IFERROR(MEDIAN('LP Elementos'!F601,'LP Elementos'!I601,'LP Elementos'!N601,'LP Elementos'!S601,'LP Elementos'!X601,'LP Elementos'!AC601,'LP Elementos'!AH601,'LP Elementos'!AM601,'LP Elementos'!AR601,'LP Elementos'!AW601,'LP Elementos'!BB601,'LP Elementos'!BG601,'LP Elementos'!BL601,'LP Elementos'!BQ601,'LP Elementos'!BV601,'LP Elementos'!CA601,'LP Elementos'!CF601,'LP Elementos'!CK601,'LP Elementos'!CP601,'LP Elementos'!CU601,'LP Elementos'!CZ601)," ")</f>
        <v>24892.658000000003</v>
      </c>
      <c r="G601" s="341">
        <f>IFERROR(GEOMEAN('LP Elementos'!F601,'LP Elementos'!I601,'LP Elementos'!N601,'LP Elementos'!S601,'LP Elementos'!X601,'LP Elementos'!AC601,'LP Elementos'!AH601,'LP Elementos'!AM601,'LP Elementos'!AR601,'LP Elementos'!AW601,'LP Elementos'!BB601,'LP Elementos'!BG601,'LP Elementos'!BL601,'LP Elementos'!BQ601,'LP Elementos'!BV601,'LP Elementos'!CA601,'LP Elementos'!CF601,'LP Elementos'!CK601,'LP Elementos'!CP601,'LP Elementos'!CU601,'LP Elementos'!CZ601)," ")</f>
        <v>44125.242291975541</v>
      </c>
      <c r="H601" s="341">
        <f t="shared" si="48"/>
        <v>31593.615036501535</v>
      </c>
      <c r="I601" s="342">
        <f t="shared" si="49"/>
        <v>0.35067457324409573</v>
      </c>
      <c r="J601" s="341">
        <f>IF(I601&lt;=10%,F601,IF(AND(I601&gt;10%,I601&lt;=20%),E601,IF(AND(I601&gt;20%,I601&lt;=37%),G601,IF(I601&gt;37%,D601))))</f>
        <v>44125.242291975541</v>
      </c>
      <c r="K601" s="326" t="str">
        <f t="shared" si="50"/>
        <v>Media Geometrica</v>
      </c>
      <c r="L601" s="326">
        <f>IFERROR(COUNTA('LP Elementos'!F601,'LP Elementos'!I601,'LP Elementos'!N601,'LP Elementos'!S601,'LP Elementos'!X601,'LP Elementos'!AC601,'LP Elementos'!AH601,'LP Elementos'!AM601,'LP Elementos'!AR601,'LP Elementos'!AX601,'LP Elementos'!BB601,'LP Elementos'!BG601,'LP Elementos'!BL601,'LP Elementos'!BQ601,'LP Elementos'!BV601,'LP Elementos'!CA601,'LP Elementos'!CF601,'LP Elementos'!CK601,'LP Elementos'!CP601,'LP Elementos'!CU601,'LP Elementos'!CZ601)," ")</f>
        <v>4</v>
      </c>
    </row>
    <row r="602" spans="2:12" x14ac:dyDescent="0.25">
      <c r="B602" s="411">
        <v>600</v>
      </c>
      <c r="C602" s="412" t="s">
        <v>4636</v>
      </c>
      <c r="D602" s="408">
        <f>IFERROR(MIN('LP Elementos'!F602,'LP Elementos'!I602,'LP Elementos'!N602,'LP Elementos'!S602,'LP Elementos'!X602,'LP Elementos'!AC602,'LP Elementos'!AH602,'LP Elementos'!AM602,'LP Elementos'!AR602,'LP Elementos'!AW602,'LP Elementos'!BB602,'LP Elementos'!BG602,'LP Elementos'!BL602,'LP Elementos'!BQ602,'LP Elementos'!BV602,'LP Elementos'!CA602,'LP Elementos'!CF602,'LP Elementos'!CK602,'LP Elementos'!CP602,'LP Elementos'!CU602,'LP Elementos'!CZ602)," ")</f>
        <v>194055.62600000002</v>
      </c>
      <c r="E602" s="341">
        <f>IFERROR(AVERAGE('LP Elementos'!F602,'LP Elementos'!I602,'LP Elementos'!N602,'LP Elementos'!S602,'LP Elementos'!X602,'LP Elementos'!AC602,'LP Elementos'!AH602,'LP Elementos'!AM602,'LP Elementos'!AR602,'LP Elementos'!AW602,'LP Elementos'!BB602,'LP Elementos'!BG602,'LP Elementos'!BL602,'LP Elementos'!BQ602,'LP Elementos'!BV602,'LP Elementos'!CA602,'LP Elementos'!CF602,'LP Elementos'!CK602,'LP Elementos'!CP602,'LP Elementos'!CU602,'LP Elementos'!CZ602)," ")</f>
        <v>194055.62600000002</v>
      </c>
      <c r="F602" s="341">
        <f>IFERROR(MEDIAN('LP Elementos'!F602,'LP Elementos'!I602,'LP Elementos'!N602,'LP Elementos'!S602,'LP Elementos'!X602,'LP Elementos'!AC602,'LP Elementos'!AH602,'LP Elementos'!AM602,'LP Elementos'!AR602,'LP Elementos'!AW602,'LP Elementos'!BB602,'LP Elementos'!BG602,'LP Elementos'!BL602,'LP Elementos'!BQ602,'LP Elementos'!BV602,'LP Elementos'!CA602,'LP Elementos'!CF602,'LP Elementos'!CK602,'LP Elementos'!CP602,'LP Elementos'!CU602,'LP Elementos'!CZ602)," ")</f>
        <v>194055.62600000002</v>
      </c>
      <c r="G602" s="341">
        <f>IFERROR(GEOMEAN('LP Elementos'!F602,'LP Elementos'!I602,'LP Elementos'!N602,'LP Elementos'!S602,'LP Elementos'!X602,'LP Elementos'!AC602,'LP Elementos'!AH602,'LP Elementos'!AM602,'LP Elementos'!AR602,'LP Elementos'!AW602,'LP Elementos'!BB602,'LP Elementos'!BG602,'LP Elementos'!BL602,'LP Elementos'!BQ602,'LP Elementos'!BV602,'LP Elementos'!CA602,'LP Elementos'!CF602,'LP Elementos'!CK602,'LP Elementos'!CP602,'LP Elementos'!CU602,'LP Elementos'!CZ602)," ")</f>
        <v>194055.62600000002</v>
      </c>
      <c r="H602" s="341">
        <f t="shared" si="48"/>
        <v>0</v>
      </c>
      <c r="I602" s="342">
        <f t="shared" si="49"/>
        <v>0</v>
      </c>
      <c r="J602" s="341">
        <f t="shared" si="51"/>
        <v>194055.62600000002</v>
      </c>
      <c r="K602" s="326" t="str">
        <f t="shared" si="50"/>
        <v>Menor Valor</v>
      </c>
      <c r="L602" s="326">
        <f>IFERROR(COUNTA('LP Elementos'!F602,'LP Elementos'!I602,'LP Elementos'!N602,'LP Elementos'!S602,'LP Elementos'!X602,'LP Elementos'!AC602,'LP Elementos'!AH602,'LP Elementos'!AM602,'LP Elementos'!AR602,'LP Elementos'!AX602,'LP Elementos'!BB602,'LP Elementos'!BG602,'LP Elementos'!BL602,'LP Elementos'!BQ602,'LP Elementos'!BV602,'LP Elementos'!CA602,'LP Elementos'!CF602,'LP Elementos'!CK602,'LP Elementos'!CP602,'LP Elementos'!CU602,'LP Elementos'!CZ602)," ")</f>
        <v>1</v>
      </c>
    </row>
    <row r="603" spans="2:12" x14ac:dyDescent="0.25">
      <c r="B603" s="411">
        <v>601</v>
      </c>
      <c r="C603" s="412" t="s">
        <v>4638</v>
      </c>
      <c r="D603" s="408">
        <f>IFERROR(MIN('LP Elementos'!F603,'LP Elementos'!I603,'LP Elementos'!N603,'LP Elementos'!S603,'LP Elementos'!X603,'LP Elementos'!AC603,'LP Elementos'!AH603,'LP Elementos'!AM603,'LP Elementos'!AR603,'LP Elementos'!AW603,'LP Elementos'!BB603,'LP Elementos'!BG603,'LP Elementos'!BL603,'LP Elementos'!BQ603,'LP Elementos'!BV603,'LP Elementos'!CA603,'LP Elementos'!CF603,'LP Elementos'!CK603,'LP Elementos'!CP603,'LP Elementos'!CU603,'LP Elementos'!CZ603)," ")</f>
        <v>30291.816000000003</v>
      </c>
      <c r="E603" s="341">
        <f>IFERROR(AVERAGE('LP Elementos'!F603,'LP Elementos'!I603,'LP Elementos'!N603,'LP Elementos'!S603,'LP Elementos'!X603,'LP Elementos'!AC603,'LP Elementos'!AH603,'LP Elementos'!AM603,'LP Elementos'!AR603,'LP Elementos'!AW603,'LP Elementos'!BB603,'LP Elementos'!BG603,'LP Elementos'!BL603,'LP Elementos'!BQ603,'LP Elementos'!BV603,'LP Elementos'!CA603,'LP Elementos'!CF603,'LP Elementos'!CK603,'LP Elementos'!CP603,'LP Elementos'!CU603,'LP Elementos'!CZ603)," ")</f>
        <v>317405.908</v>
      </c>
      <c r="F603" s="341">
        <f>IFERROR(MEDIAN('LP Elementos'!F603,'LP Elementos'!I603,'LP Elementos'!N603,'LP Elementos'!S603,'LP Elementos'!X603,'LP Elementos'!AC603,'LP Elementos'!AH603,'LP Elementos'!AM603,'LP Elementos'!AR603,'LP Elementos'!AW603,'LP Elementos'!BB603,'LP Elementos'!BG603,'LP Elementos'!BL603,'LP Elementos'!BQ603,'LP Elementos'!BV603,'LP Elementos'!CA603,'LP Elementos'!CF603,'LP Elementos'!CK603,'LP Elementos'!CP603,'LP Elementos'!CU603,'LP Elementos'!CZ603)," ")</f>
        <v>317405.908</v>
      </c>
      <c r="G603" s="341">
        <f>IFERROR(GEOMEAN('LP Elementos'!F603,'LP Elementos'!I603,'LP Elementos'!N603,'LP Elementos'!S603,'LP Elementos'!X603,'LP Elementos'!AC603,'LP Elementos'!AH603,'LP Elementos'!AM603,'LP Elementos'!AR603,'LP Elementos'!AW603,'LP Elementos'!BB603,'LP Elementos'!BG603,'LP Elementos'!BL603,'LP Elementos'!BQ603,'LP Elementos'!BV603,'LP Elementos'!CA603,'LP Elementos'!CF603,'LP Elementos'!CK603,'LP Elementos'!CP603,'LP Elementos'!CU603,'LP Elementos'!CZ603)," ")</f>
        <v>135321.87039913394</v>
      </c>
      <c r="H603" s="341">
        <f t="shared" si="48"/>
        <v>142070.84778234211</v>
      </c>
      <c r="I603" s="342">
        <f t="shared" si="49"/>
        <v>0.44759988456907396</v>
      </c>
      <c r="J603" s="341">
        <f t="shared" si="51"/>
        <v>30291.816000000003</v>
      </c>
      <c r="K603" s="326" t="str">
        <f t="shared" si="50"/>
        <v>Menor Valor</v>
      </c>
      <c r="L603" s="326">
        <f>IFERROR(COUNTA('LP Elementos'!F603,'LP Elementos'!I603,'LP Elementos'!N603,'LP Elementos'!S603,'LP Elementos'!X603,'LP Elementos'!AC603,'LP Elementos'!AH603,'LP Elementos'!AM603,'LP Elementos'!AR603,'LP Elementos'!AX603,'LP Elementos'!BB603,'LP Elementos'!BG603,'LP Elementos'!BL603,'LP Elementos'!BQ603,'LP Elementos'!BV603,'LP Elementos'!CA603,'LP Elementos'!CF603,'LP Elementos'!CK603,'LP Elementos'!CP603,'LP Elementos'!CU603,'LP Elementos'!CZ603)," ")</f>
        <v>2</v>
      </c>
    </row>
    <row r="604" spans="2:12" ht="40.5" x14ac:dyDescent="0.25">
      <c r="B604" s="411">
        <v>602</v>
      </c>
      <c r="C604" s="415" t="s">
        <v>4640</v>
      </c>
      <c r="D604" s="408">
        <f>IFERROR(MIN('LP Elementos'!F604,'LP Elementos'!I604,'LP Elementos'!N604,'LP Elementos'!S604,'LP Elementos'!X604,'LP Elementos'!AC604,'LP Elementos'!AH604,'LP Elementos'!AM604,'LP Elementos'!AR604,'LP Elementos'!AW604,'LP Elementos'!BB604,'LP Elementos'!BG604,'LP Elementos'!BL604,'LP Elementos'!BQ604,'LP Elementos'!BV604,'LP Elementos'!CA604,'LP Elementos'!CF604,'LP Elementos'!CK604,'LP Elementos'!CP604,'LP Elementos'!CU604,'LP Elementos'!CZ604)," ")</f>
        <v>101065.51</v>
      </c>
      <c r="E604" s="341">
        <f>IFERROR(AVERAGE('LP Elementos'!F604,'LP Elementos'!I604,'LP Elementos'!N604,'LP Elementos'!S604,'LP Elementos'!X604,'LP Elementos'!AC604,'LP Elementos'!AH604,'LP Elementos'!AM604,'LP Elementos'!AR604,'LP Elementos'!AW604,'LP Elementos'!BB604,'LP Elementos'!BG604,'LP Elementos'!BL604,'LP Elementos'!BQ604,'LP Elementos'!BV604,'LP Elementos'!CA604,'LP Elementos'!CF604,'LP Elementos'!CK604,'LP Elementos'!CP604,'LP Elementos'!CU604,'LP Elementos'!CZ604)," ")</f>
        <v>155997.02066666665</v>
      </c>
      <c r="F604" s="341">
        <f>IFERROR(MEDIAN('LP Elementos'!F604,'LP Elementos'!I604,'LP Elementos'!N604,'LP Elementos'!S604,'LP Elementos'!X604,'LP Elementos'!AC604,'LP Elementos'!AH604,'LP Elementos'!AM604,'LP Elementos'!AR604,'LP Elementos'!AW604,'LP Elementos'!BB604,'LP Elementos'!BG604,'LP Elementos'!BL604,'LP Elementos'!BQ604,'LP Elementos'!BV604,'LP Elementos'!CA604,'LP Elementos'!CF604,'LP Elementos'!CK604,'LP Elementos'!CP604,'LP Elementos'!CU604,'LP Elementos'!CZ604)," ")</f>
        <v>135660</v>
      </c>
      <c r="G604" s="341">
        <f>IFERROR(GEOMEAN('LP Elementos'!F604,'LP Elementos'!I604,'LP Elementos'!N604,'LP Elementos'!S604,'LP Elementos'!X604,'LP Elementos'!AC604,'LP Elementos'!AH604,'LP Elementos'!AM604,'LP Elementos'!AR604,'LP Elementos'!AW604,'LP Elementos'!BB604,'LP Elementos'!BG604,'LP Elementos'!BL604,'LP Elementos'!BQ604,'LP Elementos'!BV604,'LP Elementos'!CA604,'LP Elementos'!CF604,'LP Elementos'!CK604,'LP Elementos'!CP604,'LP Elementos'!CU604,'LP Elementos'!CZ604)," ")</f>
        <v>146911.314303758</v>
      </c>
      <c r="H604" s="341">
        <f t="shared" si="48"/>
        <v>24046.524208313393</v>
      </c>
      <c r="I604" s="342">
        <f t="shared" si="49"/>
        <v>0.15414732990122829</v>
      </c>
      <c r="J604" s="341">
        <f t="shared" si="51"/>
        <v>155997.02066666665</v>
      </c>
      <c r="K604" s="326" t="str">
        <f t="shared" si="50"/>
        <v>Promedio</v>
      </c>
      <c r="L604" s="326">
        <f>IFERROR(COUNTA('LP Elementos'!F604,'LP Elementos'!I604,'LP Elementos'!N604,'LP Elementos'!S604,'LP Elementos'!X604,'LP Elementos'!AC604,'LP Elementos'!AH604,'LP Elementos'!AM604,'LP Elementos'!AR604,'LP Elementos'!AX604,'LP Elementos'!BB604,'LP Elementos'!BG604,'LP Elementos'!BL604,'LP Elementos'!BQ604,'LP Elementos'!BV604,'LP Elementos'!CA604,'LP Elementos'!CF604,'LP Elementos'!CK604,'LP Elementos'!CP604,'LP Elementos'!CU604,'LP Elementos'!CZ604)," ")</f>
        <v>3</v>
      </c>
    </row>
    <row r="605" spans="2:12" ht="40.5" x14ac:dyDescent="0.25">
      <c r="B605" s="411">
        <v>603</v>
      </c>
      <c r="C605" s="415" t="s">
        <v>4643</v>
      </c>
      <c r="D605" s="408">
        <f>IFERROR(MIN('LP Elementos'!F605,'LP Elementos'!I605,'LP Elementos'!N605,'LP Elementos'!S605,'LP Elementos'!X605,'LP Elementos'!AC605,'LP Elementos'!AH605,'LP Elementos'!AM605,'LP Elementos'!AR605,'LP Elementos'!AW605,'LP Elementos'!BB605,'LP Elementos'!BG605,'LP Elementos'!BL605,'LP Elementos'!BQ605,'LP Elementos'!BV605,'LP Elementos'!CA605,'LP Elementos'!CF605,'LP Elementos'!CK605,'LP Elementos'!CP605,'LP Elementos'!CU605,'LP Elementos'!CZ605)," ")</f>
        <v>67830</v>
      </c>
      <c r="E605" s="341">
        <f>IFERROR(AVERAGE('LP Elementos'!F605,'LP Elementos'!I605,'LP Elementos'!N605,'LP Elementos'!S605,'LP Elementos'!X605,'LP Elementos'!AC605,'LP Elementos'!AH605,'LP Elementos'!AM605,'LP Elementos'!AR605,'LP Elementos'!AW605,'LP Elementos'!BB605,'LP Elementos'!BG605,'LP Elementos'!BL605,'LP Elementos'!BQ605,'LP Elementos'!BV605,'LP Elementos'!CA605,'LP Elementos'!CF605,'LP Elementos'!CK605,'LP Elementos'!CP605,'LP Elementos'!CU605,'LP Elementos'!CZ605)," ")</f>
        <v>439433.08500000002</v>
      </c>
      <c r="F605" s="341">
        <f>IFERROR(MEDIAN('LP Elementos'!F605,'LP Elementos'!I605,'LP Elementos'!N605,'LP Elementos'!S605,'LP Elementos'!X605,'LP Elementos'!AC605,'LP Elementos'!AH605,'LP Elementos'!AM605,'LP Elementos'!AR605,'LP Elementos'!AW605,'LP Elementos'!BB605,'LP Elementos'!BG605,'LP Elementos'!BL605,'LP Elementos'!BQ605,'LP Elementos'!BV605,'LP Elementos'!CA605,'LP Elementos'!CF605,'LP Elementos'!CK605,'LP Elementos'!CP605,'LP Elementos'!CU605,'LP Elementos'!CZ605)," ")</f>
        <v>476300.47500000003</v>
      </c>
      <c r="G605" s="341">
        <f>IFERROR(GEOMEAN('LP Elementos'!F605,'LP Elementos'!I605,'LP Elementos'!N605,'LP Elementos'!S605,'LP Elementos'!X605,'LP Elementos'!AC605,'LP Elementos'!AH605,'LP Elementos'!AM605,'LP Elementos'!AR605,'LP Elementos'!AW605,'LP Elementos'!BB605,'LP Elementos'!BG605,'LP Elementos'!BL605,'LP Elementos'!BQ605,'LP Elementos'!BV605,'LP Elementos'!CA605,'LP Elementos'!CF605,'LP Elementos'!CK605,'LP Elementos'!CP605,'LP Elementos'!CU605,'LP Elementos'!CZ605)," ")</f>
        <v>313509.23733352643</v>
      </c>
      <c r="H605" s="341">
        <f t="shared" si="48"/>
        <v>184619.49073309085</v>
      </c>
      <c r="I605" s="342">
        <f t="shared" si="49"/>
        <v>0.42013106667444222</v>
      </c>
      <c r="J605" s="341">
        <f>IF(I605&lt;=10%,F605,IF(AND(I605&gt;10%,I605&lt;=20%),E605,IF(AND(I605&gt;20%,I605&lt;=43%),G605,IF(I605&gt;43%,D605))))</f>
        <v>313509.23733352643</v>
      </c>
      <c r="K605" s="326" t="str">
        <f t="shared" si="50"/>
        <v>Media Geometrica</v>
      </c>
      <c r="L605" s="326">
        <f>IFERROR(COUNTA('LP Elementos'!F605,'LP Elementos'!I605,'LP Elementos'!N605,'LP Elementos'!S605,'LP Elementos'!X605,'LP Elementos'!AC605,'LP Elementos'!AH605,'LP Elementos'!AM605,'LP Elementos'!AR605,'LP Elementos'!AX605,'LP Elementos'!BB605,'LP Elementos'!BG605,'LP Elementos'!BL605,'LP Elementos'!BQ605,'LP Elementos'!BV605,'LP Elementos'!CA605,'LP Elementos'!CF605,'LP Elementos'!CK605,'LP Elementos'!CP605,'LP Elementos'!CU605,'LP Elementos'!CZ605)," ")</f>
        <v>4</v>
      </c>
    </row>
    <row r="606" spans="2:12" ht="27" x14ac:dyDescent="0.25">
      <c r="B606" s="411">
        <v>604</v>
      </c>
      <c r="C606" s="412" t="s">
        <v>4647</v>
      </c>
      <c r="D606" s="408">
        <f>IFERROR(MIN('LP Elementos'!F606,'LP Elementos'!I606,'LP Elementos'!N606,'LP Elementos'!S606,'LP Elementos'!X606,'LP Elementos'!AC606,'LP Elementos'!AH606,'LP Elementos'!AM606,'LP Elementos'!AR606,'LP Elementos'!AW606,'LP Elementos'!BB606,'LP Elementos'!BG606,'LP Elementos'!BL606,'LP Elementos'!BQ606,'LP Elementos'!BV606,'LP Elementos'!CA606,'LP Elementos'!CF606,'LP Elementos'!CK606,'LP Elementos'!CP606,'LP Elementos'!CU606,'LP Elementos'!CZ606)," ")</f>
        <v>640849.51</v>
      </c>
      <c r="E606" s="341">
        <f>IFERROR(AVERAGE('LP Elementos'!F606,'LP Elementos'!I606,'LP Elementos'!N606,'LP Elementos'!S606,'LP Elementos'!X606,'LP Elementos'!AC606,'LP Elementos'!AH606,'LP Elementos'!AM606,'LP Elementos'!AR606,'LP Elementos'!AW606,'LP Elementos'!BB606,'LP Elementos'!BG606,'LP Elementos'!BL606,'LP Elementos'!BQ606,'LP Elementos'!BV606,'LP Elementos'!CA606,'LP Elementos'!CF606,'LP Elementos'!CK606,'LP Elementos'!CP606,'LP Elementos'!CU606,'LP Elementos'!CZ606)," ")</f>
        <v>1549208.8912</v>
      </c>
      <c r="F606" s="341">
        <f>IFERROR(MEDIAN('LP Elementos'!F606,'LP Elementos'!I606,'LP Elementos'!N606,'LP Elementos'!S606,'LP Elementos'!X606,'LP Elementos'!AC606,'LP Elementos'!AH606,'LP Elementos'!AM606,'LP Elementos'!AR606,'LP Elementos'!AW606,'LP Elementos'!BB606,'LP Elementos'!BG606,'LP Elementos'!BL606,'LP Elementos'!BQ606,'LP Elementos'!BV606,'LP Elementos'!CA606,'LP Elementos'!CF606,'LP Elementos'!CK606,'LP Elementos'!CP606,'LP Elementos'!CU606,'LP Elementos'!CZ606)," ")</f>
        <v>1549208.8912</v>
      </c>
      <c r="G606" s="341">
        <f>IFERROR(GEOMEAN('LP Elementos'!F606,'LP Elementos'!I606,'LP Elementos'!N606,'LP Elementos'!S606,'LP Elementos'!X606,'LP Elementos'!AC606,'LP Elementos'!AH606,'LP Elementos'!AM606,'LP Elementos'!AR606,'LP Elementos'!AW606,'LP Elementos'!BB606,'LP Elementos'!BG606,'LP Elementos'!BL606,'LP Elementos'!BQ606,'LP Elementos'!BV606,'LP Elementos'!CA606,'LP Elementos'!CF606,'LP Elementos'!CK606,'LP Elementos'!CP606,'LP Elementos'!CU606,'LP Elementos'!CZ606)," ")</f>
        <v>1254962.7178363055</v>
      </c>
      <c r="H606" s="341">
        <f t="shared" si="48"/>
        <v>428226.00963601778</v>
      </c>
      <c r="I606" s="342">
        <f t="shared" si="49"/>
        <v>0.27641592561757033</v>
      </c>
      <c r="J606" s="341">
        <f t="shared" si="51"/>
        <v>1254962.7178363055</v>
      </c>
      <c r="K606" s="326" t="str">
        <f t="shared" si="50"/>
        <v>Media Geometrica</v>
      </c>
      <c r="L606" s="326">
        <f>IFERROR(COUNTA('LP Elementos'!F606,'LP Elementos'!I606,'LP Elementos'!N606,'LP Elementos'!S606,'LP Elementos'!X606,'LP Elementos'!AC606,'LP Elementos'!AH606,'LP Elementos'!AM606,'LP Elementos'!AR606,'LP Elementos'!AX606,'LP Elementos'!BB606,'LP Elementos'!BG606,'LP Elementos'!BL606,'LP Elementos'!BQ606,'LP Elementos'!BV606,'LP Elementos'!CA606,'LP Elementos'!CF606,'LP Elementos'!CK606,'LP Elementos'!CP606,'LP Elementos'!CU606,'LP Elementos'!CZ606)," ")</f>
        <v>2</v>
      </c>
    </row>
    <row r="607" spans="2:12" ht="27" x14ac:dyDescent="0.25">
      <c r="B607" s="411">
        <v>605</v>
      </c>
      <c r="C607" s="412" t="s">
        <v>4651</v>
      </c>
      <c r="D607" s="408">
        <f>IFERROR(MIN('LP Elementos'!F607,'LP Elementos'!I607,'LP Elementos'!N607,'LP Elementos'!S607,'LP Elementos'!X607,'LP Elementos'!AC607,'LP Elementos'!AH607,'LP Elementos'!AM607,'LP Elementos'!AR607,'LP Elementos'!AW607,'LP Elementos'!BB607,'LP Elementos'!BG607,'LP Elementos'!BL607,'LP Elementos'!BQ607,'LP Elementos'!BV607,'LP Elementos'!CA607,'LP Elementos'!CF607,'LP Elementos'!CK607,'LP Elementos'!CP607,'LP Elementos'!CU607,'LP Elementos'!CZ607)," ")</f>
        <v>365610.84</v>
      </c>
      <c r="E607" s="341">
        <f>IFERROR(AVERAGE('LP Elementos'!F607,'LP Elementos'!I607,'LP Elementos'!N607,'LP Elementos'!S607,'LP Elementos'!X607,'LP Elementos'!AC607,'LP Elementos'!AH607,'LP Elementos'!AM607,'LP Elementos'!AR607,'LP Elementos'!AW607,'LP Elementos'!BB607,'LP Elementos'!BG607,'LP Elementos'!BL607,'LP Elementos'!BQ607,'LP Elementos'!BV607,'LP Elementos'!CA607,'LP Elementos'!CF607,'LP Elementos'!CK607,'LP Elementos'!CP607,'LP Elementos'!CU607,'LP Elementos'!CZ607)," ")</f>
        <v>485237.728</v>
      </c>
      <c r="F607" s="341">
        <f>IFERROR(MEDIAN('LP Elementos'!F607,'LP Elementos'!I607,'LP Elementos'!N607,'LP Elementos'!S607,'LP Elementos'!X607,'LP Elementos'!AC607,'LP Elementos'!AH607,'LP Elementos'!AM607,'LP Elementos'!AR607,'LP Elementos'!AW607,'LP Elementos'!BB607,'LP Elementos'!BG607,'LP Elementos'!BL607,'LP Elementos'!BQ607,'LP Elementos'!BV607,'LP Elementos'!CA607,'LP Elementos'!CF607,'LP Elementos'!CK607,'LP Elementos'!CP607,'LP Elementos'!CU607,'LP Elementos'!CZ607)," ")</f>
        <v>485237.728</v>
      </c>
      <c r="G607" s="341">
        <f>IFERROR(GEOMEAN('LP Elementos'!F607,'LP Elementos'!I607,'LP Elementos'!N607,'LP Elementos'!S607,'LP Elementos'!X607,'LP Elementos'!AC607,'LP Elementos'!AH607,'LP Elementos'!AM607,'LP Elementos'!AR607,'LP Elementos'!AW607,'LP Elementos'!BB607,'LP Elementos'!BG607,'LP Elementos'!BL607,'LP Elementos'!BQ607,'LP Elementos'!BV607,'LP Elementos'!CA607,'LP Elementos'!CF607,'LP Elementos'!CK607,'LP Elementos'!CP607,'LP Elementos'!CU607,'LP Elementos'!CZ607)," ")</f>
        <v>470260.63022757653</v>
      </c>
      <c r="H607" s="341">
        <f t="shared" si="48"/>
        <v>57750.461885003075</v>
      </c>
      <c r="I607" s="342">
        <f t="shared" si="49"/>
        <v>0.11901478090550097</v>
      </c>
      <c r="J607" s="341">
        <f t="shared" si="51"/>
        <v>485237.728</v>
      </c>
      <c r="K607" s="326" t="str">
        <f t="shared" si="50"/>
        <v>Promedio</v>
      </c>
      <c r="L607" s="326">
        <f>IFERROR(COUNTA('LP Elementos'!F607,'LP Elementos'!I607,'LP Elementos'!N607,'LP Elementos'!S607,'LP Elementos'!X607,'LP Elementos'!AC607,'LP Elementos'!AH607,'LP Elementos'!AM607,'LP Elementos'!AR607,'LP Elementos'!AX607,'LP Elementos'!BB607,'LP Elementos'!BG607,'LP Elementos'!BL607,'LP Elementos'!BQ607,'LP Elementos'!BV607,'LP Elementos'!CA607,'LP Elementos'!CF607,'LP Elementos'!CK607,'LP Elementos'!CP607,'LP Elementos'!CU607,'LP Elementos'!CZ607)," ")</f>
        <v>2</v>
      </c>
    </row>
    <row r="608" spans="2:12" ht="40.5" x14ac:dyDescent="0.25">
      <c r="B608" s="411">
        <v>606</v>
      </c>
      <c r="C608" s="409" t="s">
        <v>4654</v>
      </c>
      <c r="D608" s="408">
        <f>IFERROR(MIN('LP Elementos'!F608,'LP Elementos'!I608,'LP Elementos'!N608,'LP Elementos'!S608,'LP Elementos'!X608,'LP Elementos'!AC608,'LP Elementos'!AH608,'LP Elementos'!AM608,'LP Elementos'!AR608,'LP Elementos'!AW608,'LP Elementos'!BB608,'LP Elementos'!BG608,'LP Elementos'!BL608,'LP Elementos'!BQ608,'LP Elementos'!BV608,'LP Elementos'!CA608,'LP Elementos'!CF608,'LP Elementos'!CK608,'LP Elementos'!CP608,'LP Elementos'!CU608,'LP Elementos'!CZ608)," ")</f>
        <v>285600</v>
      </c>
      <c r="E608" s="341">
        <f>IFERROR(AVERAGE('LP Elementos'!F608,'LP Elementos'!I608,'LP Elementos'!N608,'LP Elementos'!S608,'LP Elementos'!X608,'LP Elementos'!AC608,'LP Elementos'!AH608,'LP Elementos'!AM608,'LP Elementos'!AR608,'LP Elementos'!AW608,'LP Elementos'!BB608,'LP Elementos'!BG608,'LP Elementos'!BL608,'LP Elementos'!BQ608,'LP Elementos'!BV608,'LP Elementos'!CA608,'LP Elementos'!CF608,'LP Elementos'!CK608,'LP Elementos'!CP608,'LP Elementos'!CU608,'LP Elementos'!CZ608)," ")</f>
        <v>494696.09</v>
      </c>
      <c r="F608" s="341">
        <f>IFERROR(MEDIAN('LP Elementos'!F608,'LP Elementos'!I608,'LP Elementos'!N608,'LP Elementos'!S608,'LP Elementos'!X608,'LP Elementos'!AC608,'LP Elementos'!AH608,'LP Elementos'!AM608,'LP Elementos'!AR608,'LP Elementos'!AW608,'LP Elementos'!BB608,'LP Elementos'!BG608,'LP Elementos'!BL608,'LP Elementos'!BQ608,'LP Elementos'!BV608,'LP Elementos'!CA608,'LP Elementos'!CF608,'LP Elementos'!CK608,'LP Elementos'!CP608,'LP Elementos'!CU608,'LP Elementos'!CZ608)," ")</f>
        <v>494696.09</v>
      </c>
      <c r="G608" s="341">
        <f>IFERROR(GEOMEAN('LP Elementos'!F608,'LP Elementos'!I608,'LP Elementos'!N608,'LP Elementos'!S608,'LP Elementos'!X608,'LP Elementos'!AC608,'LP Elementos'!AH608,'LP Elementos'!AM608,'LP Elementos'!AR608,'LP Elementos'!AW608,'LP Elementos'!BB608,'LP Elementos'!BG608,'LP Elementos'!BL608,'LP Elementos'!BQ608,'LP Elementos'!BV608,'LP Elementos'!CA608,'LP Elementos'!CF608,'LP Elementos'!CK608,'LP Elementos'!CP608,'LP Elementos'!CU608,'LP Elementos'!CZ608)," ")</f>
        <v>448333.63314388983</v>
      </c>
      <c r="H608" s="341">
        <f t="shared" si="48"/>
        <v>99257.048395506645</v>
      </c>
      <c r="I608" s="342">
        <f t="shared" si="49"/>
        <v>0.20064247606142721</v>
      </c>
      <c r="J608" s="341">
        <f t="shared" si="51"/>
        <v>448333.63314388983</v>
      </c>
      <c r="K608" s="326" t="str">
        <f t="shared" si="50"/>
        <v>Media Geometrica</v>
      </c>
      <c r="L608" s="326">
        <f>IFERROR(COUNTA('LP Elementos'!F608,'LP Elementos'!I608,'LP Elementos'!N608,'LP Elementos'!S608,'LP Elementos'!X608,'LP Elementos'!AC608,'LP Elementos'!AH608,'LP Elementos'!AM608,'LP Elementos'!AR608,'LP Elementos'!AX608,'LP Elementos'!BB608,'LP Elementos'!BG608,'LP Elementos'!BL608,'LP Elementos'!BQ608,'LP Elementos'!BV608,'LP Elementos'!CA608,'LP Elementos'!CF608,'LP Elementos'!CK608,'LP Elementos'!CP608,'LP Elementos'!CU608,'LP Elementos'!CZ608)," ")</f>
        <v>2</v>
      </c>
    </row>
    <row r="609" spans="2:12" ht="27" x14ac:dyDescent="0.25">
      <c r="B609" s="411">
        <v>607</v>
      </c>
      <c r="C609" s="412" t="s">
        <v>4656</v>
      </c>
      <c r="D609" s="408">
        <f>IFERROR(MIN('LP Elementos'!F609,'LP Elementos'!I609,'LP Elementos'!N609,'LP Elementos'!S609,'LP Elementos'!X609,'LP Elementos'!AC609,'LP Elementos'!AH609,'LP Elementos'!AM609,'LP Elementos'!AR609,'LP Elementos'!AW609,'LP Elementos'!BB609,'LP Elementos'!BG609,'LP Elementos'!BL609,'LP Elementos'!BQ609,'LP Elementos'!BV609,'LP Elementos'!CA609,'LP Elementos'!CF609,'LP Elementos'!CK609,'LP Elementos'!CP609,'LP Elementos'!CU609,'LP Elementos'!CZ609)," ")</f>
        <v>365610.84</v>
      </c>
      <c r="E609" s="341">
        <f>IFERROR(AVERAGE('LP Elementos'!F609,'LP Elementos'!I609,'LP Elementos'!N609,'LP Elementos'!S609,'LP Elementos'!X609,'LP Elementos'!AC609,'LP Elementos'!AH609,'LP Elementos'!AM609,'LP Elementos'!AR609,'LP Elementos'!AW609,'LP Elementos'!BB609,'LP Elementos'!BG609,'LP Elementos'!BL609,'LP Elementos'!BQ609,'LP Elementos'!BV609,'LP Elementos'!CA609,'LP Elementos'!CF609,'LP Elementos'!CK609,'LP Elementos'!CP609,'LP Elementos'!CU609,'LP Elementos'!CZ609)," ")</f>
        <v>3073624.82</v>
      </c>
      <c r="F609" s="341">
        <f>IFERROR(MEDIAN('LP Elementos'!F609,'LP Elementos'!I609,'LP Elementos'!N609,'LP Elementos'!S609,'LP Elementos'!X609,'LP Elementos'!AC609,'LP Elementos'!AH609,'LP Elementos'!AM609,'LP Elementos'!AR609,'LP Elementos'!AW609,'LP Elementos'!BB609,'LP Elementos'!BG609,'LP Elementos'!BL609,'LP Elementos'!BQ609,'LP Elementos'!BV609,'LP Elementos'!CA609,'LP Elementos'!CF609,'LP Elementos'!CK609,'LP Elementos'!CP609,'LP Elementos'!CU609,'LP Elementos'!CZ609)," ")</f>
        <v>3073624.82</v>
      </c>
      <c r="G609" s="341">
        <f>IFERROR(GEOMEAN('LP Elementos'!F609,'LP Elementos'!I609,'LP Elementos'!N609,'LP Elementos'!S609,'LP Elementos'!X609,'LP Elementos'!AC609,'LP Elementos'!AH609,'LP Elementos'!AM609,'LP Elementos'!AR609,'LP Elementos'!AW609,'LP Elementos'!BB609,'LP Elementos'!BG609,'LP Elementos'!BL609,'LP Elementos'!BQ609,'LP Elementos'!BV609,'LP Elementos'!CA609,'LP Elementos'!CF609,'LP Elementos'!CK609,'LP Elementos'!CP609,'LP Elementos'!CU609,'LP Elementos'!CZ609)," ")</f>
        <v>1453901.5847864642</v>
      </c>
      <c r="H609" s="341">
        <f t="shared" si="48"/>
        <v>1325960.7489891991</v>
      </c>
      <c r="I609" s="342">
        <f t="shared" si="49"/>
        <v>0.43139967518520989</v>
      </c>
      <c r="J609" s="341">
        <f>IF(I609&lt;=10%,F609,IF(AND(I609&gt;10%,I609&lt;=20%),E609,IF(AND(I609&gt;20%,I609&lt;=44%),G609,IF(I609&gt;44%,D609))))</f>
        <v>1453901.5847864642</v>
      </c>
      <c r="K609" s="326" t="str">
        <f t="shared" si="50"/>
        <v>Media Geometrica</v>
      </c>
      <c r="L609" s="326">
        <f>IFERROR(COUNTA('LP Elementos'!F609,'LP Elementos'!I609,'LP Elementos'!N609,'LP Elementos'!S609,'LP Elementos'!X609,'LP Elementos'!AC609,'LP Elementos'!AH609,'LP Elementos'!AM609,'LP Elementos'!AR609,'LP Elementos'!AX609,'LP Elementos'!BB609,'LP Elementos'!BG609,'LP Elementos'!BL609,'LP Elementos'!BQ609,'LP Elementos'!BV609,'LP Elementos'!CA609,'LP Elementos'!CF609,'LP Elementos'!CK609,'LP Elementos'!CP609,'LP Elementos'!CU609,'LP Elementos'!CZ609)," ")</f>
        <v>2</v>
      </c>
    </row>
    <row r="610" spans="2:12" ht="40.5" x14ac:dyDescent="0.25">
      <c r="B610" s="411">
        <v>608</v>
      </c>
      <c r="C610" s="409" t="s">
        <v>4659</v>
      </c>
      <c r="D610" s="408">
        <f>IFERROR(MIN('LP Elementos'!F610,'LP Elementos'!I610,'LP Elementos'!N610,'LP Elementos'!S610,'LP Elementos'!X610,'LP Elementos'!AC610,'LP Elementos'!AH610,'LP Elementos'!AM610,'LP Elementos'!AR610,'LP Elementos'!AW610,'LP Elementos'!BB610,'LP Elementos'!BG610,'LP Elementos'!BL610,'LP Elementos'!BQ610,'LP Elementos'!BV610,'LP Elementos'!CA610,'LP Elementos'!CF610,'LP Elementos'!CK610,'LP Elementos'!CP610,'LP Elementos'!CU610,'LP Elementos'!CZ610)," ")</f>
        <v>3350.0047000000004</v>
      </c>
      <c r="E610" s="341">
        <f>IFERROR(AVERAGE('LP Elementos'!F610,'LP Elementos'!I610,'LP Elementos'!N610,'LP Elementos'!S610,'LP Elementos'!X610,'LP Elementos'!AC610,'LP Elementos'!AH610,'LP Elementos'!AM610,'LP Elementos'!AR610,'LP Elementos'!AW610,'LP Elementos'!BB610,'LP Elementos'!BG610,'LP Elementos'!BL610,'LP Elementos'!BQ610,'LP Elementos'!BV610,'LP Elementos'!CA610,'LP Elementos'!CF610,'LP Elementos'!CK610,'LP Elementos'!CP610,'LP Elementos'!CU610,'LP Elementos'!CZ610)," ")</f>
        <v>248263.37585000001</v>
      </c>
      <c r="F610" s="341">
        <f>IFERROR(MEDIAN('LP Elementos'!F610,'LP Elementos'!I610,'LP Elementos'!N610,'LP Elementos'!S610,'LP Elementos'!X610,'LP Elementos'!AC610,'LP Elementos'!AH610,'LP Elementos'!AM610,'LP Elementos'!AR610,'LP Elementos'!AW610,'LP Elementos'!BB610,'LP Elementos'!BG610,'LP Elementos'!BL610,'LP Elementos'!BQ610,'LP Elementos'!BV610,'LP Elementos'!CA610,'LP Elementos'!CF610,'LP Elementos'!CK610,'LP Elementos'!CP610,'LP Elementos'!CU610,'LP Elementos'!CZ610)," ")</f>
        <v>248263.37585000001</v>
      </c>
      <c r="G610" s="341">
        <f>IFERROR(GEOMEAN('LP Elementos'!F610,'LP Elementos'!I610,'LP Elementos'!N610,'LP Elementos'!S610,'LP Elementos'!X610,'LP Elementos'!AC610,'LP Elementos'!AH610,'LP Elementos'!AM610,'LP Elementos'!AR610,'LP Elementos'!AW610,'LP Elementos'!BB610,'LP Elementos'!BG610,'LP Elementos'!BL610,'LP Elementos'!BQ610,'LP Elementos'!BV610,'LP Elementos'!CA610,'LP Elementos'!CF610,'LP Elementos'!CK610,'LP Elementos'!CP610,'LP Elementos'!CU610,'LP Elementos'!CZ610)," ")</f>
        <v>40646.579442564551</v>
      </c>
      <c r="H610" s="341">
        <f t="shared" si="48"/>
        <v>131518.57331590596</v>
      </c>
      <c r="I610" s="342">
        <f t="shared" si="49"/>
        <v>0.52975422921570636</v>
      </c>
      <c r="J610" s="341">
        <f t="shared" si="51"/>
        <v>3350.0047000000004</v>
      </c>
      <c r="K610" s="326" t="str">
        <f t="shared" si="50"/>
        <v>Menor Valor</v>
      </c>
      <c r="L610" s="326">
        <f>IFERROR(COUNTA('LP Elementos'!F610,'LP Elementos'!I610,'LP Elementos'!N610,'LP Elementos'!S610,'LP Elementos'!X610,'LP Elementos'!AC610,'LP Elementos'!AH610,'LP Elementos'!AM610,'LP Elementos'!AR610,'LP Elementos'!AX610,'LP Elementos'!BB610,'LP Elementos'!BG610,'LP Elementos'!BL610,'LP Elementos'!BQ610,'LP Elementos'!BV610,'LP Elementos'!CA610,'LP Elementos'!CF610,'LP Elementos'!CK610,'LP Elementos'!CP610,'LP Elementos'!CU610,'LP Elementos'!CZ610)," ")</f>
        <v>2</v>
      </c>
    </row>
    <row r="611" spans="2:12" ht="27" x14ac:dyDescent="0.25">
      <c r="B611" s="411">
        <v>609</v>
      </c>
      <c r="C611" s="416" t="s">
        <v>4661</v>
      </c>
      <c r="D611" s="408">
        <f>IFERROR(MIN('LP Elementos'!F611,'LP Elementos'!I611,'LP Elementos'!N611,'LP Elementos'!S611,'LP Elementos'!X611,'LP Elementos'!AC611,'LP Elementos'!AH611,'LP Elementos'!AM611,'LP Elementos'!AR611,'LP Elementos'!AW611,'LP Elementos'!BB611,'LP Elementos'!BG611,'LP Elementos'!BL611,'LP Elementos'!BQ611,'LP Elementos'!BV611,'LP Elementos'!CA611,'LP Elementos'!CF611,'LP Elementos'!CK611,'LP Elementos'!CP611,'LP Elementos'!CU611,'LP Elementos'!CZ611)," ")</f>
        <v>113050</v>
      </c>
      <c r="E611" s="341">
        <f>IFERROR(AVERAGE('LP Elementos'!F611,'LP Elementos'!I611,'LP Elementos'!N611,'LP Elementos'!S611,'LP Elementos'!X611,'LP Elementos'!AC611,'LP Elementos'!AH611,'LP Elementos'!AM611,'LP Elementos'!AR611,'LP Elementos'!AW611,'LP Elementos'!BB611,'LP Elementos'!BG611,'LP Elementos'!BL611,'LP Elementos'!BQ611,'LP Elementos'!BV611,'LP Elementos'!CA611,'LP Elementos'!CF611,'LP Elementos'!CK611,'LP Elementos'!CP611,'LP Elementos'!CU611,'LP Elementos'!CZ611)," ")</f>
        <v>238755.41080000001</v>
      </c>
      <c r="F611" s="341">
        <f>IFERROR(MEDIAN('LP Elementos'!F611,'LP Elementos'!I611,'LP Elementos'!N611,'LP Elementos'!S611,'LP Elementos'!X611,'LP Elementos'!AC611,'LP Elementos'!AH611,'LP Elementos'!AM611,'LP Elementos'!AR611,'LP Elementos'!AW611,'LP Elementos'!BB611,'LP Elementos'!BG611,'LP Elementos'!BL611,'LP Elementos'!BQ611,'LP Elementos'!BV611,'LP Elementos'!CA611,'LP Elementos'!CF611,'LP Elementos'!CK611,'LP Elementos'!CP611,'LP Elementos'!CU611,'LP Elementos'!CZ611)," ")</f>
        <v>238755.41080000001</v>
      </c>
      <c r="G611" s="341">
        <f>IFERROR(GEOMEAN('LP Elementos'!F611,'LP Elementos'!I611,'LP Elementos'!N611,'LP Elementos'!S611,'LP Elementos'!X611,'LP Elementos'!AC611,'LP Elementos'!AH611,'LP Elementos'!AM611,'LP Elementos'!AR611,'LP Elementos'!AW611,'LP Elementos'!BB611,'LP Elementos'!BG611,'LP Elementos'!BL611,'LP Elementos'!BQ611,'LP Elementos'!BV611,'LP Elementos'!CA611,'LP Elementos'!CF611,'LP Elementos'!CK611,'LP Elementos'!CP611,'LP Elementos'!CU611,'LP Elementos'!CZ611)," ")</f>
        <v>202983.48672214695</v>
      </c>
      <c r="H611" s="341">
        <f t="shared" si="48"/>
        <v>59337.308209969808</v>
      </c>
      <c r="I611" s="342">
        <f t="shared" si="49"/>
        <v>0.24852759571457556</v>
      </c>
      <c r="J611" s="341">
        <f t="shared" si="51"/>
        <v>202983.48672214695</v>
      </c>
      <c r="K611" s="326" t="str">
        <f t="shared" si="50"/>
        <v>Media Geometrica</v>
      </c>
      <c r="L611" s="326">
        <f>IFERROR(COUNTA('LP Elementos'!F611,'LP Elementos'!I611,'LP Elementos'!N611,'LP Elementos'!S611,'LP Elementos'!X611,'LP Elementos'!AC611,'LP Elementos'!AH611,'LP Elementos'!AM611,'LP Elementos'!AR611,'LP Elementos'!AX611,'LP Elementos'!BB611,'LP Elementos'!BG611,'LP Elementos'!BL611,'LP Elementos'!BQ611,'LP Elementos'!BV611,'LP Elementos'!CA611,'LP Elementos'!CF611,'LP Elementos'!CK611,'LP Elementos'!CP611,'LP Elementos'!CU611,'LP Elementos'!CZ611)," ")</f>
        <v>2</v>
      </c>
    </row>
    <row r="612" spans="2:12" ht="40.5" x14ac:dyDescent="0.25">
      <c r="B612" s="411">
        <v>610</v>
      </c>
      <c r="C612" s="409" t="s">
        <v>4663</v>
      </c>
      <c r="D612" s="408">
        <f>IFERROR(MIN('LP Elementos'!F612,'LP Elementos'!I612,'LP Elementos'!N612,'LP Elementos'!S612,'LP Elementos'!X612,'LP Elementos'!AC612,'LP Elementos'!AH612,'LP Elementos'!AM612,'LP Elementos'!AR612,'LP Elementos'!AW612,'LP Elementos'!BB612,'LP Elementos'!BG612,'LP Elementos'!BL612,'LP Elementos'!BQ612,'LP Elementos'!BV612,'LP Elementos'!CA612,'LP Elementos'!CF612,'LP Elementos'!CK612,'LP Elementos'!CP612,'LP Elementos'!CU612,'LP Elementos'!CZ612)," ")</f>
        <v>113050</v>
      </c>
      <c r="E612" s="341">
        <f>IFERROR(AVERAGE('LP Elementos'!F612,'LP Elementos'!I612,'LP Elementos'!N612,'LP Elementos'!S612,'LP Elementos'!X612,'LP Elementos'!AC612,'LP Elementos'!AH612,'LP Elementos'!AM612,'LP Elementos'!AR612,'LP Elementos'!AW612,'LP Elementos'!BB612,'LP Elementos'!BG612,'LP Elementos'!BL612,'LP Elementos'!BQ612,'LP Elementos'!BV612,'LP Elementos'!CA612,'LP Elementos'!CF612,'LP Elementos'!CK612,'LP Elementos'!CP612,'LP Elementos'!CU612,'LP Elementos'!CZ612)," ")</f>
        <v>172801.09</v>
      </c>
      <c r="F612" s="341">
        <f>IFERROR(MEDIAN('LP Elementos'!F612,'LP Elementos'!I612,'LP Elementos'!N612,'LP Elementos'!S612,'LP Elementos'!X612,'LP Elementos'!AC612,'LP Elementos'!AH612,'LP Elementos'!AM612,'LP Elementos'!AR612,'LP Elementos'!AW612,'LP Elementos'!BB612,'LP Elementos'!BG612,'LP Elementos'!BL612,'LP Elementos'!BQ612,'LP Elementos'!BV612,'LP Elementos'!CA612,'LP Elementos'!CF612,'LP Elementos'!CK612,'LP Elementos'!CP612,'LP Elementos'!CU612,'LP Elementos'!CZ612)," ")</f>
        <v>172801.09</v>
      </c>
      <c r="G612" s="341">
        <f>IFERROR(GEOMEAN('LP Elementos'!F612,'LP Elementos'!I612,'LP Elementos'!N612,'LP Elementos'!S612,'LP Elementos'!X612,'LP Elementos'!AC612,'LP Elementos'!AH612,'LP Elementos'!AM612,'LP Elementos'!AR612,'LP Elementos'!AW612,'LP Elementos'!BB612,'LP Elementos'!BG612,'LP Elementos'!BL612,'LP Elementos'!BQ612,'LP Elementos'!BV612,'LP Elementos'!CA612,'LP Elementos'!CF612,'LP Elementos'!CK612,'LP Elementos'!CP612,'LP Elementos'!CU612,'LP Elementos'!CZ612)," ")</f>
        <v>162141.98700213342</v>
      </c>
      <c r="H612" s="341">
        <f t="shared" si="48"/>
        <v>28544.762586786594</v>
      </c>
      <c r="I612" s="342">
        <f t="shared" si="49"/>
        <v>0.16518855631516324</v>
      </c>
      <c r="J612" s="341">
        <f t="shared" si="51"/>
        <v>172801.09</v>
      </c>
      <c r="K612" s="326" t="str">
        <f t="shared" si="50"/>
        <v>Promedio</v>
      </c>
      <c r="L612" s="326">
        <f>IFERROR(COUNTA('LP Elementos'!F612,'LP Elementos'!I612,'LP Elementos'!N612,'LP Elementos'!S612,'LP Elementos'!X612,'LP Elementos'!AC612,'LP Elementos'!AH612,'LP Elementos'!AM612,'LP Elementos'!AR612,'LP Elementos'!AX612,'LP Elementos'!BB612,'LP Elementos'!BG612,'LP Elementos'!BL612,'LP Elementos'!BQ612,'LP Elementos'!BV612,'LP Elementos'!CA612,'LP Elementos'!CF612,'LP Elementos'!CK612,'LP Elementos'!CP612,'LP Elementos'!CU612,'LP Elementos'!CZ612)," ")</f>
        <v>2</v>
      </c>
    </row>
    <row r="613" spans="2:12" ht="40.5" x14ac:dyDescent="0.25">
      <c r="B613" s="411">
        <v>611</v>
      </c>
      <c r="C613" s="409" t="s">
        <v>4668</v>
      </c>
      <c r="D613" s="408">
        <f>IFERROR(MIN('LP Elementos'!F613,'LP Elementos'!I613,'LP Elementos'!N613,'LP Elementos'!S613,'LP Elementos'!X613,'LP Elementos'!AC613,'LP Elementos'!AH613,'LP Elementos'!AM613,'LP Elementos'!AR613,'LP Elementos'!AW613,'LP Elementos'!BB613,'LP Elementos'!BG613,'LP Elementos'!BL613,'LP Elementos'!BQ613,'LP Elementos'!BV613,'LP Elementos'!CA613,'LP Elementos'!CF613,'LP Elementos'!CK613,'LP Elementos'!CP613,'LP Elementos'!CU613,'LP Elementos'!CZ613)," ")</f>
        <v>67830</v>
      </c>
      <c r="E613" s="341">
        <f>IFERROR(AVERAGE('LP Elementos'!F613,'LP Elementos'!I613,'LP Elementos'!N613,'LP Elementos'!S613,'LP Elementos'!X613,'LP Elementos'!AC613,'LP Elementos'!AH613,'LP Elementos'!AM613,'LP Elementos'!AR613,'LP Elementos'!AW613,'LP Elementos'!BB613,'LP Elementos'!BG613,'LP Elementos'!BL613,'LP Elementos'!BQ613,'LP Elementos'!BV613,'LP Elementos'!CA613,'LP Elementos'!CF613,'LP Elementos'!CK613,'LP Elementos'!CP613,'LP Elementos'!CU613,'LP Elementos'!CZ613)," ")</f>
        <v>265649.79232000001</v>
      </c>
      <c r="F613" s="341">
        <f>IFERROR(MEDIAN('LP Elementos'!F613,'LP Elementos'!I613,'LP Elementos'!N613,'LP Elementos'!S613,'LP Elementos'!X613,'LP Elementos'!AC613,'LP Elementos'!AH613,'LP Elementos'!AM613,'LP Elementos'!AR613,'LP Elementos'!AW613,'LP Elementos'!BB613,'LP Elementos'!BG613,'LP Elementos'!BL613,'LP Elementos'!BQ613,'LP Elementos'!BV613,'LP Elementos'!CA613,'LP Elementos'!CF613,'LP Elementos'!CK613,'LP Elementos'!CP613,'LP Elementos'!CU613,'LP Elementos'!CZ613)," ")</f>
        <v>271320</v>
      </c>
      <c r="G613" s="341">
        <f>IFERROR(GEOMEAN('LP Elementos'!F613,'LP Elementos'!I613,'LP Elementos'!N613,'LP Elementos'!S613,'LP Elementos'!X613,'LP Elementos'!AC613,'LP Elementos'!AH613,'LP Elementos'!AM613,'LP Elementos'!AR613,'LP Elementos'!AW613,'LP Elementos'!BB613,'LP Elementos'!BG613,'LP Elementos'!BL613,'LP Elementos'!BQ613,'LP Elementos'!BV613,'LP Elementos'!CA613,'LP Elementos'!CF613,'LP Elementos'!CK613,'LP Elementos'!CP613,'LP Elementos'!CU613,'LP Elementos'!CZ613)," ")</f>
        <v>197712.82862220955</v>
      </c>
      <c r="H613" s="341">
        <f t="shared" si="48"/>
        <v>94637.905317356228</v>
      </c>
      <c r="I613" s="342">
        <f t="shared" si="49"/>
        <v>0.35625062790697021</v>
      </c>
      <c r="J613" s="341">
        <f>IF(I613&lt;=10%,F613,IF(AND(I613&gt;10%,I613&lt;=20%),E613,IF(AND(I613&gt;20%,I613&lt;=37%),G613,IF(I613&gt;37%,D613))))</f>
        <v>197712.82862220955</v>
      </c>
      <c r="K613" s="326" t="str">
        <f t="shared" si="50"/>
        <v>Media Geometrica</v>
      </c>
      <c r="L613" s="326">
        <f>IFERROR(COUNTA('LP Elementos'!F613,'LP Elementos'!I613,'LP Elementos'!N613,'LP Elementos'!S613,'LP Elementos'!X613,'LP Elementos'!AC613,'LP Elementos'!AH613,'LP Elementos'!AM613,'LP Elementos'!AR613,'LP Elementos'!AX613,'LP Elementos'!BB613,'LP Elementos'!BG613,'LP Elementos'!BL613,'LP Elementos'!BQ613,'LP Elementos'!BV613,'LP Elementos'!CA613,'LP Elementos'!CF613,'LP Elementos'!CK613,'LP Elementos'!CP613,'LP Elementos'!CU613,'LP Elementos'!CZ613)," ")</f>
        <v>5</v>
      </c>
    </row>
    <row r="614" spans="2:12" ht="54" x14ac:dyDescent="0.25">
      <c r="B614" s="411">
        <v>612</v>
      </c>
      <c r="C614" s="409" t="s">
        <v>4675</v>
      </c>
      <c r="D614" s="408">
        <f>IFERROR(MIN('LP Elementos'!F614,'LP Elementos'!I614,'LP Elementos'!N614,'LP Elementos'!S614,'LP Elementos'!X614,'LP Elementos'!AC614,'LP Elementos'!AH614,'LP Elementos'!AM614,'LP Elementos'!AR614,'LP Elementos'!AW614,'LP Elementos'!BB614,'LP Elementos'!BG614,'LP Elementos'!BL614,'LP Elementos'!BQ614,'LP Elementos'!BV614,'LP Elementos'!CA614,'LP Elementos'!CF614,'LP Elementos'!CK614,'LP Elementos'!CP614,'LP Elementos'!CU614,'LP Elementos'!CZ614)," ")</f>
        <v>113050</v>
      </c>
      <c r="E614" s="341">
        <f>IFERROR(AVERAGE('LP Elementos'!F614,'LP Elementos'!I614,'LP Elementos'!N614,'LP Elementos'!S614,'LP Elementos'!X614,'LP Elementos'!AC614,'LP Elementos'!AH614,'LP Elementos'!AM614,'LP Elementos'!AR614,'LP Elementos'!AW614,'LP Elementos'!BB614,'LP Elementos'!BG614,'LP Elementos'!BL614,'LP Elementos'!BQ614,'LP Elementos'!BV614,'LP Elementos'!CA614,'LP Elementos'!CF614,'LP Elementos'!CK614,'LP Elementos'!CP614,'LP Elementos'!CU614,'LP Elementos'!CZ614)," ")</f>
        <v>364050.71585000004</v>
      </c>
      <c r="F614" s="341">
        <f>IFERROR(MEDIAN('LP Elementos'!F614,'LP Elementos'!I614,'LP Elementos'!N614,'LP Elementos'!S614,'LP Elementos'!X614,'LP Elementos'!AC614,'LP Elementos'!AH614,'LP Elementos'!AM614,'LP Elementos'!AR614,'LP Elementos'!AW614,'LP Elementos'!BB614,'LP Elementos'!BG614,'LP Elementos'!BL614,'LP Elementos'!BQ614,'LP Elementos'!BV614,'LP Elementos'!CA614,'LP Elementos'!CF614,'LP Elementos'!CK614,'LP Elementos'!CP614,'LP Elementos'!CU614,'LP Elementos'!CZ614)," ")</f>
        <v>388718.7867</v>
      </c>
      <c r="G614" s="341">
        <f>IFERROR(GEOMEAN('LP Elementos'!F614,'LP Elementos'!I614,'LP Elementos'!N614,'LP Elementos'!S614,'LP Elementos'!X614,'LP Elementos'!AC614,'LP Elementos'!AH614,'LP Elementos'!AM614,'LP Elementos'!AR614,'LP Elementos'!AW614,'LP Elementos'!BB614,'LP Elementos'!BG614,'LP Elementos'!BL614,'LP Elementos'!BQ614,'LP Elementos'!BV614,'LP Elementos'!CA614,'LP Elementos'!CF614,'LP Elementos'!CK614,'LP Elementos'!CP614,'LP Elementos'!CU614,'LP Elementos'!CZ614)," ")</f>
        <v>308642.23086086469</v>
      </c>
      <c r="H614" s="341">
        <f t="shared" si="48"/>
        <v>124947.26514757535</v>
      </c>
      <c r="I614" s="342">
        <f t="shared" si="49"/>
        <v>0.34321389770060889</v>
      </c>
      <c r="J614" s="341">
        <f>IF(I614&lt;=10%,F614,IF(AND(I614&gt;10%,I614&lt;=20%),E614,IF(AND(I614&gt;20%,I614&lt;=35%),G614,IF(I614&gt;35%,D614))))</f>
        <v>308642.23086086469</v>
      </c>
      <c r="K614" s="326" t="str">
        <f t="shared" si="50"/>
        <v>Media Geometrica</v>
      </c>
      <c r="L614" s="326">
        <f>IFERROR(COUNTA('LP Elementos'!F614,'LP Elementos'!I614,'LP Elementos'!N614,'LP Elementos'!S614,'LP Elementos'!X614,'LP Elementos'!AC614,'LP Elementos'!AH614,'LP Elementos'!AM614,'LP Elementos'!AR614,'LP Elementos'!AX614,'LP Elementos'!BB614,'LP Elementos'!BG614,'LP Elementos'!BL614,'LP Elementos'!BQ614,'LP Elementos'!BV614,'LP Elementos'!CA614,'LP Elementos'!CF614,'LP Elementos'!CK614,'LP Elementos'!CP614,'LP Elementos'!CU614,'LP Elementos'!CZ614)," ")</f>
        <v>4</v>
      </c>
    </row>
    <row r="615" spans="2:12" ht="27" x14ac:dyDescent="0.25">
      <c r="B615" s="411">
        <v>613</v>
      </c>
      <c r="C615" s="412" t="s">
        <v>4680</v>
      </c>
      <c r="D615" s="408">
        <f>IFERROR(MIN('LP Elementos'!F615,'LP Elementos'!I615,'LP Elementos'!N615,'LP Elementos'!S615,'LP Elementos'!X615,'LP Elementos'!AC615,'LP Elementos'!AH615,'LP Elementos'!AM615,'LP Elementos'!AR615,'LP Elementos'!AW615,'LP Elementos'!BB615,'LP Elementos'!BG615,'LP Elementos'!BL615,'LP Elementos'!BQ615,'LP Elementos'!BV615,'LP Elementos'!CA615,'LP Elementos'!CF615,'LP Elementos'!CK615,'LP Elementos'!CP615,'LP Elementos'!CU615,'LP Elementos'!CZ615)," ")</f>
        <v>67830</v>
      </c>
      <c r="E615" s="341">
        <f>IFERROR(AVERAGE('LP Elementos'!F615,'LP Elementos'!I615,'LP Elementos'!N615,'LP Elementos'!S615,'LP Elementos'!X615,'LP Elementos'!AC615,'LP Elementos'!AH615,'LP Elementos'!AM615,'LP Elementos'!AR615,'LP Elementos'!AW615,'LP Elementos'!BB615,'LP Elementos'!BG615,'LP Elementos'!BL615,'LP Elementos'!BQ615,'LP Elementos'!BV615,'LP Elementos'!CA615,'LP Elementos'!CF615,'LP Elementos'!CK615,'LP Elementos'!CP615,'LP Elementos'!CU615,'LP Elementos'!CZ615)," ")</f>
        <v>323966.29824999999</v>
      </c>
      <c r="F615" s="341">
        <f>IFERROR(MEDIAN('LP Elementos'!F615,'LP Elementos'!I615,'LP Elementos'!N615,'LP Elementos'!S615,'LP Elementos'!X615,'LP Elementos'!AC615,'LP Elementos'!AH615,'LP Elementos'!AM615,'LP Elementos'!AR615,'LP Elementos'!AW615,'LP Elementos'!BB615,'LP Elementos'!BG615,'LP Elementos'!BL615,'LP Elementos'!BQ615,'LP Elementos'!BV615,'LP Elementos'!CA615,'LP Elementos'!CF615,'LP Elementos'!CK615,'LP Elementos'!CP615,'LP Elementos'!CU615,'LP Elementos'!CZ615)," ")</f>
        <v>254305.5865</v>
      </c>
      <c r="G615" s="341">
        <f>IFERROR(GEOMEAN('LP Elementos'!F615,'LP Elementos'!I615,'LP Elementos'!N615,'LP Elementos'!S615,'LP Elementos'!X615,'LP Elementos'!AC615,'LP Elementos'!AH615,'LP Elementos'!AM615,'LP Elementos'!AR615,'LP Elementos'!AW615,'LP Elementos'!BB615,'LP Elementos'!BG615,'LP Elementos'!BL615,'LP Elementos'!BQ615,'LP Elementos'!BV615,'LP Elementos'!CA615,'LP Elementos'!CF615,'LP Elementos'!CK615,'LP Elementos'!CP615,'LP Elementos'!CU615,'LP Elementos'!CZ615)," ")</f>
        <v>236751.38898792732</v>
      </c>
      <c r="H615" s="341">
        <f t="shared" si="48"/>
        <v>108658.71199492153</v>
      </c>
      <c r="I615" s="342">
        <f t="shared" si="49"/>
        <v>0.33540128273179581</v>
      </c>
      <c r="J615" s="341">
        <f>IF(I615&lt;=10%,F615,IF(AND(I615&gt;10%,I615&lt;=20%),E615,IF(AND(I615&gt;20%,I615&lt;=35%),G615,IF(I615&gt;35%,D615))))</f>
        <v>236751.38898792732</v>
      </c>
      <c r="K615" s="326" t="str">
        <f t="shared" si="50"/>
        <v>Media Geometrica</v>
      </c>
      <c r="L615" s="326">
        <f>IFERROR(COUNTA('LP Elementos'!F615,'LP Elementos'!I615,'LP Elementos'!N615,'LP Elementos'!S615,'LP Elementos'!X615,'LP Elementos'!AC615,'LP Elementos'!AH615,'LP Elementos'!AM615,'LP Elementos'!AR615,'LP Elementos'!AX615,'LP Elementos'!BB615,'LP Elementos'!BG615,'LP Elementos'!BL615,'LP Elementos'!BQ615,'LP Elementos'!BV615,'LP Elementos'!CA615,'LP Elementos'!CF615,'LP Elementos'!CK615,'LP Elementos'!CP615,'LP Elementos'!CU615,'LP Elementos'!CZ615)," ")</f>
        <v>4</v>
      </c>
    </row>
    <row r="616" spans="2:12" x14ac:dyDescent="0.25">
      <c r="B616" s="411">
        <v>614</v>
      </c>
      <c r="C616" s="412" t="s">
        <v>4682</v>
      </c>
      <c r="D616" s="408">
        <f>IFERROR(MIN('LP Elementos'!F616,'LP Elementos'!I616,'LP Elementos'!N616,'LP Elementos'!S616,'LP Elementos'!X616,'LP Elementos'!AC616,'LP Elementos'!AH616,'LP Elementos'!AM616,'LP Elementos'!AR616,'LP Elementos'!AW616,'LP Elementos'!BB616,'LP Elementos'!BG616,'LP Elementos'!BL616,'LP Elementos'!BQ616,'LP Elementos'!BV616,'LP Elementos'!CA616,'LP Elementos'!CF616,'LP Elementos'!CK616,'LP Elementos'!CP616,'LP Elementos'!CU616,'LP Elementos'!CZ616)," ")</f>
        <v>5117</v>
      </c>
      <c r="E616" s="341">
        <f>IFERROR(AVERAGE('LP Elementos'!F616,'LP Elementos'!I616,'LP Elementos'!N616,'LP Elementos'!S616,'LP Elementos'!X616,'LP Elementos'!AC616,'LP Elementos'!AH616,'LP Elementos'!AM616,'LP Elementos'!AR616,'LP Elementos'!AW616,'LP Elementos'!BB616,'LP Elementos'!BG616,'LP Elementos'!BL616,'LP Elementos'!BQ616,'LP Elementos'!BV616,'LP Elementos'!CA616,'LP Elementos'!CF616,'LP Elementos'!CK616,'LP Elementos'!CP616,'LP Elementos'!CU616,'LP Elementos'!CZ616)," ")</f>
        <v>6957.5730000000003</v>
      </c>
      <c r="F616" s="341">
        <f>IFERROR(MEDIAN('LP Elementos'!F616,'LP Elementos'!I616,'LP Elementos'!N616,'LP Elementos'!S616,'LP Elementos'!X616,'LP Elementos'!AC616,'LP Elementos'!AH616,'LP Elementos'!AM616,'LP Elementos'!AR616,'LP Elementos'!AW616,'LP Elementos'!BB616,'LP Elementos'!BG616,'LP Elementos'!BL616,'LP Elementos'!BQ616,'LP Elementos'!BV616,'LP Elementos'!CA616,'LP Elementos'!CF616,'LP Elementos'!CK616,'LP Elementos'!CP616,'LP Elementos'!CU616,'LP Elementos'!CZ616)," ")</f>
        <v>6957.5730000000003</v>
      </c>
      <c r="G616" s="341">
        <f>IFERROR(GEOMEAN('LP Elementos'!F616,'LP Elementos'!I616,'LP Elementos'!N616,'LP Elementos'!S616,'LP Elementos'!X616,'LP Elementos'!AC616,'LP Elementos'!AH616,'LP Elementos'!AM616,'LP Elementos'!AR616,'LP Elementos'!AW616,'LP Elementos'!BB616,'LP Elementos'!BG616,'LP Elementos'!BL616,'LP Elementos'!BQ616,'LP Elementos'!BV616,'LP Elementos'!CA616,'LP Elementos'!CF616,'LP Elementos'!CK616,'LP Elementos'!CP616,'LP Elementos'!CU616,'LP Elementos'!CZ616)," ")</f>
        <v>6709.7029056434385</v>
      </c>
      <c r="H616" s="341">
        <f t="shared" si="48"/>
        <v>886.70737608561797</v>
      </c>
      <c r="I616" s="342">
        <f t="shared" si="49"/>
        <v>0.12744492599439747</v>
      </c>
      <c r="J616" s="341">
        <f t="shared" si="51"/>
        <v>6957.5730000000003</v>
      </c>
      <c r="K616" s="326" t="str">
        <f t="shared" si="50"/>
        <v>Promedio</v>
      </c>
      <c r="L616" s="326">
        <f>IFERROR(COUNTA('LP Elementos'!F616,'LP Elementos'!I616,'LP Elementos'!N616,'LP Elementos'!S616,'LP Elementos'!X616,'LP Elementos'!AC616,'LP Elementos'!AH616,'LP Elementos'!AM616,'LP Elementos'!AR616,'LP Elementos'!AX616,'LP Elementos'!BB616,'LP Elementos'!BG616,'LP Elementos'!BL616,'LP Elementos'!BQ616,'LP Elementos'!BV616,'LP Elementos'!CA616,'LP Elementos'!CF616,'LP Elementos'!CK616,'LP Elementos'!CP616,'LP Elementos'!CU616,'LP Elementos'!CZ616)," ")</f>
        <v>2</v>
      </c>
    </row>
    <row r="617" spans="2:12" x14ac:dyDescent="0.25">
      <c r="B617" s="411">
        <v>615</v>
      </c>
      <c r="C617" s="415" t="s">
        <v>4684</v>
      </c>
      <c r="D617" s="408">
        <f>IFERROR(MIN('LP Elementos'!F617,'LP Elementos'!I617,'LP Elementos'!N617,'LP Elementos'!S617,'LP Elementos'!X617,'LP Elementos'!AC617,'LP Elementos'!AH617,'LP Elementos'!AM617,'LP Elementos'!AR617,'LP Elementos'!AW617,'LP Elementos'!BB617,'LP Elementos'!BG617,'LP Elementos'!BL617,'LP Elementos'!BQ617,'LP Elementos'!BV617,'LP Elementos'!CA617,'LP Elementos'!CF617,'LP Elementos'!CK617,'LP Elementos'!CP617,'LP Elementos'!CU617,'LP Elementos'!CZ617)," ")</f>
        <v>59500</v>
      </c>
      <c r="E617" s="341">
        <f>IFERROR(AVERAGE('LP Elementos'!F617,'LP Elementos'!I617,'LP Elementos'!N617,'LP Elementos'!S617,'LP Elementos'!X617,'LP Elementos'!AC617,'LP Elementos'!AH617,'LP Elementos'!AM617,'LP Elementos'!AR617,'LP Elementos'!AW617,'LP Elementos'!BB617,'LP Elementos'!BG617,'LP Elementos'!BL617,'LP Elementos'!BQ617,'LP Elementos'!BV617,'LP Elementos'!CA617,'LP Elementos'!CF617,'LP Elementos'!CK617,'LP Elementos'!CP617,'LP Elementos'!CU617,'LP Elementos'!CZ617)," ")</f>
        <v>64314.145000000004</v>
      </c>
      <c r="F617" s="341">
        <f>IFERROR(MEDIAN('LP Elementos'!F617,'LP Elementos'!I617,'LP Elementos'!N617,'LP Elementos'!S617,'LP Elementos'!X617,'LP Elementos'!AC617,'LP Elementos'!AH617,'LP Elementos'!AM617,'LP Elementos'!AR617,'LP Elementos'!AW617,'LP Elementos'!BB617,'LP Elementos'!BG617,'LP Elementos'!BL617,'LP Elementos'!BQ617,'LP Elementos'!BV617,'LP Elementos'!CA617,'LP Elementos'!CF617,'LP Elementos'!CK617,'LP Elementos'!CP617,'LP Elementos'!CU617,'LP Elementos'!CZ617)," ")</f>
        <v>64314.145000000004</v>
      </c>
      <c r="G617" s="341">
        <f>IFERROR(GEOMEAN('LP Elementos'!F617,'LP Elementos'!I617,'LP Elementos'!N617,'LP Elementos'!S617,'LP Elementos'!X617,'LP Elementos'!AC617,'LP Elementos'!AH617,'LP Elementos'!AM617,'LP Elementos'!AR617,'LP Elementos'!AW617,'LP Elementos'!BB617,'LP Elementos'!BG617,'LP Elementos'!BL617,'LP Elementos'!BQ617,'LP Elementos'!BV617,'LP Elementos'!CA617,'LP Elementos'!CF617,'LP Elementos'!CK617,'LP Elementos'!CP617,'LP Elementos'!CU617,'LP Elementos'!CZ617)," ")</f>
        <v>64133.713871878652</v>
      </c>
      <c r="H617" s="341">
        <f t="shared" si="48"/>
        <v>2378.5219358613067</v>
      </c>
      <c r="I617" s="342">
        <f t="shared" si="49"/>
        <v>3.6982874231808675E-2</v>
      </c>
      <c r="J617" s="341">
        <f t="shared" si="51"/>
        <v>64314.145000000004</v>
      </c>
      <c r="K617" s="326" t="str">
        <f t="shared" si="50"/>
        <v>Promedio</v>
      </c>
      <c r="L617" s="326">
        <f>IFERROR(COUNTA('LP Elementos'!F617,'LP Elementos'!I617,'LP Elementos'!N617,'LP Elementos'!S617,'LP Elementos'!X617,'LP Elementos'!AC617,'LP Elementos'!AH617,'LP Elementos'!AM617,'LP Elementos'!AR617,'LP Elementos'!AX617,'LP Elementos'!BB617,'LP Elementos'!BG617,'LP Elementos'!BL617,'LP Elementos'!BQ617,'LP Elementos'!BV617,'LP Elementos'!CA617,'LP Elementos'!CF617,'LP Elementos'!CK617,'LP Elementos'!CP617,'LP Elementos'!CU617,'LP Elementos'!CZ617)," ")</f>
        <v>2</v>
      </c>
    </row>
    <row r="618" spans="2:12" ht="27" x14ac:dyDescent="0.25">
      <c r="B618" s="411">
        <v>616</v>
      </c>
      <c r="C618" s="409" t="s">
        <v>4687</v>
      </c>
      <c r="D618" s="408">
        <f>IFERROR(MIN('LP Elementos'!F618,'LP Elementos'!I618,'LP Elementos'!N618,'LP Elementos'!S618,'LP Elementos'!X618,'LP Elementos'!AC618,'LP Elementos'!AH618,'LP Elementos'!AM618,'LP Elementos'!AR618,'LP Elementos'!AW618,'LP Elementos'!BB618,'LP Elementos'!BG618,'LP Elementos'!BL618,'LP Elementos'!BQ618,'LP Elementos'!BV618,'LP Elementos'!CA618,'LP Elementos'!CF618,'LP Elementos'!CK618,'LP Elementos'!CP618,'LP Elementos'!CU618,'LP Elementos'!CZ618)," ")</f>
        <v>10353235.620000001</v>
      </c>
      <c r="E618" s="341">
        <f>IFERROR(AVERAGE('LP Elementos'!F618,'LP Elementos'!I618,'LP Elementos'!N618,'LP Elementos'!S618,'LP Elementos'!X618,'LP Elementos'!AC618,'LP Elementos'!AH618,'LP Elementos'!AM618,'LP Elementos'!AR618,'LP Elementos'!AW618,'LP Elementos'!BB618,'LP Elementos'!BG618,'LP Elementos'!BL618,'LP Elementos'!BQ618,'LP Elementos'!BV618,'LP Elementos'!CA618,'LP Elementos'!CF618,'LP Elementos'!CK618,'LP Elementos'!CP618,'LP Elementos'!CU618,'LP Elementos'!CZ618)," ")</f>
        <v>10353235.620000001</v>
      </c>
      <c r="F618" s="341">
        <f>IFERROR(MEDIAN('LP Elementos'!F618,'LP Elementos'!I618,'LP Elementos'!N618,'LP Elementos'!S618,'LP Elementos'!X618,'LP Elementos'!AC618,'LP Elementos'!AH618,'LP Elementos'!AM618,'LP Elementos'!AR618,'LP Elementos'!AW618,'LP Elementos'!BB618,'LP Elementos'!BG618,'LP Elementos'!BL618,'LP Elementos'!BQ618,'LP Elementos'!BV618,'LP Elementos'!CA618,'LP Elementos'!CF618,'LP Elementos'!CK618,'LP Elementos'!CP618,'LP Elementos'!CU618,'LP Elementos'!CZ618)," ")</f>
        <v>10353235.620000001</v>
      </c>
      <c r="G618" s="341">
        <f>IFERROR(GEOMEAN('LP Elementos'!F618,'LP Elementos'!I618,'LP Elementos'!N618,'LP Elementos'!S618,'LP Elementos'!X618,'LP Elementos'!AC618,'LP Elementos'!AH618,'LP Elementos'!AM618,'LP Elementos'!AR618,'LP Elementos'!AW618,'LP Elementos'!BB618,'LP Elementos'!BG618,'LP Elementos'!BL618,'LP Elementos'!BQ618,'LP Elementos'!BV618,'LP Elementos'!CA618,'LP Elementos'!CF618,'LP Elementos'!CK618,'LP Elementos'!CP618,'LP Elementos'!CU618,'LP Elementos'!CZ618)," ")</f>
        <v>10353235.620000001</v>
      </c>
      <c r="H618" s="341">
        <f t="shared" si="48"/>
        <v>0</v>
      </c>
      <c r="I618" s="342">
        <f t="shared" si="49"/>
        <v>0</v>
      </c>
      <c r="J618" s="341">
        <f t="shared" si="51"/>
        <v>10353235.620000001</v>
      </c>
      <c r="K618" s="326" t="str">
        <f t="shared" si="50"/>
        <v>Menor Valor</v>
      </c>
      <c r="L618" s="326">
        <f>IFERROR(COUNTA('LP Elementos'!F618,'LP Elementos'!I618,'LP Elementos'!N618,'LP Elementos'!S618,'LP Elementos'!X618,'LP Elementos'!AC618,'LP Elementos'!AH618,'LP Elementos'!AM618,'LP Elementos'!AR618,'LP Elementos'!AX618,'LP Elementos'!BB618,'LP Elementos'!BG618,'LP Elementos'!BL618,'LP Elementos'!BQ618,'LP Elementos'!BV618,'LP Elementos'!CA618,'LP Elementos'!CF618,'LP Elementos'!CK618,'LP Elementos'!CP618,'LP Elementos'!CU618,'LP Elementos'!CZ618)," ")</f>
        <v>1</v>
      </c>
    </row>
    <row r="619" spans="2:12" ht="54" x14ac:dyDescent="0.25">
      <c r="B619" s="411">
        <v>617</v>
      </c>
      <c r="C619" s="409" t="s">
        <v>4689</v>
      </c>
      <c r="D619" s="408">
        <f>IFERROR(MIN('LP Elementos'!F619,'LP Elementos'!I619,'LP Elementos'!N619,'LP Elementos'!S619,'LP Elementos'!X619,'LP Elementos'!AC619,'LP Elementos'!AH619,'LP Elementos'!AM619,'LP Elementos'!AR619,'LP Elementos'!AW619,'LP Elementos'!BB619,'LP Elementos'!BG619,'LP Elementos'!BL619,'LP Elementos'!BQ619,'LP Elementos'!BV619,'LP Elementos'!CA619,'LP Elementos'!CF619,'LP Elementos'!CK619,'LP Elementos'!CP619,'LP Elementos'!CU619,'LP Elementos'!CZ619)," ")</f>
        <v>1097266.8700000001</v>
      </c>
      <c r="E619" s="341">
        <f>IFERROR(AVERAGE('LP Elementos'!F619,'LP Elementos'!I619,'LP Elementos'!N619,'LP Elementos'!S619,'LP Elementos'!X619,'LP Elementos'!AC619,'LP Elementos'!AH619,'LP Elementos'!AM619,'LP Elementos'!AR619,'LP Elementos'!AW619,'LP Elementos'!BB619,'LP Elementos'!BG619,'LP Elementos'!BL619,'LP Elementos'!BQ619,'LP Elementos'!BV619,'LP Elementos'!CA619,'LP Elementos'!CF619,'LP Elementos'!CK619,'LP Elementos'!CP619,'LP Elementos'!CU619,'LP Elementos'!CZ619)," ")</f>
        <v>1097266.8700000001</v>
      </c>
      <c r="F619" s="341">
        <f>IFERROR(MEDIAN('LP Elementos'!F619,'LP Elementos'!I619,'LP Elementos'!N619,'LP Elementos'!S619,'LP Elementos'!X619,'LP Elementos'!AC619,'LP Elementos'!AH619,'LP Elementos'!AM619,'LP Elementos'!AR619,'LP Elementos'!AW619,'LP Elementos'!BB619,'LP Elementos'!BG619,'LP Elementos'!BL619,'LP Elementos'!BQ619,'LP Elementos'!BV619,'LP Elementos'!CA619,'LP Elementos'!CF619,'LP Elementos'!CK619,'LP Elementos'!CP619,'LP Elementos'!CU619,'LP Elementos'!CZ619)," ")</f>
        <v>1097266.8700000001</v>
      </c>
      <c r="G619" s="341">
        <f>IFERROR(GEOMEAN('LP Elementos'!F619,'LP Elementos'!I619,'LP Elementos'!N619,'LP Elementos'!S619,'LP Elementos'!X619,'LP Elementos'!AC619,'LP Elementos'!AH619,'LP Elementos'!AM619,'LP Elementos'!AR619,'LP Elementos'!AW619,'LP Elementos'!BB619,'LP Elementos'!BG619,'LP Elementos'!BL619,'LP Elementos'!BQ619,'LP Elementos'!BV619,'LP Elementos'!CA619,'LP Elementos'!CF619,'LP Elementos'!CK619,'LP Elementos'!CP619,'LP Elementos'!CU619,'LP Elementos'!CZ619)," ")</f>
        <v>1097266.8700000001</v>
      </c>
      <c r="H619" s="341">
        <f t="shared" si="48"/>
        <v>0</v>
      </c>
      <c r="I619" s="342">
        <f t="shared" si="49"/>
        <v>0</v>
      </c>
      <c r="J619" s="341">
        <f t="shared" si="51"/>
        <v>1097266.8700000001</v>
      </c>
      <c r="K619" s="326" t="str">
        <f t="shared" si="50"/>
        <v>Menor Valor</v>
      </c>
      <c r="L619" s="326">
        <f>IFERROR(COUNTA('LP Elementos'!F619,'LP Elementos'!I619,'LP Elementos'!N619,'LP Elementos'!S619,'LP Elementos'!X619,'LP Elementos'!AC619,'LP Elementos'!AH619,'LP Elementos'!AM619,'LP Elementos'!AR619,'LP Elementos'!AX619,'LP Elementos'!BB619,'LP Elementos'!BG619,'LP Elementos'!BL619,'LP Elementos'!BQ619,'LP Elementos'!BV619,'LP Elementos'!CA619,'LP Elementos'!CF619,'LP Elementos'!CK619,'LP Elementos'!CP619,'LP Elementos'!CU619,'LP Elementos'!CZ619)," ")</f>
        <v>1</v>
      </c>
    </row>
    <row r="620" spans="2:12" ht="40.5" x14ac:dyDescent="0.25">
      <c r="B620" s="411">
        <v>618</v>
      </c>
      <c r="C620" s="414" t="s">
        <v>4691</v>
      </c>
      <c r="D620" s="408">
        <f>IFERROR(MIN('LP Elementos'!F620,'LP Elementos'!I620,'LP Elementos'!N620,'LP Elementos'!S620,'LP Elementos'!X620,'LP Elementos'!AC620,'LP Elementos'!AH620,'LP Elementos'!AM620,'LP Elementos'!AR620,'LP Elementos'!AW620,'LP Elementos'!BB620,'LP Elementos'!BG620,'LP Elementos'!BL620,'LP Elementos'!BQ620,'LP Elementos'!BV620,'LP Elementos'!CA620,'LP Elementos'!CF620,'LP Elementos'!CK620,'LP Elementos'!CP620,'LP Elementos'!CU620,'LP Elementos'!CZ620)," ")</f>
        <v>1344805.91</v>
      </c>
      <c r="E620" s="341">
        <f>IFERROR(AVERAGE('LP Elementos'!F620,'LP Elementos'!I620,'LP Elementos'!N620,'LP Elementos'!S620,'LP Elementos'!X620,'LP Elementos'!AC620,'LP Elementos'!AH620,'LP Elementos'!AM620,'LP Elementos'!AR620,'LP Elementos'!AW620,'LP Elementos'!BB620,'LP Elementos'!BG620,'LP Elementos'!BL620,'LP Elementos'!BQ620,'LP Elementos'!BV620,'LP Elementos'!CA620,'LP Elementos'!CF620,'LP Elementos'!CK620,'LP Elementos'!CP620,'LP Elementos'!CU620,'LP Elementos'!CZ620)," ")</f>
        <v>1344805.91</v>
      </c>
      <c r="F620" s="341">
        <f>IFERROR(MEDIAN('LP Elementos'!F620,'LP Elementos'!I620,'LP Elementos'!N620,'LP Elementos'!S620,'LP Elementos'!X620,'LP Elementos'!AC620,'LP Elementos'!AH620,'LP Elementos'!AM620,'LP Elementos'!AR620,'LP Elementos'!AW620,'LP Elementos'!BB620,'LP Elementos'!BG620,'LP Elementos'!BL620,'LP Elementos'!BQ620,'LP Elementos'!BV620,'LP Elementos'!CA620,'LP Elementos'!CF620,'LP Elementos'!CK620,'LP Elementos'!CP620,'LP Elementos'!CU620,'LP Elementos'!CZ620)," ")</f>
        <v>1344805.91</v>
      </c>
      <c r="G620" s="341">
        <f>IFERROR(GEOMEAN('LP Elementos'!F620,'LP Elementos'!I620,'LP Elementos'!N620,'LP Elementos'!S620,'LP Elementos'!X620,'LP Elementos'!AC620,'LP Elementos'!AH620,'LP Elementos'!AM620,'LP Elementos'!AR620,'LP Elementos'!AW620,'LP Elementos'!BB620,'LP Elementos'!BG620,'LP Elementos'!BL620,'LP Elementos'!BQ620,'LP Elementos'!BV620,'LP Elementos'!CA620,'LP Elementos'!CF620,'LP Elementos'!CK620,'LP Elementos'!CP620,'LP Elementos'!CU620,'LP Elementos'!CZ620)," ")</f>
        <v>1344805.91</v>
      </c>
      <c r="H620" s="341">
        <f t="shared" si="48"/>
        <v>0</v>
      </c>
      <c r="I620" s="342">
        <f t="shared" si="49"/>
        <v>0</v>
      </c>
      <c r="J620" s="341">
        <f t="shared" si="51"/>
        <v>1344805.91</v>
      </c>
      <c r="K620" s="326" t="str">
        <f t="shared" si="50"/>
        <v>Menor Valor</v>
      </c>
      <c r="L620" s="326">
        <f>IFERROR(COUNTA('LP Elementos'!F620,'LP Elementos'!I620,'LP Elementos'!N620,'LP Elementos'!S620,'LP Elementos'!X620,'LP Elementos'!AC620,'LP Elementos'!AH620,'LP Elementos'!AM620,'LP Elementos'!AR620,'LP Elementos'!AX620,'LP Elementos'!BB620,'LP Elementos'!BG620,'LP Elementos'!BL620,'LP Elementos'!BQ620,'LP Elementos'!BV620,'LP Elementos'!CA620,'LP Elementos'!CF620,'LP Elementos'!CK620,'LP Elementos'!CP620,'LP Elementos'!CU620,'LP Elementos'!CZ620)," ")</f>
        <v>1</v>
      </c>
    </row>
    <row r="621" spans="2:12" ht="27" x14ac:dyDescent="0.25">
      <c r="B621" s="411">
        <v>619</v>
      </c>
      <c r="C621" s="414" t="s">
        <v>4694</v>
      </c>
      <c r="D621" s="408">
        <f>IFERROR(MIN('LP Elementos'!F621,'LP Elementos'!I621,'LP Elementos'!N621,'LP Elementos'!S621,'LP Elementos'!X621,'LP Elementos'!AC621,'LP Elementos'!AH621,'LP Elementos'!AM621,'LP Elementos'!AR621,'LP Elementos'!AW621,'LP Elementos'!BB621,'LP Elementos'!BG621,'LP Elementos'!BL621,'LP Elementos'!BQ621,'LP Elementos'!BV621,'LP Elementos'!CA621,'LP Elementos'!CF621,'LP Elementos'!CK621,'LP Elementos'!CP621,'LP Elementos'!CU621,'LP Elementos'!CZ621)," ")</f>
        <v>71400</v>
      </c>
      <c r="E621" s="341">
        <f>IFERROR(AVERAGE('LP Elementos'!F621,'LP Elementos'!I621,'LP Elementos'!N621,'LP Elementos'!S621,'LP Elementos'!X621,'LP Elementos'!AC621,'LP Elementos'!AH621,'LP Elementos'!AM621,'LP Elementos'!AR621,'LP Elementos'!AW621,'LP Elementos'!BB621,'LP Elementos'!BG621,'LP Elementos'!BL621,'LP Elementos'!BQ621,'LP Elementos'!BV621,'LP Elementos'!CA621,'LP Elementos'!CF621,'LP Elementos'!CK621,'LP Elementos'!CP621,'LP Elementos'!CU621,'LP Elementos'!CZ621)," ")</f>
        <v>71400</v>
      </c>
      <c r="F621" s="341">
        <f>IFERROR(MEDIAN('LP Elementos'!F621,'LP Elementos'!I621,'LP Elementos'!N621,'LP Elementos'!S621,'LP Elementos'!X621,'LP Elementos'!AC621,'LP Elementos'!AH621,'LP Elementos'!AM621,'LP Elementos'!AR621,'LP Elementos'!AW621,'LP Elementos'!BB621,'LP Elementos'!BG621,'LP Elementos'!BL621,'LP Elementos'!BQ621,'LP Elementos'!BV621,'LP Elementos'!CA621,'LP Elementos'!CF621,'LP Elementos'!CK621,'LP Elementos'!CP621,'LP Elementos'!CU621,'LP Elementos'!CZ621)," ")</f>
        <v>71400</v>
      </c>
      <c r="G621" s="341">
        <f>IFERROR(GEOMEAN('LP Elementos'!F621,'LP Elementos'!I621,'LP Elementos'!N621,'LP Elementos'!S621,'LP Elementos'!X621,'LP Elementos'!AC621,'LP Elementos'!AH621,'LP Elementos'!AM621,'LP Elementos'!AR621,'LP Elementos'!AW621,'LP Elementos'!BB621,'LP Elementos'!BG621,'LP Elementos'!BL621,'LP Elementos'!BQ621,'LP Elementos'!BV621,'LP Elementos'!CA621,'LP Elementos'!CF621,'LP Elementos'!CK621,'LP Elementos'!CP621,'LP Elementos'!CU621,'LP Elementos'!CZ621)," ")</f>
        <v>71400</v>
      </c>
      <c r="H621" s="341">
        <f t="shared" ref="H621:H634" si="52">STDEVA(D621,E621,F621,G621)</f>
        <v>0</v>
      </c>
      <c r="I621" s="342">
        <f t="shared" ref="I621:I634" si="53">IFERROR(H621/E621," ")</f>
        <v>0</v>
      </c>
      <c r="J621" s="341">
        <f t="shared" ref="J621:J634" si="54">IF(I621&lt;=10%,F621,IF(AND(I621&gt;10%,I621&lt;=20%),E621,IF(AND(I621&gt;20%,I621&lt;=30%),G621,IF(I621&gt;30%,D621))))</f>
        <v>71400</v>
      </c>
      <c r="K621" s="326" t="str">
        <f t="shared" ref="K621:K634" si="55">IF(J621=D621,"Menor Valor",IF(J621=E621,"Promedio",IF(J621=F621,"Mediana",IF(J621=G621,"Media Geometrica"," "))))</f>
        <v>Menor Valor</v>
      </c>
      <c r="L621" s="326">
        <f>IFERROR(COUNTA('LP Elementos'!F621,'LP Elementos'!I621,'LP Elementos'!N621,'LP Elementos'!S621,'LP Elementos'!X621,'LP Elementos'!AC621,'LP Elementos'!AH621,'LP Elementos'!AM621,'LP Elementos'!AR621,'LP Elementos'!AX621,'LP Elementos'!BB621,'LP Elementos'!BG621,'LP Elementos'!BL621,'LP Elementos'!BQ621,'LP Elementos'!BV621,'LP Elementos'!CA621,'LP Elementos'!CF621,'LP Elementos'!CK621,'LP Elementos'!CP621,'LP Elementos'!CU621,'LP Elementos'!CZ621)," ")</f>
        <v>1</v>
      </c>
    </row>
    <row r="622" spans="2:12" ht="27" x14ac:dyDescent="0.25">
      <c r="B622" s="411">
        <v>620</v>
      </c>
      <c r="C622" s="414" t="s">
        <v>4697</v>
      </c>
      <c r="D622" s="408">
        <f>IFERROR(MIN('LP Elementos'!F622,'LP Elementos'!I622,'LP Elementos'!N622,'LP Elementos'!S622,'LP Elementos'!X622,'LP Elementos'!AC622,'LP Elementos'!AH622,'LP Elementos'!AM622,'LP Elementos'!AR622,'LP Elementos'!AW622,'LP Elementos'!BB622,'LP Elementos'!BG622,'LP Elementos'!BL622,'LP Elementos'!BQ622,'LP Elementos'!BV622,'LP Elementos'!CA622,'LP Elementos'!CF622,'LP Elementos'!CK622,'LP Elementos'!CP622,'LP Elementos'!CU622,'LP Elementos'!CZ622)," ")</f>
        <v>71400</v>
      </c>
      <c r="E622" s="341">
        <f>IFERROR(AVERAGE('LP Elementos'!F622,'LP Elementos'!I622,'LP Elementos'!N622,'LP Elementos'!S622,'LP Elementos'!X622,'LP Elementos'!AC622,'LP Elementos'!AH622,'LP Elementos'!AM622,'LP Elementos'!AR622,'LP Elementos'!AW622,'LP Elementos'!BB622,'LP Elementos'!BG622,'LP Elementos'!BL622,'LP Elementos'!BQ622,'LP Elementos'!BV622,'LP Elementos'!CA622,'LP Elementos'!CF622,'LP Elementos'!CK622,'LP Elementos'!CP622,'LP Elementos'!CU622,'LP Elementos'!CZ622)," ")</f>
        <v>71400</v>
      </c>
      <c r="F622" s="341">
        <f>IFERROR(MEDIAN('LP Elementos'!F622,'LP Elementos'!I622,'LP Elementos'!N622,'LP Elementos'!S622,'LP Elementos'!X622,'LP Elementos'!AC622,'LP Elementos'!AH622,'LP Elementos'!AM622,'LP Elementos'!AR622,'LP Elementos'!AW622,'LP Elementos'!BB622,'LP Elementos'!BG622,'LP Elementos'!BL622,'LP Elementos'!BQ622,'LP Elementos'!BV622,'LP Elementos'!CA622,'LP Elementos'!CF622,'LP Elementos'!CK622,'LP Elementos'!CP622,'LP Elementos'!CU622,'LP Elementos'!CZ622)," ")</f>
        <v>71400</v>
      </c>
      <c r="G622" s="341">
        <f>IFERROR(GEOMEAN('LP Elementos'!F622,'LP Elementos'!I622,'LP Elementos'!N622,'LP Elementos'!S622,'LP Elementos'!X622,'LP Elementos'!AC622,'LP Elementos'!AH622,'LP Elementos'!AM622,'LP Elementos'!AR622,'LP Elementos'!AW622,'LP Elementos'!BB622,'LP Elementos'!BG622,'LP Elementos'!BL622,'LP Elementos'!BQ622,'LP Elementos'!BV622,'LP Elementos'!CA622,'LP Elementos'!CF622,'LP Elementos'!CK622,'LP Elementos'!CP622,'LP Elementos'!CU622,'LP Elementos'!CZ622)," ")</f>
        <v>71400</v>
      </c>
      <c r="H622" s="341">
        <f t="shared" si="52"/>
        <v>0</v>
      </c>
      <c r="I622" s="342">
        <f t="shared" si="53"/>
        <v>0</v>
      </c>
      <c r="J622" s="341">
        <f t="shared" si="54"/>
        <v>71400</v>
      </c>
      <c r="K622" s="326" t="str">
        <f t="shared" si="55"/>
        <v>Menor Valor</v>
      </c>
      <c r="L622" s="326">
        <f>IFERROR(COUNTA('LP Elementos'!F622,'LP Elementos'!I622,'LP Elementos'!N622,'LP Elementos'!S622,'LP Elementos'!X622,'LP Elementos'!AC622,'LP Elementos'!AH622,'LP Elementos'!AM622,'LP Elementos'!AR622,'LP Elementos'!AX622,'LP Elementos'!BB622,'LP Elementos'!BG622,'LP Elementos'!BL622,'LP Elementos'!BQ622,'LP Elementos'!BV622,'LP Elementos'!CA622,'LP Elementos'!CF622,'LP Elementos'!CK622,'LP Elementos'!CP622,'LP Elementos'!CU622,'LP Elementos'!CZ622)," ")</f>
        <v>1</v>
      </c>
    </row>
    <row r="623" spans="2:12" ht="27" x14ac:dyDescent="0.25">
      <c r="B623" s="411">
        <v>621</v>
      </c>
      <c r="C623" s="414" t="s">
        <v>4699</v>
      </c>
      <c r="D623" s="408">
        <f>IFERROR(MIN('LP Elementos'!F623,'LP Elementos'!I623,'LP Elementos'!N623,'LP Elementos'!S623,'LP Elementos'!X623,'LP Elementos'!AC623,'LP Elementos'!AH623,'LP Elementos'!AM623,'LP Elementos'!AR623,'LP Elementos'!AW623,'LP Elementos'!BB623,'LP Elementos'!BG623,'LP Elementos'!BL623,'LP Elementos'!BQ623,'LP Elementos'!BV623,'LP Elementos'!CA623,'LP Elementos'!CF623,'LP Elementos'!CK623,'LP Elementos'!CP623,'LP Elementos'!CU623,'LP Elementos'!CZ623)," ")</f>
        <v>71400</v>
      </c>
      <c r="E623" s="341">
        <f>IFERROR(AVERAGE('LP Elementos'!F623,'LP Elementos'!I623,'LP Elementos'!N623,'LP Elementos'!S623,'LP Elementos'!X623,'LP Elementos'!AC623,'LP Elementos'!AH623,'LP Elementos'!AM623,'LP Elementos'!AR623,'LP Elementos'!AW623,'LP Elementos'!BB623,'LP Elementos'!BG623,'LP Elementos'!BL623,'LP Elementos'!BQ623,'LP Elementos'!BV623,'LP Elementos'!CA623,'LP Elementos'!CF623,'LP Elementos'!CK623,'LP Elementos'!CP623,'LP Elementos'!CU623,'LP Elementos'!CZ623)," ")</f>
        <v>71400</v>
      </c>
      <c r="F623" s="341">
        <f>IFERROR(MEDIAN('LP Elementos'!F623,'LP Elementos'!I623,'LP Elementos'!N623,'LP Elementos'!S623,'LP Elementos'!X623,'LP Elementos'!AC623,'LP Elementos'!AH623,'LP Elementos'!AM623,'LP Elementos'!AR623,'LP Elementos'!AW623,'LP Elementos'!BB623,'LP Elementos'!BG623,'LP Elementos'!BL623,'LP Elementos'!BQ623,'LP Elementos'!BV623,'LP Elementos'!CA623,'LP Elementos'!CF623,'LP Elementos'!CK623,'LP Elementos'!CP623,'LP Elementos'!CU623,'LP Elementos'!CZ623)," ")</f>
        <v>71400</v>
      </c>
      <c r="G623" s="341">
        <f>IFERROR(GEOMEAN('LP Elementos'!F623,'LP Elementos'!I623,'LP Elementos'!N623,'LP Elementos'!S623,'LP Elementos'!X623,'LP Elementos'!AC623,'LP Elementos'!AH623,'LP Elementos'!AM623,'LP Elementos'!AR623,'LP Elementos'!AW623,'LP Elementos'!BB623,'LP Elementos'!BG623,'LP Elementos'!BL623,'LP Elementos'!BQ623,'LP Elementos'!BV623,'LP Elementos'!CA623,'LP Elementos'!CF623,'LP Elementos'!CK623,'LP Elementos'!CP623,'LP Elementos'!CU623,'LP Elementos'!CZ623)," ")</f>
        <v>71400</v>
      </c>
      <c r="H623" s="341">
        <f t="shared" si="52"/>
        <v>0</v>
      </c>
      <c r="I623" s="342">
        <f t="shared" si="53"/>
        <v>0</v>
      </c>
      <c r="J623" s="341">
        <f t="shared" si="54"/>
        <v>71400</v>
      </c>
      <c r="K623" s="326" t="str">
        <f t="shared" si="55"/>
        <v>Menor Valor</v>
      </c>
      <c r="L623" s="326">
        <f>IFERROR(COUNTA('LP Elementos'!F623,'LP Elementos'!I623,'LP Elementos'!N623,'LP Elementos'!S623,'LP Elementos'!X623,'LP Elementos'!AC623,'LP Elementos'!AH623,'LP Elementos'!AM623,'LP Elementos'!AR623,'LP Elementos'!AX623,'LP Elementos'!BB623,'LP Elementos'!BG623,'LP Elementos'!BL623,'LP Elementos'!BQ623,'LP Elementos'!BV623,'LP Elementos'!CA623,'LP Elementos'!CF623,'LP Elementos'!CK623,'LP Elementos'!CP623,'LP Elementos'!CU623,'LP Elementos'!CZ623)," ")</f>
        <v>1</v>
      </c>
    </row>
    <row r="624" spans="2:12" ht="27" x14ac:dyDescent="0.25">
      <c r="B624" s="411">
        <v>622</v>
      </c>
      <c r="C624" s="414" t="s">
        <v>4701</v>
      </c>
      <c r="D624" s="408">
        <f>IFERROR(MIN('LP Elementos'!F624,'LP Elementos'!I624,'LP Elementos'!N624,'LP Elementos'!S624,'LP Elementos'!X624,'LP Elementos'!AC624,'LP Elementos'!AH624,'LP Elementos'!AM624,'LP Elementos'!AR624,'LP Elementos'!AW624,'LP Elementos'!BB624,'LP Elementos'!BG624,'LP Elementos'!BL624,'LP Elementos'!BQ624,'LP Elementos'!BV624,'LP Elementos'!CA624,'LP Elementos'!CF624,'LP Elementos'!CK624,'LP Elementos'!CP624,'LP Elementos'!CU624,'LP Elementos'!CZ624)," ")</f>
        <v>71400</v>
      </c>
      <c r="E624" s="341">
        <f>IFERROR(AVERAGE('LP Elementos'!F624,'LP Elementos'!I624,'LP Elementos'!N624,'LP Elementos'!S624,'LP Elementos'!X624,'LP Elementos'!AC624,'LP Elementos'!AH624,'LP Elementos'!AM624,'LP Elementos'!AR624,'LP Elementos'!AW624,'LP Elementos'!BB624,'LP Elementos'!BG624,'LP Elementos'!BL624,'LP Elementos'!BQ624,'LP Elementos'!BV624,'LP Elementos'!CA624,'LP Elementos'!CF624,'LP Elementos'!CK624,'LP Elementos'!CP624,'LP Elementos'!CU624,'LP Elementos'!CZ624)," ")</f>
        <v>71400</v>
      </c>
      <c r="F624" s="341">
        <f>IFERROR(MEDIAN('LP Elementos'!F624,'LP Elementos'!I624,'LP Elementos'!N624,'LP Elementos'!S624,'LP Elementos'!X624,'LP Elementos'!AC624,'LP Elementos'!AH624,'LP Elementos'!AM624,'LP Elementos'!AR624,'LP Elementos'!AW624,'LP Elementos'!BB624,'LP Elementos'!BG624,'LP Elementos'!BL624,'LP Elementos'!BQ624,'LP Elementos'!BV624,'LP Elementos'!CA624,'LP Elementos'!CF624,'LP Elementos'!CK624,'LP Elementos'!CP624,'LP Elementos'!CU624,'LP Elementos'!CZ624)," ")</f>
        <v>71400</v>
      </c>
      <c r="G624" s="341">
        <f>IFERROR(GEOMEAN('LP Elementos'!F624,'LP Elementos'!I624,'LP Elementos'!N624,'LP Elementos'!S624,'LP Elementos'!X624,'LP Elementos'!AC624,'LP Elementos'!AH624,'LP Elementos'!AM624,'LP Elementos'!AR624,'LP Elementos'!AW624,'LP Elementos'!BB624,'LP Elementos'!BG624,'LP Elementos'!BL624,'LP Elementos'!BQ624,'LP Elementos'!BV624,'LP Elementos'!CA624,'LP Elementos'!CF624,'LP Elementos'!CK624,'LP Elementos'!CP624,'LP Elementos'!CU624,'LP Elementos'!CZ624)," ")</f>
        <v>71400</v>
      </c>
      <c r="H624" s="341">
        <f t="shared" si="52"/>
        <v>0</v>
      </c>
      <c r="I624" s="342">
        <f t="shared" si="53"/>
        <v>0</v>
      </c>
      <c r="J624" s="341">
        <f t="shared" si="54"/>
        <v>71400</v>
      </c>
      <c r="K624" s="326" t="str">
        <f t="shared" si="55"/>
        <v>Menor Valor</v>
      </c>
      <c r="L624" s="326">
        <f>IFERROR(COUNTA('LP Elementos'!F624,'LP Elementos'!I624,'LP Elementos'!N624,'LP Elementos'!S624,'LP Elementos'!X624,'LP Elementos'!AC624,'LP Elementos'!AH624,'LP Elementos'!AM624,'LP Elementos'!AR624,'LP Elementos'!AX624,'LP Elementos'!BB624,'LP Elementos'!BG624,'LP Elementos'!BL624,'LP Elementos'!BQ624,'LP Elementos'!BV624,'LP Elementos'!CA624,'LP Elementos'!CF624,'LP Elementos'!CK624,'LP Elementos'!CP624,'LP Elementos'!CU624,'LP Elementos'!CZ624)," ")</f>
        <v>1</v>
      </c>
    </row>
    <row r="625" spans="2:12" ht="27" x14ac:dyDescent="0.25">
      <c r="B625" s="411">
        <v>623</v>
      </c>
      <c r="C625" s="414" t="s">
        <v>4703</v>
      </c>
      <c r="D625" s="408">
        <f>IFERROR(MIN('LP Elementos'!F625,'LP Elementos'!I625,'LP Elementos'!N625,'LP Elementos'!S625,'LP Elementos'!X625,'LP Elementos'!AC625,'LP Elementos'!AH625,'LP Elementos'!AM625,'LP Elementos'!AR625,'LP Elementos'!AW625,'LP Elementos'!BB625,'LP Elementos'!BG625,'LP Elementos'!BL625,'LP Elementos'!BQ625,'LP Elementos'!BV625,'LP Elementos'!CA625,'LP Elementos'!CF625,'LP Elementos'!CK625,'LP Elementos'!CP625,'LP Elementos'!CU625,'LP Elementos'!CZ625)," ")</f>
        <v>64260</v>
      </c>
      <c r="E625" s="341">
        <f>IFERROR(AVERAGE('LP Elementos'!F625,'LP Elementos'!I625,'LP Elementos'!N625,'LP Elementos'!S625,'LP Elementos'!X625,'LP Elementos'!AC625,'LP Elementos'!AH625,'LP Elementos'!AM625,'LP Elementos'!AR625,'LP Elementos'!AW625,'LP Elementos'!BB625,'LP Elementos'!BG625,'LP Elementos'!BL625,'LP Elementos'!BQ625,'LP Elementos'!BV625,'LP Elementos'!CA625,'LP Elementos'!CF625,'LP Elementos'!CK625,'LP Elementos'!CP625,'LP Elementos'!CU625,'LP Elementos'!CZ625)," ")</f>
        <v>64260</v>
      </c>
      <c r="F625" s="341">
        <f>IFERROR(MEDIAN('LP Elementos'!F625,'LP Elementos'!I625,'LP Elementos'!N625,'LP Elementos'!S625,'LP Elementos'!X625,'LP Elementos'!AC625,'LP Elementos'!AH625,'LP Elementos'!AM625,'LP Elementos'!AR625,'LP Elementos'!AW625,'LP Elementos'!BB625,'LP Elementos'!BG625,'LP Elementos'!BL625,'LP Elementos'!BQ625,'LP Elementos'!BV625,'LP Elementos'!CA625,'LP Elementos'!CF625,'LP Elementos'!CK625,'LP Elementos'!CP625,'LP Elementos'!CU625,'LP Elementos'!CZ625)," ")</f>
        <v>64260</v>
      </c>
      <c r="G625" s="341">
        <f>IFERROR(GEOMEAN('LP Elementos'!F625,'LP Elementos'!I625,'LP Elementos'!N625,'LP Elementos'!S625,'LP Elementos'!X625,'LP Elementos'!AC625,'LP Elementos'!AH625,'LP Elementos'!AM625,'LP Elementos'!AR625,'LP Elementos'!AW625,'LP Elementos'!BB625,'LP Elementos'!BG625,'LP Elementos'!BL625,'LP Elementos'!BQ625,'LP Elementos'!BV625,'LP Elementos'!CA625,'LP Elementos'!CF625,'LP Elementos'!CK625,'LP Elementos'!CP625,'LP Elementos'!CU625,'LP Elementos'!CZ625)," ")</f>
        <v>64260</v>
      </c>
      <c r="H625" s="341">
        <f t="shared" si="52"/>
        <v>0</v>
      </c>
      <c r="I625" s="342">
        <f t="shared" si="53"/>
        <v>0</v>
      </c>
      <c r="J625" s="341">
        <f t="shared" si="54"/>
        <v>64260</v>
      </c>
      <c r="K625" s="326" t="str">
        <f t="shared" si="55"/>
        <v>Menor Valor</v>
      </c>
      <c r="L625" s="326">
        <f>IFERROR(COUNTA('LP Elementos'!F625,'LP Elementos'!I625,'LP Elementos'!N625,'LP Elementos'!S625,'LP Elementos'!X625,'LP Elementos'!AC625,'LP Elementos'!AH625,'LP Elementos'!AM625,'LP Elementos'!AR625,'LP Elementos'!AX625,'LP Elementos'!BB625,'LP Elementos'!BG625,'LP Elementos'!BL625,'LP Elementos'!BQ625,'LP Elementos'!BV625,'LP Elementos'!CA625,'LP Elementos'!CF625,'LP Elementos'!CK625,'LP Elementos'!CP625,'LP Elementos'!CU625,'LP Elementos'!CZ625)," ")</f>
        <v>1</v>
      </c>
    </row>
    <row r="626" spans="2:12" ht="27" x14ac:dyDescent="0.25">
      <c r="B626" s="411">
        <v>624</v>
      </c>
      <c r="C626" s="414" t="s">
        <v>4705</v>
      </c>
      <c r="D626" s="408">
        <f>IFERROR(MIN('LP Elementos'!F626,'LP Elementos'!I626,'LP Elementos'!N626,'LP Elementos'!S626,'LP Elementos'!X626,'LP Elementos'!AC626,'LP Elementos'!AH626,'LP Elementos'!AM626,'LP Elementos'!AR626,'LP Elementos'!AW626,'LP Elementos'!BB626,'LP Elementos'!BG626,'LP Elementos'!BL626,'LP Elementos'!BQ626,'LP Elementos'!BV626,'LP Elementos'!CA626,'LP Elementos'!CF626,'LP Elementos'!CK626,'LP Elementos'!CP626,'LP Elementos'!CU626,'LP Elementos'!CZ626)," ")</f>
        <v>95200</v>
      </c>
      <c r="E626" s="341">
        <f>IFERROR(AVERAGE('LP Elementos'!F626,'LP Elementos'!I626,'LP Elementos'!N626,'LP Elementos'!S626,'LP Elementos'!X626,'LP Elementos'!AC626,'LP Elementos'!AH626,'LP Elementos'!AM626,'LP Elementos'!AR626,'LP Elementos'!AW626,'LP Elementos'!BB626,'LP Elementos'!BG626,'LP Elementos'!BL626,'LP Elementos'!BQ626,'LP Elementos'!BV626,'LP Elementos'!CA626,'LP Elementos'!CF626,'LP Elementos'!CK626,'LP Elementos'!CP626,'LP Elementos'!CU626,'LP Elementos'!CZ626)," ")</f>
        <v>95200</v>
      </c>
      <c r="F626" s="341">
        <f>IFERROR(MEDIAN('LP Elementos'!F626,'LP Elementos'!I626,'LP Elementos'!N626,'LP Elementos'!S626,'LP Elementos'!X626,'LP Elementos'!AC626,'LP Elementos'!AH626,'LP Elementos'!AM626,'LP Elementos'!AR626,'LP Elementos'!AW626,'LP Elementos'!BB626,'LP Elementos'!BG626,'LP Elementos'!BL626,'LP Elementos'!BQ626,'LP Elementos'!BV626,'LP Elementos'!CA626,'LP Elementos'!CF626,'LP Elementos'!CK626,'LP Elementos'!CP626,'LP Elementos'!CU626,'LP Elementos'!CZ626)," ")</f>
        <v>95200</v>
      </c>
      <c r="G626" s="341">
        <f>IFERROR(GEOMEAN('LP Elementos'!F626,'LP Elementos'!I626,'LP Elementos'!N626,'LP Elementos'!S626,'LP Elementos'!X626,'LP Elementos'!AC626,'LP Elementos'!AH626,'LP Elementos'!AM626,'LP Elementos'!AR626,'LP Elementos'!AW626,'LP Elementos'!BB626,'LP Elementos'!BG626,'LP Elementos'!BL626,'LP Elementos'!BQ626,'LP Elementos'!BV626,'LP Elementos'!CA626,'LP Elementos'!CF626,'LP Elementos'!CK626,'LP Elementos'!CP626,'LP Elementos'!CU626,'LP Elementos'!CZ626)," ")</f>
        <v>95200</v>
      </c>
      <c r="H626" s="341">
        <f t="shared" si="52"/>
        <v>0</v>
      </c>
      <c r="I626" s="342">
        <f t="shared" si="53"/>
        <v>0</v>
      </c>
      <c r="J626" s="341">
        <f t="shared" si="54"/>
        <v>95200</v>
      </c>
      <c r="K626" s="326" t="str">
        <f t="shared" si="55"/>
        <v>Menor Valor</v>
      </c>
      <c r="L626" s="326">
        <f>IFERROR(COUNTA('LP Elementos'!F626,'LP Elementos'!I626,'LP Elementos'!N626,'LP Elementos'!S626,'LP Elementos'!X626,'LP Elementos'!AC626,'LP Elementos'!AH626,'LP Elementos'!AM626,'LP Elementos'!AR626,'LP Elementos'!AX626,'LP Elementos'!BB626,'LP Elementos'!BG626,'LP Elementos'!BL626,'LP Elementos'!BQ626,'LP Elementos'!BV626,'LP Elementos'!CA626,'LP Elementos'!CF626,'LP Elementos'!CK626,'LP Elementos'!CP626,'LP Elementos'!CU626,'LP Elementos'!CZ626)," ")</f>
        <v>1</v>
      </c>
    </row>
    <row r="627" spans="2:12" ht="27" x14ac:dyDescent="0.25">
      <c r="B627" s="411">
        <v>625</v>
      </c>
      <c r="C627" s="414" t="s">
        <v>4707</v>
      </c>
      <c r="D627" s="408">
        <f>IFERROR(MIN('LP Elementos'!F627,'LP Elementos'!I627,'LP Elementos'!N627,'LP Elementos'!S627,'LP Elementos'!X627,'LP Elementos'!AC627,'LP Elementos'!AH627,'LP Elementos'!AM627,'LP Elementos'!AR627,'LP Elementos'!AW627,'LP Elementos'!BB627,'LP Elementos'!BG627,'LP Elementos'!BL627,'LP Elementos'!BQ627,'LP Elementos'!BV627,'LP Elementos'!CA627,'LP Elementos'!CF627,'LP Elementos'!CK627,'LP Elementos'!CP627,'LP Elementos'!CU627,'LP Elementos'!CZ627)," ")</f>
        <v>123760</v>
      </c>
      <c r="E627" s="341">
        <f>IFERROR(AVERAGE('LP Elementos'!F627,'LP Elementos'!I627,'LP Elementos'!N627,'LP Elementos'!S627,'LP Elementos'!X627,'LP Elementos'!AC627,'LP Elementos'!AH627,'LP Elementos'!AM627,'LP Elementos'!AR627,'LP Elementos'!AW627,'LP Elementos'!BB627,'LP Elementos'!BG627,'LP Elementos'!BL627,'LP Elementos'!BQ627,'LP Elementos'!BV627,'LP Elementos'!CA627,'LP Elementos'!CF627,'LP Elementos'!CK627,'LP Elementos'!CP627,'LP Elementos'!CU627,'LP Elementos'!CZ627)," ")</f>
        <v>123760</v>
      </c>
      <c r="F627" s="341">
        <f>IFERROR(MEDIAN('LP Elementos'!F627,'LP Elementos'!I627,'LP Elementos'!N627,'LP Elementos'!S627,'LP Elementos'!X627,'LP Elementos'!AC627,'LP Elementos'!AH627,'LP Elementos'!AM627,'LP Elementos'!AR627,'LP Elementos'!AW627,'LP Elementos'!BB627,'LP Elementos'!BG627,'LP Elementos'!BL627,'LP Elementos'!BQ627,'LP Elementos'!BV627,'LP Elementos'!CA627,'LP Elementos'!CF627,'LP Elementos'!CK627,'LP Elementos'!CP627,'LP Elementos'!CU627,'LP Elementos'!CZ627)," ")</f>
        <v>123760</v>
      </c>
      <c r="G627" s="341">
        <f>IFERROR(GEOMEAN('LP Elementos'!F627,'LP Elementos'!I627,'LP Elementos'!N627,'LP Elementos'!S627,'LP Elementos'!X627,'LP Elementos'!AC627,'LP Elementos'!AH627,'LP Elementos'!AM627,'LP Elementos'!AR627,'LP Elementos'!AW627,'LP Elementos'!BB627,'LP Elementos'!BG627,'LP Elementos'!BL627,'LP Elementos'!BQ627,'LP Elementos'!BV627,'LP Elementos'!CA627,'LP Elementos'!CF627,'LP Elementos'!CK627,'LP Elementos'!CP627,'LP Elementos'!CU627,'LP Elementos'!CZ627)," ")</f>
        <v>123760</v>
      </c>
      <c r="H627" s="341">
        <f t="shared" si="52"/>
        <v>0</v>
      </c>
      <c r="I627" s="342">
        <f t="shared" si="53"/>
        <v>0</v>
      </c>
      <c r="J627" s="341">
        <f t="shared" si="54"/>
        <v>123760</v>
      </c>
      <c r="K627" s="326" t="str">
        <f t="shared" si="55"/>
        <v>Menor Valor</v>
      </c>
      <c r="L627" s="326">
        <f>IFERROR(COUNTA('LP Elementos'!F627,'LP Elementos'!I627,'LP Elementos'!N627,'LP Elementos'!S627,'LP Elementos'!X627,'LP Elementos'!AC627,'LP Elementos'!AH627,'LP Elementos'!AM627,'LP Elementos'!AR627,'LP Elementos'!AX627,'LP Elementos'!BB627,'LP Elementos'!BG627,'LP Elementos'!BL627,'LP Elementos'!BQ627,'LP Elementos'!BV627,'LP Elementos'!CA627,'LP Elementos'!CF627,'LP Elementos'!CK627,'LP Elementos'!CP627,'LP Elementos'!CU627,'LP Elementos'!CZ627)," ")</f>
        <v>1</v>
      </c>
    </row>
    <row r="628" spans="2:12" ht="27" x14ac:dyDescent="0.25">
      <c r="B628" s="411">
        <v>626</v>
      </c>
      <c r="C628" s="414" t="s">
        <v>4708</v>
      </c>
      <c r="D628" s="408">
        <f>IFERROR(MIN('LP Elementos'!F628,'LP Elementos'!I628,'LP Elementos'!N628,'LP Elementos'!S628,'LP Elementos'!X628,'LP Elementos'!AC628,'LP Elementos'!AH628,'LP Elementos'!AM628,'LP Elementos'!AR628,'LP Elementos'!AW628,'LP Elementos'!BB628,'LP Elementos'!BG628,'LP Elementos'!BL628,'LP Elementos'!BQ628,'LP Elementos'!BV628,'LP Elementos'!CA628,'LP Elementos'!CF628,'LP Elementos'!CK628,'LP Elementos'!CP628,'LP Elementos'!CU628,'LP Elementos'!CZ628)," ")</f>
        <v>16660</v>
      </c>
      <c r="E628" s="341">
        <f>IFERROR(AVERAGE('LP Elementos'!F628,'LP Elementos'!I628,'LP Elementos'!N628,'LP Elementos'!S628,'LP Elementos'!X628,'LP Elementos'!AC628,'LP Elementos'!AH628,'LP Elementos'!AM628,'LP Elementos'!AR628,'LP Elementos'!AW628,'LP Elementos'!BB628,'LP Elementos'!BG628,'LP Elementos'!BL628,'LP Elementos'!BQ628,'LP Elementos'!BV628,'LP Elementos'!CA628,'LP Elementos'!CF628,'LP Elementos'!CK628,'LP Elementos'!CP628,'LP Elementos'!CU628,'LP Elementos'!CZ628)," ")</f>
        <v>16660</v>
      </c>
      <c r="F628" s="341">
        <f>IFERROR(MEDIAN('LP Elementos'!F628,'LP Elementos'!I628,'LP Elementos'!N628,'LP Elementos'!S628,'LP Elementos'!X628,'LP Elementos'!AC628,'LP Elementos'!AH628,'LP Elementos'!AM628,'LP Elementos'!AR628,'LP Elementos'!AW628,'LP Elementos'!BB628,'LP Elementos'!BG628,'LP Elementos'!BL628,'LP Elementos'!BQ628,'LP Elementos'!BV628,'LP Elementos'!CA628,'LP Elementos'!CF628,'LP Elementos'!CK628,'LP Elementos'!CP628,'LP Elementos'!CU628,'LP Elementos'!CZ628)," ")</f>
        <v>16660</v>
      </c>
      <c r="G628" s="341">
        <f>IFERROR(GEOMEAN('LP Elementos'!F628,'LP Elementos'!I628,'LP Elementos'!N628,'LP Elementos'!S628,'LP Elementos'!X628,'LP Elementos'!AC628,'LP Elementos'!AH628,'LP Elementos'!AM628,'LP Elementos'!AR628,'LP Elementos'!AW628,'LP Elementos'!BB628,'LP Elementos'!BG628,'LP Elementos'!BL628,'LP Elementos'!BQ628,'LP Elementos'!BV628,'LP Elementos'!CA628,'LP Elementos'!CF628,'LP Elementos'!CK628,'LP Elementos'!CP628,'LP Elementos'!CU628,'LP Elementos'!CZ628)," ")</f>
        <v>16660</v>
      </c>
      <c r="H628" s="341">
        <f t="shared" si="52"/>
        <v>0</v>
      </c>
      <c r="I628" s="342">
        <f t="shared" si="53"/>
        <v>0</v>
      </c>
      <c r="J628" s="341">
        <f t="shared" si="54"/>
        <v>16660</v>
      </c>
      <c r="K628" s="326" t="str">
        <f t="shared" si="55"/>
        <v>Menor Valor</v>
      </c>
      <c r="L628" s="326">
        <f>IFERROR(COUNTA('LP Elementos'!F628,'LP Elementos'!I628,'LP Elementos'!N628,'LP Elementos'!S628,'LP Elementos'!X628,'LP Elementos'!AC628,'LP Elementos'!AH628,'LP Elementos'!AM628,'LP Elementos'!AR628,'LP Elementos'!AX628,'LP Elementos'!BB628,'LP Elementos'!BG628,'LP Elementos'!BL628,'LP Elementos'!BQ628,'LP Elementos'!BV628,'LP Elementos'!CA628,'LP Elementos'!CF628,'LP Elementos'!CK628,'LP Elementos'!CP628,'LP Elementos'!CU628,'LP Elementos'!CZ628)," ")</f>
        <v>1</v>
      </c>
    </row>
    <row r="629" spans="2:12" ht="27" x14ac:dyDescent="0.25">
      <c r="B629" s="411">
        <v>627</v>
      </c>
      <c r="C629" s="414" t="s">
        <v>4710</v>
      </c>
      <c r="D629" s="408">
        <f>IFERROR(MIN('LP Elementos'!F629,'LP Elementos'!I629,'LP Elementos'!N629,'LP Elementos'!S629,'LP Elementos'!X629,'LP Elementos'!AC629,'LP Elementos'!AH629,'LP Elementos'!AM629,'LP Elementos'!AR629,'LP Elementos'!AW629,'LP Elementos'!BB629,'LP Elementos'!BG629,'LP Elementos'!BL629,'LP Elementos'!BQ629,'LP Elementos'!BV629,'LP Elementos'!CA629,'LP Elementos'!CF629,'LP Elementos'!CK629,'LP Elementos'!CP629,'LP Elementos'!CU629,'LP Elementos'!CZ629)," ")</f>
        <v>282030</v>
      </c>
      <c r="E629" s="341">
        <f>IFERROR(AVERAGE('LP Elementos'!F629,'LP Elementos'!I629,'LP Elementos'!N629,'LP Elementos'!S629,'LP Elementos'!X629,'LP Elementos'!AC629,'LP Elementos'!AH629,'LP Elementos'!AM629,'LP Elementos'!AR629,'LP Elementos'!AW629,'LP Elementos'!BB629,'LP Elementos'!BG629,'LP Elementos'!BL629,'LP Elementos'!BQ629,'LP Elementos'!BV629,'LP Elementos'!CA629,'LP Elementos'!CF629,'LP Elementos'!CK629,'LP Elementos'!CP629,'LP Elementos'!CU629,'LP Elementos'!CZ629)," ")</f>
        <v>282030</v>
      </c>
      <c r="F629" s="341">
        <f>IFERROR(MEDIAN('LP Elementos'!F629,'LP Elementos'!I629,'LP Elementos'!N629,'LP Elementos'!S629,'LP Elementos'!X629,'LP Elementos'!AC629,'LP Elementos'!AH629,'LP Elementos'!AM629,'LP Elementos'!AR629,'LP Elementos'!AW629,'LP Elementos'!BB629,'LP Elementos'!BG629,'LP Elementos'!BL629,'LP Elementos'!BQ629,'LP Elementos'!BV629,'LP Elementos'!CA629,'LP Elementos'!CF629,'LP Elementos'!CK629,'LP Elementos'!CP629,'LP Elementos'!CU629,'LP Elementos'!CZ629)," ")</f>
        <v>282030</v>
      </c>
      <c r="G629" s="341">
        <f>IFERROR(GEOMEAN('LP Elementos'!F629,'LP Elementos'!I629,'LP Elementos'!N629,'LP Elementos'!S629,'LP Elementos'!X629,'LP Elementos'!AC629,'LP Elementos'!AH629,'LP Elementos'!AM629,'LP Elementos'!AR629,'LP Elementos'!AW629,'LP Elementos'!BB629,'LP Elementos'!BG629,'LP Elementos'!BL629,'LP Elementos'!BQ629,'LP Elementos'!BV629,'LP Elementos'!CA629,'LP Elementos'!CF629,'LP Elementos'!CK629,'LP Elementos'!CP629,'LP Elementos'!CU629,'LP Elementos'!CZ629)," ")</f>
        <v>282030</v>
      </c>
      <c r="H629" s="341">
        <f t="shared" si="52"/>
        <v>0</v>
      </c>
      <c r="I629" s="342">
        <f t="shared" si="53"/>
        <v>0</v>
      </c>
      <c r="J629" s="341">
        <f t="shared" si="54"/>
        <v>282030</v>
      </c>
      <c r="K629" s="326" t="str">
        <f t="shared" si="55"/>
        <v>Menor Valor</v>
      </c>
      <c r="L629" s="326">
        <f>IFERROR(COUNTA('LP Elementos'!F629,'LP Elementos'!I629,'LP Elementos'!N629,'LP Elementos'!S629,'LP Elementos'!X629,'LP Elementos'!AC629,'LP Elementos'!AH629,'LP Elementos'!AM629,'LP Elementos'!AR629,'LP Elementos'!AX629,'LP Elementos'!BB629,'LP Elementos'!BG629,'LP Elementos'!BL629,'LP Elementos'!BQ629,'LP Elementos'!BV629,'LP Elementos'!CA629,'LP Elementos'!CF629,'LP Elementos'!CK629,'LP Elementos'!CP629,'LP Elementos'!CU629,'LP Elementos'!CZ629)," ")</f>
        <v>1</v>
      </c>
    </row>
    <row r="630" spans="2:12" ht="27" x14ac:dyDescent="0.25">
      <c r="B630" s="411">
        <v>628</v>
      </c>
      <c r="C630" s="414" t="s">
        <v>4714</v>
      </c>
      <c r="D630" s="408">
        <f>IFERROR(MIN('LP Elementos'!F630,'LP Elementos'!I630,'LP Elementos'!N630,'LP Elementos'!S630,'LP Elementos'!X630,'LP Elementos'!AC630,'LP Elementos'!AH630,'LP Elementos'!AM630,'LP Elementos'!AR630,'LP Elementos'!AW630,'LP Elementos'!BB630,'LP Elementos'!BG630,'LP Elementos'!BL630,'LP Elementos'!BQ630,'LP Elementos'!BV630,'LP Elementos'!CA630,'LP Elementos'!CF630,'LP Elementos'!CK630,'LP Elementos'!CP630,'LP Elementos'!CU630,'LP Elementos'!CZ630)," ")</f>
        <v>297500</v>
      </c>
      <c r="E630" s="341">
        <f>IFERROR(AVERAGE('LP Elementos'!F630,'LP Elementos'!I630,'LP Elementos'!N630,'LP Elementos'!S630,'LP Elementos'!X630,'LP Elementos'!AC630,'LP Elementos'!AH630,'LP Elementos'!AM630,'LP Elementos'!AR630,'LP Elementos'!AW630,'LP Elementos'!BB630,'LP Elementos'!BG630,'LP Elementos'!BL630,'LP Elementos'!BQ630,'LP Elementos'!BV630,'LP Elementos'!CA630,'LP Elementos'!CF630,'LP Elementos'!CK630,'LP Elementos'!CP630,'LP Elementos'!CU630,'LP Elementos'!CZ630)," ")</f>
        <v>297500</v>
      </c>
      <c r="F630" s="341">
        <f>IFERROR(MEDIAN('LP Elementos'!F630,'LP Elementos'!I630,'LP Elementos'!N630,'LP Elementos'!S630,'LP Elementos'!X630,'LP Elementos'!AC630,'LP Elementos'!AH630,'LP Elementos'!AM630,'LP Elementos'!AR630,'LP Elementos'!AW630,'LP Elementos'!BB630,'LP Elementos'!BG630,'LP Elementos'!BL630,'LP Elementos'!BQ630,'LP Elementos'!BV630,'LP Elementos'!CA630,'LP Elementos'!CF630,'LP Elementos'!CK630,'LP Elementos'!CP630,'LP Elementos'!CU630,'LP Elementos'!CZ630)," ")</f>
        <v>297500</v>
      </c>
      <c r="G630" s="341">
        <f>IFERROR(GEOMEAN('LP Elementos'!F630,'LP Elementos'!I630,'LP Elementos'!N630,'LP Elementos'!S630,'LP Elementos'!X630,'LP Elementos'!AC630,'LP Elementos'!AH630,'LP Elementos'!AM630,'LP Elementos'!AR630,'LP Elementos'!AW630,'LP Elementos'!BB630,'LP Elementos'!BG630,'LP Elementos'!BL630,'LP Elementos'!BQ630,'LP Elementos'!BV630,'LP Elementos'!CA630,'LP Elementos'!CF630,'LP Elementos'!CK630,'LP Elementos'!CP630,'LP Elementos'!CU630,'LP Elementos'!CZ630)," ")</f>
        <v>297500</v>
      </c>
      <c r="H630" s="341">
        <f t="shared" si="52"/>
        <v>0</v>
      </c>
      <c r="I630" s="342">
        <f t="shared" si="53"/>
        <v>0</v>
      </c>
      <c r="J630" s="341">
        <f t="shared" si="54"/>
        <v>297500</v>
      </c>
      <c r="K630" s="326" t="str">
        <f t="shared" si="55"/>
        <v>Menor Valor</v>
      </c>
      <c r="L630" s="326">
        <f>IFERROR(COUNTA('LP Elementos'!F630,'LP Elementos'!I630,'LP Elementos'!N630,'LP Elementos'!S630,'LP Elementos'!X630,'LP Elementos'!AC630,'LP Elementos'!AH630,'LP Elementos'!AM630,'LP Elementos'!AR630,'LP Elementos'!AX630,'LP Elementos'!BB630,'LP Elementos'!BG630,'LP Elementos'!BL630,'LP Elementos'!BQ630,'LP Elementos'!BV630,'LP Elementos'!CA630,'LP Elementos'!CF630,'LP Elementos'!CK630,'LP Elementos'!CP630,'LP Elementos'!CU630,'LP Elementos'!CZ630)," ")</f>
        <v>1</v>
      </c>
    </row>
    <row r="631" spans="2:12" ht="27" x14ac:dyDescent="0.25">
      <c r="B631" s="411">
        <v>629</v>
      </c>
      <c r="C631" s="414" t="s">
        <v>4717</v>
      </c>
      <c r="D631" s="408">
        <f>IFERROR(MIN('LP Elementos'!F631,'LP Elementos'!I631,'LP Elementos'!N631,'LP Elementos'!S631,'LP Elementos'!X631,'LP Elementos'!AC631,'LP Elementos'!AH631,'LP Elementos'!AM631,'LP Elementos'!AR631,'LP Elementos'!AW631,'LP Elementos'!BB631,'LP Elementos'!BG631,'LP Elementos'!BL631,'LP Elementos'!BQ631,'LP Elementos'!BV631,'LP Elementos'!CA631,'LP Elementos'!CF631,'LP Elementos'!CK631,'LP Elementos'!CP631,'LP Elementos'!CU631,'LP Elementos'!CZ631)," ")</f>
        <v>309400</v>
      </c>
      <c r="E631" s="341">
        <f>IFERROR(AVERAGE('LP Elementos'!F631,'LP Elementos'!I631,'LP Elementos'!N631,'LP Elementos'!S631,'LP Elementos'!X631,'LP Elementos'!AC631,'LP Elementos'!AH631,'LP Elementos'!AM631,'LP Elementos'!AR631,'LP Elementos'!AW631,'LP Elementos'!BB631,'LP Elementos'!BG631,'LP Elementos'!BL631,'LP Elementos'!BQ631,'LP Elementos'!BV631,'LP Elementos'!CA631,'LP Elementos'!CF631,'LP Elementos'!CK631,'LP Elementos'!CP631,'LP Elementos'!CU631,'LP Elementos'!CZ631)," ")</f>
        <v>309400</v>
      </c>
      <c r="F631" s="341">
        <f>IFERROR(MEDIAN('LP Elementos'!F631,'LP Elementos'!I631,'LP Elementos'!N631,'LP Elementos'!S631,'LP Elementos'!X631,'LP Elementos'!AC631,'LP Elementos'!AH631,'LP Elementos'!AM631,'LP Elementos'!AR631,'LP Elementos'!AW631,'LP Elementos'!BB631,'LP Elementos'!BG631,'LP Elementos'!BL631,'LP Elementos'!BQ631,'LP Elementos'!BV631,'LP Elementos'!CA631,'LP Elementos'!CF631,'LP Elementos'!CK631,'LP Elementos'!CP631,'LP Elementos'!CU631,'LP Elementos'!CZ631)," ")</f>
        <v>309400</v>
      </c>
      <c r="G631" s="341">
        <f>IFERROR(GEOMEAN('LP Elementos'!F631,'LP Elementos'!I631,'LP Elementos'!N631,'LP Elementos'!S631,'LP Elementos'!X631,'LP Elementos'!AC631,'LP Elementos'!AH631,'LP Elementos'!AM631,'LP Elementos'!AR631,'LP Elementos'!AW631,'LP Elementos'!BB631,'LP Elementos'!BG631,'LP Elementos'!BL631,'LP Elementos'!BQ631,'LP Elementos'!BV631,'LP Elementos'!CA631,'LP Elementos'!CF631,'LP Elementos'!CK631,'LP Elementos'!CP631,'LP Elementos'!CU631,'LP Elementos'!CZ631)," ")</f>
        <v>309400</v>
      </c>
      <c r="H631" s="341">
        <f t="shared" si="52"/>
        <v>0</v>
      </c>
      <c r="I631" s="342">
        <f t="shared" si="53"/>
        <v>0</v>
      </c>
      <c r="J631" s="341">
        <f t="shared" si="54"/>
        <v>309400</v>
      </c>
      <c r="K631" s="326" t="str">
        <f t="shared" si="55"/>
        <v>Menor Valor</v>
      </c>
      <c r="L631" s="326">
        <f>IFERROR(COUNTA('LP Elementos'!F631,'LP Elementos'!I631,'LP Elementos'!N631,'LP Elementos'!S631,'LP Elementos'!X631,'LP Elementos'!AC631,'LP Elementos'!AH631,'LP Elementos'!AM631,'LP Elementos'!AR631,'LP Elementos'!AX631,'LP Elementos'!BB631,'LP Elementos'!BG631,'LP Elementos'!BL631,'LP Elementos'!BQ631,'LP Elementos'!BV631,'LP Elementos'!CA631,'LP Elementos'!CF631,'LP Elementos'!CK631,'LP Elementos'!CP631,'LP Elementos'!CU631,'LP Elementos'!CZ631)," ")</f>
        <v>1</v>
      </c>
    </row>
    <row r="632" spans="2:12" ht="40.5" x14ac:dyDescent="0.25">
      <c r="B632" s="411">
        <v>630</v>
      </c>
      <c r="C632" s="414" t="s">
        <v>4719</v>
      </c>
      <c r="D632" s="408">
        <f>IFERROR(MIN('LP Elementos'!F632,'LP Elementos'!I632,'LP Elementos'!N632,'LP Elementos'!S632,'LP Elementos'!X632,'LP Elementos'!AC632,'LP Elementos'!AH632,'LP Elementos'!AM632,'LP Elementos'!AR632,'LP Elementos'!AW632,'LP Elementos'!BB632,'LP Elementos'!BG632,'LP Elementos'!BL632,'LP Elementos'!BQ632,'LP Elementos'!BV632,'LP Elementos'!CA632,'LP Elementos'!CF632,'LP Elementos'!CK632,'LP Elementos'!CP632,'LP Elementos'!CU632,'LP Elementos'!CZ632)," ")</f>
        <v>282030</v>
      </c>
      <c r="E632" s="341">
        <f>IFERROR(AVERAGE('LP Elementos'!F632,'LP Elementos'!I632,'LP Elementos'!N632,'LP Elementos'!S632,'LP Elementos'!X632,'LP Elementos'!AC632,'LP Elementos'!AH632,'LP Elementos'!AM632,'LP Elementos'!AR632,'LP Elementos'!AW632,'LP Elementos'!BB632,'LP Elementos'!BG632,'LP Elementos'!BL632,'LP Elementos'!BQ632,'LP Elementos'!BV632,'LP Elementos'!CA632,'LP Elementos'!CF632,'LP Elementos'!CK632,'LP Elementos'!CP632,'LP Elementos'!CU632,'LP Elementos'!CZ632)," ")</f>
        <v>282030</v>
      </c>
      <c r="F632" s="341">
        <f>IFERROR(MEDIAN('LP Elementos'!F632,'LP Elementos'!I632,'LP Elementos'!N632,'LP Elementos'!S632,'LP Elementos'!X632,'LP Elementos'!AC632,'LP Elementos'!AH632,'LP Elementos'!AM632,'LP Elementos'!AR632,'LP Elementos'!AW632,'LP Elementos'!BB632,'LP Elementos'!BG632,'LP Elementos'!BL632,'LP Elementos'!BQ632,'LP Elementos'!BV632,'LP Elementos'!CA632,'LP Elementos'!CF632,'LP Elementos'!CK632,'LP Elementos'!CP632,'LP Elementos'!CU632,'LP Elementos'!CZ632)," ")</f>
        <v>282030</v>
      </c>
      <c r="G632" s="341">
        <f>IFERROR(GEOMEAN('LP Elementos'!F632,'LP Elementos'!I632,'LP Elementos'!N632,'LP Elementos'!S632,'LP Elementos'!X632,'LP Elementos'!AC632,'LP Elementos'!AH632,'LP Elementos'!AM632,'LP Elementos'!AR632,'LP Elementos'!AW632,'LP Elementos'!BB632,'LP Elementos'!BG632,'LP Elementos'!BL632,'LP Elementos'!BQ632,'LP Elementos'!BV632,'LP Elementos'!CA632,'LP Elementos'!CF632,'LP Elementos'!CK632,'LP Elementos'!CP632,'LP Elementos'!CU632,'LP Elementos'!CZ632)," ")</f>
        <v>282030</v>
      </c>
      <c r="H632" s="341">
        <f t="shared" si="52"/>
        <v>0</v>
      </c>
      <c r="I632" s="342">
        <f t="shared" si="53"/>
        <v>0</v>
      </c>
      <c r="J632" s="341">
        <f t="shared" si="54"/>
        <v>282030</v>
      </c>
      <c r="K632" s="326" t="str">
        <f t="shared" si="55"/>
        <v>Menor Valor</v>
      </c>
      <c r="L632" s="326">
        <f>IFERROR(COUNTA('LP Elementos'!F632,'LP Elementos'!I632,'LP Elementos'!N632,'LP Elementos'!S632,'LP Elementos'!X632,'LP Elementos'!AC632,'LP Elementos'!AH632,'LP Elementos'!AM632,'LP Elementos'!AR632,'LP Elementos'!AX632,'LP Elementos'!BB632,'LP Elementos'!BG632,'LP Elementos'!BL632,'LP Elementos'!BQ632,'LP Elementos'!BV632,'LP Elementos'!CA632,'LP Elementos'!CF632,'LP Elementos'!CK632,'LP Elementos'!CP632,'LP Elementos'!CU632,'LP Elementos'!CZ632)," ")</f>
        <v>1</v>
      </c>
    </row>
    <row r="633" spans="2:12" ht="67.5" x14ac:dyDescent="0.25">
      <c r="B633" s="411">
        <v>631</v>
      </c>
      <c r="C633" s="414" t="s">
        <v>4722</v>
      </c>
      <c r="D633" s="408">
        <f>IFERROR(MIN('LP Elementos'!F633,'LP Elementos'!I633,'LP Elementos'!N633,'LP Elementos'!S633,'LP Elementos'!X633,'LP Elementos'!AC633,'LP Elementos'!AH633,'LP Elementos'!AM633,'LP Elementos'!AR633,'LP Elementos'!AW633,'LP Elementos'!BB633,'LP Elementos'!BG633,'LP Elementos'!BL633,'LP Elementos'!BQ633,'LP Elementos'!BV633,'LP Elementos'!CA633,'LP Elementos'!CF633,'LP Elementos'!CK633,'LP Elementos'!CP633,'LP Elementos'!CU633,'LP Elementos'!CZ633)," ")</f>
        <v>699720</v>
      </c>
      <c r="E633" s="341">
        <f>IFERROR(AVERAGE('LP Elementos'!F633,'LP Elementos'!I633,'LP Elementos'!N633,'LP Elementos'!S633,'LP Elementos'!X633,'LP Elementos'!AC633,'LP Elementos'!AH633,'LP Elementos'!AM633,'LP Elementos'!AR633,'LP Elementos'!AW633,'LP Elementos'!BB633,'LP Elementos'!BG633,'LP Elementos'!BL633,'LP Elementos'!BQ633,'LP Elementos'!BV633,'LP Elementos'!CA633,'LP Elementos'!CF633,'LP Elementos'!CK633,'LP Elementos'!CP633,'LP Elementos'!CU633,'LP Elementos'!CZ633)," ")</f>
        <v>699720</v>
      </c>
      <c r="F633" s="341">
        <f>IFERROR(MEDIAN('LP Elementos'!F633,'LP Elementos'!I633,'LP Elementos'!N633,'LP Elementos'!S633,'LP Elementos'!X633,'LP Elementos'!AC633,'LP Elementos'!AH633,'LP Elementos'!AM633,'LP Elementos'!AR633,'LP Elementos'!AW633,'LP Elementos'!BB633,'LP Elementos'!BG633,'LP Elementos'!BL633,'LP Elementos'!BQ633,'LP Elementos'!BV633,'LP Elementos'!CA633,'LP Elementos'!CF633,'LP Elementos'!CK633,'LP Elementos'!CP633,'LP Elementos'!CU633,'LP Elementos'!CZ633)," ")</f>
        <v>699720</v>
      </c>
      <c r="G633" s="341">
        <f>IFERROR(GEOMEAN('LP Elementos'!F633,'LP Elementos'!I633,'LP Elementos'!N633,'LP Elementos'!S633,'LP Elementos'!X633,'LP Elementos'!AC633,'LP Elementos'!AH633,'LP Elementos'!AM633,'LP Elementos'!AR633,'LP Elementos'!AW633,'LP Elementos'!BB633,'LP Elementos'!BG633,'LP Elementos'!BL633,'LP Elementos'!BQ633,'LP Elementos'!BV633,'LP Elementos'!CA633,'LP Elementos'!CF633,'LP Elementos'!CK633,'LP Elementos'!CP633,'LP Elementos'!CU633,'LP Elementos'!CZ633)," ")</f>
        <v>699720</v>
      </c>
      <c r="H633" s="341">
        <f t="shared" si="52"/>
        <v>0</v>
      </c>
      <c r="I633" s="342">
        <f t="shared" si="53"/>
        <v>0</v>
      </c>
      <c r="J633" s="341">
        <f t="shared" si="54"/>
        <v>699720</v>
      </c>
      <c r="K633" s="326" t="str">
        <f t="shared" si="55"/>
        <v>Menor Valor</v>
      </c>
      <c r="L633" s="326">
        <f>IFERROR(COUNTA('LP Elementos'!F633,'LP Elementos'!I633,'LP Elementos'!N633,'LP Elementos'!S633,'LP Elementos'!X633,'LP Elementos'!AC633,'LP Elementos'!AH633,'LP Elementos'!AM633,'LP Elementos'!AR633,'LP Elementos'!AX633,'LP Elementos'!BB633,'LP Elementos'!BG633,'LP Elementos'!BL633,'LP Elementos'!BQ633,'LP Elementos'!BV633,'LP Elementos'!CA633,'LP Elementos'!CF633,'LP Elementos'!CK633,'LP Elementos'!CP633,'LP Elementos'!CU633,'LP Elementos'!CZ633)," ")</f>
        <v>1</v>
      </c>
    </row>
    <row r="634" spans="2:12" ht="67.5" x14ac:dyDescent="0.25">
      <c r="B634" s="411">
        <v>632</v>
      </c>
      <c r="C634" s="414" t="s">
        <v>4724</v>
      </c>
      <c r="D634" s="408">
        <f>IFERROR(MIN('LP Elementos'!F634,'LP Elementos'!I634,'LP Elementos'!N634,'LP Elementos'!S634,'LP Elementos'!X634,'LP Elementos'!AC634,'LP Elementos'!AH634,'LP Elementos'!AM634,'LP Elementos'!AR634,'LP Elementos'!AW634,'LP Elementos'!BB634,'LP Elementos'!BG634,'LP Elementos'!BL634,'LP Elementos'!BQ634,'LP Elementos'!BV634,'LP Elementos'!CA634,'LP Elementos'!CF634,'LP Elementos'!CK634,'LP Elementos'!CP634,'LP Elementos'!CU634,'LP Elementos'!CZ634)," ")</f>
        <v>17538220</v>
      </c>
      <c r="E634" s="341">
        <f>IFERROR(AVERAGE('LP Elementos'!F634,'LP Elementos'!I634,'LP Elementos'!N634,'LP Elementos'!S634,'LP Elementos'!X634,'LP Elementos'!AC634,'LP Elementos'!AH634,'LP Elementos'!AM634,'LP Elementos'!AR634,'LP Elementos'!AW634,'LP Elementos'!BB634,'LP Elementos'!BG634,'LP Elementos'!BL634,'LP Elementos'!BQ634,'LP Elementos'!BV634,'LP Elementos'!CA634,'LP Elementos'!CF634,'LP Elementos'!CK634,'LP Elementos'!CP634,'LP Elementos'!CU634,'LP Elementos'!CZ634)," ")</f>
        <v>26354803.066666666</v>
      </c>
      <c r="F634" s="341">
        <f>IFERROR(MEDIAN('LP Elementos'!F634,'LP Elementos'!I634,'LP Elementos'!N634,'LP Elementos'!S634,'LP Elementos'!X634,'LP Elementos'!AC634,'LP Elementos'!AH634,'LP Elementos'!AM634,'LP Elementos'!AR634,'LP Elementos'!AW634,'LP Elementos'!BB634,'LP Elementos'!BG634,'LP Elementos'!BL634,'LP Elementos'!BQ634,'LP Elementos'!BV634,'LP Elementos'!CA634,'LP Elementos'!CF634,'LP Elementos'!CK634,'LP Elementos'!CP634,'LP Elementos'!CU634,'LP Elementos'!CZ634)," ")</f>
        <v>17808350</v>
      </c>
      <c r="G634" s="341">
        <f>IFERROR(GEOMEAN('LP Elementos'!F634,'LP Elementos'!I634,'LP Elementos'!N634,'LP Elementos'!S634,'LP Elementos'!X634,'LP Elementos'!AC634,'LP Elementos'!AH634,'LP Elementos'!AM634,'LP Elementos'!AR634,'LP Elementos'!AW634,'LP Elementos'!BB634,'LP Elementos'!BG634,'LP Elementos'!BL634,'LP Elementos'!BQ634,'LP Elementos'!BV634,'LP Elementos'!CA634,'LP Elementos'!CF634,'LP Elementos'!CK634,'LP Elementos'!CP634,'LP Elementos'!CU634,'LP Elementos'!CZ634)," ")</f>
        <v>23901360.82161681</v>
      </c>
      <c r="H634" s="341">
        <f t="shared" si="52"/>
        <v>4420413.7065713936</v>
      </c>
      <c r="I634" s="342">
        <f t="shared" si="53"/>
        <v>0.16772706270616364</v>
      </c>
      <c r="J634" s="341">
        <f t="shared" si="54"/>
        <v>26354803.066666666</v>
      </c>
      <c r="K634" s="326" t="str">
        <f t="shared" si="55"/>
        <v>Promedio</v>
      </c>
      <c r="L634" s="326">
        <f>IFERROR(COUNTA('LP Elementos'!F634,'LP Elementos'!I634,'LP Elementos'!N634,'LP Elementos'!S634,'LP Elementos'!X634,'LP Elementos'!AC634,'LP Elementos'!AH634,'LP Elementos'!AM634,'LP Elementos'!AR634,'LP Elementos'!AX634,'LP Elementos'!BB634,'LP Elementos'!BG634,'LP Elementos'!BL634,'LP Elementos'!BQ634,'LP Elementos'!BV634,'LP Elementos'!CA634,'LP Elementos'!CF634,'LP Elementos'!CK634,'LP Elementos'!CP634,'LP Elementos'!CU634,'LP Elementos'!CZ634)," ")</f>
        <v>3</v>
      </c>
    </row>
  </sheetData>
  <autoFilter ref="A2:O634"/>
  <mergeCells count="2">
    <mergeCell ref="B1:C1"/>
    <mergeCell ref="D1:K1"/>
  </mergeCells>
  <conditionalFormatting sqref="C370">
    <cfRule type="containsErrors" dxfId="103" priority="9">
      <formula>ISERROR(C370)</formula>
    </cfRule>
  </conditionalFormatting>
  <conditionalFormatting sqref="C371">
    <cfRule type="containsErrors" dxfId="102" priority="8">
      <formula>ISERROR(C371)</formula>
    </cfRule>
  </conditionalFormatting>
  <conditionalFormatting sqref="C372">
    <cfRule type="containsErrors" dxfId="101" priority="7">
      <formula>ISERROR(C372)</formula>
    </cfRule>
  </conditionalFormatting>
  <conditionalFormatting sqref="C505">
    <cfRule type="duplicateValues" dxfId="100" priority="6"/>
  </conditionalFormatting>
  <conditionalFormatting sqref="C455">
    <cfRule type="duplicateValues" dxfId="99" priority="5"/>
  </conditionalFormatting>
  <conditionalFormatting sqref="C498">
    <cfRule type="duplicateValues" dxfId="98" priority="4"/>
  </conditionalFormatting>
  <conditionalFormatting sqref="C67">
    <cfRule type="duplicateValues" dxfId="97" priority="3"/>
  </conditionalFormatting>
  <conditionalFormatting sqref="C68">
    <cfRule type="duplicateValues" dxfId="96" priority="2"/>
  </conditionalFormatting>
  <conditionalFormatting sqref="C69">
    <cfRule type="duplicateValues" dxfId="95" priority="1"/>
  </conditionalFormatting>
  <conditionalFormatting sqref="C506:C507">
    <cfRule type="duplicateValues" dxfId="94" priority="10"/>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EH1048563"/>
  <sheetViews>
    <sheetView zoomScaleNormal="100" workbookViewId="0">
      <pane xSplit="5" ySplit="2" topLeftCell="AU3" activePane="bottomRight" state="frozen"/>
      <selection pane="topRight" activeCell="F1" sqref="F1"/>
      <selection pane="bottomLeft" activeCell="A3" sqref="A3"/>
      <selection pane="bottomRight" activeCell="BJ3" sqref="BJ3"/>
    </sheetView>
  </sheetViews>
  <sheetFormatPr baseColWidth="10" defaultColWidth="11.42578125" defaultRowHeight="13.5" x14ac:dyDescent="0.25"/>
  <cols>
    <col min="1" max="1" width="8.42578125" style="28" customWidth="1"/>
    <col min="2" max="2" width="39" style="28" customWidth="1"/>
    <col min="3" max="3" width="20.28515625" style="28" customWidth="1"/>
    <col min="4" max="4" width="13.85546875" style="28" customWidth="1"/>
    <col min="5" max="11" width="11.42578125" style="28"/>
    <col min="12" max="12" width="11.42578125" style="72"/>
    <col min="13" max="13" width="13.42578125" style="72" bestFit="1" customWidth="1"/>
    <col min="14" max="14" width="15.140625" style="139" customWidth="1"/>
    <col min="15" max="15" width="10.42578125" style="140" customWidth="1"/>
    <col min="16" max="16" width="16" style="140" customWidth="1"/>
    <col min="17" max="17" width="8.7109375" style="28" customWidth="1"/>
    <col min="18" max="18" width="10.42578125" style="28" customWidth="1"/>
    <col min="19" max="19" width="8.7109375" style="28" customWidth="1"/>
    <col min="20" max="20" width="18.7109375" style="72" customWidth="1"/>
    <col min="21" max="21" width="10.7109375" style="72" customWidth="1"/>
    <col min="22" max="22" width="15.85546875" style="72" customWidth="1"/>
    <col min="23" max="23" width="11.42578125" style="28" customWidth="1"/>
    <col min="24" max="25" width="8.7109375" style="28" customWidth="1"/>
    <col min="26" max="26" width="10.7109375" style="72" customWidth="1"/>
    <col min="27" max="27" width="8.7109375" style="72" customWidth="1"/>
    <col min="28" max="28" width="15" style="72" customWidth="1"/>
    <col min="29" max="30" width="8.7109375" style="28" customWidth="1"/>
    <col min="31" max="31" width="10.42578125" style="28" customWidth="1"/>
    <col min="32" max="32" width="8.7109375" style="123" customWidth="1"/>
    <col min="33" max="33" width="10" style="123" customWidth="1"/>
    <col min="34" max="34" width="14.85546875" style="123" customWidth="1"/>
    <col min="35" max="36" width="8.7109375" style="115" customWidth="1"/>
    <col min="37" max="37" width="8.7109375" style="28" customWidth="1"/>
    <col min="38" max="38" width="10.42578125" style="123" customWidth="1"/>
    <col min="39" max="39" width="8.7109375" style="123" customWidth="1"/>
    <col min="40" max="40" width="15.85546875" style="123" customWidth="1"/>
    <col min="41" max="41" width="9.42578125" style="115" customWidth="1"/>
    <col min="42" max="42" width="9.7109375" style="115" customWidth="1"/>
    <col min="43" max="43" width="10" style="28" customWidth="1"/>
    <col min="44" max="44" width="16.42578125" style="72" customWidth="1"/>
    <col min="45" max="46" width="14.42578125" style="72" customWidth="1"/>
    <col min="47" max="49" width="8.7109375" style="28" customWidth="1"/>
    <col min="50" max="51" width="8.7109375" style="72" customWidth="1"/>
    <col min="52" max="52" width="15.42578125" style="72" customWidth="1"/>
    <col min="53" max="55" width="8.7109375" style="28" customWidth="1"/>
    <col min="56" max="56" width="11.42578125" style="72" customWidth="1"/>
    <col min="57" max="57" width="8.7109375" style="72" customWidth="1"/>
    <col min="58" max="58" width="12.42578125" style="72" customWidth="1"/>
    <col min="59" max="60" width="8.7109375" style="28" customWidth="1"/>
    <col min="61" max="61" width="23.42578125" style="28" customWidth="1"/>
    <col min="62" max="62" width="11.42578125" style="72" customWidth="1"/>
    <col min="63" max="63" width="11.7109375" style="72" customWidth="1"/>
    <col min="64" max="64" width="15" style="72" bestFit="1" customWidth="1"/>
    <col min="65" max="65" width="10.85546875" style="28" bestFit="1" customWidth="1"/>
    <col min="66" max="66" width="11.140625" style="28" bestFit="1" customWidth="1"/>
    <col min="67" max="67" width="7.7109375" style="28" bestFit="1" customWidth="1"/>
    <col min="68" max="68" width="11.42578125" style="72" bestFit="1" customWidth="1"/>
    <col min="69" max="69" width="9" style="72" customWidth="1"/>
    <col min="70" max="70" width="11.42578125" style="72" bestFit="1" customWidth="1"/>
    <col min="71" max="71" width="12" style="28" bestFit="1" customWidth="1"/>
    <col min="72" max="72" width="10.42578125" style="28" bestFit="1" customWidth="1"/>
    <col min="73" max="73" width="13.85546875" style="28" bestFit="1" customWidth="1"/>
    <col min="74" max="74" width="10.140625" style="72" customWidth="1"/>
    <col min="75" max="75" width="10.85546875" style="72" bestFit="1" customWidth="1"/>
    <col min="76" max="76" width="11.140625" style="28" bestFit="1" customWidth="1"/>
    <col min="77" max="77" width="9.42578125" style="28" bestFit="1" customWidth="1"/>
    <col min="78" max="78" width="10.42578125" style="28" bestFit="1" customWidth="1"/>
    <col min="79" max="79" width="5.42578125" style="28" bestFit="1" customWidth="1"/>
    <col min="80" max="80" width="11" style="28" bestFit="1" customWidth="1"/>
    <col min="81" max="81" width="11.28515625" style="28" bestFit="1" customWidth="1"/>
    <col min="82" max="82" width="10.7109375" style="28" bestFit="1" customWidth="1"/>
    <col min="83" max="83" width="9.42578125" style="28" bestFit="1" customWidth="1"/>
    <col min="84" max="84" width="12.28515625" style="28" bestFit="1" customWidth="1"/>
    <col min="85" max="85" width="10.85546875" style="28" bestFit="1" customWidth="1"/>
    <col min="86" max="88" width="10.7109375" style="72" customWidth="1"/>
    <col min="89" max="89" width="9.42578125" style="28" bestFit="1" customWidth="1"/>
    <col min="90" max="90" width="13.7109375" style="28" bestFit="1" customWidth="1"/>
    <col min="91" max="93" width="12" style="28" bestFit="1" customWidth="1"/>
    <col min="94" max="94" width="8.42578125" style="28" customWidth="1"/>
    <col min="95" max="95" width="9" style="28" bestFit="1" customWidth="1"/>
    <col min="96" max="96" width="10.42578125" style="28" bestFit="1" customWidth="1"/>
    <col min="97" max="97" width="9.42578125" style="28" bestFit="1" customWidth="1"/>
    <col min="98" max="98" width="14.28515625" style="28" hidden="1" customWidth="1"/>
    <col min="99" max="99" width="5.7109375" style="28" hidden="1" customWidth="1"/>
    <col min="100" max="100" width="9.28515625" style="28" hidden="1" customWidth="1"/>
    <col min="101" max="101" width="14.42578125" style="28" hidden="1" customWidth="1"/>
    <col min="102" max="102" width="10.42578125" style="28" hidden="1" customWidth="1"/>
    <col min="103" max="103" width="15" style="28" hidden="1" customWidth="1"/>
    <col min="104" max="104" width="13.42578125" style="28" hidden="1" customWidth="1"/>
    <col min="105" max="105" width="10.42578125" style="28" hidden="1" customWidth="1"/>
    <col min="106" max="106" width="12.28515625" style="28" hidden="1" customWidth="1"/>
    <col min="107" max="107" width="10.42578125" style="28" hidden="1" customWidth="1"/>
    <col min="108" max="115" width="11.42578125" style="28" hidden="1" customWidth="1"/>
    <col min="116" max="118" width="9.85546875" style="72" hidden="1" customWidth="1"/>
    <col min="119" max="119" width="11.42578125" style="72" hidden="1" customWidth="1"/>
    <col min="120" max="120" width="10.42578125" style="72" hidden="1" customWidth="1"/>
    <col min="121" max="133" width="9.85546875" style="72" hidden="1" customWidth="1"/>
    <col min="134" max="134" width="14" style="28" bestFit="1" customWidth="1"/>
    <col min="135" max="135" width="10.7109375" style="69" customWidth="1"/>
    <col min="136" max="136" width="14" style="28" bestFit="1" customWidth="1"/>
    <col min="137" max="137" width="11.85546875" style="28" bestFit="1" customWidth="1"/>
    <col min="138" max="16384" width="11.42578125" style="28"/>
  </cols>
  <sheetData>
    <row r="1" spans="1:136" ht="12.75" customHeight="1" x14ac:dyDescent="0.25">
      <c r="A1" s="536" t="s">
        <v>0</v>
      </c>
      <c r="B1" s="538" t="s">
        <v>1</v>
      </c>
      <c r="C1" s="538" t="s">
        <v>2</v>
      </c>
      <c r="D1" s="536" t="s">
        <v>3</v>
      </c>
      <c r="E1" s="250">
        <v>1.03</v>
      </c>
      <c r="F1" s="453" t="s">
        <v>4</v>
      </c>
      <c r="G1" s="453"/>
      <c r="H1" s="453" t="s">
        <v>5</v>
      </c>
      <c r="I1" s="453"/>
      <c r="J1" s="453" t="s">
        <v>6</v>
      </c>
      <c r="K1" s="453"/>
      <c r="L1" s="454" t="s">
        <v>7</v>
      </c>
      <c r="M1" s="454"/>
      <c r="N1" s="445" t="s">
        <v>11</v>
      </c>
      <c r="O1" s="445"/>
      <c r="P1" s="445"/>
      <c r="Q1" s="445"/>
      <c r="R1" s="445"/>
      <c r="S1" s="445"/>
      <c r="T1" s="432" t="s">
        <v>4726</v>
      </c>
      <c r="U1" s="433"/>
      <c r="V1" s="433"/>
      <c r="W1" s="433"/>
      <c r="X1" s="433"/>
      <c r="Y1" s="433"/>
      <c r="Z1" s="540" t="s">
        <v>4727</v>
      </c>
      <c r="AA1" s="541"/>
      <c r="AB1" s="541"/>
      <c r="AC1" s="541"/>
      <c r="AD1" s="541"/>
      <c r="AE1" s="541"/>
      <c r="AF1" s="444" t="s">
        <v>14</v>
      </c>
      <c r="AG1" s="445"/>
      <c r="AH1" s="445"/>
      <c r="AI1" s="445"/>
      <c r="AJ1" s="445"/>
      <c r="AK1" s="445"/>
      <c r="AL1" s="542" t="s">
        <v>4728</v>
      </c>
      <c r="AM1" s="543"/>
      <c r="AN1" s="543"/>
      <c r="AO1" s="543"/>
      <c r="AP1" s="543"/>
      <c r="AQ1" s="543"/>
      <c r="AR1" s="544" t="s">
        <v>4729</v>
      </c>
      <c r="AS1" s="545"/>
      <c r="AT1" s="545"/>
      <c r="AU1" s="545"/>
      <c r="AV1" s="545"/>
      <c r="AW1" s="545"/>
      <c r="AX1" s="440" t="s">
        <v>15</v>
      </c>
      <c r="AY1" s="441"/>
      <c r="AZ1" s="441"/>
      <c r="BA1" s="441"/>
      <c r="BB1" s="441"/>
      <c r="BC1" s="441"/>
      <c r="BD1" s="434" t="s">
        <v>17</v>
      </c>
      <c r="BE1" s="435"/>
      <c r="BF1" s="435"/>
      <c r="BG1" s="435"/>
      <c r="BH1" s="435"/>
      <c r="BI1" s="435"/>
      <c r="BJ1" s="546" t="s">
        <v>18</v>
      </c>
      <c r="BK1" s="547"/>
      <c r="BL1" s="547"/>
      <c r="BM1" s="547"/>
      <c r="BN1" s="547"/>
      <c r="BO1" s="548"/>
      <c r="BP1" s="549" t="s">
        <v>19</v>
      </c>
      <c r="BQ1" s="550"/>
      <c r="BR1" s="550"/>
      <c r="BS1" s="550"/>
      <c r="BT1" s="550"/>
      <c r="BU1" s="551"/>
      <c r="BV1" s="444" t="s">
        <v>20</v>
      </c>
      <c r="BW1" s="552"/>
      <c r="BX1" s="445"/>
      <c r="BY1" s="445"/>
      <c r="BZ1" s="445"/>
      <c r="CA1" s="445"/>
      <c r="CB1" s="432" t="s">
        <v>21</v>
      </c>
      <c r="CC1" s="433"/>
      <c r="CD1" s="433"/>
      <c r="CE1" s="433"/>
      <c r="CF1" s="433"/>
      <c r="CG1" s="433"/>
      <c r="CH1" s="553" t="s">
        <v>4730</v>
      </c>
      <c r="CI1" s="554"/>
      <c r="CJ1" s="554"/>
      <c r="CK1" s="554"/>
      <c r="CL1" s="554"/>
      <c r="CM1" s="555"/>
      <c r="CN1" s="471" t="s">
        <v>4731</v>
      </c>
      <c r="CO1" s="472"/>
      <c r="CP1" s="472"/>
      <c r="CQ1" s="472"/>
      <c r="CR1" s="472"/>
      <c r="CS1" s="472"/>
      <c r="CT1" s="432"/>
      <c r="CU1" s="433"/>
      <c r="CV1" s="433"/>
      <c r="CW1" s="433"/>
      <c r="CX1" s="433"/>
      <c r="CY1" s="433"/>
      <c r="CZ1" s="556"/>
      <c r="DA1" s="557"/>
      <c r="DB1" s="557"/>
      <c r="DC1" s="557"/>
      <c r="DD1" s="557"/>
      <c r="DE1" s="557"/>
      <c r="DF1" s="430"/>
      <c r="DG1" s="431"/>
      <c r="DH1" s="431"/>
      <c r="DI1" s="431"/>
      <c r="DJ1" s="431"/>
      <c r="DK1" s="431"/>
      <c r="DL1" s="432"/>
      <c r="DM1" s="433"/>
      <c r="DN1" s="433"/>
      <c r="DO1" s="433"/>
      <c r="DP1" s="433"/>
      <c r="DQ1" s="433"/>
      <c r="DR1" s="440"/>
      <c r="DS1" s="441"/>
      <c r="DT1" s="441"/>
      <c r="DU1" s="441"/>
      <c r="DV1" s="441"/>
      <c r="DW1" s="441"/>
      <c r="DX1" s="471"/>
      <c r="DY1" s="472"/>
      <c r="DZ1" s="472"/>
      <c r="EA1" s="472"/>
      <c r="EB1" s="472"/>
      <c r="EC1" s="472"/>
      <c r="ED1" s="456" t="s">
        <v>24</v>
      </c>
      <c r="EE1" s="457" t="s">
        <v>25</v>
      </c>
      <c r="EF1" s="456" t="s">
        <v>26</v>
      </c>
    </row>
    <row r="2" spans="1:136" ht="26.25" customHeight="1" x14ac:dyDescent="0.25">
      <c r="A2" s="537"/>
      <c r="B2" s="539"/>
      <c r="C2" s="539"/>
      <c r="D2" s="537"/>
      <c r="E2" s="251" t="s">
        <v>27</v>
      </c>
      <c r="F2" s="29" t="s">
        <v>28</v>
      </c>
      <c r="G2" s="29" t="s">
        <v>29</v>
      </c>
      <c r="H2" s="29" t="s">
        <v>28</v>
      </c>
      <c r="I2" s="29" t="s">
        <v>29</v>
      </c>
      <c r="J2" s="29" t="s">
        <v>28</v>
      </c>
      <c r="K2" s="29" t="s">
        <v>29</v>
      </c>
      <c r="L2" s="258" t="s">
        <v>28</v>
      </c>
      <c r="M2" s="258" t="s">
        <v>29</v>
      </c>
      <c r="N2" s="253" t="s">
        <v>31</v>
      </c>
      <c r="O2" s="134" t="s">
        <v>32</v>
      </c>
      <c r="P2" s="134" t="s">
        <v>28</v>
      </c>
      <c r="Q2" s="129" t="s">
        <v>3</v>
      </c>
      <c r="R2" s="129" t="s">
        <v>2</v>
      </c>
      <c r="S2" s="129" t="s">
        <v>33</v>
      </c>
      <c r="T2" s="149" t="s">
        <v>31</v>
      </c>
      <c r="U2" s="149" t="s">
        <v>32</v>
      </c>
      <c r="V2" s="149" t="s">
        <v>28</v>
      </c>
      <c r="W2" s="104" t="s">
        <v>3</v>
      </c>
      <c r="X2" s="104" t="s">
        <v>2</v>
      </c>
      <c r="Y2" s="104" t="s">
        <v>33</v>
      </c>
      <c r="Z2" s="151" t="s">
        <v>31</v>
      </c>
      <c r="AA2" s="151" t="s">
        <v>32</v>
      </c>
      <c r="AB2" s="151" t="s">
        <v>28</v>
      </c>
      <c r="AC2" s="109" t="s">
        <v>3</v>
      </c>
      <c r="AD2" s="109" t="s">
        <v>2</v>
      </c>
      <c r="AE2" s="109" t="s">
        <v>33</v>
      </c>
      <c r="AF2" s="120" t="s">
        <v>31</v>
      </c>
      <c r="AG2" s="120" t="s">
        <v>32</v>
      </c>
      <c r="AH2" s="120" t="s">
        <v>28</v>
      </c>
      <c r="AI2" s="129" t="s">
        <v>3</v>
      </c>
      <c r="AJ2" s="129" t="s">
        <v>2</v>
      </c>
      <c r="AK2" s="129" t="s">
        <v>33</v>
      </c>
      <c r="AL2" s="180" t="s">
        <v>31</v>
      </c>
      <c r="AM2" s="180" t="s">
        <v>32</v>
      </c>
      <c r="AN2" s="180" t="s">
        <v>28</v>
      </c>
      <c r="AO2" s="190" t="s">
        <v>3</v>
      </c>
      <c r="AP2" s="190" t="s">
        <v>2</v>
      </c>
      <c r="AQ2" s="190" t="s">
        <v>33</v>
      </c>
      <c r="AR2" s="200" t="s">
        <v>31</v>
      </c>
      <c r="AS2" s="200" t="s">
        <v>32</v>
      </c>
      <c r="AT2" s="200" t="s">
        <v>28</v>
      </c>
      <c r="AU2" s="102" t="s">
        <v>3</v>
      </c>
      <c r="AV2" s="102" t="s">
        <v>2</v>
      </c>
      <c r="AW2" s="102" t="s">
        <v>33</v>
      </c>
      <c r="AX2" s="127" t="s">
        <v>31</v>
      </c>
      <c r="AY2" s="127" t="s">
        <v>32</v>
      </c>
      <c r="AZ2" s="127" t="s">
        <v>28</v>
      </c>
      <c r="BA2" s="95" t="s">
        <v>3</v>
      </c>
      <c r="BB2" s="95" t="s">
        <v>2</v>
      </c>
      <c r="BC2" s="95" t="s">
        <v>33</v>
      </c>
      <c r="BD2" s="208" t="s">
        <v>31</v>
      </c>
      <c r="BE2" s="208" t="s">
        <v>32</v>
      </c>
      <c r="BF2" s="208" t="s">
        <v>28</v>
      </c>
      <c r="BG2" s="88" t="s">
        <v>3</v>
      </c>
      <c r="BH2" s="88" t="s">
        <v>2</v>
      </c>
      <c r="BI2" s="88" t="s">
        <v>33</v>
      </c>
      <c r="BJ2" s="149" t="s">
        <v>31</v>
      </c>
      <c r="BK2" s="149" t="s">
        <v>32</v>
      </c>
      <c r="BL2" s="149" t="s">
        <v>28</v>
      </c>
      <c r="BM2" s="104" t="s">
        <v>3</v>
      </c>
      <c r="BN2" s="104" t="s">
        <v>2</v>
      </c>
      <c r="BO2" s="104" t="s">
        <v>33</v>
      </c>
      <c r="BP2" s="151" t="s">
        <v>31</v>
      </c>
      <c r="BQ2" s="151" t="s">
        <v>32</v>
      </c>
      <c r="BR2" s="151" t="s">
        <v>28</v>
      </c>
      <c r="BS2" s="109" t="s">
        <v>3</v>
      </c>
      <c r="BT2" s="109" t="s">
        <v>2</v>
      </c>
      <c r="BU2" s="109" t="s">
        <v>33</v>
      </c>
      <c r="BV2" s="120" t="s">
        <v>31</v>
      </c>
      <c r="BW2" s="120" t="s">
        <v>32</v>
      </c>
      <c r="BX2" s="82" t="s">
        <v>28</v>
      </c>
      <c r="BY2" s="129" t="s">
        <v>3</v>
      </c>
      <c r="BZ2" s="129" t="s">
        <v>2</v>
      </c>
      <c r="CA2" s="129" t="s">
        <v>33</v>
      </c>
      <c r="CB2" s="103" t="s">
        <v>31</v>
      </c>
      <c r="CC2" s="103" t="s">
        <v>32</v>
      </c>
      <c r="CD2" s="103" t="s">
        <v>28</v>
      </c>
      <c r="CE2" s="104" t="s">
        <v>3</v>
      </c>
      <c r="CF2" s="104" t="s">
        <v>2</v>
      </c>
      <c r="CG2" s="104" t="s">
        <v>33</v>
      </c>
      <c r="CH2" s="233" t="s">
        <v>31</v>
      </c>
      <c r="CI2" s="233" t="s">
        <v>32</v>
      </c>
      <c r="CJ2" s="233" t="s">
        <v>28</v>
      </c>
      <c r="CK2" s="99" t="s">
        <v>3</v>
      </c>
      <c r="CL2" s="99" t="s">
        <v>2</v>
      </c>
      <c r="CM2" s="99" t="s">
        <v>33</v>
      </c>
      <c r="CN2" s="100" t="s">
        <v>31</v>
      </c>
      <c r="CO2" s="100" t="s">
        <v>32</v>
      </c>
      <c r="CP2" s="100" t="s">
        <v>28</v>
      </c>
      <c r="CQ2" s="101" t="s">
        <v>3</v>
      </c>
      <c r="CR2" s="101" t="s">
        <v>2</v>
      </c>
      <c r="CS2" s="101" t="s">
        <v>33</v>
      </c>
      <c r="CT2" s="103" t="s">
        <v>31</v>
      </c>
      <c r="CU2" s="103" t="s">
        <v>32</v>
      </c>
      <c r="CV2" s="103" t="s">
        <v>28</v>
      </c>
      <c r="CW2" s="104" t="s">
        <v>3</v>
      </c>
      <c r="CX2" s="104" t="s">
        <v>2</v>
      </c>
      <c r="CY2" s="104" t="s">
        <v>33</v>
      </c>
      <c r="CZ2" s="105" t="s">
        <v>31</v>
      </c>
      <c r="DA2" s="105" t="s">
        <v>32</v>
      </c>
      <c r="DB2" s="105" t="s">
        <v>28</v>
      </c>
      <c r="DC2" s="106" t="s">
        <v>3</v>
      </c>
      <c r="DD2" s="106" t="s">
        <v>2</v>
      </c>
      <c r="DE2" s="106" t="s">
        <v>33</v>
      </c>
      <c r="DF2" s="85" t="s">
        <v>31</v>
      </c>
      <c r="DG2" s="85" t="s">
        <v>32</v>
      </c>
      <c r="DH2" s="85" t="s">
        <v>28</v>
      </c>
      <c r="DI2" s="86" t="s">
        <v>3</v>
      </c>
      <c r="DJ2" s="86" t="s">
        <v>2</v>
      </c>
      <c r="DK2" s="86" t="s">
        <v>33</v>
      </c>
      <c r="DL2" s="103" t="s">
        <v>31</v>
      </c>
      <c r="DM2" s="103" t="s">
        <v>32</v>
      </c>
      <c r="DN2" s="103" t="s">
        <v>28</v>
      </c>
      <c r="DO2" s="104" t="s">
        <v>3</v>
      </c>
      <c r="DP2" s="104" t="s">
        <v>2</v>
      </c>
      <c r="DQ2" s="104" t="s">
        <v>33</v>
      </c>
      <c r="DR2" s="94" t="s">
        <v>31</v>
      </c>
      <c r="DS2" s="94" t="s">
        <v>32</v>
      </c>
      <c r="DT2" s="94" t="s">
        <v>28</v>
      </c>
      <c r="DU2" s="95" t="s">
        <v>3</v>
      </c>
      <c r="DV2" s="95" t="s">
        <v>2</v>
      </c>
      <c r="DW2" s="95" t="s">
        <v>33</v>
      </c>
      <c r="DX2" s="100" t="s">
        <v>31</v>
      </c>
      <c r="DY2" s="100" t="s">
        <v>32</v>
      </c>
      <c r="DZ2" s="100" t="s">
        <v>28</v>
      </c>
      <c r="EA2" s="101" t="s">
        <v>3</v>
      </c>
      <c r="EB2" s="101" t="s">
        <v>2</v>
      </c>
      <c r="EC2" s="101" t="s">
        <v>33</v>
      </c>
      <c r="ED2" s="456"/>
      <c r="EE2" s="457"/>
      <c r="EF2" s="456"/>
    </row>
    <row r="3" spans="1:136" ht="36" x14ac:dyDescent="0.25">
      <c r="A3" s="25" t="e">
        <f>#REF!</f>
        <v>#REF!</v>
      </c>
      <c r="B3" s="50" t="e">
        <f>#REF!</f>
        <v>#REF!</v>
      </c>
      <c r="C3" s="5" t="e">
        <f>#REF!</f>
        <v>#REF!</v>
      </c>
      <c r="D3" s="5" t="e">
        <f>#REF!</f>
        <v>#REF!</v>
      </c>
      <c r="E3" s="252">
        <v>1</v>
      </c>
      <c r="F3" s="249">
        <v>0</v>
      </c>
      <c r="G3" s="249">
        <v>0</v>
      </c>
      <c r="H3" s="249">
        <v>0</v>
      </c>
      <c r="I3" s="249">
        <v>0</v>
      </c>
      <c r="J3" s="249">
        <v>593512.5</v>
      </c>
      <c r="K3" s="249">
        <v>0</v>
      </c>
      <c r="L3" s="274">
        <f>J3</f>
        <v>593512.5</v>
      </c>
      <c r="M3" s="274"/>
      <c r="N3" s="254"/>
      <c r="O3" s="135"/>
      <c r="P3" s="135"/>
      <c r="Q3" s="131"/>
      <c r="R3" s="131"/>
      <c r="S3" s="11"/>
      <c r="T3" s="274"/>
      <c r="U3" s="274"/>
      <c r="V3" s="274"/>
      <c r="W3" s="39"/>
      <c r="X3" s="11"/>
      <c r="Y3" s="11"/>
      <c r="Z3" s="274"/>
      <c r="AA3" s="274"/>
      <c r="AB3" s="274"/>
      <c r="AC3" s="5"/>
      <c r="AD3" s="5"/>
      <c r="AE3" s="39"/>
      <c r="AF3" s="274"/>
      <c r="AG3" s="274"/>
      <c r="AH3" s="169"/>
      <c r="AI3" s="5"/>
      <c r="AJ3" s="274"/>
      <c r="AK3" s="274"/>
      <c r="AL3" s="144"/>
      <c r="AM3" s="152"/>
      <c r="AN3" s="181"/>
      <c r="AO3" s="131"/>
      <c r="AP3" s="131"/>
      <c r="AQ3" s="39"/>
      <c r="AR3" s="274"/>
      <c r="AS3" s="274"/>
      <c r="AT3" s="274"/>
      <c r="AU3" s="39"/>
      <c r="AV3" s="39"/>
      <c r="AW3" s="39"/>
      <c r="AX3" s="144">
        <v>747000</v>
      </c>
      <c r="AY3" s="274">
        <f>+AX3*0.19</f>
        <v>141930</v>
      </c>
      <c r="AZ3" s="274">
        <f>+AX3+AY3</f>
        <v>888930</v>
      </c>
      <c r="BA3" s="39" t="s">
        <v>2876</v>
      </c>
      <c r="BB3" s="39" t="s">
        <v>139</v>
      </c>
      <c r="BC3" s="39"/>
      <c r="BD3" s="274"/>
      <c r="BE3" s="274"/>
      <c r="BF3" s="274"/>
      <c r="BG3" s="39"/>
      <c r="BH3" s="39"/>
      <c r="BI3" s="39"/>
      <c r="BJ3" s="274">
        <v>1673300</v>
      </c>
      <c r="BK3" s="274">
        <f t="shared" ref="BK3:BK11" si="0">+BJ3*0.19</f>
        <v>317927</v>
      </c>
      <c r="BL3" s="274">
        <f t="shared" ref="BL3:BL11" si="1">+BJ3+BK3</f>
        <v>1991227</v>
      </c>
      <c r="BM3" s="213" t="s">
        <v>4732</v>
      </c>
      <c r="BN3" s="213" t="s">
        <v>2878</v>
      </c>
      <c r="BO3" s="39"/>
      <c r="BP3" s="274"/>
      <c r="BQ3" s="274"/>
      <c r="BR3" s="274"/>
      <c r="BS3" s="39"/>
      <c r="BT3" s="39"/>
      <c r="BU3" s="39"/>
      <c r="BV3" s="219">
        <v>1972338.7896000005</v>
      </c>
      <c r="BW3" s="219">
        <f t="shared" ref="BW3:BW11" si="2">+BV3*0.19</f>
        <v>374744.37002400012</v>
      </c>
      <c r="BX3" s="273">
        <f t="shared" ref="BX3:BX11" si="3">+BV3+BW3</f>
        <v>2347083.1596240005</v>
      </c>
      <c r="BY3" s="213" t="s">
        <v>4732</v>
      </c>
      <c r="BZ3" s="213" t="s">
        <v>2878</v>
      </c>
      <c r="CA3" s="213"/>
      <c r="CB3" s="274"/>
      <c r="CC3" s="274"/>
      <c r="CD3" s="274"/>
      <c r="CE3" s="39"/>
      <c r="CF3" s="39"/>
      <c r="CG3" s="39"/>
      <c r="CH3" s="274"/>
      <c r="CI3" s="274"/>
      <c r="CJ3" s="274"/>
      <c r="CK3" s="39"/>
      <c r="CL3" s="39"/>
      <c r="CM3" s="39"/>
      <c r="CN3" s="39"/>
      <c r="CO3" s="39"/>
      <c r="CP3" s="11"/>
      <c r="CQ3" s="11"/>
      <c r="CR3" s="11"/>
      <c r="CS3" s="11"/>
      <c r="CT3" s="11"/>
      <c r="CU3" s="11"/>
      <c r="CV3" s="11"/>
      <c r="CW3" s="11"/>
      <c r="CX3" s="11"/>
      <c r="CY3" s="11"/>
      <c r="CZ3" s="11"/>
      <c r="DA3" s="11"/>
      <c r="DB3" s="11"/>
      <c r="DC3" s="11"/>
      <c r="DD3" s="11"/>
      <c r="DE3" s="11"/>
      <c r="DF3" s="11"/>
      <c r="DG3" s="11"/>
      <c r="DH3" s="11"/>
      <c r="DI3" s="11"/>
      <c r="DJ3" s="11"/>
      <c r="DK3" s="11"/>
      <c r="DL3" s="274"/>
      <c r="DM3" s="274"/>
      <c r="DN3" s="274"/>
      <c r="DO3" s="274"/>
      <c r="DP3" s="274"/>
      <c r="DQ3" s="274"/>
      <c r="DR3" s="274"/>
      <c r="DS3" s="274"/>
      <c r="DT3" s="274"/>
      <c r="DU3" s="274"/>
      <c r="DV3" s="274"/>
      <c r="DW3" s="274"/>
      <c r="DX3" s="274"/>
      <c r="DY3" s="274"/>
      <c r="DZ3" s="274"/>
      <c r="EA3" s="274"/>
      <c r="EB3" s="274"/>
      <c r="EC3" s="274"/>
      <c r="ED3" s="39">
        <f t="shared" ref="ED3:ED66" si="4">SUM(M3,P3,V3,AB3,AH3,AN3,AT3,AZ3,BF3,BL3,BR3,BX3,CD3,CJ3,CP3,CV3,DB3,DH3,DN3,DT3,DZ3)</f>
        <v>5227240.159624001</v>
      </c>
      <c r="EE3" s="30">
        <f t="shared" ref="EE3:EE66" si="5">COUNTA(M3,N3,T3,Z3,AF3,AL3,AR3,AX3,BD3,BJ3,BP3,BV3,CB3,CH3,CN3,CT3,CZ3,DF3,DL3,DR3,DX3)</f>
        <v>3</v>
      </c>
      <c r="EF3" s="39">
        <f t="shared" ref="EF3:EF66" si="6">IFERROR(ED3/EE3," ")</f>
        <v>1742413.3865413337</v>
      </c>
    </row>
    <row r="4" spans="1:136" ht="36" x14ac:dyDescent="0.25">
      <c r="A4" s="25" t="e">
        <f>#REF!</f>
        <v>#REF!</v>
      </c>
      <c r="B4" s="50" t="e">
        <f>#REF!</f>
        <v>#REF!</v>
      </c>
      <c r="C4" s="5" t="e">
        <f>#REF!</f>
        <v>#REF!</v>
      </c>
      <c r="D4" s="5" t="e">
        <f>#REF!</f>
        <v>#REF!</v>
      </c>
      <c r="E4" s="252">
        <v>1</v>
      </c>
      <c r="F4" s="249">
        <v>0</v>
      </c>
      <c r="G4" s="249">
        <v>0</v>
      </c>
      <c r="H4" s="249">
        <v>0</v>
      </c>
      <c r="I4" s="249">
        <v>0</v>
      </c>
      <c r="J4" s="249">
        <v>127253.04666666668</v>
      </c>
      <c r="K4" s="249">
        <v>0</v>
      </c>
      <c r="L4" s="274">
        <f>J4</f>
        <v>127253.04666666668</v>
      </c>
      <c r="M4" s="274"/>
      <c r="N4" s="254"/>
      <c r="O4" s="135"/>
      <c r="P4" s="135"/>
      <c r="Q4" s="131"/>
      <c r="R4" s="131"/>
      <c r="S4" s="11"/>
      <c r="T4" s="274"/>
      <c r="U4" s="274"/>
      <c r="V4" s="274"/>
      <c r="W4" s="39"/>
      <c r="X4" s="11"/>
      <c r="Y4" s="11"/>
      <c r="Z4" s="274">
        <v>46000</v>
      </c>
      <c r="AA4" s="274">
        <f>+Z4*0.19</f>
        <v>8740</v>
      </c>
      <c r="AB4" s="274">
        <f>+Z4+AA4</f>
        <v>54740</v>
      </c>
      <c r="AC4" s="5" t="s">
        <v>4733</v>
      </c>
      <c r="AD4" s="5" t="s">
        <v>2883</v>
      </c>
      <c r="AE4" s="39"/>
      <c r="AF4" s="274"/>
      <c r="AG4" s="274"/>
      <c r="AH4" s="169"/>
      <c r="AI4" s="5"/>
      <c r="AJ4" s="274"/>
      <c r="AK4" s="274"/>
      <c r="AL4" s="144"/>
      <c r="AM4" s="152"/>
      <c r="AN4" s="152"/>
      <c r="AO4" s="131"/>
      <c r="AP4" s="131"/>
      <c r="AQ4" s="39"/>
      <c r="AR4" s="274"/>
      <c r="AS4" s="274"/>
      <c r="AT4" s="274"/>
      <c r="AU4" s="39"/>
      <c r="AV4" s="39"/>
      <c r="AW4" s="39"/>
      <c r="AX4" s="144">
        <v>351000</v>
      </c>
      <c r="AY4" s="274">
        <f>+AX4*0.19</f>
        <v>66690</v>
      </c>
      <c r="AZ4" s="274">
        <f>+AX4+AY4</f>
        <v>417690</v>
      </c>
      <c r="BA4" s="39" t="s">
        <v>4734</v>
      </c>
      <c r="BB4" s="39" t="s">
        <v>139</v>
      </c>
      <c r="BC4" s="39"/>
      <c r="BD4" s="274"/>
      <c r="BE4" s="274"/>
      <c r="BF4" s="274"/>
      <c r="BG4" s="39"/>
      <c r="BH4" s="39"/>
      <c r="BI4" s="39"/>
      <c r="BJ4" s="274">
        <v>873600</v>
      </c>
      <c r="BK4" s="274">
        <f t="shared" si="0"/>
        <v>165984</v>
      </c>
      <c r="BL4" s="274">
        <f t="shared" si="1"/>
        <v>1039584</v>
      </c>
      <c r="BM4" s="214" t="s">
        <v>2882</v>
      </c>
      <c r="BN4" s="213" t="s">
        <v>2878</v>
      </c>
      <c r="BO4" s="39"/>
      <c r="BP4" s="274"/>
      <c r="BQ4" s="274"/>
      <c r="BR4" s="274"/>
      <c r="BS4" s="39"/>
      <c r="BT4" s="39"/>
      <c r="BU4" s="39"/>
      <c r="BV4" s="219">
        <v>1001486.304</v>
      </c>
      <c r="BW4" s="219">
        <f t="shared" si="2"/>
        <v>190282.39775999999</v>
      </c>
      <c r="BX4" s="273">
        <f t="shared" si="3"/>
        <v>1191768.7017600001</v>
      </c>
      <c r="BY4" s="214" t="s">
        <v>2882</v>
      </c>
      <c r="BZ4" s="213" t="s">
        <v>2878</v>
      </c>
      <c r="CA4" s="213"/>
      <c r="CB4" s="274"/>
      <c r="CC4" s="274"/>
      <c r="CD4" s="274"/>
      <c r="CE4" s="39"/>
      <c r="CF4" s="39"/>
      <c r="CG4" s="39"/>
      <c r="CH4" s="274"/>
      <c r="CI4" s="274"/>
      <c r="CJ4" s="274"/>
      <c r="CK4" s="39"/>
      <c r="CL4" s="39"/>
      <c r="CM4" s="39"/>
      <c r="CN4" s="39"/>
      <c r="CO4" s="39"/>
      <c r="CP4" s="11"/>
      <c r="CQ4" s="11"/>
      <c r="CR4" s="11"/>
      <c r="CS4" s="11"/>
      <c r="CT4" s="11"/>
      <c r="CU4" s="11"/>
      <c r="CV4" s="11"/>
      <c r="CW4" s="11"/>
      <c r="CX4" s="11"/>
      <c r="CY4" s="11"/>
      <c r="CZ4" s="11"/>
      <c r="DA4" s="11"/>
      <c r="DB4" s="11"/>
      <c r="DC4" s="11"/>
      <c r="DD4" s="11"/>
      <c r="DE4" s="11"/>
      <c r="DF4" s="11"/>
      <c r="DG4" s="11"/>
      <c r="DH4" s="11"/>
      <c r="DI4" s="11"/>
      <c r="DJ4" s="11"/>
      <c r="DK4" s="11"/>
      <c r="DL4" s="274"/>
      <c r="DM4" s="274"/>
      <c r="DN4" s="274"/>
      <c r="DO4" s="274"/>
      <c r="DP4" s="274"/>
      <c r="DQ4" s="274"/>
      <c r="DR4" s="274"/>
      <c r="DS4" s="274"/>
      <c r="DT4" s="274"/>
      <c r="DU4" s="274"/>
      <c r="DV4" s="274"/>
      <c r="DW4" s="274"/>
      <c r="DX4" s="274"/>
      <c r="DY4" s="274"/>
      <c r="DZ4" s="274"/>
      <c r="EA4" s="274"/>
      <c r="EB4" s="274"/>
      <c r="EC4" s="274"/>
      <c r="ED4" s="39">
        <f t="shared" si="4"/>
        <v>2703782.7017600001</v>
      </c>
      <c r="EE4" s="30">
        <f t="shared" si="5"/>
        <v>4</v>
      </c>
      <c r="EF4" s="39">
        <f t="shared" si="6"/>
        <v>675945.67544000002</v>
      </c>
    </row>
    <row r="5" spans="1:136" ht="38.25" x14ac:dyDescent="0.25">
      <c r="A5" s="25" t="e">
        <f>#REF!</f>
        <v>#REF!</v>
      </c>
      <c r="B5" s="50" t="e">
        <f>#REF!</f>
        <v>#REF!</v>
      </c>
      <c r="C5" s="5" t="e">
        <f>#REF!</f>
        <v>#REF!</v>
      </c>
      <c r="D5" s="5" t="e">
        <f>#REF!</f>
        <v>#REF!</v>
      </c>
      <c r="E5" s="252">
        <v>1</v>
      </c>
      <c r="F5" s="249">
        <v>398254.12666666665</v>
      </c>
      <c r="G5" s="249">
        <v>386274</v>
      </c>
      <c r="H5" s="249">
        <v>0</v>
      </c>
      <c r="I5" s="249">
        <v>0</v>
      </c>
      <c r="J5" s="249">
        <v>755296.43777777778</v>
      </c>
      <c r="K5" s="249">
        <v>714000</v>
      </c>
      <c r="L5" s="274">
        <f>AVERAGE(F5,J5)</f>
        <v>576775.28222222219</v>
      </c>
      <c r="M5" s="274">
        <f>AVERAGE(G5,K5)*E1</f>
        <v>566641.11</v>
      </c>
      <c r="N5" s="254"/>
      <c r="O5" s="136"/>
      <c r="P5" s="135"/>
      <c r="Q5" s="131"/>
      <c r="R5" s="131"/>
      <c r="S5" s="11"/>
      <c r="T5" s="274"/>
      <c r="U5" s="274"/>
      <c r="V5" s="274"/>
      <c r="W5" s="39"/>
      <c r="X5" s="11"/>
      <c r="Y5" s="11"/>
      <c r="Z5" s="274"/>
      <c r="AA5" s="274"/>
      <c r="AB5" s="274"/>
      <c r="AC5" s="5"/>
      <c r="AD5" s="22"/>
      <c r="AE5" s="39"/>
      <c r="AF5" s="274"/>
      <c r="AG5" s="274"/>
      <c r="AH5" s="169"/>
      <c r="AI5" s="22"/>
      <c r="AJ5" s="274"/>
      <c r="AK5" s="274"/>
      <c r="AL5" s="144"/>
      <c r="AM5" s="152"/>
      <c r="AN5" s="181"/>
      <c r="AO5" s="131"/>
      <c r="AP5" s="131"/>
      <c r="AQ5" s="39"/>
      <c r="AR5" s="274"/>
      <c r="AS5" s="274"/>
      <c r="AT5" s="274"/>
      <c r="AU5" s="39"/>
      <c r="AV5" s="39"/>
      <c r="AW5" s="39"/>
      <c r="AX5" s="144">
        <v>826000</v>
      </c>
      <c r="AY5" s="274">
        <f>+AX5*0.19</f>
        <v>156940</v>
      </c>
      <c r="AZ5" s="274">
        <f>+AX5+AY5</f>
        <v>982940</v>
      </c>
      <c r="BA5" s="39" t="s">
        <v>2938</v>
      </c>
      <c r="BB5" s="62" t="s">
        <v>4735</v>
      </c>
      <c r="BC5" s="39"/>
      <c r="BD5" s="274">
        <v>364452</v>
      </c>
      <c r="BE5" s="274">
        <f>+BD5*0.19</f>
        <v>69245.88</v>
      </c>
      <c r="BF5" s="274">
        <f>+BD5+BE5</f>
        <v>433697.88</v>
      </c>
      <c r="BG5" s="25" t="s">
        <v>2005</v>
      </c>
      <c r="BH5" s="5" t="s">
        <v>4736</v>
      </c>
      <c r="BI5" s="5" t="s">
        <v>4737</v>
      </c>
      <c r="BJ5" s="274">
        <v>590800</v>
      </c>
      <c r="BK5" s="274">
        <f t="shared" si="0"/>
        <v>112252</v>
      </c>
      <c r="BL5" s="274">
        <f t="shared" si="1"/>
        <v>703052</v>
      </c>
      <c r="BM5" s="213" t="s">
        <v>4738</v>
      </c>
      <c r="BN5" s="213" t="s">
        <v>4739</v>
      </c>
      <c r="BO5" s="39"/>
      <c r="BP5" s="274">
        <v>596000</v>
      </c>
      <c r="BQ5" s="274">
        <f>+BP5*19%</f>
        <v>113240</v>
      </c>
      <c r="BR5" s="274">
        <f>+BQ5+BP5</f>
        <v>709240</v>
      </c>
      <c r="BS5" s="39"/>
      <c r="BT5" s="39"/>
      <c r="BU5" s="39"/>
      <c r="BV5" s="219">
        <v>639255.05280000006</v>
      </c>
      <c r="BW5" s="219">
        <f t="shared" si="2"/>
        <v>121458.46003200002</v>
      </c>
      <c r="BX5" s="273">
        <f t="shared" si="3"/>
        <v>760713.51283200004</v>
      </c>
      <c r="BY5" s="213" t="s">
        <v>4738</v>
      </c>
      <c r="BZ5" s="213" t="s">
        <v>4739</v>
      </c>
      <c r="CA5" s="213"/>
      <c r="CB5" s="274"/>
      <c r="CC5" s="274"/>
      <c r="CD5" s="274"/>
      <c r="CE5" s="39"/>
      <c r="CF5" s="39"/>
      <c r="CG5" s="39"/>
      <c r="CH5" s="274"/>
      <c r="CI5" s="274"/>
      <c r="CJ5" s="274"/>
      <c r="CK5" s="39"/>
      <c r="CL5" s="39"/>
      <c r="CM5" s="39"/>
      <c r="CN5" s="39"/>
      <c r="CO5" s="39"/>
      <c r="CP5" s="11"/>
      <c r="CQ5" s="11"/>
      <c r="CR5" s="11"/>
      <c r="CS5" s="11"/>
      <c r="CT5" s="11"/>
      <c r="CU5" s="11"/>
      <c r="CV5" s="11"/>
      <c r="CW5" s="11"/>
      <c r="CX5" s="11"/>
      <c r="CY5" s="11"/>
      <c r="CZ5" s="11"/>
      <c r="DA5" s="11"/>
      <c r="DB5" s="11"/>
      <c r="DC5" s="11"/>
      <c r="DD5" s="11"/>
      <c r="DE5" s="11"/>
      <c r="DF5" s="11"/>
      <c r="DG5" s="11"/>
      <c r="DH5" s="11"/>
      <c r="DI5" s="11"/>
      <c r="DJ5" s="11"/>
      <c r="DK5" s="11"/>
      <c r="DL5" s="274"/>
      <c r="DM5" s="274"/>
      <c r="DN5" s="274"/>
      <c r="DO5" s="274"/>
      <c r="DP5" s="274"/>
      <c r="DQ5" s="274"/>
      <c r="DR5" s="274"/>
      <c r="DS5" s="274"/>
      <c r="DT5" s="274"/>
      <c r="DU5" s="274"/>
      <c r="DV5" s="274"/>
      <c r="DW5" s="274"/>
      <c r="DX5" s="274"/>
      <c r="DY5" s="274"/>
      <c r="DZ5" s="274"/>
      <c r="EA5" s="274"/>
      <c r="EB5" s="274"/>
      <c r="EC5" s="274"/>
      <c r="ED5" s="39">
        <f t="shared" si="4"/>
        <v>4156284.5028319997</v>
      </c>
      <c r="EE5" s="30">
        <f t="shared" si="5"/>
        <v>6</v>
      </c>
      <c r="EF5" s="39">
        <f t="shared" si="6"/>
        <v>692714.08380533324</v>
      </c>
    </row>
    <row r="6" spans="1:136" x14ac:dyDescent="0.25">
      <c r="A6" s="25" t="e">
        <f>#REF!</f>
        <v>#REF!</v>
      </c>
      <c r="B6" s="50" t="e">
        <f>#REF!</f>
        <v>#REF!</v>
      </c>
      <c r="C6" s="5" t="e">
        <f>#REF!</f>
        <v>#REF!</v>
      </c>
      <c r="D6" s="5" t="e">
        <f>#REF!</f>
        <v>#REF!</v>
      </c>
      <c r="E6" s="252">
        <v>1</v>
      </c>
      <c r="F6" s="249">
        <v>25406.5</v>
      </c>
      <c r="G6" s="249">
        <v>24990</v>
      </c>
      <c r="H6" s="249">
        <v>39389</v>
      </c>
      <c r="I6" s="249">
        <v>0</v>
      </c>
      <c r="J6" s="249">
        <v>57990.683333333327</v>
      </c>
      <c r="K6" s="249">
        <v>55454</v>
      </c>
      <c r="L6" s="274">
        <f>AVERAGE(F6,H6,J6)</f>
        <v>40928.727777777771</v>
      </c>
      <c r="M6" s="274">
        <f>AVERAGE(G6,K6)*E1</f>
        <v>41428.660000000003</v>
      </c>
      <c r="N6" s="255">
        <v>37000</v>
      </c>
      <c r="O6" s="135">
        <f t="shared" ref="O6:O11" si="7">+N6*0.19</f>
        <v>7030</v>
      </c>
      <c r="P6" s="135">
        <f t="shared" ref="P6:P11" si="8">+N6+O6</f>
        <v>44030</v>
      </c>
      <c r="Q6" s="131"/>
      <c r="R6" s="131"/>
      <c r="S6" s="11"/>
      <c r="T6" s="274"/>
      <c r="U6" s="274"/>
      <c r="V6" s="274"/>
      <c r="W6" s="39"/>
      <c r="X6" s="11"/>
      <c r="Y6" s="11"/>
      <c r="Z6" s="274"/>
      <c r="AA6" s="274"/>
      <c r="AB6" s="274"/>
      <c r="AC6" s="5"/>
      <c r="AD6" s="22"/>
      <c r="AE6" s="39"/>
      <c r="AF6" s="274"/>
      <c r="AG6" s="274"/>
      <c r="AH6" s="169"/>
      <c r="AI6" s="4"/>
      <c r="AJ6" s="39"/>
      <c r="AK6" s="39"/>
      <c r="AL6" s="118"/>
      <c r="AM6" s="152"/>
      <c r="AN6" s="181"/>
      <c r="AO6" s="131"/>
      <c r="AP6" s="131"/>
      <c r="AQ6" s="39"/>
      <c r="AR6" s="274"/>
      <c r="AS6" s="274"/>
      <c r="AT6" s="274"/>
      <c r="AU6" s="39"/>
      <c r="AV6" s="39"/>
      <c r="AW6" s="39"/>
      <c r="AX6" s="274"/>
      <c r="AY6" s="274"/>
      <c r="AZ6" s="274"/>
      <c r="BA6" s="39"/>
      <c r="BB6" s="62"/>
      <c r="BC6" s="39"/>
      <c r="BD6" s="274"/>
      <c r="BE6" s="274"/>
      <c r="BF6" s="274"/>
      <c r="BG6" s="39"/>
      <c r="BH6" s="39"/>
      <c r="BI6" s="39"/>
      <c r="BJ6" s="274">
        <v>57500</v>
      </c>
      <c r="BK6" s="274">
        <f t="shared" si="0"/>
        <v>10925</v>
      </c>
      <c r="BL6" s="274">
        <f t="shared" si="1"/>
        <v>68425</v>
      </c>
      <c r="BM6" s="213" t="s">
        <v>554</v>
      </c>
      <c r="BN6" s="213" t="s">
        <v>131</v>
      </c>
      <c r="BO6" s="39"/>
      <c r="BP6" s="274"/>
      <c r="BQ6" s="274"/>
      <c r="BR6" s="274"/>
      <c r="BS6" s="39"/>
      <c r="BT6" s="39"/>
      <c r="BU6" s="39"/>
      <c r="BV6" s="219">
        <v>66539.287500000006</v>
      </c>
      <c r="BW6" s="219">
        <f t="shared" si="2"/>
        <v>12642.464625000001</v>
      </c>
      <c r="BX6" s="273">
        <f t="shared" si="3"/>
        <v>79181.752124999999</v>
      </c>
      <c r="BY6" s="213" t="s">
        <v>554</v>
      </c>
      <c r="BZ6" s="213" t="s">
        <v>131</v>
      </c>
      <c r="CA6" s="213"/>
      <c r="CB6" s="274"/>
      <c r="CC6" s="274"/>
      <c r="CD6" s="274"/>
      <c r="CE6" s="39"/>
      <c r="CF6" s="39"/>
      <c r="CG6" s="39"/>
      <c r="CH6" s="274"/>
      <c r="CI6" s="274"/>
      <c r="CJ6" s="274"/>
      <c r="CK6" s="39"/>
      <c r="CL6" s="39"/>
      <c r="CM6" s="39"/>
      <c r="CN6" s="39"/>
      <c r="CO6" s="39"/>
      <c r="CP6" s="11"/>
      <c r="CQ6" s="11"/>
      <c r="CR6" s="11"/>
      <c r="CS6" s="11"/>
      <c r="CT6" s="11"/>
      <c r="CU6" s="11"/>
      <c r="CV6" s="11"/>
      <c r="CW6" s="11"/>
      <c r="CX6" s="11"/>
      <c r="CY6" s="11"/>
      <c r="CZ6" s="11"/>
      <c r="DA6" s="11"/>
      <c r="DB6" s="11"/>
      <c r="DC6" s="11"/>
      <c r="DD6" s="11"/>
      <c r="DE6" s="11"/>
      <c r="DF6" s="11"/>
      <c r="DG6" s="11"/>
      <c r="DH6" s="11"/>
      <c r="DI6" s="11"/>
      <c r="DJ6" s="11"/>
      <c r="DK6" s="11"/>
      <c r="DL6" s="274"/>
      <c r="DM6" s="274"/>
      <c r="DN6" s="274"/>
      <c r="DO6" s="274"/>
      <c r="DP6" s="274"/>
      <c r="DQ6" s="274"/>
      <c r="DR6" s="274"/>
      <c r="DS6" s="274"/>
      <c r="DT6" s="274"/>
      <c r="DU6" s="274"/>
      <c r="DV6" s="274"/>
      <c r="DW6" s="274"/>
      <c r="DX6" s="274"/>
      <c r="DY6" s="274"/>
      <c r="DZ6" s="274"/>
      <c r="EA6" s="274"/>
      <c r="EB6" s="274"/>
      <c r="EC6" s="274"/>
      <c r="ED6" s="39">
        <f t="shared" si="4"/>
        <v>233065.412125</v>
      </c>
      <c r="EE6" s="30">
        <f t="shared" si="5"/>
        <v>4</v>
      </c>
      <c r="EF6" s="39">
        <f t="shared" si="6"/>
        <v>58266.353031250001</v>
      </c>
    </row>
    <row r="7" spans="1:136" x14ac:dyDescent="0.25">
      <c r="A7" s="25" t="e">
        <f>#REF!</f>
        <v>#REF!</v>
      </c>
      <c r="B7" s="50" t="e">
        <f>#REF!</f>
        <v>#REF!</v>
      </c>
      <c r="C7" s="5" t="e">
        <f>#REF!</f>
        <v>#REF!</v>
      </c>
      <c r="D7" s="5" t="e">
        <f>#REF!</f>
        <v>#REF!</v>
      </c>
      <c r="E7" s="252">
        <v>1</v>
      </c>
      <c r="F7" s="249">
        <v>19157.810000000001</v>
      </c>
      <c r="G7" s="249">
        <v>18564</v>
      </c>
      <c r="H7" s="249">
        <v>28837.289039999996</v>
      </c>
      <c r="I7" s="249">
        <v>0</v>
      </c>
      <c r="J7" s="249">
        <v>37616.395833333336</v>
      </c>
      <c r="K7" s="249">
        <v>33796</v>
      </c>
      <c r="L7" s="274">
        <f>AVERAGE(F7,H7,J7)</f>
        <v>28537.164957777783</v>
      </c>
      <c r="M7" s="274">
        <f>AVERAGE(G7,K7)*E1</f>
        <v>26965.4</v>
      </c>
      <c r="N7" s="255">
        <v>23500</v>
      </c>
      <c r="O7" s="135">
        <f t="shared" si="7"/>
        <v>4465</v>
      </c>
      <c r="P7" s="135">
        <f t="shared" si="8"/>
        <v>27965</v>
      </c>
      <c r="Q7" s="131"/>
      <c r="R7" s="131"/>
      <c r="S7" s="11"/>
      <c r="T7" s="274"/>
      <c r="U7" s="274"/>
      <c r="V7" s="274"/>
      <c r="W7" s="39"/>
      <c r="X7" s="11"/>
      <c r="Y7" s="11"/>
      <c r="Z7" s="274"/>
      <c r="AA7" s="274"/>
      <c r="AB7" s="274"/>
      <c r="AC7" s="5"/>
      <c r="AD7" s="22"/>
      <c r="AE7" s="39"/>
      <c r="AF7" s="274"/>
      <c r="AG7" s="274"/>
      <c r="AH7" s="169"/>
      <c r="AI7" s="4"/>
      <c r="AJ7" s="39"/>
      <c r="AK7" s="39"/>
      <c r="AL7" s="118"/>
      <c r="AM7" s="152"/>
      <c r="AN7" s="152"/>
      <c r="AO7" s="131"/>
      <c r="AP7" s="131"/>
      <c r="AQ7" s="39"/>
      <c r="AR7" s="274"/>
      <c r="AS7" s="274"/>
      <c r="AT7" s="274"/>
      <c r="AU7" s="39"/>
      <c r="AV7" s="39"/>
      <c r="AW7" s="39"/>
      <c r="AX7" s="274"/>
      <c r="AY7" s="274"/>
      <c r="AZ7" s="274"/>
      <c r="BA7" s="39"/>
      <c r="BB7" s="62"/>
      <c r="BC7" s="39"/>
      <c r="BD7" s="274"/>
      <c r="BE7" s="274"/>
      <c r="BF7" s="274"/>
      <c r="BG7" s="39"/>
      <c r="BH7" s="39"/>
      <c r="BI7" s="39"/>
      <c r="BJ7" s="274">
        <v>84700</v>
      </c>
      <c r="BK7" s="274">
        <f t="shared" si="0"/>
        <v>16093</v>
      </c>
      <c r="BL7" s="274">
        <f t="shared" si="1"/>
        <v>100793</v>
      </c>
      <c r="BM7" s="213" t="s">
        <v>554</v>
      </c>
      <c r="BN7" s="213" t="s">
        <v>131</v>
      </c>
      <c r="BO7" s="39"/>
      <c r="BP7" s="274"/>
      <c r="BQ7" s="274"/>
      <c r="BR7" s="274"/>
      <c r="BS7" s="39"/>
      <c r="BT7" s="39"/>
      <c r="BU7" s="39"/>
      <c r="BV7" s="219">
        <v>98041.944000000018</v>
      </c>
      <c r="BW7" s="219">
        <f t="shared" si="2"/>
        <v>18627.969360000003</v>
      </c>
      <c r="BX7" s="273">
        <f t="shared" si="3"/>
        <v>116669.91336000002</v>
      </c>
      <c r="BY7" s="213" t="s">
        <v>554</v>
      </c>
      <c r="BZ7" s="213" t="s">
        <v>131</v>
      </c>
      <c r="CA7" s="213"/>
      <c r="CB7" s="274"/>
      <c r="CC7" s="274"/>
      <c r="CD7" s="274"/>
      <c r="CE7" s="39"/>
      <c r="CF7" s="39"/>
      <c r="CG7" s="39"/>
      <c r="CH7" s="274"/>
      <c r="CI7" s="274"/>
      <c r="CJ7" s="274"/>
      <c r="CK7" s="39"/>
      <c r="CL7" s="39"/>
      <c r="CM7" s="39"/>
      <c r="CN7" s="39"/>
      <c r="CO7" s="39"/>
      <c r="CP7" s="11"/>
      <c r="CQ7" s="11"/>
      <c r="CR7" s="11"/>
      <c r="CS7" s="11"/>
      <c r="CT7" s="11"/>
      <c r="CU7" s="11"/>
      <c r="CV7" s="11"/>
      <c r="CW7" s="11"/>
      <c r="CX7" s="11"/>
      <c r="CY7" s="11"/>
      <c r="CZ7" s="11"/>
      <c r="DA7" s="11"/>
      <c r="DB7" s="11"/>
      <c r="DC7" s="11"/>
      <c r="DD7" s="11"/>
      <c r="DE7" s="11"/>
      <c r="DF7" s="11"/>
      <c r="DG7" s="11"/>
      <c r="DH7" s="11"/>
      <c r="DI7" s="11"/>
      <c r="DJ7" s="11"/>
      <c r="DK7" s="11"/>
      <c r="DL7" s="274"/>
      <c r="DM7" s="274"/>
      <c r="DN7" s="274"/>
      <c r="DO7" s="274"/>
      <c r="DP7" s="274"/>
      <c r="DQ7" s="274"/>
      <c r="DR7" s="274"/>
      <c r="DS7" s="274"/>
      <c r="DT7" s="274"/>
      <c r="DU7" s="274"/>
      <c r="DV7" s="274"/>
      <c r="DW7" s="274"/>
      <c r="DX7" s="274"/>
      <c r="DY7" s="274"/>
      <c r="DZ7" s="274"/>
      <c r="EA7" s="274"/>
      <c r="EB7" s="274"/>
      <c r="EC7" s="274"/>
      <c r="ED7" s="39">
        <f t="shared" si="4"/>
        <v>272393.31336000003</v>
      </c>
      <c r="EE7" s="30">
        <f t="shared" si="5"/>
        <v>4</v>
      </c>
      <c r="EF7" s="39">
        <f t="shared" si="6"/>
        <v>68098.328340000007</v>
      </c>
    </row>
    <row r="8" spans="1:136" x14ac:dyDescent="0.25">
      <c r="A8" s="25" t="e">
        <f>#REF!</f>
        <v>#REF!</v>
      </c>
      <c r="B8" s="50" t="e">
        <f>#REF!</f>
        <v>#REF!</v>
      </c>
      <c r="C8" s="5" t="e">
        <f>#REF!</f>
        <v>#REF!</v>
      </c>
      <c r="D8" s="5" t="e">
        <f>#REF!</f>
        <v>#REF!</v>
      </c>
      <c r="E8" s="252">
        <v>1</v>
      </c>
      <c r="F8" s="249">
        <v>46411.19</v>
      </c>
      <c r="G8" s="249">
        <v>0</v>
      </c>
      <c r="H8" s="249">
        <v>27240.261440000002</v>
      </c>
      <c r="I8" s="249">
        <v>27132</v>
      </c>
      <c r="J8" s="249">
        <v>73421.545555555553</v>
      </c>
      <c r="K8" s="249">
        <v>72590</v>
      </c>
      <c r="L8" s="274">
        <f>AVERAGE(F8,H8,J8)</f>
        <v>49024.332331851852</v>
      </c>
      <c r="M8" s="274">
        <f>AVERAGE(I8,K8)*E1</f>
        <v>51356.83</v>
      </c>
      <c r="N8" s="255">
        <v>34000</v>
      </c>
      <c r="O8" s="135">
        <f t="shared" si="7"/>
        <v>6460</v>
      </c>
      <c r="P8" s="135">
        <f t="shared" si="8"/>
        <v>40460</v>
      </c>
      <c r="Q8" s="131"/>
      <c r="R8" s="131"/>
      <c r="S8" s="11"/>
      <c r="T8" s="274"/>
      <c r="U8" s="274"/>
      <c r="V8" s="274"/>
      <c r="W8" s="39"/>
      <c r="X8" s="11"/>
      <c r="Y8" s="11"/>
      <c r="Z8" s="274"/>
      <c r="AA8" s="274"/>
      <c r="AB8" s="274"/>
      <c r="AC8" s="5"/>
      <c r="AD8" s="22"/>
      <c r="AE8" s="39"/>
      <c r="AF8" s="274"/>
      <c r="AG8" s="274"/>
      <c r="AH8" s="169"/>
      <c r="AI8" s="4"/>
      <c r="AJ8" s="39"/>
      <c r="AK8" s="39"/>
      <c r="AL8" s="118"/>
      <c r="AM8" s="152"/>
      <c r="AN8" s="181"/>
      <c r="AO8" s="131"/>
      <c r="AP8" s="131"/>
      <c r="AQ8" s="39"/>
      <c r="AR8" s="274"/>
      <c r="AS8" s="274"/>
      <c r="AT8" s="274"/>
      <c r="AU8" s="39"/>
      <c r="AV8" s="39"/>
      <c r="AW8" s="39"/>
      <c r="AX8" s="274"/>
      <c r="AY8" s="274"/>
      <c r="AZ8" s="274"/>
      <c r="BA8" s="39"/>
      <c r="BB8" s="62"/>
      <c r="BC8" s="39"/>
      <c r="BD8" s="274"/>
      <c r="BE8" s="274"/>
      <c r="BF8" s="274"/>
      <c r="BG8" s="39"/>
      <c r="BH8" s="39"/>
      <c r="BI8" s="39"/>
      <c r="BJ8" s="274">
        <v>30100</v>
      </c>
      <c r="BK8" s="274">
        <f t="shared" si="0"/>
        <v>5719</v>
      </c>
      <c r="BL8" s="274">
        <f t="shared" si="1"/>
        <v>35819</v>
      </c>
      <c r="BM8" s="213" t="s">
        <v>554</v>
      </c>
      <c r="BN8" s="213" t="s">
        <v>131</v>
      </c>
      <c r="BO8" s="39"/>
      <c r="BP8" s="274"/>
      <c r="BQ8" s="274"/>
      <c r="BR8" s="274"/>
      <c r="BS8" s="39"/>
      <c r="BT8" s="39"/>
      <c r="BU8" s="39"/>
      <c r="BV8" s="219">
        <v>33845.8848</v>
      </c>
      <c r="BW8" s="219">
        <f t="shared" si="2"/>
        <v>6430.7181120000005</v>
      </c>
      <c r="BX8" s="273">
        <f t="shared" si="3"/>
        <v>40276.602912000002</v>
      </c>
      <c r="BY8" s="213" t="s">
        <v>554</v>
      </c>
      <c r="BZ8" s="213" t="s">
        <v>131</v>
      </c>
      <c r="CA8" s="213"/>
      <c r="CB8" s="274"/>
      <c r="CC8" s="274"/>
      <c r="CD8" s="274"/>
      <c r="CE8" s="39"/>
      <c r="CF8" s="39"/>
      <c r="CG8" s="39"/>
      <c r="CH8" s="274"/>
      <c r="CI8" s="274"/>
      <c r="CJ8" s="274"/>
      <c r="CK8" s="39"/>
      <c r="CL8" s="39"/>
      <c r="CM8" s="39"/>
      <c r="CN8" s="39"/>
      <c r="CO8" s="39"/>
      <c r="CP8" s="11"/>
      <c r="CQ8" s="11"/>
      <c r="CR8" s="11"/>
      <c r="CS8" s="11"/>
      <c r="CT8" s="11"/>
      <c r="CU8" s="11"/>
      <c r="CV8" s="11"/>
      <c r="CW8" s="11"/>
      <c r="CX8" s="11"/>
      <c r="CY8" s="11"/>
      <c r="CZ8" s="11"/>
      <c r="DA8" s="11"/>
      <c r="DB8" s="11"/>
      <c r="DC8" s="11"/>
      <c r="DD8" s="11"/>
      <c r="DE8" s="11"/>
      <c r="DF8" s="11"/>
      <c r="DG8" s="11"/>
      <c r="DH8" s="11"/>
      <c r="DI8" s="11"/>
      <c r="DJ8" s="11"/>
      <c r="DK8" s="11"/>
      <c r="DL8" s="274"/>
      <c r="DM8" s="274"/>
      <c r="DN8" s="274"/>
      <c r="DO8" s="274"/>
      <c r="DP8" s="274"/>
      <c r="DQ8" s="274"/>
      <c r="DR8" s="274"/>
      <c r="DS8" s="274"/>
      <c r="DT8" s="274"/>
      <c r="DU8" s="274"/>
      <c r="DV8" s="274"/>
      <c r="DW8" s="274"/>
      <c r="DX8" s="274"/>
      <c r="DY8" s="274"/>
      <c r="DZ8" s="274"/>
      <c r="EA8" s="274"/>
      <c r="EB8" s="274"/>
      <c r="EC8" s="274"/>
      <c r="ED8" s="39">
        <f t="shared" si="4"/>
        <v>167912.43291199999</v>
      </c>
      <c r="EE8" s="30">
        <f t="shared" si="5"/>
        <v>4</v>
      </c>
      <c r="EF8" s="39">
        <f t="shared" si="6"/>
        <v>41978.108227999997</v>
      </c>
    </row>
    <row r="9" spans="1:136" x14ac:dyDescent="0.25">
      <c r="A9" s="25" t="e">
        <f>#REF!</f>
        <v>#REF!</v>
      </c>
      <c r="B9" s="50" t="e">
        <f>#REF!</f>
        <v>#REF!</v>
      </c>
      <c r="C9" s="5" t="e">
        <f>#REF!</f>
        <v>#REF!</v>
      </c>
      <c r="D9" s="5" t="e">
        <f>#REF!</f>
        <v>#REF!</v>
      </c>
      <c r="E9" s="252">
        <v>1</v>
      </c>
      <c r="F9" s="249">
        <v>1963.5</v>
      </c>
      <c r="G9" s="249">
        <v>1904</v>
      </c>
      <c r="H9" s="249">
        <v>2336.8267999999998</v>
      </c>
      <c r="I9" s="249">
        <v>0</v>
      </c>
      <c r="J9" s="249">
        <v>2865.2555555555555</v>
      </c>
      <c r="K9" s="249">
        <v>2023</v>
      </c>
      <c r="L9" s="274">
        <f>AVERAGE(F9,H9,J9)</f>
        <v>2388.5274518518518</v>
      </c>
      <c r="M9" s="274">
        <f>AVERAGE(G9,K9)*E1</f>
        <v>2022.405</v>
      </c>
      <c r="N9" s="255">
        <v>2000</v>
      </c>
      <c r="O9" s="135">
        <f t="shared" si="7"/>
        <v>380</v>
      </c>
      <c r="P9" s="135">
        <f t="shared" si="8"/>
        <v>2380</v>
      </c>
      <c r="Q9" s="131"/>
      <c r="R9" s="131"/>
      <c r="S9" s="11"/>
      <c r="T9" s="274"/>
      <c r="U9" s="274"/>
      <c r="V9" s="274"/>
      <c r="W9" s="39"/>
      <c r="X9" s="11"/>
      <c r="Y9" s="11"/>
      <c r="Z9" s="274"/>
      <c r="AA9" s="274"/>
      <c r="AB9" s="274"/>
      <c r="AC9" s="5"/>
      <c r="AD9" s="22"/>
      <c r="AE9" s="39"/>
      <c r="AF9" s="274"/>
      <c r="AG9" s="274"/>
      <c r="AH9" s="169"/>
      <c r="AI9" s="4"/>
      <c r="AJ9" s="39"/>
      <c r="AK9" s="39"/>
      <c r="AL9" s="118"/>
      <c r="AM9" s="152"/>
      <c r="AN9" s="181"/>
      <c r="AO9" s="131"/>
      <c r="AP9" s="131"/>
      <c r="AQ9" s="39"/>
      <c r="AR9" s="274"/>
      <c r="AS9" s="274"/>
      <c r="AT9" s="274"/>
      <c r="AU9" s="39"/>
      <c r="AV9" s="39"/>
      <c r="AW9" s="39"/>
      <c r="AX9" s="274"/>
      <c r="AY9" s="274"/>
      <c r="AZ9" s="274"/>
      <c r="BA9" s="39"/>
      <c r="BB9" s="62"/>
      <c r="BC9" s="39"/>
      <c r="BD9" s="274"/>
      <c r="BE9" s="274"/>
      <c r="BF9" s="274"/>
      <c r="BG9" s="39"/>
      <c r="BH9" s="39"/>
      <c r="BI9" s="39"/>
      <c r="BJ9" s="274">
        <v>2300</v>
      </c>
      <c r="BK9" s="274">
        <f t="shared" si="0"/>
        <v>437</v>
      </c>
      <c r="BL9" s="274">
        <f t="shared" si="1"/>
        <v>2737</v>
      </c>
      <c r="BM9" s="213" t="s">
        <v>2891</v>
      </c>
      <c r="BN9" s="213" t="s">
        <v>4740</v>
      </c>
      <c r="BO9" s="39"/>
      <c r="BP9" s="274"/>
      <c r="BQ9" s="274"/>
      <c r="BR9" s="274"/>
      <c r="BS9" s="39"/>
      <c r="BT9" s="39"/>
      <c r="BU9" s="39"/>
      <c r="BV9" s="219">
        <v>2713.0064000000002</v>
      </c>
      <c r="BW9" s="219">
        <f t="shared" si="2"/>
        <v>515.47121600000003</v>
      </c>
      <c r="BX9" s="273">
        <f t="shared" si="3"/>
        <v>3228.4776160000001</v>
      </c>
      <c r="BY9" s="213" t="s">
        <v>2891</v>
      </c>
      <c r="BZ9" s="213" t="s">
        <v>4740</v>
      </c>
      <c r="CA9" s="213"/>
      <c r="CB9" s="274"/>
      <c r="CC9" s="274"/>
      <c r="CD9" s="274"/>
      <c r="CE9" s="39"/>
      <c r="CF9" s="39"/>
      <c r="CG9" s="39"/>
      <c r="CH9" s="274"/>
      <c r="CI9" s="274"/>
      <c r="CJ9" s="274"/>
      <c r="CK9" s="39"/>
      <c r="CL9" s="39"/>
      <c r="CM9" s="39"/>
      <c r="CN9" s="39"/>
      <c r="CO9" s="39"/>
      <c r="CP9" s="11"/>
      <c r="CQ9" s="11"/>
      <c r="CR9" s="11"/>
      <c r="CS9" s="11"/>
      <c r="CT9" s="11"/>
      <c r="CU9" s="11"/>
      <c r="CV9" s="11"/>
      <c r="CW9" s="11"/>
      <c r="CX9" s="11"/>
      <c r="CY9" s="11"/>
      <c r="CZ9" s="11"/>
      <c r="DA9" s="11"/>
      <c r="DB9" s="11"/>
      <c r="DC9" s="11"/>
      <c r="DD9" s="11"/>
      <c r="DE9" s="11"/>
      <c r="DF9" s="11"/>
      <c r="DG9" s="11"/>
      <c r="DH9" s="11"/>
      <c r="DI9" s="11"/>
      <c r="DJ9" s="11"/>
      <c r="DK9" s="11"/>
      <c r="DL9" s="274"/>
      <c r="DM9" s="274"/>
      <c r="DN9" s="274"/>
      <c r="DO9" s="274"/>
      <c r="DP9" s="274"/>
      <c r="DQ9" s="274"/>
      <c r="DR9" s="274"/>
      <c r="DS9" s="274"/>
      <c r="DT9" s="274"/>
      <c r="DU9" s="274"/>
      <c r="DV9" s="274"/>
      <c r="DW9" s="274"/>
      <c r="DX9" s="274"/>
      <c r="DY9" s="274"/>
      <c r="DZ9" s="274"/>
      <c r="EA9" s="274"/>
      <c r="EB9" s="274"/>
      <c r="EC9" s="274"/>
      <c r="ED9" s="39">
        <f t="shared" si="4"/>
        <v>10367.882615999999</v>
      </c>
      <c r="EE9" s="30">
        <f t="shared" si="5"/>
        <v>4</v>
      </c>
      <c r="EF9" s="39">
        <f t="shared" si="6"/>
        <v>2591.9706539999997</v>
      </c>
    </row>
    <row r="10" spans="1:136" x14ac:dyDescent="0.25">
      <c r="A10" s="25" t="e">
        <f>#REF!</f>
        <v>#REF!</v>
      </c>
      <c r="B10" s="50" t="e">
        <f>#REF!</f>
        <v>#REF!</v>
      </c>
      <c r="C10" s="5" t="e">
        <f>#REF!</f>
        <v>#REF!</v>
      </c>
      <c r="D10" s="5" t="e">
        <f>#REF!</f>
        <v>#REF!</v>
      </c>
      <c r="E10" s="252">
        <v>1</v>
      </c>
      <c r="F10" s="249">
        <v>1963.5</v>
      </c>
      <c r="G10" s="249">
        <v>1904</v>
      </c>
      <c r="H10" s="249">
        <v>2459.3333333333335</v>
      </c>
      <c r="I10" s="249">
        <v>0</v>
      </c>
      <c r="J10" s="249">
        <v>2927.9055555555556</v>
      </c>
      <c r="K10" s="249">
        <v>2023</v>
      </c>
      <c r="L10" s="274">
        <f>AVERAGE(F10,H10,J10)</f>
        <v>2450.2462962962964</v>
      </c>
      <c r="M10" s="274">
        <f>AVERAGE(G10,K10)*E1</f>
        <v>2022.405</v>
      </c>
      <c r="N10" s="255">
        <v>2000</v>
      </c>
      <c r="O10" s="135">
        <f t="shared" si="7"/>
        <v>380</v>
      </c>
      <c r="P10" s="135">
        <f t="shared" si="8"/>
        <v>2380</v>
      </c>
      <c r="Q10" s="131"/>
      <c r="R10" s="131"/>
      <c r="S10" s="11"/>
      <c r="T10" s="274"/>
      <c r="U10" s="274"/>
      <c r="V10" s="274"/>
      <c r="W10" s="39"/>
      <c r="X10" s="11"/>
      <c r="Y10" s="11"/>
      <c r="Z10" s="274"/>
      <c r="AA10" s="274"/>
      <c r="AB10" s="274"/>
      <c r="AC10" s="5"/>
      <c r="AD10" s="22"/>
      <c r="AE10" s="39"/>
      <c r="AF10" s="274"/>
      <c r="AG10" s="274"/>
      <c r="AH10" s="169"/>
      <c r="AI10" s="4"/>
      <c r="AJ10" s="39"/>
      <c r="AK10" s="39"/>
      <c r="AL10" s="118"/>
      <c r="AM10" s="152"/>
      <c r="AN10" s="181"/>
      <c r="AO10" s="131"/>
      <c r="AP10" s="131"/>
      <c r="AQ10" s="39"/>
      <c r="AR10" s="274"/>
      <c r="AS10" s="274"/>
      <c r="AT10" s="274"/>
      <c r="AU10" s="39"/>
      <c r="AV10" s="39"/>
      <c r="AW10" s="39"/>
      <c r="AX10" s="274"/>
      <c r="AY10" s="274"/>
      <c r="AZ10" s="274"/>
      <c r="BA10" s="39"/>
      <c r="BB10" s="62"/>
      <c r="BC10" s="39"/>
      <c r="BD10" s="274"/>
      <c r="BE10" s="274"/>
      <c r="BF10" s="274"/>
      <c r="BG10" s="39"/>
      <c r="BH10" s="39"/>
      <c r="BI10" s="39"/>
      <c r="BJ10" s="274">
        <v>2300</v>
      </c>
      <c r="BK10" s="274">
        <f t="shared" si="0"/>
        <v>437</v>
      </c>
      <c r="BL10" s="274">
        <f t="shared" si="1"/>
        <v>2737</v>
      </c>
      <c r="BM10" s="213" t="s">
        <v>2891</v>
      </c>
      <c r="BN10" s="213" t="s">
        <v>4740</v>
      </c>
      <c r="BO10" s="39"/>
      <c r="BP10" s="274"/>
      <c r="BQ10" s="274"/>
      <c r="BR10" s="274"/>
      <c r="BS10" s="39"/>
      <c r="BT10" s="39"/>
      <c r="BU10" s="39"/>
      <c r="BV10" s="219">
        <v>2611.0980000000004</v>
      </c>
      <c r="BW10" s="219">
        <f t="shared" si="2"/>
        <v>496.10862000000009</v>
      </c>
      <c r="BX10" s="273">
        <f t="shared" si="3"/>
        <v>3107.2066200000004</v>
      </c>
      <c r="BY10" s="213" t="s">
        <v>2891</v>
      </c>
      <c r="BZ10" s="213" t="s">
        <v>4740</v>
      </c>
      <c r="CA10" s="213"/>
      <c r="CB10" s="274"/>
      <c r="CC10" s="274"/>
      <c r="CD10" s="274"/>
      <c r="CE10" s="39"/>
      <c r="CF10" s="39"/>
      <c r="CG10" s="39"/>
      <c r="CH10" s="274"/>
      <c r="CI10" s="274"/>
      <c r="CJ10" s="274"/>
      <c r="CK10" s="39"/>
      <c r="CL10" s="39"/>
      <c r="CM10" s="39"/>
      <c r="CN10" s="39"/>
      <c r="CO10" s="39"/>
      <c r="CP10" s="11"/>
      <c r="CQ10" s="11"/>
      <c r="CR10" s="11"/>
      <c r="CS10" s="11"/>
      <c r="CT10" s="11"/>
      <c r="CU10" s="11"/>
      <c r="CV10" s="11"/>
      <c r="CW10" s="11"/>
      <c r="CX10" s="11"/>
      <c r="CY10" s="11"/>
      <c r="CZ10" s="11"/>
      <c r="DA10" s="11"/>
      <c r="DB10" s="11"/>
      <c r="DC10" s="11"/>
      <c r="DD10" s="11"/>
      <c r="DE10" s="11"/>
      <c r="DF10" s="11"/>
      <c r="DG10" s="11"/>
      <c r="DH10" s="11"/>
      <c r="DI10" s="11"/>
      <c r="DJ10" s="11"/>
      <c r="DK10" s="11"/>
      <c r="DL10" s="274"/>
      <c r="DM10" s="274"/>
      <c r="DN10" s="274"/>
      <c r="DO10" s="274"/>
      <c r="DP10" s="274"/>
      <c r="DQ10" s="274"/>
      <c r="DR10" s="274"/>
      <c r="DS10" s="274"/>
      <c r="DT10" s="274"/>
      <c r="DU10" s="274"/>
      <c r="DV10" s="274"/>
      <c r="DW10" s="274"/>
      <c r="DX10" s="274"/>
      <c r="DY10" s="274"/>
      <c r="DZ10" s="274"/>
      <c r="EA10" s="274"/>
      <c r="EB10" s="274"/>
      <c r="EC10" s="274"/>
      <c r="ED10" s="39">
        <f t="shared" si="4"/>
        <v>10246.61162</v>
      </c>
      <c r="EE10" s="30">
        <f t="shared" si="5"/>
        <v>4</v>
      </c>
      <c r="EF10" s="39">
        <f t="shared" si="6"/>
        <v>2561.6529049999999</v>
      </c>
    </row>
    <row r="11" spans="1:136" x14ac:dyDescent="0.25">
      <c r="A11" s="25" t="e">
        <f>#REF!</f>
        <v>#REF!</v>
      </c>
      <c r="B11" s="50" t="e">
        <f>#REF!</f>
        <v>#REF!</v>
      </c>
      <c r="C11" s="5" t="e">
        <f>#REF!</f>
        <v>#REF!</v>
      </c>
      <c r="D11" s="5" t="e">
        <f>#REF!</f>
        <v>#REF!</v>
      </c>
      <c r="E11" s="252">
        <v>1</v>
      </c>
      <c r="F11" s="249">
        <v>0</v>
      </c>
      <c r="G11" s="249">
        <v>0</v>
      </c>
      <c r="H11" s="249">
        <v>24244.47452</v>
      </c>
      <c r="I11" s="249">
        <v>24157</v>
      </c>
      <c r="J11" s="249">
        <v>27753.378333333334</v>
      </c>
      <c r="K11" s="249">
        <v>26418</v>
      </c>
      <c r="L11" s="274">
        <f>AVERAGE(H11,J11)</f>
        <v>25998.926426666665</v>
      </c>
      <c r="M11" s="274">
        <f>AVERAGE(I11,K11)*E1</f>
        <v>26046.125</v>
      </c>
      <c r="N11" s="255">
        <v>19000</v>
      </c>
      <c r="O11" s="135">
        <f t="shared" si="7"/>
        <v>3610</v>
      </c>
      <c r="P11" s="135">
        <f t="shared" si="8"/>
        <v>22610</v>
      </c>
      <c r="Q11" s="131"/>
      <c r="R11" s="131"/>
      <c r="S11" s="11"/>
      <c r="T11" s="274"/>
      <c r="U11" s="274"/>
      <c r="V11" s="274"/>
      <c r="W11" s="39"/>
      <c r="X11" s="11"/>
      <c r="Y11" s="11"/>
      <c r="Z11" s="274"/>
      <c r="AA11" s="274"/>
      <c r="AB11" s="274"/>
      <c r="AC11" s="5"/>
      <c r="AD11" s="22"/>
      <c r="AE11" s="39"/>
      <c r="AF11" s="274"/>
      <c r="AG11" s="274"/>
      <c r="AH11" s="169"/>
      <c r="AI11" s="4"/>
      <c r="AJ11" s="39"/>
      <c r="AK11" s="39"/>
      <c r="AL11" s="118"/>
      <c r="AM11" s="152"/>
      <c r="AN11" s="181"/>
      <c r="AO11" s="131"/>
      <c r="AP11" s="131"/>
      <c r="AQ11" s="39"/>
      <c r="AR11" s="274"/>
      <c r="AS11" s="274"/>
      <c r="AT11" s="274"/>
      <c r="AU11" s="39"/>
      <c r="AV11" s="39"/>
      <c r="AW11" s="39"/>
      <c r="AX11" s="274"/>
      <c r="AY11" s="274"/>
      <c r="AZ11" s="274"/>
      <c r="BA11" s="39"/>
      <c r="BB11" s="62"/>
      <c r="BC11" s="39"/>
      <c r="BD11" s="274"/>
      <c r="BE11" s="274"/>
      <c r="BF11" s="274"/>
      <c r="BG11" s="39"/>
      <c r="BH11" s="39"/>
      <c r="BI11" s="39"/>
      <c r="BJ11" s="274">
        <v>30100</v>
      </c>
      <c r="BK11" s="274">
        <f t="shared" si="0"/>
        <v>5719</v>
      </c>
      <c r="BL11" s="274">
        <f t="shared" si="1"/>
        <v>35819</v>
      </c>
      <c r="BM11" s="213" t="s">
        <v>554</v>
      </c>
      <c r="BN11" s="213" t="s">
        <v>131</v>
      </c>
      <c r="BO11" s="39"/>
      <c r="BP11" s="274"/>
      <c r="BQ11" s="274"/>
      <c r="BR11" s="274"/>
      <c r="BS11" s="39"/>
      <c r="BT11" s="39"/>
      <c r="BU11" s="39"/>
      <c r="BV11" s="219">
        <v>32249.380800000003</v>
      </c>
      <c r="BW11" s="219">
        <f t="shared" si="2"/>
        <v>6127.3823520000005</v>
      </c>
      <c r="BX11" s="273">
        <f t="shared" si="3"/>
        <v>38376.763152</v>
      </c>
      <c r="BY11" s="213" t="s">
        <v>554</v>
      </c>
      <c r="BZ11" s="213" t="s">
        <v>131</v>
      </c>
      <c r="CA11" s="213"/>
      <c r="CB11" s="275"/>
      <c r="CC11" s="275"/>
      <c r="CD11" s="275"/>
      <c r="CE11" s="39"/>
      <c r="CF11" s="39"/>
      <c r="CG11" s="39"/>
      <c r="CH11" s="274"/>
      <c r="CI11" s="274"/>
      <c r="CJ11" s="274"/>
      <c r="CK11" s="39"/>
      <c r="CL11" s="39"/>
      <c r="CM11" s="39"/>
      <c r="CN11" s="39"/>
      <c r="CO11" s="39"/>
      <c r="CP11" s="11"/>
      <c r="CQ11" s="11"/>
      <c r="CR11" s="11"/>
      <c r="CS11" s="11"/>
      <c r="CT11" s="11"/>
      <c r="CU11" s="11"/>
      <c r="CV11" s="11"/>
      <c r="CW11" s="11"/>
      <c r="CX11" s="11"/>
      <c r="CY11" s="11"/>
      <c r="CZ11" s="11"/>
      <c r="DA11" s="11"/>
      <c r="DB11" s="11"/>
      <c r="DC11" s="11"/>
      <c r="DD11" s="11"/>
      <c r="DE11" s="11"/>
      <c r="DF11" s="11"/>
      <c r="DG11" s="11"/>
      <c r="DH11" s="11"/>
      <c r="DI11" s="11"/>
      <c r="DJ11" s="11"/>
      <c r="DK11" s="11"/>
      <c r="DL11" s="274"/>
      <c r="DM11" s="274"/>
      <c r="DN11" s="274"/>
      <c r="DO11" s="274"/>
      <c r="DP11" s="274"/>
      <c r="DQ11" s="274"/>
      <c r="DR11" s="274"/>
      <c r="DS11" s="274"/>
      <c r="DT11" s="274"/>
      <c r="DU11" s="274"/>
      <c r="DV11" s="274"/>
      <c r="DW11" s="274"/>
      <c r="DX11" s="274"/>
      <c r="DY11" s="274"/>
      <c r="DZ11" s="274"/>
      <c r="EA11" s="274"/>
      <c r="EB11" s="274"/>
      <c r="EC11" s="274"/>
      <c r="ED11" s="39">
        <f t="shared" si="4"/>
        <v>122851.888152</v>
      </c>
      <c r="EE11" s="30">
        <f t="shared" si="5"/>
        <v>4</v>
      </c>
      <c r="EF11" s="39">
        <f t="shared" si="6"/>
        <v>30712.972038</v>
      </c>
    </row>
    <row r="12" spans="1:136" x14ac:dyDescent="0.25">
      <c r="A12" s="25" t="e">
        <f>#REF!</f>
        <v>#REF!</v>
      </c>
      <c r="B12" s="50" t="e">
        <f>#REF!</f>
        <v>#REF!</v>
      </c>
      <c r="C12" s="5" t="e">
        <f>#REF!</f>
        <v>#REF!</v>
      </c>
      <c r="D12" s="5" t="e">
        <f>#REF!</f>
        <v>#REF!</v>
      </c>
      <c r="E12" s="252">
        <v>1</v>
      </c>
      <c r="F12" s="249">
        <v>0</v>
      </c>
      <c r="G12" s="249">
        <v>0</v>
      </c>
      <c r="H12" s="249">
        <v>0</v>
      </c>
      <c r="I12" s="249">
        <v>0</v>
      </c>
      <c r="J12" s="249">
        <v>0</v>
      </c>
      <c r="K12" s="249">
        <v>0</v>
      </c>
      <c r="L12" s="274"/>
      <c r="M12" s="274"/>
      <c r="N12" s="256"/>
      <c r="O12" s="135"/>
      <c r="P12" s="135"/>
      <c r="Q12" s="131"/>
      <c r="R12" s="131"/>
      <c r="S12" s="11"/>
      <c r="T12" s="274"/>
      <c r="U12" s="274"/>
      <c r="V12" s="274"/>
      <c r="W12" s="39"/>
      <c r="X12" s="11"/>
      <c r="Y12" s="11"/>
      <c r="Z12" s="274"/>
      <c r="AA12" s="274"/>
      <c r="AB12" s="274"/>
      <c r="AC12" s="5"/>
      <c r="AD12" s="22"/>
      <c r="AE12" s="39"/>
      <c r="AF12" s="274"/>
      <c r="AG12" s="274"/>
      <c r="AH12" s="169"/>
      <c r="AI12" s="22"/>
      <c r="AJ12" s="39"/>
      <c r="AK12" s="39"/>
      <c r="AL12" s="118"/>
      <c r="AM12" s="152"/>
      <c r="AN12" s="181"/>
      <c r="AO12" s="131"/>
      <c r="AP12" s="131"/>
      <c r="AQ12" s="39"/>
      <c r="AR12" s="274"/>
      <c r="AS12" s="274"/>
      <c r="AT12" s="274"/>
      <c r="AU12" s="39"/>
      <c r="AV12" s="39"/>
      <c r="AW12" s="39"/>
      <c r="AX12" s="275"/>
      <c r="AY12" s="274"/>
      <c r="AZ12" s="274"/>
      <c r="BA12" s="39"/>
      <c r="BB12" s="62"/>
      <c r="BC12" s="39"/>
      <c r="BD12" s="274"/>
      <c r="BE12" s="274"/>
      <c r="BF12" s="274"/>
      <c r="BG12" s="39"/>
      <c r="BH12" s="39"/>
      <c r="BI12" s="39"/>
      <c r="BJ12" s="274"/>
      <c r="BK12" s="274"/>
      <c r="BL12" s="274"/>
      <c r="BM12" s="213"/>
      <c r="BN12" s="213"/>
      <c r="BO12" s="39"/>
      <c r="BP12" s="275"/>
      <c r="BQ12" s="275"/>
      <c r="BR12" s="274"/>
      <c r="BS12" s="39"/>
      <c r="BT12" s="39"/>
      <c r="BU12" s="39"/>
      <c r="BV12" s="212"/>
      <c r="BW12" s="221"/>
      <c r="BX12" s="273"/>
      <c r="BY12" s="213"/>
      <c r="BZ12" s="213"/>
      <c r="CA12" s="213"/>
      <c r="CB12" s="274"/>
      <c r="CC12" s="274"/>
      <c r="CD12" s="274"/>
      <c r="CE12" s="39"/>
      <c r="CF12" s="39"/>
      <c r="CG12" s="39"/>
      <c r="CH12" s="275"/>
      <c r="CI12" s="275"/>
      <c r="CJ12" s="275"/>
      <c r="CK12" s="39"/>
      <c r="CL12" s="39"/>
      <c r="CM12" s="39"/>
      <c r="CN12" s="39"/>
      <c r="CO12" s="39"/>
      <c r="CP12" s="11"/>
      <c r="CQ12" s="11"/>
      <c r="CR12" s="11"/>
      <c r="CS12" s="11"/>
      <c r="CT12" s="11"/>
      <c r="CU12" s="11"/>
      <c r="CV12" s="11"/>
      <c r="CW12" s="11"/>
      <c r="CX12" s="11"/>
      <c r="CY12" s="11"/>
      <c r="CZ12" s="11"/>
      <c r="DA12" s="11"/>
      <c r="DB12" s="11"/>
      <c r="DC12" s="11"/>
      <c r="DD12" s="11"/>
      <c r="DE12" s="11"/>
      <c r="DF12" s="11"/>
      <c r="DG12" s="11"/>
      <c r="DH12" s="11"/>
      <c r="DI12" s="11"/>
      <c r="DJ12" s="11"/>
      <c r="DK12" s="11"/>
      <c r="DL12" s="274"/>
      <c r="DM12" s="274"/>
      <c r="DN12" s="274"/>
      <c r="DO12" s="274"/>
      <c r="DP12" s="274"/>
      <c r="DQ12" s="274"/>
      <c r="DR12" s="274"/>
      <c r="DS12" s="274"/>
      <c r="DT12" s="274"/>
      <c r="DU12" s="274"/>
      <c r="DV12" s="274"/>
      <c r="DW12" s="274"/>
      <c r="DX12" s="274"/>
      <c r="DY12" s="274"/>
      <c r="DZ12" s="274"/>
      <c r="EA12" s="274"/>
      <c r="EB12" s="274"/>
      <c r="EC12" s="274"/>
      <c r="ED12" s="39">
        <f t="shared" si="4"/>
        <v>0</v>
      </c>
      <c r="EE12" s="30">
        <f t="shared" si="5"/>
        <v>0</v>
      </c>
      <c r="EF12" s="39" t="str">
        <f t="shared" si="6"/>
        <v xml:space="preserve"> </v>
      </c>
    </row>
    <row r="13" spans="1:136" x14ac:dyDescent="0.25">
      <c r="A13" s="25" t="e">
        <f>#REF!</f>
        <v>#REF!</v>
      </c>
      <c r="B13" s="50" t="e">
        <f>#REF!</f>
        <v>#REF!</v>
      </c>
      <c r="C13" s="5" t="e">
        <f>#REF!</f>
        <v>#REF!</v>
      </c>
      <c r="D13" s="5" t="e">
        <f>#REF!</f>
        <v>#REF!</v>
      </c>
      <c r="E13" s="252">
        <v>1</v>
      </c>
      <c r="F13" s="249">
        <v>0</v>
      </c>
      <c r="G13" s="249">
        <v>0</v>
      </c>
      <c r="H13" s="249">
        <v>0</v>
      </c>
      <c r="I13" s="249">
        <v>0</v>
      </c>
      <c r="J13" s="249">
        <v>0</v>
      </c>
      <c r="K13" s="249">
        <v>0</v>
      </c>
      <c r="L13" s="274"/>
      <c r="M13" s="274"/>
      <c r="N13" s="255">
        <v>34000</v>
      </c>
      <c r="O13" s="135">
        <f t="shared" ref="O13:O18" si="9">+N13*0.19</f>
        <v>6460</v>
      </c>
      <c r="P13" s="135">
        <f t="shared" ref="P13:P40" si="10">+N13+O13</f>
        <v>40460</v>
      </c>
      <c r="Q13" s="131"/>
      <c r="R13" s="131"/>
      <c r="S13" s="11"/>
      <c r="T13" s="274"/>
      <c r="U13" s="274"/>
      <c r="V13" s="274"/>
      <c r="W13" s="39"/>
      <c r="X13" s="11"/>
      <c r="Y13" s="11"/>
      <c r="Z13" s="274"/>
      <c r="AA13" s="274"/>
      <c r="AB13" s="274"/>
      <c r="AC13" s="5"/>
      <c r="AD13" s="22"/>
      <c r="AE13" s="39"/>
      <c r="AF13" s="274"/>
      <c r="AG13" s="274"/>
      <c r="AH13" s="169"/>
      <c r="AI13" s="4"/>
      <c r="AJ13" s="39"/>
      <c r="AK13" s="39"/>
      <c r="AL13" s="118"/>
      <c r="AM13" s="152"/>
      <c r="AN13" s="181"/>
      <c r="AO13" s="131"/>
      <c r="AP13" s="131"/>
      <c r="AQ13" s="39"/>
      <c r="AR13" s="274"/>
      <c r="AS13" s="274"/>
      <c r="AT13" s="274"/>
      <c r="AU13" s="39"/>
      <c r="AV13" s="39"/>
      <c r="AW13" s="39"/>
      <c r="AX13" s="274"/>
      <c r="AY13" s="274"/>
      <c r="AZ13" s="274"/>
      <c r="BA13" s="39"/>
      <c r="BB13" s="62"/>
      <c r="BC13" s="39"/>
      <c r="BD13" s="274"/>
      <c r="BE13" s="274"/>
      <c r="BF13" s="274"/>
      <c r="BG13" s="39"/>
      <c r="BH13" s="39"/>
      <c r="BI13" s="39"/>
      <c r="BJ13" s="274">
        <v>28800</v>
      </c>
      <c r="BK13" s="274">
        <f t="shared" ref="BK13:BK20" si="11">+BJ13*0.19</f>
        <v>5472</v>
      </c>
      <c r="BL13" s="274">
        <f t="shared" ref="BL13:BL20" si="12">+BJ13+BK13</f>
        <v>34272</v>
      </c>
      <c r="BM13" s="213" t="s">
        <v>554</v>
      </c>
      <c r="BN13" s="213" t="s">
        <v>131</v>
      </c>
      <c r="BO13" s="39"/>
      <c r="BP13" s="274"/>
      <c r="BQ13" s="274"/>
      <c r="BR13" s="274"/>
      <c r="BS13" s="39"/>
      <c r="BT13" s="39"/>
      <c r="BU13" s="39"/>
      <c r="BV13" s="219">
        <v>32043.340800000005</v>
      </c>
      <c r="BW13" s="219">
        <f t="shared" ref="BW13:BW20" si="13">+BV13*0.19</f>
        <v>6088.2347520000012</v>
      </c>
      <c r="BX13" s="273">
        <f t="shared" ref="BX13:BX20" si="14">+BV13+BW13</f>
        <v>38131.575552000009</v>
      </c>
      <c r="BY13" s="213" t="s">
        <v>554</v>
      </c>
      <c r="BZ13" s="213" t="s">
        <v>131</v>
      </c>
      <c r="CA13" s="213"/>
      <c r="CB13" s="274"/>
      <c r="CC13" s="274"/>
      <c r="CD13" s="274"/>
      <c r="CE13" s="39"/>
      <c r="CF13" s="39"/>
      <c r="CG13" s="39"/>
      <c r="CH13" s="274"/>
      <c r="CI13" s="274"/>
      <c r="CJ13" s="274"/>
      <c r="CK13" s="39"/>
      <c r="CL13" s="39"/>
      <c r="CM13" s="39"/>
      <c r="CN13" s="39"/>
      <c r="CO13" s="39"/>
      <c r="CP13" s="11"/>
      <c r="CQ13" s="11"/>
      <c r="CR13" s="11"/>
      <c r="CS13" s="11"/>
      <c r="CT13" s="11"/>
      <c r="CU13" s="11"/>
      <c r="CV13" s="11"/>
      <c r="CW13" s="11"/>
      <c r="CX13" s="11"/>
      <c r="CY13" s="11"/>
      <c r="CZ13" s="11"/>
      <c r="DA13" s="11"/>
      <c r="DB13" s="11"/>
      <c r="DC13" s="11"/>
      <c r="DD13" s="11"/>
      <c r="DE13" s="11"/>
      <c r="DF13" s="11"/>
      <c r="DG13" s="11"/>
      <c r="DH13" s="11"/>
      <c r="DI13" s="11"/>
      <c r="DJ13" s="11"/>
      <c r="DK13" s="11"/>
      <c r="DL13" s="274"/>
      <c r="DM13" s="274"/>
      <c r="DN13" s="274"/>
      <c r="DO13" s="274"/>
      <c r="DP13" s="274"/>
      <c r="DQ13" s="274"/>
      <c r="DR13" s="274"/>
      <c r="DS13" s="274"/>
      <c r="DT13" s="274"/>
      <c r="DU13" s="274"/>
      <c r="DV13" s="274"/>
      <c r="DW13" s="274"/>
      <c r="DX13" s="274"/>
      <c r="DY13" s="274"/>
      <c r="DZ13" s="274"/>
      <c r="EA13" s="274"/>
      <c r="EB13" s="274"/>
      <c r="EC13" s="274"/>
      <c r="ED13" s="39">
        <f t="shared" si="4"/>
        <v>112863.57555200001</v>
      </c>
      <c r="EE13" s="30">
        <f t="shared" si="5"/>
        <v>3</v>
      </c>
      <c r="EF13" s="39">
        <f t="shared" si="6"/>
        <v>37621.19185066667</v>
      </c>
    </row>
    <row r="14" spans="1:136" x14ac:dyDescent="0.25">
      <c r="A14" s="25" t="e">
        <f>#REF!</f>
        <v>#REF!</v>
      </c>
      <c r="B14" s="50" t="e">
        <f>#REF!</f>
        <v>#REF!</v>
      </c>
      <c r="C14" s="5" t="e">
        <f>#REF!</f>
        <v>#REF!</v>
      </c>
      <c r="D14" s="5" t="e">
        <f>#REF!</f>
        <v>#REF!</v>
      </c>
      <c r="E14" s="252">
        <v>1</v>
      </c>
      <c r="F14" s="249">
        <v>0</v>
      </c>
      <c r="G14" s="249">
        <v>0</v>
      </c>
      <c r="H14" s="249">
        <v>78341.666666666672</v>
      </c>
      <c r="I14" s="249">
        <v>78183</v>
      </c>
      <c r="J14" s="249">
        <v>90737.5</v>
      </c>
      <c r="K14" s="249">
        <v>89250</v>
      </c>
      <c r="L14" s="274">
        <f>AVERAGE(H14,J14)</f>
        <v>84539.583333333343</v>
      </c>
      <c r="M14" s="274">
        <f>AVERAGE(I14,K14)*E1</f>
        <v>86227.994999999995</v>
      </c>
      <c r="N14" s="255">
        <v>52500</v>
      </c>
      <c r="O14" s="135">
        <f t="shared" si="9"/>
        <v>9975</v>
      </c>
      <c r="P14" s="135">
        <f t="shared" si="10"/>
        <v>62475</v>
      </c>
      <c r="Q14" s="131"/>
      <c r="R14" s="131"/>
      <c r="S14" s="11"/>
      <c r="T14" s="274"/>
      <c r="U14" s="274"/>
      <c r="V14" s="274"/>
      <c r="W14" s="39"/>
      <c r="X14" s="11"/>
      <c r="Y14" s="11"/>
      <c r="Z14" s="274"/>
      <c r="AA14" s="274"/>
      <c r="AB14" s="274"/>
      <c r="AC14" s="5"/>
      <c r="AD14" s="22"/>
      <c r="AE14" s="39"/>
      <c r="AF14" s="274"/>
      <c r="AG14" s="274"/>
      <c r="AH14" s="169"/>
      <c r="AI14" s="4"/>
      <c r="AJ14" s="39"/>
      <c r="AK14" s="39"/>
      <c r="AL14" s="118"/>
      <c r="AM14" s="152"/>
      <c r="AN14" s="181"/>
      <c r="AO14" s="131"/>
      <c r="AP14" s="131"/>
      <c r="AQ14" s="39"/>
      <c r="AR14" s="274">
        <v>65000</v>
      </c>
      <c r="AS14" s="274">
        <f>+AR14*0.19</f>
        <v>12350</v>
      </c>
      <c r="AT14" s="274">
        <f>+AR14+AS14</f>
        <v>77350</v>
      </c>
      <c r="AU14" s="39"/>
      <c r="AV14" s="39"/>
      <c r="AW14" s="39"/>
      <c r="AX14" s="274"/>
      <c r="AY14" s="274"/>
      <c r="AZ14" s="274"/>
      <c r="BA14" s="39"/>
      <c r="BB14" s="62"/>
      <c r="BC14" s="39"/>
      <c r="BD14" s="274"/>
      <c r="BE14" s="274"/>
      <c r="BF14" s="274"/>
      <c r="BG14" s="39"/>
      <c r="BH14" s="39"/>
      <c r="BI14" s="39"/>
      <c r="BJ14" s="274">
        <v>85400</v>
      </c>
      <c r="BK14" s="274">
        <f t="shared" si="11"/>
        <v>16226</v>
      </c>
      <c r="BL14" s="274">
        <f t="shared" si="12"/>
        <v>101626</v>
      </c>
      <c r="BM14" s="213" t="s">
        <v>4741</v>
      </c>
      <c r="BN14" s="213" t="s">
        <v>3833</v>
      </c>
      <c r="BO14" s="39"/>
      <c r="BP14" s="274">
        <v>265000</v>
      </c>
      <c r="BQ14" s="274">
        <f>+BP14*19%</f>
        <v>50350</v>
      </c>
      <c r="BR14" s="274">
        <f>+BQ14+BP14</f>
        <v>315350</v>
      </c>
      <c r="BS14" s="39"/>
      <c r="BT14" s="39"/>
      <c r="BU14" s="39"/>
      <c r="BV14" s="219">
        <v>101685.43840000001</v>
      </c>
      <c r="BW14" s="219">
        <f t="shared" si="13"/>
        <v>19320.233296000002</v>
      </c>
      <c r="BX14" s="273">
        <f t="shared" si="14"/>
        <v>121005.67169600002</v>
      </c>
      <c r="BY14" s="213" t="s">
        <v>4741</v>
      </c>
      <c r="BZ14" s="213" t="s">
        <v>3833</v>
      </c>
      <c r="CA14" s="213"/>
      <c r="CB14" s="274"/>
      <c r="CC14" s="274"/>
      <c r="CD14" s="274"/>
      <c r="CE14" s="39"/>
      <c r="CF14" s="39"/>
      <c r="CG14" s="39"/>
      <c r="CH14" s="274"/>
      <c r="CI14" s="274"/>
      <c r="CJ14" s="274"/>
      <c r="CK14" s="39"/>
      <c r="CL14" s="39"/>
      <c r="CM14" s="39"/>
      <c r="CN14" s="39"/>
      <c r="CO14" s="39"/>
      <c r="CP14" s="11"/>
      <c r="CQ14" s="11"/>
      <c r="CR14" s="11"/>
      <c r="CS14" s="11"/>
      <c r="CT14" s="11"/>
      <c r="CU14" s="11"/>
      <c r="CV14" s="11"/>
      <c r="CW14" s="11"/>
      <c r="CX14" s="11"/>
      <c r="CY14" s="11"/>
      <c r="CZ14" s="11"/>
      <c r="DA14" s="11"/>
      <c r="DB14" s="11"/>
      <c r="DC14" s="11"/>
      <c r="DD14" s="11"/>
      <c r="DE14" s="11"/>
      <c r="DF14" s="11"/>
      <c r="DG14" s="11"/>
      <c r="DH14" s="11"/>
      <c r="DI14" s="11"/>
      <c r="DJ14" s="11"/>
      <c r="DK14" s="11"/>
      <c r="DL14" s="274"/>
      <c r="DM14" s="274"/>
      <c r="DN14" s="274"/>
      <c r="DO14" s="274"/>
      <c r="DP14" s="274"/>
      <c r="DQ14" s="274"/>
      <c r="DR14" s="274"/>
      <c r="DS14" s="274"/>
      <c r="DT14" s="274"/>
      <c r="DU14" s="274"/>
      <c r="DV14" s="274"/>
      <c r="DW14" s="274"/>
      <c r="DX14" s="274"/>
      <c r="DY14" s="274"/>
      <c r="DZ14" s="274"/>
      <c r="EA14" s="274"/>
      <c r="EB14" s="274"/>
      <c r="EC14" s="274"/>
      <c r="ED14" s="39">
        <f t="shared" si="4"/>
        <v>764034.66669600003</v>
      </c>
      <c r="EE14" s="30">
        <f t="shared" si="5"/>
        <v>6</v>
      </c>
      <c r="EF14" s="39">
        <f t="shared" si="6"/>
        <v>127339.111116</v>
      </c>
    </row>
    <row r="15" spans="1:136" x14ac:dyDescent="0.25">
      <c r="A15" s="25" t="e">
        <f>#REF!</f>
        <v>#REF!</v>
      </c>
      <c r="B15" s="50" t="e">
        <f>#REF!</f>
        <v>#REF!</v>
      </c>
      <c r="C15" s="5" t="e">
        <f>#REF!</f>
        <v>#REF!</v>
      </c>
      <c r="D15" s="5" t="e">
        <f>#REF!</f>
        <v>#REF!</v>
      </c>
      <c r="E15" s="252">
        <v>1</v>
      </c>
      <c r="F15" s="249">
        <v>64230.25</v>
      </c>
      <c r="G15" s="249">
        <v>62594</v>
      </c>
      <c r="H15" s="249">
        <v>83300</v>
      </c>
      <c r="I15" s="249">
        <v>83181</v>
      </c>
      <c r="J15" s="249">
        <v>82399.566666666666</v>
      </c>
      <c r="K15" s="249">
        <v>82110</v>
      </c>
      <c r="L15" s="274">
        <f>AVERAGE(F15,H15,J15)</f>
        <v>76643.272222222222</v>
      </c>
      <c r="M15" s="274">
        <f>AVERAGE(G15,I15,K15)*E1</f>
        <v>78240.516666666677</v>
      </c>
      <c r="N15" s="255">
        <v>52500</v>
      </c>
      <c r="O15" s="135">
        <f t="shared" si="9"/>
        <v>9975</v>
      </c>
      <c r="P15" s="135">
        <f t="shared" si="10"/>
        <v>62475</v>
      </c>
      <c r="Q15" s="131"/>
      <c r="R15" s="131"/>
      <c r="S15" s="11"/>
      <c r="T15" s="274"/>
      <c r="U15" s="274"/>
      <c r="V15" s="274"/>
      <c r="W15" s="39"/>
      <c r="X15" s="11"/>
      <c r="Y15" s="11"/>
      <c r="Z15" s="274"/>
      <c r="AA15" s="274"/>
      <c r="AB15" s="274"/>
      <c r="AC15" s="5"/>
      <c r="AD15" s="22"/>
      <c r="AE15" s="39"/>
      <c r="AF15" s="274"/>
      <c r="AG15" s="274"/>
      <c r="AH15" s="169"/>
      <c r="AI15" s="4"/>
      <c r="AJ15" s="39"/>
      <c r="AK15" s="39"/>
      <c r="AL15" s="118"/>
      <c r="AM15" s="152"/>
      <c r="AN15" s="181"/>
      <c r="AO15" s="131"/>
      <c r="AP15" s="131"/>
      <c r="AQ15" s="39"/>
      <c r="AR15" s="274">
        <v>65000</v>
      </c>
      <c r="AS15" s="274">
        <f>+AR15*0.19</f>
        <v>12350</v>
      </c>
      <c r="AT15" s="274">
        <f>+AR15+AS15</f>
        <v>77350</v>
      </c>
      <c r="AU15" s="39"/>
      <c r="AV15" s="39"/>
      <c r="AW15" s="39"/>
      <c r="AX15" s="274"/>
      <c r="AY15" s="274"/>
      <c r="AZ15" s="274"/>
      <c r="BA15" s="39"/>
      <c r="BB15" s="62"/>
      <c r="BC15" s="39"/>
      <c r="BD15" s="274"/>
      <c r="BE15" s="274"/>
      <c r="BF15" s="274"/>
      <c r="BG15" s="39"/>
      <c r="BH15" s="39"/>
      <c r="BI15" s="39"/>
      <c r="BJ15" s="274">
        <v>85400</v>
      </c>
      <c r="BK15" s="274">
        <f t="shared" si="11"/>
        <v>16226</v>
      </c>
      <c r="BL15" s="274">
        <f t="shared" si="12"/>
        <v>101626</v>
      </c>
      <c r="BM15" s="213" t="s">
        <v>4741</v>
      </c>
      <c r="BN15" s="213" t="s">
        <v>3833</v>
      </c>
      <c r="BO15" s="39"/>
      <c r="BP15" s="274">
        <v>265000</v>
      </c>
      <c r="BQ15" s="274">
        <f>+BP15*19%</f>
        <v>50350</v>
      </c>
      <c r="BR15" s="274">
        <f>+BQ15+BP15</f>
        <v>315350</v>
      </c>
      <c r="BS15" s="39"/>
      <c r="BT15" s="39"/>
      <c r="BU15" s="39"/>
      <c r="BV15" s="219">
        <v>93283.701000000001</v>
      </c>
      <c r="BW15" s="219">
        <f t="shared" si="13"/>
        <v>17723.903190000001</v>
      </c>
      <c r="BX15" s="273">
        <f t="shared" si="14"/>
        <v>111007.60419</v>
      </c>
      <c r="BY15" s="213" t="s">
        <v>4741</v>
      </c>
      <c r="BZ15" s="213" t="s">
        <v>3833</v>
      </c>
      <c r="CA15" s="213"/>
      <c r="CB15" s="274"/>
      <c r="CC15" s="274"/>
      <c r="CD15" s="274"/>
      <c r="CE15" s="39"/>
      <c r="CF15" s="39"/>
      <c r="CG15" s="39"/>
      <c r="CH15" s="274"/>
      <c r="CI15" s="274"/>
      <c r="CJ15" s="274"/>
      <c r="CK15" s="39"/>
      <c r="CL15" s="39"/>
      <c r="CM15" s="39"/>
      <c r="CN15" s="39"/>
      <c r="CO15" s="39"/>
      <c r="CP15" s="11"/>
      <c r="CQ15" s="11"/>
      <c r="CR15" s="11"/>
      <c r="CS15" s="11"/>
      <c r="CT15" s="11"/>
      <c r="CU15" s="11"/>
      <c r="CV15" s="11"/>
      <c r="CW15" s="11"/>
      <c r="CX15" s="11"/>
      <c r="CY15" s="11"/>
      <c r="CZ15" s="11"/>
      <c r="DA15" s="11"/>
      <c r="DB15" s="11"/>
      <c r="DC15" s="11"/>
      <c r="DD15" s="11"/>
      <c r="DE15" s="11"/>
      <c r="DF15" s="11"/>
      <c r="DG15" s="11"/>
      <c r="DH15" s="11"/>
      <c r="DI15" s="11"/>
      <c r="DJ15" s="11"/>
      <c r="DK15" s="11"/>
      <c r="DL15" s="274"/>
      <c r="DM15" s="274"/>
      <c r="DN15" s="274"/>
      <c r="DO15" s="274"/>
      <c r="DP15" s="274"/>
      <c r="DQ15" s="274"/>
      <c r="DR15" s="274"/>
      <c r="DS15" s="274"/>
      <c r="DT15" s="274"/>
      <c r="DU15" s="274"/>
      <c r="DV15" s="274"/>
      <c r="DW15" s="274"/>
      <c r="DX15" s="274"/>
      <c r="DY15" s="274"/>
      <c r="DZ15" s="274"/>
      <c r="EA15" s="274"/>
      <c r="EB15" s="274"/>
      <c r="EC15" s="274"/>
      <c r="ED15" s="39">
        <f t="shared" si="4"/>
        <v>746049.12085666659</v>
      </c>
      <c r="EE15" s="30">
        <f t="shared" si="5"/>
        <v>6</v>
      </c>
      <c r="EF15" s="39">
        <f t="shared" si="6"/>
        <v>124341.52014277776</v>
      </c>
    </row>
    <row r="16" spans="1:136" x14ac:dyDescent="0.25">
      <c r="A16" s="25" t="e">
        <f>#REF!</f>
        <v>#REF!</v>
      </c>
      <c r="B16" s="50" t="e">
        <f>#REF!</f>
        <v>#REF!</v>
      </c>
      <c r="C16" s="5" t="e">
        <f>#REF!</f>
        <v>#REF!</v>
      </c>
      <c r="D16" s="5" t="e">
        <f>#REF!</f>
        <v>#REF!</v>
      </c>
      <c r="E16" s="252">
        <v>1</v>
      </c>
      <c r="F16" s="249">
        <v>62623.75</v>
      </c>
      <c r="G16" s="249">
        <v>61047</v>
      </c>
      <c r="H16" s="249">
        <v>83300</v>
      </c>
      <c r="I16" s="249">
        <v>83181</v>
      </c>
      <c r="J16" s="249">
        <v>81858.116666666669</v>
      </c>
      <c r="K16" s="249">
        <v>80920</v>
      </c>
      <c r="L16" s="274">
        <f>AVERAGE(F16,H16,J16)</f>
        <v>75927.288888888885</v>
      </c>
      <c r="M16" s="274">
        <f>AVERAGE(G16,I16,K16)*E1</f>
        <v>77300.813333333324</v>
      </c>
      <c r="N16" s="255">
        <v>52500</v>
      </c>
      <c r="O16" s="135">
        <f t="shared" si="9"/>
        <v>9975</v>
      </c>
      <c r="P16" s="135">
        <f t="shared" si="10"/>
        <v>62475</v>
      </c>
      <c r="Q16" s="131"/>
      <c r="R16" s="131"/>
      <c r="S16" s="11"/>
      <c r="T16" s="274"/>
      <c r="U16" s="274"/>
      <c r="V16" s="274"/>
      <c r="W16" s="39"/>
      <c r="X16" s="11"/>
      <c r="Y16" s="11"/>
      <c r="Z16" s="274"/>
      <c r="AA16" s="274"/>
      <c r="AB16" s="274"/>
      <c r="AC16" s="5"/>
      <c r="AD16" s="22"/>
      <c r="AE16" s="39"/>
      <c r="AF16" s="274"/>
      <c r="AG16" s="274"/>
      <c r="AH16" s="169"/>
      <c r="AI16" s="4"/>
      <c r="AJ16" s="39"/>
      <c r="AK16" s="39"/>
      <c r="AL16" s="118"/>
      <c r="AM16" s="152"/>
      <c r="AN16" s="181"/>
      <c r="AO16" s="131"/>
      <c r="AP16" s="131"/>
      <c r="AQ16" s="39"/>
      <c r="AR16" s="274">
        <v>65000</v>
      </c>
      <c r="AS16" s="274">
        <f>+AR16*0.19</f>
        <v>12350</v>
      </c>
      <c r="AT16" s="274">
        <f>+AR16+AS16</f>
        <v>77350</v>
      </c>
      <c r="AU16" s="39"/>
      <c r="AV16" s="39"/>
      <c r="AW16" s="39"/>
      <c r="AX16" s="274"/>
      <c r="AY16" s="274"/>
      <c r="AZ16" s="274"/>
      <c r="BA16" s="39"/>
      <c r="BB16" s="62"/>
      <c r="BC16" s="39"/>
      <c r="BD16" s="274"/>
      <c r="BE16" s="274"/>
      <c r="BF16" s="274"/>
      <c r="BG16" s="39"/>
      <c r="BH16" s="39"/>
      <c r="BI16" s="39"/>
      <c r="BJ16" s="274">
        <v>85400</v>
      </c>
      <c r="BK16" s="274">
        <f t="shared" si="11"/>
        <v>16226</v>
      </c>
      <c r="BL16" s="274">
        <f t="shared" si="12"/>
        <v>101626</v>
      </c>
      <c r="BM16" s="213" t="s">
        <v>4741</v>
      </c>
      <c r="BN16" s="213" t="s">
        <v>3833</v>
      </c>
      <c r="BO16" s="39"/>
      <c r="BP16" s="274">
        <v>265000</v>
      </c>
      <c r="BQ16" s="274">
        <f>+BP16*19%</f>
        <v>50350</v>
      </c>
      <c r="BR16" s="274">
        <f>+BQ16+BP16</f>
        <v>315350</v>
      </c>
      <c r="BS16" s="39"/>
      <c r="BT16" s="39"/>
      <c r="BU16" s="39"/>
      <c r="BV16" s="219">
        <v>94224.894400000005</v>
      </c>
      <c r="BW16" s="219">
        <f t="shared" si="13"/>
        <v>17902.729936</v>
      </c>
      <c r="BX16" s="273">
        <f t="shared" si="14"/>
        <v>112127.62433600001</v>
      </c>
      <c r="BY16" s="213" t="s">
        <v>4741</v>
      </c>
      <c r="BZ16" s="213" t="s">
        <v>3833</v>
      </c>
      <c r="CA16" s="213"/>
      <c r="CB16" s="274"/>
      <c r="CC16" s="274"/>
      <c r="CD16" s="274"/>
      <c r="CE16" s="39"/>
      <c r="CF16" s="39"/>
      <c r="CG16" s="39"/>
      <c r="CH16" s="274"/>
      <c r="CI16" s="274"/>
      <c r="CJ16" s="274"/>
      <c r="CK16" s="39"/>
      <c r="CL16" s="39"/>
      <c r="CM16" s="39"/>
      <c r="CN16" s="39"/>
      <c r="CO16" s="39"/>
      <c r="CP16" s="11"/>
      <c r="CQ16" s="11"/>
      <c r="CR16" s="11"/>
      <c r="CS16" s="11"/>
      <c r="CT16" s="11"/>
      <c r="CU16" s="11"/>
      <c r="CV16" s="11"/>
      <c r="CW16" s="11"/>
      <c r="CX16" s="11"/>
      <c r="CY16" s="11"/>
      <c r="CZ16" s="11"/>
      <c r="DA16" s="11"/>
      <c r="DB16" s="11"/>
      <c r="DC16" s="11"/>
      <c r="DD16" s="11"/>
      <c r="DE16" s="11"/>
      <c r="DF16" s="11"/>
      <c r="DG16" s="11"/>
      <c r="DH16" s="11"/>
      <c r="DI16" s="11"/>
      <c r="DJ16" s="11"/>
      <c r="DK16" s="11"/>
      <c r="DL16" s="274"/>
      <c r="DM16" s="274"/>
      <c r="DN16" s="274"/>
      <c r="DO16" s="274"/>
      <c r="DP16" s="274"/>
      <c r="DQ16" s="274"/>
      <c r="DR16" s="274"/>
      <c r="DS16" s="274"/>
      <c r="DT16" s="274"/>
      <c r="DU16" s="274"/>
      <c r="DV16" s="274"/>
      <c r="DW16" s="274"/>
      <c r="DX16" s="274"/>
      <c r="DY16" s="274"/>
      <c r="DZ16" s="274"/>
      <c r="EA16" s="274"/>
      <c r="EB16" s="274"/>
      <c r="EC16" s="274"/>
      <c r="ED16" s="39">
        <f t="shared" si="4"/>
        <v>746229.4376693333</v>
      </c>
      <c r="EE16" s="30">
        <f t="shared" si="5"/>
        <v>6</v>
      </c>
      <c r="EF16" s="39">
        <f t="shared" si="6"/>
        <v>124371.57294488889</v>
      </c>
    </row>
    <row r="17" spans="1:136" x14ac:dyDescent="0.25">
      <c r="A17" s="25" t="e">
        <f>#REF!</f>
        <v>#REF!</v>
      </c>
      <c r="B17" s="50" t="e">
        <f>#REF!</f>
        <v>#REF!</v>
      </c>
      <c r="C17" s="5" t="e">
        <f>#REF!</f>
        <v>#REF!</v>
      </c>
      <c r="D17" s="5" t="e">
        <f>#REF!</f>
        <v>#REF!</v>
      </c>
      <c r="E17" s="252">
        <v>1</v>
      </c>
      <c r="F17" s="249">
        <v>67324.25</v>
      </c>
      <c r="G17" s="249">
        <v>65212</v>
      </c>
      <c r="H17" s="249">
        <v>83300</v>
      </c>
      <c r="I17" s="249">
        <v>83181</v>
      </c>
      <c r="J17" s="249">
        <v>83315.866666666669</v>
      </c>
      <c r="K17" s="249">
        <v>83300</v>
      </c>
      <c r="L17" s="274">
        <f>AVERAGE(F17,H17,J17)</f>
        <v>77980.038888888885</v>
      </c>
      <c r="M17" s="274">
        <f>AVERAGE(G17,I17,K17)*E1</f>
        <v>79547.930000000008</v>
      </c>
      <c r="N17" s="255">
        <v>52500</v>
      </c>
      <c r="O17" s="135">
        <f t="shared" si="9"/>
        <v>9975</v>
      </c>
      <c r="P17" s="135">
        <f t="shared" si="10"/>
        <v>62475</v>
      </c>
      <c r="Q17" s="131"/>
      <c r="R17" s="131"/>
      <c r="S17" s="11"/>
      <c r="T17" s="274"/>
      <c r="U17" s="274"/>
      <c r="V17" s="274"/>
      <c r="W17" s="39"/>
      <c r="X17" s="11"/>
      <c r="Y17" s="11"/>
      <c r="Z17" s="274"/>
      <c r="AA17" s="274"/>
      <c r="AB17" s="274"/>
      <c r="AC17" s="5"/>
      <c r="AD17" s="22"/>
      <c r="AE17" s="39"/>
      <c r="AF17" s="274"/>
      <c r="AG17" s="274"/>
      <c r="AH17" s="169"/>
      <c r="AI17" s="4"/>
      <c r="AJ17" s="39"/>
      <c r="AK17" s="39"/>
      <c r="AL17" s="118"/>
      <c r="AM17" s="152"/>
      <c r="AN17" s="181"/>
      <c r="AO17" s="131"/>
      <c r="AP17" s="131"/>
      <c r="AQ17" s="39"/>
      <c r="AR17" s="274">
        <v>65000</v>
      </c>
      <c r="AS17" s="274">
        <f>+AR17*0.19</f>
        <v>12350</v>
      </c>
      <c r="AT17" s="274">
        <f>+AR17+AS17</f>
        <v>77350</v>
      </c>
      <c r="AU17" s="39"/>
      <c r="AV17" s="39"/>
      <c r="AW17" s="39"/>
      <c r="AX17" s="274"/>
      <c r="AY17" s="274"/>
      <c r="AZ17" s="274"/>
      <c r="BA17" s="39"/>
      <c r="BB17" s="62"/>
      <c r="BC17" s="39"/>
      <c r="BD17" s="274"/>
      <c r="BE17" s="274"/>
      <c r="BF17" s="274"/>
      <c r="BG17" s="39"/>
      <c r="BH17" s="39"/>
      <c r="BI17" s="39"/>
      <c r="BJ17" s="274">
        <v>85400</v>
      </c>
      <c r="BK17" s="274">
        <f t="shared" si="11"/>
        <v>16226</v>
      </c>
      <c r="BL17" s="274">
        <f t="shared" si="12"/>
        <v>101626</v>
      </c>
      <c r="BM17" s="213" t="s">
        <v>4741</v>
      </c>
      <c r="BN17" s="213" t="s">
        <v>3833</v>
      </c>
      <c r="BO17" s="39"/>
      <c r="BP17" s="274">
        <v>265000</v>
      </c>
      <c r="BQ17" s="274">
        <f>+BP17*19%</f>
        <v>50350</v>
      </c>
      <c r="BR17" s="274">
        <f>+BQ17+BP17</f>
        <v>315350</v>
      </c>
      <c r="BS17" s="39"/>
      <c r="BT17" s="39"/>
      <c r="BU17" s="39"/>
      <c r="BV17" s="219">
        <v>93292.668000000005</v>
      </c>
      <c r="BW17" s="219">
        <f t="shared" si="13"/>
        <v>17725.606920000002</v>
      </c>
      <c r="BX17" s="273">
        <f t="shared" si="14"/>
        <v>111018.27492000001</v>
      </c>
      <c r="BY17" s="213" t="s">
        <v>4741</v>
      </c>
      <c r="BZ17" s="213" t="s">
        <v>3833</v>
      </c>
      <c r="CA17" s="213"/>
      <c r="CB17" s="274"/>
      <c r="CC17" s="274"/>
      <c r="CD17" s="274"/>
      <c r="CE17" s="39"/>
      <c r="CF17" s="39"/>
      <c r="CG17" s="39"/>
      <c r="CH17" s="274"/>
      <c r="CI17" s="274"/>
      <c r="CJ17" s="274"/>
      <c r="CK17" s="39"/>
      <c r="CL17" s="39"/>
      <c r="CM17" s="39"/>
      <c r="CN17" s="39"/>
      <c r="CO17" s="39"/>
      <c r="CP17" s="11"/>
      <c r="CQ17" s="11"/>
      <c r="CR17" s="11"/>
      <c r="CS17" s="11"/>
      <c r="CT17" s="11"/>
      <c r="CU17" s="11"/>
      <c r="CV17" s="11"/>
      <c r="CW17" s="11"/>
      <c r="CX17" s="11"/>
      <c r="CY17" s="11"/>
      <c r="CZ17" s="11"/>
      <c r="DA17" s="11"/>
      <c r="DB17" s="11"/>
      <c r="DC17" s="11"/>
      <c r="DD17" s="11"/>
      <c r="DE17" s="11"/>
      <c r="DF17" s="11"/>
      <c r="DG17" s="11"/>
      <c r="DH17" s="11"/>
      <c r="DI17" s="11"/>
      <c r="DJ17" s="11"/>
      <c r="DK17" s="11"/>
      <c r="DL17" s="274"/>
      <c r="DM17" s="274"/>
      <c r="DN17" s="274"/>
      <c r="DO17" s="274"/>
      <c r="DP17" s="274"/>
      <c r="DQ17" s="274"/>
      <c r="DR17" s="274"/>
      <c r="DS17" s="274"/>
      <c r="DT17" s="274"/>
      <c r="DU17" s="274"/>
      <c r="DV17" s="274"/>
      <c r="DW17" s="274"/>
      <c r="DX17" s="274"/>
      <c r="DY17" s="274"/>
      <c r="DZ17" s="274"/>
      <c r="EA17" s="274"/>
      <c r="EB17" s="274"/>
      <c r="EC17" s="274"/>
      <c r="ED17" s="39">
        <f t="shared" si="4"/>
        <v>747367.20491999993</v>
      </c>
      <c r="EE17" s="30">
        <f t="shared" si="5"/>
        <v>6</v>
      </c>
      <c r="EF17" s="39">
        <f t="shared" si="6"/>
        <v>124561.20081999998</v>
      </c>
    </row>
    <row r="18" spans="1:136" x14ac:dyDescent="0.25">
      <c r="A18" s="25" t="e">
        <f>#REF!</f>
        <v>#REF!</v>
      </c>
      <c r="B18" s="50" t="e">
        <f>#REF!</f>
        <v>#REF!</v>
      </c>
      <c r="C18" s="5" t="e">
        <f>#REF!</f>
        <v>#REF!</v>
      </c>
      <c r="D18" s="5" t="e">
        <f>#REF!</f>
        <v>#REF!</v>
      </c>
      <c r="E18" s="252">
        <v>1</v>
      </c>
      <c r="F18" s="249">
        <v>61552.75</v>
      </c>
      <c r="G18" s="249">
        <v>59976</v>
      </c>
      <c r="H18" s="249">
        <v>83300</v>
      </c>
      <c r="I18" s="249">
        <v>83181</v>
      </c>
      <c r="J18" s="249">
        <v>0</v>
      </c>
      <c r="K18" s="249">
        <v>0</v>
      </c>
      <c r="L18" s="274">
        <f>AVERAGE(F18,H18)</f>
        <v>72426.375</v>
      </c>
      <c r="M18" s="274">
        <f>AVERAGE(G18,I18)*E1</f>
        <v>73725.854999999996</v>
      </c>
      <c r="N18" s="255">
        <v>52500</v>
      </c>
      <c r="O18" s="135">
        <f t="shared" si="9"/>
        <v>9975</v>
      </c>
      <c r="P18" s="135">
        <f t="shared" si="10"/>
        <v>62475</v>
      </c>
      <c r="Q18" s="131"/>
      <c r="R18" s="131"/>
      <c r="S18" s="11"/>
      <c r="T18" s="274"/>
      <c r="U18" s="274"/>
      <c r="V18" s="274"/>
      <c r="W18" s="39"/>
      <c r="X18" s="11"/>
      <c r="Y18" s="11"/>
      <c r="Z18" s="274"/>
      <c r="AA18" s="274"/>
      <c r="AB18" s="274"/>
      <c r="AC18" s="5"/>
      <c r="AD18" s="22"/>
      <c r="AE18" s="39"/>
      <c r="AF18" s="274"/>
      <c r="AG18" s="274"/>
      <c r="AH18" s="169"/>
      <c r="AI18" s="4"/>
      <c r="AJ18" s="39"/>
      <c r="AK18" s="39"/>
      <c r="AL18" s="118"/>
      <c r="AM18" s="152"/>
      <c r="AN18" s="181"/>
      <c r="AO18" s="131"/>
      <c r="AP18" s="131"/>
      <c r="AQ18" s="39"/>
      <c r="AR18" s="274">
        <v>65000</v>
      </c>
      <c r="AS18" s="274">
        <f>+AR18*0.19</f>
        <v>12350</v>
      </c>
      <c r="AT18" s="274">
        <f>+AR18+AS18</f>
        <v>77350</v>
      </c>
      <c r="AU18" s="39"/>
      <c r="AV18" s="39"/>
      <c r="AW18" s="39"/>
      <c r="AX18" s="274"/>
      <c r="AY18" s="274"/>
      <c r="AZ18" s="274"/>
      <c r="BA18" s="39"/>
      <c r="BB18" s="62"/>
      <c r="BC18" s="39"/>
      <c r="BD18" s="274"/>
      <c r="BE18" s="274"/>
      <c r="BF18" s="274"/>
      <c r="BG18" s="39"/>
      <c r="BH18" s="39"/>
      <c r="BI18" s="39"/>
      <c r="BJ18" s="274">
        <v>85400</v>
      </c>
      <c r="BK18" s="274">
        <f t="shared" si="11"/>
        <v>16226</v>
      </c>
      <c r="BL18" s="274">
        <f t="shared" si="12"/>
        <v>101626</v>
      </c>
      <c r="BM18" s="213" t="s">
        <v>4741</v>
      </c>
      <c r="BN18" s="213" t="s">
        <v>3833</v>
      </c>
      <c r="BO18" s="39"/>
      <c r="BP18" s="274">
        <v>265000</v>
      </c>
      <c r="BQ18" s="274">
        <f>+BP18*19%</f>
        <v>50350</v>
      </c>
      <c r="BR18" s="274">
        <f>+BQ18+BP18</f>
        <v>315350</v>
      </c>
      <c r="BS18" s="39"/>
      <c r="BT18" s="39"/>
      <c r="BU18" s="39"/>
      <c r="BV18" s="219">
        <v>92378.034</v>
      </c>
      <c r="BW18" s="219">
        <f t="shared" si="13"/>
        <v>17551.82646</v>
      </c>
      <c r="BX18" s="273">
        <f t="shared" si="14"/>
        <v>109929.86046</v>
      </c>
      <c r="BY18" s="213" t="s">
        <v>4741</v>
      </c>
      <c r="BZ18" s="213" t="s">
        <v>3833</v>
      </c>
      <c r="CA18" s="213"/>
      <c r="CB18" s="274"/>
      <c r="CC18" s="274"/>
      <c r="CD18" s="274"/>
      <c r="CE18" s="39"/>
      <c r="CF18" s="39"/>
      <c r="CG18" s="39"/>
      <c r="CH18" s="274"/>
      <c r="CI18" s="274"/>
      <c r="CJ18" s="274"/>
      <c r="CK18" s="39"/>
      <c r="CL18" s="39"/>
      <c r="CM18" s="39"/>
      <c r="CN18" s="39"/>
      <c r="CO18" s="39"/>
      <c r="CP18" s="11"/>
      <c r="CQ18" s="11"/>
      <c r="CR18" s="11"/>
      <c r="CS18" s="11"/>
      <c r="CT18" s="11"/>
      <c r="CU18" s="11"/>
      <c r="CV18" s="11"/>
      <c r="CW18" s="11"/>
      <c r="CX18" s="11"/>
      <c r="CY18" s="11"/>
      <c r="CZ18" s="11"/>
      <c r="DA18" s="11"/>
      <c r="DB18" s="11"/>
      <c r="DC18" s="11"/>
      <c r="DD18" s="11"/>
      <c r="DE18" s="11"/>
      <c r="DF18" s="11"/>
      <c r="DG18" s="11"/>
      <c r="DH18" s="11"/>
      <c r="DI18" s="11"/>
      <c r="DJ18" s="11"/>
      <c r="DK18" s="11"/>
      <c r="DL18" s="274"/>
      <c r="DM18" s="274"/>
      <c r="DN18" s="274"/>
      <c r="DO18" s="274"/>
      <c r="DP18" s="274"/>
      <c r="DQ18" s="274"/>
      <c r="DR18" s="274"/>
      <c r="DS18" s="274"/>
      <c r="DT18" s="274"/>
      <c r="DU18" s="274"/>
      <c r="DV18" s="274"/>
      <c r="DW18" s="274"/>
      <c r="DX18" s="274"/>
      <c r="DY18" s="274"/>
      <c r="DZ18" s="274"/>
      <c r="EA18" s="274"/>
      <c r="EB18" s="274"/>
      <c r="EC18" s="274"/>
      <c r="ED18" s="39">
        <f t="shared" si="4"/>
        <v>740456.71545999998</v>
      </c>
      <c r="EE18" s="30">
        <f t="shared" si="5"/>
        <v>6</v>
      </c>
      <c r="EF18" s="39">
        <f t="shared" si="6"/>
        <v>123409.45257666666</v>
      </c>
    </row>
    <row r="19" spans="1:136" ht="79.5" customHeight="1" x14ac:dyDescent="0.25">
      <c r="A19" s="25" t="e">
        <f>#REF!</f>
        <v>#REF!</v>
      </c>
      <c r="B19" s="50" t="e">
        <f>#REF!</f>
        <v>#REF!</v>
      </c>
      <c r="C19" s="5" t="e">
        <f>#REF!</f>
        <v>#REF!</v>
      </c>
      <c r="D19" s="5" t="e">
        <f>#REF!</f>
        <v>#REF!</v>
      </c>
      <c r="E19" s="252">
        <v>1</v>
      </c>
      <c r="F19" s="249">
        <v>0</v>
      </c>
      <c r="G19" s="249">
        <v>0</v>
      </c>
      <c r="H19" s="249">
        <v>165950</v>
      </c>
      <c r="I19" s="249">
        <v>0</v>
      </c>
      <c r="J19" s="249">
        <v>87016.666666666672</v>
      </c>
      <c r="K19" s="249">
        <v>59381</v>
      </c>
      <c r="L19" s="274">
        <f>AVERAGE(H19,J19)</f>
        <v>126483.33333333334</v>
      </c>
      <c r="M19" s="274">
        <f>K19*E1</f>
        <v>61162.43</v>
      </c>
      <c r="N19" s="255">
        <v>30000</v>
      </c>
      <c r="O19" s="135">
        <f>+N19*0</f>
        <v>0</v>
      </c>
      <c r="P19" s="135">
        <f t="shared" si="10"/>
        <v>30000</v>
      </c>
      <c r="Q19" s="131"/>
      <c r="R19" s="131"/>
      <c r="S19" s="11"/>
      <c r="T19" s="274"/>
      <c r="U19" s="274"/>
      <c r="V19" s="274"/>
      <c r="W19" s="39"/>
      <c r="X19" s="11"/>
      <c r="Y19" s="11"/>
      <c r="Z19" s="274"/>
      <c r="AA19" s="274"/>
      <c r="AB19" s="274"/>
      <c r="AC19" s="5"/>
      <c r="AD19" s="22"/>
      <c r="AE19" s="39"/>
      <c r="AF19" s="274"/>
      <c r="AG19" s="274"/>
      <c r="AH19" s="125"/>
      <c r="AI19" s="4"/>
      <c r="AJ19" s="39"/>
      <c r="AK19" s="39"/>
      <c r="AL19" s="118"/>
      <c r="AM19" s="152"/>
      <c r="AN19" s="181"/>
      <c r="AO19" s="131"/>
      <c r="AP19" s="131"/>
      <c r="AQ19" s="39"/>
      <c r="AR19" s="274"/>
      <c r="AS19" s="274"/>
      <c r="AT19" s="274"/>
      <c r="AU19" s="39"/>
      <c r="AV19" s="39"/>
      <c r="AW19" s="39"/>
      <c r="AX19" s="274"/>
      <c r="AY19" s="274"/>
      <c r="AZ19" s="274"/>
      <c r="BA19" s="39"/>
      <c r="BB19" s="62"/>
      <c r="BC19" s="39"/>
      <c r="BD19" s="274"/>
      <c r="BE19" s="274"/>
      <c r="BF19" s="274"/>
      <c r="BG19" s="39"/>
      <c r="BH19" s="39"/>
      <c r="BI19" s="39"/>
      <c r="BJ19" s="274">
        <v>49600</v>
      </c>
      <c r="BK19" s="274">
        <f t="shared" si="11"/>
        <v>9424</v>
      </c>
      <c r="BL19" s="274">
        <f t="shared" si="12"/>
        <v>59024</v>
      </c>
      <c r="BM19" s="213" t="s">
        <v>4742</v>
      </c>
      <c r="BN19" s="213" t="s">
        <v>4743</v>
      </c>
      <c r="BO19" s="39"/>
      <c r="BP19" s="274"/>
      <c r="BQ19" s="274"/>
      <c r="BR19" s="274"/>
      <c r="BS19" s="39"/>
      <c r="BT19" s="39"/>
      <c r="BU19" s="39"/>
      <c r="BV19" s="219">
        <v>58511.880000000012</v>
      </c>
      <c r="BW19" s="219">
        <f t="shared" si="13"/>
        <v>11117.257200000002</v>
      </c>
      <c r="BX19" s="273">
        <f t="shared" si="14"/>
        <v>69629.137200000012</v>
      </c>
      <c r="BY19" s="213" t="s">
        <v>4742</v>
      </c>
      <c r="BZ19" s="213" t="s">
        <v>4743</v>
      </c>
      <c r="CA19" s="213"/>
      <c r="CB19" s="274"/>
      <c r="CC19" s="274"/>
      <c r="CD19" s="274"/>
      <c r="CE19" s="39"/>
      <c r="CF19" s="39"/>
      <c r="CG19" s="39"/>
      <c r="CH19" s="274"/>
      <c r="CI19" s="274"/>
      <c r="CJ19" s="274"/>
      <c r="CK19" s="39"/>
      <c r="CL19" s="39"/>
      <c r="CM19" s="39"/>
      <c r="CN19" s="39"/>
      <c r="CO19" s="39"/>
      <c r="CP19" s="11"/>
      <c r="CQ19" s="11"/>
      <c r="CR19" s="11"/>
      <c r="CS19" s="11"/>
      <c r="CT19" s="11"/>
      <c r="CU19" s="11"/>
      <c r="CV19" s="11"/>
      <c r="CW19" s="11"/>
      <c r="CX19" s="11"/>
      <c r="CY19" s="11"/>
      <c r="CZ19" s="11"/>
      <c r="DA19" s="11"/>
      <c r="DB19" s="11"/>
      <c r="DC19" s="11"/>
      <c r="DD19" s="11"/>
      <c r="DE19" s="11"/>
      <c r="DF19" s="11"/>
      <c r="DG19" s="11"/>
      <c r="DH19" s="11"/>
      <c r="DI19" s="11"/>
      <c r="DJ19" s="11"/>
      <c r="DK19" s="11"/>
      <c r="DL19" s="274"/>
      <c r="DM19" s="274"/>
      <c r="DN19" s="274"/>
      <c r="DO19" s="274"/>
      <c r="DP19" s="274"/>
      <c r="DQ19" s="274"/>
      <c r="DR19" s="274"/>
      <c r="DS19" s="274"/>
      <c r="DT19" s="274"/>
      <c r="DU19" s="274"/>
      <c r="DV19" s="274"/>
      <c r="DW19" s="274"/>
      <c r="DX19" s="274"/>
      <c r="DY19" s="274"/>
      <c r="DZ19" s="274"/>
      <c r="EA19" s="274"/>
      <c r="EB19" s="274"/>
      <c r="EC19" s="274"/>
      <c r="ED19" s="39">
        <f t="shared" si="4"/>
        <v>219815.56719999999</v>
      </c>
      <c r="EE19" s="30">
        <f t="shared" si="5"/>
        <v>4</v>
      </c>
      <c r="EF19" s="39">
        <f t="shared" si="6"/>
        <v>54953.891799999998</v>
      </c>
    </row>
    <row r="20" spans="1:136" x14ac:dyDescent="0.25">
      <c r="A20" s="25" t="e">
        <f>#REF!</f>
        <v>#REF!</v>
      </c>
      <c r="B20" s="50" t="e">
        <f>#REF!</f>
        <v>#REF!</v>
      </c>
      <c r="C20" s="5" t="e">
        <f>#REF!</f>
        <v>#REF!</v>
      </c>
      <c r="D20" s="5" t="e">
        <f>#REF!</f>
        <v>#REF!</v>
      </c>
      <c r="E20" s="252">
        <v>1</v>
      </c>
      <c r="F20" s="249">
        <v>0</v>
      </c>
      <c r="G20" s="249">
        <v>0</v>
      </c>
      <c r="H20" s="249">
        <v>0</v>
      </c>
      <c r="I20" s="249">
        <v>0</v>
      </c>
      <c r="J20" s="249">
        <v>20883.431111111113</v>
      </c>
      <c r="K20" s="249">
        <v>0</v>
      </c>
      <c r="L20" s="274">
        <f>J20</f>
        <v>20883.431111111113</v>
      </c>
      <c r="M20" s="274"/>
      <c r="N20" s="255">
        <v>14500</v>
      </c>
      <c r="O20" s="135">
        <f>+N20*0</f>
        <v>0</v>
      </c>
      <c r="P20" s="135">
        <f t="shared" si="10"/>
        <v>14500</v>
      </c>
      <c r="Q20" s="131"/>
      <c r="R20" s="131"/>
      <c r="S20" s="11"/>
      <c r="T20" s="274"/>
      <c r="U20" s="274"/>
      <c r="V20" s="274"/>
      <c r="W20" s="39"/>
      <c r="X20" s="11"/>
      <c r="Y20" s="11"/>
      <c r="Z20" s="274"/>
      <c r="AA20" s="274"/>
      <c r="AB20" s="274"/>
      <c r="AC20" s="5"/>
      <c r="AD20" s="22"/>
      <c r="AE20" s="39"/>
      <c r="AF20" s="274"/>
      <c r="AG20" s="274"/>
      <c r="AH20" s="169"/>
      <c r="AI20" s="4"/>
      <c r="AJ20" s="39"/>
      <c r="AK20" s="39"/>
      <c r="AL20" s="118"/>
      <c r="AM20" s="152"/>
      <c r="AN20" s="181"/>
      <c r="AO20" s="131"/>
      <c r="AP20" s="131"/>
      <c r="AQ20" s="39"/>
      <c r="AR20" s="274"/>
      <c r="AS20" s="274"/>
      <c r="AT20" s="274"/>
      <c r="AU20" s="39"/>
      <c r="AV20" s="39"/>
      <c r="AW20" s="39"/>
      <c r="AX20" s="274"/>
      <c r="AY20" s="274"/>
      <c r="AZ20" s="274"/>
      <c r="BA20" s="39"/>
      <c r="BB20" s="62"/>
      <c r="BC20" s="39"/>
      <c r="BD20" s="274"/>
      <c r="BE20" s="274"/>
      <c r="BF20" s="274"/>
      <c r="BG20" s="39"/>
      <c r="BH20" s="39"/>
      <c r="BI20" s="39"/>
      <c r="BJ20" s="274">
        <v>22400</v>
      </c>
      <c r="BK20" s="274">
        <f t="shared" si="11"/>
        <v>4256</v>
      </c>
      <c r="BL20" s="274">
        <f t="shared" si="12"/>
        <v>26656</v>
      </c>
      <c r="BM20" s="213" t="s">
        <v>4744</v>
      </c>
      <c r="BN20" s="213" t="s">
        <v>4745</v>
      </c>
      <c r="BO20" s="39"/>
      <c r="BP20" s="274">
        <v>12500</v>
      </c>
      <c r="BQ20" s="274">
        <v>0</v>
      </c>
      <c r="BR20" s="274">
        <f>+BQ20+BP20</f>
        <v>12500</v>
      </c>
      <c r="BS20" s="39"/>
      <c r="BT20" s="39"/>
      <c r="BU20" s="39"/>
      <c r="BV20" s="219">
        <v>24945.446400000001</v>
      </c>
      <c r="BW20" s="219">
        <f t="shared" si="13"/>
        <v>4739.6348159999998</v>
      </c>
      <c r="BX20" s="273">
        <f t="shared" si="14"/>
        <v>29685.081215999999</v>
      </c>
      <c r="BY20" s="213" t="s">
        <v>4744</v>
      </c>
      <c r="BZ20" s="213" t="s">
        <v>4745</v>
      </c>
      <c r="CA20" s="213"/>
      <c r="CB20" s="274"/>
      <c r="CC20" s="274"/>
      <c r="CD20" s="274"/>
      <c r="CE20" s="39"/>
      <c r="CF20" s="39"/>
      <c r="CG20" s="39"/>
      <c r="CH20" s="274"/>
      <c r="CI20" s="274"/>
      <c r="CJ20" s="274"/>
      <c r="CK20" s="39"/>
      <c r="CL20" s="39"/>
      <c r="CM20" s="39"/>
      <c r="CN20" s="39"/>
      <c r="CO20" s="39"/>
      <c r="CP20" s="11"/>
      <c r="CQ20" s="11"/>
      <c r="CR20" s="11"/>
      <c r="CS20" s="11"/>
      <c r="CT20" s="11"/>
      <c r="CU20" s="11"/>
      <c r="CV20" s="11"/>
      <c r="CW20" s="11"/>
      <c r="CX20" s="11"/>
      <c r="CY20" s="11"/>
      <c r="CZ20" s="11"/>
      <c r="DA20" s="11"/>
      <c r="DB20" s="11"/>
      <c r="DC20" s="11"/>
      <c r="DD20" s="11"/>
      <c r="DE20" s="11"/>
      <c r="DF20" s="11"/>
      <c r="DG20" s="11"/>
      <c r="DH20" s="11"/>
      <c r="DI20" s="11"/>
      <c r="DJ20" s="11"/>
      <c r="DK20" s="11"/>
      <c r="DL20" s="274"/>
      <c r="DM20" s="274"/>
      <c r="DN20" s="274"/>
      <c r="DO20" s="274"/>
      <c r="DP20" s="274"/>
      <c r="DQ20" s="274"/>
      <c r="DR20" s="274"/>
      <c r="DS20" s="274"/>
      <c r="DT20" s="274"/>
      <c r="DU20" s="274"/>
      <c r="DV20" s="274"/>
      <c r="DW20" s="274"/>
      <c r="DX20" s="274"/>
      <c r="DY20" s="274"/>
      <c r="DZ20" s="274"/>
      <c r="EA20" s="274"/>
      <c r="EB20" s="274"/>
      <c r="EC20" s="274"/>
      <c r="ED20" s="39">
        <f t="shared" si="4"/>
        <v>83341.081215999991</v>
      </c>
      <c r="EE20" s="30">
        <f t="shared" si="5"/>
        <v>4</v>
      </c>
      <c r="EF20" s="39">
        <f t="shared" si="6"/>
        <v>20835.270303999998</v>
      </c>
    </row>
    <row r="21" spans="1:136" x14ac:dyDescent="0.25">
      <c r="A21" s="25" t="e">
        <f>#REF!</f>
        <v>#REF!</v>
      </c>
      <c r="B21" s="50" t="e">
        <f>#REF!</f>
        <v>#REF!</v>
      </c>
      <c r="C21" s="5" t="e">
        <f>#REF!</f>
        <v>#REF!</v>
      </c>
      <c r="D21" s="5" t="e">
        <f>#REF!</f>
        <v>#REF!</v>
      </c>
      <c r="E21" s="252">
        <v>1</v>
      </c>
      <c r="F21" s="249">
        <v>0</v>
      </c>
      <c r="G21" s="249">
        <v>0</v>
      </c>
      <c r="H21" s="249">
        <v>21420</v>
      </c>
      <c r="I21" s="249">
        <v>0</v>
      </c>
      <c r="J21" s="249">
        <v>36354.5</v>
      </c>
      <c r="K21" s="249">
        <v>0</v>
      </c>
      <c r="L21" s="274">
        <f>AVERAGE(H21,J21)</f>
        <v>28887.25</v>
      </c>
      <c r="M21" s="274"/>
      <c r="N21" s="255">
        <v>25000</v>
      </c>
      <c r="O21" s="135">
        <f t="shared" ref="O21:O40" si="15">+N21*0.19</f>
        <v>4750</v>
      </c>
      <c r="P21" s="135">
        <f t="shared" si="10"/>
        <v>29750</v>
      </c>
      <c r="Q21" s="131"/>
      <c r="R21" s="131"/>
      <c r="S21" s="11"/>
      <c r="T21" s="274"/>
      <c r="U21" s="274"/>
      <c r="V21" s="274"/>
      <c r="W21" s="39"/>
      <c r="X21" s="11"/>
      <c r="Y21" s="11"/>
      <c r="Z21" s="274"/>
      <c r="AA21" s="274"/>
      <c r="AB21" s="274"/>
      <c r="AC21" s="51"/>
      <c r="AD21" s="23"/>
      <c r="AE21" s="39"/>
      <c r="AF21" s="274"/>
      <c r="AG21" s="274"/>
      <c r="AH21" s="170"/>
      <c r="AI21" s="24"/>
      <c r="AJ21" s="39"/>
      <c r="AK21" s="39"/>
      <c r="AL21" s="118"/>
      <c r="AM21" s="152"/>
      <c r="AN21" s="181"/>
      <c r="AO21" s="131"/>
      <c r="AP21" s="131"/>
      <c r="AQ21" s="39"/>
      <c r="AR21" s="274"/>
      <c r="AS21" s="274"/>
      <c r="AT21" s="274"/>
      <c r="AU21" s="39"/>
      <c r="AV21" s="39"/>
      <c r="AW21" s="39"/>
      <c r="AX21" s="274"/>
      <c r="AY21" s="274"/>
      <c r="AZ21" s="274"/>
      <c r="BA21" s="39"/>
      <c r="BB21" s="62"/>
      <c r="BC21" s="39"/>
      <c r="BD21" s="274"/>
      <c r="BE21" s="274"/>
      <c r="BF21" s="274"/>
      <c r="BG21" s="39"/>
      <c r="BH21" s="39"/>
      <c r="BI21" s="39"/>
      <c r="BJ21" s="274"/>
      <c r="BK21" s="274"/>
      <c r="BL21" s="274"/>
      <c r="BM21" s="213"/>
      <c r="BN21" s="213"/>
      <c r="BO21" s="39"/>
      <c r="BP21" s="274">
        <v>18500</v>
      </c>
      <c r="BQ21" s="274">
        <f>+BP21*19%</f>
        <v>3515</v>
      </c>
      <c r="BR21" s="274">
        <f>+BQ21+BP21</f>
        <v>22015</v>
      </c>
      <c r="BS21" s="39"/>
      <c r="BT21" s="39"/>
      <c r="BU21" s="39"/>
      <c r="BV21" s="212"/>
      <c r="BW21" s="221"/>
      <c r="BX21" s="273"/>
      <c r="BY21" s="213"/>
      <c r="BZ21" s="213"/>
      <c r="CA21" s="213"/>
      <c r="CB21" s="274"/>
      <c r="CC21" s="274"/>
      <c r="CD21" s="274"/>
      <c r="CE21" s="39"/>
      <c r="CF21" s="39"/>
      <c r="CG21" s="39"/>
      <c r="CH21" s="274"/>
      <c r="CI21" s="274"/>
      <c r="CJ21" s="274"/>
      <c r="CK21" s="39"/>
      <c r="CL21" s="39"/>
      <c r="CM21" s="39"/>
      <c r="CN21" s="39"/>
      <c r="CO21" s="39"/>
      <c r="CP21" s="11"/>
      <c r="CQ21" s="11"/>
      <c r="CR21" s="11"/>
      <c r="CS21" s="11"/>
      <c r="CT21" s="11"/>
      <c r="CU21" s="11"/>
      <c r="CV21" s="11"/>
      <c r="CW21" s="11"/>
      <c r="CX21" s="11"/>
      <c r="CY21" s="11"/>
      <c r="CZ21" s="11"/>
      <c r="DA21" s="11"/>
      <c r="DB21" s="11"/>
      <c r="DC21" s="11"/>
      <c r="DD21" s="11"/>
      <c r="DE21" s="11"/>
      <c r="DF21" s="11"/>
      <c r="DG21" s="11"/>
      <c r="DH21" s="11"/>
      <c r="DI21" s="11"/>
      <c r="DJ21" s="11"/>
      <c r="DK21" s="11"/>
      <c r="DL21" s="274"/>
      <c r="DM21" s="274"/>
      <c r="DN21" s="274"/>
      <c r="DO21" s="274"/>
      <c r="DP21" s="274"/>
      <c r="DQ21" s="274"/>
      <c r="DR21" s="274"/>
      <c r="DS21" s="274"/>
      <c r="DT21" s="274"/>
      <c r="DU21" s="274"/>
      <c r="DV21" s="274"/>
      <c r="DW21" s="274"/>
      <c r="DX21" s="274"/>
      <c r="DY21" s="274"/>
      <c r="DZ21" s="274"/>
      <c r="EA21" s="274"/>
      <c r="EB21" s="274"/>
      <c r="EC21" s="274"/>
      <c r="ED21" s="39">
        <f t="shared" si="4"/>
        <v>51765</v>
      </c>
      <c r="EE21" s="30">
        <f t="shared" si="5"/>
        <v>2</v>
      </c>
      <c r="EF21" s="39">
        <f t="shared" si="6"/>
        <v>25882.5</v>
      </c>
    </row>
    <row r="22" spans="1:136" x14ac:dyDescent="0.25">
      <c r="A22" s="25" t="e">
        <f>#REF!</f>
        <v>#REF!</v>
      </c>
      <c r="B22" s="50" t="e">
        <f>#REF!</f>
        <v>#REF!</v>
      </c>
      <c r="C22" s="5" t="e">
        <f>#REF!</f>
        <v>#REF!</v>
      </c>
      <c r="D22" s="5" t="e">
        <f>#REF!</f>
        <v>#REF!</v>
      </c>
      <c r="E22" s="252">
        <v>1</v>
      </c>
      <c r="F22" s="249">
        <v>47600</v>
      </c>
      <c r="G22" s="249">
        <v>47600</v>
      </c>
      <c r="H22" s="249">
        <v>23312.89333333333</v>
      </c>
      <c r="I22" s="249">
        <v>0</v>
      </c>
      <c r="J22" s="249">
        <v>103082.56</v>
      </c>
      <c r="K22" s="249">
        <v>102340</v>
      </c>
      <c r="L22" s="274">
        <f>AVERAGE(F22,H22,J22)</f>
        <v>57998.484444444439</v>
      </c>
      <c r="M22" s="274">
        <f>AVERAGE(G22,K22)*E1</f>
        <v>77219.100000000006</v>
      </c>
      <c r="N22" s="255"/>
      <c r="O22" s="135">
        <f t="shared" si="15"/>
        <v>0</v>
      </c>
      <c r="P22" s="135">
        <f t="shared" si="10"/>
        <v>0</v>
      </c>
      <c r="Q22" s="131"/>
      <c r="R22" s="131"/>
      <c r="S22" s="11"/>
      <c r="T22" s="274"/>
      <c r="U22" s="274"/>
      <c r="V22" s="274"/>
      <c r="W22" s="39"/>
      <c r="X22" s="11"/>
      <c r="Y22" s="11"/>
      <c r="Z22" s="274"/>
      <c r="AA22" s="274"/>
      <c r="AB22" s="274"/>
      <c r="AC22" s="51"/>
      <c r="AD22" s="22"/>
      <c r="AE22" s="39"/>
      <c r="AF22" s="118">
        <v>27000</v>
      </c>
      <c r="AG22" s="118">
        <f>+AF22*0.19</f>
        <v>5130</v>
      </c>
      <c r="AH22" s="170">
        <f>+AF22+AG22</f>
        <v>32130</v>
      </c>
      <c r="AI22" s="4" t="s">
        <v>4746</v>
      </c>
      <c r="AJ22" s="52" t="s">
        <v>4673</v>
      </c>
      <c r="AK22" s="39"/>
      <c r="AL22" s="118"/>
      <c r="AM22" s="152"/>
      <c r="AN22" s="181"/>
      <c r="AO22" s="131"/>
      <c r="AP22" s="131"/>
      <c r="AQ22" s="39"/>
      <c r="AR22" s="274"/>
      <c r="AS22" s="274"/>
      <c r="AT22" s="274"/>
      <c r="AU22" s="39"/>
      <c r="AV22" s="39"/>
      <c r="AW22" s="39"/>
      <c r="AX22" s="274"/>
      <c r="AY22" s="274"/>
      <c r="AZ22" s="274"/>
      <c r="BA22" s="39"/>
      <c r="BB22" s="62"/>
      <c r="BC22" s="39"/>
      <c r="BD22" s="274"/>
      <c r="BE22" s="274"/>
      <c r="BF22" s="274"/>
      <c r="BG22" s="39"/>
      <c r="BH22" s="39"/>
      <c r="BI22" s="39"/>
      <c r="BJ22" s="274">
        <v>102000</v>
      </c>
      <c r="BK22" s="274">
        <f t="shared" ref="BK22:BK29" si="16">+BJ22*0.19</f>
        <v>19380</v>
      </c>
      <c r="BL22" s="274">
        <f t="shared" ref="BL22:BL29" si="17">+BJ22+BK22</f>
        <v>121380</v>
      </c>
      <c r="BM22" s="213" t="s">
        <v>4747</v>
      </c>
      <c r="BN22" s="213" t="s">
        <v>3897</v>
      </c>
      <c r="BO22" s="39"/>
      <c r="BP22" s="274"/>
      <c r="BQ22" s="274"/>
      <c r="BR22" s="274"/>
      <c r="BS22" s="39"/>
      <c r="BT22" s="39"/>
      <c r="BU22" s="39"/>
      <c r="BV22" s="219">
        <v>121472.82</v>
      </c>
      <c r="BW22" s="219">
        <f>+BV22*0.19</f>
        <v>23079.835800000001</v>
      </c>
      <c r="BX22" s="273">
        <f>+BV22+BW22</f>
        <v>144552.65580000001</v>
      </c>
      <c r="BY22" s="213" t="s">
        <v>4747</v>
      </c>
      <c r="BZ22" s="213" t="s">
        <v>3897</v>
      </c>
      <c r="CA22" s="213"/>
      <c r="CB22" s="274"/>
      <c r="CC22" s="274"/>
      <c r="CD22" s="274"/>
      <c r="CE22" s="39"/>
      <c r="CF22" s="39"/>
      <c r="CG22" s="39"/>
      <c r="CH22" s="274"/>
      <c r="CI22" s="274"/>
      <c r="CJ22" s="274"/>
      <c r="CK22" s="39"/>
      <c r="CL22" s="39"/>
      <c r="CM22" s="39"/>
      <c r="CN22" s="39"/>
      <c r="CO22" s="39"/>
      <c r="CP22" s="11"/>
      <c r="CQ22" s="11"/>
      <c r="CR22" s="11"/>
      <c r="CS22" s="11"/>
      <c r="CT22" s="11"/>
      <c r="CU22" s="11"/>
      <c r="CV22" s="11"/>
      <c r="CW22" s="11"/>
      <c r="CX22" s="11"/>
      <c r="CY22" s="11"/>
      <c r="CZ22" s="11"/>
      <c r="DA22" s="11"/>
      <c r="DB22" s="11"/>
      <c r="DC22" s="11"/>
      <c r="DD22" s="11"/>
      <c r="DE22" s="11"/>
      <c r="DF22" s="11"/>
      <c r="DG22" s="11"/>
      <c r="DH22" s="11"/>
      <c r="DI22" s="11"/>
      <c r="DJ22" s="11"/>
      <c r="DK22" s="11"/>
      <c r="DL22" s="274"/>
      <c r="DM22" s="274"/>
      <c r="DN22" s="274"/>
      <c r="DO22" s="274"/>
      <c r="DP22" s="274"/>
      <c r="DQ22" s="274"/>
      <c r="DR22" s="274"/>
      <c r="DS22" s="274"/>
      <c r="DT22" s="274"/>
      <c r="DU22" s="274"/>
      <c r="DV22" s="274"/>
      <c r="DW22" s="274"/>
      <c r="DX22" s="274"/>
      <c r="DY22" s="274"/>
      <c r="DZ22" s="274"/>
      <c r="EA22" s="274"/>
      <c r="EB22" s="274"/>
      <c r="EC22" s="274"/>
      <c r="ED22" s="39">
        <f t="shared" si="4"/>
        <v>375281.75580000004</v>
      </c>
      <c r="EE22" s="30">
        <f t="shared" si="5"/>
        <v>4</v>
      </c>
      <c r="EF22" s="39">
        <f t="shared" si="6"/>
        <v>93820.438950000011</v>
      </c>
    </row>
    <row r="23" spans="1:136" x14ac:dyDescent="0.25">
      <c r="A23" s="25" t="e">
        <f>#REF!</f>
        <v>#REF!</v>
      </c>
      <c r="B23" s="50" t="e">
        <f>#REF!</f>
        <v>#REF!</v>
      </c>
      <c r="C23" s="5" t="e">
        <f>#REF!</f>
        <v>#REF!</v>
      </c>
      <c r="D23" s="5" t="e">
        <f>#REF!</f>
        <v>#REF!</v>
      </c>
      <c r="E23" s="252">
        <v>1</v>
      </c>
      <c r="F23" s="249">
        <v>49980</v>
      </c>
      <c r="G23" s="249">
        <v>47481</v>
      </c>
      <c r="H23" s="249">
        <v>20012.399574999999</v>
      </c>
      <c r="I23" s="249">
        <v>0</v>
      </c>
      <c r="J23" s="249">
        <v>80492.261111111133</v>
      </c>
      <c r="K23" s="249">
        <v>79730</v>
      </c>
      <c r="L23" s="274">
        <f>AVERAGE(F23,H23,J23)</f>
        <v>50161.553562037043</v>
      </c>
      <c r="M23" s="274">
        <f>AVERAGE(G23,K23)*E1</f>
        <v>65513.665000000001</v>
      </c>
      <c r="N23" s="255">
        <v>25000</v>
      </c>
      <c r="O23" s="135">
        <f t="shared" si="15"/>
        <v>4750</v>
      </c>
      <c r="P23" s="135">
        <f t="shared" si="10"/>
        <v>29750</v>
      </c>
      <c r="Q23" s="131"/>
      <c r="R23" s="131"/>
      <c r="S23" s="11"/>
      <c r="T23" s="274"/>
      <c r="U23" s="274"/>
      <c r="V23" s="274"/>
      <c r="W23" s="39"/>
      <c r="X23" s="11"/>
      <c r="Y23" s="11"/>
      <c r="Z23" s="274"/>
      <c r="AA23" s="274"/>
      <c r="AB23" s="274"/>
      <c r="AC23" s="51"/>
      <c r="AD23" s="22"/>
      <c r="AE23" s="39"/>
      <c r="AF23" s="118">
        <v>20810</v>
      </c>
      <c r="AG23" s="118">
        <f>+AF23*0.19</f>
        <v>3953.9</v>
      </c>
      <c r="AH23" s="170">
        <f>+AF23+AG23</f>
        <v>24763.9</v>
      </c>
      <c r="AI23" s="4" t="s">
        <v>4746</v>
      </c>
      <c r="AJ23" s="52" t="s">
        <v>4673</v>
      </c>
      <c r="AK23" s="39"/>
      <c r="AL23" s="118"/>
      <c r="AM23" s="152"/>
      <c r="AN23" s="181"/>
      <c r="AO23" s="131"/>
      <c r="AP23" s="131"/>
      <c r="AQ23" s="39"/>
      <c r="AR23" s="274"/>
      <c r="AS23" s="274"/>
      <c r="AT23" s="274"/>
      <c r="AU23" s="39"/>
      <c r="AV23" s="39"/>
      <c r="AW23" s="39"/>
      <c r="AX23" s="274"/>
      <c r="AY23" s="274"/>
      <c r="AZ23" s="274"/>
      <c r="BA23" s="39"/>
      <c r="BB23" s="62"/>
      <c r="BC23" s="39"/>
      <c r="BD23" s="274"/>
      <c r="BE23" s="274"/>
      <c r="BF23" s="274"/>
      <c r="BG23" s="39"/>
      <c r="BH23" s="39"/>
      <c r="BI23" s="39"/>
      <c r="BJ23" s="274">
        <v>111000</v>
      </c>
      <c r="BK23" s="274">
        <f t="shared" si="16"/>
        <v>21090</v>
      </c>
      <c r="BL23" s="274">
        <f t="shared" si="17"/>
        <v>132090</v>
      </c>
      <c r="BM23" s="213" t="s">
        <v>4747</v>
      </c>
      <c r="BN23" s="213" t="s">
        <v>3897</v>
      </c>
      <c r="BO23" s="39"/>
      <c r="BP23" s="274"/>
      <c r="BQ23" s="274"/>
      <c r="BR23" s="274"/>
      <c r="BS23" s="39"/>
      <c r="BT23" s="39"/>
      <c r="BU23" s="39"/>
      <c r="BV23" s="219">
        <v>130932.04800000001</v>
      </c>
      <c r="BW23" s="219">
        <f>+BV23*0.19</f>
        <v>24877.089120000001</v>
      </c>
      <c r="BX23" s="273">
        <f>+BV23+BW23</f>
        <v>155809.13712</v>
      </c>
      <c r="BY23" s="213" t="s">
        <v>4747</v>
      </c>
      <c r="BZ23" s="213" t="s">
        <v>3897</v>
      </c>
      <c r="CA23" s="213"/>
      <c r="CB23" s="274"/>
      <c r="CC23" s="274"/>
      <c r="CD23" s="274"/>
      <c r="CE23" s="39"/>
      <c r="CF23" s="39"/>
      <c r="CG23" s="39"/>
      <c r="CH23" s="274"/>
      <c r="CI23" s="274"/>
      <c r="CJ23" s="274"/>
      <c r="CK23" s="39"/>
      <c r="CL23" s="39"/>
      <c r="CM23" s="39"/>
      <c r="CN23" s="39"/>
      <c r="CO23" s="39"/>
      <c r="CP23" s="11"/>
      <c r="CQ23" s="11"/>
      <c r="CR23" s="11"/>
      <c r="CS23" s="11"/>
      <c r="CT23" s="11"/>
      <c r="CU23" s="11"/>
      <c r="CV23" s="11"/>
      <c r="CW23" s="11"/>
      <c r="CX23" s="11"/>
      <c r="CY23" s="11"/>
      <c r="CZ23" s="11"/>
      <c r="DA23" s="11"/>
      <c r="DB23" s="11"/>
      <c r="DC23" s="11"/>
      <c r="DD23" s="11"/>
      <c r="DE23" s="11"/>
      <c r="DF23" s="11"/>
      <c r="DG23" s="11"/>
      <c r="DH23" s="11"/>
      <c r="DI23" s="11"/>
      <c r="DJ23" s="11"/>
      <c r="DK23" s="11"/>
      <c r="DL23" s="274"/>
      <c r="DM23" s="274"/>
      <c r="DN23" s="274"/>
      <c r="DO23" s="274"/>
      <c r="DP23" s="274"/>
      <c r="DQ23" s="274"/>
      <c r="DR23" s="274"/>
      <c r="DS23" s="274"/>
      <c r="DT23" s="274"/>
      <c r="DU23" s="274"/>
      <c r="DV23" s="274"/>
      <c r="DW23" s="274"/>
      <c r="DX23" s="274"/>
      <c r="DY23" s="274"/>
      <c r="DZ23" s="274"/>
      <c r="EA23" s="274"/>
      <c r="EB23" s="274"/>
      <c r="EC23" s="274"/>
      <c r="ED23" s="39">
        <f t="shared" si="4"/>
        <v>407926.70212000003</v>
      </c>
      <c r="EE23" s="30">
        <f t="shared" si="5"/>
        <v>5</v>
      </c>
      <c r="EF23" s="39">
        <f t="shared" si="6"/>
        <v>81585.340424000009</v>
      </c>
    </row>
    <row r="24" spans="1:136" ht="24" x14ac:dyDescent="0.25">
      <c r="A24" s="25" t="e">
        <f>#REF!</f>
        <v>#REF!</v>
      </c>
      <c r="B24" s="50" t="e">
        <f>#REF!</f>
        <v>#REF!</v>
      </c>
      <c r="C24" s="5" t="e">
        <f>#REF!</f>
        <v>#REF!</v>
      </c>
      <c r="D24" s="5" t="e">
        <f>#REF!</f>
        <v>#REF!</v>
      </c>
      <c r="E24" s="252">
        <v>1</v>
      </c>
      <c r="F24" s="249">
        <v>0</v>
      </c>
      <c r="G24" s="249">
        <v>0</v>
      </c>
      <c r="H24" s="249">
        <v>0</v>
      </c>
      <c r="I24" s="249">
        <v>0</v>
      </c>
      <c r="J24" s="249">
        <v>0</v>
      </c>
      <c r="K24" s="249">
        <v>0</v>
      </c>
      <c r="L24" s="274"/>
      <c r="M24" s="274"/>
      <c r="N24" s="255">
        <v>250</v>
      </c>
      <c r="O24" s="135">
        <f t="shared" si="15"/>
        <v>47.5</v>
      </c>
      <c r="P24" s="135">
        <f t="shared" si="10"/>
        <v>297.5</v>
      </c>
      <c r="Q24" s="131"/>
      <c r="R24" s="131"/>
      <c r="S24" s="11"/>
      <c r="T24" s="274"/>
      <c r="U24" s="274"/>
      <c r="V24" s="274"/>
      <c r="W24" s="39"/>
      <c r="X24" s="11"/>
      <c r="Y24" s="11"/>
      <c r="Z24" s="274"/>
      <c r="AA24" s="274"/>
      <c r="AB24" s="274"/>
      <c r="AC24" s="51"/>
      <c r="AD24" s="22"/>
      <c r="AE24" s="39"/>
      <c r="AF24" s="274"/>
      <c r="AG24" s="274"/>
      <c r="AH24" s="170"/>
      <c r="AI24" s="4"/>
      <c r="AJ24" s="39"/>
      <c r="AK24" s="39"/>
      <c r="AL24" s="118"/>
      <c r="AM24" s="152"/>
      <c r="AN24" s="181"/>
      <c r="AO24" s="131"/>
      <c r="AP24" s="131"/>
      <c r="AQ24" s="39"/>
      <c r="AR24" s="274"/>
      <c r="AS24" s="274"/>
      <c r="AT24" s="274"/>
      <c r="AU24" s="39"/>
      <c r="AV24" s="39"/>
      <c r="AW24" s="39"/>
      <c r="AX24" s="274"/>
      <c r="AY24" s="274"/>
      <c r="AZ24" s="274"/>
      <c r="BA24" s="39"/>
      <c r="BB24" s="62"/>
      <c r="BC24" s="39"/>
      <c r="BD24" s="274"/>
      <c r="BE24" s="274"/>
      <c r="BF24" s="274"/>
      <c r="BG24" s="39"/>
      <c r="BH24" s="39"/>
      <c r="BI24" s="39"/>
      <c r="BJ24" s="217">
        <f>930000/1000</f>
        <v>930</v>
      </c>
      <c r="BK24" s="274">
        <f t="shared" si="16"/>
        <v>176.7</v>
      </c>
      <c r="BL24" s="274">
        <f t="shared" si="17"/>
        <v>1106.7</v>
      </c>
      <c r="BM24" s="213" t="s">
        <v>4742</v>
      </c>
      <c r="BN24" s="213" t="s">
        <v>4748</v>
      </c>
      <c r="BO24" s="39"/>
      <c r="BP24" s="274"/>
      <c r="BQ24" s="274"/>
      <c r="BR24" s="274"/>
      <c r="BS24" s="39"/>
      <c r="BT24" s="39"/>
      <c r="BU24" s="39"/>
      <c r="BV24" s="219"/>
      <c r="BW24" s="219"/>
      <c r="BX24" s="273"/>
      <c r="BY24" s="213"/>
      <c r="BZ24" s="213"/>
      <c r="CA24" s="213"/>
      <c r="CB24" s="274"/>
      <c r="CC24" s="274"/>
      <c r="CD24" s="274"/>
      <c r="CE24" s="39"/>
      <c r="CF24" s="39"/>
      <c r="CG24" s="39"/>
      <c r="CH24" s="274"/>
      <c r="CI24" s="274"/>
      <c r="CJ24" s="274"/>
      <c r="CK24" s="39"/>
      <c r="CL24" s="39"/>
      <c r="CM24" s="39"/>
      <c r="CN24" s="39"/>
      <c r="CO24" s="39"/>
      <c r="CP24" s="11"/>
      <c r="CQ24" s="11"/>
      <c r="CR24" s="11"/>
      <c r="CS24" s="11"/>
      <c r="CT24" s="11"/>
      <c r="CU24" s="11"/>
      <c r="CV24" s="11"/>
      <c r="CW24" s="11"/>
      <c r="CX24" s="11"/>
      <c r="CY24" s="11"/>
      <c r="CZ24" s="11"/>
      <c r="DA24" s="11"/>
      <c r="DB24" s="11"/>
      <c r="DC24" s="11"/>
      <c r="DD24" s="11"/>
      <c r="DE24" s="11"/>
      <c r="DF24" s="11"/>
      <c r="DG24" s="11"/>
      <c r="DH24" s="11"/>
      <c r="DI24" s="11"/>
      <c r="DJ24" s="11"/>
      <c r="DK24" s="11"/>
      <c r="DL24" s="274"/>
      <c r="DM24" s="274"/>
      <c r="DN24" s="274"/>
      <c r="DO24" s="274"/>
      <c r="DP24" s="274"/>
      <c r="DQ24" s="274"/>
      <c r="DR24" s="274"/>
      <c r="DS24" s="274"/>
      <c r="DT24" s="274"/>
      <c r="DU24" s="274"/>
      <c r="DV24" s="274"/>
      <c r="DW24" s="274"/>
      <c r="DX24" s="274"/>
      <c r="DY24" s="274"/>
      <c r="DZ24" s="274"/>
      <c r="EA24" s="274"/>
      <c r="EB24" s="274"/>
      <c r="EC24" s="274"/>
      <c r="ED24" s="39">
        <f t="shared" si="4"/>
        <v>1404.2</v>
      </c>
      <c r="EE24" s="30">
        <f t="shared" si="5"/>
        <v>2</v>
      </c>
      <c r="EF24" s="39">
        <f t="shared" si="6"/>
        <v>702.1</v>
      </c>
    </row>
    <row r="25" spans="1:136" x14ac:dyDescent="0.25">
      <c r="A25" s="25" t="e">
        <f>#REF!</f>
        <v>#REF!</v>
      </c>
      <c r="B25" s="50" t="e">
        <f>#REF!</f>
        <v>#REF!</v>
      </c>
      <c r="C25" s="5" t="e">
        <f>#REF!</f>
        <v>#REF!</v>
      </c>
      <c r="D25" s="5" t="e">
        <f>#REF!</f>
        <v>#REF!</v>
      </c>
      <c r="E25" s="252">
        <v>1</v>
      </c>
      <c r="F25" s="249">
        <v>0</v>
      </c>
      <c r="G25" s="249">
        <v>0</v>
      </c>
      <c r="H25" s="249">
        <v>0</v>
      </c>
      <c r="I25" s="249">
        <v>0</v>
      </c>
      <c r="J25" s="249">
        <v>257373.2</v>
      </c>
      <c r="K25" s="249">
        <v>0</v>
      </c>
      <c r="L25" s="274">
        <f>J25</f>
        <v>257373.2</v>
      </c>
      <c r="M25" s="274"/>
      <c r="N25" s="255">
        <v>80000</v>
      </c>
      <c r="O25" s="135">
        <f t="shared" si="15"/>
        <v>15200</v>
      </c>
      <c r="P25" s="135">
        <f t="shared" si="10"/>
        <v>95200</v>
      </c>
      <c r="Q25" s="131"/>
      <c r="R25" s="131"/>
      <c r="S25" s="11"/>
      <c r="T25" s="274"/>
      <c r="U25" s="274"/>
      <c r="V25" s="274"/>
      <c r="W25" s="39"/>
      <c r="X25" s="11"/>
      <c r="Y25" s="11"/>
      <c r="Z25" s="274"/>
      <c r="AA25" s="274"/>
      <c r="AB25" s="274"/>
      <c r="AC25" s="51"/>
      <c r="AD25" s="22"/>
      <c r="AE25" s="39"/>
      <c r="AF25" s="274"/>
      <c r="AG25" s="274"/>
      <c r="AH25" s="170"/>
      <c r="AI25" s="22"/>
      <c r="AJ25" s="39"/>
      <c r="AK25" s="39"/>
      <c r="AL25" s="118"/>
      <c r="AM25" s="152"/>
      <c r="AN25" s="181"/>
      <c r="AO25" s="131"/>
      <c r="AP25" s="131"/>
      <c r="AQ25" s="39"/>
      <c r="AR25" s="274"/>
      <c r="AS25" s="274"/>
      <c r="AT25" s="274"/>
      <c r="AU25" s="39"/>
      <c r="AV25" s="39"/>
      <c r="AW25" s="39"/>
      <c r="AX25" s="274"/>
      <c r="AY25" s="274"/>
      <c r="AZ25" s="274"/>
      <c r="BA25" s="39"/>
      <c r="BB25" s="62"/>
      <c r="BC25" s="39"/>
      <c r="BD25" s="274"/>
      <c r="BE25" s="274"/>
      <c r="BF25" s="274"/>
      <c r="BG25" s="39"/>
      <c r="BH25" s="39"/>
      <c r="BI25" s="39"/>
      <c r="BJ25" s="274">
        <v>660000</v>
      </c>
      <c r="BK25" s="274">
        <f t="shared" si="16"/>
        <v>125400</v>
      </c>
      <c r="BL25" s="274">
        <f t="shared" si="17"/>
        <v>785400</v>
      </c>
      <c r="BM25" s="214" t="s">
        <v>2005</v>
      </c>
      <c r="BN25" s="213" t="s">
        <v>4749</v>
      </c>
      <c r="BO25" s="39"/>
      <c r="BP25" s="274">
        <v>6500</v>
      </c>
      <c r="BQ25" s="274">
        <f t="shared" ref="BQ25:BQ51" si="18">+BP25*19%</f>
        <v>1235</v>
      </c>
      <c r="BR25" s="274">
        <f t="shared" ref="BR25:BR51" si="19">+BQ25+BP25</f>
        <v>7735</v>
      </c>
      <c r="BS25" s="39"/>
      <c r="BT25" s="39"/>
      <c r="BU25" s="39"/>
      <c r="BV25" s="219"/>
      <c r="BW25" s="219"/>
      <c r="BX25" s="273"/>
      <c r="BY25" s="214"/>
      <c r="BZ25" s="213"/>
      <c r="CA25" s="213"/>
      <c r="CB25" s="274"/>
      <c r="CC25" s="274"/>
      <c r="CD25" s="274"/>
      <c r="CE25" s="39"/>
      <c r="CF25" s="39"/>
      <c r="CG25" s="39"/>
      <c r="CH25" s="274"/>
      <c r="CI25" s="274"/>
      <c r="CJ25" s="274"/>
      <c r="CK25" s="39"/>
      <c r="CL25" s="39"/>
      <c r="CM25" s="39"/>
      <c r="CN25" s="39"/>
      <c r="CO25" s="39"/>
      <c r="CP25" s="11"/>
      <c r="CQ25" s="11"/>
      <c r="CR25" s="11"/>
      <c r="CS25" s="11"/>
      <c r="CT25" s="11"/>
      <c r="CU25" s="11"/>
      <c r="CV25" s="11"/>
      <c r="CW25" s="11"/>
      <c r="CX25" s="11"/>
      <c r="CY25" s="11"/>
      <c r="CZ25" s="11"/>
      <c r="DA25" s="11"/>
      <c r="DB25" s="11"/>
      <c r="DC25" s="11"/>
      <c r="DD25" s="11"/>
      <c r="DE25" s="11"/>
      <c r="DF25" s="11"/>
      <c r="DG25" s="11"/>
      <c r="DH25" s="11"/>
      <c r="DI25" s="11"/>
      <c r="DJ25" s="11"/>
      <c r="DK25" s="11"/>
      <c r="DL25" s="274"/>
      <c r="DM25" s="274"/>
      <c r="DN25" s="274"/>
      <c r="DO25" s="274"/>
      <c r="DP25" s="274"/>
      <c r="DQ25" s="274"/>
      <c r="DR25" s="274"/>
      <c r="DS25" s="274"/>
      <c r="DT25" s="274"/>
      <c r="DU25" s="274"/>
      <c r="DV25" s="274"/>
      <c r="DW25" s="274"/>
      <c r="DX25" s="274"/>
      <c r="DY25" s="274"/>
      <c r="DZ25" s="274"/>
      <c r="EA25" s="274"/>
      <c r="EB25" s="274"/>
      <c r="EC25" s="274"/>
      <c r="ED25" s="39">
        <f t="shared" si="4"/>
        <v>888335</v>
      </c>
      <c r="EE25" s="30">
        <f t="shared" si="5"/>
        <v>3</v>
      </c>
      <c r="EF25" s="39">
        <f t="shared" si="6"/>
        <v>296111.66666666669</v>
      </c>
    </row>
    <row r="26" spans="1:136" x14ac:dyDescent="0.25">
      <c r="A26" s="25" t="e">
        <f>#REF!</f>
        <v>#REF!</v>
      </c>
      <c r="B26" s="50" t="e">
        <f>#REF!</f>
        <v>#REF!</v>
      </c>
      <c r="C26" s="5" t="e">
        <f>#REF!</f>
        <v>#REF!</v>
      </c>
      <c r="D26" s="5" t="e">
        <f>#REF!</f>
        <v>#REF!</v>
      </c>
      <c r="E26" s="252">
        <v>1</v>
      </c>
      <c r="F26" s="249">
        <v>58417.1</v>
      </c>
      <c r="G26" s="249">
        <v>55454</v>
      </c>
      <c r="H26" s="249">
        <v>0</v>
      </c>
      <c r="I26" s="249">
        <v>0</v>
      </c>
      <c r="J26" s="249">
        <v>45853.675000000003</v>
      </c>
      <c r="K26" s="249">
        <v>31178</v>
      </c>
      <c r="L26" s="274">
        <f>AVERAGE(F26,J26)</f>
        <v>52135.387499999997</v>
      </c>
      <c r="M26" s="274">
        <f>AVERAGE(G26,K26)*E1</f>
        <v>44615.48</v>
      </c>
      <c r="N26" s="255">
        <v>3000</v>
      </c>
      <c r="O26" s="135">
        <f t="shared" si="15"/>
        <v>570</v>
      </c>
      <c r="P26" s="135">
        <f t="shared" si="10"/>
        <v>3570</v>
      </c>
      <c r="Q26" s="131"/>
      <c r="R26" s="131"/>
      <c r="S26" s="11"/>
      <c r="T26" s="274"/>
      <c r="U26" s="274"/>
      <c r="V26" s="274"/>
      <c r="W26" s="39"/>
      <c r="X26" s="11"/>
      <c r="Y26" s="11"/>
      <c r="Z26" s="274"/>
      <c r="AA26" s="274"/>
      <c r="AB26" s="274"/>
      <c r="AC26" s="51"/>
      <c r="AD26" s="22"/>
      <c r="AE26" s="39"/>
      <c r="AF26" s="274"/>
      <c r="AG26" s="274"/>
      <c r="AH26" s="170"/>
      <c r="AI26" s="4"/>
      <c r="AJ26" s="39"/>
      <c r="AK26" s="39"/>
      <c r="AL26" s="118"/>
      <c r="AM26" s="152"/>
      <c r="AN26" s="181"/>
      <c r="AO26" s="131"/>
      <c r="AP26" s="131"/>
      <c r="AQ26" s="39"/>
      <c r="AR26" s="274"/>
      <c r="AS26" s="274"/>
      <c r="AT26" s="274"/>
      <c r="AU26" s="39"/>
      <c r="AV26" s="39"/>
      <c r="AW26" s="39"/>
      <c r="AX26" s="274"/>
      <c r="AY26" s="274"/>
      <c r="AZ26" s="274"/>
      <c r="BA26" s="39"/>
      <c r="BB26" s="62"/>
      <c r="BC26" s="39"/>
      <c r="BD26" s="274"/>
      <c r="BE26" s="274"/>
      <c r="BF26" s="274"/>
      <c r="BG26" s="39"/>
      <c r="BH26" s="39"/>
      <c r="BI26" s="39"/>
      <c r="BJ26" s="274">
        <f>35600/10</f>
        <v>3560</v>
      </c>
      <c r="BK26" s="274">
        <f t="shared" si="16"/>
        <v>676.4</v>
      </c>
      <c r="BL26" s="274">
        <f t="shared" si="17"/>
        <v>4236.3999999999996</v>
      </c>
      <c r="BM26" s="213" t="s">
        <v>4742</v>
      </c>
      <c r="BN26" s="213" t="s">
        <v>2939</v>
      </c>
      <c r="BO26" s="39"/>
      <c r="BP26" s="274">
        <v>28500</v>
      </c>
      <c r="BQ26" s="274">
        <f t="shared" si="18"/>
        <v>5415</v>
      </c>
      <c r="BR26" s="274">
        <f t="shared" si="19"/>
        <v>33915</v>
      </c>
      <c r="BS26" s="39"/>
      <c r="BT26" s="39"/>
      <c r="BU26" s="39"/>
      <c r="BV26" s="219">
        <v>39260.534400000004</v>
      </c>
      <c r="BW26" s="219">
        <f>+BV26*0.19</f>
        <v>7459.5015360000007</v>
      </c>
      <c r="BX26" s="273">
        <f>+BV26+BW26</f>
        <v>46720.035936000007</v>
      </c>
      <c r="BY26" s="213" t="s">
        <v>4742</v>
      </c>
      <c r="BZ26" s="213" t="s">
        <v>2939</v>
      </c>
      <c r="CA26" s="213"/>
      <c r="CB26" s="274"/>
      <c r="CC26" s="274"/>
      <c r="CD26" s="274"/>
      <c r="CE26" s="39"/>
      <c r="CF26" s="39"/>
      <c r="CG26" s="39"/>
      <c r="CH26" s="274"/>
      <c r="CI26" s="274"/>
      <c r="CJ26" s="274"/>
      <c r="CK26" s="39"/>
      <c r="CL26" s="39"/>
      <c r="CM26" s="39"/>
      <c r="CN26" s="39"/>
      <c r="CO26" s="39"/>
      <c r="CP26" s="11"/>
      <c r="CQ26" s="11"/>
      <c r="CR26" s="11"/>
      <c r="CS26" s="11"/>
      <c r="CT26" s="11"/>
      <c r="CU26" s="11"/>
      <c r="CV26" s="11"/>
      <c r="CW26" s="11"/>
      <c r="CX26" s="11"/>
      <c r="CY26" s="11"/>
      <c r="CZ26" s="11"/>
      <c r="DA26" s="11"/>
      <c r="DB26" s="11"/>
      <c r="DC26" s="11"/>
      <c r="DD26" s="11"/>
      <c r="DE26" s="11"/>
      <c r="DF26" s="11"/>
      <c r="DG26" s="11"/>
      <c r="DH26" s="11"/>
      <c r="DI26" s="11"/>
      <c r="DJ26" s="11"/>
      <c r="DK26" s="11"/>
      <c r="DL26" s="274"/>
      <c r="DM26" s="274"/>
      <c r="DN26" s="274"/>
      <c r="DO26" s="274"/>
      <c r="DP26" s="274"/>
      <c r="DQ26" s="274"/>
      <c r="DR26" s="274"/>
      <c r="DS26" s="274"/>
      <c r="DT26" s="274"/>
      <c r="DU26" s="274"/>
      <c r="DV26" s="274"/>
      <c r="DW26" s="274"/>
      <c r="DX26" s="274"/>
      <c r="DY26" s="274"/>
      <c r="DZ26" s="274"/>
      <c r="EA26" s="274"/>
      <c r="EB26" s="274"/>
      <c r="EC26" s="274"/>
      <c r="ED26" s="39">
        <f t="shared" si="4"/>
        <v>133056.915936</v>
      </c>
      <c r="EE26" s="30">
        <f t="shared" si="5"/>
        <v>5</v>
      </c>
      <c r="EF26" s="39">
        <f t="shared" si="6"/>
        <v>26611.383187200001</v>
      </c>
    </row>
    <row r="27" spans="1:136" x14ac:dyDescent="0.25">
      <c r="A27" s="25" t="e">
        <f>#REF!</f>
        <v>#REF!</v>
      </c>
      <c r="B27" s="50" t="e">
        <f>#REF!</f>
        <v>#REF!</v>
      </c>
      <c r="C27" s="5" t="e">
        <f>#REF!</f>
        <v>#REF!</v>
      </c>
      <c r="D27" s="5" t="e">
        <f>#REF!</f>
        <v>#REF!</v>
      </c>
      <c r="E27" s="252">
        <v>1</v>
      </c>
      <c r="F27" s="249">
        <v>2856</v>
      </c>
      <c r="G27" s="249">
        <v>2856</v>
      </c>
      <c r="H27" s="249">
        <v>3862.2402000000002</v>
      </c>
      <c r="I27" s="249">
        <v>0</v>
      </c>
      <c r="J27" s="249">
        <v>5229.3888888888896</v>
      </c>
      <c r="K27" s="249">
        <v>4522</v>
      </c>
      <c r="L27" s="274">
        <f t="shared" ref="L27:L32" si="20">AVERAGE(F27,H27,J27)</f>
        <v>3982.5430296296304</v>
      </c>
      <c r="M27" s="274">
        <f>AVERAGE(G27,K27)*E1</f>
        <v>3799.67</v>
      </c>
      <c r="N27" s="255">
        <v>1700</v>
      </c>
      <c r="O27" s="135">
        <f t="shared" si="15"/>
        <v>323</v>
      </c>
      <c r="P27" s="135">
        <f t="shared" si="10"/>
        <v>2023</v>
      </c>
      <c r="Q27" s="131"/>
      <c r="R27" s="131"/>
      <c r="S27" s="11"/>
      <c r="T27" s="274">
        <v>1925.0000000000002</v>
      </c>
      <c r="U27" s="274">
        <f>+T27*0.19</f>
        <v>365.75000000000006</v>
      </c>
      <c r="V27" s="274">
        <f>+T27+U27</f>
        <v>2290.7500000000005</v>
      </c>
      <c r="W27" s="39" t="s">
        <v>510</v>
      </c>
      <c r="X27" s="11" t="s">
        <v>164</v>
      </c>
      <c r="Y27" s="11"/>
      <c r="Z27" s="274"/>
      <c r="AA27" s="274"/>
      <c r="AB27" s="274"/>
      <c r="AC27" s="51"/>
      <c r="AD27" s="22"/>
      <c r="AE27" s="39"/>
      <c r="AF27" s="274"/>
      <c r="AG27" s="274"/>
      <c r="AH27" s="170"/>
      <c r="AI27" s="4"/>
      <c r="AJ27" s="39"/>
      <c r="AK27" s="39"/>
      <c r="AL27" s="118"/>
      <c r="AM27" s="152"/>
      <c r="AN27" s="181"/>
      <c r="AO27" s="131"/>
      <c r="AP27" s="131"/>
      <c r="AQ27" s="39"/>
      <c r="AR27" s="274"/>
      <c r="AS27" s="274"/>
      <c r="AT27" s="274"/>
      <c r="AU27" s="39"/>
      <c r="AV27" s="39"/>
      <c r="AW27" s="39"/>
      <c r="AX27" s="274"/>
      <c r="AY27" s="274"/>
      <c r="AZ27" s="274"/>
      <c r="BA27" s="39"/>
      <c r="BB27" s="62"/>
      <c r="BC27" s="39"/>
      <c r="BD27" s="274"/>
      <c r="BE27" s="274"/>
      <c r="BF27" s="274"/>
      <c r="BG27" s="39"/>
      <c r="BH27" s="39"/>
      <c r="BI27" s="39"/>
      <c r="BJ27" s="274">
        <v>3100</v>
      </c>
      <c r="BK27" s="274">
        <f t="shared" si="16"/>
        <v>589</v>
      </c>
      <c r="BL27" s="274">
        <f t="shared" si="17"/>
        <v>3689</v>
      </c>
      <c r="BM27" s="213" t="s">
        <v>2891</v>
      </c>
      <c r="BN27" s="213" t="s">
        <v>4750</v>
      </c>
      <c r="BO27" s="39"/>
      <c r="BP27" s="274">
        <v>2600</v>
      </c>
      <c r="BQ27" s="274">
        <f t="shared" si="18"/>
        <v>494</v>
      </c>
      <c r="BR27" s="274">
        <f t="shared" si="19"/>
        <v>3094</v>
      </c>
      <c r="BS27" s="39"/>
      <c r="BT27" s="39"/>
      <c r="BU27" s="39"/>
      <c r="BV27" s="219">
        <v>3520.2825000000003</v>
      </c>
      <c r="BW27" s="219">
        <f>+BV27*0.19</f>
        <v>668.85367500000007</v>
      </c>
      <c r="BX27" s="273">
        <f>+BV27+BW27</f>
        <v>4189.1361750000005</v>
      </c>
      <c r="BY27" s="213" t="s">
        <v>2891</v>
      </c>
      <c r="BZ27" s="213" t="s">
        <v>4750</v>
      </c>
      <c r="CA27" s="213"/>
      <c r="CB27" s="274"/>
      <c r="CC27" s="274"/>
      <c r="CD27" s="274"/>
      <c r="CE27" s="39"/>
      <c r="CF27" s="39"/>
      <c r="CG27" s="39"/>
      <c r="CH27" s="274"/>
      <c r="CI27" s="274"/>
      <c r="CJ27" s="274"/>
      <c r="CK27" s="39"/>
      <c r="CL27" s="39"/>
      <c r="CM27" s="39"/>
      <c r="CN27" s="39"/>
      <c r="CO27" s="39"/>
      <c r="CP27" s="11"/>
      <c r="CQ27" s="11"/>
      <c r="CR27" s="11"/>
      <c r="CS27" s="11"/>
      <c r="CT27" s="11"/>
      <c r="CU27" s="11"/>
      <c r="CV27" s="11"/>
      <c r="CW27" s="11"/>
      <c r="CX27" s="11"/>
      <c r="CY27" s="11"/>
      <c r="CZ27" s="11"/>
      <c r="DA27" s="11"/>
      <c r="DB27" s="11"/>
      <c r="DC27" s="11"/>
      <c r="DD27" s="11"/>
      <c r="DE27" s="11"/>
      <c r="DF27" s="11"/>
      <c r="DG27" s="11"/>
      <c r="DH27" s="11"/>
      <c r="DI27" s="11"/>
      <c r="DJ27" s="11"/>
      <c r="DK27" s="11"/>
      <c r="DL27" s="274"/>
      <c r="DM27" s="274"/>
      <c r="DN27" s="274"/>
      <c r="DO27" s="274"/>
      <c r="DP27" s="274"/>
      <c r="DQ27" s="274"/>
      <c r="DR27" s="274"/>
      <c r="DS27" s="274"/>
      <c r="DT27" s="274"/>
      <c r="DU27" s="274"/>
      <c r="DV27" s="274"/>
      <c r="DW27" s="274"/>
      <c r="DX27" s="274"/>
      <c r="DY27" s="274"/>
      <c r="DZ27" s="274"/>
      <c r="EA27" s="274"/>
      <c r="EB27" s="274"/>
      <c r="EC27" s="274"/>
      <c r="ED27" s="39">
        <f t="shared" si="4"/>
        <v>19085.556175000002</v>
      </c>
      <c r="EE27" s="30">
        <f t="shared" si="5"/>
        <v>6</v>
      </c>
      <c r="EF27" s="39">
        <f t="shared" si="6"/>
        <v>3180.9260291666669</v>
      </c>
    </row>
    <row r="28" spans="1:136" x14ac:dyDescent="0.25">
      <c r="A28" s="25" t="e">
        <f>#REF!</f>
        <v>#REF!</v>
      </c>
      <c r="B28" s="50" t="e">
        <f>#REF!</f>
        <v>#REF!</v>
      </c>
      <c r="C28" s="5" t="e">
        <f>#REF!</f>
        <v>#REF!</v>
      </c>
      <c r="D28" s="5" t="e">
        <f>#REF!</f>
        <v>#REF!</v>
      </c>
      <c r="E28" s="252">
        <v>1</v>
      </c>
      <c r="F28" s="249">
        <v>18738.533333333333</v>
      </c>
      <c r="G28" s="249">
        <v>17969</v>
      </c>
      <c r="H28" s="249">
        <v>100114.583975</v>
      </c>
      <c r="I28" s="249">
        <v>100079</v>
      </c>
      <c r="J28" s="249">
        <v>12868.362499999999</v>
      </c>
      <c r="K28" s="249">
        <v>0</v>
      </c>
      <c r="L28" s="274">
        <f t="shared" si="20"/>
        <v>43907.159936111108</v>
      </c>
      <c r="M28" s="274">
        <f>AVERAGE(G28,I28)*E1</f>
        <v>60794.720000000001</v>
      </c>
      <c r="N28" s="255">
        <v>10000</v>
      </c>
      <c r="O28" s="135">
        <f t="shared" si="15"/>
        <v>1900</v>
      </c>
      <c r="P28" s="135">
        <f t="shared" si="10"/>
        <v>11900</v>
      </c>
      <c r="Q28" s="131"/>
      <c r="R28" s="131"/>
      <c r="S28" s="11"/>
      <c r="T28" s="274">
        <v>3850.0000000000005</v>
      </c>
      <c r="U28" s="274">
        <f>+T28*0.19</f>
        <v>731.50000000000011</v>
      </c>
      <c r="V28" s="274">
        <f>+T28+U28</f>
        <v>4581.5000000000009</v>
      </c>
      <c r="W28" s="39" t="s">
        <v>4751</v>
      </c>
      <c r="X28" s="11" t="s">
        <v>2948</v>
      </c>
      <c r="Y28" s="11"/>
      <c r="Z28" s="274"/>
      <c r="AA28" s="274"/>
      <c r="AB28" s="274"/>
      <c r="AC28" s="51"/>
      <c r="AD28" s="22"/>
      <c r="AE28" s="39"/>
      <c r="AF28" s="274"/>
      <c r="AG28" s="274"/>
      <c r="AH28" s="170"/>
      <c r="AI28" s="4"/>
      <c r="AJ28" s="39"/>
      <c r="AK28" s="39"/>
      <c r="AL28" s="118"/>
      <c r="AM28" s="152"/>
      <c r="AN28" s="181"/>
      <c r="AO28" s="131"/>
      <c r="AP28" s="131"/>
      <c r="AQ28" s="39"/>
      <c r="AR28" s="274"/>
      <c r="AS28" s="274"/>
      <c r="AT28" s="274"/>
      <c r="AU28" s="39"/>
      <c r="AV28" s="39"/>
      <c r="AW28" s="39"/>
      <c r="AX28" s="274"/>
      <c r="AY28" s="274"/>
      <c r="AZ28" s="274"/>
      <c r="BA28" s="39"/>
      <c r="BB28" s="62"/>
      <c r="BC28" s="39"/>
      <c r="BD28" s="274"/>
      <c r="BE28" s="274"/>
      <c r="BF28" s="274"/>
      <c r="BG28" s="39"/>
      <c r="BH28" s="39"/>
      <c r="BI28" s="39"/>
      <c r="BJ28" s="275">
        <f>492700/20</f>
        <v>24635</v>
      </c>
      <c r="BK28" s="274">
        <f t="shared" si="16"/>
        <v>4680.6499999999996</v>
      </c>
      <c r="BL28" s="274">
        <f t="shared" si="17"/>
        <v>29315.65</v>
      </c>
      <c r="BM28" s="213" t="s">
        <v>4742</v>
      </c>
      <c r="BN28" s="213" t="s">
        <v>338</v>
      </c>
      <c r="BO28" s="39"/>
      <c r="BP28" s="274">
        <v>25600</v>
      </c>
      <c r="BQ28" s="274">
        <f t="shared" si="18"/>
        <v>4864</v>
      </c>
      <c r="BR28" s="274">
        <f t="shared" si="19"/>
        <v>30464</v>
      </c>
      <c r="BS28" s="39"/>
      <c r="BT28" s="39"/>
      <c r="BU28" s="39"/>
      <c r="BV28" s="219">
        <f>564826.353/20</f>
        <v>28241.317650000001</v>
      </c>
      <c r="BW28" s="219">
        <f>+BV28*0.19</f>
        <v>5365.8503535</v>
      </c>
      <c r="BX28" s="273">
        <f>+BV28+BW28</f>
        <v>33607.168003500003</v>
      </c>
      <c r="BY28" s="213" t="s">
        <v>4742</v>
      </c>
      <c r="BZ28" s="213" t="s">
        <v>338</v>
      </c>
      <c r="CA28" s="213"/>
      <c r="CB28" s="274"/>
      <c r="CC28" s="274"/>
      <c r="CD28" s="274"/>
      <c r="CE28" s="39"/>
      <c r="CF28" s="39"/>
      <c r="CG28" s="39"/>
      <c r="CH28" s="274"/>
      <c r="CI28" s="274"/>
      <c r="CJ28" s="274"/>
      <c r="CK28" s="39"/>
      <c r="CL28" s="39"/>
      <c r="CM28" s="39"/>
      <c r="CN28" s="39"/>
      <c r="CO28" s="39"/>
      <c r="CP28" s="11"/>
      <c r="CQ28" s="11"/>
      <c r="CR28" s="11"/>
      <c r="CS28" s="11"/>
      <c r="CT28" s="11"/>
      <c r="CU28" s="11"/>
      <c r="CV28" s="11"/>
      <c r="CW28" s="11"/>
      <c r="CX28" s="11"/>
      <c r="CY28" s="11"/>
      <c r="CZ28" s="11"/>
      <c r="DA28" s="11"/>
      <c r="DB28" s="11"/>
      <c r="DC28" s="11"/>
      <c r="DD28" s="11"/>
      <c r="DE28" s="11"/>
      <c r="DF28" s="11"/>
      <c r="DG28" s="11"/>
      <c r="DH28" s="11"/>
      <c r="DI28" s="11"/>
      <c r="DJ28" s="11"/>
      <c r="DK28" s="11"/>
      <c r="DL28" s="274"/>
      <c r="DM28" s="274"/>
      <c r="DN28" s="274"/>
      <c r="DO28" s="274"/>
      <c r="DP28" s="274"/>
      <c r="DQ28" s="274"/>
      <c r="DR28" s="274"/>
      <c r="DS28" s="274"/>
      <c r="DT28" s="274"/>
      <c r="DU28" s="274"/>
      <c r="DV28" s="274"/>
      <c r="DW28" s="274"/>
      <c r="DX28" s="274"/>
      <c r="DY28" s="274"/>
      <c r="DZ28" s="274"/>
      <c r="EA28" s="274"/>
      <c r="EB28" s="274"/>
      <c r="EC28" s="274"/>
      <c r="ED28" s="39">
        <f t="shared" si="4"/>
        <v>170663.0380035</v>
      </c>
      <c r="EE28" s="30">
        <f t="shared" si="5"/>
        <v>6</v>
      </c>
      <c r="EF28" s="39">
        <f t="shared" si="6"/>
        <v>28443.839667249998</v>
      </c>
    </row>
    <row r="29" spans="1:136" x14ac:dyDescent="0.25">
      <c r="A29" s="25" t="e">
        <f>#REF!</f>
        <v>#REF!</v>
      </c>
      <c r="B29" s="50" t="e">
        <f>#REF!</f>
        <v>#REF!</v>
      </c>
      <c r="C29" s="5" t="e">
        <f>#REF!</f>
        <v>#REF!</v>
      </c>
      <c r="D29" s="5" t="e">
        <f>#REF!</f>
        <v>#REF!</v>
      </c>
      <c r="E29" s="252">
        <v>1</v>
      </c>
      <c r="F29" s="249">
        <v>2856</v>
      </c>
      <c r="G29" s="249">
        <v>2856</v>
      </c>
      <c r="H29" s="249">
        <v>3488.1794023945049</v>
      </c>
      <c r="I29" s="249">
        <v>0</v>
      </c>
      <c r="J29" s="249">
        <v>6707.6333333333341</v>
      </c>
      <c r="K29" s="249">
        <v>0</v>
      </c>
      <c r="L29" s="274">
        <f t="shared" si="20"/>
        <v>4350.6042452426127</v>
      </c>
      <c r="M29" s="274">
        <f>G29*E1</f>
        <v>2941.6800000000003</v>
      </c>
      <c r="N29" s="255">
        <v>5000</v>
      </c>
      <c r="O29" s="135">
        <f t="shared" si="15"/>
        <v>950</v>
      </c>
      <c r="P29" s="135">
        <f t="shared" si="10"/>
        <v>5950</v>
      </c>
      <c r="Q29" s="131"/>
      <c r="R29" s="131"/>
      <c r="S29" s="11"/>
      <c r="T29" s="274">
        <v>2145</v>
      </c>
      <c r="U29" s="274">
        <f>+T29*0.19</f>
        <v>407.55</v>
      </c>
      <c r="V29" s="274">
        <f>+T29+U29</f>
        <v>2552.5500000000002</v>
      </c>
      <c r="W29" s="39" t="s">
        <v>510</v>
      </c>
      <c r="X29" s="11" t="s">
        <v>164</v>
      </c>
      <c r="Y29" s="11"/>
      <c r="Z29" s="274"/>
      <c r="AA29" s="274"/>
      <c r="AB29" s="274"/>
      <c r="AC29" s="51"/>
      <c r="AD29" s="22"/>
      <c r="AE29" s="39"/>
      <c r="AF29" s="274"/>
      <c r="AG29" s="274"/>
      <c r="AH29" s="170"/>
      <c r="AI29" s="4"/>
      <c r="AJ29" s="39"/>
      <c r="AK29" s="39"/>
      <c r="AL29" s="118"/>
      <c r="AM29" s="152"/>
      <c r="AN29" s="181"/>
      <c r="AO29" s="131"/>
      <c r="AP29" s="131"/>
      <c r="AQ29" s="39"/>
      <c r="AR29" s="274"/>
      <c r="AS29" s="274"/>
      <c r="AT29" s="274"/>
      <c r="AU29" s="39"/>
      <c r="AV29" s="39"/>
      <c r="AW29" s="39"/>
      <c r="AX29" s="274"/>
      <c r="AY29" s="274"/>
      <c r="AZ29" s="274"/>
      <c r="BA29" s="39"/>
      <c r="BB29" s="62"/>
      <c r="BC29" s="39"/>
      <c r="BD29" s="274"/>
      <c r="BE29" s="274"/>
      <c r="BF29" s="274"/>
      <c r="BG29" s="39"/>
      <c r="BH29" s="39"/>
      <c r="BI29" s="39"/>
      <c r="BJ29" s="274">
        <v>2500</v>
      </c>
      <c r="BK29" s="274">
        <f t="shared" si="16"/>
        <v>475</v>
      </c>
      <c r="BL29" s="274">
        <f t="shared" si="17"/>
        <v>2975</v>
      </c>
      <c r="BM29" s="213" t="s">
        <v>2891</v>
      </c>
      <c r="BN29" s="213" t="s">
        <v>4752</v>
      </c>
      <c r="BO29" s="39"/>
      <c r="BP29" s="274">
        <v>165000</v>
      </c>
      <c r="BQ29" s="274">
        <f t="shared" si="18"/>
        <v>31350</v>
      </c>
      <c r="BR29" s="274">
        <f t="shared" si="19"/>
        <v>196350</v>
      </c>
      <c r="BS29" s="39"/>
      <c r="BT29" s="39"/>
      <c r="BU29" s="39"/>
      <c r="BV29" s="219">
        <v>2893.0125000000003</v>
      </c>
      <c r="BW29" s="219">
        <f>+BV29*0.19</f>
        <v>549.6723750000001</v>
      </c>
      <c r="BX29" s="273">
        <f>+BV29+BW29</f>
        <v>3442.6848750000004</v>
      </c>
      <c r="BY29" s="213" t="s">
        <v>2891</v>
      </c>
      <c r="BZ29" s="213" t="s">
        <v>4752</v>
      </c>
      <c r="CA29" s="213"/>
      <c r="CB29" s="274"/>
      <c r="CC29" s="274"/>
      <c r="CD29" s="274"/>
      <c r="CE29" s="39"/>
      <c r="CF29" s="39"/>
      <c r="CG29" s="39"/>
      <c r="CH29" s="274"/>
      <c r="CI29" s="274"/>
      <c r="CJ29" s="274"/>
      <c r="CK29" s="39"/>
      <c r="CL29" s="39"/>
      <c r="CM29" s="39"/>
      <c r="CN29" s="39"/>
      <c r="CO29" s="39"/>
      <c r="CP29" s="11"/>
      <c r="CQ29" s="11"/>
      <c r="CR29" s="11"/>
      <c r="CS29" s="11"/>
      <c r="CT29" s="11"/>
      <c r="CU29" s="11"/>
      <c r="CV29" s="11"/>
      <c r="CW29" s="11"/>
      <c r="CX29" s="11"/>
      <c r="CY29" s="11"/>
      <c r="CZ29" s="11"/>
      <c r="DA29" s="11"/>
      <c r="DB29" s="11"/>
      <c r="DC29" s="11"/>
      <c r="DD29" s="11"/>
      <c r="DE29" s="11"/>
      <c r="DF29" s="11"/>
      <c r="DG29" s="11"/>
      <c r="DH29" s="11"/>
      <c r="DI29" s="11"/>
      <c r="DJ29" s="11"/>
      <c r="DK29" s="11"/>
      <c r="DL29" s="274"/>
      <c r="DM29" s="274"/>
      <c r="DN29" s="274"/>
      <c r="DO29" s="274"/>
      <c r="DP29" s="274"/>
      <c r="DQ29" s="274"/>
      <c r="DR29" s="274"/>
      <c r="DS29" s="274"/>
      <c r="DT29" s="274"/>
      <c r="DU29" s="274"/>
      <c r="DV29" s="274"/>
      <c r="DW29" s="274"/>
      <c r="DX29" s="274"/>
      <c r="DY29" s="274"/>
      <c r="DZ29" s="274"/>
      <c r="EA29" s="274"/>
      <c r="EB29" s="274"/>
      <c r="EC29" s="274"/>
      <c r="ED29" s="39">
        <f t="shared" si="4"/>
        <v>214211.91487500002</v>
      </c>
      <c r="EE29" s="30">
        <f t="shared" si="5"/>
        <v>6</v>
      </c>
      <c r="EF29" s="39">
        <f t="shared" si="6"/>
        <v>35701.985812500003</v>
      </c>
    </row>
    <row r="30" spans="1:136" x14ac:dyDescent="0.25">
      <c r="A30" s="25" t="e">
        <f>#REF!</f>
        <v>#REF!</v>
      </c>
      <c r="B30" s="50" t="e">
        <f>#REF!</f>
        <v>#REF!</v>
      </c>
      <c r="C30" s="5" t="e">
        <f>#REF!</f>
        <v>#REF!</v>
      </c>
      <c r="D30" s="5" t="e">
        <f>#REF!</f>
        <v>#REF!</v>
      </c>
      <c r="E30" s="252">
        <v>1</v>
      </c>
      <c r="F30" s="249">
        <v>2184.2449999999999</v>
      </c>
      <c r="G30" s="249">
        <v>2142</v>
      </c>
      <c r="H30" s="249">
        <v>9954.8676500000001</v>
      </c>
      <c r="I30" s="249">
        <v>0</v>
      </c>
      <c r="J30" s="249">
        <v>7436.8388888888903</v>
      </c>
      <c r="K30" s="249">
        <v>0</v>
      </c>
      <c r="L30" s="274">
        <f t="shared" si="20"/>
        <v>6525.3171796296301</v>
      </c>
      <c r="M30" s="274">
        <f>G30*E1</f>
        <v>2206.2600000000002</v>
      </c>
      <c r="N30" s="255">
        <v>1700</v>
      </c>
      <c r="O30" s="135">
        <f t="shared" si="15"/>
        <v>323</v>
      </c>
      <c r="P30" s="135">
        <f t="shared" si="10"/>
        <v>2023</v>
      </c>
      <c r="Q30" s="131"/>
      <c r="R30" s="131"/>
      <c r="S30" s="11"/>
      <c r="T30" s="274"/>
      <c r="U30" s="274"/>
      <c r="V30" s="274"/>
      <c r="W30" s="39"/>
      <c r="X30" s="11"/>
      <c r="Y30" s="11"/>
      <c r="Z30" s="274"/>
      <c r="AA30" s="274"/>
      <c r="AB30" s="274"/>
      <c r="AC30" s="51"/>
      <c r="AD30" s="22"/>
      <c r="AE30" s="39"/>
      <c r="AF30" s="274"/>
      <c r="AG30" s="274"/>
      <c r="AH30" s="170"/>
      <c r="AI30" s="4"/>
      <c r="AJ30" s="39"/>
      <c r="AK30" s="39"/>
      <c r="AL30" s="118"/>
      <c r="AM30" s="152"/>
      <c r="AN30" s="181"/>
      <c r="AO30" s="131"/>
      <c r="AP30" s="131"/>
      <c r="AQ30" s="39"/>
      <c r="AR30" s="274"/>
      <c r="AS30" s="274"/>
      <c r="AT30" s="274"/>
      <c r="AU30" s="39"/>
      <c r="AV30" s="39"/>
      <c r="AW30" s="39"/>
      <c r="AX30" s="274"/>
      <c r="AY30" s="274"/>
      <c r="AZ30" s="274"/>
      <c r="BA30" s="39"/>
      <c r="BB30" s="62"/>
      <c r="BC30" s="39"/>
      <c r="BD30" s="274"/>
      <c r="BE30" s="274"/>
      <c r="BF30" s="274"/>
      <c r="BG30" s="39"/>
      <c r="BH30" s="39"/>
      <c r="BI30" s="39"/>
      <c r="BJ30" s="274"/>
      <c r="BK30" s="274"/>
      <c r="BL30" s="274"/>
      <c r="BM30" s="213"/>
      <c r="BN30" s="213"/>
      <c r="BO30" s="39"/>
      <c r="BP30" s="274">
        <v>2600</v>
      </c>
      <c r="BQ30" s="274">
        <f t="shared" si="18"/>
        <v>494</v>
      </c>
      <c r="BR30" s="274">
        <f t="shared" si="19"/>
        <v>3094</v>
      </c>
      <c r="BS30" s="39"/>
      <c r="BT30" s="39"/>
      <c r="BU30" s="39"/>
      <c r="BV30" s="212"/>
      <c r="BW30" s="221"/>
      <c r="BX30" s="273"/>
      <c r="BY30" s="213"/>
      <c r="BZ30" s="213"/>
      <c r="CA30" s="213"/>
      <c r="CB30" s="274"/>
      <c r="CC30" s="274"/>
      <c r="CD30" s="274"/>
      <c r="CE30" s="39"/>
      <c r="CF30" s="39"/>
      <c r="CG30" s="39"/>
      <c r="CH30" s="274"/>
      <c r="CI30" s="274"/>
      <c r="CJ30" s="274"/>
      <c r="CK30" s="39"/>
      <c r="CL30" s="39"/>
      <c r="CM30" s="39"/>
      <c r="CN30" s="39"/>
      <c r="CO30" s="39"/>
      <c r="CP30" s="11"/>
      <c r="CQ30" s="11"/>
      <c r="CR30" s="11"/>
      <c r="CS30" s="11"/>
      <c r="CT30" s="11"/>
      <c r="CU30" s="11"/>
      <c r="CV30" s="11"/>
      <c r="CW30" s="11"/>
      <c r="CX30" s="11"/>
      <c r="CY30" s="11"/>
      <c r="CZ30" s="11"/>
      <c r="DA30" s="11"/>
      <c r="DB30" s="11"/>
      <c r="DC30" s="11"/>
      <c r="DD30" s="11"/>
      <c r="DE30" s="11"/>
      <c r="DF30" s="11"/>
      <c r="DG30" s="11"/>
      <c r="DH30" s="11"/>
      <c r="DI30" s="11"/>
      <c r="DJ30" s="11"/>
      <c r="DK30" s="11"/>
      <c r="DL30" s="274"/>
      <c r="DM30" s="274"/>
      <c r="DN30" s="274"/>
      <c r="DO30" s="274"/>
      <c r="DP30" s="274"/>
      <c r="DQ30" s="274"/>
      <c r="DR30" s="274"/>
      <c r="DS30" s="274"/>
      <c r="DT30" s="274"/>
      <c r="DU30" s="274"/>
      <c r="DV30" s="274"/>
      <c r="DW30" s="274"/>
      <c r="DX30" s="274"/>
      <c r="DY30" s="274"/>
      <c r="DZ30" s="274"/>
      <c r="EA30" s="274"/>
      <c r="EB30" s="274"/>
      <c r="EC30" s="274"/>
      <c r="ED30" s="39">
        <f t="shared" si="4"/>
        <v>7323.26</v>
      </c>
      <c r="EE30" s="30">
        <f t="shared" si="5"/>
        <v>3</v>
      </c>
      <c r="EF30" s="39">
        <f t="shared" si="6"/>
        <v>2441.0866666666666</v>
      </c>
    </row>
    <row r="31" spans="1:136" x14ac:dyDescent="0.25">
      <c r="A31" s="25" t="e">
        <f>#REF!</f>
        <v>#REF!</v>
      </c>
      <c r="B31" s="50" t="e">
        <f>#REF!</f>
        <v>#REF!</v>
      </c>
      <c r="C31" s="5" t="e">
        <f>#REF!</f>
        <v>#REF!</v>
      </c>
      <c r="D31" s="5" t="e">
        <f>#REF!</f>
        <v>#REF!</v>
      </c>
      <c r="E31" s="252">
        <v>1</v>
      </c>
      <c r="F31" s="249">
        <v>253113</v>
      </c>
      <c r="G31" s="249">
        <v>176120</v>
      </c>
      <c r="H31" s="249">
        <v>1364136.6666666667</v>
      </c>
      <c r="I31" s="249">
        <v>0</v>
      </c>
      <c r="J31" s="249">
        <v>501526.21400000004</v>
      </c>
      <c r="K31" s="249">
        <v>374850</v>
      </c>
      <c r="L31" s="274">
        <f t="shared" si="20"/>
        <v>706258.62688888889</v>
      </c>
      <c r="M31" s="274">
        <f>AVERAGE(G31,K31)*E1</f>
        <v>283749.55</v>
      </c>
      <c r="N31" s="255">
        <v>250000</v>
      </c>
      <c r="O31" s="135">
        <f t="shared" si="15"/>
        <v>47500</v>
      </c>
      <c r="P31" s="135">
        <f t="shared" si="10"/>
        <v>297500</v>
      </c>
      <c r="Q31" s="131"/>
      <c r="R31" s="131"/>
      <c r="S31" s="11"/>
      <c r="T31" s="274"/>
      <c r="U31" s="274"/>
      <c r="V31" s="274"/>
      <c r="W31" s="39"/>
      <c r="X31" s="11"/>
      <c r="Y31" s="11"/>
      <c r="Z31" s="274">
        <v>220000</v>
      </c>
      <c r="AA31" s="274">
        <f>+Z31*0.19</f>
        <v>41800</v>
      </c>
      <c r="AB31" s="274">
        <f>+Z31+AA31</f>
        <v>261800</v>
      </c>
      <c r="AC31" s="52" t="s">
        <v>4753</v>
      </c>
      <c r="AD31" s="5" t="s">
        <v>2883</v>
      </c>
      <c r="AE31" s="39"/>
      <c r="AF31" s="274"/>
      <c r="AG31" s="274"/>
      <c r="AH31" s="171"/>
      <c r="AI31" s="22"/>
      <c r="AJ31" s="39"/>
      <c r="AK31" s="39"/>
      <c r="AL31" s="118"/>
      <c r="AM31" s="152"/>
      <c r="AN31" s="152"/>
      <c r="AO31" s="131"/>
      <c r="AP31" s="131"/>
      <c r="AQ31" s="39"/>
      <c r="AR31" s="274"/>
      <c r="AS31" s="274"/>
      <c r="AT31" s="274"/>
      <c r="AU31" s="39"/>
      <c r="AV31" s="39"/>
      <c r="AW31" s="39"/>
      <c r="AX31" s="274"/>
      <c r="AY31" s="274"/>
      <c r="AZ31" s="274"/>
      <c r="BA31" s="39"/>
      <c r="BB31" s="62"/>
      <c r="BC31" s="39"/>
      <c r="BD31" s="274"/>
      <c r="BE31" s="274"/>
      <c r="BF31" s="274"/>
      <c r="BG31" s="39"/>
      <c r="BH31" s="39"/>
      <c r="BI31" s="39"/>
      <c r="BJ31" s="274">
        <v>500000</v>
      </c>
      <c r="BK31" s="274">
        <f>+BJ31*0.19</f>
        <v>95000</v>
      </c>
      <c r="BL31" s="274">
        <f>+BJ31+BK31</f>
        <v>595000</v>
      </c>
      <c r="BM31" s="213" t="s">
        <v>4742</v>
      </c>
      <c r="BN31" s="213" t="s">
        <v>338</v>
      </c>
      <c r="BO31" s="39"/>
      <c r="BP31" s="274">
        <v>385000</v>
      </c>
      <c r="BQ31" s="274">
        <f t="shared" si="18"/>
        <v>73150</v>
      </c>
      <c r="BR31" s="274">
        <f t="shared" si="19"/>
        <v>458150</v>
      </c>
      <c r="BS31" s="39"/>
      <c r="BT31" s="39"/>
      <c r="BU31" s="39"/>
      <c r="BV31" s="219">
        <v>595350</v>
      </c>
      <c r="BW31" s="219">
        <f>+BV31*0.19</f>
        <v>113116.5</v>
      </c>
      <c r="BX31" s="273">
        <f>+BV31+BW31</f>
        <v>708466.5</v>
      </c>
      <c r="BY31" s="213" t="s">
        <v>4742</v>
      </c>
      <c r="BZ31" s="213" t="s">
        <v>338</v>
      </c>
      <c r="CA31" s="213"/>
      <c r="CB31" s="274"/>
      <c r="CC31" s="274"/>
      <c r="CD31" s="274"/>
      <c r="CE31" s="39"/>
      <c r="CF31" s="39"/>
      <c r="CG31" s="39"/>
      <c r="CH31" s="274"/>
      <c r="CI31" s="274"/>
      <c r="CJ31" s="274"/>
      <c r="CK31" s="39"/>
      <c r="CL31" s="39"/>
      <c r="CM31" s="39"/>
      <c r="CN31" s="39"/>
      <c r="CO31" s="39"/>
      <c r="CP31" s="11"/>
      <c r="CQ31" s="11"/>
      <c r="CR31" s="11"/>
      <c r="CS31" s="11"/>
      <c r="CT31" s="11"/>
      <c r="CU31" s="11"/>
      <c r="CV31" s="11"/>
      <c r="CW31" s="11"/>
      <c r="CX31" s="11"/>
      <c r="CY31" s="11"/>
      <c r="CZ31" s="11"/>
      <c r="DA31" s="11"/>
      <c r="DB31" s="11"/>
      <c r="DC31" s="11"/>
      <c r="DD31" s="11"/>
      <c r="DE31" s="11"/>
      <c r="DF31" s="11"/>
      <c r="DG31" s="11"/>
      <c r="DH31" s="11"/>
      <c r="DI31" s="11"/>
      <c r="DJ31" s="11"/>
      <c r="DK31" s="11"/>
      <c r="DL31" s="274"/>
      <c r="DM31" s="274"/>
      <c r="DN31" s="274"/>
      <c r="DO31" s="274"/>
      <c r="DP31" s="274"/>
      <c r="DQ31" s="274"/>
      <c r="DR31" s="274"/>
      <c r="DS31" s="274"/>
      <c r="DT31" s="274"/>
      <c r="DU31" s="274"/>
      <c r="DV31" s="274"/>
      <c r="DW31" s="274"/>
      <c r="DX31" s="274"/>
      <c r="DY31" s="274"/>
      <c r="DZ31" s="274"/>
      <c r="EA31" s="274"/>
      <c r="EB31" s="274"/>
      <c r="EC31" s="274"/>
      <c r="ED31" s="39">
        <f t="shared" si="4"/>
        <v>2604666.0499999998</v>
      </c>
      <c r="EE31" s="30">
        <f t="shared" si="5"/>
        <v>6</v>
      </c>
      <c r="EF31" s="39">
        <f t="shared" si="6"/>
        <v>434111.0083333333</v>
      </c>
    </row>
    <row r="32" spans="1:136" x14ac:dyDescent="0.25">
      <c r="A32" s="25" t="e">
        <f>#REF!</f>
        <v>#REF!</v>
      </c>
      <c r="B32" s="50" t="e">
        <f>#REF!</f>
        <v>#REF!</v>
      </c>
      <c r="C32" s="5" t="e">
        <f>#REF!</f>
        <v>#REF!</v>
      </c>
      <c r="D32" s="5" t="e">
        <f>#REF!</f>
        <v>#REF!</v>
      </c>
      <c r="E32" s="252">
        <v>1</v>
      </c>
      <c r="F32" s="249">
        <v>1190000</v>
      </c>
      <c r="G32" s="249">
        <v>1130500</v>
      </c>
      <c r="H32" s="249">
        <v>629089.03749999998</v>
      </c>
      <c r="I32" s="249">
        <v>0</v>
      </c>
      <c r="J32" s="249">
        <v>800870</v>
      </c>
      <c r="K32" s="249">
        <v>800870</v>
      </c>
      <c r="L32" s="274">
        <f t="shared" si="20"/>
        <v>873319.6791666667</v>
      </c>
      <c r="M32" s="274">
        <f>AVERAGE(G32,K32)*E1</f>
        <v>994655.55</v>
      </c>
      <c r="N32" s="255">
        <v>400000</v>
      </c>
      <c r="O32" s="135">
        <f t="shared" si="15"/>
        <v>76000</v>
      </c>
      <c r="P32" s="135">
        <f t="shared" si="10"/>
        <v>476000</v>
      </c>
      <c r="Q32" s="131"/>
      <c r="R32" s="131"/>
      <c r="S32" s="11"/>
      <c r="T32" s="274"/>
      <c r="U32" s="274"/>
      <c r="V32" s="274"/>
      <c r="W32" s="39"/>
      <c r="X32" s="11"/>
      <c r="Y32" s="11"/>
      <c r="Z32" s="274"/>
      <c r="AA32" s="274"/>
      <c r="AB32" s="274"/>
      <c r="AC32" s="52"/>
      <c r="AD32" s="22"/>
      <c r="AE32" s="39"/>
      <c r="AF32" s="274"/>
      <c r="AG32" s="274"/>
      <c r="AH32" s="171"/>
      <c r="AI32" s="4"/>
      <c r="AJ32" s="39"/>
      <c r="AK32" s="39"/>
      <c r="AL32" s="118"/>
      <c r="AM32" s="152"/>
      <c r="AN32" s="181"/>
      <c r="AO32" s="131"/>
      <c r="AP32" s="131"/>
      <c r="AQ32" s="39"/>
      <c r="AR32" s="274"/>
      <c r="AS32" s="274"/>
      <c r="AT32" s="274"/>
      <c r="AU32" s="39"/>
      <c r="AV32" s="39"/>
      <c r="AW32" s="39"/>
      <c r="AX32" s="274"/>
      <c r="AY32" s="274"/>
      <c r="AZ32" s="274"/>
      <c r="BA32" s="39"/>
      <c r="BB32" s="62"/>
      <c r="BC32" s="39"/>
      <c r="BD32" s="274"/>
      <c r="BE32" s="274"/>
      <c r="BF32" s="274"/>
      <c r="BG32" s="39"/>
      <c r="BH32" s="39"/>
      <c r="BI32" s="39"/>
      <c r="BJ32" s="274">
        <v>350000</v>
      </c>
      <c r="BK32" s="274">
        <f>+BJ32*0.19</f>
        <v>66500</v>
      </c>
      <c r="BL32" s="274">
        <f>+BJ32+BK32</f>
        <v>416500</v>
      </c>
      <c r="BM32" s="213" t="s">
        <v>4754</v>
      </c>
      <c r="BN32" s="213" t="s">
        <v>338</v>
      </c>
      <c r="BO32" s="39"/>
      <c r="BP32" s="274">
        <v>326000</v>
      </c>
      <c r="BQ32" s="274">
        <f t="shared" si="18"/>
        <v>61940</v>
      </c>
      <c r="BR32" s="274">
        <f t="shared" si="19"/>
        <v>387940</v>
      </c>
      <c r="BS32" s="39"/>
      <c r="BT32" s="39"/>
      <c r="BU32" s="39"/>
      <c r="BV32" s="219">
        <v>412886.25</v>
      </c>
      <c r="BW32" s="219">
        <f>+BV32*0.19</f>
        <v>78448.387499999997</v>
      </c>
      <c r="BX32" s="273">
        <f>+BV32+BW32</f>
        <v>491334.63750000001</v>
      </c>
      <c r="BY32" s="213" t="s">
        <v>4754</v>
      </c>
      <c r="BZ32" s="213" t="s">
        <v>338</v>
      </c>
      <c r="CA32" s="213"/>
      <c r="CB32" s="274"/>
      <c r="CC32" s="274"/>
      <c r="CD32" s="274"/>
      <c r="CE32" s="39"/>
      <c r="CF32" s="39"/>
      <c r="CG32" s="39"/>
      <c r="CH32" s="274"/>
      <c r="CI32" s="274"/>
      <c r="CJ32" s="274"/>
      <c r="CK32" s="39"/>
      <c r="CL32" s="39"/>
      <c r="CM32" s="39"/>
      <c r="CN32" s="39"/>
      <c r="CO32" s="39"/>
      <c r="CP32" s="11"/>
      <c r="CQ32" s="11"/>
      <c r="CR32" s="11"/>
      <c r="CS32" s="11"/>
      <c r="CT32" s="11"/>
      <c r="CU32" s="11"/>
      <c r="CV32" s="11"/>
      <c r="CW32" s="11"/>
      <c r="CX32" s="11"/>
      <c r="CY32" s="11"/>
      <c r="CZ32" s="11"/>
      <c r="DA32" s="11"/>
      <c r="DB32" s="11"/>
      <c r="DC32" s="11"/>
      <c r="DD32" s="11"/>
      <c r="DE32" s="11"/>
      <c r="DF32" s="11"/>
      <c r="DG32" s="11"/>
      <c r="DH32" s="11"/>
      <c r="DI32" s="11"/>
      <c r="DJ32" s="11"/>
      <c r="DK32" s="11"/>
      <c r="DL32" s="274"/>
      <c r="DM32" s="274"/>
      <c r="DN32" s="274"/>
      <c r="DO32" s="274"/>
      <c r="DP32" s="274"/>
      <c r="DQ32" s="274"/>
      <c r="DR32" s="274"/>
      <c r="DS32" s="274"/>
      <c r="DT32" s="274"/>
      <c r="DU32" s="274"/>
      <c r="DV32" s="274"/>
      <c r="DW32" s="274"/>
      <c r="DX32" s="274"/>
      <c r="DY32" s="274"/>
      <c r="DZ32" s="274"/>
      <c r="EA32" s="274"/>
      <c r="EB32" s="274"/>
      <c r="EC32" s="274"/>
      <c r="ED32" s="39">
        <f t="shared" si="4"/>
        <v>2766430.1875</v>
      </c>
      <c r="EE32" s="30">
        <f t="shared" si="5"/>
        <v>5</v>
      </c>
      <c r="EF32" s="39">
        <f t="shared" si="6"/>
        <v>553286.03749999998</v>
      </c>
    </row>
    <row r="33" spans="1:136" x14ac:dyDescent="0.25">
      <c r="A33" s="25" t="e">
        <f>#REF!</f>
        <v>#REF!</v>
      </c>
      <c r="B33" s="50" t="e">
        <f>#REF!</f>
        <v>#REF!</v>
      </c>
      <c r="C33" s="5" t="e">
        <f>#REF!</f>
        <v>#REF!</v>
      </c>
      <c r="D33" s="5" t="e">
        <f>#REF!</f>
        <v>#REF!</v>
      </c>
      <c r="E33" s="252">
        <v>1</v>
      </c>
      <c r="F33" s="249">
        <v>0</v>
      </c>
      <c r="G33" s="249">
        <v>0</v>
      </c>
      <c r="H33" s="249">
        <v>0</v>
      </c>
      <c r="I33" s="249">
        <v>0</v>
      </c>
      <c r="J33" s="249">
        <v>0</v>
      </c>
      <c r="K33" s="249">
        <v>0</v>
      </c>
      <c r="L33" s="274"/>
      <c r="M33" s="274"/>
      <c r="N33" s="255">
        <v>4000</v>
      </c>
      <c r="O33" s="135">
        <f t="shared" si="15"/>
        <v>760</v>
      </c>
      <c r="P33" s="135">
        <f t="shared" si="10"/>
        <v>4760</v>
      </c>
      <c r="Q33" s="131"/>
      <c r="R33" s="131"/>
      <c r="S33" s="11"/>
      <c r="T33" s="274"/>
      <c r="U33" s="274"/>
      <c r="V33" s="274"/>
      <c r="W33" s="39"/>
      <c r="X33" s="11"/>
      <c r="Y33" s="11"/>
      <c r="Z33" s="274"/>
      <c r="AA33" s="274"/>
      <c r="AB33" s="274"/>
      <c r="AC33" s="52"/>
      <c r="AD33" s="22"/>
      <c r="AE33" s="39"/>
      <c r="AF33" s="274"/>
      <c r="AG33" s="274"/>
      <c r="AH33" s="171"/>
      <c r="AI33" s="4"/>
      <c r="AJ33" s="39"/>
      <c r="AK33" s="39"/>
      <c r="AL33" s="118"/>
      <c r="AM33" s="152"/>
      <c r="AN33" s="181"/>
      <c r="AO33" s="131"/>
      <c r="AP33" s="131"/>
      <c r="AQ33" s="39"/>
      <c r="AR33" s="274">
        <v>4500</v>
      </c>
      <c r="AS33" s="274">
        <f>+AR33*0.19</f>
        <v>855</v>
      </c>
      <c r="AT33" s="274">
        <f>+AR33+AS33</f>
        <v>5355</v>
      </c>
      <c r="AU33" s="39"/>
      <c r="AV33" s="39"/>
      <c r="AW33" s="39"/>
      <c r="AX33" s="274"/>
      <c r="AY33" s="274"/>
      <c r="AZ33" s="274"/>
      <c r="BA33" s="39"/>
      <c r="BB33" s="62"/>
      <c r="BC33" s="39"/>
      <c r="BD33" s="274"/>
      <c r="BE33" s="274"/>
      <c r="BF33" s="274"/>
      <c r="BG33" s="39"/>
      <c r="BH33" s="39"/>
      <c r="BI33" s="39"/>
      <c r="BJ33" s="274"/>
      <c r="BK33" s="274"/>
      <c r="BL33" s="274"/>
      <c r="BM33" s="213"/>
      <c r="BN33" s="213"/>
      <c r="BO33" s="39"/>
      <c r="BP33" s="274">
        <v>3800</v>
      </c>
      <c r="BQ33" s="274">
        <f t="shared" si="18"/>
        <v>722</v>
      </c>
      <c r="BR33" s="274">
        <f t="shared" si="19"/>
        <v>4522</v>
      </c>
      <c r="BS33" s="39"/>
      <c r="BT33" s="39"/>
      <c r="BU33" s="39"/>
      <c r="BV33" s="212"/>
      <c r="BW33" s="221"/>
      <c r="BX33" s="273"/>
      <c r="BY33" s="213"/>
      <c r="BZ33" s="213"/>
      <c r="CA33" s="213"/>
      <c r="CB33" s="274"/>
      <c r="CC33" s="274"/>
      <c r="CD33" s="274"/>
      <c r="CE33" s="39"/>
      <c r="CF33" s="39"/>
      <c r="CG33" s="39"/>
      <c r="CH33" s="274"/>
      <c r="CI33" s="274"/>
      <c r="CJ33" s="274"/>
      <c r="CK33" s="39"/>
      <c r="CL33" s="39"/>
      <c r="CM33" s="39"/>
      <c r="CN33" s="39"/>
      <c r="CO33" s="39"/>
      <c r="CP33" s="11"/>
      <c r="CQ33" s="11"/>
      <c r="CR33" s="11"/>
      <c r="CS33" s="11"/>
      <c r="CT33" s="11"/>
      <c r="CU33" s="11"/>
      <c r="CV33" s="11"/>
      <c r="CW33" s="11"/>
      <c r="CX33" s="11"/>
      <c r="CY33" s="11"/>
      <c r="CZ33" s="11"/>
      <c r="DA33" s="11"/>
      <c r="DB33" s="11"/>
      <c r="DC33" s="11"/>
      <c r="DD33" s="11"/>
      <c r="DE33" s="11"/>
      <c r="DF33" s="11"/>
      <c r="DG33" s="11"/>
      <c r="DH33" s="11"/>
      <c r="DI33" s="11"/>
      <c r="DJ33" s="11"/>
      <c r="DK33" s="11"/>
      <c r="DL33" s="274"/>
      <c r="DM33" s="274"/>
      <c r="DN33" s="274"/>
      <c r="DO33" s="274"/>
      <c r="DP33" s="274"/>
      <c r="DQ33" s="274"/>
      <c r="DR33" s="274"/>
      <c r="DS33" s="274"/>
      <c r="DT33" s="274"/>
      <c r="DU33" s="274"/>
      <c r="DV33" s="274"/>
      <c r="DW33" s="274"/>
      <c r="DX33" s="274"/>
      <c r="DY33" s="274"/>
      <c r="DZ33" s="274"/>
      <c r="EA33" s="274"/>
      <c r="EB33" s="274"/>
      <c r="EC33" s="274"/>
      <c r="ED33" s="39">
        <f t="shared" si="4"/>
        <v>14637</v>
      </c>
      <c r="EE33" s="30">
        <f t="shared" si="5"/>
        <v>3</v>
      </c>
      <c r="EF33" s="39">
        <f t="shared" si="6"/>
        <v>4879</v>
      </c>
    </row>
    <row r="34" spans="1:136" x14ac:dyDescent="0.25">
      <c r="A34" s="25" t="e">
        <f>#REF!</f>
        <v>#REF!</v>
      </c>
      <c r="B34" s="50" t="e">
        <f>#REF!</f>
        <v>#REF!</v>
      </c>
      <c r="C34" s="5" t="e">
        <f>#REF!</f>
        <v>#REF!</v>
      </c>
      <c r="D34" s="5" t="e">
        <f>#REF!</f>
        <v>#REF!</v>
      </c>
      <c r="E34" s="252">
        <v>1</v>
      </c>
      <c r="F34" s="249">
        <v>0</v>
      </c>
      <c r="G34" s="249">
        <v>0</v>
      </c>
      <c r="H34" s="249">
        <v>0</v>
      </c>
      <c r="I34" s="249">
        <v>0</v>
      </c>
      <c r="J34" s="249">
        <v>0</v>
      </c>
      <c r="K34" s="249">
        <v>0</v>
      </c>
      <c r="L34" s="274"/>
      <c r="M34" s="274"/>
      <c r="N34" s="255">
        <v>5500</v>
      </c>
      <c r="O34" s="135">
        <f t="shared" si="15"/>
        <v>1045</v>
      </c>
      <c r="P34" s="135">
        <f t="shared" si="10"/>
        <v>6545</v>
      </c>
      <c r="Q34" s="131"/>
      <c r="R34" s="131"/>
      <c r="S34" s="11"/>
      <c r="T34" s="274"/>
      <c r="U34" s="274"/>
      <c r="V34" s="274"/>
      <c r="W34" s="39"/>
      <c r="X34" s="11"/>
      <c r="Y34" s="11"/>
      <c r="Z34" s="274"/>
      <c r="AA34" s="274"/>
      <c r="AB34" s="274"/>
      <c r="AC34" s="52"/>
      <c r="AD34" s="22"/>
      <c r="AE34" s="39"/>
      <c r="AF34" s="274"/>
      <c r="AG34" s="274"/>
      <c r="AH34" s="171"/>
      <c r="AI34" s="4"/>
      <c r="AJ34" s="39"/>
      <c r="AK34" s="39"/>
      <c r="AL34" s="118"/>
      <c r="AM34" s="152"/>
      <c r="AN34" s="181"/>
      <c r="AO34" s="131"/>
      <c r="AP34" s="131"/>
      <c r="AQ34" s="39"/>
      <c r="AR34" s="274">
        <v>5800</v>
      </c>
      <c r="AS34" s="274">
        <f>+AR34*0.19</f>
        <v>1102</v>
      </c>
      <c r="AT34" s="274">
        <f>+AR34+AS34</f>
        <v>6902</v>
      </c>
      <c r="AU34" s="39"/>
      <c r="AV34" s="39"/>
      <c r="AW34" s="39"/>
      <c r="AX34" s="274"/>
      <c r="AY34" s="274"/>
      <c r="AZ34" s="274"/>
      <c r="BA34" s="39"/>
      <c r="BB34" s="62"/>
      <c r="BC34" s="39"/>
      <c r="BD34" s="274"/>
      <c r="BE34" s="274"/>
      <c r="BF34" s="274"/>
      <c r="BG34" s="39"/>
      <c r="BH34" s="39"/>
      <c r="BI34" s="39"/>
      <c r="BJ34" s="274"/>
      <c r="BK34" s="274"/>
      <c r="BL34" s="274"/>
      <c r="BM34" s="213"/>
      <c r="BN34" s="213"/>
      <c r="BO34" s="39"/>
      <c r="BP34" s="274">
        <v>4200</v>
      </c>
      <c r="BQ34" s="274">
        <f t="shared" si="18"/>
        <v>798</v>
      </c>
      <c r="BR34" s="274">
        <f t="shared" si="19"/>
        <v>4998</v>
      </c>
      <c r="BS34" s="39"/>
      <c r="BT34" s="39"/>
      <c r="BU34" s="39"/>
      <c r="BV34" s="212"/>
      <c r="BW34" s="221"/>
      <c r="BX34" s="273"/>
      <c r="BY34" s="213"/>
      <c r="BZ34" s="213"/>
      <c r="CA34" s="213"/>
      <c r="CB34" s="274"/>
      <c r="CC34" s="274"/>
      <c r="CD34" s="274"/>
      <c r="CE34" s="39"/>
      <c r="CF34" s="39"/>
      <c r="CG34" s="39"/>
      <c r="CH34" s="274"/>
      <c r="CI34" s="274"/>
      <c r="CJ34" s="274"/>
      <c r="CK34" s="39"/>
      <c r="CL34" s="39"/>
      <c r="CM34" s="39"/>
      <c r="CN34" s="39"/>
      <c r="CO34" s="39"/>
      <c r="CP34" s="11"/>
      <c r="CQ34" s="11"/>
      <c r="CR34" s="11"/>
      <c r="CS34" s="11"/>
      <c r="CT34" s="11"/>
      <c r="CU34" s="11"/>
      <c r="CV34" s="11"/>
      <c r="CW34" s="11"/>
      <c r="CX34" s="11"/>
      <c r="CY34" s="11"/>
      <c r="CZ34" s="11"/>
      <c r="DA34" s="11"/>
      <c r="DB34" s="11"/>
      <c r="DC34" s="11"/>
      <c r="DD34" s="11"/>
      <c r="DE34" s="11"/>
      <c r="DF34" s="11"/>
      <c r="DG34" s="11"/>
      <c r="DH34" s="11"/>
      <c r="DI34" s="11"/>
      <c r="DJ34" s="11"/>
      <c r="DK34" s="11"/>
      <c r="DL34" s="274"/>
      <c r="DM34" s="274"/>
      <c r="DN34" s="274"/>
      <c r="DO34" s="274"/>
      <c r="DP34" s="274"/>
      <c r="DQ34" s="274"/>
      <c r="DR34" s="274"/>
      <c r="DS34" s="274"/>
      <c r="DT34" s="274"/>
      <c r="DU34" s="274"/>
      <c r="DV34" s="274"/>
      <c r="DW34" s="274"/>
      <c r="DX34" s="274"/>
      <c r="DY34" s="274"/>
      <c r="DZ34" s="274"/>
      <c r="EA34" s="274"/>
      <c r="EB34" s="274"/>
      <c r="EC34" s="274"/>
      <c r="ED34" s="39">
        <f t="shared" si="4"/>
        <v>18445</v>
      </c>
      <c r="EE34" s="30">
        <f t="shared" si="5"/>
        <v>3</v>
      </c>
      <c r="EF34" s="39">
        <f t="shared" si="6"/>
        <v>6148.333333333333</v>
      </c>
    </row>
    <row r="35" spans="1:136" ht="24" x14ac:dyDescent="0.25">
      <c r="A35" s="25" t="e">
        <f>#REF!</f>
        <v>#REF!</v>
      </c>
      <c r="B35" s="50" t="e">
        <f>#REF!</f>
        <v>#REF!</v>
      </c>
      <c r="C35" s="5" t="e">
        <f>#REF!</f>
        <v>#REF!</v>
      </c>
      <c r="D35" s="5" t="e">
        <f>#REF!</f>
        <v>#REF!</v>
      </c>
      <c r="E35" s="252">
        <v>1</v>
      </c>
      <c r="F35" s="249">
        <v>0</v>
      </c>
      <c r="G35" s="249">
        <v>0</v>
      </c>
      <c r="H35" s="249">
        <v>0</v>
      </c>
      <c r="I35" s="249">
        <v>0</v>
      </c>
      <c r="J35" s="249">
        <v>1069176.1111111112</v>
      </c>
      <c r="K35" s="249">
        <v>922012</v>
      </c>
      <c r="L35" s="274">
        <f>J35</f>
        <v>1069176.1111111112</v>
      </c>
      <c r="M35" s="274">
        <f>K35*E1</f>
        <v>949672.36</v>
      </c>
      <c r="N35" s="255">
        <v>600000</v>
      </c>
      <c r="O35" s="135">
        <f t="shared" si="15"/>
        <v>114000</v>
      </c>
      <c r="P35" s="135">
        <f t="shared" si="10"/>
        <v>714000</v>
      </c>
      <c r="Q35" s="131"/>
      <c r="R35" s="131"/>
      <c r="S35" s="11"/>
      <c r="T35" s="274"/>
      <c r="U35" s="274"/>
      <c r="V35" s="274"/>
      <c r="W35" s="39"/>
      <c r="X35" s="11"/>
      <c r="Y35" s="11"/>
      <c r="Z35" s="274"/>
      <c r="AA35" s="274"/>
      <c r="AB35" s="274"/>
      <c r="AC35" s="52"/>
      <c r="AD35" s="22"/>
      <c r="AE35" s="39"/>
      <c r="AF35" s="274"/>
      <c r="AG35" s="274"/>
      <c r="AH35" s="171"/>
      <c r="AI35" s="4"/>
      <c r="AJ35" s="39"/>
      <c r="AK35" s="39"/>
      <c r="AL35" s="118"/>
      <c r="AM35" s="152"/>
      <c r="AN35" s="181"/>
      <c r="AO35" s="131"/>
      <c r="AP35" s="131"/>
      <c r="AQ35" s="39"/>
      <c r="AR35" s="274"/>
      <c r="AS35" s="274"/>
      <c r="AT35" s="274"/>
      <c r="AU35" s="39"/>
      <c r="AV35" s="39"/>
      <c r="AW35" s="39"/>
      <c r="AX35" s="274"/>
      <c r="AY35" s="274"/>
      <c r="AZ35" s="274"/>
      <c r="BA35" s="39"/>
      <c r="BB35" s="62"/>
      <c r="BC35" s="39"/>
      <c r="BD35" s="274"/>
      <c r="BE35" s="274"/>
      <c r="BF35" s="274"/>
      <c r="BG35" s="39"/>
      <c r="BH35" s="39"/>
      <c r="BI35" s="39"/>
      <c r="BJ35" s="274">
        <v>459800</v>
      </c>
      <c r="BK35" s="274">
        <f t="shared" ref="BK35:BK45" si="21">+BJ35*0.19</f>
        <v>87362</v>
      </c>
      <c r="BL35" s="274">
        <f t="shared" ref="BL35:BL45" si="22">+BJ35+BK35</f>
        <v>547162</v>
      </c>
      <c r="BM35" s="213" t="s">
        <v>2891</v>
      </c>
      <c r="BN35" s="213" t="s">
        <v>4755</v>
      </c>
      <c r="BO35" s="39"/>
      <c r="BP35" s="274">
        <v>385000</v>
      </c>
      <c r="BQ35" s="274">
        <f t="shared" si="18"/>
        <v>73150</v>
      </c>
      <c r="BR35" s="274">
        <f t="shared" si="19"/>
        <v>458150</v>
      </c>
      <c r="BS35" s="39"/>
      <c r="BT35" s="39"/>
      <c r="BU35" s="39"/>
      <c r="BV35" s="219">
        <v>502246.43700000003</v>
      </c>
      <c r="BW35" s="219">
        <f t="shared" ref="BW35:BW45" si="23">+BV35*0.19</f>
        <v>95426.823030000014</v>
      </c>
      <c r="BX35" s="273">
        <f t="shared" ref="BX35:BX45" si="24">+BV35+BW35</f>
        <v>597673.26003</v>
      </c>
      <c r="BY35" s="213" t="s">
        <v>2891</v>
      </c>
      <c r="BZ35" s="213" t="s">
        <v>4755</v>
      </c>
      <c r="CA35" s="213"/>
      <c r="CB35" s="274"/>
      <c r="CC35" s="274"/>
      <c r="CD35" s="274"/>
      <c r="CE35" s="39"/>
      <c r="CF35" s="39"/>
      <c r="CG35" s="39"/>
      <c r="CH35" s="274"/>
      <c r="CI35" s="274"/>
      <c r="CJ35" s="274"/>
      <c r="CK35" s="39"/>
      <c r="CL35" s="39"/>
      <c r="CM35" s="39"/>
      <c r="CN35" s="39"/>
      <c r="CO35" s="39"/>
      <c r="CP35" s="11"/>
      <c r="CQ35" s="11"/>
      <c r="CR35" s="11"/>
      <c r="CS35" s="11"/>
      <c r="CT35" s="11"/>
      <c r="CU35" s="11"/>
      <c r="CV35" s="11"/>
      <c r="CW35" s="11"/>
      <c r="CX35" s="11"/>
      <c r="CY35" s="11"/>
      <c r="CZ35" s="11"/>
      <c r="DA35" s="11"/>
      <c r="DB35" s="11"/>
      <c r="DC35" s="11"/>
      <c r="DD35" s="11"/>
      <c r="DE35" s="11"/>
      <c r="DF35" s="11"/>
      <c r="DG35" s="11"/>
      <c r="DH35" s="11"/>
      <c r="DI35" s="11"/>
      <c r="DJ35" s="11"/>
      <c r="DK35" s="11"/>
      <c r="DL35" s="274"/>
      <c r="DM35" s="274"/>
      <c r="DN35" s="274"/>
      <c r="DO35" s="274"/>
      <c r="DP35" s="274"/>
      <c r="DQ35" s="274"/>
      <c r="DR35" s="274"/>
      <c r="DS35" s="274"/>
      <c r="DT35" s="274"/>
      <c r="DU35" s="274"/>
      <c r="DV35" s="274"/>
      <c r="DW35" s="274"/>
      <c r="DX35" s="274"/>
      <c r="DY35" s="274"/>
      <c r="DZ35" s="274"/>
      <c r="EA35" s="274"/>
      <c r="EB35" s="274"/>
      <c r="EC35" s="274"/>
      <c r="ED35" s="39">
        <f t="shared" si="4"/>
        <v>3266657.6200299999</v>
      </c>
      <c r="EE35" s="30">
        <f t="shared" si="5"/>
        <v>5</v>
      </c>
      <c r="EF35" s="39">
        <f t="shared" si="6"/>
        <v>653331.52400600002</v>
      </c>
    </row>
    <row r="36" spans="1:136" x14ac:dyDescent="0.25">
      <c r="A36" s="25" t="e">
        <f>#REF!</f>
        <v>#REF!</v>
      </c>
      <c r="B36" s="50" t="e">
        <f>#REF!</f>
        <v>#REF!</v>
      </c>
      <c r="C36" s="5" t="e">
        <f>#REF!</f>
        <v>#REF!</v>
      </c>
      <c r="D36" s="5" t="e">
        <f>#REF!</f>
        <v>#REF!</v>
      </c>
      <c r="E36" s="252">
        <v>1</v>
      </c>
      <c r="F36" s="249">
        <v>0</v>
      </c>
      <c r="G36" s="249">
        <v>0</v>
      </c>
      <c r="H36" s="249">
        <v>0</v>
      </c>
      <c r="I36" s="249">
        <v>0</v>
      </c>
      <c r="J36" s="249">
        <v>0</v>
      </c>
      <c r="K36" s="249">
        <v>0</v>
      </c>
      <c r="L36" s="274"/>
      <c r="M36" s="274"/>
      <c r="N36" s="255">
        <v>65000</v>
      </c>
      <c r="O36" s="135">
        <f t="shared" si="15"/>
        <v>12350</v>
      </c>
      <c r="P36" s="135">
        <f t="shared" si="10"/>
        <v>77350</v>
      </c>
      <c r="Q36" s="131"/>
      <c r="R36" s="131"/>
      <c r="S36" s="11"/>
      <c r="T36" s="274"/>
      <c r="U36" s="274"/>
      <c r="V36" s="274"/>
      <c r="W36" s="39"/>
      <c r="X36" s="11"/>
      <c r="Y36" s="11"/>
      <c r="Z36" s="274"/>
      <c r="AA36" s="274"/>
      <c r="AB36" s="274"/>
      <c r="AC36" s="5"/>
      <c r="AD36" s="22"/>
      <c r="AE36" s="39"/>
      <c r="AF36" s="118">
        <v>25593.600000000002</v>
      </c>
      <c r="AG36" s="118">
        <f t="shared" ref="AG36:AG45" si="25">+AF36*0.19</f>
        <v>4862.7840000000006</v>
      </c>
      <c r="AH36" s="170">
        <f t="shared" ref="AH36:AH45" si="26">+AF36+AG36</f>
        <v>30456.384000000002</v>
      </c>
      <c r="AI36" s="52" t="s">
        <v>445</v>
      </c>
      <c r="AJ36" s="52" t="s">
        <v>4673</v>
      </c>
      <c r="AK36" s="39"/>
      <c r="AL36" s="118"/>
      <c r="AM36" s="152"/>
      <c r="AN36" s="181"/>
      <c r="AO36" s="131"/>
      <c r="AP36" s="131"/>
      <c r="AQ36" s="39"/>
      <c r="AR36" s="274"/>
      <c r="AS36" s="274"/>
      <c r="AT36" s="274"/>
      <c r="AU36" s="39"/>
      <c r="AV36" s="39"/>
      <c r="AW36" s="39"/>
      <c r="AX36" s="274"/>
      <c r="AY36" s="274"/>
      <c r="AZ36" s="274"/>
      <c r="BA36" s="39"/>
      <c r="BB36" s="62"/>
      <c r="BC36" s="39"/>
      <c r="BD36" s="274"/>
      <c r="BE36" s="274"/>
      <c r="BF36" s="274"/>
      <c r="BG36" s="39"/>
      <c r="BH36" s="39"/>
      <c r="BI36" s="39"/>
      <c r="BJ36" s="274">
        <v>68900</v>
      </c>
      <c r="BK36" s="274">
        <f t="shared" si="21"/>
        <v>13091</v>
      </c>
      <c r="BL36" s="274">
        <f t="shared" si="22"/>
        <v>81991</v>
      </c>
      <c r="BM36" s="213" t="s">
        <v>2891</v>
      </c>
      <c r="BN36" s="213" t="s">
        <v>3897</v>
      </c>
      <c r="BO36" s="39"/>
      <c r="BP36" s="274">
        <v>45200</v>
      </c>
      <c r="BQ36" s="274">
        <f t="shared" si="18"/>
        <v>8588</v>
      </c>
      <c r="BR36" s="274">
        <f t="shared" si="19"/>
        <v>53788</v>
      </c>
      <c r="BS36" s="39"/>
      <c r="BT36" s="39"/>
      <c r="BU36" s="39"/>
      <c r="BV36" s="219">
        <v>82053.699000000008</v>
      </c>
      <c r="BW36" s="219">
        <f t="shared" si="23"/>
        <v>15590.202810000003</v>
      </c>
      <c r="BX36" s="273">
        <f t="shared" si="24"/>
        <v>97643.90181000001</v>
      </c>
      <c r="BY36" s="213" t="s">
        <v>2891</v>
      </c>
      <c r="BZ36" s="213" t="s">
        <v>3897</v>
      </c>
      <c r="CA36" s="213"/>
      <c r="CB36" s="274"/>
      <c r="CC36" s="274"/>
      <c r="CD36" s="274"/>
      <c r="CE36" s="39"/>
      <c r="CF36" s="39"/>
      <c r="CG36" s="39"/>
      <c r="CH36" s="274"/>
      <c r="CI36" s="274"/>
      <c r="CJ36" s="274"/>
      <c r="CK36" s="39"/>
      <c r="CL36" s="131"/>
      <c r="CM36" s="131"/>
      <c r="CN36" s="131"/>
      <c r="CO36" s="131"/>
      <c r="CP36" s="11"/>
      <c r="CQ36" s="11"/>
      <c r="CR36" s="11"/>
      <c r="CS36" s="11"/>
      <c r="CT36" s="11"/>
      <c r="CU36" s="11"/>
      <c r="CV36" s="11"/>
      <c r="CW36" s="11"/>
      <c r="CX36" s="11"/>
      <c r="CY36" s="11"/>
      <c r="CZ36" s="11"/>
      <c r="DA36" s="11"/>
      <c r="DB36" s="11"/>
      <c r="DC36" s="11"/>
      <c r="DD36" s="11"/>
      <c r="DE36" s="11"/>
      <c r="DF36" s="11"/>
      <c r="DG36" s="11"/>
      <c r="DH36" s="11"/>
      <c r="DI36" s="11"/>
      <c r="DJ36" s="11"/>
      <c r="DK36" s="11"/>
      <c r="DL36" s="274"/>
      <c r="DM36" s="274"/>
      <c r="DN36" s="274"/>
      <c r="DO36" s="274"/>
      <c r="DP36" s="274"/>
      <c r="DQ36" s="274"/>
      <c r="DR36" s="274"/>
      <c r="DS36" s="274"/>
      <c r="DT36" s="274"/>
      <c r="DU36" s="274"/>
      <c r="DV36" s="274"/>
      <c r="DW36" s="274"/>
      <c r="DX36" s="274"/>
      <c r="DY36" s="274"/>
      <c r="DZ36" s="274"/>
      <c r="EA36" s="274"/>
      <c r="EB36" s="274"/>
      <c r="EC36" s="274"/>
      <c r="ED36" s="39">
        <f t="shared" si="4"/>
        <v>341229.28581000003</v>
      </c>
      <c r="EE36" s="30">
        <f t="shared" si="5"/>
        <v>5</v>
      </c>
      <c r="EF36" s="39">
        <f t="shared" si="6"/>
        <v>68245.857162</v>
      </c>
    </row>
    <row r="37" spans="1:136" x14ac:dyDescent="0.25">
      <c r="A37" s="25" t="e">
        <f>#REF!</f>
        <v>#REF!</v>
      </c>
      <c r="B37" s="50" t="e">
        <f>#REF!</f>
        <v>#REF!</v>
      </c>
      <c r="C37" s="5" t="e">
        <f>#REF!</f>
        <v>#REF!</v>
      </c>
      <c r="D37" s="5" t="e">
        <f>#REF!</f>
        <v>#REF!</v>
      </c>
      <c r="E37" s="252">
        <v>1</v>
      </c>
      <c r="F37" s="249">
        <v>0</v>
      </c>
      <c r="G37" s="249">
        <v>0</v>
      </c>
      <c r="H37" s="249">
        <v>0</v>
      </c>
      <c r="I37" s="249">
        <v>0</v>
      </c>
      <c r="J37" s="249">
        <v>0</v>
      </c>
      <c r="K37" s="249">
        <v>0</v>
      </c>
      <c r="L37" s="274"/>
      <c r="M37" s="274"/>
      <c r="N37" s="255">
        <v>52000</v>
      </c>
      <c r="O37" s="135">
        <f t="shared" si="15"/>
        <v>9880</v>
      </c>
      <c r="P37" s="135">
        <f t="shared" si="10"/>
        <v>61880</v>
      </c>
      <c r="Q37" s="131"/>
      <c r="R37" s="131"/>
      <c r="S37" s="11"/>
      <c r="T37" s="274">
        <v>34650</v>
      </c>
      <c r="U37" s="274">
        <f>+T37*0.19</f>
        <v>6583.5</v>
      </c>
      <c r="V37" s="274">
        <f>+T37+U37</f>
        <v>41233.5</v>
      </c>
      <c r="W37" s="39" t="s">
        <v>510</v>
      </c>
      <c r="X37" s="11" t="s">
        <v>2976</v>
      </c>
      <c r="Y37" s="11"/>
      <c r="Z37" s="274"/>
      <c r="AA37" s="274"/>
      <c r="AB37" s="274"/>
      <c r="AC37" s="5"/>
      <c r="AD37" s="22"/>
      <c r="AE37" s="39"/>
      <c r="AF37" s="118">
        <v>41486.400000000001</v>
      </c>
      <c r="AG37" s="118">
        <f t="shared" si="25"/>
        <v>7882.4160000000002</v>
      </c>
      <c r="AH37" s="170">
        <f t="shared" si="26"/>
        <v>49368.815999999999</v>
      </c>
      <c r="AI37" s="52" t="s">
        <v>445</v>
      </c>
      <c r="AJ37" s="52" t="s">
        <v>4673</v>
      </c>
      <c r="AK37" s="39"/>
      <c r="AL37" s="118"/>
      <c r="AM37" s="152"/>
      <c r="AN37" s="181"/>
      <c r="AO37" s="131"/>
      <c r="AP37" s="131"/>
      <c r="AQ37" s="39"/>
      <c r="AR37" s="274"/>
      <c r="AS37" s="274"/>
      <c r="AT37" s="274"/>
      <c r="AU37" s="39"/>
      <c r="AV37" s="39"/>
      <c r="AW37" s="39"/>
      <c r="AX37" s="274"/>
      <c r="AY37" s="274"/>
      <c r="AZ37" s="274"/>
      <c r="BA37" s="39"/>
      <c r="BB37" s="62"/>
      <c r="BC37" s="39"/>
      <c r="BD37" s="274"/>
      <c r="BE37" s="274"/>
      <c r="BF37" s="274"/>
      <c r="BG37" s="39"/>
      <c r="BH37" s="39"/>
      <c r="BI37" s="39"/>
      <c r="BJ37" s="274">
        <v>97700</v>
      </c>
      <c r="BK37" s="274">
        <f t="shared" si="21"/>
        <v>18563</v>
      </c>
      <c r="BL37" s="274">
        <f t="shared" si="22"/>
        <v>116263</v>
      </c>
      <c r="BM37" s="213" t="s">
        <v>2891</v>
      </c>
      <c r="BN37" s="213" t="s">
        <v>3897</v>
      </c>
      <c r="BO37" s="39"/>
      <c r="BP37" s="274">
        <v>49500</v>
      </c>
      <c r="BQ37" s="274">
        <f t="shared" si="18"/>
        <v>9405</v>
      </c>
      <c r="BR37" s="274">
        <f t="shared" si="19"/>
        <v>58905</v>
      </c>
      <c r="BS37" s="39"/>
      <c r="BT37" s="39"/>
      <c r="BU37" s="39"/>
      <c r="BV37" s="219">
        <v>115086.98510000003</v>
      </c>
      <c r="BW37" s="219">
        <f t="shared" si="23"/>
        <v>21866.527169000008</v>
      </c>
      <c r="BX37" s="273">
        <f t="shared" si="24"/>
        <v>136953.51226900006</v>
      </c>
      <c r="BY37" s="213" t="s">
        <v>2891</v>
      </c>
      <c r="BZ37" s="213" t="s">
        <v>3897</v>
      </c>
      <c r="CA37" s="213"/>
      <c r="CB37" s="274"/>
      <c r="CC37" s="274"/>
      <c r="CD37" s="274"/>
      <c r="CE37" s="39"/>
      <c r="CF37" s="39"/>
      <c r="CG37" s="39"/>
      <c r="CH37" s="274"/>
      <c r="CI37" s="274"/>
      <c r="CJ37" s="274"/>
      <c r="CK37" s="39"/>
      <c r="CL37" s="131"/>
      <c r="CM37" s="131"/>
      <c r="CN37" s="131"/>
      <c r="CO37" s="131"/>
      <c r="CP37" s="11"/>
      <c r="CQ37" s="11"/>
      <c r="CR37" s="11"/>
      <c r="CS37" s="11"/>
      <c r="CT37" s="11"/>
      <c r="CU37" s="11"/>
      <c r="CV37" s="11"/>
      <c r="CW37" s="11"/>
      <c r="CX37" s="11"/>
      <c r="CY37" s="11"/>
      <c r="CZ37" s="11"/>
      <c r="DA37" s="11"/>
      <c r="DB37" s="11"/>
      <c r="DC37" s="11"/>
      <c r="DD37" s="11"/>
      <c r="DE37" s="11"/>
      <c r="DF37" s="11"/>
      <c r="DG37" s="11"/>
      <c r="DH37" s="11"/>
      <c r="DI37" s="11"/>
      <c r="DJ37" s="11"/>
      <c r="DK37" s="11"/>
      <c r="DL37" s="274"/>
      <c r="DM37" s="274"/>
      <c r="DN37" s="274"/>
      <c r="DO37" s="274"/>
      <c r="DP37" s="274"/>
      <c r="DQ37" s="274"/>
      <c r="DR37" s="274"/>
      <c r="DS37" s="274"/>
      <c r="DT37" s="274"/>
      <c r="DU37" s="274"/>
      <c r="DV37" s="274"/>
      <c r="DW37" s="274"/>
      <c r="DX37" s="274"/>
      <c r="DY37" s="274"/>
      <c r="DZ37" s="274"/>
      <c r="EA37" s="274"/>
      <c r="EB37" s="274"/>
      <c r="EC37" s="274"/>
      <c r="ED37" s="39">
        <f t="shared" si="4"/>
        <v>464603.82826900005</v>
      </c>
      <c r="EE37" s="30">
        <f t="shared" si="5"/>
        <v>6</v>
      </c>
      <c r="EF37" s="39">
        <f t="shared" si="6"/>
        <v>77433.97137816668</v>
      </c>
    </row>
    <row r="38" spans="1:136" x14ac:dyDescent="0.25">
      <c r="A38" s="25" t="e">
        <f>#REF!</f>
        <v>#REF!</v>
      </c>
      <c r="B38" s="50" t="e">
        <f>#REF!</f>
        <v>#REF!</v>
      </c>
      <c r="C38" s="5" t="e">
        <f>#REF!</f>
        <v>#REF!</v>
      </c>
      <c r="D38" s="5" t="e">
        <f>#REF!</f>
        <v>#REF!</v>
      </c>
      <c r="E38" s="252">
        <v>1</v>
      </c>
      <c r="F38" s="249">
        <v>0</v>
      </c>
      <c r="G38" s="249">
        <v>0</v>
      </c>
      <c r="H38" s="249">
        <v>0</v>
      </c>
      <c r="I38" s="249">
        <v>0</v>
      </c>
      <c r="J38" s="249">
        <v>162377.68166666664</v>
      </c>
      <c r="K38" s="249">
        <v>161840</v>
      </c>
      <c r="L38" s="274">
        <f>J38</f>
        <v>162377.68166666664</v>
      </c>
      <c r="M38" s="274">
        <f>K38*E1</f>
        <v>166695.20000000001</v>
      </c>
      <c r="N38" s="255">
        <v>120000</v>
      </c>
      <c r="O38" s="135">
        <f t="shared" si="15"/>
        <v>22800</v>
      </c>
      <c r="P38" s="135">
        <f t="shared" si="10"/>
        <v>142800</v>
      </c>
      <c r="Q38" s="131"/>
      <c r="R38" s="131"/>
      <c r="S38" s="11"/>
      <c r="T38" s="274"/>
      <c r="U38" s="274"/>
      <c r="V38" s="274"/>
      <c r="W38" s="39"/>
      <c r="X38" s="11"/>
      <c r="Y38" s="11"/>
      <c r="Z38" s="274"/>
      <c r="AA38" s="274"/>
      <c r="AB38" s="274"/>
      <c r="AC38" s="5"/>
      <c r="AD38" s="22"/>
      <c r="AE38" s="39"/>
      <c r="AF38" s="118">
        <v>84520.8</v>
      </c>
      <c r="AG38" s="118">
        <f t="shared" si="25"/>
        <v>16058.952000000001</v>
      </c>
      <c r="AH38" s="170">
        <f t="shared" si="26"/>
        <v>100579.75200000001</v>
      </c>
      <c r="AI38" s="52" t="s">
        <v>445</v>
      </c>
      <c r="AJ38" s="52" t="s">
        <v>4673</v>
      </c>
      <c r="AK38" s="39"/>
      <c r="AL38" s="118"/>
      <c r="AM38" s="152"/>
      <c r="AN38" s="181"/>
      <c r="AO38" s="131"/>
      <c r="AP38" s="131"/>
      <c r="AQ38" s="39"/>
      <c r="AR38" s="274"/>
      <c r="AS38" s="274"/>
      <c r="AT38" s="274"/>
      <c r="AU38" s="39"/>
      <c r="AV38" s="39"/>
      <c r="AW38" s="39"/>
      <c r="AX38" s="274"/>
      <c r="AY38" s="274"/>
      <c r="AZ38" s="274"/>
      <c r="BA38" s="39"/>
      <c r="BB38" s="62"/>
      <c r="BC38" s="39"/>
      <c r="BD38" s="274"/>
      <c r="BE38" s="274"/>
      <c r="BF38" s="274"/>
      <c r="BG38" s="39"/>
      <c r="BH38" s="39"/>
      <c r="BI38" s="39"/>
      <c r="BJ38" s="274">
        <v>231300</v>
      </c>
      <c r="BK38" s="274">
        <f t="shared" si="21"/>
        <v>43947</v>
      </c>
      <c r="BL38" s="274">
        <f t="shared" si="22"/>
        <v>275247</v>
      </c>
      <c r="BM38" s="213" t="s">
        <v>2891</v>
      </c>
      <c r="BN38" s="213" t="s">
        <v>3897</v>
      </c>
      <c r="BO38" s="39"/>
      <c r="BP38" s="274">
        <v>135200</v>
      </c>
      <c r="BQ38" s="274">
        <f t="shared" si="18"/>
        <v>25688</v>
      </c>
      <c r="BR38" s="274">
        <f t="shared" si="19"/>
        <v>160888</v>
      </c>
      <c r="BS38" s="39"/>
      <c r="BT38" s="39"/>
      <c r="BU38" s="39"/>
      <c r="BV38" s="219">
        <v>262563.20190000004</v>
      </c>
      <c r="BW38" s="219">
        <f t="shared" si="23"/>
        <v>49887.008361000007</v>
      </c>
      <c r="BX38" s="273">
        <f t="shared" si="24"/>
        <v>312450.21026100003</v>
      </c>
      <c r="BY38" s="213" t="s">
        <v>2891</v>
      </c>
      <c r="BZ38" s="213" t="s">
        <v>3897</v>
      </c>
      <c r="CA38" s="213"/>
      <c r="CB38" s="274"/>
      <c r="CC38" s="274"/>
      <c r="CD38" s="274"/>
      <c r="CE38" s="39"/>
      <c r="CF38" s="39"/>
      <c r="CG38" s="39"/>
      <c r="CH38" s="274"/>
      <c r="CI38" s="274"/>
      <c r="CJ38" s="274"/>
      <c r="CK38" s="39"/>
      <c r="CL38" s="39"/>
      <c r="CM38" s="131"/>
      <c r="CN38" s="131"/>
      <c r="CO38" s="131"/>
      <c r="CP38" s="11"/>
      <c r="CQ38" s="11"/>
      <c r="CR38" s="11"/>
      <c r="CS38" s="11"/>
      <c r="CT38" s="11"/>
      <c r="CU38" s="11"/>
      <c r="CV38" s="11"/>
      <c r="CW38" s="11"/>
      <c r="CX38" s="11"/>
      <c r="CY38" s="11"/>
      <c r="CZ38" s="11"/>
      <c r="DA38" s="11"/>
      <c r="DB38" s="11"/>
      <c r="DC38" s="11"/>
      <c r="DD38" s="11"/>
      <c r="DE38" s="11"/>
      <c r="DF38" s="11"/>
      <c r="DG38" s="11"/>
      <c r="DH38" s="11"/>
      <c r="DI38" s="11"/>
      <c r="DJ38" s="11"/>
      <c r="DK38" s="11"/>
      <c r="DL38" s="274"/>
      <c r="DM38" s="274"/>
      <c r="DN38" s="274"/>
      <c r="DO38" s="274"/>
      <c r="DP38" s="274"/>
      <c r="DQ38" s="274"/>
      <c r="DR38" s="274"/>
      <c r="DS38" s="274"/>
      <c r="DT38" s="274"/>
      <c r="DU38" s="274"/>
      <c r="DV38" s="274"/>
      <c r="DW38" s="274"/>
      <c r="DX38" s="274"/>
      <c r="DY38" s="274"/>
      <c r="DZ38" s="274"/>
      <c r="EA38" s="274"/>
      <c r="EB38" s="274"/>
      <c r="EC38" s="274"/>
      <c r="ED38" s="39">
        <f t="shared" si="4"/>
        <v>1158660.1622610001</v>
      </c>
      <c r="EE38" s="30">
        <f t="shared" si="5"/>
        <v>6</v>
      </c>
      <c r="EF38" s="39">
        <f t="shared" si="6"/>
        <v>193110.02704350001</v>
      </c>
    </row>
    <row r="39" spans="1:136" x14ac:dyDescent="0.25">
      <c r="A39" s="25" t="e">
        <f>#REF!</f>
        <v>#REF!</v>
      </c>
      <c r="B39" s="50" t="e">
        <f>#REF!</f>
        <v>#REF!</v>
      </c>
      <c r="C39" s="5" t="e">
        <f>#REF!</f>
        <v>#REF!</v>
      </c>
      <c r="D39" s="5" t="e">
        <f>#REF!</f>
        <v>#REF!</v>
      </c>
      <c r="E39" s="252">
        <v>1</v>
      </c>
      <c r="F39" s="249">
        <v>0</v>
      </c>
      <c r="G39" s="249">
        <v>0</v>
      </c>
      <c r="H39" s="249">
        <v>0</v>
      </c>
      <c r="I39" s="249">
        <v>0</v>
      </c>
      <c r="J39" s="249">
        <v>162875.82888888891</v>
      </c>
      <c r="K39" s="249">
        <v>80325</v>
      </c>
      <c r="L39" s="274">
        <f>J39</f>
        <v>162875.82888888891</v>
      </c>
      <c r="M39" s="274">
        <f>K39*E1</f>
        <v>82734.75</v>
      </c>
      <c r="N39" s="255">
        <v>80000</v>
      </c>
      <c r="O39" s="135">
        <f t="shared" si="15"/>
        <v>15200</v>
      </c>
      <c r="P39" s="135">
        <f t="shared" si="10"/>
        <v>95200</v>
      </c>
      <c r="Q39" s="131"/>
      <c r="R39" s="131"/>
      <c r="S39" s="11"/>
      <c r="T39" s="274"/>
      <c r="U39" s="274"/>
      <c r="V39" s="274"/>
      <c r="W39" s="39"/>
      <c r="X39" s="11"/>
      <c r="Y39" s="11"/>
      <c r="Z39" s="274"/>
      <c r="AA39" s="274"/>
      <c r="AB39" s="274"/>
      <c r="AC39" s="5"/>
      <c r="AD39" s="22"/>
      <c r="AE39" s="39"/>
      <c r="AF39" s="118">
        <v>46207.80000000001</v>
      </c>
      <c r="AG39" s="118">
        <f t="shared" si="25"/>
        <v>8779.4820000000018</v>
      </c>
      <c r="AH39" s="170">
        <f t="shared" si="26"/>
        <v>54987.282000000014</v>
      </c>
      <c r="AI39" s="52" t="s">
        <v>445</v>
      </c>
      <c r="AJ39" s="52" t="s">
        <v>4673</v>
      </c>
      <c r="AK39" s="39"/>
      <c r="AL39" s="118"/>
      <c r="AM39" s="152"/>
      <c r="AN39" s="181"/>
      <c r="AO39" s="131"/>
      <c r="AP39" s="131"/>
      <c r="AQ39" s="39"/>
      <c r="AR39" s="274"/>
      <c r="AS39" s="274"/>
      <c r="AT39" s="274"/>
      <c r="AU39" s="39"/>
      <c r="AV39" s="39"/>
      <c r="AW39" s="39"/>
      <c r="AX39" s="274"/>
      <c r="AY39" s="274"/>
      <c r="AZ39" s="274"/>
      <c r="BA39" s="39"/>
      <c r="BB39" s="62"/>
      <c r="BC39" s="39"/>
      <c r="BD39" s="274"/>
      <c r="BE39" s="274"/>
      <c r="BF39" s="274"/>
      <c r="BG39" s="39"/>
      <c r="BH39" s="39"/>
      <c r="BI39" s="39"/>
      <c r="BJ39" s="274">
        <v>109800</v>
      </c>
      <c r="BK39" s="274">
        <f t="shared" si="21"/>
        <v>20862</v>
      </c>
      <c r="BL39" s="274">
        <f t="shared" si="22"/>
        <v>130662</v>
      </c>
      <c r="BM39" s="213" t="s">
        <v>2891</v>
      </c>
      <c r="BN39" s="213" t="s">
        <v>3897</v>
      </c>
      <c r="BO39" s="39"/>
      <c r="BP39" s="274">
        <v>65000</v>
      </c>
      <c r="BQ39" s="274">
        <f t="shared" si="18"/>
        <v>12350</v>
      </c>
      <c r="BR39" s="274">
        <f t="shared" si="19"/>
        <v>77350</v>
      </c>
      <c r="BS39" s="39"/>
      <c r="BT39" s="39"/>
      <c r="BU39" s="39"/>
      <c r="BV39" s="219">
        <v>116509.4388</v>
      </c>
      <c r="BW39" s="219">
        <f t="shared" si="23"/>
        <v>22136.793372</v>
      </c>
      <c r="BX39" s="273">
        <f t="shared" si="24"/>
        <v>138646.23217199999</v>
      </c>
      <c r="BY39" s="213" t="s">
        <v>2891</v>
      </c>
      <c r="BZ39" s="213" t="s">
        <v>3897</v>
      </c>
      <c r="CA39" s="213"/>
      <c r="CB39" s="274"/>
      <c r="CC39" s="274"/>
      <c r="CD39" s="274"/>
      <c r="CE39" s="39"/>
      <c r="CF39" s="39"/>
      <c r="CG39" s="39"/>
      <c r="CH39" s="274"/>
      <c r="CI39" s="274"/>
      <c r="CJ39" s="274"/>
      <c r="CK39" s="39"/>
      <c r="CL39" s="39"/>
      <c r="CM39" s="39"/>
      <c r="CN39" s="39"/>
      <c r="CO39" s="39"/>
      <c r="CP39" s="11"/>
      <c r="CQ39" s="11"/>
      <c r="CR39" s="11"/>
      <c r="CS39" s="11"/>
      <c r="CT39" s="11"/>
      <c r="CU39" s="11"/>
      <c r="CV39" s="11"/>
      <c r="CW39" s="11"/>
      <c r="CX39" s="11"/>
      <c r="CY39" s="11"/>
      <c r="CZ39" s="11"/>
      <c r="DA39" s="11"/>
      <c r="DB39" s="11"/>
      <c r="DC39" s="11"/>
      <c r="DD39" s="11"/>
      <c r="DE39" s="11"/>
      <c r="DF39" s="11"/>
      <c r="DG39" s="11"/>
      <c r="DH39" s="11"/>
      <c r="DI39" s="11"/>
      <c r="DJ39" s="11"/>
      <c r="DK39" s="11"/>
      <c r="DL39" s="274"/>
      <c r="DM39" s="274"/>
      <c r="DN39" s="274"/>
      <c r="DO39" s="274"/>
      <c r="DP39" s="274"/>
      <c r="DQ39" s="274"/>
      <c r="DR39" s="274"/>
      <c r="DS39" s="274"/>
      <c r="DT39" s="274"/>
      <c r="DU39" s="274"/>
      <c r="DV39" s="274"/>
      <c r="DW39" s="274"/>
      <c r="DX39" s="274"/>
      <c r="DY39" s="274"/>
      <c r="DZ39" s="274"/>
      <c r="EA39" s="274"/>
      <c r="EB39" s="274"/>
      <c r="EC39" s="274"/>
      <c r="ED39" s="39">
        <f t="shared" si="4"/>
        <v>579580.264172</v>
      </c>
      <c r="EE39" s="30">
        <f t="shared" si="5"/>
        <v>6</v>
      </c>
      <c r="EF39" s="39">
        <f t="shared" si="6"/>
        <v>96596.710695333328</v>
      </c>
    </row>
    <row r="40" spans="1:136" x14ac:dyDescent="0.25">
      <c r="A40" s="25" t="e">
        <f>#REF!</f>
        <v>#REF!</v>
      </c>
      <c r="B40" s="50" t="e">
        <f>#REF!</f>
        <v>#REF!</v>
      </c>
      <c r="C40" s="5" t="e">
        <f>#REF!</f>
        <v>#REF!</v>
      </c>
      <c r="D40" s="5" t="e">
        <f>#REF!</f>
        <v>#REF!</v>
      </c>
      <c r="E40" s="252">
        <v>1</v>
      </c>
      <c r="F40" s="249">
        <v>0</v>
      </c>
      <c r="G40" s="249">
        <v>0</v>
      </c>
      <c r="H40" s="249">
        <v>0</v>
      </c>
      <c r="I40" s="249">
        <v>0</v>
      </c>
      <c r="J40" s="249">
        <v>0</v>
      </c>
      <c r="K40" s="249">
        <v>0</v>
      </c>
      <c r="L40" s="274"/>
      <c r="M40" s="274"/>
      <c r="N40" s="255">
        <v>70000</v>
      </c>
      <c r="O40" s="135">
        <f t="shared" si="15"/>
        <v>13300</v>
      </c>
      <c r="P40" s="135">
        <f t="shared" si="10"/>
        <v>83300</v>
      </c>
      <c r="Q40" s="131"/>
      <c r="R40" s="131"/>
      <c r="S40" s="11"/>
      <c r="T40" s="274"/>
      <c r="U40" s="274"/>
      <c r="V40" s="274"/>
      <c r="W40" s="39"/>
      <c r="X40" s="11"/>
      <c r="Y40" s="11"/>
      <c r="Z40" s="274"/>
      <c r="AA40" s="274"/>
      <c r="AB40" s="274"/>
      <c r="AC40" s="5"/>
      <c r="AD40" s="22"/>
      <c r="AE40" s="39"/>
      <c r="AF40" s="118">
        <v>27864.000000000007</v>
      </c>
      <c r="AG40" s="118">
        <f t="shared" si="25"/>
        <v>5294.1600000000017</v>
      </c>
      <c r="AH40" s="170">
        <f t="shared" si="26"/>
        <v>33158.160000000011</v>
      </c>
      <c r="AI40" s="52" t="s">
        <v>445</v>
      </c>
      <c r="AJ40" s="52" t="s">
        <v>4673</v>
      </c>
      <c r="AK40" s="39"/>
      <c r="AL40" s="118"/>
      <c r="AM40" s="152"/>
      <c r="AN40" s="181"/>
      <c r="AO40" s="131"/>
      <c r="AP40" s="131"/>
      <c r="AQ40" s="39"/>
      <c r="AR40" s="274"/>
      <c r="AS40" s="274"/>
      <c r="AT40" s="274"/>
      <c r="AU40" s="39"/>
      <c r="AV40" s="39"/>
      <c r="AW40" s="39"/>
      <c r="AX40" s="274"/>
      <c r="AY40" s="274"/>
      <c r="AZ40" s="274"/>
      <c r="BA40" s="39"/>
      <c r="BB40" s="62"/>
      <c r="BC40" s="39"/>
      <c r="BD40" s="274"/>
      <c r="BE40" s="274"/>
      <c r="BF40" s="274"/>
      <c r="BG40" s="39"/>
      <c r="BH40" s="39"/>
      <c r="BI40" s="39"/>
      <c r="BJ40" s="274">
        <v>70200</v>
      </c>
      <c r="BK40" s="274">
        <f t="shared" si="21"/>
        <v>13338</v>
      </c>
      <c r="BL40" s="274">
        <f t="shared" si="22"/>
        <v>83538</v>
      </c>
      <c r="BM40" s="213" t="s">
        <v>2891</v>
      </c>
      <c r="BN40" s="213" t="s">
        <v>3897</v>
      </c>
      <c r="BO40" s="39"/>
      <c r="BP40" s="274">
        <v>52000</v>
      </c>
      <c r="BQ40" s="274">
        <f t="shared" si="18"/>
        <v>9880</v>
      </c>
      <c r="BR40" s="274">
        <f t="shared" si="19"/>
        <v>61880</v>
      </c>
      <c r="BS40" s="39"/>
      <c r="BT40" s="39"/>
      <c r="BU40" s="39"/>
      <c r="BV40" s="219">
        <v>80476.578000000009</v>
      </c>
      <c r="BW40" s="219">
        <f t="shared" si="23"/>
        <v>15290.549820000002</v>
      </c>
      <c r="BX40" s="273">
        <f t="shared" si="24"/>
        <v>95767.127820000009</v>
      </c>
      <c r="BY40" s="213" t="s">
        <v>2891</v>
      </c>
      <c r="BZ40" s="213" t="s">
        <v>3897</v>
      </c>
      <c r="CA40" s="213"/>
      <c r="CB40" s="274"/>
      <c r="CC40" s="274"/>
      <c r="CD40" s="274"/>
      <c r="CE40" s="39"/>
      <c r="CF40" s="39"/>
      <c r="CG40" s="39"/>
      <c r="CH40" s="274"/>
      <c r="CI40" s="274"/>
      <c r="CJ40" s="274"/>
      <c r="CK40" s="39"/>
      <c r="CL40" s="39"/>
      <c r="CM40" s="131"/>
      <c r="CN40" s="131"/>
      <c r="CO40" s="131"/>
      <c r="CP40" s="11"/>
      <c r="CQ40" s="11"/>
      <c r="CR40" s="11"/>
      <c r="CS40" s="11"/>
      <c r="CT40" s="11"/>
      <c r="CU40" s="11"/>
      <c r="CV40" s="11"/>
      <c r="CW40" s="11"/>
      <c r="CX40" s="11"/>
      <c r="CY40" s="11"/>
      <c r="CZ40" s="11"/>
      <c r="DA40" s="11"/>
      <c r="DB40" s="11"/>
      <c r="DC40" s="11"/>
      <c r="DD40" s="11"/>
      <c r="DE40" s="11"/>
      <c r="DF40" s="11"/>
      <c r="DG40" s="11"/>
      <c r="DH40" s="11"/>
      <c r="DI40" s="11"/>
      <c r="DJ40" s="11"/>
      <c r="DK40" s="11"/>
      <c r="DL40" s="274"/>
      <c r="DM40" s="274"/>
      <c r="DN40" s="274"/>
      <c r="DO40" s="274"/>
      <c r="DP40" s="274"/>
      <c r="DQ40" s="274"/>
      <c r="DR40" s="274"/>
      <c r="DS40" s="274"/>
      <c r="DT40" s="274"/>
      <c r="DU40" s="274"/>
      <c r="DV40" s="274"/>
      <c r="DW40" s="274"/>
      <c r="DX40" s="274"/>
      <c r="DY40" s="274"/>
      <c r="DZ40" s="274"/>
      <c r="EA40" s="274"/>
      <c r="EB40" s="274"/>
      <c r="EC40" s="274"/>
      <c r="ED40" s="39">
        <f t="shared" si="4"/>
        <v>357643.28782000003</v>
      </c>
      <c r="EE40" s="30">
        <f t="shared" si="5"/>
        <v>5</v>
      </c>
      <c r="EF40" s="39">
        <f t="shared" si="6"/>
        <v>71528.657564000008</v>
      </c>
    </row>
    <row r="41" spans="1:136" x14ac:dyDescent="0.25">
      <c r="A41" s="25" t="e">
        <f>#REF!</f>
        <v>#REF!</v>
      </c>
      <c r="B41" s="50" t="e">
        <f>#REF!</f>
        <v>#REF!</v>
      </c>
      <c r="C41" s="5" t="e">
        <f>#REF!</f>
        <v>#REF!</v>
      </c>
      <c r="D41" s="5" t="e">
        <f>#REF!</f>
        <v>#REF!</v>
      </c>
      <c r="E41" s="252">
        <v>1</v>
      </c>
      <c r="F41" s="249">
        <v>0</v>
      </c>
      <c r="G41" s="249">
        <v>0</v>
      </c>
      <c r="H41" s="249">
        <v>0</v>
      </c>
      <c r="I41" s="249">
        <v>0</v>
      </c>
      <c r="J41" s="249">
        <v>0</v>
      </c>
      <c r="K41" s="249">
        <v>0</v>
      </c>
      <c r="L41" s="274"/>
      <c r="M41" s="274"/>
      <c r="N41" s="255"/>
      <c r="O41" s="135"/>
      <c r="P41" s="135"/>
      <c r="Q41" s="11"/>
      <c r="R41" s="11"/>
      <c r="S41" s="11"/>
      <c r="T41" s="274"/>
      <c r="U41" s="274"/>
      <c r="V41" s="274"/>
      <c r="W41" s="11"/>
      <c r="X41" s="11"/>
      <c r="Y41" s="11"/>
      <c r="Z41" s="274"/>
      <c r="AA41" s="274"/>
      <c r="AB41" s="274"/>
      <c r="AC41" s="11"/>
      <c r="AD41" s="11"/>
      <c r="AE41" s="11"/>
      <c r="AF41" s="118">
        <v>25077.600000000006</v>
      </c>
      <c r="AG41" s="118">
        <f t="shared" si="25"/>
        <v>4764.7440000000015</v>
      </c>
      <c r="AH41" s="170">
        <f t="shared" si="26"/>
        <v>29842.344000000008</v>
      </c>
      <c r="AI41" s="52" t="s">
        <v>445</v>
      </c>
      <c r="AJ41" s="52" t="s">
        <v>4673</v>
      </c>
      <c r="AK41" s="11"/>
      <c r="AL41" s="118"/>
      <c r="AM41" s="118"/>
      <c r="AN41" s="118"/>
      <c r="AO41" s="52"/>
      <c r="AP41" s="52"/>
      <c r="AQ41" s="11"/>
      <c r="AR41" s="274"/>
      <c r="AS41" s="274"/>
      <c r="AT41" s="274"/>
      <c r="AU41" s="11"/>
      <c r="AV41" s="11"/>
      <c r="AW41" s="11"/>
      <c r="AX41" s="274"/>
      <c r="AY41" s="274"/>
      <c r="AZ41" s="274"/>
      <c r="BA41" s="11"/>
      <c r="BB41" s="11"/>
      <c r="BC41" s="11"/>
      <c r="BD41" s="274"/>
      <c r="BE41" s="274"/>
      <c r="BF41" s="274"/>
      <c r="BG41" s="11"/>
      <c r="BH41" s="11"/>
      <c r="BI41" s="11"/>
      <c r="BJ41" s="274">
        <v>68000</v>
      </c>
      <c r="BK41" s="274">
        <f t="shared" si="21"/>
        <v>12920</v>
      </c>
      <c r="BL41" s="274">
        <f t="shared" si="22"/>
        <v>80920</v>
      </c>
      <c r="BM41" s="213" t="s">
        <v>2891</v>
      </c>
      <c r="BN41" s="213" t="s">
        <v>3897</v>
      </c>
      <c r="BO41" s="11"/>
      <c r="BP41" s="274">
        <v>65000</v>
      </c>
      <c r="BQ41" s="274">
        <f t="shared" si="18"/>
        <v>12350</v>
      </c>
      <c r="BR41" s="274">
        <f t="shared" si="19"/>
        <v>77350</v>
      </c>
      <c r="BS41" s="11"/>
      <c r="BT41" s="11"/>
      <c r="BU41" s="11"/>
      <c r="BV41" s="219">
        <v>72155.207999999999</v>
      </c>
      <c r="BW41" s="219">
        <f t="shared" si="23"/>
        <v>13709.489519999999</v>
      </c>
      <c r="BX41" s="273">
        <f t="shared" si="24"/>
        <v>85864.697520000002</v>
      </c>
      <c r="BY41" s="213" t="s">
        <v>2891</v>
      </c>
      <c r="BZ41" s="213" t="s">
        <v>3897</v>
      </c>
      <c r="CA41" s="213"/>
      <c r="CB41" s="274"/>
      <c r="CC41" s="274"/>
      <c r="CD41" s="274"/>
      <c r="CE41" s="40"/>
      <c r="CF41" s="40"/>
      <c r="CG41" s="40"/>
      <c r="CH41" s="274"/>
      <c r="CI41" s="274"/>
      <c r="CJ41" s="274"/>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274"/>
      <c r="DM41" s="274"/>
      <c r="DN41" s="274"/>
      <c r="DO41" s="274"/>
      <c r="DP41" s="274"/>
      <c r="DQ41" s="274"/>
      <c r="DR41" s="274"/>
      <c r="DS41" s="274"/>
      <c r="DT41" s="274"/>
      <c r="DU41" s="274"/>
      <c r="DV41" s="274"/>
      <c r="DW41" s="274"/>
      <c r="DX41" s="274"/>
      <c r="DY41" s="274"/>
      <c r="DZ41" s="274"/>
      <c r="EA41" s="274"/>
      <c r="EB41" s="274"/>
      <c r="EC41" s="274"/>
      <c r="ED41" s="39">
        <f t="shared" si="4"/>
        <v>273977.04152000003</v>
      </c>
      <c r="EE41" s="30">
        <f t="shared" si="5"/>
        <v>4</v>
      </c>
      <c r="EF41" s="39">
        <f t="shared" si="6"/>
        <v>68494.260380000007</v>
      </c>
    </row>
    <row r="42" spans="1:136" x14ac:dyDescent="0.25">
      <c r="A42" s="25" t="e">
        <f>#REF!</f>
        <v>#REF!</v>
      </c>
      <c r="B42" s="50" t="e">
        <f>#REF!</f>
        <v>#REF!</v>
      </c>
      <c r="C42" s="5" t="e">
        <f>#REF!</f>
        <v>#REF!</v>
      </c>
      <c r="D42" s="5" t="e">
        <f>#REF!</f>
        <v>#REF!</v>
      </c>
      <c r="E42" s="252">
        <v>1</v>
      </c>
      <c r="F42" s="249">
        <v>0</v>
      </c>
      <c r="G42" s="249">
        <v>0</v>
      </c>
      <c r="H42" s="249">
        <v>0</v>
      </c>
      <c r="I42" s="249">
        <v>0</v>
      </c>
      <c r="J42" s="249">
        <v>0</v>
      </c>
      <c r="K42" s="249">
        <v>0</v>
      </c>
      <c r="L42" s="274"/>
      <c r="M42" s="274"/>
      <c r="N42" s="255">
        <v>40000</v>
      </c>
      <c r="O42" s="135">
        <f>+N42*0.19</f>
        <v>7600</v>
      </c>
      <c r="P42" s="135">
        <f>+N42+O42</f>
        <v>47600</v>
      </c>
      <c r="Q42" s="131"/>
      <c r="R42" s="131"/>
      <c r="S42" s="11"/>
      <c r="T42" s="274">
        <v>30800.000000000004</v>
      </c>
      <c r="U42" s="274">
        <f>+T42*0.19</f>
        <v>5852.0000000000009</v>
      </c>
      <c r="V42" s="274">
        <f>+T42+U42</f>
        <v>36652.000000000007</v>
      </c>
      <c r="W42" s="39" t="s">
        <v>510</v>
      </c>
      <c r="X42" s="11" t="s">
        <v>2976</v>
      </c>
      <c r="Y42" s="11"/>
      <c r="Z42" s="274"/>
      <c r="AA42" s="274"/>
      <c r="AB42" s="274"/>
      <c r="AC42" s="5"/>
      <c r="AD42" s="22"/>
      <c r="AE42" s="39"/>
      <c r="AF42" s="118">
        <v>37487.400000000009</v>
      </c>
      <c r="AG42" s="118">
        <f t="shared" si="25"/>
        <v>7122.6060000000016</v>
      </c>
      <c r="AH42" s="170">
        <f t="shared" si="26"/>
        <v>44610.006000000008</v>
      </c>
      <c r="AI42" s="52" t="s">
        <v>445</v>
      </c>
      <c r="AJ42" s="52" t="s">
        <v>4673</v>
      </c>
      <c r="AK42" s="39"/>
      <c r="AL42" s="118"/>
      <c r="AM42" s="152"/>
      <c r="AN42" s="181"/>
      <c r="AO42" s="131"/>
      <c r="AP42" s="131"/>
      <c r="AQ42" s="39"/>
      <c r="AR42" s="274"/>
      <c r="AS42" s="274"/>
      <c r="AT42" s="274"/>
      <c r="AU42" s="39"/>
      <c r="AV42" s="39"/>
      <c r="AW42" s="39"/>
      <c r="AX42" s="274"/>
      <c r="AY42" s="274"/>
      <c r="AZ42" s="274"/>
      <c r="BA42" s="39"/>
      <c r="BB42" s="62"/>
      <c r="BC42" s="39"/>
      <c r="BD42" s="274"/>
      <c r="BE42" s="274"/>
      <c r="BF42" s="274"/>
      <c r="BG42" s="39"/>
      <c r="BH42" s="39"/>
      <c r="BI42" s="39"/>
      <c r="BJ42" s="274">
        <v>77400</v>
      </c>
      <c r="BK42" s="274">
        <f t="shared" si="21"/>
        <v>14706</v>
      </c>
      <c r="BL42" s="274">
        <f t="shared" si="22"/>
        <v>92106</v>
      </c>
      <c r="BM42" s="213" t="s">
        <v>2891</v>
      </c>
      <c r="BN42" s="213" t="s">
        <v>3897</v>
      </c>
      <c r="BO42" s="39"/>
      <c r="BP42" s="274">
        <v>49600</v>
      </c>
      <c r="BQ42" s="274">
        <f t="shared" si="18"/>
        <v>9424</v>
      </c>
      <c r="BR42" s="274">
        <f t="shared" si="19"/>
        <v>59024</v>
      </c>
      <c r="BS42" s="39"/>
      <c r="BT42" s="39"/>
      <c r="BU42" s="39"/>
      <c r="BV42" s="219">
        <v>84545.181000000011</v>
      </c>
      <c r="BW42" s="219">
        <f t="shared" si="23"/>
        <v>16063.584390000002</v>
      </c>
      <c r="BX42" s="273">
        <f t="shared" si="24"/>
        <v>100608.76539000002</v>
      </c>
      <c r="BY42" s="213" t="s">
        <v>2891</v>
      </c>
      <c r="BZ42" s="213" t="s">
        <v>3897</v>
      </c>
      <c r="CA42" s="213"/>
      <c r="CB42" s="274"/>
      <c r="CC42" s="274"/>
      <c r="CD42" s="274"/>
      <c r="CE42" s="39"/>
      <c r="CF42" s="39"/>
      <c r="CG42" s="39"/>
      <c r="CH42" s="274"/>
      <c r="CI42" s="274"/>
      <c r="CJ42" s="274"/>
      <c r="CK42" s="39"/>
      <c r="CL42" s="39"/>
      <c r="CM42" s="39"/>
      <c r="CN42" s="131"/>
      <c r="CO42" s="39"/>
      <c r="CP42" s="11"/>
      <c r="CQ42" s="11"/>
      <c r="CR42" s="11"/>
      <c r="CS42" s="11"/>
      <c r="CT42" s="11"/>
      <c r="CU42" s="11"/>
      <c r="CV42" s="11"/>
      <c r="CW42" s="11"/>
      <c r="CX42" s="11"/>
      <c r="CY42" s="11"/>
      <c r="CZ42" s="11"/>
      <c r="DA42" s="11"/>
      <c r="DB42" s="11"/>
      <c r="DC42" s="11"/>
      <c r="DD42" s="11"/>
      <c r="DE42" s="11"/>
      <c r="DF42" s="11"/>
      <c r="DG42" s="11"/>
      <c r="DH42" s="11"/>
      <c r="DI42" s="11"/>
      <c r="DJ42" s="11"/>
      <c r="DK42" s="11"/>
      <c r="DL42" s="274"/>
      <c r="DM42" s="274"/>
      <c r="DN42" s="274"/>
      <c r="DO42" s="274"/>
      <c r="DP42" s="274"/>
      <c r="DQ42" s="274"/>
      <c r="DR42" s="274"/>
      <c r="DS42" s="274"/>
      <c r="DT42" s="274"/>
      <c r="DU42" s="274"/>
      <c r="DV42" s="274"/>
      <c r="DW42" s="274"/>
      <c r="DX42" s="274"/>
      <c r="DY42" s="274"/>
      <c r="DZ42" s="274"/>
      <c r="EA42" s="274"/>
      <c r="EB42" s="274"/>
      <c r="EC42" s="274"/>
      <c r="ED42" s="39">
        <f t="shared" si="4"/>
        <v>380600.77139000001</v>
      </c>
      <c r="EE42" s="30">
        <f t="shared" si="5"/>
        <v>6</v>
      </c>
      <c r="EF42" s="39">
        <f t="shared" si="6"/>
        <v>63433.461898333335</v>
      </c>
    </row>
    <row r="43" spans="1:136" x14ac:dyDescent="0.25">
      <c r="A43" s="25" t="e">
        <f>#REF!</f>
        <v>#REF!</v>
      </c>
      <c r="B43" s="50" t="e">
        <f>#REF!</f>
        <v>#REF!</v>
      </c>
      <c r="C43" s="5" t="e">
        <f>#REF!</f>
        <v>#REF!</v>
      </c>
      <c r="D43" s="5" t="e">
        <f>#REF!</f>
        <v>#REF!</v>
      </c>
      <c r="E43" s="252">
        <v>1</v>
      </c>
      <c r="F43" s="249">
        <v>51485.35</v>
      </c>
      <c r="G43" s="249">
        <v>50694</v>
      </c>
      <c r="H43" s="249">
        <v>60871.160840000004</v>
      </c>
      <c r="I43" s="249">
        <v>60809</v>
      </c>
      <c r="J43" s="249">
        <v>0</v>
      </c>
      <c r="K43" s="249">
        <v>0</v>
      </c>
      <c r="L43" s="274">
        <f>AVERAGE(F43,H43)</f>
        <v>56178.255420000001</v>
      </c>
      <c r="M43" s="274">
        <f>AVERAGE(G43,I43)*E1</f>
        <v>57424.044999999998</v>
      </c>
      <c r="N43" s="255"/>
      <c r="O43" s="135"/>
      <c r="P43" s="135"/>
      <c r="Q43" s="131"/>
      <c r="R43" s="131"/>
      <c r="S43" s="11"/>
      <c r="T43" s="274"/>
      <c r="U43" s="274"/>
      <c r="V43" s="274"/>
      <c r="W43" s="39"/>
      <c r="X43" s="11"/>
      <c r="Y43" s="11"/>
      <c r="Z43" s="274"/>
      <c r="AA43" s="274"/>
      <c r="AB43" s="274"/>
      <c r="AC43" s="5"/>
      <c r="AD43" s="22"/>
      <c r="AE43" s="39"/>
      <c r="AF43" s="118">
        <v>37487.400000000009</v>
      </c>
      <c r="AG43" s="118">
        <f t="shared" si="25"/>
        <v>7122.6060000000016</v>
      </c>
      <c r="AH43" s="170">
        <f t="shared" si="26"/>
        <v>44610.006000000008</v>
      </c>
      <c r="AI43" s="52" t="s">
        <v>445</v>
      </c>
      <c r="AJ43" s="52" t="s">
        <v>4673</v>
      </c>
      <c r="AK43" s="39"/>
      <c r="AL43" s="118"/>
      <c r="AM43" s="152"/>
      <c r="AN43" s="181"/>
      <c r="AO43" s="131"/>
      <c r="AP43" s="131"/>
      <c r="AQ43" s="39"/>
      <c r="AR43" s="274"/>
      <c r="AS43" s="274"/>
      <c r="AT43" s="274"/>
      <c r="AU43" s="39"/>
      <c r="AV43" s="39"/>
      <c r="AW43" s="39"/>
      <c r="AX43" s="274"/>
      <c r="AY43" s="274"/>
      <c r="AZ43" s="274"/>
      <c r="BA43" s="39"/>
      <c r="BB43" s="62"/>
      <c r="BC43" s="39"/>
      <c r="BD43" s="274"/>
      <c r="BE43" s="274"/>
      <c r="BF43" s="274"/>
      <c r="BG43" s="39"/>
      <c r="BH43" s="39"/>
      <c r="BI43" s="39"/>
      <c r="BJ43" s="274">
        <v>88100</v>
      </c>
      <c r="BK43" s="274">
        <f t="shared" si="21"/>
        <v>16739</v>
      </c>
      <c r="BL43" s="274">
        <f t="shared" si="22"/>
        <v>104839</v>
      </c>
      <c r="BM43" s="213" t="s">
        <v>2891</v>
      </c>
      <c r="BN43" s="213" t="s">
        <v>3897</v>
      </c>
      <c r="BO43" s="39"/>
      <c r="BP43" s="274">
        <v>52000</v>
      </c>
      <c r="BQ43" s="274">
        <f t="shared" si="18"/>
        <v>9880</v>
      </c>
      <c r="BR43" s="274">
        <f t="shared" si="19"/>
        <v>61880</v>
      </c>
      <c r="BS43" s="39"/>
      <c r="BT43" s="39"/>
      <c r="BU43" s="39"/>
      <c r="BV43" s="219">
        <v>101838.7545</v>
      </c>
      <c r="BW43" s="219">
        <f t="shared" si="23"/>
        <v>19349.363354999998</v>
      </c>
      <c r="BX43" s="273">
        <f t="shared" si="24"/>
        <v>121188.11785499999</v>
      </c>
      <c r="BY43" s="213" t="s">
        <v>2891</v>
      </c>
      <c r="BZ43" s="213" t="s">
        <v>3897</v>
      </c>
      <c r="CA43" s="213"/>
      <c r="CB43" s="274"/>
      <c r="CC43" s="274"/>
      <c r="CD43" s="274"/>
      <c r="CE43" s="39"/>
      <c r="CF43" s="39"/>
      <c r="CG43" s="39"/>
      <c r="CH43" s="274"/>
      <c r="CI43" s="274"/>
      <c r="CJ43" s="274"/>
      <c r="CK43" s="39"/>
      <c r="CL43" s="39"/>
      <c r="CM43" s="39"/>
      <c r="CN43" s="39"/>
      <c r="CO43" s="39"/>
      <c r="CP43" s="11"/>
      <c r="CQ43" s="11"/>
      <c r="CR43" s="11"/>
      <c r="CS43" s="11"/>
      <c r="CT43" s="11"/>
      <c r="CU43" s="11"/>
      <c r="CV43" s="11"/>
      <c r="CW43" s="11"/>
      <c r="CX43" s="11"/>
      <c r="CY43" s="11"/>
      <c r="CZ43" s="11"/>
      <c r="DA43" s="11"/>
      <c r="DB43" s="11"/>
      <c r="DC43" s="11"/>
      <c r="DD43" s="11"/>
      <c r="DE43" s="11"/>
      <c r="DF43" s="11"/>
      <c r="DG43" s="11"/>
      <c r="DH43" s="11"/>
      <c r="DI43" s="11"/>
      <c r="DJ43" s="11"/>
      <c r="DK43" s="11"/>
      <c r="DL43" s="274"/>
      <c r="DM43" s="274"/>
      <c r="DN43" s="274"/>
      <c r="DO43" s="274"/>
      <c r="DP43" s="274"/>
      <c r="DQ43" s="274"/>
      <c r="DR43" s="274"/>
      <c r="DS43" s="274"/>
      <c r="DT43" s="274"/>
      <c r="DU43" s="274"/>
      <c r="DV43" s="274"/>
      <c r="DW43" s="274"/>
      <c r="DX43" s="274"/>
      <c r="DY43" s="274"/>
      <c r="DZ43" s="274"/>
      <c r="EA43" s="274"/>
      <c r="EB43" s="274"/>
      <c r="EC43" s="274"/>
      <c r="ED43" s="39">
        <f t="shared" si="4"/>
        <v>389941.16885499994</v>
      </c>
      <c r="EE43" s="30">
        <f t="shared" si="5"/>
        <v>5</v>
      </c>
      <c r="EF43" s="39">
        <f t="shared" si="6"/>
        <v>77988.233770999985</v>
      </c>
    </row>
    <row r="44" spans="1:136" x14ac:dyDescent="0.25">
      <c r="A44" s="25" t="e">
        <f>#REF!</f>
        <v>#REF!</v>
      </c>
      <c r="B44" s="50" t="e">
        <f>#REF!</f>
        <v>#REF!</v>
      </c>
      <c r="C44" s="5" t="e">
        <f>#REF!</f>
        <v>#REF!</v>
      </c>
      <c r="D44" s="5" t="e">
        <f>#REF!</f>
        <v>#REF!</v>
      </c>
      <c r="E44" s="252">
        <v>1</v>
      </c>
      <c r="F44" s="249">
        <v>0</v>
      </c>
      <c r="G44" s="249">
        <v>0</v>
      </c>
      <c r="H44" s="249">
        <v>0</v>
      </c>
      <c r="I44" s="249">
        <v>0</v>
      </c>
      <c r="J44" s="249">
        <v>50054.97</v>
      </c>
      <c r="K44" s="249">
        <v>49980</v>
      </c>
      <c r="L44" s="274">
        <f>J44</f>
        <v>50054.97</v>
      </c>
      <c r="M44" s="274">
        <f>K44*E1</f>
        <v>51479.4</v>
      </c>
      <c r="N44" s="255"/>
      <c r="O44" s="135"/>
      <c r="P44" s="135"/>
      <c r="Q44" s="131"/>
      <c r="R44" s="131"/>
      <c r="S44" s="11"/>
      <c r="T44" s="274"/>
      <c r="U44" s="274"/>
      <c r="V44" s="274"/>
      <c r="W44" s="39"/>
      <c r="X44" s="11"/>
      <c r="Y44" s="11"/>
      <c r="Z44" s="274"/>
      <c r="AA44" s="274"/>
      <c r="AB44" s="274"/>
      <c r="AC44" s="5"/>
      <c r="AD44" s="22"/>
      <c r="AE44" s="39"/>
      <c r="AF44" s="118">
        <v>56785.80000000001</v>
      </c>
      <c r="AG44" s="118">
        <f t="shared" si="25"/>
        <v>10789.302000000001</v>
      </c>
      <c r="AH44" s="170">
        <f t="shared" si="26"/>
        <v>67575.102000000014</v>
      </c>
      <c r="AI44" s="52" t="s">
        <v>445</v>
      </c>
      <c r="AJ44" s="52" t="s">
        <v>4673</v>
      </c>
      <c r="AK44" s="39"/>
      <c r="AL44" s="118"/>
      <c r="AM44" s="152"/>
      <c r="AN44" s="181"/>
      <c r="AO44" s="131"/>
      <c r="AP44" s="131"/>
      <c r="AQ44" s="39"/>
      <c r="AR44" s="274"/>
      <c r="AS44" s="274"/>
      <c r="AT44" s="274"/>
      <c r="AU44" s="39"/>
      <c r="AV44" s="39"/>
      <c r="AW44" s="39"/>
      <c r="AX44" s="274"/>
      <c r="AY44" s="274"/>
      <c r="AZ44" s="274"/>
      <c r="BA44" s="39"/>
      <c r="BB44" s="62"/>
      <c r="BC44" s="39"/>
      <c r="BD44" s="274"/>
      <c r="BE44" s="274"/>
      <c r="BF44" s="274"/>
      <c r="BG44" s="39"/>
      <c r="BH44" s="39"/>
      <c r="BI44" s="39"/>
      <c r="BJ44" s="274">
        <v>138300</v>
      </c>
      <c r="BK44" s="274">
        <f t="shared" si="21"/>
        <v>26277</v>
      </c>
      <c r="BL44" s="274">
        <f t="shared" si="22"/>
        <v>164577</v>
      </c>
      <c r="BM44" s="213" t="s">
        <v>2891</v>
      </c>
      <c r="BN44" s="213" t="s">
        <v>3897</v>
      </c>
      <c r="BO44" s="39"/>
      <c r="BP44" s="274">
        <v>49500</v>
      </c>
      <c r="BQ44" s="274">
        <f t="shared" si="18"/>
        <v>9405</v>
      </c>
      <c r="BR44" s="274">
        <f t="shared" si="19"/>
        <v>58905</v>
      </c>
      <c r="BS44" s="39"/>
      <c r="BT44" s="39"/>
      <c r="BU44" s="39"/>
      <c r="BV44" s="219">
        <v>154015.85880000002</v>
      </c>
      <c r="BW44" s="219">
        <f t="shared" si="23"/>
        <v>29263.013172000003</v>
      </c>
      <c r="BX44" s="273">
        <f t="shared" si="24"/>
        <v>183278.87197200002</v>
      </c>
      <c r="BY44" s="213" t="s">
        <v>2891</v>
      </c>
      <c r="BZ44" s="213" t="s">
        <v>3897</v>
      </c>
      <c r="CA44" s="213"/>
      <c r="CB44" s="274"/>
      <c r="CC44" s="274"/>
      <c r="CD44" s="274"/>
      <c r="CE44" s="39"/>
      <c r="CF44" s="39"/>
      <c r="CG44" s="39"/>
      <c r="CH44" s="274"/>
      <c r="CI44" s="274"/>
      <c r="CJ44" s="274"/>
      <c r="CK44" s="39"/>
      <c r="CL44" s="39"/>
      <c r="CM44" s="39"/>
      <c r="CN44" s="39"/>
      <c r="CO44" s="39"/>
      <c r="CP44" s="11"/>
      <c r="CQ44" s="11"/>
      <c r="CR44" s="11"/>
      <c r="CS44" s="11"/>
      <c r="CT44" s="11"/>
      <c r="CU44" s="11"/>
      <c r="CV44" s="11"/>
      <c r="CW44" s="11"/>
      <c r="CX44" s="11"/>
      <c r="CY44" s="11"/>
      <c r="CZ44" s="11"/>
      <c r="DA44" s="11"/>
      <c r="DB44" s="11"/>
      <c r="DC44" s="11"/>
      <c r="DD44" s="11"/>
      <c r="DE44" s="11"/>
      <c r="DF44" s="11"/>
      <c r="DG44" s="11"/>
      <c r="DH44" s="11"/>
      <c r="DI44" s="11"/>
      <c r="DJ44" s="11"/>
      <c r="DK44" s="11"/>
      <c r="DL44" s="274"/>
      <c r="DM44" s="274"/>
      <c r="DN44" s="274"/>
      <c r="DO44" s="274"/>
      <c r="DP44" s="274"/>
      <c r="DQ44" s="274"/>
      <c r="DR44" s="274"/>
      <c r="DS44" s="274"/>
      <c r="DT44" s="274"/>
      <c r="DU44" s="274"/>
      <c r="DV44" s="274"/>
      <c r="DW44" s="274"/>
      <c r="DX44" s="274"/>
      <c r="DY44" s="274"/>
      <c r="DZ44" s="274"/>
      <c r="EA44" s="274"/>
      <c r="EB44" s="274"/>
      <c r="EC44" s="274"/>
      <c r="ED44" s="39">
        <f t="shared" si="4"/>
        <v>525815.37397199997</v>
      </c>
      <c r="EE44" s="30">
        <f t="shared" si="5"/>
        <v>5</v>
      </c>
      <c r="EF44" s="39">
        <f t="shared" si="6"/>
        <v>105163.07479439999</v>
      </c>
    </row>
    <row r="45" spans="1:136" x14ac:dyDescent="0.25">
      <c r="A45" s="25" t="e">
        <f>#REF!</f>
        <v>#REF!</v>
      </c>
      <c r="B45" s="50" t="e">
        <f>#REF!</f>
        <v>#REF!</v>
      </c>
      <c r="C45" s="5" t="e">
        <f>#REF!</f>
        <v>#REF!</v>
      </c>
      <c r="D45" s="5" t="e">
        <f>#REF!</f>
        <v>#REF!</v>
      </c>
      <c r="E45" s="252">
        <v>1</v>
      </c>
      <c r="F45" s="249">
        <v>0</v>
      </c>
      <c r="G45" s="249">
        <v>0</v>
      </c>
      <c r="H45" s="249">
        <v>0</v>
      </c>
      <c r="I45" s="249">
        <v>0</v>
      </c>
      <c r="J45" s="249">
        <v>166868.14666666667</v>
      </c>
      <c r="K45" s="249">
        <v>0</v>
      </c>
      <c r="L45" s="274">
        <f>J45</f>
        <v>166868.14666666667</v>
      </c>
      <c r="M45" s="274"/>
      <c r="N45" s="255">
        <v>220000</v>
      </c>
      <c r="O45" s="135">
        <f t="shared" ref="O45:O50" si="27">+N45*0.19</f>
        <v>41800</v>
      </c>
      <c r="P45" s="135">
        <f t="shared" ref="P45:P50" si="28">+N45+O45</f>
        <v>261800</v>
      </c>
      <c r="Q45" s="131"/>
      <c r="R45" s="131"/>
      <c r="S45" s="11"/>
      <c r="T45" s="274">
        <v>136400</v>
      </c>
      <c r="U45" s="274">
        <f>+T45*0.19</f>
        <v>25916</v>
      </c>
      <c r="V45" s="274">
        <f>+T45+U45</f>
        <v>162316</v>
      </c>
      <c r="W45" s="39" t="s">
        <v>510</v>
      </c>
      <c r="X45" s="11" t="s">
        <v>2976</v>
      </c>
      <c r="Y45" s="11"/>
      <c r="Z45" s="274"/>
      <c r="AA45" s="274"/>
      <c r="AB45" s="274"/>
      <c r="AC45" s="5"/>
      <c r="AD45" s="22"/>
      <c r="AE45" s="39"/>
      <c r="AF45" s="118">
        <v>110940.00000000001</v>
      </c>
      <c r="AG45" s="118">
        <f t="shared" si="25"/>
        <v>21078.600000000002</v>
      </c>
      <c r="AH45" s="170">
        <f t="shared" si="26"/>
        <v>132018.6</v>
      </c>
      <c r="AI45" s="52" t="s">
        <v>445</v>
      </c>
      <c r="AJ45" s="52" t="s">
        <v>4673</v>
      </c>
      <c r="AK45" s="39"/>
      <c r="AL45" s="118"/>
      <c r="AM45" s="152"/>
      <c r="AN45" s="181"/>
      <c r="AO45" s="131"/>
      <c r="AP45" s="131"/>
      <c r="AQ45" s="39"/>
      <c r="AR45" s="274"/>
      <c r="AS45" s="274"/>
      <c r="AT45" s="274"/>
      <c r="AU45" s="39"/>
      <c r="AV45" s="39"/>
      <c r="AW45" s="39"/>
      <c r="AX45" s="274"/>
      <c r="AY45" s="274"/>
      <c r="AZ45" s="274"/>
      <c r="BA45" s="39"/>
      <c r="BB45" s="62"/>
      <c r="BC45" s="39"/>
      <c r="BD45" s="274"/>
      <c r="BE45" s="274"/>
      <c r="BF45" s="274"/>
      <c r="BG45" s="39"/>
      <c r="BH45" s="39"/>
      <c r="BI45" s="39"/>
      <c r="BJ45" s="274">
        <v>318700</v>
      </c>
      <c r="BK45" s="274">
        <f t="shared" si="21"/>
        <v>60553</v>
      </c>
      <c r="BL45" s="274">
        <f t="shared" si="22"/>
        <v>379253</v>
      </c>
      <c r="BM45" s="213" t="s">
        <v>2891</v>
      </c>
      <c r="BN45" s="213" t="s">
        <v>3897</v>
      </c>
      <c r="BO45" s="39"/>
      <c r="BP45" s="274">
        <v>265000</v>
      </c>
      <c r="BQ45" s="274">
        <f t="shared" si="18"/>
        <v>50350</v>
      </c>
      <c r="BR45" s="274">
        <f t="shared" si="19"/>
        <v>315350</v>
      </c>
      <c r="BS45" s="39"/>
      <c r="BT45" s="39"/>
      <c r="BU45" s="39"/>
      <c r="BV45" s="219">
        <v>365288.84080000001</v>
      </c>
      <c r="BW45" s="219">
        <f t="shared" si="23"/>
        <v>69404.879752000008</v>
      </c>
      <c r="BX45" s="273">
        <f t="shared" si="24"/>
        <v>434693.72055199998</v>
      </c>
      <c r="BY45" s="213" t="s">
        <v>2891</v>
      </c>
      <c r="BZ45" s="213" t="s">
        <v>3897</v>
      </c>
      <c r="CA45" s="213"/>
      <c r="CB45" s="274"/>
      <c r="CC45" s="274"/>
      <c r="CD45" s="274"/>
      <c r="CE45" s="39"/>
      <c r="CF45" s="39"/>
      <c r="CG45" s="39"/>
      <c r="CH45" s="274"/>
      <c r="CI45" s="274"/>
      <c r="CJ45" s="274"/>
      <c r="CK45" s="39"/>
      <c r="CL45" s="39"/>
      <c r="CM45" s="131"/>
      <c r="CN45" s="131"/>
      <c r="CO45" s="131"/>
      <c r="CP45" s="11"/>
      <c r="CQ45" s="11"/>
      <c r="CR45" s="11"/>
      <c r="CS45" s="11"/>
      <c r="CT45" s="11"/>
      <c r="CU45" s="11"/>
      <c r="CV45" s="11"/>
      <c r="CW45" s="11"/>
      <c r="CX45" s="11"/>
      <c r="CY45" s="11"/>
      <c r="CZ45" s="11"/>
      <c r="DA45" s="11"/>
      <c r="DB45" s="11"/>
      <c r="DC45" s="11"/>
      <c r="DD45" s="11"/>
      <c r="DE45" s="11"/>
      <c r="DF45" s="11"/>
      <c r="DG45" s="11"/>
      <c r="DH45" s="11"/>
      <c r="DI45" s="11"/>
      <c r="DJ45" s="11"/>
      <c r="DK45" s="11"/>
      <c r="DL45" s="274"/>
      <c r="DM45" s="274"/>
      <c r="DN45" s="274"/>
      <c r="DO45" s="274"/>
      <c r="DP45" s="274"/>
      <c r="DQ45" s="274"/>
      <c r="DR45" s="274"/>
      <c r="DS45" s="274"/>
      <c r="DT45" s="274"/>
      <c r="DU45" s="274"/>
      <c r="DV45" s="274"/>
      <c r="DW45" s="274"/>
      <c r="DX45" s="274"/>
      <c r="DY45" s="274"/>
      <c r="DZ45" s="274"/>
      <c r="EA45" s="274"/>
      <c r="EB45" s="274"/>
      <c r="EC45" s="274"/>
      <c r="ED45" s="39">
        <f t="shared" si="4"/>
        <v>1685431.3205520001</v>
      </c>
      <c r="EE45" s="30">
        <f t="shared" si="5"/>
        <v>6</v>
      </c>
      <c r="EF45" s="39">
        <f t="shared" si="6"/>
        <v>280905.22009200003</v>
      </c>
    </row>
    <row r="46" spans="1:136" x14ac:dyDescent="0.25">
      <c r="A46" s="25" t="e">
        <f>#REF!</f>
        <v>#REF!</v>
      </c>
      <c r="B46" s="50" t="e">
        <f>#REF!</f>
        <v>#REF!</v>
      </c>
      <c r="C46" s="5" t="e">
        <f>#REF!</f>
        <v>#REF!</v>
      </c>
      <c r="D46" s="5" t="e">
        <f>#REF!</f>
        <v>#REF!</v>
      </c>
      <c r="E46" s="252">
        <v>1</v>
      </c>
      <c r="F46" s="249">
        <v>0</v>
      </c>
      <c r="G46" s="249">
        <v>0</v>
      </c>
      <c r="H46" s="249">
        <v>0</v>
      </c>
      <c r="I46" s="249">
        <v>0</v>
      </c>
      <c r="J46" s="249">
        <v>42959</v>
      </c>
      <c r="K46" s="249">
        <v>0</v>
      </c>
      <c r="L46" s="274">
        <f>J46</f>
        <v>42959</v>
      </c>
      <c r="M46" s="274"/>
      <c r="N46" s="255">
        <v>34000</v>
      </c>
      <c r="O46" s="135">
        <f t="shared" si="27"/>
        <v>6460</v>
      </c>
      <c r="P46" s="135">
        <f t="shared" si="28"/>
        <v>40460</v>
      </c>
      <c r="Q46" s="11"/>
      <c r="R46" s="11"/>
      <c r="S46" s="11"/>
      <c r="T46" s="274"/>
      <c r="U46" s="274"/>
      <c r="V46" s="274"/>
      <c r="W46" s="11"/>
      <c r="X46" s="11"/>
      <c r="Y46" s="11"/>
      <c r="Z46" s="274"/>
      <c r="AA46" s="274"/>
      <c r="AB46" s="274"/>
      <c r="AC46" s="11"/>
      <c r="AD46" s="11"/>
      <c r="AE46" s="11"/>
      <c r="AF46" s="274"/>
      <c r="AG46" s="274"/>
      <c r="AH46" s="170"/>
      <c r="AI46" s="11"/>
      <c r="AJ46" s="11"/>
      <c r="AK46" s="11"/>
      <c r="AL46" s="118"/>
      <c r="AM46" s="118"/>
      <c r="AN46" s="118"/>
      <c r="AO46" s="52"/>
      <c r="AP46" s="52"/>
      <c r="AQ46" s="11"/>
      <c r="AR46" s="274"/>
      <c r="AS46" s="274"/>
      <c r="AT46" s="274"/>
      <c r="AU46" s="11"/>
      <c r="AV46" s="11"/>
      <c r="AW46" s="11"/>
      <c r="AX46" s="274"/>
      <c r="AY46" s="274"/>
      <c r="AZ46" s="274"/>
      <c r="BA46" s="11"/>
      <c r="BB46" s="11"/>
      <c r="BC46" s="11"/>
      <c r="BD46" s="274"/>
      <c r="BE46" s="274"/>
      <c r="BF46" s="274"/>
      <c r="BG46" s="11"/>
      <c r="BH46" s="11"/>
      <c r="BI46" s="11"/>
      <c r="BJ46" s="274"/>
      <c r="BK46" s="274"/>
      <c r="BL46" s="274"/>
      <c r="BM46" s="213"/>
      <c r="BN46" s="213"/>
      <c r="BO46" s="11"/>
      <c r="BP46" s="274">
        <v>45200</v>
      </c>
      <c r="BQ46" s="274">
        <f t="shared" si="18"/>
        <v>8588</v>
      </c>
      <c r="BR46" s="274">
        <f t="shared" si="19"/>
        <v>53788</v>
      </c>
      <c r="BS46" s="11"/>
      <c r="BT46" s="11"/>
      <c r="BU46" s="11"/>
      <c r="BV46" s="212"/>
      <c r="BW46" s="221"/>
      <c r="BX46" s="273"/>
      <c r="BY46" s="213"/>
      <c r="BZ46" s="213"/>
      <c r="CA46" s="213"/>
      <c r="CB46" s="274"/>
      <c r="CC46" s="274"/>
      <c r="CD46" s="274"/>
      <c r="CE46" s="11"/>
      <c r="CF46" s="11"/>
      <c r="CG46" s="11"/>
      <c r="CH46" s="274"/>
      <c r="CI46" s="274"/>
      <c r="CJ46" s="274"/>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274"/>
      <c r="DM46" s="274"/>
      <c r="DN46" s="274"/>
      <c r="DO46" s="274"/>
      <c r="DP46" s="274"/>
      <c r="DQ46" s="274"/>
      <c r="DR46" s="274"/>
      <c r="DS46" s="274"/>
      <c r="DT46" s="274"/>
      <c r="DU46" s="274"/>
      <c r="DV46" s="274"/>
      <c r="DW46" s="274"/>
      <c r="DX46" s="274"/>
      <c r="DY46" s="274"/>
      <c r="DZ46" s="274"/>
      <c r="EA46" s="274"/>
      <c r="EB46" s="274"/>
      <c r="EC46" s="274"/>
      <c r="ED46" s="39">
        <f t="shared" si="4"/>
        <v>94248</v>
      </c>
      <c r="EE46" s="30">
        <f t="shared" si="5"/>
        <v>2</v>
      </c>
      <c r="EF46" s="39">
        <f t="shared" si="6"/>
        <v>47124</v>
      </c>
    </row>
    <row r="47" spans="1:136" x14ac:dyDescent="0.25">
      <c r="A47" s="25" t="e">
        <f>#REF!</f>
        <v>#REF!</v>
      </c>
      <c r="B47" s="50" t="e">
        <f>#REF!</f>
        <v>#REF!</v>
      </c>
      <c r="C47" s="5" t="e">
        <f>#REF!</f>
        <v>#REF!</v>
      </c>
      <c r="D47" s="5" t="e">
        <f>#REF!</f>
        <v>#REF!</v>
      </c>
      <c r="E47" s="252">
        <v>1</v>
      </c>
      <c r="F47" s="249">
        <v>0</v>
      </c>
      <c r="G47" s="249">
        <v>0</v>
      </c>
      <c r="H47" s="249">
        <v>0</v>
      </c>
      <c r="I47" s="249">
        <v>0</v>
      </c>
      <c r="J47" s="249">
        <v>0</v>
      </c>
      <c r="K47" s="249">
        <v>0</v>
      </c>
      <c r="L47" s="274"/>
      <c r="M47" s="274"/>
      <c r="N47" s="255">
        <v>65000</v>
      </c>
      <c r="O47" s="135">
        <f t="shared" si="27"/>
        <v>12350</v>
      </c>
      <c r="P47" s="135">
        <f t="shared" si="28"/>
        <v>77350</v>
      </c>
      <c r="Q47" s="131"/>
      <c r="R47" s="131"/>
      <c r="S47" s="11"/>
      <c r="T47" s="274"/>
      <c r="U47" s="274"/>
      <c r="V47" s="274"/>
      <c r="W47" s="39"/>
      <c r="X47" s="11"/>
      <c r="Y47" s="11"/>
      <c r="Z47" s="274"/>
      <c r="AA47" s="274"/>
      <c r="AB47" s="274"/>
      <c r="AC47" s="52"/>
      <c r="AD47" s="22"/>
      <c r="AE47" s="39"/>
      <c r="AF47" s="274"/>
      <c r="AG47" s="274"/>
      <c r="AH47" s="171"/>
      <c r="AI47" s="4"/>
      <c r="AJ47" s="39"/>
      <c r="AK47" s="39"/>
      <c r="AL47" s="118"/>
      <c r="AM47" s="152"/>
      <c r="AN47" s="181"/>
      <c r="AO47" s="131"/>
      <c r="AP47" s="131"/>
      <c r="AQ47" s="39"/>
      <c r="AR47" s="274"/>
      <c r="AS47" s="274"/>
      <c r="AT47" s="274"/>
      <c r="AU47" s="39"/>
      <c r="AV47" s="39"/>
      <c r="AW47" s="39"/>
      <c r="AX47" s="274"/>
      <c r="AY47" s="274"/>
      <c r="AZ47" s="274"/>
      <c r="BA47" s="39"/>
      <c r="BB47" s="62"/>
      <c r="BC47" s="39"/>
      <c r="BD47" s="274"/>
      <c r="BE47" s="274"/>
      <c r="BF47" s="274"/>
      <c r="BG47" s="39"/>
      <c r="BH47" s="39"/>
      <c r="BI47" s="39"/>
      <c r="BJ47" s="274">
        <v>69500</v>
      </c>
      <c r="BK47" s="274">
        <f>+BJ47*0.19</f>
        <v>13205</v>
      </c>
      <c r="BL47" s="274">
        <f>+BJ47+BK47</f>
        <v>82705</v>
      </c>
      <c r="BM47" s="213" t="s">
        <v>196</v>
      </c>
      <c r="BN47" s="213" t="s">
        <v>164</v>
      </c>
      <c r="BO47" s="39"/>
      <c r="BP47" s="274">
        <v>125000</v>
      </c>
      <c r="BQ47" s="274">
        <f t="shared" si="18"/>
        <v>23750</v>
      </c>
      <c r="BR47" s="274">
        <f t="shared" si="19"/>
        <v>148750</v>
      </c>
      <c r="BS47" s="39"/>
      <c r="BT47" s="39"/>
      <c r="BU47" s="39"/>
      <c r="BV47" s="219">
        <v>75859.736499999999</v>
      </c>
      <c r="BW47" s="219">
        <f>+BV47*0.19</f>
        <v>14413.349935</v>
      </c>
      <c r="BX47" s="273">
        <f>+BV47+BW47</f>
        <v>90273.086435000005</v>
      </c>
      <c r="BY47" s="213" t="s">
        <v>196</v>
      </c>
      <c r="BZ47" s="213" t="s">
        <v>164</v>
      </c>
      <c r="CA47" s="213"/>
      <c r="CB47" s="274"/>
      <c r="CC47" s="274"/>
      <c r="CD47" s="274"/>
      <c r="CE47" s="39"/>
      <c r="CF47" s="39"/>
      <c r="CG47" s="39"/>
      <c r="CH47" s="274"/>
      <c r="CI47" s="274"/>
      <c r="CJ47" s="274"/>
      <c r="CK47" s="39"/>
      <c r="CL47" s="39"/>
      <c r="CM47" s="39"/>
      <c r="CN47" s="39"/>
      <c r="CO47" s="39"/>
      <c r="CP47" s="11"/>
      <c r="CQ47" s="11"/>
      <c r="CR47" s="11"/>
      <c r="CS47" s="11"/>
      <c r="CT47" s="11"/>
      <c r="CU47" s="11"/>
      <c r="CV47" s="11"/>
      <c r="CW47" s="11"/>
      <c r="CX47" s="11"/>
      <c r="CY47" s="11"/>
      <c r="CZ47" s="11"/>
      <c r="DA47" s="11"/>
      <c r="DB47" s="11"/>
      <c r="DC47" s="11"/>
      <c r="DD47" s="11"/>
      <c r="DE47" s="11"/>
      <c r="DF47" s="11"/>
      <c r="DG47" s="11"/>
      <c r="DH47" s="11"/>
      <c r="DI47" s="11"/>
      <c r="DJ47" s="11"/>
      <c r="DK47" s="11"/>
      <c r="DL47" s="274"/>
      <c r="DM47" s="274"/>
      <c r="DN47" s="274"/>
      <c r="DO47" s="274"/>
      <c r="DP47" s="274"/>
      <c r="DQ47" s="274"/>
      <c r="DR47" s="274"/>
      <c r="DS47" s="274"/>
      <c r="DT47" s="274"/>
      <c r="DU47" s="274"/>
      <c r="DV47" s="274"/>
      <c r="DW47" s="274"/>
      <c r="DX47" s="274"/>
      <c r="DY47" s="274"/>
      <c r="DZ47" s="274"/>
      <c r="EA47" s="274"/>
      <c r="EB47" s="274"/>
      <c r="EC47" s="274"/>
      <c r="ED47" s="39">
        <f t="shared" si="4"/>
        <v>399078.086435</v>
      </c>
      <c r="EE47" s="30">
        <f t="shared" si="5"/>
        <v>4</v>
      </c>
      <c r="EF47" s="39">
        <f t="shared" si="6"/>
        <v>99769.521608750001</v>
      </c>
    </row>
    <row r="48" spans="1:136" x14ac:dyDescent="0.25">
      <c r="A48" s="25" t="e">
        <f>#REF!</f>
        <v>#REF!</v>
      </c>
      <c r="B48" s="50" t="e">
        <f>#REF!</f>
        <v>#REF!</v>
      </c>
      <c r="C48" s="5" t="e">
        <f>#REF!</f>
        <v>#REF!</v>
      </c>
      <c r="D48" s="5" t="e">
        <f>#REF!</f>
        <v>#REF!</v>
      </c>
      <c r="E48" s="252">
        <v>1</v>
      </c>
      <c r="F48" s="249">
        <v>0</v>
      </c>
      <c r="G48" s="249">
        <v>0</v>
      </c>
      <c r="H48" s="249">
        <v>0</v>
      </c>
      <c r="I48" s="249">
        <v>0</v>
      </c>
      <c r="J48" s="249">
        <v>0</v>
      </c>
      <c r="K48" s="249">
        <v>0</v>
      </c>
      <c r="L48" s="274"/>
      <c r="M48" s="274"/>
      <c r="N48" s="255">
        <v>100000</v>
      </c>
      <c r="O48" s="135">
        <f t="shared" si="27"/>
        <v>19000</v>
      </c>
      <c r="P48" s="135">
        <f t="shared" si="28"/>
        <v>119000</v>
      </c>
      <c r="Q48" s="131"/>
      <c r="R48" s="131"/>
      <c r="S48" s="11"/>
      <c r="T48" s="274"/>
      <c r="U48" s="274"/>
      <c r="V48" s="274"/>
      <c r="W48" s="39"/>
      <c r="X48" s="11"/>
      <c r="Y48" s="11"/>
      <c r="Z48" s="274"/>
      <c r="AA48" s="274"/>
      <c r="AB48" s="274"/>
      <c r="AC48" s="52"/>
      <c r="AD48" s="22"/>
      <c r="AE48" s="39"/>
      <c r="AF48" s="274"/>
      <c r="AG48" s="274"/>
      <c r="AH48" s="171"/>
      <c r="AI48" s="4"/>
      <c r="AJ48" s="39"/>
      <c r="AK48" s="39"/>
      <c r="AL48" s="118"/>
      <c r="AM48" s="152"/>
      <c r="AN48" s="181"/>
      <c r="AO48" s="131"/>
      <c r="AP48" s="131"/>
      <c r="AQ48" s="39"/>
      <c r="AR48" s="274"/>
      <c r="AS48" s="274"/>
      <c r="AT48" s="274"/>
      <c r="AU48" s="39"/>
      <c r="AV48" s="39"/>
      <c r="AW48" s="39"/>
      <c r="AX48" s="274"/>
      <c r="AY48" s="274"/>
      <c r="AZ48" s="274"/>
      <c r="BA48" s="39"/>
      <c r="BB48" s="62"/>
      <c r="BC48" s="39"/>
      <c r="BD48" s="274"/>
      <c r="BE48" s="274"/>
      <c r="BF48" s="274"/>
      <c r="BG48" s="39"/>
      <c r="BH48" s="39"/>
      <c r="BI48" s="39"/>
      <c r="BJ48" s="274">
        <v>108500</v>
      </c>
      <c r="BK48" s="274">
        <f>+BJ48*0.19</f>
        <v>20615</v>
      </c>
      <c r="BL48" s="274">
        <f>+BJ48+BK48</f>
        <v>129115</v>
      </c>
      <c r="BM48" s="213" t="s">
        <v>2891</v>
      </c>
      <c r="BN48" s="213" t="s">
        <v>2970</v>
      </c>
      <c r="BO48" s="39"/>
      <c r="BP48" s="274">
        <v>145200</v>
      </c>
      <c r="BQ48" s="274">
        <f t="shared" si="18"/>
        <v>27588</v>
      </c>
      <c r="BR48" s="274">
        <f t="shared" si="19"/>
        <v>172788</v>
      </c>
      <c r="BS48" s="39"/>
      <c r="BT48" s="39"/>
      <c r="BU48" s="39"/>
      <c r="BV48" s="219">
        <v>124225.55600000003</v>
      </c>
      <c r="BW48" s="219">
        <f>+BV48*0.19</f>
        <v>23602.855640000005</v>
      </c>
      <c r="BX48" s="273">
        <f>+BV48+BW48</f>
        <v>147828.41164000003</v>
      </c>
      <c r="BY48" s="213" t="s">
        <v>2891</v>
      </c>
      <c r="BZ48" s="213" t="s">
        <v>2970</v>
      </c>
      <c r="CA48" s="213"/>
      <c r="CB48" s="274"/>
      <c r="CC48" s="274"/>
      <c r="CD48" s="274"/>
      <c r="CE48" s="39"/>
      <c r="CF48" s="39"/>
      <c r="CG48" s="39"/>
      <c r="CH48" s="274"/>
      <c r="CI48" s="274"/>
      <c r="CJ48" s="274"/>
      <c r="CK48" s="39"/>
      <c r="CL48" s="39"/>
      <c r="CM48" s="39"/>
      <c r="CN48" s="39"/>
      <c r="CO48" s="39"/>
      <c r="CP48" s="11"/>
      <c r="CQ48" s="11"/>
      <c r="CR48" s="11"/>
      <c r="CS48" s="11"/>
      <c r="CT48" s="11"/>
      <c r="CU48" s="11"/>
      <c r="CV48" s="11"/>
      <c r="CW48" s="11"/>
      <c r="CX48" s="11"/>
      <c r="CY48" s="11"/>
      <c r="CZ48" s="11"/>
      <c r="DA48" s="11"/>
      <c r="DB48" s="11"/>
      <c r="DC48" s="11"/>
      <c r="DD48" s="11"/>
      <c r="DE48" s="11"/>
      <c r="DF48" s="11"/>
      <c r="DG48" s="11"/>
      <c r="DH48" s="11"/>
      <c r="DI48" s="11"/>
      <c r="DJ48" s="11"/>
      <c r="DK48" s="11"/>
      <c r="DL48" s="274"/>
      <c r="DM48" s="274"/>
      <c r="DN48" s="274"/>
      <c r="DO48" s="274"/>
      <c r="DP48" s="274"/>
      <c r="DQ48" s="274"/>
      <c r="DR48" s="274"/>
      <c r="DS48" s="274"/>
      <c r="DT48" s="274"/>
      <c r="DU48" s="274"/>
      <c r="DV48" s="274"/>
      <c r="DW48" s="274"/>
      <c r="DX48" s="274"/>
      <c r="DY48" s="274"/>
      <c r="DZ48" s="274"/>
      <c r="EA48" s="274"/>
      <c r="EB48" s="274"/>
      <c r="EC48" s="274"/>
      <c r="ED48" s="39">
        <f t="shared" si="4"/>
        <v>568731.41164000006</v>
      </c>
      <c r="EE48" s="30">
        <f t="shared" si="5"/>
        <v>4</v>
      </c>
      <c r="EF48" s="39">
        <f t="shared" si="6"/>
        <v>142182.85291000002</v>
      </c>
    </row>
    <row r="49" spans="1:136" x14ac:dyDescent="0.25">
      <c r="A49" s="25" t="e">
        <f>#REF!</f>
        <v>#REF!</v>
      </c>
      <c r="B49" s="50" t="e">
        <f>#REF!</f>
        <v>#REF!</v>
      </c>
      <c r="C49" s="5" t="e">
        <f>#REF!</f>
        <v>#REF!</v>
      </c>
      <c r="D49" s="5" t="e">
        <f>#REF!</f>
        <v>#REF!</v>
      </c>
      <c r="E49" s="252">
        <v>1</v>
      </c>
      <c r="F49" s="249">
        <v>0</v>
      </c>
      <c r="G49" s="249">
        <v>0</v>
      </c>
      <c r="H49" s="249">
        <v>0</v>
      </c>
      <c r="I49" s="249">
        <v>0</v>
      </c>
      <c r="J49" s="249">
        <v>315350</v>
      </c>
      <c r="K49" s="249">
        <v>0</v>
      </c>
      <c r="L49" s="274">
        <f>J49</f>
        <v>315350</v>
      </c>
      <c r="M49" s="274"/>
      <c r="N49" s="255">
        <v>150000</v>
      </c>
      <c r="O49" s="135">
        <f t="shared" si="27"/>
        <v>28500</v>
      </c>
      <c r="P49" s="135">
        <f t="shared" si="28"/>
        <v>178500</v>
      </c>
      <c r="Q49" s="131"/>
      <c r="R49" s="131"/>
      <c r="S49" s="11"/>
      <c r="T49" s="274"/>
      <c r="U49" s="274"/>
      <c r="V49" s="274"/>
      <c r="W49" s="39"/>
      <c r="X49" s="11"/>
      <c r="Y49" s="11"/>
      <c r="Z49" s="274"/>
      <c r="AA49" s="274"/>
      <c r="AB49" s="274"/>
      <c r="AC49" s="52"/>
      <c r="AD49" s="22"/>
      <c r="AE49" s="39"/>
      <c r="AF49" s="274"/>
      <c r="AG49" s="274"/>
      <c r="AH49" s="171"/>
      <c r="AI49" s="4"/>
      <c r="AJ49" s="39"/>
      <c r="AK49" s="39"/>
      <c r="AL49" s="118"/>
      <c r="AM49" s="152"/>
      <c r="AN49" s="181"/>
      <c r="AO49" s="131"/>
      <c r="AP49" s="131"/>
      <c r="AQ49" s="39"/>
      <c r="AR49" s="274"/>
      <c r="AS49" s="274"/>
      <c r="AT49" s="274"/>
      <c r="AU49" s="39"/>
      <c r="AV49" s="39"/>
      <c r="AW49" s="39"/>
      <c r="AX49" s="274"/>
      <c r="AY49" s="274"/>
      <c r="AZ49" s="274"/>
      <c r="BA49" s="39"/>
      <c r="BB49" s="62"/>
      <c r="BC49" s="39"/>
      <c r="BD49" s="274"/>
      <c r="BE49" s="274"/>
      <c r="BF49" s="274"/>
      <c r="BG49" s="39"/>
      <c r="BH49" s="39"/>
      <c r="BI49" s="39"/>
      <c r="BJ49" s="274">
        <v>411100</v>
      </c>
      <c r="BK49" s="274">
        <f>+BJ49*0.19</f>
        <v>78109</v>
      </c>
      <c r="BL49" s="274">
        <f>+BJ49+BK49</f>
        <v>489209</v>
      </c>
      <c r="BM49" s="214" t="s">
        <v>445</v>
      </c>
      <c r="BN49" s="213" t="s">
        <v>4756</v>
      </c>
      <c r="BO49" s="39"/>
      <c r="BP49" s="274">
        <v>65000</v>
      </c>
      <c r="BQ49" s="274">
        <f t="shared" si="18"/>
        <v>12350</v>
      </c>
      <c r="BR49" s="274">
        <f t="shared" si="19"/>
        <v>77350</v>
      </c>
      <c r="BS49" s="39"/>
      <c r="BT49" s="39"/>
      <c r="BU49" s="39"/>
      <c r="BV49" s="219"/>
      <c r="BW49" s="219"/>
      <c r="BX49" s="273"/>
      <c r="BY49" s="214"/>
      <c r="BZ49" s="213"/>
      <c r="CA49" s="213"/>
      <c r="CB49" s="274"/>
      <c r="CC49" s="274"/>
      <c r="CD49" s="274"/>
      <c r="CE49" s="39"/>
      <c r="CF49" s="39"/>
      <c r="CG49" s="39"/>
      <c r="CH49" s="274"/>
      <c r="CI49" s="274"/>
      <c r="CJ49" s="274"/>
      <c r="CK49" s="39"/>
      <c r="CL49" s="39"/>
      <c r="CM49" s="39"/>
      <c r="CN49" s="39"/>
      <c r="CO49" s="39"/>
      <c r="CP49" s="11"/>
      <c r="CQ49" s="11"/>
      <c r="CR49" s="11"/>
      <c r="CS49" s="11"/>
      <c r="CT49" s="11"/>
      <c r="CU49" s="11"/>
      <c r="CV49" s="11"/>
      <c r="CW49" s="11"/>
      <c r="CX49" s="11"/>
      <c r="CY49" s="11"/>
      <c r="CZ49" s="11"/>
      <c r="DA49" s="11"/>
      <c r="DB49" s="11"/>
      <c r="DC49" s="11"/>
      <c r="DD49" s="11"/>
      <c r="DE49" s="11"/>
      <c r="DF49" s="11"/>
      <c r="DG49" s="11"/>
      <c r="DH49" s="11"/>
      <c r="DI49" s="11"/>
      <c r="DJ49" s="11"/>
      <c r="DK49" s="11"/>
      <c r="DL49" s="274"/>
      <c r="DM49" s="274"/>
      <c r="DN49" s="274"/>
      <c r="DO49" s="274"/>
      <c r="DP49" s="274"/>
      <c r="DQ49" s="274"/>
      <c r="DR49" s="274"/>
      <c r="DS49" s="274"/>
      <c r="DT49" s="274"/>
      <c r="DU49" s="274"/>
      <c r="DV49" s="274"/>
      <c r="DW49" s="274"/>
      <c r="DX49" s="274"/>
      <c r="DY49" s="274"/>
      <c r="DZ49" s="274"/>
      <c r="EA49" s="274"/>
      <c r="EB49" s="274"/>
      <c r="EC49" s="274"/>
      <c r="ED49" s="39">
        <f t="shared" si="4"/>
        <v>745059</v>
      </c>
      <c r="EE49" s="30">
        <f t="shared" si="5"/>
        <v>3</v>
      </c>
      <c r="EF49" s="39">
        <f t="shared" si="6"/>
        <v>248353</v>
      </c>
    </row>
    <row r="50" spans="1:136" x14ac:dyDescent="0.25">
      <c r="A50" s="25" t="e">
        <f>#REF!</f>
        <v>#REF!</v>
      </c>
      <c r="B50" s="50" t="e">
        <f>#REF!</f>
        <v>#REF!</v>
      </c>
      <c r="C50" s="5" t="e">
        <f>#REF!</f>
        <v>#REF!</v>
      </c>
      <c r="D50" s="5" t="e">
        <f>#REF!</f>
        <v>#REF!</v>
      </c>
      <c r="E50" s="252">
        <v>1</v>
      </c>
      <c r="F50" s="249">
        <v>0</v>
      </c>
      <c r="G50" s="249">
        <v>0</v>
      </c>
      <c r="H50" s="249">
        <v>0</v>
      </c>
      <c r="I50" s="249">
        <v>0</v>
      </c>
      <c r="J50" s="249">
        <v>0</v>
      </c>
      <c r="K50" s="249">
        <v>0</v>
      </c>
      <c r="L50" s="274"/>
      <c r="M50" s="274"/>
      <c r="N50" s="255">
        <v>35000</v>
      </c>
      <c r="O50" s="135">
        <f t="shared" si="27"/>
        <v>6650</v>
      </c>
      <c r="P50" s="135">
        <f t="shared" si="28"/>
        <v>41650</v>
      </c>
      <c r="Q50" s="131"/>
      <c r="R50" s="131"/>
      <c r="S50" s="11"/>
      <c r="T50" s="274"/>
      <c r="U50" s="274"/>
      <c r="V50" s="274"/>
      <c r="W50" s="39"/>
      <c r="X50" s="11"/>
      <c r="Y50" s="11"/>
      <c r="Z50" s="274"/>
      <c r="AA50" s="274"/>
      <c r="AB50" s="274"/>
      <c r="AC50" s="52"/>
      <c r="AD50" s="22"/>
      <c r="AE50" s="39"/>
      <c r="AF50" s="274"/>
      <c r="AG50" s="274"/>
      <c r="AH50" s="113"/>
      <c r="AI50" s="4"/>
      <c r="AJ50" s="39"/>
      <c r="AK50" s="39"/>
      <c r="AL50" s="118"/>
      <c r="AM50" s="152"/>
      <c r="AN50" s="181"/>
      <c r="AO50" s="131"/>
      <c r="AP50" s="131"/>
      <c r="AQ50" s="39"/>
      <c r="AR50" s="274"/>
      <c r="AS50" s="274"/>
      <c r="AT50" s="274"/>
      <c r="AU50" s="39"/>
      <c r="AV50" s="39"/>
      <c r="AW50" s="39"/>
      <c r="AX50" s="274"/>
      <c r="AY50" s="274"/>
      <c r="AZ50" s="274"/>
      <c r="BA50" s="39"/>
      <c r="BB50" s="62"/>
      <c r="BC50" s="39"/>
      <c r="BD50" s="274"/>
      <c r="BE50" s="274"/>
      <c r="BF50" s="274"/>
      <c r="BG50" s="39"/>
      <c r="BH50" s="39"/>
      <c r="BI50" s="39"/>
      <c r="BJ50" s="274"/>
      <c r="BK50" s="274"/>
      <c r="BL50" s="274"/>
      <c r="BM50" s="213"/>
      <c r="BN50" s="213"/>
      <c r="BO50" s="39"/>
      <c r="BP50" s="274">
        <v>65000</v>
      </c>
      <c r="BQ50" s="274">
        <f t="shared" si="18"/>
        <v>12350</v>
      </c>
      <c r="BR50" s="274">
        <f t="shared" si="19"/>
        <v>77350</v>
      </c>
      <c r="BS50" s="39"/>
      <c r="BT50" s="39"/>
      <c r="BU50" s="39"/>
      <c r="BV50" s="212"/>
      <c r="BW50" s="221"/>
      <c r="BX50" s="273"/>
      <c r="BY50" s="213"/>
      <c r="BZ50" s="213"/>
      <c r="CA50" s="213"/>
      <c r="CB50" s="274"/>
      <c r="CC50" s="274"/>
      <c r="CD50" s="274"/>
      <c r="CE50" s="39"/>
      <c r="CF50" s="39"/>
      <c r="CG50" s="39"/>
      <c r="CH50" s="274"/>
      <c r="CI50" s="274"/>
      <c r="CJ50" s="274"/>
      <c r="CK50" s="39"/>
      <c r="CL50" s="39"/>
      <c r="CM50" s="39"/>
      <c r="CN50" s="39"/>
      <c r="CO50" s="39"/>
      <c r="CP50" s="11"/>
      <c r="CQ50" s="11"/>
      <c r="CR50" s="11"/>
      <c r="CS50" s="11"/>
      <c r="CT50" s="11"/>
      <c r="CU50" s="11"/>
      <c r="CV50" s="11"/>
      <c r="CW50" s="11"/>
      <c r="CX50" s="11"/>
      <c r="CY50" s="11"/>
      <c r="CZ50" s="11"/>
      <c r="DA50" s="11"/>
      <c r="DB50" s="11"/>
      <c r="DC50" s="11"/>
      <c r="DD50" s="11"/>
      <c r="DE50" s="11"/>
      <c r="DF50" s="11"/>
      <c r="DG50" s="11"/>
      <c r="DH50" s="11"/>
      <c r="DI50" s="11"/>
      <c r="DJ50" s="11"/>
      <c r="DK50" s="11"/>
      <c r="DL50" s="274"/>
      <c r="DM50" s="274"/>
      <c r="DN50" s="274"/>
      <c r="DO50" s="274"/>
      <c r="DP50" s="274"/>
      <c r="DQ50" s="274"/>
      <c r="DR50" s="274"/>
      <c r="DS50" s="274"/>
      <c r="DT50" s="274"/>
      <c r="DU50" s="274"/>
      <c r="DV50" s="274"/>
      <c r="DW50" s="274"/>
      <c r="DX50" s="274"/>
      <c r="DY50" s="274"/>
      <c r="DZ50" s="274"/>
      <c r="EA50" s="274"/>
      <c r="EB50" s="274"/>
      <c r="EC50" s="274"/>
      <c r="ED50" s="39">
        <f t="shared" si="4"/>
        <v>119000</v>
      </c>
      <c r="EE50" s="30">
        <f t="shared" si="5"/>
        <v>2</v>
      </c>
      <c r="EF50" s="39">
        <f t="shared" si="6"/>
        <v>59500</v>
      </c>
    </row>
    <row r="51" spans="1:136" x14ac:dyDescent="0.25">
      <c r="A51" s="25" t="e">
        <f>#REF!</f>
        <v>#REF!</v>
      </c>
      <c r="B51" s="50" t="e">
        <f>#REF!</f>
        <v>#REF!</v>
      </c>
      <c r="C51" s="5" t="e">
        <f>#REF!</f>
        <v>#REF!</v>
      </c>
      <c r="D51" s="5" t="e">
        <f>#REF!</f>
        <v>#REF!</v>
      </c>
      <c r="E51" s="252">
        <v>1</v>
      </c>
      <c r="F51" s="249">
        <v>0</v>
      </c>
      <c r="G51" s="249">
        <v>0</v>
      </c>
      <c r="H51" s="249">
        <v>0</v>
      </c>
      <c r="I51" s="249">
        <v>0</v>
      </c>
      <c r="J51" s="249">
        <v>1459502.513</v>
      </c>
      <c r="K51" s="249">
        <v>0</v>
      </c>
      <c r="L51" s="274">
        <f>J51</f>
        <v>1459502.513</v>
      </c>
      <c r="M51" s="274"/>
      <c r="N51" s="255"/>
      <c r="O51" s="135"/>
      <c r="P51" s="135"/>
      <c r="Q51" s="131"/>
      <c r="R51" s="131"/>
      <c r="S51" s="11"/>
      <c r="T51" s="274"/>
      <c r="U51" s="274"/>
      <c r="V51" s="274"/>
      <c r="W51" s="39"/>
      <c r="X51" s="11"/>
      <c r="Y51" s="11"/>
      <c r="Z51" s="274"/>
      <c r="AA51" s="274"/>
      <c r="AB51" s="274"/>
      <c r="AC51" s="52"/>
      <c r="AD51" s="22"/>
      <c r="AE51" s="39"/>
      <c r="AF51" s="274"/>
      <c r="AG51" s="274"/>
      <c r="AH51" s="171"/>
      <c r="AI51" s="4"/>
      <c r="AJ51" s="39"/>
      <c r="AK51" s="39"/>
      <c r="AL51" s="118"/>
      <c r="AM51" s="152"/>
      <c r="AN51" s="181"/>
      <c r="AO51" s="131"/>
      <c r="AP51" s="131"/>
      <c r="AQ51" s="39"/>
      <c r="AR51" s="274"/>
      <c r="AS51" s="274"/>
      <c r="AT51" s="274"/>
      <c r="AU51" s="39"/>
      <c r="AV51" s="39"/>
      <c r="AW51" s="39"/>
      <c r="AX51" s="274"/>
      <c r="AY51" s="274"/>
      <c r="AZ51" s="274"/>
      <c r="BA51" s="39"/>
      <c r="BB51" s="62"/>
      <c r="BC51" s="39"/>
      <c r="BD51" s="274"/>
      <c r="BE51" s="274"/>
      <c r="BF51" s="274"/>
      <c r="BG51" s="39"/>
      <c r="BH51" s="39"/>
      <c r="BI51" s="39"/>
      <c r="BJ51" s="274"/>
      <c r="BK51" s="274"/>
      <c r="BL51" s="274"/>
      <c r="BM51" s="213"/>
      <c r="BN51" s="213"/>
      <c r="BO51" s="39"/>
      <c r="BP51" s="274">
        <v>568000</v>
      </c>
      <c r="BQ51" s="274">
        <f t="shared" si="18"/>
        <v>107920</v>
      </c>
      <c r="BR51" s="274">
        <f t="shared" si="19"/>
        <v>675920</v>
      </c>
      <c r="BS51" s="39"/>
      <c r="BT51" s="39"/>
      <c r="BU51" s="39"/>
      <c r="BV51" s="212"/>
      <c r="BW51" s="221"/>
      <c r="BX51" s="273"/>
      <c r="BY51" s="213"/>
      <c r="BZ51" s="213"/>
      <c r="CA51" s="213"/>
      <c r="CB51" s="274"/>
      <c r="CC51" s="274"/>
      <c r="CD51" s="274"/>
      <c r="CE51" s="39"/>
      <c r="CF51" s="39"/>
      <c r="CG51" s="39"/>
      <c r="CH51" s="274"/>
      <c r="CI51" s="274"/>
      <c r="CJ51" s="274"/>
      <c r="CK51" s="39"/>
      <c r="CL51" s="39"/>
      <c r="CM51" s="39"/>
      <c r="CN51" s="39"/>
      <c r="CO51" s="39"/>
      <c r="CP51" s="11"/>
      <c r="CQ51" s="11"/>
      <c r="CR51" s="11"/>
      <c r="CS51" s="11"/>
      <c r="CT51" s="11"/>
      <c r="CU51" s="11"/>
      <c r="CV51" s="11"/>
      <c r="CW51" s="11"/>
      <c r="CX51" s="11"/>
      <c r="CY51" s="11"/>
      <c r="CZ51" s="11"/>
      <c r="DA51" s="11"/>
      <c r="DB51" s="11"/>
      <c r="DC51" s="11"/>
      <c r="DD51" s="11"/>
      <c r="DE51" s="11"/>
      <c r="DF51" s="11"/>
      <c r="DG51" s="11"/>
      <c r="DH51" s="11"/>
      <c r="DI51" s="11"/>
      <c r="DJ51" s="11"/>
      <c r="DK51" s="11"/>
      <c r="DL51" s="274"/>
      <c r="DM51" s="274"/>
      <c r="DN51" s="274"/>
      <c r="DO51" s="274"/>
      <c r="DP51" s="274"/>
      <c r="DQ51" s="274"/>
      <c r="DR51" s="274"/>
      <c r="DS51" s="274"/>
      <c r="DT51" s="274"/>
      <c r="DU51" s="274"/>
      <c r="DV51" s="274"/>
      <c r="DW51" s="274"/>
      <c r="DX51" s="274"/>
      <c r="DY51" s="274"/>
      <c r="DZ51" s="274"/>
      <c r="EA51" s="274"/>
      <c r="EB51" s="274"/>
      <c r="EC51" s="274"/>
      <c r="ED51" s="39">
        <f t="shared" si="4"/>
        <v>675920</v>
      </c>
      <c r="EE51" s="30">
        <f t="shared" si="5"/>
        <v>1</v>
      </c>
      <c r="EF51" s="39">
        <f t="shared" si="6"/>
        <v>675920</v>
      </c>
    </row>
    <row r="52" spans="1:136" x14ac:dyDescent="0.25">
      <c r="A52" s="25" t="e">
        <f>#REF!</f>
        <v>#REF!</v>
      </c>
      <c r="B52" s="50" t="e">
        <f>#REF!</f>
        <v>#REF!</v>
      </c>
      <c r="C52" s="5" t="e">
        <f>#REF!</f>
        <v>#REF!</v>
      </c>
      <c r="D52" s="5" t="e">
        <f>#REF!</f>
        <v>#REF!</v>
      </c>
      <c r="E52" s="252">
        <v>1</v>
      </c>
      <c r="F52" s="249">
        <v>0</v>
      </c>
      <c r="G52" s="249">
        <v>0</v>
      </c>
      <c r="H52" s="249">
        <v>0</v>
      </c>
      <c r="I52" s="249">
        <v>0</v>
      </c>
      <c r="J52" s="249">
        <v>0</v>
      </c>
      <c r="K52" s="249">
        <v>0</v>
      </c>
      <c r="L52" s="274"/>
      <c r="M52" s="274"/>
      <c r="N52" s="255">
        <v>65000</v>
      </c>
      <c r="O52" s="135">
        <f t="shared" ref="O52:O68" si="29">+N52*0.19</f>
        <v>12350</v>
      </c>
      <c r="P52" s="135">
        <f t="shared" ref="P52:P68" si="30">+N52+O52</f>
        <v>77350</v>
      </c>
      <c r="Q52" s="131"/>
      <c r="R52" s="131"/>
      <c r="S52" s="11"/>
      <c r="T52" s="274"/>
      <c r="U52" s="274"/>
      <c r="V52" s="274"/>
      <c r="W52" s="39"/>
      <c r="X52" s="11"/>
      <c r="Y52" s="11"/>
      <c r="Z52" s="274"/>
      <c r="AA52" s="274"/>
      <c r="AB52" s="274"/>
      <c r="AC52" s="52"/>
      <c r="AD52" s="22"/>
      <c r="AE52" s="39"/>
      <c r="AF52" s="274"/>
      <c r="AG52" s="274"/>
      <c r="AH52" s="171"/>
      <c r="AI52" s="4"/>
      <c r="AJ52" s="39"/>
      <c r="AK52" s="39"/>
      <c r="AL52" s="118"/>
      <c r="AM52" s="152"/>
      <c r="AN52" s="181"/>
      <c r="AO52" s="131"/>
      <c r="AP52" s="131"/>
      <c r="AQ52" s="39"/>
      <c r="AR52" s="274"/>
      <c r="AS52" s="274"/>
      <c r="AT52" s="274"/>
      <c r="AU52" s="39"/>
      <c r="AV52" s="39"/>
      <c r="AW52" s="39"/>
      <c r="AX52" s="274"/>
      <c r="AY52" s="274"/>
      <c r="AZ52" s="274"/>
      <c r="BA52" s="39"/>
      <c r="BB52" s="62"/>
      <c r="BC52" s="39"/>
      <c r="BD52" s="274"/>
      <c r="BE52" s="274"/>
      <c r="BF52" s="274"/>
      <c r="BG52" s="39"/>
      <c r="BH52" s="39"/>
      <c r="BI52" s="39"/>
      <c r="BJ52" s="274">
        <v>30000</v>
      </c>
      <c r="BK52" s="274">
        <f t="shared" ref="BK52:BK57" si="31">+BJ52*0.19</f>
        <v>5700</v>
      </c>
      <c r="BL52" s="274">
        <f t="shared" ref="BL52:BL61" si="32">+BJ52+BK52</f>
        <v>35700</v>
      </c>
      <c r="BM52" s="213" t="s">
        <v>196</v>
      </c>
      <c r="BN52" s="213" t="s">
        <v>2970</v>
      </c>
      <c r="BO52" s="39"/>
      <c r="BP52" s="274"/>
      <c r="BQ52" s="274"/>
      <c r="BR52" s="274"/>
      <c r="BS52" s="39"/>
      <c r="BT52" s="39"/>
      <c r="BU52" s="39"/>
      <c r="BV52" s="219">
        <v>33742.800000000003</v>
      </c>
      <c r="BW52" s="219">
        <f t="shared" ref="BW52:BW57" si="33">+BV52*0.19</f>
        <v>6411.1320000000005</v>
      </c>
      <c r="BX52" s="273">
        <f t="shared" ref="BX52:BX61" si="34">+BV52+BW52</f>
        <v>40153.932000000001</v>
      </c>
      <c r="BY52" s="213" t="s">
        <v>196</v>
      </c>
      <c r="BZ52" s="213" t="s">
        <v>2970</v>
      </c>
      <c r="CA52" s="213"/>
      <c r="CB52" s="274"/>
      <c r="CC52" s="274"/>
      <c r="CD52" s="274"/>
      <c r="CE52" s="39"/>
      <c r="CF52" s="39"/>
      <c r="CG52" s="39"/>
      <c r="CH52" s="274"/>
      <c r="CI52" s="274"/>
      <c r="CJ52" s="274"/>
      <c r="CK52" s="39"/>
      <c r="CL52" s="39"/>
      <c r="CM52" s="39"/>
      <c r="CN52" s="39"/>
      <c r="CO52" s="39"/>
      <c r="CP52" s="11"/>
      <c r="CQ52" s="11"/>
      <c r="CR52" s="11"/>
      <c r="CS52" s="11"/>
      <c r="CT52" s="11"/>
      <c r="CU52" s="11"/>
      <c r="CV52" s="11"/>
      <c r="CW52" s="11"/>
      <c r="CX52" s="11"/>
      <c r="CY52" s="11"/>
      <c r="CZ52" s="11"/>
      <c r="DA52" s="11"/>
      <c r="DB52" s="11"/>
      <c r="DC52" s="11"/>
      <c r="DD52" s="11"/>
      <c r="DE52" s="11"/>
      <c r="DF52" s="11"/>
      <c r="DG52" s="11"/>
      <c r="DH52" s="11"/>
      <c r="DI52" s="11"/>
      <c r="DJ52" s="11"/>
      <c r="DK52" s="11"/>
      <c r="DL52" s="274"/>
      <c r="DM52" s="274"/>
      <c r="DN52" s="274"/>
      <c r="DO52" s="274"/>
      <c r="DP52" s="274"/>
      <c r="DQ52" s="274"/>
      <c r="DR52" s="274"/>
      <c r="DS52" s="274"/>
      <c r="DT52" s="274"/>
      <c r="DU52" s="274"/>
      <c r="DV52" s="274"/>
      <c r="DW52" s="274"/>
      <c r="DX52" s="274"/>
      <c r="DY52" s="274"/>
      <c r="DZ52" s="274"/>
      <c r="EA52" s="274"/>
      <c r="EB52" s="274"/>
      <c r="EC52" s="274"/>
      <c r="ED52" s="39">
        <f t="shared" si="4"/>
        <v>153203.932</v>
      </c>
      <c r="EE52" s="30">
        <f t="shared" si="5"/>
        <v>3</v>
      </c>
      <c r="EF52" s="39">
        <f t="shared" si="6"/>
        <v>51067.977333333336</v>
      </c>
    </row>
    <row r="53" spans="1:136" x14ac:dyDescent="0.25">
      <c r="A53" s="25" t="e">
        <f>#REF!</f>
        <v>#REF!</v>
      </c>
      <c r="B53" s="50" t="e">
        <f>#REF!</f>
        <v>#REF!</v>
      </c>
      <c r="C53" s="5" t="e">
        <f>#REF!</f>
        <v>#REF!</v>
      </c>
      <c r="D53" s="5" t="e">
        <f>#REF!</f>
        <v>#REF!</v>
      </c>
      <c r="E53" s="252">
        <v>1</v>
      </c>
      <c r="F53" s="249">
        <v>14751.24</v>
      </c>
      <c r="G53" s="249">
        <v>14161</v>
      </c>
      <c r="H53" s="249">
        <v>9010.7152289826627</v>
      </c>
      <c r="I53" s="249">
        <v>8925</v>
      </c>
      <c r="J53" s="249">
        <v>25583.512500000001</v>
      </c>
      <c r="K53" s="249">
        <v>24990</v>
      </c>
      <c r="L53" s="274">
        <f>AVERAGE(F53,H53,J53)</f>
        <v>16448.489242994223</v>
      </c>
      <c r="M53" s="274">
        <f>AVERAGE(G53,I53,K53)*E1</f>
        <v>16506.093333333334</v>
      </c>
      <c r="N53" s="255">
        <v>18000</v>
      </c>
      <c r="O53" s="135">
        <f t="shared" si="29"/>
        <v>3420</v>
      </c>
      <c r="P53" s="135">
        <f t="shared" si="30"/>
        <v>21420</v>
      </c>
      <c r="Q53" s="131"/>
      <c r="R53" s="131"/>
      <c r="S53" s="11"/>
      <c r="T53" s="274">
        <v>5830.0000000000009</v>
      </c>
      <c r="U53" s="274">
        <f>+T53*0.19</f>
        <v>1107.7000000000003</v>
      </c>
      <c r="V53" s="274">
        <f>+T53+U53</f>
        <v>6937.7000000000007</v>
      </c>
      <c r="W53" s="39" t="s">
        <v>510</v>
      </c>
      <c r="X53" s="11" t="s">
        <v>2956</v>
      </c>
      <c r="Y53" s="11"/>
      <c r="Z53" s="274"/>
      <c r="AA53" s="274"/>
      <c r="AB53" s="274"/>
      <c r="AC53" s="52"/>
      <c r="AD53" s="22"/>
      <c r="AE53" s="39"/>
      <c r="AF53" s="274"/>
      <c r="AG53" s="274"/>
      <c r="AH53" s="171"/>
      <c r="AI53" s="4"/>
      <c r="AJ53" s="39"/>
      <c r="AK53" s="39"/>
      <c r="AL53" s="118"/>
      <c r="AM53" s="152"/>
      <c r="AN53" s="181"/>
      <c r="AO53" s="131"/>
      <c r="AP53" s="131"/>
      <c r="AQ53" s="39"/>
      <c r="AR53" s="274"/>
      <c r="AS53" s="274"/>
      <c r="AT53" s="274"/>
      <c r="AU53" s="39"/>
      <c r="AV53" s="39"/>
      <c r="AW53" s="39"/>
      <c r="AX53" s="274"/>
      <c r="AY53" s="274"/>
      <c r="AZ53" s="274"/>
      <c r="BA53" s="39"/>
      <c r="BB53" s="62"/>
      <c r="BC53" s="39"/>
      <c r="BD53" s="274"/>
      <c r="BE53" s="274"/>
      <c r="BF53" s="274"/>
      <c r="BG53" s="39"/>
      <c r="BH53" s="39"/>
      <c r="BI53" s="39"/>
      <c r="BJ53" s="274">
        <v>19000</v>
      </c>
      <c r="BK53" s="274">
        <f t="shared" si="31"/>
        <v>3610</v>
      </c>
      <c r="BL53" s="274">
        <f t="shared" si="32"/>
        <v>22610</v>
      </c>
      <c r="BM53" s="213" t="s">
        <v>2891</v>
      </c>
      <c r="BN53" s="213" t="s">
        <v>3897</v>
      </c>
      <c r="BO53" s="39"/>
      <c r="BP53" s="274">
        <v>8600</v>
      </c>
      <c r="BQ53" s="274">
        <f t="shared" ref="BQ53:BQ97" si="35">+BP53*19%</f>
        <v>1634</v>
      </c>
      <c r="BR53" s="274">
        <f t="shared" ref="BR53:BR97" si="36">+BQ53+BP53</f>
        <v>10234</v>
      </c>
      <c r="BS53" s="39"/>
      <c r="BT53" s="39"/>
      <c r="BU53" s="39"/>
      <c r="BV53" s="219">
        <v>22403.736000000004</v>
      </c>
      <c r="BW53" s="219">
        <f t="shared" si="33"/>
        <v>4256.7098400000004</v>
      </c>
      <c r="BX53" s="273">
        <f t="shared" si="34"/>
        <v>26660.445840000004</v>
      </c>
      <c r="BY53" s="213" t="s">
        <v>2891</v>
      </c>
      <c r="BZ53" s="213" t="s">
        <v>3897</v>
      </c>
      <c r="CA53" s="213"/>
      <c r="CB53" s="274"/>
      <c r="CC53" s="274"/>
      <c r="CD53" s="274"/>
      <c r="CE53" s="39"/>
      <c r="CF53" s="39"/>
      <c r="CG53" s="39"/>
      <c r="CH53" s="274"/>
      <c r="CI53" s="274"/>
      <c r="CJ53" s="274"/>
      <c r="CK53" s="39"/>
      <c r="CL53" s="39"/>
      <c r="CM53" s="131"/>
      <c r="CN53" s="131"/>
      <c r="CO53" s="131"/>
      <c r="CP53" s="11"/>
      <c r="CQ53" s="11"/>
      <c r="CR53" s="11"/>
      <c r="CS53" s="11"/>
      <c r="CT53" s="11"/>
      <c r="CU53" s="11"/>
      <c r="CV53" s="11"/>
      <c r="CW53" s="11"/>
      <c r="CX53" s="11"/>
      <c r="CY53" s="11"/>
      <c r="CZ53" s="11"/>
      <c r="DA53" s="11"/>
      <c r="DB53" s="11"/>
      <c r="DC53" s="11"/>
      <c r="DD53" s="11"/>
      <c r="DE53" s="11"/>
      <c r="DF53" s="11"/>
      <c r="DG53" s="11"/>
      <c r="DH53" s="11"/>
      <c r="DI53" s="11"/>
      <c r="DJ53" s="11"/>
      <c r="DK53" s="11"/>
      <c r="DL53" s="274"/>
      <c r="DM53" s="274"/>
      <c r="DN53" s="274"/>
      <c r="DO53" s="274"/>
      <c r="DP53" s="274"/>
      <c r="DQ53" s="274"/>
      <c r="DR53" s="274"/>
      <c r="DS53" s="274"/>
      <c r="DT53" s="274"/>
      <c r="DU53" s="274"/>
      <c r="DV53" s="274"/>
      <c r="DW53" s="274"/>
      <c r="DX53" s="274"/>
      <c r="DY53" s="274"/>
      <c r="DZ53" s="274"/>
      <c r="EA53" s="274"/>
      <c r="EB53" s="274"/>
      <c r="EC53" s="274"/>
      <c r="ED53" s="39">
        <f t="shared" si="4"/>
        <v>104368.23917333334</v>
      </c>
      <c r="EE53" s="30">
        <f t="shared" si="5"/>
        <v>6</v>
      </c>
      <c r="EF53" s="39">
        <f t="shared" si="6"/>
        <v>17394.706528888888</v>
      </c>
    </row>
    <row r="54" spans="1:136" x14ac:dyDescent="0.25">
      <c r="A54" s="25" t="e">
        <f>#REF!</f>
        <v>#REF!</v>
      </c>
      <c r="B54" s="50" t="e">
        <f>#REF!</f>
        <v>#REF!</v>
      </c>
      <c r="C54" s="5" t="e">
        <f>#REF!</f>
        <v>#REF!</v>
      </c>
      <c r="D54" s="5" t="e">
        <f>#REF!</f>
        <v>#REF!</v>
      </c>
      <c r="E54" s="252">
        <v>1</v>
      </c>
      <c r="F54" s="249">
        <v>23377.682222222222</v>
      </c>
      <c r="G54" s="249">
        <v>22729</v>
      </c>
      <c r="H54" s="249">
        <v>14996.811895649329</v>
      </c>
      <c r="I54" s="249">
        <v>0</v>
      </c>
      <c r="J54" s="249">
        <v>35940.974999999999</v>
      </c>
      <c r="K54" s="249">
        <v>28084</v>
      </c>
      <c r="L54" s="274">
        <f>AVERAGE(F54,H54,J54)</f>
        <v>24771.823039290513</v>
      </c>
      <c r="M54" s="274">
        <f>AVERAGE(G54,K54)*E1</f>
        <v>26168.695</v>
      </c>
      <c r="N54" s="255">
        <v>25000</v>
      </c>
      <c r="O54" s="135">
        <f t="shared" si="29"/>
        <v>4750</v>
      </c>
      <c r="P54" s="135">
        <f t="shared" si="30"/>
        <v>29750</v>
      </c>
      <c r="Q54" s="131"/>
      <c r="R54" s="131"/>
      <c r="S54" s="11"/>
      <c r="T54" s="274">
        <v>8360</v>
      </c>
      <c r="U54" s="274">
        <f>+T54*0.19</f>
        <v>1588.4</v>
      </c>
      <c r="V54" s="274">
        <f>+T54+U54</f>
        <v>9948.4</v>
      </c>
      <c r="W54" s="39" t="s">
        <v>510</v>
      </c>
      <c r="X54" s="11" t="s">
        <v>2948</v>
      </c>
      <c r="Y54" s="11"/>
      <c r="Z54" s="274"/>
      <c r="AA54" s="274"/>
      <c r="AB54" s="274"/>
      <c r="AC54" s="52"/>
      <c r="AD54" s="22"/>
      <c r="AE54" s="39"/>
      <c r="AF54" s="274"/>
      <c r="AG54" s="274"/>
      <c r="AH54" s="171"/>
      <c r="AI54" s="4"/>
      <c r="AJ54" s="39"/>
      <c r="AK54" s="39"/>
      <c r="AL54" s="118"/>
      <c r="AM54" s="152"/>
      <c r="AN54" s="181"/>
      <c r="AO54" s="131"/>
      <c r="AP54" s="131"/>
      <c r="AQ54" s="39"/>
      <c r="AR54" s="274"/>
      <c r="AS54" s="274"/>
      <c r="AT54" s="274"/>
      <c r="AU54" s="39"/>
      <c r="AV54" s="39"/>
      <c r="AW54" s="39"/>
      <c r="AX54" s="274"/>
      <c r="AY54" s="274"/>
      <c r="AZ54" s="274"/>
      <c r="BA54" s="39"/>
      <c r="BB54" s="62"/>
      <c r="BC54" s="39"/>
      <c r="BD54" s="274"/>
      <c r="BE54" s="274"/>
      <c r="BF54" s="274"/>
      <c r="BG54" s="39"/>
      <c r="BH54" s="39"/>
      <c r="BI54" s="39"/>
      <c r="BJ54" s="274">
        <v>38500</v>
      </c>
      <c r="BK54" s="274">
        <f t="shared" si="31"/>
        <v>7315</v>
      </c>
      <c r="BL54" s="274">
        <f t="shared" si="32"/>
        <v>45815</v>
      </c>
      <c r="BM54" s="213" t="s">
        <v>196</v>
      </c>
      <c r="BN54" s="213" t="s">
        <v>3897</v>
      </c>
      <c r="BO54" s="39"/>
      <c r="BP54" s="274">
        <v>9600</v>
      </c>
      <c r="BQ54" s="274">
        <f t="shared" si="35"/>
        <v>1824</v>
      </c>
      <c r="BR54" s="274">
        <f t="shared" si="36"/>
        <v>11424</v>
      </c>
      <c r="BS54" s="39"/>
      <c r="BT54" s="39"/>
      <c r="BU54" s="39"/>
      <c r="BV54" s="219">
        <v>43279.004999999997</v>
      </c>
      <c r="BW54" s="219">
        <f t="shared" si="33"/>
        <v>8223.0109499999999</v>
      </c>
      <c r="BX54" s="273">
        <f t="shared" si="34"/>
        <v>51502.015950000001</v>
      </c>
      <c r="BY54" s="213" t="s">
        <v>196</v>
      </c>
      <c r="BZ54" s="213" t="s">
        <v>3897</v>
      </c>
      <c r="CA54" s="213"/>
      <c r="CB54" s="274"/>
      <c r="CC54" s="274"/>
      <c r="CD54" s="274"/>
      <c r="CE54" s="39"/>
      <c r="CF54" s="39"/>
      <c r="CG54" s="39"/>
      <c r="CH54" s="274"/>
      <c r="CI54" s="274"/>
      <c r="CJ54" s="274"/>
      <c r="CK54" s="39"/>
      <c r="CL54" s="39"/>
      <c r="CM54" s="131"/>
      <c r="CN54" s="131"/>
      <c r="CO54" s="131"/>
      <c r="CP54" s="11"/>
      <c r="CQ54" s="11"/>
      <c r="CR54" s="11"/>
      <c r="CS54" s="11"/>
      <c r="CT54" s="11"/>
      <c r="CU54" s="11"/>
      <c r="CV54" s="11"/>
      <c r="CW54" s="11"/>
      <c r="CX54" s="11"/>
      <c r="CY54" s="11"/>
      <c r="CZ54" s="11"/>
      <c r="DA54" s="11"/>
      <c r="DB54" s="11"/>
      <c r="DC54" s="11"/>
      <c r="DD54" s="11"/>
      <c r="DE54" s="11"/>
      <c r="DF54" s="11"/>
      <c r="DG54" s="11"/>
      <c r="DH54" s="11"/>
      <c r="DI54" s="11"/>
      <c r="DJ54" s="11"/>
      <c r="DK54" s="11"/>
      <c r="DL54" s="274"/>
      <c r="DM54" s="274"/>
      <c r="DN54" s="274"/>
      <c r="DO54" s="274"/>
      <c r="DP54" s="274"/>
      <c r="DQ54" s="274"/>
      <c r="DR54" s="274"/>
      <c r="DS54" s="274"/>
      <c r="DT54" s="274"/>
      <c r="DU54" s="274"/>
      <c r="DV54" s="274"/>
      <c r="DW54" s="274"/>
      <c r="DX54" s="274"/>
      <c r="DY54" s="274"/>
      <c r="DZ54" s="274"/>
      <c r="EA54" s="274"/>
      <c r="EB54" s="274"/>
      <c r="EC54" s="274"/>
      <c r="ED54" s="39">
        <f t="shared" si="4"/>
        <v>174608.11095</v>
      </c>
      <c r="EE54" s="30">
        <f t="shared" si="5"/>
        <v>6</v>
      </c>
      <c r="EF54" s="39">
        <f t="shared" si="6"/>
        <v>29101.351825000002</v>
      </c>
    </row>
    <row r="55" spans="1:136" x14ac:dyDescent="0.25">
      <c r="A55" s="25" t="e">
        <f>#REF!</f>
        <v>#REF!</v>
      </c>
      <c r="B55" s="50" t="e">
        <f>#REF!</f>
        <v>#REF!</v>
      </c>
      <c r="C55" s="5" t="e">
        <f>#REF!</f>
        <v>#REF!</v>
      </c>
      <c r="D55" s="5" t="e">
        <f>#REF!</f>
        <v>#REF!</v>
      </c>
      <c r="E55" s="252">
        <v>1</v>
      </c>
      <c r="F55" s="249">
        <v>84015.19</v>
      </c>
      <c r="G55" s="249">
        <v>83300</v>
      </c>
      <c r="H55" s="249">
        <v>33230.75</v>
      </c>
      <c r="I55" s="249">
        <v>33082</v>
      </c>
      <c r="J55" s="249">
        <v>157972.5</v>
      </c>
      <c r="K55" s="249">
        <v>0</v>
      </c>
      <c r="L55" s="274">
        <f>AVERAGE(F55,H55,J55)</f>
        <v>91739.48</v>
      </c>
      <c r="M55" s="274">
        <f>AVERAGE(G55,I55)*E1</f>
        <v>59936.73</v>
      </c>
      <c r="N55" s="255">
        <v>25000</v>
      </c>
      <c r="O55" s="135">
        <f t="shared" si="29"/>
        <v>4750</v>
      </c>
      <c r="P55" s="135">
        <f t="shared" si="30"/>
        <v>29750</v>
      </c>
      <c r="Q55" s="131"/>
      <c r="R55" s="131"/>
      <c r="S55" s="11"/>
      <c r="T55" s="274"/>
      <c r="U55" s="274"/>
      <c r="V55" s="274"/>
      <c r="W55" s="39"/>
      <c r="X55" s="11"/>
      <c r="Y55" s="11"/>
      <c r="Z55" s="274"/>
      <c r="AA55" s="274"/>
      <c r="AB55" s="274"/>
      <c r="AC55" s="52"/>
      <c r="AD55" s="22"/>
      <c r="AE55" s="39"/>
      <c r="AF55" s="274"/>
      <c r="AG55" s="274"/>
      <c r="AH55" s="171"/>
      <c r="AI55" s="4"/>
      <c r="AJ55" s="39"/>
      <c r="AK55" s="39"/>
      <c r="AL55" s="118"/>
      <c r="AM55" s="152"/>
      <c r="AN55" s="181"/>
      <c r="AO55" s="131"/>
      <c r="AP55" s="131"/>
      <c r="AQ55" s="39"/>
      <c r="AR55" s="274"/>
      <c r="AS55" s="274"/>
      <c r="AT55" s="274"/>
      <c r="AU55" s="39"/>
      <c r="AV55" s="39"/>
      <c r="AW55" s="39"/>
      <c r="AX55" s="274"/>
      <c r="AY55" s="274"/>
      <c r="AZ55" s="274"/>
      <c r="BA55" s="39"/>
      <c r="BB55" s="62"/>
      <c r="BC55" s="39"/>
      <c r="BD55" s="274"/>
      <c r="BE55" s="274"/>
      <c r="BF55" s="274"/>
      <c r="BG55" s="39"/>
      <c r="BH55" s="39"/>
      <c r="BI55" s="39"/>
      <c r="BJ55" s="274">
        <v>63300</v>
      </c>
      <c r="BK55" s="274">
        <f t="shared" si="31"/>
        <v>12027</v>
      </c>
      <c r="BL55" s="274">
        <f t="shared" si="32"/>
        <v>75327</v>
      </c>
      <c r="BM55" s="214" t="s">
        <v>445</v>
      </c>
      <c r="BN55" s="213" t="s">
        <v>3897</v>
      </c>
      <c r="BO55" s="39"/>
      <c r="BP55" s="274">
        <v>13500</v>
      </c>
      <c r="BQ55" s="274">
        <f t="shared" si="35"/>
        <v>2565</v>
      </c>
      <c r="BR55" s="274">
        <f t="shared" si="36"/>
        <v>16065</v>
      </c>
      <c r="BS55" s="39"/>
      <c r="BT55" s="39"/>
      <c r="BU55" s="39"/>
      <c r="BV55" s="219">
        <v>71875.377600000007</v>
      </c>
      <c r="BW55" s="219">
        <f t="shared" si="33"/>
        <v>13656.321744000001</v>
      </c>
      <c r="BX55" s="273">
        <f t="shared" si="34"/>
        <v>85531.699344000008</v>
      </c>
      <c r="BY55" s="214" t="s">
        <v>445</v>
      </c>
      <c r="BZ55" s="213" t="s">
        <v>3897</v>
      </c>
      <c r="CA55" s="213"/>
      <c r="CB55" s="274"/>
      <c r="CC55" s="274"/>
      <c r="CD55" s="274"/>
      <c r="CE55" s="39"/>
      <c r="CF55" s="39"/>
      <c r="CG55" s="39"/>
      <c r="CH55" s="274"/>
      <c r="CI55" s="274"/>
      <c r="CJ55" s="274"/>
      <c r="CK55" s="39"/>
      <c r="CL55" s="39"/>
      <c r="CM55" s="39"/>
      <c r="CN55" s="131"/>
      <c r="CO55" s="131"/>
      <c r="CP55" s="11"/>
      <c r="CQ55" s="11"/>
      <c r="CR55" s="11"/>
      <c r="CS55" s="11"/>
      <c r="CT55" s="11"/>
      <c r="CU55" s="11"/>
      <c r="CV55" s="11"/>
      <c r="CW55" s="11"/>
      <c r="CX55" s="11"/>
      <c r="CY55" s="11"/>
      <c r="CZ55" s="11"/>
      <c r="DA55" s="11"/>
      <c r="DB55" s="11"/>
      <c r="DC55" s="11"/>
      <c r="DD55" s="11"/>
      <c r="DE55" s="11"/>
      <c r="DF55" s="11"/>
      <c r="DG55" s="11"/>
      <c r="DH55" s="11"/>
      <c r="DI55" s="11"/>
      <c r="DJ55" s="11"/>
      <c r="DK55" s="11"/>
      <c r="DL55" s="274"/>
      <c r="DM55" s="274"/>
      <c r="DN55" s="274"/>
      <c r="DO55" s="274"/>
      <c r="DP55" s="274"/>
      <c r="DQ55" s="274"/>
      <c r="DR55" s="274"/>
      <c r="DS55" s="274"/>
      <c r="DT55" s="274"/>
      <c r="DU55" s="274"/>
      <c r="DV55" s="274"/>
      <c r="DW55" s="274"/>
      <c r="DX55" s="274"/>
      <c r="DY55" s="274"/>
      <c r="DZ55" s="274"/>
      <c r="EA55" s="274"/>
      <c r="EB55" s="274"/>
      <c r="EC55" s="274"/>
      <c r="ED55" s="39">
        <f t="shared" si="4"/>
        <v>266610.429344</v>
      </c>
      <c r="EE55" s="30">
        <f t="shared" si="5"/>
        <v>5</v>
      </c>
      <c r="EF55" s="39">
        <f t="shared" si="6"/>
        <v>53322.085868800001</v>
      </c>
    </row>
    <row r="56" spans="1:136" x14ac:dyDescent="0.25">
      <c r="A56" s="25" t="e">
        <f>#REF!</f>
        <v>#REF!</v>
      </c>
      <c r="B56" s="50" t="e">
        <f>#REF!</f>
        <v>#REF!</v>
      </c>
      <c r="C56" s="5" t="e">
        <f>#REF!</f>
        <v>#REF!</v>
      </c>
      <c r="D56" s="5" t="e">
        <f>#REF!</f>
        <v>#REF!</v>
      </c>
      <c r="E56" s="252">
        <v>1</v>
      </c>
      <c r="F56" s="249">
        <v>125887.05888888889</v>
      </c>
      <c r="G56" s="249">
        <v>119476</v>
      </c>
      <c r="H56" s="249">
        <v>9698.5</v>
      </c>
      <c r="I56" s="249">
        <v>0</v>
      </c>
      <c r="J56" s="249">
        <v>62548.78</v>
      </c>
      <c r="K56" s="249">
        <v>62475</v>
      </c>
      <c r="L56" s="274">
        <f>AVERAGE(F56,H56,J56)</f>
        <v>66044.779629629629</v>
      </c>
      <c r="M56" s="274">
        <f>AVERAGE(G56,K56)*E1</f>
        <v>93704.764999999999</v>
      </c>
      <c r="N56" s="255">
        <v>25000</v>
      </c>
      <c r="O56" s="135">
        <f t="shared" si="29"/>
        <v>4750</v>
      </c>
      <c r="P56" s="135">
        <f t="shared" si="30"/>
        <v>29750</v>
      </c>
      <c r="Q56" s="131"/>
      <c r="R56" s="131"/>
      <c r="S56" s="11"/>
      <c r="T56" s="274"/>
      <c r="U56" s="274"/>
      <c r="V56" s="274"/>
      <c r="W56" s="39"/>
      <c r="X56" s="11"/>
      <c r="Y56" s="11"/>
      <c r="Z56" s="274"/>
      <c r="AA56" s="274"/>
      <c r="AB56" s="274"/>
      <c r="AC56" s="52"/>
      <c r="AD56" s="22"/>
      <c r="AE56" s="39"/>
      <c r="AF56" s="274"/>
      <c r="AG56" s="274"/>
      <c r="AH56" s="171"/>
      <c r="AI56" s="22"/>
      <c r="AJ56" s="39"/>
      <c r="AK56" s="39"/>
      <c r="AL56" s="118"/>
      <c r="AM56" s="152"/>
      <c r="AN56" s="181"/>
      <c r="AO56" s="131"/>
      <c r="AP56" s="131"/>
      <c r="AQ56" s="39"/>
      <c r="AR56" s="274"/>
      <c r="AS56" s="274"/>
      <c r="AT56" s="274"/>
      <c r="AU56" s="39"/>
      <c r="AV56" s="39"/>
      <c r="AW56" s="39"/>
      <c r="AX56" s="274"/>
      <c r="AY56" s="274"/>
      <c r="AZ56" s="274"/>
      <c r="BA56" s="39"/>
      <c r="BB56" s="62"/>
      <c r="BC56" s="39"/>
      <c r="BD56" s="274"/>
      <c r="BE56" s="274"/>
      <c r="BF56" s="274"/>
      <c r="BG56" s="39"/>
      <c r="BH56" s="39"/>
      <c r="BI56" s="39"/>
      <c r="BJ56" s="274">
        <v>21100</v>
      </c>
      <c r="BK56" s="274">
        <f t="shared" si="31"/>
        <v>4009</v>
      </c>
      <c r="BL56" s="274">
        <f t="shared" si="32"/>
        <v>25109</v>
      </c>
      <c r="BM56" s="213" t="s">
        <v>2891</v>
      </c>
      <c r="BN56" s="213" t="s">
        <v>3897</v>
      </c>
      <c r="BO56" s="39"/>
      <c r="BP56" s="274">
        <v>14500</v>
      </c>
      <c r="BQ56" s="274">
        <f t="shared" si="35"/>
        <v>2755</v>
      </c>
      <c r="BR56" s="274">
        <f t="shared" si="36"/>
        <v>17255</v>
      </c>
      <c r="BS56" s="39"/>
      <c r="BT56" s="39"/>
      <c r="BU56" s="39"/>
      <c r="BV56" s="219">
        <v>23497.7196</v>
      </c>
      <c r="BW56" s="219">
        <f t="shared" si="33"/>
        <v>4464.5667240000002</v>
      </c>
      <c r="BX56" s="273">
        <f t="shared" si="34"/>
        <v>27962.286324000001</v>
      </c>
      <c r="BY56" s="213" t="s">
        <v>2891</v>
      </c>
      <c r="BZ56" s="213" t="s">
        <v>3897</v>
      </c>
      <c r="CA56" s="213"/>
      <c r="CB56" s="274"/>
      <c r="CC56" s="274"/>
      <c r="CD56" s="274"/>
      <c r="CE56" s="39"/>
      <c r="CF56" s="39"/>
      <c r="CG56" s="39"/>
      <c r="CH56" s="274"/>
      <c r="CI56" s="274"/>
      <c r="CJ56" s="274"/>
      <c r="CK56" s="39"/>
      <c r="CL56" s="39"/>
      <c r="CM56" s="39"/>
      <c r="CN56" s="39"/>
      <c r="CO56" s="39"/>
      <c r="CP56" s="11"/>
      <c r="CQ56" s="11"/>
      <c r="CR56" s="11"/>
      <c r="CS56" s="11"/>
      <c r="CT56" s="11"/>
      <c r="CU56" s="11"/>
      <c r="CV56" s="11"/>
      <c r="CW56" s="11"/>
      <c r="CX56" s="11"/>
      <c r="CY56" s="11"/>
      <c r="CZ56" s="11"/>
      <c r="DA56" s="11"/>
      <c r="DB56" s="11"/>
      <c r="DC56" s="11"/>
      <c r="DD56" s="11"/>
      <c r="DE56" s="11"/>
      <c r="DF56" s="11"/>
      <c r="DG56" s="11"/>
      <c r="DH56" s="11"/>
      <c r="DI56" s="11"/>
      <c r="DJ56" s="11"/>
      <c r="DK56" s="11"/>
      <c r="DL56" s="274"/>
      <c r="DM56" s="274"/>
      <c r="DN56" s="274"/>
      <c r="DO56" s="274"/>
      <c r="DP56" s="274"/>
      <c r="DQ56" s="274"/>
      <c r="DR56" s="274"/>
      <c r="DS56" s="274"/>
      <c r="DT56" s="274"/>
      <c r="DU56" s="274"/>
      <c r="DV56" s="274"/>
      <c r="DW56" s="274"/>
      <c r="DX56" s="274"/>
      <c r="DY56" s="274"/>
      <c r="DZ56" s="274"/>
      <c r="EA56" s="274"/>
      <c r="EB56" s="274"/>
      <c r="EC56" s="274"/>
      <c r="ED56" s="39">
        <f t="shared" si="4"/>
        <v>193781.051324</v>
      </c>
      <c r="EE56" s="30">
        <f t="shared" si="5"/>
        <v>5</v>
      </c>
      <c r="EF56" s="39">
        <f t="shared" si="6"/>
        <v>38756.2102648</v>
      </c>
    </row>
    <row r="57" spans="1:136" x14ac:dyDescent="0.25">
      <c r="A57" s="25" t="e">
        <f>#REF!</f>
        <v>#REF!</v>
      </c>
      <c r="B57" s="50" t="e">
        <f>#REF!</f>
        <v>#REF!</v>
      </c>
      <c r="C57" s="5" t="e">
        <f>#REF!</f>
        <v>#REF!</v>
      </c>
      <c r="D57" s="5" t="e">
        <f>#REF!</f>
        <v>#REF!</v>
      </c>
      <c r="E57" s="252">
        <v>1</v>
      </c>
      <c r="F57" s="249">
        <v>38900.802499999998</v>
      </c>
      <c r="G57" s="249">
        <v>6497</v>
      </c>
      <c r="H57" s="249">
        <v>12227.25</v>
      </c>
      <c r="I57" s="249">
        <v>12138</v>
      </c>
      <c r="J57" s="249">
        <v>18861.295833333334</v>
      </c>
      <c r="K57" s="249">
        <v>18802</v>
      </c>
      <c r="L57" s="274">
        <f>AVERAGE(F57,H57,J57)</f>
        <v>23329.782777777775</v>
      </c>
      <c r="M57" s="274">
        <f>AVERAGE(G57,I57,K57)*E1</f>
        <v>12853.37</v>
      </c>
      <c r="N57" s="255">
        <v>12000</v>
      </c>
      <c r="O57" s="135">
        <f t="shared" si="29"/>
        <v>2280</v>
      </c>
      <c r="P57" s="135">
        <f t="shared" si="30"/>
        <v>14280</v>
      </c>
      <c r="Q57" s="131"/>
      <c r="R57" s="131"/>
      <c r="S57" s="11"/>
      <c r="T57" s="274">
        <v>7590.0000000000009</v>
      </c>
      <c r="U57" s="274">
        <f>+T57*0.19</f>
        <v>1442.1000000000001</v>
      </c>
      <c r="V57" s="274">
        <f>+T57+U57</f>
        <v>9032.1</v>
      </c>
      <c r="W57" s="39" t="s">
        <v>510</v>
      </c>
      <c r="X57" s="11" t="s">
        <v>2956</v>
      </c>
      <c r="Y57" s="11"/>
      <c r="Z57" s="274"/>
      <c r="AA57" s="274"/>
      <c r="AB57" s="274"/>
      <c r="AC57" s="52"/>
      <c r="AD57" s="22"/>
      <c r="AE57" s="39"/>
      <c r="AF57" s="274"/>
      <c r="AG57" s="274"/>
      <c r="AH57" s="171"/>
      <c r="AI57" s="22"/>
      <c r="AJ57" s="39"/>
      <c r="AK57" s="39"/>
      <c r="AL57" s="118"/>
      <c r="AM57" s="152"/>
      <c r="AN57" s="181"/>
      <c r="AO57" s="131"/>
      <c r="AP57" s="131"/>
      <c r="AQ57" s="39"/>
      <c r="AR57" s="274"/>
      <c r="AS57" s="274"/>
      <c r="AT57" s="274"/>
      <c r="AU57" s="39"/>
      <c r="AV57" s="39"/>
      <c r="AW57" s="39"/>
      <c r="AX57" s="274"/>
      <c r="AY57" s="274"/>
      <c r="AZ57" s="274"/>
      <c r="BA57" s="39"/>
      <c r="BB57" s="62"/>
      <c r="BC57" s="39"/>
      <c r="BD57" s="274"/>
      <c r="BE57" s="274"/>
      <c r="BF57" s="274"/>
      <c r="BG57" s="39"/>
      <c r="BH57" s="39"/>
      <c r="BI57" s="39"/>
      <c r="BJ57" s="274">
        <v>49900</v>
      </c>
      <c r="BK57" s="274">
        <f t="shared" si="31"/>
        <v>9481</v>
      </c>
      <c r="BL57" s="274">
        <f t="shared" si="32"/>
        <v>59381</v>
      </c>
      <c r="BM57" s="213" t="s">
        <v>2891</v>
      </c>
      <c r="BN57" s="213" t="s">
        <v>338</v>
      </c>
      <c r="BO57" s="39"/>
      <c r="BP57" s="274">
        <v>12600</v>
      </c>
      <c r="BQ57" s="274">
        <f t="shared" si="35"/>
        <v>2394</v>
      </c>
      <c r="BR57" s="274">
        <f t="shared" si="36"/>
        <v>14994</v>
      </c>
      <c r="BS57" s="39"/>
      <c r="BT57" s="39"/>
      <c r="BU57" s="39"/>
      <c r="BV57" s="219">
        <v>55035.707999999999</v>
      </c>
      <c r="BW57" s="219">
        <f t="shared" si="33"/>
        <v>10456.784519999999</v>
      </c>
      <c r="BX57" s="273">
        <f t="shared" si="34"/>
        <v>65492.49252</v>
      </c>
      <c r="BY57" s="213" t="s">
        <v>2891</v>
      </c>
      <c r="BZ57" s="213" t="s">
        <v>338</v>
      </c>
      <c r="CA57" s="213"/>
      <c r="CB57" s="274"/>
      <c r="CC57" s="274"/>
      <c r="CD57" s="274"/>
      <c r="CE57" s="39"/>
      <c r="CF57" s="39"/>
      <c r="CG57" s="39"/>
      <c r="CH57" s="274"/>
      <c r="CI57" s="274"/>
      <c r="CJ57" s="274"/>
      <c r="CK57" s="39"/>
      <c r="CL57" s="39"/>
      <c r="CM57" s="39"/>
      <c r="CN57" s="39"/>
      <c r="CO57" s="39"/>
      <c r="CP57" s="11"/>
      <c r="CQ57" s="11"/>
      <c r="CR57" s="11"/>
      <c r="CS57" s="11"/>
      <c r="CT57" s="11"/>
      <c r="CU57" s="11"/>
      <c r="CV57" s="11"/>
      <c r="CW57" s="11"/>
      <c r="CX57" s="11"/>
      <c r="CY57" s="11"/>
      <c r="CZ57" s="11"/>
      <c r="DA57" s="11"/>
      <c r="DB57" s="11"/>
      <c r="DC57" s="11"/>
      <c r="DD57" s="11"/>
      <c r="DE57" s="11"/>
      <c r="DF57" s="11"/>
      <c r="DG57" s="11"/>
      <c r="DH57" s="11"/>
      <c r="DI57" s="11"/>
      <c r="DJ57" s="11"/>
      <c r="DK57" s="11"/>
      <c r="DL57" s="274"/>
      <c r="DM57" s="274"/>
      <c r="DN57" s="274"/>
      <c r="DO57" s="274"/>
      <c r="DP57" s="274"/>
      <c r="DQ57" s="274"/>
      <c r="DR57" s="274"/>
      <c r="DS57" s="274"/>
      <c r="DT57" s="274"/>
      <c r="DU57" s="274"/>
      <c r="DV57" s="274"/>
      <c r="DW57" s="274"/>
      <c r="DX57" s="274"/>
      <c r="DY57" s="274"/>
      <c r="DZ57" s="274"/>
      <c r="EA57" s="274"/>
      <c r="EB57" s="274"/>
      <c r="EC57" s="274"/>
      <c r="ED57" s="39">
        <f t="shared" si="4"/>
        <v>176032.96252</v>
      </c>
      <c r="EE57" s="30">
        <f t="shared" si="5"/>
        <v>6</v>
      </c>
      <c r="EF57" s="39">
        <f t="shared" si="6"/>
        <v>29338.827086666668</v>
      </c>
    </row>
    <row r="58" spans="1:136" x14ac:dyDescent="0.25">
      <c r="A58" s="25" t="e">
        <f>#REF!</f>
        <v>#REF!</v>
      </c>
      <c r="B58" s="50" t="e">
        <f>#REF!</f>
        <v>#REF!</v>
      </c>
      <c r="C58" s="5" t="e">
        <f>#REF!</f>
        <v>#REF!</v>
      </c>
      <c r="D58" s="5" t="e">
        <f>#REF!</f>
        <v>#REF!</v>
      </c>
      <c r="E58" s="252">
        <v>1</v>
      </c>
      <c r="F58" s="249">
        <v>0</v>
      </c>
      <c r="G58" s="249">
        <v>0</v>
      </c>
      <c r="H58" s="249">
        <v>0</v>
      </c>
      <c r="I58" s="249">
        <v>0</v>
      </c>
      <c r="J58" s="249">
        <v>22848</v>
      </c>
      <c r="K58" s="249">
        <v>0</v>
      </c>
      <c r="L58" s="274">
        <f>J58</f>
        <v>22848</v>
      </c>
      <c r="M58" s="274"/>
      <c r="N58" s="255">
        <v>45000</v>
      </c>
      <c r="O58" s="135">
        <f t="shared" si="29"/>
        <v>8550</v>
      </c>
      <c r="P58" s="135">
        <f t="shared" si="30"/>
        <v>53550</v>
      </c>
      <c r="Q58" s="11"/>
      <c r="R58" s="11"/>
      <c r="S58" s="11"/>
      <c r="T58" s="274"/>
      <c r="U58" s="274"/>
      <c r="V58" s="274"/>
      <c r="W58" s="11"/>
      <c r="X58" s="11"/>
      <c r="Y58" s="11"/>
      <c r="Z58" s="274"/>
      <c r="AA58" s="274"/>
      <c r="AB58" s="274"/>
      <c r="AC58" s="11"/>
      <c r="AD58" s="11"/>
      <c r="AE58" s="11"/>
      <c r="AF58" s="274"/>
      <c r="AG58" s="274"/>
      <c r="AH58" s="274"/>
      <c r="AI58" s="11"/>
      <c r="AJ58" s="11"/>
      <c r="AK58" s="11"/>
      <c r="AL58" s="118"/>
      <c r="AM58" s="118"/>
      <c r="AN58" s="118"/>
      <c r="AO58" s="52"/>
      <c r="AP58" s="52"/>
      <c r="AQ58" s="11"/>
      <c r="AR58" s="274"/>
      <c r="AS58" s="274"/>
      <c r="AT58" s="274"/>
      <c r="AU58" s="11"/>
      <c r="AV58" s="11"/>
      <c r="AW58" s="11"/>
      <c r="AX58" s="274"/>
      <c r="AY58" s="274"/>
      <c r="AZ58" s="274"/>
      <c r="BA58" s="11"/>
      <c r="BB58" s="11"/>
      <c r="BC58" s="11"/>
      <c r="BD58" s="274"/>
      <c r="BE58" s="274"/>
      <c r="BF58" s="274"/>
      <c r="BG58" s="11"/>
      <c r="BH58" s="11"/>
      <c r="BI58" s="11"/>
      <c r="BJ58" s="274">
        <v>100000</v>
      </c>
      <c r="BK58" s="274">
        <f>+BJ58*0</f>
        <v>0</v>
      </c>
      <c r="BL58" s="274">
        <f t="shared" si="32"/>
        <v>100000</v>
      </c>
      <c r="BM58" s="214" t="s">
        <v>445</v>
      </c>
      <c r="BN58" s="213" t="s">
        <v>164</v>
      </c>
      <c r="BO58" s="11"/>
      <c r="BP58" s="274">
        <v>65200</v>
      </c>
      <c r="BQ58" s="274">
        <f t="shared" si="35"/>
        <v>12388</v>
      </c>
      <c r="BR58" s="274">
        <f t="shared" si="36"/>
        <v>77588</v>
      </c>
      <c r="BS58" s="11"/>
      <c r="BT58" s="11"/>
      <c r="BU58" s="11"/>
      <c r="BV58" s="219">
        <v>238182</v>
      </c>
      <c r="BW58" s="222">
        <f>+BV58*0</f>
        <v>0</v>
      </c>
      <c r="BX58" s="273">
        <f t="shared" si="34"/>
        <v>238182</v>
      </c>
      <c r="BY58" s="214" t="s">
        <v>445</v>
      </c>
      <c r="BZ58" s="213" t="s">
        <v>164</v>
      </c>
      <c r="CA58" s="213"/>
      <c r="CB58" s="274"/>
      <c r="CC58" s="274"/>
      <c r="CD58" s="274"/>
      <c r="CE58" s="11"/>
      <c r="CF58" s="11"/>
      <c r="CG58" s="11"/>
      <c r="CH58" s="274"/>
      <c r="CI58" s="274"/>
      <c r="CJ58" s="274"/>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274"/>
      <c r="DM58" s="274"/>
      <c r="DN58" s="274"/>
      <c r="DO58" s="274"/>
      <c r="DP58" s="274"/>
      <c r="DQ58" s="274"/>
      <c r="DR58" s="274"/>
      <c r="DS58" s="274"/>
      <c r="DT58" s="274"/>
      <c r="DU58" s="274"/>
      <c r="DV58" s="274"/>
      <c r="DW58" s="274"/>
      <c r="DX58" s="274"/>
      <c r="DY58" s="274"/>
      <c r="DZ58" s="274"/>
      <c r="EA58" s="274"/>
      <c r="EB58" s="274"/>
      <c r="EC58" s="274"/>
      <c r="ED58" s="39">
        <f t="shared" si="4"/>
        <v>469320</v>
      </c>
      <c r="EE58" s="30">
        <f t="shared" si="5"/>
        <v>4</v>
      </c>
      <c r="EF58" s="39">
        <f t="shared" si="6"/>
        <v>117330</v>
      </c>
    </row>
    <row r="59" spans="1:136" x14ac:dyDescent="0.25">
      <c r="A59" s="25" t="e">
        <f>#REF!</f>
        <v>#REF!</v>
      </c>
      <c r="B59" s="50" t="e">
        <f>#REF!</f>
        <v>#REF!</v>
      </c>
      <c r="C59" s="5" t="e">
        <f>#REF!</f>
        <v>#REF!</v>
      </c>
      <c r="D59" s="5" t="e">
        <f>#REF!</f>
        <v>#REF!</v>
      </c>
      <c r="E59" s="252">
        <v>1</v>
      </c>
      <c r="F59" s="249">
        <v>0</v>
      </c>
      <c r="G59" s="249">
        <v>0</v>
      </c>
      <c r="H59" s="249">
        <v>0</v>
      </c>
      <c r="I59" s="249">
        <v>0</v>
      </c>
      <c r="J59" s="249">
        <v>22848</v>
      </c>
      <c r="K59" s="249">
        <v>0</v>
      </c>
      <c r="L59" s="274">
        <f>J59</f>
        <v>22848</v>
      </c>
      <c r="M59" s="274"/>
      <c r="N59" s="255">
        <v>45000</v>
      </c>
      <c r="O59" s="135">
        <f t="shared" si="29"/>
        <v>8550</v>
      </c>
      <c r="P59" s="135">
        <f t="shared" si="30"/>
        <v>53550</v>
      </c>
      <c r="Q59" s="11"/>
      <c r="R59" s="11"/>
      <c r="S59" s="11"/>
      <c r="T59" s="274"/>
      <c r="U59" s="274"/>
      <c r="V59" s="274"/>
      <c r="W59" s="11"/>
      <c r="X59" s="11"/>
      <c r="Y59" s="11"/>
      <c r="Z59" s="274"/>
      <c r="AA59" s="274"/>
      <c r="AB59" s="274"/>
      <c r="AC59" s="11"/>
      <c r="AD59" s="11"/>
      <c r="AE59" s="11"/>
      <c r="AF59" s="274"/>
      <c r="AG59" s="274"/>
      <c r="AH59" s="274"/>
      <c r="AI59" s="11"/>
      <c r="AJ59" s="11"/>
      <c r="AK59" s="11"/>
      <c r="AL59" s="118"/>
      <c r="AM59" s="118"/>
      <c r="AN59" s="118"/>
      <c r="AO59" s="52"/>
      <c r="AP59" s="52"/>
      <c r="AQ59" s="11"/>
      <c r="AR59" s="274"/>
      <c r="AS59" s="274"/>
      <c r="AT59" s="274"/>
      <c r="AU59" s="11"/>
      <c r="AV59" s="11"/>
      <c r="AW59" s="11"/>
      <c r="AX59" s="274"/>
      <c r="AY59" s="274"/>
      <c r="AZ59" s="274"/>
      <c r="BA59" s="11"/>
      <c r="BB59" s="11"/>
      <c r="BC59" s="11"/>
      <c r="BD59" s="274"/>
      <c r="BE59" s="274"/>
      <c r="BF59" s="274"/>
      <c r="BG59" s="11"/>
      <c r="BH59" s="11"/>
      <c r="BI59" s="11"/>
      <c r="BJ59" s="274">
        <v>90000</v>
      </c>
      <c r="BK59" s="274">
        <f>+BJ59*0</f>
        <v>0</v>
      </c>
      <c r="BL59" s="274">
        <f t="shared" si="32"/>
        <v>90000</v>
      </c>
      <c r="BM59" s="214" t="s">
        <v>445</v>
      </c>
      <c r="BN59" s="213" t="s">
        <v>164</v>
      </c>
      <c r="BO59" s="11"/>
      <c r="BP59" s="274">
        <v>65500</v>
      </c>
      <c r="BQ59" s="274">
        <f t="shared" si="35"/>
        <v>12445</v>
      </c>
      <c r="BR59" s="274">
        <f t="shared" si="36"/>
        <v>77945</v>
      </c>
      <c r="BS59" s="11"/>
      <c r="BT59" s="11"/>
      <c r="BU59" s="11"/>
      <c r="BV59" s="219">
        <v>212190.30000000002</v>
      </c>
      <c r="BW59" s="222">
        <f>+BV59*0</f>
        <v>0</v>
      </c>
      <c r="BX59" s="273">
        <f t="shared" si="34"/>
        <v>212190.30000000002</v>
      </c>
      <c r="BY59" s="214" t="s">
        <v>445</v>
      </c>
      <c r="BZ59" s="213" t="s">
        <v>164</v>
      </c>
      <c r="CA59" s="213"/>
      <c r="CB59" s="274"/>
      <c r="CC59" s="274"/>
      <c r="CD59" s="274"/>
      <c r="CE59" s="11"/>
      <c r="CF59" s="11"/>
      <c r="CG59" s="11"/>
      <c r="CH59" s="274"/>
      <c r="CI59" s="274"/>
      <c r="CJ59" s="274"/>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274"/>
      <c r="DM59" s="274"/>
      <c r="DN59" s="274"/>
      <c r="DO59" s="274"/>
      <c r="DP59" s="274"/>
      <c r="DQ59" s="274"/>
      <c r="DR59" s="274"/>
      <c r="DS59" s="274"/>
      <c r="DT59" s="274"/>
      <c r="DU59" s="274"/>
      <c r="DV59" s="274"/>
      <c r="DW59" s="274"/>
      <c r="DX59" s="274"/>
      <c r="DY59" s="274"/>
      <c r="DZ59" s="274"/>
      <c r="EA59" s="274"/>
      <c r="EB59" s="274"/>
      <c r="EC59" s="274"/>
      <c r="ED59" s="39">
        <f t="shared" si="4"/>
        <v>433685.30000000005</v>
      </c>
      <c r="EE59" s="30">
        <f t="shared" si="5"/>
        <v>4</v>
      </c>
      <c r="EF59" s="39">
        <f t="shared" si="6"/>
        <v>108421.32500000001</v>
      </c>
    </row>
    <row r="60" spans="1:136" x14ac:dyDescent="0.25">
      <c r="A60" s="25" t="e">
        <f>#REF!</f>
        <v>#REF!</v>
      </c>
      <c r="B60" s="50" t="e">
        <f>#REF!</f>
        <v>#REF!</v>
      </c>
      <c r="C60" s="5" t="e">
        <f>#REF!</f>
        <v>#REF!</v>
      </c>
      <c r="D60" s="5" t="e">
        <f>#REF!</f>
        <v>#REF!</v>
      </c>
      <c r="E60" s="252">
        <v>1</v>
      </c>
      <c r="F60" s="249">
        <v>0</v>
      </c>
      <c r="G60" s="249">
        <v>0</v>
      </c>
      <c r="H60" s="249">
        <v>0</v>
      </c>
      <c r="I60" s="249">
        <v>0</v>
      </c>
      <c r="J60" s="249">
        <v>0</v>
      </c>
      <c r="K60" s="249">
        <v>0</v>
      </c>
      <c r="L60" s="274"/>
      <c r="M60" s="274"/>
      <c r="N60" s="255">
        <v>6000</v>
      </c>
      <c r="O60" s="135">
        <f t="shared" si="29"/>
        <v>1140</v>
      </c>
      <c r="P60" s="135">
        <f t="shared" si="30"/>
        <v>7140</v>
      </c>
      <c r="Q60" s="131"/>
      <c r="R60" s="131"/>
      <c r="S60" s="11"/>
      <c r="T60" s="274"/>
      <c r="U60" s="274"/>
      <c r="V60" s="274"/>
      <c r="W60" s="39"/>
      <c r="X60" s="11"/>
      <c r="Y60" s="11"/>
      <c r="Z60" s="274"/>
      <c r="AA60" s="274"/>
      <c r="AB60" s="274"/>
      <c r="AC60" s="52"/>
      <c r="AD60" s="22"/>
      <c r="AE60" s="39"/>
      <c r="AF60" s="274"/>
      <c r="AG60" s="274"/>
      <c r="AH60" s="171"/>
      <c r="AI60" s="22"/>
      <c r="AJ60" s="39"/>
      <c r="AK60" s="39"/>
      <c r="AL60" s="118"/>
      <c r="AM60" s="152"/>
      <c r="AN60" s="181"/>
      <c r="AO60" s="131"/>
      <c r="AP60" s="131"/>
      <c r="AQ60" s="39"/>
      <c r="AR60" s="274"/>
      <c r="AS60" s="274"/>
      <c r="AT60" s="274"/>
      <c r="AU60" s="39"/>
      <c r="AV60" s="39"/>
      <c r="AW60" s="39"/>
      <c r="AX60" s="274"/>
      <c r="AY60" s="274"/>
      <c r="AZ60" s="274"/>
      <c r="BA60" s="39"/>
      <c r="BB60" s="62"/>
      <c r="BC60" s="39"/>
      <c r="BD60" s="274"/>
      <c r="BE60" s="274"/>
      <c r="BF60" s="274"/>
      <c r="BG60" s="39"/>
      <c r="BH60" s="39"/>
      <c r="BI60" s="39"/>
      <c r="BJ60" s="274">
        <v>240000</v>
      </c>
      <c r="BK60" s="274">
        <f>+BJ60*0</f>
        <v>0</v>
      </c>
      <c r="BL60" s="274">
        <f t="shared" si="32"/>
        <v>240000</v>
      </c>
      <c r="BM60" s="214" t="s">
        <v>445</v>
      </c>
      <c r="BN60" s="213" t="s">
        <v>164</v>
      </c>
      <c r="BO60" s="39"/>
      <c r="BP60" s="274">
        <v>12800</v>
      </c>
      <c r="BQ60" s="274">
        <f t="shared" si="35"/>
        <v>2432</v>
      </c>
      <c r="BR60" s="274">
        <f t="shared" si="36"/>
        <v>15232</v>
      </c>
      <c r="BS60" s="39"/>
      <c r="BT60" s="39"/>
      <c r="BU60" s="39"/>
      <c r="BV60" s="219">
        <v>267149.04000000004</v>
      </c>
      <c r="BW60" s="222">
        <f>+BV60*0</f>
        <v>0</v>
      </c>
      <c r="BX60" s="273">
        <f t="shared" si="34"/>
        <v>267149.04000000004</v>
      </c>
      <c r="BY60" s="214" t="s">
        <v>445</v>
      </c>
      <c r="BZ60" s="213" t="s">
        <v>164</v>
      </c>
      <c r="CA60" s="213"/>
      <c r="CB60" s="274"/>
      <c r="CC60" s="274"/>
      <c r="CD60" s="274"/>
      <c r="CE60" s="39"/>
      <c r="CF60" s="39"/>
      <c r="CG60" s="39"/>
      <c r="CH60" s="274"/>
      <c r="CI60" s="274"/>
      <c r="CJ60" s="274"/>
      <c r="CK60" s="39"/>
      <c r="CL60" s="39"/>
      <c r="CM60" s="39"/>
      <c r="CN60" s="39"/>
      <c r="CO60" s="39"/>
      <c r="CP60" s="11"/>
      <c r="CQ60" s="11"/>
      <c r="CR60" s="11"/>
      <c r="CS60" s="11"/>
      <c r="CT60" s="11"/>
      <c r="CU60" s="11"/>
      <c r="CV60" s="11"/>
      <c r="CW60" s="11"/>
      <c r="CX60" s="11"/>
      <c r="CY60" s="11"/>
      <c r="CZ60" s="11"/>
      <c r="DA60" s="11"/>
      <c r="DB60" s="11"/>
      <c r="DC60" s="11"/>
      <c r="DD60" s="11"/>
      <c r="DE60" s="11"/>
      <c r="DF60" s="11"/>
      <c r="DG60" s="11"/>
      <c r="DH60" s="11"/>
      <c r="DI60" s="11"/>
      <c r="DJ60" s="11"/>
      <c r="DK60" s="11"/>
      <c r="DL60" s="274"/>
      <c r="DM60" s="274"/>
      <c r="DN60" s="274"/>
      <c r="DO60" s="274"/>
      <c r="DP60" s="274"/>
      <c r="DQ60" s="274"/>
      <c r="DR60" s="274"/>
      <c r="DS60" s="274"/>
      <c r="DT60" s="274"/>
      <c r="DU60" s="274"/>
      <c r="DV60" s="274"/>
      <c r="DW60" s="274"/>
      <c r="DX60" s="274"/>
      <c r="DY60" s="274"/>
      <c r="DZ60" s="274"/>
      <c r="EA60" s="274"/>
      <c r="EB60" s="274"/>
      <c r="EC60" s="274"/>
      <c r="ED60" s="39">
        <f t="shared" si="4"/>
        <v>529521.04</v>
      </c>
      <c r="EE60" s="30">
        <f t="shared" si="5"/>
        <v>4</v>
      </c>
      <c r="EF60" s="39">
        <f t="shared" si="6"/>
        <v>132380.26</v>
      </c>
    </row>
    <row r="61" spans="1:136" x14ac:dyDescent="0.25">
      <c r="A61" s="25" t="e">
        <f>#REF!</f>
        <v>#REF!</v>
      </c>
      <c r="B61" s="50" t="e">
        <f>#REF!</f>
        <v>#REF!</v>
      </c>
      <c r="C61" s="5" t="e">
        <f>#REF!</f>
        <v>#REF!</v>
      </c>
      <c r="D61" s="5" t="e">
        <f>#REF!</f>
        <v>#REF!</v>
      </c>
      <c r="E61" s="252">
        <v>1</v>
      </c>
      <c r="F61" s="249">
        <v>0</v>
      </c>
      <c r="G61" s="249">
        <v>0</v>
      </c>
      <c r="H61" s="249">
        <v>0</v>
      </c>
      <c r="I61" s="249">
        <v>0</v>
      </c>
      <c r="J61" s="249">
        <v>0</v>
      </c>
      <c r="K61" s="249">
        <v>0</v>
      </c>
      <c r="L61" s="274"/>
      <c r="M61" s="274"/>
      <c r="N61" s="255">
        <v>6000</v>
      </c>
      <c r="O61" s="135">
        <f t="shared" si="29"/>
        <v>1140</v>
      </c>
      <c r="P61" s="135">
        <f t="shared" si="30"/>
        <v>7140</v>
      </c>
      <c r="Q61" s="131"/>
      <c r="R61" s="131"/>
      <c r="S61" s="11"/>
      <c r="T61" s="274"/>
      <c r="U61" s="274"/>
      <c r="V61" s="274"/>
      <c r="W61" s="39"/>
      <c r="X61" s="11"/>
      <c r="Y61" s="11"/>
      <c r="Z61" s="274"/>
      <c r="AA61" s="274"/>
      <c r="AB61" s="274"/>
      <c r="AC61" s="52"/>
      <c r="AD61" s="22"/>
      <c r="AE61" s="39"/>
      <c r="AF61" s="274"/>
      <c r="AG61" s="274"/>
      <c r="AH61" s="171"/>
      <c r="AI61" s="22"/>
      <c r="AJ61" s="39"/>
      <c r="AK61" s="39"/>
      <c r="AL61" s="118"/>
      <c r="AM61" s="152"/>
      <c r="AN61" s="181"/>
      <c r="AO61" s="131"/>
      <c r="AP61" s="131"/>
      <c r="AQ61" s="39"/>
      <c r="AR61" s="274"/>
      <c r="AS61" s="274"/>
      <c r="AT61" s="274"/>
      <c r="AU61" s="39"/>
      <c r="AV61" s="39"/>
      <c r="AW61" s="39"/>
      <c r="AX61" s="274"/>
      <c r="AY61" s="274"/>
      <c r="AZ61" s="274"/>
      <c r="BA61" s="39"/>
      <c r="BB61" s="62"/>
      <c r="BC61" s="39"/>
      <c r="BD61" s="274"/>
      <c r="BE61" s="274"/>
      <c r="BF61" s="274"/>
      <c r="BG61" s="39"/>
      <c r="BH61" s="39"/>
      <c r="BI61" s="39"/>
      <c r="BJ61" s="274">
        <v>240000</v>
      </c>
      <c r="BK61" s="274">
        <f>+BJ61*0</f>
        <v>0</v>
      </c>
      <c r="BL61" s="274">
        <f t="shared" si="32"/>
        <v>240000</v>
      </c>
      <c r="BM61" s="214" t="s">
        <v>445</v>
      </c>
      <c r="BN61" s="213" t="s">
        <v>164</v>
      </c>
      <c r="BO61" s="39"/>
      <c r="BP61" s="274">
        <v>12800</v>
      </c>
      <c r="BQ61" s="274">
        <f t="shared" si="35"/>
        <v>2432</v>
      </c>
      <c r="BR61" s="274">
        <f t="shared" si="36"/>
        <v>15232</v>
      </c>
      <c r="BS61" s="39"/>
      <c r="BT61" s="39"/>
      <c r="BU61" s="39"/>
      <c r="BV61" s="219">
        <v>277652.16000000003</v>
      </c>
      <c r="BW61" s="222">
        <f>+BV61*0</f>
        <v>0</v>
      </c>
      <c r="BX61" s="273">
        <f t="shared" si="34"/>
        <v>277652.16000000003</v>
      </c>
      <c r="BY61" s="214" t="s">
        <v>445</v>
      </c>
      <c r="BZ61" s="213" t="s">
        <v>164</v>
      </c>
      <c r="CA61" s="213"/>
      <c r="CB61" s="274"/>
      <c r="CC61" s="274"/>
      <c r="CD61" s="274"/>
      <c r="CE61" s="39"/>
      <c r="CF61" s="39"/>
      <c r="CG61" s="39"/>
      <c r="CH61" s="274"/>
      <c r="CI61" s="274"/>
      <c r="CJ61" s="274"/>
      <c r="CK61" s="39"/>
      <c r="CL61" s="39"/>
      <c r="CM61" s="39"/>
      <c r="CN61" s="39"/>
      <c r="CO61" s="39"/>
      <c r="CP61" s="11"/>
      <c r="CQ61" s="11"/>
      <c r="CR61" s="11"/>
      <c r="CS61" s="11"/>
      <c r="CT61" s="11"/>
      <c r="CU61" s="11"/>
      <c r="CV61" s="11"/>
      <c r="CW61" s="11"/>
      <c r="CX61" s="11"/>
      <c r="CY61" s="11"/>
      <c r="CZ61" s="11"/>
      <c r="DA61" s="11"/>
      <c r="DB61" s="11"/>
      <c r="DC61" s="11"/>
      <c r="DD61" s="11"/>
      <c r="DE61" s="11"/>
      <c r="DF61" s="11"/>
      <c r="DG61" s="11"/>
      <c r="DH61" s="11"/>
      <c r="DI61" s="11"/>
      <c r="DJ61" s="11"/>
      <c r="DK61" s="11"/>
      <c r="DL61" s="274"/>
      <c r="DM61" s="274"/>
      <c r="DN61" s="274"/>
      <c r="DO61" s="274"/>
      <c r="DP61" s="274"/>
      <c r="DQ61" s="274"/>
      <c r="DR61" s="274"/>
      <c r="DS61" s="274"/>
      <c r="DT61" s="274"/>
      <c r="DU61" s="274"/>
      <c r="DV61" s="274"/>
      <c r="DW61" s="274"/>
      <c r="DX61" s="274"/>
      <c r="DY61" s="274"/>
      <c r="DZ61" s="274"/>
      <c r="EA61" s="274"/>
      <c r="EB61" s="274"/>
      <c r="EC61" s="274"/>
      <c r="ED61" s="39">
        <f t="shared" si="4"/>
        <v>540024.16</v>
      </c>
      <c r="EE61" s="30">
        <f t="shared" si="5"/>
        <v>4</v>
      </c>
      <c r="EF61" s="39">
        <f t="shared" si="6"/>
        <v>135006.04</v>
      </c>
    </row>
    <row r="62" spans="1:136" x14ac:dyDescent="0.25">
      <c r="A62" s="25" t="e">
        <f>#REF!</f>
        <v>#REF!</v>
      </c>
      <c r="B62" s="50" t="e">
        <f>#REF!</f>
        <v>#REF!</v>
      </c>
      <c r="C62" s="5" t="e">
        <f>#REF!</f>
        <v>#REF!</v>
      </c>
      <c r="D62" s="5" t="e">
        <f>#REF!</f>
        <v>#REF!</v>
      </c>
      <c r="E62" s="252">
        <v>1</v>
      </c>
      <c r="F62" s="249">
        <v>0</v>
      </c>
      <c r="G62" s="249">
        <v>0</v>
      </c>
      <c r="H62" s="249">
        <v>86096.5</v>
      </c>
      <c r="I62" s="249">
        <v>0</v>
      </c>
      <c r="J62" s="249">
        <v>57120</v>
      </c>
      <c r="K62" s="249">
        <v>0</v>
      </c>
      <c r="L62" s="274">
        <f>AVERAGE(H62,J62)</f>
        <v>71608.25</v>
      </c>
      <c r="M62" s="274"/>
      <c r="N62" s="255">
        <v>22500</v>
      </c>
      <c r="O62" s="135">
        <f t="shared" si="29"/>
        <v>4275</v>
      </c>
      <c r="P62" s="135">
        <f t="shared" si="30"/>
        <v>26775</v>
      </c>
      <c r="Q62" s="131"/>
      <c r="R62" s="131"/>
      <c r="S62" s="11"/>
      <c r="T62" s="274"/>
      <c r="U62" s="274"/>
      <c r="V62" s="274"/>
      <c r="W62" s="39"/>
      <c r="X62" s="11"/>
      <c r="Y62" s="11"/>
      <c r="Z62" s="274"/>
      <c r="AA62" s="274"/>
      <c r="AB62" s="274"/>
      <c r="AC62" s="52"/>
      <c r="AD62" s="22"/>
      <c r="AE62" s="39"/>
      <c r="AF62" s="274"/>
      <c r="AG62" s="274"/>
      <c r="AH62" s="171"/>
      <c r="AI62" s="4"/>
      <c r="AJ62" s="39"/>
      <c r="AK62" s="39"/>
      <c r="AL62" s="118"/>
      <c r="AM62" s="152"/>
      <c r="AN62" s="181"/>
      <c r="AO62" s="131"/>
      <c r="AP62" s="131"/>
      <c r="AQ62" s="39"/>
      <c r="AR62" s="274"/>
      <c r="AS62" s="274"/>
      <c r="AT62" s="274"/>
      <c r="AU62" s="39"/>
      <c r="AV62" s="39"/>
      <c r="AW62" s="39"/>
      <c r="AX62" s="274"/>
      <c r="AY62" s="274"/>
      <c r="AZ62" s="274"/>
      <c r="BA62" s="39"/>
      <c r="BB62" s="62"/>
      <c r="BC62" s="39"/>
      <c r="BD62" s="274"/>
      <c r="BE62" s="274"/>
      <c r="BF62" s="274"/>
      <c r="BG62" s="39"/>
      <c r="BH62" s="39"/>
      <c r="BI62" s="39"/>
      <c r="BJ62" s="274"/>
      <c r="BK62" s="274"/>
      <c r="BL62" s="274"/>
      <c r="BM62" s="213"/>
      <c r="BN62" s="213"/>
      <c r="BO62" s="39"/>
      <c r="BP62" s="274">
        <v>18000</v>
      </c>
      <c r="BQ62" s="274">
        <f t="shared" si="35"/>
        <v>3420</v>
      </c>
      <c r="BR62" s="274">
        <f t="shared" si="36"/>
        <v>21420</v>
      </c>
      <c r="BS62" s="39"/>
      <c r="BT62" s="39"/>
      <c r="BU62" s="39"/>
      <c r="BV62" s="212"/>
      <c r="BW62" s="221"/>
      <c r="BX62" s="273"/>
      <c r="BY62" s="213"/>
      <c r="BZ62" s="213"/>
      <c r="CA62" s="213"/>
      <c r="CB62" s="274"/>
      <c r="CC62" s="274"/>
      <c r="CD62" s="274"/>
      <c r="CE62" s="39"/>
      <c r="CF62" s="39"/>
      <c r="CG62" s="39"/>
      <c r="CH62" s="274"/>
      <c r="CI62" s="274"/>
      <c r="CJ62" s="274"/>
      <c r="CK62" s="39"/>
      <c r="CL62" s="39"/>
      <c r="CM62" s="39"/>
      <c r="CN62" s="39"/>
      <c r="CO62" s="39"/>
      <c r="CP62" s="11"/>
      <c r="CQ62" s="11"/>
      <c r="CR62" s="11"/>
      <c r="CS62" s="11"/>
      <c r="CT62" s="11"/>
      <c r="CU62" s="11"/>
      <c r="CV62" s="11"/>
      <c r="CW62" s="11"/>
      <c r="CX62" s="11"/>
      <c r="CY62" s="11"/>
      <c r="CZ62" s="11"/>
      <c r="DA62" s="11"/>
      <c r="DB62" s="11"/>
      <c r="DC62" s="11"/>
      <c r="DD62" s="11"/>
      <c r="DE62" s="11"/>
      <c r="DF62" s="11"/>
      <c r="DG62" s="11"/>
      <c r="DH62" s="11"/>
      <c r="DI62" s="11"/>
      <c r="DJ62" s="11"/>
      <c r="DK62" s="11"/>
      <c r="DL62" s="274"/>
      <c r="DM62" s="274"/>
      <c r="DN62" s="274"/>
      <c r="DO62" s="274"/>
      <c r="DP62" s="274"/>
      <c r="DQ62" s="274"/>
      <c r="DR62" s="274"/>
      <c r="DS62" s="274"/>
      <c r="DT62" s="274"/>
      <c r="DU62" s="274"/>
      <c r="DV62" s="274"/>
      <c r="DW62" s="274"/>
      <c r="DX62" s="274"/>
      <c r="DY62" s="274"/>
      <c r="DZ62" s="274"/>
      <c r="EA62" s="274"/>
      <c r="EB62" s="274"/>
      <c r="EC62" s="274"/>
      <c r="ED62" s="39">
        <f t="shared" si="4"/>
        <v>48195</v>
      </c>
      <c r="EE62" s="30">
        <f t="shared" si="5"/>
        <v>2</v>
      </c>
      <c r="EF62" s="39">
        <f t="shared" si="6"/>
        <v>24097.5</v>
      </c>
    </row>
    <row r="63" spans="1:136" x14ac:dyDescent="0.25">
      <c r="A63" s="25" t="e">
        <f>#REF!</f>
        <v>#REF!</v>
      </c>
      <c r="B63" s="50" t="e">
        <f>#REF!</f>
        <v>#REF!</v>
      </c>
      <c r="C63" s="5" t="e">
        <f>#REF!</f>
        <v>#REF!</v>
      </c>
      <c r="D63" s="5" t="e">
        <f>#REF!</f>
        <v>#REF!</v>
      </c>
      <c r="E63" s="252">
        <v>1</v>
      </c>
      <c r="F63" s="249">
        <v>0</v>
      </c>
      <c r="G63" s="249">
        <v>0</v>
      </c>
      <c r="H63" s="249">
        <v>0</v>
      </c>
      <c r="I63" s="249">
        <v>0</v>
      </c>
      <c r="J63" s="249">
        <v>0</v>
      </c>
      <c r="K63" s="249">
        <v>0</v>
      </c>
      <c r="L63" s="274"/>
      <c r="M63" s="274"/>
      <c r="N63" s="255">
        <v>20000</v>
      </c>
      <c r="O63" s="135">
        <f t="shared" si="29"/>
        <v>3800</v>
      </c>
      <c r="P63" s="135">
        <f t="shared" si="30"/>
        <v>23800</v>
      </c>
      <c r="Q63" s="131"/>
      <c r="R63" s="131"/>
      <c r="S63" s="11"/>
      <c r="T63" s="274"/>
      <c r="U63" s="274"/>
      <c r="V63" s="274"/>
      <c r="W63" s="39"/>
      <c r="X63" s="11"/>
      <c r="Y63" s="11"/>
      <c r="Z63" s="274"/>
      <c r="AA63" s="274"/>
      <c r="AB63" s="274"/>
      <c r="AC63" s="52"/>
      <c r="AD63" s="22"/>
      <c r="AE63" s="39"/>
      <c r="AF63" s="274"/>
      <c r="AG63" s="274"/>
      <c r="AH63" s="171"/>
      <c r="AI63" s="4"/>
      <c r="AJ63" s="39"/>
      <c r="AK63" s="39"/>
      <c r="AL63" s="118"/>
      <c r="AM63" s="152"/>
      <c r="AN63" s="181"/>
      <c r="AO63" s="131"/>
      <c r="AP63" s="131"/>
      <c r="AQ63" s="39"/>
      <c r="AR63" s="274"/>
      <c r="AS63" s="274"/>
      <c r="AT63" s="274"/>
      <c r="AU63" s="39"/>
      <c r="AV63" s="39"/>
      <c r="AW63" s="39"/>
      <c r="AX63" s="274"/>
      <c r="AY63" s="274"/>
      <c r="AZ63" s="274"/>
      <c r="BA63" s="39"/>
      <c r="BB63" s="62"/>
      <c r="BC63" s="39"/>
      <c r="BD63" s="274"/>
      <c r="BE63" s="274"/>
      <c r="BF63" s="274"/>
      <c r="BG63" s="39"/>
      <c r="BH63" s="39"/>
      <c r="BI63" s="39"/>
      <c r="BJ63" s="274">
        <v>61000</v>
      </c>
      <c r="BK63" s="274">
        <f>+BJ63*0.19</f>
        <v>11590</v>
      </c>
      <c r="BL63" s="274">
        <f>+BJ63+BK63</f>
        <v>72590</v>
      </c>
      <c r="BM63" s="213" t="s">
        <v>2891</v>
      </c>
      <c r="BN63" s="213" t="s">
        <v>2970</v>
      </c>
      <c r="BO63" s="39"/>
      <c r="BP63" s="274">
        <v>26500</v>
      </c>
      <c r="BQ63" s="274">
        <f t="shared" si="35"/>
        <v>5035</v>
      </c>
      <c r="BR63" s="274">
        <f t="shared" si="36"/>
        <v>31535</v>
      </c>
      <c r="BS63" s="39"/>
      <c r="BT63" s="39"/>
      <c r="BU63" s="39"/>
      <c r="BV63" s="219">
        <v>66581.927000000011</v>
      </c>
      <c r="BW63" s="219">
        <f>+BV63*0.19</f>
        <v>12650.566130000003</v>
      </c>
      <c r="BX63" s="273">
        <f>+BV63+BW63</f>
        <v>79232.493130000017</v>
      </c>
      <c r="BY63" s="213" t="s">
        <v>2891</v>
      </c>
      <c r="BZ63" s="213" t="s">
        <v>2970</v>
      </c>
      <c r="CA63" s="213"/>
      <c r="CB63" s="274"/>
      <c r="CC63" s="274"/>
      <c r="CD63" s="274"/>
      <c r="CE63" s="39"/>
      <c r="CF63" s="39"/>
      <c r="CG63" s="39"/>
      <c r="CH63" s="274"/>
      <c r="CI63" s="274"/>
      <c r="CJ63" s="274"/>
      <c r="CK63" s="39"/>
      <c r="CL63" s="39"/>
      <c r="CM63" s="39"/>
      <c r="CN63" s="39"/>
      <c r="CO63" s="39"/>
      <c r="CP63" s="11"/>
      <c r="CQ63" s="11"/>
      <c r="CR63" s="11"/>
      <c r="CS63" s="11"/>
      <c r="CT63" s="11"/>
      <c r="CU63" s="11"/>
      <c r="CV63" s="11"/>
      <c r="CW63" s="11"/>
      <c r="CX63" s="11"/>
      <c r="CY63" s="11"/>
      <c r="CZ63" s="11"/>
      <c r="DA63" s="11"/>
      <c r="DB63" s="11"/>
      <c r="DC63" s="11"/>
      <c r="DD63" s="11"/>
      <c r="DE63" s="11"/>
      <c r="DF63" s="11"/>
      <c r="DG63" s="11"/>
      <c r="DH63" s="11"/>
      <c r="DI63" s="11"/>
      <c r="DJ63" s="11"/>
      <c r="DK63" s="11"/>
      <c r="DL63" s="274"/>
      <c r="DM63" s="274"/>
      <c r="DN63" s="274"/>
      <c r="DO63" s="274"/>
      <c r="DP63" s="274"/>
      <c r="DQ63" s="274"/>
      <c r="DR63" s="274"/>
      <c r="DS63" s="274"/>
      <c r="DT63" s="274"/>
      <c r="DU63" s="274"/>
      <c r="DV63" s="274"/>
      <c r="DW63" s="274"/>
      <c r="DX63" s="274"/>
      <c r="DY63" s="274"/>
      <c r="DZ63" s="274"/>
      <c r="EA63" s="274"/>
      <c r="EB63" s="274"/>
      <c r="EC63" s="274"/>
      <c r="ED63" s="39">
        <f t="shared" si="4"/>
        <v>207157.49313000002</v>
      </c>
      <c r="EE63" s="30">
        <f t="shared" si="5"/>
        <v>4</v>
      </c>
      <c r="EF63" s="39">
        <f t="shared" si="6"/>
        <v>51789.373282500004</v>
      </c>
    </row>
    <row r="64" spans="1:136" x14ac:dyDescent="0.25">
      <c r="A64" s="25" t="e">
        <f>#REF!</f>
        <v>#REF!</v>
      </c>
      <c r="B64" s="50" t="e">
        <f>#REF!</f>
        <v>#REF!</v>
      </c>
      <c r="C64" s="5" t="e">
        <f>#REF!</f>
        <v>#REF!</v>
      </c>
      <c r="D64" s="5" t="e">
        <f>#REF!</f>
        <v>#REF!</v>
      </c>
      <c r="E64" s="252">
        <v>1</v>
      </c>
      <c r="F64" s="249">
        <v>0</v>
      </c>
      <c r="G64" s="249">
        <v>0</v>
      </c>
      <c r="H64" s="249">
        <v>95200</v>
      </c>
      <c r="I64" s="249">
        <v>0</v>
      </c>
      <c r="J64" s="249">
        <v>99930.25</v>
      </c>
      <c r="K64" s="249">
        <v>59500</v>
      </c>
      <c r="L64" s="274">
        <f>AVERAGE(H64,J64)</f>
        <v>97565.125</v>
      </c>
      <c r="M64" s="274">
        <f>K64*E1</f>
        <v>61285</v>
      </c>
      <c r="N64" s="255">
        <v>85000</v>
      </c>
      <c r="O64" s="135">
        <f t="shared" si="29"/>
        <v>16150</v>
      </c>
      <c r="P64" s="135">
        <f t="shared" si="30"/>
        <v>101150</v>
      </c>
      <c r="Q64" s="131"/>
      <c r="R64" s="131"/>
      <c r="S64" s="11"/>
      <c r="T64" s="274"/>
      <c r="U64" s="274"/>
      <c r="V64" s="274"/>
      <c r="W64" s="39"/>
      <c r="X64" s="11"/>
      <c r="Y64" s="11"/>
      <c r="Z64" s="274"/>
      <c r="AA64" s="274"/>
      <c r="AB64" s="274"/>
      <c r="AC64" s="52"/>
      <c r="AD64" s="22"/>
      <c r="AE64" s="39"/>
      <c r="AF64" s="274"/>
      <c r="AG64" s="274"/>
      <c r="AH64" s="113"/>
      <c r="AI64" s="4"/>
      <c r="AJ64" s="39"/>
      <c r="AK64" s="39"/>
      <c r="AL64" s="118"/>
      <c r="AM64" s="152"/>
      <c r="AN64" s="181"/>
      <c r="AO64" s="131"/>
      <c r="AP64" s="131"/>
      <c r="AQ64" s="39"/>
      <c r="AR64" s="274"/>
      <c r="AS64" s="274"/>
      <c r="AT64" s="274"/>
      <c r="AU64" s="39"/>
      <c r="AV64" s="39"/>
      <c r="AW64" s="39"/>
      <c r="AX64" s="274"/>
      <c r="AY64" s="274"/>
      <c r="AZ64" s="274"/>
      <c r="BA64" s="39"/>
      <c r="BB64" s="62"/>
      <c r="BC64" s="39"/>
      <c r="BD64" s="274"/>
      <c r="BE64" s="274"/>
      <c r="BF64" s="274"/>
      <c r="BG64" s="39"/>
      <c r="BH64" s="39"/>
      <c r="BI64" s="39"/>
      <c r="BJ64" s="274"/>
      <c r="BK64" s="274"/>
      <c r="BL64" s="274"/>
      <c r="BM64" s="213"/>
      <c r="BN64" s="213"/>
      <c r="BO64" s="39"/>
      <c r="BP64" s="274">
        <v>68500</v>
      </c>
      <c r="BQ64" s="274">
        <f t="shared" si="35"/>
        <v>13015</v>
      </c>
      <c r="BR64" s="274">
        <f t="shared" si="36"/>
        <v>81515</v>
      </c>
      <c r="BS64" s="39"/>
      <c r="BT64" s="39"/>
      <c r="BU64" s="39"/>
      <c r="BV64" s="212"/>
      <c r="BW64" s="221"/>
      <c r="BX64" s="273"/>
      <c r="BY64" s="213"/>
      <c r="BZ64" s="213"/>
      <c r="CA64" s="213"/>
      <c r="CB64" s="274"/>
      <c r="CC64" s="274"/>
      <c r="CD64" s="274"/>
      <c r="CE64" s="39"/>
      <c r="CF64" s="39"/>
      <c r="CG64" s="39"/>
      <c r="CH64" s="274"/>
      <c r="CI64" s="274"/>
      <c r="CJ64" s="274"/>
      <c r="CK64" s="39"/>
      <c r="CL64" s="39"/>
      <c r="CM64" s="39"/>
      <c r="CN64" s="39"/>
      <c r="CO64" s="39"/>
      <c r="CP64" s="11"/>
      <c r="CQ64" s="11"/>
      <c r="CR64" s="11"/>
      <c r="CS64" s="11"/>
      <c r="CT64" s="11"/>
      <c r="CU64" s="11"/>
      <c r="CV64" s="11"/>
      <c r="CW64" s="11"/>
      <c r="CX64" s="11"/>
      <c r="CY64" s="11"/>
      <c r="CZ64" s="11"/>
      <c r="DA64" s="11"/>
      <c r="DB64" s="11"/>
      <c r="DC64" s="11"/>
      <c r="DD64" s="11"/>
      <c r="DE64" s="11"/>
      <c r="DF64" s="11"/>
      <c r="DG64" s="11"/>
      <c r="DH64" s="11"/>
      <c r="DI64" s="11"/>
      <c r="DJ64" s="11"/>
      <c r="DK64" s="11"/>
      <c r="DL64" s="274"/>
      <c r="DM64" s="274"/>
      <c r="DN64" s="274"/>
      <c r="DO64" s="274"/>
      <c r="DP64" s="274"/>
      <c r="DQ64" s="274"/>
      <c r="DR64" s="274"/>
      <c r="DS64" s="274"/>
      <c r="DT64" s="274"/>
      <c r="DU64" s="274"/>
      <c r="DV64" s="274"/>
      <c r="DW64" s="274"/>
      <c r="DX64" s="274"/>
      <c r="DY64" s="274"/>
      <c r="DZ64" s="274"/>
      <c r="EA64" s="274"/>
      <c r="EB64" s="274"/>
      <c r="EC64" s="274"/>
      <c r="ED64" s="39">
        <f t="shared" si="4"/>
        <v>243950</v>
      </c>
      <c r="EE64" s="30">
        <f t="shared" si="5"/>
        <v>3</v>
      </c>
      <c r="EF64" s="39">
        <f t="shared" si="6"/>
        <v>81316.666666666672</v>
      </c>
    </row>
    <row r="65" spans="1:136" x14ac:dyDescent="0.25">
      <c r="A65" s="25" t="e">
        <f>#REF!</f>
        <v>#REF!</v>
      </c>
      <c r="B65" s="50" t="e">
        <f>#REF!</f>
        <v>#REF!</v>
      </c>
      <c r="C65" s="5" t="e">
        <f>#REF!</f>
        <v>#REF!</v>
      </c>
      <c r="D65" s="5" t="e">
        <f>#REF!</f>
        <v>#REF!</v>
      </c>
      <c r="E65" s="252">
        <v>1</v>
      </c>
      <c r="F65" s="249">
        <v>691866</v>
      </c>
      <c r="G65" s="249">
        <v>671041</v>
      </c>
      <c r="H65" s="249">
        <v>268003.86666666664</v>
      </c>
      <c r="I65" s="249">
        <v>267988</v>
      </c>
      <c r="J65" s="249">
        <v>575421.52500000002</v>
      </c>
      <c r="K65" s="249">
        <v>571200</v>
      </c>
      <c r="L65" s="274">
        <f>AVERAGE(F65,H65,J65)</f>
        <v>511763.7972222222</v>
      </c>
      <c r="M65" s="274">
        <f>AVERAGE(G65,I65,K65)*E1</f>
        <v>518511.95666666672</v>
      </c>
      <c r="N65" s="255">
        <v>375000</v>
      </c>
      <c r="O65" s="135">
        <f t="shared" si="29"/>
        <v>71250</v>
      </c>
      <c r="P65" s="135">
        <f t="shared" si="30"/>
        <v>446250</v>
      </c>
      <c r="Q65" s="131"/>
      <c r="R65" s="131"/>
      <c r="S65" s="11"/>
      <c r="T65" s="274"/>
      <c r="U65" s="274"/>
      <c r="V65" s="274"/>
      <c r="W65" s="39"/>
      <c r="X65" s="11"/>
      <c r="Y65" s="11"/>
      <c r="Z65" s="274"/>
      <c r="AA65" s="274"/>
      <c r="AB65" s="274"/>
      <c r="AC65" s="52"/>
      <c r="AD65" s="22"/>
      <c r="AE65" s="39"/>
      <c r="AF65" s="274"/>
      <c r="AG65" s="274"/>
      <c r="AH65" s="171"/>
      <c r="AI65" s="4"/>
      <c r="AJ65" s="39"/>
      <c r="AK65" s="39"/>
      <c r="AL65" s="118"/>
      <c r="AM65" s="152"/>
      <c r="AN65" s="181"/>
      <c r="AO65" s="131"/>
      <c r="AP65" s="131"/>
      <c r="AQ65" s="39"/>
      <c r="AR65" s="274"/>
      <c r="AS65" s="274"/>
      <c r="AT65" s="274"/>
      <c r="AU65" s="39"/>
      <c r="AV65" s="39"/>
      <c r="AW65" s="39"/>
      <c r="AX65" s="274"/>
      <c r="AY65" s="274"/>
      <c r="AZ65" s="274"/>
      <c r="BA65" s="39"/>
      <c r="BB65" s="62"/>
      <c r="BC65" s="39"/>
      <c r="BD65" s="274"/>
      <c r="BE65" s="274"/>
      <c r="BF65" s="274"/>
      <c r="BG65" s="39"/>
      <c r="BH65" s="39"/>
      <c r="BI65" s="39"/>
      <c r="BJ65" s="274">
        <v>969800</v>
      </c>
      <c r="BK65" s="274">
        <f>+BJ65*0.19</f>
        <v>184262</v>
      </c>
      <c r="BL65" s="274">
        <f>+BJ65+BK65</f>
        <v>1154062</v>
      </c>
      <c r="BM65" s="213" t="s">
        <v>4757</v>
      </c>
      <c r="BN65" s="213" t="s">
        <v>338</v>
      </c>
      <c r="BO65" s="39"/>
      <c r="BP65" s="274">
        <v>520000</v>
      </c>
      <c r="BQ65" s="274">
        <f t="shared" si="35"/>
        <v>98800</v>
      </c>
      <c r="BR65" s="274">
        <f t="shared" si="36"/>
        <v>618800</v>
      </c>
      <c r="BS65" s="39"/>
      <c r="BT65" s="39"/>
      <c r="BU65" s="39"/>
      <c r="BV65" s="223"/>
      <c r="BW65" s="219"/>
      <c r="BX65" s="273"/>
      <c r="BY65" s="213"/>
      <c r="BZ65" s="213"/>
      <c r="CA65" s="213"/>
      <c r="CB65" s="274"/>
      <c r="CC65" s="274"/>
      <c r="CD65" s="274"/>
      <c r="CE65" s="39"/>
      <c r="CF65" s="39"/>
      <c r="CG65" s="39"/>
      <c r="CH65" s="274"/>
      <c r="CI65" s="274"/>
      <c r="CJ65" s="274"/>
      <c r="CK65" s="39"/>
      <c r="CL65" s="39"/>
      <c r="CM65" s="39"/>
      <c r="CN65" s="39"/>
      <c r="CO65" s="39"/>
      <c r="CP65" s="11"/>
      <c r="CQ65" s="11"/>
      <c r="CR65" s="11"/>
      <c r="CS65" s="11"/>
      <c r="CT65" s="11"/>
      <c r="CU65" s="11"/>
      <c r="CV65" s="11"/>
      <c r="CW65" s="11"/>
      <c r="CX65" s="11"/>
      <c r="CY65" s="11"/>
      <c r="CZ65" s="11"/>
      <c r="DA65" s="11"/>
      <c r="DB65" s="11"/>
      <c r="DC65" s="11"/>
      <c r="DD65" s="11"/>
      <c r="DE65" s="11"/>
      <c r="DF65" s="11"/>
      <c r="DG65" s="11"/>
      <c r="DH65" s="11"/>
      <c r="DI65" s="11"/>
      <c r="DJ65" s="11"/>
      <c r="DK65" s="11"/>
      <c r="DL65" s="274"/>
      <c r="DM65" s="274"/>
      <c r="DN65" s="274"/>
      <c r="DO65" s="274"/>
      <c r="DP65" s="274"/>
      <c r="DQ65" s="274"/>
      <c r="DR65" s="274"/>
      <c r="DS65" s="274"/>
      <c r="DT65" s="274"/>
      <c r="DU65" s="274"/>
      <c r="DV65" s="274"/>
      <c r="DW65" s="274"/>
      <c r="DX65" s="274"/>
      <c r="DY65" s="274"/>
      <c r="DZ65" s="274"/>
      <c r="EA65" s="274"/>
      <c r="EB65" s="274"/>
      <c r="EC65" s="274"/>
      <c r="ED65" s="39">
        <f t="shared" si="4"/>
        <v>2737623.956666667</v>
      </c>
      <c r="EE65" s="30">
        <f t="shared" si="5"/>
        <v>4</v>
      </c>
      <c r="EF65" s="39">
        <f t="shared" si="6"/>
        <v>684405.98916666675</v>
      </c>
    </row>
    <row r="66" spans="1:136" x14ac:dyDescent="0.25">
      <c r="A66" s="25" t="e">
        <f>#REF!</f>
        <v>#REF!</v>
      </c>
      <c r="B66" s="50" t="e">
        <f>#REF!</f>
        <v>#REF!</v>
      </c>
      <c r="C66" s="5" t="e">
        <f>#REF!</f>
        <v>#REF!</v>
      </c>
      <c r="D66" s="5" t="e">
        <f>#REF!</f>
        <v>#REF!</v>
      </c>
      <c r="E66" s="252">
        <v>1</v>
      </c>
      <c r="F66" s="249">
        <v>395341.8</v>
      </c>
      <c r="G66" s="249">
        <v>238000</v>
      </c>
      <c r="H66" s="249">
        <v>133835.33333333334</v>
      </c>
      <c r="I66" s="249">
        <v>0</v>
      </c>
      <c r="J66" s="249">
        <v>273700</v>
      </c>
      <c r="K66" s="249">
        <v>273700</v>
      </c>
      <c r="L66" s="274">
        <f>AVERAGE(F66,H66,J66)</f>
        <v>267625.7111111111</v>
      </c>
      <c r="M66" s="274">
        <f>AVERAGE(G66,K66)*E1</f>
        <v>263525.5</v>
      </c>
      <c r="N66" s="255">
        <v>250000</v>
      </c>
      <c r="O66" s="135">
        <f t="shared" si="29"/>
        <v>47500</v>
      </c>
      <c r="P66" s="135">
        <f t="shared" si="30"/>
        <v>297500</v>
      </c>
      <c r="Q66" s="131"/>
      <c r="R66" s="131"/>
      <c r="S66" s="11"/>
      <c r="T66" s="274"/>
      <c r="U66" s="274"/>
      <c r="V66" s="274"/>
      <c r="W66" s="39"/>
      <c r="X66" s="11"/>
      <c r="Y66" s="11"/>
      <c r="Z66" s="274"/>
      <c r="AA66" s="274"/>
      <c r="AB66" s="274"/>
      <c r="AC66" s="52"/>
      <c r="AD66" s="22"/>
      <c r="AE66" s="39"/>
      <c r="AF66" s="274"/>
      <c r="AG66" s="274"/>
      <c r="AH66" s="171"/>
      <c r="AI66" s="4"/>
      <c r="AJ66" s="39"/>
      <c r="AK66" s="39"/>
      <c r="AL66" s="118">
        <f>+(1286232/500)*200</f>
        <v>514492.8</v>
      </c>
      <c r="AM66" s="152">
        <f>+AL66*0.19</f>
        <v>97753.631999999998</v>
      </c>
      <c r="AN66" s="152">
        <f>+AL66+AM66</f>
        <v>612246.43200000003</v>
      </c>
      <c r="AO66" s="131" t="s">
        <v>2966</v>
      </c>
      <c r="AP66" s="131" t="s">
        <v>4758</v>
      </c>
      <c r="AQ66" s="39"/>
      <c r="AR66" s="274"/>
      <c r="AS66" s="274"/>
      <c r="AT66" s="274"/>
      <c r="AU66" s="39"/>
      <c r="AV66" s="39"/>
      <c r="AW66" s="39"/>
      <c r="AX66" s="274"/>
      <c r="AY66" s="274"/>
      <c r="AZ66" s="274"/>
      <c r="BA66" s="39"/>
      <c r="BB66" s="62"/>
      <c r="BC66" s="39"/>
      <c r="BD66" s="274"/>
      <c r="BE66" s="274"/>
      <c r="BF66" s="274"/>
      <c r="BG66" s="39"/>
      <c r="BH66" s="39"/>
      <c r="BI66" s="39"/>
      <c r="BJ66" s="164">
        <f>1302500/2</f>
        <v>651250</v>
      </c>
      <c r="BK66" s="274">
        <f>+BJ66*0.19</f>
        <v>123737.5</v>
      </c>
      <c r="BL66" s="274">
        <f>+BJ66+BK66</f>
        <v>774987.5</v>
      </c>
      <c r="BM66" s="213" t="s">
        <v>4759</v>
      </c>
      <c r="BN66" s="213" t="s">
        <v>338</v>
      </c>
      <c r="BO66" s="39"/>
      <c r="BP66" s="274">
        <v>550000</v>
      </c>
      <c r="BQ66" s="274">
        <f t="shared" si="35"/>
        <v>104500</v>
      </c>
      <c r="BR66" s="274">
        <f t="shared" si="36"/>
        <v>654500</v>
      </c>
      <c r="BS66" s="39"/>
      <c r="BT66" s="39"/>
      <c r="BU66" s="39"/>
      <c r="BV66" s="223"/>
      <c r="BW66" s="219"/>
      <c r="BX66" s="273"/>
      <c r="BY66" s="213"/>
      <c r="BZ66" s="213"/>
      <c r="CA66" s="213"/>
      <c r="CB66" s="274"/>
      <c r="CC66" s="274"/>
      <c r="CD66" s="274"/>
      <c r="CE66" s="39"/>
      <c r="CF66" s="39"/>
      <c r="CG66" s="39"/>
      <c r="CH66" s="274"/>
      <c r="CI66" s="274"/>
      <c r="CJ66" s="274"/>
      <c r="CK66" s="39"/>
      <c r="CL66" s="39"/>
      <c r="CM66" s="39"/>
      <c r="CN66" s="39"/>
      <c r="CO66" s="39"/>
      <c r="CP66" s="11"/>
      <c r="CQ66" s="11"/>
      <c r="CR66" s="11"/>
      <c r="CS66" s="11"/>
      <c r="CT66" s="11"/>
      <c r="CU66" s="11"/>
      <c r="CV66" s="11"/>
      <c r="CW66" s="11"/>
      <c r="CX66" s="11"/>
      <c r="CY66" s="11"/>
      <c r="CZ66" s="11"/>
      <c r="DA66" s="11"/>
      <c r="DB66" s="11"/>
      <c r="DC66" s="11"/>
      <c r="DD66" s="11"/>
      <c r="DE66" s="11"/>
      <c r="DF66" s="11"/>
      <c r="DG66" s="11"/>
      <c r="DH66" s="11"/>
      <c r="DI66" s="11"/>
      <c r="DJ66" s="11"/>
      <c r="DK66" s="11"/>
      <c r="DL66" s="274"/>
      <c r="DM66" s="274"/>
      <c r="DN66" s="274"/>
      <c r="DO66" s="274"/>
      <c r="DP66" s="274"/>
      <c r="DQ66" s="274"/>
      <c r="DR66" s="274"/>
      <c r="DS66" s="274"/>
      <c r="DT66" s="274"/>
      <c r="DU66" s="274"/>
      <c r="DV66" s="274"/>
      <c r="DW66" s="274"/>
      <c r="DX66" s="274"/>
      <c r="DY66" s="274"/>
      <c r="DZ66" s="274"/>
      <c r="EA66" s="274"/>
      <c r="EB66" s="274"/>
      <c r="EC66" s="274"/>
      <c r="ED66" s="39">
        <f t="shared" si="4"/>
        <v>2602759.432</v>
      </c>
      <c r="EE66" s="30">
        <f t="shared" si="5"/>
        <v>5</v>
      </c>
      <c r="EF66" s="39">
        <f t="shared" si="6"/>
        <v>520551.88640000002</v>
      </c>
    </row>
    <row r="67" spans="1:136" x14ac:dyDescent="0.25">
      <c r="A67" s="25" t="e">
        <f>#REF!</f>
        <v>#REF!</v>
      </c>
      <c r="B67" s="50" t="e">
        <f>#REF!</f>
        <v>#REF!</v>
      </c>
      <c r="C67" s="5" t="e">
        <f>#REF!</f>
        <v>#REF!</v>
      </c>
      <c r="D67" s="5" t="e">
        <f>#REF!</f>
        <v>#REF!</v>
      </c>
      <c r="E67" s="252">
        <v>1</v>
      </c>
      <c r="F67" s="249">
        <v>0</v>
      </c>
      <c r="G67" s="249">
        <v>0</v>
      </c>
      <c r="H67" s="249">
        <v>0</v>
      </c>
      <c r="I67" s="249">
        <v>0</v>
      </c>
      <c r="J67" s="249">
        <v>1483510.5250000001</v>
      </c>
      <c r="K67" s="249">
        <v>1011500</v>
      </c>
      <c r="L67" s="274">
        <f>J67</f>
        <v>1483510.5250000001</v>
      </c>
      <c r="M67" s="274">
        <f>K67*E1</f>
        <v>1041845</v>
      </c>
      <c r="N67" s="255">
        <v>700000</v>
      </c>
      <c r="O67" s="135">
        <f t="shared" si="29"/>
        <v>133000</v>
      </c>
      <c r="P67" s="135">
        <f t="shared" si="30"/>
        <v>833000</v>
      </c>
      <c r="Q67" s="131"/>
      <c r="R67" s="131"/>
      <c r="S67" s="11"/>
      <c r="T67" s="274"/>
      <c r="U67" s="274"/>
      <c r="V67" s="274"/>
      <c r="W67" s="39"/>
      <c r="X67" s="11"/>
      <c r="Y67" s="11"/>
      <c r="Z67" s="274"/>
      <c r="AA67" s="274"/>
      <c r="AB67" s="274"/>
      <c r="AC67" s="52"/>
      <c r="AD67" s="22"/>
      <c r="AE67" s="39"/>
      <c r="AF67" s="274"/>
      <c r="AG67" s="274"/>
      <c r="AH67" s="171"/>
      <c r="AI67" s="4"/>
      <c r="AJ67" s="39"/>
      <c r="AK67" s="39"/>
      <c r="AL67" s="118"/>
      <c r="AM67" s="152"/>
      <c r="AN67" s="181"/>
      <c r="AO67" s="131"/>
      <c r="AP67" s="131"/>
      <c r="AQ67" s="39"/>
      <c r="AR67" s="274"/>
      <c r="AS67" s="274"/>
      <c r="AT67" s="274"/>
      <c r="AU67" s="39"/>
      <c r="AV67" s="39"/>
      <c r="AW67" s="39"/>
      <c r="AX67" s="274"/>
      <c r="AY67" s="274"/>
      <c r="AZ67" s="274"/>
      <c r="BA67" s="39"/>
      <c r="BB67" s="62"/>
      <c r="BC67" s="39"/>
      <c r="BD67" s="274"/>
      <c r="BE67" s="274"/>
      <c r="BF67" s="274"/>
      <c r="BG67" s="39"/>
      <c r="BH67" s="39"/>
      <c r="BI67" s="39"/>
      <c r="BJ67" s="164">
        <v>1600000</v>
      </c>
      <c r="BK67" s="274">
        <f>+BJ67*0.19</f>
        <v>304000</v>
      </c>
      <c r="BL67" s="274">
        <f>+BJ67+BK67</f>
        <v>1904000</v>
      </c>
      <c r="BM67" s="213" t="s">
        <v>4738</v>
      </c>
      <c r="BN67" s="213" t="s">
        <v>338</v>
      </c>
      <c r="BO67" s="39"/>
      <c r="BP67" s="274">
        <v>600000</v>
      </c>
      <c r="BQ67" s="274">
        <f t="shared" si="35"/>
        <v>114000</v>
      </c>
      <c r="BR67" s="274">
        <f t="shared" si="36"/>
        <v>714000</v>
      </c>
      <c r="BS67" s="39"/>
      <c r="BT67" s="39"/>
      <c r="BU67" s="39"/>
      <c r="BV67" s="223"/>
      <c r="BW67" s="219"/>
      <c r="BX67" s="273"/>
      <c r="BY67" s="213"/>
      <c r="BZ67" s="213"/>
      <c r="CA67" s="213"/>
      <c r="CB67" s="274"/>
      <c r="CC67" s="274"/>
      <c r="CD67" s="274"/>
      <c r="CE67" s="39"/>
      <c r="CF67" s="39"/>
      <c r="CG67" s="39"/>
      <c r="CH67" s="274"/>
      <c r="CI67" s="274"/>
      <c r="CJ67" s="274"/>
      <c r="CK67" s="39"/>
      <c r="CL67" s="39"/>
      <c r="CM67" s="39"/>
      <c r="CN67" s="39"/>
      <c r="CO67" s="39"/>
      <c r="CP67" s="11"/>
      <c r="CQ67" s="11"/>
      <c r="CR67" s="11"/>
      <c r="CS67" s="11"/>
      <c r="CT67" s="11"/>
      <c r="CU67" s="11"/>
      <c r="CV67" s="11"/>
      <c r="CW67" s="11"/>
      <c r="CX67" s="11"/>
      <c r="CY67" s="11"/>
      <c r="CZ67" s="11"/>
      <c r="DA67" s="11"/>
      <c r="DB67" s="11"/>
      <c r="DC67" s="11"/>
      <c r="DD67" s="11"/>
      <c r="DE67" s="11"/>
      <c r="DF67" s="11"/>
      <c r="DG67" s="11"/>
      <c r="DH67" s="11"/>
      <c r="DI67" s="11"/>
      <c r="DJ67" s="11"/>
      <c r="DK67" s="11"/>
      <c r="DL67" s="274"/>
      <c r="DM67" s="274"/>
      <c r="DN67" s="274"/>
      <c r="DO67" s="274"/>
      <c r="DP67" s="274"/>
      <c r="DQ67" s="274"/>
      <c r="DR67" s="274"/>
      <c r="DS67" s="274"/>
      <c r="DT67" s="274"/>
      <c r="DU67" s="274"/>
      <c r="DV67" s="274"/>
      <c r="DW67" s="274"/>
      <c r="DX67" s="274"/>
      <c r="DY67" s="274"/>
      <c r="DZ67" s="274"/>
      <c r="EA67" s="274"/>
      <c r="EB67" s="274"/>
      <c r="EC67" s="274"/>
      <c r="ED67" s="39">
        <f t="shared" ref="ED67:ED130" si="37">SUM(M67,P67,V67,AB67,AH67,AN67,AT67,AZ67,BF67,BL67,BR67,BX67,CD67,CJ67,CP67,CV67,DB67,DH67,DN67,DT67,DZ67)</f>
        <v>4492845</v>
      </c>
      <c r="EE67" s="30">
        <f t="shared" ref="EE67:EE130" si="38">COUNTA(M67,N67,T67,Z67,AF67,AL67,AR67,AX67,BD67,BJ67,BP67,BV67,CB67,CH67,CN67,CT67,CZ67,DF67,DL67,DR67,DX67)</f>
        <v>4</v>
      </c>
      <c r="EF67" s="39">
        <f t="shared" ref="EF67:EF130" si="39">IFERROR(ED67/EE67," ")</f>
        <v>1123211.25</v>
      </c>
    </row>
    <row r="68" spans="1:136" x14ac:dyDescent="0.25">
      <c r="A68" s="25" t="e">
        <f>#REF!</f>
        <v>#REF!</v>
      </c>
      <c r="B68" s="50" t="e">
        <f>#REF!</f>
        <v>#REF!</v>
      </c>
      <c r="C68" s="5" t="e">
        <f>#REF!</f>
        <v>#REF!</v>
      </c>
      <c r="D68" s="5" t="e">
        <f>#REF!</f>
        <v>#REF!</v>
      </c>
      <c r="E68" s="252">
        <v>1</v>
      </c>
      <c r="F68" s="249">
        <v>1512014</v>
      </c>
      <c r="G68" s="249">
        <v>1466556</v>
      </c>
      <c r="H68" s="249">
        <v>0</v>
      </c>
      <c r="I68" s="249">
        <v>0</v>
      </c>
      <c r="J68" s="249">
        <v>1067441.8999999999</v>
      </c>
      <c r="K68" s="249">
        <v>892500</v>
      </c>
      <c r="L68" s="274">
        <f>AVERAGE(F68,J68)</f>
        <v>1289727.95</v>
      </c>
      <c r="M68" s="274">
        <f>AVERAGE(G68,K68)*E1</f>
        <v>1214913.8400000001</v>
      </c>
      <c r="N68" s="255">
        <v>500000</v>
      </c>
      <c r="O68" s="135">
        <f t="shared" si="29"/>
        <v>95000</v>
      </c>
      <c r="P68" s="135">
        <f t="shared" si="30"/>
        <v>595000</v>
      </c>
      <c r="Q68" s="131"/>
      <c r="R68" s="131"/>
      <c r="S68" s="11"/>
      <c r="T68" s="274"/>
      <c r="U68" s="274"/>
      <c r="V68" s="274"/>
      <c r="W68" s="39"/>
      <c r="X68" s="11"/>
      <c r="Y68" s="11"/>
      <c r="Z68" s="274"/>
      <c r="AA68" s="274"/>
      <c r="AB68" s="274"/>
      <c r="AC68" s="52"/>
      <c r="AD68" s="22"/>
      <c r="AE68" s="39"/>
      <c r="AF68" s="274"/>
      <c r="AG68" s="274"/>
      <c r="AH68" s="171"/>
      <c r="AI68" s="4"/>
      <c r="AJ68" s="39"/>
      <c r="AK68" s="39"/>
      <c r="AL68" s="118"/>
      <c r="AM68" s="152"/>
      <c r="AN68" s="181"/>
      <c r="AO68" s="131"/>
      <c r="AP68" s="131"/>
      <c r="AQ68" s="39"/>
      <c r="AR68" s="274"/>
      <c r="AS68" s="274"/>
      <c r="AT68" s="274"/>
      <c r="AU68" s="39"/>
      <c r="AV68" s="39"/>
      <c r="AW68" s="39"/>
      <c r="AX68" s="274"/>
      <c r="AY68" s="274"/>
      <c r="AZ68" s="274"/>
      <c r="BA68" s="39"/>
      <c r="BB68" s="62"/>
      <c r="BC68" s="39"/>
      <c r="BD68" s="274"/>
      <c r="BE68" s="274"/>
      <c r="BF68" s="274"/>
      <c r="BG68" s="39"/>
      <c r="BH68" s="39"/>
      <c r="BI68" s="39"/>
      <c r="BJ68" s="164">
        <v>1400000</v>
      </c>
      <c r="BK68" s="274">
        <f>+BJ68*0.19</f>
        <v>266000</v>
      </c>
      <c r="BL68" s="274">
        <f>+BJ68+BK68</f>
        <v>1666000</v>
      </c>
      <c r="BM68" s="213" t="s">
        <v>4757</v>
      </c>
      <c r="BN68" s="213" t="s">
        <v>338</v>
      </c>
      <c r="BO68" s="39"/>
      <c r="BP68" s="274">
        <v>550000</v>
      </c>
      <c r="BQ68" s="274">
        <f t="shared" si="35"/>
        <v>104500</v>
      </c>
      <c r="BR68" s="274">
        <f t="shared" si="36"/>
        <v>654500</v>
      </c>
      <c r="BS68" s="39"/>
      <c r="BT68" s="39"/>
      <c r="BU68" s="39"/>
      <c r="BV68" s="223"/>
      <c r="BW68" s="219"/>
      <c r="BX68" s="273"/>
      <c r="BY68" s="213"/>
      <c r="BZ68" s="213"/>
      <c r="CA68" s="213"/>
      <c r="CB68" s="274"/>
      <c r="CC68" s="274"/>
      <c r="CD68" s="274"/>
      <c r="CE68" s="39"/>
      <c r="CF68" s="39"/>
      <c r="CG68" s="39"/>
      <c r="CH68" s="274"/>
      <c r="CI68" s="274"/>
      <c r="CJ68" s="274"/>
      <c r="CK68" s="39"/>
      <c r="CL68" s="39"/>
      <c r="CM68" s="39"/>
      <c r="CN68" s="39"/>
      <c r="CO68" s="39"/>
      <c r="CP68" s="11"/>
      <c r="CQ68" s="11"/>
      <c r="CR68" s="11"/>
      <c r="CS68" s="11"/>
      <c r="CT68" s="11"/>
      <c r="CU68" s="11"/>
      <c r="CV68" s="11"/>
      <c r="CW68" s="11"/>
      <c r="CX68" s="11"/>
      <c r="CY68" s="11"/>
      <c r="CZ68" s="11"/>
      <c r="DA68" s="11"/>
      <c r="DB68" s="11"/>
      <c r="DC68" s="11"/>
      <c r="DD68" s="11"/>
      <c r="DE68" s="11"/>
      <c r="DF68" s="11"/>
      <c r="DG68" s="11"/>
      <c r="DH68" s="11"/>
      <c r="DI68" s="11"/>
      <c r="DJ68" s="11"/>
      <c r="DK68" s="11"/>
      <c r="DL68" s="274"/>
      <c r="DM68" s="274"/>
      <c r="DN68" s="274"/>
      <c r="DO68" s="274"/>
      <c r="DP68" s="274"/>
      <c r="DQ68" s="274"/>
      <c r="DR68" s="274"/>
      <c r="DS68" s="274"/>
      <c r="DT68" s="274"/>
      <c r="DU68" s="274"/>
      <c r="DV68" s="274"/>
      <c r="DW68" s="274"/>
      <c r="DX68" s="274"/>
      <c r="DY68" s="274"/>
      <c r="DZ68" s="274"/>
      <c r="EA68" s="274"/>
      <c r="EB68" s="274"/>
      <c r="EC68" s="274"/>
      <c r="ED68" s="39">
        <f t="shared" si="37"/>
        <v>4130413.84</v>
      </c>
      <c r="EE68" s="30">
        <f t="shared" si="38"/>
        <v>4</v>
      </c>
      <c r="EF68" s="39">
        <f t="shared" si="39"/>
        <v>1032603.46</v>
      </c>
    </row>
    <row r="69" spans="1:136" x14ac:dyDescent="0.25">
      <c r="A69" s="25" t="e">
        <f>#REF!</f>
        <v>#REF!</v>
      </c>
      <c r="B69" s="50" t="e">
        <f>#REF!</f>
        <v>#REF!</v>
      </c>
      <c r="C69" s="5" t="e">
        <f>#REF!</f>
        <v>#REF!</v>
      </c>
      <c r="D69" s="5" t="e">
        <f>#REF!</f>
        <v>#REF!</v>
      </c>
      <c r="E69" s="252">
        <v>1</v>
      </c>
      <c r="F69" s="249">
        <v>0</v>
      </c>
      <c r="G69" s="249">
        <v>0</v>
      </c>
      <c r="H69" s="249">
        <v>0</v>
      </c>
      <c r="I69" s="249">
        <v>0</v>
      </c>
      <c r="J69" s="249">
        <v>54740</v>
      </c>
      <c r="K69" s="249">
        <v>53431</v>
      </c>
      <c r="L69" s="274">
        <f>J69</f>
        <v>54740</v>
      </c>
      <c r="M69" s="274">
        <f>K69*E1</f>
        <v>55033.93</v>
      </c>
      <c r="N69" s="255"/>
      <c r="O69" s="135"/>
      <c r="P69" s="135"/>
      <c r="Q69" s="131"/>
      <c r="R69" s="131"/>
      <c r="S69" s="11"/>
      <c r="T69" s="274"/>
      <c r="U69" s="274"/>
      <c r="V69" s="274"/>
      <c r="W69" s="39"/>
      <c r="X69" s="11"/>
      <c r="Y69" s="11"/>
      <c r="Z69" s="274"/>
      <c r="AA69" s="274"/>
      <c r="AB69" s="274"/>
      <c r="AC69" s="52"/>
      <c r="AD69" s="22"/>
      <c r="AE69" s="39"/>
      <c r="AF69" s="274"/>
      <c r="AG69" s="274"/>
      <c r="AH69" s="171"/>
      <c r="AI69" s="4"/>
      <c r="AJ69" s="39"/>
      <c r="AK69" s="39"/>
      <c r="AL69" s="118">
        <f>534421/5</f>
        <v>106884.2</v>
      </c>
      <c r="AM69" s="152">
        <f>+AL69*0.19</f>
        <v>20307.998</v>
      </c>
      <c r="AN69" s="152">
        <f>+AL69+AM69</f>
        <v>127192.198</v>
      </c>
      <c r="AO69" s="131" t="s">
        <v>4760</v>
      </c>
      <c r="AP69" s="131" t="s">
        <v>4758</v>
      </c>
      <c r="AQ69" s="39"/>
      <c r="AR69" s="274"/>
      <c r="AS69" s="274"/>
      <c r="AT69" s="274"/>
      <c r="AU69" s="39"/>
      <c r="AV69" s="39"/>
      <c r="AW69" s="39"/>
      <c r="AX69" s="274"/>
      <c r="AY69" s="274"/>
      <c r="AZ69" s="274"/>
      <c r="BA69" s="39"/>
      <c r="BB69" s="62"/>
      <c r="BC69" s="39"/>
      <c r="BD69" s="274"/>
      <c r="BE69" s="274"/>
      <c r="BF69" s="274"/>
      <c r="BG69" s="39"/>
      <c r="BH69" s="39"/>
      <c r="BI69" s="39"/>
      <c r="BJ69" s="274"/>
      <c r="BK69" s="274"/>
      <c r="BL69" s="274"/>
      <c r="BM69" s="213"/>
      <c r="BN69" s="213"/>
      <c r="BO69" s="39"/>
      <c r="BP69" s="274">
        <v>38500</v>
      </c>
      <c r="BQ69" s="274">
        <f t="shared" si="35"/>
        <v>7315</v>
      </c>
      <c r="BR69" s="274">
        <f t="shared" si="36"/>
        <v>45815</v>
      </c>
      <c r="BS69" s="39"/>
      <c r="BT69" s="39"/>
      <c r="BU69" s="39"/>
      <c r="BV69" s="212"/>
      <c r="BW69" s="221"/>
      <c r="BX69" s="273"/>
      <c r="BY69" s="213"/>
      <c r="BZ69" s="213"/>
      <c r="CA69" s="213"/>
      <c r="CB69" s="274"/>
      <c r="CC69" s="274"/>
      <c r="CD69" s="274"/>
      <c r="CE69" s="39"/>
      <c r="CF69" s="39"/>
      <c r="CG69" s="39"/>
      <c r="CH69" s="274"/>
      <c r="CI69" s="274"/>
      <c r="CJ69" s="274"/>
      <c r="CK69" s="39"/>
      <c r="CL69" s="39"/>
      <c r="CM69" s="39"/>
      <c r="CN69" s="39"/>
      <c r="CO69" s="39"/>
      <c r="CP69" s="11"/>
      <c r="CQ69" s="11"/>
      <c r="CR69" s="11"/>
      <c r="CS69" s="11"/>
      <c r="CT69" s="11"/>
      <c r="CU69" s="11"/>
      <c r="CV69" s="11"/>
      <c r="CW69" s="11"/>
      <c r="CX69" s="11"/>
      <c r="CY69" s="11"/>
      <c r="CZ69" s="11"/>
      <c r="DA69" s="11"/>
      <c r="DB69" s="11"/>
      <c r="DC69" s="11"/>
      <c r="DD69" s="11"/>
      <c r="DE69" s="11"/>
      <c r="DF69" s="11"/>
      <c r="DG69" s="11"/>
      <c r="DH69" s="11"/>
      <c r="DI69" s="11"/>
      <c r="DJ69" s="11"/>
      <c r="DK69" s="11"/>
      <c r="DL69" s="274"/>
      <c r="DM69" s="274"/>
      <c r="DN69" s="274"/>
      <c r="DO69" s="274"/>
      <c r="DP69" s="274"/>
      <c r="DQ69" s="274"/>
      <c r="DR69" s="274"/>
      <c r="DS69" s="274"/>
      <c r="DT69" s="274"/>
      <c r="DU69" s="274"/>
      <c r="DV69" s="274"/>
      <c r="DW69" s="274"/>
      <c r="DX69" s="274"/>
      <c r="DY69" s="274"/>
      <c r="DZ69" s="274"/>
      <c r="EA69" s="274"/>
      <c r="EB69" s="274"/>
      <c r="EC69" s="274"/>
      <c r="ED69" s="39">
        <f t="shared" si="37"/>
        <v>228041.128</v>
      </c>
      <c r="EE69" s="30">
        <f t="shared" si="38"/>
        <v>3</v>
      </c>
      <c r="EF69" s="39">
        <f t="shared" si="39"/>
        <v>76013.709333333332</v>
      </c>
    </row>
    <row r="70" spans="1:136" ht="24" x14ac:dyDescent="0.25">
      <c r="A70" s="25" t="e">
        <f>#REF!</f>
        <v>#REF!</v>
      </c>
      <c r="B70" s="50" t="e">
        <f>#REF!</f>
        <v>#REF!</v>
      </c>
      <c r="C70" s="5" t="e">
        <f>#REF!</f>
        <v>#REF!</v>
      </c>
      <c r="D70" s="5" t="e">
        <f>#REF!</f>
        <v>#REF!</v>
      </c>
      <c r="E70" s="252">
        <v>1</v>
      </c>
      <c r="F70" s="249">
        <v>7854</v>
      </c>
      <c r="G70" s="249">
        <v>7616</v>
      </c>
      <c r="H70" s="249">
        <v>0</v>
      </c>
      <c r="I70" s="249">
        <v>0</v>
      </c>
      <c r="J70" s="249">
        <v>12714.488888888889</v>
      </c>
      <c r="K70" s="249">
        <v>8925</v>
      </c>
      <c r="L70" s="274">
        <f>AVERAGE(F70,J70)</f>
        <v>10284.244444444445</v>
      </c>
      <c r="M70" s="274">
        <f>AVERAGE(G70,K70)*E1</f>
        <v>8518.6149999999998</v>
      </c>
      <c r="N70" s="255">
        <v>12000</v>
      </c>
      <c r="O70" s="135">
        <f t="shared" ref="O70:O77" si="40">+N70*0.19</f>
        <v>2280</v>
      </c>
      <c r="P70" s="135">
        <f t="shared" ref="P70:P77" si="41">+N70+O70</f>
        <v>14280</v>
      </c>
      <c r="Q70" s="131"/>
      <c r="R70" s="131"/>
      <c r="S70" s="11"/>
      <c r="T70" s="274"/>
      <c r="U70" s="274"/>
      <c r="V70" s="274"/>
      <c r="W70" s="39"/>
      <c r="X70" s="11"/>
      <c r="Y70" s="11"/>
      <c r="Z70" s="274"/>
      <c r="AA70" s="274"/>
      <c r="AB70" s="274"/>
      <c r="AC70" s="52"/>
      <c r="AD70" s="22"/>
      <c r="AE70" s="39"/>
      <c r="AF70" s="274"/>
      <c r="AG70" s="274"/>
      <c r="AH70" s="171"/>
      <c r="AI70" s="4"/>
      <c r="AJ70" s="39"/>
      <c r="AK70" s="39"/>
      <c r="AL70" s="118">
        <f>483333/5</f>
        <v>96666.6</v>
      </c>
      <c r="AM70" s="152">
        <f>+AL70*0.19</f>
        <v>18366.654000000002</v>
      </c>
      <c r="AN70" s="152">
        <f>+AL70+AM70</f>
        <v>115033.25400000002</v>
      </c>
      <c r="AO70" s="131" t="s">
        <v>4760</v>
      </c>
      <c r="AP70" s="131" t="s">
        <v>4758</v>
      </c>
      <c r="AQ70" s="39"/>
      <c r="AR70" s="274"/>
      <c r="AS70" s="274"/>
      <c r="AT70" s="274"/>
      <c r="AU70" s="39"/>
      <c r="AV70" s="39"/>
      <c r="AW70" s="39"/>
      <c r="AX70" s="274"/>
      <c r="AY70" s="274"/>
      <c r="AZ70" s="274"/>
      <c r="BA70" s="39"/>
      <c r="BB70" s="62"/>
      <c r="BC70" s="39"/>
      <c r="BD70" s="274"/>
      <c r="BE70" s="274"/>
      <c r="BF70" s="274"/>
      <c r="BG70" s="39"/>
      <c r="BH70" s="39"/>
      <c r="BI70" s="39"/>
      <c r="BJ70" s="274">
        <v>10000</v>
      </c>
      <c r="BK70" s="274">
        <f>+BJ70*0.19</f>
        <v>1900</v>
      </c>
      <c r="BL70" s="274">
        <f>+BJ70+BK70</f>
        <v>11900</v>
      </c>
      <c r="BM70" s="214" t="s">
        <v>3085</v>
      </c>
      <c r="BN70" s="213" t="s">
        <v>2970</v>
      </c>
      <c r="BO70" s="39"/>
      <c r="BP70" s="274">
        <v>32000</v>
      </c>
      <c r="BQ70" s="274">
        <f t="shared" si="35"/>
        <v>6080</v>
      </c>
      <c r="BR70" s="274">
        <f t="shared" si="36"/>
        <v>38080</v>
      </c>
      <c r="BS70" s="39"/>
      <c r="BT70" s="39"/>
      <c r="BU70" s="39"/>
      <c r="BV70" s="212">
        <v>10926.24</v>
      </c>
      <c r="BW70" s="219">
        <f>+BV70*0.19</f>
        <v>2075.9856</v>
      </c>
      <c r="BX70" s="273">
        <f>+BV70+BW70</f>
        <v>13002.2256</v>
      </c>
      <c r="BY70" s="214" t="s">
        <v>3085</v>
      </c>
      <c r="BZ70" s="213" t="s">
        <v>2970</v>
      </c>
      <c r="CA70" s="213"/>
      <c r="CB70" s="274"/>
      <c r="CC70" s="274"/>
      <c r="CD70" s="274"/>
      <c r="CE70" s="39"/>
      <c r="CF70" s="39"/>
      <c r="CG70" s="39"/>
      <c r="CH70" s="274"/>
      <c r="CI70" s="274"/>
      <c r="CJ70" s="274"/>
      <c r="CK70" s="39"/>
      <c r="CL70" s="39"/>
      <c r="CM70" s="39"/>
      <c r="CN70" s="39"/>
      <c r="CO70" s="39"/>
      <c r="CP70" s="11"/>
      <c r="CQ70" s="11"/>
      <c r="CR70" s="11"/>
      <c r="CS70" s="11"/>
      <c r="CT70" s="11"/>
      <c r="CU70" s="11"/>
      <c r="CV70" s="11"/>
      <c r="CW70" s="11"/>
      <c r="CX70" s="11"/>
      <c r="CY70" s="11"/>
      <c r="CZ70" s="11"/>
      <c r="DA70" s="11"/>
      <c r="DB70" s="11"/>
      <c r="DC70" s="11"/>
      <c r="DD70" s="11"/>
      <c r="DE70" s="11"/>
      <c r="DF70" s="11"/>
      <c r="DG70" s="11"/>
      <c r="DH70" s="11"/>
      <c r="DI70" s="11"/>
      <c r="DJ70" s="11"/>
      <c r="DK70" s="11"/>
      <c r="DL70" s="274"/>
      <c r="DM70" s="274"/>
      <c r="DN70" s="274"/>
      <c r="DO70" s="274"/>
      <c r="DP70" s="274"/>
      <c r="DQ70" s="274"/>
      <c r="DR70" s="274"/>
      <c r="DS70" s="274"/>
      <c r="DT70" s="274"/>
      <c r="DU70" s="274"/>
      <c r="DV70" s="274"/>
      <c r="DW70" s="274"/>
      <c r="DX70" s="274"/>
      <c r="DY70" s="274"/>
      <c r="DZ70" s="274"/>
      <c r="EA70" s="274"/>
      <c r="EB70" s="274"/>
      <c r="EC70" s="274"/>
      <c r="ED70" s="39">
        <f t="shared" si="37"/>
        <v>200814.09460000001</v>
      </c>
      <c r="EE70" s="30">
        <f t="shared" si="38"/>
        <v>6</v>
      </c>
      <c r="EF70" s="39">
        <f t="shared" si="39"/>
        <v>33469.015766666671</v>
      </c>
    </row>
    <row r="71" spans="1:136" x14ac:dyDescent="0.25">
      <c r="A71" s="25" t="e">
        <f>#REF!</f>
        <v>#REF!</v>
      </c>
      <c r="B71" s="50" t="e">
        <f>#REF!</f>
        <v>#REF!</v>
      </c>
      <c r="C71" s="5" t="e">
        <f>#REF!</f>
        <v>#REF!</v>
      </c>
      <c r="D71" s="5" t="e">
        <f>#REF!</f>
        <v>#REF!</v>
      </c>
      <c r="E71" s="252">
        <v>1</v>
      </c>
      <c r="F71" s="249">
        <v>6545</v>
      </c>
      <c r="G71" s="249">
        <v>6188</v>
      </c>
      <c r="H71" s="249">
        <v>0</v>
      </c>
      <c r="I71" s="249">
        <v>0</v>
      </c>
      <c r="J71" s="249">
        <v>9793.7000000000007</v>
      </c>
      <c r="K71" s="249">
        <v>9520</v>
      </c>
      <c r="L71" s="274">
        <f>AVERAGE(F71,J71)</f>
        <v>8169.35</v>
      </c>
      <c r="M71" s="274">
        <f>AVERAGE(G71,K71)*E1</f>
        <v>8089.62</v>
      </c>
      <c r="N71" s="255">
        <v>110000</v>
      </c>
      <c r="O71" s="135">
        <f t="shared" si="40"/>
        <v>20900</v>
      </c>
      <c r="P71" s="135">
        <f t="shared" si="41"/>
        <v>130900</v>
      </c>
      <c r="Q71" s="131"/>
      <c r="R71" s="131"/>
      <c r="S71" s="11"/>
      <c r="T71" s="274"/>
      <c r="U71" s="274"/>
      <c r="V71" s="274"/>
      <c r="W71" s="39"/>
      <c r="X71" s="11"/>
      <c r="Y71" s="11"/>
      <c r="Z71" s="274"/>
      <c r="AA71" s="274"/>
      <c r="AB71" s="274"/>
      <c r="AC71" s="52"/>
      <c r="AD71" s="22"/>
      <c r="AE71" s="39"/>
      <c r="AF71" s="274"/>
      <c r="AG71" s="274"/>
      <c r="AH71" s="171"/>
      <c r="AI71" s="4"/>
      <c r="AJ71" s="39"/>
      <c r="AK71" s="39"/>
      <c r="AL71" s="118">
        <f>+(416667/500)*30</f>
        <v>25000.019999999997</v>
      </c>
      <c r="AM71" s="152">
        <f>+AL71*0.19</f>
        <v>4750.0037999999995</v>
      </c>
      <c r="AN71" s="152">
        <f>+AL71+AM71</f>
        <v>29750.023799999995</v>
      </c>
      <c r="AO71" s="131" t="s">
        <v>4760</v>
      </c>
      <c r="AP71" s="131" t="s">
        <v>4758</v>
      </c>
      <c r="AQ71" s="39"/>
      <c r="AR71" s="274"/>
      <c r="AS71" s="274"/>
      <c r="AT71" s="274"/>
      <c r="AU71" s="39"/>
      <c r="AV71" s="39"/>
      <c r="AW71" s="39"/>
      <c r="AX71" s="274"/>
      <c r="AY71" s="274"/>
      <c r="AZ71" s="274"/>
      <c r="BA71" s="39"/>
      <c r="BB71" s="62"/>
      <c r="BC71" s="39"/>
      <c r="BD71" s="274"/>
      <c r="BE71" s="274"/>
      <c r="BF71" s="274"/>
      <c r="BG71" s="39"/>
      <c r="BH71" s="39"/>
      <c r="BI71" s="39"/>
      <c r="BJ71" s="274"/>
      <c r="BK71" s="274"/>
      <c r="BL71" s="274"/>
      <c r="BM71" s="213"/>
      <c r="BN71" s="213"/>
      <c r="BO71" s="39"/>
      <c r="BP71" s="274">
        <v>30000</v>
      </c>
      <c r="BQ71" s="274">
        <f t="shared" si="35"/>
        <v>5700</v>
      </c>
      <c r="BR71" s="274">
        <f t="shared" si="36"/>
        <v>35700</v>
      </c>
      <c r="BS71" s="39"/>
      <c r="BT71" s="39"/>
      <c r="BU71" s="39"/>
      <c r="BV71" s="212"/>
      <c r="BW71" s="221"/>
      <c r="BX71" s="273"/>
      <c r="BY71" s="213"/>
      <c r="BZ71" s="213"/>
      <c r="CA71" s="213"/>
      <c r="CB71" s="274"/>
      <c r="CC71" s="274"/>
      <c r="CD71" s="274"/>
      <c r="CE71" s="39"/>
      <c r="CF71" s="39"/>
      <c r="CG71" s="39"/>
      <c r="CH71" s="274"/>
      <c r="CI71" s="274"/>
      <c r="CJ71" s="274"/>
      <c r="CK71" s="39"/>
      <c r="CL71" s="39"/>
      <c r="CM71" s="39"/>
      <c r="CN71" s="39"/>
      <c r="CO71" s="39"/>
      <c r="CP71" s="11"/>
      <c r="CQ71" s="11"/>
      <c r="CR71" s="11"/>
      <c r="CS71" s="11"/>
      <c r="CT71" s="11"/>
      <c r="CU71" s="11"/>
      <c r="CV71" s="11"/>
      <c r="CW71" s="11"/>
      <c r="CX71" s="11"/>
      <c r="CY71" s="11"/>
      <c r="CZ71" s="11"/>
      <c r="DA71" s="11"/>
      <c r="DB71" s="11"/>
      <c r="DC71" s="11"/>
      <c r="DD71" s="11"/>
      <c r="DE71" s="11"/>
      <c r="DF71" s="11"/>
      <c r="DG71" s="11"/>
      <c r="DH71" s="11"/>
      <c r="DI71" s="11"/>
      <c r="DJ71" s="11"/>
      <c r="DK71" s="11"/>
      <c r="DL71" s="274"/>
      <c r="DM71" s="274"/>
      <c r="DN71" s="274"/>
      <c r="DO71" s="274"/>
      <c r="DP71" s="274"/>
      <c r="DQ71" s="274"/>
      <c r="DR71" s="274"/>
      <c r="DS71" s="274"/>
      <c r="DT71" s="274"/>
      <c r="DU71" s="274"/>
      <c r="DV71" s="274"/>
      <c r="DW71" s="274"/>
      <c r="DX71" s="274"/>
      <c r="DY71" s="274"/>
      <c r="DZ71" s="274"/>
      <c r="EA71" s="274"/>
      <c r="EB71" s="274"/>
      <c r="EC71" s="274"/>
      <c r="ED71" s="39">
        <f t="shared" si="37"/>
        <v>204439.64379999999</v>
      </c>
      <c r="EE71" s="30">
        <f t="shared" si="38"/>
        <v>4</v>
      </c>
      <c r="EF71" s="39">
        <f t="shared" si="39"/>
        <v>51109.910949999998</v>
      </c>
    </row>
    <row r="72" spans="1:136" x14ac:dyDescent="0.25">
      <c r="A72" s="25" t="e">
        <f>#REF!</f>
        <v>#REF!</v>
      </c>
      <c r="B72" s="50" t="e">
        <f>#REF!</f>
        <v>#REF!</v>
      </c>
      <c r="C72" s="5" t="e">
        <f>#REF!</f>
        <v>#REF!</v>
      </c>
      <c r="D72" s="5" t="e">
        <f>#REF!</f>
        <v>#REF!</v>
      </c>
      <c r="E72" s="252">
        <v>1</v>
      </c>
      <c r="F72" s="249">
        <v>7794.5</v>
      </c>
      <c r="G72" s="249">
        <v>7378</v>
      </c>
      <c r="H72" s="249">
        <v>1804.67308</v>
      </c>
      <c r="I72" s="249">
        <v>1666</v>
      </c>
      <c r="J72" s="249">
        <v>15923.522222222224</v>
      </c>
      <c r="K72" s="249">
        <v>238</v>
      </c>
      <c r="L72" s="274">
        <f>AVERAGE(F72,H72,J72)</f>
        <v>8507.5651007407414</v>
      </c>
      <c r="M72" s="274">
        <f>AVERAGE(G72,I72,K72)*E1</f>
        <v>3186.82</v>
      </c>
      <c r="N72" s="255">
        <v>300</v>
      </c>
      <c r="O72" s="135">
        <f t="shared" si="40"/>
        <v>57</v>
      </c>
      <c r="P72" s="135">
        <f t="shared" si="41"/>
        <v>357</v>
      </c>
      <c r="Q72" s="131"/>
      <c r="R72" s="131"/>
      <c r="S72" s="11"/>
      <c r="T72" s="274"/>
      <c r="U72" s="274"/>
      <c r="V72" s="274"/>
      <c r="W72" s="39"/>
      <c r="X72" s="11"/>
      <c r="Y72" s="11"/>
      <c r="Z72" s="274"/>
      <c r="AA72" s="274"/>
      <c r="AB72" s="274"/>
      <c r="AC72" s="52"/>
      <c r="AD72" s="22"/>
      <c r="AE72" s="39"/>
      <c r="AF72" s="274"/>
      <c r="AG72" s="274"/>
      <c r="AH72" s="171"/>
      <c r="AI72" s="4"/>
      <c r="AJ72" s="39"/>
      <c r="AK72" s="39"/>
      <c r="AL72" s="118"/>
      <c r="AM72" s="152"/>
      <c r="AN72" s="181"/>
      <c r="AO72" s="131"/>
      <c r="AP72" s="131"/>
      <c r="AQ72" s="39"/>
      <c r="AR72" s="274"/>
      <c r="AS72" s="274"/>
      <c r="AT72" s="274"/>
      <c r="AU72" s="39"/>
      <c r="AV72" s="39"/>
      <c r="AW72" s="39"/>
      <c r="AX72" s="274"/>
      <c r="AY72" s="274"/>
      <c r="AZ72" s="274"/>
      <c r="BA72" s="39"/>
      <c r="BB72" s="62"/>
      <c r="BC72" s="39"/>
      <c r="BD72" s="274"/>
      <c r="BE72" s="274"/>
      <c r="BF72" s="274"/>
      <c r="BG72" s="39"/>
      <c r="BH72" s="39"/>
      <c r="BI72" s="39"/>
      <c r="BJ72" s="274"/>
      <c r="BK72" s="274"/>
      <c r="BL72" s="274"/>
      <c r="BM72" s="213"/>
      <c r="BN72" s="213"/>
      <c r="BO72" s="39"/>
      <c r="BP72" s="274">
        <v>30000</v>
      </c>
      <c r="BQ72" s="274">
        <f t="shared" si="35"/>
        <v>5700</v>
      </c>
      <c r="BR72" s="274">
        <f t="shared" si="36"/>
        <v>35700</v>
      </c>
      <c r="BS72" s="39"/>
      <c r="BT72" s="39"/>
      <c r="BU72" s="39"/>
      <c r="BV72" s="212"/>
      <c r="BW72" s="221"/>
      <c r="BX72" s="273"/>
      <c r="BY72" s="213"/>
      <c r="BZ72" s="213"/>
      <c r="CA72" s="213"/>
      <c r="CB72" s="274"/>
      <c r="CC72" s="274"/>
      <c r="CD72" s="274"/>
      <c r="CE72" s="39"/>
      <c r="CF72" s="39"/>
      <c r="CG72" s="39"/>
      <c r="CH72" s="274"/>
      <c r="CI72" s="274"/>
      <c r="CJ72" s="274"/>
      <c r="CK72" s="39"/>
      <c r="CL72" s="39"/>
      <c r="CM72" s="39"/>
      <c r="CN72" s="39"/>
      <c r="CO72" s="39"/>
      <c r="CP72" s="11"/>
      <c r="CQ72" s="11"/>
      <c r="CR72" s="11"/>
      <c r="CS72" s="11"/>
      <c r="CT72" s="11"/>
      <c r="CU72" s="11"/>
      <c r="CV72" s="11"/>
      <c r="CW72" s="11"/>
      <c r="CX72" s="11"/>
      <c r="CY72" s="11"/>
      <c r="CZ72" s="11"/>
      <c r="DA72" s="11"/>
      <c r="DB72" s="11"/>
      <c r="DC72" s="11"/>
      <c r="DD72" s="11"/>
      <c r="DE72" s="11"/>
      <c r="DF72" s="11"/>
      <c r="DG72" s="11"/>
      <c r="DH72" s="11"/>
      <c r="DI72" s="11"/>
      <c r="DJ72" s="11"/>
      <c r="DK72" s="11"/>
      <c r="DL72" s="274"/>
      <c r="DM72" s="274"/>
      <c r="DN72" s="274"/>
      <c r="DO72" s="274"/>
      <c r="DP72" s="274"/>
      <c r="DQ72" s="274"/>
      <c r="DR72" s="274"/>
      <c r="DS72" s="274"/>
      <c r="DT72" s="274"/>
      <c r="DU72" s="274"/>
      <c r="DV72" s="274"/>
      <c r="DW72" s="274"/>
      <c r="DX72" s="274"/>
      <c r="DY72" s="274"/>
      <c r="DZ72" s="274"/>
      <c r="EA72" s="274"/>
      <c r="EB72" s="274"/>
      <c r="EC72" s="274"/>
      <c r="ED72" s="39">
        <f t="shared" si="37"/>
        <v>39243.82</v>
      </c>
      <c r="EE72" s="30">
        <f t="shared" si="38"/>
        <v>3</v>
      </c>
      <c r="EF72" s="39">
        <f t="shared" si="39"/>
        <v>13081.273333333333</v>
      </c>
    </row>
    <row r="73" spans="1:136" x14ac:dyDescent="0.25">
      <c r="A73" s="25" t="e">
        <f>#REF!</f>
        <v>#REF!</v>
      </c>
      <c r="B73" s="50" t="e">
        <f>#REF!</f>
        <v>#REF!</v>
      </c>
      <c r="C73" s="5" t="e">
        <f>#REF!</f>
        <v>#REF!</v>
      </c>
      <c r="D73" s="5" t="e">
        <f>#REF!</f>
        <v>#REF!</v>
      </c>
      <c r="E73" s="252">
        <v>1</v>
      </c>
      <c r="F73" s="249">
        <v>9520</v>
      </c>
      <c r="G73" s="249">
        <v>9163</v>
      </c>
      <c r="H73" s="249">
        <v>13676.458179999998</v>
      </c>
      <c r="I73" s="249">
        <v>13566</v>
      </c>
      <c r="J73" s="249">
        <v>21519.82777777778</v>
      </c>
      <c r="K73" s="249">
        <v>21420</v>
      </c>
      <c r="L73" s="274">
        <f>AVERAGE(F73,H73,J73)</f>
        <v>14905.428652592593</v>
      </c>
      <c r="M73" s="274">
        <f>AVERAGE(G73,I73,K73)*E1</f>
        <v>15157.823333333334</v>
      </c>
      <c r="N73" s="255">
        <v>12000</v>
      </c>
      <c r="O73" s="135">
        <f t="shared" si="40"/>
        <v>2280</v>
      </c>
      <c r="P73" s="135">
        <f t="shared" si="41"/>
        <v>14280</v>
      </c>
      <c r="Q73" s="131"/>
      <c r="R73" s="131"/>
      <c r="S73" s="11"/>
      <c r="T73" s="274"/>
      <c r="U73" s="274"/>
      <c r="V73" s="274"/>
      <c r="W73" s="39"/>
      <c r="X73" s="11"/>
      <c r="Y73" s="11"/>
      <c r="Z73" s="274"/>
      <c r="AA73" s="274"/>
      <c r="AB73" s="274"/>
      <c r="AC73" s="52"/>
      <c r="AD73" s="22"/>
      <c r="AE73" s="39"/>
      <c r="AF73" s="274"/>
      <c r="AG73" s="274"/>
      <c r="AH73" s="171"/>
      <c r="AI73" s="4"/>
      <c r="AJ73" s="39"/>
      <c r="AK73" s="39"/>
      <c r="AL73" s="118"/>
      <c r="AM73" s="152"/>
      <c r="AN73" s="181"/>
      <c r="AO73" s="131"/>
      <c r="AP73" s="131"/>
      <c r="AQ73" s="39"/>
      <c r="AR73" s="274"/>
      <c r="AS73" s="274"/>
      <c r="AT73" s="274"/>
      <c r="AU73" s="39"/>
      <c r="AV73" s="39"/>
      <c r="AW73" s="39"/>
      <c r="AX73" s="274"/>
      <c r="AY73" s="274"/>
      <c r="AZ73" s="274"/>
      <c r="BA73" s="39"/>
      <c r="BB73" s="62"/>
      <c r="BC73" s="39"/>
      <c r="BD73" s="274"/>
      <c r="BE73" s="274"/>
      <c r="BF73" s="274"/>
      <c r="BG73" s="39"/>
      <c r="BH73" s="39"/>
      <c r="BI73" s="39"/>
      <c r="BJ73" s="274"/>
      <c r="BK73" s="274"/>
      <c r="BL73" s="274"/>
      <c r="BM73" s="213"/>
      <c r="BN73" s="213"/>
      <c r="BO73" s="39"/>
      <c r="BP73" s="274">
        <v>35000</v>
      </c>
      <c r="BQ73" s="274">
        <f t="shared" si="35"/>
        <v>6650</v>
      </c>
      <c r="BR73" s="274">
        <f t="shared" si="36"/>
        <v>41650</v>
      </c>
      <c r="BS73" s="39"/>
      <c r="BT73" s="39"/>
      <c r="BU73" s="39"/>
      <c r="BV73" s="212"/>
      <c r="BW73" s="221"/>
      <c r="BX73" s="273"/>
      <c r="BY73" s="213"/>
      <c r="BZ73" s="213"/>
      <c r="CA73" s="213"/>
      <c r="CB73" s="274"/>
      <c r="CC73" s="274"/>
      <c r="CD73" s="274"/>
      <c r="CE73" s="39"/>
      <c r="CF73" s="39"/>
      <c r="CG73" s="39"/>
      <c r="CH73" s="274"/>
      <c r="CI73" s="274"/>
      <c r="CJ73" s="274"/>
      <c r="CK73" s="39"/>
      <c r="CL73" s="39"/>
      <c r="CM73" s="39"/>
      <c r="CN73" s="39"/>
      <c r="CO73" s="39"/>
      <c r="CP73" s="11"/>
      <c r="CQ73" s="11"/>
      <c r="CR73" s="11"/>
      <c r="CS73" s="11"/>
      <c r="CT73" s="11"/>
      <c r="CU73" s="11"/>
      <c r="CV73" s="11"/>
      <c r="CW73" s="11"/>
      <c r="CX73" s="11"/>
      <c r="CY73" s="11"/>
      <c r="CZ73" s="11"/>
      <c r="DA73" s="11"/>
      <c r="DB73" s="11"/>
      <c r="DC73" s="11"/>
      <c r="DD73" s="11"/>
      <c r="DE73" s="11"/>
      <c r="DF73" s="11"/>
      <c r="DG73" s="11"/>
      <c r="DH73" s="11"/>
      <c r="DI73" s="11"/>
      <c r="DJ73" s="11"/>
      <c r="DK73" s="11"/>
      <c r="DL73" s="274"/>
      <c r="DM73" s="274"/>
      <c r="DN73" s="274"/>
      <c r="DO73" s="274"/>
      <c r="DP73" s="274"/>
      <c r="DQ73" s="274"/>
      <c r="DR73" s="274"/>
      <c r="DS73" s="274"/>
      <c r="DT73" s="274"/>
      <c r="DU73" s="274"/>
      <c r="DV73" s="274"/>
      <c r="DW73" s="274"/>
      <c r="DX73" s="274"/>
      <c r="DY73" s="274"/>
      <c r="DZ73" s="274"/>
      <c r="EA73" s="274"/>
      <c r="EB73" s="274"/>
      <c r="EC73" s="274"/>
      <c r="ED73" s="39">
        <f t="shared" si="37"/>
        <v>71087.823333333334</v>
      </c>
      <c r="EE73" s="30">
        <f t="shared" si="38"/>
        <v>3</v>
      </c>
      <c r="EF73" s="39">
        <f t="shared" si="39"/>
        <v>23695.941111111111</v>
      </c>
    </row>
    <row r="74" spans="1:136" x14ac:dyDescent="0.25">
      <c r="A74" s="25" t="e">
        <f>#REF!</f>
        <v>#REF!</v>
      </c>
      <c r="B74" s="50" t="e">
        <f>#REF!</f>
        <v>#REF!</v>
      </c>
      <c r="C74" s="5" t="e">
        <f>#REF!</f>
        <v>#REF!</v>
      </c>
      <c r="D74" s="5" t="e">
        <f>#REF!</f>
        <v>#REF!</v>
      </c>
      <c r="E74" s="252">
        <v>1</v>
      </c>
      <c r="F74" s="249">
        <v>862.75</v>
      </c>
      <c r="G74" s="249">
        <v>833</v>
      </c>
      <c r="H74" s="249">
        <v>1338.5143800000001</v>
      </c>
      <c r="I74" s="249">
        <v>0</v>
      </c>
      <c r="J74" s="249">
        <v>1282.2249999999999</v>
      </c>
      <c r="K74" s="249">
        <v>0</v>
      </c>
      <c r="L74" s="274">
        <f>AVERAGE(F74,H74,J74)</f>
        <v>1161.1631266666666</v>
      </c>
      <c r="M74" s="164">
        <f>G74*E1</f>
        <v>857.99</v>
      </c>
      <c r="N74" s="255">
        <v>70000</v>
      </c>
      <c r="O74" s="135">
        <f t="shared" si="40"/>
        <v>13300</v>
      </c>
      <c r="P74" s="135">
        <f t="shared" si="41"/>
        <v>83300</v>
      </c>
      <c r="Q74" s="131"/>
      <c r="R74" s="131"/>
      <c r="S74" s="11"/>
      <c r="T74" s="274"/>
      <c r="U74" s="274"/>
      <c r="V74" s="274"/>
      <c r="W74" s="39"/>
      <c r="X74" s="11"/>
      <c r="Y74" s="11"/>
      <c r="Z74" s="274"/>
      <c r="AA74" s="274"/>
      <c r="AB74" s="274"/>
      <c r="AC74" s="52"/>
      <c r="AD74" s="22"/>
      <c r="AE74" s="39"/>
      <c r="AF74" s="274"/>
      <c r="AG74" s="274"/>
      <c r="AH74" s="171"/>
      <c r="AI74" s="4"/>
      <c r="AJ74" s="39"/>
      <c r="AK74" s="39"/>
      <c r="AL74" s="118"/>
      <c r="AM74" s="152"/>
      <c r="AN74" s="181"/>
      <c r="AO74" s="131"/>
      <c r="AP74" s="131"/>
      <c r="AQ74" s="39"/>
      <c r="AR74" s="274"/>
      <c r="AS74" s="274"/>
      <c r="AT74" s="274"/>
      <c r="AU74" s="39"/>
      <c r="AV74" s="39"/>
      <c r="AW74" s="39"/>
      <c r="AX74" s="274"/>
      <c r="AY74" s="274"/>
      <c r="AZ74" s="274"/>
      <c r="BA74" s="39"/>
      <c r="BB74" s="62"/>
      <c r="BC74" s="39"/>
      <c r="BD74" s="274"/>
      <c r="BE74" s="274"/>
      <c r="BF74" s="274"/>
      <c r="BG74" s="39"/>
      <c r="BH74" s="39"/>
      <c r="BI74" s="39"/>
      <c r="BJ74" s="274"/>
      <c r="BK74" s="274"/>
      <c r="BL74" s="274"/>
      <c r="BM74" s="213"/>
      <c r="BN74" s="213"/>
      <c r="BO74" s="39"/>
      <c r="BP74" s="274">
        <v>35000</v>
      </c>
      <c r="BQ74" s="274">
        <f t="shared" si="35"/>
        <v>6650</v>
      </c>
      <c r="BR74" s="274">
        <f t="shared" si="36"/>
        <v>41650</v>
      </c>
      <c r="BS74" s="39"/>
      <c r="BT74" s="39"/>
      <c r="BU74" s="39"/>
      <c r="BV74" s="212"/>
      <c r="BW74" s="221"/>
      <c r="BX74" s="273"/>
      <c r="BY74" s="213"/>
      <c r="BZ74" s="213"/>
      <c r="CA74" s="213"/>
      <c r="CB74" s="274"/>
      <c r="CC74" s="274"/>
      <c r="CD74" s="274"/>
      <c r="CE74" s="39"/>
      <c r="CF74" s="39"/>
      <c r="CG74" s="39"/>
      <c r="CH74" s="274"/>
      <c r="CI74" s="274"/>
      <c r="CJ74" s="274"/>
      <c r="CK74" s="39"/>
      <c r="CL74" s="39"/>
      <c r="CM74" s="39"/>
      <c r="CN74" s="39"/>
      <c r="CO74" s="39"/>
      <c r="CP74" s="11"/>
      <c r="CQ74" s="11"/>
      <c r="CR74" s="11"/>
      <c r="CS74" s="11"/>
      <c r="CT74" s="11"/>
      <c r="CU74" s="11"/>
      <c r="CV74" s="11"/>
      <c r="CW74" s="11"/>
      <c r="CX74" s="11"/>
      <c r="CY74" s="11"/>
      <c r="CZ74" s="11"/>
      <c r="DA74" s="11"/>
      <c r="DB74" s="11"/>
      <c r="DC74" s="11"/>
      <c r="DD74" s="11"/>
      <c r="DE74" s="11"/>
      <c r="DF74" s="11"/>
      <c r="DG74" s="11"/>
      <c r="DH74" s="11"/>
      <c r="DI74" s="11"/>
      <c r="DJ74" s="11"/>
      <c r="DK74" s="11"/>
      <c r="DL74" s="274"/>
      <c r="DM74" s="274"/>
      <c r="DN74" s="274"/>
      <c r="DO74" s="274"/>
      <c r="DP74" s="274"/>
      <c r="DQ74" s="274"/>
      <c r="DR74" s="274"/>
      <c r="DS74" s="274"/>
      <c r="DT74" s="274"/>
      <c r="DU74" s="274"/>
      <c r="DV74" s="274"/>
      <c r="DW74" s="274"/>
      <c r="DX74" s="274"/>
      <c r="DY74" s="274"/>
      <c r="DZ74" s="274"/>
      <c r="EA74" s="274"/>
      <c r="EB74" s="274"/>
      <c r="EC74" s="274"/>
      <c r="ED74" s="39">
        <f t="shared" si="37"/>
        <v>125807.99</v>
      </c>
      <c r="EE74" s="30">
        <f t="shared" si="38"/>
        <v>3</v>
      </c>
      <c r="EF74" s="39">
        <f t="shared" si="39"/>
        <v>41935.996666666666</v>
      </c>
    </row>
    <row r="75" spans="1:136" x14ac:dyDescent="0.25">
      <c r="A75" s="25" t="e">
        <f>#REF!</f>
        <v>#REF!</v>
      </c>
      <c r="B75" s="50" t="e">
        <f>#REF!</f>
        <v>#REF!</v>
      </c>
      <c r="C75" s="5" t="e">
        <f>#REF!</f>
        <v>#REF!</v>
      </c>
      <c r="D75" s="5" t="e">
        <f>#REF!</f>
        <v>#REF!</v>
      </c>
      <c r="E75" s="252">
        <v>1</v>
      </c>
      <c r="F75" s="249">
        <v>50575</v>
      </c>
      <c r="G75" s="249">
        <v>49028</v>
      </c>
      <c r="H75" s="249">
        <v>54171.932079999999</v>
      </c>
      <c r="I75" s="249">
        <v>54026</v>
      </c>
      <c r="J75" s="249">
        <v>61439.7</v>
      </c>
      <c r="K75" s="249">
        <v>50575</v>
      </c>
      <c r="L75" s="274">
        <f>AVERAGE(F75,H75,J75)</f>
        <v>55395.54402666667</v>
      </c>
      <c r="M75" s="274">
        <f>AVERAGE(G75,I75,K75)*E1</f>
        <v>52745.956666666665</v>
      </c>
      <c r="N75" s="255">
        <v>50000</v>
      </c>
      <c r="O75" s="135">
        <f t="shared" si="40"/>
        <v>9500</v>
      </c>
      <c r="P75" s="135">
        <f t="shared" si="41"/>
        <v>59500</v>
      </c>
      <c r="Q75" s="131"/>
      <c r="R75" s="131"/>
      <c r="S75" s="11"/>
      <c r="T75" s="274"/>
      <c r="U75" s="274"/>
      <c r="V75" s="274"/>
      <c r="W75" s="39"/>
      <c r="X75" s="11"/>
      <c r="Y75" s="11"/>
      <c r="Z75" s="274"/>
      <c r="AA75" s="274"/>
      <c r="AB75" s="274"/>
      <c r="AC75" s="52"/>
      <c r="AD75" s="22"/>
      <c r="AE75" s="39"/>
      <c r="AF75" s="274"/>
      <c r="AG75" s="274"/>
      <c r="AH75" s="171"/>
      <c r="AI75" s="4"/>
      <c r="AJ75" s="39"/>
      <c r="AK75" s="39"/>
      <c r="AL75" s="118"/>
      <c r="AM75" s="152"/>
      <c r="AN75" s="181"/>
      <c r="AO75" s="131"/>
      <c r="AP75" s="131"/>
      <c r="AQ75" s="39"/>
      <c r="AR75" s="274"/>
      <c r="AS75" s="274"/>
      <c r="AT75" s="274"/>
      <c r="AU75" s="39"/>
      <c r="AV75" s="39"/>
      <c r="AW75" s="39"/>
      <c r="AX75" s="274"/>
      <c r="AY75" s="274"/>
      <c r="AZ75" s="274"/>
      <c r="BA75" s="39"/>
      <c r="BB75" s="62"/>
      <c r="BC75" s="39"/>
      <c r="BD75" s="274"/>
      <c r="BE75" s="274"/>
      <c r="BF75" s="274"/>
      <c r="BG75" s="39"/>
      <c r="BH75" s="39"/>
      <c r="BI75" s="39"/>
      <c r="BJ75" s="274"/>
      <c r="BK75" s="274"/>
      <c r="BL75" s="274"/>
      <c r="BM75" s="213"/>
      <c r="BN75" s="213"/>
      <c r="BO75" s="39"/>
      <c r="BP75" s="274">
        <v>38000</v>
      </c>
      <c r="BQ75" s="274">
        <f t="shared" si="35"/>
        <v>7220</v>
      </c>
      <c r="BR75" s="274">
        <f t="shared" si="36"/>
        <v>45220</v>
      </c>
      <c r="BS75" s="39"/>
      <c r="BT75" s="39"/>
      <c r="BU75" s="39"/>
      <c r="BV75" s="212"/>
      <c r="BW75" s="221"/>
      <c r="BX75" s="273"/>
      <c r="BY75" s="213"/>
      <c r="BZ75" s="213"/>
      <c r="CA75" s="213"/>
      <c r="CB75" s="274"/>
      <c r="CC75" s="274"/>
      <c r="CD75" s="274"/>
      <c r="CE75" s="39"/>
      <c r="CF75" s="39"/>
      <c r="CG75" s="39"/>
      <c r="CH75" s="274"/>
      <c r="CI75" s="274"/>
      <c r="CJ75" s="274"/>
      <c r="CK75" s="39"/>
      <c r="CL75" s="39"/>
      <c r="CM75" s="39"/>
      <c r="CN75" s="39"/>
      <c r="CO75" s="39"/>
      <c r="CP75" s="11"/>
      <c r="CQ75" s="11"/>
      <c r="CR75" s="11"/>
      <c r="CS75" s="11"/>
      <c r="CT75" s="11"/>
      <c r="CU75" s="11"/>
      <c r="CV75" s="11"/>
      <c r="CW75" s="11"/>
      <c r="CX75" s="11"/>
      <c r="CY75" s="11"/>
      <c r="CZ75" s="11"/>
      <c r="DA75" s="11"/>
      <c r="DB75" s="11"/>
      <c r="DC75" s="11"/>
      <c r="DD75" s="11"/>
      <c r="DE75" s="11"/>
      <c r="DF75" s="11"/>
      <c r="DG75" s="11"/>
      <c r="DH75" s="11"/>
      <c r="DI75" s="11"/>
      <c r="DJ75" s="11"/>
      <c r="DK75" s="11"/>
      <c r="DL75" s="274"/>
      <c r="DM75" s="274"/>
      <c r="DN75" s="274"/>
      <c r="DO75" s="274"/>
      <c r="DP75" s="274"/>
      <c r="DQ75" s="274"/>
      <c r="DR75" s="274"/>
      <c r="DS75" s="274"/>
      <c r="DT75" s="274"/>
      <c r="DU75" s="274"/>
      <c r="DV75" s="274"/>
      <c r="DW75" s="274"/>
      <c r="DX75" s="274"/>
      <c r="DY75" s="274"/>
      <c r="DZ75" s="274"/>
      <c r="EA75" s="274"/>
      <c r="EB75" s="274"/>
      <c r="EC75" s="274"/>
      <c r="ED75" s="39">
        <f t="shared" si="37"/>
        <v>157465.95666666667</v>
      </c>
      <c r="EE75" s="30">
        <f t="shared" si="38"/>
        <v>3</v>
      </c>
      <c r="EF75" s="39">
        <f t="shared" si="39"/>
        <v>52488.652222222219</v>
      </c>
    </row>
    <row r="76" spans="1:136" x14ac:dyDescent="0.25">
      <c r="A76" s="25" t="e">
        <f>#REF!</f>
        <v>#REF!</v>
      </c>
      <c r="B76" s="50" t="e">
        <f>#REF!</f>
        <v>#REF!</v>
      </c>
      <c r="C76" s="5" t="e">
        <f>#REF!</f>
        <v>#REF!</v>
      </c>
      <c r="D76" s="5" t="e">
        <f>#REF!</f>
        <v>#REF!</v>
      </c>
      <c r="E76" s="252">
        <v>1</v>
      </c>
      <c r="F76" s="249">
        <v>0</v>
      </c>
      <c r="G76" s="249">
        <v>0</v>
      </c>
      <c r="H76" s="249">
        <v>7288.75</v>
      </c>
      <c r="I76" s="249">
        <v>7140</v>
      </c>
      <c r="J76" s="249">
        <v>10216.033333333333</v>
      </c>
      <c r="K76" s="249">
        <v>7497</v>
      </c>
      <c r="L76" s="274">
        <f>AVERAGE(H76,J76)</f>
        <v>8752.3916666666664</v>
      </c>
      <c r="M76" s="274">
        <f>AVERAGE(I76,K76)*E1</f>
        <v>7538.0550000000003</v>
      </c>
      <c r="N76" s="255">
        <v>8500</v>
      </c>
      <c r="O76" s="135">
        <f t="shared" si="40"/>
        <v>1615</v>
      </c>
      <c r="P76" s="135">
        <f t="shared" si="41"/>
        <v>10115</v>
      </c>
      <c r="Q76" s="131"/>
      <c r="R76" s="131"/>
      <c r="S76" s="11"/>
      <c r="T76" s="274"/>
      <c r="U76" s="274"/>
      <c r="V76" s="274"/>
      <c r="W76" s="39"/>
      <c r="X76" s="11"/>
      <c r="Y76" s="11"/>
      <c r="Z76" s="274"/>
      <c r="AA76" s="274"/>
      <c r="AB76" s="274"/>
      <c r="AC76" s="52"/>
      <c r="AD76" s="22"/>
      <c r="AE76" s="39"/>
      <c r="AF76" s="274"/>
      <c r="AG76" s="274"/>
      <c r="AH76" s="171"/>
      <c r="AI76" s="4"/>
      <c r="AJ76" s="39"/>
      <c r="AK76" s="39"/>
      <c r="AL76" s="118"/>
      <c r="AM76" s="152"/>
      <c r="AN76" s="181"/>
      <c r="AO76" s="131"/>
      <c r="AP76" s="131"/>
      <c r="AQ76" s="39"/>
      <c r="AR76" s="274"/>
      <c r="AS76" s="274"/>
      <c r="AT76" s="274"/>
      <c r="AU76" s="39"/>
      <c r="AV76" s="39"/>
      <c r="AW76" s="39"/>
      <c r="AX76" s="274"/>
      <c r="AY76" s="274"/>
      <c r="AZ76" s="274"/>
      <c r="BA76" s="39"/>
      <c r="BB76" s="62"/>
      <c r="BC76" s="39"/>
      <c r="BD76" s="274"/>
      <c r="BE76" s="274"/>
      <c r="BF76" s="274"/>
      <c r="BG76" s="39"/>
      <c r="BH76" s="39"/>
      <c r="BI76" s="39"/>
      <c r="BJ76" s="274"/>
      <c r="BK76" s="274"/>
      <c r="BL76" s="274"/>
      <c r="BM76" s="213"/>
      <c r="BN76" s="213"/>
      <c r="BO76" s="39"/>
      <c r="BP76" s="274">
        <v>28500</v>
      </c>
      <c r="BQ76" s="274">
        <f t="shared" si="35"/>
        <v>5415</v>
      </c>
      <c r="BR76" s="274">
        <f t="shared" si="36"/>
        <v>33915</v>
      </c>
      <c r="BS76" s="39"/>
      <c r="BT76" s="39"/>
      <c r="BU76" s="39"/>
      <c r="BV76" s="212"/>
      <c r="BW76" s="221"/>
      <c r="BX76" s="273"/>
      <c r="BY76" s="213"/>
      <c r="BZ76" s="213"/>
      <c r="CA76" s="213"/>
      <c r="CB76" s="274"/>
      <c r="CC76" s="274"/>
      <c r="CD76" s="274"/>
      <c r="CE76" s="39"/>
      <c r="CF76" s="39"/>
      <c r="CG76" s="39"/>
      <c r="CH76" s="274"/>
      <c r="CI76" s="274"/>
      <c r="CJ76" s="274"/>
      <c r="CK76" s="39"/>
      <c r="CL76" s="39"/>
      <c r="CM76" s="39"/>
      <c r="CN76" s="39"/>
      <c r="CO76" s="39"/>
      <c r="CP76" s="11"/>
      <c r="CQ76" s="11"/>
      <c r="CR76" s="11"/>
      <c r="CS76" s="11"/>
      <c r="CT76" s="11"/>
      <c r="CU76" s="11"/>
      <c r="CV76" s="11"/>
      <c r="CW76" s="11"/>
      <c r="CX76" s="11"/>
      <c r="CY76" s="11"/>
      <c r="CZ76" s="11"/>
      <c r="DA76" s="11"/>
      <c r="DB76" s="11"/>
      <c r="DC76" s="11"/>
      <c r="DD76" s="11"/>
      <c r="DE76" s="11"/>
      <c r="DF76" s="11"/>
      <c r="DG76" s="11"/>
      <c r="DH76" s="11"/>
      <c r="DI76" s="11"/>
      <c r="DJ76" s="11"/>
      <c r="DK76" s="11"/>
      <c r="DL76" s="274"/>
      <c r="DM76" s="274"/>
      <c r="DN76" s="274"/>
      <c r="DO76" s="274"/>
      <c r="DP76" s="274"/>
      <c r="DQ76" s="274"/>
      <c r="DR76" s="274"/>
      <c r="DS76" s="274"/>
      <c r="DT76" s="274"/>
      <c r="DU76" s="274"/>
      <c r="DV76" s="274"/>
      <c r="DW76" s="274"/>
      <c r="DX76" s="274"/>
      <c r="DY76" s="274"/>
      <c r="DZ76" s="274"/>
      <c r="EA76" s="274"/>
      <c r="EB76" s="274"/>
      <c r="EC76" s="274"/>
      <c r="ED76" s="39">
        <f t="shared" si="37"/>
        <v>51568.055</v>
      </c>
      <c r="EE76" s="30">
        <f t="shared" si="38"/>
        <v>3</v>
      </c>
      <c r="EF76" s="39">
        <f t="shared" si="39"/>
        <v>17189.351666666666</v>
      </c>
    </row>
    <row r="77" spans="1:136" x14ac:dyDescent="0.25">
      <c r="A77" s="25" t="e">
        <f>#REF!</f>
        <v>#REF!</v>
      </c>
      <c r="B77" s="50" t="e">
        <f>#REF!</f>
        <v>#REF!</v>
      </c>
      <c r="C77" s="5" t="e">
        <f>#REF!</f>
        <v>#REF!</v>
      </c>
      <c r="D77" s="5" t="e">
        <f>#REF!</f>
        <v>#REF!</v>
      </c>
      <c r="E77" s="252">
        <v>1</v>
      </c>
      <c r="F77" s="249">
        <v>0</v>
      </c>
      <c r="G77" s="249">
        <v>0</v>
      </c>
      <c r="H77" s="249">
        <v>178500</v>
      </c>
      <c r="I77" s="249">
        <v>0</v>
      </c>
      <c r="J77" s="249">
        <v>151963</v>
      </c>
      <c r="K77" s="249">
        <v>0</v>
      </c>
      <c r="L77" s="274">
        <f>AVERAGE(H77,J77)</f>
        <v>165231.5</v>
      </c>
      <c r="M77" s="274"/>
      <c r="N77" s="255">
        <v>120000</v>
      </c>
      <c r="O77" s="135">
        <f t="shared" si="40"/>
        <v>22800</v>
      </c>
      <c r="P77" s="135">
        <f t="shared" si="41"/>
        <v>142800</v>
      </c>
      <c r="Q77" s="131"/>
      <c r="R77" s="131"/>
      <c r="S77" s="11"/>
      <c r="T77" s="274"/>
      <c r="U77" s="274"/>
      <c r="V77" s="274"/>
      <c r="W77" s="39"/>
      <c r="X77" s="11"/>
      <c r="Y77" s="11"/>
      <c r="Z77" s="274"/>
      <c r="AA77" s="274"/>
      <c r="AB77" s="274"/>
      <c r="AC77" s="52"/>
      <c r="AD77" s="53"/>
      <c r="AE77" s="39"/>
      <c r="AF77" s="274"/>
      <c r="AG77" s="274"/>
      <c r="AH77" s="113"/>
      <c r="AI77" s="53"/>
      <c r="AJ77" s="39"/>
      <c r="AK77" s="39"/>
      <c r="AL77" s="118"/>
      <c r="AM77" s="152"/>
      <c r="AN77" s="181"/>
      <c r="AO77" s="131"/>
      <c r="AP77" s="131"/>
      <c r="AQ77" s="39"/>
      <c r="AR77" s="274"/>
      <c r="AS77" s="274"/>
      <c r="AT77" s="274"/>
      <c r="AU77" s="39"/>
      <c r="AV77" s="39"/>
      <c r="AW77" s="39"/>
      <c r="AX77" s="274"/>
      <c r="AY77" s="274"/>
      <c r="AZ77" s="274"/>
      <c r="BA77" s="39"/>
      <c r="BB77" s="62"/>
      <c r="BC77" s="39"/>
      <c r="BD77" s="274"/>
      <c r="BE77" s="274"/>
      <c r="BF77" s="274"/>
      <c r="BG77" s="39"/>
      <c r="BH77" s="39"/>
      <c r="BI77" s="39"/>
      <c r="BJ77" s="274"/>
      <c r="BK77" s="274"/>
      <c r="BL77" s="274"/>
      <c r="BM77" s="213"/>
      <c r="BN77" s="213"/>
      <c r="BO77" s="39"/>
      <c r="BP77" s="274">
        <v>45200</v>
      </c>
      <c r="BQ77" s="274">
        <f t="shared" si="35"/>
        <v>8588</v>
      </c>
      <c r="BR77" s="274">
        <f t="shared" si="36"/>
        <v>53788</v>
      </c>
      <c r="BS77" s="39"/>
      <c r="BT77" s="39"/>
      <c r="BU77" s="39"/>
      <c r="BV77" s="212"/>
      <c r="BW77" s="221"/>
      <c r="BX77" s="273"/>
      <c r="BY77" s="213"/>
      <c r="BZ77" s="213"/>
      <c r="CA77" s="213"/>
      <c r="CB77" s="274"/>
      <c r="CC77" s="274"/>
      <c r="CD77" s="274"/>
      <c r="CE77" s="39"/>
      <c r="CF77" s="39"/>
      <c r="CG77" s="39"/>
      <c r="CH77" s="274"/>
      <c r="CI77" s="274"/>
      <c r="CJ77" s="274"/>
      <c r="CK77" s="39"/>
      <c r="CL77" s="39"/>
      <c r="CM77" s="39"/>
      <c r="CN77" s="39"/>
      <c r="CO77" s="39"/>
      <c r="CP77" s="11"/>
      <c r="CQ77" s="11"/>
      <c r="CR77" s="11"/>
      <c r="CS77" s="11"/>
      <c r="CT77" s="11"/>
      <c r="CU77" s="11"/>
      <c r="CV77" s="11"/>
      <c r="CW77" s="11"/>
      <c r="CX77" s="11"/>
      <c r="CY77" s="11"/>
      <c r="CZ77" s="11"/>
      <c r="DA77" s="11"/>
      <c r="DB77" s="11"/>
      <c r="DC77" s="11"/>
      <c r="DD77" s="11"/>
      <c r="DE77" s="11"/>
      <c r="DF77" s="11"/>
      <c r="DG77" s="11"/>
      <c r="DH77" s="11"/>
      <c r="DI77" s="11"/>
      <c r="DJ77" s="11"/>
      <c r="DK77" s="11"/>
      <c r="DL77" s="274"/>
      <c r="DM77" s="274"/>
      <c r="DN77" s="274"/>
      <c r="DO77" s="274"/>
      <c r="DP77" s="274"/>
      <c r="DQ77" s="274"/>
      <c r="DR77" s="274"/>
      <c r="DS77" s="274"/>
      <c r="DT77" s="274"/>
      <c r="DU77" s="274"/>
      <c r="DV77" s="274"/>
      <c r="DW77" s="274"/>
      <c r="DX77" s="274"/>
      <c r="DY77" s="274"/>
      <c r="DZ77" s="274"/>
      <c r="EA77" s="274"/>
      <c r="EB77" s="274"/>
      <c r="EC77" s="274"/>
      <c r="ED77" s="39">
        <f t="shared" si="37"/>
        <v>196588</v>
      </c>
      <c r="EE77" s="30">
        <f t="shared" si="38"/>
        <v>2</v>
      </c>
      <c r="EF77" s="39">
        <f t="shared" si="39"/>
        <v>98294</v>
      </c>
    </row>
    <row r="78" spans="1:136" x14ac:dyDescent="0.25">
      <c r="A78" s="25" t="e">
        <f>#REF!</f>
        <v>#REF!</v>
      </c>
      <c r="B78" s="50" t="e">
        <f>#REF!</f>
        <v>#REF!</v>
      </c>
      <c r="C78" s="5" t="e">
        <f>#REF!</f>
        <v>#REF!</v>
      </c>
      <c r="D78" s="5" t="e">
        <f>#REF!</f>
        <v>#REF!</v>
      </c>
      <c r="E78" s="252">
        <v>1</v>
      </c>
      <c r="F78" s="249">
        <v>0</v>
      </c>
      <c r="G78" s="249">
        <v>0</v>
      </c>
      <c r="H78" s="249">
        <v>0</v>
      </c>
      <c r="I78" s="249">
        <v>0</v>
      </c>
      <c r="J78" s="249">
        <v>952000</v>
      </c>
      <c r="K78" s="249">
        <v>0</v>
      </c>
      <c r="L78" s="274">
        <f>J78</f>
        <v>952000</v>
      </c>
      <c r="M78" s="274"/>
      <c r="N78" s="255"/>
      <c r="O78" s="135"/>
      <c r="P78" s="135"/>
      <c r="Q78" s="131"/>
      <c r="R78" s="131"/>
      <c r="S78" s="11"/>
      <c r="T78" s="274"/>
      <c r="U78" s="274"/>
      <c r="V78" s="274"/>
      <c r="W78" s="39"/>
      <c r="X78" s="11"/>
      <c r="Y78" s="11"/>
      <c r="Z78" s="274"/>
      <c r="AA78" s="274"/>
      <c r="AB78" s="274"/>
      <c r="AC78" s="52"/>
      <c r="AD78" s="22"/>
      <c r="AE78" s="39"/>
      <c r="AF78" s="274"/>
      <c r="AG78" s="274"/>
      <c r="AH78" s="171"/>
      <c r="AI78" s="4"/>
      <c r="AJ78" s="39"/>
      <c r="AK78" s="39"/>
      <c r="AL78" s="118"/>
      <c r="AM78" s="152"/>
      <c r="AN78" s="181"/>
      <c r="AO78" s="131"/>
      <c r="AP78" s="131"/>
      <c r="AQ78" s="39"/>
      <c r="AR78" s="274"/>
      <c r="AS78" s="274"/>
      <c r="AT78" s="274"/>
      <c r="AU78" s="39"/>
      <c r="AV78" s="39"/>
      <c r="AW78" s="39"/>
      <c r="AX78" s="274"/>
      <c r="AY78" s="274"/>
      <c r="AZ78" s="274"/>
      <c r="BA78" s="39"/>
      <c r="BB78" s="62"/>
      <c r="BC78" s="39"/>
      <c r="BD78" s="274"/>
      <c r="BE78" s="274"/>
      <c r="BF78" s="274"/>
      <c r="BG78" s="39"/>
      <c r="BH78" s="39"/>
      <c r="BI78" s="39"/>
      <c r="BJ78" s="274"/>
      <c r="BK78" s="274"/>
      <c r="BL78" s="274"/>
      <c r="BM78" s="213"/>
      <c r="BN78" s="213"/>
      <c r="BO78" s="39"/>
      <c r="BP78" s="274">
        <v>560000</v>
      </c>
      <c r="BQ78" s="274">
        <f t="shared" si="35"/>
        <v>106400</v>
      </c>
      <c r="BR78" s="274">
        <f t="shared" si="36"/>
        <v>666400</v>
      </c>
      <c r="BS78" s="39"/>
      <c r="BT78" s="39"/>
      <c r="BU78" s="39"/>
      <c r="BV78" s="212"/>
      <c r="BW78" s="221"/>
      <c r="BX78" s="273"/>
      <c r="BY78" s="213"/>
      <c r="BZ78" s="213"/>
      <c r="CA78" s="213"/>
      <c r="CB78" s="274"/>
      <c r="CC78" s="274"/>
      <c r="CD78" s="274"/>
      <c r="CE78" s="39"/>
      <c r="CF78" s="39"/>
      <c r="CG78" s="39"/>
      <c r="CH78" s="274"/>
      <c r="CI78" s="274"/>
      <c r="CJ78" s="274"/>
      <c r="CK78" s="39"/>
      <c r="CL78" s="39"/>
      <c r="CM78" s="39"/>
      <c r="CN78" s="39"/>
      <c r="CO78" s="39"/>
      <c r="CP78" s="11"/>
      <c r="CQ78" s="11"/>
      <c r="CR78" s="11"/>
      <c r="CS78" s="11"/>
      <c r="CT78" s="11"/>
      <c r="CU78" s="11"/>
      <c r="CV78" s="11"/>
      <c r="CW78" s="11"/>
      <c r="CX78" s="11"/>
      <c r="CY78" s="11"/>
      <c r="CZ78" s="11"/>
      <c r="DA78" s="11"/>
      <c r="DB78" s="11"/>
      <c r="DC78" s="11"/>
      <c r="DD78" s="11"/>
      <c r="DE78" s="11"/>
      <c r="DF78" s="11"/>
      <c r="DG78" s="11"/>
      <c r="DH78" s="11"/>
      <c r="DI78" s="11"/>
      <c r="DJ78" s="11"/>
      <c r="DK78" s="11"/>
      <c r="DL78" s="274"/>
      <c r="DM78" s="274"/>
      <c r="DN78" s="274"/>
      <c r="DO78" s="274"/>
      <c r="DP78" s="274"/>
      <c r="DQ78" s="274"/>
      <c r="DR78" s="274"/>
      <c r="DS78" s="274"/>
      <c r="DT78" s="274"/>
      <c r="DU78" s="274"/>
      <c r="DV78" s="274"/>
      <c r="DW78" s="274"/>
      <c r="DX78" s="274"/>
      <c r="DY78" s="274"/>
      <c r="DZ78" s="274"/>
      <c r="EA78" s="274"/>
      <c r="EB78" s="274"/>
      <c r="EC78" s="274"/>
      <c r="ED78" s="39">
        <f t="shared" si="37"/>
        <v>666400</v>
      </c>
      <c r="EE78" s="30">
        <f t="shared" si="38"/>
        <v>1</v>
      </c>
      <c r="EF78" s="39">
        <f t="shared" si="39"/>
        <v>666400</v>
      </c>
    </row>
    <row r="79" spans="1:136" x14ac:dyDescent="0.25">
      <c r="A79" s="25" t="e">
        <f>#REF!</f>
        <v>#REF!</v>
      </c>
      <c r="B79" s="50" t="e">
        <f>#REF!</f>
        <v>#REF!</v>
      </c>
      <c r="C79" s="5" t="e">
        <f>#REF!</f>
        <v>#REF!</v>
      </c>
      <c r="D79" s="5" t="e">
        <f>#REF!</f>
        <v>#REF!</v>
      </c>
      <c r="E79" s="252">
        <v>1</v>
      </c>
      <c r="F79" s="249">
        <v>1078106.085</v>
      </c>
      <c r="G79" s="249">
        <v>1078021</v>
      </c>
      <c r="H79" s="249">
        <v>1729717.6666666667</v>
      </c>
      <c r="I79" s="249">
        <v>1729546</v>
      </c>
      <c r="J79" s="249">
        <v>0</v>
      </c>
      <c r="K79" s="249">
        <v>0</v>
      </c>
      <c r="L79" s="274">
        <f>AVERAGE(F79,H79)</f>
        <v>1403911.8758333335</v>
      </c>
      <c r="M79" s="274">
        <f>AVERAGE(G79,I79)*E1</f>
        <v>1445897.0050000001</v>
      </c>
      <c r="N79" s="255">
        <v>2300000</v>
      </c>
      <c r="O79" s="135">
        <f>+N79*0.19</f>
        <v>437000</v>
      </c>
      <c r="P79" s="135">
        <f>+N79+O79</f>
        <v>2737000</v>
      </c>
      <c r="Q79" s="131"/>
      <c r="R79" s="131"/>
      <c r="S79" s="11"/>
      <c r="T79" s="274"/>
      <c r="U79" s="274"/>
      <c r="V79" s="274"/>
      <c r="W79" s="39"/>
      <c r="X79" s="11"/>
      <c r="Y79" s="11"/>
      <c r="Z79" s="274"/>
      <c r="AA79" s="274"/>
      <c r="AB79" s="274"/>
      <c r="AC79" s="52"/>
      <c r="AD79" s="22"/>
      <c r="AE79" s="39"/>
      <c r="AF79" s="274"/>
      <c r="AG79" s="274"/>
      <c r="AH79" s="171"/>
      <c r="AI79" s="4"/>
      <c r="AJ79" s="39"/>
      <c r="AK79" s="39"/>
      <c r="AL79" s="118"/>
      <c r="AM79" s="152"/>
      <c r="AN79" s="181"/>
      <c r="AO79" s="131"/>
      <c r="AP79" s="131"/>
      <c r="AQ79" s="39"/>
      <c r="AR79" s="274"/>
      <c r="AS79" s="274"/>
      <c r="AT79" s="274"/>
      <c r="AU79" s="39"/>
      <c r="AV79" s="39"/>
      <c r="AW79" s="39"/>
      <c r="AX79" s="274"/>
      <c r="AY79" s="274"/>
      <c r="AZ79" s="274"/>
      <c r="BA79" s="39"/>
      <c r="BB79" s="62"/>
      <c r="BC79" s="39"/>
      <c r="BD79" s="274"/>
      <c r="BE79" s="274"/>
      <c r="BF79" s="274"/>
      <c r="BG79" s="39"/>
      <c r="BH79" s="39"/>
      <c r="BI79" s="39"/>
      <c r="BJ79" s="274">
        <v>2999700</v>
      </c>
      <c r="BK79" s="274">
        <f>+BJ79*0.19</f>
        <v>569943</v>
      </c>
      <c r="BL79" s="274">
        <f>+BJ79+BK79</f>
        <v>3569643</v>
      </c>
      <c r="BM79" s="213" t="s">
        <v>4754</v>
      </c>
      <c r="BN79" s="213" t="s">
        <v>3113</v>
      </c>
      <c r="BO79" s="39"/>
      <c r="BP79" s="274">
        <v>563000</v>
      </c>
      <c r="BQ79" s="274">
        <f t="shared" si="35"/>
        <v>106970</v>
      </c>
      <c r="BR79" s="274">
        <f t="shared" si="36"/>
        <v>669970</v>
      </c>
      <c r="BS79" s="39"/>
      <c r="BT79" s="39"/>
      <c r="BU79" s="39"/>
      <c r="BV79" s="219">
        <v>3406075.3584000003</v>
      </c>
      <c r="BW79" s="219">
        <f>+BV79*0.19</f>
        <v>647154.318096</v>
      </c>
      <c r="BX79" s="273">
        <f>+BV79+BW79</f>
        <v>4053229.676496</v>
      </c>
      <c r="BY79" s="213" t="s">
        <v>4754</v>
      </c>
      <c r="BZ79" s="213" t="s">
        <v>3113</v>
      </c>
      <c r="CA79" s="213"/>
      <c r="CB79" s="274"/>
      <c r="CC79" s="274"/>
      <c r="CD79" s="274"/>
      <c r="CE79" s="39"/>
      <c r="CF79" s="39"/>
      <c r="CG79" s="39"/>
      <c r="CH79" s="274"/>
      <c r="CI79" s="274"/>
      <c r="CJ79" s="274"/>
      <c r="CK79" s="39"/>
      <c r="CL79" s="39"/>
      <c r="CM79" s="39"/>
      <c r="CN79" s="39"/>
      <c r="CO79" s="39"/>
      <c r="CP79" s="11"/>
      <c r="CQ79" s="11"/>
      <c r="CR79" s="11"/>
      <c r="CS79" s="11"/>
      <c r="CT79" s="11"/>
      <c r="CU79" s="11"/>
      <c r="CV79" s="11"/>
      <c r="CW79" s="11"/>
      <c r="CX79" s="11"/>
      <c r="CY79" s="11"/>
      <c r="CZ79" s="11"/>
      <c r="DA79" s="11"/>
      <c r="DB79" s="11"/>
      <c r="DC79" s="11"/>
      <c r="DD79" s="11"/>
      <c r="DE79" s="11"/>
      <c r="DF79" s="11"/>
      <c r="DG79" s="11"/>
      <c r="DH79" s="11"/>
      <c r="DI79" s="11"/>
      <c r="DJ79" s="11"/>
      <c r="DK79" s="11"/>
      <c r="DL79" s="274"/>
      <c r="DM79" s="274"/>
      <c r="DN79" s="274"/>
      <c r="DO79" s="274"/>
      <c r="DP79" s="274"/>
      <c r="DQ79" s="274"/>
      <c r="DR79" s="274"/>
      <c r="DS79" s="274"/>
      <c r="DT79" s="274"/>
      <c r="DU79" s="274"/>
      <c r="DV79" s="274"/>
      <c r="DW79" s="274"/>
      <c r="DX79" s="274"/>
      <c r="DY79" s="274"/>
      <c r="DZ79" s="274"/>
      <c r="EA79" s="274"/>
      <c r="EB79" s="274"/>
      <c r="EC79" s="274"/>
      <c r="ED79" s="39">
        <f t="shared" si="37"/>
        <v>12475739.681495998</v>
      </c>
      <c r="EE79" s="30">
        <f t="shared" si="38"/>
        <v>5</v>
      </c>
      <c r="EF79" s="39">
        <f t="shared" si="39"/>
        <v>2495147.9362991997</v>
      </c>
    </row>
    <row r="80" spans="1:136" x14ac:dyDescent="0.25">
      <c r="A80" s="25" t="e">
        <f>#REF!</f>
        <v>#REF!</v>
      </c>
      <c r="B80" s="50" t="e">
        <f>#REF!</f>
        <v>#REF!</v>
      </c>
      <c r="C80" s="5" t="e">
        <f>#REF!</f>
        <v>#REF!</v>
      </c>
      <c r="D80" s="5" t="e">
        <f>#REF!</f>
        <v>#REF!</v>
      </c>
      <c r="E80" s="252">
        <v>1</v>
      </c>
      <c r="F80" s="249">
        <v>443307.13</v>
      </c>
      <c r="G80" s="249">
        <v>429947</v>
      </c>
      <c r="H80" s="249">
        <v>936347.09105000005</v>
      </c>
      <c r="I80" s="249">
        <v>0</v>
      </c>
      <c r="J80" s="249">
        <v>1202984.2883333333</v>
      </c>
      <c r="K80" s="249">
        <v>940100</v>
      </c>
      <c r="L80" s="274">
        <f>AVERAGE(F80,H80,J80)</f>
        <v>860879.50312777783</v>
      </c>
      <c r="M80" s="274">
        <f>AVERAGE(G80,K80)*E1</f>
        <v>705574.20500000007</v>
      </c>
      <c r="N80" s="255"/>
      <c r="O80" s="135"/>
      <c r="P80" s="135"/>
      <c r="Q80" s="131"/>
      <c r="R80" s="131"/>
      <c r="S80" s="11"/>
      <c r="T80" s="274"/>
      <c r="U80" s="274"/>
      <c r="V80" s="274"/>
      <c r="W80" s="39"/>
      <c r="X80" s="11"/>
      <c r="Y80" s="11"/>
      <c r="Z80" s="274"/>
      <c r="AA80" s="274"/>
      <c r="AB80" s="274"/>
      <c r="AC80" s="52"/>
      <c r="AD80" s="22"/>
      <c r="AE80" s="39"/>
      <c r="AF80" s="274"/>
      <c r="AG80" s="274"/>
      <c r="AH80" s="171"/>
      <c r="AI80" s="4"/>
      <c r="AJ80" s="39"/>
      <c r="AK80" s="39"/>
      <c r="AL80" s="118"/>
      <c r="AM80" s="152"/>
      <c r="AN80" s="181"/>
      <c r="AO80" s="131"/>
      <c r="AP80" s="131"/>
      <c r="AQ80" s="39"/>
      <c r="AR80" s="274"/>
      <c r="AS80" s="274"/>
      <c r="AT80" s="274"/>
      <c r="AU80" s="39"/>
      <c r="AV80" s="39"/>
      <c r="AW80" s="39"/>
      <c r="AX80" s="274"/>
      <c r="AY80" s="274"/>
      <c r="AZ80" s="274"/>
      <c r="BA80" s="39"/>
      <c r="BB80" s="62"/>
      <c r="BC80" s="39"/>
      <c r="BD80" s="274"/>
      <c r="BE80" s="274"/>
      <c r="BF80" s="274"/>
      <c r="BG80" s="39"/>
      <c r="BH80" s="39"/>
      <c r="BI80" s="39"/>
      <c r="BJ80" s="274"/>
      <c r="BK80" s="274"/>
      <c r="BL80" s="274"/>
      <c r="BM80" s="213"/>
      <c r="BN80" s="213"/>
      <c r="BO80" s="39"/>
      <c r="BP80" s="274">
        <v>550000</v>
      </c>
      <c r="BQ80" s="274">
        <f t="shared" si="35"/>
        <v>104500</v>
      </c>
      <c r="BR80" s="274">
        <f t="shared" si="36"/>
        <v>654500</v>
      </c>
      <c r="BS80" s="39"/>
      <c r="BT80" s="39"/>
      <c r="BU80" s="39"/>
      <c r="BV80" s="212"/>
      <c r="BW80" s="221"/>
      <c r="BX80" s="273"/>
      <c r="BY80" s="213"/>
      <c r="BZ80" s="213"/>
      <c r="CA80" s="213"/>
      <c r="CB80" s="274"/>
      <c r="CC80" s="274"/>
      <c r="CD80" s="274"/>
      <c r="CE80" s="39"/>
      <c r="CF80" s="39"/>
      <c r="CG80" s="39"/>
      <c r="CH80" s="274"/>
      <c r="CI80" s="274"/>
      <c r="CJ80" s="274"/>
      <c r="CK80" s="39"/>
      <c r="CL80" s="39"/>
      <c r="CM80" s="39"/>
      <c r="CN80" s="39"/>
      <c r="CO80" s="39"/>
      <c r="CP80" s="11"/>
      <c r="CQ80" s="11"/>
      <c r="CR80" s="11"/>
      <c r="CS80" s="11"/>
      <c r="CT80" s="11"/>
      <c r="CU80" s="11"/>
      <c r="CV80" s="11"/>
      <c r="CW80" s="11"/>
      <c r="CX80" s="11"/>
      <c r="CY80" s="11"/>
      <c r="CZ80" s="11"/>
      <c r="DA80" s="11"/>
      <c r="DB80" s="11"/>
      <c r="DC80" s="11"/>
      <c r="DD80" s="11"/>
      <c r="DE80" s="11"/>
      <c r="DF80" s="11"/>
      <c r="DG80" s="11"/>
      <c r="DH80" s="11"/>
      <c r="DI80" s="11"/>
      <c r="DJ80" s="11"/>
      <c r="DK80" s="11"/>
      <c r="DL80" s="274"/>
      <c r="DM80" s="274"/>
      <c r="DN80" s="274"/>
      <c r="DO80" s="274"/>
      <c r="DP80" s="274"/>
      <c r="DQ80" s="274"/>
      <c r="DR80" s="274"/>
      <c r="DS80" s="274"/>
      <c r="DT80" s="274"/>
      <c r="DU80" s="274"/>
      <c r="DV80" s="274"/>
      <c r="DW80" s="274"/>
      <c r="DX80" s="274"/>
      <c r="DY80" s="274"/>
      <c r="DZ80" s="274"/>
      <c r="EA80" s="274"/>
      <c r="EB80" s="274"/>
      <c r="EC80" s="274"/>
      <c r="ED80" s="39">
        <f t="shared" si="37"/>
        <v>1360074.2050000001</v>
      </c>
      <c r="EE80" s="30">
        <f t="shared" si="38"/>
        <v>2</v>
      </c>
      <c r="EF80" s="39">
        <f t="shared" si="39"/>
        <v>680037.10250000004</v>
      </c>
    </row>
    <row r="81" spans="1:136" x14ac:dyDescent="0.25">
      <c r="A81" s="25" t="e">
        <f>#REF!</f>
        <v>#REF!</v>
      </c>
      <c r="B81" s="50" t="e">
        <f>#REF!</f>
        <v>#REF!</v>
      </c>
      <c r="C81" s="5" t="e">
        <f>#REF!</f>
        <v>#REF!</v>
      </c>
      <c r="D81" s="5" t="e">
        <f>#REF!</f>
        <v>#REF!</v>
      </c>
      <c r="E81" s="252">
        <v>1</v>
      </c>
      <c r="F81" s="249">
        <v>909797.12600000005</v>
      </c>
      <c r="G81" s="249">
        <v>887026</v>
      </c>
      <c r="H81" s="249">
        <v>823466.99726666661</v>
      </c>
      <c r="I81" s="249">
        <v>823361</v>
      </c>
      <c r="J81" s="249">
        <v>917359.1</v>
      </c>
      <c r="K81" s="249">
        <v>892500</v>
      </c>
      <c r="L81" s="274">
        <f>AVERAGE(F81,H81,J81)</f>
        <v>883541.07442222221</v>
      </c>
      <c r="M81" s="274">
        <f>AVERAGE(G81,I81,K81)*E1</f>
        <v>893657.87</v>
      </c>
      <c r="N81" s="255">
        <v>890000</v>
      </c>
      <c r="O81" s="135">
        <f>+N81*0.19</f>
        <v>169100</v>
      </c>
      <c r="P81" s="135">
        <f>+N81+O81</f>
        <v>1059100</v>
      </c>
      <c r="Q81" s="131"/>
      <c r="R81" s="131"/>
      <c r="S81" s="11"/>
      <c r="T81" s="274"/>
      <c r="U81" s="274"/>
      <c r="V81" s="274"/>
      <c r="W81" s="39"/>
      <c r="X81" s="11"/>
      <c r="Y81" s="11"/>
      <c r="Z81" s="274"/>
      <c r="AA81" s="274"/>
      <c r="AB81" s="274"/>
      <c r="AC81" s="52"/>
      <c r="AD81" s="22"/>
      <c r="AE81" s="39"/>
      <c r="AF81" s="274"/>
      <c r="AG81" s="274"/>
      <c r="AH81" s="171"/>
      <c r="AI81" s="4"/>
      <c r="AJ81" s="39"/>
      <c r="AK81" s="39"/>
      <c r="AL81" s="118"/>
      <c r="AM81" s="152"/>
      <c r="AN81" s="181"/>
      <c r="AO81" s="131"/>
      <c r="AP81" s="131"/>
      <c r="AQ81" s="39"/>
      <c r="AR81" s="274"/>
      <c r="AS81" s="274"/>
      <c r="AT81" s="274"/>
      <c r="AU81" s="39"/>
      <c r="AV81" s="39"/>
      <c r="AW81" s="39"/>
      <c r="AX81" s="274"/>
      <c r="AY81" s="274"/>
      <c r="AZ81" s="274"/>
      <c r="BA81" s="39"/>
      <c r="BB81" s="62"/>
      <c r="BC81" s="39"/>
      <c r="BD81" s="274"/>
      <c r="BE81" s="274"/>
      <c r="BF81" s="274"/>
      <c r="BG81" s="39"/>
      <c r="BH81" s="39"/>
      <c r="BI81" s="39"/>
      <c r="BJ81" s="274">
        <v>1628500</v>
      </c>
      <c r="BK81" s="274">
        <f>+BJ81*0.19</f>
        <v>309415</v>
      </c>
      <c r="BL81" s="274">
        <f>+BJ81+BK81</f>
        <v>1937915</v>
      </c>
      <c r="BM81" s="213" t="s">
        <v>4754</v>
      </c>
      <c r="BN81" s="213" t="s">
        <v>3113</v>
      </c>
      <c r="BO81" s="39"/>
      <c r="BP81" s="274">
        <v>586000</v>
      </c>
      <c r="BQ81" s="274">
        <f t="shared" si="35"/>
        <v>111340</v>
      </c>
      <c r="BR81" s="274">
        <f t="shared" si="36"/>
        <v>697340</v>
      </c>
      <c r="BS81" s="39"/>
      <c r="BT81" s="39"/>
      <c r="BU81" s="39"/>
      <c r="BV81" s="219">
        <v>1847774.2680000002</v>
      </c>
      <c r="BW81" s="219">
        <f>+BV81*0.19</f>
        <v>351077.11092000001</v>
      </c>
      <c r="BX81" s="273">
        <f>+BV81+BW81</f>
        <v>2198851.37892</v>
      </c>
      <c r="BY81" s="213" t="s">
        <v>4754</v>
      </c>
      <c r="BZ81" s="213" t="s">
        <v>3113</v>
      </c>
      <c r="CA81" s="213"/>
      <c r="CB81" s="274"/>
      <c r="CC81" s="274"/>
      <c r="CD81" s="274"/>
      <c r="CE81" s="39"/>
      <c r="CF81" s="39"/>
      <c r="CG81" s="39"/>
      <c r="CH81" s="274"/>
      <c r="CI81" s="274"/>
      <c r="CJ81" s="274"/>
      <c r="CK81" s="39"/>
      <c r="CL81" s="39"/>
      <c r="CM81" s="39"/>
      <c r="CN81" s="39"/>
      <c r="CO81" s="39"/>
      <c r="CP81" s="11"/>
      <c r="CQ81" s="11"/>
      <c r="CR81" s="11"/>
      <c r="CS81" s="11"/>
      <c r="CT81" s="11"/>
      <c r="CU81" s="11"/>
      <c r="CV81" s="11"/>
      <c r="CW81" s="11"/>
      <c r="CX81" s="11"/>
      <c r="CY81" s="11"/>
      <c r="CZ81" s="11"/>
      <c r="DA81" s="11"/>
      <c r="DB81" s="11"/>
      <c r="DC81" s="11"/>
      <c r="DD81" s="11"/>
      <c r="DE81" s="11"/>
      <c r="DF81" s="11"/>
      <c r="DG81" s="11"/>
      <c r="DH81" s="11"/>
      <c r="DI81" s="11"/>
      <c r="DJ81" s="11"/>
      <c r="DK81" s="11"/>
      <c r="DL81" s="274"/>
      <c r="DM81" s="274"/>
      <c r="DN81" s="274"/>
      <c r="DO81" s="274"/>
      <c r="DP81" s="274"/>
      <c r="DQ81" s="274"/>
      <c r="DR81" s="274"/>
      <c r="DS81" s="274"/>
      <c r="DT81" s="274"/>
      <c r="DU81" s="274"/>
      <c r="DV81" s="274"/>
      <c r="DW81" s="274"/>
      <c r="DX81" s="274"/>
      <c r="DY81" s="274"/>
      <c r="DZ81" s="274"/>
      <c r="EA81" s="274"/>
      <c r="EB81" s="274"/>
      <c r="EC81" s="274"/>
      <c r="ED81" s="39">
        <f t="shared" si="37"/>
        <v>6786864.2489200002</v>
      </c>
      <c r="EE81" s="30">
        <f t="shared" si="38"/>
        <v>5</v>
      </c>
      <c r="EF81" s="39">
        <f t="shared" si="39"/>
        <v>1357372.8497840001</v>
      </c>
    </row>
    <row r="82" spans="1:136" x14ac:dyDescent="0.25">
      <c r="A82" s="25" t="e">
        <f>#REF!</f>
        <v>#REF!</v>
      </c>
      <c r="B82" s="50" t="e">
        <f>#REF!</f>
        <v>#REF!</v>
      </c>
      <c r="C82" s="5" t="e">
        <f>#REF!</f>
        <v>#REF!</v>
      </c>
      <c r="D82" s="5" t="e">
        <f>#REF!</f>
        <v>#REF!</v>
      </c>
      <c r="E82" s="252">
        <v>1</v>
      </c>
      <c r="F82" s="249">
        <v>0</v>
      </c>
      <c r="G82" s="249">
        <v>0</v>
      </c>
      <c r="H82" s="249">
        <v>456599.16020608443</v>
      </c>
      <c r="I82" s="249">
        <v>456484</v>
      </c>
      <c r="J82" s="249">
        <v>500813.48333333334</v>
      </c>
      <c r="K82" s="249">
        <v>499800</v>
      </c>
      <c r="L82" s="274">
        <f>AVERAGE(H82,J82)</f>
        <v>478706.32176970888</v>
      </c>
      <c r="M82" s="274">
        <f>AVERAGE(I82,K82)*E1</f>
        <v>492486.26</v>
      </c>
      <c r="N82" s="255">
        <v>475000</v>
      </c>
      <c r="O82" s="135">
        <f>+N82*0.19</f>
        <v>90250</v>
      </c>
      <c r="P82" s="135">
        <f>+N82+O82</f>
        <v>565250</v>
      </c>
      <c r="Q82" s="131"/>
      <c r="R82" s="131"/>
      <c r="S82" s="11"/>
      <c r="T82" s="274"/>
      <c r="U82" s="274"/>
      <c r="V82" s="274"/>
      <c r="W82" s="39"/>
      <c r="X82" s="11"/>
      <c r="Y82" s="11"/>
      <c r="Z82" s="274"/>
      <c r="AA82" s="274"/>
      <c r="AB82" s="274"/>
      <c r="AC82" s="52"/>
      <c r="AD82" s="22"/>
      <c r="AE82" s="39"/>
      <c r="AF82" s="274"/>
      <c r="AG82" s="274"/>
      <c r="AH82" s="171"/>
      <c r="AI82" s="22"/>
      <c r="AJ82" s="39"/>
      <c r="AK82" s="39"/>
      <c r="AL82" s="118"/>
      <c r="AM82" s="152"/>
      <c r="AN82" s="181"/>
      <c r="AO82" s="131"/>
      <c r="AP82" s="131"/>
      <c r="AQ82" s="39"/>
      <c r="AR82" s="274"/>
      <c r="AS82" s="274"/>
      <c r="AT82" s="274"/>
      <c r="AU82" s="39"/>
      <c r="AV82" s="39"/>
      <c r="AW82" s="39"/>
      <c r="AX82" s="274"/>
      <c r="AY82" s="274"/>
      <c r="AZ82" s="274"/>
      <c r="BA82" s="39"/>
      <c r="BB82" s="62"/>
      <c r="BC82" s="39"/>
      <c r="BD82" s="274"/>
      <c r="BE82" s="274"/>
      <c r="BF82" s="274"/>
      <c r="BG82" s="39"/>
      <c r="BH82" s="39"/>
      <c r="BI82" s="39"/>
      <c r="BJ82" s="274">
        <v>898600</v>
      </c>
      <c r="BK82" s="274">
        <f>+BJ82*0.19</f>
        <v>170734</v>
      </c>
      <c r="BL82" s="274">
        <f>+BJ82+BK82</f>
        <v>1069334</v>
      </c>
      <c r="BM82" s="213" t="s">
        <v>4754</v>
      </c>
      <c r="BN82" s="213" t="s">
        <v>3113</v>
      </c>
      <c r="BO82" s="39"/>
      <c r="BP82" s="274">
        <v>563000</v>
      </c>
      <c r="BQ82" s="274">
        <f t="shared" si="35"/>
        <v>106970</v>
      </c>
      <c r="BR82" s="274">
        <f t="shared" si="36"/>
        <v>669970</v>
      </c>
      <c r="BS82" s="39"/>
      <c r="BT82" s="39"/>
      <c r="BU82" s="39"/>
      <c r="BV82" s="219">
        <v>1000250.5306000001</v>
      </c>
      <c r="BW82" s="219">
        <f>+BV82*0.19</f>
        <v>190047.600814</v>
      </c>
      <c r="BX82" s="273">
        <f>+BV82+BW82</f>
        <v>1190298.1314139999</v>
      </c>
      <c r="BY82" s="213" t="s">
        <v>4754</v>
      </c>
      <c r="BZ82" s="213" t="s">
        <v>3113</v>
      </c>
      <c r="CA82" s="213"/>
      <c r="CB82" s="274"/>
      <c r="CC82" s="274"/>
      <c r="CD82" s="274"/>
      <c r="CE82" s="39"/>
      <c r="CF82" s="39"/>
      <c r="CG82" s="39"/>
      <c r="CH82" s="274"/>
      <c r="CI82" s="274"/>
      <c r="CJ82" s="274"/>
      <c r="CK82" s="39"/>
      <c r="CL82" s="39"/>
      <c r="CM82" s="39"/>
      <c r="CN82" s="39"/>
      <c r="CO82" s="39"/>
      <c r="CP82" s="11"/>
      <c r="CQ82" s="11"/>
      <c r="CR82" s="11"/>
      <c r="CS82" s="11"/>
      <c r="CT82" s="11"/>
      <c r="CU82" s="11"/>
      <c r="CV82" s="11"/>
      <c r="CW82" s="11"/>
      <c r="CX82" s="11"/>
      <c r="CY82" s="11"/>
      <c r="CZ82" s="11"/>
      <c r="DA82" s="11"/>
      <c r="DB82" s="11"/>
      <c r="DC82" s="11"/>
      <c r="DD82" s="11"/>
      <c r="DE82" s="11"/>
      <c r="DF82" s="11"/>
      <c r="DG82" s="11"/>
      <c r="DH82" s="11"/>
      <c r="DI82" s="11"/>
      <c r="DJ82" s="11"/>
      <c r="DK82" s="11"/>
      <c r="DL82" s="274"/>
      <c r="DM82" s="274"/>
      <c r="DN82" s="274"/>
      <c r="DO82" s="274"/>
      <c r="DP82" s="274"/>
      <c r="DQ82" s="274"/>
      <c r="DR82" s="274"/>
      <c r="DS82" s="274"/>
      <c r="DT82" s="274"/>
      <c r="DU82" s="274"/>
      <c r="DV82" s="274"/>
      <c r="DW82" s="274"/>
      <c r="DX82" s="274"/>
      <c r="DY82" s="274"/>
      <c r="DZ82" s="274"/>
      <c r="EA82" s="274"/>
      <c r="EB82" s="274"/>
      <c r="EC82" s="274"/>
      <c r="ED82" s="39">
        <f t="shared" si="37"/>
        <v>3987338.3914139997</v>
      </c>
      <c r="EE82" s="30">
        <f t="shared" si="38"/>
        <v>5</v>
      </c>
      <c r="EF82" s="39">
        <f t="shared" si="39"/>
        <v>797467.6782827999</v>
      </c>
    </row>
    <row r="83" spans="1:136" x14ac:dyDescent="0.25">
      <c r="A83" s="25" t="e">
        <f>#REF!</f>
        <v>#REF!</v>
      </c>
      <c r="B83" s="50" t="e">
        <f>#REF!</f>
        <v>#REF!</v>
      </c>
      <c r="C83" s="5" t="e">
        <f>#REF!</f>
        <v>#REF!</v>
      </c>
      <c r="D83" s="5" t="e">
        <f>#REF!</f>
        <v>#REF!</v>
      </c>
      <c r="E83" s="252">
        <v>1</v>
      </c>
      <c r="F83" s="249">
        <v>488968.14399999997</v>
      </c>
      <c r="G83" s="249">
        <v>476714</v>
      </c>
      <c r="H83" s="249">
        <v>458449.57255000004</v>
      </c>
      <c r="I83" s="249">
        <v>458388</v>
      </c>
      <c r="J83" s="249">
        <v>547649.9</v>
      </c>
      <c r="K83" s="249">
        <v>547400</v>
      </c>
      <c r="L83" s="274">
        <f>AVERAGE(F83,H83,J83)</f>
        <v>498355.87218333333</v>
      </c>
      <c r="M83" s="274">
        <f>AVERAGE(G83,I83,K83)*E1</f>
        <v>508992.35333333333</v>
      </c>
      <c r="N83" s="255">
        <v>515000</v>
      </c>
      <c r="O83" s="135">
        <f>+N83*0.19</f>
        <v>97850</v>
      </c>
      <c r="P83" s="135">
        <f>+N83+O83</f>
        <v>612850</v>
      </c>
      <c r="Q83" s="131"/>
      <c r="R83" s="131"/>
      <c r="S83" s="11"/>
      <c r="T83" s="274">
        <v>503800.00000000006</v>
      </c>
      <c r="U83" s="274">
        <f>+T83*0.19</f>
        <v>95722.000000000015</v>
      </c>
      <c r="V83" s="274">
        <f>+T83+U83</f>
        <v>599522.00000000012</v>
      </c>
      <c r="W83" s="39" t="s">
        <v>4761</v>
      </c>
      <c r="X83" s="11" t="s">
        <v>3113</v>
      </c>
      <c r="Y83" s="11"/>
      <c r="Z83" s="274"/>
      <c r="AA83" s="274"/>
      <c r="AB83" s="274"/>
      <c r="AC83" s="52"/>
      <c r="AD83" s="22"/>
      <c r="AE83" s="39"/>
      <c r="AF83" s="274"/>
      <c r="AG83" s="274"/>
      <c r="AH83" s="171"/>
      <c r="AI83" s="4"/>
      <c r="AJ83" s="39"/>
      <c r="AK83" s="39"/>
      <c r="AL83" s="118"/>
      <c r="AM83" s="152"/>
      <c r="AN83" s="181"/>
      <c r="AO83" s="131"/>
      <c r="AP83" s="131"/>
      <c r="AQ83" s="39"/>
      <c r="AR83" s="274"/>
      <c r="AS83" s="274"/>
      <c r="AT83" s="274"/>
      <c r="AU83" s="39"/>
      <c r="AV83" s="39"/>
      <c r="AW83" s="39"/>
      <c r="AX83" s="274"/>
      <c r="AY83" s="274"/>
      <c r="AZ83" s="274"/>
      <c r="BA83" s="39"/>
      <c r="BB83" s="62"/>
      <c r="BC83" s="39"/>
      <c r="BD83" s="274"/>
      <c r="BE83" s="274"/>
      <c r="BF83" s="274"/>
      <c r="BG83" s="39"/>
      <c r="BH83" s="39"/>
      <c r="BI83" s="39"/>
      <c r="BJ83" s="274">
        <v>1382300</v>
      </c>
      <c r="BK83" s="274">
        <f>+BJ83*0.19</f>
        <v>262637</v>
      </c>
      <c r="BL83" s="274">
        <f>+BJ83+BK83</f>
        <v>1644937</v>
      </c>
      <c r="BM83" s="213" t="s">
        <v>4754</v>
      </c>
      <c r="BN83" s="213" t="s">
        <v>3113</v>
      </c>
      <c r="BO83" s="39"/>
      <c r="BP83" s="274">
        <v>590000</v>
      </c>
      <c r="BQ83" s="274">
        <f t="shared" si="35"/>
        <v>112100</v>
      </c>
      <c r="BR83" s="274">
        <f t="shared" si="36"/>
        <v>702100</v>
      </c>
      <c r="BS83" s="39"/>
      <c r="BT83" s="39"/>
      <c r="BU83" s="39"/>
      <c r="BV83" s="219">
        <v>1645755.3216000001</v>
      </c>
      <c r="BW83" s="219">
        <f>+BV83*0.19</f>
        <v>312693.51110400003</v>
      </c>
      <c r="BX83" s="273">
        <f>+BV83+BW83</f>
        <v>1958448.8327040002</v>
      </c>
      <c r="BY83" s="213" t="s">
        <v>4754</v>
      </c>
      <c r="BZ83" s="213" t="s">
        <v>3113</v>
      </c>
      <c r="CA83" s="213"/>
      <c r="CB83" s="274"/>
      <c r="CC83" s="274"/>
      <c r="CD83" s="274"/>
      <c r="CE83" s="39"/>
      <c r="CF83" s="39"/>
      <c r="CG83" s="39"/>
      <c r="CH83" s="274"/>
      <c r="CI83" s="274"/>
      <c r="CJ83" s="274"/>
      <c r="CK83" s="39"/>
      <c r="CL83" s="39"/>
      <c r="CM83" s="39"/>
      <c r="CN83" s="39"/>
      <c r="CO83" s="39"/>
      <c r="CP83" s="11"/>
      <c r="CQ83" s="11"/>
      <c r="CR83" s="11"/>
      <c r="CS83" s="11"/>
      <c r="CT83" s="11"/>
      <c r="CU83" s="11"/>
      <c r="CV83" s="11"/>
      <c r="CW83" s="11"/>
      <c r="CX83" s="11"/>
      <c r="CY83" s="11"/>
      <c r="CZ83" s="11"/>
      <c r="DA83" s="11"/>
      <c r="DB83" s="11"/>
      <c r="DC83" s="11"/>
      <c r="DD83" s="11"/>
      <c r="DE83" s="11"/>
      <c r="DF83" s="11"/>
      <c r="DG83" s="11"/>
      <c r="DH83" s="11"/>
      <c r="DI83" s="11"/>
      <c r="DJ83" s="11"/>
      <c r="DK83" s="11"/>
      <c r="DL83" s="274"/>
      <c r="DM83" s="274"/>
      <c r="DN83" s="274"/>
      <c r="DO83" s="274"/>
      <c r="DP83" s="274"/>
      <c r="DQ83" s="274"/>
      <c r="DR83" s="274"/>
      <c r="DS83" s="274"/>
      <c r="DT83" s="274"/>
      <c r="DU83" s="274"/>
      <c r="DV83" s="274"/>
      <c r="DW83" s="274"/>
      <c r="DX83" s="274"/>
      <c r="DY83" s="274"/>
      <c r="DZ83" s="274"/>
      <c r="EA83" s="274"/>
      <c r="EB83" s="274"/>
      <c r="EC83" s="274"/>
      <c r="ED83" s="39">
        <f t="shared" si="37"/>
        <v>6026850.1860373337</v>
      </c>
      <c r="EE83" s="30">
        <f t="shared" si="38"/>
        <v>6</v>
      </c>
      <c r="EF83" s="39">
        <f t="shared" si="39"/>
        <v>1004475.0310062222</v>
      </c>
    </row>
    <row r="84" spans="1:136" x14ac:dyDescent="0.25">
      <c r="A84" s="25" t="e">
        <f>#REF!</f>
        <v>#REF!</v>
      </c>
      <c r="B84" s="50" t="e">
        <f>#REF!</f>
        <v>#REF!</v>
      </c>
      <c r="C84" s="5" t="e">
        <f>#REF!</f>
        <v>#REF!</v>
      </c>
      <c r="D84" s="5" t="e">
        <f>#REF!</f>
        <v>#REF!</v>
      </c>
      <c r="E84" s="252">
        <v>1</v>
      </c>
      <c r="F84" s="249">
        <v>422952.77500000002</v>
      </c>
      <c r="G84" s="249">
        <v>412335</v>
      </c>
      <c r="H84" s="249">
        <v>499883.61809999996</v>
      </c>
      <c r="I84" s="249">
        <v>0</v>
      </c>
      <c r="J84" s="249">
        <v>511997.5</v>
      </c>
      <c r="K84" s="249">
        <v>511700</v>
      </c>
      <c r="L84" s="274">
        <f>AVERAGE(F84,H84,J84)</f>
        <v>478277.96436666668</v>
      </c>
      <c r="M84" s="274">
        <f>AVERAGE(G84,K84)*E1</f>
        <v>475878.02500000002</v>
      </c>
      <c r="N84" s="255">
        <v>450000</v>
      </c>
      <c r="O84" s="135">
        <f>+N84*0.19</f>
        <v>85500</v>
      </c>
      <c r="P84" s="135">
        <f>+N84+O84</f>
        <v>535500</v>
      </c>
      <c r="Q84" s="131"/>
      <c r="R84" s="131"/>
      <c r="S84" s="11"/>
      <c r="T84" s="274"/>
      <c r="U84" s="274"/>
      <c r="V84" s="274"/>
      <c r="W84" s="39"/>
      <c r="X84" s="11"/>
      <c r="Y84" s="11"/>
      <c r="Z84" s="274"/>
      <c r="AA84" s="274"/>
      <c r="AB84" s="274"/>
      <c r="AC84" s="52"/>
      <c r="AD84" s="22"/>
      <c r="AE84" s="39"/>
      <c r="AF84" s="274"/>
      <c r="AG84" s="274"/>
      <c r="AH84" s="171"/>
      <c r="AI84" s="4"/>
      <c r="AJ84" s="39"/>
      <c r="AK84" s="39"/>
      <c r="AL84" s="118"/>
      <c r="AM84" s="152"/>
      <c r="AN84" s="181"/>
      <c r="AO84" s="131"/>
      <c r="AP84" s="131"/>
      <c r="AQ84" s="39"/>
      <c r="AR84" s="274"/>
      <c r="AS84" s="274"/>
      <c r="AT84" s="274"/>
      <c r="AU84" s="39"/>
      <c r="AV84" s="39"/>
      <c r="AW84" s="39"/>
      <c r="AX84" s="274"/>
      <c r="AY84" s="274"/>
      <c r="AZ84" s="274"/>
      <c r="BA84" s="39"/>
      <c r="BB84" s="62"/>
      <c r="BC84" s="39"/>
      <c r="BD84" s="274"/>
      <c r="BE84" s="274"/>
      <c r="BF84" s="274"/>
      <c r="BG84" s="39"/>
      <c r="BH84" s="39"/>
      <c r="BI84" s="39"/>
      <c r="BJ84" s="274"/>
      <c r="BK84" s="274"/>
      <c r="BL84" s="274"/>
      <c r="BM84" s="213"/>
      <c r="BN84" s="213"/>
      <c r="BO84" s="39"/>
      <c r="BP84" s="274">
        <v>510000</v>
      </c>
      <c r="BQ84" s="274">
        <f t="shared" si="35"/>
        <v>96900</v>
      </c>
      <c r="BR84" s="274">
        <f t="shared" si="36"/>
        <v>606900</v>
      </c>
      <c r="BS84" s="39"/>
      <c r="BT84" s="39"/>
      <c r="BU84" s="39"/>
      <c r="BV84" s="212"/>
      <c r="BW84" s="221"/>
      <c r="BX84" s="273"/>
      <c r="BY84" s="213"/>
      <c r="BZ84" s="213"/>
      <c r="CA84" s="213"/>
      <c r="CB84" s="274"/>
      <c r="CC84" s="274"/>
      <c r="CD84" s="274"/>
      <c r="CE84" s="39"/>
      <c r="CF84" s="39"/>
      <c r="CG84" s="39"/>
      <c r="CH84" s="274"/>
      <c r="CI84" s="274"/>
      <c r="CJ84" s="274"/>
      <c r="CK84" s="39"/>
      <c r="CL84" s="39"/>
      <c r="CM84" s="39"/>
      <c r="CN84" s="39"/>
      <c r="CO84" s="39"/>
      <c r="CP84" s="11"/>
      <c r="CQ84" s="11"/>
      <c r="CR84" s="11"/>
      <c r="CS84" s="11"/>
      <c r="CT84" s="11"/>
      <c r="CU84" s="11"/>
      <c r="CV84" s="11"/>
      <c r="CW84" s="11"/>
      <c r="CX84" s="11"/>
      <c r="CY84" s="11"/>
      <c r="CZ84" s="11"/>
      <c r="DA84" s="11"/>
      <c r="DB84" s="11"/>
      <c r="DC84" s="11"/>
      <c r="DD84" s="11"/>
      <c r="DE84" s="11"/>
      <c r="DF84" s="11"/>
      <c r="DG84" s="11"/>
      <c r="DH84" s="11"/>
      <c r="DI84" s="11"/>
      <c r="DJ84" s="11"/>
      <c r="DK84" s="11"/>
      <c r="DL84" s="274"/>
      <c r="DM84" s="274"/>
      <c r="DN84" s="274"/>
      <c r="DO84" s="274"/>
      <c r="DP84" s="274"/>
      <c r="DQ84" s="274"/>
      <c r="DR84" s="274"/>
      <c r="DS84" s="274"/>
      <c r="DT84" s="274"/>
      <c r="DU84" s="274"/>
      <c r="DV84" s="274"/>
      <c r="DW84" s="274"/>
      <c r="DX84" s="274"/>
      <c r="DY84" s="274"/>
      <c r="DZ84" s="274"/>
      <c r="EA84" s="274"/>
      <c r="EB84" s="274"/>
      <c r="EC84" s="274"/>
      <c r="ED84" s="39">
        <f t="shared" si="37"/>
        <v>1618278.0249999999</v>
      </c>
      <c r="EE84" s="30">
        <f t="shared" si="38"/>
        <v>3</v>
      </c>
      <c r="EF84" s="39">
        <f t="shared" si="39"/>
        <v>539426.0083333333</v>
      </c>
    </row>
    <row r="85" spans="1:136" x14ac:dyDescent="0.25">
      <c r="A85" s="25" t="e">
        <f>#REF!</f>
        <v>#REF!</v>
      </c>
      <c r="B85" s="50" t="e">
        <f>#REF!</f>
        <v>#REF!</v>
      </c>
      <c r="C85" s="5" t="e">
        <f>#REF!</f>
        <v>#REF!</v>
      </c>
      <c r="D85" s="5" t="e">
        <f>#REF!</f>
        <v>#REF!</v>
      </c>
      <c r="E85" s="252">
        <v>1</v>
      </c>
      <c r="F85" s="249">
        <v>0</v>
      </c>
      <c r="G85" s="249">
        <v>0</v>
      </c>
      <c r="H85" s="249">
        <v>8925</v>
      </c>
      <c r="I85" s="249">
        <v>8806</v>
      </c>
      <c r="J85" s="249">
        <v>43699.444444444445</v>
      </c>
      <c r="K85" s="249">
        <v>41650</v>
      </c>
      <c r="L85" s="274">
        <f>AVERAGE(H85,J85)</f>
        <v>26312.222222222223</v>
      </c>
      <c r="M85" s="274">
        <f>AVERAGE(I85,K85)*E1</f>
        <v>25984.84</v>
      </c>
      <c r="N85" s="255">
        <v>12000</v>
      </c>
      <c r="O85" s="135">
        <f>+N85*0.19</f>
        <v>2280</v>
      </c>
      <c r="P85" s="135">
        <f>+N85+O85</f>
        <v>14280</v>
      </c>
      <c r="Q85" s="131"/>
      <c r="R85" s="131"/>
      <c r="S85" s="11"/>
      <c r="T85" s="274"/>
      <c r="U85" s="274"/>
      <c r="V85" s="274"/>
      <c r="W85" s="39"/>
      <c r="X85" s="11"/>
      <c r="Y85" s="11"/>
      <c r="Z85" s="274"/>
      <c r="AA85" s="274"/>
      <c r="AB85" s="274"/>
      <c r="AC85" s="52"/>
      <c r="AD85" s="22"/>
      <c r="AE85" s="39"/>
      <c r="AF85" s="274"/>
      <c r="AG85" s="274"/>
      <c r="AH85" s="171"/>
      <c r="AI85" s="4"/>
      <c r="AJ85" s="39"/>
      <c r="AK85" s="39"/>
      <c r="AL85" s="118"/>
      <c r="AM85" s="152"/>
      <c r="AN85" s="181"/>
      <c r="AO85" s="131"/>
      <c r="AP85" s="131"/>
      <c r="AQ85" s="39"/>
      <c r="AR85" s="274"/>
      <c r="AS85" s="274"/>
      <c r="AT85" s="274"/>
      <c r="AU85" s="39"/>
      <c r="AV85" s="39"/>
      <c r="AW85" s="39"/>
      <c r="AX85" s="274"/>
      <c r="AY85" s="274"/>
      <c r="AZ85" s="274"/>
      <c r="BA85" s="39"/>
      <c r="BB85" s="62"/>
      <c r="BC85" s="39"/>
      <c r="BD85" s="274"/>
      <c r="BE85" s="274"/>
      <c r="BF85" s="274"/>
      <c r="BG85" s="39"/>
      <c r="BH85" s="39"/>
      <c r="BI85" s="39"/>
      <c r="BJ85" s="274"/>
      <c r="BK85" s="274"/>
      <c r="BL85" s="274"/>
      <c r="BM85" s="213"/>
      <c r="BN85" s="213"/>
      <c r="BO85" s="39"/>
      <c r="BP85" s="274">
        <v>26500</v>
      </c>
      <c r="BQ85" s="274">
        <f t="shared" si="35"/>
        <v>5035</v>
      </c>
      <c r="BR85" s="274">
        <f t="shared" si="36"/>
        <v>31535</v>
      </c>
      <c r="BS85" s="39"/>
      <c r="BT85" s="39"/>
      <c r="BU85" s="39"/>
      <c r="BV85" s="212"/>
      <c r="BW85" s="221"/>
      <c r="BX85" s="273"/>
      <c r="BY85" s="213"/>
      <c r="BZ85" s="213"/>
      <c r="CA85" s="213"/>
      <c r="CB85" s="274"/>
      <c r="CC85" s="274"/>
      <c r="CD85" s="274"/>
      <c r="CE85" s="39"/>
      <c r="CF85" s="39"/>
      <c r="CG85" s="39"/>
      <c r="CH85" s="274"/>
      <c r="CI85" s="274"/>
      <c r="CJ85" s="274"/>
      <c r="CK85" s="39"/>
      <c r="CL85" s="39"/>
      <c r="CM85" s="39"/>
      <c r="CN85" s="39"/>
      <c r="CO85" s="39"/>
      <c r="CP85" s="11"/>
      <c r="CQ85" s="11"/>
      <c r="CR85" s="11"/>
      <c r="CS85" s="11"/>
      <c r="CT85" s="11"/>
      <c r="CU85" s="11"/>
      <c r="CV85" s="11"/>
      <c r="CW85" s="11"/>
      <c r="CX85" s="11"/>
      <c r="CY85" s="11"/>
      <c r="CZ85" s="11"/>
      <c r="DA85" s="11"/>
      <c r="DB85" s="11"/>
      <c r="DC85" s="11"/>
      <c r="DD85" s="11"/>
      <c r="DE85" s="11"/>
      <c r="DF85" s="11"/>
      <c r="DG85" s="11"/>
      <c r="DH85" s="11"/>
      <c r="DI85" s="11"/>
      <c r="DJ85" s="11"/>
      <c r="DK85" s="11"/>
      <c r="DL85" s="274"/>
      <c r="DM85" s="274"/>
      <c r="DN85" s="274"/>
      <c r="DO85" s="274"/>
      <c r="DP85" s="274"/>
      <c r="DQ85" s="274"/>
      <c r="DR85" s="274"/>
      <c r="DS85" s="274"/>
      <c r="DT85" s="274"/>
      <c r="DU85" s="274"/>
      <c r="DV85" s="274"/>
      <c r="DW85" s="274"/>
      <c r="DX85" s="274"/>
      <c r="DY85" s="274"/>
      <c r="DZ85" s="274"/>
      <c r="EA85" s="274"/>
      <c r="EB85" s="274"/>
      <c r="EC85" s="274"/>
      <c r="ED85" s="39">
        <f t="shared" si="37"/>
        <v>71799.839999999997</v>
      </c>
      <c r="EE85" s="30">
        <f t="shared" si="38"/>
        <v>3</v>
      </c>
      <c r="EF85" s="39">
        <f t="shared" si="39"/>
        <v>23933.279999999999</v>
      </c>
    </row>
    <row r="86" spans="1:136" x14ac:dyDescent="0.25">
      <c r="A86" s="25" t="e">
        <f>#REF!</f>
        <v>#REF!</v>
      </c>
      <c r="B86" s="50" t="e">
        <f>#REF!</f>
        <v>#REF!</v>
      </c>
      <c r="C86" s="5" t="e">
        <f>#REF!</f>
        <v>#REF!</v>
      </c>
      <c r="D86" s="5" t="e">
        <f>#REF!</f>
        <v>#REF!</v>
      </c>
      <c r="E86" s="252">
        <v>1</v>
      </c>
      <c r="F86" s="249">
        <v>0</v>
      </c>
      <c r="G86" s="249">
        <v>0</v>
      </c>
      <c r="H86" s="249">
        <v>17850</v>
      </c>
      <c r="I86" s="249">
        <v>0</v>
      </c>
      <c r="J86" s="249">
        <v>0</v>
      </c>
      <c r="K86" s="249">
        <v>0</v>
      </c>
      <c r="L86" s="274">
        <f>H86</f>
        <v>17850</v>
      </c>
      <c r="M86" s="274"/>
      <c r="N86" s="255"/>
      <c r="O86" s="135"/>
      <c r="P86" s="135"/>
      <c r="Q86" s="131"/>
      <c r="R86" s="131"/>
      <c r="S86" s="11"/>
      <c r="T86" s="274"/>
      <c r="U86" s="274"/>
      <c r="V86" s="274"/>
      <c r="W86" s="39"/>
      <c r="X86" s="11"/>
      <c r="Y86" s="11"/>
      <c r="Z86" s="274"/>
      <c r="AA86" s="274"/>
      <c r="AB86" s="274"/>
      <c r="AC86" s="52"/>
      <c r="AD86" s="22"/>
      <c r="AE86" s="39"/>
      <c r="AF86" s="274"/>
      <c r="AG86" s="274"/>
      <c r="AH86" s="171"/>
      <c r="AI86" s="4"/>
      <c r="AJ86" s="39"/>
      <c r="AK86" s="39"/>
      <c r="AL86" s="118"/>
      <c r="AM86" s="152"/>
      <c r="AN86" s="181"/>
      <c r="AO86" s="131"/>
      <c r="AP86" s="131"/>
      <c r="AQ86" s="39"/>
      <c r="AR86" s="274"/>
      <c r="AS86" s="274"/>
      <c r="AT86" s="274"/>
      <c r="AU86" s="39"/>
      <c r="AV86" s="39"/>
      <c r="AW86" s="39"/>
      <c r="AX86" s="274"/>
      <c r="AY86" s="274"/>
      <c r="AZ86" s="274"/>
      <c r="BA86" s="39"/>
      <c r="BB86" s="62"/>
      <c r="BC86" s="39"/>
      <c r="BD86" s="274"/>
      <c r="BE86" s="274"/>
      <c r="BF86" s="274"/>
      <c r="BG86" s="39"/>
      <c r="BH86" s="39"/>
      <c r="BI86" s="39"/>
      <c r="BJ86" s="274"/>
      <c r="BK86" s="274"/>
      <c r="BL86" s="274"/>
      <c r="BM86" s="213"/>
      <c r="BN86" s="213"/>
      <c r="BO86" s="39"/>
      <c r="BP86" s="274">
        <v>36500</v>
      </c>
      <c r="BQ86" s="274">
        <f t="shared" si="35"/>
        <v>6935</v>
      </c>
      <c r="BR86" s="274">
        <f t="shared" si="36"/>
        <v>43435</v>
      </c>
      <c r="BS86" s="39"/>
      <c r="BT86" s="39"/>
      <c r="BU86" s="39"/>
      <c r="BV86" s="212"/>
      <c r="BW86" s="221"/>
      <c r="BX86" s="273"/>
      <c r="BY86" s="213"/>
      <c r="BZ86" s="213"/>
      <c r="CA86" s="213"/>
      <c r="CB86" s="274"/>
      <c r="CC86" s="274"/>
      <c r="CD86" s="274"/>
      <c r="CE86" s="39"/>
      <c r="CF86" s="39"/>
      <c r="CG86" s="39"/>
      <c r="CH86" s="274"/>
      <c r="CI86" s="274"/>
      <c r="CJ86" s="274"/>
      <c r="CK86" s="39"/>
      <c r="CL86" s="39"/>
      <c r="CM86" s="39"/>
      <c r="CN86" s="39"/>
      <c r="CO86" s="39"/>
      <c r="CP86" s="11"/>
      <c r="CQ86" s="11"/>
      <c r="CR86" s="11"/>
      <c r="CS86" s="11"/>
      <c r="CT86" s="11"/>
      <c r="CU86" s="11"/>
      <c r="CV86" s="11"/>
      <c r="CW86" s="11"/>
      <c r="CX86" s="11"/>
      <c r="CY86" s="11"/>
      <c r="CZ86" s="11"/>
      <c r="DA86" s="11"/>
      <c r="DB86" s="11"/>
      <c r="DC86" s="11"/>
      <c r="DD86" s="11"/>
      <c r="DE86" s="11"/>
      <c r="DF86" s="11"/>
      <c r="DG86" s="11"/>
      <c r="DH86" s="11"/>
      <c r="DI86" s="11"/>
      <c r="DJ86" s="11"/>
      <c r="DK86" s="11"/>
      <c r="DL86" s="274"/>
      <c r="DM86" s="274"/>
      <c r="DN86" s="274"/>
      <c r="DO86" s="274"/>
      <c r="DP86" s="274"/>
      <c r="DQ86" s="274"/>
      <c r="DR86" s="274"/>
      <c r="DS86" s="274"/>
      <c r="DT86" s="274"/>
      <c r="DU86" s="274"/>
      <c r="DV86" s="274"/>
      <c r="DW86" s="274"/>
      <c r="DX86" s="274"/>
      <c r="DY86" s="274"/>
      <c r="DZ86" s="274"/>
      <c r="EA86" s="274"/>
      <c r="EB86" s="274"/>
      <c r="EC86" s="274"/>
      <c r="ED86" s="39">
        <f t="shared" si="37"/>
        <v>43435</v>
      </c>
      <c r="EE86" s="30">
        <f t="shared" si="38"/>
        <v>1</v>
      </c>
      <c r="EF86" s="39">
        <f t="shared" si="39"/>
        <v>43435</v>
      </c>
    </row>
    <row r="87" spans="1:136" x14ac:dyDescent="0.25">
      <c r="A87" s="25" t="e">
        <f>#REF!</f>
        <v>#REF!</v>
      </c>
      <c r="B87" s="50" t="e">
        <f>#REF!</f>
        <v>#REF!</v>
      </c>
      <c r="C87" s="5" t="e">
        <f>#REF!</f>
        <v>#REF!</v>
      </c>
      <c r="D87" s="5" t="e">
        <f>#REF!</f>
        <v>#REF!</v>
      </c>
      <c r="E87" s="252">
        <v>1</v>
      </c>
      <c r="F87" s="249">
        <v>0</v>
      </c>
      <c r="G87" s="249">
        <v>0</v>
      </c>
      <c r="H87" s="249">
        <v>0</v>
      </c>
      <c r="I87" s="249">
        <v>0</v>
      </c>
      <c r="J87" s="249">
        <v>38476.666666666664</v>
      </c>
      <c r="K87" s="249">
        <v>11900</v>
      </c>
      <c r="L87" s="274">
        <f>J87</f>
        <v>38476.666666666664</v>
      </c>
      <c r="M87" s="274">
        <f>K87*E1</f>
        <v>12257</v>
      </c>
      <c r="N87" s="255">
        <v>14000</v>
      </c>
      <c r="O87" s="135">
        <f>+N87*0.19</f>
        <v>2660</v>
      </c>
      <c r="P87" s="135">
        <f>+N87+O87</f>
        <v>16660</v>
      </c>
      <c r="Q87" s="131"/>
      <c r="R87" s="131"/>
      <c r="S87" s="11"/>
      <c r="T87" s="274"/>
      <c r="U87" s="274"/>
      <c r="V87" s="274"/>
      <c r="W87" s="39"/>
      <c r="X87" s="11"/>
      <c r="Y87" s="11"/>
      <c r="Z87" s="274"/>
      <c r="AA87" s="274"/>
      <c r="AB87" s="274"/>
      <c r="AC87" s="52"/>
      <c r="AD87" s="22"/>
      <c r="AE87" s="39"/>
      <c r="AF87" s="274"/>
      <c r="AG87" s="274"/>
      <c r="AH87" s="171"/>
      <c r="AI87" s="22"/>
      <c r="AJ87" s="39"/>
      <c r="AK87" s="39"/>
      <c r="AL87" s="118"/>
      <c r="AM87" s="152"/>
      <c r="AN87" s="181"/>
      <c r="AO87" s="131"/>
      <c r="AP87" s="131"/>
      <c r="AQ87" s="39"/>
      <c r="AR87" s="274"/>
      <c r="AS87" s="274"/>
      <c r="AT87" s="274"/>
      <c r="AU87" s="39"/>
      <c r="AV87" s="39"/>
      <c r="AW87" s="39"/>
      <c r="AX87" s="274"/>
      <c r="AY87" s="274"/>
      <c r="AZ87" s="274"/>
      <c r="BA87" s="39"/>
      <c r="BB87" s="62"/>
      <c r="BC87" s="39"/>
      <c r="BD87" s="274"/>
      <c r="BE87" s="274"/>
      <c r="BF87" s="274"/>
      <c r="BG87" s="39"/>
      <c r="BH87" s="39"/>
      <c r="BI87" s="39"/>
      <c r="BJ87" s="274"/>
      <c r="BK87" s="274"/>
      <c r="BL87" s="274"/>
      <c r="BM87" s="213"/>
      <c r="BN87" s="213"/>
      <c r="BO87" s="39"/>
      <c r="BP87" s="274">
        <v>16500</v>
      </c>
      <c r="BQ87" s="274">
        <f t="shared" si="35"/>
        <v>3135</v>
      </c>
      <c r="BR87" s="274">
        <f t="shared" si="36"/>
        <v>19635</v>
      </c>
      <c r="BS87" s="39"/>
      <c r="BT87" s="39"/>
      <c r="BU87" s="39"/>
      <c r="BV87" s="212"/>
      <c r="BW87" s="221"/>
      <c r="BX87" s="273"/>
      <c r="BY87" s="213"/>
      <c r="BZ87" s="213"/>
      <c r="CA87" s="213"/>
      <c r="CB87" s="274"/>
      <c r="CC87" s="274"/>
      <c r="CD87" s="274"/>
      <c r="CE87" s="39"/>
      <c r="CF87" s="39"/>
      <c r="CG87" s="39"/>
      <c r="CH87" s="274"/>
      <c r="CI87" s="274"/>
      <c r="CJ87" s="274"/>
      <c r="CK87" s="39"/>
      <c r="CL87" s="39"/>
      <c r="CM87" s="39"/>
      <c r="CN87" s="39"/>
      <c r="CO87" s="39"/>
      <c r="CP87" s="11"/>
      <c r="CQ87" s="11"/>
      <c r="CR87" s="11"/>
      <c r="CS87" s="11"/>
      <c r="CT87" s="11"/>
      <c r="CU87" s="11"/>
      <c r="CV87" s="11"/>
      <c r="CW87" s="11"/>
      <c r="CX87" s="11"/>
      <c r="CY87" s="11"/>
      <c r="CZ87" s="11"/>
      <c r="DA87" s="11"/>
      <c r="DB87" s="11"/>
      <c r="DC87" s="11"/>
      <c r="DD87" s="11"/>
      <c r="DE87" s="11"/>
      <c r="DF87" s="11"/>
      <c r="DG87" s="11"/>
      <c r="DH87" s="11"/>
      <c r="DI87" s="11"/>
      <c r="DJ87" s="11"/>
      <c r="DK87" s="11"/>
      <c r="DL87" s="274"/>
      <c r="DM87" s="274"/>
      <c r="DN87" s="274"/>
      <c r="DO87" s="274"/>
      <c r="DP87" s="274"/>
      <c r="DQ87" s="274"/>
      <c r="DR87" s="274"/>
      <c r="DS87" s="274"/>
      <c r="DT87" s="274"/>
      <c r="DU87" s="274"/>
      <c r="DV87" s="274"/>
      <c r="DW87" s="274"/>
      <c r="DX87" s="274"/>
      <c r="DY87" s="274"/>
      <c r="DZ87" s="274"/>
      <c r="EA87" s="274"/>
      <c r="EB87" s="274"/>
      <c r="EC87" s="274"/>
      <c r="ED87" s="39">
        <f t="shared" si="37"/>
        <v>48552</v>
      </c>
      <c r="EE87" s="30">
        <f t="shared" si="38"/>
        <v>3</v>
      </c>
      <c r="EF87" s="39">
        <f t="shared" si="39"/>
        <v>16184</v>
      </c>
    </row>
    <row r="88" spans="1:136" x14ac:dyDescent="0.25">
      <c r="A88" s="25" t="e">
        <f>#REF!</f>
        <v>#REF!</v>
      </c>
      <c r="B88" s="50" t="e">
        <f>#REF!</f>
        <v>#REF!</v>
      </c>
      <c r="C88" s="5" t="e">
        <f>#REF!</f>
        <v>#REF!</v>
      </c>
      <c r="D88" s="5" t="e">
        <f>#REF!</f>
        <v>#REF!</v>
      </c>
      <c r="E88" s="252">
        <v>1</v>
      </c>
      <c r="F88" s="249">
        <v>0</v>
      </c>
      <c r="G88" s="249">
        <v>0</v>
      </c>
      <c r="H88" s="249">
        <v>0</v>
      </c>
      <c r="I88" s="249">
        <v>0</v>
      </c>
      <c r="J88" s="249">
        <v>136073.52499999999</v>
      </c>
      <c r="K88" s="249">
        <v>0</v>
      </c>
      <c r="L88" s="274">
        <f>J88</f>
        <v>136073.52499999999</v>
      </c>
      <c r="M88" s="274"/>
      <c r="N88" s="255">
        <v>170000</v>
      </c>
      <c r="O88" s="135">
        <f>+N88*0.19</f>
        <v>32300</v>
      </c>
      <c r="P88" s="135">
        <f>+N88+O88</f>
        <v>202300</v>
      </c>
      <c r="Q88" s="131"/>
      <c r="R88" s="131"/>
      <c r="S88" s="11"/>
      <c r="T88" s="274"/>
      <c r="U88" s="274"/>
      <c r="V88" s="274"/>
      <c r="W88" s="39"/>
      <c r="X88" s="11"/>
      <c r="Y88" s="11"/>
      <c r="Z88" s="274"/>
      <c r="AA88" s="274"/>
      <c r="AB88" s="274"/>
      <c r="AC88" s="52"/>
      <c r="AD88" s="22"/>
      <c r="AE88" s="39"/>
      <c r="AF88" s="274"/>
      <c r="AG88" s="274"/>
      <c r="AH88" s="171"/>
      <c r="AI88" s="4"/>
      <c r="AJ88" s="39"/>
      <c r="AK88" s="39"/>
      <c r="AL88" s="118"/>
      <c r="AM88" s="152"/>
      <c r="AN88" s="181"/>
      <c r="AO88" s="131"/>
      <c r="AP88" s="131"/>
      <c r="AQ88" s="39"/>
      <c r="AR88" s="274"/>
      <c r="AS88" s="274"/>
      <c r="AT88" s="274"/>
      <c r="AU88" s="39"/>
      <c r="AV88" s="39"/>
      <c r="AW88" s="39"/>
      <c r="AX88" s="274"/>
      <c r="AY88" s="274"/>
      <c r="AZ88" s="274"/>
      <c r="BA88" s="39"/>
      <c r="BB88" s="62"/>
      <c r="BC88" s="39"/>
      <c r="BD88" s="274"/>
      <c r="BE88" s="274"/>
      <c r="BF88" s="274"/>
      <c r="BG88" s="39"/>
      <c r="BH88" s="39"/>
      <c r="BI88" s="39"/>
      <c r="BJ88" s="274"/>
      <c r="BK88" s="274"/>
      <c r="BL88" s="274"/>
      <c r="BM88" s="213"/>
      <c r="BN88" s="213"/>
      <c r="BO88" s="39"/>
      <c r="BP88" s="274">
        <v>65000</v>
      </c>
      <c r="BQ88" s="274">
        <f t="shared" si="35"/>
        <v>12350</v>
      </c>
      <c r="BR88" s="274">
        <f t="shared" si="36"/>
        <v>77350</v>
      </c>
      <c r="BS88" s="39"/>
      <c r="BT88" s="39"/>
      <c r="BU88" s="39"/>
      <c r="BV88" s="212"/>
      <c r="BW88" s="221"/>
      <c r="BX88" s="273"/>
      <c r="BY88" s="213"/>
      <c r="BZ88" s="213"/>
      <c r="CA88" s="213"/>
      <c r="CB88" s="274"/>
      <c r="CC88" s="274"/>
      <c r="CD88" s="274"/>
      <c r="CE88" s="39"/>
      <c r="CF88" s="39"/>
      <c r="CG88" s="39"/>
      <c r="CH88" s="274"/>
      <c r="CI88" s="274"/>
      <c r="CJ88" s="274"/>
      <c r="CK88" s="39"/>
      <c r="CL88" s="39"/>
      <c r="CM88" s="39"/>
      <c r="CN88" s="39"/>
      <c r="CO88" s="39"/>
      <c r="CP88" s="11"/>
      <c r="CQ88" s="11"/>
      <c r="CR88" s="11"/>
      <c r="CS88" s="11"/>
      <c r="CT88" s="11"/>
      <c r="CU88" s="11"/>
      <c r="CV88" s="11"/>
      <c r="CW88" s="11"/>
      <c r="CX88" s="11"/>
      <c r="CY88" s="11"/>
      <c r="CZ88" s="11"/>
      <c r="DA88" s="11"/>
      <c r="DB88" s="11"/>
      <c r="DC88" s="11"/>
      <c r="DD88" s="11"/>
      <c r="DE88" s="11"/>
      <c r="DF88" s="11"/>
      <c r="DG88" s="11"/>
      <c r="DH88" s="11"/>
      <c r="DI88" s="11"/>
      <c r="DJ88" s="11"/>
      <c r="DK88" s="11"/>
      <c r="DL88" s="274"/>
      <c r="DM88" s="274"/>
      <c r="DN88" s="274"/>
      <c r="DO88" s="274"/>
      <c r="DP88" s="274"/>
      <c r="DQ88" s="274"/>
      <c r="DR88" s="274"/>
      <c r="DS88" s="274"/>
      <c r="DT88" s="274"/>
      <c r="DU88" s="274"/>
      <c r="DV88" s="274"/>
      <c r="DW88" s="274"/>
      <c r="DX88" s="274"/>
      <c r="DY88" s="274"/>
      <c r="DZ88" s="274"/>
      <c r="EA88" s="274"/>
      <c r="EB88" s="274"/>
      <c r="EC88" s="274"/>
      <c r="ED88" s="39">
        <f t="shared" si="37"/>
        <v>279650</v>
      </c>
      <c r="EE88" s="30">
        <f t="shared" si="38"/>
        <v>2</v>
      </c>
      <c r="EF88" s="39">
        <f t="shared" si="39"/>
        <v>139825</v>
      </c>
    </row>
    <row r="89" spans="1:136" ht="24" x14ac:dyDescent="0.25">
      <c r="A89" s="25" t="e">
        <f>#REF!</f>
        <v>#REF!</v>
      </c>
      <c r="B89" s="50" t="e">
        <f>#REF!</f>
        <v>#REF!</v>
      </c>
      <c r="C89" s="5" t="e">
        <f>#REF!</f>
        <v>#REF!</v>
      </c>
      <c r="D89" s="5" t="e">
        <f>#REF!</f>
        <v>#REF!</v>
      </c>
      <c r="E89" s="252">
        <v>1</v>
      </c>
      <c r="F89" s="249">
        <v>0</v>
      </c>
      <c r="G89" s="249">
        <v>0</v>
      </c>
      <c r="H89" s="249">
        <v>0</v>
      </c>
      <c r="I89" s="249">
        <v>0</v>
      </c>
      <c r="J89" s="249">
        <v>0</v>
      </c>
      <c r="K89" s="249">
        <v>0</v>
      </c>
      <c r="L89" s="274"/>
      <c r="M89" s="274"/>
      <c r="N89" s="255">
        <v>150000</v>
      </c>
      <c r="O89" s="135">
        <f>+N89*0.19</f>
        <v>28500</v>
      </c>
      <c r="P89" s="135">
        <f>+N89+O89</f>
        <v>178500</v>
      </c>
      <c r="Q89" s="131"/>
      <c r="R89" s="131"/>
      <c r="S89" s="11"/>
      <c r="T89" s="274"/>
      <c r="U89" s="274"/>
      <c r="V89" s="274"/>
      <c r="W89" s="39"/>
      <c r="X89" s="11"/>
      <c r="Y89" s="11"/>
      <c r="Z89" s="274"/>
      <c r="AA89" s="274"/>
      <c r="AB89" s="274"/>
      <c r="AC89" s="52"/>
      <c r="AD89" s="22"/>
      <c r="AE89" s="39"/>
      <c r="AF89" s="274"/>
      <c r="AG89" s="274"/>
      <c r="AH89" s="171"/>
      <c r="AI89" s="22"/>
      <c r="AJ89" s="39"/>
      <c r="AK89" s="39"/>
      <c r="AL89" s="118"/>
      <c r="AM89" s="152"/>
      <c r="AN89" s="181"/>
      <c r="AO89" s="131"/>
      <c r="AP89" s="131"/>
      <c r="AQ89" s="39"/>
      <c r="AR89" s="274"/>
      <c r="AS89" s="274"/>
      <c r="AT89" s="274"/>
      <c r="AU89" s="39"/>
      <c r="AV89" s="39"/>
      <c r="AW89" s="39"/>
      <c r="AX89" s="274"/>
      <c r="AY89" s="274"/>
      <c r="AZ89" s="274"/>
      <c r="BA89" s="39"/>
      <c r="BB89" s="62"/>
      <c r="BC89" s="39"/>
      <c r="BD89" s="274"/>
      <c r="BE89" s="274"/>
      <c r="BF89" s="274"/>
      <c r="BG89" s="39"/>
      <c r="BH89" s="39"/>
      <c r="BI89" s="39"/>
      <c r="BJ89" s="274">
        <v>201800</v>
      </c>
      <c r="BK89" s="274">
        <f>+BJ89*0.19</f>
        <v>38342</v>
      </c>
      <c r="BL89" s="274">
        <f>+BJ89+BK89</f>
        <v>240142</v>
      </c>
      <c r="BM89" s="213" t="s">
        <v>2891</v>
      </c>
      <c r="BN89" s="213" t="s">
        <v>4762</v>
      </c>
      <c r="BO89" s="39"/>
      <c r="BP89" s="274">
        <v>62000</v>
      </c>
      <c r="BQ89" s="274">
        <f t="shared" si="35"/>
        <v>11780</v>
      </c>
      <c r="BR89" s="274">
        <f t="shared" si="36"/>
        <v>73780</v>
      </c>
      <c r="BS89" s="39"/>
      <c r="BT89" s="39"/>
      <c r="BU89" s="39"/>
      <c r="BV89" s="219">
        <v>220491.5232</v>
      </c>
      <c r="BW89" s="219">
        <f>+BV89*0.19</f>
        <v>41893.389408000003</v>
      </c>
      <c r="BX89" s="273">
        <f>+BV89+BW89</f>
        <v>262384.91260799998</v>
      </c>
      <c r="BY89" s="213" t="s">
        <v>2891</v>
      </c>
      <c r="BZ89" s="213" t="s">
        <v>4762</v>
      </c>
      <c r="CA89" s="213"/>
      <c r="CB89" s="274"/>
      <c r="CC89" s="274"/>
      <c r="CD89" s="274"/>
      <c r="CE89" s="39"/>
      <c r="CF89" s="39"/>
      <c r="CG89" s="39"/>
      <c r="CH89" s="274"/>
      <c r="CI89" s="274"/>
      <c r="CJ89" s="274"/>
      <c r="CK89" s="39"/>
      <c r="CL89" s="39"/>
      <c r="CM89" s="39"/>
      <c r="CN89" s="39"/>
      <c r="CO89" s="39"/>
      <c r="CP89" s="11"/>
      <c r="CQ89" s="11"/>
      <c r="CR89" s="11"/>
      <c r="CS89" s="11"/>
      <c r="CT89" s="11"/>
      <c r="CU89" s="11"/>
      <c r="CV89" s="11"/>
      <c r="CW89" s="11"/>
      <c r="CX89" s="11"/>
      <c r="CY89" s="11"/>
      <c r="CZ89" s="11"/>
      <c r="DA89" s="11"/>
      <c r="DB89" s="11"/>
      <c r="DC89" s="11"/>
      <c r="DD89" s="11"/>
      <c r="DE89" s="11"/>
      <c r="DF89" s="11"/>
      <c r="DG89" s="11"/>
      <c r="DH89" s="11"/>
      <c r="DI89" s="11"/>
      <c r="DJ89" s="11"/>
      <c r="DK89" s="11"/>
      <c r="DL89" s="274"/>
      <c r="DM89" s="274"/>
      <c r="DN89" s="274"/>
      <c r="DO89" s="274"/>
      <c r="DP89" s="274"/>
      <c r="DQ89" s="274"/>
      <c r="DR89" s="274"/>
      <c r="DS89" s="274"/>
      <c r="DT89" s="274"/>
      <c r="DU89" s="274"/>
      <c r="DV89" s="274"/>
      <c r="DW89" s="274"/>
      <c r="DX89" s="274"/>
      <c r="DY89" s="274"/>
      <c r="DZ89" s="274"/>
      <c r="EA89" s="274"/>
      <c r="EB89" s="274"/>
      <c r="EC89" s="274"/>
      <c r="ED89" s="39">
        <f t="shared" si="37"/>
        <v>754806.91260799998</v>
      </c>
      <c r="EE89" s="30">
        <f t="shared" si="38"/>
        <v>4</v>
      </c>
      <c r="EF89" s="39">
        <f t="shared" si="39"/>
        <v>188701.728152</v>
      </c>
    </row>
    <row r="90" spans="1:136" x14ac:dyDescent="0.25">
      <c r="A90" s="25" t="e">
        <f>#REF!</f>
        <v>#REF!</v>
      </c>
      <c r="B90" s="50" t="e">
        <f>#REF!</f>
        <v>#REF!</v>
      </c>
      <c r="C90" s="5" t="e">
        <f>#REF!</f>
        <v>#REF!</v>
      </c>
      <c r="D90" s="5" t="e">
        <f>#REF!</f>
        <v>#REF!</v>
      </c>
      <c r="E90" s="252">
        <v>1</v>
      </c>
      <c r="F90" s="249">
        <v>23800</v>
      </c>
      <c r="G90" s="249">
        <v>0</v>
      </c>
      <c r="H90" s="249">
        <v>101150</v>
      </c>
      <c r="I90" s="249">
        <v>0</v>
      </c>
      <c r="J90" s="249">
        <v>67041.625</v>
      </c>
      <c r="K90" s="249">
        <v>0</v>
      </c>
      <c r="L90" s="274">
        <f>AVERAGE(F90,H90,J90)</f>
        <v>63997.208333333336</v>
      </c>
      <c r="M90" s="274"/>
      <c r="N90" s="255">
        <v>25000</v>
      </c>
      <c r="O90" s="135">
        <f>+N90*0.19</f>
        <v>4750</v>
      </c>
      <c r="P90" s="135">
        <f>+N90+O90</f>
        <v>29750</v>
      </c>
      <c r="Q90" s="131"/>
      <c r="R90" s="131"/>
      <c r="S90" s="11"/>
      <c r="T90" s="274"/>
      <c r="U90" s="274"/>
      <c r="V90" s="274"/>
      <c r="W90" s="39"/>
      <c r="X90" s="11"/>
      <c r="Y90" s="11"/>
      <c r="Z90" s="274"/>
      <c r="AA90" s="274"/>
      <c r="AB90" s="274"/>
      <c r="AC90" s="52"/>
      <c r="AD90" s="22"/>
      <c r="AE90" s="39"/>
      <c r="AF90" s="274"/>
      <c r="AG90" s="274"/>
      <c r="AH90" s="171"/>
      <c r="AI90" s="4"/>
      <c r="AJ90" s="39"/>
      <c r="AK90" s="39"/>
      <c r="AL90" s="118"/>
      <c r="AM90" s="152"/>
      <c r="AN90" s="181"/>
      <c r="AO90" s="131"/>
      <c r="AP90" s="131"/>
      <c r="AQ90" s="39"/>
      <c r="AR90" s="274"/>
      <c r="AS90" s="274"/>
      <c r="AT90" s="274"/>
      <c r="AU90" s="39"/>
      <c r="AV90" s="39"/>
      <c r="AW90" s="39"/>
      <c r="AX90" s="274"/>
      <c r="AY90" s="274"/>
      <c r="AZ90" s="274"/>
      <c r="BA90" s="39"/>
      <c r="BB90" s="62"/>
      <c r="BC90" s="39"/>
      <c r="BD90" s="274"/>
      <c r="BE90" s="274"/>
      <c r="BF90" s="274"/>
      <c r="BG90" s="39"/>
      <c r="BH90" s="39"/>
      <c r="BI90" s="39"/>
      <c r="BJ90" s="274"/>
      <c r="BK90" s="274"/>
      <c r="BL90" s="274"/>
      <c r="BM90" s="213"/>
      <c r="BN90" s="213"/>
      <c r="BO90" s="39"/>
      <c r="BP90" s="274">
        <v>65000</v>
      </c>
      <c r="BQ90" s="274">
        <f t="shared" si="35"/>
        <v>12350</v>
      </c>
      <c r="BR90" s="274">
        <f t="shared" si="36"/>
        <v>77350</v>
      </c>
      <c r="BS90" s="39"/>
      <c r="BT90" s="39"/>
      <c r="BU90" s="39"/>
      <c r="BV90" s="212"/>
      <c r="BW90" s="221"/>
      <c r="BX90" s="273"/>
      <c r="BY90" s="213"/>
      <c r="BZ90" s="213"/>
      <c r="CA90" s="213"/>
      <c r="CB90" s="274"/>
      <c r="CC90" s="274"/>
      <c r="CD90" s="274"/>
      <c r="CE90" s="39"/>
      <c r="CF90" s="39"/>
      <c r="CG90" s="39"/>
      <c r="CH90" s="274"/>
      <c r="CI90" s="274"/>
      <c r="CJ90" s="274"/>
      <c r="CK90" s="39"/>
      <c r="CL90" s="39"/>
      <c r="CM90" s="39"/>
      <c r="CN90" s="39"/>
      <c r="CO90" s="39"/>
      <c r="CP90" s="11"/>
      <c r="CQ90" s="11"/>
      <c r="CR90" s="11"/>
      <c r="CS90" s="11"/>
      <c r="CT90" s="11"/>
      <c r="CU90" s="11"/>
      <c r="CV90" s="11"/>
      <c r="CW90" s="11"/>
      <c r="CX90" s="11"/>
      <c r="CY90" s="11"/>
      <c r="CZ90" s="11"/>
      <c r="DA90" s="11"/>
      <c r="DB90" s="11"/>
      <c r="DC90" s="11"/>
      <c r="DD90" s="11"/>
      <c r="DE90" s="11"/>
      <c r="DF90" s="11"/>
      <c r="DG90" s="11"/>
      <c r="DH90" s="11"/>
      <c r="DI90" s="11"/>
      <c r="DJ90" s="11"/>
      <c r="DK90" s="11"/>
      <c r="DL90" s="274"/>
      <c r="DM90" s="274"/>
      <c r="DN90" s="274"/>
      <c r="DO90" s="274"/>
      <c r="DP90" s="274"/>
      <c r="DQ90" s="274"/>
      <c r="DR90" s="274"/>
      <c r="DS90" s="274"/>
      <c r="DT90" s="274"/>
      <c r="DU90" s="274"/>
      <c r="DV90" s="274"/>
      <c r="DW90" s="274"/>
      <c r="DX90" s="274"/>
      <c r="DY90" s="274"/>
      <c r="DZ90" s="274"/>
      <c r="EA90" s="274"/>
      <c r="EB90" s="274"/>
      <c r="EC90" s="274"/>
      <c r="ED90" s="39">
        <f t="shared" si="37"/>
        <v>107100</v>
      </c>
      <c r="EE90" s="30">
        <f t="shared" si="38"/>
        <v>2</v>
      </c>
      <c r="EF90" s="39">
        <f t="shared" si="39"/>
        <v>53550</v>
      </c>
    </row>
    <row r="91" spans="1:136" x14ac:dyDescent="0.25">
      <c r="A91" s="25" t="e">
        <f>#REF!</f>
        <v>#REF!</v>
      </c>
      <c r="B91" s="50" t="e">
        <f>#REF!</f>
        <v>#REF!</v>
      </c>
      <c r="C91" s="5" t="e">
        <f>#REF!</f>
        <v>#REF!</v>
      </c>
      <c r="D91" s="5" t="e">
        <f>#REF!</f>
        <v>#REF!</v>
      </c>
      <c r="E91" s="252">
        <v>1</v>
      </c>
      <c r="F91" s="249">
        <v>95200</v>
      </c>
      <c r="G91" s="249">
        <v>0</v>
      </c>
      <c r="H91" s="249">
        <v>0</v>
      </c>
      <c r="I91" s="249">
        <v>0</v>
      </c>
      <c r="J91" s="249">
        <v>333200</v>
      </c>
      <c r="K91" s="249">
        <v>0</v>
      </c>
      <c r="L91" s="274">
        <f>AVERAGE(F91,J91)</f>
        <v>214200</v>
      </c>
      <c r="M91" s="274"/>
      <c r="N91" s="255">
        <v>30000</v>
      </c>
      <c r="O91" s="135">
        <f>+N91*0.19</f>
        <v>5700</v>
      </c>
      <c r="P91" s="135">
        <f>+N91+O91</f>
        <v>35700</v>
      </c>
      <c r="Q91" s="131"/>
      <c r="R91" s="131"/>
      <c r="S91" s="11"/>
      <c r="T91" s="274"/>
      <c r="U91" s="274"/>
      <c r="V91" s="274"/>
      <c r="W91" s="39"/>
      <c r="X91" s="11"/>
      <c r="Y91" s="11"/>
      <c r="Z91" s="274"/>
      <c r="AA91" s="274"/>
      <c r="AB91" s="274"/>
      <c r="AC91" s="52"/>
      <c r="AD91" s="22"/>
      <c r="AE91" s="39"/>
      <c r="AF91" s="274"/>
      <c r="AG91" s="274"/>
      <c r="AH91" s="171"/>
      <c r="AI91" s="4"/>
      <c r="AJ91" s="39"/>
      <c r="AK91" s="39"/>
      <c r="AL91" s="118"/>
      <c r="AM91" s="152"/>
      <c r="AN91" s="181"/>
      <c r="AO91" s="131"/>
      <c r="AP91" s="131"/>
      <c r="AQ91" s="39"/>
      <c r="AR91" s="274"/>
      <c r="AS91" s="274"/>
      <c r="AT91" s="274"/>
      <c r="AU91" s="39"/>
      <c r="AV91" s="39"/>
      <c r="AW91" s="39"/>
      <c r="AX91" s="274"/>
      <c r="AY91" s="274"/>
      <c r="AZ91" s="274"/>
      <c r="BA91" s="39"/>
      <c r="BB91" s="62"/>
      <c r="BC91" s="39"/>
      <c r="BD91" s="274"/>
      <c r="BE91" s="274"/>
      <c r="BF91" s="274"/>
      <c r="BG91" s="39"/>
      <c r="BH91" s="39"/>
      <c r="BI91" s="39"/>
      <c r="BJ91" s="274"/>
      <c r="BK91" s="274"/>
      <c r="BL91" s="274"/>
      <c r="BM91" s="213"/>
      <c r="BN91" s="213"/>
      <c r="BO91" s="39"/>
      <c r="BP91" s="274">
        <v>52000</v>
      </c>
      <c r="BQ91" s="274">
        <f t="shared" si="35"/>
        <v>9880</v>
      </c>
      <c r="BR91" s="274">
        <f t="shared" si="36"/>
        <v>61880</v>
      </c>
      <c r="BS91" s="39"/>
      <c r="BT91" s="39"/>
      <c r="BU91" s="39"/>
      <c r="BV91" s="212"/>
      <c r="BW91" s="221"/>
      <c r="BX91" s="273"/>
      <c r="BY91" s="213"/>
      <c r="BZ91" s="213"/>
      <c r="CA91" s="213"/>
      <c r="CB91" s="274"/>
      <c r="CC91" s="274"/>
      <c r="CD91" s="274"/>
      <c r="CE91" s="39"/>
      <c r="CF91" s="39"/>
      <c r="CG91" s="39"/>
      <c r="CH91" s="274"/>
      <c r="CI91" s="274"/>
      <c r="CJ91" s="274"/>
      <c r="CK91" s="39"/>
      <c r="CL91" s="39"/>
      <c r="CM91" s="39"/>
      <c r="CN91" s="39"/>
      <c r="CO91" s="39"/>
      <c r="CP91" s="11"/>
      <c r="CQ91" s="11"/>
      <c r="CR91" s="11"/>
      <c r="CS91" s="11"/>
      <c r="CT91" s="11"/>
      <c r="CU91" s="11"/>
      <c r="CV91" s="11"/>
      <c r="CW91" s="11"/>
      <c r="CX91" s="11"/>
      <c r="CY91" s="11"/>
      <c r="CZ91" s="11"/>
      <c r="DA91" s="11"/>
      <c r="DB91" s="11"/>
      <c r="DC91" s="11"/>
      <c r="DD91" s="11"/>
      <c r="DE91" s="11"/>
      <c r="DF91" s="11"/>
      <c r="DG91" s="11"/>
      <c r="DH91" s="11"/>
      <c r="DI91" s="11"/>
      <c r="DJ91" s="11"/>
      <c r="DK91" s="11"/>
      <c r="DL91" s="274"/>
      <c r="DM91" s="274"/>
      <c r="DN91" s="274"/>
      <c r="DO91" s="274"/>
      <c r="DP91" s="274"/>
      <c r="DQ91" s="274"/>
      <c r="DR91" s="274"/>
      <c r="DS91" s="274"/>
      <c r="DT91" s="274"/>
      <c r="DU91" s="274"/>
      <c r="DV91" s="274"/>
      <c r="DW91" s="274"/>
      <c r="DX91" s="274"/>
      <c r="DY91" s="274"/>
      <c r="DZ91" s="274"/>
      <c r="EA91" s="274"/>
      <c r="EB91" s="274"/>
      <c r="EC91" s="274"/>
      <c r="ED91" s="39">
        <f t="shared" si="37"/>
        <v>97580</v>
      </c>
      <c r="EE91" s="30">
        <f t="shared" si="38"/>
        <v>2</v>
      </c>
      <c r="EF91" s="39">
        <f t="shared" si="39"/>
        <v>48790</v>
      </c>
    </row>
    <row r="92" spans="1:136" x14ac:dyDescent="0.25">
      <c r="A92" s="25" t="e">
        <f>#REF!</f>
        <v>#REF!</v>
      </c>
      <c r="B92" s="50" t="e">
        <f>#REF!</f>
        <v>#REF!</v>
      </c>
      <c r="C92" s="5" t="e">
        <f>#REF!</f>
        <v>#REF!</v>
      </c>
      <c r="D92" s="5" t="e">
        <f>#REF!</f>
        <v>#REF!</v>
      </c>
      <c r="E92" s="252">
        <v>1</v>
      </c>
      <c r="F92" s="249">
        <v>0</v>
      </c>
      <c r="G92" s="249">
        <v>0</v>
      </c>
      <c r="H92" s="249">
        <v>0</v>
      </c>
      <c r="I92" s="249">
        <v>0</v>
      </c>
      <c r="J92" s="249">
        <v>0</v>
      </c>
      <c r="K92" s="249">
        <v>0</v>
      </c>
      <c r="L92" s="274"/>
      <c r="M92" s="274"/>
      <c r="N92" s="255"/>
      <c r="O92" s="135"/>
      <c r="P92" s="135"/>
      <c r="Q92" s="131"/>
      <c r="R92" s="131"/>
      <c r="S92" s="11"/>
      <c r="T92" s="274"/>
      <c r="U92" s="274"/>
      <c r="V92" s="274"/>
      <c r="W92" s="39"/>
      <c r="X92" s="11"/>
      <c r="Y92" s="11"/>
      <c r="Z92" s="274"/>
      <c r="AA92" s="274"/>
      <c r="AB92" s="274"/>
      <c r="AC92" s="52"/>
      <c r="AD92" s="22"/>
      <c r="AE92" s="39"/>
      <c r="AF92" s="274"/>
      <c r="AG92" s="274"/>
      <c r="AH92" s="171"/>
      <c r="AI92" s="4"/>
      <c r="AJ92" s="39"/>
      <c r="AK92" s="39"/>
      <c r="AL92" s="118"/>
      <c r="AM92" s="152"/>
      <c r="AN92" s="181"/>
      <c r="AO92" s="131"/>
      <c r="AP92" s="131"/>
      <c r="AQ92" s="39"/>
      <c r="AR92" s="274"/>
      <c r="AS92" s="274"/>
      <c r="AT92" s="274"/>
      <c r="AU92" s="39"/>
      <c r="AV92" s="39"/>
      <c r="AW92" s="39"/>
      <c r="AX92" s="274"/>
      <c r="AY92" s="274"/>
      <c r="AZ92" s="274"/>
      <c r="BA92" s="39"/>
      <c r="BB92" s="62"/>
      <c r="BC92" s="39"/>
      <c r="BD92" s="274"/>
      <c r="BE92" s="274"/>
      <c r="BF92" s="274"/>
      <c r="BG92" s="39"/>
      <c r="BH92" s="39"/>
      <c r="BI92" s="39"/>
      <c r="BJ92" s="274">
        <v>1671200</v>
      </c>
      <c r="BK92" s="274">
        <f>+BJ92*0.19</f>
        <v>317528</v>
      </c>
      <c r="BL92" s="274">
        <f>+BJ92+BK92</f>
        <v>1988728</v>
      </c>
      <c r="BM92" s="213" t="s">
        <v>2891</v>
      </c>
      <c r="BN92" s="213" t="s">
        <v>3754</v>
      </c>
      <c r="BO92" s="39"/>
      <c r="BP92" s="274">
        <v>365000</v>
      </c>
      <c r="BQ92" s="274">
        <f t="shared" si="35"/>
        <v>69350</v>
      </c>
      <c r="BR92" s="274">
        <f t="shared" si="36"/>
        <v>434350</v>
      </c>
      <c r="BS92" s="39"/>
      <c r="BT92" s="39"/>
      <c r="BU92" s="39"/>
      <c r="BV92" s="219">
        <v>1916197.9200000002</v>
      </c>
      <c r="BW92" s="219">
        <f>+BV92*0.19</f>
        <v>364077.60480000003</v>
      </c>
      <c r="BX92" s="273">
        <f>+BV92+BW92</f>
        <v>2280275.5248000002</v>
      </c>
      <c r="BY92" s="213" t="s">
        <v>2891</v>
      </c>
      <c r="BZ92" s="213" t="s">
        <v>3754</v>
      </c>
      <c r="CA92" s="213"/>
      <c r="CB92" s="274"/>
      <c r="CC92" s="274"/>
      <c r="CD92" s="274"/>
      <c r="CE92" s="39"/>
      <c r="CF92" s="39"/>
      <c r="CG92" s="39"/>
      <c r="CH92" s="274"/>
      <c r="CI92" s="274"/>
      <c r="CJ92" s="274"/>
      <c r="CK92" s="39"/>
      <c r="CL92" s="39"/>
      <c r="CM92" s="39"/>
      <c r="CN92" s="39"/>
      <c r="CO92" s="39"/>
      <c r="CP92" s="11"/>
      <c r="CQ92" s="11"/>
      <c r="CR92" s="11"/>
      <c r="CS92" s="11"/>
      <c r="CT92" s="11"/>
      <c r="CU92" s="11"/>
      <c r="CV92" s="11"/>
      <c r="CW92" s="11"/>
      <c r="CX92" s="11"/>
      <c r="CY92" s="11"/>
      <c r="CZ92" s="11"/>
      <c r="DA92" s="11"/>
      <c r="DB92" s="11"/>
      <c r="DC92" s="11"/>
      <c r="DD92" s="11"/>
      <c r="DE92" s="11"/>
      <c r="DF92" s="11"/>
      <c r="DG92" s="11"/>
      <c r="DH92" s="11"/>
      <c r="DI92" s="11"/>
      <c r="DJ92" s="11"/>
      <c r="DK92" s="11"/>
      <c r="DL92" s="274"/>
      <c r="DM92" s="274"/>
      <c r="DN92" s="274"/>
      <c r="DO92" s="274"/>
      <c r="DP92" s="274"/>
      <c r="DQ92" s="274"/>
      <c r="DR92" s="274"/>
      <c r="DS92" s="274"/>
      <c r="DT92" s="274"/>
      <c r="DU92" s="274"/>
      <c r="DV92" s="274"/>
      <c r="DW92" s="274"/>
      <c r="DX92" s="274"/>
      <c r="DY92" s="274"/>
      <c r="DZ92" s="274"/>
      <c r="EA92" s="274"/>
      <c r="EB92" s="274"/>
      <c r="EC92" s="274"/>
      <c r="ED92" s="39">
        <f t="shared" si="37"/>
        <v>4703353.5248000007</v>
      </c>
      <c r="EE92" s="30">
        <f t="shared" si="38"/>
        <v>3</v>
      </c>
      <c r="EF92" s="39">
        <f t="shared" si="39"/>
        <v>1567784.5082666669</v>
      </c>
    </row>
    <row r="93" spans="1:136" x14ac:dyDescent="0.25">
      <c r="A93" s="25" t="e">
        <f>#REF!</f>
        <v>#REF!</v>
      </c>
      <c r="B93" s="50" t="e">
        <f>#REF!</f>
        <v>#REF!</v>
      </c>
      <c r="C93" s="5" t="e">
        <f>#REF!</f>
        <v>#REF!</v>
      </c>
      <c r="D93" s="5" t="e">
        <f>#REF!</f>
        <v>#REF!</v>
      </c>
      <c r="E93" s="252">
        <v>1</v>
      </c>
      <c r="F93" s="249">
        <v>0</v>
      </c>
      <c r="G93" s="249">
        <v>0</v>
      </c>
      <c r="H93" s="249">
        <v>825066.66666666663</v>
      </c>
      <c r="I93" s="249">
        <v>824908</v>
      </c>
      <c r="J93" s="249">
        <v>97580</v>
      </c>
      <c r="K93" s="249">
        <v>0</v>
      </c>
      <c r="L93" s="274">
        <f>AVERAGE(H93,J93)</f>
        <v>461323.33333333331</v>
      </c>
      <c r="M93" s="274">
        <f>I93*E1</f>
        <v>849655.24</v>
      </c>
      <c r="N93" s="255">
        <v>82000</v>
      </c>
      <c r="O93" s="135">
        <f>+N93*0.19</f>
        <v>15580</v>
      </c>
      <c r="P93" s="135">
        <f>+N93+O93</f>
        <v>97580</v>
      </c>
      <c r="Q93" s="131"/>
      <c r="R93" s="131"/>
      <c r="S93" s="11"/>
      <c r="T93" s="274"/>
      <c r="U93" s="274"/>
      <c r="V93" s="274"/>
      <c r="W93" s="39"/>
      <c r="X93" s="11"/>
      <c r="Y93" s="11"/>
      <c r="Z93" s="274"/>
      <c r="AA93" s="274"/>
      <c r="AB93" s="274"/>
      <c r="AC93" s="52"/>
      <c r="AD93" s="22"/>
      <c r="AE93" s="39"/>
      <c r="AF93" s="274"/>
      <c r="AG93" s="274"/>
      <c r="AH93" s="171"/>
      <c r="AI93" s="22"/>
      <c r="AJ93" s="39"/>
      <c r="AK93" s="39"/>
      <c r="AL93" s="118"/>
      <c r="AM93" s="152"/>
      <c r="AN93" s="181"/>
      <c r="AO93" s="131"/>
      <c r="AP93" s="131"/>
      <c r="AQ93" s="39"/>
      <c r="AR93" s="274"/>
      <c r="AS93" s="274"/>
      <c r="AT93" s="274"/>
      <c r="AU93" s="39"/>
      <c r="AV93" s="39"/>
      <c r="AW93" s="39"/>
      <c r="AX93" s="274"/>
      <c r="AY93" s="274"/>
      <c r="AZ93" s="274"/>
      <c r="BA93" s="39"/>
      <c r="BB93" s="62"/>
      <c r="BC93" s="39"/>
      <c r="BD93" s="274"/>
      <c r="BE93" s="274"/>
      <c r="BF93" s="274"/>
      <c r="BG93" s="39"/>
      <c r="BH93" s="39"/>
      <c r="BI93" s="39"/>
      <c r="BJ93" s="274">
        <v>1645800</v>
      </c>
      <c r="BK93" s="274">
        <f>+BJ93*0.19</f>
        <v>312702</v>
      </c>
      <c r="BL93" s="274">
        <f>+BJ93+BK93</f>
        <v>1958502</v>
      </c>
      <c r="BM93" s="213" t="s">
        <v>2891</v>
      </c>
      <c r="BN93" s="213" t="s">
        <v>3670</v>
      </c>
      <c r="BO93" s="39"/>
      <c r="BP93" s="274">
        <v>265000</v>
      </c>
      <c r="BQ93" s="274">
        <f t="shared" si="35"/>
        <v>50350</v>
      </c>
      <c r="BR93" s="274">
        <f t="shared" si="36"/>
        <v>315350</v>
      </c>
      <c r="BS93" s="39"/>
      <c r="BT93" s="39"/>
      <c r="BU93" s="39"/>
      <c r="BV93" s="219">
        <v>1833157.8720000002</v>
      </c>
      <c r="BW93" s="219">
        <f>+BV93*0.19</f>
        <v>348299.99568000005</v>
      </c>
      <c r="BX93" s="273">
        <f>+BV93+BW93</f>
        <v>2181457.8676800001</v>
      </c>
      <c r="BY93" s="213" t="s">
        <v>2891</v>
      </c>
      <c r="BZ93" s="213" t="s">
        <v>3670</v>
      </c>
      <c r="CA93" s="213"/>
      <c r="CB93" s="274"/>
      <c r="CC93" s="274"/>
      <c r="CD93" s="274"/>
      <c r="CE93" s="39"/>
      <c r="CF93" s="39"/>
      <c r="CG93" s="39"/>
      <c r="CH93" s="274"/>
      <c r="CI93" s="274"/>
      <c r="CJ93" s="274"/>
      <c r="CK93" s="39"/>
      <c r="CL93" s="39"/>
      <c r="CM93" s="39"/>
      <c r="CN93" s="39"/>
      <c r="CO93" s="39"/>
      <c r="CP93" s="11"/>
      <c r="CQ93" s="11"/>
      <c r="CR93" s="11"/>
      <c r="CS93" s="11"/>
      <c r="CT93" s="11"/>
      <c r="CU93" s="11"/>
      <c r="CV93" s="11"/>
      <c r="CW93" s="11"/>
      <c r="CX93" s="11"/>
      <c r="CY93" s="11"/>
      <c r="CZ93" s="11"/>
      <c r="DA93" s="11"/>
      <c r="DB93" s="11"/>
      <c r="DC93" s="11"/>
      <c r="DD93" s="11"/>
      <c r="DE93" s="11"/>
      <c r="DF93" s="11"/>
      <c r="DG93" s="11"/>
      <c r="DH93" s="11"/>
      <c r="DI93" s="11"/>
      <c r="DJ93" s="11"/>
      <c r="DK93" s="11"/>
      <c r="DL93" s="274"/>
      <c r="DM93" s="274"/>
      <c r="DN93" s="274"/>
      <c r="DO93" s="274"/>
      <c r="DP93" s="274"/>
      <c r="DQ93" s="274"/>
      <c r="DR93" s="274"/>
      <c r="DS93" s="274"/>
      <c r="DT93" s="274"/>
      <c r="DU93" s="274"/>
      <c r="DV93" s="274"/>
      <c r="DW93" s="274"/>
      <c r="DX93" s="274"/>
      <c r="DY93" s="274"/>
      <c r="DZ93" s="274"/>
      <c r="EA93" s="274"/>
      <c r="EB93" s="274"/>
      <c r="EC93" s="274"/>
      <c r="ED93" s="39">
        <f t="shared" si="37"/>
        <v>5402545.1076800004</v>
      </c>
      <c r="EE93" s="30">
        <f t="shared" si="38"/>
        <v>5</v>
      </c>
      <c r="EF93" s="39">
        <f t="shared" si="39"/>
        <v>1080509.0215360001</v>
      </c>
    </row>
    <row r="94" spans="1:136" x14ac:dyDescent="0.25">
      <c r="A94" s="25" t="e">
        <f>#REF!</f>
        <v>#REF!</v>
      </c>
      <c r="B94" s="50" t="e">
        <f>#REF!</f>
        <v>#REF!</v>
      </c>
      <c r="C94" s="5" t="e">
        <f>#REF!</f>
        <v>#REF!</v>
      </c>
      <c r="D94" s="5" t="e">
        <f>#REF!</f>
        <v>#REF!</v>
      </c>
      <c r="E94" s="252">
        <v>1</v>
      </c>
      <c r="F94" s="249">
        <v>0</v>
      </c>
      <c r="G94" s="249">
        <v>0</v>
      </c>
      <c r="H94" s="249">
        <v>69751.849999999991</v>
      </c>
      <c r="I94" s="249">
        <v>69615</v>
      </c>
      <c r="J94" s="249">
        <v>46876.200000000004</v>
      </c>
      <c r="K94" s="249">
        <v>46410</v>
      </c>
      <c r="L94" s="274">
        <f>AVERAGE(H94,J94)</f>
        <v>58314.024999999994</v>
      </c>
      <c r="M94" s="274">
        <f>AVERAGE(I94,K94)*E1</f>
        <v>59752.875</v>
      </c>
      <c r="N94" s="255">
        <v>12000</v>
      </c>
      <c r="O94" s="135">
        <f>+N94*0.19</f>
        <v>2280</v>
      </c>
      <c r="P94" s="135">
        <f>+N94+O94</f>
        <v>14280</v>
      </c>
      <c r="Q94" s="131"/>
      <c r="R94" s="131"/>
      <c r="S94" s="11"/>
      <c r="T94" s="274"/>
      <c r="U94" s="274"/>
      <c r="V94" s="274"/>
      <c r="W94" s="39"/>
      <c r="X94" s="11"/>
      <c r="Y94" s="11"/>
      <c r="Z94" s="274"/>
      <c r="AA94" s="274"/>
      <c r="AB94" s="274"/>
      <c r="AC94" s="52"/>
      <c r="AD94" s="22"/>
      <c r="AE94" s="39"/>
      <c r="AF94" s="274"/>
      <c r="AG94" s="274"/>
      <c r="AH94" s="171"/>
      <c r="AI94" s="4"/>
      <c r="AJ94" s="39"/>
      <c r="AK94" s="39"/>
      <c r="AL94" s="118"/>
      <c r="AM94" s="152"/>
      <c r="AN94" s="181"/>
      <c r="AO94" s="131"/>
      <c r="AP94" s="131"/>
      <c r="AQ94" s="39"/>
      <c r="AR94" s="274"/>
      <c r="AS94" s="274"/>
      <c r="AT94" s="274"/>
      <c r="AU94" s="39"/>
      <c r="AV94" s="39"/>
      <c r="AW94" s="39"/>
      <c r="AX94" s="274"/>
      <c r="AY94" s="274"/>
      <c r="AZ94" s="274"/>
      <c r="BA94" s="39"/>
      <c r="BB94" s="62"/>
      <c r="BC94" s="39"/>
      <c r="BD94" s="274"/>
      <c r="BE94" s="274"/>
      <c r="BF94" s="274"/>
      <c r="BG94" s="39"/>
      <c r="BH94" s="39"/>
      <c r="BI94" s="39"/>
      <c r="BJ94" s="274">
        <v>120000</v>
      </c>
      <c r="BK94" s="274">
        <f>+BJ94*0.19</f>
        <v>22800</v>
      </c>
      <c r="BL94" s="274">
        <f>+BJ94+BK94</f>
        <v>142800</v>
      </c>
      <c r="BM94" s="213" t="s">
        <v>2891</v>
      </c>
      <c r="BN94" s="213" t="s">
        <v>4763</v>
      </c>
      <c r="BO94" s="39"/>
      <c r="BP94" s="274">
        <v>185200</v>
      </c>
      <c r="BQ94" s="274">
        <f t="shared" si="35"/>
        <v>35188</v>
      </c>
      <c r="BR94" s="274">
        <f t="shared" si="36"/>
        <v>220388</v>
      </c>
      <c r="BS94" s="39"/>
      <c r="BT94" s="39"/>
      <c r="BU94" s="39"/>
      <c r="BV94" s="219">
        <v>124860.24</v>
      </c>
      <c r="BW94" s="219">
        <f>+BV94*0.19</f>
        <v>23723.445600000003</v>
      </c>
      <c r="BX94" s="273">
        <f>+BV94+BW94</f>
        <v>148583.6856</v>
      </c>
      <c r="BY94" s="213" t="s">
        <v>2891</v>
      </c>
      <c r="BZ94" s="213" t="s">
        <v>4763</v>
      </c>
      <c r="CA94" s="213"/>
      <c r="CB94" s="274"/>
      <c r="CC94" s="274"/>
      <c r="CD94" s="274"/>
      <c r="CE94" s="39"/>
      <c r="CF94" s="39"/>
      <c r="CG94" s="39"/>
      <c r="CH94" s="274"/>
      <c r="CI94" s="274"/>
      <c r="CJ94" s="274"/>
      <c r="CK94" s="39"/>
      <c r="CL94" s="39"/>
      <c r="CM94" s="39"/>
      <c r="CN94" s="39"/>
      <c r="CO94" s="39"/>
      <c r="CP94" s="11"/>
      <c r="CQ94" s="11"/>
      <c r="CR94" s="11"/>
      <c r="CS94" s="11"/>
      <c r="CT94" s="11"/>
      <c r="CU94" s="11"/>
      <c r="CV94" s="11"/>
      <c r="CW94" s="11"/>
      <c r="CX94" s="11"/>
      <c r="CY94" s="11"/>
      <c r="CZ94" s="11"/>
      <c r="DA94" s="11"/>
      <c r="DB94" s="11"/>
      <c r="DC94" s="11"/>
      <c r="DD94" s="11"/>
      <c r="DE94" s="11"/>
      <c r="DF94" s="11"/>
      <c r="DG94" s="11"/>
      <c r="DH94" s="11"/>
      <c r="DI94" s="11"/>
      <c r="DJ94" s="11"/>
      <c r="DK94" s="11"/>
      <c r="DL94" s="274"/>
      <c r="DM94" s="274"/>
      <c r="DN94" s="274"/>
      <c r="DO94" s="274"/>
      <c r="DP94" s="274"/>
      <c r="DQ94" s="274"/>
      <c r="DR94" s="274"/>
      <c r="DS94" s="274"/>
      <c r="DT94" s="274"/>
      <c r="DU94" s="274"/>
      <c r="DV94" s="274"/>
      <c r="DW94" s="274"/>
      <c r="DX94" s="274"/>
      <c r="DY94" s="274"/>
      <c r="DZ94" s="274"/>
      <c r="EA94" s="274"/>
      <c r="EB94" s="274"/>
      <c r="EC94" s="274"/>
      <c r="ED94" s="39">
        <f t="shared" si="37"/>
        <v>585804.56059999997</v>
      </c>
      <c r="EE94" s="30">
        <f t="shared" si="38"/>
        <v>5</v>
      </c>
      <c r="EF94" s="39">
        <f t="shared" si="39"/>
        <v>117160.91211999999</v>
      </c>
    </row>
    <row r="95" spans="1:136" x14ac:dyDescent="0.25">
      <c r="A95" s="25" t="e">
        <f>#REF!</f>
        <v>#REF!</v>
      </c>
      <c r="B95" s="50" t="e">
        <f>#REF!</f>
        <v>#REF!</v>
      </c>
      <c r="C95" s="5" t="e">
        <f>#REF!</f>
        <v>#REF!</v>
      </c>
      <c r="D95" s="5" t="e">
        <f>#REF!</f>
        <v>#REF!</v>
      </c>
      <c r="E95" s="252">
        <v>1</v>
      </c>
      <c r="F95" s="249">
        <v>0</v>
      </c>
      <c r="G95" s="249">
        <v>0</v>
      </c>
      <c r="H95" s="249">
        <v>0</v>
      </c>
      <c r="I95" s="249">
        <v>0</v>
      </c>
      <c r="J95" s="249">
        <v>0</v>
      </c>
      <c r="K95" s="249">
        <v>0</v>
      </c>
      <c r="L95" s="274"/>
      <c r="M95" s="274"/>
      <c r="N95" s="255">
        <v>10000</v>
      </c>
      <c r="O95" s="135">
        <f>+N95*0.19</f>
        <v>1900</v>
      </c>
      <c r="P95" s="135">
        <f>+N95+O95</f>
        <v>11900</v>
      </c>
      <c r="Q95" s="131"/>
      <c r="R95" s="131"/>
      <c r="S95" s="11"/>
      <c r="T95" s="274"/>
      <c r="U95" s="274"/>
      <c r="V95" s="274"/>
      <c r="W95" s="39"/>
      <c r="X95" s="11"/>
      <c r="Y95" s="11"/>
      <c r="Z95" s="274"/>
      <c r="AA95" s="274"/>
      <c r="AB95" s="274"/>
      <c r="AC95" s="52"/>
      <c r="AD95" s="22"/>
      <c r="AE95" s="39"/>
      <c r="AF95" s="274"/>
      <c r="AG95" s="274"/>
      <c r="AH95" s="171"/>
      <c r="AI95" s="22"/>
      <c r="AJ95" s="39"/>
      <c r="AK95" s="39"/>
      <c r="AL95" s="118"/>
      <c r="AM95" s="152"/>
      <c r="AN95" s="181"/>
      <c r="AO95" s="131"/>
      <c r="AP95" s="131"/>
      <c r="AQ95" s="39"/>
      <c r="AR95" s="274"/>
      <c r="AS95" s="274"/>
      <c r="AT95" s="274"/>
      <c r="AU95" s="39"/>
      <c r="AV95" s="39"/>
      <c r="AW95" s="39"/>
      <c r="AX95" s="274"/>
      <c r="AY95" s="274"/>
      <c r="AZ95" s="274"/>
      <c r="BA95" s="39"/>
      <c r="BB95" s="62"/>
      <c r="BC95" s="39"/>
      <c r="BD95" s="274"/>
      <c r="BE95" s="274"/>
      <c r="BF95" s="274"/>
      <c r="BG95" s="39"/>
      <c r="BH95" s="39"/>
      <c r="BI95" s="39"/>
      <c r="BJ95" s="274">
        <v>29200</v>
      </c>
      <c r="BK95" s="274">
        <f>+BJ95*0.19</f>
        <v>5548</v>
      </c>
      <c r="BL95" s="274">
        <f>+BJ95+BK95</f>
        <v>34748</v>
      </c>
      <c r="BM95" s="213" t="s">
        <v>196</v>
      </c>
      <c r="BN95" s="213" t="s">
        <v>164</v>
      </c>
      <c r="BO95" s="39"/>
      <c r="BP95" s="274">
        <v>26500</v>
      </c>
      <c r="BQ95" s="274">
        <f t="shared" si="35"/>
        <v>5035</v>
      </c>
      <c r="BR95" s="274">
        <f t="shared" si="36"/>
        <v>31535</v>
      </c>
      <c r="BS95" s="39"/>
      <c r="BT95" s="39"/>
      <c r="BU95" s="39"/>
      <c r="BV95" s="219">
        <v>32199.365600000001</v>
      </c>
      <c r="BW95" s="219">
        <f>+BV95*0.19</f>
        <v>6117.8794640000006</v>
      </c>
      <c r="BX95" s="273">
        <f>+BV95+BW95</f>
        <v>38317.245064000002</v>
      </c>
      <c r="BY95" s="213" t="s">
        <v>196</v>
      </c>
      <c r="BZ95" s="213" t="s">
        <v>164</v>
      </c>
      <c r="CA95" s="213"/>
      <c r="CB95" s="274"/>
      <c r="CC95" s="274"/>
      <c r="CD95" s="274"/>
      <c r="CE95" s="39"/>
      <c r="CF95" s="39"/>
      <c r="CG95" s="39"/>
      <c r="CH95" s="274"/>
      <c r="CI95" s="274"/>
      <c r="CJ95" s="274"/>
      <c r="CK95" s="39"/>
      <c r="CL95" s="39"/>
      <c r="CM95" s="39"/>
      <c r="CN95" s="39"/>
      <c r="CO95" s="39"/>
      <c r="CP95" s="11"/>
      <c r="CQ95" s="11"/>
      <c r="CR95" s="11"/>
      <c r="CS95" s="11"/>
      <c r="CT95" s="11"/>
      <c r="CU95" s="11"/>
      <c r="CV95" s="11"/>
      <c r="CW95" s="11"/>
      <c r="CX95" s="11"/>
      <c r="CY95" s="11"/>
      <c r="CZ95" s="11"/>
      <c r="DA95" s="11"/>
      <c r="DB95" s="11"/>
      <c r="DC95" s="11"/>
      <c r="DD95" s="11"/>
      <c r="DE95" s="11"/>
      <c r="DF95" s="11"/>
      <c r="DG95" s="11"/>
      <c r="DH95" s="11"/>
      <c r="DI95" s="11"/>
      <c r="DJ95" s="11"/>
      <c r="DK95" s="11"/>
      <c r="DL95" s="274"/>
      <c r="DM95" s="274"/>
      <c r="DN95" s="274"/>
      <c r="DO95" s="274"/>
      <c r="DP95" s="274"/>
      <c r="DQ95" s="274"/>
      <c r="DR95" s="274"/>
      <c r="DS95" s="274"/>
      <c r="DT95" s="274"/>
      <c r="DU95" s="274"/>
      <c r="DV95" s="274"/>
      <c r="DW95" s="274"/>
      <c r="DX95" s="274"/>
      <c r="DY95" s="274"/>
      <c r="DZ95" s="274"/>
      <c r="EA95" s="274"/>
      <c r="EB95" s="274"/>
      <c r="EC95" s="274"/>
      <c r="ED95" s="39">
        <f t="shared" si="37"/>
        <v>116500.245064</v>
      </c>
      <c r="EE95" s="30">
        <f t="shared" si="38"/>
        <v>4</v>
      </c>
      <c r="EF95" s="39">
        <f t="shared" si="39"/>
        <v>29125.061266000001</v>
      </c>
    </row>
    <row r="96" spans="1:136" x14ac:dyDescent="0.25">
      <c r="A96" s="25" t="e">
        <f>#REF!</f>
        <v>#REF!</v>
      </c>
      <c r="B96" s="50" t="e">
        <f>#REF!</f>
        <v>#REF!</v>
      </c>
      <c r="C96" s="5" t="e">
        <f>#REF!</f>
        <v>#REF!</v>
      </c>
      <c r="D96" s="5" t="e">
        <f>#REF!</f>
        <v>#REF!</v>
      </c>
      <c r="E96" s="252">
        <v>1</v>
      </c>
      <c r="F96" s="249">
        <v>220507</v>
      </c>
      <c r="G96" s="249">
        <v>213843</v>
      </c>
      <c r="H96" s="249">
        <v>218522.96298000001</v>
      </c>
      <c r="I96" s="249">
        <v>218365</v>
      </c>
      <c r="J96" s="249">
        <v>170080.15500000003</v>
      </c>
      <c r="K96" s="249">
        <v>117810</v>
      </c>
      <c r="L96" s="274">
        <f>AVERAGE(F96,H96,J96)</f>
        <v>203036.70599333337</v>
      </c>
      <c r="M96" s="274">
        <f>AVERAGE(G96,I96,K96)*E1</f>
        <v>188839.51333333334</v>
      </c>
      <c r="N96" s="255"/>
      <c r="O96" s="135"/>
      <c r="P96" s="135"/>
      <c r="Q96" s="131"/>
      <c r="R96" s="131"/>
      <c r="S96" s="11"/>
      <c r="T96" s="274"/>
      <c r="U96" s="274"/>
      <c r="V96" s="274"/>
      <c r="W96" s="39"/>
      <c r="X96" s="11"/>
      <c r="Y96" s="11"/>
      <c r="Z96" s="274"/>
      <c r="AA96" s="274"/>
      <c r="AB96" s="274"/>
      <c r="AC96" s="52"/>
      <c r="AD96" s="22"/>
      <c r="AE96" s="39"/>
      <c r="AF96" s="274"/>
      <c r="AG96" s="274"/>
      <c r="AH96" s="113"/>
      <c r="AI96" s="4"/>
      <c r="AJ96" s="39"/>
      <c r="AK96" s="39"/>
      <c r="AL96" s="118"/>
      <c r="AM96" s="152"/>
      <c r="AN96" s="181"/>
      <c r="AO96" s="131"/>
      <c r="AP96" s="131"/>
      <c r="AQ96" s="39"/>
      <c r="AR96" s="274"/>
      <c r="AS96" s="274"/>
      <c r="AT96" s="274"/>
      <c r="AU96" s="39"/>
      <c r="AV96" s="39"/>
      <c r="AW96" s="39"/>
      <c r="AX96" s="274"/>
      <c r="AY96" s="274"/>
      <c r="AZ96" s="274"/>
      <c r="BA96" s="39"/>
      <c r="BB96" s="62"/>
      <c r="BC96" s="39"/>
      <c r="BD96" s="274"/>
      <c r="BE96" s="274"/>
      <c r="BF96" s="274"/>
      <c r="BG96" s="39"/>
      <c r="BH96" s="39"/>
      <c r="BI96" s="39"/>
      <c r="BJ96" s="274"/>
      <c r="BK96" s="274"/>
      <c r="BL96" s="274"/>
      <c r="BM96" s="213"/>
      <c r="BN96" s="213"/>
      <c r="BO96" s="39"/>
      <c r="BP96" s="274">
        <v>296000</v>
      </c>
      <c r="BQ96" s="274">
        <f t="shared" si="35"/>
        <v>56240</v>
      </c>
      <c r="BR96" s="274">
        <f t="shared" si="36"/>
        <v>352240</v>
      </c>
      <c r="BS96" s="39"/>
      <c r="BT96" s="39"/>
      <c r="BU96" s="39"/>
      <c r="BV96" s="212"/>
      <c r="BW96" s="221"/>
      <c r="BX96" s="273"/>
      <c r="BY96" s="213"/>
      <c r="BZ96" s="213"/>
      <c r="CA96" s="213"/>
      <c r="CB96" s="274"/>
      <c r="CC96" s="274"/>
      <c r="CD96" s="274"/>
      <c r="CE96" s="39"/>
      <c r="CF96" s="39"/>
      <c r="CG96" s="39"/>
      <c r="CH96" s="274"/>
      <c r="CI96" s="274"/>
      <c r="CJ96" s="274"/>
      <c r="CK96" s="39"/>
      <c r="CL96" s="39"/>
      <c r="CM96" s="39"/>
      <c r="CN96" s="39"/>
      <c r="CO96" s="39"/>
      <c r="CP96" s="11"/>
      <c r="CQ96" s="11"/>
      <c r="CR96" s="11"/>
      <c r="CS96" s="11"/>
      <c r="CT96" s="11"/>
      <c r="CU96" s="11"/>
      <c r="CV96" s="11"/>
      <c r="CW96" s="11"/>
      <c r="CX96" s="11"/>
      <c r="CY96" s="11"/>
      <c r="CZ96" s="11"/>
      <c r="DA96" s="11"/>
      <c r="DB96" s="11"/>
      <c r="DC96" s="11"/>
      <c r="DD96" s="11"/>
      <c r="DE96" s="11"/>
      <c r="DF96" s="11"/>
      <c r="DG96" s="11"/>
      <c r="DH96" s="11"/>
      <c r="DI96" s="11"/>
      <c r="DJ96" s="11"/>
      <c r="DK96" s="11"/>
      <c r="DL96" s="274"/>
      <c r="DM96" s="274"/>
      <c r="DN96" s="274"/>
      <c r="DO96" s="274"/>
      <c r="DP96" s="274"/>
      <c r="DQ96" s="274"/>
      <c r="DR96" s="274"/>
      <c r="DS96" s="274"/>
      <c r="DT96" s="274"/>
      <c r="DU96" s="274"/>
      <c r="DV96" s="274"/>
      <c r="DW96" s="274"/>
      <c r="DX96" s="274"/>
      <c r="DY96" s="274"/>
      <c r="DZ96" s="274"/>
      <c r="EA96" s="274"/>
      <c r="EB96" s="274"/>
      <c r="EC96" s="274"/>
      <c r="ED96" s="39">
        <f t="shared" si="37"/>
        <v>541079.51333333331</v>
      </c>
      <c r="EE96" s="30">
        <f t="shared" si="38"/>
        <v>2</v>
      </c>
      <c r="EF96" s="39">
        <f t="shared" si="39"/>
        <v>270539.75666666665</v>
      </c>
    </row>
    <row r="97" spans="1:136" x14ac:dyDescent="0.25">
      <c r="A97" s="25" t="e">
        <f>#REF!</f>
        <v>#REF!</v>
      </c>
      <c r="B97" s="50" t="e">
        <f>#REF!</f>
        <v>#REF!</v>
      </c>
      <c r="C97" s="5" t="e">
        <f>#REF!</f>
        <v>#REF!</v>
      </c>
      <c r="D97" s="5" t="e">
        <f>#REF!</f>
        <v>#REF!</v>
      </c>
      <c r="E97" s="252">
        <v>1</v>
      </c>
      <c r="F97" s="249">
        <v>0</v>
      </c>
      <c r="G97" s="249">
        <v>0</v>
      </c>
      <c r="H97" s="249">
        <v>3441291.98</v>
      </c>
      <c r="I97" s="249">
        <v>3441123</v>
      </c>
      <c r="J97" s="249">
        <v>0</v>
      </c>
      <c r="K97" s="249">
        <v>0</v>
      </c>
      <c r="L97" s="274">
        <f>H97</f>
        <v>3441291.98</v>
      </c>
      <c r="M97" s="274">
        <f>I97*E1</f>
        <v>3544356.69</v>
      </c>
      <c r="N97" s="255"/>
      <c r="O97" s="135"/>
      <c r="P97" s="135"/>
      <c r="Q97" s="131"/>
      <c r="R97" s="131"/>
      <c r="S97" s="11"/>
      <c r="T97" s="274">
        <v>3608000.0000000005</v>
      </c>
      <c r="U97" s="274">
        <f>+T97*0.19</f>
        <v>685520.00000000012</v>
      </c>
      <c r="V97" s="274">
        <f>+T97+U97</f>
        <v>4293520.0000000009</v>
      </c>
      <c r="W97" s="39" t="s">
        <v>510</v>
      </c>
      <c r="X97" s="11" t="s">
        <v>2948</v>
      </c>
      <c r="Y97" s="11"/>
      <c r="Z97" s="274"/>
      <c r="AA97" s="274"/>
      <c r="AB97" s="274"/>
      <c r="AC97" s="52"/>
      <c r="AD97" s="22"/>
      <c r="AE97" s="39"/>
      <c r="AF97" s="274"/>
      <c r="AG97" s="274"/>
      <c r="AH97" s="113"/>
      <c r="AI97" s="4"/>
      <c r="AJ97" s="39"/>
      <c r="AK97" s="39"/>
      <c r="AL97" s="118"/>
      <c r="AM97" s="152"/>
      <c r="AN97" s="181"/>
      <c r="AO97" s="131"/>
      <c r="AP97" s="131"/>
      <c r="AQ97" s="39"/>
      <c r="AR97" s="274"/>
      <c r="AS97" s="274"/>
      <c r="AT97" s="274"/>
      <c r="AU97" s="39"/>
      <c r="AV97" s="39"/>
      <c r="AW97" s="39"/>
      <c r="AX97" s="274"/>
      <c r="AY97" s="274"/>
      <c r="AZ97" s="274"/>
      <c r="BA97" s="39"/>
      <c r="BB97" s="62"/>
      <c r="BC97" s="39"/>
      <c r="BD97" s="274"/>
      <c r="BE97" s="274"/>
      <c r="BF97" s="274"/>
      <c r="BG97" s="39"/>
      <c r="BH97" s="39"/>
      <c r="BI97" s="39"/>
      <c r="BJ97" s="275">
        <v>6134300</v>
      </c>
      <c r="BK97" s="274">
        <f>+BJ97*0.19</f>
        <v>1165517</v>
      </c>
      <c r="BL97" s="274">
        <f>+BJ97+BK97</f>
        <v>7299817</v>
      </c>
      <c r="BM97" s="213" t="s">
        <v>196</v>
      </c>
      <c r="BN97" s="213" t="s">
        <v>3897</v>
      </c>
      <c r="BO97" s="39"/>
      <c r="BP97" s="274">
        <v>3963000</v>
      </c>
      <c r="BQ97" s="274">
        <f t="shared" si="35"/>
        <v>752970</v>
      </c>
      <c r="BR97" s="274">
        <f t="shared" si="36"/>
        <v>4715970</v>
      </c>
      <c r="BS97" s="39"/>
      <c r="BT97" s="39"/>
      <c r="BU97" s="39"/>
      <c r="BV97" s="223"/>
      <c r="BW97" s="219"/>
      <c r="BX97" s="273"/>
      <c r="BY97" s="213"/>
      <c r="BZ97" s="213"/>
      <c r="CA97" s="213"/>
      <c r="CB97" s="274"/>
      <c r="CC97" s="274"/>
      <c r="CD97" s="274"/>
      <c r="CE97" s="39"/>
      <c r="CF97" s="39"/>
      <c r="CG97" s="39"/>
      <c r="CH97" s="274"/>
      <c r="CI97" s="274"/>
      <c r="CJ97" s="274"/>
      <c r="CK97" s="39"/>
      <c r="CL97" s="39"/>
      <c r="CM97" s="39"/>
      <c r="CN97" s="39"/>
      <c r="CO97" s="39"/>
      <c r="CP97" s="11"/>
      <c r="CQ97" s="11"/>
      <c r="CR97" s="11"/>
      <c r="CS97" s="11"/>
      <c r="CT97" s="11"/>
      <c r="CU97" s="11"/>
      <c r="CV97" s="11"/>
      <c r="CW97" s="11"/>
      <c r="CX97" s="11"/>
      <c r="CY97" s="11"/>
      <c r="CZ97" s="11"/>
      <c r="DA97" s="11"/>
      <c r="DB97" s="11"/>
      <c r="DC97" s="11"/>
      <c r="DD97" s="11"/>
      <c r="DE97" s="11"/>
      <c r="DF97" s="11"/>
      <c r="DG97" s="11"/>
      <c r="DH97" s="11"/>
      <c r="DI97" s="11"/>
      <c r="DJ97" s="11"/>
      <c r="DK97" s="11"/>
      <c r="DL97" s="274"/>
      <c r="DM97" s="274"/>
      <c r="DN97" s="274"/>
      <c r="DO97" s="274"/>
      <c r="DP97" s="274"/>
      <c r="DQ97" s="274"/>
      <c r="DR97" s="274"/>
      <c r="DS97" s="274"/>
      <c r="DT97" s="274"/>
      <c r="DU97" s="274"/>
      <c r="DV97" s="274"/>
      <c r="DW97" s="274"/>
      <c r="DX97" s="274"/>
      <c r="DY97" s="274"/>
      <c r="DZ97" s="274"/>
      <c r="EA97" s="274"/>
      <c r="EB97" s="274"/>
      <c r="EC97" s="274"/>
      <c r="ED97" s="39">
        <f t="shared" si="37"/>
        <v>19853663.690000001</v>
      </c>
      <c r="EE97" s="30">
        <f t="shared" si="38"/>
        <v>4</v>
      </c>
      <c r="EF97" s="39">
        <f t="shared" si="39"/>
        <v>4963415.9225000003</v>
      </c>
    </row>
    <row r="98" spans="1:136" x14ac:dyDescent="0.25">
      <c r="A98" s="25" t="e">
        <f>#REF!</f>
        <v>#REF!</v>
      </c>
      <c r="B98" s="50" t="e">
        <f>#REF!</f>
        <v>#REF!</v>
      </c>
      <c r="C98" s="5" t="e">
        <f>#REF!</f>
        <v>#REF!</v>
      </c>
      <c r="D98" s="5" t="e">
        <f>#REF!</f>
        <v>#REF!</v>
      </c>
      <c r="E98" s="252">
        <v>1</v>
      </c>
      <c r="F98" s="249">
        <v>0</v>
      </c>
      <c r="G98" s="249">
        <v>0</v>
      </c>
      <c r="H98" s="249">
        <v>0</v>
      </c>
      <c r="I98" s="249">
        <v>0</v>
      </c>
      <c r="J98" s="249">
        <v>0</v>
      </c>
      <c r="K98" s="249">
        <v>0</v>
      </c>
      <c r="L98" s="274"/>
      <c r="M98" s="274"/>
      <c r="N98" s="255"/>
      <c r="O98" s="135"/>
      <c r="P98" s="135"/>
      <c r="Q98" s="131"/>
      <c r="R98" s="131"/>
      <c r="S98" s="11"/>
      <c r="T98" s="274">
        <v>168300</v>
      </c>
      <c r="U98" s="274">
        <f>+T98*0.19</f>
        <v>31977</v>
      </c>
      <c r="V98" s="274">
        <f>+T98+U98</f>
        <v>200277</v>
      </c>
      <c r="W98" s="39" t="s">
        <v>510</v>
      </c>
      <c r="X98" s="11" t="s">
        <v>2976</v>
      </c>
      <c r="Y98" s="11"/>
      <c r="Z98" s="274"/>
      <c r="AA98" s="274"/>
      <c r="AB98" s="274"/>
      <c r="AC98" s="52"/>
      <c r="AD98" s="22"/>
      <c r="AE98" s="39"/>
      <c r="AF98" s="118">
        <v>459704.40000000008</v>
      </c>
      <c r="AG98" s="118">
        <f>+AF98*0.19</f>
        <v>87343.83600000001</v>
      </c>
      <c r="AH98" s="170">
        <f>+AF98+AG98</f>
        <v>547048.23600000003</v>
      </c>
      <c r="AI98" s="52" t="s">
        <v>445</v>
      </c>
      <c r="AJ98" s="52" t="s">
        <v>4673</v>
      </c>
      <c r="AK98" s="39"/>
      <c r="AL98" s="118"/>
      <c r="AM98" s="152"/>
      <c r="AN98" s="181"/>
      <c r="AO98" s="131"/>
      <c r="AP98" s="131"/>
      <c r="AQ98" s="39"/>
      <c r="AR98" s="274"/>
      <c r="AS98" s="274"/>
      <c r="AT98" s="274"/>
      <c r="AU98" s="39"/>
      <c r="AV98" s="39"/>
      <c r="AW98" s="39"/>
      <c r="AX98" s="274"/>
      <c r="AY98" s="274"/>
      <c r="AZ98" s="274"/>
      <c r="BA98" s="39"/>
      <c r="BB98" s="62"/>
      <c r="BC98" s="39"/>
      <c r="BD98" s="274"/>
      <c r="BE98" s="274"/>
      <c r="BF98" s="274"/>
      <c r="BG98" s="39"/>
      <c r="BH98" s="39"/>
      <c r="BI98" s="39"/>
      <c r="BJ98" s="274"/>
      <c r="BK98" s="274"/>
      <c r="BL98" s="274"/>
      <c r="BM98" s="213"/>
      <c r="BN98" s="213"/>
      <c r="BO98" s="39"/>
      <c r="BP98" s="274"/>
      <c r="BQ98" s="274"/>
      <c r="BR98" s="274"/>
      <c r="BS98" s="39"/>
      <c r="BT98" s="39"/>
      <c r="BU98" s="39"/>
      <c r="BV98" s="212"/>
      <c r="BW98" s="221"/>
      <c r="BX98" s="273"/>
      <c r="BY98" s="213"/>
      <c r="BZ98" s="213"/>
      <c r="CA98" s="213"/>
      <c r="CB98" s="274"/>
      <c r="CC98" s="274"/>
      <c r="CD98" s="274"/>
      <c r="CE98" s="39"/>
      <c r="CF98" s="39"/>
      <c r="CG98" s="39"/>
      <c r="CH98" s="274"/>
      <c r="CI98" s="274"/>
      <c r="CJ98" s="274"/>
      <c r="CK98" s="39"/>
      <c r="CL98" s="39"/>
      <c r="CM98" s="39"/>
      <c r="CN98" s="39"/>
      <c r="CO98" s="39"/>
      <c r="CP98" s="11"/>
      <c r="CQ98" s="11"/>
      <c r="CR98" s="11"/>
      <c r="CS98" s="11"/>
      <c r="CT98" s="11"/>
      <c r="CU98" s="11"/>
      <c r="CV98" s="11"/>
      <c r="CW98" s="11"/>
      <c r="CX98" s="11"/>
      <c r="CY98" s="11"/>
      <c r="CZ98" s="11"/>
      <c r="DA98" s="11"/>
      <c r="DB98" s="11"/>
      <c r="DC98" s="11"/>
      <c r="DD98" s="11"/>
      <c r="DE98" s="11"/>
      <c r="DF98" s="11"/>
      <c r="DG98" s="11"/>
      <c r="DH98" s="11"/>
      <c r="DI98" s="11"/>
      <c r="DJ98" s="11"/>
      <c r="DK98" s="11"/>
      <c r="DL98" s="274"/>
      <c r="DM98" s="274"/>
      <c r="DN98" s="274"/>
      <c r="DO98" s="274"/>
      <c r="DP98" s="274"/>
      <c r="DQ98" s="274"/>
      <c r="DR98" s="274"/>
      <c r="DS98" s="274"/>
      <c r="DT98" s="274"/>
      <c r="DU98" s="274"/>
      <c r="DV98" s="274"/>
      <c r="DW98" s="274"/>
      <c r="DX98" s="274"/>
      <c r="DY98" s="274"/>
      <c r="DZ98" s="274"/>
      <c r="EA98" s="274"/>
      <c r="EB98" s="274"/>
      <c r="EC98" s="274"/>
      <c r="ED98" s="39">
        <f t="shared" si="37"/>
        <v>747325.23600000003</v>
      </c>
      <c r="EE98" s="30">
        <f t="shared" si="38"/>
        <v>2</v>
      </c>
      <c r="EF98" s="39">
        <f t="shared" si="39"/>
        <v>373662.61800000002</v>
      </c>
    </row>
    <row r="99" spans="1:136" x14ac:dyDescent="0.25">
      <c r="A99" s="25" t="e">
        <f>#REF!</f>
        <v>#REF!</v>
      </c>
      <c r="B99" s="50" t="e">
        <f>#REF!</f>
        <v>#REF!</v>
      </c>
      <c r="C99" s="5" t="e">
        <f>#REF!</f>
        <v>#REF!</v>
      </c>
      <c r="D99" s="5" t="e">
        <f>#REF!</f>
        <v>#REF!</v>
      </c>
      <c r="E99" s="252">
        <v>1</v>
      </c>
      <c r="F99" s="249">
        <v>0</v>
      </c>
      <c r="G99" s="249">
        <v>0</v>
      </c>
      <c r="H99" s="249">
        <v>293533.33333333331</v>
      </c>
      <c r="I99" s="249">
        <v>0</v>
      </c>
      <c r="J99" s="249">
        <v>0</v>
      </c>
      <c r="K99" s="249">
        <v>0</v>
      </c>
      <c r="L99" s="274">
        <f>H99</f>
        <v>293533.33333333331</v>
      </c>
      <c r="M99" s="274"/>
      <c r="N99" s="255"/>
      <c r="O99" s="135"/>
      <c r="P99" s="135"/>
      <c r="Q99" s="131"/>
      <c r="R99" s="131"/>
      <c r="S99" s="11"/>
      <c r="T99" s="274"/>
      <c r="U99" s="274"/>
      <c r="V99" s="274"/>
      <c r="W99" s="39"/>
      <c r="X99" s="11"/>
      <c r="Y99" s="11"/>
      <c r="Z99" s="274"/>
      <c r="AA99" s="274"/>
      <c r="AB99" s="274"/>
      <c r="AC99" s="52"/>
      <c r="AD99" s="22"/>
      <c r="AE99" s="39"/>
      <c r="AF99" s="118">
        <v>459704.40000000008</v>
      </c>
      <c r="AG99" s="118">
        <f>+AF99*0.19</f>
        <v>87343.83600000001</v>
      </c>
      <c r="AH99" s="170">
        <f>+AF99+AG99</f>
        <v>547048.23600000003</v>
      </c>
      <c r="AI99" s="52" t="s">
        <v>445</v>
      </c>
      <c r="AJ99" s="52" t="s">
        <v>4673</v>
      </c>
      <c r="AK99" s="39"/>
      <c r="AL99" s="118"/>
      <c r="AM99" s="152"/>
      <c r="AN99" s="181"/>
      <c r="AO99" s="131"/>
      <c r="AP99" s="131"/>
      <c r="AQ99" s="39"/>
      <c r="AR99" s="274"/>
      <c r="AS99" s="274"/>
      <c r="AT99" s="274"/>
      <c r="AU99" s="39"/>
      <c r="AV99" s="39"/>
      <c r="AW99" s="39"/>
      <c r="AX99" s="274"/>
      <c r="AY99" s="274"/>
      <c r="AZ99" s="274"/>
      <c r="BA99" s="39"/>
      <c r="BB99" s="62"/>
      <c r="BC99" s="39"/>
      <c r="BD99" s="274"/>
      <c r="BE99" s="274"/>
      <c r="BF99" s="274"/>
      <c r="BG99" s="39"/>
      <c r="BH99" s="39"/>
      <c r="BI99" s="39"/>
      <c r="BJ99" s="274"/>
      <c r="BK99" s="274"/>
      <c r="BL99" s="274"/>
      <c r="BM99" s="213"/>
      <c r="BN99" s="213"/>
      <c r="BO99" s="39"/>
      <c r="BP99" s="274"/>
      <c r="BQ99" s="274"/>
      <c r="BR99" s="274"/>
      <c r="BS99" s="39"/>
      <c r="BT99" s="39"/>
      <c r="BU99" s="39"/>
      <c r="BV99" s="212"/>
      <c r="BW99" s="221"/>
      <c r="BX99" s="273"/>
      <c r="BY99" s="213"/>
      <c r="BZ99" s="213"/>
      <c r="CA99" s="213"/>
      <c r="CB99" s="274"/>
      <c r="CC99" s="274"/>
      <c r="CD99" s="274"/>
      <c r="CE99" s="39"/>
      <c r="CF99" s="39"/>
      <c r="CG99" s="39"/>
      <c r="CH99" s="274"/>
      <c r="CI99" s="274"/>
      <c r="CJ99" s="274"/>
      <c r="CK99" s="39"/>
      <c r="CL99" s="39"/>
      <c r="CM99" s="39"/>
      <c r="CN99" s="39"/>
      <c r="CO99" s="39"/>
      <c r="CP99" s="11"/>
      <c r="CQ99" s="11"/>
      <c r="CR99" s="11"/>
      <c r="CS99" s="11"/>
      <c r="CT99" s="11"/>
      <c r="CU99" s="11"/>
      <c r="CV99" s="11"/>
      <c r="CW99" s="11"/>
      <c r="CX99" s="11"/>
      <c r="CY99" s="11"/>
      <c r="CZ99" s="11"/>
      <c r="DA99" s="11"/>
      <c r="DB99" s="11"/>
      <c r="DC99" s="11"/>
      <c r="DD99" s="11"/>
      <c r="DE99" s="11"/>
      <c r="DF99" s="11"/>
      <c r="DG99" s="11"/>
      <c r="DH99" s="11"/>
      <c r="DI99" s="11"/>
      <c r="DJ99" s="11"/>
      <c r="DK99" s="11"/>
      <c r="DL99" s="274"/>
      <c r="DM99" s="274"/>
      <c r="DN99" s="274"/>
      <c r="DO99" s="274"/>
      <c r="DP99" s="274"/>
      <c r="DQ99" s="274"/>
      <c r="DR99" s="274"/>
      <c r="DS99" s="274"/>
      <c r="DT99" s="274"/>
      <c r="DU99" s="274"/>
      <c r="DV99" s="274"/>
      <c r="DW99" s="274"/>
      <c r="DX99" s="274"/>
      <c r="DY99" s="274"/>
      <c r="DZ99" s="274"/>
      <c r="EA99" s="274"/>
      <c r="EB99" s="274"/>
      <c r="EC99" s="274"/>
      <c r="ED99" s="39">
        <f t="shared" si="37"/>
        <v>547048.23600000003</v>
      </c>
      <c r="EE99" s="30">
        <f t="shared" si="38"/>
        <v>1</v>
      </c>
      <c r="EF99" s="39">
        <f t="shared" si="39"/>
        <v>547048.23600000003</v>
      </c>
    </row>
    <row r="100" spans="1:136" x14ac:dyDescent="0.25">
      <c r="A100" s="25" t="e">
        <f>#REF!</f>
        <v>#REF!</v>
      </c>
      <c r="B100" s="50" t="e">
        <f>#REF!</f>
        <v>#REF!</v>
      </c>
      <c r="C100" s="5" t="e">
        <f>#REF!</f>
        <v>#REF!</v>
      </c>
      <c r="D100" s="5" t="e">
        <f>#REF!</f>
        <v>#REF!</v>
      </c>
      <c r="E100" s="252">
        <v>1</v>
      </c>
      <c r="F100" s="249">
        <v>0</v>
      </c>
      <c r="G100" s="249">
        <v>0</v>
      </c>
      <c r="H100" s="249">
        <v>0</v>
      </c>
      <c r="I100" s="249">
        <v>0</v>
      </c>
      <c r="J100" s="249">
        <v>0</v>
      </c>
      <c r="K100" s="249">
        <v>0</v>
      </c>
      <c r="L100" s="274"/>
      <c r="M100" s="274"/>
      <c r="N100" s="255"/>
      <c r="O100" s="135"/>
      <c r="P100" s="135"/>
      <c r="Q100" s="131"/>
      <c r="R100" s="131"/>
      <c r="S100" s="11"/>
      <c r="T100" s="274"/>
      <c r="U100" s="274"/>
      <c r="V100" s="274"/>
      <c r="W100" s="39"/>
      <c r="X100" s="11"/>
      <c r="Y100" s="11"/>
      <c r="Z100" s="274"/>
      <c r="AA100" s="274"/>
      <c r="AB100" s="274"/>
      <c r="AC100" s="52"/>
      <c r="AD100" s="22"/>
      <c r="AE100" s="39"/>
      <c r="AF100" s="274"/>
      <c r="AG100" s="274"/>
      <c r="AH100" s="113"/>
      <c r="AI100" s="22"/>
      <c r="AJ100" s="39"/>
      <c r="AK100" s="39"/>
      <c r="AL100" s="118"/>
      <c r="AM100" s="152"/>
      <c r="AN100" s="181"/>
      <c r="AO100" s="131"/>
      <c r="AP100" s="131"/>
      <c r="AQ100" s="39"/>
      <c r="AR100" s="274"/>
      <c r="AS100" s="274"/>
      <c r="AT100" s="274"/>
      <c r="AU100" s="39"/>
      <c r="AV100" s="39"/>
      <c r="AW100" s="39"/>
      <c r="AX100" s="274"/>
      <c r="AY100" s="274"/>
      <c r="AZ100" s="274"/>
      <c r="BA100" s="39"/>
      <c r="BB100" s="62"/>
      <c r="BC100" s="39"/>
      <c r="BD100" s="274"/>
      <c r="BE100" s="274"/>
      <c r="BF100" s="274"/>
      <c r="BG100" s="39"/>
      <c r="BH100" s="39"/>
      <c r="BI100" s="39"/>
      <c r="BJ100" s="274"/>
      <c r="BK100" s="274"/>
      <c r="BL100" s="274"/>
      <c r="BM100" s="213"/>
      <c r="BN100" s="213"/>
      <c r="BO100" s="39"/>
      <c r="BP100" s="274">
        <v>236000</v>
      </c>
      <c r="BQ100" s="274">
        <f t="shared" ref="BQ100:BQ107" si="42">+BP100*19%</f>
        <v>44840</v>
      </c>
      <c r="BR100" s="274">
        <f t="shared" ref="BR100:BR107" si="43">+BQ100+BP100</f>
        <v>280840</v>
      </c>
      <c r="BS100" s="39"/>
      <c r="BT100" s="39"/>
      <c r="BU100" s="39"/>
      <c r="BV100" s="212"/>
      <c r="BW100" s="221"/>
      <c r="BX100" s="273"/>
      <c r="BY100" s="213"/>
      <c r="BZ100" s="213"/>
      <c r="CA100" s="213"/>
      <c r="CB100" s="274"/>
      <c r="CC100" s="274"/>
      <c r="CD100" s="274"/>
      <c r="CE100" s="39"/>
      <c r="CF100" s="39"/>
      <c r="CG100" s="39"/>
      <c r="CH100" s="274"/>
      <c r="CI100" s="274"/>
      <c r="CJ100" s="274"/>
      <c r="CK100" s="39"/>
      <c r="CL100" s="39"/>
      <c r="CM100" s="39"/>
      <c r="CN100" s="39"/>
      <c r="CO100" s="39"/>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274"/>
      <c r="DM100" s="274"/>
      <c r="DN100" s="274"/>
      <c r="DO100" s="274"/>
      <c r="DP100" s="274"/>
      <c r="DQ100" s="274"/>
      <c r="DR100" s="274"/>
      <c r="DS100" s="274"/>
      <c r="DT100" s="274"/>
      <c r="DU100" s="274"/>
      <c r="DV100" s="274"/>
      <c r="DW100" s="274"/>
      <c r="DX100" s="274"/>
      <c r="DY100" s="274"/>
      <c r="DZ100" s="274"/>
      <c r="EA100" s="274"/>
      <c r="EB100" s="274"/>
      <c r="EC100" s="274"/>
      <c r="ED100" s="39">
        <f t="shared" si="37"/>
        <v>280840</v>
      </c>
      <c r="EE100" s="30">
        <f t="shared" si="38"/>
        <v>1</v>
      </c>
      <c r="EF100" s="39">
        <f t="shared" si="39"/>
        <v>280840</v>
      </c>
    </row>
    <row r="101" spans="1:136" x14ac:dyDescent="0.25">
      <c r="A101" s="25" t="e">
        <f>#REF!</f>
        <v>#REF!</v>
      </c>
      <c r="B101" s="50" t="e">
        <f>#REF!</f>
        <v>#REF!</v>
      </c>
      <c r="C101" s="5" t="e">
        <f>#REF!</f>
        <v>#REF!</v>
      </c>
      <c r="D101" s="5" t="e">
        <f>#REF!</f>
        <v>#REF!</v>
      </c>
      <c r="E101" s="252">
        <v>1</v>
      </c>
      <c r="F101" s="249">
        <v>0</v>
      </c>
      <c r="G101" s="249">
        <v>0</v>
      </c>
      <c r="H101" s="249">
        <v>0</v>
      </c>
      <c r="I101" s="249">
        <v>0</v>
      </c>
      <c r="J101" s="249">
        <v>0</v>
      </c>
      <c r="K101" s="249">
        <v>0</v>
      </c>
      <c r="L101" s="274"/>
      <c r="M101" s="274"/>
      <c r="N101" s="255">
        <v>600000</v>
      </c>
      <c r="O101" s="135">
        <f t="shared" ref="O101:O107" si="44">+N101*0.19</f>
        <v>114000</v>
      </c>
      <c r="P101" s="135">
        <f t="shared" ref="P101:P107" si="45">+N101+O101</f>
        <v>714000</v>
      </c>
      <c r="Q101" s="131"/>
      <c r="R101" s="131"/>
      <c r="S101" s="11"/>
      <c r="T101" s="274"/>
      <c r="U101" s="274"/>
      <c r="V101" s="274"/>
      <c r="W101" s="39"/>
      <c r="X101" s="11"/>
      <c r="Y101" s="11"/>
      <c r="Z101" s="274"/>
      <c r="AA101" s="274"/>
      <c r="AB101" s="274"/>
      <c r="AC101" s="52"/>
      <c r="AD101" s="22"/>
      <c r="AE101" s="39"/>
      <c r="AF101" s="274"/>
      <c r="AG101" s="274"/>
      <c r="AH101" s="171"/>
      <c r="AI101" s="4"/>
      <c r="AJ101" s="39"/>
      <c r="AK101" s="39"/>
      <c r="AL101" s="118"/>
      <c r="AM101" s="152"/>
      <c r="AN101" s="181"/>
      <c r="AO101" s="131"/>
      <c r="AP101" s="131"/>
      <c r="AQ101" s="39"/>
      <c r="AR101" s="274"/>
      <c r="AS101" s="274"/>
      <c r="AT101" s="274"/>
      <c r="AU101" s="39"/>
      <c r="AV101" s="39"/>
      <c r="AW101" s="39"/>
      <c r="AX101" s="274"/>
      <c r="AY101" s="274"/>
      <c r="AZ101" s="274"/>
      <c r="BA101" s="39"/>
      <c r="BB101" s="62"/>
      <c r="BC101" s="39"/>
      <c r="BD101" s="274"/>
      <c r="BE101" s="274"/>
      <c r="BF101" s="274"/>
      <c r="BG101" s="39"/>
      <c r="BH101" s="39"/>
      <c r="BI101" s="39"/>
      <c r="BJ101" s="274"/>
      <c r="BK101" s="274"/>
      <c r="BL101" s="274"/>
      <c r="BM101" s="213"/>
      <c r="BN101" s="213"/>
      <c r="BO101" s="39"/>
      <c r="BP101" s="274">
        <v>465000</v>
      </c>
      <c r="BQ101" s="274">
        <f t="shared" si="42"/>
        <v>88350</v>
      </c>
      <c r="BR101" s="274">
        <f t="shared" si="43"/>
        <v>553350</v>
      </c>
      <c r="BS101" s="39"/>
      <c r="BT101" s="39"/>
      <c r="BU101" s="39"/>
      <c r="BV101" s="212"/>
      <c r="BW101" s="221"/>
      <c r="BX101" s="273"/>
      <c r="BY101" s="213"/>
      <c r="BZ101" s="213"/>
      <c r="CA101" s="213"/>
      <c r="CB101" s="274"/>
      <c r="CC101" s="274"/>
      <c r="CD101" s="274"/>
      <c r="CE101" s="39"/>
      <c r="CF101" s="39"/>
      <c r="CG101" s="39"/>
      <c r="CH101" s="274"/>
      <c r="CI101" s="274"/>
      <c r="CJ101" s="274"/>
      <c r="CK101" s="39"/>
      <c r="CL101" s="39"/>
      <c r="CM101" s="39"/>
      <c r="CN101" s="39"/>
      <c r="CO101" s="39"/>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274"/>
      <c r="DM101" s="274"/>
      <c r="DN101" s="274"/>
      <c r="DO101" s="274"/>
      <c r="DP101" s="274"/>
      <c r="DQ101" s="274"/>
      <c r="DR101" s="274"/>
      <c r="DS101" s="274"/>
      <c r="DT101" s="274"/>
      <c r="DU101" s="274"/>
      <c r="DV101" s="274"/>
      <c r="DW101" s="274"/>
      <c r="DX101" s="274"/>
      <c r="DY101" s="274"/>
      <c r="DZ101" s="274"/>
      <c r="EA101" s="274"/>
      <c r="EB101" s="274"/>
      <c r="EC101" s="274"/>
      <c r="ED101" s="39">
        <f t="shared" si="37"/>
        <v>1267350</v>
      </c>
      <c r="EE101" s="30">
        <f t="shared" si="38"/>
        <v>2</v>
      </c>
      <c r="EF101" s="39">
        <f t="shared" si="39"/>
        <v>633675</v>
      </c>
    </row>
    <row r="102" spans="1:136" x14ac:dyDescent="0.25">
      <c r="A102" s="25" t="e">
        <f>#REF!</f>
        <v>#REF!</v>
      </c>
      <c r="B102" s="50" t="e">
        <f>#REF!</f>
        <v>#REF!</v>
      </c>
      <c r="C102" s="5" t="e">
        <f>#REF!</f>
        <v>#REF!</v>
      </c>
      <c r="D102" s="5" t="e">
        <f>#REF!</f>
        <v>#REF!</v>
      </c>
      <c r="E102" s="252">
        <v>1</v>
      </c>
      <c r="F102" s="249">
        <v>0</v>
      </c>
      <c r="G102" s="249">
        <v>0</v>
      </c>
      <c r="H102" s="249">
        <v>0</v>
      </c>
      <c r="I102" s="249">
        <v>0</v>
      </c>
      <c r="J102" s="249">
        <v>0</v>
      </c>
      <c r="K102" s="249">
        <v>0</v>
      </c>
      <c r="L102" s="274"/>
      <c r="M102" s="274"/>
      <c r="N102" s="255">
        <v>18500</v>
      </c>
      <c r="O102" s="135">
        <f t="shared" si="44"/>
        <v>3515</v>
      </c>
      <c r="P102" s="135">
        <f t="shared" si="45"/>
        <v>22015</v>
      </c>
      <c r="Q102" s="131"/>
      <c r="R102" s="131"/>
      <c r="S102" s="11"/>
      <c r="T102" s="274"/>
      <c r="U102" s="274"/>
      <c r="V102" s="274"/>
      <c r="W102" s="39"/>
      <c r="X102" s="11"/>
      <c r="Y102" s="11"/>
      <c r="Z102" s="274"/>
      <c r="AA102" s="274"/>
      <c r="AB102" s="274"/>
      <c r="AC102" s="52"/>
      <c r="AD102" s="22"/>
      <c r="AE102" s="39"/>
      <c r="AF102" s="274"/>
      <c r="AG102" s="274"/>
      <c r="AH102" s="113"/>
      <c r="AI102" s="4"/>
      <c r="AJ102" s="39"/>
      <c r="AK102" s="39"/>
      <c r="AL102" s="118"/>
      <c r="AM102" s="152"/>
      <c r="AN102" s="181"/>
      <c r="AO102" s="131"/>
      <c r="AP102" s="131"/>
      <c r="AQ102" s="39"/>
      <c r="AR102" s="274"/>
      <c r="AS102" s="274"/>
      <c r="AT102" s="274"/>
      <c r="AU102" s="39"/>
      <c r="AV102" s="39"/>
      <c r="AW102" s="39"/>
      <c r="AX102" s="274"/>
      <c r="AY102" s="274"/>
      <c r="AZ102" s="274"/>
      <c r="BA102" s="39"/>
      <c r="BB102" s="62"/>
      <c r="BC102" s="39"/>
      <c r="BD102" s="274"/>
      <c r="BE102" s="274"/>
      <c r="BF102" s="274"/>
      <c r="BG102" s="39"/>
      <c r="BH102" s="39"/>
      <c r="BI102" s="39"/>
      <c r="BJ102" s="274"/>
      <c r="BK102" s="274"/>
      <c r="BL102" s="274"/>
      <c r="BM102" s="213"/>
      <c r="BN102" s="213"/>
      <c r="BO102" s="39"/>
      <c r="BP102" s="274">
        <v>652000</v>
      </c>
      <c r="BQ102" s="274">
        <f t="shared" si="42"/>
        <v>123880</v>
      </c>
      <c r="BR102" s="274">
        <f t="shared" si="43"/>
        <v>775880</v>
      </c>
      <c r="BS102" s="39"/>
      <c r="BT102" s="39"/>
      <c r="BU102" s="39"/>
      <c r="BV102" s="212"/>
      <c r="BW102" s="221"/>
      <c r="BX102" s="273"/>
      <c r="BY102" s="213"/>
      <c r="BZ102" s="213"/>
      <c r="CA102" s="213"/>
      <c r="CB102" s="274"/>
      <c r="CC102" s="274"/>
      <c r="CD102" s="274"/>
      <c r="CE102" s="39"/>
      <c r="CF102" s="39"/>
      <c r="CG102" s="39"/>
      <c r="CH102" s="274"/>
      <c r="CI102" s="274"/>
      <c r="CJ102" s="274"/>
      <c r="CK102" s="39"/>
      <c r="CL102" s="39"/>
      <c r="CM102" s="39"/>
      <c r="CN102" s="39"/>
      <c r="CO102" s="39"/>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274"/>
      <c r="DM102" s="274"/>
      <c r="DN102" s="274"/>
      <c r="DO102" s="274"/>
      <c r="DP102" s="274"/>
      <c r="DQ102" s="274"/>
      <c r="DR102" s="274"/>
      <c r="DS102" s="274"/>
      <c r="DT102" s="274"/>
      <c r="DU102" s="274"/>
      <c r="DV102" s="274"/>
      <c r="DW102" s="274"/>
      <c r="DX102" s="274"/>
      <c r="DY102" s="274"/>
      <c r="DZ102" s="274"/>
      <c r="EA102" s="274"/>
      <c r="EB102" s="274"/>
      <c r="EC102" s="274"/>
      <c r="ED102" s="39">
        <f t="shared" si="37"/>
        <v>797895</v>
      </c>
      <c r="EE102" s="30">
        <f t="shared" si="38"/>
        <v>2</v>
      </c>
      <c r="EF102" s="39">
        <f t="shared" si="39"/>
        <v>398947.5</v>
      </c>
    </row>
    <row r="103" spans="1:136" x14ac:dyDescent="0.25">
      <c r="A103" s="25" t="e">
        <f>#REF!</f>
        <v>#REF!</v>
      </c>
      <c r="B103" s="50" t="e">
        <f>#REF!</f>
        <v>#REF!</v>
      </c>
      <c r="C103" s="5" t="e">
        <f>#REF!</f>
        <v>#REF!</v>
      </c>
      <c r="D103" s="5" t="e">
        <f>#REF!</f>
        <v>#REF!</v>
      </c>
      <c r="E103" s="252">
        <v>1</v>
      </c>
      <c r="F103" s="249">
        <v>359558.5</v>
      </c>
      <c r="G103" s="249">
        <v>354144</v>
      </c>
      <c r="H103" s="249">
        <v>362156.66666666669</v>
      </c>
      <c r="I103" s="249">
        <v>361998</v>
      </c>
      <c r="J103" s="249">
        <v>448172.44500000001</v>
      </c>
      <c r="K103" s="249">
        <v>446250</v>
      </c>
      <c r="L103" s="274">
        <f>AVERAGE(F103,H103,J103)</f>
        <v>389962.53722222225</v>
      </c>
      <c r="M103" s="274">
        <f>AVERAGE(G103,I103,K103)*E1</f>
        <v>399087.92</v>
      </c>
      <c r="N103" s="255">
        <v>220000</v>
      </c>
      <c r="O103" s="135">
        <f t="shared" si="44"/>
        <v>41800</v>
      </c>
      <c r="P103" s="135">
        <f t="shared" si="45"/>
        <v>261800</v>
      </c>
      <c r="Q103" s="131"/>
      <c r="R103" s="131"/>
      <c r="S103" s="11"/>
      <c r="T103" s="274"/>
      <c r="U103" s="274"/>
      <c r="V103" s="274"/>
      <c r="W103" s="39"/>
      <c r="X103" s="11"/>
      <c r="Y103" s="11"/>
      <c r="Z103" s="274"/>
      <c r="AA103" s="274"/>
      <c r="AB103" s="274"/>
      <c r="AC103" s="52"/>
      <c r="AD103" s="22"/>
      <c r="AE103" s="39"/>
      <c r="AF103" s="274"/>
      <c r="AG103" s="274"/>
      <c r="AH103" s="113"/>
      <c r="AI103" s="4"/>
      <c r="AJ103" s="39"/>
      <c r="AK103" s="39"/>
      <c r="AL103" s="118"/>
      <c r="AM103" s="152"/>
      <c r="AN103" s="181"/>
      <c r="AO103" s="131"/>
      <c r="AP103" s="131"/>
      <c r="AQ103" s="39"/>
      <c r="AR103" s="274"/>
      <c r="AS103" s="274"/>
      <c r="AT103" s="274"/>
      <c r="AU103" s="39"/>
      <c r="AV103" s="39"/>
      <c r="AW103" s="39"/>
      <c r="AX103" s="274"/>
      <c r="AY103" s="274"/>
      <c r="AZ103" s="274"/>
      <c r="BA103" s="39"/>
      <c r="BB103" s="62"/>
      <c r="BC103" s="39"/>
      <c r="BD103" s="274"/>
      <c r="BE103" s="274"/>
      <c r="BF103" s="274"/>
      <c r="BG103" s="39"/>
      <c r="BH103" s="39"/>
      <c r="BI103" s="39"/>
      <c r="BJ103" s="274"/>
      <c r="BK103" s="274"/>
      <c r="BL103" s="274"/>
      <c r="BM103" s="213"/>
      <c r="BN103" s="213"/>
      <c r="BO103" s="39"/>
      <c r="BP103" s="274">
        <v>396000</v>
      </c>
      <c r="BQ103" s="274">
        <f t="shared" si="42"/>
        <v>75240</v>
      </c>
      <c r="BR103" s="274">
        <f t="shared" si="43"/>
        <v>471240</v>
      </c>
      <c r="BS103" s="39"/>
      <c r="BT103" s="39"/>
      <c r="BU103" s="39"/>
      <c r="BV103" s="212"/>
      <c r="BW103" s="221"/>
      <c r="BX103" s="273"/>
      <c r="BY103" s="213"/>
      <c r="BZ103" s="213"/>
      <c r="CA103" s="213"/>
      <c r="CB103" s="274"/>
      <c r="CC103" s="274"/>
      <c r="CD103" s="274"/>
      <c r="CE103" s="39"/>
      <c r="CF103" s="39"/>
      <c r="CG103" s="39"/>
      <c r="CH103" s="274"/>
      <c r="CI103" s="274"/>
      <c r="CJ103" s="274"/>
      <c r="CK103" s="39"/>
      <c r="CL103" s="39"/>
      <c r="CM103" s="39"/>
      <c r="CN103" s="39"/>
      <c r="CO103" s="39"/>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274"/>
      <c r="DM103" s="274"/>
      <c r="DN103" s="274"/>
      <c r="DO103" s="274"/>
      <c r="DP103" s="274"/>
      <c r="DQ103" s="274"/>
      <c r="DR103" s="274"/>
      <c r="DS103" s="274"/>
      <c r="DT103" s="274"/>
      <c r="DU103" s="274"/>
      <c r="DV103" s="274"/>
      <c r="DW103" s="274"/>
      <c r="DX103" s="274"/>
      <c r="DY103" s="274"/>
      <c r="DZ103" s="274"/>
      <c r="EA103" s="274"/>
      <c r="EB103" s="274"/>
      <c r="EC103" s="274"/>
      <c r="ED103" s="39">
        <f t="shared" si="37"/>
        <v>1132127.92</v>
      </c>
      <c r="EE103" s="30">
        <f t="shared" si="38"/>
        <v>3</v>
      </c>
      <c r="EF103" s="39">
        <f t="shared" si="39"/>
        <v>377375.97333333333</v>
      </c>
    </row>
    <row r="104" spans="1:136" x14ac:dyDescent="0.25">
      <c r="A104" s="25" t="e">
        <f>#REF!</f>
        <v>#REF!</v>
      </c>
      <c r="B104" s="50" t="e">
        <f>#REF!</f>
        <v>#REF!</v>
      </c>
      <c r="C104" s="5" t="e">
        <f>#REF!</f>
        <v>#REF!</v>
      </c>
      <c r="D104" s="5" t="e">
        <f>#REF!</f>
        <v>#REF!</v>
      </c>
      <c r="E104" s="252">
        <v>1</v>
      </c>
      <c r="F104" s="249">
        <v>373898</v>
      </c>
      <c r="G104" s="249">
        <v>362593</v>
      </c>
      <c r="H104" s="249">
        <v>335493.46516192344</v>
      </c>
      <c r="I104" s="249">
        <v>335342</v>
      </c>
      <c r="J104" s="249">
        <v>289269.00800000003</v>
      </c>
      <c r="K104" s="249">
        <v>0</v>
      </c>
      <c r="L104" s="274">
        <f>AVERAGE(F104,H104,J104)</f>
        <v>332886.8243873078</v>
      </c>
      <c r="M104" s="274">
        <f>AVERAGE(G104,I104)*E1</f>
        <v>359436.52500000002</v>
      </c>
      <c r="N104" s="255">
        <v>260000</v>
      </c>
      <c r="O104" s="135">
        <f t="shared" si="44"/>
        <v>49400</v>
      </c>
      <c r="P104" s="135">
        <f t="shared" si="45"/>
        <v>309400</v>
      </c>
      <c r="Q104" s="131"/>
      <c r="R104" s="131"/>
      <c r="S104" s="11"/>
      <c r="T104" s="274">
        <v>242000.00000000003</v>
      </c>
      <c r="U104" s="274">
        <f>+T104*0.19</f>
        <v>45980.000000000007</v>
      </c>
      <c r="V104" s="274">
        <f>+T104+U104</f>
        <v>287980.00000000006</v>
      </c>
      <c r="W104" s="39" t="s">
        <v>4764</v>
      </c>
      <c r="X104" s="11" t="s">
        <v>2956</v>
      </c>
      <c r="Y104" s="11"/>
      <c r="Z104" s="274"/>
      <c r="AA104" s="274"/>
      <c r="AB104" s="274"/>
      <c r="AC104" s="52"/>
      <c r="AD104" s="22"/>
      <c r="AE104" s="39"/>
      <c r="AF104" s="274"/>
      <c r="AG104" s="274"/>
      <c r="AH104" s="113"/>
      <c r="AI104" s="4"/>
      <c r="AJ104" s="39"/>
      <c r="AK104" s="39"/>
      <c r="AL104" s="118"/>
      <c r="AM104" s="152"/>
      <c r="AN104" s="181"/>
      <c r="AO104" s="131"/>
      <c r="AP104" s="131"/>
      <c r="AQ104" s="39"/>
      <c r="AR104" s="274"/>
      <c r="AS104" s="274"/>
      <c r="AT104" s="274"/>
      <c r="AU104" s="39"/>
      <c r="AV104" s="39"/>
      <c r="AW104" s="39"/>
      <c r="AX104" s="274"/>
      <c r="AY104" s="274"/>
      <c r="AZ104" s="274"/>
      <c r="BA104" s="39"/>
      <c r="BB104" s="62"/>
      <c r="BC104" s="39"/>
      <c r="BD104" s="274"/>
      <c r="BE104" s="274"/>
      <c r="BF104" s="274"/>
      <c r="BG104" s="39"/>
      <c r="BH104" s="39"/>
      <c r="BI104" s="39"/>
      <c r="BJ104" s="274"/>
      <c r="BK104" s="274"/>
      <c r="BL104" s="274"/>
      <c r="BM104" s="213"/>
      <c r="BN104" s="213"/>
      <c r="BO104" s="39"/>
      <c r="BP104" s="274">
        <v>265000</v>
      </c>
      <c r="BQ104" s="274">
        <f t="shared" si="42"/>
        <v>50350</v>
      </c>
      <c r="BR104" s="274">
        <f t="shared" si="43"/>
        <v>315350</v>
      </c>
      <c r="BS104" s="39"/>
      <c r="BT104" s="39"/>
      <c r="BU104" s="39"/>
      <c r="BV104" s="212"/>
      <c r="BW104" s="221"/>
      <c r="BX104" s="273"/>
      <c r="BY104" s="213"/>
      <c r="BZ104" s="213"/>
      <c r="CA104" s="213"/>
      <c r="CB104" s="274"/>
      <c r="CC104" s="274"/>
      <c r="CD104" s="274"/>
      <c r="CE104" s="39"/>
      <c r="CF104" s="39"/>
      <c r="CG104" s="39"/>
      <c r="CH104" s="274"/>
      <c r="CI104" s="274"/>
      <c r="CJ104" s="274"/>
      <c r="CK104" s="39"/>
      <c r="CL104" s="39"/>
      <c r="CM104" s="39"/>
      <c r="CN104" s="39"/>
      <c r="CO104" s="39"/>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274"/>
      <c r="DM104" s="274"/>
      <c r="DN104" s="274"/>
      <c r="DO104" s="274"/>
      <c r="DP104" s="274"/>
      <c r="DQ104" s="274"/>
      <c r="DR104" s="274"/>
      <c r="DS104" s="274"/>
      <c r="DT104" s="274"/>
      <c r="DU104" s="274"/>
      <c r="DV104" s="274"/>
      <c r="DW104" s="274"/>
      <c r="DX104" s="274"/>
      <c r="DY104" s="274"/>
      <c r="DZ104" s="274"/>
      <c r="EA104" s="274"/>
      <c r="EB104" s="274"/>
      <c r="EC104" s="274"/>
      <c r="ED104" s="39">
        <f t="shared" si="37"/>
        <v>1272166.5250000001</v>
      </c>
      <c r="EE104" s="30">
        <f t="shared" si="38"/>
        <v>4</v>
      </c>
      <c r="EF104" s="39">
        <f t="shared" si="39"/>
        <v>318041.63125000003</v>
      </c>
    </row>
    <row r="105" spans="1:136" x14ac:dyDescent="0.25">
      <c r="A105" s="25" t="e">
        <f>#REF!</f>
        <v>#REF!</v>
      </c>
      <c r="B105" s="50" t="e">
        <f>#REF!</f>
        <v>#REF!</v>
      </c>
      <c r="C105" s="5" t="e">
        <f>#REF!</f>
        <v>#REF!</v>
      </c>
      <c r="D105" s="5" t="e">
        <f>#REF!</f>
        <v>#REF!</v>
      </c>
      <c r="E105" s="252">
        <v>1</v>
      </c>
      <c r="F105" s="249">
        <v>292443.69</v>
      </c>
      <c r="G105" s="249">
        <v>287980</v>
      </c>
      <c r="H105" s="249">
        <v>279729.33333333331</v>
      </c>
      <c r="I105" s="249">
        <v>265608</v>
      </c>
      <c r="J105" s="249">
        <v>204407.25200000001</v>
      </c>
      <c r="K105" s="249">
        <v>0</v>
      </c>
      <c r="L105" s="274">
        <f>AVERAGE(F105,H105,J105)</f>
        <v>258860.09177777776</v>
      </c>
      <c r="M105" s="274">
        <f>AVERAGE(G105,I105)*E1</f>
        <v>285097.82</v>
      </c>
      <c r="N105" s="255">
        <v>259200</v>
      </c>
      <c r="O105" s="135">
        <f t="shared" si="44"/>
        <v>49248</v>
      </c>
      <c r="P105" s="135">
        <f t="shared" si="45"/>
        <v>308448</v>
      </c>
      <c r="Q105" s="131"/>
      <c r="R105" s="131"/>
      <c r="S105" s="11"/>
      <c r="T105" s="274">
        <v>3960.0000000000005</v>
      </c>
      <c r="U105" s="274">
        <f>+T105*0.19</f>
        <v>752.40000000000009</v>
      </c>
      <c r="V105" s="274">
        <f>+T105+U105</f>
        <v>4712.4000000000005</v>
      </c>
      <c r="W105" s="39" t="s">
        <v>510</v>
      </c>
      <c r="X105" s="11" t="s">
        <v>3180</v>
      </c>
      <c r="Y105" s="11"/>
      <c r="Z105" s="274"/>
      <c r="AA105" s="274"/>
      <c r="AB105" s="274"/>
      <c r="AC105" s="52"/>
      <c r="AD105" s="22"/>
      <c r="AE105" s="39"/>
      <c r="AF105" s="274"/>
      <c r="AG105" s="274"/>
      <c r="AH105" s="113"/>
      <c r="AI105" s="22"/>
      <c r="AJ105" s="39"/>
      <c r="AK105" s="39"/>
      <c r="AL105" s="118"/>
      <c r="AM105" s="152"/>
      <c r="AN105" s="181"/>
      <c r="AO105" s="131"/>
      <c r="AP105" s="131"/>
      <c r="AQ105" s="39"/>
      <c r="AR105" s="274"/>
      <c r="AS105" s="274"/>
      <c r="AT105" s="274"/>
      <c r="AU105" s="39"/>
      <c r="AV105" s="39"/>
      <c r="AW105" s="39"/>
      <c r="AX105" s="274"/>
      <c r="AY105" s="274"/>
      <c r="AZ105" s="274"/>
      <c r="BA105" s="39"/>
      <c r="BB105" s="62"/>
      <c r="BC105" s="39"/>
      <c r="BD105" s="274"/>
      <c r="BE105" s="274"/>
      <c r="BF105" s="274"/>
      <c r="BG105" s="39"/>
      <c r="BH105" s="39"/>
      <c r="BI105" s="39"/>
      <c r="BJ105" s="274"/>
      <c r="BK105" s="274"/>
      <c r="BL105" s="274"/>
      <c r="BM105" s="213"/>
      <c r="BN105" s="213"/>
      <c r="BO105" s="39"/>
      <c r="BP105" s="274">
        <f>5500*72</f>
        <v>396000</v>
      </c>
      <c r="BQ105" s="274">
        <f t="shared" si="42"/>
        <v>75240</v>
      </c>
      <c r="BR105" s="274">
        <f t="shared" si="43"/>
        <v>471240</v>
      </c>
      <c r="BS105" s="39"/>
      <c r="BT105" s="39"/>
      <c r="BU105" s="39"/>
      <c r="BV105" s="212"/>
      <c r="BW105" s="221"/>
      <c r="BX105" s="273"/>
      <c r="BY105" s="213"/>
      <c r="BZ105" s="213"/>
      <c r="CA105" s="213"/>
      <c r="CB105" s="274"/>
      <c r="CC105" s="274"/>
      <c r="CD105" s="274"/>
      <c r="CE105" s="39"/>
      <c r="CF105" s="39"/>
      <c r="CG105" s="39"/>
      <c r="CH105" s="274"/>
      <c r="CI105" s="274"/>
      <c r="CJ105" s="274"/>
      <c r="CK105" s="39"/>
      <c r="CL105" s="39"/>
      <c r="CM105" s="39"/>
      <c r="CN105" s="39"/>
      <c r="CO105" s="39"/>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274"/>
      <c r="DM105" s="274"/>
      <c r="DN105" s="274"/>
      <c r="DO105" s="274"/>
      <c r="DP105" s="274"/>
      <c r="DQ105" s="274"/>
      <c r="DR105" s="274"/>
      <c r="DS105" s="274"/>
      <c r="DT105" s="274"/>
      <c r="DU105" s="274"/>
      <c r="DV105" s="274"/>
      <c r="DW105" s="274"/>
      <c r="DX105" s="274"/>
      <c r="DY105" s="274"/>
      <c r="DZ105" s="274"/>
      <c r="EA105" s="274"/>
      <c r="EB105" s="274"/>
      <c r="EC105" s="274"/>
      <c r="ED105" s="39">
        <f t="shared" si="37"/>
        <v>1069498.2200000002</v>
      </c>
      <c r="EE105" s="30">
        <f t="shared" si="38"/>
        <v>4</v>
      </c>
      <c r="EF105" s="39">
        <f t="shared" si="39"/>
        <v>267374.55500000005</v>
      </c>
    </row>
    <row r="106" spans="1:136" x14ac:dyDescent="0.25">
      <c r="A106" s="25" t="e">
        <f>#REF!</f>
        <v>#REF!</v>
      </c>
      <c r="B106" s="50" t="e">
        <f>#REF!</f>
        <v>#REF!</v>
      </c>
      <c r="C106" s="5" t="e">
        <f>#REF!</f>
        <v>#REF!</v>
      </c>
      <c r="D106" s="5" t="e">
        <f>#REF!</f>
        <v>#REF!</v>
      </c>
      <c r="E106" s="252">
        <v>1</v>
      </c>
      <c r="F106" s="249">
        <v>0</v>
      </c>
      <c r="G106" s="249">
        <v>0</v>
      </c>
      <c r="H106" s="249">
        <v>76755</v>
      </c>
      <c r="I106" s="249">
        <v>0</v>
      </c>
      <c r="J106" s="249">
        <v>90559</v>
      </c>
      <c r="K106" s="249">
        <v>0</v>
      </c>
      <c r="L106" s="274">
        <f>AVERAGE(H106,J106)</f>
        <v>83657</v>
      </c>
      <c r="M106" s="274"/>
      <c r="N106" s="255">
        <v>72000</v>
      </c>
      <c r="O106" s="135">
        <f t="shared" si="44"/>
        <v>13680</v>
      </c>
      <c r="P106" s="135">
        <f t="shared" si="45"/>
        <v>85680</v>
      </c>
      <c r="Q106" s="131"/>
      <c r="R106" s="131"/>
      <c r="S106" s="11"/>
      <c r="T106" s="274"/>
      <c r="U106" s="274"/>
      <c r="V106" s="274"/>
      <c r="W106" s="39"/>
      <c r="X106" s="11"/>
      <c r="Y106" s="11"/>
      <c r="Z106" s="274"/>
      <c r="AA106" s="274"/>
      <c r="AB106" s="274"/>
      <c r="AC106" s="52"/>
      <c r="AD106" s="22"/>
      <c r="AE106" s="39"/>
      <c r="AF106" s="274"/>
      <c r="AG106" s="274"/>
      <c r="AH106" s="171"/>
      <c r="AI106" s="22"/>
      <c r="AJ106" s="39"/>
      <c r="AK106" s="39"/>
      <c r="AL106" s="118"/>
      <c r="AM106" s="152"/>
      <c r="AN106" s="181"/>
      <c r="AO106" s="131"/>
      <c r="AP106" s="131"/>
      <c r="AQ106" s="39"/>
      <c r="AR106" s="274"/>
      <c r="AS106" s="274"/>
      <c r="AT106" s="274"/>
      <c r="AU106" s="39"/>
      <c r="AV106" s="39"/>
      <c r="AW106" s="39"/>
      <c r="AX106" s="274"/>
      <c r="AY106" s="274"/>
      <c r="AZ106" s="274"/>
      <c r="BA106" s="39"/>
      <c r="BB106" s="62"/>
      <c r="BC106" s="39"/>
      <c r="BD106" s="274"/>
      <c r="BE106" s="274"/>
      <c r="BF106" s="274"/>
      <c r="BG106" s="39"/>
      <c r="BH106" s="39"/>
      <c r="BI106" s="39"/>
      <c r="BJ106" s="274"/>
      <c r="BK106" s="274"/>
      <c r="BL106" s="274"/>
      <c r="BM106" s="213"/>
      <c r="BN106" s="213"/>
      <c r="BO106" s="39"/>
      <c r="BP106" s="274">
        <f>6000*20</f>
        <v>120000</v>
      </c>
      <c r="BQ106" s="274">
        <f t="shared" si="42"/>
        <v>22800</v>
      </c>
      <c r="BR106" s="274">
        <f t="shared" si="43"/>
        <v>142800</v>
      </c>
      <c r="BS106" s="39"/>
      <c r="BT106" s="39"/>
      <c r="BU106" s="39"/>
      <c r="BV106" s="212"/>
      <c r="BW106" s="221"/>
      <c r="BX106" s="273"/>
      <c r="BY106" s="213"/>
      <c r="BZ106" s="213"/>
      <c r="CA106" s="213"/>
      <c r="CB106" s="275"/>
      <c r="CC106" s="275"/>
      <c r="CD106" s="275"/>
      <c r="CE106" s="39"/>
      <c r="CF106" s="39"/>
      <c r="CG106" s="39"/>
      <c r="CH106" s="274"/>
      <c r="CI106" s="274"/>
      <c r="CJ106" s="274"/>
      <c r="CK106" s="39"/>
      <c r="CL106" s="39"/>
      <c r="CM106" s="39"/>
      <c r="CN106" s="39"/>
      <c r="CO106" s="39"/>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274"/>
      <c r="DM106" s="274"/>
      <c r="DN106" s="274"/>
      <c r="DO106" s="274"/>
      <c r="DP106" s="274"/>
      <c r="DQ106" s="274"/>
      <c r="DR106" s="274"/>
      <c r="DS106" s="274"/>
      <c r="DT106" s="274"/>
      <c r="DU106" s="274"/>
      <c r="DV106" s="274"/>
      <c r="DW106" s="274"/>
      <c r="DX106" s="274"/>
      <c r="DY106" s="274"/>
      <c r="DZ106" s="274"/>
      <c r="EA106" s="274"/>
      <c r="EB106" s="274"/>
      <c r="EC106" s="274"/>
      <c r="ED106" s="39">
        <f t="shared" si="37"/>
        <v>228480</v>
      </c>
      <c r="EE106" s="30">
        <f t="shared" si="38"/>
        <v>2</v>
      </c>
      <c r="EF106" s="39">
        <f t="shared" si="39"/>
        <v>114240</v>
      </c>
    </row>
    <row r="107" spans="1:136" x14ac:dyDescent="0.25">
      <c r="A107" s="25" t="e">
        <f>#REF!</f>
        <v>#REF!</v>
      </c>
      <c r="B107" s="50" t="e">
        <f>#REF!</f>
        <v>#REF!</v>
      </c>
      <c r="C107" s="5" t="e">
        <f>#REF!</f>
        <v>#REF!</v>
      </c>
      <c r="D107" s="5" t="e">
        <f>#REF!</f>
        <v>#REF!</v>
      </c>
      <c r="E107" s="252">
        <v>1</v>
      </c>
      <c r="F107" s="249">
        <v>0</v>
      </c>
      <c r="G107" s="249">
        <v>0</v>
      </c>
      <c r="H107" s="249">
        <v>0</v>
      </c>
      <c r="I107" s="249">
        <v>0</v>
      </c>
      <c r="J107" s="249">
        <v>0</v>
      </c>
      <c r="K107" s="249">
        <v>0</v>
      </c>
      <c r="L107" s="274"/>
      <c r="M107" s="274"/>
      <c r="N107" s="256">
        <v>18000</v>
      </c>
      <c r="O107" s="135">
        <f t="shared" si="44"/>
        <v>3420</v>
      </c>
      <c r="P107" s="135">
        <f t="shared" si="45"/>
        <v>21420</v>
      </c>
      <c r="Q107" s="131"/>
      <c r="R107" s="131"/>
      <c r="S107" s="11"/>
      <c r="T107" s="274"/>
      <c r="U107" s="274"/>
      <c r="V107" s="274"/>
      <c r="W107" s="39"/>
      <c r="X107" s="11"/>
      <c r="Y107" s="11"/>
      <c r="Z107" s="274"/>
      <c r="AA107" s="274"/>
      <c r="AB107" s="274"/>
      <c r="AC107" s="5"/>
      <c r="AD107" s="22"/>
      <c r="AE107" s="39"/>
      <c r="AF107" s="274"/>
      <c r="AG107" s="274"/>
      <c r="AH107" s="169"/>
      <c r="AI107" s="22"/>
      <c r="AJ107" s="39"/>
      <c r="AK107" s="39"/>
      <c r="AL107" s="118"/>
      <c r="AM107" s="152"/>
      <c r="AN107" s="181"/>
      <c r="AO107" s="131"/>
      <c r="AP107" s="131"/>
      <c r="AQ107" s="39"/>
      <c r="AR107" s="274"/>
      <c r="AS107" s="274"/>
      <c r="AT107" s="274"/>
      <c r="AU107" s="39"/>
      <c r="AV107" s="39"/>
      <c r="AW107" s="39"/>
      <c r="AX107" s="275"/>
      <c r="AY107" s="274"/>
      <c r="AZ107" s="274"/>
      <c r="BA107" s="39"/>
      <c r="BB107" s="62"/>
      <c r="BC107" s="39"/>
      <c r="BD107" s="274"/>
      <c r="BE107" s="274"/>
      <c r="BF107" s="274"/>
      <c r="BG107" s="39"/>
      <c r="BH107" s="39"/>
      <c r="BI107" s="39"/>
      <c r="BJ107" s="274"/>
      <c r="BK107" s="274"/>
      <c r="BL107" s="274"/>
      <c r="BM107" s="213"/>
      <c r="BN107" s="213"/>
      <c r="BO107" s="39"/>
      <c r="BP107" s="274">
        <v>52300</v>
      </c>
      <c r="BQ107" s="274">
        <f t="shared" si="42"/>
        <v>9937</v>
      </c>
      <c r="BR107" s="274">
        <f t="shared" si="43"/>
        <v>62237</v>
      </c>
      <c r="BS107" s="39"/>
      <c r="BT107" s="39"/>
      <c r="BU107" s="39"/>
      <c r="BV107" s="212"/>
      <c r="BW107" s="221"/>
      <c r="BX107" s="273"/>
      <c r="BY107" s="213"/>
      <c r="BZ107" s="213"/>
      <c r="CA107" s="213"/>
      <c r="CB107" s="274"/>
      <c r="CC107" s="274"/>
      <c r="CD107" s="274"/>
      <c r="CE107" s="39"/>
      <c r="CF107" s="39"/>
      <c r="CG107" s="39"/>
      <c r="CH107" s="275"/>
      <c r="CI107" s="275"/>
      <c r="CJ107" s="275"/>
      <c r="CK107" s="39"/>
      <c r="CL107" s="39"/>
      <c r="CM107" s="39"/>
      <c r="CN107" s="39"/>
      <c r="CO107" s="39"/>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274"/>
      <c r="DM107" s="274"/>
      <c r="DN107" s="274"/>
      <c r="DO107" s="274"/>
      <c r="DP107" s="274"/>
      <c r="DQ107" s="274"/>
      <c r="DR107" s="274"/>
      <c r="DS107" s="274"/>
      <c r="DT107" s="274"/>
      <c r="DU107" s="274"/>
      <c r="DV107" s="274"/>
      <c r="DW107" s="274"/>
      <c r="DX107" s="274"/>
      <c r="DY107" s="274"/>
      <c r="DZ107" s="274"/>
      <c r="EA107" s="274"/>
      <c r="EB107" s="274"/>
      <c r="EC107" s="274"/>
      <c r="ED107" s="39">
        <f t="shared" si="37"/>
        <v>83657</v>
      </c>
      <c r="EE107" s="30">
        <f t="shared" si="38"/>
        <v>2</v>
      </c>
      <c r="EF107" s="39">
        <f t="shared" si="39"/>
        <v>41828.5</v>
      </c>
    </row>
    <row r="108" spans="1:136" x14ac:dyDescent="0.25">
      <c r="A108" s="25" t="e">
        <f>#REF!</f>
        <v>#REF!</v>
      </c>
      <c r="B108" s="50" t="e">
        <f>#REF!</f>
        <v>#REF!</v>
      </c>
      <c r="C108" s="5" t="e">
        <f>#REF!</f>
        <v>#REF!</v>
      </c>
      <c r="D108" s="5" t="e">
        <f>#REF!</f>
        <v>#REF!</v>
      </c>
      <c r="E108" s="252">
        <v>1</v>
      </c>
      <c r="F108" s="249">
        <v>0</v>
      </c>
      <c r="G108" s="249">
        <v>0</v>
      </c>
      <c r="H108" s="249">
        <v>0</v>
      </c>
      <c r="I108" s="249">
        <v>0</v>
      </c>
      <c r="J108" s="249">
        <v>0</v>
      </c>
      <c r="K108" s="249">
        <v>0</v>
      </c>
      <c r="L108" s="274"/>
      <c r="M108" s="274"/>
      <c r="N108" s="255"/>
      <c r="O108" s="135"/>
      <c r="P108" s="135"/>
      <c r="Q108" s="131"/>
      <c r="R108" s="131"/>
      <c r="S108" s="11"/>
      <c r="T108" s="274"/>
      <c r="U108" s="274"/>
      <c r="V108" s="274"/>
      <c r="W108" s="39"/>
      <c r="X108" s="11"/>
      <c r="Y108" s="11"/>
      <c r="Z108" s="274"/>
      <c r="AA108" s="274"/>
      <c r="AB108" s="274"/>
      <c r="AC108" s="52"/>
      <c r="AD108" s="22"/>
      <c r="AE108" s="39"/>
      <c r="AF108" s="274"/>
      <c r="AG108" s="274"/>
      <c r="AH108" s="171"/>
      <c r="AI108" s="4"/>
      <c r="AJ108" s="39"/>
      <c r="AK108" s="39"/>
      <c r="AL108" s="118"/>
      <c r="AM108" s="152"/>
      <c r="AN108" s="181"/>
      <c r="AO108" s="131"/>
      <c r="AP108" s="131"/>
      <c r="AQ108" s="39"/>
      <c r="AR108" s="274">
        <v>390000</v>
      </c>
      <c r="AS108" s="274">
        <f>+AR108*0.19</f>
        <v>74100</v>
      </c>
      <c r="AT108" s="274">
        <f>+AR108+AS108</f>
        <v>464100</v>
      </c>
      <c r="AU108" s="39"/>
      <c r="AV108" s="39"/>
      <c r="AW108" s="39"/>
      <c r="AX108" s="274"/>
      <c r="AY108" s="274"/>
      <c r="AZ108" s="274"/>
      <c r="BA108" s="39"/>
      <c r="BB108" s="62"/>
      <c r="BC108" s="39"/>
      <c r="BD108" s="274"/>
      <c r="BE108" s="274"/>
      <c r="BF108" s="274"/>
      <c r="BG108" s="39"/>
      <c r="BH108" s="39"/>
      <c r="BI108" s="39"/>
      <c r="BJ108" s="274"/>
      <c r="BK108" s="274"/>
      <c r="BL108" s="274"/>
      <c r="BM108" s="213"/>
      <c r="BN108" s="213"/>
      <c r="BO108" s="39"/>
      <c r="BP108" s="274"/>
      <c r="BQ108" s="274"/>
      <c r="BR108" s="274"/>
      <c r="BS108" s="39"/>
      <c r="BT108" s="39"/>
      <c r="BU108" s="39"/>
      <c r="BV108" s="212"/>
      <c r="BW108" s="221"/>
      <c r="BX108" s="273"/>
      <c r="BY108" s="213"/>
      <c r="BZ108" s="213"/>
      <c r="CA108" s="213"/>
      <c r="CB108" s="274"/>
      <c r="CC108" s="274"/>
      <c r="CD108" s="274"/>
      <c r="CE108" s="39"/>
      <c r="CF108" s="39"/>
      <c r="CG108" s="39"/>
      <c r="CH108" s="274"/>
      <c r="CI108" s="274"/>
      <c r="CJ108" s="274"/>
      <c r="CK108" s="39"/>
      <c r="CL108" s="39"/>
      <c r="CM108" s="39"/>
      <c r="CN108" s="39"/>
      <c r="CO108" s="39"/>
      <c r="CP108" s="11"/>
      <c r="CQ108" s="11"/>
      <c r="CR108" s="11"/>
      <c r="CS108" s="11"/>
      <c r="CT108" s="11"/>
      <c r="CU108" s="11"/>
      <c r="CV108" s="11"/>
      <c r="CW108" s="11"/>
      <c r="CX108" s="11"/>
      <c r="CY108" s="11"/>
      <c r="CZ108" s="11"/>
      <c r="DA108" s="32"/>
      <c r="DB108" s="67"/>
      <c r="DC108" s="67"/>
      <c r="DD108" s="65"/>
      <c r="DE108" s="65"/>
      <c r="DF108" s="65"/>
      <c r="DG108" s="65"/>
      <c r="DH108" s="65"/>
      <c r="DI108" s="65"/>
      <c r="DJ108" s="65"/>
      <c r="DK108" s="65"/>
      <c r="DL108" s="61"/>
      <c r="DM108" s="61"/>
      <c r="DN108" s="61"/>
      <c r="DO108" s="61"/>
      <c r="DP108" s="61"/>
      <c r="DQ108" s="61"/>
      <c r="DR108" s="61"/>
      <c r="DS108" s="61"/>
      <c r="DT108" s="61"/>
      <c r="DU108" s="61"/>
      <c r="DV108" s="61"/>
      <c r="DW108" s="61"/>
      <c r="DX108" s="61"/>
      <c r="DY108" s="61"/>
      <c r="DZ108" s="61"/>
      <c r="EA108" s="61"/>
      <c r="EB108" s="61"/>
      <c r="EC108" s="61"/>
      <c r="ED108" s="39">
        <f t="shared" si="37"/>
        <v>464100</v>
      </c>
      <c r="EE108" s="30">
        <f t="shared" si="38"/>
        <v>1</v>
      </c>
      <c r="EF108" s="39">
        <f t="shared" si="39"/>
        <v>464100</v>
      </c>
    </row>
    <row r="109" spans="1:136" x14ac:dyDescent="0.25">
      <c r="A109" s="25" t="e">
        <f>#REF!</f>
        <v>#REF!</v>
      </c>
      <c r="B109" s="50" t="e">
        <f>#REF!</f>
        <v>#REF!</v>
      </c>
      <c r="C109" s="5" t="e">
        <f>#REF!</f>
        <v>#REF!</v>
      </c>
      <c r="D109" s="5" t="e">
        <f>#REF!</f>
        <v>#REF!</v>
      </c>
      <c r="E109" s="252">
        <v>1</v>
      </c>
      <c r="F109" s="249">
        <v>0</v>
      </c>
      <c r="G109" s="249">
        <v>0</v>
      </c>
      <c r="H109" s="249">
        <v>0</v>
      </c>
      <c r="I109" s="249">
        <v>0</v>
      </c>
      <c r="J109" s="249">
        <v>0</v>
      </c>
      <c r="K109" s="249">
        <v>0</v>
      </c>
      <c r="L109" s="274"/>
      <c r="M109" s="274"/>
      <c r="N109" s="255">
        <v>120000</v>
      </c>
      <c r="O109" s="135">
        <f>+N109*0.19</f>
        <v>22800</v>
      </c>
      <c r="P109" s="135">
        <f>+N109+O109</f>
        <v>142800</v>
      </c>
      <c r="Q109" s="131"/>
      <c r="R109" s="131"/>
      <c r="S109" s="11"/>
      <c r="T109" s="274"/>
      <c r="U109" s="274"/>
      <c r="V109" s="274"/>
      <c r="W109" s="39"/>
      <c r="X109" s="11"/>
      <c r="Y109" s="11"/>
      <c r="Z109" s="274"/>
      <c r="AA109" s="274"/>
      <c r="AB109" s="274"/>
      <c r="AC109" s="52"/>
      <c r="AD109" s="22"/>
      <c r="AE109" s="39"/>
      <c r="AF109" s="274"/>
      <c r="AG109" s="274"/>
      <c r="AH109" s="113"/>
      <c r="AI109" s="4"/>
      <c r="AJ109" s="39"/>
      <c r="AK109" s="39"/>
      <c r="AL109" s="118"/>
      <c r="AM109" s="152"/>
      <c r="AN109" s="181"/>
      <c r="AO109" s="131"/>
      <c r="AP109" s="131"/>
      <c r="AQ109" s="39"/>
      <c r="AR109" s="274"/>
      <c r="AS109" s="274"/>
      <c r="AT109" s="274"/>
      <c r="AU109" s="39"/>
      <c r="AV109" s="39"/>
      <c r="AW109" s="39"/>
      <c r="AX109" s="274"/>
      <c r="AY109" s="274"/>
      <c r="AZ109" s="274"/>
      <c r="BA109" s="39"/>
      <c r="BB109" s="62"/>
      <c r="BC109" s="39"/>
      <c r="BD109" s="274"/>
      <c r="BE109" s="274"/>
      <c r="BF109" s="274"/>
      <c r="BG109" s="39"/>
      <c r="BH109" s="39"/>
      <c r="BI109" s="39"/>
      <c r="BJ109" s="274"/>
      <c r="BK109" s="274"/>
      <c r="BL109" s="274"/>
      <c r="BM109" s="213"/>
      <c r="BN109" s="213"/>
      <c r="BO109" s="39"/>
      <c r="BP109" s="274"/>
      <c r="BQ109" s="274"/>
      <c r="BR109" s="274"/>
      <c r="BS109" s="39"/>
      <c r="BT109" s="39"/>
      <c r="BU109" s="39"/>
      <c r="BV109" s="212"/>
      <c r="BW109" s="221"/>
      <c r="BX109" s="273"/>
      <c r="BY109" s="213"/>
      <c r="BZ109" s="213"/>
      <c r="CA109" s="213"/>
      <c r="CB109" s="274"/>
      <c r="CC109" s="274"/>
      <c r="CD109" s="274"/>
      <c r="CE109" s="39"/>
      <c r="CF109" s="39"/>
      <c r="CG109" s="39"/>
      <c r="CH109" s="274"/>
      <c r="CI109" s="274"/>
      <c r="CJ109" s="274"/>
      <c r="CK109" s="39"/>
      <c r="CL109" s="39"/>
      <c r="CM109" s="39"/>
      <c r="CN109" s="39"/>
      <c r="CO109" s="39"/>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274"/>
      <c r="DM109" s="274"/>
      <c r="DN109" s="274"/>
      <c r="DO109" s="274"/>
      <c r="DP109" s="274"/>
      <c r="DQ109" s="274"/>
      <c r="DR109" s="274"/>
      <c r="DS109" s="274"/>
      <c r="DT109" s="274"/>
      <c r="DU109" s="274"/>
      <c r="DV109" s="274"/>
      <c r="DW109" s="274"/>
      <c r="DX109" s="274"/>
      <c r="DY109" s="274"/>
      <c r="DZ109" s="274"/>
      <c r="EA109" s="274"/>
      <c r="EB109" s="274"/>
      <c r="EC109" s="274"/>
      <c r="ED109" s="39">
        <f t="shared" si="37"/>
        <v>142800</v>
      </c>
      <c r="EE109" s="30">
        <f t="shared" si="38"/>
        <v>1</v>
      </c>
      <c r="EF109" s="39">
        <f t="shared" si="39"/>
        <v>142800</v>
      </c>
    </row>
    <row r="110" spans="1:136" x14ac:dyDescent="0.25">
      <c r="A110" s="25" t="e">
        <f>#REF!</f>
        <v>#REF!</v>
      </c>
      <c r="B110" s="50" t="e">
        <f>#REF!</f>
        <v>#REF!</v>
      </c>
      <c r="C110" s="5" t="e">
        <f>#REF!</f>
        <v>#REF!</v>
      </c>
      <c r="D110" s="5" t="e">
        <f>#REF!</f>
        <v>#REF!</v>
      </c>
      <c r="E110" s="252">
        <v>1</v>
      </c>
      <c r="F110" s="249">
        <v>0</v>
      </c>
      <c r="G110" s="249">
        <v>0</v>
      </c>
      <c r="H110" s="249">
        <v>66243.333333333328</v>
      </c>
      <c r="I110" s="249">
        <v>66164</v>
      </c>
      <c r="J110" s="249">
        <v>0</v>
      </c>
      <c r="K110" s="249">
        <v>0</v>
      </c>
      <c r="L110" s="274">
        <f>H110</f>
        <v>66243.333333333328</v>
      </c>
      <c r="M110" s="274">
        <f>I110*E1</f>
        <v>68148.92</v>
      </c>
      <c r="N110" s="255"/>
      <c r="O110" s="135"/>
      <c r="P110" s="135"/>
      <c r="Q110" s="131"/>
      <c r="R110" s="131"/>
      <c r="S110" s="11"/>
      <c r="T110" s="274"/>
      <c r="U110" s="274"/>
      <c r="V110" s="274"/>
      <c r="W110" s="39"/>
      <c r="X110" s="11"/>
      <c r="Y110" s="11"/>
      <c r="Z110" s="274"/>
      <c r="AA110" s="274"/>
      <c r="AB110" s="274"/>
      <c r="AC110" s="52"/>
      <c r="AD110" s="22"/>
      <c r="AE110" s="39"/>
      <c r="AF110" s="274"/>
      <c r="AG110" s="274"/>
      <c r="AH110" s="113"/>
      <c r="AI110" s="4"/>
      <c r="AJ110" s="39"/>
      <c r="AK110" s="39"/>
      <c r="AL110" s="118"/>
      <c r="AM110" s="152"/>
      <c r="AN110" s="181"/>
      <c r="AO110" s="131"/>
      <c r="AP110" s="131"/>
      <c r="AQ110" s="39"/>
      <c r="AR110" s="274">
        <v>19000</v>
      </c>
      <c r="AS110" s="274">
        <f>+AR110*0.19</f>
        <v>3610</v>
      </c>
      <c r="AT110" s="274">
        <f>+AR110+AS110</f>
        <v>22610</v>
      </c>
      <c r="AU110" s="39"/>
      <c r="AV110" s="39"/>
      <c r="AW110" s="39"/>
      <c r="AX110" s="274"/>
      <c r="AY110" s="274"/>
      <c r="AZ110" s="274"/>
      <c r="BA110" s="39"/>
      <c r="BB110" s="62"/>
      <c r="BC110" s="39"/>
      <c r="BD110" s="274"/>
      <c r="BE110" s="274"/>
      <c r="BF110" s="274"/>
      <c r="BG110" s="39"/>
      <c r="BH110" s="39"/>
      <c r="BI110" s="39"/>
      <c r="BJ110" s="274">
        <f>144400/10</f>
        <v>14440</v>
      </c>
      <c r="BK110" s="274">
        <f>+BJ110*0.19</f>
        <v>2743.6</v>
      </c>
      <c r="BL110" s="274">
        <f>+BJ110+BK110</f>
        <v>17183.599999999999</v>
      </c>
      <c r="BM110" s="213" t="s">
        <v>4747</v>
      </c>
      <c r="BN110" s="213" t="s">
        <v>4765</v>
      </c>
      <c r="BO110" s="39"/>
      <c r="BP110" s="274">
        <v>35200</v>
      </c>
      <c r="BQ110" s="274">
        <f t="shared" ref="BQ110:BQ127" si="46">+BP110*19%</f>
        <v>6688</v>
      </c>
      <c r="BR110" s="274">
        <f t="shared" ref="BR110:BR127" si="47">+BQ110+BP110</f>
        <v>41888</v>
      </c>
      <c r="BS110" s="39"/>
      <c r="BT110" s="39"/>
      <c r="BU110" s="39"/>
      <c r="BV110" s="219">
        <f>159321.7184/10</f>
        <v>15932.171840000001</v>
      </c>
      <c r="BW110" s="219">
        <f>+BV110*0.19</f>
        <v>3027.1126496000002</v>
      </c>
      <c r="BX110" s="273">
        <f>+BV110+BW110</f>
        <v>18959.284489600002</v>
      </c>
      <c r="BY110" s="213" t="s">
        <v>4747</v>
      </c>
      <c r="BZ110" s="213" t="s">
        <v>4765</v>
      </c>
      <c r="CA110" s="213"/>
      <c r="CB110" s="274"/>
      <c r="CC110" s="274"/>
      <c r="CD110" s="274"/>
      <c r="CE110" s="39"/>
      <c r="CF110" s="39"/>
      <c r="CG110" s="39"/>
      <c r="CH110" s="274"/>
      <c r="CI110" s="274"/>
      <c r="CJ110" s="274"/>
      <c r="CK110" s="39"/>
      <c r="CL110" s="39"/>
      <c r="CM110" s="39"/>
      <c r="CN110" s="39"/>
      <c r="CO110" s="39"/>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274"/>
      <c r="DM110" s="274"/>
      <c r="DN110" s="274"/>
      <c r="DO110" s="274"/>
      <c r="DP110" s="274"/>
      <c r="DQ110" s="274"/>
      <c r="DR110" s="274"/>
      <c r="DS110" s="274"/>
      <c r="DT110" s="274"/>
      <c r="DU110" s="274"/>
      <c r="DV110" s="274"/>
      <c r="DW110" s="274"/>
      <c r="DX110" s="274"/>
      <c r="DY110" s="274"/>
      <c r="DZ110" s="274"/>
      <c r="EA110" s="274"/>
      <c r="EB110" s="274"/>
      <c r="EC110" s="274"/>
      <c r="ED110" s="39">
        <f t="shared" si="37"/>
        <v>168789.80448960001</v>
      </c>
      <c r="EE110" s="30">
        <f t="shared" si="38"/>
        <v>5</v>
      </c>
      <c r="EF110" s="39">
        <f t="shared" si="39"/>
        <v>33757.960897919998</v>
      </c>
    </row>
    <row r="111" spans="1:136" x14ac:dyDescent="0.25">
      <c r="A111" s="25" t="e">
        <f>#REF!</f>
        <v>#REF!</v>
      </c>
      <c r="B111" s="50" t="e">
        <f>#REF!</f>
        <v>#REF!</v>
      </c>
      <c r="C111" s="5" t="e">
        <f>#REF!</f>
        <v>#REF!</v>
      </c>
      <c r="D111" s="5" t="e">
        <f>#REF!</f>
        <v>#REF!</v>
      </c>
      <c r="E111" s="252">
        <v>1</v>
      </c>
      <c r="F111" s="249">
        <v>0</v>
      </c>
      <c r="G111" s="249">
        <v>0</v>
      </c>
      <c r="H111" s="249">
        <v>23800</v>
      </c>
      <c r="I111" s="249">
        <v>0</v>
      </c>
      <c r="J111" s="249">
        <v>119000</v>
      </c>
      <c r="K111" s="249">
        <v>0</v>
      </c>
      <c r="L111" s="274">
        <f>AVERAGE(H111,J111)</f>
        <v>71400</v>
      </c>
      <c r="M111" s="274"/>
      <c r="N111" s="255"/>
      <c r="O111" s="135"/>
      <c r="P111" s="135"/>
      <c r="Q111" s="131"/>
      <c r="R111" s="131"/>
      <c r="S111" s="11"/>
      <c r="T111" s="274"/>
      <c r="U111" s="274"/>
      <c r="V111" s="274"/>
      <c r="W111" s="39"/>
      <c r="X111" s="11"/>
      <c r="Y111" s="11"/>
      <c r="Z111" s="274"/>
      <c r="AA111" s="274"/>
      <c r="AB111" s="274"/>
      <c r="AC111" s="52"/>
      <c r="AD111" s="22"/>
      <c r="AE111" s="39"/>
      <c r="AF111" s="274"/>
      <c r="AG111" s="274"/>
      <c r="AH111" s="113"/>
      <c r="AI111" s="4"/>
      <c r="AJ111" s="39"/>
      <c r="AK111" s="39"/>
      <c r="AL111" s="118"/>
      <c r="AM111" s="152"/>
      <c r="AN111" s="181"/>
      <c r="AO111" s="131"/>
      <c r="AP111" s="131"/>
      <c r="AQ111" s="39"/>
      <c r="AR111" s="274"/>
      <c r="AS111" s="274"/>
      <c r="AT111" s="274"/>
      <c r="AU111" s="39"/>
      <c r="AV111" s="39"/>
      <c r="AW111" s="39"/>
      <c r="AX111" s="274"/>
      <c r="AY111" s="274"/>
      <c r="AZ111" s="274"/>
      <c r="BA111" s="39"/>
      <c r="BB111" s="62"/>
      <c r="BC111" s="39"/>
      <c r="BD111" s="274"/>
      <c r="BE111" s="274"/>
      <c r="BF111" s="274"/>
      <c r="BG111" s="39"/>
      <c r="BH111" s="39"/>
      <c r="BI111" s="39"/>
      <c r="BJ111" s="274"/>
      <c r="BK111" s="274"/>
      <c r="BL111" s="274"/>
      <c r="BM111" s="213"/>
      <c r="BN111" s="213"/>
      <c r="BO111" s="39"/>
      <c r="BP111" s="274">
        <v>39600</v>
      </c>
      <c r="BQ111" s="274">
        <f t="shared" si="46"/>
        <v>7524</v>
      </c>
      <c r="BR111" s="274">
        <f t="shared" si="47"/>
        <v>47124</v>
      </c>
      <c r="BS111" s="39"/>
      <c r="BT111" s="39"/>
      <c r="BU111" s="39"/>
      <c r="BV111" s="212"/>
      <c r="BW111" s="221"/>
      <c r="BX111" s="273"/>
      <c r="BY111" s="213"/>
      <c r="BZ111" s="213"/>
      <c r="CA111" s="213"/>
      <c r="CB111" s="274"/>
      <c r="CC111" s="274"/>
      <c r="CD111" s="274"/>
      <c r="CE111" s="39"/>
      <c r="CF111" s="39"/>
      <c r="CG111" s="39"/>
      <c r="CH111" s="274"/>
      <c r="CI111" s="274"/>
      <c r="CJ111" s="274"/>
      <c r="CK111" s="39"/>
      <c r="CL111" s="39"/>
      <c r="CM111" s="39"/>
      <c r="CN111" s="39"/>
      <c r="CO111" s="39"/>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274"/>
      <c r="DM111" s="274"/>
      <c r="DN111" s="274"/>
      <c r="DO111" s="274"/>
      <c r="DP111" s="274"/>
      <c r="DQ111" s="274"/>
      <c r="DR111" s="274"/>
      <c r="DS111" s="274"/>
      <c r="DT111" s="274"/>
      <c r="DU111" s="274"/>
      <c r="DV111" s="274"/>
      <c r="DW111" s="274"/>
      <c r="DX111" s="274"/>
      <c r="DY111" s="274"/>
      <c r="DZ111" s="274"/>
      <c r="EA111" s="274"/>
      <c r="EB111" s="274"/>
      <c r="EC111" s="274"/>
      <c r="ED111" s="39">
        <f t="shared" si="37"/>
        <v>47124</v>
      </c>
      <c r="EE111" s="30">
        <f t="shared" si="38"/>
        <v>1</v>
      </c>
      <c r="EF111" s="39">
        <f t="shared" si="39"/>
        <v>47124</v>
      </c>
    </row>
    <row r="112" spans="1:136" x14ac:dyDescent="0.25">
      <c r="A112" s="25" t="e">
        <f>#REF!</f>
        <v>#REF!</v>
      </c>
      <c r="B112" s="50" t="e">
        <f>#REF!</f>
        <v>#REF!</v>
      </c>
      <c r="C112" s="5" t="e">
        <f>#REF!</f>
        <v>#REF!</v>
      </c>
      <c r="D112" s="5" t="e">
        <f>#REF!</f>
        <v>#REF!</v>
      </c>
      <c r="E112" s="252">
        <v>1</v>
      </c>
      <c r="F112" s="249">
        <v>0</v>
      </c>
      <c r="G112" s="249">
        <v>0</v>
      </c>
      <c r="H112" s="249">
        <v>40460</v>
      </c>
      <c r="I112" s="249">
        <v>40341</v>
      </c>
      <c r="J112" s="249">
        <v>141522.5</v>
      </c>
      <c r="K112" s="249">
        <v>140420</v>
      </c>
      <c r="L112" s="274">
        <f>AVERAGE(H112,J112)</f>
        <v>90991.25</v>
      </c>
      <c r="M112" s="274">
        <f>AVERAGE(I112,K112)*E1</f>
        <v>93091.915000000008</v>
      </c>
      <c r="N112" s="255"/>
      <c r="O112" s="135"/>
      <c r="P112" s="135"/>
      <c r="Q112" s="131"/>
      <c r="R112" s="131"/>
      <c r="S112" s="11"/>
      <c r="T112" s="274"/>
      <c r="U112" s="274"/>
      <c r="V112" s="274"/>
      <c r="W112" s="39"/>
      <c r="X112" s="11"/>
      <c r="Y112" s="11"/>
      <c r="Z112" s="274"/>
      <c r="AA112" s="274"/>
      <c r="AB112" s="274"/>
      <c r="AC112" s="5"/>
      <c r="AD112" s="5"/>
      <c r="AE112" s="39"/>
      <c r="AF112" s="274"/>
      <c r="AG112" s="274"/>
      <c r="AH112" s="169"/>
      <c r="AI112" s="5"/>
      <c r="AJ112" s="39"/>
      <c r="AK112" s="39"/>
      <c r="AL112" s="118"/>
      <c r="AM112" s="152"/>
      <c r="AN112" s="181"/>
      <c r="AO112" s="131"/>
      <c r="AP112" s="131"/>
      <c r="AQ112" s="39"/>
      <c r="AR112" s="274">
        <v>14000</v>
      </c>
      <c r="AS112" s="274">
        <f>+AR112*0.19</f>
        <v>2660</v>
      </c>
      <c r="AT112" s="274">
        <f>+AR112+AS112</f>
        <v>16660</v>
      </c>
      <c r="AU112" s="39"/>
      <c r="AV112" s="39"/>
      <c r="AW112" s="39"/>
      <c r="AX112" s="274"/>
      <c r="AY112" s="274"/>
      <c r="AZ112" s="274"/>
      <c r="BA112" s="39"/>
      <c r="BB112" s="62"/>
      <c r="BC112" s="39"/>
      <c r="BD112" s="274"/>
      <c r="BE112" s="274"/>
      <c r="BF112" s="274"/>
      <c r="BG112" s="39"/>
      <c r="BH112" s="39"/>
      <c r="BI112" s="39"/>
      <c r="BJ112" s="274">
        <v>12900</v>
      </c>
      <c r="BK112" s="274">
        <f>+BJ112*0.19</f>
        <v>2451</v>
      </c>
      <c r="BL112" s="274">
        <f>+BJ112+BK112</f>
        <v>15351</v>
      </c>
      <c r="BM112" s="214" t="s">
        <v>445</v>
      </c>
      <c r="BN112" s="213" t="s">
        <v>3833</v>
      </c>
      <c r="BO112" s="39"/>
      <c r="BP112" s="274">
        <v>42500</v>
      </c>
      <c r="BQ112" s="274">
        <f t="shared" si="46"/>
        <v>8075</v>
      </c>
      <c r="BR112" s="274">
        <f t="shared" si="47"/>
        <v>50575</v>
      </c>
      <c r="BS112" s="39"/>
      <c r="BT112" s="39"/>
      <c r="BU112" s="39"/>
      <c r="BV112" s="212">
        <v>14493.459600000002</v>
      </c>
      <c r="BW112" s="219">
        <f>+BV112*0.19</f>
        <v>2753.7573240000006</v>
      </c>
      <c r="BX112" s="273">
        <f>+BV112+BW112</f>
        <v>17247.216924000004</v>
      </c>
      <c r="BY112" s="214" t="s">
        <v>445</v>
      </c>
      <c r="BZ112" s="213" t="s">
        <v>3833</v>
      </c>
      <c r="CA112" s="213"/>
      <c r="CB112" s="274"/>
      <c r="CC112" s="274"/>
      <c r="CD112" s="274"/>
      <c r="CE112" s="39"/>
      <c r="CF112" s="39"/>
      <c r="CG112" s="39"/>
      <c r="CH112" s="274"/>
      <c r="CI112" s="274"/>
      <c r="CJ112" s="274"/>
      <c r="CK112" s="39"/>
      <c r="CL112" s="39"/>
      <c r="CM112" s="39"/>
      <c r="CN112" s="39"/>
      <c r="CO112" s="39"/>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274"/>
      <c r="DM112" s="274"/>
      <c r="DN112" s="274"/>
      <c r="DO112" s="274"/>
      <c r="DP112" s="274"/>
      <c r="DQ112" s="274"/>
      <c r="DR112" s="274"/>
      <c r="DS112" s="274"/>
      <c r="DT112" s="274"/>
      <c r="DU112" s="274"/>
      <c r="DV112" s="274"/>
      <c r="DW112" s="274"/>
      <c r="DX112" s="274"/>
      <c r="DY112" s="274"/>
      <c r="DZ112" s="274"/>
      <c r="EA112" s="274"/>
      <c r="EB112" s="274"/>
      <c r="EC112" s="274"/>
      <c r="ED112" s="39">
        <f t="shared" si="37"/>
        <v>192925.13192400002</v>
      </c>
      <c r="EE112" s="30">
        <f t="shared" si="38"/>
        <v>5</v>
      </c>
      <c r="EF112" s="39">
        <f t="shared" si="39"/>
        <v>38585.026384800003</v>
      </c>
    </row>
    <row r="113" spans="1:136" x14ac:dyDescent="0.25">
      <c r="A113" s="25" t="e">
        <f>#REF!</f>
        <v>#REF!</v>
      </c>
      <c r="B113" s="50" t="e">
        <f>#REF!</f>
        <v>#REF!</v>
      </c>
      <c r="C113" s="5" t="e">
        <f>#REF!</f>
        <v>#REF!</v>
      </c>
      <c r="D113" s="5" t="e">
        <f>#REF!</f>
        <v>#REF!</v>
      </c>
      <c r="E113" s="252">
        <v>1</v>
      </c>
      <c r="F113" s="249">
        <v>0</v>
      </c>
      <c r="G113" s="249">
        <v>0</v>
      </c>
      <c r="H113" s="249">
        <v>0</v>
      </c>
      <c r="I113" s="249">
        <v>0</v>
      </c>
      <c r="J113" s="249">
        <v>0</v>
      </c>
      <c r="K113" s="249">
        <v>0</v>
      </c>
      <c r="L113" s="274"/>
      <c r="M113" s="274"/>
      <c r="N113" s="255"/>
      <c r="O113" s="135"/>
      <c r="P113" s="135"/>
      <c r="Q113" s="131"/>
      <c r="R113" s="131"/>
      <c r="S113" s="11"/>
      <c r="T113" s="274"/>
      <c r="U113" s="274"/>
      <c r="V113" s="274"/>
      <c r="W113" s="39"/>
      <c r="X113" s="11"/>
      <c r="Y113" s="11"/>
      <c r="Z113" s="274"/>
      <c r="AA113" s="274"/>
      <c r="AB113" s="274"/>
      <c r="AC113" s="52"/>
      <c r="AD113" s="22"/>
      <c r="AE113" s="39"/>
      <c r="AF113" s="274"/>
      <c r="AG113" s="274"/>
      <c r="AH113" s="113"/>
      <c r="AI113" s="22"/>
      <c r="AJ113" s="39"/>
      <c r="AK113" s="39"/>
      <c r="AL113" s="118"/>
      <c r="AM113" s="152"/>
      <c r="AN113" s="181"/>
      <c r="AO113" s="131"/>
      <c r="AP113" s="131"/>
      <c r="AQ113" s="39"/>
      <c r="AR113" s="274">
        <v>115000</v>
      </c>
      <c r="AS113" s="274">
        <f>+AR113*0.19</f>
        <v>21850</v>
      </c>
      <c r="AT113" s="274">
        <f>+AR113+AS113</f>
        <v>136850</v>
      </c>
      <c r="AU113" s="39"/>
      <c r="AV113" s="39"/>
      <c r="AW113" s="39"/>
      <c r="AX113" s="274"/>
      <c r="AY113" s="274"/>
      <c r="AZ113" s="274"/>
      <c r="BA113" s="39"/>
      <c r="BB113" s="62"/>
      <c r="BC113" s="39"/>
      <c r="BD113" s="274"/>
      <c r="BE113" s="274"/>
      <c r="BF113" s="274"/>
      <c r="BG113" s="39"/>
      <c r="BH113" s="39"/>
      <c r="BI113" s="39"/>
      <c r="BJ113" s="274">
        <v>623600</v>
      </c>
      <c r="BK113" s="274">
        <f>+BJ113*0.19</f>
        <v>118484</v>
      </c>
      <c r="BL113" s="274">
        <f>+BJ113+BK113</f>
        <v>742084</v>
      </c>
      <c r="BM113" s="214" t="s">
        <v>445</v>
      </c>
      <c r="BN113" s="213" t="s">
        <v>3833</v>
      </c>
      <c r="BO113" s="39"/>
      <c r="BP113" s="274">
        <v>265000</v>
      </c>
      <c r="BQ113" s="274">
        <f t="shared" si="46"/>
        <v>50350</v>
      </c>
      <c r="BR113" s="274">
        <f t="shared" si="47"/>
        <v>315350</v>
      </c>
      <c r="BS113" s="39"/>
      <c r="BT113" s="39"/>
      <c r="BU113" s="39"/>
      <c r="BV113" s="212"/>
      <c r="BW113" s="219"/>
      <c r="BX113" s="273"/>
      <c r="BY113" s="214"/>
      <c r="BZ113" s="213"/>
      <c r="CA113" s="213"/>
      <c r="CB113" s="274"/>
      <c r="CC113" s="274"/>
      <c r="CD113" s="274"/>
      <c r="CE113" s="39"/>
      <c r="CF113" s="39"/>
      <c r="CG113" s="39"/>
      <c r="CH113" s="274"/>
      <c r="CI113" s="274"/>
      <c r="CJ113" s="274"/>
      <c r="CK113" s="39"/>
      <c r="CL113" s="39"/>
      <c r="CM113" s="39"/>
      <c r="CN113" s="39"/>
      <c r="CO113" s="39"/>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274"/>
      <c r="DM113" s="274"/>
      <c r="DN113" s="274"/>
      <c r="DO113" s="274"/>
      <c r="DP113" s="274"/>
      <c r="DQ113" s="274"/>
      <c r="DR113" s="274"/>
      <c r="DS113" s="274"/>
      <c r="DT113" s="274"/>
      <c r="DU113" s="274"/>
      <c r="DV113" s="274"/>
      <c r="DW113" s="274"/>
      <c r="DX113" s="274"/>
      <c r="DY113" s="274"/>
      <c r="DZ113" s="274"/>
      <c r="EA113" s="274"/>
      <c r="EB113" s="274"/>
      <c r="EC113" s="274"/>
      <c r="ED113" s="39">
        <f t="shared" si="37"/>
        <v>1194284</v>
      </c>
      <c r="EE113" s="30">
        <f t="shared" si="38"/>
        <v>3</v>
      </c>
      <c r="EF113" s="39">
        <f t="shared" si="39"/>
        <v>398094.66666666669</v>
      </c>
    </row>
    <row r="114" spans="1:136" x14ac:dyDescent="0.25">
      <c r="A114" s="25" t="e">
        <f>#REF!</f>
        <v>#REF!</v>
      </c>
      <c r="B114" s="50" t="e">
        <f>#REF!</f>
        <v>#REF!</v>
      </c>
      <c r="C114" s="5" t="e">
        <f>#REF!</f>
        <v>#REF!</v>
      </c>
      <c r="D114" s="5" t="e">
        <f>#REF!</f>
        <v>#REF!</v>
      </c>
      <c r="E114" s="252">
        <v>1</v>
      </c>
      <c r="F114" s="249">
        <v>53550</v>
      </c>
      <c r="G114" s="249">
        <v>0</v>
      </c>
      <c r="H114" s="249">
        <v>41650</v>
      </c>
      <c r="I114" s="249">
        <v>0</v>
      </c>
      <c r="J114" s="249">
        <v>46856.25</v>
      </c>
      <c r="K114" s="249">
        <v>0</v>
      </c>
      <c r="L114" s="274">
        <f>AVERAGE(F114,H114,J114)</f>
        <v>47352.083333333336</v>
      </c>
      <c r="M114" s="274"/>
      <c r="N114" s="255"/>
      <c r="O114" s="135"/>
      <c r="P114" s="135"/>
      <c r="Q114" s="131"/>
      <c r="R114" s="131"/>
      <c r="S114" s="11"/>
      <c r="T114" s="274"/>
      <c r="U114" s="274"/>
      <c r="V114" s="274"/>
      <c r="W114" s="39"/>
      <c r="X114" s="11"/>
      <c r="Y114" s="11"/>
      <c r="Z114" s="274"/>
      <c r="AA114" s="274"/>
      <c r="AB114" s="274"/>
      <c r="AC114" s="52"/>
      <c r="AD114" s="22"/>
      <c r="AE114" s="39"/>
      <c r="AF114" s="274"/>
      <c r="AG114" s="274"/>
      <c r="AH114" s="113"/>
      <c r="AI114" s="4"/>
      <c r="AJ114" s="39"/>
      <c r="AK114" s="39"/>
      <c r="AL114" s="118"/>
      <c r="AM114" s="152"/>
      <c r="AN114" s="181"/>
      <c r="AO114" s="131"/>
      <c r="AP114" s="131"/>
      <c r="AQ114" s="39"/>
      <c r="AR114" s="274"/>
      <c r="AS114" s="274"/>
      <c r="AT114" s="274"/>
      <c r="AU114" s="39"/>
      <c r="AV114" s="39"/>
      <c r="AW114" s="39"/>
      <c r="AX114" s="274"/>
      <c r="AY114" s="274"/>
      <c r="AZ114" s="274"/>
      <c r="BA114" s="39"/>
      <c r="BB114" s="62"/>
      <c r="BC114" s="39"/>
      <c r="BD114" s="274"/>
      <c r="BE114" s="274"/>
      <c r="BF114" s="274"/>
      <c r="BG114" s="39"/>
      <c r="BH114" s="39"/>
      <c r="BI114" s="39"/>
      <c r="BJ114" s="274"/>
      <c r="BK114" s="274"/>
      <c r="BL114" s="274"/>
      <c r="BM114" s="213"/>
      <c r="BN114" s="213"/>
      <c r="BO114" s="39"/>
      <c r="BP114" s="274">
        <v>65000</v>
      </c>
      <c r="BQ114" s="274">
        <f t="shared" si="46"/>
        <v>12350</v>
      </c>
      <c r="BR114" s="274">
        <f t="shared" si="47"/>
        <v>77350</v>
      </c>
      <c r="BS114" s="39"/>
      <c r="BT114" s="39"/>
      <c r="BU114" s="39"/>
      <c r="BV114" s="212"/>
      <c r="BW114" s="221"/>
      <c r="BX114" s="273"/>
      <c r="BY114" s="213"/>
      <c r="BZ114" s="213"/>
      <c r="CA114" s="213"/>
      <c r="CB114" s="274"/>
      <c r="CC114" s="274"/>
      <c r="CD114" s="274"/>
      <c r="CE114" s="39"/>
      <c r="CF114" s="39"/>
      <c r="CG114" s="39"/>
      <c r="CH114" s="274"/>
      <c r="CI114" s="274"/>
      <c r="CJ114" s="274"/>
      <c r="CK114" s="39"/>
      <c r="CL114" s="39"/>
      <c r="CM114" s="39"/>
      <c r="CN114" s="39"/>
      <c r="CO114" s="39"/>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274"/>
      <c r="DM114" s="274"/>
      <c r="DN114" s="274"/>
      <c r="DO114" s="274"/>
      <c r="DP114" s="274"/>
      <c r="DQ114" s="274"/>
      <c r="DR114" s="274"/>
      <c r="DS114" s="274"/>
      <c r="DT114" s="274"/>
      <c r="DU114" s="274"/>
      <c r="DV114" s="274"/>
      <c r="DW114" s="274"/>
      <c r="DX114" s="274"/>
      <c r="DY114" s="274"/>
      <c r="DZ114" s="274"/>
      <c r="EA114" s="274"/>
      <c r="EB114" s="274"/>
      <c r="EC114" s="274"/>
      <c r="ED114" s="39">
        <f t="shared" si="37"/>
        <v>77350</v>
      </c>
      <c r="EE114" s="30">
        <f t="shared" si="38"/>
        <v>1</v>
      </c>
      <c r="EF114" s="39">
        <f t="shared" si="39"/>
        <v>77350</v>
      </c>
    </row>
    <row r="115" spans="1:136" x14ac:dyDescent="0.25">
      <c r="A115" s="25" t="e">
        <f>#REF!</f>
        <v>#REF!</v>
      </c>
      <c r="B115" s="50" t="e">
        <f>#REF!</f>
        <v>#REF!</v>
      </c>
      <c r="C115" s="5" t="e">
        <f>#REF!</f>
        <v>#REF!</v>
      </c>
      <c r="D115" s="5" t="e">
        <f>#REF!</f>
        <v>#REF!</v>
      </c>
      <c r="E115" s="252">
        <v>1</v>
      </c>
      <c r="F115" s="249">
        <v>0</v>
      </c>
      <c r="G115" s="249">
        <v>0</v>
      </c>
      <c r="H115" s="249">
        <v>59500</v>
      </c>
      <c r="I115" s="249">
        <v>0</v>
      </c>
      <c r="J115" s="249">
        <v>89289.666666666672</v>
      </c>
      <c r="K115" s="249">
        <v>74137</v>
      </c>
      <c r="L115" s="274">
        <f>AVERAGE(H115,J115)</f>
        <v>74394.833333333343</v>
      </c>
      <c r="M115" s="274">
        <f>K115*E1</f>
        <v>76361.11</v>
      </c>
      <c r="N115" s="255"/>
      <c r="O115" s="135"/>
      <c r="P115" s="135"/>
      <c r="Q115" s="131"/>
      <c r="R115" s="131"/>
      <c r="S115" s="11"/>
      <c r="T115" s="274"/>
      <c r="U115" s="274"/>
      <c r="V115" s="274"/>
      <c r="W115" s="39"/>
      <c r="X115" s="11"/>
      <c r="Y115" s="11"/>
      <c r="Z115" s="274"/>
      <c r="AA115" s="274"/>
      <c r="AB115" s="274"/>
      <c r="AC115" s="52"/>
      <c r="AD115" s="22"/>
      <c r="AE115" s="39"/>
      <c r="AF115" s="274"/>
      <c r="AG115" s="274"/>
      <c r="AH115" s="171"/>
      <c r="AI115" s="22"/>
      <c r="AJ115" s="39"/>
      <c r="AK115" s="39"/>
      <c r="AL115" s="118"/>
      <c r="AM115" s="152"/>
      <c r="AN115" s="181"/>
      <c r="AO115" s="131"/>
      <c r="AP115" s="131"/>
      <c r="AQ115" s="39"/>
      <c r="AR115" s="274"/>
      <c r="AS115" s="274"/>
      <c r="AT115" s="274"/>
      <c r="AU115" s="39"/>
      <c r="AV115" s="39"/>
      <c r="AW115" s="39"/>
      <c r="AX115" s="274"/>
      <c r="AY115" s="274"/>
      <c r="AZ115" s="274"/>
      <c r="BA115" s="39"/>
      <c r="BB115" s="62"/>
      <c r="BC115" s="39"/>
      <c r="BD115" s="274"/>
      <c r="BE115" s="274"/>
      <c r="BF115" s="274"/>
      <c r="BG115" s="39"/>
      <c r="BH115" s="39"/>
      <c r="BI115" s="39"/>
      <c r="BJ115" s="274"/>
      <c r="BK115" s="274"/>
      <c r="BL115" s="274"/>
      <c r="BM115" s="213"/>
      <c r="BN115" s="213"/>
      <c r="BO115" s="39"/>
      <c r="BP115" s="274">
        <v>125000</v>
      </c>
      <c r="BQ115" s="274">
        <f t="shared" si="46"/>
        <v>23750</v>
      </c>
      <c r="BR115" s="274">
        <f t="shared" si="47"/>
        <v>148750</v>
      </c>
      <c r="BS115" s="39"/>
      <c r="BT115" s="39"/>
      <c r="BU115" s="39"/>
      <c r="BV115" s="212"/>
      <c r="BW115" s="221"/>
      <c r="BX115" s="273"/>
      <c r="BY115" s="213"/>
      <c r="BZ115" s="213"/>
      <c r="CA115" s="213"/>
      <c r="CB115" s="274"/>
      <c r="CC115" s="274"/>
      <c r="CD115" s="274"/>
      <c r="CE115" s="39"/>
      <c r="CF115" s="39"/>
      <c r="CG115" s="39"/>
      <c r="CH115" s="274"/>
      <c r="CI115" s="274"/>
      <c r="CJ115" s="274"/>
      <c r="CK115" s="39"/>
      <c r="CL115" s="39"/>
      <c r="CM115" s="39"/>
      <c r="CN115" s="39"/>
      <c r="CO115" s="39"/>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274"/>
      <c r="DM115" s="274"/>
      <c r="DN115" s="274"/>
      <c r="DO115" s="274"/>
      <c r="DP115" s="274"/>
      <c r="DQ115" s="274"/>
      <c r="DR115" s="274"/>
      <c r="DS115" s="274"/>
      <c r="DT115" s="274"/>
      <c r="DU115" s="274"/>
      <c r="DV115" s="274"/>
      <c r="DW115" s="274"/>
      <c r="DX115" s="274"/>
      <c r="DY115" s="274"/>
      <c r="DZ115" s="274"/>
      <c r="EA115" s="274"/>
      <c r="EB115" s="274"/>
      <c r="EC115" s="274"/>
      <c r="ED115" s="39">
        <f t="shared" si="37"/>
        <v>225111.11</v>
      </c>
      <c r="EE115" s="30">
        <f t="shared" si="38"/>
        <v>2</v>
      </c>
      <c r="EF115" s="39">
        <f t="shared" si="39"/>
        <v>112555.55499999999</v>
      </c>
    </row>
    <row r="116" spans="1:136" x14ac:dyDescent="0.25">
      <c r="A116" s="25" t="e">
        <f>#REF!</f>
        <v>#REF!</v>
      </c>
      <c r="B116" s="50" t="e">
        <f>#REF!</f>
        <v>#REF!</v>
      </c>
      <c r="C116" s="5" t="e">
        <f>#REF!</f>
        <v>#REF!</v>
      </c>
      <c r="D116" s="5" t="e">
        <f>#REF!</f>
        <v>#REF!</v>
      </c>
      <c r="E116" s="252">
        <v>1</v>
      </c>
      <c r="F116" s="249">
        <v>0</v>
      </c>
      <c r="G116" s="249">
        <v>0</v>
      </c>
      <c r="H116" s="249">
        <v>0</v>
      </c>
      <c r="I116" s="249">
        <v>0</v>
      </c>
      <c r="J116" s="249">
        <v>0</v>
      </c>
      <c r="K116" s="249">
        <v>0</v>
      </c>
      <c r="L116" s="274"/>
      <c r="M116" s="274"/>
      <c r="N116" s="255">
        <v>95000</v>
      </c>
      <c r="O116" s="135">
        <f>+N116*0.19</f>
        <v>18050</v>
      </c>
      <c r="P116" s="135">
        <f>+N116+O116</f>
        <v>113050</v>
      </c>
      <c r="Q116" s="131"/>
      <c r="R116" s="131"/>
      <c r="S116" s="11"/>
      <c r="T116" s="274"/>
      <c r="U116" s="274"/>
      <c r="V116" s="274"/>
      <c r="W116" s="39"/>
      <c r="X116" s="11"/>
      <c r="Y116" s="11"/>
      <c r="Z116" s="274"/>
      <c r="AA116" s="274"/>
      <c r="AB116" s="274"/>
      <c r="AC116" s="52"/>
      <c r="AD116" s="22"/>
      <c r="AE116" s="39"/>
      <c r="AF116" s="274"/>
      <c r="AG116" s="274"/>
      <c r="AH116" s="171"/>
      <c r="AI116" s="22"/>
      <c r="AJ116" s="39"/>
      <c r="AK116" s="39"/>
      <c r="AL116" s="118"/>
      <c r="AM116" s="152"/>
      <c r="AN116" s="181"/>
      <c r="AO116" s="131"/>
      <c r="AP116" s="131"/>
      <c r="AQ116" s="39"/>
      <c r="AR116" s="274"/>
      <c r="AS116" s="274"/>
      <c r="AT116" s="274"/>
      <c r="AU116" s="39"/>
      <c r="AV116" s="39"/>
      <c r="AW116" s="39"/>
      <c r="AX116" s="274"/>
      <c r="AY116" s="274"/>
      <c r="AZ116" s="274"/>
      <c r="BA116" s="39"/>
      <c r="BB116" s="62"/>
      <c r="BC116" s="39"/>
      <c r="BD116" s="274"/>
      <c r="BE116" s="274"/>
      <c r="BF116" s="274"/>
      <c r="BG116" s="39"/>
      <c r="BH116" s="39"/>
      <c r="BI116" s="39"/>
      <c r="BJ116" s="274"/>
      <c r="BK116" s="274"/>
      <c r="BL116" s="274"/>
      <c r="BM116" s="213"/>
      <c r="BN116" s="213"/>
      <c r="BO116" s="39"/>
      <c r="BP116" s="274">
        <v>65000</v>
      </c>
      <c r="BQ116" s="274">
        <f t="shared" si="46"/>
        <v>12350</v>
      </c>
      <c r="BR116" s="274">
        <f t="shared" si="47"/>
        <v>77350</v>
      </c>
      <c r="BS116" s="39"/>
      <c r="BT116" s="39"/>
      <c r="BU116" s="39"/>
      <c r="BV116" s="212"/>
      <c r="BW116" s="221"/>
      <c r="BX116" s="273"/>
      <c r="BY116" s="213"/>
      <c r="BZ116" s="213"/>
      <c r="CA116" s="213"/>
      <c r="CB116" s="274"/>
      <c r="CC116" s="274"/>
      <c r="CD116" s="274"/>
      <c r="CE116" s="39"/>
      <c r="CF116" s="39"/>
      <c r="CG116" s="39"/>
      <c r="CH116" s="274"/>
      <c r="CI116" s="274"/>
      <c r="CJ116" s="274"/>
      <c r="CK116" s="39"/>
      <c r="CL116" s="39"/>
      <c r="CM116" s="39"/>
      <c r="CN116" s="39"/>
      <c r="CO116" s="39"/>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274"/>
      <c r="DM116" s="274"/>
      <c r="DN116" s="274"/>
      <c r="DO116" s="274"/>
      <c r="DP116" s="274"/>
      <c r="DQ116" s="274"/>
      <c r="DR116" s="274"/>
      <c r="DS116" s="274"/>
      <c r="DT116" s="274"/>
      <c r="DU116" s="274"/>
      <c r="DV116" s="274"/>
      <c r="DW116" s="274"/>
      <c r="DX116" s="274"/>
      <c r="DY116" s="274"/>
      <c r="DZ116" s="274"/>
      <c r="EA116" s="274"/>
      <c r="EB116" s="274"/>
      <c r="EC116" s="274"/>
      <c r="ED116" s="39">
        <f t="shared" si="37"/>
        <v>190400</v>
      </c>
      <c r="EE116" s="30">
        <f t="shared" si="38"/>
        <v>2</v>
      </c>
      <c r="EF116" s="39">
        <f t="shared" si="39"/>
        <v>95200</v>
      </c>
    </row>
    <row r="117" spans="1:136" x14ac:dyDescent="0.25">
      <c r="A117" s="25" t="e">
        <f>#REF!</f>
        <v>#REF!</v>
      </c>
      <c r="B117" s="50" t="e">
        <f>#REF!</f>
        <v>#REF!</v>
      </c>
      <c r="C117" s="5" t="e">
        <f>#REF!</f>
        <v>#REF!</v>
      </c>
      <c r="D117" s="5" t="e">
        <f>#REF!</f>
        <v>#REF!</v>
      </c>
      <c r="E117" s="252">
        <v>1</v>
      </c>
      <c r="F117" s="249">
        <v>0</v>
      </c>
      <c r="G117" s="249">
        <v>0</v>
      </c>
      <c r="H117" s="249">
        <v>0</v>
      </c>
      <c r="I117" s="249">
        <v>0</v>
      </c>
      <c r="J117" s="249">
        <v>0</v>
      </c>
      <c r="K117" s="249">
        <v>0</v>
      </c>
      <c r="L117" s="274"/>
      <c r="M117" s="274"/>
      <c r="N117" s="255">
        <v>100000</v>
      </c>
      <c r="O117" s="135">
        <f>+N117*0.19</f>
        <v>19000</v>
      </c>
      <c r="P117" s="135">
        <f>+N117+O117</f>
        <v>119000</v>
      </c>
      <c r="Q117" s="131"/>
      <c r="R117" s="131"/>
      <c r="S117" s="11"/>
      <c r="T117" s="274"/>
      <c r="U117" s="274"/>
      <c r="V117" s="274"/>
      <c r="W117" s="39"/>
      <c r="X117" s="11"/>
      <c r="Y117" s="11"/>
      <c r="Z117" s="274"/>
      <c r="AA117" s="274"/>
      <c r="AB117" s="274"/>
      <c r="AC117" s="52"/>
      <c r="AD117" s="22"/>
      <c r="AE117" s="39"/>
      <c r="AF117" s="274"/>
      <c r="AG117" s="274"/>
      <c r="AH117" s="171"/>
      <c r="AI117" s="22"/>
      <c r="AJ117" s="39"/>
      <c r="AK117" s="39"/>
      <c r="AL117" s="118"/>
      <c r="AM117" s="152"/>
      <c r="AN117" s="181"/>
      <c r="AO117" s="131"/>
      <c r="AP117" s="131"/>
      <c r="AQ117" s="39"/>
      <c r="AR117" s="274"/>
      <c r="AS117" s="274"/>
      <c r="AT117" s="274"/>
      <c r="AU117" s="39"/>
      <c r="AV117" s="39"/>
      <c r="AW117" s="39"/>
      <c r="AX117" s="274"/>
      <c r="AY117" s="274"/>
      <c r="AZ117" s="274"/>
      <c r="BA117" s="39"/>
      <c r="BB117" s="62"/>
      <c r="BC117" s="39"/>
      <c r="BD117" s="274"/>
      <c r="BE117" s="274"/>
      <c r="BF117" s="274"/>
      <c r="BG117" s="39"/>
      <c r="BH117" s="39"/>
      <c r="BI117" s="39"/>
      <c r="BJ117" s="274">
        <v>188300</v>
      </c>
      <c r="BK117" s="274">
        <f>+BJ117*0.19</f>
        <v>35777</v>
      </c>
      <c r="BL117" s="274">
        <f>+BJ117+BK117</f>
        <v>224077</v>
      </c>
      <c r="BM117" s="213" t="s">
        <v>196</v>
      </c>
      <c r="BN117" s="213" t="s">
        <v>4766</v>
      </c>
      <c r="BO117" s="39"/>
      <c r="BP117" s="274">
        <v>85000</v>
      </c>
      <c r="BQ117" s="274">
        <f t="shared" si="46"/>
        <v>16150</v>
      </c>
      <c r="BR117" s="274">
        <f t="shared" si="47"/>
        <v>101150</v>
      </c>
      <c r="BS117" s="39"/>
      <c r="BT117" s="39"/>
      <c r="BU117" s="39"/>
      <c r="BV117" s="219">
        <v>201689.07149999999</v>
      </c>
      <c r="BW117" s="219">
        <f>+BV117*0.19</f>
        <v>38320.923584999997</v>
      </c>
      <c r="BX117" s="273">
        <f>+BV117+BW117</f>
        <v>240009.995085</v>
      </c>
      <c r="BY117" s="213" t="s">
        <v>196</v>
      </c>
      <c r="BZ117" s="213" t="s">
        <v>4766</v>
      </c>
      <c r="CA117" s="213"/>
      <c r="CB117" s="274"/>
      <c r="CC117" s="274"/>
      <c r="CD117" s="274"/>
      <c r="CE117" s="39"/>
      <c r="CF117" s="39"/>
      <c r="CG117" s="39"/>
      <c r="CH117" s="274"/>
      <c r="CI117" s="274"/>
      <c r="CJ117" s="274"/>
      <c r="CK117" s="39"/>
      <c r="CL117" s="39"/>
      <c r="CM117" s="39"/>
      <c r="CN117" s="39"/>
      <c r="CO117" s="39"/>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274"/>
      <c r="DM117" s="274"/>
      <c r="DN117" s="274"/>
      <c r="DO117" s="274"/>
      <c r="DP117" s="274"/>
      <c r="DQ117" s="274"/>
      <c r="DR117" s="274"/>
      <c r="DS117" s="274"/>
      <c r="DT117" s="274"/>
      <c r="DU117" s="274"/>
      <c r="DV117" s="274"/>
      <c r="DW117" s="274"/>
      <c r="DX117" s="274"/>
      <c r="DY117" s="274"/>
      <c r="DZ117" s="274"/>
      <c r="EA117" s="274"/>
      <c r="EB117" s="274"/>
      <c r="EC117" s="274"/>
      <c r="ED117" s="39">
        <f t="shared" si="37"/>
        <v>684236.99508500006</v>
      </c>
      <c r="EE117" s="30">
        <f t="shared" si="38"/>
        <v>4</v>
      </c>
      <c r="EF117" s="39">
        <f t="shared" si="39"/>
        <v>171059.24877125002</v>
      </c>
    </row>
    <row r="118" spans="1:136" ht="24" x14ac:dyDescent="0.25">
      <c r="A118" s="25" t="e">
        <f>#REF!</f>
        <v>#REF!</v>
      </c>
      <c r="B118" s="50" t="e">
        <f>#REF!</f>
        <v>#REF!</v>
      </c>
      <c r="C118" s="5" t="e">
        <f>#REF!</f>
        <v>#REF!</v>
      </c>
      <c r="D118" s="5" t="e">
        <f>#REF!</f>
        <v>#REF!</v>
      </c>
      <c r="E118" s="252">
        <v>1</v>
      </c>
      <c r="F118" s="249">
        <v>0</v>
      </c>
      <c r="G118" s="249">
        <v>0</v>
      </c>
      <c r="H118" s="249">
        <v>0</v>
      </c>
      <c r="I118" s="249">
        <v>0</v>
      </c>
      <c r="J118" s="249">
        <v>0</v>
      </c>
      <c r="K118" s="249">
        <v>0</v>
      </c>
      <c r="L118" s="274"/>
      <c r="M118" s="274"/>
      <c r="N118" s="255">
        <v>155000</v>
      </c>
      <c r="O118" s="135">
        <f>+N118*0.19</f>
        <v>29450</v>
      </c>
      <c r="P118" s="135">
        <f>+N118+O118</f>
        <v>184450</v>
      </c>
      <c r="Q118" s="131"/>
      <c r="R118" s="131"/>
      <c r="S118" s="11"/>
      <c r="T118" s="274"/>
      <c r="U118" s="274"/>
      <c r="V118" s="274"/>
      <c r="W118" s="39"/>
      <c r="X118" s="11"/>
      <c r="Y118" s="11"/>
      <c r="Z118" s="274"/>
      <c r="AA118" s="274"/>
      <c r="AB118" s="274"/>
      <c r="AC118" s="52"/>
      <c r="AD118" s="22"/>
      <c r="AE118" s="39"/>
      <c r="AF118" s="274"/>
      <c r="AG118" s="274"/>
      <c r="AH118" s="113"/>
      <c r="AI118" s="22"/>
      <c r="AJ118" s="39"/>
      <c r="AK118" s="39"/>
      <c r="AL118" s="118"/>
      <c r="AM118" s="152"/>
      <c r="AN118" s="181"/>
      <c r="AO118" s="131"/>
      <c r="AP118" s="131"/>
      <c r="AQ118" s="39"/>
      <c r="AR118" s="274"/>
      <c r="AS118" s="274"/>
      <c r="AT118" s="274"/>
      <c r="AU118" s="39"/>
      <c r="AV118" s="39"/>
      <c r="AW118" s="39"/>
      <c r="AX118" s="274"/>
      <c r="AY118" s="274"/>
      <c r="AZ118" s="274"/>
      <c r="BA118" s="39"/>
      <c r="BB118" s="62"/>
      <c r="BC118" s="39"/>
      <c r="BD118" s="274"/>
      <c r="BE118" s="274"/>
      <c r="BF118" s="274"/>
      <c r="BG118" s="39"/>
      <c r="BH118" s="39"/>
      <c r="BI118" s="39"/>
      <c r="BJ118" s="274">
        <v>144750</v>
      </c>
      <c r="BK118" s="274">
        <f>+BJ118*0</f>
        <v>0</v>
      </c>
      <c r="BL118" s="274">
        <f>+BJ118+BK118</f>
        <v>144750</v>
      </c>
      <c r="BM118" s="213" t="s">
        <v>196</v>
      </c>
      <c r="BN118" s="213" t="s">
        <v>4767</v>
      </c>
      <c r="BO118" s="39"/>
      <c r="BP118" s="274">
        <v>125000</v>
      </c>
      <c r="BQ118" s="274">
        <f t="shared" si="46"/>
        <v>23750</v>
      </c>
      <c r="BR118" s="274">
        <f t="shared" si="47"/>
        <v>148750</v>
      </c>
      <c r="BS118" s="39"/>
      <c r="BT118" s="39"/>
      <c r="BU118" s="39"/>
      <c r="BV118" s="219">
        <v>172353.24600000004</v>
      </c>
      <c r="BW118" s="222">
        <f>+BV118*0</f>
        <v>0</v>
      </c>
      <c r="BX118" s="273">
        <f>+BV118+BW118</f>
        <v>172353.24600000004</v>
      </c>
      <c r="BY118" s="213" t="s">
        <v>196</v>
      </c>
      <c r="BZ118" s="213" t="s">
        <v>4767</v>
      </c>
      <c r="CA118" s="213"/>
      <c r="CB118" s="274"/>
      <c r="CC118" s="274"/>
      <c r="CD118" s="274"/>
      <c r="CE118" s="39"/>
      <c r="CF118" s="39"/>
      <c r="CG118" s="39"/>
      <c r="CH118" s="274"/>
      <c r="CI118" s="274"/>
      <c r="CJ118" s="274"/>
      <c r="CK118" s="39"/>
      <c r="CL118" s="39"/>
      <c r="CM118" s="39"/>
      <c r="CN118" s="39"/>
      <c r="CO118" s="39"/>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274"/>
      <c r="DM118" s="274"/>
      <c r="DN118" s="274"/>
      <c r="DO118" s="274"/>
      <c r="DP118" s="274"/>
      <c r="DQ118" s="274"/>
      <c r="DR118" s="274"/>
      <c r="DS118" s="274"/>
      <c r="DT118" s="274"/>
      <c r="DU118" s="274"/>
      <c r="DV118" s="274"/>
      <c r="DW118" s="274"/>
      <c r="DX118" s="274"/>
      <c r="DY118" s="274"/>
      <c r="DZ118" s="274"/>
      <c r="EA118" s="274"/>
      <c r="EB118" s="274"/>
      <c r="EC118" s="274"/>
      <c r="ED118" s="39">
        <f t="shared" si="37"/>
        <v>650303.24600000004</v>
      </c>
      <c r="EE118" s="30">
        <f t="shared" si="38"/>
        <v>4</v>
      </c>
      <c r="EF118" s="39">
        <f t="shared" si="39"/>
        <v>162575.81150000001</v>
      </c>
    </row>
    <row r="119" spans="1:136" x14ac:dyDescent="0.25">
      <c r="A119" s="25" t="e">
        <f>#REF!</f>
        <v>#REF!</v>
      </c>
      <c r="B119" s="50" t="e">
        <f>#REF!</f>
        <v>#REF!</v>
      </c>
      <c r="C119" s="5" t="e">
        <f>#REF!</f>
        <v>#REF!</v>
      </c>
      <c r="D119" s="5" t="e">
        <f>#REF!</f>
        <v>#REF!</v>
      </c>
      <c r="E119" s="252">
        <v>1</v>
      </c>
      <c r="F119" s="249">
        <v>0</v>
      </c>
      <c r="G119" s="249">
        <v>0</v>
      </c>
      <c r="H119" s="249">
        <v>0</v>
      </c>
      <c r="I119" s="249">
        <v>0</v>
      </c>
      <c r="J119" s="249">
        <v>0</v>
      </c>
      <c r="K119" s="249">
        <v>0</v>
      </c>
      <c r="L119" s="274"/>
      <c r="M119" s="274"/>
      <c r="N119" s="255">
        <v>4000</v>
      </c>
      <c r="O119" s="135">
        <f>+N119*0.19</f>
        <v>760</v>
      </c>
      <c r="P119" s="135">
        <f>+N119+O119</f>
        <v>4760</v>
      </c>
      <c r="Q119" s="11"/>
      <c r="R119" s="11"/>
      <c r="S119" s="11"/>
      <c r="T119" s="274"/>
      <c r="U119" s="274"/>
      <c r="V119" s="274"/>
      <c r="W119" s="11"/>
      <c r="X119" s="11"/>
      <c r="Y119" s="11"/>
      <c r="Z119" s="274"/>
      <c r="AA119" s="274"/>
      <c r="AB119" s="274"/>
      <c r="AC119" s="11"/>
      <c r="AD119" s="11"/>
      <c r="AE119" s="11"/>
      <c r="AF119" s="274"/>
      <c r="AG119" s="274"/>
      <c r="AH119" s="274"/>
      <c r="AI119" s="11"/>
      <c r="AJ119" s="11"/>
      <c r="AK119" s="11"/>
      <c r="AL119" s="118"/>
      <c r="AM119" s="118"/>
      <c r="AN119" s="118"/>
      <c r="AO119" s="52"/>
      <c r="AP119" s="52"/>
      <c r="AQ119" s="11"/>
      <c r="AR119" s="274"/>
      <c r="AS119" s="274"/>
      <c r="AT119" s="274"/>
      <c r="AU119" s="11"/>
      <c r="AV119" s="11"/>
      <c r="AW119" s="11"/>
      <c r="AX119" s="274"/>
      <c r="AY119" s="274"/>
      <c r="AZ119" s="274"/>
      <c r="BA119" s="11"/>
      <c r="BB119" s="11"/>
      <c r="BC119" s="11"/>
      <c r="BD119" s="274"/>
      <c r="BE119" s="274"/>
      <c r="BF119" s="274"/>
      <c r="BG119" s="11"/>
      <c r="BH119" s="11"/>
      <c r="BI119" s="11"/>
      <c r="BJ119" s="274"/>
      <c r="BK119" s="274"/>
      <c r="BL119" s="274"/>
      <c r="BM119" s="213"/>
      <c r="BN119" s="213"/>
      <c r="BO119" s="11"/>
      <c r="BP119" s="274">
        <v>42500</v>
      </c>
      <c r="BQ119" s="274">
        <f t="shared" si="46"/>
        <v>8075</v>
      </c>
      <c r="BR119" s="274">
        <f t="shared" si="47"/>
        <v>50575</v>
      </c>
      <c r="BS119" s="11"/>
      <c r="BT119" s="11"/>
      <c r="BU119" s="11"/>
      <c r="BV119" s="212"/>
      <c r="BW119" s="221"/>
      <c r="BX119" s="273"/>
      <c r="BY119" s="213"/>
      <c r="BZ119" s="213"/>
      <c r="CA119" s="213"/>
      <c r="CB119" s="274"/>
      <c r="CC119" s="274"/>
      <c r="CD119" s="274"/>
      <c r="CE119" s="11"/>
      <c r="CF119" s="11"/>
      <c r="CG119" s="11"/>
      <c r="CH119" s="274"/>
      <c r="CI119" s="274"/>
      <c r="CJ119" s="274"/>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274"/>
      <c r="DM119" s="274"/>
      <c r="DN119" s="274"/>
      <c r="DO119" s="274"/>
      <c r="DP119" s="274"/>
      <c r="DQ119" s="274"/>
      <c r="DR119" s="274"/>
      <c r="DS119" s="274"/>
      <c r="DT119" s="274"/>
      <c r="DU119" s="274"/>
      <c r="DV119" s="274"/>
      <c r="DW119" s="274"/>
      <c r="DX119" s="274"/>
      <c r="DY119" s="274"/>
      <c r="DZ119" s="274"/>
      <c r="EA119" s="274"/>
      <c r="EB119" s="274"/>
      <c r="EC119" s="274"/>
      <c r="ED119" s="39">
        <f t="shared" si="37"/>
        <v>55335</v>
      </c>
      <c r="EE119" s="30">
        <f t="shared" si="38"/>
        <v>2</v>
      </c>
      <c r="EF119" s="39">
        <f t="shared" si="39"/>
        <v>27667.5</v>
      </c>
    </row>
    <row r="120" spans="1:136" x14ac:dyDescent="0.25">
      <c r="A120" s="25" t="e">
        <f>#REF!</f>
        <v>#REF!</v>
      </c>
      <c r="B120" s="50" t="e">
        <f>#REF!</f>
        <v>#REF!</v>
      </c>
      <c r="C120" s="5" t="e">
        <f>#REF!</f>
        <v>#REF!</v>
      </c>
      <c r="D120" s="5" t="e">
        <f>#REF!</f>
        <v>#REF!</v>
      </c>
      <c r="E120" s="252">
        <v>1</v>
      </c>
      <c r="F120" s="249">
        <v>0</v>
      </c>
      <c r="G120" s="249">
        <v>0</v>
      </c>
      <c r="H120" s="249">
        <v>0</v>
      </c>
      <c r="I120" s="249">
        <v>0</v>
      </c>
      <c r="J120" s="249">
        <v>0</v>
      </c>
      <c r="K120" s="249">
        <v>0</v>
      </c>
      <c r="L120" s="274"/>
      <c r="M120" s="274"/>
      <c r="N120" s="255"/>
      <c r="O120" s="135"/>
      <c r="P120" s="135"/>
      <c r="Q120" s="131"/>
      <c r="R120" s="131"/>
      <c r="S120" s="11"/>
      <c r="T120" s="274"/>
      <c r="U120" s="274"/>
      <c r="V120" s="274"/>
      <c r="W120" s="39"/>
      <c r="X120" s="11"/>
      <c r="Y120" s="11"/>
      <c r="Z120" s="274"/>
      <c r="AA120" s="274"/>
      <c r="AB120" s="274"/>
      <c r="AC120" s="52"/>
      <c r="AD120" s="22"/>
      <c r="AE120" s="39"/>
      <c r="AF120" s="274"/>
      <c r="AG120" s="274"/>
      <c r="AH120" s="171"/>
      <c r="AI120" s="4"/>
      <c r="AJ120" s="39"/>
      <c r="AK120" s="39"/>
      <c r="AL120" s="118"/>
      <c r="AM120" s="152"/>
      <c r="AN120" s="181"/>
      <c r="AO120" s="131"/>
      <c r="AP120" s="131"/>
      <c r="AQ120" s="39"/>
      <c r="AR120" s="274"/>
      <c r="AS120" s="274"/>
      <c r="AT120" s="274"/>
      <c r="AU120" s="39"/>
      <c r="AV120" s="39"/>
      <c r="AW120" s="39"/>
      <c r="AX120" s="274"/>
      <c r="AY120" s="274"/>
      <c r="AZ120" s="274"/>
      <c r="BA120" s="39"/>
      <c r="BB120" s="62"/>
      <c r="BC120" s="39"/>
      <c r="BD120" s="274"/>
      <c r="BE120" s="274"/>
      <c r="BF120" s="274"/>
      <c r="BG120" s="39"/>
      <c r="BH120" s="39"/>
      <c r="BI120" s="39"/>
      <c r="BJ120" s="274"/>
      <c r="BK120" s="274"/>
      <c r="BL120" s="274"/>
      <c r="BM120" s="213"/>
      <c r="BN120" s="213"/>
      <c r="BO120" s="39"/>
      <c r="BP120" s="274">
        <v>36000</v>
      </c>
      <c r="BQ120" s="274">
        <f t="shared" si="46"/>
        <v>6840</v>
      </c>
      <c r="BR120" s="274">
        <f t="shared" si="47"/>
        <v>42840</v>
      </c>
      <c r="BS120" s="39"/>
      <c r="BT120" s="39"/>
      <c r="BU120" s="39"/>
      <c r="BV120" s="212"/>
      <c r="BW120" s="221"/>
      <c r="BX120" s="273"/>
      <c r="BY120" s="213"/>
      <c r="BZ120" s="213"/>
      <c r="CA120" s="213"/>
      <c r="CB120" s="274"/>
      <c r="CC120" s="274"/>
      <c r="CD120" s="274"/>
      <c r="CE120" s="39"/>
      <c r="CF120" s="39"/>
      <c r="CG120" s="39"/>
      <c r="CH120" s="274"/>
      <c r="CI120" s="274"/>
      <c r="CJ120" s="274"/>
      <c r="CK120" s="39"/>
      <c r="CL120" s="39"/>
      <c r="CM120" s="39"/>
      <c r="CN120" s="39"/>
      <c r="CO120" s="39"/>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274"/>
      <c r="DM120" s="274"/>
      <c r="DN120" s="274"/>
      <c r="DO120" s="274"/>
      <c r="DP120" s="274"/>
      <c r="DQ120" s="274"/>
      <c r="DR120" s="274"/>
      <c r="DS120" s="274"/>
      <c r="DT120" s="274"/>
      <c r="DU120" s="274"/>
      <c r="DV120" s="274"/>
      <c r="DW120" s="274"/>
      <c r="DX120" s="274"/>
      <c r="DY120" s="274"/>
      <c r="DZ120" s="274"/>
      <c r="EA120" s="274"/>
      <c r="EB120" s="274"/>
      <c r="EC120" s="274"/>
      <c r="ED120" s="39">
        <f t="shared" si="37"/>
        <v>42840</v>
      </c>
      <c r="EE120" s="30">
        <f t="shared" si="38"/>
        <v>1</v>
      </c>
      <c r="EF120" s="39">
        <f t="shared" si="39"/>
        <v>42840</v>
      </c>
    </row>
    <row r="121" spans="1:136" x14ac:dyDescent="0.25">
      <c r="A121" s="25" t="e">
        <f>#REF!</f>
        <v>#REF!</v>
      </c>
      <c r="B121" s="50" t="e">
        <f>#REF!</f>
        <v>#REF!</v>
      </c>
      <c r="C121" s="5" t="e">
        <f>#REF!</f>
        <v>#REF!</v>
      </c>
      <c r="D121" s="5" t="e">
        <f>#REF!</f>
        <v>#REF!</v>
      </c>
      <c r="E121" s="252">
        <v>1</v>
      </c>
      <c r="F121" s="249">
        <v>0</v>
      </c>
      <c r="G121" s="249">
        <v>0</v>
      </c>
      <c r="H121" s="249">
        <v>0</v>
      </c>
      <c r="I121" s="249">
        <v>0</v>
      </c>
      <c r="J121" s="249">
        <v>0</v>
      </c>
      <c r="K121" s="249">
        <v>0</v>
      </c>
      <c r="L121" s="274"/>
      <c r="M121" s="274"/>
      <c r="N121" s="255">
        <v>30000</v>
      </c>
      <c r="O121" s="135">
        <f>+N121*0.19</f>
        <v>5700</v>
      </c>
      <c r="P121" s="135">
        <f>+N121+O121</f>
        <v>35700</v>
      </c>
      <c r="Q121" s="131"/>
      <c r="R121" s="131"/>
      <c r="S121" s="11"/>
      <c r="T121" s="274"/>
      <c r="U121" s="274"/>
      <c r="V121" s="274"/>
      <c r="W121" s="39"/>
      <c r="X121" s="11"/>
      <c r="Y121" s="11"/>
      <c r="Z121" s="274"/>
      <c r="AA121" s="274"/>
      <c r="AB121" s="274"/>
      <c r="AC121" s="52"/>
      <c r="AD121" s="22"/>
      <c r="AE121" s="39"/>
      <c r="AF121" s="274"/>
      <c r="AG121" s="274"/>
      <c r="AH121" s="171"/>
      <c r="AI121" s="4"/>
      <c r="AJ121" s="39"/>
      <c r="AK121" s="39"/>
      <c r="AL121" s="118"/>
      <c r="AM121" s="152"/>
      <c r="AN121" s="181"/>
      <c r="AO121" s="131"/>
      <c r="AP121" s="131"/>
      <c r="AQ121" s="39"/>
      <c r="AR121" s="274"/>
      <c r="AS121" s="274"/>
      <c r="AT121" s="274"/>
      <c r="AU121" s="39"/>
      <c r="AV121" s="39"/>
      <c r="AW121" s="39"/>
      <c r="AX121" s="274"/>
      <c r="AY121" s="274"/>
      <c r="AZ121" s="274"/>
      <c r="BA121" s="39"/>
      <c r="BB121" s="62"/>
      <c r="BC121" s="39"/>
      <c r="BD121" s="274"/>
      <c r="BE121" s="274"/>
      <c r="BF121" s="274"/>
      <c r="BG121" s="39"/>
      <c r="BH121" s="39"/>
      <c r="BI121" s="39"/>
      <c r="BJ121" s="274"/>
      <c r="BK121" s="274"/>
      <c r="BL121" s="274"/>
      <c r="BM121" s="213"/>
      <c r="BN121" s="213"/>
      <c r="BO121" s="39"/>
      <c r="BP121" s="274">
        <v>36000</v>
      </c>
      <c r="BQ121" s="274">
        <f t="shared" si="46"/>
        <v>6840</v>
      </c>
      <c r="BR121" s="274">
        <f t="shared" si="47"/>
        <v>42840</v>
      </c>
      <c r="BS121" s="39"/>
      <c r="BT121" s="39"/>
      <c r="BU121" s="39"/>
      <c r="BV121" s="212"/>
      <c r="BW121" s="221"/>
      <c r="BX121" s="273"/>
      <c r="BY121" s="213"/>
      <c r="BZ121" s="213"/>
      <c r="CA121" s="213"/>
      <c r="CB121" s="274"/>
      <c r="CC121" s="274"/>
      <c r="CD121" s="274"/>
      <c r="CE121" s="39"/>
      <c r="CF121" s="39"/>
      <c r="CG121" s="39"/>
      <c r="CH121" s="274"/>
      <c r="CI121" s="274"/>
      <c r="CJ121" s="274"/>
      <c r="CK121" s="39"/>
      <c r="CL121" s="39"/>
      <c r="CM121" s="39"/>
      <c r="CN121" s="39"/>
      <c r="CO121" s="39"/>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274"/>
      <c r="DM121" s="274"/>
      <c r="DN121" s="274"/>
      <c r="DO121" s="274"/>
      <c r="DP121" s="274"/>
      <c r="DQ121" s="274"/>
      <c r="DR121" s="274"/>
      <c r="DS121" s="274"/>
      <c r="DT121" s="274"/>
      <c r="DU121" s="274"/>
      <c r="DV121" s="274"/>
      <c r="DW121" s="274"/>
      <c r="DX121" s="274"/>
      <c r="DY121" s="274"/>
      <c r="DZ121" s="274"/>
      <c r="EA121" s="274"/>
      <c r="EB121" s="274"/>
      <c r="EC121" s="274"/>
      <c r="ED121" s="39">
        <f t="shared" si="37"/>
        <v>78540</v>
      </c>
      <c r="EE121" s="30">
        <f t="shared" si="38"/>
        <v>2</v>
      </c>
      <c r="EF121" s="39">
        <f t="shared" si="39"/>
        <v>39270</v>
      </c>
    </row>
    <row r="122" spans="1:136" x14ac:dyDescent="0.25">
      <c r="A122" s="25" t="e">
        <f>#REF!</f>
        <v>#REF!</v>
      </c>
      <c r="B122" s="50" t="e">
        <f>#REF!</f>
        <v>#REF!</v>
      </c>
      <c r="C122" s="5" t="e">
        <f>#REF!</f>
        <v>#REF!</v>
      </c>
      <c r="D122" s="5" t="e">
        <f>#REF!</f>
        <v>#REF!</v>
      </c>
      <c r="E122" s="252">
        <v>1</v>
      </c>
      <c r="F122" s="249">
        <v>0</v>
      </c>
      <c r="G122" s="249">
        <v>0</v>
      </c>
      <c r="H122" s="249">
        <v>0</v>
      </c>
      <c r="I122" s="249">
        <v>0</v>
      </c>
      <c r="J122" s="249">
        <v>0</v>
      </c>
      <c r="K122" s="249">
        <v>0</v>
      </c>
      <c r="L122" s="274"/>
      <c r="M122" s="274"/>
      <c r="N122" s="255">
        <v>40000</v>
      </c>
      <c r="O122" s="135">
        <f>+N122*0.19</f>
        <v>7600</v>
      </c>
      <c r="P122" s="135">
        <f>+N122+O122</f>
        <v>47600</v>
      </c>
      <c r="Q122" s="11"/>
      <c r="R122" s="11"/>
      <c r="S122" s="11"/>
      <c r="T122" s="274"/>
      <c r="U122" s="274"/>
      <c r="V122" s="274"/>
      <c r="W122" s="11"/>
      <c r="X122" s="11"/>
      <c r="Y122" s="11"/>
      <c r="Z122" s="274"/>
      <c r="AA122" s="274"/>
      <c r="AB122" s="274"/>
      <c r="AC122" s="11"/>
      <c r="AD122" s="11"/>
      <c r="AE122" s="11"/>
      <c r="AF122" s="274"/>
      <c r="AG122" s="274"/>
      <c r="AH122" s="274"/>
      <c r="AI122" s="11"/>
      <c r="AJ122" s="11"/>
      <c r="AK122" s="11"/>
      <c r="AL122" s="118"/>
      <c r="AM122" s="118"/>
      <c r="AN122" s="118"/>
      <c r="AO122" s="52"/>
      <c r="AP122" s="52"/>
      <c r="AQ122" s="11"/>
      <c r="AR122" s="274"/>
      <c r="AS122" s="274"/>
      <c r="AT122" s="274"/>
      <c r="AU122" s="11"/>
      <c r="AV122" s="11"/>
      <c r="AW122" s="11"/>
      <c r="AX122" s="274"/>
      <c r="AY122" s="274"/>
      <c r="AZ122" s="274"/>
      <c r="BA122" s="11"/>
      <c r="BB122" s="11"/>
      <c r="BC122" s="11"/>
      <c r="BD122" s="274"/>
      <c r="BE122" s="274"/>
      <c r="BF122" s="274"/>
      <c r="BG122" s="11"/>
      <c r="BH122" s="11"/>
      <c r="BI122" s="11"/>
      <c r="BJ122" s="274"/>
      <c r="BK122" s="274"/>
      <c r="BL122" s="274"/>
      <c r="BM122" s="213"/>
      <c r="BN122" s="213"/>
      <c r="BO122" s="11"/>
      <c r="BP122" s="274">
        <v>36000</v>
      </c>
      <c r="BQ122" s="274">
        <f t="shared" si="46"/>
        <v>6840</v>
      </c>
      <c r="BR122" s="274">
        <f t="shared" si="47"/>
        <v>42840</v>
      </c>
      <c r="BS122" s="11"/>
      <c r="BT122" s="11"/>
      <c r="BU122" s="11"/>
      <c r="BV122" s="212"/>
      <c r="BW122" s="221"/>
      <c r="BX122" s="273"/>
      <c r="BY122" s="213"/>
      <c r="BZ122" s="213"/>
      <c r="CA122" s="213"/>
      <c r="CB122" s="274"/>
      <c r="CC122" s="274"/>
      <c r="CD122" s="274"/>
      <c r="CE122" s="11"/>
      <c r="CF122" s="11"/>
      <c r="CG122" s="11"/>
      <c r="CH122" s="274"/>
      <c r="CI122" s="274"/>
      <c r="CJ122" s="274"/>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274"/>
      <c r="DM122" s="274"/>
      <c r="DN122" s="274"/>
      <c r="DO122" s="274"/>
      <c r="DP122" s="274"/>
      <c r="DQ122" s="274"/>
      <c r="DR122" s="274"/>
      <c r="DS122" s="274"/>
      <c r="DT122" s="274"/>
      <c r="DU122" s="274"/>
      <c r="DV122" s="274"/>
      <c r="DW122" s="274"/>
      <c r="DX122" s="274"/>
      <c r="DY122" s="274"/>
      <c r="DZ122" s="274"/>
      <c r="EA122" s="274"/>
      <c r="EB122" s="274"/>
      <c r="EC122" s="274"/>
      <c r="ED122" s="39">
        <f t="shared" si="37"/>
        <v>90440</v>
      </c>
      <c r="EE122" s="30">
        <f t="shared" si="38"/>
        <v>2</v>
      </c>
      <c r="EF122" s="39">
        <f t="shared" si="39"/>
        <v>45220</v>
      </c>
    </row>
    <row r="123" spans="1:136" x14ac:dyDescent="0.25">
      <c r="A123" s="25" t="e">
        <f>#REF!</f>
        <v>#REF!</v>
      </c>
      <c r="B123" s="50" t="e">
        <f>#REF!</f>
        <v>#REF!</v>
      </c>
      <c r="C123" s="5" t="e">
        <f>#REF!</f>
        <v>#REF!</v>
      </c>
      <c r="D123" s="5" t="e">
        <f>#REF!</f>
        <v>#REF!</v>
      </c>
      <c r="E123" s="252">
        <v>1</v>
      </c>
      <c r="F123" s="249">
        <v>0</v>
      </c>
      <c r="G123" s="249">
        <v>0</v>
      </c>
      <c r="H123" s="249">
        <v>0</v>
      </c>
      <c r="I123" s="249">
        <v>0</v>
      </c>
      <c r="J123" s="249">
        <v>0</v>
      </c>
      <c r="K123" s="249">
        <v>0</v>
      </c>
      <c r="L123" s="274"/>
      <c r="M123" s="274"/>
      <c r="N123" s="255"/>
      <c r="O123" s="135"/>
      <c r="P123" s="135"/>
      <c r="Q123" s="131"/>
      <c r="R123" s="131"/>
      <c r="S123" s="11"/>
      <c r="T123" s="274"/>
      <c r="U123" s="274"/>
      <c r="V123" s="274"/>
      <c r="W123" s="39"/>
      <c r="X123" s="11"/>
      <c r="Y123" s="11"/>
      <c r="Z123" s="274"/>
      <c r="AA123" s="274"/>
      <c r="AB123" s="274"/>
      <c r="AC123" s="52"/>
      <c r="AD123" s="22"/>
      <c r="AE123" s="39"/>
      <c r="AF123" s="274"/>
      <c r="AG123" s="274"/>
      <c r="AH123" s="113"/>
      <c r="AI123" s="4"/>
      <c r="AJ123" s="39"/>
      <c r="AK123" s="39"/>
      <c r="AL123" s="118"/>
      <c r="AM123" s="152"/>
      <c r="AN123" s="181"/>
      <c r="AO123" s="131"/>
      <c r="AP123" s="131"/>
      <c r="AQ123" s="39"/>
      <c r="AR123" s="274"/>
      <c r="AS123" s="274"/>
      <c r="AT123" s="274"/>
      <c r="AU123" s="39"/>
      <c r="AV123" s="39"/>
      <c r="AW123" s="39"/>
      <c r="AX123" s="274"/>
      <c r="AY123" s="274"/>
      <c r="AZ123" s="274"/>
      <c r="BA123" s="39"/>
      <c r="BB123" s="62"/>
      <c r="BC123" s="39"/>
      <c r="BD123" s="274"/>
      <c r="BE123" s="274"/>
      <c r="BF123" s="274"/>
      <c r="BG123" s="39"/>
      <c r="BH123" s="39"/>
      <c r="BI123" s="39"/>
      <c r="BJ123" s="274"/>
      <c r="BK123" s="274"/>
      <c r="BL123" s="274"/>
      <c r="BM123" s="213"/>
      <c r="BN123" s="213"/>
      <c r="BO123" s="39"/>
      <c r="BP123" s="274">
        <v>36000</v>
      </c>
      <c r="BQ123" s="274">
        <f t="shared" si="46"/>
        <v>6840</v>
      </c>
      <c r="BR123" s="274">
        <f t="shared" si="47"/>
        <v>42840</v>
      </c>
      <c r="BS123" s="39"/>
      <c r="BT123" s="39"/>
      <c r="BU123" s="39"/>
      <c r="BV123" s="212"/>
      <c r="BW123" s="221"/>
      <c r="BX123" s="273"/>
      <c r="BY123" s="213"/>
      <c r="BZ123" s="213"/>
      <c r="CA123" s="213"/>
      <c r="CB123" s="274"/>
      <c r="CC123" s="274"/>
      <c r="CD123" s="274"/>
      <c r="CE123" s="39"/>
      <c r="CF123" s="39"/>
      <c r="CG123" s="39"/>
      <c r="CH123" s="274"/>
      <c r="CI123" s="274"/>
      <c r="CJ123" s="274"/>
      <c r="CK123" s="39"/>
      <c r="CL123" s="39"/>
      <c r="CM123" s="39"/>
      <c r="CN123" s="39"/>
      <c r="CO123" s="39"/>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274"/>
      <c r="DM123" s="274"/>
      <c r="DN123" s="274"/>
      <c r="DO123" s="274"/>
      <c r="DP123" s="274"/>
      <c r="DQ123" s="274"/>
      <c r="DR123" s="274"/>
      <c r="DS123" s="274"/>
      <c r="DT123" s="274"/>
      <c r="DU123" s="274"/>
      <c r="DV123" s="274"/>
      <c r="DW123" s="274"/>
      <c r="DX123" s="274"/>
      <c r="DY123" s="274"/>
      <c r="DZ123" s="274"/>
      <c r="EA123" s="274"/>
      <c r="EB123" s="274"/>
      <c r="EC123" s="274"/>
      <c r="ED123" s="39">
        <f t="shared" si="37"/>
        <v>42840</v>
      </c>
      <c r="EE123" s="30">
        <f t="shared" si="38"/>
        <v>1</v>
      </c>
      <c r="EF123" s="39">
        <f t="shared" si="39"/>
        <v>42840</v>
      </c>
    </row>
    <row r="124" spans="1:136" x14ac:dyDescent="0.25">
      <c r="A124" s="25" t="e">
        <f>#REF!</f>
        <v>#REF!</v>
      </c>
      <c r="B124" s="50" t="e">
        <f>#REF!</f>
        <v>#REF!</v>
      </c>
      <c r="C124" s="5" t="e">
        <f>#REF!</f>
        <v>#REF!</v>
      </c>
      <c r="D124" s="5" t="e">
        <f>#REF!</f>
        <v>#REF!</v>
      </c>
      <c r="E124" s="252">
        <v>1</v>
      </c>
      <c r="F124" s="249">
        <v>0</v>
      </c>
      <c r="G124" s="249">
        <v>0</v>
      </c>
      <c r="H124" s="249">
        <v>0</v>
      </c>
      <c r="I124" s="249">
        <v>0</v>
      </c>
      <c r="J124" s="249">
        <v>51467.5</v>
      </c>
      <c r="K124" s="249">
        <v>46172</v>
      </c>
      <c r="L124" s="274">
        <f>J124</f>
        <v>51467.5</v>
      </c>
      <c r="M124" s="274">
        <f>K124*E1</f>
        <v>47557.16</v>
      </c>
      <c r="N124" s="255">
        <v>55000</v>
      </c>
      <c r="O124" s="135">
        <f>+N124*0.19</f>
        <v>10450</v>
      </c>
      <c r="P124" s="135">
        <f>+N124+O124</f>
        <v>65450</v>
      </c>
      <c r="Q124" s="131"/>
      <c r="R124" s="131"/>
      <c r="S124" s="11"/>
      <c r="T124" s="274"/>
      <c r="U124" s="274"/>
      <c r="V124" s="274"/>
      <c r="W124" s="39"/>
      <c r="X124" s="11"/>
      <c r="Y124" s="11"/>
      <c r="Z124" s="274"/>
      <c r="AA124" s="274"/>
      <c r="AB124" s="274"/>
      <c r="AC124" s="52"/>
      <c r="AD124" s="22"/>
      <c r="AE124" s="39"/>
      <c r="AF124" s="274"/>
      <c r="AG124" s="274"/>
      <c r="AH124" s="113"/>
      <c r="AI124" s="4"/>
      <c r="AJ124" s="39"/>
      <c r="AK124" s="39"/>
      <c r="AL124" s="118"/>
      <c r="AM124" s="152"/>
      <c r="AN124" s="181"/>
      <c r="AO124" s="131"/>
      <c r="AP124" s="131"/>
      <c r="AQ124" s="39"/>
      <c r="AR124" s="274"/>
      <c r="AS124" s="274"/>
      <c r="AT124" s="274"/>
      <c r="AU124" s="39"/>
      <c r="AV124" s="39"/>
      <c r="AW124" s="39"/>
      <c r="AX124" s="274"/>
      <c r="AY124" s="274"/>
      <c r="AZ124" s="274"/>
      <c r="BA124" s="39"/>
      <c r="BB124" s="62"/>
      <c r="BC124" s="39"/>
      <c r="BD124" s="274"/>
      <c r="BE124" s="274"/>
      <c r="BF124" s="274"/>
      <c r="BG124" s="39"/>
      <c r="BH124" s="39"/>
      <c r="BI124" s="39"/>
      <c r="BJ124" s="274"/>
      <c r="BK124" s="274"/>
      <c r="BL124" s="274"/>
      <c r="BM124" s="213"/>
      <c r="BN124" s="213"/>
      <c r="BO124" s="39"/>
      <c r="BP124" s="274">
        <v>235000</v>
      </c>
      <c r="BQ124" s="274">
        <f t="shared" si="46"/>
        <v>44650</v>
      </c>
      <c r="BR124" s="274">
        <f t="shared" si="47"/>
        <v>279650</v>
      </c>
      <c r="BS124" s="39"/>
      <c r="BT124" s="39"/>
      <c r="BU124" s="39"/>
      <c r="BV124" s="212"/>
      <c r="BW124" s="221"/>
      <c r="BX124" s="273"/>
      <c r="BY124" s="213"/>
      <c r="BZ124" s="213"/>
      <c r="CA124" s="213"/>
      <c r="CB124" s="274"/>
      <c r="CC124" s="274"/>
      <c r="CD124" s="274"/>
      <c r="CE124" s="39"/>
      <c r="CF124" s="39"/>
      <c r="CG124" s="39"/>
      <c r="CH124" s="274"/>
      <c r="CI124" s="274"/>
      <c r="CJ124" s="274"/>
      <c r="CK124" s="39"/>
      <c r="CL124" s="39"/>
      <c r="CM124" s="39"/>
      <c r="CN124" s="39"/>
      <c r="CO124" s="39"/>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274"/>
      <c r="DM124" s="274"/>
      <c r="DN124" s="274"/>
      <c r="DO124" s="274"/>
      <c r="DP124" s="274"/>
      <c r="DQ124" s="274"/>
      <c r="DR124" s="274"/>
      <c r="DS124" s="274"/>
      <c r="DT124" s="274"/>
      <c r="DU124" s="274"/>
      <c r="DV124" s="274"/>
      <c r="DW124" s="274"/>
      <c r="DX124" s="274"/>
      <c r="DY124" s="274"/>
      <c r="DZ124" s="274"/>
      <c r="EA124" s="274"/>
      <c r="EB124" s="274"/>
      <c r="EC124" s="274"/>
      <c r="ED124" s="39">
        <f t="shared" si="37"/>
        <v>392657.16000000003</v>
      </c>
      <c r="EE124" s="30">
        <f t="shared" si="38"/>
        <v>3</v>
      </c>
      <c r="EF124" s="39">
        <f t="shared" si="39"/>
        <v>130885.72000000002</v>
      </c>
    </row>
    <row r="125" spans="1:136" x14ac:dyDescent="0.25">
      <c r="A125" s="25" t="e">
        <f>#REF!</f>
        <v>#REF!</v>
      </c>
      <c r="B125" s="50" t="e">
        <f>#REF!</f>
        <v>#REF!</v>
      </c>
      <c r="C125" s="5" t="e">
        <f>#REF!</f>
        <v>#REF!</v>
      </c>
      <c r="D125" s="5" t="e">
        <f>#REF!</f>
        <v>#REF!</v>
      </c>
      <c r="E125" s="252">
        <v>1</v>
      </c>
      <c r="F125" s="249">
        <v>0</v>
      </c>
      <c r="G125" s="249">
        <v>0</v>
      </c>
      <c r="H125" s="249">
        <v>0</v>
      </c>
      <c r="I125" s="249">
        <v>0</v>
      </c>
      <c r="J125" s="249">
        <v>119000</v>
      </c>
      <c r="K125" s="249">
        <v>89012</v>
      </c>
      <c r="L125" s="274">
        <f>J125</f>
        <v>119000</v>
      </c>
      <c r="M125" s="274">
        <f>K125*E1</f>
        <v>91682.36</v>
      </c>
      <c r="N125" s="255"/>
      <c r="O125" s="135"/>
      <c r="P125" s="135"/>
      <c r="Q125" s="131"/>
      <c r="R125" s="131"/>
      <c r="S125" s="11"/>
      <c r="T125" s="274"/>
      <c r="U125" s="274"/>
      <c r="V125" s="274"/>
      <c r="W125" s="39"/>
      <c r="X125" s="11"/>
      <c r="Y125" s="11"/>
      <c r="Z125" s="274"/>
      <c r="AA125" s="274"/>
      <c r="AB125" s="274"/>
      <c r="AC125" s="5"/>
      <c r="AD125" s="22"/>
      <c r="AE125" s="39"/>
      <c r="AF125" s="274"/>
      <c r="AG125" s="274"/>
      <c r="AH125" s="169"/>
      <c r="AI125" s="4"/>
      <c r="AJ125" s="39"/>
      <c r="AK125" s="39"/>
      <c r="AL125" s="118"/>
      <c r="AM125" s="152"/>
      <c r="AN125" s="152"/>
      <c r="AO125" s="131"/>
      <c r="AP125" s="131"/>
      <c r="AQ125" s="39"/>
      <c r="AR125" s="274"/>
      <c r="AS125" s="274"/>
      <c r="AT125" s="274"/>
      <c r="AU125" s="39"/>
      <c r="AV125" s="39"/>
      <c r="AW125" s="39"/>
      <c r="AX125" s="274"/>
      <c r="AY125" s="274"/>
      <c r="AZ125" s="274"/>
      <c r="BA125" s="39"/>
      <c r="BB125" s="62"/>
      <c r="BC125" s="39"/>
      <c r="BD125" s="274"/>
      <c r="BE125" s="274"/>
      <c r="BF125" s="274"/>
      <c r="BG125" s="39"/>
      <c r="BH125" s="39"/>
      <c r="BI125" s="39"/>
      <c r="BJ125" s="274"/>
      <c r="BK125" s="274"/>
      <c r="BL125" s="274"/>
      <c r="BM125" s="213"/>
      <c r="BN125" s="213"/>
      <c r="BO125" s="39"/>
      <c r="BP125" s="274">
        <v>35000</v>
      </c>
      <c r="BQ125" s="274">
        <f t="shared" si="46"/>
        <v>6650</v>
      </c>
      <c r="BR125" s="274">
        <f t="shared" si="47"/>
        <v>41650</v>
      </c>
      <c r="BS125" s="39"/>
      <c r="BT125" s="39"/>
      <c r="BU125" s="39"/>
      <c r="BV125" s="212"/>
      <c r="BW125" s="221"/>
      <c r="BX125" s="273"/>
      <c r="BY125" s="213"/>
      <c r="BZ125" s="213"/>
      <c r="CA125" s="213"/>
      <c r="CB125" s="274"/>
      <c r="CC125" s="274"/>
      <c r="CD125" s="274"/>
      <c r="CE125" s="39"/>
      <c r="CF125" s="39"/>
      <c r="CG125" s="39"/>
      <c r="CH125" s="274"/>
      <c r="CI125" s="274"/>
      <c r="CJ125" s="274"/>
      <c r="CK125" s="39"/>
      <c r="CL125" s="39"/>
      <c r="CM125" s="39"/>
      <c r="CN125" s="39"/>
      <c r="CO125" s="39"/>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274"/>
      <c r="DM125" s="274"/>
      <c r="DN125" s="274"/>
      <c r="DO125" s="274"/>
      <c r="DP125" s="274"/>
      <c r="DQ125" s="274"/>
      <c r="DR125" s="274"/>
      <c r="DS125" s="274"/>
      <c r="DT125" s="274"/>
      <c r="DU125" s="274"/>
      <c r="DV125" s="274"/>
      <c r="DW125" s="274"/>
      <c r="DX125" s="274"/>
      <c r="DY125" s="274"/>
      <c r="DZ125" s="274"/>
      <c r="EA125" s="274"/>
      <c r="EB125" s="274"/>
      <c r="EC125" s="274"/>
      <c r="ED125" s="39">
        <f t="shared" si="37"/>
        <v>133332.35999999999</v>
      </c>
      <c r="EE125" s="30">
        <f t="shared" si="38"/>
        <v>2</v>
      </c>
      <c r="EF125" s="39">
        <f t="shared" si="39"/>
        <v>66666.179999999993</v>
      </c>
    </row>
    <row r="126" spans="1:136" x14ac:dyDescent="0.25">
      <c r="A126" s="25" t="e">
        <f>#REF!</f>
        <v>#REF!</v>
      </c>
      <c r="B126" s="50" t="e">
        <f>#REF!</f>
        <v>#REF!</v>
      </c>
      <c r="C126" s="5" t="e">
        <f>#REF!</f>
        <v>#REF!</v>
      </c>
      <c r="D126" s="5" t="e">
        <f>#REF!</f>
        <v>#REF!</v>
      </c>
      <c r="E126" s="252">
        <v>1</v>
      </c>
      <c r="F126" s="249">
        <v>54165.824999999997</v>
      </c>
      <c r="G126" s="249">
        <v>53550</v>
      </c>
      <c r="H126" s="249">
        <v>65708.553483807656</v>
      </c>
      <c r="I126" s="249">
        <v>0</v>
      </c>
      <c r="J126" s="249">
        <v>61273.695</v>
      </c>
      <c r="K126" s="249">
        <v>0</v>
      </c>
      <c r="L126" s="274">
        <f>AVERAGE(F126,H126,J126)</f>
        <v>60382.691161269213</v>
      </c>
      <c r="M126" s="274">
        <f>G126*E1</f>
        <v>55156.5</v>
      </c>
      <c r="N126" s="255">
        <v>45000</v>
      </c>
      <c r="O126" s="135">
        <f>+N126*0.19</f>
        <v>8550</v>
      </c>
      <c r="P126" s="135">
        <f>+N126+O126</f>
        <v>53550</v>
      </c>
      <c r="Q126" s="131"/>
      <c r="R126" s="131"/>
      <c r="S126" s="11"/>
      <c r="T126" s="274">
        <v>53900.000000000007</v>
      </c>
      <c r="U126" s="274">
        <f>+T126*0.19</f>
        <v>10241.000000000002</v>
      </c>
      <c r="V126" s="274">
        <f>+T126+U126</f>
        <v>64141.000000000007</v>
      </c>
      <c r="W126" s="39" t="s">
        <v>510</v>
      </c>
      <c r="X126" s="39" t="s">
        <v>2948</v>
      </c>
      <c r="Y126" s="11"/>
      <c r="Z126" s="274">
        <v>33000</v>
      </c>
      <c r="AA126" s="274">
        <f>+Z126*0.19</f>
        <v>6270</v>
      </c>
      <c r="AB126" s="274">
        <f>+Z126+AA126</f>
        <v>39270</v>
      </c>
      <c r="AC126" s="11" t="s">
        <v>445</v>
      </c>
      <c r="AD126" s="11" t="s">
        <v>4768</v>
      </c>
      <c r="AE126" s="39"/>
      <c r="AF126" s="274"/>
      <c r="AG126" s="274"/>
      <c r="AH126" s="169"/>
      <c r="AI126" s="4"/>
      <c r="AJ126" s="39"/>
      <c r="AK126" s="39"/>
      <c r="AL126" s="118"/>
      <c r="AM126" s="152"/>
      <c r="AN126" s="181"/>
      <c r="AO126" s="131"/>
      <c r="AP126" s="131"/>
      <c r="AQ126" s="39"/>
      <c r="AR126" s="274"/>
      <c r="AS126" s="274"/>
      <c r="AT126" s="274"/>
      <c r="AU126" s="39"/>
      <c r="AV126" s="39"/>
      <c r="AW126" s="39"/>
      <c r="AX126" s="274"/>
      <c r="AY126" s="274"/>
      <c r="AZ126" s="274"/>
      <c r="BA126" s="39"/>
      <c r="BB126" s="62"/>
      <c r="BC126" s="39"/>
      <c r="BD126" s="274"/>
      <c r="BE126" s="274"/>
      <c r="BF126" s="274"/>
      <c r="BG126" s="39"/>
      <c r="BH126" s="39"/>
      <c r="BI126" s="39"/>
      <c r="BJ126" s="274">
        <v>160000</v>
      </c>
      <c r="BK126" s="274">
        <f>+BJ126*0.19</f>
        <v>30400</v>
      </c>
      <c r="BL126" s="274">
        <f>+BJ126+BK126</f>
        <v>190400</v>
      </c>
      <c r="BM126" s="213" t="s">
        <v>196</v>
      </c>
      <c r="BN126" s="213" t="s">
        <v>4765</v>
      </c>
      <c r="BO126" s="39"/>
      <c r="BP126" s="274">
        <v>56000</v>
      </c>
      <c r="BQ126" s="274">
        <f t="shared" si="46"/>
        <v>10640</v>
      </c>
      <c r="BR126" s="274">
        <f t="shared" si="47"/>
        <v>66640</v>
      </c>
      <c r="BS126" s="39"/>
      <c r="BT126" s="39"/>
      <c r="BU126" s="39"/>
      <c r="BV126" s="212">
        <v>174641.12000000002</v>
      </c>
      <c r="BW126" s="219">
        <f>+BV126*0.19</f>
        <v>33181.812800000007</v>
      </c>
      <c r="BX126" s="273">
        <f>+BV126+BW126</f>
        <v>207822.93280000004</v>
      </c>
      <c r="BY126" s="213" t="s">
        <v>196</v>
      </c>
      <c r="BZ126" s="213" t="s">
        <v>4765</v>
      </c>
      <c r="CA126" s="213"/>
      <c r="CB126" s="274"/>
      <c r="CC126" s="274"/>
      <c r="CD126" s="274"/>
      <c r="CE126" s="39"/>
      <c r="CF126" s="39"/>
      <c r="CG126" s="39"/>
      <c r="CH126" s="274"/>
      <c r="CI126" s="274"/>
      <c r="CJ126" s="274"/>
      <c r="CK126" s="39"/>
      <c r="CL126" s="39"/>
      <c r="CM126" s="39"/>
      <c r="CN126" s="39"/>
      <c r="CO126" s="39"/>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274"/>
      <c r="DM126" s="274"/>
      <c r="DN126" s="274"/>
      <c r="DO126" s="274"/>
      <c r="DP126" s="274"/>
      <c r="DQ126" s="274"/>
      <c r="DR126" s="274"/>
      <c r="DS126" s="274"/>
      <c r="DT126" s="274"/>
      <c r="DU126" s="274"/>
      <c r="DV126" s="274"/>
      <c r="DW126" s="274"/>
      <c r="DX126" s="274"/>
      <c r="DY126" s="274"/>
      <c r="DZ126" s="274"/>
      <c r="EA126" s="274"/>
      <c r="EB126" s="274"/>
      <c r="EC126" s="274"/>
      <c r="ED126" s="39">
        <f t="shared" si="37"/>
        <v>676980.43280000007</v>
      </c>
      <c r="EE126" s="30">
        <f t="shared" si="38"/>
        <v>7</v>
      </c>
      <c r="EF126" s="39">
        <f t="shared" si="39"/>
        <v>96711.49040000001</v>
      </c>
    </row>
    <row r="127" spans="1:136" x14ac:dyDescent="0.25">
      <c r="A127" s="25" t="e">
        <f>#REF!</f>
        <v>#REF!</v>
      </c>
      <c r="B127" s="50" t="e">
        <f>#REF!</f>
        <v>#REF!</v>
      </c>
      <c r="C127" s="5" t="e">
        <f>#REF!</f>
        <v>#REF!</v>
      </c>
      <c r="D127" s="5" t="e">
        <f>#REF!</f>
        <v>#REF!</v>
      </c>
      <c r="E127" s="252">
        <v>1</v>
      </c>
      <c r="F127" s="249">
        <v>0</v>
      </c>
      <c r="G127" s="249">
        <v>0</v>
      </c>
      <c r="H127" s="249">
        <v>36695.956427870464</v>
      </c>
      <c r="I127" s="249">
        <v>36533</v>
      </c>
      <c r="J127" s="249">
        <v>43416.566666666666</v>
      </c>
      <c r="K127" s="249">
        <v>0</v>
      </c>
      <c r="L127" s="274">
        <f>AVERAGE(H127,J127)</f>
        <v>40056.261547268565</v>
      </c>
      <c r="M127" s="274">
        <f>I127*E1</f>
        <v>37628.99</v>
      </c>
      <c r="N127" s="255">
        <v>35000</v>
      </c>
      <c r="O127" s="135">
        <f>+N127*0.19</f>
        <v>6650</v>
      </c>
      <c r="P127" s="135">
        <f>+N127+O127</f>
        <v>41650</v>
      </c>
      <c r="Q127" s="131"/>
      <c r="R127" s="131"/>
      <c r="S127" s="11"/>
      <c r="T127" s="274">
        <v>36300</v>
      </c>
      <c r="U127" s="274">
        <f>+T127*0.19</f>
        <v>6897</v>
      </c>
      <c r="V127" s="274">
        <f>+T127+U127</f>
        <v>43197</v>
      </c>
      <c r="W127" s="39" t="s">
        <v>510</v>
      </c>
      <c r="X127" s="39" t="s">
        <v>2948</v>
      </c>
      <c r="Y127" s="11"/>
      <c r="Z127" s="274"/>
      <c r="AA127" s="274"/>
      <c r="AB127" s="274"/>
      <c r="AC127" s="5"/>
      <c r="AD127" s="5"/>
      <c r="AE127" s="39"/>
      <c r="AF127" s="274"/>
      <c r="AG127" s="274"/>
      <c r="AH127" s="169"/>
      <c r="AI127" s="5"/>
      <c r="AJ127" s="39"/>
      <c r="AK127" s="39"/>
      <c r="AL127" s="118"/>
      <c r="AM127" s="152"/>
      <c r="AN127" s="181"/>
      <c r="AO127" s="131"/>
      <c r="AP127" s="131"/>
      <c r="AQ127" s="39"/>
      <c r="AR127" s="274"/>
      <c r="AS127" s="274"/>
      <c r="AT127" s="274"/>
      <c r="AU127" s="39"/>
      <c r="AV127" s="39"/>
      <c r="AW127" s="39"/>
      <c r="AX127" s="274"/>
      <c r="AY127" s="274"/>
      <c r="AZ127" s="274"/>
      <c r="BA127" s="39"/>
      <c r="BB127" s="62"/>
      <c r="BC127" s="39"/>
      <c r="BD127" s="274"/>
      <c r="BE127" s="274"/>
      <c r="BF127" s="274"/>
      <c r="BG127" s="39"/>
      <c r="BH127" s="39"/>
      <c r="BI127" s="39"/>
      <c r="BJ127" s="274"/>
      <c r="BK127" s="274"/>
      <c r="BL127" s="274"/>
      <c r="BM127" s="213"/>
      <c r="BN127" s="213"/>
      <c r="BO127" s="39"/>
      <c r="BP127" s="274">
        <v>56000</v>
      </c>
      <c r="BQ127" s="274">
        <f t="shared" si="46"/>
        <v>10640</v>
      </c>
      <c r="BR127" s="274">
        <f t="shared" si="47"/>
        <v>66640</v>
      </c>
      <c r="BS127" s="39"/>
      <c r="BT127" s="39"/>
      <c r="BU127" s="39"/>
      <c r="BV127" s="212"/>
      <c r="BW127" s="221"/>
      <c r="BX127" s="273"/>
      <c r="BY127" s="213"/>
      <c r="BZ127" s="213"/>
      <c r="CA127" s="213"/>
      <c r="CB127" s="274"/>
      <c r="CC127" s="274"/>
      <c r="CD127" s="274"/>
      <c r="CE127" s="39"/>
      <c r="CF127" s="39"/>
      <c r="CG127" s="39"/>
      <c r="CH127" s="274"/>
      <c r="CI127" s="274"/>
      <c r="CJ127" s="274"/>
      <c r="CK127" s="39"/>
      <c r="CL127" s="39"/>
      <c r="CM127" s="39"/>
      <c r="CN127" s="39"/>
      <c r="CO127" s="39"/>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274"/>
      <c r="DM127" s="274"/>
      <c r="DN127" s="274"/>
      <c r="DO127" s="274"/>
      <c r="DP127" s="274"/>
      <c r="DQ127" s="274"/>
      <c r="DR127" s="274"/>
      <c r="DS127" s="274"/>
      <c r="DT127" s="274"/>
      <c r="DU127" s="274"/>
      <c r="DV127" s="274"/>
      <c r="DW127" s="274"/>
      <c r="DX127" s="274"/>
      <c r="DY127" s="274"/>
      <c r="DZ127" s="274"/>
      <c r="EA127" s="274"/>
      <c r="EB127" s="274"/>
      <c r="EC127" s="274"/>
      <c r="ED127" s="39">
        <f t="shared" si="37"/>
        <v>189115.99</v>
      </c>
      <c r="EE127" s="30">
        <f t="shared" si="38"/>
        <v>4</v>
      </c>
      <c r="EF127" s="39">
        <f t="shared" si="39"/>
        <v>47278.997499999998</v>
      </c>
    </row>
    <row r="128" spans="1:136" x14ac:dyDescent="0.25">
      <c r="A128" s="25" t="e">
        <f>#REF!</f>
        <v>#REF!</v>
      </c>
      <c r="B128" s="50" t="e">
        <f>#REF!</f>
        <v>#REF!</v>
      </c>
      <c r="C128" s="5" t="e">
        <f>#REF!</f>
        <v>#REF!</v>
      </c>
      <c r="D128" s="5" t="e">
        <f>#REF!</f>
        <v>#REF!</v>
      </c>
      <c r="E128" s="252">
        <v>1</v>
      </c>
      <c r="F128" s="249">
        <v>0</v>
      </c>
      <c r="G128" s="249">
        <v>0</v>
      </c>
      <c r="H128" s="249">
        <v>0</v>
      </c>
      <c r="I128" s="249">
        <v>0</v>
      </c>
      <c r="J128" s="249">
        <v>0</v>
      </c>
      <c r="K128" s="249">
        <v>0</v>
      </c>
      <c r="L128" s="274"/>
      <c r="M128" s="274"/>
      <c r="N128" s="255"/>
      <c r="O128" s="135"/>
      <c r="P128" s="135"/>
      <c r="Q128" s="131"/>
      <c r="R128" s="131"/>
      <c r="S128" s="11"/>
      <c r="T128" s="274"/>
      <c r="U128" s="274"/>
      <c r="V128" s="274"/>
      <c r="W128" s="39"/>
      <c r="X128" s="11"/>
      <c r="Y128" s="11"/>
      <c r="Z128" s="274"/>
      <c r="AA128" s="274"/>
      <c r="AB128" s="274"/>
      <c r="AC128" s="52"/>
      <c r="AD128" s="22"/>
      <c r="AE128" s="39"/>
      <c r="AF128" s="274"/>
      <c r="AG128" s="274"/>
      <c r="AH128" s="113"/>
      <c r="AI128" s="4"/>
      <c r="AJ128" s="39"/>
      <c r="AK128" s="39"/>
      <c r="AL128" s="118"/>
      <c r="AM128" s="152"/>
      <c r="AN128" s="181"/>
      <c r="AO128" s="131"/>
      <c r="AP128" s="131"/>
      <c r="AQ128" s="39"/>
      <c r="AR128" s="274"/>
      <c r="AS128" s="274"/>
      <c r="AT128" s="274"/>
      <c r="AU128" s="39"/>
      <c r="AV128" s="39"/>
      <c r="AW128" s="39"/>
      <c r="AX128" s="274"/>
      <c r="AY128" s="274"/>
      <c r="AZ128" s="274"/>
      <c r="BA128" s="39"/>
      <c r="BB128" s="62"/>
      <c r="BC128" s="39"/>
      <c r="BD128" s="274"/>
      <c r="BE128" s="274"/>
      <c r="BF128" s="274"/>
      <c r="BG128" s="39"/>
      <c r="BH128" s="39"/>
      <c r="BI128" s="39"/>
      <c r="BJ128" s="274"/>
      <c r="BK128" s="274"/>
      <c r="BL128" s="274"/>
      <c r="BM128" s="213"/>
      <c r="BN128" s="213"/>
      <c r="BO128" s="39"/>
      <c r="BP128" s="274"/>
      <c r="BQ128" s="274"/>
      <c r="BR128" s="274"/>
      <c r="BS128" s="39"/>
      <c r="BT128" s="39"/>
      <c r="BU128" s="39"/>
      <c r="BV128" s="212"/>
      <c r="BW128" s="221"/>
      <c r="BX128" s="273"/>
      <c r="BY128" s="213"/>
      <c r="BZ128" s="213"/>
      <c r="CA128" s="213"/>
      <c r="CB128" s="274"/>
      <c r="CC128" s="274"/>
      <c r="CD128" s="274"/>
      <c r="CE128" s="39"/>
      <c r="CF128" s="39"/>
      <c r="CG128" s="39"/>
      <c r="CH128" s="274"/>
      <c r="CI128" s="274"/>
      <c r="CJ128" s="274"/>
      <c r="CK128" s="39"/>
      <c r="CL128" s="39"/>
      <c r="CM128" s="39"/>
      <c r="CN128" s="39"/>
      <c r="CO128" s="39"/>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274"/>
      <c r="DM128" s="274"/>
      <c r="DN128" s="274"/>
      <c r="DO128" s="274"/>
      <c r="DP128" s="274"/>
      <c r="DQ128" s="274"/>
      <c r="DR128" s="274"/>
      <c r="DS128" s="274"/>
      <c r="DT128" s="274"/>
      <c r="DU128" s="274"/>
      <c r="DV128" s="274"/>
      <c r="DW128" s="274"/>
      <c r="DX128" s="274"/>
      <c r="DY128" s="274"/>
      <c r="DZ128" s="274"/>
      <c r="EA128" s="274"/>
      <c r="EB128" s="274"/>
      <c r="EC128" s="274"/>
      <c r="ED128" s="39">
        <f t="shared" si="37"/>
        <v>0</v>
      </c>
      <c r="EE128" s="30">
        <f t="shared" si="38"/>
        <v>0</v>
      </c>
      <c r="EF128" s="39" t="str">
        <f t="shared" si="39"/>
        <v xml:space="preserve"> </v>
      </c>
    </row>
    <row r="129" spans="1:136" x14ac:dyDescent="0.25">
      <c r="A129" s="25" t="e">
        <f>#REF!</f>
        <v>#REF!</v>
      </c>
      <c r="B129" s="50" t="e">
        <f>#REF!</f>
        <v>#REF!</v>
      </c>
      <c r="C129" s="5" t="e">
        <f>#REF!</f>
        <v>#REF!</v>
      </c>
      <c r="D129" s="5" t="e">
        <f>#REF!</f>
        <v>#REF!</v>
      </c>
      <c r="E129" s="252">
        <v>1</v>
      </c>
      <c r="F129" s="249">
        <v>0</v>
      </c>
      <c r="G129" s="249">
        <v>0</v>
      </c>
      <c r="H129" s="249">
        <v>0</v>
      </c>
      <c r="I129" s="249">
        <v>0</v>
      </c>
      <c r="J129" s="249">
        <v>0</v>
      </c>
      <c r="K129" s="249">
        <v>0</v>
      </c>
      <c r="L129" s="274"/>
      <c r="M129" s="274"/>
      <c r="N129" s="255"/>
      <c r="O129" s="135"/>
      <c r="P129" s="135"/>
      <c r="Q129" s="131"/>
      <c r="R129" s="131"/>
      <c r="S129" s="11"/>
      <c r="T129" s="274"/>
      <c r="U129" s="274"/>
      <c r="V129" s="274"/>
      <c r="W129" s="39"/>
      <c r="X129" s="11"/>
      <c r="Y129" s="11"/>
      <c r="Z129" s="274"/>
      <c r="AA129" s="274"/>
      <c r="AB129" s="274"/>
      <c r="AC129" s="52"/>
      <c r="AD129" s="22"/>
      <c r="AE129" s="39"/>
      <c r="AF129" s="274"/>
      <c r="AG129" s="274"/>
      <c r="AH129" s="171"/>
      <c r="AI129" s="4"/>
      <c r="AJ129" s="39"/>
      <c r="AK129" s="39"/>
      <c r="AL129" s="118"/>
      <c r="AM129" s="152"/>
      <c r="AN129" s="181"/>
      <c r="AO129" s="131"/>
      <c r="AP129" s="131"/>
      <c r="AQ129" s="39"/>
      <c r="AR129" s="274"/>
      <c r="AS129" s="274"/>
      <c r="AT129" s="274"/>
      <c r="AU129" s="39"/>
      <c r="AV129" s="39"/>
      <c r="AW129" s="39"/>
      <c r="AX129" s="274"/>
      <c r="AY129" s="274"/>
      <c r="AZ129" s="274"/>
      <c r="BA129" s="39"/>
      <c r="BB129" s="62"/>
      <c r="BC129" s="39"/>
      <c r="BD129" s="274"/>
      <c r="BE129" s="274"/>
      <c r="BF129" s="274"/>
      <c r="BG129" s="39"/>
      <c r="BH129" s="39"/>
      <c r="BI129" s="39"/>
      <c r="BJ129" s="274"/>
      <c r="BK129" s="274"/>
      <c r="BL129" s="274"/>
      <c r="BM129" s="213"/>
      <c r="BN129" s="213"/>
      <c r="BO129" s="39"/>
      <c r="BP129" s="274"/>
      <c r="BQ129" s="274"/>
      <c r="BR129" s="274"/>
      <c r="BS129" s="39"/>
      <c r="BT129" s="39"/>
      <c r="BU129" s="39"/>
      <c r="BV129" s="212"/>
      <c r="BW129" s="221"/>
      <c r="BX129" s="273"/>
      <c r="BY129" s="213"/>
      <c r="BZ129" s="213"/>
      <c r="CA129" s="213"/>
      <c r="CB129" s="274"/>
      <c r="CC129" s="274"/>
      <c r="CD129" s="274"/>
      <c r="CE129" s="39"/>
      <c r="CF129" s="39"/>
      <c r="CG129" s="39"/>
      <c r="CH129" s="274"/>
      <c r="CI129" s="274"/>
      <c r="CJ129" s="274"/>
      <c r="CK129" s="39"/>
      <c r="CL129" s="39"/>
      <c r="CM129" s="39"/>
      <c r="CN129" s="39"/>
      <c r="CO129" s="39"/>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274"/>
      <c r="DM129" s="274"/>
      <c r="DN129" s="274"/>
      <c r="DO129" s="274"/>
      <c r="DP129" s="274"/>
      <c r="DQ129" s="274"/>
      <c r="DR129" s="274"/>
      <c r="DS129" s="274"/>
      <c r="DT129" s="274"/>
      <c r="DU129" s="274"/>
      <c r="DV129" s="274"/>
      <c r="DW129" s="274"/>
      <c r="DX129" s="274"/>
      <c r="DY129" s="274"/>
      <c r="DZ129" s="274"/>
      <c r="EA129" s="274"/>
      <c r="EB129" s="274"/>
      <c r="EC129" s="274"/>
      <c r="ED129" s="39">
        <f t="shared" si="37"/>
        <v>0</v>
      </c>
      <c r="EE129" s="30">
        <f t="shared" si="38"/>
        <v>0</v>
      </c>
      <c r="EF129" s="39" t="str">
        <f t="shared" si="39"/>
        <v xml:space="preserve"> </v>
      </c>
    </row>
    <row r="130" spans="1:136" x14ac:dyDescent="0.25">
      <c r="A130" s="25" t="e">
        <f>#REF!</f>
        <v>#REF!</v>
      </c>
      <c r="B130" s="50" t="e">
        <f>#REF!</f>
        <v>#REF!</v>
      </c>
      <c r="C130" s="5" t="e">
        <f>#REF!</f>
        <v>#REF!</v>
      </c>
      <c r="D130" s="5" t="e">
        <f>#REF!</f>
        <v>#REF!</v>
      </c>
      <c r="E130" s="252">
        <v>1</v>
      </c>
      <c r="F130" s="249">
        <v>0</v>
      </c>
      <c r="G130" s="249">
        <v>0</v>
      </c>
      <c r="H130" s="249">
        <v>0</v>
      </c>
      <c r="I130" s="249">
        <v>0</v>
      </c>
      <c r="J130" s="249">
        <v>0</v>
      </c>
      <c r="K130" s="249">
        <v>0</v>
      </c>
      <c r="L130" s="274"/>
      <c r="M130" s="274"/>
      <c r="N130" s="255">
        <v>625000</v>
      </c>
      <c r="O130" s="135">
        <f>+N130*0.19</f>
        <v>118750</v>
      </c>
      <c r="P130" s="135">
        <f>+N130+O130</f>
        <v>743750</v>
      </c>
      <c r="Q130" s="131"/>
      <c r="R130" s="131"/>
      <c r="S130" s="11"/>
      <c r="T130" s="274"/>
      <c r="U130" s="274"/>
      <c r="V130" s="274"/>
      <c r="W130" s="39"/>
      <c r="X130" s="11"/>
      <c r="Y130" s="11"/>
      <c r="Z130" s="274"/>
      <c r="AA130" s="274"/>
      <c r="AB130" s="274"/>
      <c r="AC130" s="52"/>
      <c r="AD130" s="22"/>
      <c r="AE130" s="39"/>
      <c r="AF130" s="274"/>
      <c r="AG130" s="274"/>
      <c r="AH130" s="171"/>
      <c r="AI130" s="4"/>
      <c r="AJ130" s="39"/>
      <c r="AK130" s="39"/>
      <c r="AL130" s="118"/>
      <c r="AM130" s="152"/>
      <c r="AN130" s="181"/>
      <c r="AO130" s="131"/>
      <c r="AP130" s="131"/>
      <c r="AQ130" s="39"/>
      <c r="AR130" s="274"/>
      <c r="AS130" s="274"/>
      <c r="AT130" s="274"/>
      <c r="AU130" s="39"/>
      <c r="AV130" s="39"/>
      <c r="AW130" s="39"/>
      <c r="AX130" s="274"/>
      <c r="AY130" s="274"/>
      <c r="AZ130" s="274"/>
      <c r="BA130" s="39"/>
      <c r="BB130" s="62"/>
      <c r="BC130" s="39"/>
      <c r="BD130" s="274"/>
      <c r="BE130" s="274"/>
      <c r="BF130" s="274"/>
      <c r="BG130" s="39"/>
      <c r="BH130" s="39"/>
      <c r="BI130" s="39"/>
      <c r="BJ130" s="274">
        <v>659800</v>
      </c>
      <c r="BK130" s="274">
        <f t="shared" ref="BK130:BK135" si="48">+BJ130*0.19</f>
        <v>125362</v>
      </c>
      <c r="BL130" s="274">
        <f t="shared" ref="BL130:BL141" si="49">+BJ130+BK130</f>
        <v>785162</v>
      </c>
      <c r="BM130" s="213" t="s">
        <v>196</v>
      </c>
      <c r="BN130" s="213" t="s">
        <v>4769</v>
      </c>
      <c r="BO130" s="39"/>
      <c r="BP130" s="274">
        <v>360000</v>
      </c>
      <c r="BQ130" s="274">
        <f>+BP130*19%</f>
        <v>68400</v>
      </c>
      <c r="BR130" s="274">
        <f>+BQ130+BP130</f>
        <v>428400</v>
      </c>
      <c r="BS130" s="39"/>
      <c r="BT130" s="39"/>
      <c r="BU130" s="39"/>
      <c r="BV130" s="219">
        <v>727706.61600000004</v>
      </c>
      <c r="BW130" s="219">
        <f t="shared" ref="BW130:BW135" si="50">+BV130*0.19</f>
        <v>138264.25704</v>
      </c>
      <c r="BX130" s="273">
        <f t="shared" ref="BX130:BX141" si="51">+BV130+BW130</f>
        <v>865970.87303999998</v>
      </c>
      <c r="BY130" s="213" t="s">
        <v>196</v>
      </c>
      <c r="BZ130" s="213" t="s">
        <v>4769</v>
      </c>
      <c r="CA130" s="213"/>
      <c r="CB130" s="274"/>
      <c r="CC130" s="274"/>
      <c r="CD130" s="274"/>
      <c r="CE130" s="39"/>
      <c r="CF130" s="39"/>
      <c r="CG130" s="39"/>
      <c r="CH130" s="274"/>
      <c r="CI130" s="274"/>
      <c r="CJ130" s="274"/>
      <c r="CK130" s="39"/>
      <c r="CL130" s="39"/>
      <c r="CM130" s="39"/>
      <c r="CN130" s="39"/>
      <c r="CO130" s="39"/>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274"/>
      <c r="DM130" s="274"/>
      <c r="DN130" s="274"/>
      <c r="DO130" s="274"/>
      <c r="DP130" s="274"/>
      <c r="DQ130" s="274"/>
      <c r="DR130" s="274"/>
      <c r="DS130" s="274"/>
      <c r="DT130" s="274"/>
      <c r="DU130" s="274"/>
      <c r="DV130" s="274"/>
      <c r="DW130" s="274"/>
      <c r="DX130" s="274"/>
      <c r="DY130" s="274"/>
      <c r="DZ130" s="274"/>
      <c r="EA130" s="274"/>
      <c r="EB130" s="274"/>
      <c r="EC130" s="274"/>
      <c r="ED130" s="39">
        <f t="shared" si="37"/>
        <v>2823282.87304</v>
      </c>
      <c r="EE130" s="30">
        <f t="shared" si="38"/>
        <v>4</v>
      </c>
      <c r="EF130" s="39">
        <f t="shared" si="39"/>
        <v>705820.71825999999</v>
      </c>
    </row>
    <row r="131" spans="1:136" x14ac:dyDescent="0.25">
      <c r="A131" s="25" t="e">
        <f>#REF!</f>
        <v>#REF!</v>
      </c>
      <c r="B131" s="50" t="e">
        <f>#REF!</f>
        <v>#REF!</v>
      </c>
      <c r="C131" s="5" t="e">
        <f>#REF!</f>
        <v>#REF!</v>
      </c>
      <c r="D131" s="5" t="e">
        <f>#REF!</f>
        <v>#REF!</v>
      </c>
      <c r="E131" s="252">
        <v>1</v>
      </c>
      <c r="F131" s="249">
        <v>476000</v>
      </c>
      <c r="G131" s="249">
        <v>464100</v>
      </c>
      <c r="H131" s="249">
        <v>524939.54333333333</v>
      </c>
      <c r="I131" s="249">
        <v>0</v>
      </c>
      <c r="J131" s="249">
        <v>691323.88888888888</v>
      </c>
      <c r="K131" s="249">
        <v>0</v>
      </c>
      <c r="L131" s="274">
        <f>AVERAGE(F131,H131,J131)</f>
        <v>564087.81074074074</v>
      </c>
      <c r="M131" s="274">
        <f>G131*E1</f>
        <v>478023</v>
      </c>
      <c r="N131" s="255">
        <v>450000</v>
      </c>
      <c r="O131" s="135">
        <f>+N131*0.19</f>
        <v>85500</v>
      </c>
      <c r="P131" s="135">
        <f>+N131+O131</f>
        <v>535500</v>
      </c>
      <c r="Q131" s="131"/>
      <c r="R131" s="131"/>
      <c r="S131" s="11"/>
      <c r="T131" s="274"/>
      <c r="U131" s="274"/>
      <c r="V131" s="274"/>
      <c r="W131" s="39"/>
      <c r="X131" s="11"/>
      <c r="Y131" s="11"/>
      <c r="Z131" s="274"/>
      <c r="AA131" s="274"/>
      <c r="AB131" s="274"/>
      <c r="AC131" s="52"/>
      <c r="AD131" s="22"/>
      <c r="AE131" s="39"/>
      <c r="AF131" s="274"/>
      <c r="AG131" s="274"/>
      <c r="AH131" s="171"/>
      <c r="AI131" s="4"/>
      <c r="AJ131" s="39"/>
      <c r="AK131" s="39"/>
      <c r="AL131" s="118"/>
      <c r="AM131" s="152"/>
      <c r="AN131" s="181"/>
      <c r="AO131" s="131"/>
      <c r="AP131" s="131"/>
      <c r="AQ131" s="39"/>
      <c r="AR131" s="274"/>
      <c r="AS131" s="274"/>
      <c r="AT131" s="274"/>
      <c r="AU131" s="39"/>
      <c r="AV131" s="39"/>
      <c r="AW131" s="39"/>
      <c r="AX131" s="274"/>
      <c r="AY131" s="274"/>
      <c r="AZ131" s="274"/>
      <c r="BA131" s="39"/>
      <c r="BB131" s="62"/>
      <c r="BC131" s="39"/>
      <c r="BD131" s="274"/>
      <c r="BE131" s="274"/>
      <c r="BF131" s="274"/>
      <c r="BG131" s="39"/>
      <c r="BH131" s="39"/>
      <c r="BI131" s="39"/>
      <c r="BJ131" s="274">
        <v>511100</v>
      </c>
      <c r="BK131" s="274">
        <f t="shared" si="48"/>
        <v>97109</v>
      </c>
      <c r="BL131" s="274">
        <f t="shared" si="49"/>
        <v>608209</v>
      </c>
      <c r="BM131" s="213" t="s">
        <v>196</v>
      </c>
      <c r="BN131" s="213" t="s">
        <v>41</v>
      </c>
      <c r="BO131" s="39"/>
      <c r="BP131" s="274">
        <v>652000</v>
      </c>
      <c r="BQ131" s="274">
        <f>+BP131*19%</f>
        <v>123880</v>
      </c>
      <c r="BR131" s="274">
        <f>+BQ131+BP131</f>
        <v>775880</v>
      </c>
      <c r="BS131" s="39"/>
      <c r="BT131" s="39"/>
      <c r="BU131" s="39"/>
      <c r="BV131" s="219">
        <v>585383.27399999998</v>
      </c>
      <c r="BW131" s="219">
        <f t="shared" si="50"/>
        <v>111222.82205999999</v>
      </c>
      <c r="BX131" s="273">
        <f t="shared" si="51"/>
        <v>696606.09606000001</v>
      </c>
      <c r="BY131" s="213" t="s">
        <v>196</v>
      </c>
      <c r="BZ131" s="213" t="s">
        <v>41</v>
      </c>
      <c r="CA131" s="213"/>
      <c r="CB131" s="274"/>
      <c r="CC131" s="274"/>
      <c r="CD131" s="274"/>
      <c r="CE131" s="39"/>
      <c r="CF131" s="39"/>
      <c r="CG131" s="39"/>
      <c r="CH131" s="274"/>
      <c r="CI131" s="274"/>
      <c r="CJ131" s="274"/>
      <c r="CK131" s="39"/>
      <c r="CL131" s="39"/>
      <c r="CM131" s="39"/>
      <c r="CN131" s="39"/>
      <c r="CO131" s="39"/>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274"/>
      <c r="DM131" s="274"/>
      <c r="DN131" s="274"/>
      <c r="DO131" s="274"/>
      <c r="DP131" s="274"/>
      <c r="DQ131" s="274"/>
      <c r="DR131" s="274"/>
      <c r="DS131" s="274"/>
      <c r="DT131" s="274"/>
      <c r="DU131" s="274"/>
      <c r="DV131" s="274"/>
      <c r="DW131" s="274"/>
      <c r="DX131" s="274"/>
      <c r="DY131" s="274"/>
      <c r="DZ131" s="274"/>
      <c r="EA131" s="274"/>
      <c r="EB131" s="274"/>
      <c r="EC131" s="274"/>
      <c r="ED131" s="39">
        <f t="shared" ref="ED131:ED194" si="52">SUM(M131,P131,V131,AB131,AH131,AN131,AT131,AZ131,BF131,BL131,BR131,BX131,CD131,CJ131,CP131,CV131,DB131,DH131,DN131,DT131,DZ131)</f>
        <v>3094218.0960599999</v>
      </c>
      <c r="EE131" s="30">
        <f t="shared" ref="EE131:EE194" si="53">COUNTA(M131,N131,T131,Z131,AF131,AL131,AR131,AX131,BD131,BJ131,BP131,BV131,CB131,CH131,CN131,CT131,CZ131,DF131,DL131,DR131,DX131)</f>
        <v>5</v>
      </c>
      <c r="EF131" s="39">
        <f t="shared" ref="EF131:EF194" si="54">IFERROR(ED131/EE131," ")</f>
        <v>618843.61921199993</v>
      </c>
    </row>
    <row r="132" spans="1:136" x14ac:dyDescent="0.25">
      <c r="A132" s="25" t="e">
        <f>#REF!</f>
        <v>#REF!</v>
      </c>
      <c r="B132" s="50" t="e">
        <f>#REF!</f>
        <v>#REF!</v>
      </c>
      <c r="C132" s="5" t="e">
        <f>#REF!</f>
        <v>#REF!</v>
      </c>
      <c r="D132" s="5" t="e">
        <f>#REF!</f>
        <v>#REF!</v>
      </c>
      <c r="E132" s="252">
        <v>1</v>
      </c>
      <c r="F132" s="249">
        <v>0</v>
      </c>
      <c r="G132" s="249">
        <v>0</v>
      </c>
      <c r="H132" s="249">
        <v>0</v>
      </c>
      <c r="I132" s="249">
        <v>0</v>
      </c>
      <c r="J132" s="249">
        <v>0</v>
      </c>
      <c r="K132" s="249">
        <v>0</v>
      </c>
      <c r="L132" s="274"/>
      <c r="M132" s="274"/>
      <c r="N132" s="255">
        <v>275000</v>
      </c>
      <c r="O132" s="135">
        <f>+N132*0.19</f>
        <v>52250</v>
      </c>
      <c r="P132" s="135">
        <f>+N132+O132</f>
        <v>327250</v>
      </c>
      <c r="Q132" s="131"/>
      <c r="R132" s="131"/>
      <c r="S132" s="11"/>
      <c r="T132" s="274"/>
      <c r="U132" s="274"/>
      <c r="V132" s="274"/>
      <c r="W132" s="39"/>
      <c r="X132" s="11"/>
      <c r="Y132" s="11"/>
      <c r="Z132" s="274"/>
      <c r="AA132" s="274"/>
      <c r="AB132" s="274"/>
      <c r="AC132" s="52"/>
      <c r="AD132" s="22"/>
      <c r="AE132" s="39"/>
      <c r="AF132" s="274"/>
      <c r="AG132" s="274"/>
      <c r="AH132" s="113"/>
      <c r="AI132" s="4"/>
      <c r="AJ132" s="39"/>
      <c r="AK132" s="39"/>
      <c r="AL132" s="118"/>
      <c r="AM132" s="152"/>
      <c r="AN132" s="181"/>
      <c r="AO132" s="131"/>
      <c r="AP132" s="131"/>
      <c r="AQ132" s="39"/>
      <c r="AR132" s="274"/>
      <c r="AS132" s="274"/>
      <c r="AT132" s="274"/>
      <c r="AU132" s="39"/>
      <c r="AV132" s="39"/>
      <c r="AW132" s="39"/>
      <c r="AX132" s="274"/>
      <c r="AY132" s="274"/>
      <c r="AZ132" s="274"/>
      <c r="BA132" s="39"/>
      <c r="BB132" s="62"/>
      <c r="BC132" s="39"/>
      <c r="BD132" s="274"/>
      <c r="BE132" s="274"/>
      <c r="BF132" s="274"/>
      <c r="BG132" s="39"/>
      <c r="BH132" s="39"/>
      <c r="BI132" s="39"/>
      <c r="BJ132" s="274">
        <v>393800</v>
      </c>
      <c r="BK132" s="274">
        <f t="shared" si="48"/>
        <v>74822</v>
      </c>
      <c r="BL132" s="274">
        <f t="shared" si="49"/>
        <v>468622</v>
      </c>
      <c r="BM132" s="213" t="s">
        <v>196</v>
      </c>
      <c r="BN132" s="213" t="s">
        <v>2956</v>
      </c>
      <c r="BO132" s="39"/>
      <c r="BP132" s="274"/>
      <c r="BQ132" s="274"/>
      <c r="BR132" s="274"/>
      <c r="BS132" s="39"/>
      <c r="BT132" s="39"/>
      <c r="BU132" s="39"/>
      <c r="BV132" s="219">
        <v>438549.85680000007</v>
      </c>
      <c r="BW132" s="219">
        <f t="shared" si="50"/>
        <v>83324.472792000015</v>
      </c>
      <c r="BX132" s="273">
        <f t="shared" si="51"/>
        <v>521874.32959200011</v>
      </c>
      <c r="BY132" s="213" t="s">
        <v>196</v>
      </c>
      <c r="BZ132" s="213" t="s">
        <v>2956</v>
      </c>
      <c r="CA132" s="213"/>
      <c r="CB132" s="274"/>
      <c r="CC132" s="274"/>
      <c r="CD132" s="274"/>
      <c r="CE132" s="39"/>
      <c r="CF132" s="39"/>
      <c r="CG132" s="39"/>
      <c r="CH132" s="274"/>
      <c r="CI132" s="274"/>
      <c r="CJ132" s="274"/>
      <c r="CK132" s="39"/>
      <c r="CL132" s="39"/>
      <c r="CM132" s="39"/>
      <c r="CN132" s="39"/>
      <c r="CO132" s="39"/>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274"/>
      <c r="DM132" s="274"/>
      <c r="DN132" s="274"/>
      <c r="DO132" s="274"/>
      <c r="DP132" s="274"/>
      <c r="DQ132" s="274"/>
      <c r="DR132" s="274"/>
      <c r="DS132" s="274"/>
      <c r="DT132" s="274"/>
      <c r="DU132" s="274"/>
      <c r="DV132" s="274"/>
      <c r="DW132" s="274"/>
      <c r="DX132" s="274"/>
      <c r="DY132" s="274"/>
      <c r="DZ132" s="274"/>
      <c r="EA132" s="274"/>
      <c r="EB132" s="274"/>
      <c r="EC132" s="274"/>
      <c r="ED132" s="39">
        <f t="shared" si="52"/>
        <v>1317746.3295920002</v>
      </c>
      <c r="EE132" s="30">
        <f t="shared" si="53"/>
        <v>3</v>
      </c>
      <c r="EF132" s="39">
        <f t="shared" si="54"/>
        <v>439248.77653066674</v>
      </c>
    </row>
    <row r="133" spans="1:136" ht="24" x14ac:dyDescent="0.25">
      <c r="A133" s="25" t="e">
        <f>#REF!</f>
        <v>#REF!</v>
      </c>
      <c r="B133" s="50" t="e">
        <f>#REF!</f>
        <v>#REF!</v>
      </c>
      <c r="C133" s="5" t="e">
        <f>#REF!</f>
        <v>#REF!</v>
      </c>
      <c r="D133" s="5" t="e">
        <f>#REF!</f>
        <v>#REF!</v>
      </c>
      <c r="E133" s="252">
        <v>1</v>
      </c>
      <c r="F133" s="249">
        <v>0</v>
      </c>
      <c r="G133" s="249">
        <v>0</v>
      </c>
      <c r="H133" s="249">
        <v>50575</v>
      </c>
      <c r="I133" s="249">
        <v>50456</v>
      </c>
      <c r="J133" s="249">
        <v>88112.065555555557</v>
      </c>
      <c r="K133" s="249">
        <v>87822</v>
      </c>
      <c r="L133" s="274">
        <f>AVERAGE(H133,J133)</f>
        <v>69343.532777777786</v>
      </c>
      <c r="M133" s="274">
        <f>AVERAGE(I133,K133)*E1</f>
        <v>71213.17</v>
      </c>
      <c r="N133" s="255">
        <v>50000</v>
      </c>
      <c r="O133" s="135">
        <f>+N133*0.19</f>
        <v>9500</v>
      </c>
      <c r="P133" s="135">
        <f>+N133+O133</f>
        <v>59500</v>
      </c>
      <c r="Q133" s="131"/>
      <c r="R133" s="131"/>
      <c r="S133" s="11"/>
      <c r="T133" s="274"/>
      <c r="U133" s="274"/>
      <c r="V133" s="274"/>
      <c r="W133" s="39"/>
      <c r="X133" s="11"/>
      <c r="Y133" s="11"/>
      <c r="Z133" s="274"/>
      <c r="AA133" s="274"/>
      <c r="AB133" s="274"/>
      <c r="AC133" s="52"/>
      <c r="AD133" s="22"/>
      <c r="AE133" s="39"/>
      <c r="AF133" s="274"/>
      <c r="AG133" s="274"/>
      <c r="AH133" s="113"/>
      <c r="AI133" s="4"/>
      <c r="AJ133" s="39"/>
      <c r="AK133" s="39"/>
      <c r="AL133" s="118">
        <v>145383</v>
      </c>
      <c r="AM133" s="152">
        <f>+AL133*0.19</f>
        <v>27622.77</v>
      </c>
      <c r="AN133" s="152">
        <f>+AL133+AM133</f>
        <v>173005.77</v>
      </c>
      <c r="AO133" s="131" t="s">
        <v>4770</v>
      </c>
      <c r="AP133" s="131" t="s">
        <v>4771</v>
      </c>
      <c r="AQ133" s="39"/>
      <c r="AR133" s="274"/>
      <c r="AS133" s="274"/>
      <c r="AT133" s="274"/>
      <c r="AU133" s="39"/>
      <c r="AV133" s="39"/>
      <c r="AW133" s="39"/>
      <c r="AX133" s="274"/>
      <c r="AY133" s="274"/>
      <c r="AZ133" s="274"/>
      <c r="BA133" s="39"/>
      <c r="BB133" s="62"/>
      <c r="BC133" s="39"/>
      <c r="BD133" s="274"/>
      <c r="BE133" s="274"/>
      <c r="BF133" s="274"/>
      <c r="BG133" s="39"/>
      <c r="BH133" s="39"/>
      <c r="BI133" s="39"/>
      <c r="BJ133" s="274">
        <v>207500</v>
      </c>
      <c r="BK133" s="274">
        <f t="shared" si="48"/>
        <v>39425</v>
      </c>
      <c r="BL133" s="274">
        <f t="shared" si="49"/>
        <v>246925</v>
      </c>
      <c r="BM133" s="213" t="s">
        <v>196</v>
      </c>
      <c r="BN133" s="213" t="s">
        <v>4767</v>
      </c>
      <c r="BO133" s="39"/>
      <c r="BP133" s="274">
        <v>45600</v>
      </c>
      <c r="BQ133" s="274">
        <f t="shared" ref="BQ133:BQ140" si="55">+BP133*19%</f>
        <v>8664</v>
      </c>
      <c r="BR133" s="274">
        <f t="shared" ref="BR133:BR140" si="56">+BQ133+BP133</f>
        <v>54264</v>
      </c>
      <c r="BS133" s="39"/>
      <c r="BT133" s="39"/>
      <c r="BU133" s="39"/>
      <c r="BV133" s="219">
        <v>235566.45</v>
      </c>
      <c r="BW133" s="219">
        <f t="shared" si="50"/>
        <v>44757.625500000002</v>
      </c>
      <c r="BX133" s="273">
        <f t="shared" si="51"/>
        <v>280324.07550000004</v>
      </c>
      <c r="BY133" s="213" t="s">
        <v>196</v>
      </c>
      <c r="BZ133" s="213" t="s">
        <v>4767</v>
      </c>
      <c r="CA133" s="213"/>
      <c r="CB133" s="274"/>
      <c r="CC133" s="274"/>
      <c r="CD133" s="274"/>
      <c r="CE133" s="39"/>
      <c r="CF133" s="39"/>
      <c r="CG133" s="39"/>
      <c r="CH133" s="274"/>
      <c r="CI133" s="274"/>
      <c r="CJ133" s="274"/>
      <c r="CK133" s="39"/>
      <c r="CL133" s="39"/>
      <c r="CM133" s="39"/>
      <c r="CN133" s="39"/>
      <c r="CO133" s="39"/>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274"/>
      <c r="DM133" s="274"/>
      <c r="DN133" s="274"/>
      <c r="DO133" s="274"/>
      <c r="DP133" s="274"/>
      <c r="DQ133" s="274"/>
      <c r="DR133" s="274"/>
      <c r="DS133" s="274"/>
      <c r="DT133" s="274"/>
      <c r="DU133" s="274"/>
      <c r="DV133" s="274"/>
      <c r="DW133" s="274"/>
      <c r="DX133" s="274"/>
      <c r="DY133" s="274"/>
      <c r="DZ133" s="274"/>
      <c r="EA133" s="274"/>
      <c r="EB133" s="274"/>
      <c r="EC133" s="274"/>
      <c r="ED133" s="39">
        <f t="shared" si="52"/>
        <v>885232.01549999998</v>
      </c>
      <c r="EE133" s="30">
        <f t="shared" si="53"/>
        <v>6</v>
      </c>
      <c r="EF133" s="39">
        <f t="shared" si="54"/>
        <v>147538.66925000001</v>
      </c>
    </row>
    <row r="134" spans="1:136" x14ac:dyDescent="0.25">
      <c r="A134" s="25" t="e">
        <f>#REF!</f>
        <v>#REF!</v>
      </c>
      <c r="B134" s="50" t="e">
        <f>#REF!</f>
        <v>#REF!</v>
      </c>
      <c r="C134" s="5" t="e">
        <f>#REF!</f>
        <v>#REF!</v>
      </c>
      <c r="D134" s="5" t="e">
        <f>#REF!</f>
        <v>#REF!</v>
      </c>
      <c r="E134" s="252">
        <v>1</v>
      </c>
      <c r="F134" s="249">
        <v>59500</v>
      </c>
      <c r="G134" s="249">
        <v>59500</v>
      </c>
      <c r="H134" s="249">
        <v>102170.425</v>
      </c>
      <c r="I134" s="249">
        <v>0</v>
      </c>
      <c r="J134" s="249">
        <v>62475</v>
      </c>
      <c r="K134" s="249">
        <v>0</v>
      </c>
      <c r="L134" s="274">
        <f>AVERAGE(F134,H134,J134)</f>
        <v>74715.141666666663</v>
      </c>
      <c r="M134" s="274">
        <f>G134*E1</f>
        <v>61285</v>
      </c>
      <c r="N134" s="255"/>
      <c r="O134" s="135"/>
      <c r="P134" s="135"/>
      <c r="Q134" s="131"/>
      <c r="R134" s="131"/>
      <c r="S134" s="11"/>
      <c r="T134" s="274"/>
      <c r="U134" s="274"/>
      <c r="V134" s="274"/>
      <c r="W134" s="39"/>
      <c r="X134" s="11"/>
      <c r="Y134" s="11"/>
      <c r="Z134" s="274"/>
      <c r="AA134" s="274"/>
      <c r="AB134" s="274"/>
      <c r="AC134" s="52"/>
      <c r="AD134" s="22"/>
      <c r="AE134" s="39"/>
      <c r="AF134" s="274"/>
      <c r="AG134" s="274"/>
      <c r="AH134" s="171"/>
      <c r="AI134" s="22"/>
      <c r="AJ134" s="39"/>
      <c r="AK134" s="39"/>
      <c r="AL134" s="118">
        <v>145383</v>
      </c>
      <c r="AM134" s="152">
        <f>+AL134*0.19</f>
        <v>27622.77</v>
      </c>
      <c r="AN134" s="152">
        <f>+AL134+AM134</f>
        <v>173005.77</v>
      </c>
      <c r="AO134" s="131" t="s">
        <v>4770</v>
      </c>
      <c r="AP134" s="131" t="s">
        <v>4771</v>
      </c>
      <c r="AQ134" s="39"/>
      <c r="AR134" s="274">
        <v>130000</v>
      </c>
      <c r="AS134" s="274">
        <f>+AR134*0.19</f>
        <v>24700</v>
      </c>
      <c r="AT134" s="274">
        <f>+AR134+AS134</f>
        <v>154700</v>
      </c>
      <c r="AU134" s="39"/>
      <c r="AV134" s="39"/>
      <c r="AW134" s="39"/>
      <c r="AX134" s="274"/>
      <c r="AY134" s="274"/>
      <c r="AZ134" s="274"/>
      <c r="BA134" s="39"/>
      <c r="BB134" s="62"/>
      <c r="BC134" s="39"/>
      <c r="BD134" s="274"/>
      <c r="BE134" s="274"/>
      <c r="BF134" s="274"/>
      <c r="BG134" s="39"/>
      <c r="BH134" s="39"/>
      <c r="BI134" s="39"/>
      <c r="BJ134" s="274">
        <v>369000</v>
      </c>
      <c r="BK134" s="274">
        <f t="shared" si="48"/>
        <v>70110</v>
      </c>
      <c r="BL134" s="274">
        <f t="shared" si="49"/>
        <v>439110</v>
      </c>
      <c r="BM134" s="213" t="s">
        <v>196</v>
      </c>
      <c r="BN134" s="213" t="s">
        <v>338</v>
      </c>
      <c r="BO134" s="39"/>
      <c r="BP134" s="274">
        <v>396000</v>
      </c>
      <c r="BQ134" s="274">
        <f t="shared" si="55"/>
        <v>75240</v>
      </c>
      <c r="BR134" s="274">
        <f t="shared" si="56"/>
        <v>471240</v>
      </c>
      <c r="BS134" s="39"/>
      <c r="BT134" s="39"/>
      <c r="BU134" s="39"/>
      <c r="BV134" s="219">
        <v>403064.23499999999</v>
      </c>
      <c r="BW134" s="219">
        <f t="shared" si="50"/>
        <v>76582.20465</v>
      </c>
      <c r="BX134" s="273">
        <f t="shared" si="51"/>
        <v>479646.43964999996</v>
      </c>
      <c r="BY134" s="213" t="s">
        <v>196</v>
      </c>
      <c r="BZ134" s="213" t="s">
        <v>338</v>
      </c>
      <c r="CA134" s="213"/>
      <c r="CB134" s="274"/>
      <c r="CC134" s="274"/>
      <c r="CD134" s="274"/>
      <c r="CE134" s="39"/>
      <c r="CF134" s="39"/>
      <c r="CG134" s="39"/>
      <c r="CH134" s="274"/>
      <c r="CI134" s="274"/>
      <c r="CJ134" s="274"/>
      <c r="CK134" s="39"/>
      <c r="CL134" s="39"/>
      <c r="CM134" s="39"/>
      <c r="CN134" s="39"/>
      <c r="CO134" s="39"/>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274"/>
      <c r="DM134" s="274"/>
      <c r="DN134" s="274"/>
      <c r="DO134" s="274"/>
      <c r="DP134" s="274"/>
      <c r="DQ134" s="274"/>
      <c r="DR134" s="274"/>
      <c r="DS134" s="274"/>
      <c r="DT134" s="274"/>
      <c r="DU134" s="274"/>
      <c r="DV134" s="274"/>
      <c r="DW134" s="274"/>
      <c r="DX134" s="274"/>
      <c r="DY134" s="274"/>
      <c r="DZ134" s="274"/>
      <c r="EA134" s="274"/>
      <c r="EB134" s="274"/>
      <c r="EC134" s="274"/>
      <c r="ED134" s="39">
        <f t="shared" si="52"/>
        <v>1778987.2096500001</v>
      </c>
      <c r="EE134" s="30">
        <f t="shared" si="53"/>
        <v>6</v>
      </c>
      <c r="EF134" s="39">
        <f t="shared" si="54"/>
        <v>296497.86827500002</v>
      </c>
    </row>
    <row r="135" spans="1:136" x14ac:dyDescent="0.25">
      <c r="A135" s="25" t="e">
        <f>#REF!</f>
        <v>#REF!</v>
      </c>
      <c r="B135" s="50" t="e">
        <f>#REF!</f>
        <v>#REF!</v>
      </c>
      <c r="C135" s="5" t="e">
        <f>#REF!</f>
        <v>#REF!</v>
      </c>
      <c r="D135" s="5" t="e">
        <f>#REF!</f>
        <v>#REF!</v>
      </c>
      <c r="E135" s="252">
        <v>1</v>
      </c>
      <c r="F135" s="249">
        <v>71400</v>
      </c>
      <c r="G135" s="249">
        <v>71400</v>
      </c>
      <c r="H135" s="249">
        <v>72216.340000000011</v>
      </c>
      <c r="I135" s="249">
        <v>72114</v>
      </c>
      <c r="J135" s="249">
        <v>70210</v>
      </c>
      <c r="K135" s="249">
        <v>70210</v>
      </c>
      <c r="L135" s="274">
        <f>AVERAGE(F135,H135,J135)</f>
        <v>71275.44666666667</v>
      </c>
      <c r="M135" s="274">
        <f>AVERAGE(G135,I135,K135)*E1</f>
        <v>73378.573333333334</v>
      </c>
      <c r="N135" s="255">
        <v>55000</v>
      </c>
      <c r="O135" s="135">
        <f>+N135*0.19</f>
        <v>10450</v>
      </c>
      <c r="P135" s="135">
        <f>+N135+O135</f>
        <v>65450</v>
      </c>
      <c r="Q135" s="131"/>
      <c r="R135" s="131"/>
      <c r="S135" s="11"/>
      <c r="T135" s="274"/>
      <c r="U135" s="274"/>
      <c r="V135" s="274"/>
      <c r="W135" s="39"/>
      <c r="X135" s="11"/>
      <c r="Y135" s="11"/>
      <c r="Z135" s="274"/>
      <c r="AA135" s="274"/>
      <c r="AB135" s="274"/>
      <c r="AC135" s="52"/>
      <c r="AD135" s="22"/>
      <c r="AE135" s="39"/>
      <c r="AF135" s="274"/>
      <c r="AG135" s="274"/>
      <c r="AH135" s="171"/>
      <c r="AI135" s="4"/>
      <c r="AJ135" s="39"/>
      <c r="AK135" s="39"/>
      <c r="AL135" s="118">
        <v>84538</v>
      </c>
      <c r="AM135" s="152">
        <f>+AL135*0.19</f>
        <v>16062.22</v>
      </c>
      <c r="AN135" s="152">
        <f>+AL135+AM135</f>
        <v>100600.22</v>
      </c>
      <c r="AO135" s="131" t="s">
        <v>4770</v>
      </c>
      <c r="AP135" s="131" t="s">
        <v>4771</v>
      </c>
      <c r="AQ135" s="39"/>
      <c r="AR135" s="274">
        <v>65000</v>
      </c>
      <c r="AS135" s="274">
        <f>+AR135*0.19</f>
        <v>12350</v>
      </c>
      <c r="AT135" s="274">
        <f>+AR135+AS135</f>
        <v>77350</v>
      </c>
      <c r="AU135" s="39"/>
      <c r="AV135" s="39"/>
      <c r="AW135" s="39"/>
      <c r="AX135" s="274"/>
      <c r="AY135" s="274"/>
      <c r="AZ135" s="274"/>
      <c r="BA135" s="39"/>
      <c r="BB135" s="62"/>
      <c r="BC135" s="39"/>
      <c r="BD135" s="274"/>
      <c r="BE135" s="274"/>
      <c r="BF135" s="274"/>
      <c r="BG135" s="39"/>
      <c r="BH135" s="39"/>
      <c r="BI135" s="39"/>
      <c r="BJ135" s="274">
        <v>78656</v>
      </c>
      <c r="BK135" s="274">
        <f t="shared" si="48"/>
        <v>14944.64</v>
      </c>
      <c r="BL135" s="274">
        <f t="shared" si="49"/>
        <v>93600.639999999999</v>
      </c>
      <c r="BM135" s="213" t="s">
        <v>196</v>
      </c>
      <c r="BN135" s="213" t="s">
        <v>4766</v>
      </c>
      <c r="BO135" s="39"/>
      <c r="BP135" s="274">
        <v>56000</v>
      </c>
      <c r="BQ135" s="274">
        <f t="shared" si="55"/>
        <v>10640</v>
      </c>
      <c r="BR135" s="274">
        <f t="shared" si="56"/>
        <v>66640</v>
      </c>
      <c r="BS135" s="39"/>
      <c r="BT135" s="39"/>
      <c r="BU135" s="39"/>
      <c r="BV135" s="219">
        <v>93622.663680000012</v>
      </c>
      <c r="BW135" s="219">
        <f t="shared" si="50"/>
        <v>17788.306099200003</v>
      </c>
      <c r="BX135" s="273">
        <f t="shared" si="51"/>
        <v>111410.96977920001</v>
      </c>
      <c r="BY135" s="213" t="s">
        <v>196</v>
      </c>
      <c r="BZ135" s="213" t="s">
        <v>4766</v>
      </c>
      <c r="CA135" s="213"/>
      <c r="CB135" s="274"/>
      <c r="CC135" s="274"/>
      <c r="CD135" s="274"/>
      <c r="CE135" s="39"/>
      <c r="CF135" s="39"/>
      <c r="CG135" s="39"/>
      <c r="CH135" s="274"/>
      <c r="CI135" s="274"/>
      <c r="CJ135" s="274"/>
      <c r="CK135" s="39"/>
      <c r="CL135" s="39"/>
      <c r="CM135" s="39"/>
      <c r="CN135" s="39"/>
      <c r="CO135" s="39"/>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274"/>
      <c r="DM135" s="274"/>
      <c r="DN135" s="274"/>
      <c r="DO135" s="274"/>
      <c r="DP135" s="274"/>
      <c r="DQ135" s="274"/>
      <c r="DR135" s="274"/>
      <c r="DS135" s="274"/>
      <c r="DT135" s="274"/>
      <c r="DU135" s="274"/>
      <c r="DV135" s="274"/>
      <c r="DW135" s="274"/>
      <c r="DX135" s="274"/>
      <c r="DY135" s="274"/>
      <c r="DZ135" s="274"/>
      <c r="EA135" s="274"/>
      <c r="EB135" s="274"/>
      <c r="EC135" s="274"/>
      <c r="ED135" s="39">
        <f t="shared" si="52"/>
        <v>588430.40311253339</v>
      </c>
      <c r="EE135" s="30">
        <f t="shared" si="53"/>
        <v>7</v>
      </c>
      <c r="EF135" s="39">
        <f t="shared" si="54"/>
        <v>84061.486158933345</v>
      </c>
    </row>
    <row r="136" spans="1:136" x14ac:dyDescent="0.25">
      <c r="A136" s="25" t="e">
        <f>#REF!</f>
        <v>#REF!</v>
      </c>
      <c r="B136" s="50" t="e">
        <f>#REF!</f>
        <v>#REF!</v>
      </c>
      <c r="C136" s="5" t="e">
        <f>#REF!</f>
        <v>#REF!</v>
      </c>
      <c r="D136" s="5" t="e">
        <f>#REF!</f>
        <v>#REF!</v>
      </c>
      <c r="E136" s="252">
        <v>1</v>
      </c>
      <c r="F136" s="249">
        <v>71400</v>
      </c>
      <c r="G136" s="249">
        <v>71400</v>
      </c>
      <c r="H136" s="249">
        <v>72216.340000000011</v>
      </c>
      <c r="I136" s="249">
        <v>0</v>
      </c>
      <c r="J136" s="249">
        <v>69585.25</v>
      </c>
      <c r="K136" s="249">
        <v>69020</v>
      </c>
      <c r="L136" s="274">
        <f>AVERAGE(F136,H136,J136)</f>
        <v>71067.19666666667</v>
      </c>
      <c r="M136" s="274">
        <f>AVERAGE(G136,K136)*E1</f>
        <v>72316.3</v>
      </c>
      <c r="N136" s="255">
        <v>55000</v>
      </c>
      <c r="O136" s="135">
        <f>+N136*0.19</f>
        <v>10450</v>
      </c>
      <c r="P136" s="135">
        <f>+N136+O136</f>
        <v>65450</v>
      </c>
      <c r="Q136" s="131"/>
      <c r="R136" s="131"/>
      <c r="S136" s="11"/>
      <c r="T136" s="274"/>
      <c r="U136" s="274"/>
      <c r="V136" s="274"/>
      <c r="W136" s="39"/>
      <c r="X136" s="11"/>
      <c r="Y136" s="11"/>
      <c r="Z136" s="274"/>
      <c r="AA136" s="274"/>
      <c r="AB136" s="274"/>
      <c r="AC136" s="52"/>
      <c r="AD136" s="22"/>
      <c r="AE136" s="39"/>
      <c r="AF136" s="274"/>
      <c r="AG136" s="274"/>
      <c r="AH136" s="171"/>
      <c r="AI136" s="4"/>
      <c r="AJ136" s="39"/>
      <c r="AK136" s="39"/>
      <c r="AL136" s="118"/>
      <c r="AM136" s="152"/>
      <c r="AN136" s="181"/>
      <c r="AO136" s="131"/>
      <c r="AP136" s="131"/>
      <c r="AQ136" s="39"/>
      <c r="AR136" s="274"/>
      <c r="AS136" s="274"/>
      <c r="AT136" s="274"/>
      <c r="AU136" s="39"/>
      <c r="AV136" s="39"/>
      <c r="AW136" s="39"/>
      <c r="AX136" s="274"/>
      <c r="AY136" s="274"/>
      <c r="AZ136" s="274"/>
      <c r="BA136" s="39"/>
      <c r="BB136" s="62"/>
      <c r="BC136" s="39"/>
      <c r="BD136" s="274"/>
      <c r="BE136" s="274"/>
      <c r="BF136" s="274"/>
      <c r="BG136" s="39"/>
      <c r="BH136" s="39"/>
      <c r="BI136" s="39"/>
      <c r="BJ136" s="274">
        <v>67000</v>
      </c>
      <c r="BK136" s="274">
        <f>+BJ136*0</f>
        <v>0</v>
      </c>
      <c r="BL136" s="274">
        <f t="shared" si="49"/>
        <v>67000</v>
      </c>
      <c r="BM136" s="213" t="s">
        <v>196</v>
      </c>
      <c r="BN136" s="213" t="s">
        <v>4766</v>
      </c>
      <c r="BO136" s="39"/>
      <c r="BP136" s="274">
        <v>56000</v>
      </c>
      <c r="BQ136" s="274">
        <f t="shared" si="55"/>
        <v>10640</v>
      </c>
      <c r="BR136" s="274">
        <f t="shared" si="56"/>
        <v>66640</v>
      </c>
      <c r="BS136" s="39"/>
      <c r="BT136" s="39"/>
      <c r="BU136" s="39"/>
      <c r="BV136" s="219">
        <v>79038.225000000006</v>
      </c>
      <c r="BW136" s="222">
        <f>+BV136*0</f>
        <v>0</v>
      </c>
      <c r="BX136" s="273">
        <f t="shared" si="51"/>
        <v>79038.225000000006</v>
      </c>
      <c r="BY136" s="213" t="s">
        <v>196</v>
      </c>
      <c r="BZ136" s="213" t="s">
        <v>4766</v>
      </c>
      <c r="CA136" s="213"/>
      <c r="CB136" s="274"/>
      <c r="CC136" s="274"/>
      <c r="CD136" s="274"/>
      <c r="CE136" s="39"/>
      <c r="CF136" s="39"/>
      <c r="CG136" s="39"/>
      <c r="CH136" s="274"/>
      <c r="CI136" s="274"/>
      <c r="CJ136" s="274"/>
      <c r="CK136" s="39"/>
      <c r="CL136" s="39"/>
      <c r="CM136" s="39"/>
      <c r="CN136" s="39"/>
      <c r="CO136" s="39"/>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274"/>
      <c r="DM136" s="274"/>
      <c r="DN136" s="274"/>
      <c r="DO136" s="274"/>
      <c r="DP136" s="274"/>
      <c r="DQ136" s="274"/>
      <c r="DR136" s="274"/>
      <c r="DS136" s="274"/>
      <c r="DT136" s="274"/>
      <c r="DU136" s="274"/>
      <c r="DV136" s="274"/>
      <c r="DW136" s="274"/>
      <c r="DX136" s="274"/>
      <c r="DY136" s="274"/>
      <c r="DZ136" s="274"/>
      <c r="EA136" s="274"/>
      <c r="EB136" s="274"/>
      <c r="EC136" s="274"/>
      <c r="ED136" s="39">
        <f t="shared" si="52"/>
        <v>350444.52500000002</v>
      </c>
      <c r="EE136" s="30">
        <f t="shared" si="53"/>
        <v>5</v>
      </c>
      <c r="EF136" s="39">
        <f t="shared" si="54"/>
        <v>70088.904999999999</v>
      </c>
    </row>
    <row r="137" spans="1:136" x14ac:dyDescent="0.25">
      <c r="A137" s="25" t="e">
        <f>#REF!</f>
        <v>#REF!</v>
      </c>
      <c r="B137" s="50" t="e">
        <f>#REF!</f>
        <v>#REF!</v>
      </c>
      <c r="C137" s="5" t="e">
        <f>#REF!</f>
        <v>#REF!</v>
      </c>
      <c r="D137" s="5" t="e">
        <f>#REF!</f>
        <v>#REF!</v>
      </c>
      <c r="E137" s="252">
        <v>1</v>
      </c>
      <c r="F137" s="249">
        <v>83300</v>
      </c>
      <c r="G137" s="249">
        <v>81158</v>
      </c>
      <c r="H137" s="249">
        <v>85497.239799999996</v>
      </c>
      <c r="I137" s="249">
        <v>0</v>
      </c>
      <c r="J137" s="249">
        <v>76457.5</v>
      </c>
      <c r="K137" s="249">
        <v>76160</v>
      </c>
      <c r="L137" s="274">
        <f>AVERAGE(F137,H137,J137)</f>
        <v>81751.579933333327</v>
      </c>
      <c r="M137" s="274">
        <f>AVERAGE(G137,K137)*E1</f>
        <v>81018.77</v>
      </c>
      <c r="N137" s="255">
        <v>55000</v>
      </c>
      <c r="O137" s="135">
        <f>+N137*0.19</f>
        <v>10450</v>
      </c>
      <c r="P137" s="135">
        <f>+N137+O137</f>
        <v>65450</v>
      </c>
      <c r="Q137" s="131"/>
      <c r="R137" s="131"/>
      <c r="S137" s="11"/>
      <c r="T137" s="274"/>
      <c r="U137" s="274"/>
      <c r="V137" s="274"/>
      <c r="W137" s="39"/>
      <c r="X137" s="11"/>
      <c r="Y137" s="11"/>
      <c r="Z137" s="274"/>
      <c r="AA137" s="274"/>
      <c r="AB137" s="274"/>
      <c r="AC137" s="52"/>
      <c r="AD137" s="22"/>
      <c r="AE137" s="39"/>
      <c r="AF137" s="274"/>
      <c r="AG137" s="274"/>
      <c r="AH137" s="171"/>
      <c r="AI137" s="22"/>
      <c r="AJ137" s="39"/>
      <c r="AK137" s="39"/>
      <c r="AL137" s="118"/>
      <c r="AM137" s="152"/>
      <c r="AN137" s="181"/>
      <c r="AO137" s="131"/>
      <c r="AP137" s="131"/>
      <c r="AQ137" s="39"/>
      <c r="AR137" s="274">
        <v>58000</v>
      </c>
      <c r="AS137" s="274">
        <f>+AR137*0.19</f>
        <v>11020</v>
      </c>
      <c r="AT137" s="274">
        <f>+AR137+AS137</f>
        <v>69020</v>
      </c>
      <c r="AU137" s="39"/>
      <c r="AV137" s="39"/>
      <c r="AW137" s="39"/>
      <c r="AX137" s="274"/>
      <c r="AY137" s="274"/>
      <c r="AZ137" s="274"/>
      <c r="BA137" s="39"/>
      <c r="BB137" s="62"/>
      <c r="BC137" s="39"/>
      <c r="BD137" s="274"/>
      <c r="BE137" s="274"/>
      <c r="BF137" s="274"/>
      <c r="BG137" s="39"/>
      <c r="BH137" s="39"/>
      <c r="BI137" s="39"/>
      <c r="BJ137" s="274">
        <v>108800</v>
      </c>
      <c r="BK137" s="274">
        <f>+BJ137*0.19</f>
        <v>20672</v>
      </c>
      <c r="BL137" s="274">
        <f t="shared" si="49"/>
        <v>129472</v>
      </c>
      <c r="BM137" s="213" t="s">
        <v>196</v>
      </c>
      <c r="BN137" s="213" t="s">
        <v>3188</v>
      </c>
      <c r="BO137" s="39"/>
      <c r="BP137" s="274">
        <v>72000</v>
      </c>
      <c r="BQ137" s="274">
        <f t="shared" si="55"/>
        <v>13680</v>
      </c>
      <c r="BR137" s="274">
        <f t="shared" si="56"/>
        <v>85680</v>
      </c>
      <c r="BS137" s="39"/>
      <c r="BT137" s="39"/>
      <c r="BU137" s="39"/>
      <c r="BV137" s="219">
        <v>123516.28800000002</v>
      </c>
      <c r="BW137" s="219">
        <f>+BV137*0.19</f>
        <v>23468.094720000005</v>
      </c>
      <c r="BX137" s="273">
        <f t="shared" si="51"/>
        <v>146984.38272000002</v>
      </c>
      <c r="BY137" s="213" t="s">
        <v>196</v>
      </c>
      <c r="BZ137" s="213" t="s">
        <v>3188</v>
      </c>
      <c r="CA137" s="213"/>
      <c r="CB137" s="274"/>
      <c r="CC137" s="274"/>
      <c r="CD137" s="274"/>
      <c r="CE137" s="39"/>
      <c r="CF137" s="39"/>
      <c r="CG137" s="39"/>
      <c r="CH137" s="274"/>
      <c r="CI137" s="274"/>
      <c r="CJ137" s="274"/>
      <c r="CK137" s="39"/>
      <c r="CL137" s="39"/>
      <c r="CM137" s="39"/>
      <c r="CN137" s="39"/>
      <c r="CO137" s="39"/>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274"/>
      <c r="DM137" s="274"/>
      <c r="DN137" s="274"/>
      <c r="DO137" s="274"/>
      <c r="DP137" s="274"/>
      <c r="DQ137" s="274"/>
      <c r="DR137" s="274"/>
      <c r="DS137" s="274"/>
      <c r="DT137" s="274"/>
      <c r="DU137" s="274"/>
      <c r="DV137" s="274"/>
      <c r="DW137" s="274"/>
      <c r="DX137" s="274"/>
      <c r="DY137" s="274"/>
      <c r="DZ137" s="274"/>
      <c r="EA137" s="274"/>
      <c r="EB137" s="274"/>
      <c r="EC137" s="274"/>
      <c r="ED137" s="39">
        <f t="shared" si="52"/>
        <v>577625.15272000001</v>
      </c>
      <c r="EE137" s="30">
        <f t="shared" si="53"/>
        <v>6</v>
      </c>
      <c r="EF137" s="39">
        <f t="shared" si="54"/>
        <v>96270.858786666664</v>
      </c>
    </row>
    <row r="138" spans="1:136" x14ac:dyDescent="0.25">
      <c r="A138" s="25" t="e">
        <f>#REF!</f>
        <v>#REF!</v>
      </c>
      <c r="B138" s="50" t="e">
        <f>#REF!</f>
        <v>#REF!</v>
      </c>
      <c r="C138" s="5" t="e">
        <f>#REF!</f>
        <v>#REF!</v>
      </c>
      <c r="D138" s="5" t="e">
        <f>#REF!</f>
        <v>#REF!</v>
      </c>
      <c r="E138" s="252">
        <v>1</v>
      </c>
      <c r="F138" s="249">
        <v>0</v>
      </c>
      <c r="G138" s="249">
        <v>0</v>
      </c>
      <c r="H138" s="249">
        <v>162644.83666666667</v>
      </c>
      <c r="I138" s="249">
        <v>0</v>
      </c>
      <c r="J138" s="249">
        <v>141967</v>
      </c>
      <c r="K138" s="249">
        <v>136850</v>
      </c>
      <c r="L138" s="274">
        <f>AVERAGE(H138,J138)</f>
        <v>152305.91833333333</v>
      </c>
      <c r="M138" s="274">
        <f>K138*E1</f>
        <v>140955.5</v>
      </c>
      <c r="N138" s="255">
        <v>150000</v>
      </c>
      <c r="O138" s="135">
        <f>+N138*0.19</f>
        <v>28500</v>
      </c>
      <c r="P138" s="135">
        <f>+N138+O138</f>
        <v>178500</v>
      </c>
      <c r="Q138" s="131"/>
      <c r="R138" s="131"/>
      <c r="S138" s="11"/>
      <c r="T138" s="274"/>
      <c r="U138" s="274"/>
      <c r="V138" s="274"/>
      <c r="W138" s="39"/>
      <c r="X138" s="11"/>
      <c r="Y138" s="11"/>
      <c r="Z138" s="274"/>
      <c r="AA138" s="274"/>
      <c r="AB138" s="274"/>
      <c r="AC138" s="52"/>
      <c r="AD138" s="22"/>
      <c r="AE138" s="39"/>
      <c r="AF138" s="274"/>
      <c r="AG138" s="274"/>
      <c r="AH138" s="171"/>
      <c r="AI138" s="4"/>
      <c r="AJ138" s="39"/>
      <c r="AK138" s="39"/>
      <c r="AL138" s="118">
        <v>82170</v>
      </c>
      <c r="AM138" s="152">
        <f>+AL138*0.19</f>
        <v>15612.300000000001</v>
      </c>
      <c r="AN138" s="152">
        <f>+AL138+AM138</f>
        <v>97782.3</v>
      </c>
      <c r="AO138" s="131" t="s">
        <v>4772</v>
      </c>
      <c r="AP138" s="131"/>
      <c r="AQ138" s="39"/>
      <c r="AR138" s="274"/>
      <c r="AS138" s="274"/>
      <c r="AT138" s="274"/>
      <c r="AU138" s="39"/>
      <c r="AV138" s="39"/>
      <c r="AW138" s="39"/>
      <c r="AX138" s="274"/>
      <c r="AY138" s="274"/>
      <c r="AZ138" s="274"/>
      <c r="BA138" s="39"/>
      <c r="BB138" s="62"/>
      <c r="BC138" s="39"/>
      <c r="BD138" s="274"/>
      <c r="BE138" s="274"/>
      <c r="BF138" s="274"/>
      <c r="BG138" s="39"/>
      <c r="BH138" s="39"/>
      <c r="BI138" s="39"/>
      <c r="BJ138" s="274">
        <v>143400</v>
      </c>
      <c r="BK138" s="274">
        <f>+BJ138*0</f>
        <v>0</v>
      </c>
      <c r="BL138" s="274">
        <f t="shared" si="49"/>
        <v>143400</v>
      </c>
      <c r="BM138" s="213" t="s">
        <v>196</v>
      </c>
      <c r="BN138" s="213" t="s">
        <v>4773</v>
      </c>
      <c r="BO138" s="39"/>
      <c r="BP138" s="274">
        <v>96000</v>
      </c>
      <c r="BQ138" s="274">
        <f t="shared" si="55"/>
        <v>18240</v>
      </c>
      <c r="BR138" s="274">
        <f t="shared" si="56"/>
        <v>114240</v>
      </c>
      <c r="BS138" s="39"/>
      <c r="BT138" s="39"/>
      <c r="BU138" s="39"/>
      <c r="BV138" s="219">
        <v>164407.5264</v>
      </c>
      <c r="BW138" s="222">
        <f>+BV138*0</f>
        <v>0</v>
      </c>
      <c r="BX138" s="273">
        <f t="shared" si="51"/>
        <v>164407.5264</v>
      </c>
      <c r="BY138" s="213" t="s">
        <v>196</v>
      </c>
      <c r="BZ138" s="213" t="s">
        <v>4773</v>
      </c>
      <c r="CA138" s="213"/>
      <c r="CB138" s="274"/>
      <c r="CC138" s="274"/>
      <c r="CD138" s="274"/>
      <c r="CE138" s="39"/>
      <c r="CF138" s="39"/>
      <c r="CG138" s="39"/>
      <c r="CH138" s="274"/>
      <c r="CI138" s="274"/>
      <c r="CJ138" s="274"/>
      <c r="CK138" s="39"/>
      <c r="CL138" s="39"/>
      <c r="CM138" s="39"/>
      <c r="CN138" s="39"/>
      <c r="CO138" s="39"/>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274"/>
      <c r="DM138" s="274"/>
      <c r="DN138" s="274"/>
      <c r="DO138" s="274"/>
      <c r="DP138" s="274"/>
      <c r="DQ138" s="274"/>
      <c r="DR138" s="274"/>
      <c r="DS138" s="274"/>
      <c r="DT138" s="274"/>
      <c r="DU138" s="274"/>
      <c r="DV138" s="274"/>
      <c r="DW138" s="274"/>
      <c r="DX138" s="274"/>
      <c r="DY138" s="274"/>
      <c r="DZ138" s="274"/>
      <c r="EA138" s="274"/>
      <c r="EB138" s="274"/>
      <c r="EC138" s="274"/>
      <c r="ED138" s="39">
        <f t="shared" si="52"/>
        <v>839285.32640000002</v>
      </c>
      <c r="EE138" s="30">
        <f t="shared" si="53"/>
        <v>6</v>
      </c>
      <c r="EF138" s="39">
        <f t="shared" si="54"/>
        <v>139880.88773333334</v>
      </c>
    </row>
    <row r="139" spans="1:136" ht="24" x14ac:dyDescent="0.25">
      <c r="A139" s="25" t="e">
        <f>#REF!</f>
        <v>#REF!</v>
      </c>
      <c r="B139" s="50" t="e">
        <f>#REF!</f>
        <v>#REF!</v>
      </c>
      <c r="C139" s="5" t="e">
        <f>#REF!</f>
        <v>#REF!</v>
      </c>
      <c r="D139" s="5" t="e">
        <f>#REF!</f>
        <v>#REF!</v>
      </c>
      <c r="E139" s="252">
        <v>1</v>
      </c>
      <c r="F139" s="249">
        <v>1286271</v>
      </c>
      <c r="G139" s="249">
        <v>119000</v>
      </c>
      <c r="H139" s="249">
        <v>87833.900000000009</v>
      </c>
      <c r="I139" s="249">
        <v>0</v>
      </c>
      <c r="J139" s="249">
        <v>124950</v>
      </c>
      <c r="K139" s="249">
        <v>0</v>
      </c>
      <c r="L139" s="274">
        <f>AVERAGE(F139,H139,J139)</f>
        <v>499684.96666666662</v>
      </c>
      <c r="M139" s="274">
        <f>G139*E1</f>
        <v>122570</v>
      </c>
      <c r="N139" s="255"/>
      <c r="O139" s="135"/>
      <c r="P139" s="135"/>
      <c r="Q139" s="131"/>
      <c r="R139" s="131"/>
      <c r="S139" s="11"/>
      <c r="T139" s="274"/>
      <c r="U139" s="274"/>
      <c r="V139" s="274"/>
      <c r="W139" s="39"/>
      <c r="X139" s="11"/>
      <c r="Y139" s="11"/>
      <c r="Z139" s="274"/>
      <c r="AA139" s="274"/>
      <c r="AB139" s="274"/>
      <c r="AC139" s="52"/>
      <c r="AD139" s="22"/>
      <c r="AE139" s="39"/>
      <c r="AF139" s="274"/>
      <c r="AG139" s="274"/>
      <c r="AH139" s="171"/>
      <c r="AI139" s="4"/>
      <c r="AJ139" s="39"/>
      <c r="AK139" s="39"/>
      <c r="AL139" s="118"/>
      <c r="AM139" s="152"/>
      <c r="AN139" s="181"/>
      <c r="AO139" s="131"/>
      <c r="AP139" s="131"/>
      <c r="AQ139" s="39"/>
      <c r="AR139" s="274"/>
      <c r="AS139" s="274"/>
      <c r="AT139" s="274"/>
      <c r="AU139" s="39"/>
      <c r="AV139" s="39"/>
      <c r="AW139" s="39"/>
      <c r="AX139" s="274"/>
      <c r="AY139" s="274"/>
      <c r="AZ139" s="274"/>
      <c r="BA139" s="39"/>
      <c r="BB139" s="62"/>
      <c r="BC139" s="39"/>
      <c r="BD139" s="274"/>
      <c r="BE139" s="274"/>
      <c r="BF139" s="274"/>
      <c r="BG139" s="39"/>
      <c r="BH139" s="39"/>
      <c r="BI139" s="39"/>
      <c r="BJ139" s="274">
        <v>128700</v>
      </c>
      <c r="BK139" s="274">
        <f>+BJ139*0</f>
        <v>0</v>
      </c>
      <c r="BL139" s="274">
        <f t="shared" si="49"/>
        <v>128700</v>
      </c>
      <c r="BM139" s="214" t="s">
        <v>445</v>
      </c>
      <c r="BN139" s="213" t="s">
        <v>4774</v>
      </c>
      <c r="BO139" s="39"/>
      <c r="BP139" s="274">
        <v>165000</v>
      </c>
      <c r="BQ139" s="274">
        <f t="shared" si="55"/>
        <v>31350</v>
      </c>
      <c r="BR139" s="274">
        <f t="shared" si="56"/>
        <v>196350</v>
      </c>
      <c r="BS139" s="39"/>
      <c r="BT139" s="39"/>
      <c r="BU139" s="39"/>
      <c r="BV139" s="219">
        <v>139255.45919999998</v>
      </c>
      <c r="BW139" s="222">
        <f>+BV139*0</f>
        <v>0</v>
      </c>
      <c r="BX139" s="273">
        <f t="shared" si="51"/>
        <v>139255.45919999998</v>
      </c>
      <c r="BY139" s="214" t="s">
        <v>445</v>
      </c>
      <c r="BZ139" s="213" t="s">
        <v>4774</v>
      </c>
      <c r="CA139" s="213"/>
      <c r="CB139" s="274"/>
      <c r="CC139" s="274"/>
      <c r="CD139" s="274"/>
      <c r="CE139" s="39"/>
      <c r="CF139" s="39"/>
      <c r="CG139" s="39"/>
      <c r="CH139" s="274"/>
      <c r="CI139" s="274"/>
      <c r="CJ139" s="274"/>
      <c r="CK139" s="39"/>
      <c r="CL139" s="39"/>
      <c r="CM139" s="39"/>
      <c r="CN139" s="39"/>
      <c r="CO139" s="39"/>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274"/>
      <c r="DM139" s="274"/>
      <c r="DN139" s="274"/>
      <c r="DO139" s="274"/>
      <c r="DP139" s="274"/>
      <c r="DQ139" s="274"/>
      <c r="DR139" s="274"/>
      <c r="DS139" s="274"/>
      <c r="DT139" s="274"/>
      <c r="DU139" s="274"/>
      <c r="DV139" s="274"/>
      <c r="DW139" s="274"/>
      <c r="DX139" s="274"/>
      <c r="DY139" s="274"/>
      <c r="DZ139" s="274"/>
      <c r="EA139" s="274"/>
      <c r="EB139" s="274"/>
      <c r="EC139" s="274"/>
      <c r="ED139" s="39">
        <f t="shared" si="52"/>
        <v>586875.45919999992</v>
      </c>
      <c r="EE139" s="30">
        <f t="shared" si="53"/>
        <v>4</v>
      </c>
      <c r="EF139" s="39">
        <f t="shared" si="54"/>
        <v>146718.86479999998</v>
      </c>
    </row>
    <row r="140" spans="1:136" x14ac:dyDescent="0.25">
      <c r="A140" s="25" t="e">
        <f>#REF!</f>
        <v>#REF!</v>
      </c>
      <c r="B140" s="50" t="e">
        <f>#REF!</f>
        <v>#REF!</v>
      </c>
      <c r="C140" s="5" t="e">
        <f>#REF!</f>
        <v>#REF!</v>
      </c>
      <c r="D140" s="5" t="e">
        <f>#REF!</f>
        <v>#REF!</v>
      </c>
      <c r="E140" s="252">
        <v>1</v>
      </c>
      <c r="F140" s="249">
        <v>0</v>
      </c>
      <c r="G140" s="249">
        <v>0</v>
      </c>
      <c r="H140" s="249">
        <v>75800</v>
      </c>
      <c r="I140" s="249">
        <v>75684</v>
      </c>
      <c r="J140" s="249">
        <v>75417.3</v>
      </c>
      <c r="K140" s="249">
        <v>65450</v>
      </c>
      <c r="L140" s="274">
        <f>AVERAGE(H140,J140)</f>
        <v>75608.649999999994</v>
      </c>
      <c r="M140" s="274">
        <f>AVERAGE(I140,K140)*E1</f>
        <v>72684.009999999995</v>
      </c>
      <c r="N140" s="255">
        <v>65000</v>
      </c>
      <c r="O140" s="135">
        <f>+N140*0.19</f>
        <v>12350</v>
      </c>
      <c r="P140" s="135">
        <f>+N140+O140</f>
        <v>77350</v>
      </c>
      <c r="Q140" s="131"/>
      <c r="R140" s="131"/>
      <c r="S140" s="11"/>
      <c r="T140" s="274"/>
      <c r="U140" s="274"/>
      <c r="V140" s="274"/>
      <c r="W140" s="39"/>
      <c r="X140" s="11"/>
      <c r="Y140" s="11"/>
      <c r="Z140" s="274"/>
      <c r="AA140" s="274"/>
      <c r="AB140" s="274"/>
      <c r="AC140" s="5"/>
      <c r="AD140" s="22"/>
      <c r="AE140" s="39"/>
      <c r="AF140" s="274"/>
      <c r="AG140" s="274"/>
      <c r="AH140" s="169"/>
      <c r="AI140" s="4"/>
      <c r="AJ140" s="39"/>
      <c r="AK140" s="39"/>
      <c r="AL140" s="118"/>
      <c r="AM140" s="152"/>
      <c r="AN140" s="181"/>
      <c r="AO140" s="131"/>
      <c r="AP140" s="131"/>
      <c r="AQ140" s="39"/>
      <c r="AR140" s="274"/>
      <c r="AS140" s="274"/>
      <c r="AT140" s="274"/>
      <c r="AU140" s="39"/>
      <c r="AV140" s="39"/>
      <c r="AW140" s="39"/>
      <c r="AX140" s="274"/>
      <c r="AY140" s="274"/>
      <c r="AZ140" s="274"/>
      <c r="BA140" s="39"/>
      <c r="BB140" s="62"/>
      <c r="BC140" s="39"/>
      <c r="BD140" s="274"/>
      <c r="BE140" s="274"/>
      <c r="BF140" s="274"/>
      <c r="BG140" s="39"/>
      <c r="BH140" s="39"/>
      <c r="BI140" s="39"/>
      <c r="BJ140" s="274">
        <v>524200</v>
      </c>
      <c r="BK140" s="274">
        <f>+BJ140*0.19</f>
        <v>99598</v>
      </c>
      <c r="BL140" s="274">
        <f t="shared" si="49"/>
        <v>623798</v>
      </c>
      <c r="BM140" s="214" t="s">
        <v>445</v>
      </c>
      <c r="BN140" s="213" t="s">
        <v>4069</v>
      </c>
      <c r="BO140" s="39"/>
      <c r="BP140" s="274">
        <v>45600</v>
      </c>
      <c r="BQ140" s="274">
        <f t="shared" si="55"/>
        <v>8664</v>
      </c>
      <c r="BR140" s="274">
        <f t="shared" si="56"/>
        <v>54264</v>
      </c>
      <c r="BS140" s="39"/>
      <c r="BT140" s="39"/>
      <c r="BU140" s="39"/>
      <c r="BV140" s="219">
        <v>583767.99120000005</v>
      </c>
      <c r="BW140" s="219">
        <f>+BV140*0.19</f>
        <v>110915.91832800001</v>
      </c>
      <c r="BX140" s="273">
        <f t="shared" si="51"/>
        <v>694683.90952800005</v>
      </c>
      <c r="BY140" s="214" t="s">
        <v>445</v>
      </c>
      <c r="BZ140" s="213" t="s">
        <v>4069</v>
      </c>
      <c r="CA140" s="213"/>
      <c r="CB140" s="274"/>
      <c r="CC140" s="274"/>
      <c r="CD140" s="274"/>
      <c r="CE140" s="39"/>
      <c r="CF140" s="39"/>
      <c r="CG140" s="39"/>
      <c r="CH140" s="274"/>
      <c r="CI140" s="274"/>
      <c r="CJ140" s="274"/>
      <c r="CK140" s="39"/>
      <c r="CL140" s="39"/>
      <c r="CM140" s="39"/>
      <c r="CN140" s="39"/>
      <c r="CO140" s="39"/>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274"/>
      <c r="DM140" s="274"/>
      <c r="DN140" s="274"/>
      <c r="DO140" s="274"/>
      <c r="DP140" s="274"/>
      <c r="DQ140" s="274"/>
      <c r="DR140" s="274"/>
      <c r="DS140" s="274"/>
      <c r="DT140" s="274"/>
      <c r="DU140" s="274"/>
      <c r="DV140" s="274"/>
      <c r="DW140" s="274"/>
      <c r="DX140" s="274"/>
      <c r="DY140" s="274"/>
      <c r="DZ140" s="274"/>
      <c r="EA140" s="274"/>
      <c r="EB140" s="274"/>
      <c r="EC140" s="274"/>
      <c r="ED140" s="39">
        <f t="shared" si="52"/>
        <v>1522779.9195280001</v>
      </c>
      <c r="EE140" s="30">
        <f t="shared" si="53"/>
        <v>5</v>
      </c>
      <c r="EF140" s="39">
        <f t="shared" si="54"/>
        <v>304555.98390560003</v>
      </c>
    </row>
    <row r="141" spans="1:136" ht="24" x14ac:dyDescent="0.25">
      <c r="A141" s="25" t="e">
        <f>#REF!</f>
        <v>#REF!</v>
      </c>
      <c r="B141" s="50" t="e">
        <f>#REF!</f>
        <v>#REF!</v>
      </c>
      <c r="C141" s="5" t="e">
        <f>#REF!</f>
        <v>#REF!</v>
      </c>
      <c r="D141" s="5" t="e">
        <f>#REF!</f>
        <v>#REF!</v>
      </c>
      <c r="E141" s="252">
        <v>1</v>
      </c>
      <c r="F141" s="249">
        <v>0</v>
      </c>
      <c r="G141" s="249">
        <v>0</v>
      </c>
      <c r="H141" s="249">
        <v>0</v>
      </c>
      <c r="I141" s="249">
        <v>0</v>
      </c>
      <c r="J141" s="249">
        <v>2084611.6666666667</v>
      </c>
      <c r="K141" s="249">
        <v>2082500</v>
      </c>
      <c r="L141" s="274">
        <f>J141</f>
        <v>2084611.6666666667</v>
      </c>
      <c r="M141" s="274">
        <f>K141*E1</f>
        <v>2144975</v>
      </c>
      <c r="N141" s="255">
        <v>1250000</v>
      </c>
      <c r="O141" s="135">
        <f>+N141*0.19</f>
        <v>237500</v>
      </c>
      <c r="P141" s="135">
        <f>+N141+O141</f>
        <v>1487500</v>
      </c>
      <c r="Q141" s="131"/>
      <c r="R141" s="131"/>
      <c r="S141" s="11"/>
      <c r="T141" s="274"/>
      <c r="U141" s="274"/>
      <c r="V141" s="274"/>
      <c r="W141" s="39"/>
      <c r="X141" s="11"/>
      <c r="Y141" s="11"/>
      <c r="Z141" s="274"/>
      <c r="AA141" s="274"/>
      <c r="AB141" s="274"/>
      <c r="AC141" s="52"/>
      <c r="AD141" s="22"/>
      <c r="AE141" s="39"/>
      <c r="AF141" s="274"/>
      <c r="AG141" s="274"/>
      <c r="AH141" s="171"/>
      <c r="AI141" s="4"/>
      <c r="AJ141" s="39"/>
      <c r="AK141" s="39"/>
      <c r="AL141" s="118"/>
      <c r="AM141" s="152"/>
      <c r="AN141" s="181"/>
      <c r="AO141" s="131"/>
      <c r="AP141" s="131"/>
      <c r="AQ141" s="39"/>
      <c r="AR141" s="274"/>
      <c r="AS141" s="274"/>
      <c r="AT141" s="274"/>
      <c r="AU141" s="39"/>
      <c r="AV141" s="39"/>
      <c r="AW141" s="39"/>
      <c r="AX141" s="274"/>
      <c r="AY141" s="274"/>
      <c r="AZ141" s="274"/>
      <c r="BA141" s="39"/>
      <c r="BB141" s="62"/>
      <c r="BC141" s="39"/>
      <c r="BD141" s="274"/>
      <c r="BE141" s="274"/>
      <c r="BF141" s="274"/>
      <c r="BG141" s="39"/>
      <c r="BH141" s="39"/>
      <c r="BI141" s="39"/>
      <c r="BJ141" s="274">
        <v>2919600</v>
      </c>
      <c r="BK141" s="274">
        <f>+BJ141*0.19</f>
        <v>554724</v>
      </c>
      <c r="BL141" s="274">
        <f t="shared" si="49"/>
        <v>3474324</v>
      </c>
      <c r="BM141" s="214" t="s">
        <v>445</v>
      </c>
      <c r="BN141" s="213" t="s">
        <v>4755</v>
      </c>
      <c r="BO141" s="39"/>
      <c r="BP141" s="274"/>
      <c r="BQ141" s="274"/>
      <c r="BR141" s="274"/>
      <c r="BS141" s="39"/>
      <c r="BT141" s="39"/>
      <c r="BU141" s="39"/>
      <c r="BV141" s="223">
        <v>3346398.8064000001</v>
      </c>
      <c r="BW141" s="219">
        <f>+BV141*0.19</f>
        <v>635815.77321600006</v>
      </c>
      <c r="BX141" s="273">
        <f t="shared" si="51"/>
        <v>3982214.5796159999</v>
      </c>
      <c r="BY141" s="214" t="s">
        <v>445</v>
      </c>
      <c r="BZ141" s="213" t="s">
        <v>4755</v>
      </c>
      <c r="CA141" s="213"/>
      <c r="CB141" s="274"/>
      <c r="CC141" s="274"/>
      <c r="CD141" s="274"/>
      <c r="CE141" s="39"/>
      <c r="CF141" s="39"/>
      <c r="CG141" s="39"/>
      <c r="CH141" s="274"/>
      <c r="CI141" s="274"/>
      <c r="CJ141" s="274"/>
      <c r="CK141" s="39"/>
      <c r="CL141" s="39"/>
      <c r="CM141" s="39"/>
      <c r="CN141" s="39"/>
      <c r="CO141" s="39"/>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274"/>
      <c r="DM141" s="274"/>
      <c r="DN141" s="274"/>
      <c r="DO141" s="274"/>
      <c r="DP141" s="274"/>
      <c r="DQ141" s="274"/>
      <c r="DR141" s="274"/>
      <c r="DS141" s="274"/>
      <c r="DT141" s="274"/>
      <c r="DU141" s="274"/>
      <c r="DV141" s="274"/>
      <c r="DW141" s="274"/>
      <c r="DX141" s="274"/>
      <c r="DY141" s="274"/>
      <c r="DZ141" s="274"/>
      <c r="EA141" s="274"/>
      <c r="EB141" s="274"/>
      <c r="EC141" s="274"/>
      <c r="ED141" s="39">
        <f t="shared" si="52"/>
        <v>11089013.579615999</v>
      </c>
      <c r="EE141" s="30">
        <f t="shared" si="53"/>
        <v>4</v>
      </c>
      <c r="EF141" s="39">
        <f t="shared" si="54"/>
        <v>2772253.3949039998</v>
      </c>
    </row>
    <row r="142" spans="1:136" x14ac:dyDescent="0.25">
      <c r="A142" s="25" t="e">
        <f>#REF!</f>
        <v>#REF!</v>
      </c>
      <c r="B142" s="50" t="e">
        <f>#REF!</f>
        <v>#REF!</v>
      </c>
      <c r="C142" s="5" t="e">
        <f>#REF!</f>
        <v>#REF!</v>
      </c>
      <c r="D142" s="5" t="e">
        <f>#REF!</f>
        <v>#REF!</v>
      </c>
      <c r="E142" s="252">
        <v>1</v>
      </c>
      <c r="F142" s="249">
        <v>1890770.175</v>
      </c>
      <c r="G142" s="249">
        <v>0</v>
      </c>
      <c r="H142" s="249">
        <v>3966666.6666666665</v>
      </c>
      <c r="I142" s="249">
        <v>2216970</v>
      </c>
      <c r="J142" s="249">
        <v>3363802.1666666665</v>
      </c>
      <c r="K142" s="249">
        <v>3361750</v>
      </c>
      <c r="L142" s="274">
        <f>AVERAGE(F142,H142,J142)</f>
        <v>3073746.3361111111</v>
      </c>
      <c r="M142" s="274">
        <f>AVERAGE(I142,K142)*E1</f>
        <v>2873040.8000000003</v>
      </c>
      <c r="N142" s="255">
        <v>2000000</v>
      </c>
      <c r="O142" s="135">
        <f>+N142*0.19</f>
        <v>380000</v>
      </c>
      <c r="P142" s="135">
        <f>+N142+O142</f>
        <v>2380000</v>
      </c>
      <c r="Q142" s="131"/>
      <c r="R142" s="131"/>
      <c r="S142" s="11"/>
      <c r="T142" s="274">
        <v>2365000</v>
      </c>
      <c r="U142" s="274">
        <f>+T142*0.19</f>
        <v>449350</v>
      </c>
      <c r="V142" s="274">
        <f>+T142+U142</f>
        <v>2814350</v>
      </c>
      <c r="W142" s="39" t="s">
        <v>510</v>
      </c>
      <c r="X142" s="11" t="s">
        <v>4411</v>
      </c>
      <c r="Y142" s="11"/>
      <c r="Z142" s="274"/>
      <c r="AA142" s="274"/>
      <c r="AB142" s="274"/>
      <c r="AC142" s="52"/>
      <c r="AD142" s="22"/>
      <c r="AE142" s="39"/>
      <c r="AF142" s="274"/>
      <c r="AG142" s="274"/>
      <c r="AH142" s="113"/>
      <c r="AI142" s="4"/>
      <c r="AJ142" s="39"/>
      <c r="AK142" s="39"/>
      <c r="AL142" s="118"/>
      <c r="AM142" s="152"/>
      <c r="AN142" s="181"/>
      <c r="AO142" s="131"/>
      <c r="AP142" s="131"/>
      <c r="AQ142" s="39"/>
      <c r="AR142" s="274"/>
      <c r="AS142" s="274"/>
      <c r="AT142" s="274"/>
      <c r="AU142" s="39"/>
      <c r="AV142" s="39"/>
      <c r="AW142" s="39"/>
      <c r="AX142" s="274"/>
      <c r="AY142" s="274"/>
      <c r="AZ142" s="274"/>
      <c r="BA142" s="39"/>
      <c r="BB142" s="62"/>
      <c r="BC142" s="39"/>
      <c r="BD142" s="274"/>
      <c r="BE142" s="274"/>
      <c r="BF142" s="274"/>
      <c r="BG142" s="39"/>
      <c r="BH142" s="39"/>
      <c r="BI142" s="39"/>
      <c r="BJ142" s="274"/>
      <c r="BK142" s="274"/>
      <c r="BL142" s="274"/>
      <c r="BM142" s="213"/>
      <c r="BN142" s="213"/>
      <c r="BO142" s="39"/>
      <c r="BP142" s="274">
        <v>4250000</v>
      </c>
      <c r="BQ142" s="274">
        <f>+BP142*19%</f>
        <v>807500</v>
      </c>
      <c r="BR142" s="274">
        <f>+BQ142+BP142</f>
        <v>5057500</v>
      </c>
      <c r="BS142" s="39"/>
      <c r="BT142" s="39"/>
      <c r="BU142" s="39"/>
      <c r="BV142" s="212"/>
      <c r="BW142" s="221"/>
      <c r="BX142" s="273"/>
      <c r="BY142" s="213"/>
      <c r="BZ142" s="213"/>
      <c r="CA142" s="213"/>
      <c r="CB142" s="274"/>
      <c r="CC142" s="274"/>
      <c r="CD142" s="274"/>
      <c r="CE142" s="39"/>
      <c r="CF142" s="39"/>
      <c r="CG142" s="39"/>
      <c r="CH142" s="274"/>
      <c r="CI142" s="274"/>
      <c r="CJ142" s="274"/>
      <c r="CK142" s="39"/>
      <c r="CL142" s="39"/>
      <c r="CM142" s="39"/>
      <c r="CN142" s="39"/>
      <c r="CO142" s="39"/>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274"/>
      <c r="DM142" s="274"/>
      <c r="DN142" s="274"/>
      <c r="DO142" s="274"/>
      <c r="DP142" s="274"/>
      <c r="DQ142" s="274"/>
      <c r="DR142" s="274"/>
      <c r="DS142" s="274"/>
      <c r="DT142" s="274"/>
      <c r="DU142" s="274"/>
      <c r="DV142" s="274"/>
      <c r="DW142" s="274"/>
      <c r="DX142" s="274"/>
      <c r="DY142" s="274"/>
      <c r="DZ142" s="274"/>
      <c r="EA142" s="274"/>
      <c r="EB142" s="274"/>
      <c r="EC142" s="274"/>
      <c r="ED142" s="39">
        <f t="shared" si="52"/>
        <v>13124890.800000001</v>
      </c>
      <c r="EE142" s="30">
        <f t="shared" si="53"/>
        <v>4</v>
      </c>
      <c r="EF142" s="39">
        <f t="shared" si="54"/>
        <v>3281222.7</v>
      </c>
    </row>
    <row r="143" spans="1:136" x14ac:dyDescent="0.25">
      <c r="A143" s="25" t="e">
        <f>#REF!</f>
        <v>#REF!</v>
      </c>
      <c r="B143" s="50" t="e">
        <f>#REF!</f>
        <v>#REF!</v>
      </c>
      <c r="C143" s="5" t="e">
        <f>#REF!</f>
        <v>#REF!</v>
      </c>
      <c r="D143" s="5" t="e">
        <f>#REF!</f>
        <v>#REF!</v>
      </c>
      <c r="E143" s="252">
        <v>1</v>
      </c>
      <c r="F143" s="249">
        <v>0</v>
      </c>
      <c r="G143" s="249">
        <v>0</v>
      </c>
      <c r="H143" s="249">
        <v>1612500</v>
      </c>
      <c r="I143" s="249">
        <v>0</v>
      </c>
      <c r="J143" s="249">
        <v>1904000</v>
      </c>
      <c r="K143" s="249">
        <v>475762</v>
      </c>
      <c r="L143" s="274">
        <f>AVERAGE(H143,J143)</f>
        <v>1758250</v>
      </c>
      <c r="M143" s="274">
        <f>K143*E1</f>
        <v>490034.86</v>
      </c>
      <c r="N143" s="255">
        <v>1750000</v>
      </c>
      <c r="O143" s="135">
        <f>+N143*0.19</f>
        <v>332500</v>
      </c>
      <c r="P143" s="135">
        <f>+N143+O143</f>
        <v>2082500</v>
      </c>
      <c r="Q143" s="131"/>
      <c r="R143" s="131"/>
      <c r="S143" s="11"/>
      <c r="T143" s="274"/>
      <c r="U143" s="274"/>
      <c r="V143" s="274"/>
      <c r="W143" s="39"/>
      <c r="X143" s="11"/>
      <c r="Y143" s="11"/>
      <c r="Z143" s="274"/>
      <c r="AA143" s="274"/>
      <c r="AB143" s="274"/>
      <c r="AC143" s="54"/>
      <c r="AD143" s="22"/>
      <c r="AE143" s="39"/>
      <c r="AF143" s="274"/>
      <c r="AG143" s="274"/>
      <c r="AH143" s="172"/>
      <c r="AI143" s="4"/>
      <c r="AJ143" s="39"/>
      <c r="AK143" s="39"/>
      <c r="AL143" s="118"/>
      <c r="AM143" s="152"/>
      <c r="AN143" s="181"/>
      <c r="AO143" s="131"/>
      <c r="AP143" s="131"/>
      <c r="AQ143" s="39"/>
      <c r="AR143" s="274"/>
      <c r="AS143" s="274"/>
      <c r="AT143" s="274"/>
      <c r="AU143" s="39"/>
      <c r="AV143" s="39"/>
      <c r="AW143" s="39"/>
      <c r="AX143" s="274"/>
      <c r="AY143" s="274"/>
      <c r="AZ143" s="274"/>
      <c r="BA143" s="39"/>
      <c r="BB143" s="62"/>
      <c r="BC143" s="39"/>
      <c r="BD143" s="274"/>
      <c r="BE143" s="274"/>
      <c r="BF143" s="274"/>
      <c r="BG143" s="39"/>
      <c r="BH143" s="39"/>
      <c r="BI143" s="39"/>
      <c r="BJ143" s="274"/>
      <c r="BK143" s="274"/>
      <c r="BL143" s="274"/>
      <c r="BM143" s="213"/>
      <c r="BN143" s="213"/>
      <c r="BO143" s="39"/>
      <c r="BP143" s="274">
        <v>365000</v>
      </c>
      <c r="BQ143" s="274">
        <f>+BP143*19%</f>
        <v>69350</v>
      </c>
      <c r="BR143" s="274">
        <f>+BQ143+BP143</f>
        <v>434350</v>
      </c>
      <c r="BS143" s="39"/>
      <c r="BT143" s="39"/>
      <c r="BU143" s="39"/>
      <c r="BV143" s="212"/>
      <c r="BW143" s="221"/>
      <c r="BX143" s="273"/>
      <c r="BY143" s="213"/>
      <c r="BZ143" s="213"/>
      <c r="CA143" s="213"/>
      <c r="CB143" s="274"/>
      <c r="CC143" s="274"/>
      <c r="CD143" s="274"/>
      <c r="CE143" s="39"/>
      <c r="CF143" s="39"/>
      <c r="CG143" s="39"/>
      <c r="CH143" s="274"/>
      <c r="CI143" s="274"/>
      <c r="CJ143" s="274"/>
      <c r="CK143" s="39"/>
      <c r="CL143" s="39"/>
      <c r="CM143" s="39"/>
      <c r="CN143" s="39"/>
      <c r="CO143" s="39"/>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274"/>
      <c r="DM143" s="274"/>
      <c r="DN143" s="274"/>
      <c r="DO143" s="274"/>
      <c r="DP143" s="274"/>
      <c r="DQ143" s="274"/>
      <c r="DR143" s="274"/>
      <c r="DS143" s="274"/>
      <c r="DT143" s="274"/>
      <c r="DU143" s="274"/>
      <c r="DV143" s="274"/>
      <c r="DW143" s="274"/>
      <c r="DX143" s="274"/>
      <c r="DY143" s="274"/>
      <c r="DZ143" s="274"/>
      <c r="EA143" s="274"/>
      <c r="EB143" s="274"/>
      <c r="EC143" s="274"/>
      <c r="ED143" s="39">
        <f t="shared" si="52"/>
        <v>3006884.86</v>
      </c>
      <c r="EE143" s="30">
        <f t="shared" si="53"/>
        <v>3</v>
      </c>
      <c r="EF143" s="39">
        <f t="shared" si="54"/>
        <v>1002294.9533333333</v>
      </c>
    </row>
    <row r="144" spans="1:136" x14ac:dyDescent="0.25">
      <c r="A144" s="25" t="e">
        <f>#REF!</f>
        <v>#REF!</v>
      </c>
      <c r="B144" s="50" t="e">
        <f>#REF!</f>
        <v>#REF!</v>
      </c>
      <c r="C144" s="5" t="e">
        <f>#REF!</f>
        <v>#REF!</v>
      </c>
      <c r="D144" s="5" t="e">
        <f>#REF!</f>
        <v>#REF!</v>
      </c>
      <c r="E144" s="252">
        <v>1</v>
      </c>
      <c r="F144" s="249">
        <v>0</v>
      </c>
      <c r="G144" s="249">
        <v>0</v>
      </c>
      <c r="H144" s="249">
        <v>0</v>
      </c>
      <c r="I144" s="249">
        <v>0</v>
      </c>
      <c r="J144" s="249">
        <v>119000</v>
      </c>
      <c r="K144" s="249">
        <v>119000</v>
      </c>
      <c r="L144" s="274">
        <f t="shared" ref="L144:L149" si="57">J144</f>
        <v>119000</v>
      </c>
      <c r="M144" s="274">
        <f>K144*E1</f>
        <v>122570</v>
      </c>
      <c r="N144" s="255"/>
      <c r="O144" s="135"/>
      <c r="P144" s="135"/>
      <c r="Q144" s="131"/>
      <c r="R144" s="131"/>
      <c r="S144" s="11"/>
      <c r="T144" s="274"/>
      <c r="U144" s="274"/>
      <c r="V144" s="274"/>
      <c r="W144" s="39"/>
      <c r="X144" s="11"/>
      <c r="Y144" s="11"/>
      <c r="Z144" s="274"/>
      <c r="AA144" s="274"/>
      <c r="AB144" s="274"/>
      <c r="AC144" s="54"/>
      <c r="AD144" s="22"/>
      <c r="AE144" s="39"/>
      <c r="AF144" s="274"/>
      <c r="AG144" s="274"/>
      <c r="AH144" s="172"/>
      <c r="AI144" s="4"/>
      <c r="AJ144" s="39"/>
      <c r="AK144" s="39"/>
      <c r="AL144" s="118">
        <v>145383</v>
      </c>
      <c r="AM144" s="152">
        <f>+AL144*0.19</f>
        <v>27622.77</v>
      </c>
      <c r="AN144" s="152">
        <f>+AL144+AM144</f>
        <v>173005.77</v>
      </c>
      <c r="AO144" s="131" t="s">
        <v>4770</v>
      </c>
      <c r="AP144" s="131" t="s">
        <v>4771</v>
      </c>
      <c r="AQ144" s="39"/>
      <c r="AR144" s="274"/>
      <c r="AS144" s="274"/>
      <c r="AT144" s="274"/>
      <c r="AU144" s="39"/>
      <c r="AV144" s="39"/>
      <c r="AW144" s="39"/>
      <c r="AX144" s="274"/>
      <c r="AY144" s="274"/>
      <c r="AZ144" s="274"/>
      <c r="BA144" s="39"/>
      <c r="BB144" s="62"/>
      <c r="BC144" s="39"/>
      <c r="BD144" s="274"/>
      <c r="BE144" s="274"/>
      <c r="BF144" s="274"/>
      <c r="BG144" s="39"/>
      <c r="BH144" s="39"/>
      <c r="BI144" s="39"/>
      <c r="BJ144" s="274"/>
      <c r="BK144" s="274"/>
      <c r="BL144" s="274"/>
      <c r="BM144" s="213"/>
      <c r="BN144" s="213"/>
      <c r="BO144" s="39"/>
      <c r="BP144" s="274"/>
      <c r="BQ144" s="274"/>
      <c r="BR144" s="274"/>
      <c r="BS144" s="39"/>
      <c r="BT144" s="39"/>
      <c r="BU144" s="39"/>
      <c r="BV144" s="212"/>
      <c r="BW144" s="221"/>
      <c r="BX144" s="273"/>
      <c r="BY144" s="213"/>
      <c r="BZ144" s="213"/>
      <c r="CA144" s="213"/>
      <c r="CB144" s="274"/>
      <c r="CC144" s="274"/>
      <c r="CD144" s="274"/>
      <c r="CE144" s="39"/>
      <c r="CF144" s="39"/>
      <c r="CG144" s="39"/>
      <c r="CH144" s="274"/>
      <c r="CI144" s="274"/>
      <c r="CJ144" s="274"/>
      <c r="CK144" s="39"/>
      <c r="CL144" s="39"/>
      <c r="CM144" s="39"/>
      <c r="CN144" s="39"/>
      <c r="CO144" s="39"/>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274"/>
      <c r="DM144" s="274"/>
      <c r="DN144" s="274"/>
      <c r="DO144" s="274"/>
      <c r="DP144" s="274"/>
      <c r="DQ144" s="274"/>
      <c r="DR144" s="274"/>
      <c r="DS144" s="274"/>
      <c r="DT144" s="274"/>
      <c r="DU144" s="274"/>
      <c r="DV144" s="274"/>
      <c r="DW144" s="274"/>
      <c r="DX144" s="274"/>
      <c r="DY144" s="274"/>
      <c r="DZ144" s="274"/>
      <c r="EA144" s="274"/>
      <c r="EB144" s="274"/>
      <c r="EC144" s="274"/>
      <c r="ED144" s="39">
        <f t="shared" si="52"/>
        <v>295575.77</v>
      </c>
      <c r="EE144" s="30">
        <f t="shared" si="53"/>
        <v>2</v>
      </c>
      <c r="EF144" s="39">
        <f t="shared" si="54"/>
        <v>147787.88500000001</v>
      </c>
    </row>
    <row r="145" spans="1:136" x14ac:dyDescent="0.25">
      <c r="A145" s="25" t="e">
        <f>#REF!</f>
        <v>#REF!</v>
      </c>
      <c r="B145" s="50" t="e">
        <f>#REF!</f>
        <v>#REF!</v>
      </c>
      <c r="C145" s="5" t="e">
        <f>#REF!</f>
        <v>#REF!</v>
      </c>
      <c r="D145" s="5" t="e">
        <f>#REF!</f>
        <v>#REF!</v>
      </c>
      <c r="E145" s="252">
        <v>1</v>
      </c>
      <c r="F145" s="249">
        <v>0</v>
      </c>
      <c r="G145" s="249">
        <v>0</v>
      </c>
      <c r="H145" s="249">
        <v>0</v>
      </c>
      <c r="I145" s="249">
        <v>0</v>
      </c>
      <c r="J145" s="249">
        <v>120740.375</v>
      </c>
      <c r="K145" s="249">
        <v>119000</v>
      </c>
      <c r="L145" s="274">
        <f t="shared" si="57"/>
        <v>120740.375</v>
      </c>
      <c r="M145" s="274">
        <f>K145*E1</f>
        <v>122570</v>
      </c>
      <c r="N145" s="255"/>
      <c r="O145" s="135"/>
      <c r="P145" s="135"/>
      <c r="Q145" s="131"/>
      <c r="R145" s="131"/>
      <c r="S145" s="11"/>
      <c r="T145" s="274"/>
      <c r="U145" s="274"/>
      <c r="V145" s="274"/>
      <c r="W145" s="39"/>
      <c r="X145" s="11"/>
      <c r="Y145" s="11"/>
      <c r="Z145" s="274"/>
      <c r="AA145" s="274"/>
      <c r="AB145" s="274"/>
      <c r="AC145" s="54"/>
      <c r="AD145" s="22"/>
      <c r="AE145" s="39"/>
      <c r="AF145" s="274"/>
      <c r="AG145" s="274"/>
      <c r="AH145" s="172"/>
      <c r="AI145" s="4"/>
      <c r="AJ145" s="39"/>
      <c r="AK145" s="39"/>
      <c r="AL145" s="118">
        <v>145383</v>
      </c>
      <c r="AM145" s="152">
        <f>+AL145*0.19</f>
        <v>27622.77</v>
      </c>
      <c r="AN145" s="152">
        <f>+AL145+AM145</f>
        <v>173005.77</v>
      </c>
      <c r="AO145" s="131" t="s">
        <v>4770</v>
      </c>
      <c r="AP145" s="131" t="s">
        <v>4771</v>
      </c>
      <c r="AQ145" s="39"/>
      <c r="AR145" s="274"/>
      <c r="AS145" s="274"/>
      <c r="AT145" s="274"/>
      <c r="AU145" s="39"/>
      <c r="AV145" s="39"/>
      <c r="AW145" s="39"/>
      <c r="AX145" s="274"/>
      <c r="AY145" s="274"/>
      <c r="AZ145" s="274"/>
      <c r="BA145" s="39"/>
      <c r="BB145" s="62"/>
      <c r="BC145" s="39"/>
      <c r="BD145" s="274"/>
      <c r="BE145" s="274"/>
      <c r="BF145" s="274"/>
      <c r="BG145" s="39"/>
      <c r="BH145" s="39"/>
      <c r="BI145" s="39"/>
      <c r="BJ145" s="274"/>
      <c r="BK145" s="274"/>
      <c r="BL145" s="274"/>
      <c r="BM145" s="213"/>
      <c r="BN145" s="213"/>
      <c r="BO145" s="39"/>
      <c r="BP145" s="274"/>
      <c r="BQ145" s="274"/>
      <c r="BR145" s="274"/>
      <c r="BS145" s="39"/>
      <c r="BT145" s="39"/>
      <c r="BU145" s="39"/>
      <c r="BV145" s="212"/>
      <c r="BW145" s="221"/>
      <c r="BX145" s="273"/>
      <c r="BY145" s="213"/>
      <c r="BZ145" s="213"/>
      <c r="CA145" s="213"/>
      <c r="CB145" s="274"/>
      <c r="CC145" s="274"/>
      <c r="CD145" s="274"/>
      <c r="CE145" s="39"/>
      <c r="CF145" s="39"/>
      <c r="CG145" s="39"/>
      <c r="CH145" s="274"/>
      <c r="CI145" s="274"/>
      <c r="CJ145" s="274"/>
      <c r="CK145" s="39"/>
      <c r="CL145" s="39"/>
      <c r="CM145" s="39"/>
      <c r="CN145" s="39"/>
      <c r="CO145" s="39"/>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274"/>
      <c r="DM145" s="274"/>
      <c r="DN145" s="274"/>
      <c r="DO145" s="274"/>
      <c r="DP145" s="274"/>
      <c r="DQ145" s="274"/>
      <c r="DR145" s="274"/>
      <c r="DS145" s="274"/>
      <c r="DT145" s="274"/>
      <c r="DU145" s="274"/>
      <c r="DV145" s="274"/>
      <c r="DW145" s="274"/>
      <c r="DX145" s="274"/>
      <c r="DY145" s="274"/>
      <c r="DZ145" s="274"/>
      <c r="EA145" s="274"/>
      <c r="EB145" s="274"/>
      <c r="EC145" s="274"/>
      <c r="ED145" s="39">
        <f t="shared" si="52"/>
        <v>295575.77</v>
      </c>
      <c r="EE145" s="30">
        <f t="shared" si="53"/>
        <v>2</v>
      </c>
      <c r="EF145" s="39">
        <f t="shared" si="54"/>
        <v>147787.88500000001</v>
      </c>
    </row>
    <row r="146" spans="1:136" x14ac:dyDescent="0.25">
      <c r="A146" s="25" t="e">
        <f>#REF!</f>
        <v>#REF!</v>
      </c>
      <c r="B146" s="50" t="e">
        <f>#REF!</f>
        <v>#REF!</v>
      </c>
      <c r="C146" s="5" t="e">
        <f>#REF!</f>
        <v>#REF!</v>
      </c>
      <c r="D146" s="5" t="e">
        <f>#REF!</f>
        <v>#REF!</v>
      </c>
      <c r="E146" s="252">
        <v>1</v>
      </c>
      <c r="F146" s="249">
        <v>0</v>
      </c>
      <c r="G146" s="249">
        <v>0</v>
      </c>
      <c r="H146" s="249">
        <v>0</v>
      </c>
      <c r="I146" s="249">
        <v>0</v>
      </c>
      <c r="J146" s="249">
        <v>119000</v>
      </c>
      <c r="K146" s="249">
        <v>119000</v>
      </c>
      <c r="L146" s="274">
        <f t="shared" si="57"/>
        <v>119000</v>
      </c>
      <c r="M146" s="274">
        <f>K146*E1</f>
        <v>122570</v>
      </c>
      <c r="N146" s="255"/>
      <c r="O146" s="135"/>
      <c r="P146" s="135"/>
      <c r="Q146" s="131"/>
      <c r="R146" s="131"/>
      <c r="S146" s="11"/>
      <c r="T146" s="274"/>
      <c r="U146" s="274"/>
      <c r="V146" s="274"/>
      <c r="W146" s="39"/>
      <c r="X146" s="11"/>
      <c r="Y146" s="11"/>
      <c r="Z146" s="274"/>
      <c r="AA146" s="274"/>
      <c r="AB146" s="274"/>
      <c r="AC146" s="54"/>
      <c r="AD146" s="22"/>
      <c r="AE146" s="39"/>
      <c r="AF146" s="274"/>
      <c r="AG146" s="274"/>
      <c r="AH146" s="172"/>
      <c r="AI146" s="4"/>
      <c r="AJ146" s="39"/>
      <c r="AK146" s="39"/>
      <c r="AL146" s="118">
        <v>145383</v>
      </c>
      <c r="AM146" s="152">
        <f>+AL146*0.19</f>
        <v>27622.77</v>
      </c>
      <c r="AN146" s="152">
        <f>+AL146+AM146</f>
        <v>173005.77</v>
      </c>
      <c r="AO146" s="131" t="s">
        <v>4770</v>
      </c>
      <c r="AP146" s="131" t="s">
        <v>4771</v>
      </c>
      <c r="AQ146" s="39"/>
      <c r="AR146" s="274"/>
      <c r="AS146" s="274"/>
      <c r="AT146" s="274"/>
      <c r="AU146" s="39"/>
      <c r="AV146" s="39"/>
      <c r="AW146" s="39"/>
      <c r="AX146" s="274"/>
      <c r="AY146" s="274"/>
      <c r="AZ146" s="274"/>
      <c r="BA146" s="39"/>
      <c r="BB146" s="62"/>
      <c r="BC146" s="39"/>
      <c r="BD146" s="274"/>
      <c r="BE146" s="274"/>
      <c r="BF146" s="274"/>
      <c r="BG146" s="39"/>
      <c r="BH146" s="39"/>
      <c r="BI146" s="39"/>
      <c r="BJ146" s="274"/>
      <c r="BK146" s="274"/>
      <c r="BL146" s="274"/>
      <c r="BM146" s="213"/>
      <c r="BN146" s="213"/>
      <c r="BO146" s="39"/>
      <c r="BP146" s="274"/>
      <c r="BQ146" s="274"/>
      <c r="BR146" s="274"/>
      <c r="BS146" s="39"/>
      <c r="BT146" s="39"/>
      <c r="BU146" s="39"/>
      <c r="BV146" s="212"/>
      <c r="BW146" s="221"/>
      <c r="BX146" s="273"/>
      <c r="BY146" s="213"/>
      <c r="BZ146" s="213"/>
      <c r="CA146" s="213"/>
      <c r="CB146" s="274"/>
      <c r="CC146" s="274"/>
      <c r="CD146" s="274"/>
      <c r="CE146" s="39"/>
      <c r="CF146" s="39"/>
      <c r="CG146" s="39"/>
      <c r="CH146" s="274"/>
      <c r="CI146" s="274"/>
      <c r="CJ146" s="274"/>
      <c r="CK146" s="39"/>
      <c r="CL146" s="39"/>
      <c r="CM146" s="39"/>
      <c r="CN146" s="39"/>
      <c r="CO146" s="39"/>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274"/>
      <c r="DM146" s="274"/>
      <c r="DN146" s="274"/>
      <c r="DO146" s="274"/>
      <c r="DP146" s="274"/>
      <c r="DQ146" s="274"/>
      <c r="DR146" s="274"/>
      <c r="DS146" s="274"/>
      <c r="DT146" s="274"/>
      <c r="DU146" s="274"/>
      <c r="DV146" s="274"/>
      <c r="DW146" s="274"/>
      <c r="DX146" s="274"/>
      <c r="DY146" s="274"/>
      <c r="DZ146" s="274"/>
      <c r="EA146" s="274"/>
      <c r="EB146" s="274"/>
      <c r="EC146" s="274"/>
      <c r="ED146" s="39">
        <f t="shared" si="52"/>
        <v>295575.77</v>
      </c>
      <c r="EE146" s="30">
        <f t="shared" si="53"/>
        <v>2</v>
      </c>
      <c r="EF146" s="39">
        <f t="shared" si="54"/>
        <v>147787.88500000001</v>
      </c>
    </row>
    <row r="147" spans="1:136" x14ac:dyDescent="0.25">
      <c r="A147" s="25" t="e">
        <f>#REF!</f>
        <v>#REF!</v>
      </c>
      <c r="B147" s="50" t="e">
        <f>#REF!</f>
        <v>#REF!</v>
      </c>
      <c r="C147" s="5" t="e">
        <f>#REF!</f>
        <v>#REF!</v>
      </c>
      <c r="D147" s="5" t="e">
        <f>#REF!</f>
        <v>#REF!</v>
      </c>
      <c r="E147" s="252">
        <v>1</v>
      </c>
      <c r="F147" s="249">
        <v>0</v>
      </c>
      <c r="G147" s="249">
        <v>0</v>
      </c>
      <c r="H147" s="249">
        <v>0</v>
      </c>
      <c r="I147" s="249">
        <v>0</v>
      </c>
      <c r="J147" s="249">
        <v>108840.375</v>
      </c>
      <c r="K147" s="249">
        <v>107100</v>
      </c>
      <c r="L147" s="274">
        <f t="shared" si="57"/>
        <v>108840.375</v>
      </c>
      <c r="M147" s="274">
        <f>K147*E1</f>
        <v>110313</v>
      </c>
      <c r="N147" s="255"/>
      <c r="O147" s="135"/>
      <c r="P147" s="135"/>
      <c r="Q147" s="131"/>
      <c r="R147" s="131"/>
      <c r="S147" s="11"/>
      <c r="T147" s="274"/>
      <c r="U147" s="274"/>
      <c r="V147" s="274"/>
      <c r="W147" s="39"/>
      <c r="X147" s="11"/>
      <c r="Y147" s="11"/>
      <c r="Z147" s="274"/>
      <c r="AA147" s="274"/>
      <c r="AB147" s="274"/>
      <c r="AC147" s="52"/>
      <c r="AD147" s="22"/>
      <c r="AE147" s="39"/>
      <c r="AF147" s="274"/>
      <c r="AG147" s="274"/>
      <c r="AH147" s="171"/>
      <c r="AI147" s="4"/>
      <c r="AJ147" s="39"/>
      <c r="AK147" s="39"/>
      <c r="AL147" s="118">
        <v>84538</v>
      </c>
      <c r="AM147" s="152">
        <f>+AL147*0.19</f>
        <v>16062.22</v>
      </c>
      <c r="AN147" s="152">
        <f>+AL147+AM147</f>
        <v>100600.22</v>
      </c>
      <c r="AO147" s="131" t="s">
        <v>4770</v>
      </c>
      <c r="AP147" s="131" t="s">
        <v>4771</v>
      </c>
      <c r="AQ147" s="39"/>
      <c r="AR147" s="274"/>
      <c r="AS147" s="274"/>
      <c r="AT147" s="274"/>
      <c r="AU147" s="39"/>
      <c r="AV147" s="39"/>
      <c r="AW147" s="39"/>
      <c r="AX147" s="274"/>
      <c r="AY147" s="274"/>
      <c r="AZ147" s="274"/>
      <c r="BA147" s="39"/>
      <c r="BB147" s="62"/>
      <c r="BC147" s="39"/>
      <c r="BD147" s="274"/>
      <c r="BE147" s="274"/>
      <c r="BF147" s="274"/>
      <c r="BG147" s="39"/>
      <c r="BH147" s="39"/>
      <c r="BI147" s="39"/>
      <c r="BJ147" s="274"/>
      <c r="BK147" s="274"/>
      <c r="BL147" s="274"/>
      <c r="BM147" s="213"/>
      <c r="BN147" s="213"/>
      <c r="BO147" s="39"/>
      <c r="BP147" s="274"/>
      <c r="BQ147" s="274"/>
      <c r="BR147" s="274"/>
      <c r="BS147" s="39"/>
      <c r="BT147" s="39"/>
      <c r="BU147" s="39"/>
      <c r="BV147" s="212"/>
      <c r="BW147" s="221"/>
      <c r="BX147" s="273"/>
      <c r="BY147" s="213"/>
      <c r="BZ147" s="213"/>
      <c r="CA147" s="213"/>
      <c r="CB147" s="274"/>
      <c r="CC147" s="274"/>
      <c r="CD147" s="274"/>
      <c r="CE147" s="39"/>
      <c r="CF147" s="39"/>
      <c r="CG147" s="39"/>
      <c r="CH147" s="274"/>
      <c r="CI147" s="274"/>
      <c r="CJ147" s="274"/>
      <c r="CK147" s="39"/>
      <c r="CL147" s="39"/>
      <c r="CM147" s="39"/>
      <c r="CN147" s="39"/>
      <c r="CO147" s="39"/>
      <c r="CP147" s="11"/>
      <c r="CQ147" s="11"/>
      <c r="CR147" s="11"/>
      <c r="CS147" s="11"/>
      <c r="CT147" s="11"/>
      <c r="CU147" s="11"/>
      <c r="CV147" s="11"/>
      <c r="CW147" s="11"/>
      <c r="CX147" s="11"/>
      <c r="CY147" s="11"/>
      <c r="CZ147" s="11"/>
      <c r="DA147" s="32"/>
      <c r="DB147" s="67"/>
      <c r="DC147" s="67"/>
      <c r="DD147" s="65"/>
      <c r="DE147" s="65"/>
      <c r="DF147" s="65"/>
      <c r="DG147" s="65"/>
      <c r="DH147" s="65"/>
      <c r="DI147" s="65"/>
      <c r="DJ147" s="65"/>
      <c r="DK147" s="65"/>
      <c r="DL147" s="61"/>
      <c r="DM147" s="61"/>
      <c r="DN147" s="61"/>
      <c r="DO147" s="61"/>
      <c r="DP147" s="61"/>
      <c r="DQ147" s="61"/>
      <c r="DR147" s="61"/>
      <c r="DS147" s="61"/>
      <c r="DT147" s="61"/>
      <c r="DU147" s="61"/>
      <c r="DV147" s="61"/>
      <c r="DW147" s="61"/>
      <c r="DX147" s="61"/>
      <c r="DY147" s="61"/>
      <c r="DZ147" s="61"/>
      <c r="EA147" s="61"/>
      <c r="EB147" s="61"/>
      <c r="EC147" s="61"/>
      <c r="ED147" s="39">
        <f t="shared" si="52"/>
        <v>210913.22</v>
      </c>
      <c r="EE147" s="30">
        <f t="shared" si="53"/>
        <v>2</v>
      </c>
      <c r="EF147" s="39">
        <f t="shared" si="54"/>
        <v>105456.61</v>
      </c>
    </row>
    <row r="148" spans="1:136" x14ac:dyDescent="0.25">
      <c r="A148" s="25" t="e">
        <f>#REF!</f>
        <v>#REF!</v>
      </c>
      <c r="B148" s="50" t="e">
        <f>#REF!</f>
        <v>#REF!</v>
      </c>
      <c r="C148" s="5" t="e">
        <f>#REF!</f>
        <v>#REF!</v>
      </c>
      <c r="D148" s="5" t="e">
        <f>#REF!</f>
        <v>#REF!</v>
      </c>
      <c r="E148" s="252">
        <v>1</v>
      </c>
      <c r="F148" s="249">
        <v>0</v>
      </c>
      <c r="G148" s="249">
        <v>0</v>
      </c>
      <c r="H148" s="249">
        <v>0</v>
      </c>
      <c r="I148" s="249">
        <v>0</v>
      </c>
      <c r="J148" s="249">
        <v>152320</v>
      </c>
      <c r="K148" s="249">
        <v>0</v>
      </c>
      <c r="L148" s="274">
        <f t="shared" si="57"/>
        <v>152320</v>
      </c>
      <c r="M148" s="274"/>
      <c r="N148" s="255"/>
      <c r="O148" s="135"/>
      <c r="P148" s="135"/>
      <c r="Q148" s="131"/>
      <c r="R148" s="131"/>
      <c r="S148" s="11"/>
      <c r="T148" s="274"/>
      <c r="U148" s="274"/>
      <c r="V148" s="274"/>
      <c r="W148" s="39"/>
      <c r="X148" s="11"/>
      <c r="Y148" s="11"/>
      <c r="Z148" s="274"/>
      <c r="AA148" s="274"/>
      <c r="AB148" s="274"/>
      <c r="AC148" s="52"/>
      <c r="AD148" s="22"/>
      <c r="AE148" s="39"/>
      <c r="AF148" s="274"/>
      <c r="AG148" s="274"/>
      <c r="AH148" s="171"/>
      <c r="AI148" s="22"/>
      <c r="AJ148" s="39"/>
      <c r="AK148" s="39"/>
      <c r="AL148" s="118"/>
      <c r="AM148" s="152"/>
      <c r="AN148" s="181"/>
      <c r="AO148" s="131"/>
      <c r="AP148" s="131"/>
      <c r="AQ148" s="39"/>
      <c r="AR148" s="274"/>
      <c r="AS148" s="274"/>
      <c r="AT148" s="274"/>
      <c r="AU148" s="39"/>
      <c r="AV148" s="39"/>
      <c r="AW148" s="39"/>
      <c r="AX148" s="274"/>
      <c r="AY148" s="274"/>
      <c r="AZ148" s="274"/>
      <c r="BA148" s="39"/>
      <c r="BB148" s="62"/>
      <c r="BC148" s="39"/>
      <c r="BD148" s="274"/>
      <c r="BE148" s="274"/>
      <c r="BF148" s="274"/>
      <c r="BG148" s="39"/>
      <c r="BH148" s="39"/>
      <c r="BI148" s="39"/>
      <c r="BJ148" s="274"/>
      <c r="BK148" s="274"/>
      <c r="BL148" s="274"/>
      <c r="BM148" s="213"/>
      <c r="BN148" s="213"/>
      <c r="BO148" s="39"/>
      <c r="BP148" s="274"/>
      <c r="BQ148" s="274"/>
      <c r="BR148" s="274"/>
      <c r="BS148" s="39"/>
      <c r="BT148" s="39"/>
      <c r="BU148" s="39"/>
      <c r="BV148" s="212"/>
      <c r="BW148" s="221"/>
      <c r="BX148" s="273"/>
      <c r="BY148" s="213"/>
      <c r="BZ148" s="213"/>
      <c r="CA148" s="213"/>
      <c r="CB148" s="274"/>
      <c r="CC148" s="274"/>
      <c r="CD148" s="274"/>
      <c r="CE148" s="39"/>
      <c r="CF148" s="39"/>
      <c r="CG148" s="39"/>
      <c r="CH148" s="274"/>
      <c r="CI148" s="274"/>
      <c r="CJ148" s="274"/>
      <c r="CK148" s="39"/>
      <c r="CL148" s="39"/>
      <c r="CM148" s="39"/>
      <c r="CN148" s="39"/>
      <c r="CO148" s="39"/>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274"/>
      <c r="DM148" s="274"/>
      <c r="DN148" s="274"/>
      <c r="DO148" s="274"/>
      <c r="DP148" s="274"/>
      <c r="DQ148" s="274"/>
      <c r="DR148" s="274"/>
      <c r="DS148" s="274"/>
      <c r="DT148" s="274"/>
      <c r="DU148" s="274"/>
      <c r="DV148" s="274"/>
      <c r="DW148" s="274"/>
      <c r="DX148" s="274"/>
      <c r="DY148" s="274"/>
      <c r="DZ148" s="274"/>
      <c r="EA148" s="274"/>
      <c r="EB148" s="274"/>
      <c r="EC148" s="274"/>
      <c r="ED148" s="39">
        <f t="shared" si="52"/>
        <v>0</v>
      </c>
      <c r="EE148" s="30">
        <f t="shared" si="53"/>
        <v>0</v>
      </c>
      <c r="EF148" s="39" t="str">
        <f t="shared" si="54"/>
        <v xml:space="preserve"> </v>
      </c>
    </row>
    <row r="149" spans="1:136" x14ac:dyDescent="0.25">
      <c r="A149" s="25" t="e">
        <f>#REF!</f>
        <v>#REF!</v>
      </c>
      <c r="B149" s="50" t="e">
        <f>#REF!</f>
        <v>#REF!</v>
      </c>
      <c r="C149" s="5" t="e">
        <f>#REF!</f>
        <v>#REF!</v>
      </c>
      <c r="D149" s="5" t="e">
        <f>#REF!</f>
        <v>#REF!</v>
      </c>
      <c r="E149" s="252">
        <v>1</v>
      </c>
      <c r="F149" s="249">
        <v>0</v>
      </c>
      <c r="G149" s="249">
        <v>0</v>
      </c>
      <c r="H149" s="249">
        <v>0</v>
      </c>
      <c r="I149" s="249">
        <v>0</v>
      </c>
      <c r="J149" s="249">
        <v>142800</v>
      </c>
      <c r="K149" s="249">
        <v>119000</v>
      </c>
      <c r="L149" s="274">
        <f t="shared" si="57"/>
        <v>142800</v>
      </c>
      <c r="M149" s="274">
        <f>K149*E1</f>
        <v>122570</v>
      </c>
      <c r="N149" s="255"/>
      <c r="O149" s="135"/>
      <c r="P149" s="135"/>
      <c r="Q149" s="131"/>
      <c r="R149" s="131"/>
      <c r="S149" s="11"/>
      <c r="T149" s="274"/>
      <c r="U149" s="274"/>
      <c r="V149" s="274"/>
      <c r="W149" s="39"/>
      <c r="X149" s="11"/>
      <c r="Y149" s="11"/>
      <c r="Z149" s="274"/>
      <c r="AA149" s="274"/>
      <c r="AB149" s="274"/>
      <c r="AC149" s="52"/>
      <c r="AD149" s="22"/>
      <c r="AE149" s="39"/>
      <c r="AF149" s="274"/>
      <c r="AG149" s="274"/>
      <c r="AH149" s="171"/>
      <c r="AI149" s="22"/>
      <c r="AJ149" s="39"/>
      <c r="AK149" s="39"/>
      <c r="AL149" s="118">
        <v>82170</v>
      </c>
      <c r="AM149" s="152">
        <f>+AL149*0.19</f>
        <v>15612.300000000001</v>
      </c>
      <c r="AN149" s="152">
        <f>+AL149+AM149</f>
        <v>97782.3</v>
      </c>
      <c r="AO149" s="131" t="s">
        <v>4770</v>
      </c>
      <c r="AP149" s="131" t="s">
        <v>4771</v>
      </c>
      <c r="AQ149" s="39"/>
      <c r="AR149" s="274"/>
      <c r="AS149" s="274"/>
      <c r="AT149" s="274"/>
      <c r="AU149" s="39"/>
      <c r="AV149" s="39"/>
      <c r="AW149" s="39"/>
      <c r="AX149" s="274"/>
      <c r="AY149" s="274"/>
      <c r="AZ149" s="274"/>
      <c r="BA149" s="39"/>
      <c r="BB149" s="62"/>
      <c r="BC149" s="39"/>
      <c r="BD149" s="274"/>
      <c r="BE149" s="274"/>
      <c r="BF149" s="274"/>
      <c r="BG149" s="39"/>
      <c r="BH149" s="39"/>
      <c r="BI149" s="39"/>
      <c r="BJ149" s="274"/>
      <c r="BK149" s="274"/>
      <c r="BL149" s="274"/>
      <c r="BM149" s="213"/>
      <c r="BN149" s="213"/>
      <c r="BO149" s="39"/>
      <c r="BP149" s="274"/>
      <c r="BQ149" s="274"/>
      <c r="BR149" s="274"/>
      <c r="BS149" s="39"/>
      <c r="BT149" s="39"/>
      <c r="BU149" s="39"/>
      <c r="BV149" s="212"/>
      <c r="BW149" s="221"/>
      <c r="BX149" s="273"/>
      <c r="BY149" s="213"/>
      <c r="BZ149" s="213"/>
      <c r="CA149" s="213"/>
      <c r="CB149" s="274"/>
      <c r="CC149" s="274"/>
      <c r="CD149" s="274"/>
      <c r="CE149" s="39"/>
      <c r="CF149" s="39"/>
      <c r="CG149" s="39"/>
      <c r="CH149" s="274"/>
      <c r="CI149" s="274"/>
      <c r="CJ149" s="274"/>
      <c r="CK149" s="39"/>
      <c r="CL149" s="39"/>
      <c r="CM149" s="39"/>
      <c r="CN149" s="39"/>
      <c r="CO149" s="39"/>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274"/>
      <c r="DM149" s="274"/>
      <c r="DN149" s="274"/>
      <c r="DO149" s="274"/>
      <c r="DP149" s="274"/>
      <c r="DQ149" s="274"/>
      <c r="DR149" s="274"/>
      <c r="DS149" s="274"/>
      <c r="DT149" s="274"/>
      <c r="DU149" s="274"/>
      <c r="DV149" s="274"/>
      <c r="DW149" s="274"/>
      <c r="DX149" s="274"/>
      <c r="DY149" s="274"/>
      <c r="DZ149" s="274"/>
      <c r="EA149" s="274"/>
      <c r="EB149" s="274"/>
      <c r="EC149" s="274"/>
      <c r="ED149" s="39">
        <f t="shared" si="52"/>
        <v>220352.3</v>
      </c>
      <c r="EE149" s="30">
        <f t="shared" si="53"/>
        <v>2</v>
      </c>
      <c r="EF149" s="39">
        <f t="shared" si="54"/>
        <v>110176.15</v>
      </c>
    </row>
    <row r="150" spans="1:136" x14ac:dyDescent="0.25">
      <c r="A150" s="25" t="e">
        <f>#REF!</f>
        <v>#REF!</v>
      </c>
      <c r="B150" s="50" t="e">
        <f>#REF!</f>
        <v>#REF!</v>
      </c>
      <c r="C150" s="5" t="e">
        <f>#REF!</f>
        <v>#REF!</v>
      </c>
      <c r="D150" s="5" t="e">
        <f>#REF!</f>
        <v>#REF!</v>
      </c>
      <c r="E150" s="252">
        <v>1</v>
      </c>
      <c r="F150" s="249">
        <v>23264.5</v>
      </c>
      <c r="G150" s="249">
        <v>0</v>
      </c>
      <c r="H150" s="249">
        <v>55335</v>
      </c>
      <c r="I150" s="249">
        <v>0</v>
      </c>
      <c r="J150" s="249">
        <v>53550</v>
      </c>
      <c r="K150" s="249">
        <v>0</v>
      </c>
      <c r="L150" s="274">
        <f>AVERAGE(F150,H150,J150)</f>
        <v>44049.833333333336</v>
      </c>
      <c r="M150" s="274"/>
      <c r="N150" s="255"/>
      <c r="O150" s="135"/>
      <c r="P150" s="135"/>
      <c r="Q150" s="131"/>
      <c r="R150" s="131"/>
      <c r="S150" s="11"/>
      <c r="T150" s="274"/>
      <c r="U150" s="274"/>
      <c r="V150" s="274"/>
      <c r="W150" s="39"/>
      <c r="X150" s="11"/>
      <c r="Y150" s="11"/>
      <c r="Z150" s="274"/>
      <c r="AA150" s="274"/>
      <c r="AB150" s="274"/>
      <c r="AC150" s="52"/>
      <c r="AD150" s="22"/>
      <c r="AE150" s="39"/>
      <c r="AF150" s="274"/>
      <c r="AG150" s="274"/>
      <c r="AH150" s="171"/>
      <c r="AI150" s="22"/>
      <c r="AJ150" s="39"/>
      <c r="AK150" s="39"/>
      <c r="AL150" s="118"/>
      <c r="AM150" s="152"/>
      <c r="AN150" s="181"/>
      <c r="AO150" s="131"/>
      <c r="AP150" s="131"/>
      <c r="AQ150" s="39"/>
      <c r="AR150" s="274"/>
      <c r="AS150" s="274"/>
      <c r="AT150" s="274"/>
      <c r="AU150" s="39"/>
      <c r="AV150" s="39"/>
      <c r="AW150" s="39"/>
      <c r="AX150" s="274"/>
      <c r="AY150" s="274"/>
      <c r="AZ150" s="274"/>
      <c r="BA150" s="39"/>
      <c r="BB150" s="62"/>
      <c r="BC150" s="39"/>
      <c r="BD150" s="274"/>
      <c r="BE150" s="274"/>
      <c r="BF150" s="274"/>
      <c r="BG150" s="39"/>
      <c r="BH150" s="39"/>
      <c r="BI150" s="39"/>
      <c r="BJ150" s="274"/>
      <c r="BK150" s="274"/>
      <c r="BL150" s="274"/>
      <c r="BM150" s="213"/>
      <c r="BN150" s="213"/>
      <c r="BO150" s="39"/>
      <c r="BP150" s="274"/>
      <c r="BQ150" s="274"/>
      <c r="BR150" s="274"/>
      <c r="BS150" s="39"/>
      <c r="BT150" s="39"/>
      <c r="BU150" s="39"/>
      <c r="BV150" s="212"/>
      <c r="BW150" s="221"/>
      <c r="BX150" s="273"/>
      <c r="BY150" s="213"/>
      <c r="BZ150" s="213"/>
      <c r="CA150" s="213"/>
      <c r="CB150" s="274"/>
      <c r="CC150" s="274"/>
      <c r="CD150" s="274"/>
      <c r="CE150" s="39"/>
      <c r="CF150" s="39"/>
      <c r="CG150" s="39"/>
      <c r="CH150" s="274"/>
      <c r="CI150" s="274"/>
      <c r="CJ150" s="274"/>
      <c r="CK150" s="39"/>
      <c r="CL150" s="39"/>
      <c r="CM150" s="39"/>
      <c r="CN150" s="39"/>
      <c r="CO150" s="39"/>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274"/>
      <c r="DM150" s="274"/>
      <c r="DN150" s="274"/>
      <c r="DO150" s="274"/>
      <c r="DP150" s="274"/>
      <c r="DQ150" s="274"/>
      <c r="DR150" s="274"/>
      <c r="DS150" s="274"/>
      <c r="DT150" s="274"/>
      <c r="DU150" s="274"/>
      <c r="DV150" s="274"/>
      <c r="DW150" s="274"/>
      <c r="DX150" s="274"/>
      <c r="DY150" s="274"/>
      <c r="DZ150" s="274"/>
      <c r="EA150" s="274"/>
      <c r="EB150" s="274"/>
      <c r="EC150" s="274"/>
      <c r="ED150" s="39">
        <f t="shared" si="52"/>
        <v>0</v>
      </c>
      <c r="EE150" s="30">
        <f t="shared" si="53"/>
        <v>0</v>
      </c>
      <c r="EF150" s="39" t="str">
        <f t="shared" si="54"/>
        <v xml:space="preserve"> </v>
      </c>
    </row>
    <row r="151" spans="1:136" x14ac:dyDescent="0.25">
      <c r="A151" s="25" t="e">
        <f>#REF!</f>
        <v>#REF!</v>
      </c>
      <c r="B151" s="50" t="e">
        <f>#REF!</f>
        <v>#REF!</v>
      </c>
      <c r="C151" s="5" t="e">
        <f>#REF!</f>
        <v>#REF!</v>
      </c>
      <c r="D151" s="5" t="e">
        <f>#REF!</f>
        <v>#REF!</v>
      </c>
      <c r="E151" s="252">
        <v>1</v>
      </c>
      <c r="F151" s="249">
        <v>170646</v>
      </c>
      <c r="G151" s="249">
        <v>163744</v>
      </c>
      <c r="H151" s="249">
        <v>277714.13973333332</v>
      </c>
      <c r="I151" s="249">
        <v>277627</v>
      </c>
      <c r="J151" s="249">
        <v>0</v>
      </c>
      <c r="K151" s="249">
        <v>0</v>
      </c>
      <c r="L151" s="274">
        <f>AVERAGE(F151,H151)</f>
        <v>224180.06986666666</v>
      </c>
      <c r="M151" s="274">
        <f>AVERAGE(G151,I151)*E1</f>
        <v>227306.065</v>
      </c>
      <c r="N151" s="255"/>
      <c r="O151" s="135"/>
      <c r="P151" s="135"/>
      <c r="Q151" s="131"/>
      <c r="R151" s="131"/>
      <c r="S151" s="11"/>
      <c r="T151" s="274"/>
      <c r="U151" s="274"/>
      <c r="V151" s="274"/>
      <c r="W151" s="39"/>
      <c r="X151" s="11"/>
      <c r="Y151" s="11"/>
      <c r="Z151" s="274"/>
      <c r="AA151" s="274"/>
      <c r="AB151" s="274"/>
      <c r="AC151" s="52"/>
      <c r="AD151" s="22"/>
      <c r="AE151" s="39"/>
      <c r="AF151" s="274"/>
      <c r="AG151" s="274"/>
      <c r="AH151" s="171"/>
      <c r="AI151" s="22"/>
      <c r="AJ151" s="39"/>
      <c r="AK151" s="39"/>
      <c r="AL151" s="118"/>
      <c r="AM151" s="152"/>
      <c r="AN151" s="181"/>
      <c r="AO151" s="131"/>
      <c r="AP151" s="131"/>
      <c r="AQ151" s="39"/>
      <c r="AR151" s="274"/>
      <c r="AS151" s="274"/>
      <c r="AT151" s="274"/>
      <c r="AU151" s="39"/>
      <c r="AV151" s="39"/>
      <c r="AW151" s="39"/>
      <c r="AX151" s="274"/>
      <c r="AY151" s="274"/>
      <c r="AZ151" s="274"/>
      <c r="BA151" s="39"/>
      <c r="BB151" s="62"/>
      <c r="BC151" s="39"/>
      <c r="BD151" s="274"/>
      <c r="BE151" s="274"/>
      <c r="BF151" s="274"/>
      <c r="BG151" s="39"/>
      <c r="BH151" s="39"/>
      <c r="BI151" s="39"/>
      <c r="BJ151" s="274"/>
      <c r="BK151" s="274"/>
      <c r="BL151" s="274"/>
      <c r="BM151" s="213"/>
      <c r="BN151" s="213"/>
      <c r="BO151" s="39"/>
      <c r="BP151" s="274"/>
      <c r="BQ151" s="274"/>
      <c r="BR151" s="274"/>
      <c r="BS151" s="39"/>
      <c r="BT151" s="39"/>
      <c r="BU151" s="39"/>
      <c r="BV151" s="212"/>
      <c r="BW151" s="221"/>
      <c r="BX151" s="273"/>
      <c r="BY151" s="213"/>
      <c r="BZ151" s="213"/>
      <c r="CA151" s="213"/>
      <c r="CB151" s="274"/>
      <c r="CC151" s="274"/>
      <c r="CD151" s="274"/>
      <c r="CE151" s="39"/>
      <c r="CF151" s="39"/>
      <c r="CG151" s="39"/>
      <c r="CH151" s="274"/>
      <c r="CI151" s="274"/>
      <c r="CJ151" s="274"/>
      <c r="CK151" s="39"/>
      <c r="CL151" s="39"/>
      <c r="CM151" s="39"/>
      <c r="CN151" s="39"/>
      <c r="CO151" s="39"/>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274"/>
      <c r="DM151" s="274"/>
      <c r="DN151" s="274"/>
      <c r="DO151" s="274"/>
      <c r="DP151" s="274"/>
      <c r="DQ151" s="274"/>
      <c r="DR151" s="274"/>
      <c r="DS151" s="274"/>
      <c r="DT151" s="274"/>
      <c r="DU151" s="274"/>
      <c r="DV151" s="274"/>
      <c r="DW151" s="274"/>
      <c r="DX151" s="274"/>
      <c r="DY151" s="274"/>
      <c r="DZ151" s="274"/>
      <c r="EA151" s="274"/>
      <c r="EB151" s="274"/>
      <c r="EC151" s="274"/>
      <c r="ED151" s="39">
        <f t="shared" si="52"/>
        <v>227306.065</v>
      </c>
      <c r="EE151" s="30">
        <f t="shared" si="53"/>
        <v>1</v>
      </c>
      <c r="EF151" s="39">
        <f t="shared" si="54"/>
        <v>227306.065</v>
      </c>
    </row>
    <row r="152" spans="1:136" x14ac:dyDescent="0.25">
      <c r="A152" s="25" t="e">
        <f>#REF!</f>
        <v>#REF!</v>
      </c>
      <c r="B152" s="50" t="e">
        <f>#REF!</f>
        <v>#REF!</v>
      </c>
      <c r="C152" s="5" t="e">
        <f>#REF!</f>
        <v>#REF!</v>
      </c>
      <c r="D152" s="5" t="e">
        <f>#REF!</f>
        <v>#REF!</v>
      </c>
      <c r="E152" s="252">
        <v>1</v>
      </c>
      <c r="F152" s="249">
        <v>290122</v>
      </c>
      <c r="G152" s="249">
        <v>275604</v>
      </c>
      <c r="H152" s="249">
        <v>0</v>
      </c>
      <c r="I152" s="249">
        <v>0</v>
      </c>
      <c r="J152" s="249">
        <v>0</v>
      </c>
      <c r="K152" s="249">
        <v>0</v>
      </c>
      <c r="L152" s="274">
        <f>F152</f>
        <v>290122</v>
      </c>
      <c r="M152" s="274">
        <f>G152*E1</f>
        <v>283872.12</v>
      </c>
      <c r="N152" s="255"/>
      <c r="O152" s="135"/>
      <c r="P152" s="135"/>
      <c r="Q152" s="131"/>
      <c r="R152" s="131"/>
      <c r="S152" s="11"/>
      <c r="T152" s="274"/>
      <c r="U152" s="274"/>
      <c r="V152" s="274"/>
      <c r="W152" s="39"/>
      <c r="X152" s="11"/>
      <c r="Y152" s="11"/>
      <c r="Z152" s="274"/>
      <c r="AA152" s="274"/>
      <c r="AB152" s="274"/>
      <c r="AC152" s="55"/>
      <c r="AD152" s="53"/>
      <c r="AE152" s="39"/>
      <c r="AF152" s="274"/>
      <c r="AG152" s="274"/>
      <c r="AH152" s="173"/>
      <c r="AI152" s="53"/>
      <c r="AJ152" s="39"/>
      <c r="AK152" s="39"/>
      <c r="AL152" s="118"/>
      <c r="AM152" s="152"/>
      <c r="AN152" s="181"/>
      <c r="AO152" s="131"/>
      <c r="AP152" s="131"/>
      <c r="AQ152" s="39"/>
      <c r="AR152" s="274"/>
      <c r="AS152" s="274"/>
      <c r="AT152" s="274"/>
      <c r="AU152" s="39"/>
      <c r="AV152" s="39"/>
      <c r="AW152" s="39"/>
      <c r="AX152" s="274"/>
      <c r="AY152" s="274"/>
      <c r="AZ152" s="274"/>
      <c r="BA152" s="39"/>
      <c r="BB152" s="62"/>
      <c r="BC152" s="39"/>
      <c r="BD152" s="274"/>
      <c r="BE152" s="274"/>
      <c r="BF152" s="274"/>
      <c r="BG152" s="39"/>
      <c r="BH152" s="39"/>
      <c r="BI152" s="39"/>
      <c r="BJ152" s="274"/>
      <c r="BK152" s="274"/>
      <c r="BL152" s="274"/>
      <c r="BM152" s="213"/>
      <c r="BN152" s="213"/>
      <c r="BO152" s="39"/>
      <c r="BP152" s="274"/>
      <c r="BQ152" s="274"/>
      <c r="BR152" s="274"/>
      <c r="BS152" s="39"/>
      <c r="BT152" s="39"/>
      <c r="BU152" s="39"/>
      <c r="BV152" s="212"/>
      <c r="BW152" s="221"/>
      <c r="BX152" s="273"/>
      <c r="BY152" s="213"/>
      <c r="BZ152" s="213"/>
      <c r="CA152" s="213"/>
      <c r="CB152" s="274"/>
      <c r="CC152" s="274"/>
      <c r="CD152" s="274"/>
      <c r="CE152" s="39"/>
      <c r="CF152" s="39"/>
      <c r="CG152" s="39"/>
      <c r="CH152" s="274"/>
      <c r="CI152" s="274"/>
      <c r="CJ152" s="274"/>
      <c r="CK152" s="39"/>
      <c r="CL152" s="39"/>
      <c r="CM152" s="39"/>
      <c r="CN152" s="39"/>
      <c r="CO152" s="39"/>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274"/>
      <c r="DM152" s="274"/>
      <c r="DN152" s="274"/>
      <c r="DO152" s="274"/>
      <c r="DP152" s="274"/>
      <c r="DQ152" s="274"/>
      <c r="DR152" s="274"/>
      <c r="DS152" s="274"/>
      <c r="DT152" s="274"/>
      <c r="DU152" s="274"/>
      <c r="DV152" s="274"/>
      <c r="DW152" s="274"/>
      <c r="DX152" s="274"/>
      <c r="DY152" s="274"/>
      <c r="DZ152" s="274"/>
      <c r="EA152" s="274"/>
      <c r="EB152" s="274"/>
      <c r="EC152" s="274"/>
      <c r="ED152" s="39">
        <f t="shared" si="52"/>
        <v>283872.12</v>
      </c>
      <c r="EE152" s="30">
        <f t="shared" si="53"/>
        <v>1</v>
      </c>
      <c r="EF152" s="39">
        <f t="shared" si="54"/>
        <v>283872.12</v>
      </c>
    </row>
    <row r="153" spans="1:136" x14ac:dyDescent="0.25">
      <c r="A153" s="25" t="e">
        <f>#REF!</f>
        <v>#REF!</v>
      </c>
      <c r="B153" s="50" t="e">
        <f>#REF!</f>
        <v>#REF!</v>
      </c>
      <c r="C153" s="5" t="e">
        <f>#REF!</f>
        <v>#REF!</v>
      </c>
      <c r="D153" s="5" t="e">
        <f>#REF!</f>
        <v>#REF!</v>
      </c>
      <c r="E153" s="252">
        <v>1</v>
      </c>
      <c r="F153" s="249">
        <v>287742</v>
      </c>
      <c r="G153" s="249">
        <v>273343</v>
      </c>
      <c r="H153" s="249">
        <v>329700.88829999999</v>
      </c>
      <c r="I153" s="249">
        <v>329630</v>
      </c>
      <c r="J153" s="249">
        <v>183171.7416666667</v>
      </c>
      <c r="K153" s="249">
        <v>0</v>
      </c>
      <c r="L153" s="274">
        <f>AVERAGE(F153,H153,J153)</f>
        <v>266871.54332222225</v>
      </c>
      <c r="M153" s="274">
        <f>AVERAGE(G153,I153)*E1</f>
        <v>310531.09500000003</v>
      </c>
      <c r="N153" s="255"/>
      <c r="O153" s="135"/>
      <c r="P153" s="135"/>
      <c r="Q153" s="131"/>
      <c r="R153" s="131"/>
      <c r="S153" s="11"/>
      <c r="T153" s="274"/>
      <c r="U153" s="274"/>
      <c r="V153" s="274"/>
      <c r="W153" s="39"/>
      <c r="X153" s="11"/>
      <c r="Y153" s="11"/>
      <c r="Z153" s="274"/>
      <c r="AA153" s="274"/>
      <c r="AB153" s="274"/>
      <c r="AC153" s="55"/>
      <c r="AD153" s="53"/>
      <c r="AE153" s="39"/>
      <c r="AF153" s="274"/>
      <c r="AG153" s="274"/>
      <c r="AH153" s="173"/>
      <c r="AI153" s="53"/>
      <c r="AJ153" s="39"/>
      <c r="AK153" s="39"/>
      <c r="AL153" s="118"/>
      <c r="AM153" s="152"/>
      <c r="AN153" s="181"/>
      <c r="AO153" s="131"/>
      <c r="AP153" s="131"/>
      <c r="AQ153" s="39"/>
      <c r="AR153" s="274"/>
      <c r="AS153" s="274"/>
      <c r="AT153" s="274"/>
      <c r="AU153" s="39"/>
      <c r="AV153" s="39"/>
      <c r="AW153" s="39"/>
      <c r="AX153" s="274"/>
      <c r="AY153" s="274"/>
      <c r="AZ153" s="274"/>
      <c r="BA153" s="39"/>
      <c r="BB153" s="62"/>
      <c r="BC153" s="39"/>
      <c r="BD153" s="274"/>
      <c r="BE153" s="274"/>
      <c r="BF153" s="274"/>
      <c r="BG153" s="39"/>
      <c r="BH153" s="39"/>
      <c r="BI153" s="39"/>
      <c r="BJ153" s="274"/>
      <c r="BK153" s="274"/>
      <c r="BL153" s="274"/>
      <c r="BM153" s="213"/>
      <c r="BN153" s="213"/>
      <c r="BO153" s="39"/>
      <c r="BP153" s="274"/>
      <c r="BQ153" s="274"/>
      <c r="BR153" s="274"/>
      <c r="BS153" s="39"/>
      <c r="BT153" s="39"/>
      <c r="BU153" s="39"/>
      <c r="BV153" s="212"/>
      <c r="BW153" s="221"/>
      <c r="BX153" s="273"/>
      <c r="BY153" s="213"/>
      <c r="BZ153" s="213"/>
      <c r="CA153" s="213"/>
      <c r="CB153" s="274"/>
      <c r="CC153" s="274"/>
      <c r="CD153" s="274"/>
      <c r="CE153" s="39"/>
      <c r="CF153" s="39"/>
      <c r="CG153" s="39"/>
      <c r="CH153" s="274"/>
      <c r="CI153" s="274"/>
      <c r="CJ153" s="274"/>
      <c r="CK153" s="39"/>
      <c r="CL153" s="39"/>
      <c r="CM153" s="39"/>
      <c r="CN153" s="39"/>
      <c r="CO153" s="39"/>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274"/>
      <c r="DM153" s="274"/>
      <c r="DN153" s="274"/>
      <c r="DO153" s="274"/>
      <c r="DP153" s="274"/>
      <c r="DQ153" s="274"/>
      <c r="DR153" s="274"/>
      <c r="DS153" s="274"/>
      <c r="DT153" s="274"/>
      <c r="DU153" s="274"/>
      <c r="DV153" s="274"/>
      <c r="DW153" s="274"/>
      <c r="DX153" s="274"/>
      <c r="DY153" s="274"/>
      <c r="DZ153" s="274"/>
      <c r="EA153" s="274"/>
      <c r="EB153" s="274"/>
      <c r="EC153" s="274"/>
      <c r="ED153" s="39">
        <f t="shared" si="52"/>
        <v>310531.09500000003</v>
      </c>
      <c r="EE153" s="30">
        <f t="shared" si="53"/>
        <v>1</v>
      </c>
      <c r="EF153" s="39">
        <f t="shared" si="54"/>
        <v>310531.09500000003</v>
      </c>
    </row>
    <row r="154" spans="1:136" x14ac:dyDescent="0.25">
      <c r="A154" s="25" t="e">
        <f>#REF!</f>
        <v>#REF!</v>
      </c>
      <c r="B154" s="50" t="e">
        <f>#REF!</f>
        <v>#REF!</v>
      </c>
      <c r="C154" s="5" t="e">
        <f>#REF!</f>
        <v>#REF!</v>
      </c>
      <c r="D154" s="5" t="e">
        <f>#REF!</f>
        <v>#REF!</v>
      </c>
      <c r="E154" s="252">
        <v>1</v>
      </c>
      <c r="F154" s="249">
        <v>0</v>
      </c>
      <c r="G154" s="249">
        <v>0</v>
      </c>
      <c r="H154" s="249">
        <v>0</v>
      </c>
      <c r="I154" s="249">
        <v>0</v>
      </c>
      <c r="J154" s="249">
        <v>270725</v>
      </c>
      <c r="K154" s="249">
        <v>178500</v>
      </c>
      <c r="L154" s="274">
        <f>J154</f>
        <v>270725</v>
      </c>
      <c r="M154" s="274">
        <f>K154*E1</f>
        <v>183855</v>
      </c>
      <c r="N154" s="255">
        <v>250000</v>
      </c>
      <c r="O154" s="135">
        <f>+N154*0.19</f>
        <v>47500</v>
      </c>
      <c r="P154" s="135">
        <f>+N154+O154</f>
        <v>297500</v>
      </c>
      <c r="Q154" s="131"/>
      <c r="R154" s="131"/>
      <c r="S154" s="11"/>
      <c r="T154" s="274"/>
      <c r="U154" s="274"/>
      <c r="V154" s="274"/>
      <c r="W154" s="39"/>
      <c r="X154" s="11"/>
      <c r="Y154" s="11"/>
      <c r="Z154" s="274"/>
      <c r="AA154" s="274"/>
      <c r="AB154" s="274"/>
      <c r="AC154" s="55"/>
      <c r="AD154" s="22"/>
      <c r="AE154" s="39"/>
      <c r="AF154" s="274"/>
      <c r="AG154" s="274"/>
      <c r="AH154" s="173"/>
      <c r="AI154" s="22"/>
      <c r="AJ154" s="39"/>
      <c r="AK154" s="39"/>
      <c r="AL154" s="118"/>
      <c r="AM154" s="152"/>
      <c r="AN154" s="181"/>
      <c r="AO154" s="131"/>
      <c r="AP154" s="131"/>
      <c r="AQ154" s="39"/>
      <c r="AR154" s="274"/>
      <c r="AS154" s="274"/>
      <c r="AT154" s="274"/>
      <c r="AU154" s="39"/>
      <c r="AV154" s="39"/>
      <c r="AW154" s="39"/>
      <c r="AX154" s="274"/>
      <c r="AY154" s="274"/>
      <c r="AZ154" s="274"/>
      <c r="BA154" s="39"/>
      <c r="BB154" s="62"/>
      <c r="BC154" s="39"/>
      <c r="BD154" s="274"/>
      <c r="BE154" s="274"/>
      <c r="BF154" s="274"/>
      <c r="BG154" s="39"/>
      <c r="BH154" s="39"/>
      <c r="BI154" s="39"/>
      <c r="BJ154" s="274">
        <v>426000</v>
      </c>
      <c r="BK154" s="274">
        <f t="shared" ref="BK154:BK162" si="58">+BJ154*0.19</f>
        <v>80940</v>
      </c>
      <c r="BL154" s="274">
        <f t="shared" ref="BL154:BL162" si="59">+BJ154+BK154</f>
        <v>506940</v>
      </c>
      <c r="BM154" s="214" t="s">
        <v>2966</v>
      </c>
      <c r="BN154" s="213" t="s">
        <v>3305</v>
      </c>
      <c r="BO154" s="39"/>
      <c r="BP154" s="274">
        <v>365000</v>
      </c>
      <c r="BQ154" s="274">
        <f t="shared" ref="BQ154:BQ161" si="60">+BP154*19%</f>
        <v>69350</v>
      </c>
      <c r="BR154" s="274">
        <f t="shared" ref="BR154:BR161" si="61">+BQ154+BP154</f>
        <v>434350</v>
      </c>
      <c r="BS154" s="39"/>
      <c r="BT154" s="39"/>
      <c r="BU154" s="39"/>
      <c r="BV154" s="219">
        <v>502495.96800000005</v>
      </c>
      <c r="BW154" s="219">
        <f t="shared" ref="BW154:BW162" si="62">+BV154*0.19</f>
        <v>95474.233920000013</v>
      </c>
      <c r="BX154" s="273">
        <f t="shared" ref="BX154:BX162" si="63">+BV154+BW154</f>
        <v>597970.20192000002</v>
      </c>
      <c r="BY154" s="214" t="s">
        <v>2966</v>
      </c>
      <c r="BZ154" s="213" t="s">
        <v>3305</v>
      </c>
      <c r="CA154" s="213"/>
      <c r="CB154" s="274"/>
      <c r="CC154" s="274"/>
      <c r="CD154" s="274"/>
      <c r="CE154" s="39"/>
      <c r="CF154" s="39"/>
      <c r="CG154" s="39"/>
      <c r="CH154" s="274"/>
      <c r="CI154" s="274"/>
      <c r="CJ154" s="274"/>
      <c r="CK154" s="39"/>
      <c r="CL154" s="39"/>
      <c r="CM154" s="39"/>
      <c r="CN154" s="39"/>
      <c r="CO154" s="39"/>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274"/>
      <c r="DM154" s="274"/>
      <c r="DN154" s="274"/>
      <c r="DO154" s="274"/>
      <c r="DP154" s="274"/>
      <c r="DQ154" s="274"/>
      <c r="DR154" s="274"/>
      <c r="DS154" s="274"/>
      <c r="DT154" s="274"/>
      <c r="DU154" s="274"/>
      <c r="DV154" s="274"/>
      <c r="DW154" s="274"/>
      <c r="DX154" s="274"/>
      <c r="DY154" s="274"/>
      <c r="DZ154" s="274"/>
      <c r="EA154" s="274"/>
      <c r="EB154" s="274"/>
      <c r="EC154" s="274"/>
      <c r="ED154" s="39">
        <f t="shared" si="52"/>
        <v>2020615.2019199999</v>
      </c>
      <c r="EE154" s="30">
        <f t="shared" si="53"/>
        <v>5</v>
      </c>
      <c r="EF154" s="39">
        <f t="shared" si="54"/>
        <v>404123.04038399999</v>
      </c>
    </row>
    <row r="155" spans="1:136" x14ac:dyDescent="0.25">
      <c r="A155" s="25" t="e">
        <f>#REF!</f>
        <v>#REF!</v>
      </c>
      <c r="B155" s="50" t="e">
        <f>#REF!</f>
        <v>#REF!</v>
      </c>
      <c r="C155" s="5" t="e">
        <f>#REF!</f>
        <v>#REF!</v>
      </c>
      <c r="D155" s="5" t="e">
        <f>#REF!</f>
        <v>#REF!</v>
      </c>
      <c r="E155" s="252">
        <v>1</v>
      </c>
      <c r="F155" s="249">
        <v>0</v>
      </c>
      <c r="G155" s="249">
        <v>0</v>
      </c>
      <c r="H155" s="249">
        <v>0</v>
      </c>
      <c r="I155" s="249">
        <v>0</v>
      </c>
      <c r="J155" s="249">
        <v>0</v>
      </c>
      <c r="K155" s="249">
        <v>0</v>
      </c>
      <c r="L155" s="274"/>
      <c r="M155" s="274"/>
      <c r="N155" s="255"/>
      <c r="O155" s="135"/>
      <c r="P155" s="135"/>
      <c r="Q155" s="131"/>
      <c r="R155" s="131"/>
      <c r="S155" s="11"/>
      <c r="T155" s="274"/>
      <c r="U155" s="274"/>
      <c r="V155" s="274"/>
      <c r="W155" s="39"/>
      <c r="X155" s="11"/>
      <c r="Y155" s="11"/>
      <c r="Z155" s="274"/>
      <c r="AA155" s="274"/>
      <c r="AB155" s="274"/>
      <c r="AC155" s="55"/>
      <c r="AD155" s="22"/>
      <c r="AE155" s="39"/>
      <c r="AF155" s="274"/>
      <c r="AG155" s="274"/>
      <c r="AH155" s="173"/>
      <c r="AI155" s="22"/>
      <c r="AJ155" s="39"/>
      <c r="AK155" s="39"/>
      <c r="AL155" s="118"/>
      <c r="AM155" s="152"/>
      <c r="AN155" s="181"/>
      <c r="AO155" s="131"/>
      <c r="AP155" s="131"/>
      <c r="AQ155" s="39"/>
      <c r="AR155" s="274"/>
      <c r="AS155" s="274"/>
      <c r="AT155" s="274"/>
      <c r="AU155" s="39"/>
      <c r="AV155" s="39"/>
      <c r="AW155" s="39"/>
      <c r="AX155" s="274"/>
      <c r="AY155" s="274"/>
      <c r="AZ155" s="274"/>
      <c r="BA155" s="39"/>
      <c r="BB155" s="62"/>
      <c r="BC155" s="39"/>
      <c r="BD155" s="274"/>
      <c r="BE155" s="274"/>
      <c r="BF155" s="274"/>
      <c r="BG155" s="39"/>
      <c r="BH155" s="39"/>
      <c r="BI155" s="39"/>
      <c r="BJ155" s="274">
        <v>33800</v>
      </c>
      <c r="BK155" s="274">
        <f t="shared" si="58"/>
        <v>6422</v>
      </c>
      <c r="BL155" s="274">
        <f t="shared" si="59"/>
        <v>40222</v>
      </c>
      <c r="BM155" s="213" t="s">
        <v>196</v>
      </c>
      <c r="BN155" s="213" t="s">
        <v>4775</v>
      </c>
      <c r="BO155" s="39"/>
      <c r="BP155" s="274">
        <v>32000</v>
      </c>
      <c r="BQ155" s="274">
        <f t="shared" si="60"/>
        <v>6080</v>
      </c>
      <c r="BR155" s="274">
        <f t="shared" si="61"/>
        <v>38080</v>
      </c>
      <c r="BS155" s="39"/>
      <c r="BT155" s="39"/>
      <c r="BU155" s="39"/>
      <c r="BV155" s="219">
        <v>39493.271999999997</v>
      </c>
      <c r="BW155" s="219">
        <f t="shared" si="62"/>
        <v>7503.7216799999997</v>
      </c>
      <c r="BX155" s="273">
        <f t="shared" si="63"/>
        <v>46996.99368</v>
      </c>
      <c r="BY155" s="213" t="s">
        <v>196</v>
      </c>
      <c r="BZ155" s="213" t="s">
        <v>4775</v>
      </c>
      <c r="CA155" s="213"/>
      <c r="CB155" s="274"/>
      <c r="CC155" s="274"/>
      <c r="CD155" s="274"/>
      <c r="CE155" s="39"/>
      <c r="CF155" s="39"/>
      <c r="CG155" s="39"/>
      <c r="CH155" s="274"/>
      <c r="CI155" s="274"/>
      <c r="CJ155" s="274"/>
      <c r="CK155" s="39"/>
      <c r="CL155" s="39"/>
      <c r="CM155" s="39"/>
      <c r="CN155" s="39"/>
      <c r="CO155" s="39"/>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274"/>
      <c r="DM155" s="274"/>
      <c r="DN155" s="274"/>
      <c r="DO155" s="274"/>
      <c r="DP155" s="274"/>
      <c r="DQ155" s="274"/>
      <c r="DR155" s="274"/>
      <c r="DS155" s="274"/>
      <c r="DT155" s="274"/>
      <c r="DU155" s="274"/>
      <c r="DV155" s="274"/>
      <c r="DW155" s="274"/>
      <c r="DX155" s="274"/>
      <c r="DY155" s="274"/>
      <c r="DZ155" s="274"/>
      <c r="EA155" s="274"/>
      <c r="EB155" s="274"/>
      <c r="EC155" s="274"/>
      <c r="ED155" s="39">
        <f t="shared" si="52"/>
        <v>125298.99368</v>
      </c>
      <c r="EE155" s="30">
        <f t="shared" si="53"/>
        <v>3</v>
      </c>
      <c r="EF155" s="39">
        <f t="shared" si="54"/>
        <v>41766.331226666669</v>
      </c>
    </row>
    <row r="156" spans="1:136" x14ac:dyDescent="0.25">
      <c r="A156" s="25" t="e">
        <f>#REF!</f>
        <v>#REF!</v>
      </c>
      <c r="B156" s="50" t="e">
        <f>#REF!</f>
        <v>#REF!</v>
      </c>
      <c r="C156" s="5" t="e">
        <f>#REF!</f>
        <v>#REF!</v>
      </c>
      <c r="D156" s="5" t="e">
        <f>#REF!</f>
        <v>#REF!</v>
      </c>
      <c r="E156" s="252">
        <v>1</v>
      </c>
      <c r="F156" s="249">
        <v>0</v>
      </c>
      <c r="G156" s="249">
        <v>0</v>
      </c>
      <c r="H156" s="249">
        <v>0</v>
      </c>
      <c r="I156" s="249">
        <v>0</v>
      </c>
      <c r="J156" s="249">
        <v>0</v>
      </c>
      <c r="K156" s="249">
        <v>0</v>
      </c>
      <c r="L156" s="274"/>
      <c r="M156" s="274"/>
      <c r="N156" s="255">
        <v>10000</v>
      </c>
      <c r="O156" s="135">
        <f>+N156*0.19</f>
        <v>1900</v>
      </c>
      <c r="P156" s="135">
        <f>+N156+O156</f>
        <v>11900</v>
      </c>
      <c r="Q156" s="131"/>
      <c r="R156" s="131"/>
      <c r="S156" s="11"/>
      <c r="T156" s="274"/>
      <c r="U156" s="274"/>
      <c r="V156" s="274"/>
      <c r="W156" s="39"/>
      <c r="X156" s="11"/>
      <c r="Y156" s="11"/>
      <c r="Z156" s="274"/>
      <c r="AA156" s="274"/>
      <c r="AB156" s="274"/>
      <c r="AC156" s="55"/>
      <c r="AD156" s="22"/>
      <c r="AE156" s="39"/>
      <c r="AF156" s="274"/>
      <c r="AG156" s="274"/>
      <c r="AH156" s="173"/>
      <c r="AI156" s="22"/>
      <c r="AJ156" s="39"/>
      <c r="AK156" s="39"/>
      <c r="AL156" s="118"/>
      <c r="AM156" s="152"/>
      <c r="AN156" s="181"/>
      <c r="AO156" s="131"/>
      <c r="AP156" s="131"/>
      <c r="AQ156" s="39"/>
      <c r="AR156" s="274"/>
      <c r="AS156" s="274"/>
      <c r="AT156" s="274"/>
      <c r="AU156" s="39"/>
      <c r="AV156" s="39"/>
      <c r="AW156" s="39"/>
      <c r="AX156" s="274"/>
      <c r="AY156" s="274"/>
      <c r="AZ156" s="274"/>
      <c r="BA156" s="39"/>
      <c r="BB156" s="62"/>
      <c r="BC156" s="39"/>
      <c r="BD156" s="274"/>
      <c r="BE156" s="274"/>
      <c r="BF156" s="274"/>
      <c r="BG156" s="39"/>
      <c r="BH156" s="39"/>
      <c r="BI156" s="39"/>
      <c r="BJ156" s="274">
        <v>24800</v>
      </c>
      <c r="BK156" s="274">
        <f t="shared" si="58"/>
        <v>4712</v>
      </c>
      <c r="BL156" s="274">
        <f t="shared" si="59"/>
        <v>29512</v>
      </c>
      <c r="BM156" s="213" t="s">
        <v>196</v>
      </c>
      <c r="BN156" s="213" t="s">
        <v>4775</v>
      </c>
      <c r="BO156" s="39"/>
      <c r="BP156" s="274">
        <v>25000</v>
      </c>
      <c r="BQ156" s="274">
        <f t="shared" si="60"/>
        <v>4750</v>
      </c>
      <c r="BR156" s="274">
        <f t="shared" si="61"/>
        <v>29750</v>
      </c>
      <c r="BS156" s="39"/>
      <c r="BT156" s="39"/>
      <c r="BU156" s="39"/>
      <c r="BV156" s="219">
        <v>27347.406400000003</v>
      </c>
      <c r="BW156" s="219">
        <f t="shared" si="62"/>
        <v>5196.0072160000009</v>
      </c>
      <c r="BX156" s="273">
        <f t="shared" si="63"/>
        <v>32543.413616000005</v>
      </c>
      <c r="BY156" s="213" t="s">
        <v>196</v>
      </c>
      <c r="BZ156" s="213" t="s">
        <v>4775</v>
      </c>
      <c r="CA156" s="213"/>
      <c r="CB156" s="274"/>
      <c r="CC156" s="274"/>
      <c r="CD156" s="274"/>
      <c r="CE156" s="39"/>
      <c r="CF156" s="39"/>
      <c r="CG156" s="39"/>
      <c r="CH156" s="274"/>
      <c r="CI156" s="274"/>
      <c r="CJ156" s="274"/>
      <c r="CK156" s="39"/>
      <c r="CL156" s="39"/>
      <c r="CM156" s="39"/>
      <c r="CN156" s="39"/>
      <c r="CO156" s="39"/>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274"/>
      <c r="DM156" s="274"/>
      <c r="DN156" s="274"/>
      <c r="DO156" s="274"/>
      <c r="DP156" s="274"/>
      <c r="DQ156" s="274"/>
      <c r="DR156" s="274"/>
      <c r="DS156" s="274"/>
      <c r="DT156" s="274"/>
      <c r="DU156" s="274"/>
      <c r="DV156" s="274"/>
      <c r="DW156" s="274"/>
      <c r="DX156" s="274"/>
      <c r="DY156" s="274"/>
      <c r="DZ156" s="274"/>
      <c r="EA156" s="274"/>
      <c r="EB156" s="274"/>
      <c r="EC156" s="274"/>
      <c r="ED156" s="39">
        <f t="shared" si="52"/>
        <v>103705.41361600001</v>
      </c>
      <c r="EE156" s="30">
        <f t="shared" si="53"/>
        <v>4</v>
      </c>
      <c r="EF156" s="39">
        <f t="shared" si="54"/>
        <v>25926.353404000001</v>
      </c>
    </row>
    <row r="157" spans="1:136" x14ac:dyDescent="0.25">
      <c r="A157" s="25" t="e">
        <f>#REF!</f>
        <v>#REF!</v>
      </c>
      <c r="B157" s="50" t="e">
        <f>#REF!</f>
        <v>#REF!</v>
      </c>
      <c r="C157" s="5" t="e">
        <f>#REF!</f>
        <v>#REF!</v>
      </c>
      <c r="D157" s="5" t="e">
        <f>#REF!</f>
        <v>#REF!</v>
      </c>
      <c r="E157" s="252">
        <v>1</v>
      </c>
      <c r="F157" s="249">
        <v>0</v>
      </c>
      <c r="G157" s="249">
        <v>0</v>
      </c>
      <c r="H157" s="249">
        <v>0</v>
      </c>
      <c r="I157" s="249">
        <v>0</v>
      </c>
      <c r="J157" s="249">
        <v>0</v>
      </c>
      <c r="K157" s="249">
        <v>0</v>
      </c>
      <c r="L157" s="274"/>
      <c r="M157" s="274"/>
      <c r="N157" s="255">
        <v>15000</v>
      </c>
      <c r="O157" s="135">
        <f>+N157*0.19</f>
        <v>2850</v>
      </c>
      <c r="P157" s="135">
        <f>+N157+O157</f>
        <v>17850</v>
      </c>
      <c r="Q157" s="131"/>
      <c r="R157" s="131"/>
      <c r="S157" s="11"/>
      <c r="T157" s="274"/>
      <c r="U157" s="274"/>
      <c r="V157" s="274"/>
      <c r="W157" s="39"/>
      <c r="X157" s="11"/>
      <c r="Y157" s="11"/>
      <c r="Z157" s="274"/>
      <c r="AA157" s="274"/>
      <c r="AB157" s="274"/>
      <c r="AC157" s="55"/>
      <c r="AD157" s="22"/>
      <c r="AE157" s="39"/>
      <c r="AF157" s="274"/>
      <c r="AG157" s="274"/>
      <c r="AH157" s="173"/>
      <c r="AI157" s="22"/>
      <c r="AJ157" s="39"/>
      <c r="AK157" s="39"/>
      <c r="AL157" s="118"/>
      <c r="AM157" s="152"/>
      <c r="AN157" s="181"/>
      <c r="AO157" s="131"/>
      <c r="AP157" s="131"/>
      <c r="AQ157" s="39"/>
      <c r="AR157" s="274"/>
      <c r="AS157" s="274"/>
      <c r="AT157" s="274"/>
      <c r="AU157" s="39"/>
      <c r="AV157" s="39"/>
      <c r="AW157" s="39"/>
      <c r="AX157" s="274"/>
      <c r="AY157" s="274"/>
      <c r="AZ157" s="274"/>
      <c r="BA157" s="39"/>
      <c r="BB157" s="62"/>
      <c r="BC157" s="39"/>
      <c r="BD157" s="274"/>
      <c r="BE157" s="274"/>
      <c r="BF157" s="274"/>
      <c r="BG157" s="39"/>
      <c r="BH157" s="39"/>
      <c r="BI157" s="39"/>
      <c r="BJ157" s="274">
        <v>23400</v>
      </c>
      <c r="BK157" s="274">
        <f t="shared" si="58"/>
        <v>4446</v>
      </c>
      <c r="BL157" s="274">
        <f t="shared" si="59"/>
        <v>27846</v>
      </c>
      <c r="BM157" s="213" t="s">
        <v>196</v>
      </c>
      <c r="BN157" s="213" t="s">
        <v>4775</v>
      </c>
      <c r="BO157" s="39"/>
      <c r="BP157" s="274">
        <v>28000</v>
      </c>
      <c r="BQ157" s="274">
        <f t="shared" si="60"/>
        <v>5320</v>
      </c>
      <c r="BR157" s="274">
        <f t="shared" si="61"/>
        <v>33320</v>
      </c>
      <c r="BS157" s="39"/>
      <c r="BT157" s="39"/>
      <c r="BU157" s="39"/>
      <c r="BV157" s="219">
        <v>26560.310400000002</v>
      </c>
      <c r="BW157" s="219">
        <f t="shared" si="62"/>
        <v>5046.4589760000008</v>
      </c>
      <c r="BX157" s="273">
        <f t="shared" si="63"/>
        <v>31606.769376000004</v>
      </c>
      <c r="BY157" s="213" t="s">
        <v>196</v>
      </c>
      <c r="BZ157" s="213" t="s">
        <v>4775</v>
      </c>
      <c r="CA157" s="213"/>
      <c r="CB157" s="274"/>
      <c r="CC157" s="274"/>
      <c r="CD157" s="274"/>
      <c r="CE157" s="39"/>
      <c r="CF157" s="39"/>
      <c r="CG157" s="39"/>
      <c r="CH157" s="274"/>
      <c r="CI157" s="274"/>
      <c r="CJ157" s="274"/>
      <c r="CK157" s="39"/>
      <c r="CL157" s="39"/>
      <c r="CM157" s="39"/>
      <c r="CN157" s="39"/>
      <c r="CO157" s="39"/>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274"/>
      <c r="DM157" s="274"/>
      <c r="DN157" s="274"/>
      <c r="DO157" s="274"/>
      <c r="DP157" s="274"/>
      <c r="DQ157" s="274"/>
      <c r="DR157" s="274"/>
      <c r="DS157" s="274"/>
      <c r="DT157" s="274"/>
      <c r="DU157" s="274"/>
      <c r="DV157" s="274"/>
      <c r="DW157" s="274"/>
      <c r="DX157" s="274"/>
      <c r="DY157" s="274"/>
      <c r="DZ157" s="274"/>
      <c r="EA157" s="274"/>
      <c r="EB157" s="274"/>
      <c r="EC157" s="274"/>
      <c r="ED157" s="39">
        <f t="shared" si="52"/>
        <v>110622.76937600001</v>
      </c>
      <c r="EE157" s="30">
        <f t="shared" si="53"/>
        <v>4</v>
      </c>
      <c r="EF157" s="39">
        <f t="shared" si="54"/>
        <v>27655.692344000003</v>
      </c>
    </row>
    <row r="158" spans="1:136" x14ac:dyDescent="0.25">
      <c r="A158" s="25" t="e">
        <f>#REF!</f>
        <v>#REF!</v>
      </c>
      <c r="B158" s="50" t="e">
        <f>#REF!</f>
        <v>#REF!</v>
      </c>
      <c r="C158" s="5" t="e">
        <f>#REF!</f>
        <v>#REF!</v>
      </c>
      <c r="D158" s="5" t="e">
        <f>#REF!</f>
        <v>#REF!</v>
      </c>
      <c r="E158" s="252">
        <v>1</v>
      </c>
      <c r="F158" s="249">
        <v>0</v>
      </c>
      <c r="G158" s="249">
        <v>0</v>
      </c>
      <c r="H158" s="249">
        <v>0</v>
      </c>
      <c r="I158" s="249">
        <v>0</v>
      </c>
      <c r="J158" s="249">
        <v>0</v>
      </c>
      <c r="K158" s="249">
        <v>0</v>
      </c>
      <c r="L158" s="274"/>
      <c r="M158" s="274"/>
      <c r="N158" s="255">
        <v>10000</v>
      </c>
      <c r="O158" s="135">
        <f>+N158*0.19</f>
        <v>1900</v>
      </c>
      <c r="P158" s="135">
        <f>+N158+O158</f>
        <v>11900</v>
      </c>
      <c r="Q158" s="131"/>
      <c r="R158" s="131"/>
      <c r="S158" s="11"/>
      <c r="T158" s="274"/>
      <c r="U158" s="274"/>
      <c r="V158" s="274"/>
      <c r="W158" s="39"/>
      <c r="X158" s="11"/>
      <c r="Y158" s="11"/>
      <c r="Z158" s="274"/>
      <c r="AA158" s="274"/>
      <c r="AB158" s="274"/>
      <c r="AC158" s="55"/>
      <c r="AD158" s="22"/>
      <c r="AE158" s="39"/>
      <c r="AF158" s="274"/>
      <c r="AG158" s="274"/>
      <c r="AH158" s="173"/>
      <c r="AI158" s="4"/>
      <c r="AJ158" s="39"/>
      <c r="AK158" s="39"/>
      <c r="AL158" s="118"/>
      <c r="AM158" s="152"/>
      <c r="AN158" s="181"/>
      <c r="AO158" s="131"/>
      <c r="AP158" s="131"/>
      <c r="AQ158" s="39"/>
      <c r="AR158" s="274"/>
      <c r="AS158" s="274"/>
      <c r="AT158" s="274"/>
      <c r="AU158" s="39"/>
      <c r="AV158" s="39"/>
      <c r="AW158" s="39"/>
      <c r="AX158" s="274"/>
      <c r="AY158" s="274"/>
      <c r="AZ158" s="274"/>
      <c r="BA158" s="39"/>
      <c r="BB158" s="62"/>
      <c r="BC158" s="39"/>
      <c r="BD158" s="274"/>
      <c r="BE158" s="274"/>
      <c r="BF158" s="274"/>
      <c r="BG158" s="39"/>
      <c r="BH158" s="39"/>
      <c r="BI158" s="39"/>
      <c r="BJ158" s="274">
        <v>18000</v>
      </c>
      <c r="BK158" s="274">
        <f t="shared" si="58"/>
        <v>3420</v>
      </c>
      <c r="BL158" s="274">
        <f t="shared" si="59"/>
        <v>21420</v>
      </c>
      <c r="BM158" s="213" t="s">
        <v>196</v>
      </c>
      <c r="BN158" s="213" t="s">
        <v>4775</v>
      </c>
      <c r="BO158" s="39"/>
      <c r="BP158" s="274">
        <v>22000</v>
      </c>
      <c r="BQ158" s="274">
        <f t="shared" si="60"/>
        <v>4180</v>
      </c>
      <c r="BR158" s="274">
        <f t="shared" si="61"/>
        <v>26180</v>
      </c>
      <c r="BS158" s="39"/>
      <c r="BT158" s="39"/>
      <c r="BU158" s="39"/>
      <c r="BV158" s="219">
        <v>20814.281999999999</v>
      </c>
      <c r="BW158" s="219">
        <f t="shared" si="62"/>
        <v>3954.7135800000001</v>
      </c>
      <c r="BX158" s="273">
        <f t="shared" si="63"/>
        <v>24768.995579999999</v>
      </c>
      <c r="BY158" s="213" t="s">
        <v>196</v>
      </c>
      <c r="BZ158" s="213" t="s">
        <v>4775</v>
      </c>
      <c r="CA158" s="213"/>
      <c r="CB158" s="274"/>
      <c r="CC158" s="274"/>
      <c r="CD158" s="274"/>
      <c r="CE158" s="39"/>
      <c r="CF158" s="39"/>
      <c r="CG158" s="39"/>
      <c r="CH158" s="274"/>
      <c r="CI158" s="274"/>
      <c r="CJ158" s="274"/>
      <c r="CK158" s="39"/>
      <c r="CL158" s="39"/>
      <c r="CM158" s="39"/>
      <c r="CN158" s="39"/>
      <c r="CO158" s="39"/>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274"/>
      <c r="DM158" s="274"/>
      <c r="DN158" s="274"/>
      <c r="DO158" s="274"/>
      <c r="DP158" s="274"/>
      <c r="DQ158" s="274"/>
      <c r="DR158" s="274"/>
      <c r="DS158" s="274"/>
      <c r="DT158" s="274"/>
      <c r="DU158" s="274"/>
      <c r="DV158" s="274"/>
      <c r="DW158" s="274"/>
      <c r="DX158" s="274"/>
      <c r="DY158" s="274"/>
      <c r="DZ158" s="274"/>
      <c r="EA158" s="274"/>
      <c r="EB158" s="274"/>
      <c r="EC158" s="274"/>
      <c r="ED158" s="39">
        <f t="shared" si="52"/>
        <v>84268.995580000003</v>
      </c>
      <c r="EE158" s="30">
        <f t="shared" si="53"/>
        <v>4</v>
      </c>
      <c r="EF158" s="39">
        <f t="shared" si="54"/>
        <v>21067.248895000001</v>
      </c>
    </row>
    <row r="159" spans="1:136" x14ac:dyDescent="0.25">
      <c r="A159" s="25" t="e">
        <f>#REF!</f>
        <v>#REF!</v>
      </c>
      <c r="B159" s="50" t="e">
        <f>#REF!</f>
        <v>#REF!</v>
      </c>
      <c r="C159" s="5" t="e">
        <f>#REF!</f>
        <v>#REF!</v>
      </c>
      <c r="D159" s="5" t="e">
        <f>#REF!</f>
        <v>#REF!</v>
      </c>
      <c r="E159" s="252">
        <v>1</v>
      </c>
      <c r="F159" s="249">
        <v>0</v>
      </c>
      <c r="G159" s="249">
        <v>0</v>
      </c>
      <c r="H159" s="249">
        <v>0</v>
      </c>
      <c r="I159" s="249">
        <v>0</v>
      </c>
      <c r="J159" s="249">
        <v>0</v>
      </c>
      <c r="K159" s="249">
        <v>0</v>
      </c>
      <c r="L159" s="274"/>
      <c r="M159" s="274"/>
      <c r="N159" s="255">
        <v>55500</v>
      </c>
      <c r="O159" s="135">
        <f>+N159*0.19</f>
        <v>10545</v>
      </c>
      <c r="P159" s="135">
        <f>+N159+O159</f>
        <v>66045</v>
      </c>
      <c r="Q159" s="131"/>
      <c r="R159" s="131"/>
      <c r="S159" s="11"/>
      <c r="T159" s="274"/>
      <c r="U159" s="274"/>
      <c r="V159" s="274"/>
      <c r="W159" s="39"/>
      <c r="X159" s="11"/>
      <c r="Y159" s="11"/>
      <c r="Z159" s="274"/>
      <c r="AA159" s="274"/>
      <c r="AB159" s="274"/>
      <c r="AC159" s="52"/>
      <c r="AD159" s="22"/>
      <c r="AE159" s="39"/>
      <c r="AF159" s="274"/>
      <c r="AG159" s="274"/>
      <c r="AH159" s="113"/>
      <c r="AI159" s="4"/>
      <c r="AJ159" s="39"/>
      <c r="AK159" s="39"/>
      <c r="AL159" s="118"/>
      <c r="AM159" s="152"/>
      <c r="AN159" s="181"/>
      <c r="AO159" s="131"/>
      <c r="AP159" s="131"/>
      <c r="AQ159" s="39"/>
      <c r="AR159" s="274"/>
      <c r="AS159" s="274"/>
      <c r="AT159" s="274"/>
      <c r="AU159" s="39"/>
      <c r="AV159" s="39"/>
      <c r="AW159" s="39"/>
      <c r="AX159" s="274"/>
      <c r="AY159" s="274"/>
      <c r="AZ159" s="274"/>
      <c r="BA159" s="39"/>
      <c r="BB159" s="62"/>
      <c r="BC159" s="39"/>
      <c r="BD159" s="274"/>
      <c r="BE159" s="274"/>
      <c r="BF159" s="274"/>
      <c r="BG159" s="39"/>
      <c r="BH159" s="39"/>
      <c r="BI159" s="39"/>
      <c r="BJ159" s="275">
        <v>79200</v>
      </c>
      <c r="BK159" s="274">
        <f t="shared" si="58"/>
        <v>15048</v>
      </c>
      <c r="BL159" s="274">
        <f t="shared" si="59"/>
        <v>94248</v>
      </c>
      <c r="BM159" s="213" t="s">
        <v>196</v>
      </c>
      <c r="BN159" s="213" t="s">
        <v>4775</v>
      </c>
      <c r="BO159" s="39"/>
      <c r="BP159" s="274">
        <v>85000</v>
      </c>
      <c r="BQ159" s="274">
        <f t="shared" si="60"/>
        <v>16150</v>
      </c>
      <c r="BR159" s="274">
        <f t="shared" si="61"/>
        <v>101150</v>
      </c>
      <c r="BS159" s="39"/>
      <c r="BT159" s="39"/>
      <c r="BU159" s="39"/>
      <c r="BV159" s="219">
        <v>87351.26400000001</v>
      </c>
      <c r="BW159" s="219">
        <f t="shared" si="62"/>
        <v>16596.740160000001</v>
      </c>
      <c r="BX159" s="273">
        <f t="shared" si="63"/>
        <v>103948.00416000001</v>
      </c>
      <c r="BY159" s="213" t="s">
        <v>196</v>
      </c>
      <c r="BZ159" s="213" t="s">
        <v>4775</v>
      </c>
      <c r="CA159" s="213"/>
      <c r="CB159" s="274"/>
      <c r="CC159" s="274"/>
      <c r="CD159" s="274"/>
      <c r="CE159" s="39"/>
      <c r="CF159" s="39"/>
      <c r="CG159" s="39"/>
      <c r="CH159" s="274"/>
      <c r="CI159" s="274"/>
      <c r="CJ159" s="274"/>
      <c r="CK159" s="39"/>
      <c r="CL159" s="39"/>
      <c r="CM159" s="39"/>
      <c r="CN159" s="39"/>
      <c r="CO159" s="39"/>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274"/>
      <c r="DM159" s="274"/>
      <c r="DN159" s="274"/>
      <c r="DO159" s="274"/>
      <c r="DP159" s="274"/>
      <c r="DQ159" s="274"/>
      <c r="DR159" s="274"/>
      <c r="DS159" s="274"/>
      <c r="DT159" s="274"/>
      <c r="DU159" s="274"/>
      <c r="DV159" s="274"/>
      <c r="DW159" s="274"/>
      <c r="DX159" s="274"/>
      <c r="DY159" s="274"/>
      <c r="DZ159" s="274"/>
      <c r="EA159" s="274"/>
      <c r="EB159" s="274"/>
      <c r="EC159" s="274"/>
      <c r="ED159" s="39">
        <f t="shared" si="52"/>
        <v>365391.00416000001</v>
      </c>
      <c r="EE159" s="30">
        <f t="shared" si="53"/>
        <v>4</v>
      </c>
      <c r="EF159" s="39">
        <f t="shared" si="54"/>
        <v>91347.751040000003</v>
      </c>
    </row>
    <row r="160" spans="1:136" x14ac:dyDescent="0.25">
      <c r="A160" s="25" t="e">
        <f>#REF!</f>
        <v>#REF!</v>
      </c>
      <c r="B160" s="50" t="e">
        <f>#REF!</f>
        <v>#REF!</v>
      </c>
      <c r="C160" s="5" t="e">
        <f>#REF!</f>
        <v>#REF!</v>
      </c>
      <c r="D160" s="5" t="e">
        <f>#REF!</f>
        <v>#REF!</v>
      </c>
      <c r="E160" s="252">
        <v>1</v>
      </c>
      <c r="F160" s="249">
        <v>0</v>
      </c>
      <c r="G160" s="249">
        <v>0</v>
      </c>
      <c r="H160" s="249">
        <v>0</v>
      </c>
      <c r="I160" s="249">
        <v>0</v>
      </c>
      <c r="J160" s="249">
        <v>0</v>
      </c>
      <c r="K160" s="249">
        <v>0</v>
      </c>
      <c r="L160" s="274"/>
      <c r="M160" s="274"/>
      <c r="N160" s="255"/>
      <c r="O160" s="135"/>
      <c r="P160" s="135"/>
      <c r="Q160" s="131"/>
      <c r="R160" s="131"/>
      <c r="S160" s="11"/>
      <c r="T160" s="274"/>
      <c r="U160" s="274"/>
      <c r="V160" s="274"/>
      <c r="W160" s="39"/>
      <c r="X160" s="11"/>
      <c r="Y160" s="11"/>
      <c r="Z160" s="274"/>
      <c r="AA160" s="274"/>
      <c r="AB160" s="274"/>
      <c r="AC160" s="55"/>
      <c r="AD160" s="22"/>
      <c r="AE160" s="39"/>
      <c r="AF160" s="274"/>
      <c r="AG160" s="274"/>
      <c r="AH160" s="173"/>
      <c r="AI160" s="4"/>
      <c r="AJ160" s="39"/>
      <c r="AK160" s="39"/>
      <c r="AL160" s="118"/>
      <c r="AM160" s="152"/>
      <c r="AN160" s="181"/>
      <c r="AO160" s="131"/>
      <c r="AP160" s="131"/>
      <c r="AQ160" s="39"/>
      <c r="AR160" s="274"/>
      <c r="AS160" s="274"/>
      <c r="AT160" s="274"/>
      <c r="AU160" s="39"/>
      <c r="AV160" s="39"/>
      <c r="AW160" s="39"/>
      <c r="AX160" s="274"/>
      <c r="AY160" s="274"/>
      <c r="AZ160" s="274"/>
      <c r="BA160" s="39"/>
      <c r="BB160" s="62"/>
      <c r="BC160" s="39"/>
      <c r="BD160" s="274"/>
      <c r="BE160" s="274"/>
      <c r="BF160" s="274"/>
      <c r="BG160" s="39"/>
      <c r="BH160" s="39"/>
      <c r="BI160" s="39"/>
      <c r="BJ160" s="275">
        <v>124000</v>
      </c>
      <c r="BK160" s="274">
        <f t="shared" si="58"/>
        <v>23560</v>
      </c>
      <c r="BL160" s="274">
        <f t="shared" si="59"/>
        <v>147560</v>
      </c>
      <c r="BM160" s="213" t="s">
        <v>196</v>
      </c>
      <c r="BN160" s="213" t="s">
        <v>4775</v>
      </c>
      <c r="BO160" s="39"/>
      <c r="BP160" s="274">
        <v>125000</v>
      </c>
      <c r="BQ160" s="274">
        <f t="shared" si="60"/>
        <v>23750</v>
      </c>
      <c r="BR160" s="274">
        <f t="shared" si="61"/>
        <v>148750</v>
      </c>
      <c r="BS160" s="39"/>
      <c r="BT160" s="39"/>
      <c r="BU160" s="39"/>
      <c r="BV160" s="219">
        <v>137964.38400000002</v>
      </c>
      <c r="BW160" s="219">
        <f t="shared" si="62"/>
        <v>26213.232960000005</v>
      </c>
      <c r="BX160" s="273">
        <f t="shared" si="63"/>
        <v>164177.61696000001</v>
      </c>
      <c r="BY160" s="213" t="s">
        <v>196</v>
      </c>
      <c r="BZ160" s="213" t="s">
        <v>4775</v>
      </c>
      <c r="CA160" s="213"/>
      <c r="CB160" s="274">
        <v>599395</v>
      </c>
      <c r="CC160" s="274">
        <f>+CB160*0.19</f>
        <v>113885.05</v>
      </c>
      <c r="CD160" s="274">
        <f>+CB160+CC160</f>
        <v>713280.05</v>
      </c>
      <c r="CE160" s="39"/>
      <c r="CF160" s="39"/>
      <c r="CG160" s="39"/>
      <c r="CH160" s="274"/>
      <c r="CI160" s="274"/>
      <c r="CJ160" s="274"/>
      <c r="CK160" s="39"/>
      <c r="CL160" s="39"/>
      <c r="CM160" s="39"/>
      <c r="CN160" s="39"/>
      <c r="CO160" s="39"/>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274"/>
      <c r="DM160" s="274"/>
      <c r="DN160" s="274"/>
      <c r="DO160" s="274"/>
      <c r="DP160" s="274"/>
      <c r="DQ160" s="274"/>
      <c r="DR160" s="274"/>
      <c r="DS160" s="274"/>
      <c r="DT160" s="274"/>
      <c r="DU160" s="274"/>
      <c r="DV160" s="274"/>
      <c r="DW160" s="274"/>
      <c r="DX160" s="274"/>
      <c r="DY160" s="274"/>
      <c r="DZ160" s="274"/>
      <c r="EA160" s="274"/>
      <c r="EB160" s="274"/>
      <c r="EC160" s="274"/>
      <c r="ED160" s="39">
        <f t="shared" si="52"/>
        <v>1173767.6669600001</v>
      </c>
      <c r="EE160" s="30">
        <f t="shared" si="53"/>
        <v>4</v>
      </c>
      <c r="EF160" s="39">
        <f t="shared" si="54"/>
        <v>293441.91674000002</v>
      </c>
    </row>
    <row r="161" spans="1:136" x14ac:dyDescent="0.25">
      <c r="A161" s="25" t="e">
        <f>#REF!</f>
        <v>#REF!</v>
      </c>
      <c r="B161" s="50" t="e">
        <f>#REF!</f>
        <v>#REF!</v>
      </c>
      <c r="C161" s="5" t="e">
        <f>#REF!</f>
        <v>#REF!</v>
      </c>
      <c r="D161" s="5" t="e">
        <f>#REF!</f>
        <v>#REF!</v>
      </c>
      <c r="E161" s="252">
        <v>1</v>
      </c>
      <c r="F161" s="249">
        <v>0</v>
      </c>
      <c r="G161" s="249">
        <v>0</v>
      </c>
      <c r="H161" s="249">
        <v>231920.76218514881</v>
      </c>
      <c r="I161" s="249">
        <v>230936</v>
      </c>
      <c r="J161" s="249">
        <v>0</v>
      </c>
      <c r="K161" s="249">
        <v>0</v>
      </c>
      <c r="L161" s="274">
        <f>H161</f>
        <v>231920.76218514881</v>
      </c>
      <c r="M161" s="274">
        <f>I161*E1</f>
        <v>237864.08000000002</v>
      </c>
      <c r="N161" s="255"/>
      <c r="O161" s="135"/>
      <c r="P161" s="135"/>
      <c r="Q161" s="131"/>
      <c r="R161" s="131"/>
      <c r="S161" s="11"/>
      <c r="T161" s="274">
        <v>286000</v>
      </c>
      <c r="U161" s="274">
        <f>+T161*0.19</f>
        <v>54340</v>
      </c>
      <c r="V161" s="274">
        <f>+T161+U161</f>
        <v>340340</v>
      </c>
      <c r="W161" s="39" t="s">
        <v>510</v>
      </c>
      <c r="X161" s="11" t="s">
        <v>2956</v>
      </c>
      <c r="Y161" s="11"/>
      <c r="Z161" s="274"/>
      <c r="AA161" s="274"/>
      <c r="AB161" s="274"/>
      <c r="AC161" s="52"/>
      <c r="AD161" s="22"/>
      <c r="AE161" s="39"/>
      <c r="AF161" s="274"/>
      <c r="AG161" s="274"/>
      <c r="AH161" s="171"/>
      <c r="AI161" s="4"/>
      <c r="AJ161" s="39"/>
      <c r="AK161" s="39"/>
      <c r="AL161" s="118"/>
      <c r="AM161" s="152"/>
      <c r="AN161" s="181"/>
      <c r="AO161" s="131"/>
      <c r="AP161" s="131"/>
      <c r="AQ161" s="39"/>
      <c r="AR161" s="274"/>
      <c r="AS161" s="274"/>
      <c r="AT161" s="274"/>
      <c r="AU161" s="39"/>
      <c r="AV161" s="39"/>
      <c r="AW161" s="39"/>
      <c r="AX161" s="274"/>
      <c r="AY161" s="274"/>
      <c r="AZ161" s="274"/>
      <c r="BA161" s="39"/>
      <c r="BB161" s="62"/>
      <c r="BC161" s="39"/>
      <c r="BD161" s="274"/>
      <c r="BE161" s="274"/>
      <c r="BF161" s="274"/>
      <c r="BG161" s="39"/>
      <c r="BH161" s="39"/>
      <c r="BI161" s="39"/>
      <c r="BJ161" s="274">
        <v>284900</v>
      </c>
      <c r="BK161" s="274">
        <f t="shared" si="58"/>
        <v>54131</v>
      </c>
      <c r="BL161" s="274">
        <f t="shared" si="59"/>
        <v>339031</v>
      </c>
      <c r="BM161" s="213" t="s">
        <v>196</v>
      </c>
      <c r="BN161" s="213" t="s">
        <v>338</v>
      </c>
      <c r="BO161" s="39"/>
      <c r="BP161" s="274">
        <v>195000</v>
      </c>
      <c r="BQ161" s="274">
        <f t="shared" si="60"/>
        <v>37050</v>
      </c>
      <c r="BR161" s="274">
        <f t="shared" si="61"/>
        <v>232050</v>
      </c>
      <c r="BS161" s="39"/>
      <c r="BT161" s="39"/>
      <c r="BU161" s="39"/>
      <c r="BV161" s="219">
        <v>317392.27520000003</v>
      </c>
      <c r="BW161" s="219">
        <f t="shared" si="62"/>
        <v>60304.532288000009</v>
      </c>
      <c r="BX161" s="273">
        <f t="shared" si="63"/>
        <v>377696.80748800002</v>
      </c>
      <c r="BY161" s="213" t="s">
        <v>196</v>
      </c>
      <c r="BZ161" s="213" t="s">
        <v>338</v>
      </c>
      <c r="CA161" s="213"/>
      <c r="CB161" s="274"/>
      <c r="CC161" s="274"/>
      <c r="CD161" s="274"/>
      <c r="CE161" s="39"/>
      <c r="CF161" s="39"/>
      <c r="CG161" s="39"/>
      <c r="CH161" s="274"/>
      <c r="CI161" s="274"/>
      <c r="CJ161" s="274"/>
      <c r="CK161" s="39"/>
      <c r="CL161" s="39"/>
      <c r="CM161" s="39"/>
      <c r="CN161" s="39"/>
      <c r="CO161" s="39"/>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274"/>
      <c r="DM161" s="274"/>
      <c r="DN161" s="274"/>
      <c r="DO161" s="274"/>
      <c r="DP161" s="274"/>
      <c r="DQ161" s="274"/>
      <c r="DR161" s="274"/>
      <c r="DS161" s="274"/>
      <c r="DT161" s="274"/>
      <c r="DU161" s="274"/>
      <c r="DV161" s="274"/>
      <c r="DW161" s="274"/>
      <c r="DX161" s="274"/>
      <c r="DY161" s="274"/>
      <c r="DZ161" s="274"/>
      <c r="EA161" s="274"/>
      <c r="EB161" s="274"/>
      <c r="EC161" s="274"/>
      <c r="ED161" s="39">
        <f t="shared" si="52"/>
        <v>1526981.8874880001</v>
      </c>
      <c r="EE161" s="30">
        <f t="shared" si="53"/>
        <v>5</v>
      </c>
      <c r="EF161" s="39">
        <f t="shared" si="54"/>
        <v>305396.37749760004</v>
      </c>
    </row>
    <row r="162" spans="1:136" x14ac:dyDescent="0.25">
      <c r="A162" s="25" t="e">
        <f>#REF!</f>
        <v>#REF!</v>
      </c>
      <c r="B162" s="50" t="e">
        <f>#REF!</f>
        <v>#REF!</v>
      </c>
      <c r="C162" s="5" t="e">
        <f>#REF!</f>
        <v>#REF!</v>
      </c>
      <c r="D162" s="5" t="e">
        <f>#REF!</f>
        <v>#REF!</v>
      </c>
      <c r="E162" s="252">
        <v>1</v>
      </c>
      <c r="F162" s="249">
        <v>0</v>
      </c>
      <c r="G162" s="249">
        <v>0</v>
      </c>
      <c r="H162" s="249">
        <v>0</v>
      </c>
      <c r="I162" s="249">
        <v>0</v>
      </c>
      <c r="J162" s="249">
        <v>0</v>
      </c>
      <c r="K162" s="249">
        <v>0</v>
      </c>
      <c r="L162" s="274"/>
      <c r="M162" s="274"/>
      <c r="N162" s="255">
        <v>220000</v>
      </c>
      <c r="O162" s="135">
        <f>+N162*0.19</f>
        <v>41800</v>
      </c>
      <c r="P162" s="135">
        <f>+N162+O162</f>
        <v>261800</v>
      </c>
      <c r="Q162" s="131"/>
      <c r="R162" s="131"/>
      <c r="S162" s="11"/>
      <c r="T162" s="274"/>
      <c r="U162" s="274"/>
      <c r="V162" s="274"/>
      <c r="W162" s="39"/>
      <c r="X162" s="11"/>
      <c r="Y162" s="11"/>
      <c r="Z162" s="274"/>
      <c r="AA162" s="274"/>
      <c r="AB162" s="274"/>
      <c r="AC162" s="52"/>
      <c r="AD162" s="22"/>
      <c r="AE162" s="39"/>
      <c r="AF162" s="274"/>
      <c r="AG162" s="274"/>
      <c r="AH162" s="171"/>
      <c r="AI162" s="4"/>
      <c r="AJ162" s="39"/>
      <c r="AK162" s="39"/>
      <c r="AL162" s="118"/>
      <c r="AM162" s="152"/>
      <c r="AN162" s="181"/>
      <c r="AO162" s="131"/>
      <c r="AP162" s="131"/>
      <c r="AQ162" s="39"/>
      <c r="AR162" s="274"/>
      <c r="AS162" s="274"/>
      <c r="AT162" s="274"/>
      <c r="AU162" s="39"/>
      <c r="AV162" s="39"/>
      <c r="AW162" s="39"/>
      <c r="AX162" s="274"/>
      <c r="AY162" s="274"/>
      <c r="AZ162" s="274"/>
      <c r="BA162" s="39"/>
      <c r="BB162" s="62"/>
      <c r="BC162" s="39"/>
      <c r="BD162" s="274"/>
      <c r="BE162" s="274"/>
      <c r="BF162" s="274"/>
      <c r="BG162" s="39"/>
      <c r="BH162" s="39"/>
      <c r="BI162" s="39"/>
      <c r="BJ162" s="274">
        <v>284900</v>
      </c>
      <c r="BK162" s="274">
        <f t="shared" si="58"/>
        <v>54131</v>
      </c>
      <c r="BL162" s="274">
        <f t="shared" si="59"/>
        <v>339031</v>
      </c>
      <c r="BM162" s="213" t="s">
        <v>4738</v>
      </c>
      <c r="BN162" s="213" t="s">
        <v>2925</v>
      </c>
      <c r="BO162" s="39"/>
      <c r="BP162" s="274"/>
      <c r="BQ162" s="274"/>
      <c r="BR162" s="274"/>
      <c r="BS162" s="39"/>
      <c r="BT162" s="39"/>
      <c r="BU162" s="39"/>
      <c r="BV162" s="219">
        <v>317243.27250000002</v>
      </c>
      <c r="BW162" s="219">
        <f t="shared" si="62"/>
        <v>60276.221775000005</v>
      </c>
      <c r="BX162" s="273">
        <f t="shared" si="63"/>
        <v>377519.494275</v>
      </c>
      <c r="BY162" s="213" t="s">
        <v>4738</v>
      </c>
      <c r="BZ162" s="213" t="s">
        <v>2925</v>
      </c>
      <c r="CA162" s="213"/>
      <c r="CB162" s="274"/>
      <c r="CC162" s="274"/>
      <c r="CD162" s="274"/>
      <c r="CE162" s="39"/>
      <c r="CF162" s="39"/>
      <c r="CG162" s="39"/>
      <c r="CH162" s="274"/>
      <c r="CI162" s="274"/>
      <c r="CJ162" s="274"/>
      <c r="CK162" s="39"/>
      <c r="CL162" s="39"/>
      <c r="CM162" s="39"/>
      <c r="CN162" s="39"/>
      <c r="CO162" s="39"/>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274"/>
      <c r="DM162" s="274"/>
      <c r="DN162" s="274"/>
      <c r="DO162" s="274"/>
      <c r="DP162" s="274"/>
      <c r="DQ162" s="274"/>
      <c r="DR162" s="274"/>
      <c r="DS162" s="274"/>
      <c r="DT162" s="274"/>
      <c r="DU162" s="274"/>
      <c r="DV162" s="274"/>
      <c r="DW162" s="274"/>
      <c r="DX162" s="274"/>
      <c r="DY162" s="274"/>
      <c r="DZ162" s="274"/>
      <c r="EA162" s="274"/>
      <c r="EB162" s="274"/>
      <c r="EC162" s="274"/>
      <c r="ED162" s="39">
        <f t="shared" si="52"/>
        <v>978350.49427499995</v>
      </c>
      <c r="EE162" s="30">
        <f t="shared" si="53"/>
        <v>3</v>
      </c>
      <c r="EF162" s="39">
        <f t="shared" si="54"/>
        <v>326116.83142499998</v>
      </c>
    </row>
    <row r="163" spans="1:136" x14ac:dyDescent="0.25">
      <c r="A163" s="25" t="e">
        <f>#REF!</f>
        <v>#REF!</v>
      </c>
      <c r="B163" s="50" t="e">
        <f>#REF!</f>
        <v>#REF!</v>
      </c>
      <c r="C163" s="5" t="e">
        <f>#REF!</f>
        <v>#REF!</v>
      </c>
      <c r="D163" s="5" t="e">
        <f>#REF!</f>
        <v>#REF!</v>
      </c>
      <c r="E163" s="252">
        <v>1</v>
      </c>
      <c r="F163" s="249">
        <v>157913</v>
      </c>
      <c r="G163" s="249">
        <v>0</v>
      </c>
      <c r="H163" s="249">
        <v>41927.666666666664</v>
      </c>
      <c r="I163" s="249">
        <v>0</v>
      </c>
      <c r="J163" s="249">
        <v>51737.497777777782</v>
      </c>
      <c r="K163" s="249">
        <v>0</v>
      </c>
      <c r="L163" s="274">
        <f>AVERAGE(F163,H163,J163)</f>
        <v>83859.388148148151</v>
      </c>
      <c r="M163" s="274"/>
      <c r="N163" s="255">
        <v>20000</v>
      </c>
      <c r="O163" s="135">
        <f>+N163*0.19</f>
        <v>3800</v>
      </c>
      <c r="P163" s="135">
        <f>+N163+O163</f>
        <v>23800</v>
      </c>
      <c r="Q163" s="131"/>
      <c r="R163" s="131"/>
      <c r="S163" s="11"/>
      <c r="T163" s="274"/>
      <c r="U163" s="274"/>
      <c r="V163" s="274"/>
      <c r="W163" s="39"/>
      <c r="X163" s="11"/>
      <c r="Y163" s="11"/>
      <c r="Z163" s="274"/>
      <c r="AA163" s="274"/>
      <c r="AB163" s="274"/>
      <c r="AC163" s="55"/>
      <c r="AD163" s="22"/>
      <c r="AE163" s="39"/>
      <c r="AF163" s="274"/>
      <c r="AG163" s="274"/>
      <c r="AH163" s="173"/>
      <c r="AI163" s="4"/>
      <c r="AJ163" s="39"/>
      <c r="AK163" s="39"/>
      <c r="AL163" s="118"/>
      <c r="AM163" s="152"/>
      <c r="AN163" s="181"/>
      <c r="AO163" s="131"/>
      <c r="AP163" s="131"/>
      <c r="AQ163" s="39"/>
      <c r="AR163" s="274"/>
      <c r="AS163" s="274"/>
      <c r="AT163" s="274"/>
      <c r="AU163" s="39"/>
      <c r="AV163" s="39"/>
      <c r="AW163" s="39"/>
      <c r="AX163" s="274"/>
      <c r="AY163" s="274"/>
      <c r="AZ163" s="274"/>
      <c r="BA163" s="39"/>
      <c r="BB163" s="62"/>
      <c r="BC163" s="39"/>
      <c r="BD163" s="274"/>
      <c r="BE163" s="274"/>
      <c r="BF163" s="274"/>
      <c r="BG163" s="39"/>
      <c r="BH163" s="39"/>
      <c r="BI163" s="39"/>
      <c r="BJ163" s="274"/>
      <c r="BK163" s="274"/>
      <c r="BL163" s="274"/>
      <c r="BM163" s="213"/>
      <c r="BN163" s="213"/>
      <c r="BO163" s="39"/>
      <c r="BP163" s="274">
        <v>6500</v>
      </c>
      <c r="BQ163" s="274">
        <f t="shared" ref="BQ163:BQ171" si="64">+BP163*19%</f>
        <v>1235</v>
      </c>
      <c r="BR163" s="274">
        <f t="shared" ref="BR163:BR171" si="65">+BQ163+BP163</f>
        <v>7735</v>
      </c>
      <c r="BS163" s="39"/>
      <c r="BT163" s="39"/>
      <c r="BU163" s="39"/>
      <c r="BV163" s="212"/>
      <c r="BW163" s="221"/>
      <c r="BX163" s="273"/>
      <c r="BY163" s="213"/>
      <c r="BZ163" s="213"/>
      <c r="CA163" s="213"/>
      <c r="CB163" s="274"/>
      <c r="CC163" s="274"/>
      <c r="CD163" s="274"/>
      <c r="CE163" s="39"/>
      <c r="CF163" s="39"/>
      <c r="CG163" s="39"/>
      <c r="CH163" s="274"/>
      <c r="CI163" s="274"/>
      <c r="CJ163" s="274"/>
      <c r="CK163" s="39"/>
      <c r="CL163" s="39"/>
      <c r="CM163" s="39"/>
      <c r="CN163" s="39"/>
      <c r="CO163" s="39"/>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274"/>
      <c r="DM163" s="274"/>
      <c r="DN163" s="274"/>
      <c r="DO163" s="274"/>
      <c r="DP163" s="274"/>
      <c r="DQ163" s="274"/>
      <c r="DR163" s="274"/>
      <c r="DS163" s="274"/>
      <c r="DT163" s="274"/>
      <c r="DU163" s="274"/>
      <c r="DV163" s="274"/>
      <c r="DW163" s="274"/>
      <c r="DX163" s="274"/>
      <c r="DY163" s="274"/>
      <c r="DZ163" s="274"/>
      <c r="EA163" s="274"/>
      <c r="EB163" s="274"/>
      <c r="EC163" s="274"/>
      <c r="ED163" s="39">
        <f t="shared" si="52"/>
        <v>31535</v>
      </c>
      <c r="EE163" s="30">
        <f t="shared" si="53"/>
        <v>2</v>
      </c>
      <c r="EF163" s="39">
        <f t="shared" si="54"/>
        <v>15767.5</v>
      </c>
    </row>
    <row r="164" spans="1:136" x14ac:dyDescent="0.25">
      <c r="A164" s="25" t="e">
        <f>#REF!</f>
        <v>#REF!</v>
      </c>
      <c r="B164" s="50" t="e">
        <f>#REF!</f>
        <v>#REF!</v>
      </c>
      <c r="C164" s="5" t="e">
        <f>#REF!</f>
        <v>#REF!</v>
      </c>
      <c r="D164" s="5" t="e">
        <f>#REF!</f>
        <v>#REF!</v>
      </c>
      <c r="E164" s="252">
        <v>1</v>
      </c>
      <c r="F164" s="249">
        <v>37604</v>
      </c>
      <c r="G164" s="249">
        <v>35700</v>
      </c>
      <c r="H164" s="249">
        <v>36758.802499999998</v>
      </c>
      <c r="I164" s="249">
        <v>0</v>
      </c>
      <c r="J164" s="249">
        <v>64992.246666666673</v>
      </c>
      <c r="K164" s="249">
        <v>64260</v>
      </c>
      <c r="L164" s="274">
        <f>AVERAGE(F164,H164,J164)</f>
        <v>46451.683055555557</v>
      </c>
      <c r="M164" s="274">
        <f>AVERAGE(G164,K164)*E1</f>
        <v>51479.4</v>
      </c>
      <c r="N164" s="255"/>
      <c r="O164" s="135"/>
      <c r="P164" s="135"/>
      <c r="Q164" s="131"/>
      <c r="R164" s="131"/>
      <c r="S164" s="11"/>
      <c r="T164" s="274"/>
      <c r="U164" s="274"/>
      <c r="V164" s="274"/>
      <c r="W164" s="39"/>
      <c r="X164" s="11"/>
      <c r="Y164" s="11"/>
      <c r="Z164" s="274"/>
      <c r="AA164" s="274"/>
      <c r="AB164" s="274"/>
      <c r="AC164" s="55"/>
      <c r="AD164" s="22"/>
      <c r="AE164" s="39"/>
      <c r="AF164" s="274"/>
      <c r="AG164" s="274"/>
      <c r="AH164" s="173"/>
      <c r="AI164" s="4"/>
      <c r="AJ164" s="39"/>
      <c r="AK164" s="39"/>
      <c r="AL164" s="118"/>
      <c r="AM164" s="152"/>
      <c r="AN164" s="181"/>
      <c r="AO164" s="131"/>
      <c r="AP164" s="131"/>
      <c r="AQ164" s="39"/>
      <c r="AR164" s="274"/>
      <c r="AS164" s="274"/>
      <c r="AT164" s="274"/>
      <c r="AU164" s="39"/>
      <c r="AV164" s="39"/>
      <c r="AW164" s="39"/>
      <c r="AX164" s="274"/>
      <c r="AY164" s="274"/>
      <c r="AZ164" s="274"/>
      <c r="BA164" s="39"/>
      <c r="BB164" s="62"/>
      <c r="BC164" s="39"/>
      <c r="BD164" s="274"/>
      <c r="BE164" s="274"/>
      <c r="BF164" s="274"/>
      <c r="BG164" s="39"/>
      <c r="BH164" s="39"/>
      <c r="BI164" s="39"/>
      <c r="BJ164" s="274"/>
      <c r="BK164" s="274"/>
      <c r="BL164" s="274"/>
      <c r="BM164" s="213"/>
      <c r="BN164" s="213"/>
      <c r="BO164" s="39"/>
      <c r="BP164" s="274">
        <v>145000</v>
      </c>
      <c r="BQ164" s="274">
        <f t="shared" si="64"/>
        <v>27550</v>
      </c>
      <c r="BR164" s="274">
        <f t="shared" si="65"/>
        <v>172550</v>
      </c>
      <c r="BS164" s="39"/>
      <c r="BT164" s="39"/>
      <c r="BU164" s="39"/>
      <c r="BV164" s="212"/>
      <c r="BW164" s="221"/>
      <c r="BX164" s="273"/>
      <c r="BY164" s="213"/>
      <c r="BZ164" s="213"/>
      <c r="CA164" s="213"/>
      <c r="CB164" s="274"/>
      <c r="CC164" s="274"/>
      <c r="CD164" s="274"/>
      <c r="CE164" s="39"/>
      <c r="CF164" s="39"/>
      <c r="CG164" s="39"/>
      <c r="CH164" s="274"/>
      <c r="CI164" s="274"/>
      <c r="CJ164" s="274"/>
      <c r="CK164" s="39"/>
      <c r="CL164" s="39"/>
      <c r="CM164" s="39"/>
      <c r="CN164" s="39"/>
      <c r="CO164" s="39"/>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274"/>
      <c r="DM164" s="274"/>
      <c r="DN164" s="274"/>
      <c r="DO164" s="274"/>
      <c r="DP164" s="274"/>
      <c r="DQ164" s="274"/>
      <c r="DR164" s="274"/>
      <c r="DS164" s="274"/>
      <c r="DT164" s="274"/>
      <c r="DU164" s="274"/>
      <c r="DV164" s="274"/>
      <c r="DW164" s="274"/>
      <c r="DX164" s="274"/>
      <c r="DY164" s="274"/>
      <c r="DZ164" s="274"/>
      <c r="EA164" s="274"/>
      <c r="EB164" s="274"/>
      <c r="EC164" s="274"/>
      <c r="ED164" s="39">
        <f t="shared" si="52"/>
        <v>224029.4</v>
      </c>
      <c r="EE164" s="30">
        <f t="shared" si="53"/>
        <v>2</v>
      </c>
      <c r="EF164" s="39">
        <f t="shared" si="54"/>
        <v>112014.7</v>
      </c>
    </row>
    <row r="165" spans="1:136" x14ac:dyDescent="0.25">
      <c r="A165" s="25" t="e">
        <f>#REF!</f>
        <v>#REF!</v>
      </c>
      <c r="B165" s="50" t="e">
        <f>#REF!</f>
        <v>#REF!</v>
      </c>
      <c r="C165" s="5" t="e">
        <f>#REF!</f>
        <v>#REF!</v>
      </c>
      <c r="D165" s="5" t="e">
        <f>#REF!</f>
        <v>#REF!</v>
      </c>
      <c r="E165" s="252">
        <v>1</v>
      </c>
      <c r="F165" s="249">
        <v>205037</v>
      </c>
      <c r="G165" s="249">
        <v>204680</v>
      </c>
      <c r="H165" s="249">
        <v>167447.95244444444</v>
      </c>
      <c r="I165" s="249">
        <v>0</v>
      </c>
      <c r="J165" s="249">
        <v>410946.66666666669</v>
      </c>
      <c r="K165" s="249">
        <v>386750</v>
      </c>
      <c r="L165" s="274">
        <f>AVERAGE(F165,H165,J165)</f>
        <v>261143.87303703706</v>
      </c>
      <c r="M165" s="274">
        <f>AVERAGE(G165,K165)*E1</f>
        <v>304586.45</v>
      </c>
      <c r="N165" s="255"/>
      <c r="O165" s="135"/>
      <c r="P165" s="135"/>
      <c r="Q165" s="131"/>
      <c r="R165" s="131"/>
      <c r="S165" s="11"/>
      <c r="T165" s="274"/>
      <c r="U165" s="274"/>
      <c r="V165" s="274"/>
      <c r="W165" s="39"/>
      <c r="X165" s="11"/>
      <c r="Y165" s="11"/>
      <c r="Z165" s="274"/>
      <c r="AA165" s="274"/>
      <c r="AB165" s="274"/>
      <c r="AC165" s="52"/>
      <c r="AD165" s="22"/>
      <c r="AE165" s="39"/>
      <c r="AF165" s="274"/>
      <c r="AG165" s="274"/>
      <c r="AH165" s="171"/>
      <c r="AI165" s="4"/>
      <c r="AJ165" s="39"/>
      <c r="AK165" s="39"/>
      <c r="AL165" s="118"/>
      <c r="AM165" s="152"/>
      <c r="AN165" s="181"/>
      <c r="AO165" s="131"/>
      <c r="AP165" s="131"/>
      <c r="AQ165" s="39"/>
      <c r="AR165" s="274"/>
      <c r="AS165" s="274"/>
      <c r="AT165" s="274"/>
      <c r="AU165" s="39"/>
      <c r="AV165" s="39"/>
      <c r="AW165" s="39"/>
      <c r="AX165" s="274"/>
      <c r="AY165" s="274"/>
      <c r="AZ165" s="274"/>
      <c r="BA165" s="39"/>
      <c r="BB165" s="62"/>
      <c r="BC165" s="39"/>
      <c r="BD165" s="274"/>
      <c r="BE165" s="274"/>
      <c r="BF165" s="274"/>
      <c r="BG165" s="39"/>
      <c r="BH165" s="39"/>
      <c r="BI165" s="39"/>
      <c r="BJ165" s="274">
        <v>526700</v>
      </c>
      <c r="BK165" s="274">
        <f t="shared" ref="BK165:BK171" si="66">+BJ165*0.19</f>
        <v>100073</v>
      </c>
      <c r="BL165" s="274">
        <f t="shared" ref="BL165:BL171" si="67">+BJ165+BK165</f>
        <v>626773</v>
      </c>
      <c r="BM165" s="214" t="s">
        <v>445</v>
      </c>
      <c r="BN165" s="213" t="s">
        <v>4776</v>
      </c>
      <c r="BO165" s="39"/>
      <c r="BP165" s="274">
        <v>235000</v>
      </c>
      <c r="BQ165" s="274">
        <f t="shared" si="64"/>
        <v>44650</v>
      </c>
      <c r="BR165" s="274">
        <f t="shared" si="65"/>
        <v>279650</v>
      </c>
      <c r="BS165" s="39"/>
      <c r="BT165" s="39"/>
      <c r="BU165" s="39"/>
      <c r="BV165" s="219">
        <v>586493.61750000005</v>
      </c>
      <c r="BW165" s="219">
        <f t="shared" ref="BW165:BW171" si="68">+BV165*0.19</f>
        <v>111433.78732500001</v>
      </c>
      <c r="BX165" s="273">
        <f t="shared" ref="BX165:BX171" si="69">+BV165+BW165</f>
        <v>697927.40482500009</v>
      </c>
      <c r="BY165" s="214" t="s">
        <v>445</v>
      </c>
      <c r="BZ165" s="213" t="s">
        <v>4776</v>
      </c>
      <c r="CA165" s="213"/>
      <c r="CB165" s="274"/>
      <c r="CC165" s="274"/>
      <c r="CD165" s="274"/>
      <c r="CE165" s="39"/>
      <c r="CF165" s="39"/>
      <c r="CG165" s="39"/>
      <c r="CH165" s="274"/>
      <c r="CI165" s="274"/>
      <c r="CJ165" s="274"/>
      <c r="CK165" s="39"/>
      <c r="CL165" s="39"/>
      <c r="CM165" s="39"/>
      <c r="CN165" s="39"/>
      <c r="CO165" s="39"/>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274"/>
      <c r="DM165" s="274"/>
      <c r="DN165" s="274"/>
      <c r="DO165" s="274"/>
      <c r="DP165" s="274"/>
      <c r="DQ165" s="274"/>
      <c r="DR165" s="274"/>
      <c r="DS165" s="274"/>
      <c r="DT165" s="274"/>
      <c r="DU165" s="274"/>
      <c r="DV165" s="274"/>
      <c r="DW165" s="274"/>
      <c r="DX165" s="274"/>
      <c r="DY165" s="274"/>
      <c r="DZ165" s="274"/>
      <c r="EA165" s="274"/>
      <c r="EB165" s="274"/>
      <c r="EC165" s="274"/>
      <c r="ED165" s="39">
        <f t="shared" si="52"/>
        <v>1908936.854825</v>
      </c>
      <c r="EE165" s="30">
        <f t="shared" si="53"/>
        <v>4</v>
      </c>
      <c r="EF165" s="39">
        <f t="shared" si="54"/>
        <v>477234.21370625001</v>
      </c>
    </row>
    <row r="166" spans="1:136" x14ac:dyDescent="0.25">
      <c r="A166" s="25" t="e">
        <f>#REF!</f>
        <v>#REF!</v>
      </c>
      <c r="B166" s="50" t="e">
        <f>#REF!</f>
        <v>#REF!</v>
      </c>
      <c r="C166" s="5" t="e">
        <f>#REF!</f>
        <v>#REF!</v>
      </c>
      <c r="D166" s="5" t="e">
        <f>#REF!</f>
        <v>#REF!</v>
      </c>
      <c r="E166" s="252">
        <v>1</v>
      </c>
      <c r="F166" s="249">
        <v>4165</v>
      </c>
      <c r="G166" s="249">
        <v>4046</v>
      </c>
      <c r="H166" s="249">
        <v>0</v>
      </c>
      <c r="I166" s="249">
        <v>0</v>
      </c>
      <c r="J166" s="249">
        <v>7683.4333333333334</v>
      </c>
      <c r="K166" s="249">
        <v>0</v>
      </c>
      <c r="L166" s="274">
        <f>AVERAGE(F166,J166)</f>
        <v>5924.2166666666672</v>
      </c>
      <c r="M166" s="274">
        <f>G166*E1</f>
        <v>4167.38</v>
      </c>
      <c r="N166" s="255">
        <v>5800</v>
      </c>
      <c r="O166" s="135">
        <f>+N166*0.19</f>
        <v>1102</v>
      </c>
      <c r="P166" s="135">
        <f>+N166+O166</f>
        <v>6902</v>
      </c>
      <c r="Q166" s="131"/>
      <c r="R166" s="131"/>
      <c r="S166" s="11"/>
      <c r="T166" s="274"/>
      <c r="U166" s="274"/>
      <c r="V166" s="274"/>
      <c r="W166" s="39"/>
      <c r="X166" s="11"/>
      <c r="Y166" s="11"/>
      <c r="Z166" s="274"/>
      <c r="AA166" s="274"/>
      <c r="AB166" s="274"/>
      <c r="AC166" s="55"/>
      <c r="AD166" s="22"/>
      <c r="AE166" s="39"/>
      <c r="AF166" s="274"/>
      <c r="AG166" s="274"/>
      <c r="AH166" s="173"/>
      <c r="AI166" s="4"/>
      <c r="AJ166" s="39"/>
      <c r="AK166" s="39"/>
      <c r="AL166" s="118"/>
      <c r="AM166" s="152"/>
      <c r="AN166" s="181"/>
      <c r="AO166" s="131"/>
      <c r="AP166" s="131"/>
      <c r="AQ166" s="39"/>
      <c r="AR166" s="274"/>
      <c r="AS166" s="274"/>
      <c r="AT166" s="274"/>
      <c r="AU166" s="39"/>
      <c r="AV166" s="39"/>
      <c r="AW166" s="39"/>
      <c r="AX166" s="274"/>
      <c r="AY166" s="274"/>
      <c r="AZ166" s="274"/>
      <c r="BA166" s="39"/>
      <c r="BB166" s="62"/>
      <c r="BC166" s="39"/>
      <c r="BD166" s="274"/>
      <c r="BE166" s="274"/>
      <c r="BF166" s="274"/>
      <c r="BG166" s="39"/>
      <c r="BH166" s="39"/>
      <c r="BI166" s="39"/>
      <c r="BJ166" s="274">
        <v>5300</v>
      </c>
      <c r="BK166" s="274">
        <f t="shared" si="66"/>
        <v>1007</v>
      </c>
      <c r="BL166" s="274">
        <f t="shared" si="67"/>
        <v>6307</v>
      </c>
      <c r="BM166" s="214" t="s">
        <v>445</v>
      </c>
      <c r="BN166" s="213" t="s">
        <v>3305</v>
      </c>
      <c r="BO166" s="39"/>
      <c r="BP166" s="274">
        <v>6500</v>
      </c>
      <c r="BQ166" s="274">
        <f t="shared" si="64"/>
        <v>1235</v>
      </c>
      <c r="BR166" s="274">
        <f t="shared" si="65"/>
        <v>7735</v>
      </c>
      <c r="BS166" s="39"/>
      <c r="BT166" s="39"/>
      <c r="BU166" s="39"/>
      <c r="BV166" s="219">
        <v>5460.5953</v>
      </c>
      <c r="BW166" s="219">
        <f t="shared" si="68"/>
        <v>1037.513107</v>
      </c>
      <c r="BX166" s="273">
        <f t="shared" si="69"/>
        <v>6498.1084069999997</v>
      </c>
      <c r="BY166" s="214" t="s">
        <v>445</v>
      </c>
      <c r="BZ166" s="213" t="s">
        <v>3305</v>
      </c>
      <c r="CA166" s="213"/>
      <c r="CB166" s="274"/>
      <c r="CC166" s="274"/>
      <c r="CD166" s="274"/>
      <c r="CE166" s="39"/>
      <c r="CF166" s="39"/>
      <c r="CG166" s="39"/>
      <c r="CH166" s="274"/>
      <c r="CI166" s="274"/>
      <c r="CJ166" s="274"/>
      <c r="CK166" s="39"/>
      <c r="CL166" s="39"/>
      <c r="CM166" s="39"/>
      <c r="CN166" s="39"/>
      <c r="CO166" s="39"/>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274"/>
      <c r="DM166" s="274"/>
      <c r="DN166" s="274"/>
      <c r="DO166" s="274"/>
      <c r="DP166" s="274"/>
      <c r="DQ166" s="274"/>
      <c r="DR166" s="274"/>
      <c r="DS166" s="274"/>
      <c r="DT166" s="274"/>
      <c r="DU166" s="274"/>
      <c r="DV166" s="274"/>
      <c r="DW166" s="274"/>
      <c r="DX166" s="274"/>
      <c r="DY166" s="274"/>
      <c r="DZ166" s="274"/>
      <c r="EA166" s="274"/>
      <c r="EB166" s="274"/>
      <c r="EC166" s="274"/>
      <c r="ED166" s="39">
        <f t="shared" si="52"/>
        <v>31609.488407000001</v>
      </c>
      <c r="EE166" s="30">
        <f t="shared" si="53"/>
        <v>5</v>
      </c>
      <c r="EF166" s="39">
        <f t="shared" si="54"/>
        <v>6321.8976813999998</v>
      </c>
    </row>
    <row r="167" spans="1:136" x14ac:dyDescent="0.25">
      <c r="A167" s="25" t="e">
        <f>#REF!</f>
        <v>#REF!</v>
      </c>
      <c r="B167" s="50" t="e">
        <f>#REF!</f>
        <v>#REF!</v>
      </c>
      <c r="C167" s="5" t="e">
        <f>#REF!</f>
        <v>#REF!</v>
      </c>
      <c r="D167" s="5" t="e">
        <f>#REF!</f>
        <v>#REF!</v>
      </c>
      <c r="E167" s="252">
        <v>1</v>
      </c>
      <c r="F167" s="249">
        <v>4462.5</v>
      </c>
      <c r="G167" s="249">
        <v>4284</v>
      </c>
      <c r="H167" s="249">
        <v>6747.3928199999991</v>
      </c>
      <c r="I167" s="249">
        <v>0</v>
      </c>
      <c r="J167" s="249">
        <v>8516.4333333333325</v>
      </c>
      <c r="K167" s="249">
        <v>0</v>
      </c>
      <c r="L167" s="274">
        <f>AVERAGE(F167,H167,J167)</f>
        <v>6575.4420511111102</v>
      </c>
      <c r="M167" s="274">
        <f>G167*E1</f>
        <v>4412.5200000000004</v>
      </c>
      <c r="N167" s="255">
        <v>5800</v>
      </c>
      <c r="O167" s="135">
        <f>+N167*0.19</f>
        <v>1102</v>
      </c>
      <c r="P167" s="135">
        <f>+N167+O167</f>
        <v>6902</v>
      </c>
      <c r="Q167" s="131"/>
      <c r="R167" s="131"/>
      <c r="S167" s="11"/>
      <c r="T167" s="274">
        <f>51700/16</f>
        <v>3231.25</v>
      </c>
      <c r="U167" s="274">
        <f>+T167*0.19</f>
        <v>613.9375</v>
      </c>
      <c r="V167" s="274">
        <f>+T167+U167</f>
        <v>3845.1875</v>
      </c>
      <c r="W167" s="39" t="s">
        <v>4777</v>
      </c>
      <c r="X167" s="11" t="s">
        <v>164</v>
      </c>
      <c r="Y167" s="11"/>
      <c r="Z167" s="274"/>
      <c r="AA167" s="274"/>
      <c r="AB167" s="274"/>
      <c r="AC167" s="52"/>
      <c r="AD167" s="22"/>
      <c r="AE167" s="39"/>
      <c r="AF167" s="274"/>
      <c r="AG167" s="274"/>
      <c r="AH167" s="171"/>
      <c r="AI167" s="4"/>
      <c r="AJ167" s="39"/>
      <c r="AK167" s="39"/>
      <c r="AL167" s="118"/>
      <c r="AM167" s="152"/>
      <c r="AN167" s="181"/>
      <c r="AO167" s="131"/>
      <c r="AP167" s="131"/>
      <c r="AQ167" s="39"/>
      <c r="AR167" s="274"/>
      <c r="AS167" s="274"/>
      <c r="AT167" s="274"/>
      <c r="AU167" s="39"/>
      <c r="AV167" s="39"/>
      <c r="AW167" s="39"/>
      <c r="AX167" s="274"/>
      <c r="AY167" s="274"/>
      <c r="AZ167" s="274"/>
      <c r="BA167" s="39"/>
      <c r="BB167" s="62"/>
      <c r="BC167" s="39"/>
      <c r="BD167" s="274"/>
      <c r="BE167" s="274"/>
      <c r="BF167" s="274"/>
      <c r="BG167" s="39"/>
      <c r="BH167" s="39"/>
      <c r="BI167" s="39"/>
      <c r="BJ167" s="274">
        <v>7100</v>
      </c>
      <c r="BK167" s="274">
        <f t="shared" si="66"/>
        <v>1349</v>
      </c>
      <c r="BL167" s="274">
        <f t="shared" si="67"/>
        <v>8449</v>
      </c>
      <c r="BM167" s="214" t="s">
        <v>445</v>
      </c>
      <c r="BN167" s="213" t="s">
        <v>3305</v>
      </c>
      <c r="BO167" s="39"/>
      <c r="BP167" s="274">
        <v>6800</v>
      </c>
      <c r="BQ167" s="274">
        <f t="shared" si="64"/>
        <v>1292</v>
      </c>
      <c r="BR167" s="274">
        <f t="shared" si="65"/>
        <v>8092</v>
      </c>
      <c r="BS167" s="39"/>
      <c r="BT167" s="39"/>
      <c r="BU167" s="39"/>
      <c r="BV167" s="219">
        <v>8140.1216000000013</v>
      </c>
      <c r="BW167" s="219">
        <f t="shared" si="68"/>
        <v>1546.6231040000002</v>
      </c>
      <c r="BX167" s="273">
        <f t="shared" si="69"/>
        <v>9686.7447040000006</v>
      </c>
      <c r="BY167" s="214" t="s">
        <v>445</v>
      </c>
      <c r="BZ167" s="213" t="s">
        <v>3305</v>
      </c>
      <c r="CA167" s="213"/>
      <c r="CB167" s="274"/>
      <c r="CC167" s="274"/>
      <c r="CD167" s="274"/>
      <c r="CE167" s="39"/>
      <c r="CF167" s="39"/>
      <c r="CG167" s="39"/>
      <c r="CH167" s="274"/>
      <c r="CI167" s="274"/>
      <c r="CJ167" s="274"/>
      <c r="CK167" s="39"/>
      <c r="CL167" s="39"/>
      <c r="CM167" s="39"/>
      <c r="CN167" s="39"/>
      <c r="CO167" s="39"/>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274"/>
      <c r="DM167" s="274"/>
      <c r="DN167" s="274"/>
      <c r="DO167" s="274"/>
      <c r="DP167" s="274"/>
      <c r="DQ167" s="274"/>
      <c r="DR167" s="274"/>
      <c r="DS167" s="274"/>
      <c r="DT167" s="274"/>
      <c r="DU167" s="274"/>
      <c r="DV167" s="274"/>
      <c r="DW167" s="274"/>
      <c r="DX167" s="274"/>
      <c r="DY167" s="274"/>
      <c r="DZ167" s="274"/>
      <c r="EA167" s="274"/>
      <c r="EB167" s="274"/>
      <c r="EC167" s="274"/>
      <c r="ED167" s="39">
        <f t="shared" si="52"/>
        <v>41387.452204000001</v>
      </c>
      <c r="EE167" s="30">
        <f t="shared" si="53"/>
        <v>6</v>
      </c>
      <c r="EF167" s="39">
        <f t="shared" si="54"/>
        <v>6897.9087006666668</v>
      </c>
    </row>
    <row r="168" spans="1:136" ht="24" x14ac:dyDescent="0.25">
      <c r="A168" s="25" t="e">
        <f>#REF!</f>
        <v>#REF!</v>
      </c>
      <c r="B168" s="50" t="e">
        <f>#REF!</f>
        <v>#REF!</v>
      </c>
      <c r="C168" s="5" t="e">
        <f>#REF!</f>
        <v>#REF!</v>
      </c>
      <c r="D168" s="5" t="e">
        <f>#REF!</f>
        <v>#REF!</v>
      </c>
      <c r="E168" s="252">
        <v>1</v>
      </c>
      <c r="F168" s="249">
        <v>198730</v>
      </c>
      <c r="G168" s="249">
        <v>192661</v>
      </c>
      <c r="H168" s="249">
        <v>0</v>
      </c>
      <c r="I168" s="249">
        <v>0</v>
      </c>
      <c r="J168" s="249">
        <v>340709.09833333333</v>
      </c>
      <c r="K168" s="249">
        <v>236810</v>
      </c>
      <c r="L168" s="274">
        <f>AVERAGE(F168,J168)</f>
        <v>269719.54916666669</v>
      </c>
      <c r="M168" s="274">
        <f>AVERAGE(G168,K168)*E1</f>
        <v>221177.565</v>
      </c>
      <c r="N168" s="255"/>
      <c r="O168" s="135"/>
      <c r="P168" s="135"/>
      <c r="Q168" s="131"/>
      <c r="R168" s="131"/>
      <c r="S168" s="11"/>
      <c r="T168" s="274">
        <f>(51700/16)*5</f>
        <v>16156.25</v>
      </c>
      <c r="U168" s="274">
        <f>+T168*0.19</f>
        <v>3069.6875</v>
      </c>
      <c r="V168" s="274">
        <f>+T168+U168</f>
        <v>19225.9375</v>
      </c>
      <c r="W168" s="39" t="s">
        <v>4777</v>
      </c>
      <c r="X168" s="11" t="s">
        <v>164</v>
      </c>
      <c r="Y168" s="11"/>
      <c r="Z168" s="274"/>
      <c r="AA168" s="274"/>
      <c r="AB168" s="274"/>
      <c r="AC168" s="55"/>
      <c r="AD168" s="22"/>
      <c r="AE168" s="39"/>
      <c r="AF168" s="274"/>
      <c r="AG168" s="274"/>
      <c r="AH168" s="173"/>
      <c r="AI168" s="4"/>
      <c r="AJ168" s="39"/>
      <c r="AK168" s="39"/>
      <c r="AL168" s="118"/>
      <c r="AM168" s="152"/>
      <c r="AN168" s="181"/>
      <c r="AO168" s="131"/>
      <c r="AP168" s="131"/>
      <c r="AQ168" s="39"/>
      <c r="AR168" s="274"/>
      <c r="AS168" s="274"/>
      <c r="AT168" s="274"/>
      <c r="AU168" s="39"/>
      <c r="AV168" s="39"/>
      <c r="AW168" s="39"/>
      <c r="AX168" s="274"/>
      <c r="AY168" s="274"/>
      <c r="AZ168" s="274"/>
      <c r="BA168" s="39"/>
      <c r="BB168" s="62"/>
      <c r="BC168" s="39"/>
      <c r="BD168" s="274"/>
      <c r="BE168" s="274"/>
      <c r="BF168" s="274"/>
      <c r="BG168" s="39"/>
      <c r="BH168" s="39"/>
      <c r="BI168" s="39"/>
      <c r="BJ168" s="274">
        <v>339800</v>
      </c>
      <c r="BK168" s="274">
        <f t="shared" si="66"/>
        <v>64562</v>
      </c>
      <c r="BL168" s="274">
        <f t="shared" si="67"/>
        <v>404362</v>
      </c>
      <c r="BM168" s="214" t="s">
        <v>3302</v>
      </c>
      <c r="BN168" s="213" t="s">
        <v>338</v>
      </c>
      <c r="BO168" s="39"/>
      <c r="BP168" s="274">
        <v>198000</v>
      </c>
      <c r="BQ168" s="274">
        <f t="shared" si="64"/>
        <v>37620</v>
      </c>
      <c r="BR168" s="274">
        <f t="shared" si="65"/>
        <v>235620</v>
      </c>
      <c r="BS168" s="39"/>
      <c r="BT168" s="39"/>
      <c r="BU168" s="39"/>
      <c r="BV168" s="212">
        <v>378341.47520000004</v>
      </c>
      <c r="BW168" s="219">
        <f t="shared" si="68"/>
        <v>71884.880288000015</v>
      </c>
      <c r="BX168" s="273">
        <f t="shared" si="69"/>
        <v>450226.35548800009</v>
      </c>
      <c r="BY168" s="214" t="s">
        <v>3302</v>
      </c>
      <c r="BZ168" s="213" t="s">
        <v>338</v>
      </c>
      <c r="CA168" s="213"/>
      <c r="CB168" s="274"/>
      <c r="CC168" s="274"/>
      <c r="CD168" s="274"/>
      <c r="CE168" s="39"/>
      <c r="CF168" s="39"/>
      <c r="CG168" s="39"/>
      <c r="CH168" s="274"/>
      <c r="CI168" s="274"/>
      <c r="CJ168" s="274"/>
      <c r="CK168" s="39"/>
      <c r="CL168" s="39"/>
      <c r="CM168" s="39"/>
      <c r="CN168" s="39"/>
      <c r="CO168" s="39"/>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274"/>
      <c r="DM168" s="274"/>
      <c r="DN168" s="274"/>
      <c r="DO168" s="274"/>
      <c r="DP168" s="274"/>
      <c r="DQ168" s="274"/>
      <c r="DR168" s="274"/>
      <c r="DS168" s="274"/>
      <c r="DT168" s="274"/>
      <c r="DU168" s="274"/>
      <c r="DV168" s="274"/>
      <c r="DW168" s="274"/>
      <c r="DX168" s="274"/>
      <c r="DY168" s="274"/>
      <c r="DZ168" s="274"/>
      <c r="EA168" s="274"/>
      <c r="EB168" s="274"/>
      <c r="EC168" s="274"/>
      <c r="ED168" s="39">
        <f t="shared" si="52"/>
        <v>1330611.8579879999</v>
      </c>
      <c r="EE168" s="30">
        <f t="shared" si="53"/>
        <v>5</v>
      </c>
      <c r="EF168" s="39">
        <f t="shared" si="54"/>
        <v>266122.37159759999</v>
      </c>
    </row>
    <row r="169" spans="1:136" x14ac:dyDescent="0.25">
      <c r="A169" s="25" t="e">
        <f>#REF!</f>
        <v>#REF!</v>
      </c>
      <c r="B169" s="50" t="e">
        <f>#REF!</f>
        <v>#REF!</v>
      </c>
      <c r="C169" s="5" t="e">
        <f>#REF!</f>
        <v>#REF!</v>
      </c>
      <c r="D169" s="5" t="e">
        <f>#REF!</f>
        <v>#REF!</v>
      </c>
      <c r="E169" s="252">
        <v>1</v>
      </c>
      <c r="F169" s="249">
        <v>4700.5</v>
      </c>
      <c r="G169" s="249">
        <v>4522</v>
      </c>
      <c r="H169" s="249">
        <v>7473.2928199999997</v>
      </c>
      <c r="I169" s="249">
        <v>0</v>
      </c>
      <c r="J169" s="249">
        <v>9440.6666666666661</v>
      </c>
      <c r="K169" s="249">
        <v>0</v>
      </c>
      <c r="L169" s="274">
        <f>AVERAGE(F169,H169,J169)</f>
        <v>7204.8198288888889</v>
      </c>
      <c r="M169" s="274">
        <f>G169*E1</f>
        <v>4657.66</v>
      </c>
      <c r="N169" s="255">
        <v>7500</v>
      </c>
      <c r="O169" s="135">
        <f>+N169*0.19</f>
        <v>1425</v>
      </c>
      <c r="P169" s="135">
        <f>+N169+O169</f>
        <v>8925</v>
      </c>
      <c r="Q169" s="131"/>
      <c r="R169" s="131"/>
      <c r="S169" s="11"/>
      <c r="T169" s="274">
        <f>51700/16</f>
        <v>3231.25</v>
      </c>
      <c r="U169" s="274">
        <f>+T169*0.19</f>
        <v>613.9375</v>
      </c>
      <c r="V169" s="274">
        <f>+T169+U169</f>
        <v>3845.1875</v>
      </c>
      <c r="W169" s="39" t="s">
        <v>4777</v>
      </c>
      <c r="X169" s="11" t="s">
        <v>164</v>
      </c>
      <c r="Y169" s="11"/>
      <c r="Z169" s="274"/>
      <c r="AA169" s="274"/>
      <c r="AB169" s="274"/>
      <c r="AC169" s="55"/>
      <c r="AD169" s="22"/>
      <c r="AE169" s="39"/>
      <c r="AF169" s="274"/>
      <c r="AG169" s="274"/>
      <c r="AH169" s="173"/>
      <c r="AI169" s="4"/>
      <c r="AJ169" s="39"/>
      <c r="AK169" s="39"/>
      <c r="AL169" s="118"/>
      <c r="AM169" s="152"/>
      <c r="AN169" s="181"/>
      <c r="AO169" s="131"/>
      <c r="AP169" s="131"/>
      <c r="AQ169" s="39"/>
      <c r="AR169" s="274"/>
      <c r="AS169" s="274"/>
      <c r="AT169" s="274"/>
      <c r="AU169" s="39"/>
      <c r="AV169" s="39"/>
      <c r="AW169" s="39"/>
      <c r="AX169" s="274"/>
      <c r="AY169" s="274"/>
      <c r="AZ169" s="274"/>
      <c r="BA169" s="39"/>
      <c r="BB169" s="62"/>
      <c r="BC169" s="39"/>
      <c r="BD169" s="274"/>
      <c r="BE169" s="274"/>
      <c r="BF169" s="274"/>
      <c r="BG169" s="39"/>
      <c r="BH169" s="39"/>
      <c r="BI169" s="39"/>
      <c r="BJ169" s="274">
        <v>7300</v>
      </c>
      <c r="BK169" s="274">
        <f t="shared" si="66"/>
        <v>1387</v>
      </c>
      <c r="BL169" s="274">
        <f t="shared" si="67"/>
        <v>8687</v>
      </c>
      <c r="BM169" s="214" t="s">
        <v>445</v>
      </c>
      <c r="BN169" s="213" t="s">
        <v>3309</v>
      </c>
      <c r="BO169" s="39"/>
      <c r="BP169" s="274">
        <v>6800</v>
      </c>
      <c r="BQ169" s="274">
        <f t="shared" si="64"/>
        <v>1292</v>
      </c>
      <c r="BR169" s="274">
        <f t="shared" si="65"/>
        <v>8092</v>
      </c>
      <c r="BS169" s="39"/>
      <c r="BT169" s="39"/>
      <c r="BU169" s="39"/>
      <c r="BV169" s="219">
        <v>8687.4526000000005</v>
      </c>
      <c r="BW169" s="219">
        <f t="shared" si="68"/>
        <v>1650.6159940000002</v>
      </c>
      <c r="BX169" s="273">
        <f t="shared" si="69"/>
        <v>10338.068594</v>
      </c>
      <c r="BY169" s="214" t="s">
        <v>445</v>
      </c>
      <c r="BZ169" s="213" t="s">
        <v>3309</v>
      </c>
      <c r="CA169" s="213"/>
      <c r="CB169" s="274"/>
      <c r="CC169" s="274"/>
      <c r="CD169" s="274"/>
      <c r="CE169" s="39"/>
      <c r="CF169" s="39"/>
      <c r="CG169" s="39"/>
      <c r="CH169" s="274"/>
      <c r="CI169" s="274"/>
      <c r="CJ169" s="274"/>
      <c r="CK169" s="39"/>
      <c r="CL169" s="39"/>
      <c r="CM169" s="39"/>
      <c r="CN169" s="39"/>
      <c r="CO169" s="39"/>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274"/>
      <c r="DM169" s="274"/>
      <c r="DN169" s="274"/>
      <c r="DO169" s="274"/>
      <c r="DP169" s="274"/>
      <c r="DQ169" s="274"/>
      <c r="DR169" s="274"/>
      <c r="DS169" s="274"/>
      <c r="DT169" s="274"/>
      <c r="DU169" s="274"/>
      <c r="DV169" s="274"/>
      <c r="DW169" s="274"/>
      <c r="DX169" s="274"/>
      <c r="DY169" s="274"/>
      <c r="DZ169" s="274"/>
      <c r="EA169" s="274"/>
      <c r="EB169" s="274"/>
      <c r="EC169" s="274"/>
      <c r="ED169" s="39">
        <f t="shared" si="52"/>
        <v>44544.916094</v>
      </c>
      <c r="EE169" s="30">
        <f t="shared" si="53"/>
        <v>6</v>
      </c>
      <c r="EF169" s="39">
        <f t="shared" si="54"/>
        <v>7424.1526823333334</v>
      </c>
    </row>
    <row r="170" spans="1:136" x14ac:dyDescent="0.25">
      <c r="A170" s="25" t="e">
        <f>#REF!</f>
        <v>#REF!</v>
      </c>
      <c r="B170" s="50" t="e">
        <f>#REF!</f>
        <v>#REF!</v>
      </c>
      <c r="C170" s="5" t="e">
        <f>#REF!</f>
        <v>#REF!</v>
      </c>
      <c r="D170" s="5" t="e">
        <f>#REF!</f>
        <v>#REF!</v>
      </c>
      <c r="E170" s="252">
        <v>1</v>
      </c>
      <c r="F170" s="249">
        <v>21563.395</v>
      </c>
      <c r="G170" s="249">
        <v>0</v>
      </c>
      <c r="H170" s="249">
        <v>14399.154699999999</v>
      </c>
      <c r="I170" s="249">
        <v>0</v>
      </c>
      <c r="J170" s="249">
        <v>49792.508888888893</v>
      </c>
      <c r="K170" s="249">
        <v>47600</v>
      </c>
      <c r="L170" s="274">
        <f>AVERAGE(F170,H170,J170)</f>
        <v>28585.019529629633</v>
      </c>
      <c r="M170" s="274">
        <f>K170*E1</f>
        <v>49028</v>
      </c>
      <c r="N170" s="255"/>
      <c r="O170" s="135"/>
      <c r="P170" s="135"/>
      <c r="Q170" s="131"/>
      <c r="R170" s="131"/>
      <c r="S170" s="11"/>
      <c r="T170" s="274">
        <f>51700/16</f>
        <v>3231.25</v>
      </c>
      <c r="U170" s="274">
        <f>+T170*0.19</f>
        <v>613.9375</v>
      </c>
      <c r="V170" s="274">
        <f>+T170+U170</f>
        <v>3845.1875</v>
      </c>
      <c r="W170" s="39" t="s">
        <v>4777</v>
      </c>
      <c r="X170" s="11" t="s">
        <v>164</v>
      </c>
      <c r="Y170" s="11"/>
      <c r="Z170" s="274"/>
      <c r="AA170" s="274"/>
      <c r="AB170" s="274"/>
      <c r="AC170" s="55"/>
      <c r="AD170" s="22"/>
      <c r="AE170" s="39"/>
      <c r="AF170" s="274"/>
      <c r="AG170" s="274"/>
      <c r="AH170" s="173"/>
      <c r="AI170" s="4"/>
      <c r="AJ170" s="39"/>
      <c r="AK170" s="39"/>
      <c r="AL170" s="118"/>
      <c r="AM170" s="152"/>
      <c r="AN170" s="181"/>
      <c r="AO170" s="131"/>
      <c r="AP170" s="131"/>
      <c r="AQ170" s="39"/>
      <c r="AR170" s="274"/>
      <c r="AS170" s="274"/>
      <c r="AT170" s="274"/>
      <c r="AU170" s="39"/>
      <c r="AV170" s="39"/>
      <c r="AW170" s="39"/>
      <c r="AX170" s="274"/>
      <c r="AY170" s="274"/>
      <c r="AZ170" s="274"/>
      <c r="BA170" s="39"/>
      <c r="BB170" s="62"/>
      <c r="BC170" s="39"/>
      <c r="BD170" s="274"/>
      <c r="BE170" s="274"/>
      <c r="BF170" s="274"/>
      <c r="BG170" s="39"/>
      <c r="BH170" s="39"/>
      <c r="BI170" s="39"/>
      <c r="BJ170" s="274">
        <v>13600</v>
      </c>
      <c r="BK170" s="274">
        <f t="shared" si="66"/>
        <v>2584</v>
      </c>
      <c r="BL170" s="274">
        <f t="shared" si="67"/>
        <v>16184</v>
      </c>
      <c r="BM170" s="214" t="s">
        <v>445</v>
      </c>
      <c r="BN170" s="213" t="s">
        <v>164</v>
      </c>
      <c r="BO170" s="39"/>
      <c r="BP170" s="274">
        <v>136000</v>
      </c>
      <c r="BQ170" s="274">
        <f t="shared" si="64"/>
        <v>25840</v>
      </c>
      <c r="BR170" s="274">
        <f t="shared" si="65"/>
        <v>161840</v>
      </c>
      <c r="BS170" s="39"/>
      <c r="BT170" s="39"/>
      <c r="BU170" s="39"/>
      <c r="BV170" s="219">
        <v>15585.192000000001</v>
      </c>
      <c r="BW170" s="219">
        <f t="shared" si="68"/>
        <v>2961.1864800000003</v>
      </c>
      <c r="BX170" s="273">
        <f t="shared" si="69"/>
        <v>18546.378479999999</v>
      </c>
      <c r="BY170" s="214" t="s">
        <v>445</v>
      </c>
      <c r="BZ170" s="213" t="s">
        <v>164</v>
      </c>
      <c r="CA170" s="213"/>
      <c r="CB170" s="274"/>
      <c r="CC170" s="274"/>
      <c r="CD170" s="274"/>
      <c r="CE170" s="39"/>
      <c r="CF170" s="39"/>
      <c r="CG170" s="39"/>
      <c r="CH170" s="274"/>
      <c r="CI170" s="274"/>
      <c r="CJ170" s="274"/>
      <c r="CK170" s="39"/>
      <c r="CL170" s="39"/>
      <c r="CM170" s="39"/>
      <c r="CN170" s="39"/>
      <c r="CO170" s="39"/>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274"/>
      <c r="DM170" s="274"/>
      <c r="DN170" s="274"/>
      <c r="DO170" s="274"/>
      <c r="DP170" s="274"/>
      <c r="DQ170" s="274"/>
      <c r="DR170" s="274"/>
      <c r="DS170" s="274"/>
      <c r="DT170" s="274"/>
      <c r="DU170" s="274"/>
      <c r="DV170" s="274"/>
      <c r="DW170" s="274"/>
      <c r="DX170" s="274"/>
      <c r="DY170" s="274"/>
      <c r="DZ170" s="274"/>
      <c r="EA170" s="274"/>
      <c r="EB170" s="274"/>
      <c r="EC170" s="274"/>
      <c r="ED170" s="39">
        <f t="shared" si="52"/>
        <v>249443.56598000001</v>
      </c>
      <c r="EE170" s="30">
        <f t="shared" si="53"/>
        <v>5</v>
      </c>
      <c r="EF170" s="39">
        <f t="shared" si="54"/>
        <v>49888.713196000004</v>
      </c>
    </row>
    <row r="171" spans="1:136" ht="36" x14ac:dyDescent="0.25">
      <c r="A171" s="25" t="e">
        <f>#REF!</f>
        <v>#REF!</v>
      </c>
      <c r="B171" s="50" t="e">
        <f>#REF!</f>
        <v>#REF!</v>
      </c>
      <c r="C171" s="5" t="e">
        <f>#REF!</f>
        <v>#REF!</v>
      </c>
      <c r="D171" s="5" t="e">
        <f>#REF!</f>
        <v>#REF!</v>
      </c>
      <c r="E171" s="252">
        <v>1</v>
      </c>
      <c r="F171" s="249">
        <v>9044</v>
      </c>
      <c r="G171" s="249">
        <v>8687</v>
      </c>
      <c r="H171" s="249">
        <v>7925.4928199999995</v>
      </c>
      <c r="I171" s="249">
        <v>0</v>
      </c>
      <c r="J171" s="249">
        <v>11291.777777777779</v>
      </c>
      <c r="K171" s="249">
        <v>0</v>
      </c>
      <c r="L171" s="274">
        <f>AVERAGE(F171,H171,J171)</f>
        <v>9420.4235325925929</v>
      </c>
      <c r="M171" s="274">
        <f>G171*E1</f>
        <v>8947.61</v>
      </c>
      <c r="N171" s="255">
        <v>6000</v>
      </c>
      <c r="O171" s="135">
        <f>+N171*0.19</f>
        <v>1140</v>
      </c>
      <c r="P171" s="135">
        <f>+N171+O171</f>
        <v>7140</v>
      </c>
      <c r="Q171" s="131"/>
      <c r="R171" s="131"/>
      <c r="S171" s="11"/>
      <c r="T171" s="274">
        <f>51700/16</f>
        <v>3231.25</v>
      </c>
      <c r="U171" s="274">
        <f>+T171*0.19</f>
        <v>613.9375</v>
      </c>
      <c r="V171" s="274">
        <f>+T171+U171</f>
        <v>3845.1875</v>
      </c>
      <c r="W171" s="39" t="s">
        <v>4777</v>
      </c>
      <c r="X171" s="11" t="s">
        <v>164</v>
      </c>
      <c r="Y171" s="11"/>
      <c r="Z171" s="274"/>
      <c r="AA171" s="274"/>
      <c r="AB171" s="274"/>
      <c r="AC171" s="52"/>
      <c r="AD171" s="22"/>
      <c r="AE171" s="39"/>
      <c r="AF171" s="274"/>
      <c r="AG171" s="274"/>
      <c r="AH171" s="171"/>
      <c r="AI171" s="4"/>
      <c r="AJ171" s="39"/>
      <c r="AK171" s="39"/>
      <c r="AL171" s="118"/>
      <c r="AM171" s="152"/>
      <c r="AN171" s="181"/>
      <c r="AO171" s="131"/>
      <c r="AP171" s="131"/>
      <c r="AQ171" s="39"/>
      <c r="AR171" s="274"/>
      <c r="AS171" s="274"/>
      <c r="AT171" s="274"/>
      <c r="AU171" s="39"/>
      <c r="AV171" s="39"/>
      <c r="AW171" s="39"/>
      <c r="AX171" s="274"/>
      <c r="AY171" s="274"/>
      <c r="AZ171" s="274"/>
      <c r="BA171" s="39"/>
      <c r="BB171" s="62"/>
      <c r="BC171" s="39"/>
      <c r="BD171" s="274"/>
      <c r="BE171" s="274"/>
      <c r="BF171" s="274"/>
      <c r="BG171" s="39"/>
      <c r="BH171" s="39"/>
      <c r="BI171" s="39"/>
      <c r="BJ171" s="274">
        <v>18900</v>
      </c>
      <c r="BK171" s="274">
        <f t="shared" si="66"/>
        <v>3591</v>
      </c>
      <c r="BL171" s="274">
        <f t="shared" si="67"/>
        <v>22491</v>
      </c>
      <c r="BM171" s="214" t="s">
        <v>445</v>
      </c>
      <c r="BN171" s="213" t="s">
        <v>469</v>
      </c>
      <c r="BO171" s="39"/>
      <c r="BP171" s="274">
        <v>6800</v>
      </c>
      <c r="BQ171" s="274">
        <f t="shared" si="64"/>
        <v>1292</v>
      </c>
      <c r="BR171" s="274">
        <f t="shared" si="65"/>
        <v>8092</v>
      </c>
      <c r="BS171" s="39"/>
      <c r="BT171" s="39"/>
      <c r="BU171" s="39"/>
      <c r="BV171" s="219">
        <v>21051.576000000001</v>
      </c>
      <c r="BW171" s="219">
        <f t="shared" si="68"/>
        <v>3999.7994400000002</v>
      </c>
      <c r="BX171" s="273">
        <f t="shared" si="69"/>
        <v>25051.37544</v>
      </c>
      <c r="BY171" s="214" t="s">
        <v>445</v>
      </c>
      <c r="BZ171" s="213" t="s">
        <v>469</v>
      </c>
      <c r="CA171" s="213"/>
      <c r="CB171" s="274"/>
      <c r="CC171" s="274"/>
      <c r="CD171" s="274"/>
      <c r="CE171" s="39"/>
      <c r="CF171" s="39"/>
      <c r="CG171" s="39"/>
      <c r="CH171" s="274"/>
      <c r="CI171" s="274"/>
      <c r="CJ171" s="274"/>
      <c r="CK171" s="39"/>
      <c r="CL171" s="39"/>
      <c r="CM171" s="39"/>
      <c r="CN171" s="39"/>
      <c r="CO171" s="39"/>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274"/>
      <c r="DM171" s="274"/>
      <c r="DN171" s="274"/>
      <c r="DO171" s="274"/>
      <c r="DP171" s="274"/>
      <c r="DQ171" s="274"/>
      <c r="DR171" s="274"/>
      <c r="DS171" s="274"/>
      <c r="DT171" s="274"/>
      <c r="DU171" s="274"/>
      <c r="DV171" s="274"/>
      <c r="DW171" s="274"/>
      <c r="DX171" s="274"/>
      <c r="DY171" s="274"/>
      <c r="DZ171" s="274"/>
      <c r="EA171" s="274"/>
      <c r="EB171" s="274"/>
      <c r="EC171" s="274"/>
      <c r="ED171" s="39">
        <f t="shared" si="52"/>
        <v>75567.172940000004</v>
      </c>
      <c r="EE171" s="30">
        <f t="shared" si="53"/>
        <v>6</v>
      </c>
      <c r="EF171" s="39">
        <f t="shared" si="54"/>
        <v>12594.528823333334</v>
      </c>
    </row>
    <row r="172" spans="1:136" x14ac:dyDescent="0.25">
      <c r="A172" s="25" t="e">
        <f>#REF!</f>
        <v>#REF!</v>
      </c>
      <c r="B172" s="50" t="e">
        <f>#REF!</f>
        <v>#REF!</v>
      </c>
      <c r="C172" s="5" t="e">
        <f>#REF!</f>
        <v>#REF!</v>
      </c>
      <c r="D172" s="5" t="e">
        <f>#REF!</f>
        <v>#REF!</v>
      </c>
      <c r="E172" s="252">
        <v>1</v>
      </c>
      <c r="F172" s="249">
        <v>0</v>
      </c>
      <c r="G172" s="249">
        <v>0</v>
      </c>
      <c r="H172" s="249">
        <v>0</v>
      </c>
      <c r="I172" s="249">
        <v>0</v>
      </c>
      <c r="J172" s="249">
        <v>0</v>
      </c>
      <c r="K172" s="249">
        <v>0</v>
      </c>
      <c r="L172" s="274"/>
      <c r="M172" s="274"/>
      <c r="N172" s="255">
        <v>130000</v>
      </c>
      <c r="O172" s="135">
        <f>+N172*0.19</f>
        <v>24700</v>
      </c>
      <c r="P172" s="135">
        <f>+N172+O172</f>
        <v>154700</v>
      </c>
      <c r="Q172" s="131"/>
      <c r="R172" s="131"/>
      <c r="S172" s="11"/>
      <c r="T172" s="274"/>
      <c r="U172" s="274"/>
      <c r="V172" s="274"/>
      <c r="W172" s="39"/>
      <c r="X172" s="11"/>
      <c r="Y172" s="11"/>
      <c r="Z172" s="274"/>
      <c r="AA172" s="274"/>
      <c r="AB172" s="274"/>
      <c r="AC172" s="55"/>
      <c r="AD172" s="23"/>
      <c r="AE172" s="39"/>
      <c r="AF172" s="274"/>
      <c r="AG172" s="274"/>
      <c r="AH172" s="173"/>
      <c r="AI172" s="24"/>
      <c r="AJ172" s="39"/>
      <c r="AK172" s="39"/>
      <c r="AL172" s="118"/>
      <c r="AM172" s="152"/>
      <c r="AN172" s="181"/>
      <c r="AO172" s="131"/>
      <c r="AP172" s="131"/>
      <c r="AQ172" s="39"/>
      <c r="AR172" s="274"/>
      <c r="AS172" s="274"/>
      <c r="AT172" s="274"/>
      <c r="AU172" s="39"/>
      <c r="AV172" s="39"/>
      <c r="AW172" s="39"/>
      <c r="AX172" s="274"/>
      <c r="AY172" s="274"/>
      <c r="AZ172" s="274"/>
      <c r="BA172" s="39"/>
      <c r="BB172" s="62"/>
      <c r="BC172" s="39"/>
      <c r="BD172" s="274"/>
      <c r="BE172" s="274"/>
      <c r="BF172" s="274"/>
      <c r="BG172" s="39"/>
      <c r="BH172" s="39"/>
      <c r="BI172" s="39"/>
      <c r="BJ172" s="274"/>
      <c r="BK172" s="274"/>
      <c r="BL172" s="274"/>
      <c r="BM172" s="213"/>
      <c r="BN172" s="213"/>
      <c r="BO172" s="39"/>
      <c r="BP172" s="274"/>
      <c r="BQ172" s="274"/>
      <c r="BR172" s="274"/>
      <c r="BS172" s="39"/>
      <c r="BT172" s="39"/>
      <c r="BU172" s="39"/>
      <c r="BV172" s="212"/>
      <c r="BW172" s="221"/>
      <c r="BX172" s="273"/>
      <c r="BY172" s="213"/>
      <c r="BZ172" s="213"/>
      <c r="CA172" s="213"/>
      <c r="CB172" s="274"/>
      <c r="CC172" s="274"/>
      <c r="CD172" s="274"/>
      <c r="CE172" s="39"/>
      <c r="CF172" s="39"/>
      <c r="CG172" s="39"/>
      <c r="CH172" s="274"/>
      <c r="CI172" s="274"/>
      <c r="CJ172" s="274"/>
      <c r="CK172" s="39"/>
      <c r="CL172" s="39"/>
      <c r="CM172" s="39"/>
      <c r="CN172" s="39"/>
      <c r="CO172" s="39"/>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274"/>
      <c r="DM172" s="274"/>
      <c r="DN172" s="274"/>
      <c r="DO172" s="274"/>
      <c r="DP172" s="274"/>
      <c r="DQ172" s="274"/>
      <c r="DR172" s="274"/>
      <c r="DS172" s="274"/>
      <c r="DT172" s="274"/>
      <c r="DU172" s="274"/>
      <c r="DV172" s="274"/>
      <c r="DW172" s="274"/>
      <c r="DX172" s="274"/>
      <c r="DY172" s="274"/>
      <c r="DZ172" s="274"/>
      <c r="EA172" s="274"/>
      <c r="EB172" s="274"/>
      <c r="EC172" s="274"/>
      <c r="ED172" s="39">
        <f t="shared" si="52"/>
        <v>154700</v>
      </c>
      <c r="EE172" s="30">
        <f t="shared" si="53"/>
        <v>1</v>
      </c>
      <c r="EF172" s="39">
        <f t="shared" si="54"/>
        <v>154700</v>
      </c>
    </row>
    <row r="173" spans="1:136" x14ac:dyDescent="0.25">
      <c r="A173" s="25" t="e">
        <f>#REF!</f>
        <v>#REF!</v>
      </c>
      <c r="B173" s="50" t="e">
        <f>#REF!</f>
        <v>#REF!</v>
      </c>
      <c r="C173" s="5" t="e">
        <f>#REF!</f>
        <v>#REF!</v>
      </c>
      <c r="D173" s="5" t="e">
        <f>#REF!</f>
        <v>#REF!</v>
      </c>
      <c r="E173" s="252">
        <v>1</v>
      </c>
      <c r="F173" s="249">
        <v>0</v>
      </c>
      <c r="G173" s="249">
        <v>0</v>
      </c>
      <c r="H173" s="249">
        <v>10591</v>
      </c>
      <c r="I173" s="249">
        <v>0</v>
      </c>
      <c r="J173" s="249">
        <v>26735.333333333332</v>
      </c>
      <c r="K173" s="249">
        <v>0</v>
      </c>
      <c r="L173" s="274">
        <f>AVERAGE(H173,J173)</f>
        <v>18663.166666666664</v>
      </c>
      <c r="M173" s="274"/>
      <c r="N173" s="255">
        <v>9000</v>
      </c>
      <c r="O173" s="135">
        <f>+N173*0.19</f>
        <v>1710</v>
      </c>
      <c r="P173" s="135">
        <f>+N173+O173</f>
        <v>10710</v>
      </c>
      <c r="Q173" s="131"/>
      <c r="R173" s="131"/>
      <c r="S173" s="11"/>
      <c r="T173" s="274"/>
      <c r="U173" s="274"/>
      <c r="V173" s="274"/>
      <c r="W173" s="39"/>
      <c r="X173" s="11"/>
      <c r="Y173" s="11"/>
      <c r="Z173" s="274"/>
      <c r="AA173" s="274"/>
      <c r="AB173" s="274"/>
      <c r="AC173" s="55"/>
      <c r="AD173" s="23"/>
      <c r="AE173" s="39"/>
      <c r="AF173" s="274"/>
      <c r="AG173" s="274"/>
      <c r="AH173" s="173"/>
      <c r="AI173" s="24"/>
      <c r="AJ173" s="39"/>
      <c r="AK173" s="39"/>
      <c r="AL173" s="118"/>
      <c r="AM173" s="152"/>
      <c r="AN173" s="181"/>
      <c r="AO173" s="131"/>
      <c r="AP173" s="131"/>
      <c r="AQ173" s="39"/>
      <c r="AR173" s="274"/>
      <c r="AS173" s="274"/>
      <c r="AT173" s="274"/>
      <c r="AU173" s="39"/>
      <c r="AV173" s="39"/>
      <c r="AW173" s="39"/>
      <c r="AX173" s="274"/>
      <c r="AY173" s="274"/>
      <c r="AZ173" s="274"/>
      <c r="BA173" s="39"/>
      <c r="BB173" s="62"/>
      <c r="BC173" s="39"/>
      <c r="BD173" s="274"/>
      <c r="BE173" s="274"/>
      <c r="BF173" s="274"/>
      <c r="BG173" s="39"/>
      <c r="BH173" s="39"/>
      <c r="BI173" s="39"/>
      <c r="BJ173" s="274"/>
      <c r="BK173" s="274"/>
      <c r="BL173" s="274"/>
      <c r="BM173" s="213"/>
      <c r="BN173" s="213"/>
      <c r="BO173" s="39"/>
      <c r="BP173" s="274">
        <v>36500</v>
      </c>
      <c r="BQ173" s="274">
        <f t="shared" ref="BQ173:BQ186" si="70">+BP173*19%</f>
        <v>6935</v>
      </c>
      <c r="BR173" s="274">
        <f t="shared" ref="BR173:BR186" si="71">+BQ173+BP173</f>
        <v>43435</v>
      </c>
      <c r="BS173" s="39"/>
      <c r="BT173" s="39"/>
      <c r="BU173" s="39"/>
      <c r="BV173" s="212"/>
      <c r="BW173" s="221"/>
      <c r="BX173" s="273"/>
      <c r="BY173" s="213"/>
      <c r="BZ173" s="213"/>
      <c r="CA173" s="213"/>
      <c r="CB173" s="274"/>
      <c r="CC173" s="274"/>
      <c r="CD173" s="274"/>
      <c r="CE173" s="39"/>
      <c r="CF173" s="39"/>
      <c r="CG173" s="39"/>
      <c r="CH173" s="274"/>
      <c r="CI173" s="274"/>
      <c r="CJ173" s="274"/>
      <c r="CK173" s="39"/>
      <c r="CL173" s="39"/>
      <c r="CM173" s="39"/>
      <c r="CN173" s="39"/>
      <c r="CO173" s="39"/>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274"/>
      <c r="DM173" s="274"/>
      <c r="DN173" s="274"/>
      <c r="DO173" s="274"/>
      <c r="DP173" s="274"/>
      <c r="DQ173" s="274"/>
      <c r="DR173" s="274"/>
      <c r="DS173" s="274"/>
      <c r="DT173" s="274"/>
      <c r="DU173" s="274"/>
      <c r="DV173" s="274"/>
      <c r="DW173" s="274"/>
      <c r="DX173" s="274"/>
      <c r="DY173" s="274"/>
      <c r="DZ173" s="274"/>
      <c r="EA173" s="274"/>
      <c r="EB173" s="274"/>
      <c r="EC173" s="274"/>
      <c r="ED173" s="39">
        <f t="shared" si="52"/>
        <v>54145</v>
      </c>
      <c r="EE173" s="30">
        <f t="shared" si="53"/>
        <v>2</v>
      </c>
      <c r="EF173" s="39">
        <f t="shared" si="54"/>
        <v>27072.5</v>
      </c>
    </row>
    <row r="174" spans="1:136" ht="36" x14ac:dyDescent="0.25">
      <c r="A174" s="25" t="e">
        <f>#REF!</f>
        <v>#REF!</v>
      </c>
      <c r="B174" s="50" t="e">
        <f>#REF!</f>
        <v>#REF!</v>
      </c>
      <c r="C174" s="5" t="e">
        <f>#REF!</f>
        <v>#REF!</v>
      </c>
      <c r="D174" s="5" t="e">
        <f>#REF!</f>
        <v>#REF!</v>
      </c>
      <c r="E174" s="252">
        <v>1</v>
      </c>
      <c r="F174" s="249">
        <v>420482.33500000002</v>
      </c>
      <c r="G174" s="249">
        <v>407813</v>
      </c>
      <c r="H174" s="249">
        <v>358951.44529999996</v>
      </c>
      <c r="I174" s="249">
        <v>358904</v>
      </c>
      <c r="J174" s="249">
        <v>428301.82500000001</v>
      </c>
      <c r="K174" s="249">
        <v>321300</v>
      </c>
      <c r="L174" s="274">
        <f>AVERAGE(F174,H174,J174)</f>
        <v>402578.53509999998</v>
      </c>
      <c r="M174" s="274">
        <f>AVERAGE(G174,I174,K174)*E1</f>
        <v>373552.5033333333</v>
      </c>
      <c r="N174" s="255"/>
      <c r="O174" s="135"/>
      <c r="P174" s="135"/>
      <c r="Q174" s="131"/>
      <c r="R174" s="131"/>
      <c r="S174" s="11"/>
      <c r="T174" s="274"/>
      <c r="U174" s="274"/>
      <c r="V174" s="274"/>
      <c r="W174" s="39"/>
      <c r="X174" s="11"/>
      <c r="Y174" s="11"/>
      <c r="Z174" s="274"/>
      <c r="AA174" s="274"/>
      <c r="AB174" s="274"/>
      <c r="AC174" s="55"/>
      <c r="AD174" s="23"/>
      <c r="AE174" s="39"/>
      <c r="AF174" s="274"/>
      <c r="AG174" s="274"/>
      <c r="AH174" s="173"/>
      <c r="AI174" s="24"/>
      <c r="AJ174" s="39"/>
      <c r="AK174" s="39"/>
      <c r="AL174" s="118"/>
      <c r="AM174" s="152"/>
      <c r="AN174" s="181"/>
      <c r="AO174" s="131"/>
      <c r="AP174" s="131"/>
      <c r="AQ174" s="39"/>
      <c r="AR174" s="274"/>
      <c r="AS174" s="274"/>
      <c r="AT174" s="274"/>
      <c r="AU174" s="39"/>
      <c r="AV174" s="39"/>
      <c r="AW174" s="39"/>
      <c r="AX174" s="274"/>
      <c r="AY174" s="274"/>
      <c r="AZ174" s="274"/>
      <c r="BA174" s="39"/>
      <c r="BB174" s="62"/>
      <c r="BC174" s="39"/>
      <c r="BD174" s="274"/>
      <c r="BE174" s="274"/>
      <c r="BF174" s="274"/>
      <c r="BG174" s="39"/>
      <c r="BH174" s="39"/>
      <c r="BI174" s="39"/>
      <c r="BJ174" s="274">
        <v>816800</v>
      </c>
      <c r="BK174" s="274">
        <f>+BJ174*0.19</f>
        <v>155192</v>
      </c>
      <c r="BL174" s="274">
        <f>+BJ174+BK174</f>
        <v>971992</v>
      </c>
      <c r="BM174" s="213" t="s">
        <v>4778</v>
      </c>
      <c r="BN174" s="213" t="s">
        <v>469</v>
      </c>
      <c r="BO174" s="39"/>
      <c r="BP174" s="274">
        <f>65000*24</f>
        <v>1560000</v>
      </c>
      <c r="BQ174" s="274">
        <f t="shared" si="70"/>
        <v>296400</v>
      </c>
      <c r="BR174" s="274">
        <f t="shared" si="71"/>
        <v>1856400</v>
      </c>
      <c r="BS174" s="39"/>
      <c r="BT174" s="39"/>
      <c r="BU174" s="39"/>
      <c r="BV174" s="219">
        <v>1000265.5320000002</v>
      </c>
      <c r="BW174" s="219">
        <f>+BV174*0.19</f>
        <v>190050.45108000006</v>
      </c>
      <c r="BX174" s="273">
        <f>+BV174+BW174</f>
        <v>1190315.9830800004</v>
      </c>
      <c r="BY174" s="213" t="s">
        <v>4778</v>
      </c>
      <c r="BZ174" s="213" t="s">
        <v>469</v>
      </c>
      <c r="CA174" s="213"/>
      <c r="CB174" s="274"/>
      <c r="CC174" s="274"/>
      <c r="CD174" s="274"/>
      <c r="CE174" s="39"/>
      <c r="CF174" s="39"/>
      <c r="CG174" s="39"/>
      <c r="CH174" s="274"/>
      <c r="CI174" s="274"/>
      <c r="CJ174" s="274"/>
      <c r="CK174" s="39"/>
      <c r="CL174" s="39"/>
      <c r="CM174" s="39"/>
      <c r="CN174" s="39"/>
      <c r="CO174" s="39"/>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274"/>
      <c r="DM174" s="274"/>
      <c r="DN174" s="274"/>
      <c r="DO174" s="274"/>
      <c r="DP174" s="274"/>
      <c r="DQ174" s="274"/>
      <c r="DR174" s="274"/>
      <c r="DS174" s="274"/>
      <c r="DT174" s="274"/>
      <c r="DU174" s="274"/>
      <c r="DV174" s="274"/>
      <c r="DW174" s="274"/>
      <c r="DX174" s="274"/>
      <c r="DY174" s="274"/>
      <c r="DZ174" s="274"/>
      <c r="EA174" s="274"/>
      <c r="EB174" s="274"/>
      <c r="EC174" s="274"/>
      <c r="ED174" s="39">
        <f t="shared" si="52"/>
        <v>4392260.4864133336</v>
      </c>
      <c r="EE174" s="30">
        <f t="shared" si="53"/>
        <v>4</v>
      </c>
      <c r="EF174" s="39">
        <f t="shared" si="54"/>
        <v>1098065.1216033334</v>
      </c>
    </row>
    <row r="175" spans="1:136" x14ac:dyDescent="0.25">
      <c r="A175" s="25" t="e">
        <f>#REF!</f>
        <v>#REF!</v>
      </c>
      <c r="B175" s="50" t="e">
        <f>#REF!</f>
        <v>#REF!</v>
      </c>
      <c r="C175" s="5" t="e">
        <f>#REF!</f>
        <v>#REF!</v>
      </c>
      <c r="D175" s="5" t="e">
        <f>#REF!</f>
        <v>#REF!</v>
      </c>
      <c r="E175" s="252">
        <v>1</v>
      </c>
      <c r="F175" s="249">
        <v>0</v>
      </c>
      <c r="G175" s="249">
        <v>0</v>
      </c>
      <c r="H175" s="249">
        <v>4840.875</v>
      </c>
      <c r="I175" s="249">
        <v>0</v>
      </c>
      <c r="J175" s="249">
        <v>7946.5555555555557</v>
      </c>
      <c r="K175" s="249">
        <v>7854</v>
      </c>
      <c r="L175" s="274">
        <f>AVERAGE(H175,J175)</f>
        <v>6393.7152777777774</v>
      </c>
      <c r="M175" s="274">
        <f>K175*E1</f>
        <v>8089.62</v>
      </c>
      <c r="N175" s="255">
        <v>4500</v>
      </c>
      <c r="O175" s="135">
        <f t="shared" ref="O175:O186" si="72">+N175*0.19</f>
        <v>855</v>
      </c>
      <c r="P175" s="135">
        <f t="shared" ref="P175:P186" si="73">+N175+O175</f>
        <v>5355</v>
      </c>
      <c r="Q175" s="131"/>
      <c r="R175" s="131"/>
      <c r="S175" s="11"/>
      <c r="T175" s="274"/>
      <c r="U175" s="274"/>
      <c r="V175" s="274"/>
      <c r="W175" s="39"/>
      <c r="X175" s="11"/>
      <c r="Y175" s="11"/>
      <c r="Z175" s="274"/>
      <c r="AA175" s="274"/>
      <c r="AB175" s="274"/>
      <c r="AC175" s="55"/>
      <c r="AD175" s="22"/>
      <c r="AE175" s="39"/>
      <c r="AF175" s="274"/>
      <c r="AG175" s="274"/>
      <c r="AH175" s="173"/>
      <c r="AI175" s="4"/>
      <c r="AJ175" s="39"/>
      <c r="AK175" s="39"/>
      <c r="AL175" s="118"/>
      <c r="AM175" s="152"/>
      <c r="AN175" s="181"/>
      <c r="AO175" s="131"/>
      <c r="AP175" s="131"/>
      <c r="AQ175" s="39"/>
      <c r="AR175" s="274"/>
      <c r="AS175" s="274"/>
      <c r="AT175" s="274"/>
      <c r="AU175" s="39"/>
      <c r="AV175" s="39"/>
      <c r="AW175" s="39"/>
      <c r="AX175" s="274"/>
      <c r="AY175" s="274"/>
      <c r="AZ175" s="274"/>
      <c r="BA175" s="39"/>
      <c r="BB175" s="62"/>
      <c r="BC175" s="39"/>
      <c r="BD175" s="274"/>
      <c r="BE175" s="274"/>
      <c r="BF175" s="274"/>
      <c r="BG175" s="39"/>
      <c r="BH175" s="39"/>
      <c r="BI175" s="39"/>
      <c r="BJ175" s="274"/>
      <c r="BK175" s="274"/>
      <c r="BL175" s="274"/>
      <c r="BM175" s="213"/>
      <c r="BN175" s="213"/>
      <c r="BO175" s="39"/>
      <c r="BP175" s="274">
        <v>6500</v>
      </c>
      <c r="BQ175" s="274">
        <f t="shared" si="70"/>
        <v>1235</v>
      </c>
      <c r="BR175" s="274">
        <f t="shared" si="71"/>
        <v>7735</v>
      </c>
      <c r="BS175" s="39"/>
      <c r="BT175" s="39"/>
      <c r="BU175" s="39"/>
      <c r="BV175" s="212"/>
      <c r="BW175" s="221"/>
      <c r="BX175" s="273"/>
      <c r="BY175" s="213"/>
      <c r="BZ175" s="213"/>
      <c r="CA175" s="213"/>
      <c r="CB175" s="274"/>
      <c r="CC175" s="274"/>
      <c r="CD175" s="274"/>
      <c r="CE175" s="39"/>
      <c r="CF175" s="39"/>
      <c r="CG175" s="39"/>
      <c r="CH175" s="274"/>
      <c r="CI175" s="274"/>
      <c r="CJ175" s="274"/>
      <c r="CK175" s="39"/>
      <c r="CL175" s="39"/>
      <c r="CM175" s="39"/>
      <c r="CN175" s="39"/>
      <c r="CO175" s="39"/>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274"/>
      <c r="DM175" s="274"/>
      <c r="DN175" s="274"/>
      <c r="DO175" s="274"/>
      <c r="DP175" s="274"/>
      <c r="DQ175" s="274"/>
      <c r="DR175" s="274"/>
      <c r="DS175" s="274"/>
      <c r="DT175" s="274"/>
      <c r="DU175" s="274"/>
      <c r="DV175" s="274"/>
      <c r="DW175" s="274"/>
      <c r="DX175" s="274"/>
      <c r="DY175" s="274"/>
      <c r="DZ175" s="274"/>
      <c r="EA175" s="274"/>
      <c r="EB175" s="274"/>
      <c r="EC175" s="274"/>
      <c r="ED175" s="39">
        <f t="shared" si="52"/>
        <v>21179.62</v>
      </c>
      <c r="EE175" s="30">
        <f t="shared" si="53"/>
        <v>3</v>
      </c>
      <c r="EF175" s="39">
        <f t="shared" si="54"/>
        <v>7059.873333333333</v>
      </c>
    </row>
    <row r="176" spans="1:136" ht="24" x14ac:dyDescent="0.25">
      <c r="A176" s="25" t="e">
        <f>#REF!</f>
        <v>#REF!</v>
      </c>
      <c r="B176" s="50" t="e">
        <f>#REF!</f>
        <v>#REF!</v>
      </c>
      <c r="C176" s="5" t="e">
        <f>#REF!</f>
        <v>#REF!</v>
      </c>
      <c r="D176" s="5" t="e">
        <f>#REF!</f>
        <v>#REF!</v>
      </c>
      <c r="E176" s="252">
        <v>1</v>
      </c>
      <c r="F176" s="249">
        <v>0</v>
      </c>
      <c r="G176" s="249">
        <v>0</v>
      </c>
      <c r="H176" s="249">
        <v>7228.333333333333</v>
      </c>
      <c r="I176" s="249">
        <v>7140</v>
      </c>
      <c r="J176" s="249">
        <v>8271.5</v>
      </c>
      <c r="K176" s="249">
        <v>8211</v>
      </c>
      <c r="L176" s="274">
        <f>AVERAGE(H176,J176)</f>
        <v>7749.9166666666661</v>
      </c>
      <c r="M176" s="274">
        <f>AVERAGE(I176,K176)*E1</f>
        <v>7905.7650000000003</v>
      </c>
      <c r="N176" s="255">
        <v>6800</v>
      </c>
      <c r="O176" s="135">
        <f t="shared" si="72"/>
        <v>1292</v>
      </c>
      <c r="P176" s="135">
        <f t="shared" si="73"/>
        <v>8092</v>
      </c>
      <c r="Q176" s="131"/>
      <c r="R176" s="131"/>
      <c r="S176" s="11"/>
      <c r="T176" s="274"/>
      <c r="U176" s="274"/>
      <c r="V176" s="274"/>
      <c r="W176" s="39"/>
      <c r="X176" s="11"/>
      <c r="Y176" s="11"/>
      <c r="Z176" s="274"/>
      <c r="AA176" s="274"/>
      <c r="AB176" s="274"/>
      <c r="AC176" s="55"/>
      <c r="AD176" s="22"/>
      <c r="AE176" s="39"/>
      <c r="AF176" s="274"/>
      <c r="AG176" s="274"/>
      <c r="AH176" s="173"/>
      <c r="AI176" s="4"/>
      <c r="AJ176" s="39"/>
      <c r="AK176" s="39"/>
      <c r="AL176" s="118"/>
      <c r="AM176" s="152"/>
      <c r="AN176" s="181"/>
      <c r="AO176" s="131"/>
      <c r="AP176" s="131"/>
      <c r="AQ176" s="39"/>
      <c r="AR176" s="274"/>
      <c r="AS176" s="274"/>
      <c r="AT176" s="274"/>
      <c r="AU176" s="39"/>
      <c r="AV176" s="39"/>
      <c r="AW176" s="39"/>
      <c r="AX176" s="274"/>
      <c r="AY176" s="274"/>
      <c r="AZ176" s="274"/>
      <c r="BA176" s="39"/>
      <c r="BB176" s="62"/>
      <c r="BC176" s="39"/>
      <c r="BD176" s="274"/>
      <c r="BE176" s="274"/>
      <c r="BF176" s="274"/>
      <c r="BG176" s="39"/>
      <c r="BH176" s="39"/>
      <c r="BI176" s="39"/>
      <c r="BJ176" s="274">
        <v>64200</v>
      </c>
      <c r="BK176" s="274">
        <f>+BJ176*0.19</f>
        <v>12198</v>
      </c>
      <c r="BL176" s="274">
        <f>+BJ176+BK176</f>
        <v>76398</v>
      </c>
      <c r="BM176" s="215" t="s">
        <v>3327</v>
      </c>
      <c r="BN176" s="213" t="s">
        <v>3325</v>
      </c>
      <c r="BO176" s="39"/>
      <c r="BP176" s="274">
        <v>6800</v>
      </c>
      <c r="BQ176" s="274">
        <f t="shared" si="70"/>
        <v>1292</v>
      </c>
      <c r="BR176" s="274">
        <f t="shared" si="71"/>
        <v>8092</v>
      </c>
      <c r="BS176" s="39"/>
      <c r="BT176" s="39"/>
      <c r="BU176" s="39"/>
      <c r="BV176" s="219">
        <v>72209.592000000004</v>
      </c>
      <c r="BW176" s="219">
        <f>+BV176*0.19</f>
        <v>13719.822480000001</v>
      </c>
      <c r="BX176" s="273">
        <f>+BV176+BW176</f>
        <v>85929.414480000007</v>
      </c>
      <c r="BY176" s="215" t="s">
        <v>3327</v>
      </c>
      <c r="BZ176" s="213" t="s">
        <v>3325</v>
      </c>
      <c r="CA176" s="213"/>
      <c r="CB176" s="274"/>
      <c r="CC176" s="274"/>
      <c r="CD176" s="274"/>
      <c r="CE176" s="39"/>
      <c r="CF176" s="39"/>
      <c r="CG176" s="39"/>
      <c r="CH176" s="274"/>
      <c r="CI176" s="274"/>
      <c r="CJ176" s="274"/>
      <c r="CK176" s="39"/>
      <c r="CL176" s="39"/>
      <c r="CM176" s="39"/>
      <c r="CN176" s="39"/>
      <c r="CO176" s="39"/>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274"/>
      <c r="DM176" s="274"/>
      <c r="DN176" s="274"/>
      <c r="DO176" s="274"/>
      <c r="DP176" s="274"/>
      <c r="DQ176" s="274"/>
      <c r="DR176" s="274"/>
      <c r="DS176" s="274"/>
      <c r="DT176" s="274"/>
      <c r="DU176" s="274"/>
      <c r="DV176" s="274"/>
      <c r="DW176" s="274"/>
      <c r="DX176" s="274"/>
      <c r="DY176" s="274"/>
      <c r="DZ176" s="274"/>
      <c r="EA176" s="274"/>
      <c r="EB176" s="274"/>
      <c r="EC176" s="274"/>
      <c r="ED176" s="39">
        <f t="shared" si="52"/>
        <v>186417.17947999999</v>
      </c>
      <c r="EE176" s="30">
        <f t="shared" si="53"/>
        <v>5</v>
      </c>
      <c r="EF176" s="39">
        <f t="shared" si="54"/>
        <v>37283.435895999995</v>
      </c>
    </row>
    <row r="177" spans="1:136" x14ac:dyDescent="0.25">
      <c r="A177" s="25" t="e">
        <f>#REF!</f>
        <v>#REF!</v>
      </c>
      <c r="B177" s="50" t="e">
        <f>#REF!</f>
        <v>#REF!</v>
      </c>
      <c r="C177" s="5" t="e">
        <f>#REF!</f>
        <v>#REF!</v>
      </c>
      <c r="D177" s="5" t="e">
        <f>#REF!</f>
        <v>#REF!</v>
      </c>
      <c r="E177" s="252">
        <v>1</v>
      </c>
      <c r="F177" s="249">
        <v>0</v>
      </c>
      <c r="G177" s="249">
        <v>0</v>
      </c>
      <c r="H177" s="249">
        <v>8131.666666666667</v>
      </c>
      <c r="I177" s="249">
        <v>7973</v>
      </c>
      <c r="J177" s="249">
        <v>13846.63777777778</v>
      </c>
      <c r="K177" s="249">
        <v>13804</v>
      </c>
      <c r="L177" s="274">
        <f>AVERAGE(H177,J177)</f>
        <v>10989.152222222223</v>
      </c>
      <c r="M177" s="274">
        <f>AVERAGE(I177,K177)*E1</f>
        <v>11215.155000000001</v>
      </c>
      <c r="N177" s="255">
        <v>8200</v>
      </c>
      <c r="O177" s="135">
        <f t="shared" si="72"/>
        <v>1558</v>
      </c>
      <c r="P177" s="135">
        <f t="shared" si="73"/>
        <v>9758</v>
      </c>
      <c r="Q177" s="131"/>
      <c r="R177" s="131"/>
      <c r="S177" s="11"/>
      <c r="T177" s="274"/>
      <c r="U177" s="274"/>
      <c r="V177" s="274"/>
      <c r="W177" s="39"/>
      <c r="X177" s="11"/>
      <c r="Y177" s="11"/>
      <c r="Z177" s="274"/>
      <c r="AA177" s="274"/>
      <c r="AB177" s="274"/>
      <c r="AC177" s="55"/>
      <c r="AD177" s="22"/>
      <c r="AE177" s="39"/>
      <c r="AF177" s="274"/>
      <c r="AG177" s="274"/>
      <c r="AH177" s="173"/>
      <c r="AI177" s="4"/>
      <c r="AJ177" s="39"/>
      <c r="AK177" s="39"/>
      <c r="AL177" s="118"/>
      <c r="AM177" s="152"/>
      <c r="AN177" s="181"/>
      <c r="AO177" s="131"/>
      <c r="AP177" s="131"/>
      <c r="AQ177" s="39"/>
      <c r="AR177" s="274"/>
      <c r="AS177" s="274"/>
      <c r="AT177" s="274"/>
      <c r="AU177" s="39"/>
      <c r="AV177" s="39"/>
      <c r="AW177" s="39"/>
      <c r="AX177" s="274"/>
      <c r="AY177" s="274"/>
      <c r="AZ177" s="274"/>
      <c r="BA177" s="39"/>
      <c r="BB177" s="62"/>
      <c r="BC177" s="39"/>
      <c r="BD177" s="274"/>
      <c r="BE177" s="274"/>
      <c r="BF177" s="274"/>
      <c r="BG177" s="39"/>
      <c r="BH177" s="39"/>
      <c r="BI177" s="39"/>
      <c r="BJ177" s="274"/>
      <c r="BK177" s="274"/>
      <c r="BL177" s="274"/>
      <c r="BM177" s="213"/>
      <c r="BN177" s="213"/>
      <c r="BO177" s="39"/>
      <c r="BP177" s="274">
        <v>7500</v>
      </c>
      <c r="BQ177" s="274">
        <f t="shared" si="70"/>
        <v>1425</v>
      </c>
      <c r="BR177" s="274">
        <f t="shared" si="71"/>
        <v>8925</v>
      </c>
      <c r="BS177" s="39"/>
      <c r="BT177" s="39"/>
      <c r="BU177" s="39"/>
      <c r="BV177" s="212"/>
      <c r="BW177" s="221"/>
      <c r="BX177" s="273"/>
      <c r="BY177" s="213"/>
      <c r="BZ177" s="213"/>
      <c r="CA177" s="213"/>
      <c r="CB177" s="274"/>
      <c r="CC177" s="274"/>
      <c r="CD177" s="274"/>
      <c r="CE177" s="39"/>
      <c r="CF177" s="39"/>
      <c r="CG177" s="39"/>
      <c r="CH177" s="274"/>
      <c r="CI177" s="274"/>
      <c r="CJ177" s="274"/>
      <c r="CK177" s="39"/>
      <c r="CL177" s="39"/>
      <c r="CM177" s="39"/>
      <c r="CN177" s="39"/>
      <c r="CO177" s="39"/>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274"/>
      <c r="DM177" s="274"/>
      <c r="DN177" s="274"/>
      <c r="DO177" s="274"/>
      <c r="DP177" s="274"/>
      <c r="DQ177" s="274"/>
      <c r="DR177" s="274"/>
      <c r="DS177" s="274"/>
      <c r="DT177" s="274"/>
      <c r="DU177" s="274"/>
      <c r="DV177" s="274"/>
      <c r="DW177" s="274"/>
      <c r="DX177" s="274"/>
      <c r="DY177" s="274"/>
      <c r="DZ177" s="274"/>
      <c r="EA177" s="274"/>
      <c r="EB177" s="274"/>
      <c r="EC177" s="274"/>
      <c r="ED177" s="39">
        <f t="shared" si="52"/>
        <v>29898.154999999999</v>
      </c>
      <c r="EE177" s="30">
        <f t="shared" si="53"/>
        <v>3</v>
      </c>
      <c r="EF177" s="39">
        <f t="shared" si="54"/>
        <v>9966.0516666666663</v>
      </c>
    </row>
    <row r="178" spans="1:136" ht="36" x14ac:dyDescent="0.25">
      <c r="A178" s="25" t="e">
        <f>#REF!</f>
        <v>#REF!</v>
      </c>
      <c r="B178" s="50" t="e">
        <f>#REF!</f>
        <v>#REF!</v>
      </c>
      <c r="C178" s="5" t="e">
        <f>#REF!</f>
        <v>#REF!</v>
      </c>
      <c r="D178" s="5" t="e">
        <f>#REF!</f>
        <v>#REF!</v>
      </c>
      <c r="E178" s="252">
        <v>1</v>
      </c>
      <c r="F178" s="249">
        <v>38444.933333333334</v>
      </c>
      <c r="G178" s="249">
        <v>37366</v>
      </c>
      <c r="H178" s="249">
        <v>34172.833333333336</v>
      </c>
      <c r="I178" s="249">
        <v>34034</v>
      </c>
      <c r="J178" s="249">
        <v>57676.324999999997</v>
      </c>
      <c r="K178" s="249">
        <v>32130</v>
      </c>
      <c r="L178" s="274">
        <f>AVERAGE(F178,H178,J178)</f>
        <v>43431.363888888889</v>
      </c>
      <c r="M178" s="274">
        <f>AVERAGE(G178,I178,K178)*E1</f>
        <v>35545.300000000003</v>
      </c>
      <c r="N178" s="255">
        <v>35000</v>
      </c>
      <c r="O178" s="135">
        <f t="shared" si="72"/>
        <v>6650</v>
      </c>
      <c r="P178" s="135">
        <f t="shared" si="73"/>
        <v>41650</v>
      </c>
      <c r="Q178" s="131"/>
      <c r="R178" s="131"/>
      <c r="S178" s="11"/>
      <c r="T178" s="274">
        <v>26400.000000000004</v>
      </c>
      <c r="U178" s="274">
        <f>+T178*0.19</f>
        <v>5016.0000000000009</v>
      </c>
      <c r="V178" s="274">
        <f>+T178+U178</f>
        <v>31416.000000000004</v>
      </c>
      <c r="W178" s="39" t="s">
        <v>510</v>
      </c>
      <c r="X178" s="11" t="s">
        <v>2948</v>
      </c>
      <c r="Y178" s="11"/>
      <c r="Z178" s="274"/>
      <c r="AA178" s="274"/>
      <c r="AB178" s="274"/>
      <c r="AC178" s="55"/>
      <c r="AD178" s="22"/>
      <c r="AE178" s="39"/>
      <c r="AF178" s="274"/>
      <c r="AG178" s="274"/>
      <c r="AH178" s="173"/>
      <c r="AI178" s="4"/>
      <c r="AJ178" s="39"/>
      <c r="AK178" s="39"/>
      <c r="AL178" s="118"/>
      <c r="AM178" s="152"/>
      <c r="AN178" s="181"/>
      <c r="AO178" s="131"/>
      <c r="AP178" s="131"/>
      <c r="AQ178" s="39"/>
      <c r="AR178" s="274"/>
      <c r="AS178" s="274"/>
      <c r="AT178" s="274"/>
      <c r="AU178" s="39"/>
      <c r="AV178" s="39"/>
      <c r="AW178" s="39"/>
      <c r="AX178" s="274"/>
      <c r="AY178" s="274"/>
      <c r="AZ178" s="274"/>
      <c r="BA178" s="39"/>
      <c r="BB178" s="62"/>
      <c r="BC178" s="39"/>
      <c r="BD178" s="274"/>
      <c r="BE178" s="274"/>
      <c r="BF178" s="274"/>
      <c r="BG178" s="39"/>
      <c r="BH178" s="39"/>
      <c r="BI178" s="39"/>
      <c r="BJ178" s="274">
        <v>66000</v>
      </c>
      <c r="BK178" s="274">
        <f>+BJ178*0.19</f>
        <v>12540</v>
      </c>
      <c r="BL178" s="274">
        <f>+BJ178+BK178</f>
        <v>78540</v>
      </c>
      <c r="BM178" s="214" t="s">
        <v>3324</v>
      </c>
      <c r="BN178" s="213" t="s">
        <v>469</v>
      </c>
      <c r="BO178" s="39"/>
      <c r="BP178" s="274">
        <v>38500</v>
      </c>
      <c r="BQ178" s="274">
        <f t="shared" si="70"/>
        <v>7315</v>
      </c>
      <c r="BR178" s="274">
        <f t="shared" si="71"/>
        <v>45815</v>
      </c>
      <c r="BS178" s="39"/>
      <c r="BT178" s="39"/>
      <c r="BU178" s="39"/>
      <c r="BV178" s="219">
        <v>74954.880000000005</v>
      </c>
      <c r="BW178" s="219">
        <f>+BV178*0.19</f>
        <v>14241.427200000002</v>
      </c>
      <c r="BX178" s="273">
        <f>+BV178+BW178</f>
        <v>89196.30720000001</v>
      </c>
      <c r="BY178" s="214" t="s">
        <v>3324</v>
      </c>
      <c r="BZ178" s="213" t="s">
        <v>469</v>
      </c>
      <c r="CA178" s="213"/>
      <c r="CB178" s="274"/>
      <c r="CC178" s="274"/>
      <c r="CD178" s="274"/>
      <c r="CE178" s="39"/>
      <c r="CF178" s="39"/>
      <c r="CG178" s="39"/>
      <c r="CH178" s="274"/>
      <c r="CI178" s="274"/>
      <c r="CJ178" s="274"/>
      <c r="CK178" s="39"/>
      <c r="CL178" s="39"/>
      <c r="CM178" s="39"/>
      <c r="CN178" s="39"/>
      <c r="CO178" s="39"/>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274"/>
      <c r="DM178" s="274"/>
      <c r="DN178" s="274"/>
      <c r="DO178" s="274"/>
      <c r="DP178" s="274"/>
      <c r="DQ178" s="274"/>
      <c r="DR178" s="274"/>
      <c r="DS178" s="274"/>
      <c r="DT178" s="274"/>
      <c r="DU178" s="274"/>
      <c r="DV178" s="274"/>
      <c r="DW178" s="274"/>
      <c r="DX178" s="274"/>
      <c r="DY178" s="274"/>
      <c r="DZ178" s="274"/>
      <c r="EA178" s="274"/>
      <c r="EB178" s="274"/>
      <c r="EC178" s="274"/>
      <c r="ED178" s="39">
        <f t="shared" si="52"/>
        <v>322162.60719999997</v>
      </c>
      <c r="EE178" s="30">
        <f t="shared" si="53"/>
        <v>6</v>
      </c>
      <c r="EF178" s="39">
        <f t="shared" si="54"/>
        <v>53693.767866666662</v>
      </c>
    </row>
    <row r="179" spans="1:136" x14ac:dyDescent="0.25">
      <c r="A179" s="25" t="e">
        <f>#REF!</f>
        <v>#REF!</v>
      </c>
      <c r="B179" s="50" t="e">
        <f>#REF!</f>
        <v>#REF!</v>
      </c>
      <c r="C179" s="5" t="e">
        <f>#REF!</f>
        <v>#REF!</v>
      </c>
      <c r="D179" s="225" t="e">
        <f>#REF!</f>
        <v>#REF!</v>
      </c>
      <c r="E179" s="252">
        <v>1</v>
      </c>
      <c r="F179" s="249">
        <v>66788.75</v>
      </c>
      <c r="G179" s="249">
        <v>64736</v>
      </c>
      <c r="H179" s="249">
        <v>41253.333333333336</v>
      </c>
      <c r="I179" s="249">
        <v>41174</v>
      </c>
      <c r="J179" s="249">
        <v>116336.78000000001</v>
      </c>
      <c r="K179" s="249">
        <v>45696</v>
      </c>
      <c r="L179" s="274">
        <f>AVERAGE(F179,H179,J179)</f>
        <v>74792.954444444447</v>
      </c>
      <c r="M179" s="274">
        <f>AVERAGE(G179,I179,K179)*E1</f>
        <v>52051.393333333341</v>
      </c>
      <c r="N179" s="255">
        <v>42000</v>
      </c>
      <c r="O179" s="135">
        <f t="shared" si="72"/>
        <v>7980</v>
      </c>
      <c r="P179" s="135">
        <f t="shared" si="73"/>
        <v>49980</v>
      </c>
      <c r="Q179" s="131"/>
      <c r="R179" s="131"/>
      <c r="S179" s="11"/>
      <c r="T179" s="274">
        <v>85800</v>
      </c>
      <c r="U179" s="274">
        <f>+T179*0.19</f>
        <v>16302</v>
      </c>
      <c r="V179" s="274">
        <f>+T179+U179</f>
        <v>102102</v>
      </c>
      <c r="W179" s="39" t="s">
        <v>4779</v>
      </c>
      <c r="X179" s="11" t="s">
        <v>45</v>
      </c>
      <c r="Y179" s="11"/>
      <c r="Z179" s="274"/>
      <c r="AA179" s="274"/>
      <c r="AB179" s="274"/>
      <c r="AC179" s="55"/>
      <c r="AD179" s="23"/>
      <c r="AE179" s="39"/>
      <c r="AF179" s="274"/>
      <c r="AG179" s="274"/>
      <c r="AH179" s="173"/>
      <c r="AI179" s="24"/>
      <c r="AJ179" s="39"/>
      <c r="AK179" s="39"/>
      <c r="AL179" s="118"/>
      <c r="AM179" s="152"/>
      <c r="AN179" s="181"/>
      <c r="AO179" s="131"/>
      <c r="AP179" s="131"/>
      <c r="AQ179" s="39"/>
      <c r="AR179" s="274"/>
      <c r="AS179" s="274"/>
      <c r="AT179" s="274"/>
      <c r="AU179" s="39"/>
      <c r="AV179" s="39"/>
      <c r="AW179" s="39"/>
      <c r="AX179" s="274"/>
      <c r="AY179" s="274"/>
      <c r="AZ179" s="274"/>
      <c r="BA179" s="39"/>
      <c r="BB179" s="62"/>
      <c r="BC179" s="39"/>
      <c r="BD179" s="274"/>
      <c r="BE179" s="274"/>
      <c r="BF179" s="274"/>
      <c r="BG179" s="39"/>
      <c r="BH179" s="39"/>
      <c r="BI179" s="39"/>
      <c r="BJ179" s="274">
        <v>92200</v>
      </c>
      <c r="BK179" s="274">
        <f>+BJ179*0.19</f>
        <v>17518</v>
      </c>
      <c r="BL179" s="274">
        <f>+BJ179+BK179</f>
        <v>109718</v>
      </c>
      <c r="BM179" s="213" t="s">
        <v>4738</v>
      </c>
      <c r="BN179" s="213" t="s">
        <v>3336</v>
      </c>
      <c r="BO179" s="39"/>
      <c r="BP179" s="274">
        <v>85600</v>
      </c>
      <c r="BQ179" s="274">
        <f t="shared" si="70"/>
        <v>16264</v>
      </c>
      <c r="BR179" s="274">
        <f t="shared" si="71"/>
        <v>101864</v>
      </c>
      <c r="BS179" s="39"/>
      <c r="BT179" s="39"/>
      <c r="BU179" s="39"/>
      <c r="BV179" s="219">
        <v>98783.817600000009</v>
      </c>
      <c r="BW179" s="219">
        <f>+BV179*0.19</f>
        <v>18768.925344000003</v>
      </c>
      <c r="BX179" s="273">
        <f>+BV179+BW179</f>
        <v>117552.74294400001</v>
      </c>
      <c r="BY179" s="213" t="s">
        <v>4738</v>
      </c>
      <c r="BZ179" s="213" t="s">
        <v>3336</v>
      </c>
      <c r="CA179" s="213"/>
      <c r="CB179" s="274"/>
      <c r="CC179" s="274"/>
      <c r="CD179" s="274"/>
      <c r="CE179" s="39"/>
      <c r="CF179" s="39"/>
      <c r="CG179" s="39"/>
      <c r="CH179" s="274"/>
      <c r="CI179" s="274"/>
      <c r="CJ179" s="274"/>
      <c r="CK179" s="39"/>
      <c r="CL179" s="39"/>
      <c r="CM179" s="39"/>
      <c r="CN179" s="39"/>
      <c r="CO179" s="39"/>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274"/>
      <c r="DM179" s="274"/>
      <c r="DN179" s="274"/>
      <c r="DO179" s="274"/>
      <c r="DP179" s="274"/>
      <c r="DQ179" s="274"/>
      <c r="DR179" s="274"/>
      <c r="DS179" s="274"/>
      <c r="DT179" s="274"/>
      <c r="DU179" s="274"/>
      <c r="DV179" s="274"/>
      <c r="DW179" s="274"/>
      <c r="DX179" s="274"/>
      <c r="DY179" s="274"/>
      <c r="DZ179" s="274"/>
      <c r="EA179" s="274"/>
      <c r="EB179" s="274"/>
      <c r="EC179" s="274"/>
      <c r="ED179" s="39">
        <f t="shared" si="52"/>
        <v>533268.13627733337</v>
      </c>
      <c r="EE179" s="30">
        <f t="shared" si="53"/>
        <v>6</v>
      </c>
      <c r="EF179" s="39">
        <f t="shared" si="54"/>
        <v>88878.022712888895</v>
      </c>
    </row>
    <row r="180" spans="1:136" x14ac:dyDescent="0.25">
      <c r="A180" s="25" t="e">
        <f>#REF!</f>
        <v>#REF!</v>
      </c>
      <c r="B180" s="50" t="e">
        <f>#REF!</f>
        <v>#REF!</v>
      </c>
      <c r="C180" s="5" t="e">
        <f>#REF!</f>
        <v>#REF!</v>
      </c>
      <c r="D180" s="225" t="e">
        <f>#REF!</f>
        <v>#REF!</v>
      </c>
      <c r="E180" s="252">
        <v>1</v>
      </c>
      <c r="F180" s="249">
        <v>203549.5</v>
      </c>
      <c r="G180" s="249">
        <v>0</v>
      </c>
      <c r="H180" s="249">
        <v>146072.5</v>
      </c>
      <c r="I180" s="249">
        <v>146013</v>
      </c>
      <c r="J180" s="249">
        <v>225826.43999999997</v>
      </c>
      <c r="K180" s="249">
        <v>45696</v>
      </c>
      <c r="L180" s="274">
        <f>AVERAGE(F180,H180,J180)</f>
        <v>191816.14666666664</v>
      </c>
      <c r="M180" s="274">
        <f>AVERAGE(I180,K180)*E1</f>
        <v>98730.135000000009</v>
      </c>
      <c r="N180" s="255">
        <v>150000</v>
      </c>
      <c r="O180" s="135">
        <f t="shared" si="72"/>
        <v>28500</v>
      </c>
      <c r="P180" s="135">
        <f t="shared" si="73"/>
        <v>178500</v>
      </c>
      <c r="Q180" s="131"/>
      <c r="R180" s="131"/>
      <c r="S180" s="11"/>
      <c r="T180" s="274">
        <v>107800.00000000001</v>
      </c>
      <c r="U180" s="274">
        <f>+T180*0.19</f>
        <v>20482.000000000004</v>
      </c>
      <c r="V180" s="274">
        <f>+T180+U180</f>
        <v>128282.00000000001</v>
      </c>
      <c r="W180" s="39" t="s">
        <v>2023</v>
      </c>
      <c r="X180" s="11" t="s">
        <v>88</v>
      </c>
      <c r="Y180" s="11"/>
      <c r="Z180" s="274"/>
      <c r="AA180" s="274"/>
      <c r="AB180" s="274"/>
      <c r="AC180" s="52"/>
      <c r="AD180" s="22"/>
      <c r="AE180" s="39"/>
      <c r="AF180" s="274"/>
      <c r="AG180" s="274"/>
      <c r="AH180" s="171"/>
      <c r="AI180" s="4"/>
      <c r="AJ180" s="39"/>
      <c r="AK180" s="39"/>
      <c r="AL180" s="118"/>
      <c r="AM180" s="152"/>
      <c r="AN180" s="181"/>
      <c r="AO180" s="131"/>
      <c r="AP180" s="131"/>
      <c r="AQ180" s="39"/>
      <c r="AR180" s="274"/>
      <c r="AS180" s="274"/>
      <c r="AT180" s="274"/>
      <c r="AU180" s="39"/>
      <c r="AV180" s="39"/>
      <c r="AW180" s="39"/>
      <c r="AX180" s="274"/>
      <c r="AY180" s="274"/>
      <c r="AZ180" s="274"/>
      <c r="BA180" s="39"/>
      <c r="BB180" s="62"/>
      <c r="BC180" s="39"/>
      <c r="BD180" s="274"/>
      <c r="BE180" s="274"/>
      <c r="BF180" s="274"/>
      <c r="BG180" s="39"/>
      <c r="BH180" s="39"/>
      <c r="BI180" s="39"/>
      <c r="BJ180" s="274">
        <v>598500</v>
      </c>
      <c r="BK180" s="274">
        <f>+BJ180*0.19</f>
        <v>113715</v>
      </c>
      <c r="BL180" s="274">
        <f>+BJ180+BK180</f>
        <v>712215</v>
      </c>
      <c r="BM180" s="213" t="s">
        <v>4738</v>
      </c>
      <c r="BN180" s="213" t="s">
        <v>2030</v>
      </c>
      <c r="BO180" s="39"/>
      <c r="BP180" s="274">
        <v>135000</v>
      </c>
      <c r="BQ180" s="274">
        <f t="shared" si="70"/>
        <v>25650</v>
      </c>
      <c r="BR180" s="274">
        <f t="shared" si="71"/>
        <v>160650</v>
      </c>
      <c r="BS180" s="39"/>
      <c r="BT180" s="39"/>
      <c r="BU180" s="39"/>
      <c r="BV180" s="219">
        <v>712569.31200000015</v>
      </c>
      <c r="BW180" s="219">
        <f>+BV180*0.19</f>
        <v>135388.16928000003</v>
      </c>
      <c r="BX180" s="273">
        <f>+BV180+BW180</f>
        <v>847957.48128000018</v>
      </c>
      <c r="BY180" s="213" t="s">
        <v>4738</v>
      </c>
      <c r="BZ180" s="213" t="s">
        <v>2030</v>
      </c>
      <c r="CA180" s="213"/>
      <c r="CB180" s="274"/>
      <c r="CC180" s="274"/>
      <c r="CD180" s="274"/>
      <c r="CE180" s="39"/>
      <c r="CF180" s="39"/>
      <c r="CG180" s="39"/>
      <c r="CH180" s="274"/>
      <c r="CI180" s="274"/>
      <c r="CJ180" s="274"/>
      <c r="CK180" s="39"/>
      <c r="CL180" s="39"/>
      <c r="CM180" s="39"/>
      <c r="CN180" s="39"/>
      <c r="CO180" s="39"/>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274"/>
      <c r="DM180" s="274"/>
      <c r="DN180" s="274"/>
      <c r="DO180" s="274"/>
      <c r="DP180" s="274"/>
      <c r="DQ180" s="274"/>
      <c r="DR180" s="274"/>
      <c r="DS180" s="274"/>
      <c r="DT180" s="274"/>
      <c r="DU180" s="274"/>
      <c r="DV180" s="274"/>
      <c r="DW180" s="274"/>
      <c r="DX180" s="274"/>
      <c r="DY180" s="274"/>
      <c r="DZ180" s="274"/>
      <c r="EA180" s="274"/>
      <c r="EB180" s="274"/>
      <c r="EC180" s="274"/>
      <c r="ED180" s="39">
        <f t="shared" si="52"/>
        <v>2126334.6162800002</v>
      </c>
      <c r="EE180" s="30">
        <f t="shared" si="53"/>
        <v>6</v>
      </c>
      <c r="EF180" s="39">
        <f t="shared" si="54"/>
        <v>354389.10271333338</v>
      </c>
    </row>
    <row r="181" spans="1:136" x14ac:dyDescent="0.25">
      <c r="A181" s="25" t="e">
        <f>#REF!</f>
        <v>#REF!</v>
      </c>
      <c r="B181" s="50" t="e">
        <f>#REF!</f>
        <v>#REF!</v>
      </c>
      <c r="C181" s="5" t="e">
        <f>#REF!</f>
        <v>#REF!</v>
      </c>
      <c r="D181" s="5" t="e">
        <f>#REF!</f>
        <v>#REF!</v>
      </c>
      <c r="E181" s="252">
        <v>1</v>
      </c>
      <c r="F181" s="249">
        <v>11900</v>
      </c>
      <c r="G181" s="249">
        <v>11305</v>
      </c>
      <c r="H181" s="249">
        <v>6648.1903750000001</v>
      </c>
      <c r="I181" s="249">
        <v>0</v>
      </c>
      <c r="J181" s="249">
        <v>7471.8777777777786</v>
      </c>
      <c r="K181" s="249">
        <v>5117</v>
      </c>
      <c r="L181" s="274">
        <f>AVERAGE(F181,H181,J181)</f>
        <v>8673.356050925926</v>
      </c>
      <c r="M181" s="274">
        <f>AVERAGE(G181,K181)*E1</f>
        <v>8457.33</v>
      </c>
      <c r="N181" s="255">
        <v>6500</v>
      </c>
      <c r="O181" s="135">
        <f t="shared" si="72"/>
        <v>1235</v>
      </c>
      <c r="P181" s="135">
        <f t="shared" si="73"/>
        <v>7735</v>
      </c>
      <c r="Q181" s="131"/>
      <c r="R181" s="131"/>
      <c r="S181" s="11"/>
      <c r="T181" s="274"/>
      <c r="U181" s="274"/>
      <c r="V181" s="274"/>
      <c r="W181" s="39"/>
      <c r="X181" s="11"/>
      <c r="Y181" s="11"/>
      <c r="Z181" s="274"/>
      <c r="AA181" s="274"/>
      <c r="AB181" s="274"/>
      <c r="AC181" s="55"/>
      <c r="AD181" s="22"/>
      <c r="AE181" s="39"/>
      <c r="AF181" s="274"/>
      <c r="AG181" s="274"/>
      <c r="AH181" s="173"/>
      <c r="AI181" s="4"/>
      <c r="AJ181" s="39"/>
      <c r="AK181" s="39"/>
      <c r="AL181" s="118"/>
      <c r="AM181" s="152"/>
      <c r="AN181" s="181"/>
      <c r="AO181" s="131"/>
      <c r="AP181" s="131"/>
      <c r="AQ181" s="39"/>
      <c r="AR181" s="274"/>
      <c r="AS181" s="274"/>
      <c r="AT181" s="274"/>
      <c r="AU181" s="39"/>
      <c r="AV181" s="39"/>
      <c r="AW181" s="39"/>
      <c r="AX181" s="274"/>
      <c r="AY181" s="274"/>
      <c r="AZ181" s="274"/>
      <c r="BA181" s="39"/>
      <c r="BB181" s="62"/>
      <c r="BC181" s="39"/>
      <c r="BD181" s="274"/>
      <c r="BE181" s="274"/>
      <c r="BF181" s="274"/>
      <c r="BG181" s="39"/>
      <c r="BH181" s="39"/>
      <c r="BI181" s="39"/>
      <c r="BJ181" s="275">
        <v>17500</v>
      </c>
      <c r="BK181" s="274">
        <f>+BJ181*0.19</f>
        <v>3325</v>
      </c>
      <c r="BL181" s="274">
        <f>+BJ181+BK181</f>
        <v>20825</v>
      </c>
      <c r="BM181" s="214" t="s">
        <v>3324</v>
      </c>
      <c r="BN181" s="213" t="s">
        <v>3325</v>
      </c>
      <c r="BO181" s="39"/>
      <c r="BP181" s="274">
        <v>3500</v>
      </c>
      <c r="BQ181" s="274">
        <f t="shared" si="70"/>
        <v>665</v>
      </c>
      <c r="BR181" s="274">
        <f t="shared" si="71"/>
        <v>4165</v>
      </c>
      <c r="BS181" s="39"/>
      <c r="BT181" s="39"/>
      <c r="BU181" s="39"/>
      <c r="BV181" s="219">
        <v>20835.36</v>
      </c>
      <c r="BW181" s="219">
        <f>+BV181*0.19</f>
        <v>3958.7184000000002</v>
      </c>
      <c r="BX181" s="273">
        <f>+BV181+BW181</f>
        <v>24794.078400000002</v>
      </c>
      <c r="BY181" s="214" t="s">
        <v>3324</v>
      </c>
      <c r="BZ181" s="213" t="s">
        <v>3325</v>
      </c>
      <c r="CA181" s="213"/>
      <c r="CB181" s="274"/>
      <c r="CC181" s="274"/>
      <c r="CD181" s="274"/>
      <c r="CE181" s="39"/>
      <c r="CF181" s="39"/>
      <c r="CG181" s="39"/>
      <c r="CH181" s="274"/>
      <c r="CI181" s="274"/>
      <c r="CJ181" s="274"/>
      <c r="CK181" s="39"/>
      <c r="CL181" s="39"/>
      <c r="CM181" s="39"/>
      <c r="CN181" s="39"/>
      <c r="CO181" s="39"/>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274"/>
      <c r="DM181" s="274"/>
      <c r="DN181" s="274"/>
      <c r="DO181" s="274"/>
      <c r="DP181" s="274"/>
      <c r="DQ181" s="274"/>
      <c r="DR181" s="274"/>
      <c r="DS181" s="274"/>
      <c r="DT181" s="274"/>
      <c r="DU181" s="274"/>
      <c r="DV181" s="274"/>
      <c r="DW181" s="274"/>
      <c r="DX181" s="274"/>
      <c r="DY181" s="274"/>
      <c r="DZ181" s="274"/>
      <c r="EA181" s="274"/>
      <c r="EB181" s="274"/>
      <c r="EC181" s="274"/>
      <c r="ED181" s="39">
        <f t="shared" si="52"/>
        <v>65976.4084</v>
      </c>
      <c r="EE181" s="30">
        <f t="shared" si="53"/>
        <v>5</v>
      </c>
      <c r="EF181" s="39">
        <f t="shared" si="54"/>
        <v>13195.28168</v>
      </c>
    </row>
    <row r="182" spans="1:136" x14ac:dyDescent="0.25">
      <c r="A182" s="25" t="e">
        <f>#REF!</f>
        <v>#REF!</v>
      </c>
      <c r="B182" s="50" t="e">
        <f>#REF!</f>
        <v>#REF!</v>
      </c>
      <c r="C182" s="5" t="e">
        <f>#REF!</f>
        <v>#REF!</v>
      </c>
      <c r="D182" s="5" t="e">
        <f>#REF!</f>
        <v>#REF!</v>
      </c>
      <c r="E182" s="252">
        <v>1</v>
      </c>
      <c r="F182" s="249">
        <v>0</v>
      </c>
      <c r="G182" s="249">
        <v>0</v>
      </c>
      <c r="H182" s="249">
        <v>8924.43</v>
      </c>
      <c r="I182" s="249">
        <v>0</v>
      </c>
      <c r="J182" s="249">
        <v>9383.1500000000015</v>
      </c>
      <c r="K182" s="249">
        <v>9282</v>
      </c>
      <c r="L182" s="274">
        <f>AVERAGE(H182,J182)</f>
        <v>9153.7900000000009</v>
      </c>
      <c r="M182" s="274">
        <f>K182*E1</f>
        <v>9560.4600000000009</v>
      </c>
      <c r="N182" s="255">
        <v>8000</v>
      </c>
      <c r="O182" s="135">
        <f t="shared" si="72"/>
        <v>1520</v>
      </c>
      <c r="P182" s="135">
        <f t="shared" si="73"/>
        <v>9520</v>
      </c>
      <c r="Q182" s="131"/>
      <c r="R182" s="131"/>
      <c r="S182" s="11"/>
      <c r="T182" s="274"/>
      <c r="U182" s="274"/>
      <c r="V182" s="274"/>
      <c r="W182" s="39"/>
      <c r="X182" s="11"/>
      <c r="Y182" s="11"/>
      <c r="Z182" s="274"/>
      <c r="AA182" s="274"/>
      <c r="AB182" s="274"/>
      <c r="AC182" s="55"/>
      <c r="AD182" s="22"/>
      <c r="AE182" s="39"/>
      <c r="AF182" s="274"/>
      <c r="AG182" s="274"/>
      <c r="AH182" s="173"/>
      <c r="AI182" s="4"/>
      <c r="AJ182" s="39"/>
      <c r="AK182" s="39"/>
      <c r="AL182" s="118"/>
      <c r="AM182" s="152"/>
      <c r="AN182" s="181"/>
      <c r="AO182" s="131"/>
      <c r="AP182" s="131"/>
      <c r="AQ182" s="39"/>
      <c r="AR182" s="274"/>
      <c r="AS182" s="274"/>
      <c r="AT182" s="274"/>
      <c r="AU182" s="39"/>
      <c r="AV182" s="39"/>
      <c r="AW182" s="39"/>
      <c r="AX182" s="274"/>
      <c r="AY182" s="274"/>
      <c r="AZ182" s="274"/>
      <c r="BA182" s="39"/>
      <c r="BB182" s="62"/>
      <c r="BC182" s="39"/>
      <c r="BD182" s="274"/>
      <c r="BE182" s="274"/>
      <c r="BF182" s="274"/>
      <c r="BG182" s="39"/>
      <c r="BH182" s="39"/>
      <c r="BI182" s="39"/>
      <c r="BJ182" s="274"/>
      <c r="BK182" s="274"/>
      <c r="BL182" s="274"/>
      <c r="BM182" s="213"/>
      <c r="BN182" s="213"/>
      <c r="BO182" s="39"/>
      <c r="BP182" s="274">
        <v>65000</v>
      </c>
      <c r="BQ182" s="274">
        <f t="shared" si="70"/>
        <v>12350</v>
      </c>
      <c r="BR182" s="274">
        <f t="shared" si="71"/>
        <v>77350</v>
      </c>
      <c r="BS182" s="39"/>
      <c r="BT182" s="39"/>
      <c r="BU182" s="39"/>
      <c r="BV182" s="212"/>
      <c r="BW182" s="221"/>
      <c r="BX182" s="273"/>
      <c r="BY182" s="213"/>
      <c r="BZ182" s="213"/>
      <c r="CA182" s="213"/>
      <c r="CB182" s="274"/>
      <c r="CC182" s="274"/>
      <c r="CD182" s="274"/>
      <c r="CE182" s="39"/>
      <c r="CF182" s="39"/>
      <c r="CG182" s="39"/>
      <c r="CH182" s="274"/>
      <c r="CI182" s="274"/>
      <c r="CJ182" s="274"/>
      <c r="CK182" s="39"/>
      <c r="CL182" s="39"/>
      <c r="CM182" s="39"/>
      <c r="CN182" s="39"/>
      <c r="CO182" s="39"/>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274"/>
      <c r="DM182" s="274"/>
      <c r="DN182" s="274"/>
      <c r="DO182" s="274"/>
      <c r="DP182" s="274"/>
      <c r="DQ182" s="274"/>
      <c r="DR182" s="274"/>
      <c r="DS182" s="274"/>
      <c r="DT182" s="274"/>
      <c r="DU182" s="274"/>
      <c r="DV182" s="274"/>
      <c r="DW182" s="274"/>
      <c r="DX182" s="274"/>
      <c r="DY182" s="274"/>
      <c r="DZ182" s="274"/>
      <c r="EA182" s="274"/>
      <c r="EB182" s="274"/>
      <c r="EC182" s="274"/>
      <c r="ED182" s="39">
        <f t="shared" si="52"/>
        <v>96430.459999999992</v>
      </c>
      <c r="EE182" s="30">
        <f t="shared" si="53"/>
        <v>3</v>
      </c>
      <c r="EF182" s="39">
        <f t="shared" si="54"/>
        <v>32143.486666666664</v>
      </c>
    </row>
    <row r="183" spans="1:136" x14ac:dyDescent="0.25">
      <c r="A183" s="25" t="e">
        <f>#REF!</f>
        <v>#REF!</v>
      </c>
      <c r="B183" s="50" t="e">
        <f>#REF!</f>
        <v>#REF!</v>
      </c>
      <c r="C183" s="5" t="e">
        <f>#REF!</f>
        <v>#REF!</v>
      </c>
      <c r="D183" s="5" t="e">
        <f>#REF!</f>
        <v>#REF!</v>
      </c>
      <c r="E183" s="252">
        <v>1</v>
      </c>
      <c r="F183" s="249">
        <v>15410.5</v>
      </c>
      <c r="G183" s="249">
        <v>14875</v>
      </c>
      <c r="H183" s="249">
        <v>17702</v>
      </c>
      <c r="I183" s="249">
        <v>0</v>
      </c>
      <c r="J183" s="249">
        <v>29797.600000000002</v>
      </c>
      <c r="K183" s="249">
        <v>29750</v>
      </c>
      <c r="L183" s="274">
        <f>AVERAGE(F183,H183,J183)</f>
        <v>20970.033333333336</v>
      </c>
      <c r="M183" s="274">
        <f>AVERAGE(G183,K183)*E1</f>
        <v>22981.875</v>
      </c>
      <c r="N183" s="255">
        <v>20000</v>
      </c>
      <c r="O183" s="135">
        <f t="shared" si="72"/>
        <v>3800</v>
      </c>
      <c r="P183" s="135">
        <f t="shared" si="73"/>
        <v>23800</v>
      </c>
      <c r="Q183" s="131"/>
      <c r="R183" s="131"/>
      <c r="S183" s="11"/>
      <c r="T183" s="274"/>
      <c r="U183" s="274"/>
      <c r="V183" s="274"/>
      <c r="W183" s="39"/>
      <c r="X183" s="11"/>
      <c r="Y183" s="11"/>
      <c r="Z183" s="274"/>
      <c r="AA183" s="274"/>
      <c r="AB183" s="274"/>
      <c r="AC183" s="55"/>
      <c r="AD183" s="22"/>
      <c r="AE183" s="39"/>
      <c r="AF183" s="274"/>
      <c r="AG183" s="274"/>
      <c r="AH183" s="173"/>
      <c r="AI183" s="4"/>
      <c r="AJ183" s="39"/>
      <c r="AK183" s="39"/>
      <c r="AL183" s="118"/>
      <c r="AM183" s="152"/>
      <c r="AN183" s="181"/>
      <c r="AO183" s="131"/>
      <c r="AP183" s="131"/>
      <c r="AQ183" s="39"/>
      <c r="AR183" s="274"/>
      <c r="AS183" s="274"/>
      <c r="AT183" s="274"/>
      <c r="AU183" s="39"/>
      <c r="AV183" s="39"/>
      <c r="AW183" s="39"/>
      <c r="AX183" s="274"/>
      <c r="AY183" s="274"/>
      <c r="AZ183" s="274"/>
      <c r="BA183" s="39"/>
      <c r="BB183" s="62"/>
      <c r="BC183" s="39"/>
      <c r="BD183" s="274"/>
      <c r="BE183" s="274"/>
      <c r="BF183" s="274"/>
      <c r="BG183" s="39"/>
      <c r="BH183" s="39"/>
      <c r="BI183" s="39"/>
      <c r="BJ183" s="274"/>
      <c r="BK183" s="274"/>
      <c r="BL183" s="274"/>
      <c r="BM183" s="213"/>
      <c r="BN183" s="213"/>
      <c r="BO183" s="39"/>
      <c r="BP183" s="274">
        <v>38900</v>
      </c>
      <c r="BQ183" s="274">
        <f t="shared" si="70"/>
        <v>7391</v>
      </c>
      <c r="BR183" s="274">
        <f t="shared" si="71"/>
        <v>46291</v>
      </c>
      <c r="BS183" s="39"/>
      <c r="BT183" s="39"/>
      <c r="BU183" s="39"/>
      <c r="BV183" s="212"/>
      <c r="BW183" s="221"/>
      <c r="BX183" s="273"/>
      <c r="BY183" s="213"/>
      <c r="BZ183" s="213"/>
      <c r="CA183" s="213"/>
      <c r="CB183" s="275"/>
      <c r="CC183" s="275"/>
      <c r="CD183" s="275"/>
      <c r="CE183" s="39"/>
      <c r="CF183" s="39"/>
      <c r="CG183" s="39"/>
      <c r="CH183" s="274"/>
      <c r="CI183" s="274"/>
      <c r="CJ183" s="274"/>
      <c r="CK183" s="39"/>
      <c r="CL183" s="39"/>
      <c r="CM183" s="39"/>
      <c r="CN183" s="39"/>
      <c r="CO183" s="39"/>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274"/>
      <c r="DM183" s="274"/>
      <c r="DN183" s="274"/>
      <c r="DO183" s="274"/>
      <c r="DP183" s="274"/>
      <c r="DQ183" s="274"/>
      <c r="DR183" s="274"/>
      <c r="DS183" s="274"/>
      <c r="DT183" s="274"/>
      <c r="DU183" s="274"/>
      <c r="DV183" s="274"/>
      <c r="DW183" s="274"/>
      <c r="DX183" s="274"/>
      <c r="DY183" s="274"/>
      <c r="DZ183" s="274"/>
      <c r="EA183" s="274"/>
      <c r="EB183" s="274"/>
      <c r="EC183" s="274"/>
      <c r="ED183" s="39">
        <f t="shared" si="52"/>
        <v>93072.875</v>
      </c>
      <c r="EE183" s="30">
        <f t="shared" si="53"/>
        <v>3</v>
      </c>
      <c r="EF183" s="39">
        <f t="shared" si="54"/>
        <v>31024.291666666668</v>
      </c>
    </row>
    <row r="184" spans="1:136" x14ac:dyDescent="0.25">
      <c r="A184" s="25" t="e">
        <f>#REF!</f>
        <v>#REF!</v>
      </c>
      <c r="B184" s="50" t="e">
        <f>#REF!</f>
        <v>#REF!</v>
      </c>
      <c r="C184" s="5" t="e">
        <f>#REF!</f>
        <v>#REF!</v>
      </c>
      <c r="D184" s="5" t="e">
        <f>#REF!</f>
        <v>#REF!</v>
      </c>
      <c r="E184" s="252">
        <v>1</v>
      </c>
      <c r="F184" s="249">
        <v>0</v>
      </c>
      <c r="G184" s="249">
        <v>0</v>
      </c>
      <c r="H184" s="249">
        <v>11305</v>
      </c>
      <c r="I184" s="249">
        <v>11186</v>
      </c>
      <c r="J184" s="249">
        <v>17515.594444444447</v>
      </c>
      <c r="K184" s="249">
        <v>16660</v>
      </c>
      <c r="L184" s="274">
        <f>AVERAGE(H184,J184)</f>
        <v>14410.297222222223</v>
      </c>
      <c r="M184" s="274">
        <f>AVERAGE(I184,K184)*E1</f>
        <v>14340.69</v>
      </c>
      <c r="N184" s="256">
        <v>15500</v>
      </c>
      <c r="O184" s="135">
        <f t="shared" si="72"/>
        <v>2945</v>
      </c>
      <c r="P184" s="135">
        <f t="shared" si="73"/>
        <v>18445</v>
      </c>
      <c r="Q184" s="131"/>
      <c r="R184" s="131"/>
      <c r="S184" s="11"/>
      <c r="T184" s="274"/>
      <c r="U184" s="274"/>
      <c r="V184" s="274"/>
      <c r="W184" s="39"/>
      <c r="X184" s="11"/>
      <c r="Y184" s="11"/>
      <c r="Z184" s="274"/>
      <c r="AA184" s="274"/>
      <c r="AB184" s="274"/>
      <c r="AC184" s="52"/>
      <c r="AD184" s="22"/>
      <c r="AE184" s="39"/>
      <c r="AF184" s="274"/>
      <c r="AG184" s="274"/>
      <c r="AH184" s="113"/>
      <c r="AI184" s="4"/>
      <c r="AJ184" s="39"/>
      <c r="AK184" s="39"/>
      <c r="AL184" s="118"/>
      <c r="AM184" s="152"/>
      <c r="AN184" s="181"/>
      <c r="AO184" s="131"/>
      <c r="AP184" s="131"/>
      <c r="AQ184" s="39"/>
      <c r="AR184" s="274">
        <v>3200</v>
      </c>
      <c r="AS184" s="274">
        <f>+AR184*0.19</f>
        <v>608</v>
      </c>
      <c r="AT184" s="274">
        <f>+AR184+AS184</f>
        <v>3808</v>
      </c>
      <c r="AU184" s="39"/>
      <c r="AV184" s="39"/>
      <c r="AW184" s="39"/>
      <c r="AX184" s="275"/>
      <c r="AY184" s="274"/>
      <c r="AZ184" s="274"/>
      <c r="BA184" s="39"/>
      <c r="BB184" s="62"/>
      <c r="BC184" s="39"/>
      <c r="BD184" s="274"/>
      <c r="BE184" s="274"/>
      <c r="BF184" s="274"/>
      <c r="BG184" s="39"/>
      <c r="BH184" s="39"/>
      <c r="BI184" s="39"/>
      <c r="BJ184" s="275">
        <v>49200</v>
      </c>
      <c r="BK184" s="274">
        <f>+BJ184*0.19</f>
        <v>9348</v>
      </c>
      <c r="BL184" s="274">
        <f>+BJ184+BK184</f>
        <v>58548</v>
      </c>
      <c r="BM184" s="214" t="s">
        <v>445</v>
      </c>
      <c r="BN184" s="213" t="s">
        <v>4780</v>
      </c>
      <c r="BO184" s="39"/>
      <c r="BP184" s="274">
        <v>6500</v>
      </c>
      <c r="BQ184" s="274">
        <f t="shared" si="70"/>
        <v>1235</v>
      </c>
      <c r="BR184" s="274">
        <f t="shared" si="71"/>
        <v>7735</v>
      </c>
      <c r="BS184" s="39"/>
      <c r="BT184" s="39"/>
      <c r="BU184" s="39"/>
      <c r="BV184" s="212">
        <v>58013.884800000007</v>
      </c>
      <c r="BW184" s="219">
        <f>+BV184*0.19</f>
        <v>11022.638112000002</v>
      </c>
      <c r="BX184" s="273">
        <f>+BV184+BW184</f>
        <v>69036.522912000015</v>
      </c>
      <c r="BY184" s="214" t="s">
        <v>445</v>
      </c>
      <c r="BZ184" s="213" t="s">
        <v>4780</v>
      </c>
      <c r="CA184" s="213"/>
      <c r="CB184" s="274"/>
      <c r="CC184" s="274"/>
      <c r="CD184" s="274"/>
      <c r="CE184" s="39"/>
      <c r="CF184" s="39"/>
      <c r="CG184" s="39"/>
      <c r="CH184" s="275"/>
      <c r="CI184" s="275"/>
      <c r="CJ184" s="275"/>
      <c r="CK184" s="39"/>
      <c r="CL184" s="39"/>
      <c r="CM184" s="39"/>
      <c r="CN184" s="39"/>
      <c r="CO184" s="39"/>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274"/>
      <c r="DM184" s="274"/>
      <c r="DN184" s="274"/>
      <c r="DO184" s="274"/>
      <c r="DP184" s="274"/>
      <c r="DQ184" s="274"/>
      <c r="DR184" s="274"/>
      <c r="DS184" s="274"/>
      <c r="DT184" s="274"/>
      <c r="DU184" s="274"/>
      <c r="DV184" s="274"/>
      <c r="DW184" s="274"/>
      <c r="DX184" s="274"/>
      <c r="DY184" s="274"/>
      <c r="DZ184" s="274"/>
      <c r="EA184" s="274"/>
      <c r="EB184" s="274"/>
      <c r="EC184" s="274"/>
      <c r="ED184" s="39">
        <f t="shared" si="52"/>
        <v>171913.21291200002</v>
      </c>
      <c r="EE184" s="30">
        <f t="shared" si="53"/>
        <v>6</v>
      </c>
      <c r="EF184" s="39">
        <f t="shared" si="54"/>
        <v>28652.202152000002</v>
      </c>
    </row>
    <row r="185" spans="1:136" x14ac:dyDescent="0.25">
      <c r="A185" s="25" t="e">
        <f>#REF!</f>
        <v>#REF!</v>
      </c>
      <c r="B185" s="50" t="e">
        <f>#REF!</f>
        <v>#REF!</v>
      </c>
      <c r="C185" s="5" t="e">
        <f>#REF!</f>
        <v>#REF!</v>
      </c>
      <c r="D185" s="5" t="e">
        <f>#REF!</f>
        <v>#REF!</v>
      </c>
      <c r="E185" s="252">
        <v>1</v>
      </c>
      <c r="F185" s="249">
        <v>0</v>
      </c>
      <c r="G185" s="249">
        <v>0</v>
      </c>
      <c r="H185" s="249">
        <v>19040</v>
      </c>
      <c r="I185" s="249">
        <v>0</v>
      </c>
      <c r="J185" s="249">
        <v>24371.200000000001</v>
      </c>
      <c r="K185" s="249">
        <v>0</v>
      </c>
      <c r="L185" s="274">
        <f>AVERAGE(H185,J185)</f>
        <v>21705.599999999999</v>
      </c>
      <c r="M185" s="274"/>
      <c r="N185" s="255">
        <v>25000</v>
      </c>
      <c r="O185" s="135">
        <f t="shared" si="72"/>
        <v>4750</v>
      </c>
      <c r="P185" s="135">
        <f t="shared" si="73"/>
        <v>29750</v>
      </c>
      <c r="Q185" s="11"/>
      <c r="R185" s="11"/>
      <c r="S185" s="11"/>
      <c r="T185" s="274"/>
      <c r="U185" s="274"/>
      <c r="V185" s="274"/>
      <c r="W185" s="11"/>
      <c r="X185" s="11"/>
      <c r="Y185" s="11"/>
      <c r="Z185" s="274"/>
      <c r="AA185" s="274"/>
      <c r="AB185" s="274"/>
      <c r="AC185" s="11"/>
      <c r="AD185" s="11"/>
      <c r="AE185" s="11"/>
      <c r="AF185" s="274"/>
      <c r="AG185" s="274"/>
      <c r="AH185" s="274"/>
      <c r="AI185" s="11"/>
      <c r="AJ185" s="11"/>
      <c r="AK185" s="11"/>
      <c r="AL185" s="118"/>
      <c r="AM185" s="118"/>
      <c r="AN185" s="118"/>
      <c r="AO185" s="52"/>
      <c r="AP185" s="52"/>
      <c r="AQ185" s="11"/>
      <c r="AR185" s="274">
        <v>10000</v>
      </c>
      <c r="AS185" s="274">
        <f>+AR185*0.19</f>
        <v>1900</v>
      </c>
      <c r="AT185" s="274">
        <f>+AR185+AS185</f>
        <v>11900</v>
      </c>
      <c r="AU185" s="11"/>
      <c r="AV185" s="11"/>
      <c r="AW185" s="11"/>
      <c r="AX185" s="274"/>
      <c r="AY185" s="274"/>
      <c r="AZ185" s="274"/>
      <c r="BA185" s="11"/>
      <c r="BB185" s="11"/>
      <c r="BC185" s="11"/>
      <c r="BD185" s="274"/>
      <c r="BE185" s="274"/>
      <c r="BF185" s="274"/>
      <c r="BG185" s="11"/>
      <c r="BH185" s="11"/>
      <c r="BI185" s="11"/>
      <c r="BJ185" s="274"/>
      <c r="BK185" s="274"/>
      <c r="BL185" s="274"/>
      <c r="BM185" s="213"/>
      <c r="BN185" s="213"/>
      <c r="BO185" s="11"/>
      <c r="BP185" s="274">
        <v>8500</v>
      </c>
      <c r="BQ185" s="274">
        <f t="shared" si="70"/>
        <v>1615</v>
      </c>
      <c r="BR185" s="274">
        <f t="shared" si="71"/>
        <v>10115</v>
      </c>
      <c r="BS185" s="39"/>
      <c r="BT185" s="39"/>
      <c r="BU185" s="44"/>
      <c r="BV185" s="212"/>
      <c r="BW185" s="221"/>
      <c r="BX185" s="273"/>
      <c r="BY185" s="213"/>
      <c r="BZ185" s="213"/>
      <c r="CA185" s="213"/>
      <c r="CB185" s="274"/>
      <c r="CC185" s="274"/>
      <c r="CD185" s="274"/>
      <c r="CE185" s="11"/>
      <c r="CF185" s="11"/>
      <c r="CG185" s="11"/>
      <c r="CH185" s="274"/>
      <c r="CI185" s="274"/>
      <c r="CJ185" s="274"/>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274"/>
      <c r="DM185" s="274"/>
      <c r="DN185" s="274"/>
      <c r="DO185" s="274"/>
      <c r="DP185" s="274"/>
      <c r="DQ185" s="274"/>
      <c r="DR185" s="274"/>
      <c r="DS185" s="274"/>
      <c r="DT185" s="274"/>
      <c r="DU185" s="274"/>
      <c r="DV185" s="274"/>
      <c r="DW185" s="274"/>
      <c r="DX185" s="274"/>
      <c r="DY185" s="274"/>
      <c r="DZ185" s="274"/>
      <c r="EA185" s="274"/>
      <c r="EB185" s="274"/>
      <c r="EC185" s="274"/>
      <c r="ED185" s="39">
        <f t="shared" si="52"/>
        <v>51765</v>
      </c>
      <c r="EE185" s="30">
        <f t="shared" si="53"/>
        <v>3</v>
      </c>
      <c r="EF185" s="39">
        <f t="shared" si="54"/>
        <v>17255</v>
      </c>
    </row>
    <row r="186" spans="1:136" x14ac:dyDescent="0.25">
      <c r="A186" s="25" t="e">
        <f>#REF!</f>
        <v>#REF!</v>
      </c>
      <c r="B186" s="50" t="e">
        <f>#REF!</f>
        <v>#REF!</v>
      </c>
      <c r="C186" s="5" t="e">
        <f>#REF!</f>
        <v>#REF!</v>
      </c>
      <c r="D186" s="5" t="e">
        <f>#REF!</f>
        <v>#REF!</v>
      </c>
      <c r="E186" s="252">
        <v>1</v>
      </c>
      <c r="F186" s="249">
        <v>0</v>
      </c>
      <c r="G186" s="249">
        <v>0</v>
      </c>
      <c r="H186" s="249">
        <v>16065</v>
      </c>
      <c r="I186" s="249">
        <v>0</v>
      </c>
      <c r="J186" s="249">
        <v>21211.75</v>
      </c>
      <c r="K186" s="249">
        <v>0</v>
      </c>
      <c r="L186" s="274">
        <f>AVERAGE(H186,J186)</f>
        <v>18638.375</v>
      </c>
      <c r="M186" s="274"/>
      <c r="N186" s="255">
        <v>20000</v>
      </c>
      <c r="O186" s="135">
        <f t="shared" si="72"/>
        <v>3800</v>
      </c>
      <c r="P186" s="135">
        <f t="shared" si="73"/>
        <v>23800</v>
      </c>
      <c r="Q186" s="131"/>
      <c r="R186" s="131"/>
      <c r="S186" s="11"/>
      <c r="T186" s="274"/>
      <c r="U186" s="274"/>
      <c r="V186" s="274"/>
      <c r="W186" s="39"/>
      <c r="X186" s="11"/>
      <c r="Y186" s="11"/>
      <c r="Z186" s="274"/>
      <c r="AA186" s="274"/>
      <c r="AB186" s="274"/>
      <c r="AC186" s="4"/>
      <c r="AD186" s="22"/>
      <c r="AE186" s="39"/>
      <c r="AF186" s="274"/>
      <c r="AG186" s="274"/>
      <c r="AH186" s="121"/>
      <c r="AI186" s="4"/>
      <c r="AJ186" s="39"/>
      <c r="AK186" s="39"/>
      <c r="AL186" s="118"/>
      <c r="AM186" s="152"/>
      <c r="AN186" s="181"/>
      <c r="AO186" s="131"/>
      <c r="AP186" s="131"/>
      <c r="AQ186" s="39"/>
      <c r="AR186" s="274">
        <v>3000</v>
      </c>
      <c r="AS186" s="274">
        <f>+AR186*0.19</f>
        <v>570</v>
      </c>
      <c r="AT186" s="274">
        <f>+AR186+AS186</f>
        <v>3570</v>
      </c>
      <c r="AU186" s="39"/>
      <c r="AV186" s="39"/>
      <c r="AW186" s="39"/>
      <c r="AX186" s="274"/>
      <c r="AY186" s="274"/>
      <c r="AZ186" s="274"/>
      <c r="BA186" s="39"/>
      <c r="BB186" s="62"/>
      <c r="BC186" s="39"/>
      <c r="BD186" s="274"/>
      <c r="BE186" s="274"/>
      <c r="BF186" s="274"/>
      <c r="BG186" s="39"/>
      <c r="BH186" s="39"/>
      <c r="BI186" s="39"/>
      <c r="BJ186" s="274"/>
      <c r="BK186" s="274"/>
      <c r="BL186" s="274"/>
      <c r="BM186" s="213"/>
      <c r="BN186" s="213"/>
      <c r="BO186" s="39"/>
      <c r="BP186" s="274">
        <v>12500</v>
      </c>
      <c r="BQ186" s="274">
        <f t="shared" si="70"/>
        <v>2375</v>
      </c>
      <c r="BR186" s="274">
        <f t="shared" si="71"/>
        <v>14875</v>
      </c>
      <c r="BS186" s="39"/>
      <c r="BT186" s="39"/>
      <c r="BU186" s="39"/>
      <c r="BV186" s="212"/>
      <c r="BW186" s="221"/>
      <c r="BX186" s="273"/>
      <c r="BY186" s="213"/>
      <c r="BZ186" s="213"/>
      <c r="CA186" s="213"/>
      <c r="CB186" s="274"/>
      <c r="CC186" s="274"/>
      <c r="CD186" s="274"/>
      <c r="CE186" s="39"/>
      <c r="CF186" s="39"/>
      <c r="CG186" s="39"/>
      <c r="CH186" s="274"/>
      <c r="CI186" s="274"/>
      <c r="CJ186" s="274"/>
      <c r="CK186" s="39"/>
      <c r="CL186" s="39"/>
      <c r="CM186" s="39"/>
      <c r="CN186" s="39"/>
      <c r="CO186" s="39"/>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274"/>
      <c r="DM186" s="274"/>
      <c r="DN186" s="274"/>
      <c r="DO186" s="274"/>
      <c r="DP186" s="274"/>
      <c r="DQ186" s="274"/>
      <c r="DR186" s="274"/>
      <c r="DS186" s="274"/>
      <c r="DT186" s="274"/>
      <c r="DU186" s="274"/>
      <c r="DV186" s="274"/>
      <c r="DW186" s="274"/>
      <c r="DX186" s="274"/>
      <c r="DY186" s="274"/>
      <c r="DZ186" s="274"/>
      <c r="EA186" s="274"/>
      <c r="EB186" s="274"/>
      <c r="EC186" s="274"/>
      <c r="ED186" s="39">
        <f t="shared" si="52"/>
        <v>42245</v>
      </c>
      <c r="EE186" s="30">
        <f t="shared" si="53"/>
        <v>3</v>
      </c>
      <c r="EF186" s="39">
        <f t="shared" si="54"/>
        <v>14081.666666666666</v>
      </c>
    </row>
    <row r="187" spans="1:136" x14ac:dyDescent="0.25">
      <c r="A187" s="25" t="e">
        <f>#REF!</f>
        <v>#REF!</v>
      </c>
      <c r="B187" s="50" t="e">
        <f>#REF!</f>
        <v>#REF!</v>
      </c>
      <c r="C187" s="5" t="e">
        <f>#REF!</f>
        <v>#REF!</v>
      </c>
      <c r="D187" s="5" t="e">
        <f>#REF!</f>
        <v>#REF!</v>
      </c>
      <c r="E187" s="252">
        <v>1</v>
      </c>
      <c r="F187" s="249">
        <v>0</v>
      </c>
      <c r="G187" s="249">
        <v>0</v>
      </c>
      <c r="H187" s="249">
        <v>3384410</v>
      </c>
      <c r="I187" s="249">
        <v>0</v>
      </c>
      <c r="J187" s="249">
        <v>0</v>
      </c>
      <c r="K187" s="249">
        <v>0</v>
      </c>
      <c r="L187" s="274">
        <f>H187</f>
        <v>3384410</v>
      </c>
      <c r="M187" s="274"/>
      <c r="N187" s="255"/>
      <c r="O187" s="135"/>
      <c r="P187" s="135"/>
      <c r="Q187" s="131"/>
      <c r="R187" s="131"/>
      <c r="S187" s="11"/>
      <c r="T187" s="274"/>
      <c r="U187" s="274"/>
      <c r="V187" s="274"/>
      <c r="W187" s="39"/>
      <c r="X187" s="11"/>
      <c r="Y187" s="11"/>
      <c r="Z187" s="274"/>
      <c r="AA187" s="274"/>
      <c r="AB187" s="274"/>
      <c r="AC187" s="4"/>
      <c r="AD187" s="22"/>
      <c r="AE187" s="39"/>
      <c r="AF187" s="274"/>
      <c r="AG187" s="274"/>
      <c r="AH187" s="121"/>
      <c r="AI187" s="22"/>
      <c r="AJ187" s="39"/>
      <c r="AK187" s="39"/>
      <c r="AL187" s="118"/>
      <c r="AM187" s="152"/>
      <c r="AN187" s="181"/>
      <c r="AO187" s="131"/>
      <c r="AP187" s="131"/>
      <c r="AQ187" s="39"/>
      <c r="AR187" s="274"/>
      <c r="AS187" s="274"/>
      <c r="AT187" s="274"/>
      <c r="AU187" s="39"/>
      <c r="AV187" s="39"/>
      <c r="AW187" s="39"/>
      <c r="AX187" s="274"/>
      <c r="AY187" s="274"/>
      <c r="AZ187" s="274"/>
      <c r="BA187" s="39"/>
      <c r="BB187" s="62"/>
      <c r="BC187" s="39"/>
      <c r="BD187" s="274"/>
      <c r="BE187" s="274"/>
      <c r="BF187" s="274"/>
      <c r="BG187" s="39"/>
      <c r="BH187" s="39"/>
      <c r="BI187" s="39"/>
      <c r="BJ187" s="274"/>
      <c r="BK187" s="274"/>
      <c r="BL187" s="274"/>
      <c r="BM187" s="213"/>
      <c r="BN187" s="213"/>
      <c r="BO187" s="39"/>
      <c r="BP187" s="274"/>
      <c r="BQ187" s="274"/>
      <c r="BR187" s="274"/>
      <c r="BS187" s="39"/>
      <c r="BT187" s="39"/>
      <c r="BU187" s="34"/>
      <c r="BV187" s="212"/>
      <c r="BW187" s="221"/>
      <c r="BX187" s="273"/>
      <c r="BY187" s="213"/>
      <c r="BZ187" s="213"/>
      <c r="CA187" s="213"/>
      <c r="CB187" s="274">
        <v>3040078</v>
      </c>
      <c r="CC187" s="274">
        <f t="shared" ref="CC187:CC192" si="74">+CB187*0.19</f>
        <v>577614.81999999995</v>
      </c>
      <c r="CD187" s="274">
        <f t="shared" ref="CD187:CD192" si="75">+CB187+CC187</f>
        <v>3617692.82</v>
      </c>
      <c r="CE187" s="39"/>
      <c r="CF187" s="39"/>
      <c r="CG187" s="39"/>
      <c r="CH187" s="274">
        <v>4351000</v>
      </c>
      <c r="CI187" s="274">
        <f t="shared" ref="CI187:CI192" si="76">CH187*19%</f>
        <v>826690</v>
      </c>
      <c r="CJ187" s="274">
        <f t="shared" ref="CJ187:CJ192" si="77">CH187+CI187</f>
        <v>5177690</v>
      </c>
      <c r="CK187" s="39"/>
      <c r="CL187" s="39"/>
      <c r="CM187" s="39"/>
      <c r="CN187" s="39"/>
      <c r="CO187" s="39"/>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274"/>
      <c r="DM187" s="274"/>
      <c r="DN187" s="274"/>
      <c r="DO187" s="274"/>
      <c r="DP187" s="274"/>
      <c r="DQ187" s="274"/>
      <c r="DR187" s="274"/>
      <c r="DS187" s="274"/>
      <c r="DT187" s="274"/>
      <c r="DU187" s="274"/>
      <c r="DV187" s="274"/>
      <c r="DW187" s="274"/>
      <c r="DX187" s="274"/>
      <c r="DY187" s="274"/>
      <c r="DZ187" s="274"/>
      <c r="EA187" s="274"/>
      <c r="EB187" s="274"/>
      <c r="EC187" s="274"/>
      <c r="ED187" s="39">
        <f t="shared" si="52"/>
        <v>8795382.8200000003</v>
      </c>
      <c r="EE187" s="30">
        <f t="shared" si="53"/>
        <v>2</v>
      </c>
      <c r="EF187" s="39">
        <f t="shared" si="54"/>
        <v>4397691.41</v>
      </c>
    </row>
    <row r="188" spans="1:136" x14ac:dyDescent="0.25">
      <c r="A188" s="25" t="e">
        <f>#REF!</f>
        <v>#REF!</v>
      </c>
      <c r="B188" s="50" t="e">
        <f>#REF!</f>
        <v>#REF!</v>
      </c>
      <c r="C188" s="5" t="e">
        <f>#REF!</f>
        <v>#REF!</v>
      </c>
      <c r="D188" s="5" t="e">
        <f>#REF!</f>
        <v>#REF!</v>
      </c>
      <c r="E188" s="252">
        <v>1</v>
      </c>
      <c r="F188" s="249">
        <v>0</v>
      </c>
      <c r="G188" s="249">
        <v>0</v>
      </c>
      <c r="H188" s="249">
        <v>0</v>
      </c>
      <c r="I188" s="249">
        <v>0</v>
      </c>
      <c r="J188" s="249">
        <v>2265132.87</v>
      </c>
      <c r="K188" s="249">
        <v>0</v>
      </c>
      <c r="L188" s="274">
        <f t="shared" ref="L188:L193" si="78">J188</f>
        <v>2265132.87</v>
      </c>
      <c r="M188" s="274"/>
      <c r="N188" s="255"/>
      <c r="O188" s="135"/>
      <c r="P188" s="135"/>
      <c r="Q188" s="11"/>
      <c r="R188" s="11"/>
      <c r="S188" s="11"/>
      <c r="T188" s="274"/>
      <c r="U188" s="274"/>
      <c r="V188" s="274"/>
      <c r="W188" s="11"/>
      <c r="X188" s="11"/>
      <c r="Y188" s="11"/>
      <c r="Z188" s="274"/>
      <c r="AA188" s="274"/>
      <c r="AB188" s="274"/>
      <c r="AC188" s="11"/>
      <c r="AD188" s="11"/>
      <c r="AE188" s="11"/>
      <c r="AF188" s="274"/>
      <c r="AG188" s="274"/>
      <c r="AH188" s="274"/>
      <c r="AI188" s="11"/>
      <c r="AJ188" s="11"/>
      <c r="AK188" s="11"/>
      <c r="AL188" s="118"/>
      <c r="AM188" s="118"/>
      <c r="AN188" s="118"/>
      <c r="AO188" s="52"/>
      <c r="AP188" s="52"/>
      <c r="AQ188" s="11"/>
      <c r="AR188" s="274"/>
      <c r="AS188" s="274"/>
      <c r="AT188" s="274"/>
      <c r="AU188" s="11"/>
      <c r="AV188" s="11"/>
      <c r="AW188" s="11"/>
      <c r="AX188" s="274"/>
      <c r="AY188" s="274"/>
      <c r="AZ188" s="274"/>
      <c r="BA188" s="11"/>
      <c r="BB188" s="11"/>
      <c r="BC188" s="11"/>
      <c r="BD188" s="274"/>
      <c r="BE188" s="274"/>
      <c r="BF188" s="274"/>
      <c r="BG188" s="11"/>
      <c r="BH188" s="11"/>
      <c r="BI188" s="11"/>
      <c r="BJ188" s="274"/>
      <c r="BK188" s="274"/>
      <c r="BL188" s="274"/>
      <c r="BM188" s="213"/>
      <c r="BN188" s="213"/>
      <c r="BO188" s="11"/>
      <c r="BP188" s="274"/>
      <c r="BQ188" s="274"/>
      <c r="BR188" s="274"/>
      <c r="BS188" s="39"/>
      <c r="BT188" s="39"/>
      <c r="BU188" s="44"/>
      <c r="BV188" s="212"/>
      <c r="BW188" s="221"/>
      <c r="BX188" s="273"/>
      <c r="BY188" s="213"/>
      <c r="BZ188" s="213"/>
      <c r="CA188" s="213"/>
      <c r="CB188" s="274">
        <v>2047006</v>
      </c>
      <c r="CC188" s="274">
        <f t="shared" si="74"/>
        <v>388931.14</v>
      </c>
      <c r="CD188" s="274">
        <f t="shared" si="75"/>
        <v>2435937.14</v>
      </c>
      <c r="CE188" s="11"/>
      <c r="CF188" s="11"/>
      <c r="CG188" s="11"/>
      <c r="CH188" s="274">
        <v>6012000</v>
      </c>
      <c r="CI188" s="274">
        <f t="shared" si="76"/>
        <v>1142280</v>
      </c>
      <c r="CJ188" s="274">
        <f t="shared" si="77"/>
        <v>7154280</v>
      </c>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274"/>
      <c r="DM188" s="274"/>
      <c r="DN188" s="274"/>
      <c r="DO188" s="274"/>
      <c r="DP188" s="274"/>
      <c r="DQ188" s="274"/>
      <c r="DR188" s="274"/>
      <c r="DS188" s="274"/>
      <c r="DT188" s="274"/>
      <c r="DU188" s="274"/>
      <c r="DV188" s="274"/>
      <c r="DW188" s="274"/>
      <c r="DX188" s="274"/>
      <c r="DY188" s="274"/>
      <c r="DZ188" s="274"/>
      <c r="EA188" s="274"/>
      <c r="EB188" s="274"/>
      <c r="EC188" s="274"/>
      <c r="ED188" s="39">
        <f t="shared" si="52"/>
        <v>9590217.1400000006</v>
      </c>
      <c r="EE188" s="30">
        <f t="shared" si="53"/>
        <v>2</v>
      </c>
      <c r="EF188" s="39">
        <f t="shared" si="54"/>
        <v>4795108.57</v>
      </c>
    </row>
    <row r="189" spans="1:136" x14ac:dyDescent="0.25">
      <c r="A189" s="25" t="e">
        <f>#REF!</f>
        <v>#REF!</v>
      </c>
      <c r="B189" s="50" t="e">
        <f>#REF!</f>
        <v>#REF!</v>
      </c>
      <c r="C189" s="5" t="e">
        <f>#REF!</f>
        <v>#REF!</v>
      </c>
      <c r="D189" s="5" t="e">
        <f>#REF!</f>
        <v>#REF!</v>
      </c>
      <c r="E189" s="252">
        <v>1</v>
      </c>
      <c r="F189" s="249">
        <v>0</v>
      </c>
      <c r="G189" s="249">
        <v>0</v>
      </c>
      <c r="H189" s="249">
        <v>0</v>
      </c>
      <c r="I189" s="249">
        <v>0</v>
      </c>
      <c r="J189" s="249">
        <v>2280040</v>
      </c>
      <c r="K189" s="249">
        <v>2280040</v>
      </c>
      <c r="L189" s="274">
        <f t="shared" si="78"/>
        <v>2280040</v>
      </c>
      <c r="M189" s="274">
        <f>K189*E1</f>
        <v>2348441.2000000002</v>
      </c>
      <c r="N189" s="255"/>
      <c r="O189" s="135"/>
      <c r="P189" s="135"/>
      <c r="Q189" s="11"/>
      <c r="R189" s="11"/>
      <c r="S189" s="11"/>
      <c r="T189" s="274"/>
      <c r="U189" s="274"/>
      <c r="V189" s="274"/>
      <c r="W189" s="11"/>
      <c r="X189" s="11"/>
      <c r="Y189" s="11"/>
      <c r="Z189" s="274"/>
      <c r="AA189" s="274"/>
      <c r="AB189" s="274"/>
      <c r="AC189" s="11"/>
      <c r="AD189" s="11"/>
      <c r="AE189" s="11"/>
      <c r="AF189" s="274"/>
      <c r="AG189" s="274"/>
      <c r="AH189" s="274"/>
      <c r="AI189" s="11"/>
      <c r="AJ189" s="11"/>
      <c r="AK189" s="11"/>
      <c r="AL189" s="118"/>
      <c r="AM189" s="118"/>
      <c r="AN189" s="118"/>
      <c r="AO189" s="52"/>
      <c r="AP189" s="52"/>
      <c r="AQ189" s="11"/>
      <c r="AR189" s="274"/>
      <c r="AS189" s="274"/>
      <c r="AT189" s="274"/>
      <c r="AU189" s="11"/>
      <c r="AV189" s="11"/>
      <c r="AW189" s="11"/>
      <c r="AX189" s="274"/>
      <c r="AY189" s="274"/>
      <c r="AZ189" s="274"/>
      <c r="BA189" s="11"/>
      <c r="BB189" s="11"/>
      <c r="BC189" s="11"/>
      <c r="BD189" s="274"/>
      <c r="BE189" s="274"/>
      <c r="BF189" s="274"/>
      <c r="BG189" s="11"/>
      <c r="BH189" s="11"/>
      <c r="BI189" s="11"/>
      <c r="BJ189" s="274"/>
      <c r="BK189" s="274"/>
      <c r="BL189" s="274"/>
      <c r="BM189" s="213"/>
      <c r="BN189" s="213"/>
      <c r="BO189" s="11"/>
      <c r="BP189" s="274"/>
      <c r="BQ189" s="274"/>
      <c r="BR189" s="274"/>
      <c r="BS189" s="39"/>
      <c r="BT189" s="39"/>
      <c r="BU189" s="44"/>
      <c r="BV189" s="212"/>
      <c r="BW189" s="221"/>
      <c r="BX189" s="273"/>
      <c r="BY189" s="213"/>
      <c r="BZ189" s="213"/>
      <c r="CA189" s="213"/>
      <c r="CB189" s="274">
        <v>1019350</v>
      </c>
      <c r="CC189" s="274">
        <f t="shared" si="74"/>
        <v>193676.5</v>
      </c>
      <c r="CD189" s="274">
        <f t="shared" si="75"/>
        <v>1213026.5</v>
      </c>
      <c r="CE189" s="11"/>
      <c r="CF189" s="11"/>
      <c r="CG189" s="11"/>
      <c r="CH189" s="274">
        <v>714000</v>
      </c>
      <c r="CI189" s="274">
        <f t="shared" si="76"/>
        <v>135660</v>
      </c>
      <c r="CJ189" s="274">
        <f t="shared" si="77"/>
        <v>849660</v>
      </c>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274"/>
      <c r="DM189" s="274"/>
      <c r="DN189" s="274"/>
      <c r="DO189" s="274"/>
      <c r="DP189" s="274"/>
      <c r="DQ189" s="274"/>
      <c r="DR189" s="274"/>
      <c r="DS189" s="274"/>
      <c r="DT189" s="274"/>
      <c r="DU189" s="274"/>
      <c r="DV189" s="274"/>
      <c r="DW189" s="274"/>
      <c r="DX189" s="274"/>
      <c r="DY189" s="274"/>
      <c r="DZ189" s="274"/>
      <c r="EA189" s="274"/>
      <c r="EB189" s="274"/>
      <c r="EC189" s="274"/>
      <c r="ED189" s="39">
        <f t="shared" si="52"/>
        <v>4411127.7</v>
      </c>
      <c r="EE189" s="30">
        <f t="shared" si="53"/>
        <v>3</v>
      </c>
      <c r="EF189" s="39">
        <f t="shared" si="54"/>
        <v>1470375.9000000001</v>
      </c>
    </row>
    <row r="190" spans="1:136" x14ac:dyDescent="0.25">
      <c r="A190" s="25" t="e">
        <f>#REF!</f>
        <v>#REF!</v>
      </c>
      <c r="B190" s="50" t="e">
        <f>#REF!</f>
        <v>#REF!</v>
      </c>
      <c r="C190" s="5" t="e">
        <f>#REF!</f>
        <v>#REF!</v>
      </c>
      <c r="D190" s="5" t="e">
        <f>#REF!</f>
        <v>#REF!</v>
      </c>
      <c r="E190" s="252">
        <v>1</v>
      </c>
      <c r="F190" s="249">
        <v>0</v>
      </c>
      <c r="G190" s="249">
        <v>0</v>
      </c>
      <c r="H190" s="249">
        <v>0</v>
      </c>
      <c r="I190" s="249">
        <v>0</v>
      </c>
      <c r="J190" s="249">
        <v>2776218.0366666666</v>
      </c>
      <c r="K190" s="249">
        <v>2737000</v>
      </c>
      <c r="L190" s="274">
        <f t="shared" si="78"/>
        <v>2776218.0366666666</v>
      </c>
      <c r="M190" s="274">
        <f>K190*E1</f>
        <v>2819110</v>
      </c>
      <c r="N190" s="255"/>
      <c r="O190" s="135"/>
      <c r="P190" s="135"/>
      <c r="Q190" s="131"/>
      <c r="R190" s="131"/>
      <c r="S190" s="11"/>
      <c r="T190" s="274"/>
      <c r="U190" s="274"/>
      <c r="V190" s="274"/>
      <c r="W190" s="39"/>
      <c r="X190" s="11"/>
      <c r="Y190" s="11"/>
      <c r="Z190" s="274"/>
      <c r="AA190" s="274"/>
      <c r="AB190" s="274"/>
      <c r="AC190" s="52"/>
      <c r="AD190" s="22"/>
      <c r="AE190" s="39"/>
      <c r="AF190" s="274"/>
      <c r="AG190" s="274"/>
      <c r="AH190" s="171"/>
      <c r="AI190" s="4"/>
      <c r="AJ190" s="39"/>
      <c r="AK190" s="39"/>
      <c r="AL190" s="118"/>
      <c r="AM190" s="152"/>
      <c r="AN190" s="181"/>
      <c r="AO190" s="131"/>
      <c r="AP190" s="131"/>
      <c r="AQ190" s="39"/>
      <c r="AR190" s="274"/>
      <c r="AS190" s="274"/>
      <c r="AT190" s="274"/>
      <c r="AU190" s="39"/>
      <c r="AV190" s="39"/>
      <c r="AW190" s="39"/>
      <c r="AX190" s="274"/>
      <c r="AY190" s="274"/>
      <c r="AZ190" s="274"/>
      <c r="BA190" s="39"/>
      <c r="BB190" s="62"/>
      <c r="BC190" s="39"/>
      <c r="BD190" s="274"/>
      <c r="BE190" s="274"/>
      <c r="BF190" s="274"/>
      <c r="BG190" s="39"/>
      <c r="BH190" s="39"/>
      <c r="BI190" s="39"/>
      <c r="BJ190" s="274"/>
      <c r="BK190" s="274"/>
      <c r="BL190" s="274"/>
      <c r="BM190" s="213"/>
      <c r="BN190" s="213"/>
      <c r="BO190" s="39"/>
      <c r="BP190" s="274"/>
      <c r="BQ190" s="274"/>
      <c r="BR190" s="274"/>
      <c r="BS190" s="39"/>
      <c r="BT190" s="39"/>
      <c r="BU190" s="39"/>
      <c r="BV190" s="212"/>
      <c r="BW190" s="221"/>
      <c r="BX190" s="273"/>
      <c r="BY190" s="213"/>
      <c r="BZ190" s="213"/>
      <c r="CA190" s="213"/>
      <c r="CB190" s="274">
        <v>999588</v>
      </c>
      <c r="CC190" s="274">
        <f t="shared" si="74"/>
        <v>189921.72</v>
      </c>
      <c r="CD190" s="274">
        <f t="shared" si="75"/>
        <v>1189509.72</v>
      </c>
      <c r="CE190" s="39"/>
      <c r="CF190" s="39"/>
      <c r="CG190" s="39"/>
      <c r="CH190" s="274">
        <v>967000</v>
      </c>
      <c r="CI190" s="274">
        <f t="shared" si="76"/>
        <v>183730</v>
      </c>
      <c r="CJ190" s="274">
        <f t="shared" si="77"/>
        <v>1150730</v>
      </c>
      <c r="CK190" s="39"/>
      <c r="CL190" s="39"/>
      <c r="CM190" s="39"/>
      <c r="CN190" s="39"/>
      <c r="CO190" s="39"/>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274"/>
      <c r="DM190" s="274"/>
      <c r="DN190" s="274"/>
      <c r="DO190" s="274"/>
      <c r="DP190" s="274"/>
      <c r="DQ190" s="274"/>
      <c r="DR190" s="274"/>
      <c r="DS190" s="274"/>
      <c r="DT190" s="274"/>
      <c r="DU190" s="274"/>
      <c r="DV190" s="274"/>
      <c r="DW190" s="274"/>
      <c r="DX190" s="274"/>
      <c r="DY190" s="274"/>
      <c r="DZ190" s="274"/>
      <c r="EA190" s="274"/>
      <c r="EB190" s="274"/>
      <c r="EC190" s="274"/>
      <c r="ED190" s="39">
        <f t="shared" si="52"/>
        <v>5159349.72</v>
      </c>
      <c r="EE190" s="30">
        <f t="shared" si="53"/>
        <v>3</v>
      </c>
      <c r="EF190" s="39">
        <f t="shared" si="54"/>
        <v>1719783.24</v>
      </c>
    </row>
    <row r="191" spans="1:136" x14ac:dyDescent="0.25">
      <c r="A191" s="25" t="e">
        <f>#REF!</f>
        <v>#REF!</v>
      </c>
      <c r="B191" s="50" t="e">
        <f>#REF!</f>
        <v>#REF!</v>
      </c>
      <c r="C191" s="5" t="e">
        <f>#REF!</f>
        <v>#REF!</v>
      </c>
      <c r="D191" s="5" t="e">
        <f>#REF!</f>
        <v>#REF!</v>
      </c>
      <c r="E191" s="252">
        <v>1</v>
      </c>
      <c r="F191" s="249">
        <v>0</v>
      </c>
      <c r="G191" s="249">
        <v>0</v>
      </c>
      <c r="H191" s="249">
        <v>0</v>
      </c>
      <c r="I191" s="249">
        <v>0</v>
      </c>
      <c r="J191" s="249">
        <v>2581040.98</v>
      </c>
      <c r="K191" s="249">
        <v>0</v>
      </c>
      <c r="L191" s="274">
        <f t="shared" si="78"/>
        <v>2581040.98</v>
      </c>
      <c r="M191" s="274"/>
      <c r="N191" s="255"/>
      <c r="O191" s="135"/>
      <c r="P191" s="135"/>
      <c r="Q191" s="131"/>
      <c r="R191" s="131"/>
      <c r="S191" s="11"/>
      <c r="T191" s="274"/>
      <c r="U191" s="274"/>
      <c r="V191" s="274"/>
      <c r="W191" s="39"/>
      <c r="X191" s="11"/>
      <c r="Y191" s="11"/>
      <c r="Z191" s="274"/>
      <c r="AA191" s="274"/>
      <c r="AB191" s="274"/>
      <c r="AC191" s="52"/>
      <c r="AD191" s="22"/>
      <c r="AE191" s="39"/>
      <c r="AF191" s="274"/>
      <c r="AG191" s="274"/>
      <c r="AH191" s="171"/>
      <c r="AI191" s="22"/>
      <c r="AJ191" s="39"/>
      <c r="AK191" s="39"/>
      <c r="AL191" s="118"/>
      <c r="AM191" s="152"/>
      <c r="AN191" s="181"/>
      <c r="AO191" s="131"/>
      <c r="AP191" s="131"/>
      <c r="AQ191" s="39"/>
      <c r="AR191" s="274"/>
      <c r="AS191" s="274"/>
      <c r="AT191" s="274"/>
      <c r="AU191" s="39"/>
      <c r="AV191" s="39"/>
      <c r="AW191" s="39"/>
      <c r="AX191" s="274"/>
      <c r="AY191" s="274"/>
      <c r="AZ191" s="274"/>
      <c r="BA191" s="39"/>
      <c r="BB191" s="62"/>
      <c r="BC191" s="39"/>
      <c r="BD191" s="274"/>
      <c r="BE191" s="274"/>
      <c r="BF191" s="274"/>
      <c r="BG191" s="39"/>
      <c r="BH191" s="39"/>
      <c r="BI191" s="39"/>
      <c r="BJ191" s="274"/>
      <c r="BK191" s="274"/>
      <c r="BL191" s="274"/>
      <c r="BM191" s="213"/>
      <c r="BN191" s="213"/>
      <c r="BO191" s="39"/>
      <c r="BP191" s="274"/>
      <c r="BQ191" s="274"/>
      <c r="BR191" s="274"/>
      <c r="BS191" s="39"/>
      <c r="BT191" s="39"/>
      <c r="BU191" s="39"/>
      <c r="BV191" s="212"/>
      <c r="BW191" s="221"/>
      <c r="BX191" s="273"/>
      <c r="BY191" s="213"/>
      <c r="BZ191" s="213"/>
      <c r="CA191" s="213"/>
      <c r="CB191" s="274">
        <v>1987718</v>
      </c>
      <c r="CC191" s="274">
        <f t="shared" si="74"/>
        <v>377666.42</v>
      </c>
      <c r="CD191" s="274">
        <f t="shared" si="75"/>
        <v>2365384.42</v>
      </c>
      <c r="CE191" s="39"/>
      <c r="CF191" s="39"/>
      <c r="CG191" s="39"/>
      <c r="CH191" s="274">
        <v>2387000</v>
      </c>
      <c r="CI191" s="274">
        <f t="shared" si="76"/>
        <v>453530</v>
      </c>
      <c r="CJ191" s="274">
        <f t="shared" si="77"/>
        <v>2840530</v>
      </c>
      <c r="CK191" s="39"/>
      <c r="CL191" s="39"/>
      <c r="CM191" s="39"/>
      <c r="CN191" s="39"/>
      <c r="CO191" s="39"/>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274"/>
      <c r="DM191" s="274"/>
      <c r="DN191" s="274"/>
      <c r="DO191" s="274"/>
      <c r="DP191" s="274"/>
      <c r="DQ191" s="274"/>
      <c r="DR191" s="274"/>
      <c r="DS191" s="274"/>
      <c r="DT191" s="274"/>
      <c r="DU191" s="274"/>
      <c r="DV191" s="274"/>
      <c r="DW191" s="274"/>
      <c r="DX191" s="274"/>
      <c r="DY191" s="274"/>
      <c r="DZ191" s="274"/>
      <c r="EA191" s="274"/>
      <c r="EB191" s="274"/>
      <c r="EC191" s="274"/>
      <c r="ED191" s="39">
        <f t="shared" si="52"/>
        <v>5205914.42</v>
      </c>
      <c r="EE191" s="30">
        <f t="shared" si="53"/>
        <v>2</v>
      </c>
      <c r="EF191" s="39">
        <f t="shared" si="54"/>
        <v>2602957.21</v>
      </c>
    </row>
    <row r="192" spans="1:136" x14ac:dyDescent="0.25">
      <c r="A192" s="25" t="e">
        <f>#REF!</f>
        <v>#REF!</v>
      </c>
      <c r="B192" s="50" t="e">
        <f>#REF!</f>
        <v>#REF!</v>
      </c>
      <c r="C192" s="5" t="e">
        <f>#REF!</f>
        <v>#REF!</v>
      </c>
      <c r="D192" s="5" t="e">
        <f>#REF!</f>
        <v>#REF!</v>
      </c>
      <c r="E192" s="252">
        <v>1</v>
      </c>
      <c r="F192" s="249">
        <v>0</v>
      </c>
      <c r="G192" s="249">
        <v>0</v>
      </c>
      <c r="H192" s="249">
        <v>0</v>
      </c>
      <c r="I192" s="249">
        <v>0</v>
      </c>
      <c r="J192" s="249">
        <v>3117252.6</v>
      </c>
      <c r="K192" s="249">
        <v>0</v>
      </c>
      <c r="L192" s="274">
        <f t="shared" si="78"/>
        <v>3117252.6</v>
      </c>
      <c r="M192" s="274"/>
      <c r="N192" s="255"/>
      <c r="O192" s="135"/>
      <c r="P192" s="135"/>
      <c r="Q192" s="131"/>
      <c r="R192" s="131"/>
      <c r="S192" s="11"/>
      <c r="T192" s="274"/>
      <c r="U192" s="274"/>
      <c r="V192" s="274"/>
      <c r="W192" s="39"/>
      <c r="X192" s="11"/>
      <c r="Y192" s="11"/>
      <c r="Z192" s="274"/>
      <c r="AA192" s="274"/>
      <c r="AB192" s="274"/>
      <c r="AC192" s="52"/>
      <c r="AD192" s="22"/>
      <c r="AE192" s="39"/>
      <c r="AF192" s="274"/>
      <c r="AG192" s="274"/>
      <c r="AH192" s="171"/>
      <c r="AI192" s="4"/>
      <c r="AJ192" s="39"/>
      <c r="AK192" s="39"/>
      <c r="AL192" s="118"/>
      <c r="AM192" s="152"/>
      <c r="AN192" s="181"/>
      <c r="AO192" s="131"/>
      <c r="AP192" s="131"/>
      <c r="AQ192" s="39"/>
      <c r="AR192" s="274"/>
      <c r="AS192" s="274"/>
      <c r="AT192" s="274"/>
      <c r="AU192" s="39"/>
      <c r="AV192" s="39"/>
      <c r="AW192" s="39"/>
      <c r="AX192" s="274"/>
      <c r="AY192" s="274"/>
      <c r="AZ192" s="274"/>
      <c r="BA192" s="39"/>
      <c r="BB192" s="62"/>
      <c r="BC192" s="39"/>
      <c r="BD192" s="274"/>
      <c r="BE192" s="274"/>
      <c r="BF192" s="274"/>
      <c r="BG192" s="39"/>
      <c r="BH192" s="39"/>
      <c r="BI192" s="39"/>
      <c r="BJ192" s="274"/>
      <c r="BK192" s="274"/>
      <c r="BL192" s="274"/>
      <c r="BM192" s="213"/>
      <c r="BN192" s="213"/>
      <c r="BO192" s="39"/>
      <c r="BP192" s="274"/>
      <c r="BQ192" s="274"/>
      <c r="BR192" s="274"/>
      <c r="BS192" s="39"/>
      <c r="BT192" s="39"/>
      <c r="BU192" s="39"/>
      <c r="BV192" s="212"/>
      <c r="BW192" s="221"/>
      <c r="BX192" s="273"/>
      <c r="BY192" s="213"/>
      <c r="BZ192" s="213"/>
      <c r="CA192" s="213"/>
      <c r="CB192" s="274">
        <v>2817748</v>
      </c>
      <c r="CC192" s="274">
        <f t="shared" si="74"/>
        <v>535372.12</v>
      </c>
      <c r="CD192" s="274">
        <f t="shared" si="75"/>
        <v>3353120.12</v>
      </c>
      <c r="CE192" s="39"/>
      <c r="CF192" s="39"/>
      <c r="CG192" s="39"/>
      <c r="CH192" s="274">
        <v>3350000</v>
      </c>
      <c r="CI192" s="274">
        <f t="shared" si="76"/>
        <v>636500</v>
      </c>
      <c r="CJ192" s="274">
        <f t="shared" si="77"/>
        <v>3986500</v>
      </c>
      <c r="CK192" s="39"/>
      <c r="CL192" s="39"/>
      <c r="CM192" s="39"/>
      <c r="CN192" s="39"/>
      <c r="CO192" s="39"/>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274"/>
      <c r="DM192" s="274"/>
      <c r="DN192" s="274"/>
      <c r="DO192" s="274"/>
      <c r="DP192" s="274"/>
      <c r="DQ192" s="274"/>
      <c r="DR192" s="274"/>
      <c r="DS192" s="274"/>
      <c r="DT192" s="274"/>
      <c r="DU192" s="274"/>
      <c r="DV192" s="274"/>
      <c r="DW192" s="274"/>
      <c r="DX192" s="274"/>
      <c r="DY192" s="274"/>
      <c r="DZ192" s="274"/>
      <c r="EA192" s="274"/>
      <c r="EB192" s="274"/>
      <c r="EC192" s="274"/>
      <c r="ED192" s="39">
        <f t="shared" si="52"/>
        <v>7339620.1200000001</v>
      </c>
      <c r="EE192" s="30">
        <f t="shared" si="53"/>
        <v>2</v>
      </c>
      <c r="EF192" s="39">
        <f t="shared" si="54"/>
        <v>3669810.06</v>
      </c>
    </row>
    <row r="193" spans="1:136" ht="48" x14ac:dyDescent="0.25">
      <c r="A193" s="25" t="e">
        <f>#REF!</f>
        <v>#REF!</v>
      </c>
      <c r="B193" s="50" t="e">
        <f>#REF!</f>
        <v>#REF!</v>
      </c>
      <c r="C193" s="5" t="e">
        <f>#REF!</f>
        <v>#REF!</v>
      </c>
      <c r="D193" s="5" t="e">
        <f>#REF!</f>
        <v>#REF!</v>
      </c>
      <c r="E193" s="252">
        <v>1</v>
      </c>
      <c r="F193" s="249">
        <v>0</v>
      </c>
      <c r="G193" s="249">
        <v>0</v>
      </c>
      <c r="H193" s="249">
        <v>0</v>
      </c>
      <c r="I193" s="249">
        <v>0</v>
      </c>
      <c r="J193" s="249">
        <v>270681.3666666667</v>
      </c>
      <c r="K193" s="249">
        <v>0</v>
      </c>
      <c r="L193" s="274">
        <f t="shared" si="78"/>
        <v>270681.3666666667</v>
      </c>
      <c r="M193" s="274"/>
      <c r="N193" s="255">
        <v>100000</v>
      </c>
      <c r="O193" s="135">
        <f>+N193*0.19</f>
        <v>19000</v>
      </c>
      <c r="P193" s="135">
        <f>+N193+O193</f>
        <v>119000</v>
      </c>
      <c r="Q193" s="11"/>
      <c r="R193" s="11"/>
      <c r="S193" s="33"/>
      <c r="T193" s="150"/>
      <c r="U193" s="274"/>
      <c r="V193" s="274"/>
      <c r="W193" s="39"/>
      <c r="X193" s="11"/>
      <c r="Y193" s="11"/>
      <c r="Z193" s="274"/>
      <c r="AA193" s="274"/>
      <c r="AB193" s="274"/>
      <c r="AC193" s="11"/>
      <c r="AD193" s="11"/>
      <c r="AE193" s="11"/>
      <c r="AF193" s="274"/>
      <c r="AG193" s="274"/>
      <c r="AH193" s="274"/>
      <c r="AI193" s="11"/>
      <c r="AJ193" s="11"/>
      <c r="AK193" s="11"/>
      <c r="AL193" s="118"/>
      <c r="AM193" s="118"/>
      <c r="AN193" s="118"/>
      <c r="AO193" s="52"/>
      <c r="AP193" s="52"/>
      <c r="AQ193" s="11"/>
      <c r="AR193" s="274"/>
      <c r="AS193" s="274"/>
      <c r="AT193" s="274"/>
      <c r="AU193" s="11"/>
      <c r="AV193" s="11"/>
      <c r="AW193" s="11"/>
      <c r="AX193" s="274"/>
      <c r="AY193" s="274"/>
      <c r="AZ193" s="274"/>
      <c r="BA193" s="11"/>
      <c r="BB193" s="62"/>
      <c r="BC193" s="39"/>
      <c r="BD193" s="274"/>
      <c r="BE193" s="274"/>
      <c r="BF193" s="274"/>
      <c r="BG193" s="11"/>
      <c r="BH193" s="11"/>
      <c r="BI193" s="11"/>
      <c r="BJ193" s="275">
        <v>1500000</v>
      </c>
      <c r="BK193" s="274">
        <f>+BJ193*0.19</f>
        <v>285000</v>
      </c>
      <c r="BL193" s="274">
        <f>+BJ193+BK193</f>
        <v>1785000</v>
      </c>
      <c r="BM193" s="214" t="s">
        <v>445</v>
      </c>
      <c r="BN193" s="213" t="s">
        <v>4781</v>
      </c>
      <c r="BO193" s="11"/>
      <c r="BP193" s="274"/>
      <c r="BQ193" s="274"/>
      <c r="BR193" s="274"/>
      <c r="BS193" s="11"/>
      <c r="BT193" s="11"/>
      <c r="BU193" s="11"/>
      <c r="BV193" s="223"/>
      <c r="BW193" s="219"/>
      <c r="BX193" s="273"/>
      <c r="BY193" s="214"/>
      <c r="BZ193" s="213"/>
      <c r="CA193" s="213"/>
      <c r="CB193" s="274"/>
      <c r="CC193" s="274"/>
      <c r="CD193" s="274"/>
      <c r="CE193" s="11"/>
      <c r="CF193" s="11"/>
      <c r="CG193" s="11"/>
      <c r="CH193" s="274"/>
      <c r="CI193" s="274"/>
      <c r="CJ193" s="274"/>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274"/>
      <c r="DM193" s="274"/>
      <c r="DN193" s="274"/>
      <c r="DO193" s="274"/>
      <c r="DP193" s="274"/>
      <c r="DQ193" s="274"/>
      <c r="DR193" s="274"/>
      <c r="DS193" s="274"/>
      <c r="DT193" s="274"/>
      <c r="DU193" s="274"/>
      <c r="DV193" s="274"/>
      <c r="DW193" s="274"/>
      <c r="DX193" s="274"/>
      <c r="DY193" s="274"/>
      <c r="DZ193" s="274"/>
      <c r="EA193" s="274"/>
      <c r="EB193" s="274"/>
      <c r="EC193" s="274"/>
      <c r="ED193" s="39">
        <f t="shared" si="52"/>
        <v>1904000</v>
      </c>
      <c r="EE193" s="30">
        <f t="shared" si="53"/>
        <v>2</v>
      </c>
      <c r="EF193" s="39">
        <f t="shared" si="54"/>
        <v>952000</v>
      </c>
    </row>
    <row r="194" spans="1:136" x14ac:dyDescent="0.25">
      <c r="A194" s="25" t="e">
        <f>#REF!</f>
        <v>#REF!</v>
      </c>
      <c r="B194" s="50" t="e">
        <f>#REF!</f>
        <v>#REF!</v>
      </c>
      <c r="C194" s="5" t="e">
        <f>#REF!</f>
        <v>#REF!</v>
      </c>
      <c r="D194" s="5" t="e">
        <f>#REF!</f>
        <v>#REF!</v>
      </c>
      <c r="E194" s="252">
        <v>1</v>
      </c>
      <c r="F194" s="249">
        <v>544988.46499999997</v>
      </c>
      <c r="G194" s="249">
        <v>535500</v>
      </c>
      <c r="H194" s="249">
        <v>544683.82499999995</v>
      </c>
      <c r="I194" s="249">
        <v>0</v>
      </c>
      <c r="J194" s="249">
        <v>1800536.111111111</v>
      </c>
      <c r="K194" s="249">
        <v>1800470</v>
      </c>
      <c r="L194" s="274">
        <f>AVERAGE(F194,H194,J194)</f>
        <v>963402.80037037039</v>
      </c>
      <c r="M194" s="274">
        <f>AVERAGE(G194,K194)*E1</f>
        <v>1203024.55</v>
      </c>
      <c r="N194" s="255">
        <v>1500000</v>
      </c>
      <c r="O194" s="135">
        <f>+N194*0.19</f>
        <v>285000</v>
      </c>
      <c r="P194" s="135">
        <f>+N194+O194</f>
        <v>1785000</v>
      </c>
      <c r="Q194" s="11"/>
      <c r="R194" s="11"/>
      <c r="S194" s="33"/>
      <c r="T194" s="150"/>
      <c r="U194" s="274"/>
      <c r="V194" s="274"/>
      <c r="W194" s="39"/>
      <c r="X194" s="11"/>
      <c r="Y194" s="11"/>
      <c r="Z194" s="274"/>
      <c r="AA194" s="274"/>
      <c r="AB194" s="274"/>
      <c r="AC194" s="11"/>
      <c r="AD194" s="11"/>
      <c r="AE194" s="11"/>
      <c r="AF194" s="274"/>
      <c r="AG194" s="274"/>
      <c r="AH194" s="274"/>
      <c r="AI194" s="11"/>
      <c r="AJ194" s="11"/>
      <c r="AK194" s="11"/>
      <c r="AL194" s="118"/>
      <c r="AM194" s="118"/>
      <c r="AN194" s="118"/>
      <c r="AO194" s="52"/>
      <c r="AP194" s="52"/>
      <c r="AQ194" s="11"/>
      <c r="AR194" s="274"/>
      <c r="AS194" s="274"/>
      <c r="AT194" s="274"/>
      <c r="AU194" s="11"/>
      <c r="AV194" s="11"/>
      <c r="AW194" s="11"/>
      <c r="AX194" s="274"/>
      <c r="AY194" s="274"/>
      <c r="AZ194" s="274"/>
      <c r="BA194" s="11"/>
      <c r="BB194" s="62"/>
      <c r="BC194" s="39"/>
      <c r="BD194" s="274"/>
      <c r="BE194" s="274"/>
      <c r="BF194" s="274"/>
      <c r="BG194" s="11"/>
      <c r="BH194" s="11"/>
      <c r="BI194" s="11"/>
      <c r="BJ194" s="274"/>
      <c r="BK194" s="274"/>
      <c r="BL194" s="274"/>
      <c r="BM194" s="213"/>
      <c r="BN194" s="213"/>
      <c r="BO194" s="11"/>
      <c r="BP194" s="274">
        <v>285000</v>
      </c>
      <c r="BQ194" s="274">
        <f t="shared" ref="BQ194:BQ210" si="79">+BP194*19%</f>
        <v>54150</v>
      </c>
      <c r="BR194" s="274">
        <f t="shared" ref="BR194:BR210" si="80">+BQ194+BP194</f>
        <v>339150</v>
      </c>
      <c r="BS194" s="11"/>
      <c r="BT194" s="11"/>
      <c r="BU194" s="11"/>
      <c r="BV194" s="212"/>
      <c r="BW194" s="221"/>
      <c r="BX194" s="273"/>
      <c r="BY194" s="213"/>
      <c r="BZ194" s="213"/>
      <c r="CA194" s="213"/>
      <c r="CB194" s="274"/>
      <c r="CC194" s="274"/>
      <c r="CD194" s="274"/>
      <c r="CE194" s="11"/>
      <c r="CF194" s="11"/>
      <c r="CG194" s="11"/>
      <c r="CH194" s="274"/>
      <c r="CI194" s="274"/>
      <c r="CJ194" s="274"/>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274"/>
      <c r="DM194" s="274"/>
      <c r="DN194" s="274"/>
      <c r="DO194" s="274"/>
      <c r="DP194" s="274"/>
      <c r="DQ194" s="274"/>
      <c r="DR194" s="274"/>
      <c r="DS194" s="274"/>
      <c r="DT194" s="274"/>
      <c r="DU194" s="274"/>
      <c r="DV194" s="274"/>
      <c r="DW194" s="274"/>
      <c r="DX194" s="274"/>
      <c r="DY194" s="274"/>
      <c r="DZ194" s="274"/>
      <c r="EA194" s="274"/>
      <c r="EB194" s="274"/>
      <c r="EC194" s="274"/>
      <c r="ED194" s="39">
        <f t="shared" si="52"/>
        <v>3327174.55</v>
      </c>
      <c r="EE194" s="30">
        <f t="shared" si="53"/>
        <v>3</v>
      </c>
      <c r="EF194" s="39">
        <f t="shared" si="54"/>
        <v>1109058.1833333333</v>
      </c>
    </row>
    <row r="195" spans="1:136" x14ac:dyDescent="0.25">
      <c r="A195" s="25" t="e">
        <f>#REF!</f>
        <v>#REF!</v>
      </c>
      <c r="B195" s="50" t="e">
        <f>#REF!</f>
        <v>#REF!</v>
      </c>
      <c r="C195" s="5" t="e">
        <f>#REF!</f>
        <v>#REF!</v>
      </c>
      <c r="D195" s="5" t="e">
        <f>#REF!</f>
        <v>#REF!</v>
      </c>
      <c r="E195" s="252">
        <v>1</v>
      </c>
      <c r="F195" s="249">
        <v>0</v>
      </c>
      <c r="G195" s="249">
        <v>0</v>
      </c>
      <c r="H195" s="249">
        <v>0</v>
      </c>
      <c r="I195" s="249">
        <v>0</v>
      </c>
      <c r="J195" s="249">
        <v>1497416.6666666667</v>
      </c>
      <c r="K195" s="249">
        <v>1097537</v>
      </c>
      <c r="L195" s="274">
        <f>J195</f>
        <v>1497416.6666666667</v>
      </c>
      <c r="M195" s="274">
        <f>K195*E1</f>
        <v>1130463.1100000001</v>
      </c>
      <c r="N195" s="255">
        <v>850000</v>
      </c>
      <c r="O195" s="135">
        <f>+N195*0.19</f>
        <v>161500</v>
      </c>
      <c r="P195" s="135">
        <f>+N195+O195</f>
        <v>1011500</v>
      </c>
      <c r="Q195" s="131"/>
      <c r="R195" s="131"/>
      <c r="S195" s="11"/>
      <c r="T195" s="274"/>
      <c r="U195" s="274"/>
      <c r="V195" s="274"/>
      <c r="W195" s="39"/>
      <c r="X195" s="11"/>
      <c r="Y195" s="11"/>
      <c r="Z195" s="274"/>
      <c r="AA195" s="274"/>
      <c r="AB195" s="274"/>
      <c r="AC195" s="52"/>
      <c r="AD195" s="22"/>
      <c r="AE195" s="39"/>
      <c r="AF195" s="274"/>
      <c r="AG195" s="274"/>
      <c r="AH195" s="171"/>
      <c r="AI195" s="4"/>
      <c r="AJ195" s="39"/>
      <c r="AK195" s="39"/>
      <c r="AL195" s="118"/>
      <c r="AM195" s="152"/>
      <c r="AN195" s="181"/>
      <c r="AO195" s="131"/>
      <c r="AP195" s="131"/>
      <c r="AQ195" s="39"/>
      <c r="AR195" s="274"/>
      <c r="AS195" s="274"/>
      <c r="AT195" s="274"/>
      <c r="AU195" s="39"/>
      <c r="AV195" s="39"/>
      <c r="AW195" s="39"/>
      <c r="AX195" s="274"/>
      <c r="AY195" s="274"/>
      <c r="AZ195" s="274"/>
      <c r="BA195" s="39"/>
      <c r="BB195" s="62"/>
      <c r="BC195" s="39"/>
      <c r="BD195" s="274"/>
      <c r="BE195" s="274"/>
      <c r="BF195" s="274"/>
      <c r="BG195" s="39"/>
      <c r="BH195" s="39"/>
      <c r="BI195" s="39"/>
      <c r="BJ195" s="274"/>
      <c r="BK195" s="274"/>
      <c r="BL195" s="274"/>
      <c r="BM195" s="213"/>
      <c r="BN195" s="213"/>
      <c r="BO195" s="39"/>
      <c r="BP195" s="274">
        <v>496000</v>
      </c>
      <c r="BQ195" s="274">
        <f t="shared" si="79"/>
        <v>94240</v>
      </c>
      <c r="BR195" s="274">
        <f t="shared" si="80"/>
        <v>590240</v>
      </c>
      <c r="BS195" s="39"/>
      <c r="BT195" s="39"/>
      <c r="BU195" s="39"/>
      <c r="BV195" s="212"/>
      <c r="BW195" s="221"/>
      <c r="BX195" s="273"/>
      <c r="BY195" s="213"/>
      <c r="BZ195" s="213"/>
      <c r="CA195" s="213"/>
      <c r="CB195" s="274"/>
      <c r="CC195" s="274"/>
      <c r="CD195" s="274"/>
      <c r="CE195" s="39"/>
      <c r="CF195" s="39"/>
      <c r="CG195" s="39"/>
      <c r="CH195" s="274"/>
      <c r="CI195" s="274"/>
      <c r="CJ195" s="274"/>
      <c r="CK195" s="39"/>
      <c r="CL195" s="39"/>
      <c r="CM195" s="39"/>
      <c r="CN195" s="39"/>
      <c r="CO195" s="39"/>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274"/>
      <c r="DM195" s="274"/>
      <c r="DN195" s="274"/>
      <c r="DO195" s="274"/>
      <c r="DP195" s="274"/>
      <c r="DQ195" s="274"/>
      <c r="DR195" s="274"/>
      <c r="DS195" s="274"/>
      <c r="DT195" s="274"/>
      <c r="DU195" s="274"/>
      <c r="DV195" s="274"/>
      <c r="DW195" s="274"/>
      <c r="DX195" s="274"/>
      <c r="DY195" s="274"/>
      <c r="DZ195" s="274"/>
      <c r="EA195" s="274"/>
      <c r="EB195" s="274"/>
      <c r="EC195" s="274"/>
      <c r="ED195" s="39">
        <f t="shared" ref="ED195:ED258" si="81">SUM(M195,P195,V195,AB195,AH195,AN195,AT195,AZ195,BF195,BL195,BR195,BX195,CD195,CJ195,CP195,CV195,DB195,DH195,DN195,DT195,DZ195)</f>
        <v>2732203.1100000003</v>
      </c>
      <c r="EE195" s="30">
        <f t="shared" ref="EE195:EE258" si="82">COUNTA(M195,N195,T195,Z195,AF195,AL195,AR195,AX195,BD195,BJ195,BP195,BV195,CB195,CH195,CN195,CT195,CZ195,DF195,DL195,DR195,DX195)</f>
        <v>3</v>
      </c>
      <c r="EF195" s="39">
        <f t="shared" ref="EF195:EF258" si="83">IFERROR(ED195/EE195," ")</f>
        <v>910734.37000000011</v>
      </c>
    </row>
    <row r="196" spans="1:136" x14ac:dyDescent="0.25">
      <c r="A196" s="25" t="e">
        <f>#REF!</f>
        <v>#REF!</v>
      </c>
      <c r="B196" s="50" t="e">
        <f>#REF!</f>
        <v>#REF!</v>
      </c>
      <c r="C196" s="5" t="e">
        <f>#REF!</f>
        <v>#REF!</v>
      </c>
      <c r="D196" s="5" t="e">
        <f>#REF!</f>
        <v>#REF!</v>
      </c>
      <c r="E196" s="252">
        <v>1</v>
      </c>
      <c r="F196" s="249">
        <v>0</v>
      </c>
      <c r="G196" s="249">
        <v>0</v>
      </c>
      <c r="H196" s="249">
        <v>0</v>
      </c>
      <c r="I196" s="249">
        <v>0</v>
      </c>
      <c r="J196" s="249">
        <v>846638.37080199982</v>
      </c>
      <c r="K196" s="249">
        <v>773500</v>
      </c>
      <c r="L196" s="274">
        <f>J196</f>
        <v>846638.37080199982</v>
      </c>
      <c r="M196" s="274">
        <f>K196*E1</f>
        <v>796705</v>
      </c>
      <c r="N196" s="255"/>
      <c r="O196" s="135"/>
      <c r="P196" s="135"/>
      <c r="Q196" s="131"/>
      <c r="R196" s="131"/>
      <c r="S196" s="11"/>
      <c r="T196" s="274"/>
      <c r="U196" s="274"/>
      <c r="V196" s="274"/>
      <c r="W196" s="39"/>
      <c r="X196" s="11"/>
      <c r="Y196" s="11"/>
      <c r="Z196" s="274"/>
      <c r="AA196" s="274"/>
      <c r="AB196" s="274"/>
      <c r="AC196" s="52"/>
      <c r="AD196" s="22"/>
      <c r="AE196" s="39"/>
      <c r="AF196" s="274"/>
      <c r="AG196" s="274"/>
      <c r="AH196" s="113"/>
      <c r="AI196" s="4"/>
      <c r="AJ196" s="39"/>
      <c r="AK196" s="39"/>
      <c r="AL196" s="118"/>
      <c r="AM196" s="152"/>
      <c r="AN196" s="181"/>
      <c r="AO196" s="131"/>
      <c r="AP196" s="131"/>
      <c r="AQ196" s="39"/>
      <c r="AR196" s="274"/>
      <c r="AS196" s="274"/>
      <c r="AT196" s="274"/>
      <c r="AU196" s="39"/>
      <c r="AV196" s="39"/>
      <c r="AW196" s="39"/>
      <c r="AX196" s="274">
        <v>718000</v>
      </c>
      <c r="AY196" s="274">
        <f>+AX196*0.19</f>
        <v>136420</v>
      </c>
      <c r="AZ196" s="274">
        <f>+AX196+AY196</f>
        <v>854420</v>
      </c>
      <c r="BA196" s="39" t="s">
        <v>445</v>
      </c>
      <c r="BB196" s="62" t="s">
        <v>4735</v>
      </c>
      <c r="BC196" s="39"/>
      <c r="BD196" s="274"/>
      <c r="BE196" s="274"/>
      <c r="BF196" s="274"/>
      <c r="BG196" s="39"/>
      <c r="BH196" s="39"/>
      <c r="BI196" s="39"/>
      <c r="BJ196" s="274"/>
      <c r="BK196" s="274"/>
      <c r="BL196" s="274"/>
      <c r="BM196" s="213"/>
      <c r="BN196" s="213"/>
      <c r="BO196" s="39"/>
      <c r="BP196" s="274">
        <v>960000</v>
      </c>
      <c r="BQ196" s="274">
        <f t="shared" si="79"/>
        <v>182400</v>
      </c>
      <c r="BR196" s="274">
        <f t="shared" si="80"/>
        <v>1142400</v>
      </c>
      <c r="BS196" s="39"/>
      <c r="BT196" s="39"/>
      <c r="BU196" s="39"/>
      <c r="BV196" s="212"/>
      <c r="BW196" s="221"/>
      <c r="BX196" s="273"/>
      <c r="BY196" s="213"/>
      <c r="BZ196" s="213"/>
      <c r="CA196" s="213"/>
      <c r="CB196" s="274"/>
      <c r="CC196" s="274"/>
      <c r="CD196" s="274"/>
      <c r="CE196" s="39"/>
      <c r="CF196" s="39"/>
      <c r="CG196" s="39"/>
      <c r="CH196" s="274"/>
      <c r="CI196" s="274"/>
      <c r="CJ196" s="274"/>
      <c r="CK196" s="39"/>
      <c r="CL196" s="39"/>
      <c r="CM196" s="39"/>
      <c r="CN196" s="39"/>
      <c r="CO196" s="39"/>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274"/>
      <c r="DM196" s="274"/>
      <c r="DN196" s="274"/>
      <c r="DO196" s="274"/>
      <c r="DP196" s="274"/>
      <c r="DQ196" s="274"/>
      <c r="DR196" s="274"/>
      <c r="DS196" s="274"/>
      <c r="DT196" s="274"/>
      <c r="DU196" s="274"/>
      <c r="DV196" s="274"/>
      <c r="DW196" s="274"/>
      <c r="DX196" s="274"/>
      <c r="DY196" s="274"/>
      <c r="DZ196" s="274"/>
      <c r="EA196" s="274"/>
      <c r="EB196" s="274"/>
      <c r="EC196" s="274"/>
      <c r="ED196" s="39">
        <f t="shared" si="81"/>
        <v>2793525</v>
      </c>
      <c r="EE196" s="30">
        <f t="shared" si="82"/>
        <v>3</v>
      </c>
      <c r="EF196" s="39">
        <f t="shared" si="83"/>
        <v>931175</v>
      </c>
    </row>
    <row r="197" spans="1:136" x14ac:dyDescent="0.25">
      <c r="A197" s="25" t="e">
        <f>#REF!</f>
        <v>#REF!</v>
      </c>
      <c r="B197" s="50" t="e">
        <f>#REF!</f>
        <v>#REF!</v>
      </c>
      <c r="C197" s="5" t="e">
        <f>#REF!</f>
        <v>#REF!</v>
      </c>
      <c r="D197" s="5" t="e">
        <f>#REF!</f>
        <v>#REF!</v>
      </c>
      <c r="E197" s="252">
        <v>1</v>
      </c>
      <c r="F197" s="249">
        <v>0</v>
      </c>
      <c r="G197" s="249">
        <v>0</v>
      </c>
      <c r="H197" s="249">
        <v>0</v>
      </c>
      <c r="I197" s="249">
        <v>0</v>
      </c>
      <c r="J197" s="249">
        <v>1693657.4813899999</v>
      </c>
      <c r="K197" s="249">
        <v>1693370</v>
      </c>
      <c r="L197" s="274">
        <f>J197</f>
        <v>1693657.4813899999</v>
      </c>
      <c r="M197" s="274">
        <f>K197*E1</f>
        <v>1744171.1</v>
      </c>
      <c r="N197" s="255"/>
      <c r="O197" s="135"/>
      <c r="P197" s="135"/>
      <c r="Q197" s="131"/>
      <c r="R197" s="131"/>
      <c r="S197" s="11"/>
      <c r="T197" s="274"/>
      <c r="U197" s="274"/>
      <c r="V197" s="274"/>
      <c r="W197" s="39"/>
      <c r="X197" s="11"/>
      <c r="Y197" s="11"/>
      <c r="Z197" s="162"/>
      <c r="AA197" s="274"/>
      <c r="AB197" s="274"/>
      <c r="AC197" s="52"/>
      <c r="AD197" s="22"/>
      <c r="AE197" s="39"/>
      <c r="AF197" s="274"/>
      <c r="AG197" s="274"/>
      <c r="AH197" s="171"/>
      <c r="AI197" s="22"/>
      <c r="AJ197" s="39"/>
      <c r="AK197" s="39"/>
      <c r="AL197" s="118"/>
      <c r="AM197" s="152"/>
      <c r="AN197" s="152"/>
      <c r="AO197" s="131"/>
      <c r="AP197" s="131"/>
      <c r="AQ197" s="39"/>
      <c r="AR197" s="274"/>
      <c r="AS197" s="274"/>
      <c r="AT197" s="274"/>
      <c r="AU197" s="39"/>
      <c r="AV197" s="39"/>
      <c r="AW197" s="39"/>
      <c r="AX197" s="274"/>
      <c r="AY197" s="274"/>
      <c r="AZ197" s="274"/>
      <c r="BA197" s="39"/>
      <c r="BB197" s="62"/>
      <c r="BC197" s="39"/>
      <c r="BD197" s="274"/>
      <c r="BE197" s="274"/>
      <c r="BF197" s="274"/>
      <c r="BG197" s="39"/>
      <c r="BH197" s="39"/>
      <c r="BI197" s="39"/>
      <c r="BJ197" s="274"/>
      <c r="BK197" s="274"/>
      <c r="BL197" s="274"/>
      <c r="BM197" s="213"/>
      <c r="BN197" s="213"/>
      <c r="BO197" s="39"/>
      <c r="BP197" s="274">
        <v>960000</v>
      </c>
      <c r="BQ197" s="274">
        <f t="shared" si="79"/>
        <v>182400</v>
      </c>
      <c r="BR197" s="274">
        <f t="shared" si="80"/>
        <v>1142400</v>
      </c>
      <c r="BS197" s="39"/>
      <c r="BT197" s="39"/>
      <c r="BU197" s="39"/>
      <c r="BV197" s="212"/>
      <c r="BW197" s="221"/>
      <c r="BX197" s="273"/>
      <c r="BY197" s="213"/>
      <c r="BZ197" s="213"/>
      <c r="CA197" s="213"/>
      <c r="CB197" s="274"/>
      <c r="CC197" s="274"/>
      <c r="CD197" s="274"/>
      <c r="CE197" s="39"/>
      <c r="CF197" s="39"/>
      <c r="CG197" s="39"/>
      <c r="CH197" s="274"/>
      <c r="CI197" s="274"/>
      <c r="CJ197" s="274"/>
      <c r="CK197" s="39"/>
      <c r="CL197" s="39"/>
      <c r="CM197" s="39"/>
      <c r="CN197" s="39"/>
      <c r="CO197" s="39"/>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274"/>
      <c r="DM197" s="274"/>
      <c r="DN197" s="274"/>
      <c r="DO197" s="274"/>
      <c r="DP197" s="274"/>
      <c r="DQ197" s="274"/>
      <c r="DR197" s="274"/>
      <c r="DS197" s="274"/>
      <c r="DT197" s="274"/>
      <c r="DU197" s="274"/>
      <c r="DV197" s="274"/>
      <c r="DW197" s="274"/>
      <c r="DX197" s="274"/>
      <c r="DY197" s="274"/>
      <c r="DZ197" s="274"/>
      <c r="EA197" s="274"/>
      <c r="EB197" s="274"/>
      <c r="EC197" s="274"/>
      <c r="ED197" s="39">
        <f t="shared" si="81"/>
        <v>2886571.1</v>
      </c>
      <c r="EE197" s="30">
        <f t="shared" si="82"/>
        <v>2</v>
      </c>
      <c r="EF197" s="39">
        <f t="shared" si="83"/>
        <v>1443285.55</v>
      </c>
    </row>
    <row r="198" spans="1:136" x14ac:dyDescent="0.25">
      <c r="A198" s="25" t="e">
        <f>#REF!</f>
        <v>#REF!</v>
      </c>
      <c r="B198" s="50" t="e">
        <f>#REF!</f>
        <v>#REF!</v>
      </c>
      <c r="C198" s="5" t="e">
        <f>#REF!</f>
        <v>#REF!</v>
      </c>
      <c r="D198" s="5" t="e">
        <f>#REF!</f>
        <v>#REF!</v>
      </c>
      <c r="E198" s="252">
        <v>1</v>
      </c>
      <c r="F198" s="249">
        <v>647122</v>
      </c>
      <c r="G198" s="249">
        <v>357000</v>
      </c>
      <c r="H198" s="249">
        <v>285331.06</v>
      </c>
      <c r="I198" s="249">
        <v>0</v>
      </c>
      <c r="J198" s="249">
        <v>953505.7466666667</v>
      </c>
      <c r="K198" s="249">
        <v>833000</v>
      </c>
      <c r="L198" s="274">
        <f>AVERAGE(F198,H198,J198)</f>
        <v>628652.93555555551</v>
      </c>
      <c r="M198" s="274">
        <f>AVERAGE(G198,K198)*E1</f>
        <v>612850</v>
      </c>
      <c r="N198" s="255"/>
      <c r="O198" s="135"/>
      <c r="P198" s="135"/>
      <c r="Q198" s="131"/>
      <c r="R198" s="131"/>
      <c r="S198" s="11"/>
      <c r="T198" s="274"/>
      <c r="U198" s="274"/>
      <c r="V198" s="274"/>
      <c r="W198" s="39"/>
      <c r="X198" s="11"/>
      <c r="Y198" s="11"/>
      <c r="Z198" s="274"/>
      <c r="AA198" s="274"/>
      <c r="AB198" s="274"/>
      <c r="AC198" s="52"/>
      <c r="AD198" s="22"/>
      <c r="AE198" s="39"/>
      <c r="AF198" s="274"/>
      <c r="AG198" s="274"/>
      <c r="AH198" s="171"/>
      <c r="AI198" s="4"/>
      <c r="AJ198" s="39"/>
      <c r="AK198" s="39"/>
      <c r="AL198" s="118"/>
      <c r="AM198" s="152"/>
      <c r="AN198" s="152"/>
      <c r="AO198" s="131"/>
      <c r="AP198" s="131"/>
      <c r="AQ198" s="39"/>
      <c r="AR198" s="274"/>
      <c r="AS198" s="274"/>
      <c r="AT198" s="274"/>
      <c r="AU198" s="39"/>
      <c r="AV198" s="39"/>
      <c r="AW198" s="39"/>
      <c r="AX198" s="274">
        <f>608000/2</f>
        <v>304000</v>
      </c>
      <c r="AY198" s="274">
        <f>+AX198*0.19</f>
        <v>57760</v>
      </c>
      <c r="AZ198" s="274">
        <f>+AX198+AY198</f>
        <v>361760</v>
      </c>
      <c r="BA198" s="39" t="s">
        <v>4782</v>
      </c>
      <c r="BB198" s="62" t="s">
        <v>4735</v>
      </c>
      <c r="BC198" s="39"/>
      <c r="BD198" s="274"/>
      <c r="BE198" s="274"/>
      <c r="BF198" s="274"/>
      <c r="BG198" s="39"/>
      <c r="BH198" s="39"/>
      <c r="BI198" s="39"/>
      <c r="BJ198" s="274"/>
      <c r="BK198" s="274"/>
      <c r="BL198" s="274"/>
      <c r="BM198" s="213"/>
      <c r="BN198" s="213"/>
      <c r="BO198" s="39"/>
      <c r="BP198" s="274">
        <v>980000</v>
      </c>
      <c r="BQ198" s="274">
        <f t="shared" si="79"/>
        <v>186200</v>
      </c>
      <c r="BR198" s="274">
        <f t="shared" si="80"/>
        <v>1166200</v>
      </c>
      <c r="BS198" s="39"/>
      <c r="BT198" s="39"/>
      <c r="BU198" s="39"/>
      <c r="BV198" s="212"/>
      <c r="BW198" s="221"/>
      <c r="BX198" s="273"/>
      <c r="BY198" s="213"/>
      <c r="BZ198" s="213"/>
      <c r="CA198" s="213"/>
      <c r="CB198" s="274"/>
      <c r="CC198" s="274"/>
      <c r="CD198" s="274"/>
      <c r="CE198" s="39"/>
      <c r="CF198" s="39"/>
      <c r="CG198" s="39"/>
      <c r="CH198" s="274"/>
      <c r="CI198" s="274"/>
      <c r="CJ198" s="274"/>
      <c r="CK198" s="39"/>
      <c r="CL198" s="39"/>
      <c r="CM198" s="39"/>
      <c r="CN198" s="39"/>
      <c r="CO198" s="39"/>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274"/>
      <c r="DM198" s="274"/>
      <c r="DN198" s="274"/>
      <c r="DO198" s="274"/>
      <c r="DP198" s="274"/>
      <c r="DQ198" s="274"/>
      <c r="DR198" s="274"/>
      <c r="DS198" s="274"/>
      <c r="DT198" s="274"/>
      <c r="DU198" s="274"/>
      <c r="DV198" s="274"/>
      <c r="DW198" s="274"/>
      <c r="DX198" s="274"/>
      <c r="DY198" s="274"/>
      <c r="DZ198" s="274"/>
      <c r="EA198" s="274"/>
      <c r="EB198" s="274"/>
      <c r="EC198" s="274"/>
      <c r="ED198" s="39">
        <f t="shared" si="81"/>
        <v>2140810</v>
      </c>
      <c r="EE198" s="30">
        <f t="shared" si="82"/>
        <v>3</v>
      </c>
      <c r="EF198" s="39">
        <f t="shared" si="83"/>
        <v>713603.33333333337</v>
      </c>
    </row>
    <row r="199" spans="1:136" x14ac:dyDescent="0.25">
      <c r="A199" s="25" t="e">
        <f>#REF!</f>
        <v>#REF!</v>
      </c>
      <c r="B199" s="50" t="e">
        <f>#REF!</f>
        <v>#REF!</v>
      </c>
      <c r="C199" s="5" t="e">
        <f>#REF!</f>
        <v>#REF!</v>
      </c>
      <c r="D199" s="5" t="e">
        <f>#REF!</f>
        <v>#REF!</v>
      </c>
      <c r="E199" s="252">
        <v>1</v>
      </c>
      <c r="F199" s="249">
        <v>0</v>
      </c>
      <c r="G199" s="249">
        <v>0</v>
      </c>
      <c r="H199" s="249">
        <v>5950</v>
      </c>
      <c r="I199" s="249">
        <v>0</v>
      </c>
      <c r="J199" s="249">
        <v>305433.33333333331</v>
      </c>
      <c r="K199" s="249">
        <v>297500</v>
      </c>
      <c r="L199" s="274">
        <f>AVERAGE(H199,J199)</f>
        <v>155691.66666666666</v>
      </c>
      <c r="M199" s="274">
        <f>K199*E1</f>
        <v>306425</v>
      </c>
      <c r="N199" s="255">
        <v>550000</v>
      </c>
      <c r="O199" s="135">
        <f t="shared" ref="O199:O205" si="84">+N199*0.19</f>
        <v>104500</v>
      </c>
      <c r="P199" s="135">
        <f t="shared" ref="P199:P205" si="85">+N199+O199</f>
        <v>654500</v>
      </c>
      <c r="Q199" s="131"/>
      <c r="R199" s="131"/>
      <c r="S199" s="11"/>
      <c r="T199" s="274"/>
      <c r="U199" s="274"/>
      <c r="V199" s="274"/>
      <c r="W199" s="39"/>
      <c r="X199" s="11"/>
      <c r="Y199" s="11"/>
      <c r="Z199" s="274"/>
      <c r="AA199" s="274"/>
      <c r="AB199" s="274"/>
      <c r="AC199" s="52"/>
      <c r="AD199" s="22"/>
      <c r="AE199" s="39"/>
      <c r="AF199" s="274"/>
      <c r="AG199" s="274"/>
      <c r="AH199" s="171"/>
      <c r="AI199" s="4"/>
      <c r="AJ199" s="39"/>
      <c r="AK199" s="39"/>
      <c r="AL199" s="118"/>
      <c r="AM199" s="152"/>
      <c r="AN199" s="181"/>
      <c r="AO199" s="131"/>
      <c r="AP199" s="131"/>
      <c r="AQ199" s="39"/>
      <c r="AR199" s="274"/>
      <c r="AS199" s="274"/>
      <c r="AT199" s="274"/>
      <c r="AU199" s="39"/>
      <c r="AV199" s="39"/>
      <c r="AW199" s="39"/>
      <c r="AX199" s="274"/>
      <c r="AY199" s="274"/>
      <c r="AZ199" s="274"/>
      <c r="BA199" s="39"/>
      <c r="BB199" s="62"/>
      <c r="BC199" s="39"/>
      <c r="BD199" s="274"/>
      <c r="BE199" s="274"/>
      <c r="BF199" s="274"/>
      <c r="BG199" s="39"/>
      <c r="BH199" s="39"/>
      <c r="BI199" s="39"/>
      <c r="BJ199" s="274"/>
      <c r="BK199" s="274"/>
      <c r="BL199" s="274"/>
      <c r="BM199" s="213"/>
      <c r="BN199" s="213"/>
      <c r="BO199" s="39"/>
      <c r="BP199" s="274">
        <v>8500</v>
      </c>
      <c r="BQ199" s="274">
        <f t="shared" si="79"/>
        <v>1615</v>
      </c>
      <c r="BR199" s="274">
        <f t="shared" si="80"/>
        <v>10115</v>
      </c>
      <c r="BS199" s="39"/>
      <c r="BT199" s="39"/>
      <c r="BU199" s="39"/>
      <c r="BV199" s="212"/>
      <c r="BW199" s="221"/>
      <c r="BX199" s="273"/>
      <c r="BY199" s="213"/>
      <c r="BZ199" s="213"/>
      <c r="CA199" s="213"/>
      <c r="CB199" s="274"/>
      <c r="CC199" s="274"/>
      <c r="CD199" s="274"/>
      <c r="CE199" s="39"/>
      <c r="CF199" s="39"/>
      <c r="CG199" s="39"/>
      <c r="CH199" s="274"/>
      <c r="CI199" s="274"/>
      <c r="CJ199" s="274"/>
      <c r="CK199" s="39"/>
      <c r="CL199" s="39"/>
      <c r="CM199" s="39"/>
      <c r="CN199" s="39"/>
      <c r="CO199" s="39"/>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274"/>
      <c r="DM199" s="274"/>
      <c r="DN199" s="274"/>
      <c r="DO199" s="274"/>
      <c r="DP199" s="274"/>
      <c r="DQ199" s="274"/>
      <c r="DR199" s="274"/>
      <c r="DS199" s="274"/>
      <c r="DT199" s="274"/>
      <c r="DU199" s="274"/>
      <c r="DV199" s="274"/>
      <c r="DW199" s="274"/>
      <c r="DX199" s="274"/>
      <c r="DY199" s="274"/>
      <c r="DZ199" s="274"/>
      <c r="EA199" s="274"/>
      <c r="EB199" s="274"/>
      <c r="EC199" s="274"/>
      <c r="ED199" s="39">
        <f t="shared" si="81"/>
        <v>971040</v>
      </c>
      <c r="EE199" s="30">
        <f t="shared" si="82"/>
        <v>3</v>
      </c>
      <c r="EF199" s="39">
        <f t="shared" si="83"/>
        <v>323680</v>
      </c>
    </row>
    <row r="200" spans="1:136" x14ac:dyDescent="0.25">
      <c r="A200" s="25" t="e">
        <f>#REF!</f>
        <v>#REF!</v>
      </c>
      <c r="B200" s="50" t="e">
        <f>#REF!</f>
        <v>#REF!</v>
      </c>
      <c r="C200" s="5" t="e">
        <f>#REF!</f>
        <v>#REF!</v>
      </c>
      <c r="D200" s="5" t="e">
        <f>#REF!</f>
        <v>#REF!</v>
      </c>
      <c r="E200" s="252">
        <v>1</v>
      </c>
      <c r="F200" s="249">
        <v>60975.6</v>
      </c>
      <c r="G200" s="249">
        <v>0</v>
      </c>
      <c r="H200" s="249">
        <v>42046.666666666664</v>
      </c>
      <c r="I200" s="249">
        <v>0</v>
      </c>
      <c r="J200" s="249">
        <v>39567.5</v>
      </c>
      <c r="K200" s="249">
        <v>0</v>
      </c>
      <c r="L200" s="274">
        <f>AVERAGE(F200,H200,J200)</f>
        <v>47529.922222222223</v>
      </c>
      <c r="M200" s="274"/>
      <c r="N200" s="255">
        <v>50000</v>
      </c>
      <c r="O200" s="135">
        <f t="shared" si="84"/>
        <v>9500</v>
      </c>
      <c r="P200" s="135">
        <f t="shared" si="85"/>
        <v>59500</v>
      </c>
      <c r="Q200" s="131"/>
      <c r="R200" s="131"/>
      <c r="S200" s="11"/>
      <c r="T200" s="274"/>
      <c r="U200" s="274"/>
      <c r="V200" s="274"/>
      <c r="W200" s="39"/>
      <c r="X200" s="11"/>
      <c r="Y200" s="11"/>
      <c r="Z200" s="274">
        <v>22000</v>
      </c>
      <c r="AA200" s="274">
        <f>+Z200*0.19</f>
        <v>4180</v>
      </c>
      <c r="AB200" s="274">
        <f>+Z200+AA200</f>
        <v>26180</v>
      </c>
      <c r="AC200" s="4" t="s">
        <v>445</v>
      </c>
      <c r="AD200" s="22" t="s">
        <v>4783</v>
      </c>
      <c r="AE200" s="39" t="s">
        <v>4784</v>
      </c>
      <c r="AF200" s="274"/>
      <c r="AG200" s="274"/>
      <c r="AH200" s="171"/>
      <c r="AI200" s="4"/>
      <c r="AJ200" s="39"/>
      <c r="AK200" s="39"/>
      <c r="AL200" s="118"/>
      <c r="AM200" s="152"/>
      <c r="AN200" s="181"/>
      <c r="AO200" s="131"/>
      <c r="AP200" s="131"/>
      <c r="AQ200" s="39"/>
      <c r="AR200" s="274"/>
      <c r="AS200" s="274"/>
      <c r="AT200" s="274"/>
      <c r="AU200" s="39"/>
      <c r="AV200" s="39"/>
      <c r="AW200" s="39"/>
      <c r="AX200" s="274"/>
      <c r="AY200" s="274"/>
      <c r="AZ200" s="274"/>
      <c r="BA200" s="39"/>
      <c r="BB200" s="62"/>
      <c r="BC200" s="39"/>
      <c r="BD200" s="274"/>
      <c r="BE200" s="274"/>
      <c r="BF200" s="274"/>
      <c r="BG200" s="39"/>
      <c r="BH200" s="39"/>
      <c r="BI200" s="39"/>
      <c r="BJ200" s="275">
        <v>295500</v>
      </c>
      <c r="BK200" s="274">
        <f t="shared" ref="BK200:BK210" si="86">+BJ200*0.19</f>
        <v>56145</v>
      </c>
      <c r="BL200" s="274">
        <f t="shared" ref="BL200:BL210" si="87">+BJ200+BK200</f>
        <v>351645</v>
      </c>
      <c r="BM200" s="213" t="s">
        <v>196</v>
      </c>
      <c r="BN200" s="213" t="s">
        <v>2925</v>
      </c>
      <c r="BO200" s="39"/>
      <c r="BP200" s="274">
        <v>42500</v>
      </c>
      <c r="BQ200" s="274">
        <f t="shared" si="79"/>
        <v>8075</v>
      </c>
      <c r="BR200" s="274">
        <f t="shared" si="80"/>
        <v>50575</v>
      </c>
      <c r="BS200" s="39"/>
      <c r="BT200" s="39"/>
      <c r="BU200" s="39"/>
      <c r="BV200" s="219">
        <v>342078.1875</v>
      </c>
      <c r="BW200" s="219">
        <f>+BV200*0.19</f>
        <v>64994.855625000004</v>
      </c>
      <c r="BX200" s="273">
        <f>+BV200+BW200</f>
        <v>407073.04312500003</v>
      </c>
      <c r="BY200" s="213" t="s">
        <v>196</v>
      </c>
      <c r="BZ200" s="213" t="s">
        <v>2925</v>
      </c>
      <c r="CA200" s="213"/>
      <c r="CB200" s="274"/>
      <c r="CC200" s="274"/>
      <c r="CD200" s="274"/>
      <c r="CE200" s="39"/>
      <c r="CF200" s="39"/>
      <c r="CG200" s="39"/>
      <c r="CH200" s="274"/>
      <c r="CI200" s="274"/>
      <c r="CJ200" s="274"/>
      <c r="CK200" s="39"/>
      <c r="CL200" s="39"/>
      <c r="CM200" s="39"/>
      <c r="CN200" s="39"/>
      <c r="CO200" s="39"/>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274"/>
      <c r="DM200" s="274"/>
      <c r="DN200" s="274"/>
      <c r="DO200" s="274"/>
      <c r="DP200" s="274"/>
      <c r="DQ200" s="274"/>
      <c r="DR200" s="274"/>
      <c r="DS200" s="274"/>
      <c r="DT200" s="274"/>
      <c r="DU200" s="274"/>
      <c r="DV200" s="274"/>
      <c r="DW200" s="274"/>
      <c r="DX200" s="274"/>
      <c r="DY200" s="274"/>
      <c r="DZ200" s="274"/>
      <c r="EA200" s="274"/>
      <c r="EB200" s="274"/>
      <c r="EC200" s="274"/>
      <c r="ED200" s="39">
        <f t="shared" si="81"/>
        <v>894973.04312500008</v>
      </c>
      <c r="EE200" s="30">
        <f t="shared" si="82"/>
        <v>5</v>
      </c>
      <c r="EF200" s="39">
        <f t="shared" si="83"/>
        <v>178994.60862500002</v>
      </c>
    </row>
    <row r="201" spans="1:136" ht="38.25" x14ac:dyDescent="0.25">
      <c r="A201" s="25" t="e">
        <f>#REF!</f>
        <v>#REF!</v>
      </c>
      <c r="B201" s="50" t="e">
        <f>#REF!</f>
        <v>#REF!</v>
      </c>
      <c r="C201" s="5" t="e">
        <f>#REF!</f>
        <v>#REF!</v>
      </c>
      <c r="D201" s="5" t="e">
        <f>#REF!</f>
        <v>#REF!</v>
      </c>
      <c r="E201" s="252">
        <v>1</v>
      </c>
      <c r="F201" s="249">
        <v>0</v>
      </c>
      <c r="G201" s="249">
        <v>0</v>
      </c>
      <c r="H201" s="249">
        <v>0</v>
      </c>
      <c r="I201" s="249">
        <v>0</v>
      </c>
      <c r="J201" s="249">
        <v>0</v>
      </c>
      <c r="K201" s="249">
        <v>0</v>
      </c>
      <c r="L201" s="274"/>
      <c r="M201" s="274"/>
      <c r="N201" s="255">
        <v>700000</v>
      </c>
      <c r="O201" s="135">
        <f t="shared" si="84"/>
        <v>133000</v>
      </c>
      <c r="P201" s="135">
        <f t="shared" si="85"/>
        <v>833000</v>
      </c>
      <c r="Q201" s="131"/>
      <c r="R201" s="131"/>
      <c r="S201" s="11"/>
      <c r="T201" s="274"/>
      <c r="U201" s="274"/>
      <c r="V201" s="274"/>
      <c r="W201" s="39"/>
      <c r="X201" s="11"/>
      <c r="Y201" s="11"/>
      <c r="Z201" s="226">
        <f>39000*24</f>
        <v>936000</v>
      </c>
      <c r="AA201" s="274">
        <f>+Z201*0.19</f>
        <v>177840</v>
      </c>
      <c r="AB201" s="274">
        <f>+Z201+AA201</f>
        <v>1113840</v>
      </c>
      <c r="AC201" s="4" t="s">
        <v>445</v>
      </c>
      <c r="AD201" s="22" t="s">
        <v>4768</v>
      </c>
      <c r="AE201" s="39" t="s">
        <v>3370</v>
      </c>
      <c r="AF201" s="274"/>
      <c r="AG201" s="274"/>
      <c r="AH201" s="171"/>
      <c r="AI201" s="4"/>
      <c r="AJ201" s="39"/>
      <c r="AK201" s="39"/>
      <c r="AL201" s="118"/>
      <c r="AM201" s="152"/>
      <c r="AN201" s="181"/>
      <c r="AO201" s="131"/>
      <c r="AP201" s="131"/>
      <c r="AQ201" s="39"/>
      <c r="AR201" s="274"/>
      <c r="AS201" s="274"/>
      <c r="AT201" s="274"/>
      <c r="AU201" s="39"/>
      <c r="AV201" s="39"/>
      <c r="AW201" s="39"/>
      <c r="AX201" s="274"/>
      <c r="AY201" s="274"/>
      <c r="AZ201" s="274"/>
      <c r="BA201" s="39"/>
      <c r="BB201" s="62"/>
      <c r="BC201" s="39"/>
      <c r="BD201" s="227">
        <f>27190*24</f>
        <v>652560</v>
      </c>
      <c r="BE201" s="274">
        <f>+BD201*0.19</f>
        <v>123986.4</v>
      </c>
      <c r="BF201" s="274">
        <f>+BD201+BE201</f>
        <v>776546.4</v>
      </c>
      <c r="BG201" s="209" t="s">
        <v>445</v>
      </c>
      <c r="BH201" s="207" t="s">
        <v>4785</v>
      </c>
      <c r="BI201" s="5" t="s">
        <v>4786</v>
      </c>
      <c r="BJ201" s="275">
        <f>+(3376800/36)*24</f>
        <v>2251200</v>
      </c>
      <c r="BK201" s="274">
        <f t="shared" si="86"/>
        <v>427728</v>
      </c>
      <c r="BL201" s="274">
        <f t="shared" si="87"/>
        <v>2678928</v>
      </c>
      <c r="BM201" s="213" t="s">
        <v>4787</v>
      </c>
      <c r="BN201" s="213" t="s">
        <v>338</v>
      </c>
      <c r="BO201" s="39"/>
      <c r="BP201" s="274">
        <f>42500*24</f>
        <v>1020000</v>
      </c>
      <c r="BQ201" s="274">
        <f t="shared" si="79"/>
        <v>193800</v>
      </c>
      <c r="BR201" s="274">
        <f t="shared" si="80"/>
        <v>1213800</v>
      </c>
      <c r="BS201" s="39"/>
      <c r="BT201" s="39"/>
      <c r="BU201" s="39"/>
      <c r="BV201" s="224"/>
      <c r="BW201" s="219"/>
      <c r="BX201" s="273"/>
      <c r="BY201" s="213"/>
      <c r="BZ201" s="213"/>
      <c r="CA201" s="213"/>
      <c r="CB201" s="274"/>
      <c r="CC201" s="274"/>
      <c r="CD201" s="274"/>
      <c r="CE201" s="39"/>
      <c r="CF201" s="39"/>
      <c r="CG201" s="39"/>
      <c r="CH201" s="274"/>
      <c r="CI201" s="274"/>
      <c r="CJ201" s="274"/>
      <c r="CK201" s="39"/>
      <c r="CL201" s="39"/>
      <c r="CM201" s="39"/>
      <c r="CN201" s="39"/>
      <c r="CO201" s="39"/>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274"/>
      <c r="DM201" s="274"/>
      <c r="DN201" s="274"/>
      <c r="DO201" s="274"/>
      <c r="DP201" s="274"/>
      <c r="DQ201" s="274"/>
      <c r="DR201" s="274"/>
      <c r="DS201" s="274"/>
      <c r="DT201" s="274"/>
      <c r="DU201" s="274"/>
      <c r="DV201" s="274"/>
      <c r="DW201" s="274"/>
      <c r="DX201" s="274"/>
      <c r="DY201" s="274"/>
      <c r="DZ201" s="274"/>
      <c r="EA201" s="274"/>
      <c r="EB201" s="274"/>
      <c r="EC201" s="274"/>
      <c r="ED201" s="39">
        <f t="shared" si="81"/>
        <v>6616114.4000000004</v>
      </c>
      <c r="EE201" s="30">
        <f t="shared" si="82"/>
        <v>5</v>
      </c>
      <c r="EF201" s="39">
        <f t="shared" si="83"/>
        <v>1323222.8800000001</v>
      </c>
    </row>
    <row r="202" spans="1:136" x14ac:dyDescent="0.25">
      <c r="A202" s="25" t="e">
        <f>#REF!</f>
        <v>#REF!</v>
      </c>
      <c r="B202" s="50" t="e">
        <f>#REF!</f>
        <v>#REF!</v>
      </c>
      <c r="C202" s="5" t="e">
        <f>#REF!</f>
        <v>#REF!</v>
      </c>
      <c r="D202" s="5" t="e">
        <f>#REF!</f>
        <v>#REF!</v>
      </c>
      <c r="E202" s="252">
        <v>1</v>
      </c>
      <c r="F202" s="249">
        <v>232585.5</v>
      </c>
      <c r="G202" s="249">
        <v>224434</v>
      </c>
      <c r="H202" s="249">
        <v>228904.02873333334</v>
      </c>
      <c r="I202" s="249">
        <v>228837</v>
      </c>
      <c r="J202" s="249">
        <v>206918.29083333333</v>
      </c>
      <c r="K202" s="249">
        <v>49742</v>
      </c>
      <c r="L202" s="274">
        <f>AVERAGE(F202,H202,J202)</f>
        <v>222802.6065222222</v>
      </c>
      <c r="M202" s="274">
        <f>AVERAGE(G202,I202,K202)*E1</f>
        <v>172701.13</v>
      </c>
      <c r="N202" s="255">
        <v>270000</v>
      </c>
      <c r="O202" s="135">
        <f t="shared" si="84"/>
        <v>51300</v>
      </c>
      <c r="P202" s="135">
        <f t="shared" si="85"/>
        <v>321300</v>
      </c>
      <c r="Q202" s="131"/>
      <c r="R202" s="131"/>
      <c r="S202" s="11"/>
      <c r="T202" s="274"/>
      <c r="U202" s="274"/>
      <c r="V202" s="274"/>
      <c r="W202" s="39"/>
      <c r="X202" s="11"/>
      <c r="Y202" s="11"/>
      <c r="Z202" s="274"/>
      <c r="AA202" s="274"/>
      <c r="AB202" s="274"/>
      <c r="AC202" s="52"/>
      <c r="AD202" s="22"/>
      <c r="AE202" s="39"/>
      <c r="AF202" s="274"/>
      <c r="AG202" s="274"/>
      <c r="AH202" s="171"/>
      <c r="AI202" s="4"/>
      <c r="AJ202" s="39"/>
      <c r="AK202" s="39"/>
      <c r="AL202" s="118"/>
      <c r="AM202" s="152"/>
      <c r="AN202" s="181"/>
      <c r="AO202" s="131"/>
      <c r="AP202" s="131"/>
      <c r="AQ202" s="39"/>
      <c r="AR202" s="274"/>
      <c r="AS202" s="274"/>
      <c r="AT202" s="274"/>
      <c r="AU202" s="39"/>
      <c r="AV202" s="39"/>
      <c r="AW202" s="39"/>
      <c r="AX202" s="274"/>
      <c r="AY202" s="274"/>
      <c r="AZ202" s="274"/>
      <c r="BA202" s="39"/>
      <c r="BB202" s="62"/>
      <c r="BC202" s="39"/>
      <c r="BD202" s="274"/>
      <c r="BE202" s="274"/>
      <c r="BF202" s="274"/>
      <c r="BG202" s="39"/>
      <c r="BH202" s="39"/>
      <c r="BI202" s="39"/>
      <c r="BJ202" s="275">
        <v>233300</v>
      </c>
      <c r="BK202" s="274">
        <f t="shared" si="86"/>
        <v>44327</v>
      </c>
      <c r="BL202" s="274">
        <f t="shared" si="87"/>
        <v>277627</v>
      </c>
      <c r="BM202" s="213" t="s">
        <v>172</v>
      </c>
      <c r="BN202" s="213" t="s">
        <v>4788</v>
      </c>
      <c r="BO202" s="39"/>
      <c r="BP202" s="274">
        <v>198000</v>
      </c>
      <c r="BQ202" s="274">
        <f t="shared" si="79"/>
        <v>37620</v>
      </c>
      <c r="BR202" s="274">
        <f t="shared" si="80"/>
        <v>235620</v>
      </c>
      <c r="BS202" s="39"/>
      <c r="BT202" s="39"/>
      <c r="BU202" s="39"/>
      <c r="BV202" s="219">
        <v>245152.57320000001</v>
      </c>
      <c r="BW202" s="219">
        <f>+BV202*0.19</f>
        <v>46578.988908000007</v>
      </c>
      <c r="BX202" s="273">
        <f>+BV202+BW202</f>
        <v>291731.56210800004</v>
      </c>
      <c r="BY202" s="213" t="s">
        <v>172</v>
      </c>
      <c r="BZ202" s="213" t="s">
        <v>4788</v>
      </c>
      <c r="CA202" s="213"/>
      <c r="CB202" s="274"/>
      <c r="CC202" s="274"/>
      <c r="CD202" s="274"/>
      <c r="CE202" s="39"/>
      <c r="CF202" s="39"/>
      <c r="CG202" s="39"/>
      <c r="CH202" s="274"/>
      <c r="CI202" s="274"/>
      <c r="CJ202" s="274"/>
      <c r="CK202" s="39"/>
      <c r="CL202" s="39"/>
      <c r="CM202" s="39"/>
      <c r="CN202" s="39"/>
      <c r="CO202" s="39"/>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274"/>
      <c r="DM202" s="274"/>
      <c r="DN202" s="274"/>
      <c r="DO202" s="274"/>
      <c r="DP202" s="274"/>
      <c r="DQ202" s="274"/>
      <c r="DR202" s="274"/>
      <c r="DS202" s="274"/>
      <c r="DT202" s="274"/>
      <c r="DU202" s="274"/>
      <c r="DV202" s="274"/>
      <c r="DW202" s="274"/>
      <c r="DX202" s="274"/>
      <c r="DY202" s="274"/>
      <c r="DZ202" s="274"/>
      <c r="EA202" s="274"/>
      <c r="EB202" s="274"/>
      <c r="EC202" s="274"/>
      <c r="ED202" s="39">
        <f t="shared" si="81"/>
        <v>1298979.6921080002</v>
      </c>
      <c r="EE202" s="30">
        <f t="shared" si="82"/>
        <v>5</v>
      </c>
      <c r="EF202" s="39">
        <f t="shared" si="83"/>
        <v>259795.93842160003</v>
      </c>
    </row>
    <row r="203" spans="1:136" x14ac:dyDescent="0.25">
      <c r="A203" s="25" t="e">
        <f>#REF!</f>
        <v>#REF!</v>
      </c>
      <c r="B203" s="50" t="e">
        <f>#REF!</f>
        <v>#REF!</v>
      </c>
      <c r="C203" s="5" t="e">
        <f>#REF!</f>
        <v>#REF!</v>
      </c>
      <c r="D203" s="5" t="e">
        <f>#REF!</f>
        <v>#REF!</v>
      </c>
      <c r="E203" s="252">
        <v>1</v>
      </c>
      <c r="F203" s="249">
        <v>163659.90666666668</v>
      </c>
      <c r="G203" s="249">
        <v>158746</v>
      </c>
      <c r="H203" s="249">
        <v>185749.32926666667</v>
      </c>
      <c r="I203" s="249">
        <v>185640</v>
      </c>
      <c r="J203" s="249">
        <v>176728.88333333333</v>
      </c>
      <c r="K203" s="249">
        <v>49742</v>
      </c>
      <c r="L203" s="274">
        <f>AVERAGE(F203,H203,J203)</f>
        <v>175379.37308888891</v>
      </c>
      <c r="M203" s="274">
        <f>AVERAGE(G203,I203,K203)*E1</f>
        <v>135317.28</v>
      </c>
      <c r="N203" s="255">
        <v>270000</v>
      </c>
      <c r="O203" s="135">
        <f t="shared" si="84"/>
        <v>51300</v>
      </c>
      <c r="P203" s="135">
        <f t="shared" si="85"/>
        <v>321300</v>
      </c>
      <c r="Q203" s="131"/>
      <c r="R203" s="131"/>
      <c r="S203" s="11"/>
      <c r="T203" s="274"/>
      <c r="U203" s="274"/>
      <c r="V203" s="274"/>
      <c r="W203" s="39"/>
      <c r="X203" s="11"/>
      <c r="Y203" s="11"/>
      <c r="Z203" s="274"/>
      <c r="AA203" s="274"/>
      <c r="AB203" s="274"/>
      <c r="AC203" s="52"/>
      <c r="AD203" s="22"/>
      <c r="AE203" s="39"/>
      <c r="AF203" s="274"/>
      <c r="AG203" s="274"/>
      <c r="AH203" s="171"/>
      <c r="AI203" s="4"/>
      <c r="AJ203" s="39"/>
      <c r="AK203" s="39"/>
      <c r="AL203" s="118"/>
      <c r="AM203" s="152"/>
      <c r="AN203" s="181"/>
      <c r="AO203" s="131"/>
      <c r="AP203" s="131"/>
      <c r="AQ203" s="39"/>
      <c r="AR203" s="274"/>
      <c r="AS203" s="274"/>
      <c r="AT203" s="274"/>
      <c r="AU203" s="39"/>
      <c r="AV203" s="39"/>
      <c r="AW203" s="39"/>
      <c r="AX203" s="274"/>
      <c r="AY203" s="274"/>
      <c r="AZ203" s="274"/>
      <c r="BA203" s="39"/>
      <c r="BB203" s="62"/>
      <c r="BC203" s="39"/>
      <c r="BD203" s="274"/>
      <c r="BE203" s="274"/>
      <c r="BF203" s="274"/>
      <c r="BG203" s="39"/>
      <c r="BH203" s="39"/>
      <c r="BI203" s="39"/>
      <c r="BJ203" s="275">
        <v>233300</v>
      </c>
      <c r="BK203" s="274">
        <f t="shared" si="86"/>
        <v>44327</v>
      </c>
      <c r="BL203" s="274">
        <f t="shared" si="87"/>
        <v>277627</v>
      </c>
      <c r="BM203" s="213" t="s">
        <v>172</v>
      </c>
      <c r="BN203" s="213" t="s">
        <v>4788</v>
      </c>
      <c r="BO203" s="39"/>
      <c r="BP203" s="274">
        <v>198000</v>
      </c>
      <c r="BQ203" s="274">
        <f t="shared" si="79"/>
        <v>37620</v>
      </c>
      <c r="BR203" s="274">
        <f t="shared" si="80"/>
        <v>235620</v>
      </c>
      <c r="BS203" s="39"/>
      <c r="BT203" s="39"/>
      <c r="BU203" s="39"/>
      <c r="BV203" s="219">
        <v>254861.58600000001</v>
      </c>
      <c r="BW203" s="219">
        <f>+BV203*0.19</f>
        <v>48423.70134</v>
      </c>
      <c r="BX203" s="273">
        <f>+BV203+BW203</f>
        <v>303285.28734000004</v>
      </c>
      <c r="BY203" s="213" t="s">
        <v>172</v>
      </c>
      <c r="BZ203" s="213" t="s">
        <v>4788</v>
      </c>
      <c r="CA203" s="213"/>
      <c r="CB203" s="274"/>
      <c r="CC203" s="274"/>
      <c r="CD203" s="274"/>
      <c r="CE203" s="39"/>
      <c r="CF203" s="39"/>
      <c r="CG203" s="39"/>
      <c r="CH203" s="274"/>
      <c r="CI203" s="274"/>
      <c r="CJ203" s="274"/>
      <c r="CK203" s="39"/>
      <c r="CL203" s="39"/>
      <c r="CM203" s="39"/>
      <c r="CN203" s="39"/>
      <c r="CO203" s="39"/>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274"/>
      <c r="DM203" s="274"/>
      <c r="DN203" s="274"/>
      <c r="DO203" s="274"/>
      <c r="DP203" s="274"/>
      <c r="DQ203" s="274"/>
      <c r="DR203" s="274"/>
      <c r="DS203" s="274"/>
      <c r="DT203" s="274"/>
      <c r="DU203" s="274"/>
      <c r="DV203" s="274"/>
      <c r="DW203" s="274"/>
      <c r="DX203" s="274"/>
      <c r="DY203" s="274"/>
      <c r="DZ203" s="274"/>
      <c r="EA203" s="274"/>
      <c r="EB203" s="274"/>
      <c r="EC203" s="274"/>
      <c r="ED203" s="39">
        <f t="shared" si="81"/>
        <v>1273149.5673400001</v>
      </c>
      <c r="EE203" s="30">
        <f t="shared" si="82"/>
        <v>5</v>
      </c>
      <c r="EF203" s="39">
        <f t="shared" si="83"/>
        <v>254629.91346800001</v>
      </c>
    </row>
    <row r="204" spans="1:136" x14ac:dyDescent="0.25">
      <c r="A204" s="25" t="e">
        <f>#REF!</f>
        <v>#REF!</v>
      </c>
      <c r="B204" s="50" t="e">
        <f>#REF!</f>
        <v>#REF!</v>
      </c>
      <c r="C204" s="5" t="e">
        <f>#REF!</f>
        <v>#REF!</v>
      </c>
      <c r="D204" s="5" t="e">
        <f>#REF!</f>
        <v>#REF!</v>
      </c>
      <c r="E204" s="252">
        <v>1</v>
      </c>
      <c r="F204" s="249">
        <v>148274</v>
      </c>
      <c r="G204" s="249">
        <v>140777</v>
      </c>
      <c r="H204" s="249">
        <v>117413.33333333333</v>
      </c>
      <c r="I204" s="249">
        <v>0</v>
      </c>
      <c r="J204" s="249">
        <v>76904.444166666668</v>
      </c>
      <c r="K204" s="249">
        <v>13566</v>
      </c>
      <c r="L204" s="274">
        <f>AVERAGE(F204,H204,J204)</f>
        <v>114197.25916666666</v>
      </c>
      <c r="M204" s="274">
        <f>AVERAGE(G204,K204)*E1</f>
        <v>79486.645000000004</v>
      </c>
      <c r="N204" s="255">
        <v>110000</v>
      </c>
      <c r="O204" s="135">
        <f t="shared" si="84"/>
        <v>20900</v>
      </c>
      <c r="P204" s="135">
        <f t="shared" si="85"/>
        <v>130900</v>
      </c>
      <c r="Q204" s="131"/>
      <c r="R204" s="131"/>
      <c r="S204" s="11"/>
      <c r="T204" s="274"/>
      <c r="U204" s="274"/>
      <c r="V204" s="274"/>
      <c r="W204" s="39"/>
      <c r="X204" s="11"/>
      <c r="Y204" s="11"/>
      <c r="Z204" s="274"/>
      <c r="AA204" s="274"/>
      <c r="AB204" s="274"/>
      <c r="AC204" s="5"/>
      <c r="AD204" s="22"/>
      <c r="AE204" s="39"/>
      <c r="AF204" s="274"/>
      <c r="AG204" s="274"/>
      <c r="AH204" s="169"/>
      <c r="AI204" s="4"/>
      <c r="AJ204" s="39"/>
      <c r="AK204" s="39"/>
      <c r="AL204" s="118"/>
      <c r="AM204" s="152"/>
      <c r="AN204" s="181"/>
      <c r="AO204" s="131"/>
      <c r="AP204" s="131"/>
      <c r="AQ204" s="39"/>
      <c r="AR204" s="274"/>
      <c r="AS204" s="274"/>
      <c r="AT204" s="274"/>
      <c r="AU204" s="39"/>
      <c r="AV204" s="39"/>
      <c r="AW204" s="39"/>
      <c r="AX204" s="274"/>
      <c r="AY204" s="274"/>
      <c r="AZ204" s="274"/>
      <c r="BA204" s="39"/>
      <c r="BB204" s="62"/>
      <c r="BC204" s="39"/>
      <c r="BD204" s="274"/>
      <c r="BE204" s="274"/>
      <c r="BF204" s="274"/>
      <c r="BG204" s="39"/>
      <c r="BH204" s="39"/>
      <c r="BI204" s="39"/>
      <c r="BJ204" s="275">
        <f>162500/3</f>
        <v>54166.666666666664</v>
      </c>
      <c r="BK204" s="274">
        <f t="shared" si="86"/>
        <v>10291.666666666666</v>
      </c>
      <c r="BL204" s="274">
        <f t="shared" si="87"/>
        <v>64458.333333333328</v>
      </c>
      <c r="BM204" s="213" t="s">
        <v>4789</v>
      </c>
      <c r="BN204" s="213" t="s">
        <v>4788</v>
      </c>
      <c r="BO204" s="39"/>
      <c r="BP204" s="274">
        <v>165000</v>
      </c>
      <c r="BQ204" s="274">
        <f t="shared" si="79"/>
        <v>31350</v>
      </c>
      <c r="BR204" s="274">
        <f t="shared" si="80"/>
        <v>196350</v>
      </c>
      <c r="BS204" s="39"/>
      <c r="BT204" s="39"/>
      <c r="BU204" s="39"/>
      <c r="BV204" s="219">
        <f>179126.025/3</f>
        <v>59708.674999999996</v>
      </c>
      <c r="BW204" s="219">
        <f>+BV204*0.19</f>
        <v>11344.64825</v>
      </c>
      <c r="BX204" s="273">
        <f>+BV204+BW204</f>
        <v>71053.323250000001</v>
      </c>
      <c r="BY204" s="213" t="s">
        <v>4789</v>
      </c>
      <c r="BZ204" s="213" t="s">
        <v>4788</v>
      </c>
      <c r="CA204" s="213"/>
      <c r="CB204" s="274"/>
      <c r="CC204" s="274"/>
      <c r="CD204" s="274"/>
      <c r="CE204" s="39"/>
      <c r="CF204" s="39"/>
      <c r="CG204" s="39"/>
      <c r="CH204" s="274"/>
      <c r="CI204" s="274"/>
      <c r="CJ204" s="274"/>
      <c r="CK204" s="39"/>
      <c r="CL204" s="39"/>
      <c r="CM204" s="39"/>
      <c r="CN204" s="39"/>
      <c r="CO204" s="39"/>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274"/>
      <c r="DM204" s="274"/>
      <c r="DN204" s="274"/>
      <c r="DO204" s="274"/>
      <c r="DP204" s="274"/>
      <c r="DQ204" s="274"/>
      <c r="DR204" s="274"/>
      <c r="DS204" s="274"/>
      <c r="DT204" s="274"/>
      <c r="DU204" s="274"/>
      <c r="DV204" s="274"/>
      <c r="DW204" s="274"/>
      <c r="DX204" s="274"/>
      <c r="DY204" s="274"/>
      <c r="DZ204" s="274"/>
      <c r="EA204" s="274"/>
      <c r="EB204" s="274"/>
      <c r="EC204" s="274"/>
      <c r="ED204" s="39">
        <f t="shared" si="81"/>
        <v>542248.30158333329</v>
      </c>
      <c r="EE204" s="30">
        <f t="shared" si="82"/>
        <v>5</v>
      </c>
      <c r="EF204" s="39">
        <f t="shared" si="83"/>
        <v>108449.66031666666</v>
      </c>
    </row>
    <row r="205" spans="1:136" x14ac:dyDescent="0.25">
      <c r="A205" s="25" t="e">
        <f>#REF!</f>
        <v>#REF!</v>
      </c>
      <c r="B205" s="50" t="e">
        <f>#REF!</f>
        <v>#REF!</v>
      </c>
      <c r="C205" s="5" t="e">
        <f>#REF!</f>
        <v>#REF!</v>
      </c>
      <c r="D205" s="5" t="e">
        <f>#REF!</f>
        <v>#REF!</v>
      </c>
      <c r="E205" s="252">
        <v>1</v>
      </c>
      <c r="F205" s="249">
        <v>107452.24</v>
      </c>
      <c r="G205" s="249">
        <v>101983</v>
      </c>
      <c r="H205" s="249">
        <v>114430.25422500001</v>
      </c>
      <c r="I205" s="249">
        <v>0</v>
      </c>
      <c r="J205" s="249">
        <v>97876.111666666664</v>
      </c>
      <c r="K205" s="249">
        <v>13566</v>
      </c>
      <c r="L205" s="274">
        <f>AVERAGE(F205,H205,J205)</f>
        <v>106586.2019638889</v>
      </c>
      <c r="M205" s="274">
        <f>AVERAGE(G205,K205)*E1</f>
        <v>59507.735000000001</v>
      </c>
      <c r="N205" s="255">
        <v>110000</v>
      </c>
      <c r="O205" s="135">
        <f t="shared" si="84"/>
        <v>20900</v>
      </c>
      <c r="P205" s="135">
        <f t="shared" si="85"/>
        <v>130900</v>
      </c>
      <c r="Q205" s="131"/>
      <c r="R205" s="131"/>
      <c r="S205" s="11"/>
      <c r="T205" s="274"/>
      <c r="U205" s="274"/>
      <c r="V205" s="274"/>
      <c r="W205" s="39"/>
      <c r="X205" s="11"/>
      <c r="Y205" s="11"/>
      <c r="Z205" s="274"/>
      <c r="AA205" s="274"/>
      <c r="AB205" s="274"/>
      <c r="AC205" s="5"/>
      <c r="AD205" s="22"/>
      <c r="AE205" s="39"/>
      <c r="AF205" s="274"/>
      <c r="AG205" s="274"/>
      <c r="AH205" s="169"/>
      <c r="AI205" s="4"/>
      <c r="AJ205" s="39"/>
      <c r="AK205" s="39"/>
      <c r="AL205" s="118"/>
      <c r="AM205" s="152"/>
      <c r="AN205" s="152"/>
      <c r="AO205" s="131"/>
      <c r="AP205" s="131"/>
      <c r="AQ205" s="39"/>
      <c r="AR205" s="274"/>
      <c r="AS205" s="274"/>
      <c r="AT205" s="274"/>
      <c r="AU205" s="39"/>
      <c r="AV205" s="39"/>
      <c r="AW205" s="39"/>
      <c r="AX205" s="274"/>
      <c r="AY205" s="274"/>
      <c r="AZ205" s="274"/>
      <c r="BA205" s="39"/>
      <c r="BB205" s="62"/>
      <c r="BC205" s="39"/>
      <c r="BD205" s="274"/>
      <c r="BE205" s="274"/>
      <c r="BF205" s="274"/>
      <c r="BG205" s="39"/>
      <c r="BH205" s="39"/>
      <c r="BI205" s="39"/>
      <c r="BJ205" s="275">
        <f>162500/3</f>
        <v>54166.666666666664</v>
      </c>
      <c r="BK205" s="274">
        <f t="shared" si="86"/>
        <v>10291.666666666666</v>
      </c>
      <c r="BL205" s="274">
        <f t="shared" si="87"/>
        <v>64458.333333333328</v>
      </c>
      <c r="BM205" s="213" t="s">
        <v>4789</v>
      </c>
      <c r="BN205" s="213" t="s">
        <v>4788</v>
      </c>
      <c r="BO205" s="39"/>
      <c r="BP205" s="274">
        <v>165000</v>
      </c>
      <c r="BQ205" s="274">
        <f t="shared" si="79"/>
        <v>31350</v>
      </c>
      <c r="BR205" s="274">
        <f t="shared" si="80"/>
        <v>196350</v>
      </c>
      <c r="BS205" s="39"/>
      <c r="BT205" s="39"/>
      <c r="BU205" s="39"/>
      <c r="BV205" s="219">
        <f>187960.5/3</f>
        <v>62653.5</v>
      </c>
      <c r="BW205" s="219">
        <f>+BV205*0.19</f>
        <v>11904.165000000001</v>
      </c>
      <c r="BX205" s="273">
        <f>+BV205+BW205</f>
        <v>74557.665000000008</v>
      </c>
      <c r="BY205" s="213" t="s">
        <v>4789</v>
      </c>
      <c r="BZ205" s="213" t="s">
        <v>4788</v>
      </c>
      <c r="CA205" s="213"/>
      <c r="CB205" s="274"/>
      <c r="CC205" s="274"/>
      <c r="CD205" s="274"/>
      <c r="CE205" s="39"/>
      <c r="CF205" s="39"/>
      <c r="CG205" s="39"/>
      <c r="CH205" s="274"/>
      <c r="CI205" s="274"/>
      <c r="CJ205" s="274"/>
      <c r="CK205" s="39"/>
      <c r="CL205" s="39"/>
      <c r="CM205" s="39"/>
      <c r="CN205" s="39"/>
      <c r="CO205" s="39"/>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274"/>
      <c r="DM205" s="274"/>
      <c r="DN205" s="274"/>
      <c r="DO205" s="274"/>
      <c r="DP205" s="274"/>
      <c r="DQ205" s="274"/>
      <c r="DR205" s="274"/>
      <c r="DS205" s="274"/>
      <c r="DT205" s="274"/>
      <c r="DU205" s="274"/>
      <c r="DV205" s="274"/>
      <c r="DW205" s="274"/>
      <c r="DX205" s="274"/>
      <c r="DY205" s="274"/>
      <c r="DZ205" s="274"/>
      <c r="EA205" s="274"/>
      <c r="EB205" s="274"/>
      <c r="EC205" s="274"/>
      <c r="ED205" s="39">
        <f t="shared" si="81"/>
        <v>525773.73333333328</v>
      </c>
      <c r="EE205" s="30">
        <f t="shared" si="82"/>
        <v>5</v>
      </c>
      <c r="EF205" s="39">
        <f t="shared" si="83"/>
        <v>105154.74666666666</v>
      </c>
    </row>
    <row r="206" spans="1:136" x14ac:dyDescent="0.25">
      <c r="A206" s="25" t="e">
        <f>#REF!</f>
        <v>#REF!</v>
      </c>
      <c r="B206" s="50" t="e">
        <f>#REF!</f>
        <v>#REF!</v>
      </c>
      <c r="C206" s="5" t="e">
        <f>#REF!</f>
        <v>#REF!</v>
      </c>
      <c r="D206" s="5" t="e">
        <f>#REF!</f>
        <v>#REF!</v>
      </c>
      <c r="E206" s="252">
        <v>1</v>
      </c>
      <c r="F206" s="249">
        <v>28604.823333333334</v>
      </c>
      <c r="G206" s="249">
        <v>27727</v>
      </c>
      <c r="H206" s="249">
        <v>28996.012033333333</v>
      </c>
      <c r="I206" s="249">
        <v>0</v>
      </c>
      <c r="J206" s="249">
        <v>19419.709166666667</v>
      </c>
      <c r="K206" s="249">
        <v>4998</v>
      </c>
      <c r="L206" s="274">
        <f>AVERAGE(F206,H206,J206)</f>
        <v>25673.514844444446</v>
      </c>
      <c r="M206" s="274">
        <f>AVERAGE(G206,K206)*E1</f>
        <v>16853.375</v>
      </c>
      <c r="N206" s="255"/>
      <c r="O206" s="135"/>
      <c r="P206" s="135"/>
      <c r="Q206" s="131"/>
      <c r="R206" s="131"/>
      <c r="S206" s="11"/>
      <c r="T206" s="274"/>
      <c r="U206" s="274"/>
      <c r="V206" s="274"/>
      <c r="W206" s="39"/>
      <c r="X206" s="11"/>
      <c r="Y206" s="11"/>
      <c r="Z206" s="274"/>
      <c r="AA206" s="274"/>
      <c r="AB206" s="274"/>
      <c r="AC206" s="5"/>
      <c r="AD206" s="22"/>
      <c r="AE206" s="39"/>
      <c r="AF206" s="274"/>
      <c r="AG206" s="274"/>
      <c r="AH206" s="169"/>
      <c r="AI206" s="4"/>
      <c r="AJ206" s="39"/>
      <c r="AK206" s="39"/>
      <c r="AL206" s="118"/>
      <c r="AM206" s="152"/>
      <c r="AN206" s="152"/>
      <c r="AO206" s="131"/>
      <c r="AP206" s="131"/>
      <c r="AQ206" s="39"/>
      <c r="AR206" s="274"/>
      <c r="AS206" s="274"/>
      <c r="AT206" s="274"/>
      <c r="AU206" s="39"/>
      <c r="AV206" s="39"/>
      <c r="AW206" s="39"/>
      <c r="AX206" s="274"/>
      <c r="AY206" s="274"/>
      <c r="AZ206" s="274"/>
      <c r="BA206" s="39"/>
      <c r="BB206" s="62"/>
      <c r="BC206" s="39"/>
      <c r="BD206" s="274"/>
      <c r="BE206" s="274"/>
      <c r="BF206" s="274"/>
      <c r="BG206" s="39"/>
      <c r="BH206" s="39"/>
      <c r="BI206" s="39"/>
      <c r="BJ206" s="275">
        <v>1733.3333333333333</v>
      </c>
      <c r="BK206" s="274">
        <f t="shared" si="86"/>
        <v>329.33333333333331</v>
      </c>
      <c r="BL206" s="274">
        <f t="shared" si="87"/>
        <v>2062.6666666666665</v>
      </c>
      <c r="BM206" s="213" t="s">
        <v>4789</v>
      </c>
      <c r="BN206" s="213" t="s">
        <v>4788</v>
      </c>
      <c r="BO206" s="39"/>
      <c r="BP206" s="274">
        <v>78500</v>
      </c>
      <c r="BQ206" s="274">
        <f t="shared" si="79"/>
        <v>14915</v>
      </c>
      <c r="BR206" s="274">
        <f t="shared" si="80"/>
        <v>93415</v>
      </c>
      <c r="BS206" s="39"/>
      <c r="BT206" s="39"/>
      <c r="BU206" s="39"/>
      <c r="BV206" s="219">
        <f>23587.9488/12</f>
        <v>1965.6623999999999</v>
      </c>
      <c r="BW206" s="219">
        <f>+BV206*0.19</f>
        <v>373.47585599999996</v>
      </c>
      <c r="BX206" s="273">
        <f>+BV206+BW206</f>
        <v>2339.1382559999997</v>
      </c>
      <c r="BY206" s="213" t="s">
        <v>4789</v>
      </c>
      <c r="BZ206" s="213" t="s">
        <v>4788</v>
      </c>
      <c r="CA206" s="213"/>
      <c r="CB206" s="274"/>
      <c r="CC206" s="274"/>
      <c r="CD206" s="274"/>
      <c r="CE206" s="39"/>
      <c r="CF206" s="39"/>
      <c r="CG206" s="39"/>
      <c r="CH206" s="274"/>
      <c r="CI206" s="274"/>
      <c r="CJ206" s="274"/>
      <c r="CK206" s="39"/>
      <c r="CL206" s="39"/>
      <c r="CM206" s="39"/>
      <c r="CN206" s="39"/>
      <c r="CO206" s="39"/>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274"/>
      <c r="DM206" s="274"/>
      <c r="DN206" s="274"/>
      <c r="DO206" s="274"/>
      <c r="DP206" s="274"/>
      <c r="DQ206" s="274"/>
      <c r="DR206" s="274"/>
      <c r="DS206" s="274"/>
      <c r="DT206" s="274"/>
      <c r="DU206" s="274"/>
      <c r="DV206" s="274"/>
      <c r="DW206" s="274"/>
      <c r="DX206" s="274"/>
      <c r="DY206" s="274"/>
      <c r="DZ206" s="274"/>
      <c r="EA206" s="274"/>
      <c r="EB206" s="274"/>
      <c r="EC206" s="274"/>
      <c r="ED206" s="39">
        <f t="shared" si="81"/>
        <v>114670.17992266668</v>
      </c>
      <c r="EE206" s="30">
        <f t="shared" si="82"/>
        <v>4</v>
      </c>
      <c r="EF206" s="39">
        <f t="shared" si="83"/>
        <v>28667.544980666669</v>
      </c>
    </row>
    <row r="207" spans="1:136" ht="25.5" x14ac:dyDescent="0.25">
      <c r="A207" s="25" t="e">
        <f>#REF!</f>
        <v>#REF!</v>
      </c>
      <c r="B207" s="50" t="e">
        <f>#REF!</f>
        <v>#REF!</v>
      </c>
      <c r="C207" s="5" t="e">
        <f>#REF!</f>
        <v>#REF!</v>
      </c>
      <c r="D207" s="5" t="e">
        <f>#REF!</f>
        <v>#REF!</v>
      </c>
      <c r="E207" s="252">
        <v>1</v>
      </c>
      <c r="F207" s="249">
        <v>1110270</v>
      </c>
      <c r="G207" s="249">
        <v>1110270</v>
      </c>
      <c r="H207" s="249">
        <v>0</v>
      </c>
      <c r="I207" s="249">
        <v>0</v>
      </c>
      <c r="J207" s="249">
        <v>1165783.5</v>
      </c>
      <c r="K207" s="249">
        <v>1165010</v>
      </c>
      <c r="L207" s="274">
        <f>AVERAGE(F207,J207)</f>
        <v>1138026.75</v>
      </c>
      <c r="M207" s="274">
        <f>AVERAGE(G207,K207)*E1</f>
        <v>1171769.2</v>
      </c>
      <c r="N207" s="255"/>
      <c r="O207" s="135"/>
      <c r="P207" s="135"/>
      <c r="Q207" s="131"/>
      <c r="R207" s="131"/>
      <c r="S207" s="11"/>
      <c r="T207" s="274"/>
      <c r="U207" s="274"/>
      <c r="V207" s="274"/>
      <c r="W207" s="39"/>
      <c r="X207" s="11"/>
      <c r="Y207" s="11"/>
      <c r="Z207" s="274"/>
      <c r="AA207" s="274"/>
      <c r="AB207" s="274"/>
      <c r="AC207" s="52"/>
      <c r="AD207" s="22"/>
      <c r="AE207" s="39"/>
      <c r="AF207" s="274"/>
      <c r="AG207" s="274"/>
      <c r="AH207" s="171"/>
      <c r="AI207" s="4"/>
      <c r="AJ207" s="39"/>
      <c r="AK207" s="39"/>
      <c r="AL207" s="118"/>
      <c r="AM207" s="152"/>
      <c r="AN207" s="181"/>
      <c r="AO207" s="131"/>
      <c r="AP207" s="131"/>
      <c r="AQ207" s="39"/>
      <c r="AR207" s="274"/>
      <c r="AS207" s="274"/>
      <c r="AT207" s="274"/>
      <c r="AU207" s="39"/>
      <c r="AV207" s="39"/>
      <c r="AW207" s="39"/>
      <c r="AX207" s="274"/>
      <c r="AY207" s="274"/>
      <c r="AZ207" s="274"/>
      <c r="BA207" s="39"/>
      <c r="BB207" s="62"/>
      <c r="BC207" s="39"/>
      <c r="BD207" s="118">
        <f>89234*10</f>
        <v>892340</v>
      </c>
      <c r="BE207" s="274">
        <f>+BD207*0.19</f>
        <v>169544.6</v>
      </c>
      <c r="BF207" s="274">
        <f>+BD207+BE207</f>
        <v>1061884.6000000001</v>
      </c>
      <c r="BG207" s="209" t="s">
        <v>3077</v>
      </c>
      <c r="BH207" s="207" t="s">
        <v>4790</v>
      </c>
      <c r="BI207" s="5" t="s">
        <v>4791</v>
      </c>
      <c r="BJ207" s="275">
        <v>2522800</v>
      </c>
      <c r="BK207" s="274">
        <f t="shared" si="86"/>
        <v>479332</v>
      </c>
      <c r="BL207" s="274">
        <f t="shared" si="87"/>
        <v>3002132</v>
      </c>
      <c r="BM207" s="213" t="s">
        <v>4792</v>
      </c>
      <c r="BN207" s="213" t="s">
        <v>2925</v>
      </c>
      <c r="BO207" s="39"/>
      <c r="BP207" s="274">
        <v>785000</v>
      </c>
      <c r="BQ207" s="274">
        <f t="shared" si="79"/>
        <v>149150</v>
      </c>
      <c r="BR207" s="274">
        <f t="shared" si="80"/>
        <v>934150</v>
      </c>
      <c r="BS207" s="39"/>
      <c r="BT207" s="39"/>
      <c r="BU207" s="39"/>
      <c r="BV207" s="223"/>
      <c r="BW207" s="219"/>
      <c r="BX207" s="273"/>
      <c r="BY207" s="213"/>
      <c r="BZ207" s="213"/>
      <c r="CA207" s="213"/>
      <c r="CB207" s="274"/>
      <c r="CC207" s="274"/>
      <c r="CD207" s="274"/>
      <c r="CE207" s="39"/>
      <c r="CF207" s="39"/>
      <c r="CG207" s="39"/>
      <c r="CH207" s="274"/>
      <c r="CI207" s="274"/>
      <c r="CJ207" s="274"/>
      <c r="CK207" s="39"/>
      <c r="CL207" s="39"/>
      <c r="CM207" s="39"/>
      <c r="CN207" s="39"/>
      <c r="CO207" s="39"/>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274"/>
      <c r="DM207" s="274"/>
      <c r="DN207" s="274"/>
      <c r="DO207" s="274"/>
      <c r="DP207" s="274"/>
      <c r="DQ207" s="274"/>
      <c r="DR207" s="274"/>
      <c r="DS207" s="274"/>
      <c r="DT207" s="274"/>
      <c r="DU207" s="274"/>
      <c r="DV207" s="274"/>
      <c r="DW207" s="274"/>
      <c r="DX207" s="274"/>
      <c r="DY207" s="274"/>
      <c r="DZ207" s="274"/>
      <c r="EA207" s="274"/>
      <c r="EB207" s="274"/>
      <c r="EC207" s="274"/>
      <c r="ED207" s="39">
        <f t="shared" si="81"/>
        <v>6169935.7999999998</v>
      </c>
      <c r="EE207" s="30">
        <f t="shared" si="82"/>
        <v>4</v>
      </c>
      <c r="EF207" s="39">
        <f t="shared" si="83"/>
        <v>1542483.95</v>
      </c>
    </row>
    <row r="208" spans="1:136" ht="25.5" x14ac:dyDescent="0.25">
      <c r="A208" s="25" t="e">
        <f>#REF!</f>
        <v>#REF!</v>
      </c>
      <c r="B208" s="50" t="e">
        <f>#REF!</f>
        <v>#REF!</v>
      </c>
      <c r="C208" s="5" t="e">
        <f>#REF!</f>
        <v>#REF!</v>
      </c>
      <c r="D208" s="5" t="e">
        <f>#REF!</f>
        <v>#REF!</v>
      </c>
      <c r="E208" s="252">
        <v>1</v>
      </c>
      <c r="F208" s="249">
        <v>2621530.333333333</v>
      </c>
      <c r="G208" s="249">
        <v>2542792</v>
      </c>
      <c r="H208" s="249">
        <v>967092.17500000005</v>
      </c>
      <c r="I208" s="249">
        <v>0</v>
      </c>
      <c r="J208" s="249">
        <v>1647610.5333333332</v>
      </c>
      <c r="K208" s="249">
        <v>1646960</v>
      </c>
      <c r="L208" s="274">
        <f>AVERAGE(F208,H208,J208)</f>
        <v>1745411.0138888888</v>
      </c>
      <c r="M208" s="274">
        <f>AVERAGE(G208,K208)*E1</f>
        <v>2157722.2800000003</v>
      </c>
      <c r="N208" s="255">
        <v>2200000</v>
      </c>
      <c r="O208" s="135">
        <f>+N208*0.19</f>
        <v>418000</v>
      </c>
      <c r="P208" s="135">
        <f>+N208+O208</f>
        <v>2618000</v>
      </c>
      <c r="Q208" s="131"/>
      <c r="R208" s="131"/>
      <c r="S208" s="11"/>
      <c r="T208" s="274"/>
      <c r="U208" s="274"/>
      <c r="V208" s="274"/>
      <c r="W208" s="39"/>
      <c r="X208" s="11"/>
      <c r="Y208" s="11"/>
      <c r="Z208" s="274">
        <v>710000</v>
      </c>
      <c r="AA208" s="274">
        <f>+Z208*0.19</f>
        <v>134900</v>
      </c>
      <c r="AB208" s="274">
        <f>+Z208+AA208</f>
        <v>844900</v>
      </c>
      <c r="AC208" s="52" t="s">
        <v>3400</v>
      </c>
      <c r="AD208" s="22" t="s">
        <v>4768</v>
      </c>
      <c r="AE208" s="39"/>
      <c r="AF208" s="274"/>
      <c r="AG208" s="274"/>
      <c r="AH208" s="171"/>
      <c r="AI208" s="4"/>
      <c r="AJ208" s="39"/>
      <c r="AK208" s="39"/>
      <c r="AL208" s="118"/>
      <c r="AM208" s="152"/>
      <c r="AN208" s="181"/>
      <c r="AO208" s="131"/>
      <c r="AP208" s="131"/>
      <c r="AQ208" s="39"/>
      <c r="AR208" s="274"/>
      <c r="AS208" s="274"/>
      <c r="AT208" s="274"/>
      <c r="AU208" s="39"/>
      <c r="AV208" s="39"/>
      <c r="AW208" s="39"/>
      <c r="AX208" s="274"/>
      <c r="AY208" s="274"/>
      <c r="AZ208" s="274"/>
      <c r="BA208" s="39"/>
      <c r="BB208" s="62"/>
      <c r="BC208" s="39"/>
      <c r="BD208" s="118">
        <f>103000*10</f>
        <v>1030000</v>
      </c>
      <c r="BE208" s="274">
        <f>+BD208*0.19</f>
        <v>195700</v>
      </c>
      <c r="BF208" s="274">
        <f>+BD208+BE208</f>
        <v>1225700</v>
      </c>
      <c r="BG208" s="209" t="s">
        <v>3077</v>
      </c>
      <c r="BH208" s="207" t="s">
        <v>4793</v>
      </c>
      <c r="BI208" s="5" t="s">
        <v>4794</v>
      </c>
      <c r="BJ208" s="275">
        <v>4693100</v>
      </c>
      <c r="BK208" s="274">
        <f t="shared" si="86"/>
        <v>891689</v>
      </c>
      <c r="BL208" s="274">
        <f t="shared" si="87"/>
        <v>5584789</v>
      </c>
      <c r="BM208" s="213" t="s">
        <v>4792</v>
      </c>
      <c r="BN208" s="213" t="s">
        <v>338</v>
      </c>
      <c r="BO208" s="39"/>
      <c r="BP208" s="274">
        <f>398000*2</f>
        <v>796000</v>
      </c>
      <c r="BQ208" s="274">
        <f t="shared" si="79"/>
        <v>151240</v>
      </c>
      <c r="BR208" s="274">
        <f t="shared" si="80"/>
        <v>947240</v>
      </c>
      <c r="BS208" s="39"/>
      <c r="BT208" s="39"/>
      <c r="BU208" s="39"/>
      <c r="BV208" s="223"/>
      <c r="BW208" s="219"/>
      <c r="BX208" s="273"/>
      <c r="BY208" s="213"/>
      <c r="BZ208" s="213"/>
      <c r="CA208" s="213"/>
      <c r="CB208" s="274"/>
      <c r="CC208" s="274"/>
      <c r="CD208" s="274"/>
      <c r="CE208" s="39"/>
      <c r="CF208" s="39"/>
      <c r="CG208" s="39"/>
      <c r="CH208" s="274"/>
      <c r="CI208" s="274"/>
      <c r="CJ208" s="274"/>
      <c r="CK208" s="39"/>
      <c r="CL208" s="39"/>
      <c r="CM208" s="39"/>
      <c r="CN208" s="39"/>
      <c r="CO208" s="39"/>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274"/>
      <c r="DM208" s="274"/>
      <c r="DN208" s="274"/>
      <c r="DO208" s="274"/>
      <c r="DP208" s="274"/>
      <c r="DQ208" s="274"/>
      <c r="DR208" s="274"/>
      <c r="DS208" s="274"/>
      <c r="DT208" s="274"/>
      <c r="DU208" s="274"/>
      <c r="DV208" s="274"/>
      <c r="DW208" s="274"/>
      <c r="DX208" s="274"/>
      <c r="DY208" s="274"/>
      <c r="DZ208" s="274"/>
      <c r="EA208" s="274"/>
      <c r="EB208" s="274"/>
      <c r="EC208" s="274"/>
      <c r="ED208" s="39">
        <f t="shared" si="81"/>
        <v>13378351.280000001</v>
      </c>
      <c r="EE208" s="30">
        <f t="shared" si="82"/>
        <v>6</v>
      </c>
      <c r="EF208" s="39">
        <f t="shared" si="83"/>
        <v>2229725.2133333334</v>
      </c>
    </row>
    <row r="209" spans="1:136" ht="25.5" x14ac:dyDescent="0.25">
      <c r="A209" s="25" t="e">
        <f>#REF!</f>
        <v>#REF!</v>
      </c>
      <c r="B209" s="50" t="e">
        <f>#REF!</f>
        <v>#REF!</v>
      </c>
      <c r="C209" s="5" t="e">
        <f>#REF!</f>
        <v>#REF!</v>
      </c>
      <c r="D209" s="5" t="e">
        <f>#REF!</f>
        <v>#REF!</v>
      </c>
      <c r="E209" s="252">
        <v>1</v>
      </c>
      <c r="F209" s="249">
        <v>0</v>
      </c>
      <c r="G209" s="249">
        <v>0</v>
      </c>
      <c r="H209" s="249">
        <v>0</v>
      </c>
      <c r="I209" s="249">
        <v>0</v>
      </c>
      <c r="J209" s="249">
        <v>1206477.5333333334</v>
      </c>
      <c r="K209" s="249">
        <v>0</v>
      </c>
      <c r="L209" s="274">
        <f>J209</f>
        <v>1206477.5333333334</v>
      </c>
      <c r="M209" s="274"/>
      <c r="N209" s="255"/>
      <c r="O209" s="135"/>
      <c r="P209" s="135"/>
      <c r="Q209" s="131"/>
      <c r="R209" s="131"/>
      <c r="S209" s="11"/>
      <c r="T209" s="274"/>
      <c r="U209" s="274"/>
      <c r="V209" s="274"/>
      <c r="W209" s="39"/>
      <c r="X209" s="11"/>
      <c r="Y209" s="11"/>
      <c r="Z209" s="274">
        <f>1500000/2</f>
        <v>750000</v>
      </c>
      <c r="AA209" s="274">
        <f>+Z209*0.19</f>
        <v>142500</v>
      </c>
      <c r="AB209" s="274">
        <f>+Z209+AA209</f>
        <v>892500</v>
      </c>
      <c r="AC209" s="52" t="s">
        <v>2966</v>
      </c>
      <c r="AD209" s="22" t="s">
        <v>4795</v>
      </c>
      <c r="AE209" s="39"/>
      <c r="AF209" s="274"/>
      <c r="AG209" s="274"/>
      <c r="AH209" s="171"/>
      <c r="AI209" s="4"/>
      <c r="AJ209" s="39"/>
      <c r="AK209" s="39"/>
      <c r="AL209" s="118"/>
      <c r="AM209" s="152"/>
      <c r="AN209" s="181"/>
      <c r="AO209" s="131"/>
      <c r="AP209" s="131"/>
      <c r="AQ209" s="39"/>
      <c r="AR209" s="274"/>
      <c r="AS209" s="274"/>
      <c r="AT209" s="274"/>
      <c r="AU209" s="39"/>
      <c r="AV209" s="39"/>
      <c r="AW209" s="39"/>
      <c r="AX209" s="274"/>
      <c r="AY209" s="274"/>
      <c r="AZ209" s="274"/>
      <c r="BA209" s="39"/>
      <c r="BB209" s="62"/>
      <c r="BC209" s="39"/>
      <c r="BD209" s="118">
        <f>+(520112/100)*250</f>
        <v>1300280</v>
      </c>
      <c r="BE209" s="274">
        <f>+BD209*0.19</f>
        <v>247053.2</v>
      </c>
      <c r="BF209" s="274">
        <f>+BD209+BE209</f>
        <v>1547333.2</v>
      </c>
      <c r="BG209" s="25" t="s">
        <v>3077</v>
      </c>
      <c r="BH209" s="207" t="s">
        <v>4796</v>
      </c>
      <c r="BI209" s="5" t="s">
        <v>4797</v>
      </c>
      <c r="BJ209" s="275">
        <f>5445400/4</f>
        <v>1361350</v>
      </c>
      <c r="BK209" s="274">
        <f t="shared" si="86"/>
        <v>258656.5</v>
      </c>
      <c r="BL209" s="274">
        <f t="shared" si="87"/>
        <v>1620006.5</v>
      </c>
      <c r="BM209" s="213" t="s">
        <v>4792</v>
      </c>
      <c r="BN209" s="213" t="s">
        <v>338</v>
      </c>
      <c r="BO209" s="39"/>
      <c r="BP209" s="274">
        <v>563000</v>
      </c>
      <c r="BQ209" s="274">
        <f t="shared" si="79"/>
        <v>106970</v>
      </c>
      <c r="BR209" s="274">
        <f t="shared" si="80"/>
        <v>669970</v>
      </c>
      <c r="BS209" s="39"/>
      <c r="BT209" s="39"/>
      <c r="BU209" s="39"/>
      <c r="BV209" s="223"/>
      <c r="BW209" s="219"/>
      <c r="BX209" s="273"/>
      <c r="BY209" s="213"/>
      <c r="BZ209" s="213"/>
      <c r="CA209" s="213"/>
      <c r="CB209" s="274"/>
      <c r="CC209" s="274"/>
      <c r="CD209" s="274"/>
      <c r="CE209" s="39"/>
      <c r="CF209" s="39"/>
      <c r="CG209" s="39"/>
      <c r="CH209" s="274"/>
      <c r="CI209" s="274"/>
      <c r="CJ209" s="274"/>
      <c r="CK209" s="39"/>
      <c r="CL209" s="39"/>
      <c r="CM209" s="39"/>
      <c r="CN209" s="39"/>
      <c r="CO209" s="39"/>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274"/>
      <c r="DM209" s="274"/>
      <c r="DN209" s="274"/>
      <c r="DO209" s="274"/>
      <c r="DP209" s="274"/>
      <c r="DQ209" s="274"/>
      <c r="DR209" s="274"/>
      <c r="DS209" s="274"/>
      <c r="DT209" s="274"/>
      <c r="DU209" s="274"/>
      <c r="DV209" s="274"/>
      <c r="DW209" s="274"/>
      <c r="DX209" s="274"/>
      <c r="DY209" s="274"/>
      <c r="DZ209" s="274"/>
      <c r="EA209" s="274"/>
      <c r="EB209" s="274"/>
      <c r="EC209" s="274"/>
      <c r="ED209" s="39">
        <f t="shared" si="81"/>
        <v>4729809.7</v>
      </c>
      <c r="EE209" s="30">
        <f t="shared" si="82"/>
        <v>4</v>
      </c>
      <c r="EF209" s="39">
        <f t="shared" si="83"/>
        <v>1182452.425</v>
      </c>
    </row>
    <row r="210" spans="1:136" x14ac:dyDescent="0.25">
      <c r="A210" s="25" t="e">
        <f>#REF!</f>
        <v>#REF!</v>
      </c>
      <c r="B210" s="50" t="e">
        <f>#REF!</f>
        <v>#REF!</v>
      </c>
      <c r="C210" s="5" t="e">
        <f>#REF!</f>
        <v>#REF!</v>
      </c>
      <c r="D210" s="5" t="e">
        <f>#REF!</f>
        <v>#REF!</v>
      </c>
      <c r="E210" s="252">
        <v>1</v>
      </c>
      <c r="F210" s="249">
        <v>85144.5</v>
      </c>
      <c r="G210" s="249">
        <v>30940</v>
      </c>
      <c r="H210" s="249">
        <v>45556.518336604517</v>
      </c>
      <c r="I210" s="249">
        <v>14946</v>
      </c>
      <c r="J210" s="249">
        <v>101533.44444444444</v>
      </c>
      <c r="K210" s="249">
        <v>101150</v>
      </c>
      <c r="L210" s="274">
        <f>AVERAGE(F210,H210,J210)</f>
        <v>77411.487593682992</v>
      </c>
      <c r="M210" s="274">
        <f>AVERAGE(G210,I210,K210)*E1</f>
        <v>50482.36</v>
      </c>
      <c r="N210" s="255">
        <v>75000</v>
      </c>
      <c r="O210" s="135">
        <f>+N210*0.19</f>
        <v>14250</v>
      </c>
      <c r="P210" s="135">
        <f>+N210+O210</f>
        <v>89250</v>
      </c>
      <c r="Q210" s="131"/>
      <c r="R210" s="131"/>
      <c r="S210" s="11"/>
      <c r="T210" s="274">
        <v>13860.000000000002</v>
      </c>
      <c r="U210" s="274">
        <f>+T210*0.19</f>
        <v>2633.4000000000005</v>
      </c>
      <c r="V210" s="274">
        <f>+T210+U210</f>
        <v>16493.400000000001</v>
      </c>
      <c r="W210" s="39" t="s">
        <v>510</v>
      </c>
      <c r="X210" s="11" t="s">
        <v>3408</v>
      </c>
      <c r="Y210" s="11"/>
      <c r="Z210" s="274"/>
      <c r="AA210" s="274"/>
      <c r="AB210" s="274"/>
      <c r="AC210" s="52"/>
      <c r="AD210" s="22"/>
      <c r="AE210" s="39"/>
      <c r="AF210" s="274"/>
      <c r="AG210" s="274"/>
      <c r="AH210" s="171"/>
      <c r="AI210" s="22"/>
      <c r="AJ210" s="39"/>
      <c r="AK210" s="39"/>
      <c r="AL210" s="118"/>
      <c r="AM210" s="152"/>
      <c r="AN210" s="181"/>
      <c r="AO210" s="131"/>
      <c r="AP210" s="131"/>
      <c r="AQ210" s="39"/>
      <c r="AR210" s="274"/>
      <c r="AS210" s="274"/>
      <c r="AT210" s="274"/>
      <c r="AU210" s="39"/>
      <c r="AV210" s="39"/>
      <c r="AW210" s="39"/>
      <c r="AX210" s="274"/>
      <c r="AY210" s="274"/>
      <c r="AZ210" s="274"/>
      <c r="BA210" s="39"/>
      <c r="BB210" s="62"/>
      <c r="BC210" s="39"/>
      <c r="BD210" s="274"/>
      <c r="BE210" s="274"/>
      <c r="BF210" s="274"/>
      <c r="BG210" s="39"/>
      <c r="BH210" s="39"/>
      <c r="BI210" s="39"/>
      <c r="BJ210" s="275">
        <v>86200</v>
      </c>
      <c r="BK210" s="274">
        <f t="shared" si="86"/>
        <v>16378</v>
      </c>
      <c r="BL210" s="274">
        <f t="shared" si="87"/>
        <v>102578</v>
      </c>
      <c r="BM210" s="214" t="s">
        <v>445</v>
      </c>
      <c r="BN210" s="213" t="s">
        <v>338</v>
      </c>
      <c r="BO210" s="39"/>
      <c r="BP210" s="274">
        <v>45600</v>
      </c>
      <c r="BQ210" s="274">
        <f t="shared" si="79"/>
        <v>8664</v>
      </c>
      <c r="BR210" s="274">
        <f t="shared" si="80"/>
        <v>54264</v>
      </c>
      <c r="BS210" s="39"/>
      <c r="BT210" s="39"/>
      <c r="BU210" s="39"/>
      <c r="BV210" s="219">
        <v>103588.69500000001</v>
      </c>
      <c r="BW210" s="219">
        <f>+BV210*0.19</f>
        <v>19681.852050000001</v>
      </c>
      <c r="BX210" s="273">
        <f>+BV210+BW210</f>
        <v>123270.54705000001</v>
      </c>
      <c r="BY210" s="214" t="s">
        <v>445</v>
      </c>
      <c r="BZ210" s="213" t="s">
        <v>338</v>
      </c>
      <c r="CA210" s="213"/>
      <c r="CB210" s="274"/>
      <c r="CC210" s="274"/>
      <c r="CD210" s="274"/>
      <c r="CE210" s="39"/>
      <c r="CF210" s="39"/>
      <c r="CG210" s="39"/>
      <c r="CH210" s="274"/>
      <c r="CI210" s="274"/>
      <c r="CJ210" s="274"/>
      <c r="CK210" s="39"/>
      <c r="CL210" s="39"/>
      <c r="CM210" s="39"/>
      <c r="CN210" s="39"/>
      <c r="CO210" s="39"/>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274"/>
      <c r="DM210" s="274"/>
      <c r="DN210" s="274"/>
      <c r="DO210" s="274"/>
      <c r="DP210" s="274"/>
      <c r="DQ210" s="274"/>
      <c r="DR210" s="274"/>
      <c r="DS210" s="274"/>
      <c r="DT210" s="274"/>
      <c r="DU210" s="274"/>
      <c r="DV210" s="274"/>
      <c r="DW210" s="274"/>
      <c r="DX210" s="274"/>
      <c r="DY210" s="274"/>
      <c r="DZ210" s="274"/>
      <c r="EA210" s="274"/>
      <c r="EB210" s="274"/>
      <c r="EC210" s="274"/>
      <c r="ED210" s="39">
        <f t="shared" si="81"/>
        <v>436338.30705</v>
      </c>
      <c r="EE210" s="30">
        <f t="shared" si="82"/>
        <v>6</v>
      </c>
      <c r="EF210" s="39">
        <f t="shared" si="83"/>
        <v>72723.051175000001</v>
      </c>
    </row>
    <row r="211" spans="1:136" x14ac:dyDescent="0.25">
      <c r="A211" s="25" t="e">
        <f>#REF!</f>
        <v>#REF!</v>
      </c>
      <c r="B211" s="50" t="e">
        <f>#REF!</f>
        <v>#REF!</v>
      </c>
      <c r="C211" s="5" t="e">
        <f>#REF!</f>
        <v>#REF!</v>
      </c>
      <c r="D211" s="5" t="e">
        <f>#REF!</f>
        <v>#REF!</v>
      </c>
      <c r="E211" s="252">
        <v>1</v>
      </c>
      <c r="F211" s="249">
        <v>0</v>
      </c>
      <c r="G211" s="249">
        <v>0</v>
      </c>
      <c r="H211" s="249">
        <v>0</v>
      </c>
      <c r="I211" s="249">
        <v>0</v>
      </c>
      <c r="J211" s="249">
        <v>0</v>
      </c>
      <c r="K211" s="249">
        <v>0</v>
      </c>
      <c r="L211" s="274"/>
      <c r="M211" s="274"/>
      <c r="N211" s="255"/>
      <c r="O211" s="135"/>
      <c r="P211" s="135"/>
      <c r="Q211" s="131"/>
      <c r="R211" s="131"/>
      <c r="S211" s="11"/>
      <c r="T211" s="274"/>
      <c r="U211" s="274"/>
      <c r="V211" s="274"/>
      <c r="W211" s="39"/>
      <c r="X211" s="11"/>
      <c r="Y211" s="11"/>
      <c r="Z211" s="274"/>
      <c r="AA211" s="274"/>
      <c r="AB211" s="274"/>
      <c r="AC211" s="52"/>
      <c r="AD211" s="22"/>
      <c r="AE211" s="39"/>
      <c r="AF211" s="274"/>
      <c r="AG211" s="274"/>
      <c r="AH211" s="171"/>
      <c r="AI211" s="4"/>
      <c r="AJ211" s="39"/>
      <c r="AK211" s="39"/>
      <c r="AL211" s="118"/>
      <c r="AM211" s="152"/>
      <c r="AN211" s="181"/>
      <c r="AO211" s="131"/>
      <c r="AP211" s="131"/>
      <c r="AQ211" s="39"/>
      <c r="AR211" s="274"/>
      <c r="AS211" s="274"/>
      <c r="AT211" s="274"/>
      <c r="AU211" s="39"/>
      <c r="AV211" s="39"/>
      <c r="AW211" s="39"/>
      <c r="AX211" s="274"/>
      <c r="AY211" s="274"/>
      <c r="AZ211" s="274"/>
      <c r="BA211" s="39"/>
      <c r="BB211" s="62"/>
      <c r="BC211" s="39"/>
      <c r="BD211" s="274"/>
      <c r="BE211" s="274"/>
      <c r="BF211" s="274"/>
      <c r="BG211" s="39"/>
      <c r="BH211" s="39"/>
      <c r="BI211" s="39"/>
      <c r="BJ211" s="274"/>
      <c r="BK211" s="274"/>
      <c r="BL211" s="274"/>
      <c r="BM211" s="213"/>
      <c r="BN211" s="213"/>
      <c r="BO211" s="39"/>
      <c r="BP211" s="274"/>
      <c r="BQ211" s="274"/>
      <c r="BR211" s="274"/>
      <c r="BS211" s="39"/>
      <c r="BT211" s="39"/>
      <c r="BU211" s="39"/>
      <c r="BV211" s="212"/>
      <c r="BW211" s="221"/>
      <c r="BX211" s="273"/>
      <c r="BY211" s="213"/>
      <c r="BZ211" s="213"/>
      <c r="CA211" s="213"/>
      <c r="CB211" s="274"/>
      <c r="CC211" s="274"/>
      <c r="CD211" s="274"/>
      <c r="CE211" s="39"/>
      <c r="CF211" s="39"/>
      <c r="CG211" s="39"/>
      <c r="CH211" s="274"/>
      <c r="CI211" s="274"/>
      <c r="CJ211" s="274"/>
      <c r="CK211" s="39"/>
      <c r="CL211" s="39"/>
      <c r="CM211" s="39"/>
      <c r="CN211" s="39"/>
      <c r="CO211" s="39"/>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274"/>
      <c r="DM211" s="274"/>
      <c r="DN211" s="274"/>
      <c r="DO211" s="274"/>
      <c r="DP211" s="274"/>
      <c r="DQ211" s="274"/>
      <c r="DR211" s="274"/>
      <c r="DS211" s="274"/>
      <c r="DT211" s="274"/>
      <c r="DU211" s="274"/>
      <c r="DV211" s="274"/>
      <c r="DW211" s="274"/>
      <c r="DX211" s="274"/>
      <c r="DY211" s="274"/>
      <c r="DZ211" s="274"/>
      <c r="EA211" s="274"/>
      <c r="EB211" s="274"/>
      <c r="EC211" s="274"/>
      <c r="ED211" s="39">
        <f t="shared" si="81"/>
        <v>0</v>
      </c>
      <c r="EE211" s="30">
        <f t="shared" si="82"/>
        <v>0</v>
      </c>
      <c r="EF211" s="39" t="str">
        <f t="shared" si="83"/>
        <v xml:space="preserve"> </v>
      </c>
    </row>
    <row r="212" spans="1:136" x14ac:dyDescent="0.25">
      <c r="A212" s="25" t="e">
        <f>#REF!</f>
        <v>#REF!</v>
      </c>
      <c r="B212" s="50" t="e">
        <f>#REF!</f>
        <v>#REF!</v>
      </c>
      <c r="C212" s="5" t="e">
        <f>#REF!</f>
        <v>#REF!</v>
      </c>
      <c r="D212" s="5" t="e">
        <f>#REF!</f>
        <v>#REF!</v>
      </c>
      <c r="E212" s="252">
        <v>1</v>
      </c>
      <c r="F212" s="249">
        <v>0</v>
      </c>
      <c r="G212" s="249">
        <v>0</v>
      </c>
      <c r="H212" s="249">
        <v>0</v>
      </c>
      <c r="I212" s="249">
        <v>0</v>
      </c>
      <c r="J212" s="249">
        <v>0</v>
      </c>
      <c r="K212" s="249">
        <v>0</v>
      </c>
      <c r="L212" s="274"/>
      <c r="M212" s="274"/>
      <c r="N212" s="255"/>
      <c r="O212" s="135"/>
      <c r="P212" s="135"/>
      <c r="Q212" s="131"/>
      <c r="R212" s="131"/>
      <c r="S212" s="11"/>
      <c r="T212" s="274"/>
      <c r="U212" s="274"/>
      <c r="V212" s="274"/>
      <c r="W212" s="39"/>
      <c r="X212" s="11"/>
      <c r="Y212" s="11"/>
      <c r="Z212" s="274"/>
      <c r="AA212" s="274"/>
      <c r="AB212" s="274"/>
      <c r="AC212" s="52"/>
      <c r="AD212" s="22"/>
      <c r="AE212" s="39"/>
      <c r="AF212" s="274"/>
      <c r="AG212" s="274"/>
      <c r="AH212" s="171"/>
      <c r="AI212" s="22"/>
      <c r="AJ212" s="39"/>
      <c r="AK212" s="39"/>
      <c r="AL212" s="118"/>
      <c r="AM212" s="152"/>
      <c r="AN212" s="152"/>
      <c r="AO212" s="131"/>
      <c r="AP212" s="131"/>
      <c r="AQ212" s="39"/>
      <c r="AR212" s="274"/>
      <c r="AS212" s="274"/>
      <c r="AT212" s="274"/>
      <c r="AU212" s="39"/>
      <c r="AV212" s="39"/>
      <c r="AW212" s="39"/>
      <c r="AX212" s="274"/>
      <c r="AY212" s="274"/>
      <c r="AZ212" s="274"/>
      <c r="BA212" s="39"/>
      <c r="BB212" s="62"/>
      <c r="BC212" s="39"/>
      <c r="BD212" s="274"/>
      <c r="BE212" s="274"/>
      <c r="BF212" s="274"/>
      <c r="BG212" s="39"/>
      <c r="BH212" s="39"/>
      <c r="BI212" s="39"/>
      <c r="BJ212" s="274"/>
      <c r="BK212" s="274"/>
      <c r="BL212" s="274"/>
      <c r="BM212" s="213"/>
      <c r="BN212" s="213"/>
      <c r="BO212" s="39"/>
      <c r="BP212" s="274"/>
      <c r="BQ212" s="274"/>
      <c r="BR212" s="274"/>
      <c r="BS212" s="39"/>
      <c r="BT212" s="39"/>
      <c r="BU212" s="39"/>
      <c r="BV212" s="212"/>
      <c r="BW212" s="221"/>
      <c r="BX212" s="273"/>
      <c r="BY212" s="213"/>
      <c r="BZ212" s="213"/>
      <c r="CA212" s="213"/>
      <c r="CB212" s="274"/>
      <c r="CC212" s="274"/>
      <c r="CD212" s="274"/>
      <c r="CE212" s="39"/>
      <c r="CF212" s="39"/>
      <c r="CG212" s="39"/>
      <c r="CH212" s="274"/>
      <c r="CI212" s="274"/>
      <c r="CJ212" s="274"/>
      <c r="CK212" s="39"/>
      <c r="CL212" s="39"/>
      <c r="CM212" s="39"/>
      <c r="CN212" s="39"/>
      <c r="CO212" s="39"/>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274"/>
      <c r="DM212" s="274"/>
      <c r="DN212" s="274"/>
      <c r="DO212" s="274"/>
      <c r="DP212" s="274"/>
      <c r="DQ212" s="274"/>
      <c r="DR212" s="274"/>
      <c r="DS212" s="274"/>
      <c r="DT212" s="274"/>
      <c r="DU212" s="274"/>
      <c r="DV212" s="274"/>
      <c r="DW212" s="274"/>
      <c r="DX212" s="274"/>
      <c r="DY212" s="274"/>
      <c r="DZ212" s="274"/>
      <c r="EA212" s="274"/>
      <c r="EB212" s="274"/>
      <c r="EC212" s="274"/>
      <c r="ED212" s="39">
        <f t="shared" si="81"/>
        <v>0</v>
      </c>
      <c r="EE212" s="30">
        <f t="shared" si="82"/>
        <v>0</v>
      </c>
      <c r="EF212" s="39" t="str">
        <f t="shared" si="83"/>
        <v xml:space="preserve"> </v>
      </c>
    </row>
    <row r="213" spans="1:136" x14ac:dyDescent="0.25">
      <c r="A213" s="25" t="e">
        <f>#REF!</f>
        <v>#REF!</v>
      </c>
      <c r="B213" s="50" t="e">
        <f>#REF!</f>
        <v>#REF!</v>
      </c>
      <c r="C213" s="5" t="e">
        <f>#REF!</f>
        <v>#REF!</v>
      </c>
      <c r="D213" s="5" t="e">
        <f>#REF!</f>
        <v>#REF!</v>
      </c>
      <c r="E213" s="252">
        <v>1</v>
      </c>
      <c r="F213" s="249">
        <v>83300</v>
      </c>
      <c r="G213" s="249">
        <v>83300</v>
      </c>
      <c r="H213" s="249">
        <v>84728.595000000001</v>
      </c>
      <c r="I213" s="249">
        <v>0</v>
      </c>
      <c r="J213" s="249">
        <v>87465</v>
      </c>
      <c r="K213" s="249">
        <v>0</v>
      </c>
      <c r="L213" s="274">
        <f>AVERAGE(F213,H213,J213)</f>
        <v>85164.531666666662</v>
      </c>
      <c r="M213" s="274">
        <f>G213*E1</f>
        <v>85799</v>
      </c>
      <c r="N213" s="255"/>
      <c r="O213" s="135"/>
      <c r="P213" s="135"/>
      <c r="Q213" s="131"/>
      <c r="R213" s="131"/>
      <c r="S213" s="11"/>
      <c r="T213" s="274"/>
      <c r="U213" s="274"/>
      <c r="V213" s="274"/>
      <c r="W213" s="39"/>
      <c r="X213" s="11"/>
      <c r="Y213" s="11"/>
      <c r="Z213" s="274"/>
      <c r="AA213" s="274"/>
      <c r="AB213" s="274"/>
      <c r="AC213" s="52"/>
      <c r="AD213" s="22"/>
      <c r="AE213" s="39"/>
      <c r="AF213" s="274"/>
      <c r="AG213" s="274"/>
      <c r="AH213" s="171"/>
      <c r="AI213" s="22"/>
      <c r="AJ213" s="39"/>
      <c r="AK213" s="39"/>
      <c r="AL213" s="118"/>
      <c r="AM213" s="152"/>
      <c r="AN213" s="181"/>
      <c r="AO213" s="131"/>
      <c r="AP213" s="131"/>
      <c r="AQ213" s="39"/>
      <c r="AR213" s="274"/>
      <c r="AS213" s="274"/>
      <c r="AT213" s="274"/>
      <c r="AU213" s="39"/>
      <c r="AV213" s="39"/>
      <c r="AW213" s="39"/>
      <c r="AX213" s="274"/>
      <c r="AY213" s="274"/>
      <c r="AZ213" s="274"/>
      <c r="BA213" s="39"/>
      <c r="BB213" s="62"/>
      <c r="BC213" s="39"/>
      <c r="BD213" s="274"/>
      <c r="BE213" s="274"/>
      <c r="BF213" s="274"/>
      <c r="BG213" s="39"/>
      <c r="BH213" s="39"/>
      <c r="BI213" s="39"/>
      <c r="BJ213" s="274"/>
      <c r="BK213" s="274"/>
      <c r="BL213" s="274"/>
      <c r="BM213" s="213"/>
      <c r="BN213" s="213"/>
      <c r="BO213" s="39"/>
      <c r="BP213" s="274"/>
      <c r="BQ213" s="274"/>
      <c r="BR213" s="274"/>
      <c r="BS213" s="39"/>
      <c r="BT213" s="39"/>
      <c r="BU213" s="39"/>
      <c r="BV213" s="212"/>
      <c r="BW213" s="221"/>
      <c r="BX213" s="273"/>
      <c r="BY213" s="213"/>
      <c r="BZ213" s="213"/>
      <c r="CA213" s="213"/>
      <c r="CB213" s="274"/>
      <c r="CC213" s="274"/>
      <c r="CD213" s="274"/>
      <c r="CE213" s="39"/>
      <c r="CF213" s="39"/>
      <c r="CG213" s="39"/>
      <c r="CH213" s="274"/>
      <c r="CI213" s="274"/>
      <c r="CJ213" s="274"/>
      <c r="CK213" s="39"/>
      <c r="CL213" s="39"/>
      <c r="CM213" s="39"/>
      <c r="CN213" s="39"/>
      <c r="CO213" s="39"/>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274"/>
      <c r="DM213" s="274"/>
      <c r="DN213" s="274"/>
      <c r="DO213" s="274"/>
      <c r="DP213" s="274"/>
      <c r="DQ213" s="274"/>
      <c r="DR213" s="274"/>
      <c r="DS213" s="274"/>
      <c r="DT213" s="274"/>
      <c r="DU213" s="274"/>
      <c r="DV213" s="274"/>
      <c r="DW213" s="274"/>
      <c r="DX213" s="274"/>
      <c r="DY213" s="274"/>
      <c r="DZ213" s="274"/>
      <c r="EA213" s="274"/>
      <c r="EB213" s="274"/>
      <c r="EC213" s="274"/>
      <c r="ED213" s="39">
        <f t="shared" si="81"/>
        <v>85799</v>
      </c>
      <c r="EE213" s="30">
        <f t="shared" si="82"/>
        <v>1</v>
      </c>
      <c r="EF213" s="39">
        <f t="shared" si="83"/>
        <v>85799</v>
      </c>
    </row>
    <row r="214" spans="1:136" x14ac:dyDescent="0.25">
      <c r="A214" s="25" t="e">
        <f>#REF!</f>
        <v>#REF!</v>
      </c>
      <c r="B214" s="50" t="e">
        <f>#REF!</f>
        <v>#REF!</v>
      </c>
      <c r="C214" s="5" t="e">
        <f>#REF!</f>
        <v>#REF!</v>
      </c>
      <c r="D214" s="5" t="e">
        <f>#REF!</f>
        <v>#REF!</v>
      </c>
      <c r="E214" s="252">
        <v>1</v>
      </c>
      <c r="F214" s="249">
        <v>33320</v>
      </c>
      <c r="G214" s="249">
        <v>33320</v>
      </c>
      <c r="H214" s="249">
        <v>25767.62533333333</v>
      </c>
      <c r="I214" s="249">
        <v>0</v>
      </c>
      <c r="J214" s="249">
        <v>22044.75</v>
      </c>
      <c r="K214" s="249">
        <v>0</v>
      </c>
      <c r="L214" s="274">
        <f>AVERAGE(F214,H214,J214)</f>
        <v>27044.125111111109</v>
      </c>
      <c r="M214" s="274">
        <f>G214*E1</f>
        <v>34319.599999999999</v>
      </c>
      <c r="N214" s="255">
        <v>15000</v>
      </c>
      <c r="O214" s="135">
        <f>+N214*0.19</f>
        <v>2850</v>
      </c>
      <c r="P214" s="135">
        <f>+N214+O214</f>
        <v>17850</v>
      </c>
      <c r="Q214" s="131"/>
      <c r="R214" s="131"/>
      <c r="S214" s="11"/>
      <c r="T214" s="274"/>
      <c r="U214" s="274"/>
      <c r="V214" s="274"/>
      <c r="W214" s="39"/>
      <c r="X214" s="11"/>
      <c r="Y214" s="11"/>
      <c r="Z214" s="274"/>
      <c r="AA214" s="274"/>
      <c r="AB214" s="274"/>
      <c r="AC214" s="52"/>
      <c r="AD214" s="22"/>
      <c r="AE214" s="39"/>
      <c r="AF214" s="274"/>
      <c r="AG214" s="274"/>
      <c r="AH214" s="171"/>
      <c r="AI214" s="4"/>
      <c r="AJ214" s="39"/>
      <c r="AK214" s="39"/>
      <c r="AL214" s="118"/>
      <c r="AM214" s="152"/>
      <c r="AN214" s="181"/>
      <c r="AO214" s="131"/>
      <c r="AP214" s="131"/>
      <c r="AQ214" s="39"/>
      <c r="AR214" s="274"/>
      <c r="AS214" s="274"/>
      <c r="AT214" s="274"/>
      <c r="AU214" s="39"/>
      <c r="AV214" s="39"/>
      <c r="AW214" s="39"/>
      <c r="AX214" s="274"/>
      <c r="AY214" s="274"/>
      <c r="AZ214" s="274"/>
      <c r="BA214" s="39"/>
      <c r="BB214" s="62"/>
      <c r="BC214" s="39"/>
      <c r="BD214" s="274"/>
      <c r="BE214" s="274"/>
      <c r="BF214" s="274"/>
      <c r="BG214" s="39"/>
      <c r="BH214" s="39"/>
      <c r="BI214" s="39"/>
      <c r="BJ214" s="274"/>
      <c r="BK214" s="274"/>
      <c r="BL214" s="274"/>
      <c r="BM214" s="213"/>
      <c r="BN214" s="213"/>
      <c r="BO214" s="39"/>
      <c r="BP214" s="274">
        <v>12500</v>
      </c>
      <c r="BQ214" s="274">
        <f>+BP214*19%</f>
        <v>2375</v>
      </c>
      <c r="BR214" s="274">
        <f>+BQ214+BP214</f>
        <v>14875</v>
      </c>
      <c r="BS214" s="39"/>
      <c r="BT214" s="39"/>
      <c r="BU214" s="39"/>
      <c r="BV214" s="212"/>
      <c r="BW214" s="221"/>
      <c r="BX214" s="273"/>
      <c r="BY214" s="213"/>
      <c r="BZ214" s="213"/>
      <c r="CA214" s="213"/>
      <c r="CB214" s="274"/>
      <c r="CC214" s="274"/>
      <c r="CD214" s="274"/>
      <c r="CE214" s="39"/>
      <c r="CF214" s="39"/>
      <c r="CG214" s="39"/>
      <c r="CH214" s="274"/>
      <c r="CI214" s="274"/>
      <c r="CJ214" s="274"/>
      <c r="CK214" s="39"/>
      <c r="CL214" s="39"/>
      <c r="CM214" s="39"/>
      <c r="CN214" s="39"/>
      <c r="CO214" s="39"/>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274"/>
      <c r="DM214" s="274"/>
      <c r="DN214" s="274"/>
      <c r="DO214" s="274"/>
      <c r="DP214" s="274"/>
      <c r="DQ214" s="274"/>
      <c r="DR214" s="274"/>
      <c r="DS214" s="274"/>
      <c r="DT214" s="274"/>
      <c r="DU214" s="274"/>
      <c r="DV214" s="274"/>
      <c r="DW214" s="274"/>
      <c r="DX214" s="274"/>
      <c r="DY214" s="274"/>
      <c r="DZ214" s="274"/>
      <c r="EA214" s="274"/>
      <c r="EB214" s="274"/>
      <c r="EC214" s="274"/>
      <c r="ED214" s="39">
        <f t="shared" si="81"/>
        <v>67044.600000000006</v>
      </c>
      <c r="EE214" s="30">
        <f t="shared" si="82"/>
        <v>3</v>
      </c>
      <c r="EF214" s="39">
        <f t="shared" si="83"/>
        <v>22348.2</v>
      </c>
    </row>
    <row r="215" spans="1:136" ht="25.5" x14ac:dyDescent="0.25">
      <c r="A215" s="25" t="e">
        <f>#REF!</f>
        <v>#REF!</v>
      </c>
      <c r="B215" s="50" t="e">
        <f>#REF!</f>
        <v>#REF!</v>
      </c>
      <c r="C215" s="5" t="e">
        <f>#REF!</f>
        <v>#REF!</v>
      </c>
      <c r="D215" s="5" t="e">
        <f>#REF!</f>
        <v>#REF!</v>
      </c>
      <c r="E215" s="252">
        <v>1</v>
      </c>
      <c r="F215" s="249">
        <v>1459987.2</v>
      </c>
      <c r="G215" s="249">
        <v>1416100</v>
      </c>
      <c r="H215" s="249">
        <v>1105805.3333333333</v>
      </c>
      <c r="I215" s="249">
        <v>0</v>
      </c>
      <c r="J215" s="249">
        <v>1070702.5</v>
      </c>
      <c r="K215" s="249">
        <v>0</v>
      </c>
      <c r="L215" s="274">
        <f>AVERAGE(F215,H215,J215)</f>
        <v>1212165.0111111111</v>
      </c>
      <c r="M215" s="274">
        <f>G215*E1</f>
        <v>1458583</v>
      </c>
      <c r="N215" s="255"/>
      <c r="O215" s="135"/>
      <c r="P215" s="135"/>
      <c r="Q215" s="131"/>
      <c r="R215" s="131"/>
      <c r="S215" s="11"/>
      <c r="T215" s="274"/>
      <c r="U215" s="274"/>
      <c r="V215" s="274"/>
      <c r="W215" s="39"/>
      <c r="X215" s="11"/>
      <c r="Y215" s="11"/>
      <c r="Z215" s="274">
        <v>550000</v>
      </c>
      <c r="AA215" s="274">
        <f>+Z215*0.19</f>
        <v>104500</v>
      </c>
      <c r="AB215" s="274">
        <f>+Z215+AA215</f>
        <v>654500</v>
      </c>
      <c r="AC215" s="52" t="s">
        <v>4798</v>
      </c>
      <c r="AD215" s="22" t="s">
        <v>4795</v>
      </c>
      <c r="AE215" s="39"/>
      <c r="AF215" s="274"/>
      <c r="AG215" s="274"/>
      <c r="AH215" s="171"/>
      <c r="AI215" s="4"/>
      <c r="AJ215" s="39"/>
      <c r="AK215" s="39"/>
      <c r="AL215" s="118"/>
      <c r="AM215" s="152"/>
      <c r="AN215" s="181"/>
      <c r="AO215" s="131"/>
      <c r="AP215" s="131"/>
      <c r="AQ215" s="39"/>
      <c r="AR215" s="274"/>
      <c r="AS215" s="274"/>
      <c r="AT215" s="274"/>
      <c r="AU215" s="39"/>
      <c r="AV215" s="39"/>
      <c r="AW215" s="39"/>
      <c r="AX215" s="274"/>
      <c r="AY215" s="274"/>
      <c r="AZ215" s="274"/>
      <c r="BA215" s="39"/>
      <c r="BB215" s="62"/>
      <c r="BC215" s="39"/>
      <c r="BD215" s="274"/>
      <c r="BE215" s="274"/>
      <c r="BF215" s="274"/>
      <c r="BG215" s="39"/>
      <c r="BH215" s="39"/>
      <c r="BI215" s="39"/>
      <c r="BJ215" s="274"/>
      <c r="BK215" s="274"/>
      <c r="BL215" s="274"/>
      <c r="BM215" s="213"/>
      <c r="BN215" s="213"/>
      <c r="BO215" s="39"/>
      <c r="BP215" s="274"/>
      <c r="BQ215" s="274"/>
      <c r="BR215" s="274"/>
      <c r="BS215" s="39"/>
      <c r="BT215" s="39"/>
      <c r="BU215" s="39"/>
      <c r="BV215" s="212"/>
      <c r="BW215" s="221"/>
      <c r="BX215" s="273"/>
      <c r="BY215" s="213"/>
      <c r="BZ215" s="213"/>
      <c r="CA215" s="213"/>
      <c r="CB215" s="274"/>
      <c r="CC215" s="274"/>
      <c r="CD215" s="274"/>
      <c r="CE215" s="39"/>
      <c r="CF215" s="39"/>
      <c r="CG215" s="39"/>
      <c r="CH215" s="274"/>
      <c r="CI215" s="274"/>
      <c r="CJ215" s="274"/>
      <c r="CK215" s="39"/>
      <c r="CL215" s="39"/>
      <c r="CM215" s="39"/>
      <c r="CN215" s="39"/>
      <c r="CO215" s="39"/>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274"/>
      <c r="DM215" s="274"/>
      <c r="DN215" s="274"/>
      <c r="DO215" s="274"/>
      <c r="DP215" s="274"/>
      <c r="DQ215" s="274"/>
      <c r="DR215" s="274"/>
      <c r="DS215" s="274"/>
      <c r="DT215" s="274"/>
      <c r="DU215" s="274"/>
      <c r="DV215" s="274"/>
      <c r="DW215" s="274"/>
      <c r="DX215" s="274"/>
      <c r="DY215" s="274"/>
      <c r="DZ215" s="274"/>
      <c r="EA215" s="274"/>
      <c r="EB215" s="274"/>
      <c r="EC215" s="274"/>
      <c r="ED215" s="39">
        <f t="shared" si="81"/>
        <v>2113083</v>
      </c>
      <c r="EE215" s="30">
        <f t="shared" si="82"/>
        <v>2</v>
      </c>
      <c r="EF215" s="39">
        <f t="shared" si="83"/>
        <v>1056541.5</v>
      </c>
    </row>
    <row r="216" spans="1:136" x14ac:dyDescent="0.25">
      <c r="A216" s="25" t="e">
        <f>#REF!</f>
        <v>#REF!</v>
      </c>
      <c r="B216" s="50" t="e">
        <f>#REF!</f>
        <v>#REF!</v>
      </c>
      <c r="C216" s="5" t="e">
        <f>#REF!</f>
        <v>#REF!</v>
      </c>
      <c r="D216" s="5" t="e">
        <f>#REF!</f>
        <v>#REF!</v>
      </c>
      <c r="E216" s="252">
        <v>1</v>
      </c>
      <c r="F216" s="249">
        <v>0</v>
      </c>
      <c r="G216" s="249">
        <v>0</v>
      </c>
      <c r="H216" s="249">
        <v>60095</v>
      </c>
      <c r="I216" s="249">
        <v>0</v>
      </c>
      <c r="J216" s="249">
        <v>57516.666666666664</v>
      </c>
      <c r="K216" s="249">
        <v>53550</v>
      </c>
      <c r="L216" s="274">
        <f>AVERAGE(H216,J216)</f>
        <v>58805.833333333328</v>
      </c>
      <c r="M216" s="274">
        <f>K216*E1</f>
        <v>55156.5</v>
      </c>
      <c r="N216" s="255">
        <v>51000</v>
      </c>
      <c r="O216" s="135">
        <f>+N216*0.19</f>
        <v>9690</v>
      </c>
      <c r="P216" s="135">
        <f>+N216+O216</f>
        <v>60690</v>
      </c>
      <c r="Q216" s="131"/>
      <c r="R216" s="131"/>
      <c r="S216" s="11"/>
      <c r="T216" s="274"/>
      <c r="U216" s="274"/>
      <c r="V216" s="274"/>
      <c r="W216" s="39"/>
      <c r="X216" s="11"/>
      <c r="Y216" s="11"/>
      <c r="Z216" s="274"/>
      <c r="AA216" s="274"/>
      <c r="AB216" s="274"/>
      <c r="AC216" s="52"/>
      <c r="AD216" s="22"/>
      <c r="AE216" s="39"/>
      <c r="AF216" s="274"/>
      <c r="AG216" s="274"/>
      <c r="AH216" s="171"/>
      <c r="AI216" s="4"/>
      <c r="AJ216" s="39"/>
      <c r="AK216" s="39"/>
      <c r="AL216" s="118"/>
      <c r="AM216" s="152"/>
      <c r="AN216" s="181"/>
      <c r="AO216" s="131"/>
      <c r="AP216" s="131"/>
      <c r="AQ216" s="39"/>
      <c r="AR216" s="274"/>
      <c r="AS216" s="274"/>
      <c r="AT216" s="274"/>
      <c r="AU216" s="39"/>
      <c r="AV216" s="39"/>
      <c r="AW216" s="39"/>
      <c r="AX216" s="274"/>
      <c r="AY216" s="274"/>
      <c r="AZ216" s="274"/>
      <c r="BA216" s="39"/>
      <c r="BB216" s="62"/>
      <c r="BC216" s="39"/>
      <c r="BD216" s="274"/>
      <c r="BE216" s="274"/>
      <c r="BF216" s="274"/>
      <c r="BG216" s="39"/>
      <c r="BH216" s="39"/>
      <c r="BI216" s="39"/>
      <c r="BJ216" s="275">
        <v>200000</v>
      </c>
      <c r="BK216" s="274">
        <f>+BJ216*0.19</f>
        <v>38000</v>
      </c>
      <c r="BL216" s="274">
        <f>+BJ216+BK216</f>
        <v>238000</v>
      </c>
      <c r="BM216" s="213" t="s">
        <v>4799</v>
      </c>
      <c r="BN216" s="213" t="s">
        <v>164</v>
      </c>
      <c r="BO216" s="39"/>
      <c r="BP216" s="274"/>
      <c r="BQ216" s="274"/>
      <c r="BR216" s="274"/>
      <c r="BS216" s="39"/>
      <c r="BT216" s="39"/>
      <c r="BU216" s="39"/>
      <c r="BV216" s="219"/>
      <c r="BW216" s="219"/>
      <c r="BX216" s="273"/>
      <c r="BY216" s="213"/>
      <c r="BZ216" s="213"/>
      <c r="CA216" s="213"/>
      <c r="CB216" s="274"/>
      <c r="CC216" s="274"/>
      <c r="CD216" s="274"/>
      <c r="CE216" s="39"/>
      <c r="CF216" s="39"/>
      <c r="CG216" s="39"/>
      <c r="CH216" s="274"/>
      <c r="CI216" s="274"/>
      <c r="CJ216" s="274"/>
      <c r="CK216" s="39"/>
      <c r="CL216" s="39"/>
      <c r="CM216" s="39"/>
      <c r="CN216" s="39"/>
      <c r="CO216" s="39"/>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274"/>
      <c r="DM216" s="274"/>
      <c r="DN216" s="274"/>
      <c r="DO216" s="274"/>
      <c r="DP216" s="274"/>
      <c r="DQ216" s="274"/>
      <c r="DR216" s="274"/>
      <c r="DS216" s="274"/>
      <c r="DT216" s="274"/>
      <c r="DU216" s="274"/>
      <c r="DV216" s="274"/>
      <c r="DW216" s="274"/>
      <c r="DX216" s="274"/>
      <c r="DY216" s="274"/>
      <c r="DZ216" s="274"/>
      <c r="EA216" s="274"/>
      <c r="EB216" s="274"/>
      <c r="EC216" s="274"/>
      <c r="ED216" s="39">
        <f t="shared" si="81"/>
        <v>353846.5</v>
      </c>
      <c r="EE216" s="30">
        <f t="shared" si="82"/>
        <v>3</v>
      </c>
      <c r="EF216" s="39">
        <f t="shared" si="83"/>
        <v>117948.83333333333</v>
      </c>
    </row>
    <row r="217" spans="1:136" ht="22.5" customHeight="1" x14ac:dyDescent="0.25">
      <c r="A217" s="25" t="e">
        <f>#REF!</f>
        <v>#REF!</v>
      </c>
      <c r="B217" s="50" t="e">
        <f>#REF!</f>
        <v>#REF!</v>
      </c>
      <c r="C217" s="5" t="e">
        <f>#REF!</f>
        <v>#REF!</v>
      </c>
      <c r="D217" s="5" t="e">
        <f>#REF!</f>
        <v>#REF!</v>
      </c>
      <c r="E217" s="252">
        <v>1</v>
      </c>
      <c r="F217" s="249">
        <v>29968.166666666664</v>
      </c>
      <c r="G217" s="249">
        <v>29155</v>
      </c>
      <c r="H217" s="249">
        <v>30591.00275</v>
      </c>
      <c r="I217" s="249">
        <v>30464</v>
      </c>
      <c r="J217" s="249">
        <v>39882.354166666672</v>
      </c>
      <c r="K217" s="249">
        <v>37485</v>
      </c>
      <c r="L217" s="274">
        <f>AVERAGE(F217,H217,J217)</f>
        <v>33480.507861111109</v>
      </c>
      <c r="M217" s="274">
        <f>AVERAGE(G217,I217,K217)*E1</f>
        <v>33339.040000000001</v>
      </c>
      <c r="N217" s="255">
        <v>25000</v>
      </c>
      <c r="O217" s="135">
        <f>+N217*0.19</f>
        <v>4750</v>
      </c>
      <c r="P217" s="135">
        <f>+N217+O217</f>
        <v>29750</v>
      </c>
      <c r="Q217" s="131"/>
      <c r="R217" s="131"/>
      <c r="S217" s="11"/>
      <c r="T217" s="274"/>
      <c r="U217" s="274"/>
      <c r="V217" s="274"/>
      <c r="W217" s="39"/>
      <c r="X217" s="11"/>
      <c r="Y217" s="11"/>
      <c r="Z217" s="274"/>
      <c r="AA217" s="274"/>
      <c r="AB217" s="274"/>
      <c r="AC217" s="52"/>
      <c r="AD217" s="22"/>
      <c r="AE217" s="39"/>
      <c r="AF217" s="274"/>
      <c r="AG217" s="274"/>
      <c r="AH217" s="171"/>
      <c r="AI217" s="4"/>
      <c r="AJ217" s="39"/>
      <c r="AK217" s="39"/>
      <c r="AL217" s="118"/>
      <c r="AM217" s="152"/>
      <c r="AN217" s="181"/>
      <c r="AO217" s="131"/>
      <c r="AP217" s="131"/>
      <c r="AQ217" s="39"/>
      <c r="AR217" s="274">
        <v>37000</v>
      </c>
      <c r="AS217" s="274">
        <f>+AR217*0.19</f>
        <v>7030</v>
      </c>
      <c r="AT217" s="274">
        <f>+AR217+AS217</f>
        <v>44030</v>
      </c>
      <c r="AU217" s="39"/>
      <c r="AV217" s="39"/>
      <c r="AW217" s="39"/>
      <c r="AX217" s="274"/>
      <c r="AY217" s="274"/>
      <c r="AZ217" s="274"/>
      <c r="BA217" s="39"/>
      <c r="BB217" s="62"/>
      <c r="BC217" s="39"/>
      <c r="BD217" s="274"/>
      <c r="BE217" s="274"/>
      <c r="BF217" s="274"/>
      <c r="BG217" s="39"/>
      <c r="BH217" s="39"/>
      <c r="BI217" s="39"/>
      <c r="BJ217" s="274">
        <v>28300</v>
      </c>
      <c r="BK217" s="274">
        <f>+BJ217*0.19</f>
        <v>5377</v>
      </c>
      <c r="BL217" s="274">
        <f>+BJ217+BK217</f>
        <v>33677</v>
      </c>
      <c r="BM217" s="213" t="s">
        <v>554</v>
      </c>
      <c r="BN217" s="213" t="s">
        <v>4800</v>
      </c>
      <c r="BO217" s="39"/>
      <c r="BP217" s="274">
        <v>68500</v>
      </c>
      <c r="BQ217" s="274">
        <f>+BP217*19%</f>
        <v>13015</v>
      </c>
      <c r="BR217" s="274">
        <f>+BQ217+BP217</f>
        <v>81515</v>
      </c>
      <c r="BS217" s="39"/>
      <c r="BT217" s="39"/>
      <c r="BU217" s="39"/>
      <c r="BV217" s="219">
        <v>30612.393000000004</v>
      </c>
      <c r="BW217" s="219">
        <f>+BV217*0.19</f>
        <v>5816.3546700000006</v>
      </c>
      <c r="BX217" s="273">
        <f>+BV217+BW217</f>
        <v>36428.747670000004</v>
      </c>
      <c r="BY217" s="213" t="s">
        <v>554</v>
      </c>
      <c r="BZ217" s="213" t="s">
        <v>4800</v>
      </c>
      <c r="CA217" s="213"/>
      <c r="CB217" s="274"/>
      <c r="CC217" s="274"/>
      <c r="CD217" s="274"/>
      <c r="CE217" s="39"/>
      <c r="CF217" s="39"/>
      <c r="CG217" s="39"/>
      <c r="CH217" s="274"/>
      <c r="CI217" s="274"/>
      <c r="CJ217" s="274"/>
      <c r="CK217" s="39"/>
      <c r="CL217" s="39"/>
      <c r="CM217" s="39"/>
      <c r="CN217" s="39"/>
      <c r="CO217" s="39"/>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274"/>
      <c r="DM217" s="274"/>
      <c r="DN217" s="274"/>
      <c r="DO217" s="274"/>
      <c r="DP217" s="274"/>
      <c r="DQ217" s="274"/>
      <c r="DR217" s="274"/>
      <c r="DS217" s="274"/>
      <c r="DT217" s="274"/>
      <c r="DU217" s="274"/>
      <c r="DV217" s="274"/>
      <c r="DW217" s="274"/>
      <c r="DX217" s="274"/>
      <c r="DY217" s="274"/>
      <c r="DZ217" s="274"/>
      <c r="EA217" s="274"/>
      <c r="EB217" s="274"/>
      <c r="EC217" s="274"/>
      <c r="ED217" s="39">
        <f t="shared" si="81"/>
        <v>258739.78767000002</v>
      </c>
      <c r="EE217" s="30">
        <f t="shared" si="82"/>
        <v>6</v>
      </c>
      <c r="EF217" s="39">
        <f t="shared" si="83"/>
        <v>43123.297945000006</v>
      </c>
    </row>
    <row r="218" spans="1:136" ht="22.5" customHeight="1" x14ac:dyDescent="0.25">
      <c r="A218" s="25" t="e">
        <f>#REF!</f>
        <v>#REF!</v>
      </c>
      <c r="B218" s="50" t="e">
        <f>#REF!</f>
        <v>#REF!</v>
      </c>
      <c r="C218" s="5" t="e">
        <f>#REF!</f>
        <v>#REF!</v>
      </c>
      <c r="D218" s="5" t="e">
        <f>#REF!</f>
        <v>#REF!</v>
      </c>
      <c r="E218" s="252">
        <v>1</v>
      </c>
      <c r="F218" s="249">
        <v>27891.22</v>
      </c>
      <c r="G218" s="249">
        <v>27370</v>
      </c>
      <c r="H218" s="249">
        <v>30283.298500000001</v>
      </c>
      <c r="I218" s="249">
        <v>30107</v>
      </c>
      <c r="J218" s="249">
        <v>39413.791666666672</v>
      </c>
      <c r="K218" s="249">
        <v>37485</v>
      </c>
      <c r="L218" s="274">
        <f>AVERAGE(F218,H218,J218)</f>
        <v>32529.436722222224</v>
      </c>
      <c r="M218" s="274">
        <f>AVERAGE(G218,I218,K218)*E1</f>
        <v>32603.620000000003</v>
      </c>
      <c r="N218" s="255">
        <v>25000</v>
      </c>
      <c r="O218" s="135">
        <f>+N218*0.19</f>
        <v>4750</v>
      </c>
      <c r="P218" s="135">
        <f>+N218+O218</f>
        <v>29750</v>
      </c>
      <c r="Q218" s="131"/>
      <c r="R218" s="131"/>
      <c r="S218" s="11"/>
      <c r="T218" s="274"/>
      <c r="U218" s="274"/>
      <c r="V218" s="274"/>
      <c r="W218" s="39"/>
      <c r="X218" s="11"/>
      <c r="Y218" s="11"/>
      <c r="Z218" s="274"/>
      <c r="AA218" s="274"/>
      <c r="AB218" s="274"/>
      <c r="AC218" s="52"/>
      <c r="AD218" s="22"/>
      <c r="AE218" s="39"/>
      <c r="AF218" s="274"/>
      <c r="AG218" s="274"/>
      <c r="AH218" s="171"/>
      <c r="AI218" s="22"/>
      <c r="AJ218" s="39"/>
      <c r="AK218" s="39"/>
      <c r="AL218" s="118"/>
      <c r="AM218" s="152"/>
      <c r="AN218" s="181"/>
      <c r="AO218" s="131"/>
      <c r="AP218" s="131"/>
      <c r="AQ218" s="39"/>
      <c r="AR218" s="274">
        <v>37000</v>
      </c>
      <c r="AS218" s="274">
        <f>+AR218*0.19</f>
        <v>7030</v>
      </c>
      <c r="AT218" s="274">
        <f>+AR218+AS218</f>
        <v>44030</v>
      </c>
      <c r="AU218" s="39"/>
      <c r="AV218" s="39"/>
      <c r="AW218" s="39"/>
      <c r="AX218" s="274"/>
      <c r="AY218" s="274"/>
      <c r="AZ218" s="274"/>
      <c r="BA218" s="39"/>
      <c r="BB218" s="62"/>
      <c r="BC218" s="39"/>
      <c r="BD218" s="274"/>
      <c r="BE218" s="274"/>
      <c r="BF218" s="274"/>
      <c r="BG218" s="39"/>
      <c r="BH218" s="39"/>
      <c r="BI218" s="39"/>
      <c r="BJ218" s="274">
        <v>35600</v>
      </c>
      <c r="BK218" s="274">
        <f>+BJ218*0.19</f>
        <v>6764</v>
      </c>
      <c r="BL218" s="274">
        <f>+BJ218+BK218</f>
        <v>42364</v>
      </c>
      <c r="BM218" s="213" t="s">
        <v>554</v>
      </c>
      <c r="BN218" s="213" t="s">
        <v>4800</v>
      </c>
      <c r="BO218" s="39"/>
      <c r="BP218" s="274">
        <v>68500</v>
      </c>
      <c r="BQ218" s="274">
        <f>+BP218*19%</f>
        <v>13015</v>
      </c>
      <c r="BR218" s="274">
        <f>+BQ218+BP218</f>
        <v>81515</v>
      </c>
      <c r="BS218" s="39"/>
      <c r="BT218" s="39"/>
      <c r="BU218" s="39"/>
      <c r="BV218" s="219">
        <v>39660.108800000002</v>
      </c>
      <c r="BW218" s="219">
        <f>+BV218*0.19</f>
        <v>7535.4206720000002</v>
      </c>
      <c r="BX218" s="273">
        <f>+BV218+BW218</f>
        <v>47195.529472000002</v>
      </c>
      <c r="BY218" s="213" t="s">
        <v>554</v>
      </c>
      <c r="BZ218" s="213" t="s">
        <v>4800</v>
      </c>
      <c r="CA218" s="213"/>
      <c r="CB218" s="274"/>
      <c r="CC218" s="274"/>
      <c r="CD218" s="274"/>
      <c r="CE218" s="39"/>
      <c r="CF218" s="39"/>
      <c r="CG218" s="39"/>
      <c r="CH218" s="274"/>
      <c r="CI218" s="274"/>
      <c r="CJ218" s="274"/>
      <c r="CK218" s="39"/>
      <c r="CL218" s="39"/>
      <c r="CM218" s="39"/>
      <c r="CN218" s="39"/>
      <c r="CO218" s="39"/>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274"/>
      <c r="DM218" s="274"/>
      <c r="DN218" s="274"/>
      <c r="DO218" s="274"/>
      <c r="DP218" s="274"/>
      <c r="DQ218" s="274"/>
      <c r="DR218" s="274"/>
      <c r="DS218" s="274"/>
      <c r="DT218" s="274"/>
      <c r="DU218" s="274"/>
      <c r="DV218" s="274"/>
      <c r="DW218" s="274"/>
      <c r="DX218" s="274"/>
      <c r="DY218" s="274"/>
      <c r="DZ218" s="274"/>
      <c r="EA218" s="274"/>
      <c r="EB218" s="274"/>
      <c r="EC218" s="274"/>
      <c r="ED218" s="39">
        <f t="shared" si="81"/>
        <v>277458.14947200002</v>
      </c>
      <c r="EE218" s="30">
        <f t="shared" si="82"/>
        <v>6</v>
      </c>
      <c r="EF218" s="39">
        <f t="shared" si="83"/>
        <v>46243.024912000001</v>
      </c>
    </row>
    <row r="219" spans="1:136" ht="17.25" customHeight="1" x14ac:dyDescent="0.25">
      <c r="A219" s="25" t="e">
        <f>#REF!</f>
        <v>#REF!</v>
      </c>
      <c r="B219" s="50" t="e">
        <f>#REF!</f>
        <v>#REF!</v>
      </c>
      <c r="C219" s="5" t="e">
        <f>#REF!</f>
        <v>#REF!</v>
      </c>
      <c r="D219" s="5" t="e">
        <f>#REF!</f>
        <v>#REF!</v>
      </c>
      <c r="E219" s="252">
        <v>1</v>
      </c>
      <c r="F219" s="249">
        <v>29968.166666666664</v>
      </c>
      <c r="G219" s="249">
        <v>29155</v>
      </c>
      <c r="H219" s="249">
        <v>30591.00275</v>
      </c>
      <c r="I219" s="249">
        <v>30464</v>
      </c>
      <c r="J219" s="249">
        <v>39882.354166666672</v>
      </c>
      <c r="K219" s="249">
        <v>37485</v>
      </c>
      <c r="L219" s="274">
        <f>AVERAGE(F219,H219,J219)</f>
        <v>33480.507861111109</v>
      </c>
      <c r="M219" s="274">
        <f>AVERAGE(G219,I219,K219)*E1</f>
        <v>33339.040000000001</v>
      </c>
      <c r="N219" s="255">
        <v>25000</v>
      </c>
      <c r="O219" s="135">
        <f>+N219*0.19</f>
        <v>4750</v>
      </c>
      <c r="P219" s="135">
        <f>+N219+O219</f>
        <v>29750</v>
      </c>
      <c r="Q219" s="131"/>
      <c r="R219" s="131"/>
      <c r="S219" s="11"/>
      <c r="T219" s="274"/>
      <c r="U219" s="274"/>
      <c r="V219" s="274"/>
      <c r="W219" s="39"/>
      <c r="X219" s="11"/>
      <c r="Y219" s="11"/>
      <c r="Z219" s="274"/>
      <c r="AA219" s="274"/>
      <c r="AB219" s="274"/>
      <c r="AC219" s="5"/>
      <c r="AD219" s="22"/>
      <c r="AE219" s="39"/>
      <c r="AF219" s="274"/>
      <c r="AG219" s="274"/>
      <c r="AH219" s="169"/>
      <c r="AI219" s="4"/>
      <c r="AJ219" s="39"/>
      <c r="AK219" s="39"/>
      <c r="AL219" s="118"/>
      <c r="AM219" s="152"/>
      <c r="AN219" s="181"/>
      <c r="AO219" s="131"/>
      <c r="AP219" s="131"/>
      <c r="AQ219" s="39"/>
      <c r="AR219" s="274">
        <v>37000</v>
      </c>
      <c r="AS219" s="274">
        <f>+AR219*0.19</f>
        <v>7030</v>
      </c>
      <c r="AT219" s="274">
        <f>+AR219+AS219</f>
        <v>44030</v>
      </c>
      <c r="AU219" s="39"/>
      <c r="AV219" s="39"/>
      <c r="AW219" s="39"/>
      <c r="AX219" s="274"/>
      <c r="AY219" s="274"/>
      <c r="AZ219" s="274"/>
      <c r="BA219" s="39"/>
      <c r="BB219" s="62"/>
      <c r="BC219" s="39"/>
      <c r="BD219" s="274"/>
      <c r="BE219" s="274"/>
      <c r="BF219" s="274"/>
      <c r="BG219" s="39"/>
      <c r="BH219" s="39"/>
      <c r="BI219" s="39"/>
      <c r="BJ219" s="274">
        <v>35600</v>
      </c>
      <c r="BK219" s="274">
        <f>+BJ219*0.19</f>
        <v>6764</v>
      </c>
      <c r="BL219" s="274">
        <f>+BJ219+BK219</f>
        <v>42364</v>
      </c>
      <c r="BM219" s="213" t="s">
        <v>554</v>
      </c>
      <c r="BN219" s="213" t="s">
        <v>4800</v>
      </c>
      <c r="BO219" s="39"/>
      <c r="BP219" s="274">
        <v>68500</v>
      </c>
      <c r="BQ219" s="274">
        <f>+BP219*19%</f>
        <v>13015</v>
      </c>
      <c r="BR219" s="274">
        <f>+BQ219+BP219</f>
        <v>81515</v>
      </c>
      <c r="BS219" s="39"/>
      <c r="BT219" s="39"/>
      <c r="BU219" s="39"/>
      <c r="BV219" s="219">
        <v>42373.968000000008</v>
      </c>
      <c r="BW219" s="219">
        <f>+BV219*0.19</f>
        <v>8051.0539200000012</v>
      </c>
      <c r="BX219" s="273">
        <f>+BV219+BW219</f>
        <v>50425.021920000007</v>
      </c>
      <c r="BY219" s="213" t="s">
        <v>554</v>
      </c>
      <c r="BZ219" s="213" t="s">
        <v>4800</v>
      </c>
      <c r="CA219" s="213"/>
      <c r="CB219" s="274"/>
      <c r="CC219" s="274"/>
      <c r="CD219" s="274"/>
      <c r="CE219" s="39"/>
      <c r="CF219" s="39"/>
      <c r="CG219" s="39"/>
      <c r="CH219" s="274"/>
      <c r="CI219" s="274"/>
      <c r="CJ219" s="274"/>
      <c r="CK219" s="39"/>
      <c r="CL219" s="39"/>
      <c r="CM219" s="39"/>
      <c r="CN219" s="39"/>
      <c r="CO219" s="39"/>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274"/>
      <c r="DM219" s="274"/>
      <c r="DN219" s="274"/>
      <c r="DO219" s="274"/>
      <c r="DP219" s="274"/>
      <c r="DQ219" s="274"/>
      <c r="DR219" s="274"/>
      <c r="DS219" s="274"/>
      <c r="DT219" s="274"/>
      <c r="DU219" s="274"/>
      <c r="DV219" s="274"/>
      <c r="DW219" s="274"/>
      <c r="DX219" s="274"/>
      <c r="DY219" s="274"/>
      <c r="DZ219" s="274"/>
      <c r="EA219" s="274"/>
      <c r="EB219" s="274"/>
      <c r="EC219" s="274"/>
      <c r="ED219" s="39">
        <f t="shared" si="81"/>
        <v>281423.06192000001</v>
      </c>
      <c r="EE219" s="30">
        <f t="shared" si="82"/>
        <v>6</v>
      </c>
      <c r="EF219" s="39">
        <f t="shared" si="83"/>
        <v>46903.843653333337</v>
      </c>
    </row>
    <row r="220" spans="1:136" ht="24" x14ac:dyDescent="0.25">
      <c r="A220" s="25" t="e">
        <f>#REF!</f>
        <v>#REF!</v>
      </c>
      <c r="B220" s="50" t="e">
        <f>#REF!</f>
        <v>#REF!</v>
      </c>
      <c r="C220" s="5" t="e">
        <f>#REF!</f>
        <v>#REF!</v>
      </c>
      <c r="D220" s="5" t="e">
        <f>#REF!</f>
        <v>#REF!</v>
      </c>
      <c r="E220" s="252">
        <v>1</v>
      </c>
      <c r="F220" s="249">
        <v>29496.133333333335</v>
      </c>
      <c r="G220" s="249">
        <v>29036</v>
      </c>
      <c r="H220" s="249">
        <v>33304.986959999995</v>
      </c>
      <c r="I220" s="249">
        <v>33201</v>
      </c>
      <c r="J220" s="249">
        <v>39851.116666666669</v>
      </c>
      <c r="K220" s="249">
        <v>37485</v>
      </c>
      <c r="L220" s="274">
        <f>AVERAGE(F220,H220,J220)</f>
        <v>34217.412319999996</v>
      </c>
      <c r="M220" s="274">
        <f>AVERAGE(G220,I220,K220)*E1</f>
        <v>34237.886666666665</v>
      </c>
      <c r="N220" s="255">
        <v>25000</v>
      </c>
      <c r="O220" s="135">
        <f>+N220*0.19</f>
        <v>4750</v>
      </c>
      <c r="P220" s="135">
        <f>+N220+O220</f>
        <v>29750</v>
      </c>
      <c r="Q220" s="131"/>
      <c r="R220" s="131"/>
      <c r="S220" s="11"/>
      <c r="T220" s="274"/>
      <c r="U220" s="274"/>
      <c r="V220" s="274"/>
      <c r="W220" s="39"/>
      <c r="X220" s="11"/>
      <c r="Y220" s="11"/>
      <c r="Z220" s="274"/>
      <c r="AA220" s="274"/>
      <c r="AB220" s="274"/>
      <c r="AC220" s="52"/>
      <c r="AD220" s="22"/>
      <c r="AE220" s="39"/>
      <c r="AF220" s="274"/>
      <c r="AG220" s="274"/>
      <c r="AH220" s="171"/>
      <c r="AI220" s="4"/>
      <c r="AJ220" s="39"/>
      <c r="AK220" s="39"/>
      <c r="AL220" s="118"/>
      <c r="AM220" s="152"/>
      <c r="AN220" s="181"/>
      <c r="AO220" s="131"/>
      <c r="AP220" s="131"/>
      <c r="AQ220" s="39"/>
      <c r="AR220" s="274">
        <v>37000</v>
      </c>
      <c r="AS220" s="274">
        <f>+AR220*0.19</f>
        <v>7030</v>
      </c>
      <c r="AT220" s="274">
        <f>+AR220+AS220</f>
        <v>44030</v>
      </c>
      <c r="AU220" s="39"/>
      <c r="AV220" s="39"/>
      <c r="AW220" s="39"/>
      <c r="AX220" s="274"/>
      <c r="AY220" s="274"/>
      <c r="AZ220" s="274"/>
      <c r="BA220" s="39"/>
      <c r="BB220" s="62"/>
      <c r="BC220" s="39"/>
      <c r="BD220" s="274"/>
      <c r="BE220" s="274"/>
      <c r="BF220" s="274"/>
      <c r="BG220" s="39"/>
      <c r="BH220" s="39"/>
      <c r="BI220" s="39"/>
      <c r="BJ220" s="274">
        <v>42800</v>
      </c>
      <c r="BK220" s="274">
        <f>+BJ220*0.19</f>
        <v>8132</v>
      </c>
      <c r="BL220" s="274">
        <f>+BJ220+BK220</f>
        <v>50932</v>
      </c>
      <c r="BM220" s="213" t="s">
        <v>554</v>
      </c>
      <c r="BN220" s="213" t="s">
        <v>4800</v>
      </c>
      <c r="BO220" s="39"/>
      <c r="BP220" s="274">
        <v>68500</v>
      </c>
      <c r="BQ220" s="274">
        <f>+BP220*19%</f>
        <v>13015</v>
      </c>
      <c r="BR220" s="274">
        <f>+BQ220+BP220</f>
        <v>81515</v>
      </c>
      <c r="BS220" s="39"/>
      <c r="BT220" s="39"/>
      <c r="BU220" s="39"/>
      <c r="BV220" s="219">
        <v>47619.964800000002</v>
      </c>
      <c r="BW220" s="219">
        <f>+BV220*0.19</f>
        <v>9047.7933119999998</v>
      </c>
      <c r="BX220" s="273">
        <f>+BV220+BW220</f>
        <v>56667.758112000003</v>
      </c>
      <c r="BY220" s="213" t="s">
        <v>554</v>
      </c>
      <c r="BZ220" s="213" t="s">
        <v>4800</v>
      </c>
      <c r="CA220" s="213"/>
      <c r="CB220" s="274"/>
      <c r="CC220" s="274"/>
      <c r="CD220" s="274"/>
      <c r="CE220" s="39"/>
      <c r="CF220" s="39"/>
      <c r="CG220" s="39"/>
      <c r="CH220" s="274"/>
      <c r="CI220" s="274"/>
      <c r="CJ220" s="274"/>
      <c r="CK220" s="39"/>
      <c r="CL220" s="39"/>
      <c r="CM220" s="39"/>
      <c r="CN220" s="39"/>
      <c r="CO220" s="39"/>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274"/>
      <c r="DM220" s="274"/>
      <c r="DN220" s="274"/>
      <c r="DO220" s="274"/>
      <c r="DP220" s="274"/>
      <c r="DQ220" s="274"/>
      <c r="DR220" s="274"/>
      <c r="DS220" s="274"/>
      <c r="DT220" s="274"/>
      <c r="DU220" s="274"/>
      <c r="DV220" s="274"/>
      <c r="DW220" s="274"/>
      <c r="DX220" s="274"/>
      <c r="DY220" s="274"/>
      <c r="DZ220" s="274"/>
      <c r="EA220" s="274"/>
      <c r="EB220" s="274"/>
      <c r="EC220" s="274"/>
      <c r="ED220" s="39">
        <f t="shared" si="81"/>
        <v>297132.64477866667</v>
      </c>
      <c r="EE220" s="30">
        <f t="shared" si="82"/>
        <v>6</v>
      </c>
      <c r="EF220" s="39">
        <f t="shared" si="83"/>
        <v>49522.107463111111</v>
      </c>
    </row>
    <row r="221" spans="1:136" x14ac:dyDescent="0.25">
      <c r="A221" s="25" t="e">
        <f>#REF!</f>
        <v>#REF!</v>
      </c>
      <c r="B221" s="50" t="e">
        <f>#REF!</f>
        <v>#REF!</v>
      </c>
      <c r="C221" s="5" t="e">
        <f>#REF!</f>
        <v>#REF!</v>
      </c>
      <c r="D221" s="5" t="e">
        <f>#REF!</f>
        <v>#REF!</v>
      </c>
      <c r="E221" s="252">
        <v>1</v>
      </c>
      <c r="F221" s="249">
        <v>0</v>
      </c>
      <c r="G221" s="249">
        <v>0</v>
      </c>
      <c r="H221" s="249">
        <v>136850</v>
      </c>
      <c r="I221" s="249">
        <v>0</v>
      </c>
      <c r="J221" s="249">
        <v>66895.453333333338</v>
      </c>
      <c r="K221" s="249">
        <v>0</v>
      </c>
      <c r="L221" s="274">
        <f>AVERAGE(H221,J221)</f>
        <v>101872.72666666667</v>
      </c>
      <c r="M221" s="274"/>
      <c r="N221" s="255"/>
      <c r="O221" s="135"/>
      <c r="P221" s="135"/>
      <c r="Q221" s="131"/>
      <c r="R221" s="131"/>
      <c r="S221" s="11"/>
      <c r="T221" s="274"/>
      <c r="U221" s="274"/>
      <c r="V221" s="274"/>
      <c r="W221" s="39"/>
      <c r="X221" s="11"/>
      <c r="Y221" s="11"/>
      <c r="Z221" s="274"/>
      <c r="AA221" s="274"/>
      <c r="AB221" s="274"/>
      <c r="AC221" s="52"/>
      <c r="AD221" s="22"/>
      <c r="AE221" s="39"/>
      <c r="AF221" s="274"/>
      <c r="AG221" s="274"/>
      <c r="AH221" s="171"/>
      <c r="AI221" s="4"/>
      <c r="AJ221" s="39"/>
      <c r="AK221" s="39"/>
      <c r="AL221" s="118"/>
      <c r="AM221" s="152"/>
      <c r="AN221" s="181"/>
      <c r="AO221" s="131"/>
      <c r="AP221" s="131"/>
      <c r="AQ221" s="39"/>
      <c r="AR221" s="274"/>
      <c r="AS221" s="274"/>
      <c r="AT221" s="274"/>
      <c r="AU221" s="39"/>
      <c r="AV221" s="39"/>
      <c r="AW221" s="39"/>
      <c r="AX221" s="274"/>
      <c r="AY221" s="274"/>
      <c r="AZ221" s="274"/>
      <c r="BA221" s="39"/>
      <c r="BB221" s="62"/>
      <c r="BC221" s="39"/>
      <c r="BD221" s="274"/>
      <c r="BE221" s="274"/>
      <c r="BF221" s="274"/>
      <c r="BG221" s="39"/>
      <c r="BH221" s="39"/>
      <c r="BI221" s="39"/>
      <c r="BJ221" s="274"/>
      <c r="BK221" s="274"/>
      <c r="BL221" s="274"/>
      <c r="BM221" s="213"/>
      <c r="BN221" s="213"/>
      <c r="BO221" s="39"/>
      <c r="BP221" s="274"/>
      <c r="BQ221" s="274"/>
      <c r="BR221" s="274"/>
      <c r="BS221" s="39"/>
      <c r="BT221" s="39"/>
      <c r="BU221" s="39"/>
      <c r="BV221" s="212"/>
      <c r="BW221" s="221"/>
      <c r="BX221" s="273"/>
      <c r="BY221" s="213"/>
      <c r="BZ221" s="213"/>
      <c r="CA221" s="213"/>
      <c r="CB221" s="274"/>
      <c r="CC221" s="274"/>
      <c r="CD221" s="274"/>
      <c r="CE221" s="39"/>
      <c r="CF221" s="39"/>
      <c r="CG221" s="39"/>
      <c r="CH221" s="274"/>
      <c r="CI221" s="274"/>
      <c r="CJ221" s="274"/>
      <c r="CK221" s="39"/>
      <c r="CL221" s="39"/>
      <c r="CM221" s="39"/>
      <c r="CN221" s="39"/>
      <c r="CO221" s="39"/>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274"/>
      <c r="DM221" s="274"/>
      <c r="DN221" s="274"/>
      <c r="DO221" s="274"/>
      <c r="DP221" s="274"/>
      <c r="DQ221" s="274"/>
      <c r="DR221" s="274"/>
      <c r="DS221" s="274"/>
      <c r="DT221" s="274"/>
      <c r="DU221" s="274"/>
      <c r="DV221" s="274"/>
      <c r="DW221" s="274"/>
      <c r="DX221" s="274"/>
      <c r="DY221" s="274"/>
      <c r="DZ221" s="274"/>
      <c r="EA221" s="274"/>
      <c r="EB221" s="274"/>
      <c r="EC221" s="274"/>
      <c r="ED221" s="39">
        <f t="shared" si="81"/>
        <v>0</v>
      </c>
      <c r="EE221" s="30">
        <f t="shared" si="82"/>
        <v>0</v>
      </c>
      <c r="EF221" s="39" t="str">
        <f t="shared" si="83"/>
        <v xml:space="preserve"> </v>
      </c>
    </row>
    <row r="222" spans="1:136" x14ac:dyDescent="0.25">
      <c r="A222" s="25" t="e">
        <f>#REF!</f>
        <v>#REF!</v>
      </c>
      <c r="B222" s="50" t="e">
        <f>#REF!</f>
        <v>#REF!</v>
      </c>
      <c r="C222" s="5" t="e">
        <f>#REF!</f>
        <v>#REF!</v>
      </c>
      <c r="D222" s="5" t="e">
        <f>#REF!</f>
        <v>#REF!</v>
      </c>
      <c r="E222" s="252">
        <v>1</v>
      </c>
      <c r="F222" s="249">
        <v>853825</v>
      </c>
      <c r="G222" s="249">
        <v>828121</v>
      </c>
      <c r="H222" s="249">
        <v>1142030.8501000002</v>
      </c>
      <c r="I222" s="249">
        <v>1141924</v>
      </c>
      <c r="J222" s="249">
        <v>648963.52500000002</v>
      </c>
      <c r="K222" s="249">
        <v>648550</v>
      </c>
      <c r="L222" s="274">
        <f>AVERAGE(F222,H222,J222)</f>
        <v>881606.4583666668</v>
      </c>
      <c r="M222" s="274">
        <f>AVERAGE(G222,I222,K222)*E1</f>
        <v>899050.95000000007</v>
      </c>
      <c r="N222" s="255"/>
      <c r="O222" s="135"/>
      <c r="P222" s="135"/>
      <c r="Q222" s="131"/>
      <c r="R222" s="131"/>
      <c r="S222" s="11"/>
      <c r="T222" s="274"/>
      <c r="U222" s="274"/>
      <c r="V222" s="274"/>
      <c r="W222" s="39"/>
      <c r="X222" s="11"/>
      <c r="Y222" s="11"/>
      <c r="Z222" s="274"/>
      <c r="AA222" s="274"/>
      <c r="AB222" s="274"/>
      <c r="AC222" s="52"/>
      <c r="AD222" s="22"/>
      <c r="AE222" s="39"/>
      <c r="AF222" s="274"/>
      <c r="AG222" s="274"/>
      <c r="AH222" s="171"/>
      <c r="AI222" s="4"/>
      <c r="AJ222" s="39"/>
      <c r="AK222" s="39"/>
      <c r="AL222" s="118"/>
      <c r="AM222" s="152"/>
      <c r="AN222" s="181"/>
      <c r="AO222" s="131"/>
      <c r="AP222" s="131"/>
      <c r="AQ222" s="39"/>
      <c r="AR222" s="274">
        <v>680000</v>
      </c>
      <c r="AS222" s="274">
        <f>+AR222*0.19</f>
        <v>129200</v>
      </c>
      <c r="AT222" s="274">
        <f>+AR222+AS222</f>
        <v>809200</v>
      </c>
      <c r="AU222" s="39"/>
      <c r="AV222" s="39"/>
      <c r="AW222" s="39"/>
      <c r="AX222" s="274"/>
      <c r="AY222" s="274"/>
      <c r="AZ222" s="274"/>
      <c r="BA222" s="39"/>
      <c r="BB222" s="62"/>
      <c r="BC222" s="39"/>
      <c r="BD222" s="274"/>
      <c r="BE222" s="274"/>
      <c r="BF222" s="274"/>
      <c r="BG222" s="39"/>
      <c r="BH222" s="39"/>
      <c r="BI222" s="39"/>
      <c r="BJ222" s="275"/>
      <c r="BK222" s="275"/>
      <c r="BL222" s="275"/>
      <c r="BM222" s="213"/>
      <c r="BN222" s="213"/>
      <c r="BO222" s="39"/>
      <c r="BP222" s="274">
        <v>685000</v>
      </c>
      <c r="BQ222" s="274">
        <f>+BP222*19%</f>
        <v>130150</v>
      </c>
      <c r="BR222" s="274">
        <f>+BQ222+BP222</f>
        <v>815150</v>
      </c>
      <c r="BS222" s="39"/>
      <c r="BT222" s="39"/>
      <c r="BU222" s="39"/>
      <c r="BV222" s="219"/>
      <c r="BW222" s="219"/>
      <c r="BX222" s="273"/>
      <c r="BY222" s="213"/>
      <c r="BZ222" s="213"/>
      <c r="CA222" s="213"/>
      <c r="CB222" s="274"/>
      <c r="CC222" s="274"/>
      <c r="CD222" s="274"/>
      <c r="CE222" s="39"/>
      <c r="CF222" s="39"/>
      <c r="CG222" s="39"/>
      <c r="CH222" s="274"/>
      <c r="CI222" s="274"/>
      <c r="CJ222" s="274"/>
      <c r="CK222" s="39"/>
      <c r="CL222" s="39"/>
      <c r="CM222" s="39"/>
      <c r="CN222" s="39"/>
      <c r="CO222" s="39"/>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274"/>
      <c r="DM222" s="274"/>
      <c r="DN222" s="274"/>
      <c r="DO222" s="274"/>
      <c r="DP222" s="274"/>
      <c r="DQ222" s="274"/>
      <c r="DR222" s="274"/>
      <c r="DS222" s="274"/>
      <c r="DT222" s="274"/>
      <c r="DU222" s="274"/>
      <c r="DV222" s="274"/>
      <c r="DW222" s="274"/>
      <c r="DX222" s="274"/>
      <c r="DY222" s="274"/>
      <c r="DZ222" s="274"/>
      <c r="EA222" s="274"/>
      <c r="EB222" s="274"/>
      <c r="EC222" s="274"/>
      <c r="ED222" s="39">
        <f t="shared" si="81"/>
        <v>2523400.9500000002</v>
      </c>
      <c r="EE222" s="30">
        <f t="shared" si="82"/>
        <v>3</v>
      </c>
      <c r="EF222" s="39">
        <f t="shared" si="83"/>
        <v>841133.65</v>
      </c>
    </row>
    <row r="223" spans="1:136" x14ac:dyDescent="0.25">
      <c r="A223" s="25" t="e">
        <f>#REF!</f>
        <v>#REF!</v>
      </c>
      <c r="B223" s="50" t="e">
        <f>#REF!</f>
        <v>#REF!</v>
      </c>
      <c r="C223" s="5" t="e">
        <f>#REF!</f>
        <v>#REF!</v>
      </c>
      <c r="D223" s="5" t="e">
        <f>#REF!</f>
        <v>#REF!</v>
      </c>
      <c r="E223" s="252">
        <v>1</v>
      </c>
      <c r="F223" s="249">
        <v>53550</v>
      </c>
      <c r="G223" s="249">
        <v>0</v>
      </c>
      <c r="H223" s="249">
        <v>112256.66666666667</v>
      </c>
      <c r="I223" s="249">
        <v>0</v>
      </c>
      <c r="J223" s="249">
        <v>133448.88083333333</v>
      </c>
      <c r="K223" s="249">
        <v>66450</v>
      </c>
      <c r="L223" s="274">
        <f>AVERAGE(F223,H223,J223)</f>
        <v>99751.849166666667</v>
      </c>
      <c r="M223" s="274">
        <f>K223*E1</f>
        <v>68443.5</v>
      </c>
      <c r="N223" s="255">
        <v>70000</v>
      </c>
      <c r="O223" s="135">
        <f>+N223*0.19</f>
        <v>13300</v>
      </c>
      <c r="P223" s="135">
        <f>+N223+O223</f>
        <v>83300</v>
      </c>
      <c r="Q223" s="11"/>
      <c r="R223" s="11"/>
      <c r="S223" s="11"/>
      <c r="T223" s="274"/>
      <c r="U223" s="274"/>
      <c r="V223" s="274"/>
      <c r="W223" s="11"/>
      <c r="X223" s="11"/>
      <c r="Y223" s="11"/>
      <c r="Z223" s="274"/>
      <c r="AA223" s="274"/>
      <c r="AB223" s="274"/>
      <c r="AC223" s="11"/>
      <c r="AD223" s="11"/>
      <c r="AE223" s="11"/>
      <c r="AF223" s="274"/>
      <c r="AG223" s="274"/>
      <c r="AH223" s="274"/>
      <c r="AI223" s="11"/>
      <c r="AJ223" s="11"/>
      <c r="AK223" s="11"/>
      <c r="AL223" s="118"/>
      <c r="AM223" s="118"/>
      <c r="AN223" s="118"/>
      <c r="AO223" s="52"/>
      <c r="AP223" s="52"/>
      <c r="AQ223" s="11"/>
      <c r="AR223" s="274">
        <v>145000</v>
      </c>
      <c r="AS223" s="274">
        <f>+AR223*0.19</f>
        <v>27550</v>
      </c>
      <c r="AT223" s="274">
        <f>+AR223+AS223</f>
        <v>172550</v>
      </c>
      <c r="AU223" s="11"/>
      <c r="AV223" s="11"/>
      <c r="AW223" s="11"/>
      <c r="AX223" s="274"/>
      <c r="AY223" s="274"/>
      <c r="AZ223" s="274"/>
      <c r="BA223" s="11"/>
      <c r="BB223" s="11"/>
      <c r="BC223" s="11"/>
      <c r="BD223" s="274"/>
      <c r="BE223" s="274"/>
      <c r="BF223" s="274"/>
      <c r="BG223" s="11"/>
      <c r="BH223" s="11"/>
      <c r="BI223" s="11"/>
      <c r="BJ223" s="274"/>
      <c r="BK223" s="274"/>
      <c r="BL223" s="274"/>
      <c r="BM223" s="213"/>
      <c r="BN223" s="213"/>
      <c r="BO223" s="11"/>
      <c r="BP223" s="274"/>
      <c r="BQ223" s="274"/>
      <c r="BR223" s="274"/>
      <c r="BS223" s="11"/>
      <c r="BT223" s="11"/>
      <c r="BU223" s="11"/>
      <c r="BV223" s="212"/>
      <c r="BW223" s="221"/>
      <c r="BX223" s="273"/>
      <c r="BY223" s="213"/>
      <c r="BZ223" s="213"/>
      <c r="CA223" s="213"/>
      <c r="CB223" s="274"/>
      <c r="CC223" s="274"/>
      <c r="CD223" s="274"/>
      <c r="CE223" s="11"/>
      <c r="CF223" s="11"/>
      <c r="CG223" s="11"/>
      <c r="CH223" s="274"/>
      <c r="CI223" s="274"/>
      <c r="CJ223" s="274"/>
      <c r="CK223" s="11"/>
      <c r="CL223" s="11"/>
      <c r="CM223" s="11"/>
      <c r="CN223" s="11"/>
      <c r="CO223" s="11"/>
      <c r="CP223" s="11"/>
      <c r="CQ223" s="11"/>
      <c r="CR223" s="39"/>
      <c r="CS223" s="39"/>
      <c r="CT223" s="39"/>
      <c r="CU223" s="39"/>
      <c r="CV223" s="39"/>
      <c r="CW223" s="39"/>
      <c r="CX223" s="39"/>
      <c r="CY223" s="39"/>
      <c r="CZ223" s="39"/>
      <c r="DA223" s="39"/>
      <c r="DB223" s="39"/>
      <c r="DC223" s="39"/>
      <c r="DD223" s="39"/>
      <c r="DE223" s="39"/>
      <c r="DF223" s="39"/>
      <c r="DG223" s="39"/>
      <c r="DH223" s="39"/>
      <c r="DI223" s="39"/>
      <c r="DJ223" s="39"/>
      <c r="DK223" s="39"/>
      <c r="DL223" s="274"/>
      <c r="DM223" s="274"/>
      <c r="DN223" s="274"/>
      <c r="DO223" s="274"/>
      <c r="DP223" s="274"/>
      <c r="DQ223" s="274"/>
      <c r="DR223" s="274"/>
      <c r="DS223" s="274"/>
      <c r="DT223" s="274"/>
      <c r="DU223" s="274"/>
      <c r="DV223" s="274"/>
      <c r="DW223" s="274"/>
      <c r="DX223" s="274"/>
      <c r="DY223" s="274"/>
      <c r="DZ223" s="274"/>
      <c r="EA223" s="274"/>
      <c r="EB223" s="274"/>
      <c r="EC223" s="274"/>
      <c r="ED223" s="39">
        <f t="shared" si="81"/>
        <v>324293.5</v>
      </c>
      <c r="EE223" s="30">
        <f t="shared" si="82"/>
        <v>3</v>
      </c>
      <c r="EF223" s="39">
        <f t="shared" si="83"/>
        <v>108097.83333333333</v>
      </c>
    </row>
    <row r="224" spans="1:136" x14ac:dyDescent="0.25">
      <c r="A224" s="25" t="e">
        <f>#REF!</f>
        <v>#REF!</v>
      </c>
      <c r="B224" s="50" t="e">
        <f>#REF!</f>
        <v>#REF!</v>
      </c>
      <c r="C224" s="5" t="e">
        <f>#REF!</f>
        <v>#REF!</v>
      </c>
      <c r="D224" s="5" t="e">
        <f>#REF!</f>
        <v>#REF!</v>
      </c>
      <c r="E224" s="252">
        <v>1</v>
      </c>
      <c r="F224" s="249">
        <v>102935</v>
      </c>
      <c r="G224" s="249">
        <v>99841</v>
      </c>
      <c r="H224" s="249">
        <v>78055.182099999991</v>
      </c>
      <c r="I224" s="249">
        <v>0</v>
      </c>
      <c r="J224" s="249">
        <v>92240.370833333349</v>
      </c>
      <c r="K224" s="249">
        <v>91630</v>
      </c>
      <c r="L224" s="274">
        <f>AVERAGE(F224,H224,J224)</f>
        <v>91076.85097777778</v>
      </c>
      <c r="M224" s="274">
        <f>AVERAGE(G224,K224)*E1</f>
        <v>98607.565000000002</v>
      </c>
      <c r="N224" s="255">
        <v>50000</v>
      </c>
      <c r="O224" s="135">
        <f>+N224*0.19</f>
        <v>9500</v>
      </c>
      <c r="P224" s="135">
        <f>+N224+O224</f>
        <v>59500</v>
      </c>
      <c r="Q224" s="11"/>
      <c r="R224" s="11"/>
      <c r="S224" s="25"/>
      <c r="T224" s="150"/>
      <c r="U224" s="274"/>
      <c r="V224" s="274"/>
      <c r="W224" s="39"/>
      <c r="X224" s="11"/>
      <c r="Y224" s="11"/>
      <c r="Z224" s="274"/>
      <c r="AA224" s="274"/>
      <c r="AB224" s="274"/>
      <c r="AC224" s="11"/>
      <c r="AD224" s="11"/>
      <c r="AE224" s="11"/>
      <c r="AF224" s="274"/>
      <c r="AG224" s="274"/>
      <c r="AH224" s="274"/>
      <c r="AI224" s="11"/>
      <c r="AJ224" s="11"/>
      <c r="AK224" s="11"/>
      <c r="AL224" s="118"/>
      <c r="AM224" s="118"/>
      <c r="AN224" s="118"/>
      <c r="AO224" s="52"/>
      <c r="AP224" s="52"/>
      <c r="AQ224" s="11"/>
      <c r="AR224" s="274">
        <v>118000</v>
      </c>
      <c r="AS224" s="274">
        <f>+AR224*0.19</f>
        <v>22420</v>
      </c>
      <c r="AT224" s="274">
        <f>+AR224+AS224</f>
        <v>140420</v>
      </c>
      <c r="AU224" s="11"/>
      <c r="AV224" s="11"/>
      <c r="AW224" s="6"/>
      <c r="AX224" s="274"/>
      <c r="AY224" s="274"/>
      <c r="AZ224" s="274"/>
      <c r="BA224" s="16"/>
      <c r="BB224" s="62"/>
      <c r="BC224" s="39"/>
      <c r="BD224" s="274"/>
      <c r="BE224" s="274"/>
      <c r="BF224" s="274"/>
      <c r="BG224" s="11"/>
      <c r="BH224" s="11"/>
      <c r="BI224" s="11"/>
      <c r="BJ224" s="274"/>
      <c r="BK224" s="274"/>
      <c r="BL224" s="274"/>
      <c r="BM224" s="213"/>
      <c r="BN224" s="213"/>
      <c r="BO224" s="11"/>
      <c r="BP224" s="274"/>
      <c r="BQ224" s="274"/>
      <c r="BR224" s="274"/>
      <c r="BS224" s="11"/>
      <c r="BT224" s="11"/>
      <c r="BU224" s="11"/>
      <c r="BV224" s="212"/>
      <c r="BW224" s="221"/>
      <c r="BX224" s="273"/>
      <c r="BY224" s="213"/>
      <c r="BZ224" s="213"/>
      <c r="CA224" s="213"/>
      <c r="CB224" s="274"/>
      <c r="CC224" s="274"/>
      <c r="CD224" s="274"/>
      <c r="CE224" s="11"/>
      <c r="CF224" s="11"/>
      <c r="CG224" s="11"/>
      <c r="CH224" s="274"/>
      <c r="CI224" s="274"/>
      <c r="CJ224" s="274"/>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274"/>
      <c r="DM224" s="274"/>
      <c r="DN224" s="274"/>
      <c r="DO224" s="274"/>
      <c r="DP224" s="274"/>
      <c r="DQ224" s="274"/>
      <c r="DR224" s="274"/>
      <c r="DS224" s="274"/>
      <c r="DT224" s="274"/>
      <c r="DU224" s="274"/>
      <c r="DV224" s="274"/>
      <c r="DW224" s="274"/>
      <c r="DX224" s="274"/>
      <c r="DY224" s="274"/>
      <c r="DZ224" s="274"/>
      <c r="EA224" s="274"/>
      <c r="EB224" s="274"/>
      <c r="EC224" s="274"/>
      <c r="ED224" s="39">
        <f t="shared" si="81"/>
        <v>298527.565</v>
      </c>
      <c r="EE224" s="30">
        <f t="shared" si="82"/>
        <v>3</v>
      </c>
      <c r="EF224" s="39">
        <f t="shared" si="83"/>
        <v>99509.188333333339</v>
      </c>
    </row>
    <row r="225" spans="1:136" x14ac:dyDescent="0.25">
      <c r="A225" s="25" t="e">
        <f>#REF!</f>
        <v>#REF!</v>
      </c>
      <c r="B225" s="50" t="e">
        <f>#REF!</f>
        <v>#REF!</v>
      </c>
      <c r="C225" s="5" t="e">
        <f>#REF!</f>
        <v>#REF!</v>
      </c>
      <c r="D225" s="5" t="e">
        <f>#REF!</f>
        <v>#REF!</v>
      </c>
      <c r="E225" s="252">
        <v>1</v>
      </c>
      <c r="F225" s="249">
        <v>35700</v>
      </c>
      <c r="G225" s="249">
        <v>34629</v>
      </c>
      <c r="H225" s="249">
        <v>0</v>
      </c>
      <c r="I225" s="249">
        <v>0</v>
      </c>
      <c r="J225" s="249">
        <v>63554.594444444454</v>
      </c>
      <c r="K225" s="249">
        <v>26300</v>
      </c>
      <c r="L225" s="274">
        <f>AVERAGE(F225,J225)</f>
        <v>49627.297222222231</v>
      </c>
      <c r="M225" s="274">
        <f>AVERAGE(G225,K225)*E1</f>
        <v>31378.435000000001</v>
      </c>
      <c r="N225" s="255">
        <v>40000</v>
      </c>
      <c r="O225" s="135">
        <f>+N225*0.19</f>
        <v>7600</v>
      </c>
      <c r="P225" s="135">
        <f>+N225+O225</f>
        <v>47600</v>
      </c>
      <c r="Q225" s="131"/>
      <c r="R225" s="131"/>
      <c r="S225" s="11"/>
      <c r="T225" s="274"/>
      <c r="U225" s="274"/>
      <c r="V225" s="274"/>
      <c r="W225" s="39"/>
      <c r="X225" s="11"/>
      <c r="Y225" s="11"/>
      <c r="Z225" s="274"/>
      <c r="AA225" s="274"/>
      <c r="AB225" s="274"/>
      <c r="AC225" s="52"/>
      <c r="AD225" s="22"/>
      <c r="AE225" s="39"/>
      <c r="AF225" s="274"/>
      <c r="AG225" s="274"/>
      <c r="AH225" s="171"/>
      <c r="AI225" s="4"/>
      <c r="AJ225" s="39"/>
      <c r="AK225" s="39"/>
      <c r="AL225" s="118"/>
      <c r="AM225" s="152"/>
      <c r="AN225" s="181"/>
      <c r="AO225" s="131"/>
      <c r="AP225" s="131"/>
      <c r="AQ225" s="39"/>
      <c r="AR225" s="274">
        <v>33000</v>
      </c>
      <c r="AS225" s="274">
        <f>+AR225*0.19</f>
        <v>6270</v>
      </c>
      <c r="AT225" s="274">
        <f>+AR225+AS225</f>
        <v>39270</v>
      </c>
      <c r="AU225" s="39"/>
      <c r="AV225" s="39"/>
      <c r="AW225" s="39"/>
      <c r="AX225" s="274"/>
      <c r="AY225" s="274"/>
      <c r="AZ225" s="274"/>
      <c r="BA225" s="39"/>
      <c r="BB225" s="62"/>
      <c r="BC225" s="39"/>
      <c r="BD225" s="274"/>
      <c r="BE225" s="274"/>
      <c r="BF225" s="274"/>
      <c r="BG225" s="39"/>
      <c r="BH225" s="39"/>
      <c r="BI225" s="39"/>
      <c r="BJ225" s="274"/>
      <c r="BK225" s="274"/>
      <c r="BL225" s="274"/>
      <c r="BM225" s="213"/>
      <c r="BN225" s="213"/>
      <c r="BO225" s="39"/>
      <c r="BP225" s="274"/>
      <c r="BQ225" s="274"/>
      <c r="BR225" s="274"/>
      <c r="BS225" s="39"/>
      <c r="BT225" s="39"/>
      <c r="BU225" s="39"/>
      <c r="BV225" s="212"/>
      <c r="BW225" s="221"/>
      <c r="BX225" s="273"/>
      <c r="BY225" s="213"/>
      <c r="BZ225" s="213"/>
      <c r="CA225" s="213"/>
      <c r="CB225" s="274"/>
      <c r="CC225" s="274"/>
      <c r="CD225" s="274"/>
      <c r="CE225" s="39"/>
      <c r="CF225" s="39"/>
      <c r="CG225" s="39"/>
      <c r="CH225" s="274"/>
      <c r="CI225" s="274"/>
      <c r="CJ225" s="274"/>
      <c r="CK225" s="39"/>
      <c r="CL225" s="39"/>
      <c r="CM225" s="39"/>
      <c r="CN225" s="39"/>
      <c r="CO225" s="39"/>
      <c r="CP225" s="11"/>
      <c r="CQ225" s="11"/>
      <c r="CR225" s="11"/>
      <c r="CS225" s="11"/>
      <c r="CT225" s="11"/>
      <c r="CU225" s="11"/>
      <c r="CV225" s="11"/>
      <c r="CW225" s="11"/>
      <c r="CX225" s="11"/>
      <c r="CY225" s="11"/>
      <c r="CZ225" s="11"/>
      <c r="DA225" s="11"/>
      <c r="DB225" s="11"/>
      <c r="DC225" s="11"/>
      <c r="DD225" s="11"/>
      <c r="DE225" s="11"/>
      <c r="DF225" s="11"/>
      <c r="DG225" s="11"/>
      <c r="DH225" s="11"/>
      <c r="DI225" s="11"/>
      <c r="DJ225" s="277"/>
      <c r="DK225" s="277"/>
      <c r="DL225" s="274"/>
      <c r="DM225" s="274"/>
      <c r="DN225" s="274"/>
      <c r="DO225" s="274"/>
      <c r="DP225" s="274"/>
      <c r="DQ225" s="274"/>
      <c r="DR225" s="274"/>
      <c r="DS225" s="274"/>
      <c r="DT225" s="274"/>
      <c r="DU225" s="274"/>
      <c r="DV225" s="274"/>
      <c r="DW225" s="274"/>
      <c r="DX225" s="274"/>
      <c r="DY225" s="274"/>
      <c r="DZ225" s="274"/>
      <c r="EA225" s="274"/>
      <c r="EB225" s="274"/>
      <c r="EC225" s="274"/>
      <c r="ED225" s="39">
        <f t="shared" si="81"/>
        <v>118248.435</v>
      </c>
      <c r="EE225" s="30">
        <f t="shared" si="82"/>
        <v>3</v>
      </c>
      <c r="EF225" s="39">
        <f t="shared" si="83"/>
        <v>39416.144999999997</v>
      </c>
    </row>
    <row r="226" spans="1:136" x14ac:dyDescent="0.25">
      <c r="A226" s="25" t="e">
        <f>#REF!</f>
        <v>#REF!</v>
      </c>
      <c r="B226" s="50" t="e">
        <f>#REF!</f>
        <v>#REF!</v>
      </c>
      <c r="C226" s="5" t="e">
        <f>#REF!</f>
        <v>#REF!</v>
      </c>
      <c r="D226" s="5" t="e">
        <f>#REF!</f>
        <v>#REF!</v>
      </c>
      <c r="E226" s="252">
        <v>1</v>
      </c>
      <c r="F226" s="249">
        <v>0</v>
      </c>
      <c r="G226" s="249">
        <v>0</v>
      </c>
      <c r="H226" s="249">
        <v>0</v>
      </c>
      <c r="I226" s="249">
        <v>0</v>
      </c>
      <c r="J226" s="249">
        <v>0</v>
      </c>
      <c r="K226" s="249">
        <v>0</v>
      </c>
      <c r="L226" s="274"/>
      <c r="M226" s="274"/>
      <c r="N226" s="255"/>
      <c r="O226" s="135"/>
      <c r="P226" s="135"/>
      <c r="Q226" s="131"/>
      <c r="R226" s="131"/>
      <c r="S226" s="11"/>
      <c r="T226" s="274"/>
      <c r="U226" s="274"/>
      <c r="V226" s="274"/>
      <c r="W226" s="39"/>
      <c r="X226" s="11"/>
      <c r="Y226" s="11"/>
      <c r="Z226" s="274"/>
      <c r="AA226" s="274"/>
      <c r="AB226" s="274"/>
      <c r="AC226" s="52"/>
      <c r="AD226" s="22"/>
      <c r="AE226" s="39"/>
      <c r="AF226" s="274"/>
      <c r="AG226" s="274"/>
      <c r="AH226" s="113"/>
      <c r="AI226" s="4"/>
      <c r="AJ226" s="39"/>
      <c r="AK226" s="39"/>
      <c r="AL226" s="118"/>
      <c r="AM226" s="152"/>
      <c r="AN226" s="181"/>
      <c r="AO226" s="131"/>
      <c r="AP226" s="131"/>
      <c r="AQ226" s="39"/>
      <c r="AR226" s="274"/>
      <c r="AS226" s="274"/>
      <c r="AT226" s="274"/>
      <c r="AU226" s="39"/>
      <c r="AV226" s="39"/>
      <c r="AW226" s="39"/>
      <c r="AX226" s="274"/>
      <c r="AY226" s="274"/>
      <c r="AZ226" s="274"/>
      <c r="BA226" s="39"/>
      <c r="BB226" s="62"/>
      <c r="BC226" s="39"/>
      <c r="BD226" s="274"/>
      <c r="BE226" s="274"/>
      <c r="BF226" s="274"/>
      <c r="BG226" s="39"/>
      <c r="BH226" s="39"/>
      <c r="BI226" s="39"/>
      <c r="BJ226" s="274">
        <v>3029400</v>
      </c>
      <c r="BK226" s="274">
        <f>+BJ226*0.19</f>
        <v>575586</v>
      </c>
      <c r="BL226" s="274">
        <f>+BJ226+BK226</f>
        <v>3604986</v>
      </c>
      <c r="BM226" s="214" t="s">
        <v>445</v>
      </c>
      <c r="BN226" s="213" t="s">
        <v>4801</v>
      </c>
      <c r="BO226" s="39"/>
      <c r="BP226" s="274">
        <v>396300</v>
      </c>
      <c r="BQ226" s="274">
        <f>+BP226*19%</f>
        <v>75297</v>
      </c>
      <c r="BR226" s="274">
        <f>+BQ226+BP226</f>
        <v>471597</v>
      </c>
      <c r="BS226" s="39"/>
      <c r="BT226" s="39"/>
      <c r="BU226" s="39"/>
      <c r="BV226" s="219">
        <v>3469129.5276000006</v>
      </c>
      <c r="BW226" s="219">
        <f>+BV226*0.19</f>
        <v>659134.6102440001</v>
      </c>
      <c r="BX226" s="273">
        <f>+BV226+BW226</f>
        <v>4128264.1378440009</v>
      </c>
      <c r="BY226" s="214" t="s">
        <v>445</v>
      </c>
      <c r="BZ226" s="213" t="s">
        <v>4801</v>
      </c>
      <c r="CA226" s="213"/>
      <c r="CB226" s="275"/>
      <c r="CC226" s="274"/>
      <c r="CD226" s="274"/>
      <c r="CE226" s="39"/>
      <c r="CF226" s="39"/>
      <c r="CG226" s="39"/>
      <c r="CH226" s="274"/>
      <c r="CI226" s="274"/>
      <c r="CJ226" s="274"/>
      <c r="CK226" s="39"/>
      <c r="CL226" s="39"/>
      <c r="CM226" s="39"/>
      <c r="CN226" s="39"/>
      <c r="CO226" s="39"/>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274"/>
      <c r="DM226" s="274"/>
      <c r="DN226" s="274"/>
      <c r="DO226" s="274"/>
      <c r="DP226" s="274"/>
      <c r="DQ226" s="274"/>
      <c r="DR226" s="274"/>
      <c r="DS226" s="274"/>
      <c r="DT226" s="274"/>
      <c r="DU226" s="274"/>
      <c r="DV226" s="274"/>
      <c r="DW226" s="274"/>
      <c r="DX226" s="274"/>
      <c r="DY226" s="274"/>
      <c r="DZ226" s="274"/>
      <c r="EA226" s="274"/>
      <c r="EB226" s="274"/>
      <c r="EC226" s="274"/>
      <c r="ED226" s="39">
        <f t="shared" si="81"/>
        <v>8204847.1378440009</v>
      </c>
      <c r="EE226" s="30">
        <f t="shared" si="82"/>
        <v>3</v>
      </c>
      <c r="EF226" s="39">
        <f t="shared" si="83"/>
        <v>2734949.0459480002</v>
      </c>
    </row>
    <row r="227" spans="1:136" ht="127.5" x14ac:dyDescent="0.25">
      <c r="A227" s="25" t="e">
        <f>#REF!</f>
        <v>#REF!</v>
      </c>
      <c r="B227" s="50" t="e">
        <f>#REF!</f>
        <v>#REF!</v>
      </c>
      <c r="C227" s="5" t="e">
        <f>#REF!</f>
        <v>#REF!</v>
      </c>
      <c r="D227" s="5" t="e">
        <f>#REF!</f>
        <v>#REF!</v>
      </c>
      <c r="E227" s="252">
        <v>1</v>
      </c>
      <c r="F227" s="249">
        <v>0</v>
      </c>
      <c r="G227" s="249">
        <v>0</v>
      </c>
      <c r="H227" s="249">
        <v>0</v>
      </c>
      <c r="I227" s="249">
        <v>0</v>
      </c>
      <c r="J227" s="249">
        <v>0</v>
      </c>
      <c r="K227" s="249">
        <v>0</v>
      </c>
      <c r="L227" s="274"/>
      <c r="M227" s="274"/>
      <c r="N227" s="256">
        <v>1950000</v>
      </c>
      <c r="O227" s="135">
        <f>+N227*0.19</f>
        <v>370500</v>
      </c>
      <c r="P227" s="135">
        <f>+N227+O227</f>
        <v>2320500</v>
      </c>
      <c r="Q227" s="131"/>
      <c r="R227" s="131"/>
      <c r="S227" s="11"/>
      <c r="T227" s="274">
        <v>981200.00000000012</v>
      </c>
      <c r="U227" s="274">
        <f>+T227*0.19</f>
        <v>186428.00000000003</v>
      </c>
      <c r="V227" s="274">
        <f>+T227+U227</f>
        <v>1167628.0000000002</v>
      </c>
      <c r="W227" s="39" t="s">
        <v>510</v>
      </c>
      <c r="X227" s="48" t="s">
        <v>2987</v>
      </c>
      <c r="Y227" s="11"/>
      <c r="Z227" s="274"/>
      <c r="AA227" s="274"/>
      <c r="AB227" s="274"/>
      <c r="AC227" s="52"/>
      <c r="AD227" s="22"/>
      <c r="AE227" s="39"/>
      <c r="AF227" s="274"/>
      <c r="AG227" s="274"/>
      <c r="AH227" s="171"/>
      <c r="AI227" s="4"/>
      <c r="AJ227" s="39"/>
      <c r="AK227" s="39"/>
      <c r="AL227" s="118"/>
      <c r="AM227" s="152"/>
      <c r="AN227" s="181"/>
      <c r="AO227" s="131"/>
      <c r="AP227" s="131"/>
      <c r="AQ227" s="39"/>
      <c r="AR227" s="274"/>
      <c r="AS227" s="274"/>
      <c r="AT227" s="274"/>
      <c r="AU227" s="39"/>
      <c r="AV227" s="39"/>
      <c r="AW227" s="39"/>
      <c r="AX227" s="275"/>
      <c r="AY227" s="274"/>
      <c r="AZ227" s="274"/>
      <c r="BA227" s="39"/>
      <c r="BB227" s="62"/>
      <c r="BC227" s="39"/>
      <c r="BD227" s="113">
        <v>1970816</v>
      </c>
      <c r="BE227" s="274">
        <f>+BD227*0.19</f>
        <v>374455.03999999998</v>
      </c>
      <c r="BF227" s="274">
        <f>+BD227+BE227</f>
        <v>2345271.04</v>
      </c>
      <c r="BG227" s="25" t="s">
        <v>445</v>
      </c>
      <c r="BH227" s="5" t="s">
        <v>4802</v>
      </c>
      <c r="BI227" s="5" t="s">
        <v>4803</v>
      </c>
      <c r="BJ227" s="274"/>
      <c r="BK227" s="274"/>
      <c r="BL227" s="274"/>
      <c r="BM227" s="213"/>
      <c r="BN227" s="213"/>
      <c r="BO227" s="39"/>
      <c r="BP227" s="274"/>
      <c r="BQ227" s="274"/>
      <c r="BR227" s="274"/>
      <c r="BS227" s="39"/>
      <c r="BT227" s="39"/>
      <c r="BU227" s="39"/>
      <c r="BV227" s="212"/>
      <c r="BW227" s="221"/>
      <c r="BX227" s="273"/>
      <c r="BY227" s="213"/>
      <c r="BZ227" s="213"/>
      <c r="CA227" s="213"/>
      <c r="CB227" s="274"/>
      <c r="CC227" s="274"/>
      <c r="CD227" s="274"/>
      <c r="CE227" s="39"/>
      <c r="CF227" s="39"/>
      <c r="CG227" s="39"/>
      <c r="CH227" s="275"/>
      <c r="CI227" s="275"/>
      <c r="CJ227" s="275"/>
      <c r="CK227" s="39"/>
      <c r="CL227" s="39"/>
      <c r="CM227" s="39"/>
      <c r="CN227" s="39"/>
      <c r="CO227" s="39"/>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274"/>
      <c r="DM227" s="274"/>
      <c r="DN227" s="274"/>
      <c r="DO227" s="274"/>
      <c r="DP227" s="274"/>
      <c r="DQ227" s="274"/>
      <c r="DR227" s="274"/>
      <c r="DS227" s="274"/>
      <c r="DT227" s="274"/>
      <c r="DU227" s="274"/>
      <c r="DV227" s="274"/>
      <c r="DW227" s="274"/>
      <c r="DX227" s="274"/>
      <c r="DY227" s="274"/>
      <c r="DZ227" s="274"/>
      <c r="EA227" s="274"/>
      <c r="EB227" s="274"/>
      <c r="EC227" s="274"/>
      <c r="ED227" s="39">
        <f t="shared" si="81"/>
        <v>5833399.04</v>
      </c>
      <c r="EE227" s="30">
        <f t="shared" si="82"/>
        <v>3</v>
      </c>
      <c r="EF227" s="39">
        <f t="shared" si="83"/>
        <v>1944466.3466666667</v>
      </c>
    </row>
    <row r="228" spans="1:136" ht="127.5" x14ac:dyDescent="0.25">
      <c r="A228" s="25" t="e">
        <f>#REF!</f>
        <v>#REF!</v>
      </c>
      <c r="B228" s="50" t="e">
        <f>#REF!</f>
        <v>#REF!</v>
      </c>
      <c r="C228" s="5" t="e">
        <f>#REF!</f>
        <v>#REF!</v>
      </c>
      <c r="D228" s="5" t="e">
        <f>#REF!</f>
        <v>#REF!</v>
      </c>
      <c r="E228" s="252">
        <v>1</v>
      </c>
      <c r="F228" s="249">
        <v>0</v>
      </c>
      <c r="G228" s="249">
        <v>0</v>
      </c>
      <c r="H228" s="249">
        <v>0</v>
      </c>
      <c r="I228" s="249">
        <v>0</v>
      </c>
      <c r="J228" s="249">
        <v>0</v>
      </c>
      <c r="K228" s="249">
        <v>0</v>
      </c>
      <c r="L228" s="274"/>
      <c r="M228" s="274"/>
      <c r="N228" s="255">
        <v>2600000</v>
      </c>
      <c r="O228" s="135">
        <f>+N228*0.19</f>
        <v>494000</v>
      </c>
      <c r="P228" s="135">
        <f>+N228+O228</f>
        <v>3094000</v>
      </c>
      <c r="Q228" s="131"/>
      <c r="R228" s="131"/>
      <c r="S228" s="11"/>
      <c r="T228" s="274">
        <v>1210000</v>
      </c>
      <c r="U228" s="274">
        <f>+T228*0.19</f>
        <v>229900</v>
      </c>
      <c r="V228" s="274">
        <f>+T228+U228</f>
        <v>1439900</v>
      </c>
      <c r="W228" s="39" t="s">
        <v>510</v>
      </c>
      <c r="X228" s="48" t="s">
        <v>2987</v>
      </c>
      <c r="Y228" s="11"/>
      <c r="Z228" s="274"/>
      <c r="AA228" s="274"/>
      <c r="AB228" s="274"/>
      <c r="AC228" s="52"/>
      <c r="AD228" s="22"/>
      <c r="AE228" s="39"/>
      <c r="AF228" s="274"/>
      <c r="AG228" s="274"/>
      <c r="AH228" s="113"/>
      <c r="AI228" s="4"/>
      <c r="AJ228" s="39"/>
      <c r="AK228" s="39"/>
      <c r="AL228" s="118"/>
      <c r="AM228" s="152"/>
      <c r="AN228" s="181"/>
      <c r="AO228" s="131"/>
      <c r="AP228" s="131"/>
      <c r="AQ228" s="39"/>
      <c r="AR228" s="274"/>
      <c r="AS228" s="274"/>
      <c r="AT228" s="274"/>
      <c r="AU228" s="39"/>
      <c r="AV228" s="39"/>
      <c r="AW228" s="39"/>
      <c r="AX228" s="274"/>
      <c r="AY228" s="274"/>
      <c r="AZ228" s="274"/>
      <c r="BA228" s="39"/>
      <c r="BB228" s="62"/>
      <c r="BC228" s="39"/>
      <c r="BD228" s="118">
        <v>2994468</v>
      </c>
      <c r="BE228" s="274">
        <f>+BD228*0.19</f>
        <v>568948.92000000004</v>
      </c>
      <c r="BF228" s="274">
        <f>+BD228+BE228</f>
        <v>3563416.92</v>
      </c>
      <c r="BG228" s="25" t="s">
        <v>445</v>
      </c>
      <c r="BH228" s="5" t="s">
        <v>4804</v>
      </c>
      <c r="BI228" s="5" t="s">
        <v>4805</v>
      </c>
      <c r="BJ228" s="274">
        <v>3672700</v>
      </c>
      <c r="BK228" s="274">
        <f>+BJ228*0.19</f>
        <v>697813</v>
      </c>
      <c r="BL228" s="274">
        <f>+BJ228+BK228</f>
        <v>4370513</v>
      </c>
      <c r="BM228" s="214" t="s">
        <v>445</v>
      </c>
      <c r="BN228" s="213" t="s">
        <v>2925</v>
      </c>
      <c r="BO228" s="39"/>
      <c r="BP228" s="274"/>
      <c r="BQ228" s="274"/>
      <c r="BR228" s="274"/>
      <c r="BS228" s="39"/>
      <c r="BT228" s="39"/>
      <c r="BU228" s="39"/>
      <c r="BV228" s="219"/>
      <c r="BW228" s="219"/>
      <c r="BX228" s="273"/>
      <c r="BY228" s="214"/>
      <c r="BZ228" s="213"/>
      <c r="CA228" s="213"/>
      <c r="CB228" s="274"/>
      <c r="CC228" s="274"/>
      <c r="CD228" s="274"/>
      <c r="CE228" s="39"/>
      <c r="CF228" s="39"/>
      <c r="CG228" s="39"/>
      <c r="CH228" s="274"/>
      <c r="CI228" s="274"/>
      <c r="CJ228" s="274"/>
      <c r="CK228" s="39"/>
      <c r="CL228" s="39"/>
      <c r="CM228" s="39"/>
      <c r="CN228" s="39"/>
      <c r="CO228" s="39"/>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274"/>
      <c r="DM228" s="274"/>
      <c r="DN228" s="274"/>
      <c r="DO228" s="274"/>
      <c r="DP228" s="274"/>
      <c r="DQ228" s="274"/>
      <c r="DR228" s="274"/>
      <c r="DS228" s="274"/>
      <c r="DT228" s="274"/>
      <c r="DU228" s="274"/>
      <c r="DV228" s="274"/>
      <c r="DW228" s="274"/>
      <c r="DX228" s="274"/>
      <c r="DY228" s="274"/>
      <c r="DZ228" s="274"/>
      <c r="EA228" s="274"/>
      <c r="EB228" s="274"/>
      <c r="EC228" s="274"/>
      <c r="ED228" s="39">
        <f t="shared" si="81"/>
        <v>12467829.92</v>
      </c>
      <c r="EE228" s="30">
        <f t="shared" si="82"/>
        <v>4</v>
      </c>
      <c r="EF228" s="39">
        <f t="shared" si="83"/>
        <v>3116957.48</v>
      </c>
    </row>
    <row r="229" spans="1:136" ht="25.5" x14ac:dyDescent="0.25">
      <c r="A229" s="25" t="e">
        <f>#REF!</f>
        <v>#REF!</v>
      </c>
      <c r="B229" s="50" t="e">
        <f>#REF!</f>
        <v>#REF!</v>
      </c>
      <c r="C229" s="5" t="e">
        <f>#REF!</f>
        <v>#REF!</v>
      </c>
      <c r="D229" s="5" t="e">
        <f>#REF!</f>
        <v>#REF!</v>
      </c>
      <c r="E229" s="252">
        <v>1</v>
      </c>
      <c r="F229" s="249">
        <v>0</v>
      </c>
      <c r="G229" s="249">
        <v>0</v>
      </c>
      <c r="H229" s="249">
        <v>0</v>
      </c>
      <c r="I229" s="249">
        <v>0</v>
      </c>
      <c r="J229" s="249">
        <v>0</v>
      </c>
      <c r="K229" s="249">
        <v>0</v>
      </c>
      <c r="L229" s="274"/>
      <c r="M229" s="274"/>
      <c r="N229" s="255">
        <v>3500000</v>
      </c>
      <c r="O229" s="135">
        <f>+N229*0.19</f>
        <v>665000</v>
      </c>
      <c r="P229" s="135">
        <f>+N229+O229</f>
        <v>4165000</v>
      </c>
      <c r="Q229" s="131"/>
      <c r="R229" s="131"/>
      <c r="S229" s="11"/>
      <c r="T229" s="274">
        <v>1452000.0000000002</v>
      </c>
      <c r="U229" s="274">
        <f>+T229*0.19</f>
        <v>275880.00000000006</v>
      </c>
      <c r="V229" s="274">
        <f>+T229+U229</f>
        <v>1727880.0000000002</v>
      </c>
      <c r="W229" s="39" t="s">
        <v>510</v>
      </c>
      <c r="X229" s="48" t="s">
        <v>2987</v>
      </c>
      <c r="Y229" s="11"/>
      <c r="Z229" s="274"/>
      <c r="AA229" s="274"/>
      <c r="AB229" s="274"/>
      <c r="AC229" s="52"/>
      <c r="AD229" s="22"/>
      <c r="AE229" s="39"/>
      <c r="AF229" s="274"/>
      <c r="AG229" s="274"/>
      <c r="AH229" s="113"/>
      <c r="AI229" s="4"/>
      <c r="AJ229" s="39"/>
      <c r="AK229" s="39"/>
      <c r="AL229" s="118"/>
      <c r="AM229" s="152"/>
      <c r="AN229" s="181"/>
      <c r="AO229" s="131"/>
      <c r="AP229" s="131"/>
      <c r="AQ229" s="39"/>
      <c r="AR229" s="274"/>
      <c r="AS229" s="274"/>
      <c r="AT229" s="274"/>
      <c r="AU229" s="39"/>
      <c r="AV229" s="39"/>
      <c r="AW229" s="39"/>
      <c r="AX229" s="274"/>
      <c r="AY229" s="274"/>
      <c r="AZ229" s="274"/>
      <c r="BA229" s="39"/>
      <c r="BB229" s="62"/>
      <c r="BC229" s="39"/>
      <c r="BD229" s="274"/>
      <c r="BE229" s="274"/>
      <c r="BF229" s="274"/>
      <c r="BG229" s="39"/>
      <c r="BH229" s="39"/>
      <c r="BI229" s="39"/>
      <c r="BJ229" s="274">
        <v>4871700</v>
      </c>
      <c r="BK229" s="274">
        <f>+BJ229*0.19</f>
        <v>925623</v>
      </c>
      <c r="BL229" s="274">
        <f>+BJ229+BK229</f>
        <v>5797323</v>
      </c>
      <c r="BM229" s="214" t="s">
        <v>445</v>
      </c>
      <c r="BN229" s="213" t="s">
        <v>2925</v>
      </c>
      <c r="BO229" s="39"/>
      <c r="BP229" s="274"/>
      <c r="BQ229" s="274"/>
      <c r="BR229" s="274"/>
      <c r="BS229" s="39"/>
      <c r="BT229" s="39"/>
      <c r="BU229" s="39"/>
      <c r="BV229" s="219"/>
      <c r="BW229" s="219"/>
      <c r="BX229" s="273"/>
      <c r="BY229" s="214"/>
      <c r="BZ229" s="213"/>
      <c r="CA229" s="213"/>
      <c r="CB229" s="274"/>
      <c r="CC229" s="274"/>
      <c r="CD229" s="274"/>
      <c r="CE229" s="39"/>
      <c r="CF229" s="39"/>
      <c r="CG229" s="39"/>
      <c r="CH229" s="274"/>
      <c r="CI229" s="274"/>
      <c r="CJ229" s="274"/>
      <c r="CK229" s="39"/>
      <c r="CL229" s="39"/>
      <c r="CM229" s="39"/>
      <c r="CN229" s="39"/>
      <c r="CO229" s="39"/>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274"/>
      <c r="DM229" s="274"/>
      <c r="DN229" s="274"/>
      <c r="DO229" s="274"/>
      <c r="DP229" s="274"/>
      <c r="DQ229" s="274"/>
      <c r="DR229" s="274"/>
      <c r="DS229" s="274"/>
      <c r="DT229" s="274"/>
      <c r="DU229" s="274"/>
      <c r="DV229" s="274"/>
      <c r="DW229" s="274"/>
      <c r="DX229" s="274"/>
      <c r="DY229" s="274"/>
      <c r="DZ229" s="274"/>
      <c r="EA229" s="274"/>
      <c r="EB229" s="274"/>
      <c r="EC229" s="274"/>
      <c r="ED229" s="39">
        <f t="shared" si="81"/>
        <v>11690203</v>
      </c>
      <c r="EE229" s="30">
        <f t="shared" si="82"/>
        <v>3</v>
      </c>
      <c r="EF229" s="39">
        <f t="shared" si="83"/>
        <v>3896734.3333333335</v>
      </c>
    </row>
    <row r="230" spans="1:136" x14ac:dyDescent="0.25">
      <c r="A230" s="25" t="e">
        <f>#REF!</f>
        <v>#REF!</v>
      </c>
      <c r="B230" s="50" t="e">
        <f>#REF!</f>
        <v>#REF!</v>
      </c>
      <c r="C230" s="5" t="e">
        <f>#REF!</f>
        <v>#REF!</v>
      </c>
      <c r="D230" s="5" t="e">
        <f>#REF!</f>
        <v>#REF!</v>
      </c>
      <c r="E230" s="252">
        <v>1</v>
      </c>
      <c r="F230" s="249">
        <v>2137002</v>
      </c>
      <c r="G230" s="249">
        <v>0</v>
      </c>
      <c r="H230" s="249">
        <v>2991184</v>
      </c>
      <c r="I230" s="249">
        <v>0</v>
      </c>
      <c r="J230" s="249">
        <v>0</v>
      </c>
      <c r="K230" s="249">
        <v>0</v>
      </c>
      <c r="L230" s="274">
        <f>AVERAGE(F230,H230)</f>
        <v>2564093</v>
      </c>
      <c r="M230" s="274"/>
      <c r="N230" s="255"/>
      <c r="O230" s="135"/>
      <c r="P230" s="135"/>
      <c r="Q230" s="131"/>
      <c r="R230" s="131"/>
      <c r="S230" s="11"/>
      <c r="T230" s="274"/>
      <c r="U230" s="274"/>
      <c r="V230" s="274"/>
      <c r="W230" s="39"/>
      <c r="X230" s="11"/>
      <c r="Y230" s="11"/>
      <c r="Z230" s="274"/>
      <c r="AA230" s="274"/>
      <c r="AB230" s="274"/>
      <c r="AC230" s="52"/>
      <c r="AD230" s="22"/>
      <c r="AE230" s="39"/>
      <c r="AF230" s="274"/>
      <c r="AG230" s="274"/>
      <c r="AH230" s="113"/>
      <c r="AI230" s="4"/>
      <c r="AJ230" s="39"/>
      <c r="AK230" s="39"/>
      <c r="AL230" s="118"/>
      <c r="AM230" s="152"/>
      <c r="AN230" s="181"/>
      <c r="AO230" s="131"/>
      <c r="AP230" s="131"/>
      <c r="AQ230" s="39"/>
      <c r="AR230" s="274"/>
      <c r="AS230" s="274"/>
      <c r="AT230" s="274"/>
      <c r="AU230" s="39"/>
      <c r="AV230" s="39"/>
      <c r="AW230" s="39"/>
      <c r="AX230" s="274"/>
      <c r="AY230" s="274"/>
      <c r="AZ230" s="274"/>
      <c r="BA230" s="39"/>
      <c r="BB230" s="62"/>
      <c r="BC230" s="39"/>
      <c r="BD230" s="274"/>
      <c r="BE230" s="274"/>
      <c r="BF230" s="274"/>
      <c r="BG230" s="39"/>
      <c r="BH230" s="39"/>
      <c r="BI230" s="39"/>
      <c r="BJ230" s="274"/>
      <c r="BK230" s="274"/>
      <c r="BL230" s="274"/>
      <c r="BM230" s="213"/>
      <c r="BN230" s="213"/>
      <c r="BO230" s="39"/>
      <c r="BP230" s="274"/>
      <c r="BQ230" s="274"/>
      <c r="BR230" s="274"/>
      <c r="BS230" s="39"/>
      <c r="BT230" s="39"/>
      <c r="BU230" s="39"/>
      <c r="BV230" s="212"/>
      <c r="BW230" s="221"/>
      <c r="BX230" s="273"/>
      <c r="BY230" s="213"/>
      <c r="BZ230" s="213"/>
      <c r="CA230" s="213"/>
      <c r="CB230" s="274"/>
      <c r="CC230" s="274"/>
      <c r="CD230" s="274"/>
      <c r="CE230" s="39"/>
      <c r="CF230" s="39"/>
      <c r="CG230" s="39"/>
      <c r="CH230" s="274"/>
      <c r="CI230" s="274"/>
      <c r="CJ230" s="274"/>
      <c r="CK230" s="39"/>
      <c r="CL230" s="39"/>
      <c r="CM230" s="39"/>
      <c r="CN230" s="39"/>
      <c r="CO230" s="39"/>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274"/>
      <c r="DM230" s="274"/>
      <c r="DN230" s="274"/>
      <c r="DO230" s="274"/>
      <c r="DP230" s="274"/>
      <c r="DQ230" s="274"/>
      <c r="DR230" s="274"/>
      <c r="DS230" s="274"/>
      <c r="DT230" s="274"/>
      <c r="DU230" s="274"/>
      <c r="DV230" s="274"/>
      <c r="DW230" s="274"/>
      <c r="DX230" s="274"/>
      <c r="DY230" s="274"/>
      <c r="DZ230" s="274"/>
      <c r="EA230" s="274"/>
      <c r="EB230" s="274"/>
      <c r="EC230" s="274"/>
      <c r="ED230" s="39">
        <f t="shared" si="81"/>
        <v>0</v>
      </c>
      <c r="EE230" s="30">
        <f t="shared" si="82"/>
        <v>0</v>
      </c>
      <c r="EF230" s="39" t="str">
        <f t="shared" si="83"/>
        <v xml:space="preserve"> </v>
      </c>
    </row>
    <row r="231" spans="1:136" ht="38.25" x14ac:dyDescent="0.25">
      <c r="A231" s="25" t="e">
        <f>#REF!</f>
        <v>#REF!</v>
      </c>
      <c r="B231" s="50" t="e">
        <f>#REF!</f>
        <v>#REF!</v>
      </c>
      <c r="C231" s="5" t="e">
        <f>#REF!</f>
        <v>#REF!</v>
      </c>
      <c r="D231" s="5" t="e">
        <f>#REF!</f>
        <v>#REF!</v>
      </c>
      <c r="E231" s="252">
        <v>1</v>
      </c>
      <c r="F231" s="249">
        <v>0</v>
      </c>
      <c r="G231" s="249">
        <v>0</v>
      </c>
      <c r="H231" s="249">
        <v>3550166.6666666665</v>
      </c>
      <c r="I231" s="249">
        <v>1570800</v>
      </c>
      <c r="J231" s="249">
        <v>3656464.7768980935</v>
      </c>
      <c r="K231" s="249">
        <v>3653300</v>
      </c>
      <c r="L231" s="274">
        <f>AVERAGE(H231,J231)</f>
        <v>3603315.7217823798</v>
      </c>
      <c r="M231" s="274">
        <f>AVERAGE(I231,K231)*E1</f>
        <v>2690411.5</v>
      </c>
      <c r="N231" s="255"/>
      <c r="O231" s="135"/>
      <c r="P231" s="135"/>
      <c r="Q231" s="131"/>
      <c r="R231" s="131"/>
      <c r="S231" s="11"/>
      <c r="T231" s="274"/>
      <c r="U231" s="274"/>
      <c r="V231" s="274"/>
      <c r="W231" s="39"/>
      <c r="X231" s="11"/>
      <c r="Y231" s="11"/>
      <c r="Z231" s="274"/>
      <c r="AA231" s="274"/>
      <c r="AB231" s="274"/>
      <c r="AC231" s="54"/>
      <c r="AD231" s="23"/>
      <c r="AE231" s="39"/>
      <c r="AF231" s="274"/>
      <c r="AG231" s="274"/>
      <c r="AH231" s="172"/>
      <c r="AI231" s="24"/>
      <c r="AJ231" s="39"/>
      <c r="AK231" s="39"/>
      <c r="AL231" s="118"/>
      <c r="AM231" s="152"/>
      <c r="AN231" s="181"/>
      <c r="AO231" s="131"/>
      <c r="AP231" s="131"/>
      <c r="AQ231" s="39"/>
      <c r="AR231" s="274"/>
      <c r="AS231" s="274"/>
      <c r="AT231" s="274"/>
      <c r="AU231" s="39"/>
      <c r="AV231" s="39"/>
      <c r="AW231" s="39"/>
      <c r="AX231" s="274"/>
      <c r="AY231" s="274"/>
      <c r="AZ231" s="274"/>
      <c r="BA231" s="39"/>
      <c r="BB231" s="62"/>
      <c r="BC231" s="39"/>
      <c r="BD231" s="118">
        <v>2669397</v>
      </c>
      <c r="BE231" s="274">
        <f>+BD231*0.19</f>
        <v>507185.43</v>
      </c>
      <c r="BF231" s="274">
        <f>+BD231+BE231</f>
        <v>3176582.43</v>
      </c>
      <c r="BG231" s="25" t="s">
        <v>445</v>
      </c>
      <c r="BH231" s="5" t="s">
        <v>4806</v>
      </c>
      <c r="BI231" s="5" t="s">
        <v>4807</v>
      </c>
      <c r="BJ231" s="274">
        <v>3448800</v>
      </c>
      <c r="BK231" s="274">
        <f>+BJ231*0.19</f>
        <v>655272</v>
      </c>
      <c r="BL231" s="274">
        <f>+BJ231+BK231</f>
        <v>4104072</v>
      </c>
      <c r="BM231" s="214" t="s">
        <v>445</v>
      </c>
      <c r="BN231" s="213" t="s">
        <v>2925</v>
      </c>
      <c r="BO231" s="39"/>
      <c r="BP231" s="274"/>
      <c r="BQ231" s="274"/>
      <c r="BR231" s="274"/>
      <c r="BS231" s="39"/>
      <c r="BT231" s="39"/>
      <c r="BU231" s="39"/>
      <c r="BV231" s="219"/>
      <c r="BW231" s="219"/>
      <c r="BX231" s="273"/>
      <c r="BY231" s="214"/>
      <c r="BZ231" s="213"/>
      <c r="CA231" s="213"/>
      <c r="CB231" s="274"/>
      <c r="CC231" s="274"/>
      <c r="CD231" s="274"/>
      <c r="CE231" s="39"/>
      <c r="CF231" s="39"/>
      <c r="CG231" s="39"/>
      <c r="CH231" s="274"/>
      <c r="CI231" s="274"/>
      <c r="CJ231" s="274"/>
      <c r="CK231" s="39"/>
      <c r="CL231" s="39"/>
      <c r="CM231" s="39"/>
      <c r="CN231" s="39"/>
      <c r="CO231" s="39"/>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274"/>
      <c r="DM231" s="274"/>
      <c r="DN231" s="274"/>
      <c r="DO231" s="274"/>
      <c r="DP231" s="274"/>
      <c r="DQ231" s="274"/>
      <c r="DR231" s="274"/>
      <c r="DS231" s="274"/>
      <c r="DT231" s="274"/>
      <c r="DU231" s="274"/>
      <c r="DV231" s="274"/>
      <c r="DW231" s="274"/>
      <c r="DX231" s="274"/>
      <c r="DY231" s="274"/>
      <c r="DZ231" s="274"/>
      <c r="EA231" s="274"/>
      <c r="EB231" s="274"/>
      <c r="EC231" s="274"/>
      <c r="ED231" s="39">
        <f t="shared" si="81"/>
        <v>9971065.9299999997</v>
      </c>
      <c r="EE231" s="30">
        <f t="shared" si="82"/>
        <v>3</v>
      </c>
      <c r="EF231" s="39">
        <f t="shared" si="83"/>
        <v>3323688.6433333331</v>
      </c>
    </row>
    <row r="232" spans="1:136" x14ac:dyDescent="0.25">
      <c r="A232" s="25" t="e">
        <f>#REF!</f>
        <v>#REF!</v>
      </c>
      <c r="B232" s="50" t="e">
        <f>#REF!</f>
        <v>#REF!</v>
      </c>
      <c r="C232" s="5" t="e">
        <f>#REF!</f>
        <v>#REF!</v>
      </c>
      <c r="D232" s="5" t="e">
        <f>#REF!</f>
        <v>#REF!</v>
      </c>
      <c r="E232" s="252">
        <v>1</v>
      </c>
      <c r="F232" s="249">
        <v>0</v>
      </c>
      <c r="G232" s="249">
        <v>0</v>
      </c>
      <c r="H232" s="249">
        <v>67676.627412495916</v>
      </c>
      <c r="I232" s="249">
        <v>0</v>
      </c>
      <c r="J232" s="249">
        <v>56415.916666666664</v>
      </c>
      <c r="K232" s="249">
        <v>56406</v>
      </c>
      <c r="L232" s="274">
        <f>AVERAGE(H232,J232)</f>
        <v>62046.272039581294</v>
      </c>
      <c r="M232" s="274">
        <f>K232*E1</f>
        <v>58098.18</v>
      </c>
      <c r="N232" s="255">
        <v>23000</v>
      </c>
      <c r="O232" s="135">
        <f>+N232*0.19</f>
        <v>4370</v>
      </c>
      <c r="P232" s="135">
        <f>+N232+O232</f>
        <v>27370</v>
      </c>
      <c r="Q232" s="131"/>
      <c r="R232" s="131"/>
      <c r="S232" s="11"/>
      <c r="T232" s="274"/>
      <c r="U232" s="274"/>
      <c r="V232" s="274"/>
      <c r="W232" s="39"/>
      <c r="X232" s="11"/>
      <c r="Y232" s="11"/>
      <c r="Z232" s="274"/>
      <c r="AA232" s="274"/>
      <c r="AB232" s="274"/>
      <c r="AC232" s="52"/>
      <c r="AD232" s="22"/>
      <c r="AE232" s="39"/>
      <c r="AF232" s="274"/>
      <c r="AG232" s="274"/>
      <c r="AH232" s="171"/>
      <c r="AI232" s="4"/>
      <c r="AJ232" s="39"/>
      <c r="AK232" s="39"/>
      <c r="AL232" s="118"/>
      <c r="AM232" s="152"/>
      <c r="AN232" s="181"/>
      <c r="AO232" s="131"/>
      <c r="AP232" s="131"/>
      <c r="AQ232" s="39"/>
      <c r="AR232" s="274"/>
      <c r="AS232" s="274"/>
      <c r="AT232" s="274"/>
      <c r="AU232" s="39"/>
      <c r="AV232" s="39"/>
      <c r="AW232" s="39"/>
      <c r="AX232" s="274"/>
      <c r="AY232" s="274"/>
      <c r="AZ232" s="274"/>
      <c r="BA232" s="39"/>
      <c r="BB232" s="62"/>
      <c r="BC232" s="39"/>
      <c r="BD232" s="274"/>
      <c r="BE232" s="274"/>
      <c r="BF232" s="274"/>
      <c r="BG232" s="39"/>
      <c r="BH232" s="39"/>
      <c r="BI232" s="39"/>
      <c r="BJ232" s="274">
        <v>80000</v>
      </c>
      <c r="BK232" s="274">
        <f>+BJ232*0.19</f>
        <v>15200</v>
      </c>
      <c r="BL232" s="274">
        <f>+BJ232+BK232</f>
        <v>95200</v>
      </c>
      <c r="BM232" s="214" t="s">
        <v>445</v>
      </c>
      <c r="BN232" s="213" t="s">
        <v>2956</v>
      </c>
      <c r="BO232" s="39"/>
      <c r="BP232" s="274">
        <v>26500</v>
      </c>
      <c r="BQ232" s="274">
        <f>+BP232*19%</f>
        <v>5035</v>
      </c>
      <c r="BR232" s="274">
        <f>+BQ232+BP232</f>
        <v>31535</v>
      </c>
      <c r="BS232" s="39"/>
      <c r="BT232" s="39"/>
      <c r="BU232" s="39"/>
      <c r="BV232" s="219">
        <v>93492</v>
      </c>
      <c r="BW232" s="219">
        <f>+BV232*0.19</f>
        <v>17763.48</v>
      </c>
      <c r="BX232" s="273">
        <f>+BV232+BW232</f>
        <v>111255.48</v>
      </c>
      <c r="BY232" s="214" t="s">
        <v>445</v>
      </c>
      <c r="BZ232" s="213" t="s">
        <v>2956</v>
      </c>
      <c r="CA232" s="213"/>
      <c r="CB232" s="274"/>
      <c r="CC232" s="274"/>
      <c r="CD232" s="274"/>
      <c r="CE232" s="39"/>
      <c r="CF232" s="39"/>
      <c r="CG232" s="39"/>
      <c r="CH232" s="274"/>
      <c r="CI232" s="274"/>
      <c r="CJ232" s="274"/>
      <c r="CK232" s="39"/>
      <c r="CL232" s="39"/>
      <c r="CM232" s="39"/>
      <c r="CN232" s="39"/>
      <c r="CO232" s="39"/>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274"/>
      <c r="DM232" s="274"/>
      <c r="DN232" s="274"/>
      <c r="DO232" s="274"/>
      <c r="DP232" s="274"/>
      <c r="DQ232" s="274"/>
      <c r="DR232" s="274"/>
      <c r="DS232" s="274"/>
      <c r="DT232" s="274"/>
      <c r="DU232" s="274"/>
      <c r="DV232" s="274"/>
      <c r="DW232" s="274"/>
      <c r="DX232" s="274"/>
      <c r="DY232" s="274"/>
      <c r="DZ232" s="274"/>
      <c r="EA232" s="274"/>
      <c r="EB232" s="274"/>
      <c r="EC232" s="274"/>
      <c r="ED232" s="39">
        <f t="shared" si="81"/>
        <v>323458.65999999997</v>
      </c>
      <c r="EE232" s="30">
        <f t="shared" si="82"/>
        <v>5</v>
      </c>
      <c r="EF232" s="39">
        <f t="shared" si="83"/>
        <v>64691.731999999996</v>
      </c>
    </row>
    <row r="233" spans="1:136" x14ac:dyDescent="0.25">
      <c r="A233" s="25" t="e">
        <f>#REF!</f>
        <v>#REF!</v>
      </c>
      <c r="B233" s="50" t="e">
        <f>#REF!</f>
        <v>#REF!</v>
      </c>
      <c r="C233" s="5" t="e">
        <f>#REF!</f>
        <v>#REF!</v>
      </c>
      <c r="D233" s="5" t="e">
        <f>#REF!</f>
        <v>#REF!</v>
      </c>
      <c r="E233" s="252">
        <v>1</v>
      </c>
      <c r="F233" s="249">
        <v>0</v>
      </c>
      <c r="G233" s="249">
        <v>0</v>
      </c>
      <c r="H233" s="249">
        <v>3391500</v>
      </c>
      <c r="I233" s="249">
        <v>3391381</v>
      </c>
      <c r="J233" s="249">
        <v>0</v>
      </c>
      <c r="K233" s="249">
        <v>0</v>
      </c>
      <c r="L233" s="274">
        <f>H233</f>
        <v>3391500</v>
      </c>
      <c r="M233" s="274">
        <f>I233*E1</f>
        <v>3493122.43</v>
      </c>
      <c r="N233" s="255"/>
      <c r="O233" s="135"/>
      <c r="P233" s="135"/>
      <c r="Q233" s="131"/>
      <c r="R233" s="131"/>
      <c r="S233" s="11"/>
      <c r="T233" s="274"/>
      <c r="U233" s="274"/>
      <c r="V233" s="274"/>
      <c r="W233" s="39"/>
      <c r="X233" s="11"/>
      <c r="Y233" s="11"/>
      <c r="Z233" s="274"/>
      <c r="AA233" s="274"/>
      <c r="AB233" s="274"/>
      <c r="AC233" s="52"/>
      <c r="AD233" s="22"/>
      <c r="AE233" s="39"/>
      <c r="AF233" s="274"/>
      <c r="AG233" s="274"/>
      <c r="AH233" s="171"/>
      <c r="AI233" s="4"/>
      <c r="AJ233" s="39"/>
      <c r="AK233" s="39"/>
      <c r="AL233" s="118"/>
      <c r="AM233" s="152"/>
      <c r="AN233" s="181"/>
      <c r="AO233" s="131"/>
      <c r="AP233" s="131"/>
      <c r="AQ233" s="39"/>
      <c r="AR233" s="274"/>
      <c r="AS233" s="274"/>
      <c r="AT233" s="274"/>
      <c r="AU233" s="39"/>
      <c r="AV233" s="39"/>
      <c r="AW233" s="39"/>
      <c r="AX233" s="274"/>
      <c r="AY233" s="274"/>
      <c r="AZ233" s="274"/>
      <c r="BA233" s="39"/>
      <c r="BB233" s="62"/>
      <c r="BC233" s="39"/>
      <c r="BD233" s="274"/>
      <c r="BE233" s="274"/>
      <c r="BF233" s="274"/>
      <c r="BG233" s="39"/>
      <c r="BH233" s="39"/>
      <c r="BI233" s="39"/>
      <c r="BJ233" s="274">
        <v>4871700</v>
      </c>
      <c r="BK233" s="274">
        <f>+BJ233*0.19</f>
        <v>925623</v>
      </c>
      <c r="BL233" s="274">
        <f>+BJ233+BK233</f>
        <v>5797323</v>
      </c>
      <c r="BM233" s="214" t="s">
        <v>445</v>
      </c>
      <c r="BN233" s="213" t="s">
        <v>2925</v>
      </c>
      <c r="BO233" s="39"/>
      <c r="BP233" s="274"/>
      <c r="BQ233" s="274"/>
      <c r="BR233" s="274"/>
      <c r="BS233" s="39"/>
      <c r="BT233" s="39"/>
      <c r="BU233" s="39"/>
      <c r="BV233" s="219">
        <v>5427307.6416000007</v>
      </c>
      <c r="BW233" s="219">
        <f>+BV233*0.19</f>
        <v>1031188.4519040001</v>
      </c>
      <c r="BX233" s="273">
        <f>+BV233+BW233</f>
        <v>6458496.0935040005</v>
      </c>
      <c r="BY233" s="214" t="s">
        <v>445</v>
      </c>
      <c r="BZ233" s="213" t="s">
        <v>2925</v>
      </c>
      <c r="CA233" s="213"/>
      <c r="CB233" s="274"/>
      <c r="CC233" s="274"/>
      <c r="CD233" s="274"/>
      <c r="CE233" s="39"/>
      <c r="CF233" s="39"/>
      <c r="CG233" s="39"/>
      <c r="CH233" s="274"/>
      <c r="CI233" s="274"/>
      <c r="CJ233" s="274"/>
      <c r="CK233" s="39"/>
      <c r="CL233" s="39"/>
      <c r="CM233" s="39"/>
      <c r="CN233" s="39"/>
      <c r="CO233" s="39"/>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274"/>
      <c r="DM233" s="274"/>
      <c r="DN233" s="274"/>
      <c r="DO233" s="274"/>
      <c r="DP233" s="274"/>
      <c r="DQ233" s="274"/>
      <c r="DR233" s="274"/>
      <c r="DS233" s="274"/>
      <c r="DT233" s="274"/>
      <c r="DU233" s="274"/>
      <c r="DV233" s="274"/>
      <c r="DW233" s="274"/>
      <c r="DX233" s="274"/>
      <c r="DY233" s="274"/>
      <c r="DZ233" s="274"/>
      <c r="EA233" s="274"/>
      <c r="EB233" s="274"/>
      <c r="EC233" s="274"/>
      <c r="ED233" s="39">
        <f t="shared" si="81"/>
        <v>15748941.523504</v>
      </c>
      <c r="EE233" s="30">
        <f t="shared" si="82"/>
        <v>3</v>
      </c>
      <c r="EF233" s="39">
        <f t="shared" si="83"/>
        <v>5249647.1745013334</v>
      </c>
    </row>
    <row r="234" spans="1:136" ht="24" x14ac:dyDescent="0.25">
      <c r="A234" s="25" t="e">
        <f>#REF!</f>
        <v>#REF!</v>
      </c>
      <c r="B234" s="50" t="e">
        <f>#REF!</f>
        <v>#REF!</v>
      </c>
      <c r="C234" s="5" t="e">
        <f>#REF!</f>
        <v>#REF!</v>
      </c>
      <c r="D234" s="5" t="e">
        <f>#REF!</f>
        <v>#REF!</v>
      </c>
      <c r="E234" s="252">
        <v>1</v>
      </c>
      <c r="F234" s="249">
        <v>0</v>
      </c>
      <c r="G234" s="249">
        <v>0</v>
      </c>
      <c r="H234" s="249">
        <v>1166200</v>
      </c>
      <c r="I234" s="249">
        <v>0</v>
      </c>
      <c r="J234" s="249">
        <v>0</v>
      </c>
      <c r="K234" s="249">
        <v>0</v>
      </c>
      <c r="L234" s="274">
        <f>H234</f>
        <v>1166200</v>
      </c>
      <c r="M234" s="274"/>
      <c r="N234" s="255"/>
      <c r="O234" s="135"/>
      <c r="P234" s="135"/>
      <c r="Q234" s="131"/>
      <c r="R234" s="131"/>
      <c r="S234" s="11"/>
      <c r="T234" s="274"/>
      <c r="U234" s="274"/>
      <c r="V234" s="274"/>
      <c r="W234" s="39"/>
      <c r="X234" s="11"/>
      <c r="Y234" s="11"/>
      <c r="Z234" s="274"/>
      <c r="AA234" s="274"/>
      <c r="AB234" s="274"/>
      <c r="AC234" s="4"/>
      <c r="AD234" s="22"/>
      <c r="AE234" s="39"/>
      <c r="AF234" s="274"/>
      <c r="AG234" s="274"/>
      <c r="AH234" s="121"/>
      <c r="AI234" s="22"/>
      <c r="AJ234" s="39"/>
      <c r="AK234" s="39"/>
      <c r="AL234" s="118"/>
      <c r="AM234" s="152"/>
      <c r="AN234" s="181"/>
      <c r="AO234" s="131"/>
      <c r="AP234" s="131"/>
      <c r="AQ234" s="39"/>
      <c r="AR234" s="274"/>
      <c r="AS234" s="274"/>
      <c r="AT234" s="274"/>
      <c r="AU234" s="39"/>
      <c r="AV234" s="39"/>
      <c r="AW234" s="39"/>
      <c r="AX234" s="274"/>
      <c r="AY234" s="274"/>
      <c r="AZ234" s="274"/>
      <c r="BA234" s="39"/>
      <c r="BB234" s="62"/>
      <c r="BC234" s="39"/>
      <c r="BD234" s="274"/>
      <c r="BE234" s="274"/>
      <c r="BF234" s="274"/>
      <c r="BG234" s="39"/>
      <c r="BH234" s="39"/>
      <c r="BI234" s="39"/>
      <c r="BJ234" s="274">
        <v>5730800</v>
      </c>
      <c r="BK234" s="274">
        <f>+BJ234*0.19</f>
        <v>1088852</v>
      </c>
      <c r="BL234" s="274">
        <f>+BJ234+BK234</f>
        <v>6819652</v>
      </c>
      <c r="BM234" s="214" t="s">
        <v>445</v>
      </c>
      <c r="BN234" s="213" t="s">
        <v>4808</v>
      </c>
      <c r="BO234" s="39"/>
      <c r="BP234" s="274"/>
      <c r="BQ234" s="274"/>
      <c r="BR234" s="274"/>
      <c r="BS234" s="39"/>
      <c r="BT234" s="39"/>
      <c r="BU234" s="39"/>
      <c r="BV234" s="219">
        <v>6624489.6060000006</v>
      </c>
      <c r="BW234" s="219">
        <f>+BV234*0.19</f>
        <v>1258653.02514</v>
      </c>
      <c r="BX234" s="273">
        <f>+BV234+BW234</f>
        <v>7883142.6311400011</v>
      </c>
      <c r="BY234" s="214" t="s">
        <v>445</v>
      </c>
      <c r="BZ234" s="213" t="s">
        <v>4808</v>
      </c>
      <c r="CA234" s="213"/>
      <c r="CB234" s="274"/>
      <c r="CC234" s="274"/>
      <c r="CD234" s="274"/>
      <c r="CE234" s="39"/>
      <c r="CF234" s="39"/>
      <c r="CG234" s="39"/>
      <c r="CH234" s="274"/>
      <c r="CI234" s="274"/>
      <c r="CJ234" s="274"/>
      <c r="CK234" s="39"/>
      <c r="CL234" s="39"/>
      <c r="CM234" s="39"/>
      <c r="CN234" s="39"/>
      <c r="CO234" s="39"/>
      <c r="CP234" s="11"/>
      <c r="CQ234" s="11"/>
      <c r="CR234" s="11"/>
      <c r="CS234" s="11"/>
      <c r="CT234" s="11"/>
      <c r="CU234" s="11"/>
      <c r="CV234" s="11"/>
      <c r="CW234" s="11"/>
      <c r="CX234" s="11"/>
      <c r="CY234" s="11"/>
      <c r="CZ234" s="32"/>
      <c r="DA234" s="43"/>
      <c r="DB234" s="67"/>
      <c r="DC234" s="67"/>
      <c r="DD234" s="65"/>
      <c r="DE234" s="65"/>
      <c r="DF234" s="65"/>
      <c r="DG234" s="65"/>
      <c r="DH234" s="65"/>
      <c r="DI234" s="65"/>
      <c r="DJ234" s="65"/>
      <c r="DK234" s="65"/>
      <c r="DL234" s="61"/>
      <c r="DM234" s="61"/>
      <c r="DN234" s="61"/>
      <c r="DO234" s="61"/>
      <c r="DP234" s="61"/>
      <c r="DQ234" s="61"/>
      <c r="DR234" s="61"/>
      <c r="DS234" s="61"/>
      <c r="DT234" s="61"/>
      <c r="DU234" s="61"/>
      <c r="DV234" s="61"/>
      <c r="DW234" s="61"/>
      <c r="DX234" s="61"/>
      <c r="DY234" s="61"/>
      <c r="DZ234" s="61"/>
      <c r="EA234" s="61"/>
      <c r="EB234" s="61"/>
      <c r="EC234" s="61"/>
      <c r="ED234" s="39">
        <f t="shared" si="81"/>
        <v>14702794.631140001</v>
      </c>
      <c r="EE234" s="30">
        <f t="shared" si="82"/>
        <v>2</v>
      </c>
      <c r="EF234" s="39">
        <f t="shared" si="83"/>
        <v>7351397.3155700006</v>
      </c>
    </row>
    <row r="235" spans="1:136" ht="24" x14ac:dyDescent="0.25">
      <c r="A235" s="25" t="e">
        <f>#REF!</f>
        <v>#REF!</v>
      </c>
      <c r="B235" s="50" t="e">
        <f>#REF!</f>
        <v>#REF!</v>
      </c>
      <c r="C235" s="5" t="e">
        <f>#REF!</f>
        <v>#REF!</v>
      </c>
      <c r="D235" s="5" t="e">
        <f>#REF!</f>
        <v>#REF!</v>
      </c>
      <c r="E235" s="252">
        <v>1</v>
      </c>
      <c r="F235" s="249">
        <v>7169512</v>
      </c>
      <c r="G235" s="249">
        <v>6954360</v>
      </c>
      <c r="H235" s="249">
        <v>4953751.5159999998</v>
      </c>
      <c r="I235" s="249">
        <v>4953613</v>
      </c>
      <c r="J235" s="249">
        <v>0</v>
      </c>
      <c r="K235" s="249">
        <v>0</v>
      </c>
      <c r="L235" s="274">
        <f>AVERAGE(F235,H235)</f>
        <v>6061631.7579999994</v>
      </c>
      <c r="M235" s="274">
        <f>AVERAGE(G235,I235)*E1</f>
        <v>6132606.0949999997</v>
      </c>
      <c r="N235" s="255"/>
      <c r="O235" s="135"/>
      <c r="P235" s="135"/>
      <c r="Q235" s="131"/>
      <c r="R235" s="131"/>
      <c r="S235" s="11"/>
      <c r="T235" s="274"/>
      <c r="U235" s="274"/>
      <c r="V235" s="274"/>
      <c r="W235" s="39"/>
      <c r="X235" s="11"/>
      <c r="Y235" s="11"/>
      <c r="Z235" s="274"/>
      <c r="AA235" s="274"/>
      <c r="AB235" s="274"/>
      <c r="AC235" s="54"/>
      <c r="AD235" s="22"/>
      <c r="AE235" s="39"/>
      <c r="AF235" s="274"/>
      <c r="AG235" s="274"/>
      <c r="AH235" s="172"/>
      <c r="AI235" s="4"/>
      <c r="AJ235" s="39"/>
      <c r="AK235" s="39"/>
      <c r="AL235" s="118"/>
      <c r="AM235" s="152"/>
      <c r="AN235" s="181"/>
      <c r="AO235" s="131"/>
      <c r="AP235" s="131"/>
      <c r="AQ235" s="39"/>
      <c r="AR235" s="274"/>
      <c r="AS235" s="274"/>
      <c r="AT235" s="274"/>
      <c r="AU235" s="39"/>
      <c r="AV235" s="39"/>
      <c r="AW235" s="39"/>
      <c r="AX235" s="274"/>
      <c r="AY235" s="274"/>
      <c r="AZ235" s="274"/>
      <c r="BA235" s="39"/>
      <c r="BB235" s="62"/>
      <c r="BC235" s="39"/>
      <c r="BD235" s="274"/>
      <c r="BE235" s="274"/>
      <c r="BF235" s="274"/>
      <c r="BG235" s="39"/>
      <c r="BH235" s="39"/>
      <c r="BI235" s="39"/>
      <c r="BJ235" s="274">
        <v>9027100</v>
      </c>
      <c r="BK235" s="274">
        <f>+BJ235*0.19</f>
        <v>1715149</v>
      </c>
      <c r="BL235" s="274">
        <f>+BJ235+BK235</f>
        <v>10742249</v>
      </c>
      <c r="BM235" s="214" t="s">
        <v>445</v>
      </c>
      <c r="BN235" s="213" t="s">
        <v>4808</v>
      </c>
      <c r="BO235" s="39"/>
      <c r="BP235" s="274"/>
      <c r="BQ235" s="274"/>
      <c r="BR235" s="274"/>
      <c r="BS235" s="39"/>
      <c r="BT235" s="39"/>
      <c r="BU235" s="39"/>
      <c r="BV235" s="219">
        <v>10640351.0952</v>
      </c>
      <c r="BW235" s="219">
        <f>+BV235*0.19</f>
        <v>2021666.7080880001</v>
      </c>
      <c r="BX235" s="273">
        <f>+BV235+BW235</f>
        <v>12662017.803288</v>
      </c>
      <c r="BY235" s="214" t="s">
        <v>445</v>
      </c>
      <c r="BZ235" s="213" t="s">
        <v>4808</v>
      </c>
      <c r="CA235" s="213"/>
      <c r="CB235" s="274"/>
      <c r="CC235" s="274"/>
      <c r="CD235" s="274"/>
      <c r="CE235" s="39"/>
      <c r="CF235" s="39"/>
      <c r="CG235" s="39"/>
      <c r="CH235" s="274"/>
      <c r="CI235" s="274"/>
      <c r="CJ235" s="274"/>
      <c r="CK235" s="39"/>
      <c r="CL235" s="39"/>
      <c r="CM235" s="39"/>
      <c r="CN235" s="39"/>
      <c r="CO235" s="39"/>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274"/>
      <c r="DM235" s="274"/>
      <c r="DN235" s="274"/>
      <c r="DO235" s="274"/>
      <c r="DP235" s="274"/>
      <c r="DQ235" s="274"/>
      <c r="DR235" s="274"/>
      <c r="DS235" s="274"/>
      <c r="DT235" s="274"/>
      <c r="DU235" s="274"/>
      <c r="DV235" s="274"/>
      <c r="DW235" s="274"/>
      <c r="DX235" s="274"/>
      <c r="DY235" s="274"/>
      <c r="DZ235" s="274"/>
      <c r="EA235" s="274"/>
      <c r="EB235" s="274"/>
      <c r="EC235" s="274"/>
      <c r="ED235" s="39">
        <f t="shared" si="81"/>
        <v>29536872.898287997</v>
      </c>
      <c r="EE235" s="30">
        <f t="shared" si="82"/>
        <v>3</v>
      </c>
      <c r="EF235" s="39">
        <f t="shared" si="83"/>
        <v>9845624.2994293328</v>
      </c>
    </row>
    <row r="236" spans="1:136" x14ac:dyDescent="0.25">
      <c r="A236" s="25" t="e">
        <f>#REF!</f>
        <v>#REF!</v>
      </c>
      <c r="B236" s="50" t="e">
        <f>#REF!</f>
        <v>#REF!</v>
      </c>
      <c r="C236" s="5" t="e">
        <f>#REF!</f>
        <v>#REF!</v>
      </c>
      <c r="D236" s="5" t="e">
        <f>#REF!</f>
        <v>#REF!</v>
      </c>
      <c r="E236" s="252">
        <v>1</v>
      </c>
      <c r="F236" s="249">
        <v>815150</v>
      </c>
      <c r="G236" s="249">
        <v>815150</v>
      </c>
      <c r="H236" s="249">
        <v>947139.04833333334</v>
      </c>
      <c r="I236" s="249">
        <v>0</v>
      </c>
      <c r="J236" s="249">
        <v>993352.5</v>
      </c>
      <c r="K236" s="249">
        <v>0</v>
      </c>
      <c r="L236" s="274">
        <f>AVERAGE(F236,H236,J236)</f>
        <v>918547.18277777778</v>
      </c>
      <c r="M236" s="274">
        <f>G236*E1</f>
        <v>839604.5</v>
      </c>
      <c r="N236" s="255"/>
      <c r="O236" s="135"/>
      <c r="P236" s="135"/>
      <c r="Q236" s="131"/>
      <c r="R236" s="131"/>
      <c r="S236" s="11"/>
      <c r="T236" s="274"/>
      <c r="U236" s="274"/>
      <c r="V236" s="274"/>
      <c r="W236" s="39"/>
      <c r="X236" s="11"/>
      <c r="Y236" s="11"/>
      <c r="Z236" s="274"/>
      <c r="AA236" s="274"/>
      <c r="AB236" s="274"/>
      <c r="AC236" s="5"/>
      <c r="AD236" s="22"/>
      <c r="AE236" s="39"/>
      <c r="AF236" s="274"/>
      <c r="AG236" s="274"/>
      <c r="AH236" s="169"/>
      <c r="AI236" s="22"/>
      <c r="AJ236" s="39"/>
      <c r="AK236" s="39"/>
      <c r="AL236" s="118"/>
      <c r="AM236" s="152"/>
      <c r="AN236" s="181"/>
      <c r="AO236" s="131"/>
      <c r="AP236" s="131"/>
      <c r="AQ236" s="39"/>
      <c r="AR236" s="274"/>
      <c r="AS236" s="274"/>
      <c r="AT236" s="274"/>
      <c r="AU236" s="39"/>
      <c r="AV236" s="39"/>
      <c r="AW236" s="39"/>
      <c r="AX236" s="274"/>
      <c r="AY236" s="274"/>
      <c r="AZ236" s="274"/>
      <c r="BA236" s="39"/>
      <c r="BB236" s="62"/>
      <c r="BC236" s="39"/>
      <c r="BD236" s="274"/>
      <c r="BE236" s="274"/>
      <c r="BF236" s="274"/>
      <c r="BG236" s="39"/>
      <c r="BH236" s="39"/>
      <c r="BI236" s="39"/>
      <c r="BJ236" s="274"/>
      <c r="BK236" s="274"/>
      <c r="BL236" s="274"/>
      <c r="BM236" s="213"/>
      <c r="BN236" s="213"/>
      <c r="BO236" s="39"/>
      <c r="BP236" s="274"/>
      <c r="BQ236" s="274"/>
      <c r="BR236" s="274"/>
      <c r="BS236" s="39"/>
      <c r="BT236" s="39"/>
      <c r="BU236" s="39"/>
      <c r="BV236" s="212"/>
      <c r="BW236" s="221"/>
      <c r="BX236" s="273"/>
      <c r="BY236" s="213"/>
      <c r="BZ236" s="213"/>
      <c r="CA236" s="213"/>
      <c r="CB236" s="274"/>
      <c r="CC236" s="274"/>
      <c r="CD236" s="274"/>
      <c r="CE236" s="39"/>
      <c r="CF236" s="39"/>
      <c r="CG236" s="39"/>
      <c r="CH236" s="274"/>
      <c r="CI236" s="274"/>
      <c r="CJ236" s="274"/>
      <c r="CK236" s="39"/>
      <c r="CL236" s="39"/>
      <c r="CM236" s="39"/>
      <c r="CN236" s="39"/>
      <c r="CO236" s="39"/>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274"/>
      <c r="DM236" s="274"/>
      <c r="DN236" s="274"/>
      <c r="DO236" s="274"/>
      <c r="DP236" s="274"/>
      <c r="DQ236" s="274"/>
      <c r="DR236" s="274"/>
      <c r="DS236" s="274"/>
      <c r="DT236" s="274"/>
      <c r="DU236" s="274"/>
      <c r="DV236" s="274"/>
      <c r="DW236" s="274"/>
      <c r="DX236" s="274"/>
      <c r="DY236" s="274"/>
      <c r="DZ236" s="274"/>
      <c r="EA236" s="274"/>
      <c r="EB236" s="274"/>
      <c r="EC236" s="274"/>
      <c r="ED236" s="39">
        <f t="shared" si="81"/>
        <v>839604.5</v>
      </c>
      <c r="EE236" s="30">
        <f t="shared" si="82"/>
        <v>1</v>
      </c>
      <c r="EF236" s="39">
        <f t="shared" si="83"/>
        <v>839604.5</v>
      </c>
    </row>
    <row r="237" spans="1:136" x14ac:dyDescent="0.25">
      <c r="A237" s="25" t="e">
        <f>#REF!</f>
        <v>#REF!</v>
      </c>
      <c r="B237" s="50" t="e">
        <f>#REF!</f>
        <v>#REF!</v>
      </c>
      <c r="C237" s="5" t="e">
        <f>#REF!</f>
        <v>#REF!</v>
      </c>
      <c r="D237" s="5" t="e">
        <f>#REF!</f>
        <v>#REF!</v>
      </c>
      <c r="E237" s="252">
        <v>1</v>
      </c>
      <c r="F237" s="249">
        <v>0</v>
      </c>
      <c r="G237" s="249">
        <v>0</v>
      </c>
      <c r="H237" s="249">
        <v>0</v>
      </c>
      <c r="I237" s="249">
        <v>0</v>
      </c>
      <c r="J237" s="249">
        <v>0</v>
      </c>
      <c r="K237" s="249">
        <v>0</v>
      </c>
      <c r="L237" s="274"/>
      <c r="M237" s="274"/>
      <c r="N237" s="255"/>
      <c r="O237" s="135"/>
      <c r="P237" s="135"/>
      <c r="Q237" s="131"/>
      <c r="R237" s="131"/>
      <c r="S237" s="11"/>
      <c r="T237" s="274"/>
      <c r="U237" s="274"/>
      <c r="V237" s="274"/>
      <c r="W237" s="39"/>
      <c r="X237" s="11"/>
      <c r="Y237" s="11"/>
      <c r="Z237" s="274"/>
      <c r="AA237" s="274"/>
      <c r="AB237" s="274"/>
      <c r="AC237" s="5"/>
      <c r="AD237" s="22"/>
      <c r="AE237" s="39"/>
      <c r="AF237" s="274"/>
      <c r="AG237" s="274"/>
      <c r="AH237" s="169"/>
      <c r="AI237" s="4"/>
      <c r="AJ237" s="39"/>
      <c r="AK237" s="39"/>
      <c r="AL237" s="118"/>
      <c r="AM237" s="152"/>
      <c r="AN237" s="181"/>
      <c r="AO237" s="131"/>
      <c r="AP237" s="131"/>
      <c r="AQ237" s="39"/>
      <c r="AR237" s="274"/>
      <c r="AS237" s="274"/>
      <c r="AT237" s="274"/>
      <c r="AU237" s="39"/>
      <c r="AV237" s="39"/>
      <c r="AW237" s="39"/>
      <c r="AX237" s="274"/>
      <c r="AY237" s="274"/>
      <c r="AZ237" s="274"/>
      <c r="BA237" s="39"/>
      <c r="BB237" s="62"/>
      <c r="BC237" s="39"/>
      <c r="BD237" s="274"/>
      <c r="BE237" s="274"/>
      <c r="BF237" s="274"/>
      <c r="BG237" s="39"/>
      <c r="BH237" s="39"/>
      <c r="BI237" s="39"/>
      <c r="BJ237" s="274"/>
      <c r="BK237" s="274"/>
      <c r="BL237" s="274"/>
      <c r="BM237" s="213"/>
      <c r="BN237" s="213"/>
      <c r="BO237" s="39"/>
      <c r="BP237" s="274"/>
      <c r="BQ237" s="274"/>
      <c r="BR237" s="274"/>
      <c r="BS237" s="39"/>
      <c r="BT237" s="39"/>
      <c r="BU237" s="39"/>
      <c r="BV237" s="212"/>
      <c r="BW237" s="221"/>
      <c r="BX237" s="273"/>
      <c r="BY237" s="213"/>
      <c r="BZ237" s="213"/>
      <c r="CA237" s="213"/>
      <c r="CB237" s="274"/>
      <c r="CC237" s="274"/>
      <c r="CD237" s="274"/>
      <c r="CE237" s="39"/>
      <c r="CF237" s="39"/>
      <c r="CG237" s="39"/>
      <c r="CH237" s="274"/>
      <c r="CI237" s="274"/>
      <c r="CJ237" s="274"/>
      <c r="CK237" s="39"/>
      <c r="CL237" s="39"/>
      <c r="CM237" s="39"/>
      <c r="CN237" s="39"/>
      <c r="CO237" s="39"/>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274"/>
      <c r="DM237" s="274"/>
      <c r="DN237" s="274"/>
      <c r="DO237" s="274"/>
      <c r="DP237" s="274"/>
      <c r="DQ237" s="274"/>
      <c r="DR237" s="274"/>
      <c r="DS237" s="274"/>
      <c r="DT237" s="274"/>
      <c r="DU237" s="274"/>
      <c r="DV237" s="274"/>
      <c r="DW237" s="274"/>
      <c r="DX237" s="274"/>
      <c r="DY237" s="274"/>
      <c r="DZ237" s="274"/>
      <c r="EA237" s="274"/>
      <c r="EB237" s="274"/>
      <c r="EC237" s="274"/>
      <c r="ED237" s="39">
        <f t="shared" si="81"/>
        <v>0</v>
      </c>
      <c r="EE237" s="30">
        <f t="shared" si="82"/>
        <v>0</v>
      </c>
      <c r="EF237" s="39" t="str">
        <f t="shared" si="83"/>
        <v xml:space="preserve"> </v>
      </c>
    </row>
    <row r="238" spans="1:136" x14ac:dyDescent="0.25">
      <c r="A238" s="25" t="e">
        <f>#REF!</f>
        <v>#REF!</v>
      </c>
      <c r="B238" s="50" t="e">
        <f>#REF!</f>
        <v>#REF!</v>
      </c>
      <c r="C238" s="5" t="e">
        <f>#REF!</f>
        <v>#REF!</v>
      </c>
      <c r="D238" s="5" t="e">
        <f>#REF!</f>
        <v>#REF!</v>
      </c>
      <c r="E238" s="252">
        <v>1</v>
      </c>
      <c r="F238" s="249">
        <v>0</v>
      </c>
      <c r="G238" s="249">
        <v>0</v>
      </c>
      <c r="H238" s="249">
        <v>0</v>
      </c>
      <c r="I238" s="249">
        <v>0</v>
      </c>
      <c r="J238" s="249">
        <v>0</v>
      </c>
      <c r="K238" s="249">
        <v>0</v>
      </c>
      <c r="L238" s="274"/>
      <c r="M238" s="274"/>
      <c r="N238" s="255"/>
      <c r="O238" s="135"/>
      <c r="P238" s="135"/>
      <c r="Q238" s="131"/>
      <c r="R238" s="131"/>
      <c r="S238" s="11"/>
      <c r="T238" s="274"/>
      <c r="U238" s="274"/>
      <c r="V238" s="274"/>
      <c r="W238" s="39"/>
      <c r="X238" s="11"/>
      <c r="Y238" s="11"/>
      <c r="Z238" s="274"/>
      <c r="AA238" s="274"/>
      <c r="AB238" s="274"/>
      <c r="AC238" s="5"/>
      <c r="AD238" s="22"/>
      <c r="AE238" s="39"/>
      <c r="AF238" s="274"/>
      <c r="AG238" s="274"/>
      <c r="AH238" s="169"/>
      <c r="AI238" s="22"/>
      <c r="AJ238" s="39"/>
      <c r="AK238" s="39"/>
      <c r="AL238" s="118"/>
      <c r="AM238" s="152"/>
      <c r="AN238" s="181"/>
      <c r="AO238" s="131"/>
      <c r="AP238" s="131"/>
      <c r="AQ238" s="39"/>
      <c r="AR238" s="274"/>
      <c r="AS238" s="274"/>
      <c r="AT238" s="274"/>
      <c r="AU238" s="39"/>
      <c r="AV238" s="39"/>
      <c r="AW238" s="39"/>
      <c r="AX238" s="274"/>
      <c r="AY238" s="274"/>
      <c r="AZ238" s="274"/>
      <c r="BA238" s="39"/>
      <c r="BB238" s="62"/>
      <c r="BC238" s="39"/>
      <c r="BD238" s="274"/>
      <c r="BE238" s="274"/>
      <c r="BF238" s="274"/>
      <c r="BG238" s="39"/>
      <c r="BH238" s="39"/>
      <c r="BI238" s="39"/>
      <c r="BJ238" s="274"/>
      <c r="BK238" s="274"/>
      <c r="BL238" s="274"/>
      <c r="BM238" s="213"/>
      <c r="BN238" s="213"/>
      <c r="BO238" s="39"/>
      <c r="BP238" s="274"/>
      <c r="BQ238" s="274"/>
      <c r="BR238" s="274"/>
      <c r="BS238" s="39"/>
      <c r="BT238" s="39"/>
      <c r="BU238" s="39"/>
      <c r="BV238" s="212"/>
      <c r="BW238" s="221"/>
      <c r="BX238" s="273"/>
      <c r="BY238" s="213"/>
      <c r="BZ238" s="213"/>
      <c r="CA238" s="213"/>
      <c r="CB238" s="274"/>
      <c r="CC238" s="274"/>
      <c r="CD238" s="274"/>
      <c r="CE238" s="39"/>
      <c r="CF238" s="39"/>
      <c r="CG238" s="39"/>
      <c r="CH238" s="274"/>
      <c r="CI238" s="274"/>
      <c r="CJ238" s="274"/>
      <c r="CK238" s="39"/>
      <c r="CL238" s="39"/>
      <c r="CM238" s="39"/>
      <c r="CN238" s="39"/>
      <c r="CO238" s="39"/>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274"/>
      <c r="DM238" s="274"/>
      <c r="DN238" s="274"/>
      <c r="DO238" s="274"/>
      <c r="DP238" s="274"/>
      <c r="DQ238" s="274"/>
      <c r="DR238" s="274"/>
      <c r="DS238" s="274"/>
      <c r="DT238" s="274"/>
      <c r="DU238" s="274"/>
      <c r="DV238" s="274"/>
      <c r="DW238" s="274"/>
      <c r="DX238" s="274"/>
      <c r="DY238" s="274"/>
      <c r="DZ238" s="274"/>
      <c r="EA238" s="274"/>
      <c r="EB238" s="274"/>
      <c r="EC238" s="274"/>
      <c r="ED238" s="39">
        <f t="shared" si="81"/>
        <v>0</v>
      </c>
      <c r="EE238" s="30">
        <f t="shared" si="82"/>
        <v>0</v>
      </c>
      <c r="EF238" s="39" t="str">
        <f t="shared" si="83"/>
        <v xml:space="preserve"> </v>
      </c>
    </row>
    <row r="239" spans="1:136" x14ac:dyDescent="0.25">
      <c r="A239" s="25" t="e">
        <f>#REF!</f>
        <v>#REF!</v>
      </c>
      <c r="B239" s="50" t="e">
        <f>#REF!</f>
        <v>#REF!</v>
      </c>
      <c r="C239" s="5" t="e">
        <f>#REF!</f>
        <v>#REF!</v>
      </c>
      <c r="D239" s="5" t="e">
        <f>#REF!</f>
        <v>#REF!</v>
      </c>
      <c r="E239" s="252">
        <v>1</v>
      </c>
      <c r="F239" s="249">
        <v>0</v>
      </c>
      <c r="G239" s="249">
        <v>0</v>
      </c>
      <c r="H239" s="249">
        <v>25358.281059862609</v>
      </c>
      <c r="I239" s="249">
        <v>12566</v>
      </c>
      <c r="J239" s="249">
        <v>29750</v>
      </c>
      <c r="K239" s="249">
        <v>29750</v>
      </c>
      <c r="L239" s="274">
        <f>AVERAGE(H239,J239)</f>
        <v>27554.140529931305</v>
      </c>
      <c r="M239" s="274">
        <f>AVERAGE(I239,K239)*E1</f>
        <v>21792.74</v>
      </c>
      <c r="N239" s="255"/>
      <c r="O239" s="135"/>
      <c r="P239" s="135"/>
      <c r="Q239" s="131"/>
      <c r="R239" s="131"/>
      <c r="S239" s="11"/>
      <c r="T239" s="274"/>
      <c r="U239" s="274"/>
      <c r="V239" s="274"/>
      <c r="W239" s="39"/>
      <c r="X239" s="11"/>
      <c r="Y239" s="11"/>
      <c r="Z239" s="274"/>
      <c r="AA239" s="274"/>
      <c r="AB239" s="274"/>
      <c r="AC239" s="5"/>
      <c r="AD239" s="22"/>
      <c r="AE239" s="39"/>
      <c r="AF239" s="274"/>
      <c r="AG239" s="274"/>
      <c r="AH239" s="169"/>
      <c r="AI239" s="4"/>
      <c r="AJ239" s="39"/>
      <c r="AK239" s="39"/>
      <c r="AL239" s="118"/>
      <c r="AM239" s="152"/>
      <c r="AN239" s="181"/>
      <c r="AO239" s="131"/>
      <c r="AP239" s="131"/>
      <c r="AQ239" s="39"/>
      <c r="AR239" s="274"/>
      <c r="AS239" s="274"/>
      <c r="AT239" s="274"/>
      <c r="AU239" s="39"/>
      <c r="AV239" s="39"/>
      <c r="AW239" s="39"/>
      <c r="AX239" s="274"/>
      <c r="AY239" s="274"/>
      <c r="AZ239" s="274"/>
      <c r="BA239" s="39"/>
      <c r="BB239" s="62"/>
      <c r="BC239" s="39"/>
      <c r="BD239" s="274"/>
      <c r="BE239" s="274"/>
      <c r="BF239" s="274"/>
      <c r="BG239" s="39"/>
      <c r="BH239" s="39"/>
      <c r="BI239" s="39"/>
      <c r="BJ239" s="274">
        <v>27100</v>
      </c>
      <c r="BK239" s="274">
        <f>+BJ239*0.19</f>
        <v>5149</v>
      </c>
      <c r="BL239" s="274">
        <f>+BJ239+BK239</f>
        <v>32249</v>
      </c>
      <c r="BM239" s="214" t="s">
        <v>445</v>
      </c>
      <c r="BN239" s="213" t="s">
        <v>2925</v>
      </c>
      <c r="BO239" s="39"/>
      <c r="BP239" s="274">
        <v>45600</v>
      </c>
      <c r="BQ239" s="274">
        <f t="shared" ref="BQ239:BQ246" si="88">+BP239*19%</f>
        <v>8664</v>
      </c>
      <c r="BR239" s="274">
        <f t="shared" ref="BR239:BR246" si="89">+BQ239+BP239</f>
        <v>54264</v>
      </c>
      <c r="BS239" s="39"/>
      <c r="BT239" s="39"/>
      <c r="BU239" s="39"/>
      <c r="BV239" s="219">
        <v>29883.657800000001</v>
      </c>
      <c r="BW239" s="219">
        <f>+BV239*0.19</f>
        <v>5677.8949819999998</v>
      </c>
      <c r="BX239" s="273">
        <f>+BV239+BW239</f>
        <v>35561.552781999999</v>
      </c>
      <c r="BY239" s="214" t="s">
        <v>445</v>
      </c>
      <c r="BZ239" s="213" t="s">
        <v>2925</v>
      </c>
      <c r="CA239" s="213"/>
      <c r="CB239" s="274"/>
      <c r="CC239" s="274"/>
      <c r="CD239" s="274"/>
      <c r="CE239" s="39"/>
      <c r="CF239" s="39"/>
      <c r="CG239" s="39"/>
      <c r="CH239" s="274"/>
      <c r="CI239" s="274"/>
      <c r="CJ239" s="274"/>
      <c r="CK239" s="39"/>
      <c r="CL239" s="39"/>
      <c r="CM239" s="39"/>
      <c r="CN239" s="39"/>
      <c r="CO239" s="39"/>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274"/>
      <c r="DM239" s="274"/>
      <c r="DN239" s="274"/>
      <c r="DO239" s="274"/>
      <c r="DP239" s="274"/>
      <c r="DQ239" s="274"/>
      <c r="DR239" s="274"/>
      <c r="DS239" s="274"/>
      <c r="DT239" s="274"/>
      <c r="DU239" s="274"/>
      <c r="DV239" s="274"/>
      <c r="DW239" s="274"/>
      <c r="DX239" s="274"/>
      <c r="DY239" s="274"/>
      <c r="DZ239" s="274"/>
      <c r="EA239" s="274"/>
      <c r="EB239" s="274"/>
      <c r="EC239" s="274"/>
      <c r="ED239" s="39">
        <f t="shared" si="81"/>
        <v>143867.292782</v>
      </c>
      <c r="EE239" s="30">
        <f t="shared" si="82"/>
        <v>4</v>
      </c>
      <c r="EF239" s="39">
        <f t="shared" si="83"/>
        <v>35966.823195500001</v>
      </c>
    </row>
    <row r="240" spans="1:136" x14ac:dyDescent="0.25">
      <c r="A240" s="25" t="e">
        <f>#REF!</f>
        <v>#REF!</v>
      </c>
      <c r="B240" s="50" t="e">
        <f>#REF!</f>
        <v>#REF!</v>
      </c>
      <c r="C240" s="5" t="e">
        <f>#REF!</f>
        <v>#REF!</v>
      </c>
      <c r="D240" s="5" t="e">
        <f>#REF!</f>
        <v>#REF!</v>
      </c>
      <c r="E240" s="252">
        <v>1</v>
      </c>
      <c r="F240" s="249">
        <v>29512</v>
      </c>
      <c r="G240" s="249">
        <v>28560</v>
      </c>
      <c r="H240" s="249">
        <v>25439.046908734053</v>
      </c>
      <c r="I240" s="249">
        <v>19992</v>
      </c>
      <c r="J240" s="249">
        <v>53592.84</v>
      </c>
      <c r="K240" s="249">
        <v>53550</v>
      </c>
      <c r="L240" s="274">
        <f>AVERAGE(F240,H240,J240)</f>
        <v>36181.295636244678</v>
      </c>
      <c r="M240" s="274">
        <f>AVERAGE(G240,I240,K240)*E1</f>
        <v>35055.020000000004</v>
      </c>
      <c r="N240" s="255">
        <v>35000</v>
      </c>
      <c r="O240" s="135">
        <f>+N240*0.19</f>
        <v>6650</v>
      </c>
      <c r="P240" s="135">
        <f>+N240+O240</f>
        <v>41650</v>
      </c>
      <c r="Q240" s="131"/>
      <c r="R240" s="131"/>
      <c r="S240" s="11"/>
      <c r="T240" s="274">
        <v>10010</v>
      </c>
      <c r="U240" s="274">
        <f>+T240*0.19</f>
        <v>1901.9</v>
      </c>
      <c r="V240" s="274">
        <f>+T240+U240</f>
        <v>11911.9</v>
      </c>
      <c r="W240" s="39" t="s">
        <v>510</v>
      </c>
      <c r="X240" s="11" t="s">
        <v>2948</v>
      </c>
      <c r="Y240" s="11"/>
      <c r="Z240" s="274"/>
      <c r="AA240" s="274"/>
      <c r="AB240" s="274"/>
      <c r="AC240" s="5"/>
      <c r="AD240" s="22"/>
      <c r="AE240" s="39"/>
      <c r="AF240" s="274"/>
      <c r="AG240" s="274"/>
      <c r="AH240" s="169"/>
      <c r="AI240" s="4"/>
      <c r="AJ240" s="39"/>
      <c r="AK240" s="39"/>
      <c r="AL240" s="118"/>
      <c r="AM240" s="152"/>
      <c r="AN240" s="181"/>
      <c r="AO240" s="131"/>
      <c r="AP240" s="131"/>
      <c r="AQ240" s="39"/>
      <c r="AR240" s="274"/>
      <c r="AS240" s="274"/>
      <c r="AT240" s="274"/>
      <c r="AU240" s="39"/>
      <c r="AV240" s="39"/>
      <c r="AW240" s="39"/>
      <c r="AX240" s="274"/>
      <c r="AY240" s="274"/>
      <c r="AZ240" s="274"/>
      <c r="BA240" s="39"/>
      <c r="BB240" s="62"/>
      <c r="BC240" s="39"/>
      <c r="BD240" s="274"/>
      <c r="BE240" s="274"/>
      <c r="BF240" s="274"/>
      <c r="BG240" s="39"/>
      <c r="BH240" s="39"/>
      <c r="BI240" s="39"/>
      <c r="BJ240" s="274">
        <v>63400</v>
      </c>
      <c r="BK240" s="274">
        <f>+BJ240*0.19</f>
        <v>12046</v>
      </c>
      <c r="BL240" s="274">
        <f>+BJ240+BK240</f>
        <v>75446</v>
      </c>
      <c r="BM240" s="214" t="s">
        <v>445</v>
      </c>
      <c r="BN240" s="213" t="s">
        <v>2925</v>
      </c>
      <c r="BO240" s="39"/>
      <c r="BP240" s="274">
        <v>18500</v>
      </c>
      <c r="BQ240" s="274">
        <f t="shared" si="88"/>
        <v>3515</v>
      </c>
      <c r="BR240" s="274">
        <f t="shared" si="89"/>
        <v>22015</v>
      </c>
      <c r="BS240" s="39"/>
      <c r="BT240" s="39"/>
      <c r="BU240" s="39"/>
      <c r="BV240" s="219">
        <v>72602.763599999991</v>
      </c>
      <c r="BW240" s="219">
        <f>+BV240*0.19</f>
        <v>13794.525083999999</v>
      </c>
      <c r="BX240" s="273">
        <f>+BV240+BW240</f>
        <v>86397.288683999985</v>
      </c>
      <c r="BY240" s="214" t="s">
        <v>445</v>
      </c>
      <c r="BZ240" s="213" t="s">
        <v>2925</v>
      </c>
      <c r="CA240" s="213"/>
      <c r="CB240" s="274"/>
      <c r="CC240" s="274"/>
      <c r="CD240" s="274"/>
      <c r="CE240" s="39"/>
      <c r="CF240" s="39"/>
      <c r="CG240" s="39"/>
      <c r="CH240" s="274"/>
      <c r="CI240" s="274"/>
      <c r="CJ240" s="274"/>
      <c r="CK240" s="39"/>
      <c r="CL240" s="39"/>
      <c r="CM240" s="39"/>
      <c r="CN240" s="39"/>
      <c r="CO240" s="39"/>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274"/>
      <c r="DM240" s="274"/>
      <c r="DN240" s="274"/>
      <c r="DO240" s="274"/>
      <c r="DP240" s="274"/>
      <c r="DQ240" s="274"/>
      <c r="DR240" s="274"/>
      <c r="DS240" s="274"/>
      <c r="DT240" s="274"/>
      <c r="DU240" s="274"/>
      <c r="DV240" s="274"/>
      <c r="DW240" s="274"/>
      <c r="DX240" s="274"/>
      <c r="DY240" s="274"/>
      <c r="DZ240" s="274"/>
      <c r="EA240" s="274"/>
      <c r="EB240" s="274"/>
      <c r="EC240" s="274"/>
      <c r="ED240" s="39">
        <f t="shared" si="81"/>
        <v>272475.20868399995</v>
      </c>
      <c r="EE240" s="30">
        <f t="shared" si="82"/>
        <v>6</v>
      </c>
      <c r="EF240" s="39">
        <f t="shared" si="83"/>
        <v>45412.534780666661</v>
      </c>
    </row>
    <row r="241" spans="1:136" x14ac:dyDescent="0.25">
      <c r="A241" s="25" t="e">
        <f>#REF!</f>
        <v>#REF!</v>
      </c>
      <c r="B241" s="50" t="e">
        <f>#REF!</f>
        <v>#REF!</v>
      </c>
      <c r="C241" s="5" t="e">
        <f>#REF!</f>
        <v>#REF!</v>
      </c>
      <c r="D241" s="5" t="e">
        <f>#REF!</f>
        <v>#REF!</v>
      </c>
      <c r="E241" s="252">
        <v>1</v>
      </c>
      <c r="F241" s="249">
        <v>0</v>
      </c>
      <c r="G241" s="249">
        <v>0</v>
      </c>
      <c r="H241" s="249">
        <v>37187.5</v>
      </c>
      <c r="I241" s="249">
        <v>0</v>
      </c>
      <c r="J241" s="249">
        <v>44413.18</v>
      </c>
      <c r="K241" s="249">
        <v>0</v>
      </c>
      <c r="L241" s="274">
        <f>AVERAGE(H241,J241)</f>
        <v>40800.339999999997</v>
      </c>
      <c r="M241" s="274"/>
      <c r="N241" s="255">
        <v>25000</v>
      </c>
      <c r="O241" s="135">
        <f>+N241*0.19</f>
        <v>4750</v>
      </c>
      <c r="P241" s="135">
        <f>+N241+O241</f>
        <v>29750</v>
      </c>
      <c r="Q241" s="131"/>
      <c r="R241" s="131"/>
      <c r="S241" s="11"/>
      <c r="T241" s="274">
        <v>24200.000000000004</v>
      </c>
      <c r="U241" s="274">
        <f>+T241*0.19</f>
        <v>4598.0000000000009</v>
      </c>
      <c r="V241" s="274">
        <f>+T241+U241</f>
        <v>28798.000000000004</v>
      </c>
      <c r="W241" s="39" t="s">
        <v>510</v>
      </c>
      <c r="X241" s="11" t="s">
        <v>2976</v>
      </c>
      <c r="Y241" s="11"/>
      <c r="Z241" s="274"/>
      <c r="AA241" s="274"/>
      <c r="AB241" s="274"/>
      <c r="AC241" s="5"/>
      <c r="AD241" s="22"/>
      <c r="AE241" s="39"/>
      <c r="AF241" s="274"/>
      <c r="AG241" s="274"/>
      <c r="AH241" s="169"/>
      <c r="AI241" s="22"/>
      <c r="AJ241" s="39"/>
      <c r="AK241" s="39"/>
      <c r="AL241" s="118"/>
      <c r="AM241" s="152"/>
      <c r="AN241" s="181"/>
      <c r="AO241" s="131"/>
      <c r="AP241" s="131"/>
      <c r="AQ241" s="39"/>
      <c r="AR241" s="274"/>
      <c r="AS241" s="274"/>
      <c r="AT241" s="274"/>
      <c r="AU241" s="39"/>
      <c r="AV241" s="39"/>
      <c r="AW241" s="39"/>
      <c r="AX241" s="274"/>
      <c r="AY241" s="274"/>
      <c r="AZ241" s="274"/>
      <c r="BA241" s="39"/>
      <c r="BB241" s="62"/>
      <c r="BC241" s="39"/>
      <c r="BD241" s="274"/>
      <c r="BE241" s="274"/>
      <c r="BF241" s="274"/>
      <c r="BG241" s="39"/>
      <c r="BH241" s="39"/>
      <c r="BI241" s="39"/>
      <c r="BJ241" s="274">
        <v>31800</v>
      </c>
      <c r="BK241" s="274">
        <f>+BJ241*0.19</f>
        <v>6042</v>
      </c>
      <c r="BL241" s="274">
        <f>+BJ241+BK241</f>
        <v>37842</v>
      </c>
      <c r="BM241" s="214" t="s">
        <v>445</v>
      </c>
      <c r="BN241" s="213" t="s">
        <v>164</v>
      </c>
      <c r="BO241" s="39"/>
      <c r="BP241" s="274">
        <v>65200</v>
      </c>
      <c r="BQ241" s="274">
        <f t="shared" si="88"/>
        <v>12388</v>
      </c>
      <c r="BR241" s="274">
        <f t="shared" si="89"/>
        <v>77588</v>
      </c>
      <c r="BS241" s="39"/>
      <c r="BT241" s="39"/>
      <c r="BU241" s="39"/>
      <c r="BV241" s="219">
        <v>36802.521600000007</v>
      </c>
      <c r="BW241" s="219">
        <f>+BV241*0.19</f>
        <v>6992.4791040000018</v>
      </c>
      <c r="BX241" s="273">
        <f>+BV241+BW241</f>
        <v>43795.000704000005</v>
      </c>
      <c r="BY241" s="214" t="s">
        <v>445</v>
      </c>
      <c r="BZ241" s="213" t="s">
        <v>164</v>
      </c>
      <c r="CA241" s="213"/>
      <c r="CB241" s="274"/>
      <c r="CC241" s="274"/>
      <c r="CD241" s="274"/>
      <c r="CE241" s="39"/>
      <c r="CF241" s="39"/>
      <c r="CG241" s="39"/>
      <c r="CH241" s="274"/>
      <c r="CI241" s="274"/>
      <c r="CJ241" s="274"/>
      <c r="CK241" s="39"/>
      <c r="CL241" s="39"/>
      <c r="CM241" s="39"/>
      <c r="CN241" s="39"/>
      <c r="CO241" s="39"/>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274"/>
      <c r="DM241" s="274"/>
      <c r="DN241" s="274"/>
      <c r="DO241" s="274"/>
      <c r="DP241" s="274"/>
      <c r="DQ241" s="274"/>
      <c r="DR241" s="274"/>
      <c r="DS241" s="274"/>
      <c r="DT241" s="274"/>
      <c r="DU241" s="274"/>
      <c r="DV241" s="274"/>
      <c r="DW241" s="274"/>
      <c r="DX241" s="274"/>
      <c r="DY241" s="274"/>
      <c r="DZ241" s="274"/>
      <c r="EA241" s="274"/>
      <c r="EB241" s="274"/>
      <c r="EC241" s="274"/>
      <c r="ED241" s="39">
        <f t="shared" si="81"/>
        <v>217773.00070400001</v>
      </c>
      <c r="EE241" s="30">
        <f t="shared" si="82"/>
        <v>5</v>
      </c>
      <c r="EF241" s="39">
        <f t="shared" si="83"/>
        <v>43554.600140800001</v>
      </c>
    </row>
    <row r="242" spans="1:136" x14ac:dyDescent="0.25">
      <c r="A242" s="25" t="e">
        <f>#REF!</f>
        <v>#REF!</v>
      </c>
      <c r="B242" s="50" t="e">
        <f>#REF!</f>
        <v>#REF!</v>
      </c>
      <c r="C242" s="5" t="e">
        <f>#REF!</f>
        <v>#REF!</v>
      </c>
      <c r="D242" s="5" t="e">
        <f>#REF!</f>
        <v>#REF!</v>
      </c>
      <c r="E242" s="252">
        <v>1</v>
      </c>
      <c r="F242" s="249">
        <v>0</v>
      </c>
      <c r="G242" s="249">
        <v>0</v>
      </c>
      <c r="H242" s="249">
        <v>0</v>
      </c>
      <c r="I242" s="249">
        <v>0</v>
      </c>
      <c r="J242" s="249">
        <v>0</v>
      </c>
      <c r="K242" s="249">
        <v>0</v>
      </c>
      <c r="L242" s="274"/>
      <c r="M242" s="274"/>
      <c r="N242" s="255"/>
      <c r="O242" s="135"/>
      <c r="P242" s="135"/>
      <c r="Q242" s="131"/>
      <c r="R242" s="131"/>
      <c r="S242" s="11"/>
      <c r="T242" s="274"/>
      <c r="U242" s="274"/>
      <c r="V242" s="274"/>
      <c r="W242" s="39"/>
      <c r="X242" s="11"/>
      <c r="Y242" s="11"/>
      <c r="Z242" s="274"/>
      <c r="AA242" s="274"/>
      <c r="AB242" s="274"/>
      <c r="AC242" s="52"/>
      <c r="AD242" s="22"/>
      <c r="AE242" s="39"/>
      <c r="AF242" s="274"/>
      <c r="AG242" s="274"/>
      <c r="AH242" s="171"/>
      <c r="AI242" s="4"/>
      <c r="AJ242" s="39"/>
      <c r="AK242" s="39"/>
      <c r="AL242" s="118"/>
      <c r="AM242" s="152"/>
      <c r="AN242" s="181"/>
      <c r="AO242" s="131"/>
      <c r="AP242" s="131"/>
      <c r="AQ242" s="39"/>
      <c r="AR242" s="274"/>
      <c r="AS242" s="274"/>
      <c r="AT242" s="274"/>
      <c r="AU242" s="39"/>
      <c r="AV242" s="39"/>
      <c r="AW242" s="39"/>
      <c r="AX242" s="274"/>
      <c r="AY242" s="274"/>
      <c r="AZ242" s="274"/>
      <c r="BA242" s="39"/>
      <c r="BB242" s="62"/>
      <c r="BC242" s="39"/>
      <c r="BD242" s="274"/>
      <c r="BE242" s="274"/>
      <c r="BF242" s="274"/>
      <c r="BG242" s="39"/>
      <c r="BH242" s="39"/>
      <c r="BI242" s="39"/>
      <c r="BJ242" s="274"/>
      <c r="BK242" s="274"/>
      <c r="BL242" s="274"/>
      <c r="BM242" s="213"/>
      <c r="BN242" s="213"/>
      <c r="BO242" s="39"/>
      <c r="BP242" s="274">
        <v>135000</v>
      </c>
      <c r="BQ242" s="274">
        <f t="shared" si="88"/>
        <v>25650</v>
      </c>
      <c r="BR242" s="274">
        <f t="shared" si="89"/>
        <v>160650</v>
      </c>
      <c r="BS242" s="39"/>
      <c r="BT242" s="39"/>
      <c r="BU242" s="39"/>
      <c r="BV242" s="212"/>
      <c r="BW242" s="221"/>
      <c r="BX242" s="273"/>
      <c r="BY242" s="213"/>
      <c r="BZ242" s="213"/>
      <c r="CA242" s="213"/>
      <c r="CB242" s="274"/>
      <c r="CC242" s="274"/>
      <c r="CD242" s="274"/>
      <c r="CE242" s="39"/>
      <c r="CF242" s="39"/>
      <c r="CG242" s="39"/>
      <c r="CH242" s="274"/>
      <c r="CI242" s="274"/>
      <c r="CJ242" s="274"/>
      <c r="CK242" s="39"/>
      <c r="CL242" s="39"/>
      <c r="CM242" s="39"/>
      <c r="CN242" s="39"/>
      <c r="CO242" s="39"/>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274"/>
      <c r="DM242" s="274"/>
      <c r="DN242" s="274"/>
      <c r="DO242" s="274"/>
      <c r="DP242" s="274"/>
      <c r="DQ242" s="274"/>
      <c r="DR242" s="274"/>
      <c r="DS242" s="274"/>
      <c r="DT242" s="274"/>
      <c r="DU242" s="274"/>
      <c r="DV242" s="274"/>
      <c r="DW242" s="274"/>
      <c r="DX242" s="274"/>
      <c r="DY242" s="274"/>
      <c r="DZ242" s="274"/>
      <c r="EA242" s="274"/>
      <c r="EB242" s="274"/>
      <c r="EC242" s="274"/>
      <c r="ED242" s="39">
        <f t="shared" si="81"/>
        <v>160650</v>
      </c>
      <c r="EE242" s="30">
        <f t="shared" si="82"/>
        <v>1</v>
      </c>
      <c r="EF242" s="39">
        <f t="shared" si="83"/>
        <v>160650</v>
      </c>
    </row>
    <row r="243" spans="1:136" x14ac:dyDescent="0.25">
      <c r="A243" s="25" t="e">
        <f>#REF!</f>
        <v>#REF!</v>
      </c>
      <c r="B243" s="50" t="e">
        <f>#REF!</f>
        <v>#REF!</v>
      </c>
      <c r="C243" s="5" t="e">
        <f>#REF!</f>
        <v>#REF!</v>
      </c>
      <c r="D243" s="5" t="e">
        <f>#REF!</f>
        <v>#REF!</v>
      </c>
      <c r="E243" s="252">
        <v>1</v>
      </c>
      <c r="F243" s="249">
        <v>0</v>
      </c>
      <c r="G243" s="249">
        <v>0</v>
      </c>
      <c r="H243" s="249">
        <v>27667.5</v>
      </c>
      <c r="I243" s="249">
        <v>27608</v>
      </c>
      <c r="J243" s="249">
        <v>0</v>
      </c>
      <c r="K243" s="249">
        <v>0</v>
      </c>
      <c r="L243" s="274">
        <f>H243</f>
        <v>27667.5</v>
      </c>
      <c r="M243" s="274">
        <f>I243*E1</f>
        <v>28436.240000000002</v>
      </c>
      <c r="N243" s="255"/>
      <c r="O243" s="135"/>
      <c r="P243" s="135"/>
      <c r="Q243" s="131"/>
      <c r="R243" s="131"/>
      <c r="S243" s="11"/>
      <c r="T243" s="274"/>
      <c r="U243" s="274"/>
      <c r="V243" s="274"/>
      <c r="W243" s="39"/>
      <c r="X243" s="11"/>
      <c r="Y243" s="11"/>
      <c r="Z243" s="274"/>
      <c r="AA243" s="274"/>
      <c r="AB243" s="274"/>
      <c r="AC243" s="5"/>
      <c r="AD243" s="22"/>
      <c r="AE243" s="39"/>
      <c r="AF243" s="274"/>
      <c r="AG243" s="274"/>
      <c r="AH243" s="169"/>
      <c r="AI243" s="22"/>
      <c r="AJ243" s="39"/>
      <c r="AK243" s="39"/>
      <c r="AL243" s="118"/>
      <c r="AM243" s="152"/>
      <c r="AN243" s="181"/>
      <c r="AO243" s="131"/>
      <c r="AP243" s="131"/>
      <c r="AQ243" s="39"/>
      <c r="AR243" s="274"/>
      <c r="AS243" s="274"/>
      <c r="AT243" s="274"/>
      <c r="AU243" s="39"/>
      <c r="AV243" s="39"/>
      <c r="AW243" s="39"/>
      <c r="AX243" s="274"/>
      <c r="AY243" s="274"/>
      <c r="AZ243" s="274"/>
      <c r="BA243" s="39"/>
      <c r="BB243" s="62"/>
      <c r="BC243" s="39"/>
      <c r="BD243" s="274"/>
      <c r="BE243" s="274"/>
      <c r="BF243" s="274"/>
      <c r="BG243" s="39"/>
      <c r="BH243" s="39"/>
      <c r="BI243" s="39"/>
      <c r="BJ243" s="274">
        <v>37200</v>
      </c>
      <c r="BK243" s="274">
        <f t="shared" ref="BK243:BK254" si="90">+BJ243*0.19</f>
        <v>7068</v>
      </c>
      <c r="BL243" s="274">
        <f t="shared" ref="BL243:BL254" si="91">+BJ243+BK243</f>
        <v>44268</v>
      </c>
      <c r="BM243" s="214" t="s">
        <v>445</v>
      </c>
      <c r="BN243" s="213" t="s">
        <v>2925</v>
      </c>
      <c r="BO243" s="39"/>
      <c r="BP243" s="274">
        <v>65000</v>
      </c>
      <c r="BQ243" s="274">
        <f t="shared" si="88"/>
        <v>12350</v>
      </c>
      <c r="BR243" s="274">
        <f t="shared" si="89"/>
        <v>77350</v>
      </c>
      <c r="BS243" s="39"/>
      <c r="BT243" s="39"/>
      <c r="BU243" s="39"/>
      <c r="BV243" s="219">
        <v>41841.072</v>
      </c>
      <c r="BW243" s="219">
        <f t="shared" ref="BW243:BW254" si="92">+BV243*0.19</f>
        <v>7949.80368</v>
      </c>
      <c r="BX243" s="273">
        <f t="shared" ref="BX243:BX254" si="93">+BV243+BW243</f>
        <v>49790.875679999997</v>
      </c>
      <c r="BY243" s="214" t="s">
        <v>445</v>
      </c>
      <c r="BZ243" s="213" t="s">
        <v>2925</v>
      </c>
      <c r="CA243" s="213"/>
      <c r="CB243" s="274"/>
      <c r="CC243" s="274"/>
      <c r="CD243" s="274"/>
      <c r="CE243" s="39"/>
      <c r="CF243" s="39"/>
      <c r="CG243" s="39"/>
      <c r="CH243" s="274"/>
      <c r="CI243" s="274"/>
      <c r="CJ243" s="274"/>
      <c r="CK243" s="39"/>
      <c r="CL243" s="39"/>
      <c r="CM243" s="39"/>
      <c r="CN243" s="39"/>
      <c r="CO243" s="39"/>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274"/>
      <c r="DM243" s="274"/>
      <c r="DN243" s="274"/>
      <c r="DO243" s="274"/>
      <c r="DP243" s="274"/>
      <c r="DQ243" s="274"/>
      <c r="DR243" s="274"/>
      <c r="DS243" s="274"/>
      <c r="DT243" s="274"/>
      <c r="DU243" s="274"/>
      <c r="DV243" s="274"/>
      <c r="DW243" s="274"/>
      <c r="DX243" s="274"/>
      <c r="DY243" s="274"/>
      <c r="DZ243" s="274"/>
      <c r="EA243" s="274"/>
      <c r="EB243" s="274"/>
      <c r="EC243" s="274"/>
      <c r="ED243" s="39">
        <f t="shared" si="81"/>
        <v>199845.11567999999</v>
      </c>
      <c r="EE243" s="30">
        <f t="shared" si="82"/>
        <v>4</v>
      </c>
      <c r="EF243" s="39">
        <f t="shared" si="83"/>
        <v>49961.278919999997</v>
      </c>
    </row>
    <row r="244" spans="1:136" x14ac:dyDescent="0.25">
      <c r="A244" s="25" t="e">
        <f>#REF!</f>
        <v>#REF!</v>
      </c>
      <c r="B244" s="50" t="e">
        <f>#REF!</f>
        <v>#REF!</v>
      </c>
      <c r="C244" s="5" t="e">
        <f>#REF!</f>
        <v>#REF!</v>
      </c>
      <c r="D244" s="5" t="e">
        <f>#REF!</f>
        <v>#REF!</v>
      </c>
      <c r="E244" s="252">
        <v>1</v>
      </c>
      <c r="F244" s="249">
        <v>0</v>
      </c>
      <c r="G244" s="249">
        <v>0</v>
      </c>
      <c r="H244" s="249">
        <v>0</v>
      </c>
      <c r="I244" s="249">
        <v>0</v>
      </c>
      <c r="J244" s="249">
        <v>51937.065833333334</v>
      </c>
      <c r="K244" s="249">
        <v>51765</v>
      </c>
      <c r="L244" s="274">
        <f>J244</f>
        <v>51937.065833333334</v>
      </c>
      <c r="M244" s="274">
        <f>K244*E1</f>
        <v>53317.950000000004</v>
      </c>
      <c r="N244" s="255">
        <v>30000</v>
      </c>
      <c r="O244" s="135">
        <f>+N244*0.19</f>
        <v>5700</v>
      </c>
      <c r="P244" s="135">
        <f>+N244+O244</f>
        <v>35700</v>
      </c>
      <c r="Q244" s="131"/>
      <c r="R244" s="131"/>
      <c r="S244" s="11"/>
      <c r="T244" s="274">
        <v>17600</v>
      </c>
      <c r="U244" s="274">
        <f>+T244*0.19</f>
        <v>3344</v>
      </c>
      <c r="V244" s="274">
        <f>+T244+U244</f>
        <v>20944</v>
      </c>
      <c r="W244" s="39" t="s">
        <v>510</v>
      </c>
      <c r="X244" s="11" t="s">
        <v>2976</v>
      </c>
      <c r="Y244" s="11"/>
      <c r="Z244" s="274"/>
      <c r="AA244" s="274"/>
      <c r="AB244" s="274"/>
      <c r="AC244" s="5"/>
      <c r="AD244" s="22"/>
      <c r="AE244" s="39"/>
      <c r="AF244" s="274"/>
      <c r="AG244" s="274"/>
      <c r="AH244" s="169"/>
      <c r="AI244" s="22"/>
      <c r="AJ244" s="39"/>
      <c r="AK244" s="39"/>
      <c r="AL244" s="118"/>
      <c r="AM244" s="152"/>
      <c r="AN244" s="181"/>
      <c r="AO244" s="131"/>
      <c r="AP244" s="131"/>
      <c r="AQ244" s="39"/>
      <c r="AR244" s="274"/>
      <c r="AS244" s="274"/>
      <c r="AT244" s="274"/>
      <c r="AU244" s="39"/>
      <c r="AV244" s="39"/>
      <c r="AW244" s="39"/>
      <c r="AX244" s="274"/>
      <c r="AY244" s="274"/>
      <c r="AZ244" s="274"/>
      <c r="BA244" s="39"/>
      <c r="BB244" s="62"/>
      <c r="BC244" s="39"/>
      <c r="BD244" s="274"/>
      <c r="BE244" s="274"/>
      <c r="BF244" s="274"/>
      <c r="BG244" s="39"/>
      <c r="BH244" s="39"/>
      <c r="BI244" s="39"/>
      <c r="BJ244" s="274">
        <v>49700</v>
      </c>
      <c r="BK244" s="274">
        <f t="shared" si="90"/>
        <v>9443</v>
      </c>
      <c r="BL244" s="274">
        <f t="shared" si="91"/>
        <v>59143</v>
      </c>
      <c r="BM244" s="214" t="s">
        <v>445</v>
      </c>
      <c r="BN244" s="213" t="s">
        <v>2925</v>
      </c>
      <c r="BO244" s="39"/>
      <c r="BP244" s="274">
        <v>85000</v>
      </c>
      <c r="BQ244" s="274">
        <f t="shared" si="88"/>
        <v>16150</v>
      </c>
      <c r="BR244" s="274">
        <f t="shared" si="89"/>
        <v>101150</v>
      </c>
      <c r="BS244" s="39"/>
      <c r="BT244" s="39"/>
      <c r="BU244" s="39"/>
      <c r="BV244" s="219">
        <v>57486.996000000006</v>
      </c>
      <c r="BW244" s="219">
        <f t="shared" si="92"/>
        <v>10922.529240000002</v>
      </c>
      <c r="BX244" s="273">
        <f t="shared" si="93"/>
        <v>68409.525240000003</v>
      </c>
      <c r="BY244" s="214" t="s">
        <v>445</v>
      </c>
      <c r="BZ244" s="213" t="s">
        <v>2925</v>
      </c>
      <c r="CA244" s="213"/>
      <c r="CB244" s="274"/>
      <c r="CC244" s="274"/>
      <c r="CD244" s="274"/>
      <c r="CE244" s="39"/>
      <c r="CF244" s="39"/>
      <c r="CG244" s="39"/>
      <c r="CH244" s="274"/>
      <c r="CI244" s="274"/>
      <c r="CJ244" s="274"/>
      <c r="CK244" s="39"/>
      <c r="CL244" s="39"/>
      <c r="CM244" s="39"/>
      <c r="CN244" s="39"/>
      <c r="CO244" s="39"/>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274"/>
      <c r="DM244" s="274"/>
      <c r="DN244" s="274"/>
      <c r="DO244" s="274"/>
      <c r="DP244" s="274"/>
      <c r="DQ244" s="274"/>
      <c r="DR244" s="274"/>
      <c r="DS244" s="274"/>
      <c r="DT244" s="274"/>
      <c r="DU244" s="274"/>
      <c r="DV244" s="274"/>
      <c r="DW244" s="274"/>
      <c r="DX244" s="274"/>
      <c r="DY244" s="274"/>
      <c r="DZ244" s="274"/>
      <c r="EA244" s="274"/>
      <c r="EB244" s="274"/>
      <c r="EC244" s="274"/>
      <c r="ED244" s="39">
        <f t="shared" si="81"/>
        <v>338664.47524</v>
      </c>
      <c r="EE244" s="30">
        <f t="shared" si="82"/>
        <v>6</v>
      </c>
      <c r="EF244" s="39">
        <f t="shared" si="83"/>
        <v>56444.079206666669</v>
      </c>
    </row>
    <row r="245" spans="1:136" x14ac:dyDescent="0.25">
      <c r="A245" s="25" t="e">
        <f>#REF!</f>
        <v>#REF!</v>
      </c>
      <c r="B245" s="50" t="e">
        <f>#REF!</f>
        <v>#REF!</v>
      </c>
      <c r="C245" s="5" t="e">
        <f>#REF!</f>
        <v>#REF!</v>
      </c>
      <c r="D245" s="5" t="e">
        <f>#REF!</f>
        <v>#REF!</v>
      </c>
      <c r="E245" s="252">
        <v>1</v>
      </c>
      <c r="F245" s="249">
        <v>0</v>
      </c>
      <c r="G245" s="249">
        <v>0</v>
      </c>
      <c r="H245" s="249">
        <v>14934.5</v>
      </c>
      <c r="I245" s="249">
        <v>0</v>
      </c>
      <c r="J245" s="249">
        <v>18206.735555555559</v>
      </c>
      <c r="K245" s="249">
        <v>0</v>
      </c>
      <c r="L245" s="274">
        <f>AVERAGE(H245,J245)</f>
        <v>16570.617777777778</v>
      </c>
      <c r="M245" s="274"/>
      <c r="N245" s="255">
        <v>15000</v>
      </c>
      <c r="O245" s="135">
        <f>+N245*0.19</f>
        <v>2850</v>
      </c>
      <c r="P245" s="135">
        <f>+N245+O245</f>
        <v>17850</v>
      </c>
      <c r="Q245" s="131"/>
      <c r="R245" s="131"/>
      <c r="S245" s="11"/>
      <c r="T245" s="274"/>
      <c r="U245" s="274"/>
      <c r="V245" s="274"/>
      <c r="W245" s="39"/>
      <c r="X245" s="11"/>
      <c r="Y245" s="11"/>
      <c r="Z245" s="274"/>
      <c r="AA245" s="274"/>
      <c r="AB245" s="274"/>
      <c r="AC245" s="5"/>
      <c r="AD245" s="22"/>
      <c r="AE245" s="39"/>
      <c r="AF245" s="274"/>
      <c r="AG245" s="274"/>
      <c r="AH245" s="169"/>
      <c r="AI245" s="4"/>
      <c r="AJ245" s="39"/>
      <c r="AK245" s="39"/>
      <c r="AL245" s="118"/>
      <c r="AM245" s="152"/>
      <c r="AN245" s="181"/>
      <c r="AO245" s="131"/>
      <c r="AP245" s="131"/>
      <c r="AQ245" s="39"/>
      <c r="AR245" s="274"/>
      <c r="AS245" s="274"/>
      <c r="AT245" s="274"/>
      <c r="AU245" s="39"/>
      <c r="AV245" s="39"/>
      <c r="AW245" s="39"/>
      <c r="AX245" s="274"/>
      <c r="AY245" s="274"/>
      <c r="AZ245" s="274"/>
      <c r="BA245" s="39"/>
      <c r="BB245" s="62"/>
      <c r="BC245" s="39"/>
      <c r="BD245" s="274"/>
      <c r="BE245" s="274"/>
      <c r="BF245" s="274"/>
      <c r="BG245" s="39"/>
      <c r="BH245" s="39"/>
      <c r="BI245" s="39"/>
      <c r="BJ245" s="274">
        <v>14700</v>
      </c>
      <c r="BK245" s="274">
        <f t="shared" si="90"/>
        <v>2793</v>
      </c>
      <c r="BL245" s="274">
        <f t="shared" si="91"/>
        <v>17493</v>
      </c>
      <c r="BM245" s="214" t="s">
        <v>445</v>
      </c>
      <c r="BN245" s="213" t="s">
        <v>2925</v>
      </c>
      <c r="BO245" s="39"/>
      <c r="BP245" s="274">
        <v>28500</v>
      </c>
      <c r="BQ245" s="274">
        <f t="shared" si="88"/>
        <v>5415</v>
      </c>
      <c r="BR245" s="274">
        <f t="shared" si="89"/>
        <v>33915</v>
      </c>
      <c r="BS245" s="39"/>
      <c r="BT245" s="39"/>
      <c r="BU245" s="39"/>
      <c r="BV245" s="219">
        <v>16367.3328</v>
      </c>
      <c r="BW245" s="219">
        <f t="shared" si="92"/>
        <v>3109.793232</v>
      </c>
      <c r="BX245" s="273">
        <f t="shared" si="93"/>
        <v>19477.126032</v>
      </c>
      <c r="BY245" s="214" t="s">
        <v>445</v>
      </c>
      <c r="BZ245" s="213" t="s">
        <v>2925</v>
      </c>
      <c r="CA245" s="213"/>
      <c r="CB245" s="274"/>
      <c r="CC245" s="274"/>
      <c r="CD245" s="274"/>
      <c r="CE245" s="39"/>
      <c r="CF245" s="39"/>
      <c r="CG245" s="39"/>
      <c r="CH245" s="274"/>
      <c r="CI245" s="274"/>
      <c r="CJ245" s="274"/>
      <c r="CK245" s="39"/>
      <c r="CL245" s="39"/>
      <c r="CM245" s="39"/>
      <c r="CN245" s="39"/>
      <c r="CO245" s="39"/>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274"/>
      <c r="DM245" s="274"/>
      <c r="DN245" s="274"/>
      <c r="DO245" s="274"/>
      <c r="DP245" s="274"/>
      <c r="DQ245" s="274"/>
      <c r="DR245" s="274"/>
      <c r="DS245" s="274"/>
      <c r="DT245" s="274"/>
      <c r="DU245" s="274"/>
      <c r="DV245" s="274"/>
      <c r="DW245" s="274"/>
      <c r="DX245" s="274"/>
      <c r="DY245" s="274"/>
      <c r="DZ245" s="274"/>
      <c r="EA245" s="274"/>
      <c r="EB245" s="274"/>
      <c r="EC245" s="274"/>
      <c r="ED245" s="39">
        <f t="shared" si="81"/>
        <v>88735.126032</v>
      </c>
      <c r="EE245" s="30">
        <f t="shared" si="82"/>
        <v>4</v>
      </c>
      <c r="EF245" s="39">
        <f t="shared" si="83"/>
        <v>22183.781508</v>
      </c>
    </row>
    <row r="246" spans="1:136" x14ac:dyDescent="0.25">
      <c r="A246" s="25" t="e">
        <f>#REF!</f>
        <v>#REF!</v>
      </c>
      <c r="B246" s="50" t="e">
        <f>#REF!</f>
        <v>#REF!</v>
      </c>
      <c r="C246" s="5" t="e">
        <f>#REF!</f>
        <v>#REF!</v>
      </c>
      <c r="D246" s="5" t="e">
        <f>#REF!</f>
        <v>#REF!</v>
      </c>
      <c r="E246" s="252">
        <v>1</v>
      </c>
      <c r="F246" s="249">
        <v>0</v>
      </c>
      <c r="G246" s="249">
        <v>0</v>
      </c>
      <c r="H246" s="249">
        <v>27697.25</v>
      </c>
      <c r="I246" s="249">
        <v>27608</v>
      </c>
      <c r="J246" s="249">
        <v>160805.09666666671</v>
      </c>
      <c r="K246" s="249">
        <v>160650</v>
      </c>
      <c r="L246" s="274">
        <f>AVERAGE(H246,J246)</f>
        <v>94251.173333333354</v>
      </c>
      <c r="M246" s="274">
        <f>AVERAGE(I246,K246)*E1</f>
        <v>96952.87</v>
      </c>
      <c r="N246" s="255"/>
      <c r="O246" s="135"/>
      <c r="P246" s="135"/>
      <c r="Q246" s="131"/>
      <c r="R246" s="131"/>
      <c r="S246" s="11"/>
      <c r="T246" s="274"/>
      <c r="U246" s="274"/>
      <c r="V246" s="274"/>
      <c r="W246" s="39"/>
      <c r="X246" s="11"/>
      <c r="Y246" s="11"/>
      <c r="Z246" s="274"/>
      <c r="AA246" s="274"/>
      <c r="AB246" s="274"/>
      <c r="AC246" s="5"/>
      <c r="AD246" s="22"/>
      <c r="AE246" s="39"/>
      <c r="AF246" s="274"/>
      <c r="AG246" s="274"/>
      <c r="AH246" s="169"/>
      <c r="AI246" s="4"/>
      <c r="AJ246" s="39"/>
      <c r="AK246" s="39"/>
      <c r="AL246" s="118"/>
      <c r="AM246" s="152"/>
      <c r="AN246" s="181"/>
      <c r="AO246" s="131"/>
      <c r="AP246" s="131"/>
      <c r="AQ246" s="39"/>
      <c r="AR246" s="274"/>
      <c r="AS246" s="274"/>
      <c r="AT246" s="274"/>
      <c r="AU246" s="39"/>
      <c r="AV246" s="39"/>
      <c r="AW246" s="39"/>
      <c r="AX246" s="274"/>
      <c r="AY246" s="274"/>
      <c r="AZ246" s="274"/>
      <c r="BA246" s="39"/>
      <c r="BB246" s="62"/>
      <c r="BC246" s="39"/>
      <c r="BD246" s="274"/>
      <c r="BE246" s="274"/>
      <c r="BF246" s="274"/>
      <c r="BG246" s="39"/>
      <c r="BH246" s="39"/>
      <c r="BI246" s="39"/>
      <c r="BJ246" s="274">
        <v>43700</v>
      </c>
      <c r="BK246" s="274">
        <f t="shared" si="90"/>
        <v>8303</v>
      </c>
      <c r="BL246" s="274">
        <f t="shared" si="91"/>
        <v>52003</v>
      </c>
      <c r="BM246" s="214" t="s">
        <v>445</v>
      </c>
      <c r="BN246" s="213" t="s">
        <v>2925</v>
      </c>
      <c r="BO246" s="39"/>
      <c r="BP246" s="274">
        <v>45600</v>
      </c>
      <c r="BQ246" s="274">
        <f t="shared" si="88"/>
        <v>8664</v>
      </c>
      <c r="BR246" s="274">
        <f t="shared" si="89"/>
        <v>54264</v>
      </c>
      <c r="BS246" s="39"/>
      <c r="BT246" s="39"/>
      <c r="BU246" s="39"/>
      <c r="BV246" s="219">
        <v>48215.783200000005</v>
      </c>
      <c r="BW246" s="219">
        <f t="shared" si="92"/>
        <v>9160.9988080000003</v>
      </c>
      <c r="BX246" s="273">
        <f t="shared" si="93"/>
        <v>57376.782008000009</v>
      </c>
      <c r="BY246" s="214" t="s">
        <v>445</v>
      </c>
      <c r="BZ246" s="213" t="s">
        <v>2925</v>
      </c>
      <c r="CA246" s="213"/>
      <c r="CB246" s="274"/>
      <c r="CC246" s="274"/>
      <c r="CD246" s="274"/>
      <c r="CE246" s="39"/>
      <c r="CF246" s="39"/>
      <c r="CG246" s="39"/>
      <c r="CH246" s="274"/>
      <c r="CI246" s="274"/>
      <c r="CJ246" s="274"/>
      <c r="CK246" s="39"/>
      <c r="CL246" s="39"/>
      <c r="CM246" s="39"/>
      <c r="CN246" s="39"/>
      <c r="CO246" s="39"/>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274"/>
      <c r="DM246" s="274"/>
      <c r="DN246" s="274"/>
      <c r="DO246" s="274"/>
      <c r="DP246" s="274"/>
      <c r="DQ246" s="274"/>
      <c r="DR246" s="274"/>
      <c r="DS246" s="274"/>
      <c r="DT246" s="274"/>
      <c r="DU246" s="274"/>
      <c r="DV246" s="274"/>
      <c r="DW246" s="274"/>
      <c r="DX246" s="274"/>
      <c r="DY246" s="274"/>
      <c r="DZ246" s="274"/>
      <c r="EA246" s="274"/>
      <c r="EB246" s="274"/>
      <c r="EC246" s="274"/>
      <c r="ED246" s="39">
        <f t="shared" si="81"/>
        <v>260596.652008</v>
      </c>
      <c r="EE246" s="30">
        <f t="shared" si="82"/>
        <v>4</v>
      </c>
      <c r="EF246" s="39">
        <f t="shared" si="83"/>
        <v>65149.163002000001</v>
      </c>
    </row>
    <row r="247" spans="1:136" x14ac:dyDescent="0.25">
      <c r="A247" s="25" t="e">
        <f>#REF!</f>
        <v>#REF!</v>
      </c>
      <c r="B247" s="50" t="e">
        <f>#REF!</f>
        <v>#REF!</v>
      </c>
      <c r="C247" s="5" t="e">
        <f>#REF!</f>
        <v>#REF!</v>
      </c>
      <c r="D247" s="5" t="e">
        <f>#REF!</f>
        <v>#REF!</v>
      </c>
      <c r="E247" s="252">
        <v>1</v>
      </c>
      <c r="F247" s="249">
        <v>0</v>
      </c>
      <c r="G247" s="249">
        <v>0</v>
      </c>
      <c r="H247" s="249">
        <v>0</v>
      </c>
      <c r="I247" s="249">
        <v>0</v>
      </c>
      <c r="J247" s="249">
        <v>151228</v>
      </c>
      <c r="K247" s="249">
        <v>58548</v>
      </c>
      <c r="L247" s="274">
        <f>J247</f>
        <v>151228</v>
      </c>
      <c r="M247" s="274">
        <f>K247*E1</f>
        <v>60304.44</v>
      </c>
      <c r="N247" s="255">
        <v>65000</v>
      </c>
      <c r="O247" s="135">
        <f>+N247*0.19</f>
        <v>12350</v>
      </c>
      <c r="P247" s="135">
        <f>+N247+O247</f>
        <v>77350</v>
      </c>
      <c r="Q247" s="131"/>
      <c r="R247" s="131"/>
      <c r="S247" s="11"/>
      <c r="T247" s="274"/>
      <c r="U247" s="274"/>
      <c r="V247" s="274"/>
      <c r="W247" s="39"/>
      <c r="X247" s="11"/>
      <c r="Y247" s="11"/>
      <c r="Z247" s="274"/>
      <c r="AA247" s="274"/>
      <c r="AB247" s="274"/>
      <c r="AC247" s="5"/>
      <c r="AD247" s="22"/>
      <c r="AE247" s="39"/>
      <c r="AF247" s="118">
        <v>13209.600000000002</v>
      </c>
      <c r="AG247" s="118">
        <f>+AF247*0.19</f>
        <v>2509.8240000000005</v>
      </c>
      <c r="AH247" s="170">
        <f>+AF247+AG247</f>
        <v>15719.424000000003</v>
      </c>
      <c r="AI247" s="52" t="s">
        <v>445</v>
      </c>
      <c r="AJ247" s="52" t="s">
        <v>4673</v>
      </c>
      <c r="AK247" s="39"/>
      <c r="AL247" s="118"/>
      <c r="AM247" s="152"/>
      <c r="AN247" s="181"/>
      <c r="AO247" s="131"/>
      <c r="AP247" s="131"/>
      <c r="AQ247" s="39"/>
      <c r="AR247" s="274"/>
      <c r="AS247" s="274"/>
      <c r="AT247" s="274"/>
      <c r="AU247" s="39"/>
      <c r="AV247" s="39"/>
      <c r="AW247" s="39"/>
      <c r="AX247" s="274"/>
      <c r="AY247" s="274"/>
      <c r="AZ247" s="274"/>
      <c r="BA247" s="39"/>
      <c r="BB247" s="62"/>
      <c r="BC247" s="39"/>
      <c r="BD247" s="274"/>
      <c r="BE247" s="274"/>
      <c r="BF247" s="274"/>
      <c r="BG247" s="39"/>
      <c r="BH247" s="39"/>
      <c r="BI247" s="39"/>
      <c r="BJ247" s="274">
        <v>75000</v>
      </c>
      <c r="BK247" s="274">
        <f t="shared" si="90"/>
        <v>14250</v>
      </c>
      <c r="BL247" s="274">
        <f t="shared" si="91"/>
        <v>89250</v>
      </c>
      <c r="BM247" s="214" t="s">
        <v>445</v>
      </c>
      <c r="BN247" s="213" t="s">
        <v>2925</v>
      </c>
      <c r="BO247" s="39"/>
      <c r="BP247" s="274"/>
      <c r="BQ247" s="274"/>
      <c r="BR247" s="274"/>
      <c r="BS247" s="39"/>
      <c r="BT247" s="39"/>
      <c r="BU247" s="39"/>
      <c r="BV247" s="219">
        <v>86720.400000000009</v>
      </c>
      <c r="BW247" s="219">
        <f t="shared" si="92"/>
        <v>16476.876</v>
      </c>
      <c r="BX247" s="273">
        <f t="shared" si="93"/>
        <v>103197.27600000001</v>
      </c>
      <c r="BY247" s="214" t="s">
        <v>445</v>
      </c>
      <c r="BZ247" s="213" t="s">
        <v>2925</v>
      </c>
      <c r="CA247" s="213"/>
      <c r="CB247" s="274"/>
      <c r="CC247" s="274"/>
      <c r="CD247" s="274"/>
      <c r="CE247" s="39"/>
      <c r="CF247" s="39"/>
      <c r="CG247" s="39"/>
      <c r="CH247" s="274"/>
      <c r="CI247" s="274"/>
      <c r="CJ247" s="274"/>
      <c r="CK247" s="39"/>
      <c r="CL247" s="39"/>
      <c r="CM247" s="39"/>
      <c r="CN247" s="39"/>
      <c r="CO247" s="39"/>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274"/>
      <c r="DM247" s="274"/>
      <c r="DN247" s="274"/>
      <c r="DO247" s="274"/>
      <c r="DP247" s="274"/>
      <c r="DQ247" s="274"/>
      <c r="DR247" s="274"/>
      <c r="DS247" s="274"/>
      <c r="DT247" s="274"/>
      <c r="DU247" s="274"/>
      <c r="DV247" s="274"/>
      <c r="DW247" s="274"/>
      <c r="DX247" s="274"/>
      <c r="DY247" s="274"/>
      <c r="DZ247" s="274"/>
      <c r="EA247" s="274"/>
      <c r="EB247" s="274"/>
      <c r="EC247" s="274"/>
      <c r="ED247" s="39">
        <f t="shared" si="81"/>
        <v>345821.14</v>
      </c>
      <c r="EE247" s="30">
        <f t="shared" si="82"/>
        <v>5</v>
      </c>
      <c r="EF247" s="39">
        <f t="shared" si="83"/>
        <v>69164.228000000003</v>
      </c>
    </row>
    <row r="248" spans="1:136" x14ac:dyDescent="0.25">
      <c r="A248" s="25" t="e">
        <f>#REF!</f>
        <v>#REF!</v>
      </c>
      <c r="B248" s="50" t="e">
        <f>#REF!</f>
        <v>#REF!</v>
      </c>
      <c r="C248" s="5" t="e">
        <f>#REF!</f>
        <v>#REF!</v>
      </c>
      <c r="D248" s="5" t="e">
        <f>#REF!</f>
        <v>#REF!</v>
      </c>
      <c r="E248" s="252">
        <v>1</v>
      </c>
      <c r="F248" s="249">
        <v>0</v>
      </c>
      <c r="G248" s="249">
        <v>0</v>
      </c>
      <c r="H248" s="249">
        <v>0</v>
      </c>
      <c r="I248" s="249">
        <v>0</v>
      </c>
      <c r="J248" s="249">
        <v>0</v>
      </c>
      <c r="K248" s="249">
        <v>0</v>
      </c>
      <c r="L248" s="274"/>
      <c r="M248" s="274"/>
      <c r="N248" s="255">
        <v>35000</v>
      </c>
      <c r="O248" s="135">
        <f>+N248*0.19</f>
        <v>6650</v>
      </c>
      <c r="P248" s="135">
        <f>+N248+O248</f>
        <v>41650</v>
      </c>
      <c r="Q248" s="131"/>
      <c r="R248" s="131"/>
      <c r="S248" s="11"/>
      <c r="T248" s="274"/>
      <c r="U248" s="274"/>
      <c r="V248" s="274"/>
      <c r="W248" s="39"/>
      <c r="X248" s="11"/>
      <c r="Y248" s="11"/>
      <c r="Z248" s="274"/>
      <c r="AA248" s="274"/>
      <c r="AB248" s="274"/>
      <c r="AC248" s="5"/>
      <c r="AD248" s="22"/>
      <c r="AE248" s="39"/>
      <c r="AF248" s="118">
        <v>22291.200000000004</v>
      </c>
      <c r="AG248" s="118">
        <f>+AF248*0.19</f>
        <v>4235.3280000000004</v>
      </c>
      <c r="AH248" s="170">
        <f>+AF248+AG248</f>
        <v>26526.528000000006</v>
      </c>
      <c r="AI248" s="52" t="s">
        <v>445</v>
      </c>
      <c r="AJ248" s="52" t="s">
        <v>4673</v>
      </c>
      <c r="AK248" s="39"/>
      <c r="AL248" s="118"/>
      <c r="AM248" s="152"/>
      <c r="AN248" s="181"/>
      <c r="AO248" s="131"/>
      <c r="AP248" s="131"/>
      <c r="AQ248" s="39"/>
      <c r="AR248" s="274"/>
      <c r="AS248" s="274"/>
      <c r="AT248" s="274"/>
      <c r="AU248" s="39"/>
      <c r="AV248" s="39"/>
      <c r="AW248" s="39"/>
      <c r="AX248" s="274"/>
      <c r="AY248" s="274"/>
      <c r="AZ248" s="274"/>
      <c r="BA248" s="39"/>
      <c r="BB248" s="62"/>
      <c r="BC248" s="39"/>
      <c r="BD248" s="274"/>
      <c r="BE248" s="274"/>
      <c r="BF248" s="274"/>
      <c r="BG248" s="39"/>
      <c r="BH248" s="39"/>
      <c r="BI248" s="39"/>
      <c r="BJ248" s="274">
        <v>60400</v>
      </c>
      <c r="BK248" s="274">
        <f t="shared" si="90"/>
        <v>11476</v>
      </c>
      <c r="BL248" s="274">
        <f t="shared" si="91"/>
        <v>71876</v>
      </c>
      <c r="BM248" s="214" t="s">
        <v>445</v>
      </c>
      <c r="BN248" s="213" t="s">
        <v>4809</v>
      </c>
      <c r="BO248" s="39"/>
      <c r="BP248" s="274"/>
      <c r="BQ248" s="274"/>
      <c r="BR248" s="274"/>
      <c r="BS248" s="39"/>
      <c r="BT248" s="39"/>
      <c r="BU248" s="39"/>
      <c r="BV248" s="219">
        <v>63462.461200000005</v>
      </c>
      <c r="BW248" s="219">
        <f t="shared" si="92"/>
        <v>12057.867628000002</v>
      </c>
      <c r="BX248" s="273">
        <f t="shared" si="93"/>
        <v>75520.328828000012</v>
      </c>
      <c r="BY248" s="214" t="s">
        <v>445</v>
      </c>
      <c r="BZ248" s="213" t="s">
        <v>4809</v>
      </c>
      <c r="CA248" s="213"/>
      <c r="CB248" s="274"/>
      <c r="CC248" s="274"/>
      <c r="CD248" s="274"/>
      <c r="CE248" s="39"/>
      <c r="CF248" s="39"/>
      <c r="CG248" s="39"/>
      <c r="CH248" s="274"/>
      <c r="CI248" s="274"/>
      <c r="CJ248" s="274"/>
      <c r="CK248" s="39"/>
      <c r="CL248" s="39"/>
      <c r="CM248" s="39"/>
      <c r="CN248" s="39"/>
      <c r="CO248" s="39"/>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274"/>
      <c r="DM248" s="274"/>
      <c r="DN248" s="274"/>
      <c r="DO248" s="274"/>
      <c r="DP248" s="274"/>
      <c r="DQ248" s="274"/>
      <c r="DR248" s="274"/>
      <c r="DS248" s="274"/>
      <c r="DT248" s="274"/>
      <c r="DU248" s="274"/>
      <c r="DV248" s="274"/>
      <c r="DW248" s="274"/>
      <c r="DX248" s="274"/>
      <c r="DY248" s="274"/>
      <c r="DZ248" s="274"/>
      <c r="EA248" s="274"/>
      <c r="EB248" s="274"/>
      <c r="EC248" s="274"/>
      <c r="ED248" s="39">
        <f t="shared" si="81"/>
        <v>215572.85682799999</v>
      </c>
      <c r="EE248" s="30">
        <f t="shared" si="82"/>
        <v>4</v>
      </c>
      <c r="EF248" s="39">
        <f t="shared" si="83"/>
        <v>53893.214206999997</v>
      </c>
    </row>
    <row r="249" spans="1:136" x14ac:dyDescent="0.25">
      <c r="A249" s="25" t="e">
        <f>#REF!</f>
        <v>#REF!</v>
      </c>
      <c r="B249" s="50" t="e">
        <f>#REF!</f>
        <v>#REF!</v>
      </c>
      <c r="C249" s="5" t="e">
        <f>#REF!</f>
        <v>#REF!</v>
      </c>
      <c r="D249" s="5" t="e">
        <f>#REF!</f>
        <v>#REF!</v>
      </c>
      <c r="E249" s="252">
        <v>1</v>
      </c>
      <c r="F249" s="249">
        <v>0</v>
      </c>
      <c r="G249" s="249">
        <v>0</v>
      </c>
      <c r="H249" s="249">
        <v>0</v>
      </c>
      <c r="I249" s="249">
        <v>0</v>
      </c>
      <c r="J249" s="249">
        <v>0</v>
      </c>
      <c r="K249" s="249">
        <v>0</v>
      </c>
      <c r="L249" s="274"/>
      <c r="M249" s="274"/>
      <c r="N249" s="255">
        <v>25000</v>
      </c>
      <c r="O249" s="135">
        <f>+N249*0.19</f>
        <v>4750</v>
      </c>
      <c r="P249" s="135">
        <f>+N249+O249</f>
        <v>29750</v>
      </c>
      <c r="Q249" s="131"/>
      <c r="R249" s="131"/>
      <c r="S249" s="11"/>
      <c r="T249" s="274"/>
      <c r="U249" s="274"/>
      <c r="V249" s="274"/>
      <c r="W249" s="39"/>
      <c r="X249" s="11"/>
      <c r="Y249" s="11"/>
      <c r="Z249" s="274"/>
      <c r="AA249" s="274"/>
      <c r="AB249" s="274"/>
      <c r="AC249" s="5"/>
      <c r="AD249" s="22"/>
      <c r="AE249" s="39"/>
      <c r="AF249" s="118">
        <v>13441.800000000001</v>
      </c>
      <c r="AG249" s="118">
        <f>+AF249*0.19</f>
        <v>2553.9420000000005</v>
      </c>
      <c r="AH249" s="170">
        <f>+AF249+AG249</f>
        <v>15995.742000000002</v>
      </c>
      <c r="AI249" s="52" t="s">
        <v>445</v>
      </c>
      <c r="AJ249" s="52" t="s">
        <v>4673</v>
      </c>
      <c r="AK249" s="39"/>
      <c r="AL249" s="118"/>
      <c r="AM249" s="152"/>
      <c r="AN249" s="181"/>
      <c r="AO249" s="131"/>
      <c r="AP249" s="131"/>
      <c r="AQ249" s="39"/>
      <c r="AR249" s="274"/>
      <c r="AS249" s="274"/>
      <c r="AT249" s="274"/>
      <c r="AU249" s="39"/>
      <c r="AV249" s="39"/>
      <c r="AW249" s="39"/>
      <c r="AX249" s="274"/>
      <c r="AY249" s="274"/>
      <c r="AZ249" s="274"/>
      <c r="BA249" s="39"/>
      <c r="BB249" s="62"/>
      <c r="BC249" s="39"/>
      <c r="BD249" s="274"/>
      <c r="BE249" s="274"/>
      <c r="BF249" s="274"/>
      <c r="BG249" s="39"/>
      <c r="BH249" s="39"/>
      <c r="BI249" s="39"/>
      <c r="BJ249" s="274">
        <v>35400</v>
      </c>
      <c r="BK249" s="274">
        <f t="shared" si="90"/>
        <v>6726</v>
      </c>
      <c r="BL249" s="274">
        <f t="shared" si="91"/>
        <v>42126</v>
      </c>
      <c r="BM249" s="214" t="s">
        <v>445</v>
      </c>
      <c r="BN249" s="213" t="s">
        <v>4809</v>
      </c>
      <c r="BO249" s="39"/>
      <c r="BP249" s="274"/>
      <c r="BQ249" s="274"/>
      <c r="BR249" s="274"/>
      <c r="BS249" s="39"/>
      <c r="BT249" s="39"/>
      <c r="BU249" s="39"/>
      <c r="BV249" s="219">
        <v>40180.982400000001</v>
      </c>
      <c r="BW249" s="219">
        <f t="shared" si="92"/>
        <v>7634.3866560000006</v>
      </c>
      <c r="BX249" s="273">
        <f t="shared" si="93"/>
        <v>47815.369056000003</v>
      </c>
      <c r="BY249" s="214" t="s">
        <v>445</v>
      </c>
      <c r="BZ249" s="213" t="s">
        <v>4809</v>
      </c>
      <c r="CA249" s="213"/>
      <c r="CB249" s="274"/>
      <c r="CC249" s="274"/>
      <c r="CD249" s="274"/>
      <c r="CE249" s="39"/>
      <c r="CF249" s="39"/>
      <c r="CG249" s="39"/>
      <c r="CH249" s="274"/>
      <c r="CI249" s="274"/>
      <c r="CJ249" s="274"/>
      <c r="CK249" s="39"/>
      <c r="CL249" s="39"/>
      <c r="CM249" s="39"/>
      <c r="CN249" s="39"/>
      <c r="CO249" s="39"/>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274"/>
      <c r="DM249" s="274"/>
      <c r="DN249" s="274"/>
      <c r="DO249" s="274"/>
      <c r="DP249" s="274"/>
      <c r="DQ249" s="274"/>
      <c r="DR249" s="274"/>
      <c r="DS249" s="274"/>
      <c r="DT249" s="274"/>
      <c r="DU249" s="274"/>
      <c r="DV249" s="274"/>
      <c r="DW249" s="274"/>
      <c r="DX249" s="274"/>
      <c r="DY249" s="274"/>
      <c r="DZ249" s="274"/>
      <c r="EA249" s="274"/>
      <c r="EB249" s="274"/>
      <c r="EC249" s="274"/>
      <c r="ED249" s="39">
        <f t="shared" si="81"/>
        <v>135687.11105599999</v>
      </c>
      <c r="EE249" s="30">
        <f t="shared" si="82"/>
        <v>4</v>
      </c>
      <c r="EF249" s="39">
        <f t="shared" si="83"/>
        <v>33921.777763999999</v>
      </c>
    </row>
    <row r="250" spans="1:136" x14ac:dyDescent="0.25">
      <c r="A250" s="25" t="e">
        <f>#REF!</f>
        <v>#REF!</v>
      </c>
      <c r="B250" s="50" t="e">
        <f>#REF!</f>
        <v>#REF!</v>
      </c>
      <c r="C250" s="5" t="e">
        <f>#REF!</f>
        <v>#REF!</v>
      </c>
      <c r="D250" s="5" t="e">
        <f>#REF!</f>
        <v>#REF!</v>
      </c>
      <c r="E250" s="252">
        <v>1</v>
      </c>
      <c r="F250" s="249">
        <v>0</v>
      </c>
      <c r="G250" s="249">
        <v>0</v>
      </c>
      <c r="H250" s="249">
        <v>0</v>
      </c>
      <c r="I250" s="249">
        <v>0</v>
      </c>
      <c r="J250" s="249">
        <v>0</v>
      </c>
      <c r="K250" s="249">
        <v>0</v>
      </c>
      <c r="L250" s="274"/>
      <c r="M250" s="274"/>
      <c r="N250" s="255">
        <v>35000</v>
      </c>
      <c r="O250" s="135">
        <f>+N250*0.19</f>
        <v>6650</v>
      </c>
      <c r="P250" s="135">
        <f>+N250+O250</f>
        <v>41650</v>
      </c>
      <c r="Q250" s="131"/>
      <c r="R250" s="131"/>
      <c r="S250" s="11"/>
      <c r="T250" s="274"/>
      <c r="U250" s="274"/>
      <c r="V250" s="274"/>
      <c r="W250" s="39"/>
      <c r="X250" s="11"/>
      <c r="Y250" s="11"/>
      <c r="Z250" s="274"/>
      <c r="AA250" s="274"/>
      <c r="AB250" s="274"/>
      <c r="AC250" s="5"/>
      <c r="AD250" s="22"/>
      <c r="AE250" s="39"/>
      <c r="AF250" s="118">
        <v>39603.000000000007</v>
      </c>
      <c r="AG250" s="118">
        <f>+AF250*0.19</f>
        <v>7524.5700000000015</v>
      </c>
      <c r="AH250" s="170">
        <f>+AF250+AG250</f>
        <v>47127.570000000007</v>
      </c>
      <c r="AI250" s="52" t="s">
        <v>445</v>
      </c>
      <c r="AJ250" s="52" t="s">
        <v>4673</v>
      </c>
      <c r="AK250" s="39"/>
      <c r="AL250" s="118"/>
      <c r="AM250" s="152"/>
      <c r="AN250" s="181"/>
      <c r="AO250" s="131"/>
      <c r="AP250" s="131"/>
      <c r="AQ250" s="39"/>
      <c r="AR250" s="274"/>
      <c r="AS250" s="274"/>
      <c r="AT250" s="274"/>
      <c r="AU250" s="39"/>
      <c r="AV250" s="39"/>
      <c r="AW250" s="39"/>
      <c r="AX250" s="274"/>
      <c r="AY250" s="274"/>
      <c r="AZ250" s="274"/>
      <c r="BA250" s="39"/>
      <c r="BB250" s="62"/>
      <c r="BC250" s="39"/>
      <c r="BD250" s="274"/>
      <c r="BE250" s="274"/>
      <c r="BF250" s="274"/>
      <c r="BG250" s="39"/>
      <c r="BH250" s="39"/>
      <c r="BI250" s="39"/>
      <c r="BJ250" s="274">
        <v>148800</v>
      </c>
      <c r="BK250" s="274">
        <f t="shared" si="90"/>
        <v>28272</v>
      </c>
      <c r="BL250" s="274">
        <f t="shared" si="91"/>
        <v>177072</v>
      </c>
      <c r="BM250" s="214" t="s">
        <v>445</v>
      </c>
      <c r="BN250" s="213" t="s">
        <v>4809</v>
      </c>
      <c r="BO250" s="39"/>
      <c r="BP250" s="274"/>
      <c r="BQ250" s="274"/>
      <c r="BR250" s="274"/>
      <c r="BS250" s="39"/>
      <c r="BT250" s="39"/>
      <c r="BU250" s="39"/>
      <c r="BV250" s="219">
        <v>173817.44640000002</v>
      </c>
      <c r="BW250" s="219">
        <f t="shared" si="92"/>
        <v>33025.314816000006</v>
      </c>
      <c r="BX250" s="273">
        <f t="shared" si="93"/>
        <v>206842.76121600001</v>
      </c>
      <c r="BY250" s="214" t="s">
        <v>445</v>
      </c>
      <c r="BZ250" s="213" t="s">
        <v>4809</v>
      </c>
      <c r="CA250" s="213"/>
      <c r="CB250" s="274"/>
      <c r="CC250" s="274"/>
      <c r="CD250" s="274"/>
      <c r="CE250" s="39"/>
      <c r="CF250" s="39"/>
      <c r="CG250" s="39"/>
      <c r="CH250" s="274"/>
      <c r="CI250" s="274"/>
      <c r="CJ250" s="274"/>
      <c r="CK250" s="39"/>
      <c r="CL250" s="39"/>
      <c r="CM250" s="39"/>
      <c r="CN250" s="39"/>
      <c r="CO250" s="39"/>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274"/>
      <c r="DM250" s="274"/>
      <c r="DN250" s="274"/>
      <c r="DO250" s="274"/>
      <c r="DP250" s="274"/>
      <c r="DQ250" s="274"/>
      <c r="DR250" s="274"/>
      <c r="DS250" s="274"/>
      <c r="DT250" s="274"/>
      <c r="DU250" s="274"/>
      <c r="DV250" s="274"/>
      <c r="DW250" s="274"/>
      <c r="DX250" s="274"/>
      <c r="DY250" s="274"/>
      <c r="DZ250" s="274"/>
      <c r="EA250" s="274"/>
      <c r="EB250" s="274"/>
      <c r="EC250" s="274"/>
      <c r="ED250" s="39">
        <f t="shared" si="81"/>
        <v>472692.33121600002</v>
      </c>
      <c r="EE250" s="30">
        <f t="shared" si="82"/>
        <v>4</v>
      </c>
      <c r="EF250" s="39">
        <f t="shared" si="83"/>
        <v>118173.08280400001</v>
      </c>
    </row>
    <row r="251" spans="1:136" x14ac:dyDescent="0.25">
      <c r="A251" s="25" t="e">
        <f>#REF!</f>
        <v>#REF!</v>
      </c>
      <c r="B251" s="50" t="e">
        <f>#REF!</f>
        <v>#REF!</v>
      </c>
      <c r="C251" s="5" t="e">
        <f>#REF!</f>
        <v>#REF!</v>
      </c>
      <c r="D251" s="5" t="e">
        <f>#REF!</f>
        <v>#REF!</v>
      </c>
      <c r="E251" s="252">
        <v>1</v>
      </c>
      <c r="F251" s="249">
        <v>0</v>
      </c>
      <c r="G251" s="249">
        <v>0</v>
      </c>
      <c r="H251" s="249">
        <v>0</v>
      </c>
      <c r="I251" s="249">
        <v>0</v>
      </c>
      <c r="J251" s="249">
        <v>0</v>
      </c>
      <c r="K251" s="249">
        <v>0</v>
      </c>
      <c r="L251" s="274"/>
      <c r="M251" s="274"/>
      <c r="N251" s="255">
        <v>23000</v>
      </c>
      <c r="O251" s="135">
        <f>+N251*0.19</f>
        <v>4370</v>
      </c>
      <c r="P251" s="135">
        <f>+N251+O251</f>
        <v>27370</v>
      </c>
      <c r="Q251" s="131"/>
      <c r="R251" s="131"/>
      <c r="S251" s="11"/>
      <c r="T251" s="274"/>
      <c r="U251" s="274"/>
      <c r="V251" s="274"/>
      <c r="W251" s="39"/>
      <c r="X251" s="11"/>
      <c r="Y251" s="11"/>
      <c r="Z251" s="274"/>
      <c r="AA251" s="274"/>
      <c r="AB251" s="274"/>
      <c r="AC251" s="52"/>
      <c r="AD251" s="22"/>
      <c r="AE251" s="39"/>
      <c r="AF251" s="118">
        <v>11197.2</v>
      </c>
      <c r="AG251" s="118">
        <f>+AF251*0.19</f>
        <v>2127.4680000000003</v>
      </c>
      <c r="AH251" s="170">
        <f>+AF251+AG251</f>
        <v>13324.668000000001</v>
      </c>
      <c r="AI251" s="52" t="s">
        <v>445</v>
      </c>
      <c r="AJ251" s="52" t="s">
        <v>4673</v>
      </c>
      <c r="AK251" s="39"/>
      <c r="AL251" s="118"/>
      <c r="AM251" s="152"/>
      <c r="AN251" s="181"/>
      <c r="AO251" s="131"/>
      <c r="AP251" s="131"/>
      <c r="AQ251" s="39"/>
      <c r="AR251" s="274"/>
      <c r="AS251" s="274"/>
      <c r="AT251" s="274"/>
      <c r="AU251" s="39"/>
      <c r="AV251" s="39"/>
      <c r="AW251" s="39"/>
      <c r="AX251" s="274"/>
      <c r="AY251" s="274"/>
      <c r="AZ251" s="274"/>
      <c r="BA251" s="39"/>
      <c r="BB251" s="62"/>
      <c r="BC251" s="39"/>
      <c r="BD251" s="274"/>
      <c r="BE251" s="274"/>
      <c r="BF251" s="274"/>
      <c r="BG251" s="39"/>
      <c r="BH251" s="39"/>
      <c r="BI251" s="39"/>
      <c r="BJ251" s="274">
        <v>36600</v>
      </c>
      <c r="BK251" s="274">
        <f t="shared" si="90"/>
        <v>6954</v>
      </c>
      <c r="BL251" s="274">
        <f t="shared" si="91"/>
        <v>43554</v>
      </c>
      <c r="BM251" s="214" t="s">
        <v>445</v>
      </c>
      <c r="BN251" s="213" t="s">
        <v>4809</v>
      </c>
      <c r="BO251" s="39"/>
      <c r="BP251" s="274"/>
      <c r="BQ251" s="274"/>
      <c r="BR251" s="274"/>
      <c r="BS251" s="39"/>
      <c r="BT251" s="39"/>
      <c r="BU251" s="39"/>
      <c r="BV251" s="219">
        <v>41143.158000000003</v>
      </c>
      <c r="BW251" s="219">
        <f t="shared" si="92"/>
        <v>7817.2000200000011</v>
      </c>
      <c r="BX251" s="273">
        <f t="shared" si="93"/>
        <v>48960.358020000007</v>
      </c>
      <c r="BY251" s="214" t="s">
        <v>445</v>
      </c>
      <c r="BZ251" s="213" t="s">
        <v>4809</v>
      </c>
      <c r="CA251" s="213"/>
      <c r="CB251" s="274"/>
      <c r="CC251" s="274"/>
      <c r="CD251" s="274"/>
      <c r="CE251" s="39"/>
      <c r="CF251" s="39"/>
      <c r="CG251" s="39"/>
      <c r="CH251" s="274"/>
      <c r="CI251" s="274"/>
      <c r="CJ251" s="274"/>
      <c r="CK251" s="39"/>
      <c r="CL251" s="39"/>
      <c r="CM251" s="39"/>
      <c r="CN251" s="39"/>
      <c r="CO251" s="39"/>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274"/>
      <c r="DM251" s="274"/>
      <c r="DN251" s="274"/>
      <c r="DO251" s="274"/>
      <c r="DP251" s="274"/>
      <c r="DQ251" s="274"/>
      <c r="DR251" s="274"/>
      <c r="DS251" s="274"/>
      <c r="DT251" s="274"/>
      <c r="DU251" s="274"/>
      <c r="DV251" s="274"/>
      <c r="DW251" s="274"/>
      <c r="DX251" s="274"/>
      <c r="DY251" s="274"/>
      <c r="DZ251" s="274"/>
      <c r="EA251" s="274"/>
      <c r="EB251" s="274"/>
      <c r="EC251" s="274"/>
      <c r="ED251" s="39">
        <f t="shared" si="81"/>
        <v>133209.02602000002</v>
      </c>
      <c r="EE251" s="30">
        <f t="shared" si="82"/>
        <v>4</v>
      </c>
      <c r="EF251" s="39">
        <f t="shared" si="83"/>
        <v>33302.256505000005</v>
      </c>
    </row>
    <row r="252" spans="1:136" x14ac:dyDescent="0.25">
      <c r="A252" s="25" t="e">
        <f>#REF!</f>
        <v>#REF!</v>
      </c>
      <c r="B252" s="50" t="e">
        <f>#REF!</f>
        <v>#REF!</v>
      </c>
      <c r="C252" s="5" t="e">
        <f>#REF!</f>
        <v>#REF!</v>
      </c>
      <c r="D252" s="5" t="e">
        <f>#REF!</f>
        <v>#REF!</v>
      </c>
      <c r="E252" s="252">
        <v>1</v>
      </c>
      <c r="F252" s="249">
        <v>0</v>
      </c>
      <c r="G252" s="249">
        <v>0</v>
      </c>
      <c r="H252" s="249">
        <v>0</v>
      </c>
      <c r="I252" s="249">
        <v>0</v>
      </c>
      <c r="J252" s="249">
        <v>0</v>
      </c>
      <c r="K252" s="249">
        <v>0</v>
      </c>
      <c r="L252" s="274"/>
      <c r="M252" s="274"/>
      <c r="N252" s="255"/>
      <c r="O252" s="135"/>
      <c r="P252" s="135"/>
      <c r="Q252" s="131"/>
      <c r="R252" s="131"/>
      <c r="S252" s="11"/>
      <c r="T252" s="274"/>
      <c r="U252" s="274"/>
      <c r="V252" s="274"/>
      <c r="W252" s="39"/>
      <c r="X252" s="11"/>
      <c r="Y252" s="11"/>
      <c r="Z252" s="274"/>
      <c r="AA252" s="274"/>
      <c r="AB252" s="274"/>
      <c r="AC252" s="5"/>
      <c r="AD252" s="22"/>
      <c r="AE252" s="39"/>
      <c r="AF252" s="274"/>
      <c r="AG252" s="274"/>
      <c r="AH252" s="170"/>
      <c r="AI252" s="4"/>
      <c r="AJ252" s="39"/>
      <c r="AK252" s="39"/>
      <c r="AL252" s="118"/>
      <c r="AM252" s="152"/>
      <c r="AN252" s="181"/>
      <c r="AO252" s="131"/>
      <c r="AP252" s="131"/>
      <c r="AQ252" s="39"/>
      <c r="AR252" s="274"/>
      <c r="AS252" s="274"/>
      <c r="AT252" s="274"/>
      <c r="AU252" s="39"/>
      <c r="AV252" s="39"/>
      <c r="AW252" s="39"/>
      <c r="AX252" s="274"/>
      <c r="AY252" s="274"/>
      <c r="AZ252" s="274"/>
      <c r="BA252" s="39"/>
      <c r="BB252" s="62"/>
      <c r="BC252" s="39"/>
      <c r="BD252" s="274"/>
      <c r="BE252" s="274"/>
      <c r="BF252" s="274"/>
      <c r="BG252" s="39"/>
      <c r="BH252" s="39"/>
      <c r="BI252" s="39"/>
      <c r="BJ252" s="274">
        <v>649200</v>
      </c>
      <c r="BK252" s="274">
        <f t="shared" si="90"/>
        <v>123348</v>
      </c>
      <c r="BL252" s="274">
        <f t="shared" si="91"/>
        <v>772548</v>
      </c>
      <c r="BM252" s="214" t="s">
        <v>445</v>
      </c>
      <c r="BN252" s="213" t="s">
        <v>2925</v>
      </c>
      <c r="BO252" s="39"/>
      <c r="BP252" s="274"/>
      <c r="BQ252" s="274"/>
      <c r="BR252" s="274"/>
      <c r="BS252" s="39"/>
      <c r="BT252" s="39"/>
      <c r="BU252" s="39"/>
      <c r="BV252" s="219">
        <v>722834.86080000002</v>
      </c>
      <c r="BW252" s="219">
        <f t="shared" si="92"/>
        <v>137338.623552</v>
      </c>
      <c r="BX252" s="273">
        <f t="shared" si="93"/>
        <v>860173.48435200006</v>
      </c>
      <c r="BY252" s="214" t="s">
        <v>445</v>
      </c>
      <c r="BZ252" s="213" t="s">
        <v>2925</v>
      </c>
      <c r="CA252" s="213"/>
      <c r="CB252" s="274"/>
      <c r="CC252" s="274"/>
      <c r="CD252" s="274"/>
      <c r="CE252" s="39"/>
      <c r="CF252" s="39"/>
      <c r="CG252" s="39"/>
      <c r="CH252" s="274"/>
      <c r="CI252" s="274"/>
      <c r="CJ252" s="274"/>
      <c r="CK252" s="39"/>
      <c r="CL252" s="39"/>
      <c r="CM252" s="39"/>
      <c r="CN252" s="39"/>
      <c r="CO252" s="39"/>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274"/>
      <c r="DM252" s="274"/>
      <c r="DN252" s="274"/>
      <c r="DO252" s="274"/>
      <c r="DP252" s="274"/>
      <c r="DQ252" s="274"/>
      <c r="DR252" s="274"/>
      <c r="DS252" s="274"/>
      <c r="DT252" s="274"/>
      <c r="DU252" s="274"/>
      <c r="DV252" s="274"/>
      <c r="DW252" s="274"/>
      <c r="DX252" s="274"/>
      <c r="DY252" s="274"/>
      <c r="DZ252" s="274"/>
      <c r="EA252" s="274"/>
      <c r="EB252" s="274"/>
      <c r="EC252" s="274"/>
      <c r="ED252" s="39">
        <f t="shared" si="81"/>
        <v>1632721.4843520001</v>
      </c>
      <c r="EE252" s="30">
        <f t="shared" si="82"/>
        <v>2</v>
      </c>
      <c r="EF252" s="39">
        <f t="shared" si="83"/>
        <v>816360.74217600003</v>
      </c>
    </row>
    <row r="253" spans="1:136" x14ac:dyDescent="0.25">
      <c r="A253" s="25" t="e">
        <f>#REF!</f>
        <v>#REF!</v>
      </c>
      <c r="B253" s="50" t="e">
        <f>#REF!</f>
        <v>#REF!</v>
      </c>
      <c r="C253" s="5" t="e">
        <f>#REF!</f>
        <v>#REF!</v>
      </c>
      <c r="D253" s="5" t="e">
        <f>#REF!</f>
        <v>#REF!</v>
      </c>
      <c r="E253" s="252">
        <v>1</v>
      </c>
      <c r="F253" s="249">
        <v>0</v>
      </c>
      <c r="G253" s="249">
        <v>0</v>
      </c>
      <c r="H253" s="249">
        <v>0</v>
      </c>
      <c r="I253" s="249">
        <v>0</v>
      </c>
      <c r="J253" s="249">
        <v>0</v>
      </c>
      <c r="K253" s="249">
        <v>0</v>
      </c>
      <c r="L253" s="274"/>
      <c r="M253" s="274"/>
      <c r="N253" s="255">
        <v>25000</v>
      </c>
      <c r="O253" s="135">
        <f t="shared" ref="O253:O260" si="94">+N253*0.19</f>
        <v>4750</v>
      </c>
      <c r="P253" s="135">
        <f t="shared" ref="P253:P260" si="95">+N253+O253</f>
        <v>29750</v>
      </c>
      <c r="Q253" s="131"/>
      <c r="R253" s="131"/>
      <c r="S253" s="11"/>
      <c r="T253" s="274"/>
      <c r="U253" s="274"/>
      <c r="V253" s="274"/>
      <c r="W253" s="39"/>
      <c r="X253" s="11"/>
      <c r="Y253" s="11"/>
      <c r="Z253" s="274"/>
      <c r="AA253" s="274"/>
      <c r="AB253" s="274"/>
      <c r="AC253" s="52"/>
      <c r="AD253" s="22"/>
      <c r="AE253" s="39"/>
      <c r="AF253" s="118">
        <v>14370.600000000002</v>
      </c>
      <c r="AG253" s="118">
        <f>+AF253*0.19</f>
        <v>2730.4140000000007</v>
      </c>
      <c r="AH253" s="170">
        <f>+AF253+AG253</f>
        <v>17101.014000000003</v>
      </c>
      <c r="AI253" s="52" t="s">
        <v>445</v>
      </c>
      <c r="AJ253" s="52" t="s">
        <v>4673</v>
      </c>
      <c r="AK253" s="39"/>
      <c r="AL253" s="118"/>
      <c r="AM253" s="152"/>
      <c r="AN253" s="181"/>
      <c r="AO253" s="131"/>
      <c r="AP253" s="131"/>
      <c r="AQ253" s="39"/>
      <c r="AR253" s="274"/>
      <c r="AS253" s="274"/>
      <c r="AT253" s="274"/>
      <c r="AU253" s="39"/>
      <c r="AV253" s="39"/>
      <c r="AW253" s="39"/>
      <c r="AX253" s="274"/>
      <c r="AY253" s="274"/>
      <c r="AZ253" s="274"/>
      <c r="BA253" s="39"/>
      <c r="BB253" s="62"/>
      <c r="BC253" s="39"/>
      <c r="BD253" s="274"/>
      <c r="BE253" s="274"/>
      <c r="BF253" s="274"/>
      <c r="BG253" s="39"/>
      <c r="BH253" s="39"/>
      <c r="BI253" s="39"/>
      <c r="BJ253" s="274">
        <v>41400</v>
      </c>
      <c r="BK253" s="274">
        <f t="shared" si="90"/>
        <v>7866</v>
      </c>
      <c r="BL253" s="274">
        <f t="shared" si="91"/>
        <v>49266</v>
      </c>
      <c r="BM253" s="214" t="s">
        <v>445</v>
      </c>
      <c r="BN253" s="213" t="s">
        <v>4809</v>
      </c>
      <c r="BO253" s="39"/>
      <c r="BP253" s="274"/>
      <c r="BQ253" s="274"/>
      <c r="BR253" s="274"/>
      <c r="BS253" s="39"/>
      <c r="BT253" s="39"/>
      <c r="BU253" s="39"/>
      <c r="BV253" s="219">
        <v>46538.982000000004</v>
      </c>
      <c r="BW253" s="219">
        <f t="shared" si="92"/>
        <v>8842.4065800000008</v>
      </c>
      <c r="BX253" s="273">
        <f t="shared" si="93"/>
        <v>55381.388580000006</v>
      </c>
      <c r="BY253" s="214" t="s">
        <v>445</v>
      </c>
      <c r="BZ253" s="213" t="s">
        <v>4809</v>
      </c>
      <c r="CA253" s="213"/>
      <c r="CB253" s="274"/>
      <c r="CC253" s="274"/>
      <c r="CD253" s="274"/>
      <c r="CE253" s="39"/>
      <c r="CF253" s="39"/>
      <c r="CG253" s="39"/>
      <c r="CH253" s="274"/>
      <c r="CI253" s="274"/>
      <c r="CJ253" s="274"/>
      <c r="CK253" s="39"/>
      <c r="CL253" s="39"/>
      <c r="CM253" s="39"/>
      <c r="CN253" s="39"/>
      <c r="CO253" s="39"/>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274"/>
      <c r="DM253" s="274"/>
      <c r="DN253" s="274"/>
      <c r="DO253" s="274"/>
      <c r="DP253" s="274"/>
      <c r="DQ253" s="274"/>
      <c r="DR253" s="274"/>
      <c r="DS253" s="274"/>
      <c r="DT253" s="274"/>
      <c r="DU253" s="274"/>
      <c r="DV253" s="274"/>
      <c r="DW253" s="274"/>
      <c r="DX253" s="274"/>
      <c r="DY253" s="274"/>
      <c r="DZ253" s="274"/>
      <c r="EA253" s="274"/>
      <c r="EB253" s="274"/>
      <c r="EC253" s="274"/>
      <c r="ED253" s="39">
        <f t="shared" si="81"/>
        <v>151498.40257999999</v>
      </c>
      <c r="EE253" s="30">
        <f t="shared" si="82"/>
        <v>4</v>
      </c>
      <c r="EF253" s="39">
        <f t="shared" si="83"/>
        <v>37874.600644999999</v>
      </c>
    </row>
    <row r="254" spans="1:136" x14ac:dyDescent="0.25">
      <c r="A254" s="25" t="e">
        <f>#REF!</f>
        <v>#REF!</v>
      </c>
      <c r="B254" s="50" t="e">
        <f>#REF!</f>
        <v>#REF!</v>
      </c>
      <c r="C254" s="5" t="e">
        <f>#REF!</f>
        <v>#REF!</v>
      </c>
      <c r="D254" s="5" t="e">
        <f>#REF!</f>
        <v>#REF!</v>
      </c>
      <c r="E254" s="252">
        <v>1</v>
      </c>
      <c r="F254" s="249">
        <v>41782.089999999997</v>
      </c>
      <c r="G254" s="249">
        <v>40103</v>
      </c>
      <c r="H254" s="249">
        <v>19448.035904850003</v>
      </c>
      <c r="I254" s="249">
        <v>11710</v>
      </c>
      <c r="J254" s="249">
        <v>24228.697500000002</v>
      </c>
      <c r="K254" s="249">
        <v>16065</v>
      </c>
      <c r="L254" s="274">
        <f>AVERAGE(F254,H254,J254)</f>
        <v>28486.274468283333</v>
      </c>
      <c r="M254" s="274">
        <f>AVERAGE(G254,I254,K254)*E1</f>
        <v>23304.78</v>
      </c>
      <c r="N254" s="255">
        <v>20000</v>
      </c>
      <c r="O254" s="135">
        <f t="shared" si="94"/>
        <v>3800</v>
      </c>
      <c r="P254" s="135">
        <f t="shared" si="95"/>
        <v>23800</v>
      </c>
      <c r="Q254" s="131"/>
      <c r="R254" s="131"/>
      <c r="S254" s="11"/>
      <c r="T254" s="274"/>
      <c r="U254" s="274"/>
      <c r="V254" s="274"/>
      <c r="W254" s="39"/>
      <c r="X254" s="11"/>
      <c r="Y254" s="11"/>
      <c r="Z254" s="274"/>
      <c r="AA254" s="274"/>
      <c r="AB254" s="274"/>
      <c r="AC254" s="5"/>
      <c r="AD254" s="22"/>
      <c r="AE254" s="39"/>
      <c r="AF254" s="274"/>
      <c r="AG254" s="274"/>
      <c r="AH254" s="125"/>
      <c r="AI254" s="4"/>
      <c r="AJ254" s="39"/>
      <c r="AK254" s="39"/>
      <c r="AL254" s="118"/>
      <c r="AM254" s="152"/>
      <c r="AN254" s="181"/>
      <c r="AO254" s="131"/>
      <c r="AP254" s="131"/>
      <c r="AQ254" s="39"/>
      <c r="AR254" s="274"/>
      <c r="AS254" s="274"/>
      <c r="AT254" s="274"/>
      <c r="AU254" s="39"/>
      <c r="AV254" s="39"/>
      <c r="AW254" s="39"/>
      <c r="AX254" s="274"/>
      <c r="AY254" s="274"/>
      <c r="AZ254" s="274"/>
      <c r="BA254" s="39"/>
      <c r="BB254" s="62"/>
      <c r="BC254" s="39"/>
      <c r="BD254" s="274"/>
      <c r="BE254" s="274"/>
      <c r="BF254" s="274"/>
      <c r="BG254" s="39"/>
      <c r="BH254" s="39"/>
      <c r="BI254" s="39"/>
      <c r="BJ254" s="274">
        <v>63900</v>
      </c>
      <c r="BK254" s="274">
        <f t="shared" si="90"/>
        <v>12141</v>
      </c>
      <c r="BL254" s="274">
        <f t="shared" si="91"/>
        <v>76041</v>
      </c>
      <c r="BM254" s="214" t="s">
        <v>445</v>
      </c>
      <c r="BN254" s="213" t="s">
        <v>2925</v>
      </c>
      <c r="BO254" s="39"/>
      <c r="BP254" s="274"/>
      <c r="BQ254" s="274"/>
      <c r="BR254" s="274"/>
      <c r="BS254" s="39"/>
      <c r="BT254" s="39"/>
      <c r="BU254" s="39"/>
      <c r="BV254" s="219">
        <v>71852.227200000008</v>
      </c>
      <c r="BW254" s="219">
        <f t="shared" si="92"/>
        <v>13651.923168000001</v>
      </c>
      <c r="BX254" s="273">
        <f t="shared" si="93"/>
        <v>85504.150368000002</v>
      </c>
      <c r="BY254" s="214" t="s">
        <v>445</v>
      </c>
      <c r="BZ254" s="213" t="s">
        <v>2925</v>
      </c>
      <c r="CA254" s="213"/>
      <c r="CB254" s="274"/>
      <c r="CC254" s="274"/>
      <c r="CD254" s="274"/>
      <c r="CE254" s="39"/>
      <c r="CF254" s="39"/>
      <c r="CG254" s="39"/>
      <c r="CH254" s="274"/>
      <c r="CI254" s="274"/>
      <c r="CJ254" s="274"/>
      <c r="CK254" s="39"/>
      <c r="CL254" s="39"/>
      <c r="CM254" s="39"/>
      <c r="CN254" s="39"/>
      <c r="CO254" s="39"/>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274"/>
      <c r="DM254" s="274"/>
      <c r="DN254" s="274"/>
      <c r="DO254" s="274"/>
      <c r="DP254" s="274"/>
      <c r="DQ254" s="274"/>
      <c r="DR254" s="274"/>
      <c r="DS254" s="274"/>
      <c r="DT254" s="274"/>
      <c r="DU254" s="274"/>
      <c r="DV254" s="274"/>
      <c r="DW254" s="274"/>
      <c r="DX254" s="274"/>
      <c r="DY254" s="274"/>
      <c r="DZ254" s="274"/>
      <c r="EA254" s="274"/>
      <c r="EB254" s="274"/>
      <c r="EC254" s="274"/>
      <c r="ED254" s="39">
        <f t="shared" si="81"/>
        <v>208649.930368</v>
      </c>
      <c r="EE254" s="30">
        <f t="shared" si="82"/>
        <v>4</v>
      </c>
      <c r="EF254" s="39">
        <f t="shared" si="83"/>
        <v>52162.482592</v>
      </c>
    </row>
    <row r="255" spans="1:136" x14ac:dyDescent="0.25">
      <c r="A255" s="25" t="e">
        <f>#REF!</f>
        <v>#REF!</v>
      </c>
      <c r="B255" s="50" t="e">
        <f>#REF!</f>
        <v>#REF!</v>
      </c>
      <c r="C255" s="5" t="e">
        <f>#REF!</f>
        <v>#REF!</v>
      </c>
      <c r="D255" s="5" t="e">
        <f>#REF!</f>
        <v>#REF!</v>
      </c>
      <c r="E255" s="252">
        <v>1</v>
      </c>
      <c r="F255" s="249">
        <v>238000</v>
      </c>
      <c r="G255" s="249">
        <v>0</v>
      </c>
      <c r="H255" s="249">
        <v>538752.66666666663</v>
      </c>
      <c r="I255" s="249">
        <v>0</v>
      </c>
      <c r="J255" s="249">
        <v>303411.11111111107</v>
      </c>
      <c r="K255" s="249">
        <v>297500</v>
      </c>
      <c r="L255" s="274">
        <f>AVERAGE(F255,H255,J255)</f>
        <v>360054.59259259258</v>
      </c>
      <c r="M255" s="274">
        <f>K255*E1</f>
        <v>306425</v>
      </c>
      <c r="N255" s="255">
        <v>180000</v>
      </c>
      <c r="O255" s="135">
        <f t="shared" si="94"/>
        <v>34200</v>
      </c>
      <c r="P255" s="135">
        <f t="shared" si="95"/>
        <v>214200</v>
      </c>
      <c r="Q255" s="131"/>
      <c r="R255" s="131"/>
      <c r="S255" s="11"/>
      <c r="T255" s="274"/>
      <c r="U255" s="274"/>
      <c r="V255" s="274"/>
      <c r="W255" s="39"/>
      <c r="X255" s="11"/>
      <c r="Y255" s="11"/>
      <c r="Z255" s="274"/>
      <c r="AA255" s="274"/>
      <c r="AB255" s="274"/>
      <c r="AC255" s="52"/>
      <c r="AD255" s="22"/>
      <c r="AE255" s="39"/>
      <c r="AF255" s="274"/>
      <c r="AG255" s="274"/>
      <c r="AH255" s="171"/>
      <c r="AI255" s="22"/>
      <c r="AJ255" s="39"/>
      <c r="AK255" s="39"/>
      <c r="AL255" s="118"/>
      <c r="AM255" s="152"/>
      <c r="AN255" s="181"/>
      <c r="AO255" s="131"/>
      <c r="AP255" s="131"/>
      <c r="AQ255" s="39"/>
      <c r="AR255" s="274"/>
      <c r="AS255" s="274"/>
      <c r="AT255" s="274"/>
      <c r="AU255" s="39"/>
      <c r="AV255" s="39"/>
      <c r="AW255" s="39"/>
      <c r="AX255" s="274"/>
      <c r="AY255" s="274"/>
      <c r="AZ255" s="274"/>
      <c r="BA255" s="39"/>
      <c r="BB255" s="62"/>
      <c r="BC255" s="39"/>
      <c r="BD255" s="274"/>
      <c r="BE255" s="274"/>
      <c r="BF255" s="274"/>
      <c r="BG255" s="39"/>
      <c r="BH255" s="39"/>
      <c r="BI255" s="39"/>
      <c r="BJ255" s="274"/>
      <c r="BK255" s="274"/>
      <c r="BL255" s="274"/>
      <c r="BM255" s="213"/>
      <c r="BN255" s="213"/>
      <c r="BO255" s="39"/>
      <c r="BP255" s="274"/>
      <c r="BQ255" s="274"/>
      <c r="BR255" s="274"/>
      <c r="BS255" s="39"/>
      <c r="BT255" s="39"/>
      <c r="BU255" s="39"/>
      <c r="BV255" s="212"/>
      <c r="BW255" s="221"/>
      <c r="BX255" s="273"/>
      <c r="BY255" s="213"/>
      <c r="BZ255" s="213"/>
      <c r="CA255" s="213"/>
      <c r="CB255" s="274"/>
      <c r="CC255" s="274"/>
      <c r="CD255" s="274"/>
      <c r="CE255" s="39"/>
      <c r="CF255" s="39"/>
      <c r="CG255" s="39"/>
      <c r="CH255" s="274"/>
      <c r="CI255" s="274"/>
      <c r="CJ255" s="274"/>
      <c r="CK255" s="39"/>
      <c r="CL255" s="39"/>
      <c r="CM255" s="39"/>
      <c r="CN255" s="39"/>
      <c r="CO255" s="39"/>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274"/>
      <c r="DM255" s="274"/>
      <c r="DN255" s="274"/>
      <c r="DO255" s="274"/>
      <c r="DP255" s="274"/>
      <c r="DQ255" s="274"/>
      <c r="DR255" s="274"/>
      <c r="DS255" s="274"/>
      <c r="DT255" s="274"/>
      <c r="DU255" s="274"/>
      <c r="DV255" s="274"/>
      <c r="DW255" s="274"/>
      <c r="DX255" s="274"/>
      <c r="DY255" s="274"/>
      <c r="DZ255" s="274"/>
      <c r="EA255" s="274"/>
      <c r="EB255" s="274"/>
      <c r="EC255" s="274"/>
      <c r="ED255" s="39">
        <f t="shared" si="81"/>
        <v>520625</v>
      </c>
      <c r="EE255" s="30">
        <f t="shared" si="82"/>
        <v>2</v>
      </c>
      <c r="EF255" s="39">
        <f t="shared" si="83"/>
        <v>260312.5</v>
      </c>
    </row>
    <row r="256" spans="1:136" x14ac:dyDescent="0.25">
      <c r="A256" s="25" t="e">
        <f>#REF!</f>
        <v>#REF!</v>
      </c>
      <c r="B256" s="50" t="e">
        <f>#REF!</f>
        <v>#REF!</v>
      </c>
      <c r="C256" s="5" t="e">
        <f>#REF!</f>
        <v>#REF!</v>
      </c>
      <c r="D256" s="5" t="e">
        <f>#REF!</f>
        <v>#REF!</v>
      </c>
      <c r="E256" s="252">
        <v>1</v>
      </c>
      <c r="F256" s="249">
        <v>53669</v>
      </c>
      <c r="G256" s="249">
        <v>52836</v>
      </c>
      <c r="H256" s="249">
        <v>0</v>
      </c>
      <c r="I256" s="249">
        <v>0</v>
      </c>
      <c r="J256" s="249">
        <v>84603.711111111115</v>
      </c>
      <c r="K256" s="249">
        <v>0</v>
      </c>
      <c r="L256" s="274">
        <f>AVERAGE(F256,J256)</f>
        <v>69136.35555555555</v>
      </c>
      <c r="M256" s="274">
        <f>G256*E1</f>
        <v>54421.08</v>
      </c>
      <c r="N256" s="255">
        <v>50000</v>
      </c>
      <c r="O256" s="135">
        <f t="shared" si="94"/>
        <v>9500</v>
      </c>
      <c r="P256" s="135">
        <f t="shared" si="95"/>
        <v>59500</v>
      </c>
      <c r="Q256" s="131"/>
      <c r="R256" s="131"/>
      <c r="S256" s="11"/>
      <c r="T256" s="274">
        <v>30800.000000000004</v>
      </c>
      <c r="U256" s="274">
        <f>+T256*0.19</f>
        <v>5852.0000000000009</v>
      </c>
      <c r="V256" s="274">
        <f>+T256+U256</f>
        <v>36652.000000000007</v>
      </c>
      <c r="W256" s="39" t="s">
        <v>510</v>
      </c>
      <c r="X256" s="11" t="s">
        <v>2956</v>
      </c>
      <c r="Y256" s="11"/>
      <c r="Z256" s="274"/>
      <c r="AA256" s="274"/>
      <c r="AB256" s="274"/>
      <c r="AC256" s="52"/>
      <c r="AD256" s="22"/>
      <c r="AE256" s="39"/>
      <c r="AF256" s="274"/>
      <c r="AG256" s="274"/>
      <c r="AH256" s="171"/>
      <c r="AI256" s="4"/>
      <c r="AJ256" s="39"/>
      <c r="AK256" s="39"/>
      <c r="AL256" s="118"/>
      <c r="AM256" s="152"/>
      <c r="AN256" s="181"/>
      <c r="AO256" s="131"/>
      <c r="AP256" s="131"/>
      <c r="AQ256" s="39"/>
      <c r="AR256" s="274"/>
      <c r="AS256" s="274"/>
      <c r="AT256" s="274"/>
      <c r="AU256" s="39"/>
      <c r="AV256" s="39"/>
      <c r="AW256" s="39"/>
      <c r="AX256" s="274"/>
      <c r="AY256" s="274"/>
      <c r="AZ256" s="274"/>
      <c r="BA256" s="39"/>
      <c r="BB256" s="62"/>
      <c r="BC256" s="39"/>
      <c r="BD256" s="274"/>
      <c r="BE256" s="274"/>
      <c r="BF256" s="274"/>
      <c r="BG256" s="39"/>
      <c r="BH256" s="39"/>
      <c r="BI256" s="39"/>
      <c r="BJ256" s="274"/>
      <c r="BK256" s="274"/>
      <c r="BL256" s="274"/>
      <c r="BM256" s="213"/>
      <c r="BN256" s="213"/>
      <c r="BO256" s="39"/>
      <c r="BP256" s="274">
        <v>12500</v>
      </c>
      <c r="BQ256" s="274">
        <f t="shared" ref="BQ256:BQ263" si="96">+BP256*19%</f>
        <v>2375</v>
      </c>
      <c r="BR256" s="274">
        <f t="shared" ref="BR256:BR263" si="97">+BQ256+BP256</f>
        <v>14875</v>
      </c>
      <c r="BS256" s="39"/>
      <c r="BT256" s="39"/>
      <c r="BU256" s="39"/>
      <c r="BV256" s="212"/>
      <c r="BW256" s="221"/>
      <c r="BX256" s="273"/>
      <c r="BY256" s="213"/>
      <c r="BZ256" s="213"/>
      <c r="CA256" s="213"/>
      <c r="CB256" s="274"/>
      <c r="CC256" s="274"/>
      <c r="CD256" s="274"/>
      <c r="CE256" s="39"/>
      <c r="CF256" s="39"/>
      <c r="CG256" s="39"/>
      <c r="CH256" s="274"/>
      <c r="CI256" s="274"/>
      <c r="CJ256" s="274"/>
      <c r="CK256" s="39"/>
      <c r="CL256" s="39"/>
      <c r="CM256" s="39"/>
      <c r="CN256" s="39"/>
      <c r="CO256" s="39"/>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274"/>
      <c r="DM256" s="274"/>
      <c r="DN256" s="274"/>
      <c r="DO256" s="274"/>
      <c r="DP256" s="274"/>
      <c r="DQ256" s="274"/>
      <c r="DR256" s="274"/>
      <c r="DS256" s="274"/>
      <c r="DT256" s="274"/>
      <c r="DU256" s="274"/>
      <c r="DV256" s="274"/>
      <c r="DW256" s="274"/>
      <c r="DX256" s="274"/>
      <c r="DY256" s="274"/>
      <c r="DZ256" s="274"/>
      <c r="EA256" s="274"/>
      <c r="EB256" s="274"/>
      <c r="EC256" s="274"/>
      <c r="ED256" s="39">
        <f t="shared" si="81"/>
        <v>165448.08000000002</v>
      </c>
      <c r="EE256" s="30">
        <f t="shared" si="82"/>
        <v>4</v>
      </c>
      <c r="EF256" s="39">
        <f t="shared" si="83"/>
        <v>41362.020000000004</v>
      </c>
    </row>
    <row r="257" spans="1:136" x14ac:dyDescent="0.25">
      <c r="A257" s="25" t="e">
        <f>#REF!</f>
        <v>#REF!</v>
      </c>
      <c r="B257" s="50" t="e">
        <f>#REF!</f>
        <v>#REF!</v>
      </c>
      <c r="C257" s="5" t="e">
        <f>#REF!</f>
        <v>#REF!</v>
      </c>
      <c r="D257" s="5" t="e">
        <f>#REF!</f>
        <v>#REF!</v>
      </c>
      <c r="E257" s="252">
        <v>1</v>
      </c>
      <c r="F257" s="249">
        <v>0</v>
      </c>
      <c r="G257" s="249">
        <v>0</v>
      </c>
      <c r="H257" s="249">
        <v>371676.66666666669</v>
      </c>
      <c r="I257" s="249">
        <v>0</v>
      </c>
      <c r="J257" s="249">
        <v>330444.88555555552</v>
      </c>
      <c r="K257" s="249">
        <v>267750</v>
      </c>
      <c r="L257" s="274">
        <f>AVERAGE(H257,J257)</f>
        <v>351060.7761111111</v>
      </c>
      <c r="M257" s="274">
        <f>K257*E1</f>
        <v>275782.5</v>
      </c>
      <c r="N257" s="255">
        <v>350000</v>
      </c>
      <c r="O257" s="135">
        <f t="shared" si="94"/>
        <v>66500</v>
      </c>
      <c r="P257" s="135">
        <f t="shared" si="95"/>
        <v>416500</v>
      </c>
      <c r="Q257" s="131"/>
      <c r="R257" s="131"/>
      <c r="S257" s="11"/>
      <c r="T257" s="274"/>
      <c r="U257" s="274"/>
      <c r="V257" s="274"/>
      <c r="W257" s="39"/>
      <c r="X257" s="11"/>
      <c r="Y257" s="11"/>
      <c r="Z257" s="274"/>
      <c r="AA257" s="274"/>
      <c r="AB257" s="274"/>
      <c r="AC257" s="52"/>
      <c r="AD257" s="22"/>
      <c r="AE257" s="39"/>
      <c r="AF257" s="274"/>
      <c r="AG257" s="274"/>
      <c r="AH257" s="171"/>
      <c r="AI257" s="4"/>
      <c r="AJ257" s="39"/>
      <c r="AK257" s="39"/>
      <c r="AL257" s="118"/>
      <c r="AM257" s="152"/>
      <c r="AN257" s="181"/>
      <c r="AO257" s="131"/>
      <c r="AP257" s="131"/>
      <c r="AQ257" s="39"/>
      <c r="AR257" s="274"/>
      <c r="AS257" s="274"/>
      <c r="AT257" s="274"/>
      <c r="AU257" s="39"/>
      <c r="AV257" s="39"/>
      <c r="AW257" s="39"/>
      <c r="AX257" s="274"/>
      <c r="AY257" s="274"/>
      <c r="AZ257" s="274"/>
      <c r="BA257" s="39"/>
      <c r="BB257" s="62"/>
      <c r="BC257" s="39"/>
      <c r="BD257" s="274"/>
      <c r="BE257" s="274"/>
      <c r="BF257" s="274"/>
      <c r="BG257" s="39"/>
      <c r="BH257" s="39"/>
      <c r="BI257" s="39"/>
      <c r="BJ257" s="274">
        <v>332800</v>
      </c>
      <c r="BK257" s="274">
        <f>+BJ257*0.19</f>
        <v>63232</v>
      </c>
      <c r="BL257" s="274">
        <f>+BJ257+BK257</f>
        <v>396032</v>
      </c>
      <c r="BM257" s="213" t="s">
        <v>4810</v>
      </c>
      <c r="BN257" s="213" t="s">
        <v>338</v>
      </c>
      <c r="BO257" s="39"/>
      <c r="BP257" s="274">
        <v>6800</v>
      </c>
      <c r="BQ257" s="274">
        <f t="shared" si="96"/>
        <v>1292</v>
      </c>
      <c r="BR257" s="274">
        <f t="shared" si="97"/>
        <v>8092</v>
      </c>
      <c r="BS257" s="39"/>
      <c r="BT257" s="39"/>
      <c r="BU257" s="39"/>
      <c r="BV257" s="219">
        <v>363556.04480000003</v>
      </c>
      <c r="BW257" s="219">
        <f>+BV257*0.19</f>
        <v>69075.648512</v>
      </c>
      <c r="BX257" s="273">
        <f>+BV257+BW257</f>
        <v>432631.69331200002</v>
      </c>
      <c r="BY257" s="213" t="s">
        <v>4810</v>
      </c>
      <c r="BZ257" s="213" t="s">
        <v>338</v>
      </c>
      <c r="CA257" s="213"/>
      <c r="CB257" s="274"/>
      <c r="CC257" s="274"/>
      <c r="CD257" s="274"/>
      <c r="CE257" s="39"/>
      <c r="CF257" s="39"/>
      <c r="CG257" s="39"/>
      <c r="CH257" s="274"/>
      <c r="CI257" s="274"/>
      <c r="CJ257" s="274"/>
      <c r="CK257" s="39"/>
      <c r="CL257" s="39"/>
      <c r="CM257" s="39"/>
      <c r="CN257" s="39"/>
      <c r="CO257" s="39"/>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274"/>
      <c r="DM257" s="274"/>
      <c r="DN257" s="274"/>
      <c r="DO257" s="274"/>
      <c r="DP257" s="274"/>
      <c r="DQ257" s="274"/>
      <c r="DR257" s="274"/>
      <c r="DS257" s="274"/>
      <c r="DT257" s="274"/>
      <c r="DU257" s="274"/>
      <c r="DV257" s="274"/>
      <c r="DW257" s="274"/>
      <c r="DX257" s="274"/>
      <c r="DY257" s="274"/>
      <c r="DZ257" s="274"/>
      <c r="EA257" s="274"/>
      <c r="EB257" s="274"/>
      <c r="EC257" s="274"/>
      <c r="ED257" s="39">
        <f t="shared" si="81"/>
        <v>1529038.193312</v>
      </c>
      <c r="EE257" s="30">
        <f t="shared" si="82"/>
        <v>5</v>
      </c>
      <c r="EF257" s="39">
        <f t="shared" si="83"/>
        <v>305807.63866240002</v>
      </c>
    </row>
    <row r="258" spans="1:136" ht="24" x14ac:dyDescent="0.25">
      <c r="A258" s="25" t="e">
        <f>#REF!</f>
        <v>#REF!</v>
      </c>
      <c r="B258" s="50" t="e">
        <f>#REF!</f>
        <v>#REF!</v>
      </c>
      <c r="C258" s="5" t="e">
        <f>#REF!</f>
        <v>#REF!</v>
      </c>
      <c r="D258" s="5" t="e">
        <f>#REF!</f>
        <v>#REF!</v>
      </c>
      <c r="E258" s="252">
        <v>1</v>
      </c>
      <c r="F258" s="249">
        <v>0</v>
      </c>
      <c r="G258" s="249">
        <v>0</v>
      </c>
      <c r="H258" s="249">
        <v>0</v>
      </c>
      <c r="I258" s="249">
        <v>0</v>
      </c>
      <c r="J258" s="249">
        <v>0</v>
      </c>
      <c r="K258" s="249">
        <v>0</v>
      </c>
      <c r="L258" s="274"/>
      <c r="M258" s="274"/>
      <c r="N258" s="255">
        <v>40000</v>
      </c>
      <c r="O258" s="135">
        <f t="shared" si="94"/>
        <v>7600</v>
      </c>
      <c r="P258" s="135">
        <f t="shared" si="95"/>
        <v>47600</v>
      </c>
      <c r="Q258" s="131"/>
      <c r="R258" s="131"/>
      <c r="S258" s="11"/>
      <c r="T258" s="274">
        <v>36300</v>
      </c>
      <c r="U258" s="274">
        <f>+T258*0.19</f>
        <v>6897</v>
      </c>
      <c r="V258" s="274">
        <f>+T258+U258</f>
        <v>43197</v>
      </c>
      <c r="W258" s="39" t="s">
        <v>510</v>
      </c>
      <c r="X258" s="11" t="s">
        <v>2956</v>
      </c>
      <c r="Y258" s="11"/>
      <c r="Z258" s="274"/>
      <c r="AA258" s="274"/>
      <c r="AB258" s="274"/>
      <c r="AC258" s="5"/>
      <c r="AD258" s="22"/>
      <c r="AE258" s="39"/>
      <c r="AF258" s="274"/>
      <c r="AG258" s="274"/>
      <c r="AH258" s="169"/>
      <c r="AI258" s="4"/>
      <c r="AJ258" s="39"/>
      <c r="AK258" s="39"/>
      <c r="AL258" s="118"/>
      <c r="AM258" s="152"/>
      <c r="AN258" s="181"/>
      <c r="AO258" s="131"/>
      <c r="AP258" s="131"/>
      <c r="AQ258" s="39"/>
      <c r="AR258" s="274"/>
      <c r="AS258" s="274"/>
      <c r="AT258" s="274"/>
      <c r="AU258" s="39"/>
      <c r="AV258" s="39"/>
      <c r="AW258" s="39"/>
      <c r="AX258" s="274"/>
      <c r="AY258" s="274"/>
      <c r="AZ258" s="274"/>
      <c r="BA258" s="39"/>
      <c r="BB258" s="62"/>
      <c r="BC258" s="39"/>
      <c r="BD258" s="274"/>
      <c r="BE258" s="274"/>
      <c r="BF258" s="274"/>
      <c r="BG258" s="39"/>
      <c r="BH258" s="39"/>
      <c r="BI258" s="39"/>
      <c r="BJ258" s="274">
        <f>666400/2</f>
        <v>333200</v>
      </c>
      <c r="BK258" s="274">
        <f>+BJ258*0.19</f>
        <v>63308</v>
      </c>
      <c r="BL258" s="274">
        <f>+BJ258+BK258</f>
        <v>396508</v>
      </c>
      <c r="BM258" s="213" t="s">
        <v>4811</v>
      </c>
      <c r="BN258" s="213" t="s">
        <v>4812</v>
      </c>
      <c r="BO258" s="39"/>
      <c r="BP258" s="274">
        <v>16500</v>
      </c>
      <c r="BQ258" s="274">
        <f t="shared" si="96"/>
        <v>3135</v>
      </c>
      <c r="BR258" s="274">
        <f t="shared" si="97"/>
        <v>19635</v>
      </c>
      <c r="BS258" s="39"/>
      <c r="BT258" s="39"/>
      <c r="BU258" s="39"/>
      <c r="BV258" s="219">
        <f>756537.264/2</f>
        <v>378268.63199999998</v>
      </c>
      <c r="BW258" s="219">
        <f>+BV258*0.19</f>
        <v>71871.040079999992</v>
      </c>
      <c r="BX258" s="273">
        <f>+BV258+BW258</f>
        <v>450139.67207999999</v>
      </c>
      <c r="BY258" s="213" t="s">
        <v>4811</v>
      </c>
      <c r="BZ258" s="213" t="s">
        <v>4812</v>
      </c>
      <c r="CA258" s="213"/>
      <c r="CB258" s="274"/>
      <c r="CC258" s="274"/>
      <c r="CD258" s="274"/>
      <c r="CE258" s="39"/>
      <c r="CF258" s="39"/>
      <c r="CG258" s="39"/>
      <c r="CH258" s="274"/>
      <c r="CI258" s="274"/>
      <c r="CJ258" s="274"/>
      <c r="CK258" s="39"/>
      <c r="CL258" s="39"/>
      <c r="CM258" s="39"/>
      <c r="CN258" s="39"/>
      <c r="CO258" s="39"/>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274"/>
      <c r="DM258" s="274"/>
      <c r="DN258" s="274"/>
      <c r="DO258" s="274"/>
      <c r="DP258" s="274"/>
      <c r="DQ258" s="274"/>
      <c r="DR258" s="274"/>
      <c r="DS258" s="274"/>
      <c r="DT258" s="274"/>
      <c r="DU258" s="274"/>
      <c r="DV258" s="274"/>
      <c r="DW258" s="274"/>
      <c r="DX258" s="274"/>
      <c r="DY258" s="274"/>
      <c r="DZ258" s="274"/>
      <c r="EA258" s="274"/>
      <c r="EB258" s="274"/>
      <c r="EC258" s="274"/>
      <c r="ED258" s="39">
        <f t="shared" si="81"/>
        <v>957079.67207999993</v>
      </c>
      <c r="EE258" s="30">
        <f t="shared" si="82"/>
        <v>5</v>
      </c>
      <c r="EF258" s="39">
        <f t="shared" si="83"/>
        <v>191415.93441599997</v>
      </c>
    </row>
    <row r="259" spans="1:136" x14ac:dyDescent="0.25">
      <c r="A259" s="25" t="e">
        <f>#REF!</f>
        <v>#REF!</v>
      </c>
      <c r="B259" s="50" t="e">
        <f>#REF!</f>
        <v>#REF!</v>
      </c>
      <c r="C259" s="5" t="e">
        <f>#REF!</f>
        <v>#REF!</v>
      </c>
      <c r="D259" s="5" t="e">
        <f>#REF!</f>
        <v>#REF!</v>
      </c>
      <c r="E259" s="252">
        <v>1</v>
      </c>
      <c r="F259" s="249">
        <v>13923</v>
      </c>
      <c r="G259" s="249">
        <v>13923</v>
      </c>
      <c r="H259" s="249">
        <v>19827.805691854759</v>
      </c>
      <c r="I259" s="249">
        <v>11424</v>
      </c>
      <c r="J259" s="249">
        <v>29664.716666666664</v>
      </c>
      <c r="K259" s="249">
        <v>0</v>
      </c>
      <c r="L259" s="274">
        <f>AVERAGE(F259,H259,J259)</f>
        <v>21138.507452840477</v>
      </c>
      <c r="M259" s="274">
        <f>AVERAGE(G259,I259)*E1</f>
        <v>13053.705</v>
      </c>
      <c r="N259" s="255">
        <v>10000</v>
      </c>
      <c r="O259" s="135">
        <f t="shared" si="94"/>
        <v>1900</v>
      </c>
      <c r="P259" s="135">
        <f t="shared" si="95"/>
        <v>11900</v>
      </c>
      <c r="Q259" s="131"/>
      <c r="R259" s="131"/>
      <c r="S259" s="11"/>
      <c r="T259" s="274">
        <v>12100.000000000002</v>
      </c>
      <c r="U259" s="274">
        <f>+T259*0.19</f>
        <v>2299.0000000000005</v>
      </c>
      <c r="V259" s="274">
        <f>+T259+U259</f>
        <v>14399.000000000002</v>
      </c>
      <c r="W259" s="39" t="s">
        <v>510</v>
      </c>
      <c r="X259" s="11" t="s">
        <v>164</v>
      </c>
      <c r="Y259" s="11"/>
      <c r="Z259" s="274"/>
      <c r="AA259" s="274"/>
      <c r="AB259" s="274"/>
      <c r="AC259" s="5"/>
      <c r="AD259" s="22"/>
      <c r="AE259" s="39"/>
      <c r="AF259" s="274"/>
      <c r="AG259" s="274"/>
      <c r="AH259" s="169"/>
      <c r="AI259" s="4"/>
      <c r="AJ259" s="39"/>
      <c r="AK259" s="39"/>
      <c r="AL259" s="118"/>
      <c r="AM259" s="152"/>
      <c r="AN259" s="181"/>
      <c r="AO259" s="131"/>
      <c r="AP259" s="131"/>
      <c r="AQ259" s="39"/>
      <c r="AR259" s="274">
        <v>6000</v>
      </c>
      <c r="AS259" s="274">
        <f>+AR259*0.19</f>
        <v>1140</v>
      </c>
      <c r="AT259" s="274">
        <f>+AR259+AS259</f>
        <v>7140</v>
      </c>
      <c r="AU259" s="39"/>
      <c r="AV259" s="39"/>
      <c r="AW259" s="39"/>
      <c r="AX259" s="274"/>
      <c r="AY259" s="274"/>
      <c r="AZ259" s="274"/>
      <c r="BA259" s="39"/>
      <c r="BB259" s="62"/>
      <c r="BC259" s="39"/>
      <c r="BD259" s="274"/>
      <c r="BE259" s="274"/>
      <c r="BF259" s="274"/>
      <c r="BG259" s="39"/>
      <c r="BH259" s="39"/>
      <c r="BI259" s="39"/>
      <c r="BJ259" s="274">
        <v>17000</v>
      </c>
      <c r="BK259" s="274">
        <f>+BJ259*0.19</f>
        <v>3230</v>
      </c>
      <c r="BL259" s="274">
        <f>+BJ259+BK259</f>
        <v>20230</v>
      </c>
      <c r="BM259" s="214" t="s">
        <v>445</v>
      </c>
      <c r="BN259" s="213" t="s">
        <v>4813</v>
      </c>
      <c r="BO259" s="39"/>
      <c r="BP259" s="274">
        <v>16500</v>
      </c>
      <c r="BQ259" s="274">
        <f t="shared" si="96"/>
        <v>3135</v>
      </c>
      <c r="BR259" s="274">
        <f t="shared" si="97"/>
        <v>19635</v>
      </c>
      <c r="BS259" s="39"/>
      <c r="BT259" s="39"/>
      <c r="BU259" s="39"/>
      <c r="BV259" s="219">
        <v>19304.775000000001</v>
      </c>
      <c r="BW259" s="219">
        <f>+BV259*0.19</f>
        <v>3667.9072500000002</v>
      </c>
      <c r="BX259" s="273">
        <f>+BV259+BW259</f>
        <v>22972.682250000002</v>
      </c>
      <c r="BY259" s="214" t="s">
        <v>445</v>
      </c>
      <c r="BZ259" s="213" t="s">
        <v>4813</v>
      </c>
      <c r="CA259" s="213"/>
      <c r="CB259" s="274"/>
      <c r="CC259" s="274"/>
      <c r="CD259" s="274"/>
      <c r="CE259" s="39"/>
      <c r="CF259" s="39"/>
      <c r="CG259" s="39"/>
      <c r="CH259" s="274"/>
      <c r="CI259" s="274"/>
      <c r="CJ259" s="274"/>
      <c r="CK259" s="39"/>
      <c r="CL259" s="39"/>
      <c r="CM259" s="39"/>
      <c r="CN259" s="39"/>
      <c r="CO259" s="39"/>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274"/>
      <c r="DM259" s="274"/>
      <c r="DN259" s="274"/>
      <c r="DO259" s="274"/>
      <c r="DP259" s="274"/>
      <c r="DQ259" s="274"/>
      <c r="DR259" s="274"/>
      <c r="DS259" s="274"/>
      <c r="DT259" s="274"/>
      <c r="DU259" s="274"/>
      <c r="DV259" s="274"/>
      <c r="DW259" s="274"/>
      <c r="DX259" s="274"/>
      <c r="DY259" s="274"/>
      <c r="DZ259" s="274"/>
      <c r="EA259" s="274"/>
      <c r="EB259" s="274"/>
      <c r="EC259" s="274"/>
      <c r="ED259" s="39">
        <f t="shared" ref="ED259:ED322" si="98">SUM(M259,P259,V259,AB259,AH259,AN259,AT259,AZ259,BF259,BL259,BR259,BX259,CD259,CJ259,CP259,CV259,DB259,DH259,DN259,DT259,DZ259)</f>
        <v>109330.38725</v>
      </c>
      <c r="EE259" s="30">
        <f t="shared" ref="EE259:EE322" si="99">COUNTA(M259,N259,T259,Z259,AF259,AL259,AR259,AX259,BD259,BJ259,BP259,BV259,CB259,CH259,CN259,CT259,CZ259,DF259,DL259,DR259,DX259)</f>
        <v>7</v>
      </c>
      <c r="EF259" s="39">
        <f t="shared" ref="EF259:EF322" si="100">IFERROR(ED259/EE259," ")</f>
        <v>15618.626749999999</v>
      </c>
    </row>
    <row r="260" spans="1:136" x14ac:dyDescent="0.25">
      <c r="A260" s="25" t="e">
        <f>#REF!</f>
        <v>#REF!</v>
      </c>
      <c r="B260" s="50" t="e">
        <f>#REF!</f>
        <v>#REF!</v>
      </c>
      <c r="C260" s="5" t="e">
        <f>#REF!</f>
        <v>#REF!</v>
      </c>
      <c r="D260" s="5" t="e">
        <f>#REF!</f>
        <v>#REF!</v>
      </c>
      <c r="E260" s="252">
        <v>1</v>
      </c>
      <c r="F260" s="249">
        <v>15291.5</v>
      </c>
      <c r="G260" s="249">
        <v>15232</v>
      </c>
      <c r="H260" s="249">
        <v>16501.333333333332</v>
      </c>
      <c r="I260" s="249">
        <v>0</v>
      </c>
      <c r="J260" s="249">
        <v>30372.766666666666</v>
      </c>
      <c r="K260" s="249">
        <v>29274</v>
      </c>
      <c r="L260" s="274">
        <f>AVERAGE(F260,H260,J260)</f>
        <v>20721.866666666665</v>
      </c>
      <c r="M260" s="274">
        <f>AVERAGE(G260,K260)*E1</f>
        <v>22920.59</v>
      </c>
      <c r="N260" s="255">
        <v>10000</v>
      </c>
      <c r="O260" s="135">
        <f t="shared" si="94"/>
        <v>1900</v>
      </c>
      <c r="P260" s="135">
        <f t="shared" si="95"/>
        <v>11900</v>
      </c>
      <c r="Q260" s="131"/>
      <c r="R260" s="131"/>
      <c r="S260" s="11"/>
      <c r="T260" s="274"/>
      <c r="U260" s="274"/>
      <c r="V260" s="274"/>
      <c r="W260" s="39"/>
      <c r="X260" s="11"/>
      <c r="Y260" s="11"/>
      <c r="Z260" s="274"/>
      <c r="AA260" s="274"/>
      <c r="AB260" s="274"/>
      <c r="AC260" s="5"/>
      <c r="AD260" s="22"/>
      <c r="AE260" s="39"/>
      <c r="AF260" s="274"/>
      <c r="AG260" s="274"/>
      <c r="AH260" s="169"/>
      <c r="AI260" s="22"/>
      <c r="AJ260" s="39"/>
      <c r="AK260" s="39"/>
      <c r="AL260" s="118"/>
      <c r="AM260" s="152"/>
      <c r="AN260" s="181"/>
      <c r="AO260" s="131"/>
      <c r="AP260" s="131"/>
      <c r="AQ260" s="39"/>
      <c r="AR260" s="274">
        <v>9000</v>
      </c>
      <c r="AS260" s="274">
        <f>+AR260*0.19</f>
        <v>1710</v>
      </c>
      <c r="AT260" s="274">
        <f>+AR260+AS260</f>
        <v>10710</v>
      </c>
      <c r="AU260" s="39"/>
      <c r="AV260" s="39"/>
      <c r="AW260" s="39"/>
      <c r="AX260" s="274"/>
      <c r="AY260" s="274"/>
      <c r="AZ260" s="274"/>
      <c r="BA260" s="39"/>
      <c r="BB260" s="62"/>
      <c r="BC260" s="39"/>
      <c r="BD260" s="274"/>
      <c r="BE260" s="274"/>
      <c r="BF260" s="274"/>
      <c r="BG260" s="39"/>
      <c r="BH260" s="39"/>
      <c r="BI260" s="39"/>
      <c r="BJ260" s="274">
        <v>32900</v>
      </c>
      <c r="BK260" s="274">
        <f>+BJ260*0.19</f>
        <v>6251</v>
      </c>
      <c r="BL260" s="274">
        <f>+BJ260+BK260</f>
        <v>39151</v>
      </c>
      <c r="BM260" s="214" t="s">
        <v>445</v>
      </c>
      <c r="BN260" s="213" t="s">
        <v>2944</v>
      </c>
      <c r="BO260" s="39"/>
      <c r="BP260" s="274">
        <v>8600</v>
      </c>
      <c r="BQ260" s="274">
        <f t="shared" si="96"/>
        <v>1634</v>
      </c>
      <c r="BR260" s="274">
        <f t="shared" si="97"/>
        <v>10234</v>
      </c>
      <c r="BS260" s="39"/>
      <c r="BT260" s="39"/>
      <c r="BU260" s="39"/>
      <c r="BV260" s="219">
        <v>36279.422200000008</v>
      </c>
      <c r="BW260" s="219">
        <f>+BV260*0.19</f>
        <v>6893.0902180000012</v>
      </c>
      <c r="BX260" s="273">
        <f>+BV260+BW260</f>
        <v>43172.512418000013</v>
      </c>
      <c r="BY260" s="214" t="s">
        <v>445</v>
      </c>
      <c r="BZ260" s="213" t="s">
        <v>2944</v>
      </c>
      <c r="CA260" s="213"/>
      <c r="CB260" s="274"/>
      <c r="CC260" s="274"/>
      <c r="CD260" s="274"/>
      <c r="CE260" s="39"/>
      <c r="CF260" s="39"/>
      <c r="CG260" s="39"/>
      <c r="CH260" s="274"/>
      <c r="CI260" s="274"/>
      <c r="CJ260" s="274"/>
      <c r="CK260" s="39"/>
      <c r="CL260" s="39"/>
      <c r="CM260" s="39"/>
      <c r="CN260" s="39"/>
      <c r="CO260" s="39"/>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274"/>
      <c r="DM260" s="274"/>
      <c r="DN260" s="274"/>
      <c r="DO260" s="274"/>
      <c r="DP260" s="274"/>
      <c r="DQ260" s="274"/>
      <c r="DR260" s="274"/>
      <c r="DS260" s="274"/>
      <c r="DT260" s="274"/>
      <c r="DU260" s="274"/>
      <c r="DV260" s="274"/>
      <c r="DW260" s="274"/>
      <c r="DX260" s="274"/>
      <c r="DY260" s="274"/>
      <c r="DZ260" s="274"/>
      <c r="EA260" s="274"/>
      <c r="EB260" s="274"/>
      <c r="EC260" s="274"/>
      <c r="ED260" s="39">
        <f t="shared" si="98"/>
        <v>138088.10241799999</v>
      </c>
      <c r="EE260" s="30">
        <f t="shared" si="99"/>
        <v>6</v>
      </c>
      <c r="EF260" s="39">
        <f t="shared" si="100"/>
        <v>23014.683736333332</v>
      </c>
    </row>
    <row r="261" spans="1:136" x14ac:dyDescent="0.25">
      <c r="A261" s="25" t="e">
        <f>#REF!</f>
        <v>#REF!</v>
      </c>
      <c r="B261" s="50" t="e">
        <f>#REF!</f>
        <v>#REF!</v>
      </c>
      <c r="C261" s="5" t="e">
        <f>#REF!</f>
        <v>#REF!</v>
      </c>
      <c r="D261" s="5" t="e">
        <f>#REF!</f>
        <v>#REF!</v>
      </c>
      <c r="E261" s="252">
        <v>1</v>
      </c>
      <c r="F261" s="249">
        <v>62594</v>
      </c>
      <c r="G261" s="249">
        <v>60690</v>
      </c>
      <c r="H261" s="249">
        <v>60095</v>
      </c>
      <c r="I261" s="249">
        <v>59976</v>
      </c>
      <c r="J261" s="249">
        <v>107257.47666666665</v>
      </c>
      <c r="K261" s="249">
        <v>71400</v>
      </c>
      <c r="L261" s="274">
        <f>AVERAGE(F261,H261,J261)</f>
        <v>76648.825555555552</v>
      </c>
      <c r="M261" s="274">
        <f>AVERAGE(G261,I261,K261)*E1</f>
        <v>65942.66</v>
      </c>
      <c r="N261" s="255"/>
      <c r="O261" s="135"/>
      <c r="P261" s="135"/>
      <c r="Q261" s="131"/>
      <c r="R261" s="131"/>
      <c r="S261" s="11"/>
      <c r="T261" s="274"/>
      <c r="U261" s="274"/>
      <c r="V261" s="274"/>
      <c r="W261" s="39"/>
      <c r="X261" s="11"/>
      <c r="Y261" s="11"/>
      <c r="Z261" s="274"/>
      <c r="AA261" s="274"/>
      <c r="AB261" s="274"/>
      <c r="AC261" s="54"/>
      <c r="AD261" s="22"/>
      <c r="AE261" s="39"/>
      <c r="AF261" s="274"/>
      <c r="AG261" s="274"/>
      <c r="AH261" s="172"/>
      <c r="AI261" s="4"/>
      <c r="AJ261" s="39"/>
      <c r="AK261" s="39"/>
      <c r="AL261" s="118"/>
      <c r="AM261" s="152"/>
      <c r="AN261" s="181"/>
      <c r="AO261" s="131"/>
      <c r="AP261" s="131"/>
      <c r="AQ261" s="39"/>
      <c r="AR261" s="274"/>
      <c r="AS261" s="274"/>
      <c r="AT261" s="274"/>
      <c r="AU261" s="39"/>
      <c r="AV261" s="39"/>
      <c r="AW261" s="39"/>
      <c r="AX261" s="274"/>
      <c r="AY261" s="274"/>
      <c r="AZ261" s="274"/>
      <c r="BA261" s="39"/>
      <c r="BB261" s="62"/>
      <c r="BC261" s="39"/>
      <c r="BD261" s="274"/>
      <c r="BE261" s="274"/>
      <c r="BF261" s="274"/>
      <c r="BG261" s="39"/>
      <c r="BH261" s="39"/>
      <c r="BI261" s="39"/>
      <c r="BJ261" s="274"/>
      <c r="BK261" s="274"/>
      <c r="BL261" s="274"/>
      <c r="BM261" s="213"/>
      <c r="BN261" s="213"/>
      <c r="BO261" s="39"/>
      <c r="BP261" s="274">
        <v>35600</v>
      </c>
      <c r="BQ261" s="274">
        <f t="shared" si="96"/>
        <v>6764</v>
      </c>
      <c r="BR261" s="274">
        <f t="shared" si="97"/>
        <v>42364</v>
      </c>
      <c r="BS261" s="39"/>
      <c r="BT261" s="39"/>
      <c r="BU261" s="39"/>
      <c r="BV261" s="212"/>
      <c r="BW261" s="221"/>
      <c r="BX261" s="273"/>
      <c r="BY261" s="213"/>
      <c r="BZ261" s="213"/>
      <c r="CA261" s="213"/>
      <c r="CB261" s="274"/>
      <c r="CC261" s="274"/>
      <c r="CD261" s="274"/>
      <c r="CE261" s="39"/>
      <c r="CF261" s="39"/>
      <c r="CG261" s="39"/>
      <c r="CH261" s="274"/>
      <c r="CI261" s="274"/>
      <c r="CJ261" s="274"/>
      <c r="CK261" s="39"/>
      <c r="CL261" s="39"/>
      <c r="CM261" s="39"/>
      <c r="CN261" s="39"/>
      <c r="CO261" s="39"/>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274"/>
      <c r="DM261" s="274"/>
      <c r="DN261" s="274"/>
      <c r="DO261" s="274"/>
      <c r="DP261" s="274"/>
      <c r="DQ261" s="274"/>
      <c r="DR261" s="274"/>
      <c r="DS261" s="274"/>
      <c r="DT261" s="274"/>
      <c r="DU261" s="274"/>
      <c r="DV261" s="274"/>
      <c r="DW261" s="274"/>
      <c r="DX261" s="274"/>
      <c r="DY261" s="274"/>
      <c r="DZ261" s="274"/>
      <c r="EA261" s="274"/>
      <c r="EB261" s="274"/>
      <c r="EC261" s="274"/>
      <c r="ED261" s="39">
        <f t="shared" si="98"/>
        <v>108306.66</v>
      </c>
      <c r="EE261" s="30">
        <f t="shared" si="99"/>
        <v>2</v>
      </c>
      <c r="EF261" s="39">
        <f t="shared" si="100"/>
        <v>54153.33</v>
      </c>
    </row>
    <row r="262" spans="1:136" x14ac:dyDescent="0.25">
      <c r="A262" s="25" t="e">
        <f>#REF!</f>
        <v>#REF!</v>
      </c>
      <c r="B262" s="50" t="e">
        <f>#REF!</f>
        <v>#REF!</v>
      </c>
      <c r="C262" s="5" t="e">
        <f>#REF!</f>
        <v>#REF!</v>
      </c>
      <c r="D262" s="5" t="e">
        <f>#REF!</f>
        <v>#REF!</v>
      </c>
      <c r="E262" s="252">
        <v>1</v>
      </c>
      <c r="F262" s="249">
        <v>42126</v>
      </c>
      <c r="G262" s="249">
        <v>0</v>
      </c>
      <c r="H262" s="249">
        <v>54779.666666666664</v>
      </c>
      <c r="I262" s="249">
        <v>54621</v>
      </c>
      <c r="J262" s="249">
        <v>0</v>
      </c>
      <c r="K262" s="249">
        <v>0</v>
      </c>
      <c r="L262" s="274">
        <f>AVERAGE(F262,H262)</f>
        <v>48452.833333333328</v>
      </c>
      <c r="M262" s="274">
        <f>I262*E1</f>
        <v>56259.630000000005</v>
      </c>
      <c r="N262" s="255"/>
      <c r="O262" s="135"/>
      <c r="P262" s="135"/>
      <c r="Q262" s="131"/>
      <c r="R262" s="131"/>
      <c r="S262" s="11"/>
      <c r="T262" s="274"/>
      <c r="U262" s="274"/>
      <c r="V262" s="274"/>
      <c r="W262" s="39"/>
      <c r="X262" s="11"/>
      <c r="Y262" s="11"/>
      <c r="Z262" s="274"/>
      <c r="AA262" s="274"/>
      <c r="AB262" s="274"/>
      <c r="AC262" s="54"/>
      <c r="AD262" s="22"/>
      <c r="AE262" s="39"/>
      <c r="AF262" s="274"/>
      <c r="AG262" s="274"/>
      <c r="AH262" s="172"/>
      <c r="AI262" s="4"/>
      <c r="AJ262" s="39"/>
      <c r="AK262" s="39"/>
      <c r="AL262" s="118"/>
      <c r="AM262" s="152"/>
      <c r="AN262" s="181"/>
      <c r="AO262" s="131"/>
      <c r="AP262" s="131"/>
      <c r="AQ262" s="39"/>
      <c r="AR262" s="274"/>
      <c r="AS262" s="274"/>
      <c r="AT262" s="274"/>
      <c r="AU262" s="39"/>
      <c r="AV262" s="39"/>
      <c r="AW262" s="39"/>
      <c r="AX262" s="274"/>
      <c r="AY262" s="274"/>
      <c r="AZ262" s="274"/>
      <c r="BA262" s="39"/>
      <c r="BB262" s="62"/>
      <c r="BC262" s="39"/>
      <c r="BD262" s="274"/>
      <c r="BE262" s="274"/>
      <c r="BF262" s="274"/>
      <c r="BG262" s="39"/>
      <c r="BH262" s="39"/>
      <c r="BI262" s="39"/>
      <c r="BJ262" s="274"/>
      <c r="BK262" s="274"/>
      <c r="BL262" s="274"/>
      <c r="BM262" s="213"/>
      <c r="BN262" s="213"/>
      <c r="BO262" s="39"/>
      <c r="BP262" s="274">
        <v>38600</v>
      </c>
      <c r="BQ262" s="274">
        <f t="shared" si="96"/>
        <v>7334</v>
      </c>
      <c r="BR262" s="274">
        <f t="shared" si="97"/>
        <v>45934</v>
      </c>
      <c r="BS262" s="39"/>
      <c r="BT262" s="39"/>
      <c r="BU262" s="39"/>
      <c r="BV262" s="212"/>
      <c r="BW262" s="221"/>
      <c r="BX262" s="273"/>
      <c r="BY262" s="213"/>
      <c r="BZ262" s="213"/>
      <c r="CA262" s="213"/>
      <c r="CB262" s="274"/>
      <c r="CC262" s="274"/>
      <c r="CD262" s="274"/>
      <c r="CE262" s="39"/>
      <c r="CF262" s="39"/>
      <c r="CG262" s="39"/>
      <c r="CH262" s="274"/>
      <c r="CI262" s="274"/>
      <c r="CJ262" s="274"/>
      <c r="CK262" s="39"/>
      <c r="CL262" s="39"/>
      <c r="CM262" s="39"/>
      <c r="CN262" s="39"/>
      <c r="CO262" s="39"/>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274"/>
      <c r="DM262" s="274"/>
      <c r="DN262" s="274"/>
      <c r="DO262" s="274"/>
      <c r="DP262" s="274"/>
      <c r="DQ262" s="274"/>
      <c r="DR262" s="274"/>
      <c r="DS262" s="274"/>
      <c r="DT262" s="274"/>
      <c r="DU262" s="274"/>
      <c r="DV262" s="274"/>
      <c r="DW262" s="274"/>
      <c r="DX262" s="274"/>
      <c r="DY262" s="274"/>
      <c r="DZ262" s="274"/>
      <c r="EA262" s="274"/>
      <c r="EB262" s="274"/>
      <c r="EC262" s="274"/>
      <c r="ED262" s="39">
        <f t="shared" si="98"/>
        <v>102193.63</v>
      </c>
      <c r="EE262" s="30">
        <f t="shared" si="99"/>
        <v>2</v>
      </c>
      <c r="EF262" s="39">
        <f t="shared" si="100"/>
        <v>51096.815000000002</v>
      </c>
    </row>
    <row r="263" spans="1:136" x14ac:dyDescent="0.25">
      <c r="A263" s="25" t="e">
        <f>#REF!</f>
        <v>#REF!</v>
      </c>
      <c r="B263" s="50" t="e">
        <f>#REF!</f>
        <v>#REF!</v>
      </c>
      <c r="C263" s="5" t="e">
        <f>#REF!</f>
        <v>#REF!</v>
      </c>
      <c r="D263" s="5" t="e">
        <f>#REF!</f>
        <v>#REF!</v>
      </c>
      <c r="E263" s="252">
        <v>1</v>
      </c>
      <c r="F263" s="249">
        <v>0</v>
      </c>
      <c r="G263" s="249">
        <v>0</v>
      </c>
      <c r="H263" s="249">
        <v>0</v>
      </c>
      <c r="I263" s="249">
        <v>0</v>
      </c>
      <c r="J263" s="249">
        <v>0</v>
      </c>
      <c r="K263" s="249">
        <v>0</v>
      </c>
      <c r="L263" s="274"/>
      <c r="M263" s="274"/>
      <c r="N263" s="255"/>
      <c r="O263" s="135"/>
      <c r="P263" s="135"/>
      <c r="Q263" s="131"/>
      <c r="R263" s="131"/>
      <c r="S263" s="11"/>
      <c r="T263" s="274"/>
      <c r="U263" s="274"/>
      <c r="V263" s="274"/>
      <c r="W263" s="39"/>
      <c r="X263" s="11"/>
      <c r="Y263" s="11"/>
      <c r="Z263" s="274"/>
      <c r="AA263" s="274"/>
      <c r="AB263" s="274"/>
      <c r="AC263" s="56"/>
      <c r="AD263" s="57"/>
      <c r="AE263" s="39"/>
      <c r="AF263" s="274"/>
      <c r="AG263" s="274"/>
      <c r="AH263" s="174"/>
      <c r="AI263" s="57"/>
      <c r="AJ263" s="39"/>
      <c r="AK263" s="39"/>
      <c r="AL263" s="118"/>
      <c r="AM263" s="152"/>
      <c r="AN263" s="181"/>
      <c r="AO263" s="131"/>
      <c r="AP263" s="131"/>
      <c r="AQ263" s="39"/>
      <c r="AR263" s="274"/>
      <c r="AS263" s="274"/>
      <c r="AT263" s="274"/>
      <c r="AU263" s="39"/>
      <c r="AV263" s="39"/>
      <c r="AW263" s="39"/>
      <c r="AX263" s="274"/>
      <c r="AY263" s="274"/>
      <c r="AZ263" s="274"/>
      <c r="BA263" s="39"/>
      <c r="BB263" s="62"/>
      <c r="BC263" s="39"/>
      <c r="BD263" s="274"/>
      <c r="BE263" s="274"/>
      <c r="BF263" s="274"/>
      <c r="BG263" s="39"/>
      <c r="BH263" s="39"/>
      <c r="BI263" s="39"/>
      <c r="BJ263" s="274"/>
      <c r="BK263" s="274"/>
      <c r="BL263" s="274"/>
      <c r="BM263" s="213"/>
      <c r="BN263" s="213"/>
      <c r="BO263" s="39"/>
      <c r="BP263" s="274">
        <v>465200</v>
      </c>
      <c r="BQ263" s="274">
        <f t="shared" si="96"/>
        <v>88388</v>
      </c>
      <c r="BR263" s="274">
        <f t="shared" si="97"/>
        <v>553588</v>
      </c>
      <c r="BS263" s="39"/>
      <c r="BT263" s="39"/>
      <c r="BU263" s="39"/>
      <c r="BV263" s="212"/>
      <c r="BW263" s="221"/>
      <c r="BX263" s="273"/>
      <c r="BY263" s="213"/>
      <c r="BZ263" s="213"/>
      <c r="CA263" s="213"/>
      <c r="CB263" s="274"/>
      <c r="CC263" s="274"/>
      <c r="CD263" s="274"/>
      <c r="CE263" s="39"/>
      <c r="CF263" s="39"/>
      <c r="CG263" s="39"/>
      <c r="CH263" s="274"/>
      <c r="CI263" s="274"/>
      <c r="CJ263" s="274"/>
      <c r="CK263" s="39"/>
      <c r="CL263" s="39"/>
      <c r="CM263" s="39"/>
      <c r="CN263" s="39"/>
      <c r="CO263" s="39"/>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274"/>
      <c r="DM263" s="274"/>
      <c r="DN263" s="274"/>
      <c r="DO263" s="274"/>
      <c r="DP263" s="274"/>
      <c r="DQ263" s="274"/>
      <c r="DR263" s="274"/>
      <c r="DS263" s="274"/>
      <c r="DT263" s="274"/>
      <c r="DU263" s="274"/>
      <c r="DV263" s="274"/>
      <c r="DW263" s="274"/>
      <c r="DX263" s="274"/>
      <c r="DY263" s="274"/>
      <c r="DZ263" s="274"/>
      <c r="EA263" s="274"/>
      <c r="EB263" s="274"/>
      <c r="EC263" s="274"/>
      <c r="ED263" s="39">
        <f t="shared" si="98"/>
        <v>553588</v>
      </c>
      <c r="EE263" s="30">
        <f t="shared" si="99"/>
        <v>1</v>
      </c>
      <c r="EF263" s="39">
        <f t="shared" si="100"/>
        <v>553588</v>
      </c>
    </row>
    <row r="264" spans="1:136" x14ac:dyDescent="0.25">
      <c r="A264" s="25" t="e">
        <f>#REF!</f>
        <v>#REF!</v>
      </c>
      <c r="B264" s="50" t="e">
        <f>#REF!</f>
        <v>#REF!</v>
      </c>
      <c r="C264" s="5" t="e">
        <f>#REF!</f>
        <v>#REF!</v>
      </c>
      <c r="D264" s="5" t="e">
        <f>#REF!</f>
        <v>#REF!</v>
      </c>
      <c r="E264" s="252">
        <v>1</v>
      </c>
      <c r="F264" s="249">
        <v>0</v>
      </c>
      <c r="G264" s="249">
        <v>0</v>
      </c>
      <c r="H264" s="249">
        <v>0</v>
      </c>
      <c r="I264" s="249">
        <v>0</v>
      </c>
      <c r="J264" s="249">
        <v>31336.666666666664</v>
      </c>
      <c r="K264" s="249">
        <v>0</v>
      </c>
      <c r="L264" s="274">
        <f>J264</f>
        <v>31336.666666666664</v>
      </c>
      <c r="M264" s="274"/>
      <c r="N264" s="255">
        <v>50000</v>
      </c>
      <c r="O264" s="135">
        <f>+N264*0.19</f>
        <v>9500</v>
      </c>
      <c r="P264" s="135">
        <f>+N264+O264</f>
        <v>59500</v>
      </c>
      <c r="Q264" s="131"/>
      <c r="R264" s="131"/>
      <c r="S264" s="11"/>
      <c r="T264" s="274"/>
      <c r="U264" s="274"/>
      <c r="V264" s="274"/>
      <c r="W264" s="39"/>
      <c r="X264" s="11"/>
      <c r="Y264" s="11"/>
      <c r="Z264" s="274"/>
      <c r="AA264" s="274"/>
      <c r="AB264" s="274"/>
      <c r="AC264" s="54"/>
      <c r="AD264" s="23"/>
      <c r="AE264" s="39"/>
      <c r="AF264" s="274"/>
      <c r="AG264" s="274"/>
      <c r="AH264" s="172"/>
      <c r="AI264" s="24"/>
      <c r="AJ264" s="39"/>
      <c r="AK264" s="39"/>
      <c r="AL264" s="118"/>
      <c r="AM264" s="152"/>
      <c r="AN264" s="181"/>
      <c r="AO264" s="131"/>
      <c r="AP264" s="131"/>
      <c r="AQ264" s="39"/>
      <c r="AR264" s="274"/>
      <c r="AS264" s="274"/>
      <c r="AT264" s="274"/>
      <c r="AU264" s="39"/>
      <c r="AV264" s="39"/>
      <c r="AW264" s="39"/>
      <c r="AX264" s="274"/>
      <c r="AY264" s="274"/>
      <c r="AZ264" s="274"/>
      <c r="BA264" s="39"/>
      <c r="BB264" s="62"/>
      <c r="BC264" s="39"/>
      <c r="BD264" s="274"/>
      <c r="BE264" s="274"/>
      <c r="BF264" s="274"/>
      <c r="BG264" s="39"/>
      <c r="BH264" s="39"/>
      <c r="BI264" s="39"/>
      <c r="BJ264" s="274"/>
      <c r="BK264" s="274"/>
      <c r="BL264" s="274"/>
      <c r="BM264" s="213"/>
      <c r="BN264" s="213"/>
      <c r="BO264" s="39"/>
      <c r="BP264" s="274"/>
      <c r="BQ264" s="274"/>
      <c r="BR264" s="274"/>
      <c r="BS264" s="39"/>
      <c r="BT264" s="39"/>
      <c r="BU264" s="39"/>
      <c r="BV264" s="212"/>
      <c r="BW264" s="221"/>
      <c r="BX264" s="273"/>
      <c r="BY264" s="213"/>
      <c r="BZ264" s="213"/>
      <c r="CA264" s="213"/>
      <c r="CB264" s="275"/>
      <c r="CC264" s="274"/>
      <c r="CD264" s="274"/>
      <c r="CE264" s="39"/>
      <c r="CF264" s="39"/>
      <c r="CG264" s="39"/>
      <c r="CH264" s="274"/>
      <c r="CI264" s="274"/>
      <c r="CJ264" s="274"/>
      <c r="CK264" s="39"/>
      <c r="CL264" s="39"/>
      <c r="CM264" s="39"/>
      <c r="CN264" s="39"/>
      <c r="CO264" s="39"/>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274"/>
      <c r="DM264" s="274"/>
      <c r="DN264" s="274"/>
      <c r="DO264" s="274"/>
      <c r="DP264" s="274"/>
      <c r="DQ264" s="274"/>
      <c r="DR264" s="274"/>
      <c r="DS264" s="274"/>
      <c r="DT264" s="274"/>
      <c r="DU264" s="274"/>
      <c r="DV264" s="274"/>
      <c r="DW264" s="274"/>
      <c r="DX264" s="274"/>
      <c r="DY264" s="274"/>
      <c r="DZ264" s="274"/>
      <c r="EA264" s="274"/>
      <c r="EB264" s="274"/>
      <c r="EC264" s="274"/>
      <c r="ED264" s="39">
        <f t="shared" si="98"/>
        <v>59500</v>
      </c>
      <c r="EE264" s="30">
        <f t="shared" si="99"/>
        <v>1</v>
      </c>
      <c r="EF264" s="39">
        <f t="shared" si="100"/>
        <v>59500</v>
      </c>
    </row>
    <row r="265" spans="1:136" x14ac:dyDescent="0.25">
      <c r="A265" s="25" t="e">
        <f>#REF!</f>
        <v>#REF!</v>
      </c>
      <c r="B265" s="50" t="e">
        <f>#REF!</f>
        <v>#REF!</v>
      </c>
      <c r="C265" s="5" t="e">
        <f>#REF!</f>
        <v>#REF!</v>
      </c>
      <c r="D265" s="5" t="e">
        <f>#REF!</f>
        <v>#REF!</v>
      </c>
      <c r="E265" s="252">
        <v>1</v>
      </c>
      <c r="F265" s="249">
        <v>0</v>
      </c>
      <c r="G265" s="249">
        <v>0</v>
      </c>
      <c r="H265" s="249">
        <v>413300</v>
      </c>
      <c r="I265" s="249">
        <v>0</v>
      </c>
      <c r="J265" s="249">
        <v>559300</v>
      </c>
      <c r="K265" s="249">
        <v>0</v>
      </c>
      <c r="L265" s="274">
        <f>AVERAGE(H265,J265)</f>
        <v>486300</v>
      </c>
      <c r="M265" s="274"/>
      <c r="N265" s="256">
        <v>350000</v>
      </c>
      <c r="O265" s="135">
        <f>+N265*0.19</f>
        <v>66500</v>
      </c>
      <c r="P265" s="135">
        <f>+N265+O265</f>
        <v>416500</v>
      </c>
      <c r="Q265" s="131"/>
      <c r="R265" s="131"/>
      <c r="S265" s="11"/>
      <c r="T265" s="274"/>
      <c r="U265" s="274"/>
      <c r="V265" s="274"/>
      <c r="W265" s="39"/>
      <c r="X265" s="11"/>
      <c r="Y265" s="11"/>
      <c r="Z265" s="274"/>
      <c r="AA265" s="274"/>
      <c r="AB265" s="274"/>
      <c r="AC265" s="52"/>
      <c r="AD265" s="22"/>
      <c r="AE265" s="39"/>
      <c r="AF265" s="274"/>
      <c r="AG265" s="274"/>
      <c r="AH265" s="171"/>
      <c r="AI265" s="22"/>
      <c r="AJ265" s="39"/>
      <c r="AK265" s="39"/>
      <c r="AL265" s="118"/>
      <c r="AM265" s="152"/>
      <c r="AN265" s="181"/>
      <c r="AO265" s="131"/>
      <c r="AP265" s="131"/>
      <c r="AQ265" s="39"/>
      <c r="AR265" s="274"/>
      <c r="AS265" s="274"/>
      <c r="AT265" s="274"/>
      <c r="AU265" s="39"/>
      <c r="AV265" s="39"/>
      <c r="AW265" s="39"/>
      <c r="AX265" s="275"/>
      <c r="AY265" s="274"/>
      <c r="AZ265" s="274"/>
      <c r="BA265" s="39"/>
      <c r="BB265" s="62"/>
      <c r="BC265" s="39"/>
      <c r="BD265" s="274"/>
      <c r="BE265" s="274"/>
      <c r="BF265" s="274"/>
      <c r="BG265" s="39"/>
      <c r="BH265" s="39"/>
      <c r="BI265" s="39"/>
      <c r="BJ265" s="274"/>
      <c r="BK265" s="274"/>
      <c r="BL265" s="274"/>
      <c r="BM265" s="213"/>
      <c r="BN265" s="213"/>
      <c r="BO265" s="39"/>
      <c r="BP265" s="274">
        <v>685200</v>
      </c>
      <c r="BQ265" s="274">
        <f t="shared" ref="BQ265:BQ270" si="101">+BP265*19%</f>
        <v>130188</v>
      </c>
      <c r="BR265" s="274">
        <f t="shared" ref="BR265:BR270" si="102">+BQ265+BP265</f>
        <v>815388</v>
      </c>
      <c r="BS265" s="39"/>
      <c r="BT265" s="39"/>
      <c r="BU265" s="39"/>
      <c r="BV265" s="212"/>
      <c r="BW265" s="221"/>
      <c r="BX265" s="273"/>
      <c r="BY265" s="213"/>
      <c r="BZ265" s="213"/>
      <c r="CA265" s="213"/>
      <c r="CB265" s="275"/>
      <c r="CC265" s="274"/>
      <c r="CD265" s="274"/>
      <c r="CE265" s="39"/>
      <c r="CF265" s="39"/>
      <c r="CG265" s="39"/>
      <c r="CH265" s="275"/>
      <c r="CI265" s="275"/>
      <c r="CJ265" s="275"/>
      <c r="CK265" s="39"/>
      <c r="CL265" s="39"/>
      <c r="CM265" s="39"/>
      <c r="CN265" s="39"/>
      <c r="CO265" s="39"/>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274"/>
      <c r="DM265" s="274"/>
      <c r="DN265" s="274"/>
      <c r="DO265" s="274"/>
      <c r="DP265" s="274"/>
      <c r="DQ265" s="274"/>
      <c r="DR265" s="274"/>
      <c r="DS265" s="274"/>
      <c r="DT265" s="274"/>
      <c r="DU265" s="274"/>
      <c r="DV265" s="274"/>
      <c r="DW265" s="274"/>
      <c r="DX265" s="274"/>
      <c r="DY265" s="274"/>
      <c r="DZ265" s="274"/>
      <c r="EA265" s="274"/>
      <c r="EB265" s="274"/>
      <c r="EC265" s="274"/>
      <c r="ED265" s="39">
        <f t="shared" si="98"/>
        <v>1231888</v>
      </c>
      <c r="EE265" s="30">
        <f t="shared" si="99"/>
        <v>2</v>
      </c>
      <c r="EF265" s="39">
        <f t="shared" si="100"/>
        <v>615944</v>
      </c>
    </row>
    <row r="266" spans="1:136" x14ac:dyDescent="0.25">
      <c r="A266" s="25" t="e">
        <f>#REF!</f>
        <v>#REF!</v>
      </c>
      <c r="B266" s="50" t="e">
        <f>#REF!</f>
        <v>#REF!</v>
      </c>
      <c r="C266" s="5" t="e">
        <f>#REF!</f>
        <v>#REF!</v>
      </c>
      <c r="D266" s="5" t="e">
        <f>#REF!</f>
        <v>#REF!</v>
      </c>
      <c r="E266" s="252">
        <v>1</v>
      </c>
      <c r="F266" s="249">
        <v>354025</v>
      </c>
      <c r="G266" s="249">
        <v>343315</v>
      </c>
      <c r="H266" s="249">
        <v>457195.35225</v>
      </c>
      <c r="I266" s="249">
        <v>457079</v>
      </c>
      <c r="J266" s="249">
        <v>360480.75</v>
      </c>
      <c r="K266" s="249">
        <v>359380</v>
      </c>
      <c r="L266" s="274">
        <f>AVERAGE(F266,H266,J266)</f>
        <v>390567.03408333333</v>
      </c>
      <c r="M266" s="274">
        <f>AVERAGE(G266,I266,K266)*E1</f>
        <v>398189.0733333333</v>
      </c>
      <c r="N266" s="256"/>
      <c r="O266" s="135"/>
      <c r="P266" s="135"/>
      <c r="Q266" s="131"/>
      <c r="R266" s="131"/>
      <c r="S266" s="11"/>
      <c r="T266" s="274"/>
      <c r="U266" s="274"/>
      <c r="V266" s="274"/>
      <c r="W266" s="39"/>
      <c r="X266" s="11"/>
      <c r="Y266" s="11"/>
      <c r="Z266" s="274"/>
      <c r="AA266" s="274"/>
      <c r="AB266" s="274"/>
      <c r="AC266" s="52"/>
      <c r="AD266" s="22"/>
      <c r="AE266" s="39"/>
      <c r="AF266" s="274"/>
      <c r="AG266" s="274"/>
      <c r="AH266" s="171"/>
      <c r="AI266" s="22"/>
      <c r="AJ266" s="39"/>
      <c r="AK266" s="39"/>
      <c r="AL266" s="118"/>
      <c r="AM266" s="152"/>
      <c r="AN266" s="181"/>
      <c r="AO266" s="131"/>
      <c r="AP266" s="131"/>
      <c r="AQ266" s="39"/>
      <c r="AR266" s="274"/>
      <c r="AS266" s="274"/>
      <c r="AT266" s="274"/>
      <c r="AU266" s="39"/>
      <c r="AV266" s="39"/>
      <c r="AW266" s="39"/>
      <c r="AX266" s="275"/>
      <c r="AY266" s="274"/>
      <c r="AZ266" s="274"/>
      <c r="BA266" s="39"/>
      <c r="BB266" s="62"/>
      <c r="BC266" s="39"/>
      <c r="BD266" s="274"/>
      <c r="BE266" s="274"/>
      <c r="BF266" s="274"/>
      <c r="BG266" s="39"/>
      <c r="BH266" s="39"/>
      <c r="BI266" s="39"/>
      <c r="BJ266" s="274"/>
      <c r="BK266" s="274"/>
      <c r="BL266" s="274"/>
      <c r="BM266" s="213"/>
      <c r="BN266" s="213"/>
      <c r="BO266" s="39"/>
      <c r="BP266" s="274">
        <v>135600</v>
      </c>
      <c r="BQ266" s="274">
        <f t="shared" si="101"/>
        <v>25764</v>
      </c>
      <c r="BR266" s="274">
        <f t="shared" si="102"/>
        <v>161364</v>
      </c>
      <c r="BS266" s="39"/>
      <c r="BT266" s="39"/>
      <c r="BU266" s="39"/>
      <c r="BV266" s="212"/>
      <c r="BW266" s="221"/>
      <c r="BX266" s="273"/>
      <c r="BY266" s="213"/>
      <c r="BZ266" s="213"/>
      <c r="CA266" s="213"/>
      <c r="CB266" s="275"/>
      <c r="CC266" s="274"/>
      <c r="CD266" s="274"/>
      <c r="CE266" s="39"/>
      <c r="CF266" s="39"/>
      <c r="CG266" s="39"/>
      <c r="CH266" s="275"/>
      <c r="CI266" s="275"/>
      <c r="CJ266" s="275"/>
      <c r="CK266" s="39"/>
      <c r="CL266" s="39"/>
      <c r="CM266" s="39"/>
      <c r="CN266" s="39"/>
      <c r="CO266" s="39"/>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274"/>
      <c r="DM266" s="274"/>
      <c r="DN266" s="274"/>
      <c r="DO266" s="274"/>
      <c r="DP266" s="274"/>
      <c r="DQ266" s="274"/>
      <c r="DR266" s="274"/>
      <c r="DS266" s="274"/>
      <c r="DT266" s="274"/>
      <c r="DU266" s="274"/>
      <c r="DV266" s="274"/>
      <c r="DW266" s="274"/>
      <c r="DX266" s="274"/>
      <c r="DY266" s="274"/>
      <c r="DZ266" s="274"/>
      <c r="EA266" s="274"/>
      <c r="EB266" s="274"/>
      <c r="EC266" s="274"/>
      <c r="ED266" s="39">
        <f t="shared" si="98"/>
        <v>559553.07333333325</v>
      </c>
      <c r="EE266" s="30">
        <f t="shared" si="99"/>
        <v>2</v>
      </c>
      <c r="EF266" s="39">
        <f t="shared" si="100"/>
        <v>279776.53666666662</v>
      </c>
    </row>
    <row r="267" spans="1:136" x14ac:dyDescent="0.25">
      <c r="A267" s="25" t="e">
        <f>#REF!</f>
        <v>#REF!</v>
      </c>
      <c r="B267" s="50" t="e">
        <f>#REF!</f>
        <v>#REF!</v>
      </c>
      <c r="C267" s="5" t="e">
        <f>#REF!</f>
        <v>#REF!</v>
      </c>
      <c r="D267" s="5" t="e">
        <f>#REF!</f>
        <v>#REF!</v>
      </c>
      <c r="E267" s="252">
        <v>1</v>
      </c>
      <c r="F267" s="249">
        <v>0</v>
      </c>
      <c r="G267" s="249">
        <v>0</v>
      </c>
      <c r="H267" s="249">
        <v>719950</v>
      </c>
      <c r="I267" s="249">
        <v>719831</v>
      </c>
      <c r="J267" s="249">
        <v>784717.5</v>
      </c>
      <c r="K267" s="249">
        <v>474810</v>
      </c>
      <c r="L267" s="274">
        <f>AVERAGE(H267,J267)</f>
        <v>752333.75</v>
      </c>
      <c r="M267" s="274">
        <f>AVERAGE(I267,K267)*E1</f>
        <v>615240.11499999999</v>
      </c>
      <c r="N267" s="256"/>
      <c r="O267" s="135"/>
      <c r="P267" s="135"/>
      <c r="Q267" s="131"/>
      <c r="R267" s="131"/>
      <c r="S267" s="11"/>
      <c r="T267" s="274"/>
      <c r="U267" s="274"/>
      <c r="V267" s="274"/>
      <c r="W267" s="39"/>
      <c r="X267" s="11"/>
      <c r="Y267" s="11"/>
      <c r="Z267" s="274"/>
      <c r="AA267" s="274"/>
      <c r="AB267" s="274"/>
      <c r="AC267" s="52"/>
      <c r="AD267" s="22"/>
      <c r="AE267" s="39"/>
      <c r="AF267" s="274"/>
      <c r="AG267" s="274"/>
      <c r="AH267" s="171"/>
      <c r="AI267" s="22"/>
      <c r="AJ267" s="39"/>
      <c r="AK267" s="39"/>
      <c r="AL267" s="228">
        <v>368553</v>
      </c>
      <c r="AM267" s="152">
        <f>+AL267*0.19</f>
        <v>70025.070000000007</v>
      </c>
      <c r="AN267" s="152">
        <f>+AL267+AM267</f>
        <v>438578.07</v>
      </c>
      <c r="AO267" s="130" t="s">
        <v>4814</v>
      </c>
      <c r="AP267" s="130" t="s">
        <v>2030</v>
      </c>
      <c r="AQ267" s="39"/>
      <c r="AR267" s="274"/>
      <c r="AS267" s="274"/>
      <c r="AT267" s="274"/>
      <c r="AU267" s="39"/>
      <c r="AV267" s="39"/>
      <c r="AW267" s="39"/>
      <c r="AX267" s="275"/>
      <c r="AY267" s="274"/>
      <c r="AZ267" s="274"/>
      <c r="BA267" s="39"/>
      <c r="BB267" s="62"/>
      <c r="BC267" s="39"/>
      <c r="BD267" s="274"/>
      <c r="BE267" s="274"/>
      <c r="BF267" s="274"/>
      <c r="BG267" s="39"/>
      <c r="BH267" s="39"/>
      <c r="BI267" s="39"/>
      <c r="BJ267" s="274"/>
      <c r="BK267" s="274"/>
      <c r="BL267" s="274"/>
      <c r="BM267" s="213"/>
      <c r="BN267" s="213"/>
      <c r="BO267" s="39"/>
      <c r="BP267" s="274">
        <v>185200</v>
      </c>
      <c r="BQ267" s="274">
        <f t="shared" si="101"/>
        <v>35188</v>
      </c>
      <c r="BR267" s="274">
        <f t="shared" si="102"/>
        <v>220388</v>
      </c>
      <c r="BS267" s="39"/>
      <c r="BT267" s="39"/>
      <c r="BU267" s="39"/>
      <c r="BV267" s="212"/>
      <c r="BW267" s="221"/>
      <c r="BX267" s="273"/>
      <c r="BY267" s="213"/>
      <c r="BZ267" s="213"/>
      <c r="CA267" s="213"/>
      <c r="CB267" s="275"/>
      <c r="CC267" s="274"/>
      <c r="CD267" s="274"/>
      <c r="CE267" s="39"/>
      <c r="CF267" s="39"/>
      <c r="CG267" s="39"/>
      <c r="CH267" s="275"/>
      <c r="CI267" s="275"/>
      <c r="CJ267" s="275"/>
      <c r="CK267" s="39"/>
      <c r="CL267" s="39"/>
      <c r="CM267" s="39"/>
      <c r="CN267" s="39"/>
      <c r="CO267" s="39"/>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274"/>
      <c r="DM267" s="274"/>
      <c r="DN267" s="274"/>
      <c r="DO267" s="274"/>
      <c r="DP267" s="274"/>
      <c r="DQ267" s="274"/>
      <c r="DR267" s="274"/>
      <c r="DS267" s="274"/>
      <c r="DT267" s="274"/>
      <c r="DU267" s="274"/>
      <c r="DV267" s="274"/>
      <c r="DW267" s="274"/>
      <c r="DX267" s="274"/>
      <c r="DY267" s="274"/>
      <c r="DZ267" s="274"/>
      <c r="EA267" s="274"/>
      <c r="EB267" s="274"/>
      <c r="EC267" s="274"/>
      <c r="ED267" s="39">
        <f t="shared" si="98"/>
        <v>1274206.1850000001</v>
      </c>
      <c r="EE267" s="30">
        <f t="shared" si="99"/>
        <v>3</v>
      </c>
      <c r="EF267" s="39">
        <f t="shared" si="100"/>
        <v>424735.39500000002</v>
      </c>
    </row>
    <row r="268" spans="1:136" x14ac:dyDescent="0.25">
      <c r="A268" s="25" t="e">
        <f>#REF!</f>
        <v>#REF!</v>
      </c>
      <c r="B268" s="50" t="e">
        <f>#REF!</f>
        <v>#REF!</v>
      </c>
      <c r="C268" s="5" t="e">
        <f>#REF!</f>
        <v>#REF!</v>
      </c>
      <c r="D268" s="5" t="e">
        <f>#REF!</f>
        <v>#REF!</v>
      </c>
      <c r="E268" s="252">
        <v>1</v>
      </c>
      <c r="F268" s="249">
        <v>0</v>
      </c>
      <c r="G268" s="249">
        <v>0</v>
      </c>
      <c r="H268" s="249">
        <v>142800</v>
      </c>
      <c r="I268" s="249">
        <v>0</v>
      </c>
      <c r="J268" s="249">
        <v>0</v>
      </c>
      <c r="K268" s="249">
        <v>0</v>
      </c>
      <c r="L268" s="274">
        <f>H268</f>
        <v>142800</v>
      </c>
      <c r="M268" s="274"/>
      <c r="N268" s="256"/>
      <c r="O268" s="135"/>
      <c r="P268" s="135"/>
      <c r="Q268" s="131"/>
      <c r="R268" s="131"/>
      <c r="S268" s="11"/>
      <c r="T268" s="274"/>
      <c r="U268" s="274"/>
      <c r="V268" s="274"/>
      <c r="W268" s="39"/>
      <c r="X268" s="11"/>
      <c r="Y268" s="11"/>
      <c r="Z268" s="274"/>
      <c r="AA268" s="274"/>
      <c r="AB268" s="274"/>
      <c r="AC268" s="52"/>
      <c r="AD268" s="22"/>
      <c r="AE268" s="39"/>
      <c r="AF268" s="274"/>
      <c r="AG268" s="274"/>
      <c r="AH268" s="171"/>
      <c r="AI268" s="22"/>
      <c r="AJ268" s="39"/>
      <c r="AK268" s="39"/>
      <c r="AL268" s="228">
        <v>1225500</v>
      </c>
      <c r="AM268" s="152">
        <f>+AL268*0.19</f>
        <v>232845</v>
      </c>
      <c r="AN268" s="152">
        <f>+AL268+AM268</f>
        <v>1458345</v>
      </c>
      <c r="AO268" s="130" t="s">
        <v>513</v>
      </c>
      <c r="AP268" s="130" t="s">
        <v>2030</v>
      </c>
      <c r="AQ268" s="39"/>
      <c r="AR268" s="274"/>
      <c r="AS268" s="274"/>
      <c r="AT268" s="274"/>
      <c r="AU268" s="39"/>
      <c r="AV268" s="39"/>
      <c r="AW268" s="39"/>
      <c r="AX268" s="275"/>
      <c r="AY268" s="274"/>
      <c r="AZ268" s="274"/>
      <c r="BA268" s="39"/>
      <c r="BB268" s="62"/>
      <c r="BC268" s="39"/>
      <c r="BD268" s="274"/>
      <c r="BE268" s="274"/>
      <c r="BF268" s="274"/>
      <c r="BG268" s="39"/>
      <c r="BH268" s="39"/>
      <c r="BI268" s="39"/>
      <c r="BJ268" s="274"/>
      <c r="BK268" s="274"/>
      <c r="BL268" s="274"/>
      <c r="BM268" s="213"/>
      <c r="BN268" s="213"/>
      <c r="BO268" s="39"/>
      <c r="BP268" s="274">
        <v>185200</v>
      </c>
      <c r="BQ268" s="274">
        <f t="shared" si="101"/>
        <v>35188</v>
      </c>
      <c r="BR268" s="274">
        <f t="shared" si="102"/>
        <v>220388</v>
      </c>
      <c r="BS268" s="39"/>
      <c r="BT268" s="39"/>
      <c r="BU268" s="39"/>
      <c r="BV268" s="212"/>
      <c r="BW268" s="221"/>
      <c r="BX268" s="273"/>
      <c r="BY268" s="213"/>
      <c r="BZ268" s="213"/>
      <c r="CA268" s="213"/>
      <c r="CB268" s="274"/>
      <c r="CC268" s="274"/>
      <c r="CD268" s="274"/>
      <c r="CE268" s="39"/>
      <c r="CF268" s="39"/>
      <c r="CG268" s="39"/>
      <c r="CH268" s="275"/>
      <c r="CI268" s="275"/>
      <c r="CJ268" s="275"/>
      <c r="CK268" s="39"/>
      <c r="CL268" s="39"/>
      <c r="CM268" s="39"/>
      <c r="CN268" s="39"/>
      <c r="CO268" s="39"/>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274"/>
      <c r="DM268" s="274"/>
      <c r="DN268" s="274"/>
      <c r="DO268" s="274"/>
      <c r="DP268" s="274"/>
      <c r="DQ268" s="274"/>
      <c r="DR268" s="274"/>
      <c r="DS268" s="274"/>
      <c r="DT268" s="274"/>
      <c r="DU268" s="274"/>
      <c r="DV268" s="274"/>
      <c r="DW268" s="274"/>
      <c r="DX268" s="274"/>
      <c r="DY268" s="274"/>
      <c r="DZ268" s="274"/>
      <c r="EA268" s="274"/>
      <c r="EB268" s="274"/>
      <c r="EC268" s="274"/>
      <c r="ED268" s="39">
        <f t="shared" si="98"/>
        <v>1678733</v>
      </c>
      <c r="EE268" s="30">
        <f t="shared" si="99"/>
        <v>2</v>
      </c>
      <c r="EF268" s="39">
        <f t="shared" si="100"/>
        <v>839366.5</v>
      </c>
    </row>
    <row r="269" spans="1:136" x14ac:dyDescent="0.25">
      <c r="A269" s="25" t="e">
        <f>#REF!</f>
        <v>#REF!</v>
      </c>
      <c r="B269" s="50" t="e">
        <f>#REF!</f>
        <v>#REF!</v>
      </c>
      <c r="C269" s="5" t="e">
        <f>#REF!</f>
        <v>#REF!</v>
      </c>
      <c r="D269" s="5" t="e">
        <f>#REF!</f>
        <v>#REF!</v>
      </c>
      <c r="E269" s="252">
        <v>1</v>
      </c>
      <c r="F269" s="249">
        <v>0</v>
      </c>
      <c r="G269" s="249">
        <v>0</v>
      </c>
      <c r="H269" s="249">
        <v>178500</v>
      </c>
      <c r="I269" s="249">
        <v>0</v>
      </c>
      <c r="J269" s="249">
        <v>0</v>
      </c>
      <c r="K269" s="249">
        <v>0</v>
      </c>
      <c r="L269" s="274">
        <f>H269</f>
        <v>178500</v>
      </c>
      <c r="M269" s="274"/>
      <c r="N269" s="255"/>
      <c r="O269" s="135"/>
      <c r="P269" s="135"/>
      <c r="Q269" s="131"/>
      <c r="R269" s="131"/>
      <c r="S269" s="11"/>
      <c r="T269" s="274"/>
      <c r="U269" s="274"/>
      <c r="V269" s="274"/>
      <c r="W269" s="39"/>
      <c r="X269" s="11"/>
      <c r="Y269" s="11"/>
      <c r="Z269" s="274"/>
      <c r="AA269" s="274"/>
      <c r="AB269" s="274"/>
      <c r="AC269" s="52"/>
      <c r="AD269" s="22"/>
      <c r="AE269" s="39"/>
      <c r="AF269" s="274"/>
      <c r="AG269" s="274"/>
      <c r="AH269" s="171"/>
      <c r="AI269" s="4"/>
      <c r="AJ269" s="39"/>
      <c r="AK269" s="39"/>
      <c r="AL269" s="228">
        <v>912503</v>
      </c>
      <c r="AM269" s="152">
        <f>+AL269*0.19</f>
        <v>173375.57</v>
      </c>
      <c r="AN269" s="152">
        <f>+AL269+AM269</f>
        <v>1085878.57</v>
      </c>
      <c r="AO269" s="130" t="s">
        <v>179</v>
      </c>
      <c r="AP269" s="130" t="s">
        <v>4815</v>
      </c>
      <c r="AQ269" s="39"/>
      <c r="AR269" s="274"/>
      <c r="AS269" s="274"/>
      <c r="AT269" s="274"/>
      <c r="AU269" s="39"/>
      <c r="AV269" s="39"/>
      <c r="AW269" s="39"/>
      <c r="AX269" s="274"/>
      <c r="AY269" s="274"/>
      <c r="AZ269" s="274"/>
      <c r="BA269" s="39"/>
      <c r="BB269" s="62"/>
      <c r="BC269" s="39"/>
      <c r="BD269" s="274"/>
      <c r="BE269" s="274"/>
      <c r="BF269" s="274"/>
      <c r="BG269" s="39"/>
      <c r="BH269" s="39"/>
      <c r="BI269" s="39"/>
      <c r="BJ269" s="274"/>
      <c r="BK269" s="274"/>
      <c r="BL269" s="274"/>
      <c r="BM269" s="213"/>
      <c r="BN269" s="213"/>
      <c r="BO269" s="39"/>
      <c r="BP269" s="274">
        <v>165200</v>
      </c>
      <c r="BQ269" s="274">
        <f t="shared" si="101"/>
        <v>31388</v>
      </c>
      <c r="BR269" s="274">
        <f t="shared" si="102"/>
        <v>196588</v>
      </c>
      <c r="BS269" s="39"/>
      <c r="BT269" s="39"/>
      <c r="BU269" s="39"/>
      <c r="BV269" s="212"/>
      <c r="BW269" s="221"/>
      <c r="BX269" s="273"/>
      <c r="BY269" s="213"/>
      <c r="BZ269" s="213"/>
      <c r="CA269" s="213"/>
      <c r="CB269" s="274"/>
      <c r="CC269" s="274"/>
      <c r="CD269" s="274"/>
      <c r="CE269" s="39"/>
      <c r="CF269" s="39"/>
      <c r="CG269" s="39"/>
      <c r="CH269" s="274"/>
      <c r="CI269" s="274"/>
      <c r="CJ269" s="274"/>
      <c r="CK269" s="39"/>
      <c r="CL269" s="39"/>
      <c r="CM269" s="39"/>
      <c r="CN269" s="39"/>
      <c r="CO269" s="39"/>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274"/>
      <c r="DM269" s="274"/>
      <c r="DN269" s="274"/>
      <c r="DO269" s="274"/>
      <c r="DP269" s="274"/>
      <c r="DQ269" s="274"/>
      <c r="DR269" s="274"/>
      <c r="DS269" s="274"/>
      <c r="DT269" s="274"/>
      <c r="DU269" s="274"/>
      <c r="DV269" s="274"/>
      <c r="DW269" s="274"/>
      <c r="DX269" s="274"/>
      <c r="DY269" s="274"/>
      <c r="DZ269" s="274"/>
      <c r="EA269" s="274"/>
      <c r="EB269" s="274"/>
      <c r="EC269" s="274"/>
      <c r="ED269" s="39">
        <f t="shared" si="98"/>
        <v>1282466.57</v>
      </c>
      <c r="EE269" s="30">
        <f t="shared" si="99"/>
        <v>2</v>
      </c>
      <c r="EF269" s="39">
        <f t="shared" si="100"/>
        <v>641233.28500000003</v>
      </c>
    </row>
    <row r="270" spans="1:136" x14ac:dyDescent="0.25">
      <c r="A270" s="25" t="e">
        <f>#REF!</f>
        <v>#REF!</v>
      </c>
      <c r="B270" s="50" t="e">
        <f>#REF!</f>
        <v>#REF!</v>
      </c>
      <c r="C270" s="5" t="e">
        <f>#REF!</f>
        <v>#REF!</v>
      </c>
      <c r="D270" s="5" t="e">
        <f>#REF!</f>
        <v>#REF!</v>
      </c>
      <c r="E270" s="252">
        <v>1</v>
      </c>
      <c r="F270" s="249">
        <v>0</v>
      </c>
      <c r="G270" s="249">
        <v>0</v>
      </c>
      <c r="H270" s="249">
        <v>214200</v>
      </c>
      <c r="I270" s="249">
        <v>0</v>
      </c>
      <c r="J270" s="249">
        <v>0</v>
      </c>
      <c r="K270" s="249">
        <v>0</v>
      </c>
      <c r="L270" s="274">
        <f>H270</f>
        <v>214200</v>
      </c>
      <c r="M270" s="274"/>
      <c r="N270" s="255"/>
      <c r="O270" s="135"/>
      <c r="P270" s="135"/>
      <c r="Q270" s="131"/>
      <c r="R270" s="131"/>
      <c r="S270" s="11"/>
      <c r="T270" s="274"/>
      <c r="U270" s="274"/>
      <c r="V270" s="274"/>
      <c r="W270" s="39"/>
      <c r="X270" s="11"/>
      <c r="Y270" s="11"/>
      <c r="Z270" s="274"/>
      <c r="AA270" s="274"/>
      <c r="AB270" s="274"/>
      <c r="AC270" s="52"/>
      <c r="AD270" s="22"/>
      <c r="AE270" s="39"/>
      <c r="AF270" s="274"/>
      <c r="AG270" s="274"/>
      <c r="AH270" s="171"/>
      <c r="AI270" s="4"/>
      <c r="AJ270" s="39"/>
      <c r="AK270" s="39"/>
      <c r="AL270" s="118"/>
      <c r="AM270" s="152"/>
      <c r="AN270" s="152"/>
      <c r="AO270" s="131"/>
      <c r="AP270" s="131"/>
      <c r="AQ270" s="39"/>
      <c r="AR270" s="274"/>
      <c r="AS270" s="274"/>
      <c r="AT270" s="274"/>
      <c r="AU270" s="39"/>
      <c r="AV270" s="39"/>
      <c r="AW270" s="39"/>
      <c r="AX270" s="274"/>
      <c r="AY270" s="274"/>
      <c r="AZ270" s="274"/>
      <c r="BA270" s="39"/>
      <c r="BB270" s="62"/>
      <c r="BC270" s="39"/>
      <c r="BD270" s="274"/>
      <c r="BE270" s="274"/>
      <c r="BF270" s="274"/>
      <c r="BG270" s="39"/>
      <c r="BH270" s="39"/>
      <c r="BI270" s="39"/>
      <c r="BJ270" s="274"/>
      <c r="BK270" s="274"/>
      <c r="BL270" s="274"/>
      <c r="BM270" s="213"/>
      <c r="BN270" s="213"/>
      <c r="BO270" s="39"/>
      <c r="BP270" s="274">
        <v>165200</v>
      </c>
      <c r="BQ270" s="274">
        <f t="shared" si="101"/>
        <v>31388</v>
      </c>
      <c r="BR270" s="274">
        <f t="shared" si="102"/>
        <v>196588</v>
      </c>
      <c r="BS270" s="39"/>
      <c r="BT270" s="39"/>
      <c r="BU270" s="39"/>
      <c r="BV270" s="212"/>
      <c r="BW270" s="221"/>
      <c r="BX270" s="273"/>
      <c r="BY270" s="213"/>
      <c r="BZ270" s="213"/>
      <c r="CA270" s="213"/>
      <c r="CB270" s="274"/>
      <c r="CC270" s="274"/>
      <c r="CD270" s="274"/>
      <c r="CE270" s="39"/>
      <c r="CF270" s="39"/>
      <c r="CG270" s="39"/>
      <c r="CH270" s="274"/>
      <c r="CI270" s="274"/>
      <c r="CJ270" s="274"/>
      <c r="CK270" s="39"/>
      <c r="CL270" s="39"/>
      <c r="CM270" s="39"/>
      <c r="CN270" s="39"/>
      <c r="CO270" s="39"/>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274"/>
      <c r="DM270" s="274"/>
      <c r="DN270" s="274"/>
      <c r="DO270" s="274"/>
      <c r="DP270" s="274"/>
      <c r="DQ270" s="274"/>
      <c r="DR270" s="274"/>
      <c r="DS270" s="274"/>
      <c r="DT270" s="274"/>
      <c r="DU270" s="274"/>
      <c r="DV270" s="274"/>
      <c r="DW270" s="274"/>
      <c r="DX270" s="274"/>
      <c r="DY270" s="274"/>
      <c r="DZ270" s="274"/>
      <c r="EA270" s="274"/>
      <c r="EB270" s="274"/>
      <c r="EC270" s="274"/>
      <c r="ED270" s="39">
        <f t="shared" si="98"/>
        <v>196588</v>
      </c>
      <c r="EE270" s="30">
        <f t="shared" si="99"/>
        <v>1</v>
      </c>
      <c r="EF270" s="39">
        <f t="shared" si="100"/>
        <v>196588</v>
      </c>
    </row>
    <row r="271" spans="1:136" x14ac:dyDescent="0.25">
      <c r="A271" s="25" t="e">
        <f>#REF!</f>
        <v>#REF!</v>
      </c>
      <c r="B271" s="50" t="e">
        <f>#REF!</f>
        <v>#REF!</v>
      </c>
      <c r="C271" s="5" t="e">
        <f>#REF!</f>
        <v>#REF!</v>
      </c>
      <c r="D271" s="5" t="e">
        <f>#REF!</f>
        <v>#REF!</v>
      </c>
      <c r="E271" s="252">
        <v>1</v>
      </c>
      <c r="F271" s="249">
        <v>0</v>
      </c>
      <c r="G271" s="249">
        <v>0</v>
      </c>
      <c r="H271" s="249">
        <v>214200</v>
      </c>
      <c r="I271" s="249">
        <v>0</v>
      </c>
      <c r="J271" s="249">
        <v>0</v>
      </c>
      <c r="K271" s="249">
        <v>0</v>
      </c>
      <c r="L271" s="274">
        <f>H271</f>
        <v>214200</v>
      </c>
      <c r="M271" s="274"/>
      <c r="N271" s="255"/>
      <c r="O271" s="135"/>
      <c r="P271" s="135"/>
      <c r="Q271" s="131"/>
      <c r="R271" s="131"/>
      <c r="S271" s="11"/>
      <c r="T271" s="274"/>
      <c r="U271" s="274"/>
      <c r="V271" s="274"/>
      <c r="W271" s="39"/>
      <c r="X271" s="11"/>
      <c r="Y271" s="11"/>
      <c r="Z271" s="274"/>
      <c r="AA271" s="274"/>
      <c r="AB271" s="274"/>
      <c r="AC271" s="52"/>
      <c r="AD271" s="22"/>
      <c r="AE271" s="39"/>
      <c r="AF271" s="274"/>
      <c r="AG271" s="274"/>
      <c r="AH271" s="171"/>
      <c r="AI271" s="4"/>
      <c r="AJ271" s="39"/>
      <c r="AK271" s="39"/>
      <c r="AL271" s="118"/>
      <c r="AM271" s="152"/>
      <c r="AN271" s="152"/>
      <c r="AO271" s="131"/>
      <c r="AP271" s="131"/>
      <c r="AQ271" s="39"/>
      <c r="AR271" s="274"/>
      <c r="AS271" s="274"/>
      <c r="AT271" s="274"/>
      <c r="AU271" s="39"/>
      <c r="AV271" s="39"/>
      <c r="AW271" s="39"/>
      <c r="AX271" s="274"/>
      <c r="AY271" s="274"/>
      <c r="AZ271" s="274"/>
      <c r="BA271" s="39"/>
      <c r="BB271" s="62"/>
      <c r="BC271" s="39"/>
      <c r="BD271" s="274"/>
      <c r="BE271" s="274"/>
      <c r="BF271" s="274"/>
      <c r="BG271" s="39"/>
      <c r="BH271" s="39"/>
      <c r="BI271" s="39"/>
      <c r="BJ271" s="274"/>
      <c r="BK271" s="274"/>
      <c r="BL271" s="274"/>
      <c r="BM271" s="213"/>
      <c r="BN271" s="213"/>
      <c r="BO271" s="39"/>
      <c r="BP271" s="274"/>
      <c r="BQ271" s="274"/>
      <c r="BR271" s="274"/>
      <c r="BS271" s="39"/>
      <c r="BT271" s="39"/>
      <c r="BU271" s="39"/>
      <c r="BV271" s="212"/>
      <c r="BW271" s="221"/>
      <c r="BX271" s="273"/>
      <c r="BY271" s="213"/>
      <c r="BZ271" s="213"/>
      <c r="CA271" s="213"/>
      <c r="CB271" s="274"/>
      <c r="CC271" s="274">
        <f>+CB271*0.19</f>
        <v>0</v>
      </c>
      <c r="CD271" s="274">
        <f>+CB271+CC271</f>
        <v>0</v>
      </c>
      <c r="CE271" s="39"/>
      <c r="CF271" s="39"/>
      <c r="CG271" s="39"/>
      <c r="CH271" s="274"/>
      <c r="CI271" s="274"/>
      <c r="CJ271" s="274"/>
      <c r="CK271" s="39"/>
      <c r="CL271" s="39"/>
      <c r="CM271" s="39"/>
      <c r="CN271" s="39"/>
      <c r="CO271" s="39"/>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274"/>
      <c r="DM271" s="274"/>
      <c r="DN271" s="274"/>
      <c r="DO271" s="274"/>
      <c r="DP271" s="274"/>
      <c r="DQ271" s="274"/>
      <c r="DR271" s="274"/>
      <c r="DS271" s="274"/>
      <c r="DT271" s="274"/>
      <c r="DU271" s="274"/>
      <c r="DV271" s="274"/>
      <c r="DW271" s="274"/>
      <c r="DX271" s="274"/>
      <c r="DY271" s="274"/>
      <c r="DZ271" s="274"/>
      <c r="EA271" s="274"/>
      <c r="EB271" s="274"/>
      <c r="EC271" s="274"/>
      <c r="ED271" s="39">
        <f t="shared" si="98"/>
        <v>0</v>
      </c>
      <c r="EE271" s="30">
        <f t="shared" si="99"/>
        <v>0</v>
      </c>
      <c r="EF271" s="39" t="str">
        <f t="shared" si="100"/>
        <v xml:space="preserve"> </v>
      </c>
    </row>
    <row r="272" spans="1:136" x14ac:dyDescent="0.25">
      <c r="A272" s="25" t="e">
        <f>#REF!</f>
        <v>#REF!</v>
      </c>
      <c r="B272" s="50" t="e">
        <f>#REF!</f>
        <v>#REF!</v>
      </c>
      <c r="C272" s="5" t="e">
        <f>#REF!</f>
        <v>#REF!</v>
      </c>
      <c r="D272" s="5" t="e">
        <f>#REF!</f>
        <v>#REF!</v>
      </c>
      <c r="E272" s="252">
        <v>1</v>
      </c>
      <c r="F272" s="249">
        <v>0</v>
      </c>
      <c r="G272" s="249">
        <v>0</v>
      </c>
      <c r="H272" s="249">
        <v>0</v>
      </c>
      <c r="I272" s="249">
        <v>0</v>
      </c>
      <c r="J272" s="249">
        <v>3673975.853333333</v>
      </c>
      <c r="K272" s="249">
        <v>3439100</v>
      </c>
      <c r="L272" s="274">
        <f>J272</f>
        <v>3673975.853333333</v>
      </c>
      <c r="M272" s="274">
        <f>K272*E1</f>
        <v>3542273</v>
      </c>
      <c r="N272" s="255"/>
      <c r="O272" s="135"/>
      <c r="P272" s="135"/>
      <c r="Q272" s="131"/>
      <c r="R272" s="131"/>
      <c r="S272" s="11"/>
      <c r="T272" s="274"/>
      <c r="U272" s="274"/>
      <c r="V272" s="274"/>
      <c r="W272" s="39"/>
      <c r="X272" s="11"/>
      <c r="Y272" s="11"/>
      <c r="Z272" s="274"/>
      <c r="AA272" s="274"/>
      <c r="AB272" s="274"/>
      <c r="AC272" s="52"/>
      <c r="AD272" s="22"/>
      <c r="AE272" s="39"/>
      <c r="AF272" s="274"/>
      <c r="AG272" s="274"/>
      <c r="AH272" s="171"/>
      <c r="AI272" s="22"/>
      <c r="AJ272" s="39"/>
      <c r="AK272" s="39"/>
      <c r="AL272" s="118"/>
      <c r="AM272" s="152"/>
      <c r="AN272" s="181"/>
      <c r="AO272" s="131"/>
      <c r="AP272" s="131"/>
      <c r="AQ272" s="39"/>
      <c r="AR272" s="274"/>
      <c r="AS272" s="274"/>
      <c r="AT272" s="274"/>
      <c r="AU272" s="39"/>
      <c r="AV272" s="39"/>
      <c r="AW272" s="39"/>
      <c r="AX272" s="274"/>
      <c r="AY272" s="274"/>
      <c r="AZ272" s="274"/>
      <c r="BA272" s="39"/>
      <c r="BB272" s="62"/>
      <c r="BC272" s="39"/>
      <c r="BD272" s="274"/>
      <c r="BE272" s="274"/>
      <c r="BF272" s="274"/>
      <c r="BG272" s="39"/>
      <c r="BH272" s="39"/>
      <c r="BI272" s="39"/>
      <c r="BJ272" s="274"/>
      <c r="BK272" s="274"/>
      <c r="BL272" s="274"/>
      <c r="BM272" s="213"/>
      <c r="BN272" s="213"/>
      <c r="BO272" s="39"/>
      <c r="BP272" s="274">
        <v>165000</v>
      </c>
      <c r="BQ272" s="274">
        <f>+BP272*19%</f>
        <v>31350</v>
      </c>
      <c r="BR272" s="274">
        <f>+BQ272+BP272</f>
        <v>196350</v>
      </c>
      <c r="BS272" s="39"/>
      <c r="BT272" s="39"/>
      <c r="BU272" s="39"/>
      <c r="BV272" s="212"/>
      <c r="BW272" s="221"/>
      <c r="BX272" s="273"/>
      <c r="BY272" s="213"/>
      <c r="BZ272" s="213"/>
      <c r="CA272" s="213"/>
      <c r="CB272" s="275">
        <v>701106</v>
      </c>
      <c r="CC272" s="274">
        <f>+CB272*0.19</f>
        <v>133210.14000000001</v>
      </c>
      <c r="CD272" s="274">
        <f>+CB272+CC272</f>
        <v>834316.14</v>
      </c>
      <c r="CE272" s="39"/>
      <c r="CF272" s="39"/>
      <c r="CG272" s="39"/>
      <c r="CH272" s="274">
        <v>670000</v>
      </c>
      <c r="CI272" s="274">
        <f>CH272*19%</f>
        <v>127300</v>
      </c>
      <c r="CJ272" s="274">
        <f>CH272+CI272</f>
        <v>797300</v>
      </c>
      <c r="CK272" s="39"/>
      <c r="CL272" s="39"/>
      <c r="CM272" s="39"/>
      <c r="CN272" s="39"/>
      <c r="CO272" s="39"/>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274"/>
      <c r="DM272" s="274"/>
      <c r="DN272" s="274"/>
      <c r="DO272" s="274"/>
      <c r="DP272" s="274"/>
      <c r="DQ272" s="274"/>
      <c r="DR272" s="274"/>
      <c r="DS272" s="274"/>
      <c r="DT272" s="274"/>
      <c r="DU272" s="274"/>
      <c r="DV272" s="274"/>
      <c r="DW272" s="274"/>
      <c r="DX272" s="274"/>
      <c r="DY272" s="274"/>
      <c r="DZ272" s="274"/>
      <c r="EA272" s="274"/>
      <c r="EB272" s="274"/>
      <c r="EC272" s="274"/>
      <c r="ED272" s="39">
        <f t="shared" si="98"/>
        <v>5370239.1399999997</v>
      </c>
      <c r="EE272" s="30">
        <f t="shared" si="99"/>
        <v>4</v>
      </c>
      <c r="EF272" s="39">
        <f t="shared" si="100"/>
        <v>1342559.7849999999</v>
      </c>
    </row>
    <row r="273" spans="1:136" ht="38.25" x14ac:dyDescent="0.25">
      <c r="A273" s="25" t="e">
        <f>#REF!</f>
        <v>#REF!</v>
      </c>
      <c r="B273" s="50" t="e">
        <f>#REF!</f>
        <v>#REF!</v>
      </c>
      <c r="C273" s="5" t="e">
        <f>#REF!</f>
        <v>#REF!</v>
      </c>
      <c r="D273" s="5" t="e">
        <f>#REF!</f>
        <v>#REF!</v>
      </c>
      <c r="E273" s="252">
        <v>1</v>
      </c>
      <c r="F273" s="249">
        <v>0</v>
      </c>
      <c r="G273" s="249">
        <v>0</v>
      </c>
      <c r="H273" s="249">
        <v>0</v>
      </c>
      <c r="I273" s="249">
        <v>0</v>
      </c>
      <c r="J273" s="249">
        <v>0</v>
      </c>
      <c r="K273" s="249">
        <v>0</v>
      </c>
      <c r="L273" s="274"/>
      <c r="M273" s="274"/>
      <c r="N273" s="256"/>
      <c r="O273" s="135"/>
      <c r="P273" s="135"/>
      <c r="Q273" s="131"/>
      <c r="R273" s="131"/>
      <c r="S273" s="11"/>
      <c r="T273" s="274"/>
      <c r="U273" s="274"/>
      <c r="V273" s="274"/>
      <c r="W273" s="39"/>
      <c r="X273" s="11"/>
      <c r="Y273" s="11"/>
      <c r="Z273" s="274">
        <f>+(382000/30)*100</f>
        <v>1273333.3333333335</v>
      </c>
      <c r="AA273" s="274">
        <f>+Z273*0.19</f>
        <v>241933.33333333337</v>
      </c>
      <c r="AB273" s="274">
        <f>+Z273+AA273</f>
        <v>1515266.666666667</v>
      </c>
      <c r="AC273" s="54" t="s">
        <v>4816</v>
      </c>
      <c r="AD273" s="23" t="s">
        <v>35</v>
      </c>
      <c r="AE273" s="39"/>
      <c r="AF273" s="274"/>
      <c r="AG273" s="274"/>
      <c r="AH273" s="172"/>
      <c r="AI273" s="24"/>
      <c r="AJ273" s="39"/>
      <c r="AK273" s="39"/>
      <c r="AL273" s="118"/>
      <c r="AM273" s="152"/>
      <c r="AN273" s="181"/>
      <c r="AO273" s="131"/>
      <c r="AP273" s="131"/>
      <c r="AQ273" s="39"/>
      <c r="AR273" s="274"/>
      <c r="AS273" s="274"/>
      <c r="AT273" s="274"/>
      <c r="AU273" s="39"/>
      <c r="AV273" s="39"/>
      <c r="AW273" s="39"/>
      <c r="AX273" s="275"/>
      <c r="AY273" s="274"/>
      <c r="AZ273" s="274"/>
      <c r="BA273" s="39"/>
      <c r="BB273" s="62"/>
      <c r="BC273" s="39"/>
      <c r="BD273" s="227">
        <f>+(324388/45)*100</f>
        <v>720862.22222222225</v>
      </c>
      <c r="BE273" s="274">
        <f>+BD273*0.19</f>
        <v>136963.82222222222</v>
      </c>
      <c r="BF273" s="274">
        <f>+BD273+BE273</f>
        <v>857826.04444444447</v>
      </c>
      <c r="BG273" s="209" t="s">
        <v>4817</v>
      </c>
      <c r="BH273" s="207" t="s">
        <v>4818</v>
      </c>
      <c r="BI273" s="5" t="s">
        <v>4819</v>
      </c>
      <c r="BJ273" s="274"/>
      <c r="BK273" s="274"/>
      <c r="BL273" s="274"/>
      <c r="BM273" s="213"/>
      <c r="BN273" s="213"/>
      <c r="BO273" s="39"/>
      <c r="BP273" s="274">
        <v>165000</v>
      </c>
      <c r="BQ273" s="274">
        <f>+BP273*19%</f>
        <v>31350</v>
      </c>
      <c r="BR273" s="274">
        <f>+BQ273+BP273</f>
        <v>196350</v>
      </c>
      <c r="BS273" s="39"/>
      <c r="BT273" s="39"/>
      <c r="BU273" s="39"/>
      <c r="BV273" s="212"/>
      <c r="BW273" s="221"/>
      <c r="BX273" s="273"/>
      <c r="BY273" s="213"/>
      <c r="BZ273" s="213"/>
      <c r="CA273" s="213"/>
      <c r="CB273" s="274"/>
      <c r="CC273" s="274"/>
      <c r="CD273" s="274"/>
      <c r="CE273" s="39"/>
      <c r="CF273" s="39"/>
      <c r="CG273" s="39"/>
      <c r="CH273" s="275">
        <v>317000</v>
      </c>
      <c r="CI273" s="274">
        <f>CH273*19%</f>
        <v>60230</v>
      </c>
      <c r="CJ273" s="274">
        <f>CH273+CI273</f>
        <v>377230</v>
      </c>
      <c r="CK273" s="39"/>
      <c r="CL273" s="39"/>
      <c r="CM273" s="39"/>
      <c r="CN273" s="39"/>
      <c r="CO273" s="39"/>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274"/>
      <c r="DM273" s="274"/>
      <c r="DN273" s="274"/>
      <c r="DO273" s="274"/>
      <c r="DP273" s="274"/>
      <c r="DQ273" s="274"/>
      <c r="DR273" s="274"/>
      <c r="DS273" s="274"/>
      <c r="DT273" s="274"/>
      <c r="DU273" s="274"/>
      <c r="DV273" s="274"/>
      <c r="DW273" s="274"/>
      <c r="DX273" s="274"/>
      <c r="DY273" s="274"/>
      <c r="DZ273" s="274"/>
      <c r="EA273" s="274"/>
      <c r="EB273" s="274"/>
      <c r="EC273" s="274"/>
      <c r="ED273" s="39">
        <f t="shared" si="98"/>
        <v>2946672.7111111116</v>
      </c>
      <c r="EE273" s="30">
        <f t="shared" si="99"/>
        <v>4</v>
      </c>
      <c r="EF273" s="39">
        <f t="shared" si="100"/>
        <v>736668.17777777789</v>
      </c>
    </row>
    <row r="274" spans="1:136" ht="38.25" x14ac:dyDescent="0.25">
      <c r="A274" s="25" t="e">
        <f>#REF!</f>
        <v>#REF!</v>
      </c>
      <c r="B274" s="50" t="e">
        <f>#REF!</f>
        <v>#REF!</v>
      </c>
      <c r="C274" s="5" t="e">
        <f>#REF!</f>
        <v>#REF!</v>
      </c>
      <c r="D274" s="5" t="e">
        <f>#REF!</f>
        <v>#REF!</v>
      </c>
      <c r="E274" s="252">
        <v>1</v>
      </c>
      <c r="F274" s="249">
        <v>0</v>
      </c>
      <c r="G274" s="249">
        <v>0</v>
      </c>
      <c r="H274" s="249">
        <v>0</v>
      </c>
      <c r="I274" s="249">
        <v>0</v>
      </c>
      <c r="J274" s="249">
        <v>651168</v>
      </c>
      <c r="K274" s="249">
        <v>0</v>
      </c>
      <c r="L274" s="274">
        <f>J274</f>
        <v>651168</v>
      </c>
      <c r="M274" s="274"/>
      <c r="N274" s="255"/>
      <c r="O274" s="135"/>
      <c r="P274" s="135"/>
      <c r="Q274" s="131"/>
      <c r="R274" s="131"/>
      <c r="S274" s="11"/>
      <c r="T274" s="274"/>
      <c r="U274" s="274"/>
      <c r="V274" s="274"/>
      <c r="W274" s="39"/>
      <c r="X274" s="11"/>
      <c r="Y274" s="11"/>
      <c r="Z274" s="274">
        <f>+(547200/75)*50</f>
        <v>364800</v>
      </c>
      <c r="AA274" s="274">
        <f>+Z274*0.19</f>
        <v>69312</v>
      </c>
      <c r="AB274" s="274">
        <f>+Z274+AA274</f>
        <v>434112</v>
      </c>
      <c r="AC274" s="52" t="s">
        <v>4820</v>
      </c>
      <c r="AD274" s="23" t="s">
        <v>35</v>
      </c>
      <c r="AE274" s="39"/>
      <c r="AF274" s="274"/>
      <c r="AG274" s="274"/>
      <c r="AH274" s="171"/>
      <c r="AI274" s="22"/>
      <c r="AJ274" s="39"/>
      <c r="AK274" s="39"/>
      <c r="AL274" s="118"/>
      <c r="AM274" s="152"/>
      <c r="AN274" s="181"/>
      <c r="AO274" s="131"/>
      <c r="AP274" s="131"/>
      <c r="AQ274" s="39"/>
      <c r="AR274" s="274"/>
      <c r="AS274" s="274"/>
      <c r="AT274" s="274"/>
      <c r="AU274" s="39"/>
      <c r="AV274" s="39"/>
      <c r="AW274" s="39"/>
      <c r="AX274" s="274"/>
      <c r="AY274" s="274"/>
      <c r="AZ274" s="274"/>
      <c r="BA274" s="39"/>
      <c r="BB274" s="62"/>
      <c r="BC274" s="39"/>
      <c r="BD274" s="227">
        <f>+(324388/45)*50</f>
        <v>360431.11111111112</v>
      </c>
      <c r="BE274" s="274">
        <f>+BD274*0.19</f>
        <v>68481.911111111112</v>
      </c>
      <c r="BF274" s="274">
        <f>+BD274+BE274</f>
        <v>428913.02222222224</v>
      </c>
      <c r="BG274" s="209" t="s">
        <v>4817</v>
      </c>
      <c r="BH274" s="207" t="s">
        <v>4821</v>
      </c>
      <c r="BI274" s="5" t="s">
        <v>4822</v>
      </c>
      <c r="BJ274" s="274"/>
      <c r="BK274" s="274"/>
      <c r="BL274" s="274"/>
      <c r="BM274" s="213"/>
      <c r="BN274" s="213"/>
      <c r="BO274" s="39"/>
      <c r="BP274" s="274">
        <v>385000</v>
      </c>
      <c r="BQ274" s="274">
        <f>+BP274*19%</f>
        <v>73150</v>
      </c>
      <c r="BR274" s="274">
        <f>+BQ274+BP274</f>
        <v>458150</v>
      </c>
      <c r="BS274" s="39"/>
      <c r="BT274" s="39"/>
      <c r="BU274" s="39"/>
      <c r="BV274" s="212"/>
      <c r="BW274" s="221"/>
      <c r="BX274" s="273"/>
      <c r="BY274" s="213"/>
      <c r="BZ274" s="213"/>
      <c r="CA274" s="213"/>
      <c r="CB274" s="274"/>
      <c r="CC274" s="274"/>
      <c r="CD274" s="274"/>
      <c r="CE274" s="39"/>
      <c r="CF274" s="39"/>
      <c r="CG274" s="39"/>
      <c r="CH274" s="274">
        <v>357000</v>
      </c>
      <c r="CI274" s="274">
        <f>CH274*19%</f>
        <v>67830</v>
      </c>
      <c r="CJ274" s="274">
        <f>CH274+CI274</f>
        <v>424830</v>
      </c>
      <c r="CK274" s="39"/>
      <c r="CL274" s="39"/>
      <c r="CM274" s="39"/>
      <c r="CN274" s="39"/>
      <c r="CO274" s="39"/>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274"/>
      <c r="DM274" s="274"/>
      <c r="DN274" s="274"/>
      <c r="DO274" s="274"/>
      <c r="DP274" s="274"/>
      <c r="DQ274" s="274"/>
      <c r="DR274" s="274"/>
      <c r="DS274" s="274"/>
      <c r="DT274" s="274"/>
      <c r="DU274" s="274"/>
      <c r="DV274" s="274"/>
      <c r="DW274" s="274"/>
      <c r="DX274" s="274"/>
      <c r="DY274" s="274"/>
      <c r="DZ274" s="274"/>
      <c r="EA274" s="274"/>
      <c r="EB274" s="274"/>
      <c r="EC274" s="274"/>
      <c r="ED274" s="39">
        <f t="shared" si="98"/>
        <v>1746005.0222222223</v>
      </c>
      <c r="EE274" s="30">
        <f t="shared" si="99"/>
        <v>4</v>
      </c>
      <c r="EF274" s="39">
        <f t="shared" si="100"/>
        <v>436501.25555555557</v>
      </c>
    </row>
    <row r="275" spans="1:136" x14ac:dyDescent="0.25">
      <c r="A275" s="25" t="e">
        <f>#REF!</f>
        <v>#REF!</v>
      </c>
      <c r="B275" s="50" t="e">
        <f>#REF!</f>
        <v>#REF!</v>
      </c>
      <c r="C275" s="5" t="e">
        <f>#REF!</f>
        <v>#REF!</v>
      </c>
      <c r="D275" s="5" t="e">
        <f>#REF!</f>
        <v>#REF!</v>
      </c>
      <c r="E275" s="252">
        <v>1</v>
      </c>
      <c r="F275" s="249">
        <v>0</v>
      </c>
      <c r="G275" s="249">
        <v>0</v>
      </c>
      <c r="H275" s="249">
        <v>95200</v>
      </c>
      <c r="I275" s="249">
        <v>0</v>
      </c>
      <c r="J275" s="249">
        <v>239130.5</v>
      </c>
      <c r="K275" s="249">
        <v>236215</v>
      </c>
      <c r="L275" s="274">
        <f>AVERAGE(H275,J275)</f>
        <v>167165.25</v>
      </c>
      <c r="M275" s="274">
        <f>K275*E1</f>
        <v>243301.45</v>
      </c>
      <c r="N275" s="255">
        <v>320000</v>
      </c>
      <c r="O275" s="135">
        <f>+N275*0.19</f>
        <v>60800</v>
      </c>
      <c r="P275" s="135">
        <f>+N275+O275</f>
        <v>380800</v>
      </c>
      <c r="Q275" s="131"/>
      <c r="R275" s="131"/>
      <c r="S275" s="11"/>
      <c r="T275" s="274"/>
      <c r="U275" s="274"/>
      <c r="V275" s="274"/>
      <c r="W275" s="39"/>
      <c r="X275" s="11"/>
      <c r="Y275" s="11"/>
      <c r="Z275" s="274"/>
      <c r="AA275" s="274"/>
      <c r="AB275" s="274"/>
      <c r="AC275" s="52"/>
      <c r="AD275" s="22"/>
      <c r="AE275" s="39"/>
      <c r="AF275" s="274"/>
      <c r="AG275" s="274"/>
      <c r="AH275" s="171"/>
      <c r="AI275" s="22"/>
      <c r="AJ275" s="39"/>
      <c r="AK275" s="39"/>
      <c r="AL275" s="118"/>
      <c r="AM275" s="152"/>
      <c r="AN275" s="181"/>
      <c r="AO275" s="131"/>
      <c r="AP275" s="131"/>
      <c r="AQ275" s="39"/>
      <c r="AR275" s="274"/>
      <c r="AS275" s="274"/>
      <c r="AT275" s="274"/>
      <c r="AU275" s="39"/>
      <c r="AV275" s="39"/>
      <c r="AW275" s="39"/>
      <c r="AX275" s="274"/>
      <c r="AY275" s="274"/>
      <c r="AZ275" s="274"/>
      <c r="BA275" s="39"/>
      <c r="BB275" s="62"/>
      <c r="BC275" s="39"/>
      <c r="BD275" s="274"/>
      <c r="BE275" s="274"/>
      <c r="BF275" s="274"/>
      <c r="BG275" s="39"/>
      <c r="BH275" s="39"/>
      <c r="BI275" s="39"/>
      <c r="BJ275" s="274"/>
      <c r="BK275" s="274"/>
      <c r="BL275" s="274"/>
      <c r="BM275" s="213"/>
      <c r="BN275" s="213"/>
      <c r="BO275" s="39"/>
      <c r="BP275" s="274">
        <v>185200</v>
      </c>
      <c r="BQ275" s="274">
        <f>+BP275*19%</f>
        <v>35188</v>
      </c>
      <c r="BR275" s="274">
        <f>+BQ275+BP275</f>
        <v>220388</v>
      </c>
      <c r="BS275" s="39"/>
      <c r="BT275" s="39"/>
      <c r="BU275" s="39"/>
      <c r="BV275" s="212"/>
      <c r="BW275" s="221"/>
      <c r="BX275" s="273"/>
      <c r="BY275" s="213"/>
      <c r="BZ275" s="213"/>
      <c r="CA275" s="213"/>
      <c r="CB275" s="274"/>
      <c r="CC275" s="274"/>
      <c r="CD275" s="274"/>
      <c r="CE275" s="39"/>
      <c r="CF275" s="39"/>
      <c r="CG275" s="39"/>
      <c r="CH275" s="274"/>
      <c r="CI275" s="274"/>
      <c r="CJ275" s="274"/>
      <c r="CK275" s="39"/>
      <c r="CL275" s="39"/>
      <c r="CM275" s="39"/>
      <c r="CN275" s="39"/>
      <c r="CO275" s="39"/>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274"/>
      <c r="DM275" s="274"/>
      <c r="DN275" s="274"/>
      <c r="DO275" s="274"/>
      <c r="DP275" s="274"/>
      <c r="DQ275" s="274"/>
      <c r="DR275" s="274"/>
      <c r="DS275" s="274"/>
      <c r="DT275" s="274"/>
      <c r="DU275" s="274"/>
      <c r="DV275" s="274"/>
      <c r="DW275" s="274"/>
      <c r="DX275" s="274"/>
      <c r="DY275" s="274"/>
      <c r="DZ275" s="274"/>
      <c r="EA275" s="274"/>
      <c r="EB275" s="274"/>
      <c r="EC275" s="274"/>
      <c r="ED275" s="39">
        <f t="shared" si="98"/>
        <v>844489.45</v>
      </c>
      <c r="EE275" s="30">
        <f t="shared" si="99"/>
        <v>3</v>
      </c>
      <c r="EF275" s="39">
        <f t="shared" si="100"/>
        <v>281496.48333333334</v>
      </c>
    </row>
    <row r="276" spans="1:136" x14ac:dyDescent="0.25">
      <c r="A276" s="25" t="e">
        <f>#REF!</f>
        <v>#REF!</v>
      </c>
      <c r="B276" s="50" t="e">
        <f>#REF!</f>
        <v>#REF!</v>
      </c>
      <c r="C276" s="5" t="e">
        <f>#REF!</f>
        <v>#REF!</v>
      </c>
      <c r="D276" s="5" t="e">
        <f>#REF!</f>
        <v>#REF!</v>
      </c>
      <c r="E276" s="252">
        <v>1</v>
      </c>
      <c r="F276" s="249">
        <v>0</v>
      </c>
      <c r="G276" s="249">
        <v>0</v>
      </c>
      <c r="H276" s="249">
        <v>0</v>
      </c>
      <c r="I276" s="249">
        <v>0</v>
      </c>
      <c r="J276" s="249">
        <v>0</v>
      </c>
      <c r="K276" s="249">
        <v>0</v>
      </c>
      <c r="L276" s="274"/>
      <c r="M276" s="274"/>
      <c r="N276" s="255"/>
      <c r="O276" s="135"/>
      <c r="P276" s="135"/>
      <c r="Q276" s="131"/>
      <c r="R276" s="131"/>
      <c r="S276" s="11"/>
      <c r="T276" s="274"/>
      <c r="U276" s="274"/>
      <c r="V276" s="274"/>
      <c r="W276" s="39"/>
      <c r="X276" s="11"/>
      <c r="Y276" s="11"/>
      <c r="Z276" s="274"/>
      <c r="AA276" s="274"/>
      <c r="AB276" s="274"/>
      <c r="AC276" s="52"/>
      <c r="AD276" s="22"/>
      <c r="AE276" s="39"/>
      <c r="AF276" s="274"/>
      <c r="AG276" s="274"/>
      <c r="AH276" s="113"/>
      <c r="AI276" s="4"/>
      <c r="AJ276" s="39"/>
      <c r="AK276" s="39"/>
      <c r="AL276" s="118"/>
      <c r="AM276" s="152"/>
      <c r="AN276" s="181"/>
      <c r="AO276" s="131"/>
      <c r="AP276" s="131"/>
      <c r="AQ276" s="39"/>
      <c r="AR276" s="274"/>
      <c r="AS276" s="274"/>
      <c r="AT276" s="274"/>
      <c r="AU276" s="39"/>
      <c r="AV276" s="39"/>
      <c r="AW276" s="39"/>
      <c r="AX276" s="274"/>
      <c r="AY276" s="274"/>
      <c r="AZ276" s="274"/>
      <c r="BA276" s="39"/>
      <c r="BB276" s="62"/>
      <c r="BC276" s="39"/>
      <c r="BD276" s="274"/>
      <c r="BE276" s="274"/>
      <c r="BF276" s="274"/>
      <c r="BG276" s="39"/>
      <c r="BH276" s="39"/>
      <c r="BI276" s="39"/>
      <c r="BJ276" s="274"/>
      <c r="BK276" s="274"/>
      <c r="BL276" s="274"/>
      <c r="BM276" s="213"/>
      <c r="BN276" s="213"/>
      <c r="BO276" s="39"/>
      <c r="BP276" s="274"/>
      <c r="BQ276" s="274"/>
      <c r="BR276" s="274"/>
      <c r="BS276" s="39"/>
      <c r="BT276" s="39"/>
      <c r="BU276" s="39"/>
      <c r="BV276" s="212"/>
      <c r="BW276" s="221"/>
      <c r="BX276" s="273"/>
      <c r="BY276" s="213"/>
      <c r="BZ276" s="213"/>
      <c r="CA276" s="213"/>
      <c r="CB276" s="274"/>
      <c r="CC276" s="274"/>
      <c r="CD276" s="274"/>
      <c r="CE276" s="39"/>
      <c r="CF276" s="39"/>
      <c r="CG276" s="39"/>
      <c r="CH276" s="274"/>
      <c r="CI276" s="274"/>
      <c r="CJ276" s="274"/>
      <c r="CK276" s="39"/>
      <c r="CL276" s="39"/>
      <c r="CM276" s="39"/>
      <c r="CN276" s="39"/>
      <c r="CO276" s="39"/>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274"/>
      <c r="DM276" s="274"/>
      <c r="DN276" s="274"/>
      <c r="DO276" s="274"/>
      <c r="DP276" s="274"/>
      <c r="DQ276" s="274"/>
      <c r="DR276" s="274"/>
      <c r="DS276" s="274"/>
      <c r="DT276" s="274"/>
      <c r="DU276" s="274"/>
      <c r="DV276" s="274"/>
      <c r="DW276" s="274"/>
      <c r="DX276" s="274"/>
      <c r="DY276" s="274"/>
      <c r="DZ276" s="274"/>
      <c r="EA276" s="274"/>
      <c r="EB276" s="274"/>
      <c r="EC276" s="274"/>
      <c r="ED276" s="39">
        <f t="shared" si="98"/>
        <v>0</v>
      </c>
      <c r="EE276" s="30">
        <f t="shared" si="99"/>
        <v>0</v>
      </c>
      <c r="EF276" s="39" t="str">
        <f t="shared" si="100"/>
        <v xml:space="preserve"> </v>
      </c>
    </row>
    <row r="277" spans="1:136" x14ac:dyDescent="0.25">
      <c r="A277" s="25" t="e">
        <f>#REF!</f>
        <v>#REF!</v>
      </c>
      <c r="B277" s="50" t="e">
        <f>#REF!</f>
        <v>#REF!</v>
      </c>
      <c r="C277" s="5" t="e">
        <f>#REF!</f>
        <v>#REF!</v>
      </c>
      <c r="D277" s="5" t="e">
        <f>#REF!</f>
        <v>#REF!</v>
      </c>
      <c r="E277" s="252">
        <v>1</v>
      </c>
      <c r="F277" s="249">
        <v>0</v>
      </c>
      <c r="G277" s="249">
        <v>0</v>
      </c>
      <c r="H277" s="249">
        <v>41253.333333333336</v>
      </c>
      <c r="I277" s="249">
        <v>41174</v>
      </c>
      <c r="J277" s="249">
        <v>59049.65111111111</v>
      </c>
      <c r="K277" s="249">
        <v>58310</v>
      </c>
      <c r="L277" s="274">
        <f>AVERAGE(H277,J277)</f>
        <v>50151.492222222223</v>
      </c>
      <c r="M277" s="274">
        <f>AVERAGE(I277,K277)*E1</f>
        <v>51234.26</v>
      </c>
      <c r="N277" s="255">
        <v>40000</v>
      </c>
      <c r="O277" s="135">
        <f>+N277*0.19</f>
        <v>7600</v>
      </c>
      <c r="P277" s="135">
        <f>+N277+O277</f>
        <v>47600</v>
      </c>
      <c r="Q277" s="131"/>
      <c r="R277" s="131"/>
      <c r="S277" s="11"/>
      <c r="T277" s="274"/>
      <c r="U277" s="274"/>
      <c r="V277" s="274"/>
      <c r="W277" s="39"/>
      <c r="X277" s="11"/>
      <c r="Y277" s="11"/>
      <c r="Z277" s="274"/>
      <c r="AA277" s="274"/>
      <c r="AB277" s="274"/>
      <c r="AC277" s="5"/>
      <c r="AD277" s="22"/>
      <c r="AE277" s="39"/>
      <c r="AF277" s="274"/>
      <c r="AG277" s="274"/>
      <c r="AH277" s="169"/>
      <c r="AI277" s="4"/>
      <c r="AJ277" s="39"/>
      <c r="AK277" s="39"/>
      <c r="AL277" s="118"/>
      <c r="AM277" s="152"/>
      <c r="AN277" s="181"/>
      <c r="AO277" s="131"/>
      <c r="AP277" s="131"/>
      <c r="AQ277" s="39"/>
      <c r="AR277" s="274"/>
      <c r="AS277" s="274"/>
      <c r="AT277" s="274"/>
      <c r="AU277" s="39"/>
      <c r="AV277" s="39"/>
      <c r="AW277" s="39"/>
      <c r="AX277" s="274"/>
      <c r="AY277" s="274"/>
      <c r="AZ277" s="274"/>
      <c r="BA277" s="39"/>
      <c r="BB277" s="62"/>
      <c r="BC277" s="39"/>
      <c r="BD277" s="274"/>
      <c r="BE277" s="274"/>
      <c r="BF277" s="274"/>
      <c r="BG277" s="39"/>
      <c r="BH277" s="39"/>
      <c r="BI277" s="39"/>
      <c r="BJ277" s="274"/>
      <c r="BK277" s="274"/>
      <c r="BL277" s="274"/>
      <c r="BM277" s="213"/>
      <c r="BN277" s="213"/>
      <c r="BO277" s="39"/>
      <c r="BP277" s="274"/>
      <c r="BQ277" s="274"/>
      <c r="BR277" s="274"/>
      <c r="BS277" s="39"/>
      <c r="BT277" s="39"/>
      <c r="BU277" s="39"/>
      <c r="BV277" s="212"/>
      <c r="BW277" s="221"/>
      <c r="BX277" s="273"/>
      <c r="BY277" s="213"/>
      <c r="BZ277" s="213"/>
      <c r="CA277" s="213"/>
      <c r="CB277" s="275"/>
      <c r="CC277" s="274"/>
      <c r="CD277" s="274"/>
      <c r="CE277" s="39"/>
      <c r="CF277" s="39"/>
      <c r="CG277" s="39"/>
      <c r="CH277" s="274"/>
      <c r="CI277" s="274"/>
      <c r="CJ277" s="274"/>
      <c r="CK277" s="39"/>
      <c r="CL277" s="39"/>
      <c r="CM277" s="39"/>
      <c r="CN277" s="39"/>
      <c r="CO277" s="39"/>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274"/>
      <c r="DM277" s="274"/>
      <c r="DN277" s="274"/>
      <c r="DO277" s="274"/>
      <c r="DP277" s="274"/>
      <c r="DQ277" s="274"/>
      <c r="DR277" s="274"/>
      <c r="DS277" s="274"/>
      <c r="DT277" s="274"/>
      <c r="DU277" s="274"/>
      <c r="DV277" s="274"/>
      <c r="DW277" s="274"/>
      <c r="DX277" s="274"/>
      <c r="DY277" s="274"/>
      <c r="DZ277" s="274"/>
      <c r="EA277" s="274"/>
      <c r="EB277" s="274"/>
      <c r="EC277" s="274"/>
      <c r="ED277" s="39">
        <f t="shared" si="98"/>
        <v>98834.260000000009</v>
      </c>
      <c r="EE277" s="30">
        <f t="shared" si="99"/>
        <v>2</v>
      </c>
      <c r="EF277" s="39">
        <f t="shared" si="100"/>
        <v>49417.130000000005</v>
      </c>
    </row>
    <row r="278" spans="1:136" x14ac:dyDescent="0.25">
      <c r="A278" s="25" t="e">
        <f>#REF!</f>
        <v>#REF!</v>
      </c>
      <c r="B278" s="50" t="e">
        <f>#REF!</f>
        <v>#REF!</v>
      </c>
      <c r="C278" s="5" t="e">
        <f>#REF!</f>
        <v>#REF!</v>
      </c>
      <c r="D278" s="5" t="e">
        <f>#REF!</f>
        <v>#REF!</v>
      </c>
      <c r="E278" s="252">
        <v>1</v>
      </c>
      <c r="F278" s="249">
        <v>0</v>
      </c>
      <c r="G278" s="249">
        <v>0</v>
      </c>
      <c r="H278" s="249">
        <v>69615</v>
      </c>
      <c r="I278" s="249">
        <v>69496</v>
      </c>
      <c r="J278" s="249">
        <v>103421.85777777778</v>
      </c>
      <c r="K278" s="249">
        <v>102340</v>
      </c>
      <c r="L278" s="274">
        <f>AVERAGE(H278,J278)</f>
        <v>86518.428888888884</v>
      </c>
      <c r="M278" s="274">
        <f>AVERAGE(I278,K278)*E1</f>
        <v>88495.540000000008</v>
      </c>
      <c r="N278" s="256">
        <v>65000</v>
      </c>
      <c r="O278" s="135">
        <f>+N278*0.19</f>
        <v>12350</v>
      </c>
      <c r="P278" s="135">
        <f>+N278+O278</f>
        <v>77350</v>
      </c>
      <c r="Q278" s="131"/>
      <c r="R278" s="131"/>
      <c r="S278" s="11"/>
      <c r="T278" s="274"/>
      <c r="U278" s="274"/>
      <c r="V278" s="274"/>
      <c r="W278" s="39"/>
      <c r="X278" s="11"/>
      <c r="Y278" s="11"/>
      <c r="Z278" s="274"/>
      <c r="AA278" s="274"/>
      <c r="AB278" s="274"/>
      <c r="AC278" s="5"/>
      <c r="AD278" s="22"/>
      <c r="AE278" s="39"/>
      <c r="AF278" s="274"/>
      <c r="AG278" s="274"/>
      <c r="AH278" s="169"/>
      <c r="AI278" s="22"/>
      <c r="AJ278" s="39"/>
      <c r="AK278" s="39"/>
      <c r="AL278" s="118"/>
      <c r="AM278" s="152"/>
      <c r="AN278" s="181"/>
      <c r="AO278" s="131"/>
      <c r="AP278" s="131"/>
      <c r="AQ278" s="39"/>
      <c r="AR278" s="274"/>
      <c r="AS278" s="274"/>
      <c r="AT278" s="274"/>
      <c r="AU278" s="39"/>
      <c r="AV278" s="39"/>
      <c r="AW278" s="39"/>
      <c r="AX278" s="275"/>
      <c r="AY278" s="274"/>
      <c r="AZ278" s="274"/>
      <c r="BA278" s="39"/>
      <c r="BB278" s="62"/>
      <c r="BC278" s="39"/>
      <c r="BD278" s="274"/>
      <c r="BE278" s="274"/>
      <c r="BF278" s="274"/>
      <c r="BG278" s="39"/>
      <c r="BH278" s="39"/>
      <c r="BI278" s="39"/>
      <c r="BJ278" s="274">
        <v>87100</v>
      </c>
      <c r="BK278" s="274">
        <f>+BJ278*0.19</f>
        <v>16549</v>
      </c>
      <c r="BL278" s="274">
        <f>+BJ278+BK278</f>
        <v>103649</v>
      </c>
      <c r="BM278" s="213" t="s">
        <v>4823</v>
      </c>
      <c r="BN278" s="213" t="s">
        <v>2925</v>
      </c>
      <c r="BO278" s="39"/>
      <c r="BP278" s="274"/>
      <c r="BQ278" s="274"/>
      <c r="BR278" s="274"/>
      <c r="BS278" s="39"/>
      <c r="BT278" s="39"/>
      <c r="BU278" s="39"/>
      <c r="BV278" s="212">
        <v>103728.26100000001</v>
      </c>
      <c r="BW278" s="219">
        <f>+BV278*0.19</f>
        <v>19708.369590000002</v>
      </c>
      <c r="BX278" s="273">
        <f>+BV278+BW278</f>
        <v>123436.63059000002</v>
      </c>
      <c r="BY278" s="213" t="s">
        <v>4823</v>
      </c>
      <c r="BZ278" s="213" t="s">
        <v>2925</v>
      </c>
      <c r="CA278" s="213"/>
      <c r="CB278" s="274"/>
      <c r="CC278" s="274"/>
      <c r="CD278" s="274"/>
      <c r="CE278" s="39"/>
      <c r="CF278" s="39"/>
      <c r="CG278" s="39"/>
      <c r="CH278" s="275"/>
      <c r="CI278" s="275"/>
      <c r="CJ278" s="275"/>
      <c r="CK278" s="39"/>
      <c r="CL278" s="39"/>
      <c r="CM278" s="39"/>
      <c r="CN278" s="39"/>
      <c r="CO278" s="39"/>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274"/>
      <c r="DM278" s="274"/>
      <c r="DN278" s="274"/>
      <c r="DO278" s="274"/>
      <c r="DP278" s="274"/>
      <c r="DQ278" s="274"/>
      <c r="DR278" s="274"/>
      <c r="DS278" s="274"/>
      <c r="DT278" s="274"/>
      <c r="DU278" s="274"/>
      <c r="DV278" s="274"/>
      <c r="DW278" s="274"/>
      <c r="DX278" s="274"/>
      <c r="DY278" s="274"/>
      <c r="DZ278" s="274"/>
      <c r="EA278" s="274"/>
      <c r="EB278" s="274"/>
      <c r="EC278" s="274"/>
      <c r="ED278" s="39">
        <f t="shared" si="98"/>
        <v>392931.17059000005</v>
      </c>
      <c r="EE278" s="30">
        <f t="shared" si="99"/>
        <v>4</v>
      </c>
      <c r="EF278" s="39">
        <f t="shared" si="100"/>
        <v>98232.792647500013</v>
      </c>
    </row>
    <row r="279" spans="1:136" x14ac:dyDescent="0.25">
      <c r="A279" s="25" t="e">
        <f>#REF!</f>
        <v>#REF!</v>
      </c>
      <c r="B279" s="50" t="e">
        <f>#REF!</f>
        <v>#REF!</v>
      </c>
      <c r="C279" s="5" t="e">
        <f>#REF!</f>
        <v>#REF!</v>
      </c>
      <c r="D279" s="5" t="e">
        <f>#REF!</f>
        <v>#REF!</v>
      </c>
      <c r="E279" s="252">
        <v>1</v>
      </c>
      <c r="F279" s="249">
        <v>0</v>
      </c>
      <c r="G279" s="249">
        <v>0</v>
      </c>
      <c r="H279" s="249">
        <v>630700</v>
      </c>
      <c r="I279" s="249">
        <v>0</v>
      </c>
      <c r="J279" s="249">
        <v>1261400</v>
      </c>
      <c r="K279" s="249">
        <v>0</v>
      </c>
      <c r="L279" s="274">
        <f>AVERAGE(H279,J279)</f>
        <v>946050</v>
      </c>
      <c r="M279" s="274"/>
      <c r="N279" s="255"/>
      <c r="O279" s="135"/>
      <c r="P279" s="135"/>
      <c r="Q279" s="131"/>
      <c r="R279" s="131"/>
      <c r="S279" s="11"/>
      <c r="T279" s="274"/>
      <c r="U279" s="274"/>
      <c r="V279" s="274"/>
      <c r="W279" s="39"/>
      <c r="X279" s="11"/>
      <c r="Y279" s="11"/>
      <c r="Z279" s="274"/>
      <c r="AA279" s="274"/>
      <c r="AB279" s="274"/>
      <c r="AC279" s="5"/>
      <c r="AD279" s="63"/>
      <c r="AE279" s="39"/>
      <c r="AF279" s="274"/>
      <c r="AG279" s="274"/>
      <c r="AH279" s="169"/>
      <c r="AI279" s="58"/>
      <c r="AJ279" s="39"/>
      <c r="AK279" s="39"/>
      <c r="AL279" s="118"/>
      <c r="AM279" s="152"/>
      <c r="AN279" s="181"/>
      <c r="AO279" s="131"/>
      <c r="AP279" s="131"/>
      <c r="AQ279" s="39"/>
      <c r="AR279" s="274"/>
      <c r="AS279" s="274"/>
      <c r="AT279" s="274"/>
      <c r="AU279" s="39"/>
      <c r="AV279" s="39"/>
      <c r="AW279" s="39"/>
      <c r="AX279" s="274"/>
      <c r="AY279" s="274"/>
      <c r="AZ279" s="274"/>
      <c r="BA279" s="39"/>
      <c r="BB279" s="62"/>
      <c r="BC279" s="39"/>
      <c r="BD279" s="274"/>
      <c r="BE279" s="274"/>
      <c r="BF279" s="274"/>
      <c r="BG279" s="39"/>
      <c r="BH279" s="39"/>
      <c r="BI279" s="39"/>
      <c r="BJ279" s="274"/>
      <c r="BK279" s="274"/>
      <c r="BL279" s="274"/>
      <c r="BM279" s="213"/>
      <c r="BN279" s="213"/>
      <c r="BO279" s="39"/>
      <c r="BP279" s="274"/>
      <c r="BQ279" s="274"/>
      <c r="BR279" s="274"/>
      <c r="BS279" s="39"/>
      <c r="BT279" s="39"/>
      <c r="BU279" s="39"/>
      <c r="BV279" s="212"/>
      <c r="BW279" s="221"/>
      <c r="BX279" s="273"/>
      <c r="BY279" s="213"/>
      <c r="BZ279" s="213"/>
      <c r="CA279" s="213"/>
      <c r="CB279" s="274"/>
      <c r="CC279" s="274"/>
      <c r="CD279" s="274"/>
      <c r="CE279" s="39"/>
      <c r="CF279" s="39"/>
      <c r="CG279" s="39"/>
      <c r="CH279" s="274"/>
      <c r="CI279" s="274"/>
      <c r="CJ279" s="274"/>
      <c r="CK279" s="39"/>
      <c r="CL279" s="39"/>
      <c r="CM279" s="39"/>
      <c r="CN279" s="39"/>
      <c r="CO279" s="39"/>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274"/>
      <c r="DM279" s="274"/>
      <c r="DN279" s="274"/>
      <c r="DO279" s="274"/>
      <c r="DP279" s="274"/>
      <c r="DQ279" s="274"/>
      <c r="DR279" s="274"/>
      <c r="DS279" s="274"/>
      <c r="DT279" s="274"/>
      <c r="DU279" s="274"/>
      <c r="DV279" s="274"/>
      <c r="DW279" s="274"/>
      <c r="DX279" s="274"/>
      <c r="DY279" s="274"/>
      <c r="DZ279" s="274"/>
      <c r="EA279" s="274"/>
      <c r="EB279" s="274"/>
      <c r="EC279" s="274"/>
      <c r="ED279" s="39">
        <f t="shared" si="98"/>
        <v>0</v>
      </c>
      <c r="EE279" s="30">
        <f t="shared" si="99"/>
        <v>0</v>
      </c>
      <c r="EF279" s="39" t="str">
        <f t="shared" si="100"/>
        <v xml:space="preserve"> </v>
      </c>
    </row>
    <row r="280" spans="1:136" x14ac:dyDescent="0.25">
      <c r="A280" s="25" t="e">
        <f>#REF!</f>
        <v>#REF!</v>
      </c>
      <c r="B280" s="50" t="e">
        <f>#REF!</f>
        <v>#REF!</v>
      </c>
      <c r="C280" s="5" t="e">
        <f>#REF!</f>
        <v>#REF!</v>
      </c>
      <c r="D280" s="5" t="e">
        <f>#REF!</f>
        <v>#REF!</v>
      </c>
      <c r="E280" s="252">
        <v>1</v>
      </c>
      <c r="F280" s="249">
        <v>0</v>
      </c>
      <c r="G280" s="249">
        <v>0</v>
      </c>
      <c r="H280" s="249">
        <v>0</v>
      </c>
      <c r="I280" s="249">
        <v>0</v>
      </c>
      <c r="J280" s="249">
        <v>368900</v>
      </c>
      <c r="K280" s="249">
        <v>0</v>
      </c>
      <c r="L280" s="274">
        <f>J280</f>
        <v>368900</v>
      </c>
      <c r="M280" s="274"/>
      <c r="N280" s="255">
        <v>300000</v>
      </c>
      <c r="O280" s="135">
        <f>+N280*0.19</f>
        <v>57000</v>
      </c>
      <c r="P280" s="135">
        <f>+N280+O280</f>
        <v>357000</v>
      </c>
      <c r="Q280" s="131"/>
      <c r="R280" s="131"/>
      <c r="S280" s="11"/>
      <c r="T280" s="274"/>
      <c r="U280" s="274"/>
      <c r="V280" s="274"/>
      <c r="W280" s="39"/>
      <c r="X280" s="11"/>
      <c r="Y280" s="11"/>
      <c r="Z280" s="274"/>
      <c r="AA280" s="274"/>
      <c r="AB280" s="274"/>
      <c r="AC280" s="52"/>
      <c r="AD280" s="22"/>
      <c r="AE280" s="39"/>
      <c r="AF280" s="274"/>
      <c r="AG280" s="274"/>
      <c r="AH280" s="171"/>
      <c r="AI280" s="4"/>
      <c r="AJ280" s="39"/>
      <c r="AK280" s="39"/>
      <c r="AL280" s="118"/>
      <c r="AM280" s="152"/>
      <c r="AN280" s="152"/>
      <c r="AO280" s="131"/>
      <c r="AP280" s="131"/>
      <c r="AQ280" s="39"/>
      <c r="AR280" s="274"/>
      <c r="AS280" s="274"/>
      <c r="AT280" s="274"/>
      <c r="AU280" s="39"/>
      <c r="AV280" s="39"/>
      <c r="AW280" s="39"/>
      <c r="AX280" s="274"/>
      <c r="AY280" s="274"/>
      <c r="AZ280" s="274"/>
      <c r="BA280" s="39"/>
      <c r="BB280" s="62"/>
      <c r="BC280" s="39"/>
      <c r="BD280" s="274"/>
      <c r="BE280" s="274"/>
      <c r="BF280" s="274"/>
      <c r="BG280" s="39"/>
      <c r="BH280" s="39"/>
      <c r="BI280" s="39"/>
      <c r="BJ280" s="274"/>
      <c r="BK280" s="274"/>
      <c r="BL280" s="274"/>
      <c r="BM280" s="213"/>
      <c r="BN280" s="213"/>
      <c r="BO280" s="39"/>
      <c r="BP280" s="274"/>
      <c r="BQ280" s="274"/>
      <c r="BR280" s="274"/>
      <c r="BS280" s="39"/>
      <c r="BT280" s="39"/>
      <c r="BU280" s="39"/>
      <c r="BV280" s="212"/>
      <c r="BW280" s="221"/>
      <c r="BX280" s="273"/>
      <c r="BY280" s="213"/>
      <c r="BZ280" s="213"/>
      <c r="CA280" s="213"/>
      <c r="CB280" s="274"/>
      <c r="CC280" s="274"/>
      <c r="CD280" s="274"/>
      <c r="CE280" s="39"/>
      <c r="CF280" s="39"/>
      <c r="CG280" s="39"/>
      <c r="CH280" s="274"/>
      <c r="CI280" s="274"/>
      <c r="CJ280" s="274"/>
      <c r="CK280" s="39"/>
      <c r="CL280" s="39"/>
      <c r="CM280" s="39"/>
      <c r="CN280" s="39"/>
      <c r="CO280" s="39"/>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274"/>
      <c r="DM280" s="274"/>
      <c r="DN280" s="274"/>
      <c r="DO280" s="274"/>
      <c r="DP280" s="274"/>
      <c r="DQ280" s="274"/>
      <c r="DR280" s="274"/>
      <c r="DS280" s="274"/>
      <c r="DT280" s="274"/>
      <c r="DU280" s="274"/>
      <c r="DV280" s="274"/>
      <c r="DW280" s="274"/>
      <c r="DX280" s="274"/>
      <c r="DY280" s="274"/>
      <c r="DZ280" s="274"/>
      <c r="EA280" s="274"/>
      <c r="EB280" s="274"/>
      <c r="EC280" s="274"/>
      <c r="ED280" s="39">
        <f t="shared" si="98"/>
        <v>357000</v>
      </c>
      <c r="EE280" s="30">
        <f t="shared" si="99"/>
        <v>1</v>
      </c>
      <c r="EF280" s="39">
        <f t="shared" si="100"/>
        <v>357000</v>
      </c>
    </row>
    <row r="281" spans="1:136" x14ac:dyDescent="0.25">
      <c r="A281" s="25" t="e">
        <f>#REF!</f>
        <v>#REF!</v>
      </c>
      <c r="B281" s="50" t="e">
        <f>#REF!</f>
        <v>#REF!</v>
      </c>
      <c r="C281" s="5" t="e">
        <f>#REF!</f>
        <v>#REF!</v>
      </c>
      <c r="D281" s="5" t="e">
        <f>#REF!</f>
        <v>#REF!</v>
      </c>
      <c r="E281" s="252">
        <v>1</v>
      </c>
      <c r="F281" s="249">
        <v>0</v>
      </c>
      <c r="G281" s="249">
        <v>0</v>
      </c>
      <c r="H281" s="249">
        <v>0</v>
      </c>
      <c r="I281" s="249">
        <v>0</v>
      </c>
      <c r="J281" s="249">
        <v>0</v>
      </c>
      <c r="K281" s="249">
        <v>0</v>
      </c>
      <c r="L281" s="274"/>
      <c r="M281" s="274"/>
      <c r="N281" s="255"/>
      <c r="O281" s="135"/>
      <c r="P281" s="135"/>
      <c r="Q281" s="131"/>
      <c r="R281" s="131"/>
      <c r="S281" s="11"/>
      <c r="T281" s="274"/>
      <c r="U281" s="274"/>
      <c r="V281" s="274"/>
      <c r="W281" s="39"/>
      <c r="X281" s="11"/>
      <c r="Y281" s="11"/>
      <c r="Z281" s="274"/>
      <c r="AA281" s="274"/>
      <c r="AB281" s="274"/>
      <c r="AC281" s="52"/>
      <c r="AD281" s="22"/>
      <c r="AE281" s="39"/>
      <c r="AF281" s="274"/>
      <c r="AG281" s="274"/>
      <c r="AH281" s="171"/>
      <c r="AI281" s="4"/>
      <c r="AJ281" s="39"/>
      <c r="AK281" s="39"/>
      <c r="AL281" s="118"/>
      <c r="AM281" s="152"/>
      <c r="AN281" s="152"/>
      <c r="AO281" s="131"/>
      <c r="AP281" s="131"/>
      <c r="AQ281" s="39"/>
      <c r="AR281" s="274"/>
      <c r="AS281" s="274"/>
      <c r="AT281" s="274"/>
      <c r="AU281" s="39"/>
      <c r="AV281" s="39"/>
      <c r="AW281" s="39"/>
      <c r="AX281" s="274"/>
      <c r="AY281" s="274"/>
      <c r="AZ281" s="274"/>
      <c r="BA281" s="39"/>
      <c r="BB281" s="62"/>
      <c r="BC281" s="39"/>
      <c r="BD281" s="274"/>
      <c r="BE281" s="274"/>
      <c r="BF281" s="274"/>
      <c r="BG281" s="39"/>
      <c r="BH281" s="39"/>
      <c r="BI281" s="39"/>
      <c r="BJ281" s="274"/>
      <c r="BK281" s="274"/>
      <c r="BL281" s="274"/>
      <c r="BM281" s="213"/>
      <c r="BN281" s="213"/>
      <c r="BO281" s="39"/>
      <c r="BP281" s="274"/>
      <c r="BQ281" s="274"/>
      <c r="BR281" s="274"/>
      <c r="BS281" s="39"/>
      <c r="BT281" s="39"/>
      <c r="BU281" s="39"/>
      <c r="BV281" s="212"/>
      <c r="BW281" s="221"/>
      <c r="BX281" s="273"/>
      <c r="BY281" s="213"/>
      <c r="BZ281" s="213"/>
      <c r="CA281" s="213"/>
      <c r="CB281" s="274"/>
      <c r="CC281" s="274"/>
      <c r="CD281" s="274"/>
      <c r="CE281" s="39"/>
      <c r="CF281" s="39"/>
      <c r="CG281" s="39"/>
      <c r="CH281" s="274"/>
      <c r="CI281" s="274"/>
      <c r="CJ281" s="274"/>
      <c r="CK281" s="39"/>
      <c r="CL281" s="39"/>
      <c r="CM281" s="39"/>
      <c r="CN281" s="39"/>
      <c r="CO281" s="39"/>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274"/>
      <c r="DM281" s="274"/>
      <c r="DN281" s="274"/>
      <c r="DO281" s="274"/>
      <c r="DP281" s="274"/>
      <c r="DQ281" s="274"/>
      <c r="DR281" s="274"/>
      <c r="DS281" s="274"/>
      <c r="DT281" s="274"/>
      <c r="DU281" s="274"/>
      <c r="DV281" s="274"/>
      <c r="DW281" s="274"/>
      <c r="DX281" s="274"/>
      <c r="DY281" s="274"/>
      <c r="DZ281" s="274"/>
      <c r="EA281" s="274"/>
      <c r="EB281" s="274"/>
      <c r="EC281" s="274"/>
      <c r="ED281" s="39">
        <f t="shared" si="98"/>
        <v>0</v>
      </c>
      <c r="EE281" s="30">
        <f t="shared" si="99"/>
        <v>0</v>
      </c>
      <c r="EF281" s="39" t="str">
        <f t="shared" si="100"/>
        <v xml:space="preserve"> </v>
      </c>
    </row>
    <row r="282" spans="1:136" x14ac:dyDescent="0.25">
      <c r="A282" s="25" t="e">
        <f>#REF!</f>
        <v>#REF!</v>
      </c>
      <c r="B282" s="50" t="e">
        <f>#REF!</f>
        <v>#REF!</v>
      </c>
      <c r="C282" s="5" t="e">
        <f>#REF!</f>
        <v>#REF!</v>
      </c>
      <c r="D282" s="5" t="e">
        <f>#REF!</f>
        <v>#REF!</v>
      </c>
      <c r="E282" s="252">
        <v>1</v>
      </c>
      <c r="F282" s="249">
        <v>0</v>
      </c>
      <c r="G282" s="249">
        <v>0</v>
      </c>
      <c r="H282" s="249">
        <v>16793.199712953876</v>
      </c>
      <c r="I282" s="249">
        <v>8758</v>
      </c>
      <c r="J282" s="249">
        <v>0</v>
      </c>
      <c r="K282" s="249">
        <v>0</v>
      </c>
      <c r="L282" s="274">
        <f>H282</f>
        <v>16793.199712953876</v>
      </c>
      <c r="M282" s="274">
        <f>I282*E1</f>
        <v>9020.74</v>
      </c>
      <c r="N282" s="255">
        <v>3500</v>
      </c>
      <c r="O282" s="135">
        <f t="shared" ref="O282:O297" si="103">+N282*0.19</f>
        <v>665</v>
      </c>
      <c r="P282" s="135">
        <f t="shared" ref="P282:P297" si="104">+N282+O282</f>
        <v>4165</v>
      </c>
      <c r="Q282" s="131"/>
      <c r="R282" s="131"/>
      <c r="S282" s="11"/>
      <c r="T282" s="274"/>
      <c r="U282" s="274"/>
      <c r="V282" s="274"/>
      <c r="W282" s="39"/>
      <c r="X282" s="11"/>
      <c r="Y282" s="11"/>
      <c r="Z282" s="274"/>
      <c r="AA282" s="274"/>
      <c r="AB282" s="274"/>
      <c r="AC282" s="52"/>
      <c r="AD282" s="22"/>
      <c r="AE282" s="39"/>
      <c r="AF282" s="274"/>
      <c r="AG282" s="274"/>
      <c r="AH282" s="171"/>
      <c r="AI282" s="4"/>
      <c r="AJ282" s="39"/>
      <c r="AK282" s="39"/>
      <c r="AL282" s="118"/>
      <c r="AM282" s="152"/>
      <c r="AN282" s="152"/>
      <c r="AO282" s="131"/>
      <c r="AP282" s="131"/>
      <c r="AQ282" s="39"/>
      <c r="AR282" s="274"/>
      <c r="AS282" s="274"/>
      <c r="AT282" s="274"/>
      <c r="AU282" s="39"/>
      <c r="AV282" s="39"/>
      <c r="AW282" s="39"/>
      <c r="AX282" s="274"/>
      <c r="AY282" s="274"/>
      <c r="AZ282" s="274"/>
      <c r="BA282" s="39"/>
      <c r="BB282" s="62"/>
      <c r="BC282" s="39"/>
      <c r="BD282" s="274"/>
      <c r="BE282" s="274"/>
      <c r="BF282" s="274"/>
      <c r="BG282" s="39"/>
      <c r="BH282" s="39"/>
      <c r="BI282" s="39"/>
      <c r="BJ282" s="274">
        <f>831400/50</f>
        <v>16628</v>
      </c>
      <c r="BK282" s="274">
        <f t="shared" ref="BK282:BK287" si="105">+BJ282*0.19</f>
        <v>3159.32</v>
      </c>
      <c r="BL282" s="274">
        <f t="shared" ref="BL282:BL287" si="106">+BJ282+BK282</f>
        <v>19787.32</v>
      </c>
      <c r="BM282" s="213" t="s">
        <v>4824</v>
      </c>
      <c r="BN282" s="213" t="s">
        <v>2925</v>
      </c>
      <c r="BO282" s="39"/>
      <c r="BP282" s="274">
        <v>3600</v>
      </c>
      <c r="BQ282" s="274">
        <f>+BP282*19%</f>
        <v>684</v>
      </c>
      <c r="BR282" s="274">
        <f>+BQ282+BP282</f>
        <v>4284</v>
      </c>
      <c r="BS282" s="39"/>
      <c r="BT282" s="39"/>
      <c r="BU282" s="39"/>
      <c r="BV282" s="219">
        <f>943855.164/50</f>
        <v>18877.103279999999</v>
      </c>
      <c r="BW282" s="219">
        <f>+BV282*0.19</f>
        <v>3586.6496232</v>
      </c>
      <c r="BX282" s="273">
        <f>+BV282+BW282</f>
        <v>22463.752903199998</v>
      </c>
      <c r="BY282" s="213" t="s">
        <v>4824</v>
      </c>
      <c r="BZ282" s="213" t="s">
        <v>2925</v>
      </c>
      <c r="CA282" s="213"/>
      <c r="CB282" s="274"/>
      <c r="CC282" s="274"/>
      <c r="CD282" s="274"/>
      <c r="CE282" s="39"/>
      <c r="CF282" s="39"/>
      <c r="CG282" s="39"/>
      <c r="CH282" s="274"/>
      <c r="CI282" s="274"/>
      <c r="CJ282" s="274"/>
      <c r="CK282" s="39"/>
      <c r="CL282" s="39"/>
      <c r="CM282" s="39"/>
      <c r="CN282" s="39"/>
      <c r="CO282" s="39"/>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274"/>
      <c r="DM282" s="274"/>
      <c r="DN282" s="274"/>
      <c r="DO282" s="274"/>
      <c r="DP282" s="274"/>
      <c r="DQ282" s="274"/>
      <c r="DR282" s="274"/>
      <c r="DS282" s="274"/>
      <c r="DT282" s="274"/>
      <c r="DU282" s="274"/>
      <c r="DV282" s="274"/>
      <c r="DW282" s="274"/>
      <c r="DX282" s="274"/>
      <c r="DY282" s="274"/>
      <c r="DZ282" s="274"/>
      <c r="EA282" s="274"/>
      <c r="EB282" s="274"/>
      <c r="EC282" s="274"/>
      <c r="ED282" s="39">
        <f t="shared" si="98"/>
        <v>59720.8129032</v>
      </c>
      <c r="EE282" s="30">
        <f t="shared" si="99"/>
        <v>5</v>
      </c>
      <c r="EF282" s="39">
        <f t="shared" si="100"/>
        <v>11944.162580640001</v>
      </c>
    </row>
    <row r="283" spans="1:136" ht="25.5" x14ac:dyDescent="0.25">
      <c r="A283" s="25" t="e">
        <f>#REF!</f>
        <v>#REF!</v>
      </c>
      <c r="B283" s="50" t="e">
        <f>#REF!</f>
        <v>#REF!</v>
      </c>
      <c r="C283" s="5" t="e">
        <f>#REF!</f>
        <v>#REF!</v>
      </c>
      <c r="D283" s="5" t="e">
        <f>#REF!</f>
        <v>#REF!</v>
      </c>
      <c r="E283" s="252">
        <v>1</v>
      </c>
      <c r="F283" s="249">
        <v>1858621.3333333335</v>
      </c>
      <c r="G283" s="249">
        <v>1793568</v>
      </c>
      <c r="H283" s="249">
        <v>1423873.08</v>
      </c>
      <c r="I283" s="249">
        <v>588050</v>
      </c>
      <c r="J283" s="249">
        <v>1319281.6000000001</v>
      </c>
      <c r="K283" s="249">
        <v>1309000</v>
      </c>
      <c r="L283" s="274">
        <f>AVERAGE(F283,H283,J283)</f>
        <v>1533925.3377777778</v>
      </c>
      <c r="M283" s="274">
        <f>AVERAGE(G283,I283,K283)</f>
        <v>1230206</v>
      </c>
      <c r="N283" s="255">
        <v>1350000</v>
      </c>
      <c r="O283" s="135">
        <f t="shared" si="103"/>
        <v>256500</v>
      </c>
      <c r="P283" s="135">
        <f t="shared" si="104"/>
        <v>1606500</v>
      </c>
      <c r="Q283" s="131"/>
      <c r="R283" s="131"/>
      <c r="S283" s="11"/>
      <c r="T283" s="274"/>
      <c r="U283" s="274"/>
      <c r="V283" s="274"/>
      <c r="W283" s="39"/>
      <c r="X283" s="11"/>
      <c r="Y283" s="11"/>
      <c r="Z283" s="274">
        <v>690000</v>
      </c>
      <c r="AA283" s="274">
        <f>+Z283*0.19</f>
        <v>131100</v>
      </c>
      <c r="AB283" s="274">
        <f>+Z283+AA283</f>
        <v>821100</v>
      </c>
      <c r="AC283" s="5" t="s">
        <v>2005</v>
      </c>
      <c r="AD283" s="22" t="s">
        <v>4795</v>
      </c>
      <c r="AE283" s="39"/>
      <c r="AF283" s="274"/>
      <c r="AG283" s="274"/>
      <c r="AH283" s="169"/>
      <c r="AI283" s="4"/>
      <c r="AJ283" s="39"/>
      <c r="AK283" s="39"/>
      <c r="AL283" s="118"/>
      <c r="AM283" s="152"/>
      <c r="AN283" s="181"/>
      <c r="AO283" s="131"/>
      <c r="AP283" s="131"/>
      <c r="AQ283" s="39"/>
      <c r="AR283" s="274"/>
      <c r="AS283" s="274"/>
      <c r="AT283" s="274"/>
      <c r="AU283" s="39"/>
      <c r="AV283" s="39"/>
      <c r="AW283" s="39"/>
      <c r="AX283" s="274"/>
      <c r="AY283" s="274"/>
      <c r="AZ283" s="274"/>
      <c r="BA283" s="39"/>
      <c r="BB283" s="62"/>
      <c r="BC283" s="39"/>
      <c r="BD283" s="274"/>
      <c r="BE283" s="274"/>
      <c r="BF283" s="274"/>
      <c r="BG283" s="39"/>
      <c r="BH283" s="39"/>
      <c r="BI283" s="39"/>
      <c r="BJ283" s="274">
        <v>2050000</v>
      </c>
      <c r="BK283" s="274">
        <f t="shared" si="105"/>
        <v>389500</v>
      </c>
      <c r="BL283" s="274">
        <f t="shared" si="106"/>
        <v>2439500</v>
      </c>
      <c r="BM283" s="213" t="s">
        <v>4825</v>
      </c>
      <c r="BN283" s="213" t="s">
        <v>3166</v>
      </c>
      <c r="BO283" s="39"/>
      <c r="BP283" s="274">
        <v>1352000</v>
      </c>
      <c r="BQ283" s="274">
        <f>+BP283*19%</f>
        <v>256880</v>
      </c>
      <c r="BR283" s="274">
        <f>+BQ283+BP283</f>
        <v>1608880</v>
      </c>
      <c r="BS283" s="39"/>
      <c r="BT283" s="39"/>
      <c r="BU283" s="39"/>
      <c r="BV283" s="219"/>
      <c r="BW283" s="219"/>
      <c r="BX283" s="273"/>
      <c r="BY283" s="213"/>
      <c r="BZ283" s="213"/>
      <c r="CA283" s="213"/>
      <c r="CB283" s="274"/>
      <c r="CC283" s="274"/>
      <c r="CD283" s="274"/>
      <c r="CE283" s="39"/>
      <c r="CF283" s="39"/>
      <c r="CG283" s="39"/>
      <c r="CH283" s="274"/>
      <c r="CI283" s="274"/>
      <c r="CJ283" s="274"/>
      <c r="CK283" s="39"/>
      <c r="CL283" s="39"/>
      <c r="CM283" s="39"/>
      <c r="CN283" s="39"/>
      <c r="CO283" s="39"/>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274"/>
      <c r="DM283" s="274"/>
      <c r="DN283" s="274"/>
      <c r="DO283" s="274"/>
      <c r="DP283" s="274"/>
      <c r="DQ283" s="274"/>
      <c r="DR283" s="274"/>
      <c r="DS283" s="274"/>
      <c r="DT283" s="274"/>
      <c r="DU283" s="274"/>
      <c r="DV283" s="274"/>
      <c r="DW283" s="274"/>
      <c r="DX283" s="274"/>
      <c r="DY283" s="274"/>
      <c r="DZ283" s="274"/>
      <c r="EA283" s="274"/>
      <c r="EB283" s="274"/>
      <c r="EC283" s="274"/>
      <c r="ED283" s="39">
        <f t="shared" si="98"/>
        <v>7706186</v>
      </c>
      <c r="EE283" s="30">
        <f t="shared" si="99"/>
        <v>5</v>
      </c>
      <c r="EF283" s="39">
        <f t="shared" si="100"/>
        <v>1541237.2</v>
      </c>
    </row>
    <row r="284" spans="1:136" ht="25.5" x14ac:dyDescent="0.25">
      <c r="A284" s="25" t="e">
        <f>#REF!</f>
        <v>#REF!</v>
      </c>
      <c r="B284" s="50" t="e">
        <f>#REF!</f>
        <v>#REF!</v>
      </c>
      <c r="C284" s="5" t="e">
        <f>#REF!</f>
        <v>#REF!</v>
      </c>
      <c r="D284" s="5" t="e">
        <f>#REF!</f>
        <v>#REF!</v>
      </c>
      <c r="E284" s="252">
        <v>1</v>
      </c>
      <c r="F284" s="249">
        <v>4427157</v>
      </c>
      <c r="G284" s="249">
        <v>4272100</v>
      </c>
      <c r="H284" s="249">
        <v>0</v>
      </c>
      <c r="I284" s="249">
        <v>0</v>
      </c>
      <c r="J284" s="249">
        <v>0</v>
      </c>
      <c r="K284" s="249">
        <v>0</v>
      </c>
      <c r="L284" s="274">
        <f>F284</f>
        <v>4427157</v>
      </c>
      <c r="M284" s="274">
        <f>G284*E1</f>
        <v>4400263</v>
      </c>
      <c r="N284" s="255">
        <v>1250000</v>
      </c>
      <c r="O284" s="135">
        <f t="shared" si="103"/>
        <v>237500</v>
      </c>
      <c r="P284" s="135">
        <f t="shared" si="104"/>
        <v>1487500</v>
      </c>
      <c r="Q284" s="131"/>
      <c r="R284" s="131"/>
      <c r="S284" s="11"/>
      <c r="T284" s="274"/>
      <c r="U284" s="274"/>
      <c r="V284" s="274"/>
      <c r="W284" s="39"/>
      <c r="X284" s="11"/>
      <c r="Y284" s="11"/>
      <c r="Z284" s="274">
        <f>+(1240000/300)*500</f>
        <v>2066666.6666666665</v>
      </c>
      <c r="AA284" s="274">
        <f>+Z284*0.19</f>
        <v>392666.66666666663</v>
      </c>
      <c r="AB284" s="274">
        <f>+Z284+AA284</f>
        <v>2459333.333333333</v>
      </c>
      <c r="AC284" s="5" t="s">
        <v>4826</v>
      </c>
      <c r="AD284" s="22" t="s">
        <v>4795</v>
      </c>
      <c r="AE284" s="39"/>
      <c r="AF284" s="274"/>
      <c r="AG284" s="274"/>
      <c r="AH284" s="169"/>
      <c r="AI284" s="24"/>
      <c r="AJ284" s="39"/>
      <c r="AK284" s="39"/>
      <c r="AL284" s="118"/>
      <c r="AM284" s="152"/>
      <c r="AN284" s="181"/>
      <c r="AO284" s="131"/>
      <c r="AP284" s="131"/>
      <c r="AQ284" s="39"/>
      <c r="AR284" s="274"/>
      <c r="AS284" s="274"/>
      <c r="AT284" s="274"/>
      <c r="AU284" s="39"/>
      <c r="AV284" s="39"/>
      <c r="AW284" s="39"/>
      <c r="AX284" s="274"/>
      <c r="AY284" s="274"/>
      <c r="AZ284" s="274"/>
      <c r="BA284" s="39"/>
      <c r="BB284" s="62"/>
      <c r="BC284" s="39"/>
      <c r="BD284" s="274"/>
      <c r="BE284" s="274"/>
      <c r="BF284" s="274"/>
      <c r="BG284" s="39"/>
      <c r="BH284" s="39"/>
      <c r="BI284" s="39"/>
      <c r="BJ284" s="275">
        <v>8000000</v>
      </c>
      <c r="BK284" s="274">
        <f t="shared" si="105"/>
        <v>1520000</v>
      </c>
      <c r="BL284" s="274">
        <f t="shared" si="106"/>
        <v>9520000</v>
      </c>
      <c r="BM284" s="213" t="s">
        <v>4827</v>
      </c>
      <c r="BN284" s="213" t="s">
        <v>3166</v>
      </c>
      <c r="BO284" s="39"/>
      <c r="BP284" s="274">
        <v>1456000</v>
      </c>
      <c r="BQ284" s="274">
        <f>+BP284*19%</f>
        <v>276640</v>
      </c>
      <c r="BR284" s="274">
        <f>+BQ284+BP284</f>
        <v>1732640</v>
      </c>
      <c r="BS284" s="39"/>
      <c r="BT284" s="39"/>
      <c r="BU284" s="39"/>
      <c r="BV284" s="219"/>
      <c r="BW284" s="219"/>
      <c r="BX284" s="273"/>
      <c r="BY284" s="213"/>
      <c r="BZ284" s="213"/>
      <c r="CA284" s="213"/>
      <c r="CB284" s="274"/>
      <c r="CC284" s="274"/>
      <c r="CD284" s="274"/>
      <c r="CE284" s="39"/>
      <c r="CF284" s="39"/>
      <c r="CG284" s="39"/>
      <c r="CH284" s="274"/>
      <c r="CI284" s="274"/>
      <c r="CJ284" s="274"/>
      <c r="CK284" s="39"/>
      <c r="CL284" s="39"/>
      <c r="CM284" s="39"/>
      <c r="CN284" s="39"/>
      <c r="CO284" s="39"/>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274"/>
      <c r="DM284" s="274"/>
      <c r="DN284" s="274"/>
      <c r="DO284" s="274"/>
      <c r="DP284" s="274"/>
      <c r="DQ284" s="274"/>
      <c r="DR284" s="274"/>
      <c r="DS284" s="274"/>
      <c r="DT284" s="274"/>
      <c r="DU284" s="274"/>
      <c r="DV284" s="274"/>
      <c r="DW284" s="274"/>
      <c r="DX284" s="274"/>
      <c r="DY284" s="274"/>
      <c r="DZ284" s="274"/>
      <c r="EA284" s="274"/>
      <c r="EB284" s="274"/>
      <c r="EC284" s="274"/>
      <c r="ED284" s="39">
        <f t="shared" si="98"/>
        <v>19599736.333333332</v>
      </c>
      <c r="EE284" s="30">
        <f t="shared" si="99"/>
        <v>5</v>
      </c>
      <c r="EF284" s="39">
        <f t="shared" si="100"/>
        <v>3919947.2666666666</v>
      </c>
    </row>
    <row r="285" spans="1:136" ht="25.5" x14ac:dyDescent="0.25">
      <c r="A285" s="25" t="e">
        <f>#REF!</f>
        <v>#REF!</v>
      </c>
      <c r="B285" s="50" t="e">
        <f>#REF!</f>
        <v>#REF!</v>
      </c>
      <c r="C285" s="5" t="e">
        <f>#REF!</f>
        <v>#REF!</v>
      </c>
      <c r="D285" s="5" t="e">
        <f>#REF!</f>
        <v>#REF!</v>
      </c>
      <c r="E285" s="252">
        <v>1</v>
      </c>
      <c r="F285" s="249">
        <v>1676313.3333333335</v>
      </c>
      <c r="G285" s="249">
        <v>1617567</v>
      </c>
      <c r="H285" s="249">
        <v>1350134.3333333333</v>
      </c>
      <c r="I285" s="249">
        <v>0</v>
      </c>
      <c r="J285" s="249">
        <v>1191268.8374999999</v>
      </c>
      <c r="K285" s="249">
        <v>1172150</v>
      </c>
      <c r="L285" s="274">
        <f>AVERAGE(F285,H285,J285)</f>
        <v>1405905.5013888888</v>
      </c>
      <c r="M285" s="274">
        <f>AVERAGE(G285,K285)*E1</f>
        <v>1436704.2550000001</v>
      </c>
      <c r="N285" s="255">
        <v>1250000</v>
      </c>
      <c r="O285" s="135">
        <f t="shared" si="103"/>
        <v>237500</v>
      </c>
      <c r="P285" s="135">
        <f t="shared" si="104"/>
        <v>1487500</v>
      </c>
      <c r="Q285" s="131"/>
      <c r="R285" s="131"/>
      <c r="S285" s="11"/>
      <c r="T285" s="274"/>
      <c r="U285" s="274"/>
      <c r="V285" s="274"/>
      <c r="W285" s="39"/>
      <c r="X285" s="11"/>
      <c r="Y285" s="11"/>
      <c r="Z285" s="274">
        <f>+(860000/40)*50</f>
        <v>1075000</v>
      </c>
      <c r="AA285" s="274">
        <f>+Z285*0.19</f>
        <v>204250</v>
      </c>
      <c r="AB285" s="274">
        <f>+Z285+AA285</f>
        <v>1279250</v>
      </c>
      <c r="AC285" s="5" t="s">
        <v>4828</v>
      </c>
      <c r="AD285" s="22" t="s">
        <v>4795</v>
      </c>
      <c r="AE285" s="39"/>
      <c r="AF285" s="274"/>
      <c r="AG285" s="274"/>
      <c r="AH285" s="169"/>
      <c r="AI285" s="4"/>
      <c r="AJ285" s="39"/>
      <c r="AK285" s="39"/>
      <c r="AL285" s="118"/>
      <c r="AM285" s="152"/>
      <c r="AN285" s="181"/>
      <c r="AO285" s="131"/>
      <c r="AP285" s="131"/>
      <c r="AQ285" s="39"/>
      <c r="AR285" s="274"/>
      <c r="AS285" s="274"/>
      <c r="AT285" s="274"/>
      <c r="AU285" s="39"/>
      <c r="AV285" s="39"/>
      <c r="AW285" s="39"/>
      <c r="AX285" s="274"/>
      <c r="AY285" s="274"/>
      <c r="AZ285" s="274"/>
      <c r="BA285" s="39"/>
      <c r="BB285" s="62"/>
      <c r="BC285" s="39"/>
      <c r="BD285" s="274"/>
      <c r="BE285" s="274"/>
      <c r="BF285" s="274"/>
      <c r="BG285" s="39"/>
      <c r="BH285" s="39"/>
      <c r="BI285" s="39"/>
      <c r="BJ285" s="274">
        <v>1944800</v>
      </c>
      <c r="BK285" s="274">
        <f t="shared" si="105"/>
        <v>369512</v>
      </c>
      <c r="BL285" s="274">
        <f t="shared" si="106"/>
        <v>2314312</v>
      </c>
      <c r="BM285" s="213" t="s">
        <v>4829</v>
      </c>
      <c r="BN285" s="213" t="s">
        <v>3166</v>
      </c>
      <c r="BO285" s="39"/>
      <c r="BP285" s="274">
        <v>1365000</v>
      </c>
      <c r="BQ285" s="274">
        <f>+BP285*19%</f>
        <v>259350</v>
      </c>
      <c r="BR285" s="274">
        <f>+BQ285+BP285</f>
        <v>1624350</v>
      </c>
      <c r="BS285" s="39"/>
      <c r="BT285" s="39"/>
      <c r="BU285" s="39"/>
      <c r="BV285" s="219">
        <v>2164797.7208000002</v>
      </c>
      <c r="BW285" s="219">
        <f>+BV285*0.19</f>
        <v>411311.56695200002</v>
      </c>
      <c r="BX285" s="273">
        <f>+BV285+BW285</f>
        <v>2576109.2877520001</v>
      </c>
      <c r="BY285" s="213" t="s">
        <v>4829</v>
      </c>
      <c r="BZ285" s="213" t="s">
        <v>3166</v>
      </c>
      <c r="CA285" s="213"/>
      <c r="CB285" s="274"/>
      <c r="CC285" s="274"/>
      <c r="CD285" s="274"/>
      <c r="CE285" s="39"/>
      <c r="CF285" s="39"/>
      <c r="CG285" s="39"/>
      <c r="CH285" s="274"/>
      <c r="CI285" s="274"/>
      <c r="CJ285" s="274"/>
      <c r="CK285" s="39"/>
      <c r="CL285" s="39"/>
      <c r="CM285" s="39"/>
      <c r="CN285" s="39"/>
      <c r="CO285" s="39"/>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274"/>
      <c r="DM285" s="274"/>
      <c r="DN285" s="274"/>
      <c r="DO285" s="274"/>
      <c r="DP285" s="274"/>
      <c r="DQ285" s="274"/>
      <c r="DR285" s="274"/>
      <c r="DS285" s="274"/>
      <c r="DT285" s="274"/>
      <c r="DU285" s="274"/>
      <c r="DV285" s="274"/>
      <c r="DW285" s="274"/>
      <c r="DX285" s="274"/>
      <c r="DY285" s="274"/>
      <c r="DZ285" s="274"/>
      <c r="EA285" s="274"/>
      <c r="EB285" s="274"/>
      <c r="EC285" s="274"/>
      <c r="ED285" s="39">
        <f t="shared" si="98"/>
        <v>10718225.542752</v>
      </c>
      <c r="EE285" s="30">
        <f t="shared" si="99"/>
        <v>6</v>
      </c>
      <c r="EF285" s="39">
        <f t="shared" si="100"/>
        <v>1786370.9237919999</v>
      </c>
    </row>
    <row r="286" spans="1:136" x14ac:dyDescent="0.25">
      <c r="A286" s="25" t="e">
        <f>#REF!</f>
        <v>#REF!</v>
      </c>
      <c r="B286" s="50" t="e">
        <f>#REF!</f>
        <v>#REF!</v>
      </c>
      <c r="C286" s="5" t="e">
        <f>#REF!</f>
        <v>#REF!</v>
      </c>
      <c r="D286" s="5" t="e">
        <f>#REF!</f>
        <v>#REF!</v>
      </c>
      <c r="E286" s="252">
        <v>1</v>
      </c>
      <c r="F286" s="249">
        <v>36771</v>
      </c>
      <c r="G286" s="249">
        <v>36176</v>
      </c>
      <c r="H286" s="249">
        <v>74766.543866535823</v>
      </c>
      <c r="I286" s="249">
        <v>74732</v>
      </c>
      <c r="J286" s="249">
        <v>0</v>
      </c>
      <c r="K286" s="249">
        <v>0</v>
      </c>
      <c r="L286" s="274">
        <f>AVERAGE(F286,H286)</f>
        <v>55768.771933267912</v>
      </c>
      <c r="M286" s="274">
        <f>AVERAGE(G286,I286)*E1</f>
        <v>57117.62</v>
      </c>
      <c r="N286" s="255">
        <v>55000</v>
      </c>
      <c r="O286" s="135">
        <f t="shared" si="103"/>
        <v>10450</v>
      </c>
      <c r="P286" s="135">
        <f t="shared" si="104"/>
        <v>65450</v>
      </c>
      <c r="Q286" s="131"/>
      <c r="R286" s="131"/>
      <c r="S286" s="11"/>
      <c r="T286" s="274">
        <v>49500.000000000007</v>
      </c>
      <c r="U286" s="274">
        <f>+T286*0.19</f>
        <v>9405.0000000000018</v>
      </c>
      <c r="V286" s="274">
        <f>+T286+U286</f>
        <v>58905.000000000007</v>
      </c>
      <c r="W286" s="39" t="s">
        <v>2956</v>
      </c>
      <c r="X286" s="11" t="s">
        <v>510</v>
      </c>
      <c r="Y286" s="11"/>
      <c r="Z286" s="274"/>
      <c r="AA286" s="274"/>
      <c r="AB286" s="274"/>
      <c r="AC286" s="5"/>
      <c r="AD286" s="22"/>
      <c r="AE286" s="39"/>
      <c r="AF286" s="118">
        <v>70537.200000000012</v>
      </c>
      <c r="AG286" s="118">
        <f>+AF286*0.19</f>
        <v>13402.068000000003</v>
      </c>
      <c r="AH286" s="170">
        <f>+AF286+AG286</f>
        <v>83939.268000000011</v>
      </c>
      <c r="AI286" s="52" t="s">
        <v>445</v>
      </c>
      <c r="AJ286" s="52" t="s">
        <v>4673</v>
      </c>
      <c r="AK286" s="39"/>
      <c r="AL286" s="118"/>
      <c r="AM286" s="152"/>
      <c r="AN286" s="181"/>
      <c r="AO286" s="131"/>
      <c r="AP286" s="131"/>
      <c r="AQ286" s="39"/>
      <c r="AR286" s="274"/>
      <c r="AS286" s="274"/>
      <c r="AT286" s="274"/>
      <c r="AU286" s="39"/>
      <c r="AV286" s="39"/>
      <c r="AW286" s="39"/>
      <c r="AX286" s="274"/>
      <c r="AY286" s="274"/>
      <c r="AZ286" s="274"/>
      <c r="BA286" s="39"/>
      <c r="BB286" s="62"/>
      <c r="BC286" s="39"/>
      <c r="BD286" s="274"/>
      <c r="BE286" s="274"/>
      <c r="BF286" s="274"/>
      <c r="BG286" s="39"/>
      <c r="BH286" s="39"/>
      <c r="BI286" s="39"/>
      <c r="BJ286" s="274">
        <v>155300</v>
      </c>
      <c r="BK286" s="274">
        <f t="shared" si="105"/>
        <v>29507</v>
      </c>
      <c r="BL286" s="274">
        <f t="shared" si="106"/>
        <v>184807</v>
      </c>
      <c r="BM286" s="214" t="s">
        <v>445</v>
      </c>
      <c r="BN286" s="213" t="s">
        <v>4809</v>
      </c>
      <c r="BO286" s="39"/>
      <c r="BP286" s="274"/>
      <c r="BQ286" s="274"/>
      <c r="BR286" s="274"/>
      <c r="BS286" s="39"/>
      <c r="BT286" s="39"/>
      <c r="BU286" s="39"/>
      <c r="BV286" s="219">
        <v>179569.04160000003</v>
      </c>
      <c r="BW286" s="219">
        <f>+BV286*0.19</f>
        <v>34118.117904000006</v>
      </c>
      <c r="BX286" s="273">
        <f>+BV286+BW286</f>
        <v>213687.15950400004</v>
      </c>
      <c r="BY286" s="214" t="s">
        <v>445</v>
      </c>
      <c r="BZ286" s="213" t="s">
        <v>4809</v>
      </c>
      <c r="CA286" s="213"/>
      <c r="CB286" s="274"/>
      <c r="CC286" s="274"/>
      <c r="CD286" s="274"/>
      <c r="CE286" s="39"/>
      <c r="CF286" s="39"/>
      <c r="CG286" s="39"/>
      <c r="CH286" s="274"/>
      <c r="CI286" s="274"/>
      <c r="CJ286" s="274"/>
      <c r="CK286" s="39"/>
      <c r="CL286" s="39"/>
      <c r="CM286" s="39"/>
      <c r="CN286" s="39"/>
      <c r="CO286" s="39"/>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274"/>
      <c r="DM286" s="274"/>
      <c r="DN286" s="274"/>
      <c r="DO286" s="274"/>
      <c r="DP286" s="274"/>
      <c r="DQ286" s="274"/>
      <c r="DR286" s="274"/>
      <c r="DS286" s="274"/>
      <c r="DT286" s="274"/>
      <c r="DU286" s="274"/>
      <c r="DV286" s="274"/>
      <c r="DW286" s="274"/>
      <c r="DX286" s="274"/>
      <c r="DY286" s="274"/>
      <c r="DZ286" s="274"/>
      <c r="EA286" s="274"/>
      <c r="EB286" s="274"/>
      <c r="EC286" s="274"/>
      <c r="ED286" s="39">
        <f t="shared" si="98"/>
        <v>663906.04750400013</v>
      </c>
      <c r="EE286" s="30">
        <f t="shared" si="99"/>
        <v>6</v>
      </c>
      <c r="EF286" s="39">
        <f t="shared" si="100"/>
        <v>110651.00791733335</v>
      </c>
    </row>
    <row r="287" spans="1:136" x14ac:dyDescent="0.25">
      <c r="A287" s="25" t="e">
        <f>#REF!</f>
        <v>#REF!</v>
      </c>
      <c r="B287" s="50" t="e">
        <f>#REF!</f>
        <v>#REF!</v>
      </c>
      <c r="C287" s="5" t="e">
        <f>#REF!</f>
        <v>#REF!</v>
      </c>
      <c r="D287" s="5" t="e">
        <f>#REF!</f>
        <v>#REF!</v>
      </c>
      <c r="E287" s="252">
        <v>1</v>
      </c>
      <c r="F287" s="249">
        <v>0</v>
      </c>
      <c r="G287" s="249">
        <v>0</v>
      </c>
      <c r="H287" s="249">
        <v>0</v>
      </c>
      <c r="I287" s="249">
        <v>0</v>
      </c>
      <c r="J287" s="249">
        <v>78153.443999999989</v>
      </c>
      <c r="K287" s="249">
        <v>78064</v>
      </c>
      <c r="L287" s="274">
        <f>J287</f>
        <v>78153.443999999989</v>
      </c>
      <c r="M287" s="274">
        <f>K287*E1</f>
        <v>80405.919999999998</v>
      </c>
      <c r="N287" s="255">
        <v>100000</v>
      </c>
      <c r="O287" s="135">
        <f t="shared" si="103"/>
        <v>19000</v>
      </c>
      <c r="P287" s="135">
        <f t="shared" si="104"/>
        <v>119000</v>
      </c>
      <c r="Q287" s="131"/>
      <c r="R287" s="131"/>
      <c r="S287" s="11"/>
      <c r="T287" s="274">
        <v>103400.00000000001</v>
      </c>
      <c r="U287" s="274">
        <f>+T287*0.19</f>
        <v>19646.000000000004</v>
      </c>
      <c r="V287" s="274">
        <f>+T287+U287</f>
        <v>123046.00000000001</v>
      </c>
      <c r="W287" s="39" t="s">
        <v>2956</v>
      </c>
      <c r="X287" s="11" t="s">
        <v>510</v>
      </c>
      <c r="Y287" s="11"/>
      <c r="Z287" s="274"/>
      <c r="AA287" s="274"/>
      <c r="AB287" s="274"/>
      <c r="AC287" s="5"/>
      <c r="AD287" s="22"/>
      <c r="AE287" s="39"/>
      <c r="AF287" s="118">
        <v>128097.00000000001</v>
      </c>
      <c r="AG287" s="118">
        <f>+AF287*0.19</f>
        <v>24338.430000000004</v>
      </c>
      <c r="AH287" s="170">
        <f>+AF287+AG287</f>
        <v>152435.43000000002</v>
      </c>
      <c r="AI287" s="52" t="s">
        <v>445</v>
      </c>
      <c r="AJ287" s="52" t="s">
        <v>4673</v>
      </c>
      <c r="AK287" s="39"/>
      <c r="AL287" s="118"/>
      <c r="AM287" s="152"/>
      <c r="AN287" s="181"/>
      <c r="AO287" s="131"/>
      <c r="AP287" s="131"/>
      <c r="AQ287" s="39"/>
      <c r="AR287" s="274"/>
      <c r="AS287" s="274"/>
      <c r="AT287" s="274"/>
      <c r="AU287" s="39"/>
      <c r="AV287" s="39"/>
      <c r="AW287" s="39"/>
      <c r="AX287" s="274"/>
      <c r="AY287" s="274"/>
      <c r="AZ287" s="274"/>
      <c r="BA287" s="39"/>
      <c r="BB287" s="62"/>
      <c r="BC287" s="39"/>
      <c r="BD287" s="274"/>
      <c r="BE287" s="274"/>
      <c r="BF287" s="274"/>
      <c r="BG287" s="39"/>
      <c r="BH287" s="39"/>
      <c r="BI287" s="39"/>
      <c r="BJ287" s="274">
        <v>213500</v>
      </c>
      <c r="BK287" s="274">
        <f t="shared" si="105"/>
        <v>40565</v>
      </c>
      <c r="BL287" s="274">
        <f t="shared" si="106"/>
        <v>254065</v>
      </c>
      <c r="BM287" s="214" t="s">
        <v>445</v>
      </c>
      <c r="BN287" s="213" t="s">
        <v>4809</v>
      </c>
      <c r="BO287" s="39"/>
      <c r="BP287" s="274"/>
      <c r="BQ287" s="274"/>
      <c r="BR287" s="274"/>
      <c r="BS287" s="39"/>
      <c r="BT287" s="39"/>
      <c r="BU287" s="39"/>
      <c r="BV287" s="219">
        <v>233209.2525</v>
      </c>
      <c r="BW287" s="219">
        <f>+BV287*0.19</f>
        <v>44309.757975</v>
      </c>
      <c r="BX287" s="273">
        <f>+BV287+BW287</f>
        <v>277519.01047500002</v>
      </c>
      <c r="BY287" s="214" t="s">
        <v>445</v>
      </c>
      <c r="BZ287" s="213" t="s">
        <v>4809</v>
      </c>
      <c r="CA287" s="213"/>
      <c r="CB287" s="274"/>
      <c r="CC287" s="274"/>
      <c r="CD287" s="274"/>
      <c r="CE287" s="39"/>
      <c r="CF287" s="39"/>
      <c r="CG287" s="39"/>
      <c r="CH287" s="274"/>
      <c r="CI287" s="274"/>
      <c r="CJ287" s="274"/>
      <c r="CK287" s="39"/>
      <c r="CL287" s="39"/>
      <c r="CM287" s="39"/>
      <c r="CN287" s="39"/>
      <c r="CO287" s="39"/>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274"/>
      <c r="DM287" s="274"/>
      <c r="DN287" s="274"/>
      <c r="DO287" s="274"/>
      <c r="DP287" s="274"/>
      <c r="DQ287" s="274"/>
      <c r="DR287" s="274"/>
      <c r="DS287" s="274"/>
      <c r="DT287" s="274"/>
      <c r="DU287" s="274"/>
      <c r="DV287" s="274"/>
      <c r="DW287" s="274"/>
      <c r="DX287" s="274"/>
      <c r="DY287" s="274"/>
      <c r="DZ287" s="274"/>
      <c r="EA287" s="274"/>
      <c r="EB287" s="274"/>
      <c r="EC287" s="274"/>
      <c r="ED287" s="39">
        <f t="shared" si="98"/>
        <v>1006471.360475</v>
      </c>
      <c r="EE287" s="30">
        <f t="shared" si="99"/>
        <v>6</v>
      </c>
      <c r="EF287" s="39">
        <f t="shared" si="100"/>
        <v>167745.22674583332</v>
      </c>
    </row>
    <row r="288" spans="1:136" x14ac:dyDescent="0.25">
      <c r="A288" s="25" t="e">
        <f>#REF!</f>
        <v>#REF!</v>
      </c>
      <c r="B288" s="50" t="e">
        <f>#REF!</f>
        <v>#REF!</v>
      </c>
      <c r="C288" s="5" t="e">
        <f>#REF!</f>
        <v>#REF!</v>
      </c>
      <c r="D288" s="5" t="e">
        <f>#REF!</f>
        <v>#REF!</v>
      </c>
      <c r="E288" s="252">
        <v>1</v>
      </c>
      <c r="F288" s="249">
        <v>0</v>
      </c>
      <c r="G288" s="249">
        <v>0</v>
      </c>
      <c r="H288" s="249">
        <v>0</v>
      </c>
      <c r="I288" s="249">
        <v>0</v>
      </c>
      <c r="J288" s="249">
        <v>0</v>
      </c>
      <c r="K288" s="249">
        <v>0</v>
      </c>
      <c r="L288" s="274"/>
      <c r="M288" s="274"/>
      <c r="N288" s="255">
        <v>50000</v>
      </c>
      <c r="O288" s="135">
        <f t="shared" si="103"/>
        <v>9500</v>
      </c>
      <c r="P288" s="135">
        <f t="shared" si="104"/>
        <v>59500</v>
      </c>
      <c r="Q288" s="131"/>
      <c r="R288" s="131"/>
      <c r="S288" s="11"/>
      <c r="T288" s="274"/>
      <c r="U288" s="274"/>
      <c r="V288" s="274"/>
      <c r="W288" s="39"/>
      <c r="X288" s="11"/>
      <c r="Y288" s="11"/>
      <c r="Z288" s="274"/>
      <c r="AA288" s="274"/>
      <c r="AB288" s="274"/>
      <c r="AC288" s="5"/>
      <c r="AD288" s="22"/>
      <c r="AE288" s="39"/>
      <c r="AF288" s="118">
        <v>56785.80000000001</v>
      </c>
      <c r="AG288" s="118">
        <f>+AF288*0.19</f>
        <v>10789.302000000001</v>
      </c>
      <c r="AH288" s="170">
        <f>+AF288+AG288</f>
        <v>67575.102000000014</v>
      </c>
      <c r="AI288" s="52" t="s">
        <v>445</v>
      </c>
      <c r="AJ288" s="52" t="s">
        <v>4673</v>
      </c>
      <c r="AK288" s="39"/>
      <c r="AL288" s="118"/>
      <c r="AM288" s="152"/>
      <c r="AN288" s="181"/>
      <c r="AO288" s="131"/>
      <c r="AP288" s="131"/>
      <c r="AQ288" s="39"/>
      <c r="AR288" s="274"/>
      <c r="AS288" s="274"/>
      <c r="AT288" s="274"/>
      <c r="AU288" s="39"/>
      <c r="AV288" s="39"/>
      <c r="AW288" s="39"/>
      <c r="AX288" s="274"/>
      <c r="AY288" s="274"/>
      <c r="AZ288" s="274"/>
      <c r="BA288" s="39"/>
      <c r="BB288" s="62"/>
      <c r="BC288" s="39"/>
      <c r="BD288" s="274"/>
      <c r="BE288" s="274"/>
      <c r="BF288" s="274"/>
      <c r="BG288" s="39"/>
      <c r="BH288" s="39"/>
      <c r="BI288" s="39"/>
      <c r="BJ288" s="274"/>
      <c r="BK288" s="274"/>
      <c r="BL288" s="274"/>
      <c r="BM288" s="213"/>
      <c r="BN288" s="213"/>
      <c r="BO288" s="39"/>
      <c r="BP288" s="274"/>
      <c r="BQ288" s="274"/>
      <c r="BR288" s="274"/>
      <c r="BS288" s="39"/>
      <c r="BT288" s="39"/>
      <c r="BU288" s="39"/>
      <c r="BV288" s="212"/>
      <c r="BW288" s="221"/>
      <c r="BX288" s="273"/>
      <c r="BY288" s="213"/>
      <c r="BZ288" s="213"/>
      <c r="CA288" s="213"/>
      <c r="CB288" s="274"/>
      <c r="CC288" s="274"/>
      <c r="CD288" s="274"/>
      <c r="CE288" s="39"/>
      <c r="CF288" s="39"/>
      <c r="CG288" s="39"/>
      <c r="CH288" s="274"/>
      <c r="CI288" s="274"/>
      <c r="CJ288" s="274"/>
      <c r="CK288" s="39"/>
      <c r="CL288" s="39"/>
      <c r="CM288" s="39"/>
      <c r="CN288" s="39"/>
      <c r="CO288" s="39"/>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274"/>
      <c r="DM288" s="274"/>
      <c r="DN288" s="274"/>
      <c r="DO288" s="274"/>
      <c r="DP288" s="274"/>
      <c r="DQ288" s="274"/>
      <c r="DR288" s="274"/>
      <c r="DS288" s="274"/>
      <c r="DT288" s="274"/>
      <c r="DU288" s="274"/>
      <c r="DV288" s="274"/>
      <c r="DW288" s="274"/>
      <c r="DX288" s="274"/>
      <c r="DY288" s="274"/>
      <c r="DZ288" s="274"/>
      <c r="EA288" s="274"/>
      <c r="EB288" s="274"/>
      <c r="EC288" s="274"/>
      <c r="ED288" s="39">
        <f t="shared" si="98"/>
        <v>127075.10200000001</v>
      </c>
      <c r="EE288" s="30">
        <f t="shared" si="99"/>
        <v>2</v>
      </c>
      <c r="EF288" s="39">
        <f t="shared" si="100"/>
        <v>63537.551000000007</v>
      </c>
    </row>
    <row r="289" spans="1:136" x14ac:dyDescent="0.25">
      <c r="A289" s="25" t="e">
        <f>#REF!</f>
        <v>#REF!</v>
      </c>
      <c r="B289" s="50" t="e">
        <f>#REF!</f>
        <v>#REF!</v>
      </c>
      <c r="C289" s="5" t="e">
        <f>#REF!</f>
        <v>#REF!</v>
      </c>
      <c r="D289" s="5" t="e">
        <f>#REF!</f>
        <v>#REF!</v>
      </c>
      <c r="E289" s="252">
        <v>1</v>
      </c>
      <c r="F289" s="249">
        <v>0</v>
      </c>
      <c r="G289" s="249">
        <v>0</v>
      </c>
      <c r="H289" s="249">
        <v>0</v>
      </c>
      <c r="I289" s="249">
        <v>0</v>
      </c>
      <c r="J289" s="249">
        <v>0</v>
      </c>
      <c r="K289" s="249">
        <v>0</v>
      </c>
      <c r="L289" s="274"/>
      <c r="M289" s="274"/>
      <c r="N289" s="255">
        <v>90000</v>
      </c>
      <c r="O289" s="135">
        <f t="shared" si="103"/>
        <v>17100</v>
      </c>
      <c r="P289" s="135">
        <f t="shared" si="104"/>
        <v>107100</v>
      </c>
      <c r="Q289" s="131"/>
      <c r="R289" s="131"/>
      <c r="S289" s="11"/>
      <c r="T289" s="274">
        <v>75900</v>
      </c>
      <c r="U289" s="274">
        <f>+T289*0.19</f>
        <v>14421</v>
      </c>
      <c r="V289" s="274">
        <f>+T289+U289</f>
        <v>90321</v>
      </c>
      <c r="W289" s="39" t="s">
        <v>2956</v>
      </c>
      <c r="X289" s="11" t="s">
        <v>510</v>
      </c>
      <c r="Y289" s="11"/>
      <c r="Z289" s="274"/>
      <c r="AA289" s="274"/>
      <c r="AB289" s="274"/>
      <c r="AC289" s="5"/>
      <c r="AD289" s="22"/>
      <c r="AE289" s="39"/>
      <c r="AF289" s="118">
        <v>91125.60000000002</v>
      </c>
      <c r="AG289" s="118">
        <f>+AF289*0.19</f>
        <v>17313.864000000005</v>
      </c>
      <c r="AH289" s="170">
        <f>+AF289+AG289</f>
        <v>108439.46400000002</v>
      </c>
      <c r="AI289" s="52" t="s">
        <v>445</v>
      </c>
      <c r="AJ289" s="52" t="s">
        <v>4673</v>
      </c>
      <c r="AK289" s="39"/>
      <c r="AL289" s="118"/>
      <c r="AM289" s="152"/>
      <c r="AN289" s="181"/>
      <c r="AO289" s="131"/>
      <c r="AP289" s="131"/>
      <c r="AQ289" s="39"/>
      <c r="AR289" s="274"/>
      <c r="AS289" s="274"/>
      <c r="AT289" s="274"/>
      <c r="AU289" s="39"/>
      <c r="AV289" s="39"/>
      <c r="AW289" s="39"/>
      <c r="AX289" s="274"/>
      <c r="AY289" s="274"/>
      <c r="AZ289" s="274"/>
      <c r="BA289" s="39"/>
      <c r="BB289" s="62"/>
      <c r="BC289" s="39"/>
      <c r="BD289" s="274"/>
      <c r="BE289" s="274"/>
      <c r="BF289" s="274"/>
      <c r="BG289" s="39"/>
      <c r="BH289" s="39"/>
      <c r="BI289" s="39"/>
      <c r="BJ289" s="274">
        <v>175000</v>
      </c>
      <c r="BK289" s="274">
        <f>+BJ289*0.19</f>
        <v>33250</v>
      </c>
      <c r="BL289" s="274">
        <f>+BJ289+BK289</f>
        <v>208250</v>
      </c>
      <c r="BM289" s="214" t="s">
        <v>445</v>
      </c>
      <c r="BN289" s="213" t="s">
        <v>4809</v>
      </c>
      <c r="BO289" s="39"/>
      <c r="BP289" s="274"/>
      <c r="BQ289" s="274"/>
      <c r="BR289" s="274"/>
      <c r="BS289" s="39"/>
      <c r="BT289" s="39"/>
      <c r="BU289" s="39"/>
      <c r="BV289" s="219">
        <v>189352.80000000002</v>
      </c>
      <c r="BW289" s="219">
        <f>+BV289*0.19</f>
        <v>35977.032000000007</v>
      </c>
      <c r="BX289" s="273">
        <f>+BV289+BW289</f>
        <v>225329.83200000002</v>
      </c>
      <c r="BY289" s="214" t="s">
        <v>445</v>
      </c>
      <c r="BZ289" s="213" t="s">
        <v>4809</v>
      </c>
      <c r="CA289" s="213"/>
      <c r="CB289" s="274"/>
      <c r="CC289" s="274"/>
      <c r="CD289" s="274"/>
      <c r="CE289" s="39"/>
      <c r="CF289" s="39"/>
      <c r="CG289" s="39"/>
      <c r="CH289" s="274"/>
      <c r="CI289" s="274"/>
      <c r="CJ289" s="274"/>
      <c r="CK289" s="39"/>
      <c r="CL289" s="39"/>
      <c r="CM289" s="39"/>
      <c r="CN289" s="39"/>
      <c r="CO289" s="39"/>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274"/>
      <c r="DM289" s="274"/>
      <c r="DN289" s="274"/>
      <c r="DO289" s="274"/>
      <c r="DP289" s="274"/>
      <c r="DQ289" s="274"/>
      <c r="DR289" s="274"/>
      <c r="DS289" s="274"/>
      <c r="DT289" s="274"/>
      <c r="DU289" s="274"/>
      <c r="DV289" s="274"/>
      <c r="DW289" s="274"/>
      <c r="DX289" s="274"/>
      <c r="DY289" s="274"/>
      <c r="DZ289" s="274"/>
      <c r="EA289" s="274"/>
      <c r="EB289" s="274"/>
      <c r="EC289" s="274"/>
      <c r="ED289" s="39">
        <f t="shared" si="98"/>
        <v>739440.29600000009</v>
      </c>
      <c r="EE289" s="30">
        <f t="shared" si="99"/>
        <v>5</v>
      </c>
      <c r="EF289" s="39">
        <f t="shared" si="100"/>
        <v>147888.05920000002</v>
      </c>
    </row>
    <row r="290" spans="1:136" x14ac:dyDescent="0.25">
      <c r="A290" s="25" t="e">
        <f>#REF!</f>
        <v>#REF!</v>
      </c>
      <c r="B290" s="50" t="e">
        <f>#REF!</f>
        <v>#REF!</v>
      </c>
      <c r="C290" s="5" t="e">
        <f>#REF!</f>
        <v>#REF!</v>
      </c>
      <c r="D290" s="5" t="e">
        <f>#REF!</f>
        <v>#REF!</v>
      </c>
      <c r="E290" s="252">
        <v>1</v>
      </c>
      <c r="F290" s="249">
        <v>0</v>
      </c>
      <c r="G290" s="249">
        <v>0</v>
      </c>
      <c r="H290" s="249">
        <v>169574.70571148186</v>
      </c>
      <c r="I290" s="249">
        <v>157080</v>
      </c>
      <c r="J290" s="249">
        <v>202353.984</v>
      </c>
      <c r="K290" s="249">
        <v>202300</v>
      </c>
      <c r="L290" s="274">
        <f>AVERAGE(H290,J290)</f>
        <v>185964.34485574093</v>
      </c>
      <c r="M290" s="274">
        <f>AVERAGE(I290,K290)*E1</f>
        <v>185080.7</v>
      </c>
      <c r="N290" s="255">
        <v>255000</v>
      </c>
      <c r="O290" s="135">
        <f t="shared" si="103"/>
        <v>48450</v>
      </c>
      <c r="P290" s="135">
        <f t="shared" si="104"/>
        <v>303450</v>
      </c>
      <c r="Q290" s="131"/>
      <c r="R290" s="131"/>
      <c r="S290" s="11"/>
      <c r="T290" s="274">
        <v>151800</v>
      </c>
      <c r="U290" s="274">
        <f>+T290*0.19</f>
        <v>28842</v>
      </c>
      <c r="V290" s="274">
        <f>+T290+U290</f>
        <v>180642</v>
      </c>
      <c r="W290" s="39" t="s">
        <v>2956</v>
      </c>
      <c r="X290" s="11" t="s">
        <v>510</v>
      </c>
      <c r="Y290" s="11"/>
      <c r="Z290" s="274"/>
      <c r="AA290" s="274"/>
      <c r="AB290" s="274"/>
      <c r="AC290" s="5"/>
      <c r="AD290" s="22"/>
      <c r="AE290" s="39"/>
      <c r="AF290" s="118">
        <v>163778.4</v>
      </c>
      <c r="AG290" s="118">
        <f>+AF290*0.19</f>
        <v>31117.896000000001</v>
      </c>
      <c r="AH290" s="170">
        <f>+AF290+AG290</f>
        <v>194896.296</v>
      </c>
      <c r="AI290" s="52" t="s">
        <v>445</v>
      </c>
      <c r="AJ290" s="52" t="s">
        <v>4673</v>
      </c>
      <c r="AK290" s="39"/>
      <c r="AL290" s="118"/>
      <c r="AM290" s="152"/>
      <c r="AN290" s="181"/>
      <c r="AO290" s="131"/>
      <c r="AP290" s="131"/>
      <c r="AQ290" s="39"/>
      <c r="AR290" s="274"/>
      <c r="AS290" s="274"/>
      <c r="AT290" s="274"/>
      <c r="AU290" s="39"/>
      <c r="AV290" s="39"/>
      <c r="AW290" s="39"/>
      <c r="AX290" s="274"/>
      <c r="AY290" s="274"/>
      <c r="AZ290" s="274"/>
      <c r="BA290" s="39"/>
      <c r="BB290" s="62"/>
      <c r="BC290" s="39"/>
      <c r="BD290" s="274"/>
      <c r="BE290" s="274"/>
      <c r="BF290" s="274"/>
      <c r="BG290" s="39"/>
      <c r="BH290" s="39"/>
      <c r="BI290" s="39"/>
      <c r="BJ290" s="274">
        <v>292400</v>
      </c>
      <c r="BK290" s="274">
        <f>+BJ290*0.19</f>
        <v>55556</v>
      </c>
      <c r="BL290" s="274">
        <f>+BJ290+BK290</f>
        <v>347956</v>
      </c>
      <c r="BM290" s="214" t="s">
        <v>445</v>
      </c>
      <c r="BN290" s="213" t="s">
        <v>4809</v>
      </c>
      <c r="BO290" s="39"/>
      <c r="BP290" s="274"/>
      <c r="BQ290" s="274"/>
      <c r="BR290" s="274"/>
      <c r="BS290" s="39"/>
      <c r="BT290" s="39"/>
      <c r="BU290" s="39"/>
      <c r="BV290" s="219">
        <v>319513.37480000005</v>
      </c>
      <c r="BW290" s="219">
        <f>+BV290*0.19</f>
        <v>60707.541212000011</v>
      </c>
      <c r="BX290" s="273">
        <f>+BV290+BW290</f>
        <v>380220.91601200006</v>
      </c>
      <c r="BY290" s="214" t="s">
        <v>445</v>
      </c>
      <c r="BZ290" s="213" t="s">
        <v>4809</v>
      </c>
      <c r="CA290" s="213"/>
      <c r="CB290" s="274"/>
      <c r="CC290" s="274"/>
      <c r="CD290" s="274"/>
      <c r="CE290" s="39"/>
      <c r="CF290" s="39"/>
      <c r="CG290" s="39"/>
      <c r="CH290" s="274"/>
      <c r="CI290" s="274"/>
      <c r="CJ290" s="274"/>
      <c r="CK290" s="39"/>
      <c r="CL290" s="39"/>
      <c r="CM290" s="39"/>
      <c r="CN290" s="39"/>
      <c r="CO290" s="39"/>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274"/>
      <c r="DM290" s="274"/>
      <c r="DN290" s="274"/>
      <c r="DO290" s="274"/>
      <c r="DP290" s="274"/>
      <c r="DQ290" s="274"/>
      <c r="DR290" s="274"/>
      <c r="DS290" s="274"/>
      <c r="DT290" s="274"/>
      <c r="DU290" s="274"/>
      <c r="DV290" s="274"/>
      <c r="DW290" s="274"/>
      <c r="DX290" s="274"/>
      <c r="DY290" s="274"/>
      <c r="DZ290" s="274"/>
      <c r="EA290" s="274"/>
      <c r="EB290" s="274"/>
      <c r="EC290" s="274"/>
      <c r="ED290" s="39">
        <f t="shared" si="98"/>
        <v>1592245.9120119999</v>
      </c>
      <c r="EE290" s="30">
        <f t="shared" si="99"/>
        <v>6</v>
      </c>
      <c r="EF290" s="39">
        <f t="shared" si="100"/>
        <v>265374.31866866664</v>
      </c>
    </row>
    <row r="291" spans="1:136" x14ac:dyDescent="0.25">
      <c r="A291" s="25" t="e">
        <f>#REF!</f>
        <v>#REF!</v>
      </c>
      <c r="B291" s="50" t="e">
        <f>#REF!</f>
        <v>#REF!</v>
      </c>
      <c r="C291" s="5" t="e">
        <f>#REF!</f>
        <v>#REF!</v>
      </c>
      <c r="D291" s="5" t="e">
        <f>#REF!</f>
        <v>#REF!</v>
      </c>
      <c r="E291" s="252">
        <v>1</v>
      </c>
      <c r="F291" s="249">
        <v>0</v>
      </c>
      <c r="G291" s="249">
        <v>0</v>
      </c>
      <c r="H291" s="249">
        <v>0</v>
      </c>
      <c r="I291" s="249">
        <v>0</v>
      </c>
      <c r="J291" s="249">
        <v>0</v>
      </c>
      <c r="K291" s="249">
        <v>0</v>
      </c>
      <c r="L291" s="274"/>
      <c r="M291" s="274"/>
      <c r="N291" s="255">
        <v>17500</v>
      </c>
      <c r="O291" s="135">
        <f t="shared" si="103"/>
        <v>3325</v>
      </c>
      <c r="P291" s="135">
        <f t="shared" si="104"/>
        <v>20825</v>
      </c>
      <c r="Q291" s="131"/>
      <c r="R291" s="131"/>
      <c r="S291" s="11"/>
      <c r="T291" s="274">
        <v>13090.000000000002</v>
      </c>
      <c r="U291" s="274">
        <f>+T291*0.19</f>
        <v>2487.1000000000004</v>
      </c>
      <c r="V291" s="274">
        <f>+T291+U291</f>
        <v>15577.100000000002</v>
      </c>
      <c r="W291" s="39" t="s">
        <v>2956</v>
      </c>
      <c r="X291" s="11" t="s">
        <v>510</v>
      </c>
      <c r="Y291" s="11"/>
      <c r="Z291" s="274"/>
      <c r="AA291" s="274"/>
      <c r="AB291" s="274"/>
      <c r="AC291" s="5"/>
      <c r="AD291" s="22"/>
      <c r="AE291" s="39"/>
      <c r="AF291" s="274"/>
      <c r="AG291" s="274"/>
      <c r="AH291" s="169"/>
      <c r="AI291" s="22"/>
      <c r="AJ291" s="39"/>
      <c r="AK291" s="39"/>
      <c r="AL291" s="118"/>
      <c r="AM291" s="152"/>
      <c r="AN291" s="181"/>
      <c r="AO291" s="131"/>
      <c r="AP291" s="131"/>
      <c r="AQ291" s="39"/>
      <c r="AR291" s="274"/>
      <c r="AS291" s="274"/>
      <c r="AT291" s="274"/>
      <c r="AU291" s="39"/>
      <c r="AV291" s="39"/>
      <c r="AW291" s="39"/>
      <c r="AX291" s="274"/>
      <c r="AY291" s="274"/>
      <c r="AZ291" s="274"/>
      <c r="BA291" s="39"/>
      <c r="BB291" s="62"/>
      <c r="BC291" s="39"/>
      <c r="BD291" s="274"/>
      <c r="BE291" s="274"/>
      <c r="BF291" s="274"/>
      <c r="BG291" s="39"/>
      <c r="BH291" s="39"/>
      <c r="BI291" s="39"/>
      <c r="BJ291" s="274">
        <v>33600</v>
      </c>
      <c r="BK291" s="274">
        <f>+BJ291*0.19</f>
        <v>6384</v>
      </c>
      <c r="BL291" s="274">
        <f>+BJ291+BK291</f>
        <v>39984</v>
      </c>
      <c r="BM291" s="214" t="s">
        <v>445</v>
      </c>
      <c r="BN291" s="213" t="s">
        <v>4809</v>
      </c>
      <c r="BO291" s="39"/>
      <c r="BP291" s="274"/>
      <c r="BQ291" s="274"/>
      <c r="BR291" s="274"/>
      <c r="BS291" s="39"/>
      <c r="BT291" s="39"/>
      <c r="BU291" s="39"/>
      <c r="BV291" s="219">
        <v>37072.089599999999</v>
      </c>
      <c r="BW291" s="219">
        <f>+BV291*0.19</f>
        <v>7043.6970240000001</v>
      </c>
      <c r="BX291" s="273">
        <f>+BV291+BW291</f>
        <v>44115.786624</v>
      </c>
      <c r="BY291" s="214" t="s">
        <v>445</v>
      </c>
      <c r="BZ291" s="213" t="s">
        <v>4809</v>
      </c>
      <c r="CA291" s="213"/>
      <c r="CB291" s="274"/>
      <c r="CC291" s="274"/>
      <c r="CD291" s="274"/>
      <c r="CE291" s="39"/>
      <c r="CF291" s="39"/>
      <c r="CG291" s="39"/>
      <c r="CH291" s="274"/>
      <c r="CI291" s="274"/>
      <c r="CJ291" s="274"/>
      <c r="CK291" s="39"/>
      <c r="CL291" s="39"/>
      <c r="CM291" s="39"/>
      <c r="CN291" s="39"/>
      <c r="CO291" s="39"/>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274"/>
      <c r="DM291" s="274"/>
      <c r="DN291" s="274"/>
      <c r="DO291" s="274"/>
      <c r="DP291" s="274"/>
      <c r="DQ291" s="274"/>
      <c r="DR291" s="274"/>
      <c r="DS291" s="274"/>
      <c r="DT291" s="274"/>
      <c r="DU291" s="274"/>
      <c r="DV291" s="274"/>
      <c r="DW291" s="274"/>
      <c r="DX291" s="274"/>
      <c r="DY291" s="274"/>
      <c r="DZ291" s="274"/>
      <c r="EA291" s="274"/>
      <c r="EB291" s="274"/>
      <c r="EC291" s="274"/>
      <c r="ED291" s="39">
        <f t="shared" si="98"/>
        <v>120501.88662400001</v>
      </c>
      <c r="EE291" s="30">
        <f t="shared" si="99"/>
        <v>4</v>
      </c>
      <c r="EF291" s="39">
        <f t="shared" si="100"/>
        <v>30125.471656000002</v>
      </c>
    </row>
    <row r="292" spans="1:136" x14ac:dyDescent="0.25">
      <c r="A292" s="25" t="e">
        <f>#REF!</f>
        <v>#REF!</v>
      </c>
      <c r="B292" s="50" t="e">
        <f>#REF!</f>
        <v>#REF!</v>
      </c>
      <c r="C292" s="5" t="e">
        <f>#REF!</f>
        <v>#REF!</v>
      </c>
      <c r="D292" s="5" t="e">
        <f>#REF!</f>
        <v>#REF!</v>
      </c>
      <c r="E292" s="252">
        <v>1</v>
      </c>
      <c r="F292" s="249">
        <v>0</v>
      </c>
      <c r="G292" s="249">
        <v>0</v>
      </c>
      <c r="H292" s="249">
        <v>0</v>
      </c>
      <c r="I292" s="249">
        <v>0</v>
      </c>
      <c r="J292" s="249">
        <v>0</v>
      </c>
      <c r="K292" s="249">
        <v>0</v>
      </c>
      <c r="L292" s="274"/>
      <c r="M292" s="274"/>
      <c r="N292" s="255">
        <v>30000</v>
      </c>
      <c r="O292" s="135">
        <f t="shared" si="103"/>
        <v>5700</v>
      </c>
      <c r="P292" s="135">
        <f t="shared" si="104"/>
        <v>35700</v>
      </c>
      <c r="Q292" s="131"/>
      <c r="R292" s="131"/>
      <c r="S292" s="11"/>
      <c r="T292" s="274">
        <v>23650.000000000004</v>
      </c>
      <c r="U292" s="274">
        <f>+T292*0.19</f>
        <v>4493.5000000000009</v>
      </c>
      <c r="V292" s="274">
        <f>+T292+U292</f>
        <v>28143.500000000004</v>
      </c>
      <c r="W292" s="39" t="s">
        <v>2956</v>
      </c>
      <c r="X292" s="11" t="s">
        <v>510</v>
      </c>
      <c r="Y292" s="11"/>
      <c r="Z292" s="274"/>
      <c r="AA292" s="274"/>
      <c r="AB292" s="274"/>
      <c r="AC292" s="5"/>
      <c r="AD292" s="22"/>
      <c r="AE292" s="39"/>
      <c r="AF292" s="274"/>
      <c r="AG292" s="274"/>
      <c r="AH292" s="169"/>
      <c r="AI292" s="4"/>
      <c r="AJ292" s="39"/>
      <c r="AK292" s="39"/>
      <c r="AL292" s="118"/>
      <c r="AM292" s="152"/>
      <c r="AN292" s="181"/>
      <c r="AO292" s="131"/>
      <c r="AP292" s="131"/>
      <c r="AQ292" s="39"/>
      <c r="AR292" s="274"/>
      <c r="AS292" s="274"/>
      <c r="AT292" s="274"/>
      <c r="AU292" s="39"/>
      <c r="AV292" s="39"/>
      <c r="AW292" s="39"/>
      <c r="AX292" s="274"/>
      <c r="AY292" s="274"/>
      <c r="AZ292" s="274"/>
      <c r="BA292" s="39"/>
      <c r="BB292" s="62"/>
      <c r="BC292" s="39"/>
      <c r="BD292" s="274"/>
      <c r="BE292" s="274"/>
      <c r="BF292" s="274"/>
      <c r="BG292" s="39"/>
      <c r="BH292" s="39"/>
      <c r="BI292" s="39"/>
      <c r="BJ292" s="274">
        <v>60400</v>
      </c>
      <c r="BK292" s="274">
        <f>+BJ292*0.19</f>
        <v>11476</v>
      </c>
      <c r="BL292" s="274">
        <f>+BJ292+BK292</f>
        <v>71876</v>
      </c>
      <c r="BM292" s="214" t="s">
        <v>445</v>
      </c>
      <c r="BN292" s="213" t="s">
        <v>4809</v>
      </c>
      <c r="BO292" s="39"/>
      <c r="BP292" s="274"/>
      <c r="BQ292" s="274"/>
      <c r="BR292" s="274"/>
      <c r="BS292" s="39"/>
      <c r="BT292" s="39"/>
      <c r="BU292" s="39"/>
      <c r="BV292" s="219">
        <v>67275.936000000002</v>
      </c>
      <c r="BW292" s="219">
        <f>+BV292*0.19</f>
        <v>12782.42784</v>
      </c>
      <c r="BX292" s="273">
        <f>+BV292+BW292</f>
        <v>80058.363840000005</v>
      </c>
      <c r="BY292" s="214" t="s">
        <v>445</v>
      </c>
      <c r="BZ292" s="213" t="s">
        <v>4809</v>
      </c>
      <c r="CA292" s="213"/>
      <c r="CB292" s="274"/>
      <c r="CC292" s="274"/>
      <c r="CD292" s="274"/>
      <c r="CE292" s="39"/>
      <c r="CF292" s="39"/>
      <c r="CG292" s="39"/>
      <c r="CH292" s="274"/>
      <c r="CI292" s="274"/>
      <c r="CJ292" s="274"/>
      <c r="CK292" s="39"/>
      <c r="CL292" s="39"/>
      <c r="CM292" s="39"/>
      <c r="CN292" s="39"/>
      <c r="CO292" s="39"/>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274"/>
      <c r="DM292" s="274"/>
      <c r="DN292" s="274"/>
      <c r="DO292" s="274"/>
      <c r="DP292" s="274"/>
      <c r="DQ292" s="274"/>
      <c r="DR292" s="274"/>
      <c r="DS292" s="274"/>
      <c r="DT292" s="274"/>
      <c r="DU292" s="274"/>
      <c r="DV292" s="274"/>
      <c r="DW292" s="274"/>
      <c r="DX292" s="274"/>
      <c r="DY292" s="274"/>
      <c r="DZ292" s="274"/>
      <c r="EA292" s="274"/>
      <c r="EB292" s="274"/>
      <c r="EC292" s="274"/>
      <c r="ED292" s="39">
        <f t="shared" si="98"/>
        <v>215777.86384000001</v>
      </c>
      <c r="EE292" s="30">
        <f t="shared" si="99"/>
        <v>4</v>
      </c>
      <c r="EF292" s="39">
        <f t="shared" si="100"/>
        <v>53944.465960000001</v>
      </c>
    </row>
    <row r="293" spans="1:136" x14ac:dyDescent="0.25">
      <c r="A293" s="25" t="e">
        <f>#REF!</f>
        <v>#REF!</v>
      </c>
      <c r="B293" s="50" t="e">
        <f>#REF!</f>
        <v>#REF!</v>
      </c>
      <c r="C293" s="5" t="e">
        <f>#REF!</f>
        <v>#REF!</v>
      </c>
      <c r="D293" s="5" t="e">
        <f>#REF!</f>
        <v>#REF!</v>
      </c>
      <c r="E293" s="252">
        <v>1</v>
      </c>
      <c r="F293" s="249">
        <v>0</v>
      </c>
      <c r="G293" s="249">
        <v>0</v>
      </c>
      <c r="H293" s="249">
        <v>0</v>
      </c>
      <c r="I293" s="249">
        <v>0</v>
      </c>
      <c r="J293" s="249">
        <v>0</v>
      </c>
      <c r="K293" s="249">
        <v>0</v>
      </c>
      <c r="L293" s="274"/>
      <c r="M293" s="274"/>
      <c r="N293" s="255">
        <v>60000</v>
      </c>
      <c r="O293" s="135">
        <f t="shared" si="103"/>
        <v>11400</v>
      </c>
      <c r="P293" s="135">
        <f t="shared" si="104"/>
        <v>71400</v>
      </c>
      <c r="Q293" s="131"/>
      <c r="R293" s="131"/>
      <c r="S293" s="11"/>
      <c r="T293" s="274">
        <v>48620.000000000007</v>
      </c>
      <c r="U293" s="274">
        <f>+T293*0.19</f>
        <v>9237.8000000000011</v>
      </c>
      <c r="V293" s="274">
        <f>+T293+U293</f>
        <v>57857.80000000001</v>
      </c>
      <c r="W293" s="39" t="s">
        <v>2956</v>
      </c>
      <c r="X293" s="11" t="s">
        <v>510</v>
      </c>
      <c r="Y293" s="11"/>
      <c r="Z293" s="274"/>
      <c r="AA293" s="274"/>
      <c r="AB293" s="274"/>
      <c r="AC293" s="5"/>
      <c r="AD293" s="22"/>
      <c r="AE293" s="39"/>
      <c r="AF293" s="274"/>
      <c r="AG293" s="274"/>
      <c r="AH293" s="169"/>
      <c r="AI293" s="4"/>
      <c r="AJ293" s="39"/>
      <c r="AK293" s="39"/>
      <c r="AL293" s="118"/>
      <c r="AM293" s="152"/>
      <c r="AN293" s="181"/>
      <c r="AO293" s="131"/>
      <c r="AP293" s="131"/>
      <c r="AQ293" s="39"/>
      <c r="AR293" s="274"/>
      <c r="AS293" s="274"/>
      <c r="AT293" s="274"/>
      <c r="AU293" s="39"/>
      <c r="AV293" s="39"/>
      <c r="AW293" s="39"/>
      <c r="AX293" s="274"/>
      <c r="AY293" s="274"/>
      <c r="AZ293" s="274"/>
      <c r="BA293" s="39"/>
      <c r="BB293" s="62"/>
      <c r="BC293" s="39"/>
      <c r="BD293" s="274"/>
      <c r="BE293" s="274"/>
      <c r="BF293" s="274"/>
      <c r="BG293" s="39"/>
      <c r="BH293" s="39"/>
      <c r="BI293" s="39"/>
      <c r="BJ293" s="274">
        <v>133900</v>
      </c>
      <c r="BK293" s="274">
        <f>+BJ293*0.19</f>
        <v>25441</v>
      </c>
      <c r="BL293" s="274">
        <f>+BJ293+BK293</f>
        <v>159341</v>
      </c>
      <c r="BM293" s="214" t="s">
        <v>445</v>
      </c>
      <c r="BN293" s="213" t="s">
        <v>4809</v>
      </c>
      <c r="BO293" s="39"/>
      <c r="BP293" s="274"/>
      <c r="BQ293" s="274"/>
      <c r="BR293" s="274"/>
      <c r="BS293" s="39"/>
      <c r="BT293" s="39"/>
      <c r="BU293" s="39"/>
      <c r="BV293" s="219">
        <v>152011.31400000001</v>
      </c>
      <c r="BW293" s="219">
        <f>+BV293*0.19</f>
        <v>28882.149660000003</v>
      </c>
      <c r="BX293" s="273">
        <f>+BV293+BW293</f>
        <v>180893.46366000001</v>
      </c>
      <c r="BY293" s="214" t="s">
        <v>445</v>
      </c>
      <c r="BZ293" s="213" t="s">
        <v>4809</v>
      </c>
      <c r="CA293" s="213"/>
      <c r="CB293" s="274"/>
      <c r="CC293" s="274"/>
      <c r="CD293" s="274"/>
      <c r="CE293" s="39"/>
      <c r="CF293" s="39"/>
      <c r="CG293" s="39"/>
      <c r="CH293" s="274"/>
      <c r="CI293" s="274"/>
      <c r="CJ293" s="274"/>
      <c r="CK293" s="39"/>
      <c r="CL293" s="39"/>
      <c r="CM293" s="39"/>
      <c r="CN293" s="39"/>
      <c r="CO293" s="39"/>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274"/>
      <c r="DM293" s="274"/>
      <c r="DN293" s="274"/>
      <c r="DO293" s="274"/>
      <c r="DP293" s="274"/>
      <c r="DQ293" s="274"/>
      <c r="DR293" s="274"/>
      <c r="DS293" s="274"/>
      <c r="DT293" s="274"/>
      <c r="DU293" s="274"/>
      <c r="DV293" s="274"/>
      <c r="DW293" s="274"/>
      <c r="DX293" s="274"/>
      <c r="DY293" s="274"/>
      <c r="DZ293" s="274"/>
      <c r="EA293" s="274"/>
      <c r="EB293" s="274"/>
      <c r="EC293" s="274"/>
      <c r="ED293" s="39">
        <f t="shared" si="98"/>
        <v>469492.26366000006</v>
      </c>
      <c r="EE293" s="30">
        <f t="shared" si="99"/>
        <v>4</v>
      </c>
      <c r="EF293" s="39">
        <f t="shared" si="100"/>
        <v>117373.06591500001</v>
      </c>
    </row>
    <row r="294" spans="1:136" x14ac:dyDescent="0.25">
      <c r="A294" s="25" t="e">
        <f>#REF!</f>
        <v>#REF!</v>
      </c>
      <c r="B294" s="50" t="e">
        <f>#REF!</f>
        <v>#REF!</v>
      </c>
      <c r="C294" s="5" t="e">
        <f>#REF!</f>
        <v>#REF!</v>
      </c>
      <c r="D294" s="5" t="e">
        <f>#REF!</f>
        <v>#REF!</v>
      </c>
      <c r="E294" s="252">
        <v>1</v>
      </c>
      <c r="F294" s="249">
        <v>0</v>
      </c>
      <c r="G294" s="249">
        <v>0</v>
      </c>
      <c r="H294" s="249">
        <v>0</v>
      </c>
      <c r="I294" s="249">
        <v>0</v>
      </c>
      <c r="J294" s="249">
        <v>0</v>
      </c>
      <c r="K294" s="249">
        <v>0</v>
      </c>
      <c r="L294" s="274"/>
      <c r="M294" s="274"/>
      <c r="N294" s="255">
        <v>18000</v>
      </c>
      <c r="O294" s="135">
        <f t="shared" si="103"/>
        <v>3420</v>
      </c>
      <c r="P294" s="135">
        <f t="shared" si="104"/>
        <v>21420</v>
      </c>
      <c r="Q294" s="131"/>
      <c r="R294" s="131"/>
      <c r="S294" s="11"/>
      <c r="T294" s="274"/>
      <c r="U294" s="274"/>
      <c r="V294" s="274"/>
      <c r="W294" s="39"/>
      <c r="X294" s="11"/>
      <c r="Y294" s="11"/>
      <c r="Z294" s="274"/>
      <c r="AA294" s="274"/>
      <c r="AB294" s="274"/>
      <c r="AC294" s="5"/>
      <c r="AD294" s="22"/>
      <c r="AE294" s="39"/>
      <c r="AF294" s="274"/>
      <c r="AG294" s="274"/>
      <c r="AH294" s="169"/>
      <c r="AI294" s="4"/>
      <c r="AJ294" s="39"/>
      <c r="AK294" s="39"/>
      <c r="AL294" s="118"/>
      <c r="AM294" s="152"/>
      <c r="AN294" s="181"/>
      <c r="AO294" s="131"/>
      <c r="AP294" s="131"/>
      <c r="AQ294" s="39"/>
      <c r="AR294" s="274"/>
      <c r="AS294" s="274"/>
      <c r="AT294" s="274"/>
      <c r="AU294" s="39"/>
      <c r="AV294" s="39"/>
      <c r="AW294" s="39"/>
      <c r="AX294" s="274"/>
      <c r="AY294" s="274"/>
      <c r="AZ294" s="274"/>
      <c r="BA294" s="39"/>
      <c r="BB294" s="62"/>
      <c r="BC294" s="39"/>
      <c r="BD294" s="274"/>
      <c r="BE294" s="274"/>
      <c r="BF294" s="274"/>
      <c r="BG294" s="39"/>
      <c r="BH294" s="39"/>
      <c r="BI294" s="39"/>
      <c r="BJ294" s="274"/>
      <c r="BK294" s="274"/>
      <c r="BL294" s="274"/>
      <c r="BM294" s="213"/>
      <c r="BN294" s="213"/>
      <c r="BO294" s="39"/>
      <c r="BP294" s="274"/>
      <c r="BQ294" s="274"/>
      <c r="BR294" s="274"/>
      <c r="BS294" s="39"/>
      <c r="BT294" s="39"/>
      <c r="BU294" s="39"/>
      <c r="BV294" s="212"/>
      <c r="BW294" s="221"/>
      <c r="BX294" s="273"/>
      <c r="BY294" s="213"/>
      <c r="BZ294" s="213"/>
      <c r="CA294" s="213"/>
      <c r="CB294" s="274"/>
      <c r="CC294" s="274"/>
      <c r="CD294" s="274"/>
      <c r="CE294" s="39"/>
      <c r="CF294" s="39"/>
      <c r="CG294" s="39"/>
      <c r="CH294" s="274"/>
      <c r="CI294" s="274"/>
      <c r="CJ294" s="274"/>
      <c r="CK294" s="39"/>
      <c r="CL294" s="39"/>
      <c r="CM294" s="39"/>
      <c r="CN294" s="39"/>
      <c r="CO294" s="39"/>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274"/>
      <c r="DM294" s="274"/>
      <c r="DN294" s="274"/>
      <c r="DO294" s="274"/>
      <c r="DP294" s="274"/>
      <c r="DQ294" s="274"/>
      <c r="DR294" s="274"/>
      <c r="DS294" s="274"/>
      <c r="DT294" s="274"/>
      <c r="DU294" s="274"/>
      <c r="DV294" s="274"/>
      <c r="DW294" s="274"/>
      <c r="DX294" s="274"/>
      <c r="DY294" s="274"/>
      <c r="DZ294" s="274"/>
      <c r="EA294" s="274"/>
      <c r="EB294" s="274"/>
      <c r="EC294" s="274"/>
      <c r="ED294" s="39">
        <f t="shared" si="98"/>
        <v>21420</v>
      </c>
      <c r="EE294" s="30">
        <f t="shared" si="99"/>
        <v>1</v>
      </c>
      <c r="EF294" s="39">
        <f t="shared" si="100"/>
        <v>21420</v>
      </c>
    </row>
    <row r="295" spans="1:136" x14ac:dyDescent="0.25">
      <c r="A295" s="25" t="e">
        <f>#REF!</f>
        <v>#REF!</v>
      </c>
      <c r="B295" s="50" t="e">
        <f>#REF!</f>
        <v>#REF!</v>
      </c>
      <c r="C295" s="5" t="e">
        <f>#REF!</f>
        <v>#REF!</v>
      </c>
      <c r="D295" s="5" t="e">
        <f>#REF!</f>
        <v>#REF!</v>
      </c>
      <c r="E295" s="252">
        <v>1</v>
      </c>
      <c r="F295" s="249">
        <v>0</v>
      </c>
      <c r="G295" s="249">
        <v>0</v>
      </c>
      <c r="H295" s="249">
        <v>0</v>
      </c>
      <c r="I295" s="249">
        <v>0</v>
      </c>
      <c r="J295" s="249">
        <v>0</v>
      </c>
      <c r="K295" s="249">
        <v>0</v>
      </c>
      <c r="L295" s="274"/>
      <c r="M295" s="274"/>
      <c r="N295" s="255">
        <v>19500</v>
      </c>
      <c r="O295" s="135">
        <f t="shared" si="103"/>
        <v>3705</v>
      </c>
      <c r="P295" s="135">
        <f t="shared" si="104"/>
        <v>23205</v>
      </c>
      <c r="Q295" s="131"/>
      <c r="R295" s="131"/>
      <c r="S295" s="11"/>
      <c r="T295" s="274">
        <v>13310.000000000002</v>
      </c>
      <c r="U295" s="274">
        <f>+T295*0.19</f>
        <v>2528.9000000000005</v>
      </c>
      <c r="V295" s="274">
        <f>+T295+U295</f>
        <v>15838.900000000001</v>
      </c>
      <c r="W295" s="39" t="s">
        <v>2956</v>
      </c>
      <c r="X295" s="11" t="s">
        <v>510</v>
      </c>
      <c r="Y295" s="11"/>
      <c r="Z295" s="274"/>
      <c r="AA295" s="274"/>
      <c r="AB295" s="274"/>
      <c r="AC295" s="52"/>
      <c r="AD295" s="22"/>
      <c r="AE295" s="39"/>
      <c r="AF295" s="274"/>
      <c r="AG295" s="274"/>
      <c r="AH295" s="171"/>
      <c r="AI295" s="4"/>
      <c r="AJ295" s="39"/>
      <c r="AK295" s="39"/>
      <c r="AL295" s="118"/>
      <c r="AM295" s="152"/>
      <c r="AN295" s="181"/>
      <c r="AO295" s="131"/>
      <c r="AP295" s="131"/>
      <c r="AQ295" s="39"/>
      <c r="AR295" s="274"/>
      <c r="AS295" s="274"/>
      <c r="AT295" s="274"/>
      <c r="AU295" s="39"/>
      <c r="AV295" s="39"/>
      <c r="AW295" s="39"/>
      <c r="AX295" s="274"/>
      <c r="AY295" s="274"/>
      <c r="AZ295" s="274"/>
      <c r="BA295" s="39"/>
      <c r="BB295" s="62"/>
      <c r="BC295" s="39"/>
      <c r="BD295" s="274"/>
      <c r="BE295" s="274"/>
      <c r="BF295" s="274"/>
      <c r="BG295" s="39"/>
      <c r="BH295" s="39"/>
      <c r="BI295" s="39"/>
      <c r="BJ295" s="274">
        <v>36200</v>
      </c>
      <c r="BK295" s="274">
        <f>+BJ295*0.19</f>
        <v>6878</v>
      </c>
      <c r="BL295" s="274">
        <f>+BJ295+BK295</f>
        <v>43078</v>
      </c>
      <c r="BM295" s="214" t="s">
        <v>445</v>
      </c>
      <c r="BN295" s="213" t="s">
        <v>4809</v>
      </c>
      <c r="BO295" s="39"/>
      <c r="BP295" s="274"/>
      <c r="BQ295" s="274"/>
      <c r="BR295" s="274"/>
      <c r="BS295" s="39"/>
      <c r="BT295" s="39"/>
      <c r="BU295" s="39"/>
      <c r="BV295" s="219">
        <v>40693.506000000001</v>
      </c>
      <c r="BW295" s="219">
        <f>+BV295*0.19</f>
        <v>7731.7661400000006</v>
      </c>
      <c r="BX295" s="273">
        <f>+BV295+BW295</f>
        <v>48425.272140000001</v>
      </c>
      <c r="BY295" s="214" t="s">
        <v>445</v>
      </c>
      <c r="BZ295" s="213" t="s">
        <v>4809</v>
      </c>
      <c r="CA295" s="213"/>
      <c r="CB295" s="274"/>
      <c r="CC295" s="274"/>
      <c r="CD295" s="274"/>
      <c r="CE295" s="39"/>
      <c r="CF295" s="39"/>
      <c r="CG295" s="39"/>
      <c r="CH295" s="274"/>
      <c r="CI295" s="274"/>
      <c r="CJ295" s="274"/>
      <c r="CK295" s="39"/>
      <c r="CL295" s="39"/>
      <c r="CM295" s="39"/>
      <c r="CN295" s="39"/>
      <c r="CO295" s="39"/>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274"/>
      <c r="DM295" s="274"/>
      <c r="DN295" s="274"/>
      <c r="DO295" s="274"/>
      <c r="DP295" s="274"/>
      <c r="DQ295" s="274"/>
      <c r="DR295" s="274"/>
      <c r="DS295" s="274"/>
      <c r="DT295" s="274"/>
      <c r="DU295" s="274"/>
      <c r="DV295" s="274"/>
      <c r="DW295" s="274"/>
      <c r="DX295" s="274"/>
      <c r="DY295" s="274"/>
      <c r="DZ295" s="274"/>
      <c r="EA295" s="274"/>
      <c r="EB295" s="274"/>
      <c r="EC295" s="274"/>
      <c r="ED295" s="39">
        <f t="shared" si="98"/>
        <v>130547.17214</v>
      </c>
      <c r="EE295" s="30">
        <f t="shared" si="99"/>
        <v>4</v>
      </c>
      <c r="EF295" s="39">
        <f t="shared" si="100"/>
        <v>32636.793034999999</v>
      </c>
    </row>
    <row r="296" spans="1:136" x14ac:dyDescent="0.25">
      <c r="A296" s="25" t="e">
        <f>#REF!</f>
        <v>#REF!</v>
      </c>
      <c r="B296" s="50" t="e">
        <f>#REF!</f>
        <v>#REF!</v>
      </c>
      <c r="C296" s="5" t="e">
        <f>#REF!</f>
        <v>#REF!</v>
      </c>
      <c r="D296" s="5" t="e">
        <f>#REF!</f>
        <v>#REF!</v>
      </c>
      <c r="E296" s="252">
        <v>1</v>
      </c>
      <c r="F296" s="249">
        <v>0</v>
      </c>
      <c r="G296" s="249">
        <v>0</v>
      </c>
      <c r="H296" s="249">
        <v>0</v>
      </c>
      <c r="I296" s="249">
        <v>0</v>
      </c>
      <c r="J296" s="249">
        <v>0</v>
      </c>
      <c r="K296" s="249">
        <v>0</v>
      </c>
      <c r="L296" s="274"/>
      <c r="M296" s="274"/>
      <c r="N296" s="255">
        <v>18500</v>
      </c>
      <c r="O296" s="135">
        <f t="shared" si="103"/>
        <v>3515</v>
      </c>
      <c r="P296" s="135">
        <f t="shared" si="104"/>
        <v>22015</v>
      </c>
      <c r="Q296" s="131"/>
      <c r="R296" s="131"/>
      <c r="S296" s="11"/>
      <c r="T296" s="274">
        <v>16720</v>
      </c>
      <c r="U296" s="274">
        <f>+T296*0.19</f>
        <v>3176.8</v>
      </c>
      <c r="V296" s="274">
        <f>+T296+U296</f>
        <v>19896.8</v>
      </c>
      <c r="W296" s="39" t="s">
        <v>2956</v>
      </c>
      <c r="X296" s="11" t="s">
        <v>510</v>
      </c>
      <c r="Y296" s="11"/>
      <c r="Z296" s="274"/>
      <c r="AA296" s="274"/>
      <c r="AB296" s="274"/>
      <c r="AC296" s="52"/>
      <c r="AD296" s="22"/>
      <c r="AE296" s="39"/>
      <c r="AF296" s="274"/>
      <c r="AG296" s="274"/>
      <c r="AH296" s="171"/>
      <c r="AI296" s="4"/>
      <c r="AJ296" s="39"/>
      <c r="AK296" s="39"/>
      <c r="AL296" s="118"/>
      <c r="AM296" s="152"/>
      <c r="AN296" s="181"/>
      <c r="AO296" s="131"/>
      <c r="AP296" s="131"/>
      <c r="AQ296" s="39"/>
      <c r="AR296" s="274"/>
      <c r="AS296" s="274"/>
      <c r="AT296" s="274"/>
      <c r="AU296" s="39"/>
      <c r="AV296" s="39"/>
      <c r="AW296" s="39"/>
      <c r="AX296" s="274"/>
      <c r="AY296" s="274"/>
      <c r="AZ296" s="274"/>
      <c r="BA296" s="39"/>
      <c r="BB296" s="62"/>
      <c r="BC296" s="39"/>
      <c r="BD296" s="274"/>
      <c r="BE296" s="274"/>
      <c r="BF296" s="274"/>
      <c r="BG296" s="39"/>
      <c r="BH296" s="39"/>
      <c r="BI296" s="39"/>
      <c r="BJ296" s="274"/>
      <c r="BK296" s="274"/>
      <c r="BL296" s="274"/>
      <c r="BM296" s="213"/>
      <c r="BN296" s="213"/>
      <c r="BO296" s="39"/>
      <c r="BP296" s="274"/>
      <c r="BQ296" s="274"/>
      <c r="BR296" s="274"/>
      <c r="BS296" s="39"/>
      <c r="BT296" s="39"/>
      <c r="BU296" s="39"/>
      <c r="BV296" s="212"/>
      <c r="BW296" s="221"/>
      <c r="BX296" s="273"/>
      <c r="BY296" s="213"/>
      <c r="BZ296" s="213"/>
      <c r="CA296" s="213"/>
      <c r="CB296" s="274"/>
      <c r="CC296" s="274"/>
      <c r="CD296" s="274"/>
      <c r="CE296" s="39"/>
      <c r="CF296" s="39"/>
      <c r="CG296" s="39"/>
      <c r="CH296" s="274"/>
      <c r="CI296" s="274"/>
      <c r="CJ296" s="274"/>
      <c r="CK296" s="39"/>
      <c r="CL296" s="39"/>
      <c r="CM296" s="39"/>
      <c r="CN296" s="39"/>
      <c r="CO296" s="39"/>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274"/>
      <c r="DM296" s="274"/>
      <c r="DN296" s="274"/>
      <c r="DO296" s="274"/>
      <c r="DP296" s="274"/>
      <c r="DQ296" s="274"/>
      <c r="DR296" s="274"/>
      <c r="DS296" s="274"/>
      <c r="DT296" s="274"/>
      <c r="DU296" s="274"/>
      <c r="DV296" s="274"/>
      <c r="DW296" s="274"/>
      <c r="DX296" s="274"/>
      <c r="DY296" s="274"/>
      <c r="DZ296" s="274"/>
      <c r="EA296" s="274"/>
      <c r="EB296" s="274"/>
      <c r="EC296" s="274"/>
      <c r="ED296" s="39">
        <f t="shared" si="98"/>
        <v>41911.800000000003</v>
      </c>
      <c r="EE296" s="30">
        <f t="shared" si="99"/>
        <v>2</v>
      </c>
      <c r="EF296" s="39">
        <f t="shared" si="100"/>
        <v>20955.900000000001</v>
      </c>
    </row>
    <row r="297" spans="1:136" x14ac:dyDescent="0.25">
      <c r="A297" s="25" t="e">
        <f>#REF!</f>
        <v>#REF!</v>
      </c>
      <c r="B297" s="50" t="e">
        <f>#REF!</f>
        <v>#REF!</v>
      </c>
      <c r="C297" s="5" t="e">
        <f>#REF!</f>
        <v>#REF!</v>
      </c>
      <c r="D297" s="5" t="e">
        <f>#REF!</f>
        <v>#REF!</v>
      </c>
      <c r="E297" s="252">
        <v>1</v>
      </c>
      <c r="F297" s="249">
        <v>0</v>
      </c>
      <c r="G297" s="249">
        <v>0</v>
      </c>
      <c r="H297" s="249">
        <v>0</v>
      </c>
      <c r="I297" s="249">
        <v>0</v>
      </c>
      <c r="J297" s="249">
        <v>0</v>
      </c>
      <c r="K297" s="249">
        <v>0</v>
      </c>
      <c r="L297" s="274"/>
      <c r="M297" s="274"/>
      <c r="N297" s="255">
        <v>22500</v>
      </c>
      <c r="O297" s="135">
        <f t="shared" si="103"/>
        <v>4275</v>
      </c>
      <c r="P297" s="135">
        <f t="shared" si="104"/>
        <v>26775</v>
      </c>
      <c r="Q297" s="131"/>
      <c r="R297" s="131"/>
      <c r="S297" s="11"/>
      <c r="T297" s="274">
        <v>17490</v>
      </c>
      <c r="U297" s="274">
        <f>+T297*0.19</f>
        <v>3323.1</v>
      </c>
      <c r="V297" s="274">
        <f>+T297+U297</f>
        <v>20813.099999999999</v>
      </c>
      <c r="W297" s="39" t="s">
        <v>2956</v>
      </c>
      <c r="X297" s="11" t="s">
        <v>510</v>
      </c>
      <c r="Y297" s="11"/>
      <c r="Z297" s="274"/>
      <c r="AA297" s="274"/>
      <c r="AB297" s="274"/>
      <c r="AC297" s="52"/>
      <c r="AD297" s="22"/>
      <c r="AE297" s="39"/>
      <c r="AF297" s="274"/>
      <c r="AG297" s="274"/>
      <c r="AH297" s="171"/>
      <c r="AI297" s="4"/>
      <c r="AJ297" s="39"/>
      <c r="AK297" s="39"/>
      <c r="AL297" s="118"/>
      <c r="AM297" s="152"/>
      <c r="AN297" s="181"/>
      <c r="AO297" s="131"/>
      <c r="AP297" s="131"/>
      <c r="AQ297" s="39"/>
      <c r="AR297" s="274"/>
      <c r="AS297" s="274"/>
      <c r="AT297" s="274"/>
      <c r="AU297" s="39"/>
      <c r="AV297" s="39"/>
      <c r="AW297" s="39"/>
      <c r="AX297" s="274"/>
      <c r="AY297" s="274"/>
      <c r="AZ297" s="274"/>
      <c r="BA297" s="39"/>
      <c r="BB297" s="62"/>
      <c r="BC297" s="39"/>
      <c r="BD297" s="274"/>
      <c r="BE297" s="274"/>
      <c r="BF297" s="274"/>
      <c r="BG297" s="39"/>
      <c r="BH297" s="39"/>
      <c r="BI297" s="39"/>
      <c r="BJ297" s="274">
        <v>43100</v>
      </c>
      <c r="BK297" s="274">
        <f>+BJ297*0.19</f>
        <v>8189</v>
      </c>
      <c r="BL297" s="274">
        <f>+BJ297+BK297</f>
        <v>51289</v>
      </c>
      <c r="BM297" s="214" t="s">
        <v>445</v>
      </c>
      <c r="BN297" s="213" t="s">
        <v>4809</v>
      </c>
      <c r="BO297" s="39"/>
      <c r="BP297" s="274"/>
      <c r="BQ297" s="274"/>
      <c r="BR297" s="274"/>
      <c r="BS297" s="39"/>
      <c r="BT297" s="39"/>
      <c r="BU297" s="39"/>
      <c r="BV297" s="219">
        <v>46182.037900000003</v>
      </c>
      <c r="BW297" s="219">
        <f>+BV297*0.19</f>
        <v>8774.5872010000003</v>
      </c>
      <c r="BX297" s="273">
        <f>+BV297+BW297</f>
        <v>54956.625101000005</v>
      </c>
      <c r="BY297" s="214" t="s">
        <v>445</v>
      </c>
      <c r="BZ297" s="213" t="s">
        <v>4809</v>
      </c>
      <c r="CA297" s="213"/>
      <c r="CB297" s="274"/>
      <c r="CC297" s="274"/>
      <c r="CD297" s="274"/>
      <c r="CE297" s="39"/>
      <c r="CF297" s="39"/>
      <c r="CG297" s="39"/>
      <c r="CH297" s="274"/>
      <c r="CI297" s="274"/>
      <c r="CJ297" s="274"/>
      <c r="CK297" s="39"/>
      <c r="CL297" s="39"/>
      <c r="CM297" s="39"/>
      <c r="CN297" s="39"/>
      <c r="CO297" s="39"/>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274"/>
      <c r="DM297" s="274"/>
      <c r="DN297" s="274"/>
      <c r="DO297" s="274"/>
      <c r="DP297" s="274"/>
      <c r="DQ297" s="274"/>
      <c r="DR297" s="274"/>
      <c r="DS297" s="274"/>
      <c r="DT297" s="274"/>
      <c r="DU297" s="274"/>
      <c r="DV297" s="274"/>
      <c r="DW297" s="274"/>
      <c r="DX297" s="274"/>
      <c r="DY297" s="274"/>
      <c r="DZ297" s="274"/>
      <c r="EA297" s="274"/>
      <c r="EB297" s="274"/>
      <c r="EC297" s="274"/>
      <c r="ED297" s="39">
        <f t="shared" si="98"/>
        <v>153833.72510100002</v>
      </c>
      <c r="EE297" s="30">
        <f t="shared" si="99"/>
        <v>4</v>
      </c>
      <c r="EF297" s="39">
        <f t="shared" si="100"/>
        <v>38458.431275250005</v>
      </c>
    </row>
    <row r="298" spans="1:136" x14ac:dyDescent="0.25">
      <c r="A298" s="25" t="e">
        <f>#REF!</f>
        <v>#REF!</v>
      </c>
      <c r="B298" s="50" t="e">
        <f>#REF!</f>
        <v>#REF!</v>
      </c>
      <c r="C298" s="5" t="e">
        <f>#REF!</f>
        <v>#REF!</v>
      </c>
      <c r="D298" s="5" t="e">
        <f>#REF!</f>
        <v>#REF!</v>
      </c>
      <c r="E298" s="252">
        <v>1</v>
      </c>
      <c r="F298" s="249">
        <v>60987.5</v>
      </c>
      <c r="G298" s="249">
        <v>60988</v>
      </c>
      <c r="H298" s="249">
        <v>65381.232454543504</v>
      </c>
      <c r="I298" s="249">
        <v>0</v>
      </c>
      <c r="J298" s="249">
        <v>234756.69777777779</v>
      </c>
      <c r="K298" s="249">
        <v>232050</v>
      </c>
      <c r="L298" s="274">
        <f>AVERAGE(F298,H298,J298)</f>
        <v>120375.14341077376</v>
      </c>
      <c r="M298" s="274">
        <f>AVERAGE(G298,K298)*E1</f>
        <v>150914.57</v>
      </c>
      <c r="N298" s="255"/>
      <c r="O298" s="135"/>
      <c r="P298" s="135"/>
      <c r="Q298" s="131"/>
      <c r="R298" s="131"/>
      <c r="S298" s="11"/>
      <c r="T298" s="274"/>
      <c r="U298" s="274"/>
      <c r="V298" s="274"/>
      <c r="W298" s="39"/>
      <c r="X298" s="11"/>
      <c r="Y298" s="11"/>
      <c r="Z298" s="274"/>
      <c r="AA298" s="274"/>
      <c r="AB298" s="274"/>
      <c r="AC298" s="52"/>
      <c r="AD298" s="22"/>
      <c r="AE298" s="39"/>
      <c r="AF298" s="274"/>
      <c r="AG298" s="274"/>
      <c r="AH298" s="171"/>
      <c r="AI298" s="4"/>
      <c r="AJ298" s="39"/>
      <c r="AK298" s="39"/>
      <c r="AL298" s="118"/>
      <c r="AM298" s="152"/>
      <c r="AN298" s="181"/>
      <c r="AO298" s="131"/>
      <c r="AP298" s="131"/>
      <c r="AQ298" s="39"/>
      <c r="AR298" s="274"/>
      <c r="AS298" s="274"/>
      <c r="AT298" s="274"/>
      <c r="AU298" s="39"/>
      <c r="AV298" s="39"/>
      <c r="AW298" s="39"/>
      <c r="AX298" s="274"/>
      <c r="AY298" s="274"/>
      <c r="AZ298" s="274"/>
      <c r="BA298" s="39"/>
      <c r="BB298" s="62"/>
      <c r="BC298" s="39"/>
      <c r="BD298" s="274"/>
      <c r="BE298" s="274"/>
      <c r="BF298" s="274"/>
      <c r="BG298" s="39"/>
      <c r="BH298" s="39"/>
      <c r="BI298" s="39"/>
      <c r="BJ298" s="217">
        <f>+(1927200/6)*5</f>
        <v>1606000</v>
      </c>
      <c r="BK298" s="274">
        <f>+BJ298*0.19</f>
        <v>305140</v>
      </c>
      <c r="BL298" s="274">
        <f>+BJ298+BK298</f>
        <v>1911140</v>
      </c>
      <c r="BM298" s="213" t="s">
        <v>4830</v>
      </c>
      <c r="BN298" s="213" t="s">
        <v>338</v>
      </c>
      <c r="BO298" s="39"/>
      <c r="BP298" s="274">
        <f>16500*5</f>
        <v>82500</v>
      </c>
      <c r="BQ298" s="274">
        <f>+BP298*19%</f>
        <v>15675</v>
      </c>
      <c r="BR298" s="274">
        <f>+BQ298+BP298</f>
        <v>98175</v>
      </c>
      <c r="BS298" s="39"/>
      <c r="BT298" s="39"/>
      <c r="BU298" s="39"/>
      <c r="BV298" s="219"/>
      <c r="BW298" s="219"/>
      <c r="BX298" s="273"/>
      <c r="BY298" s="213"/>
      <c r="BZ298" s="213"/>
      <c r="CA298" s="213"/>
      <c r="CB298" s="274"/>
      <c r="CC298" s="274"/>
      <c r="CD298" s="274"/>
      <c r="CE298" s="39"/>
      <c r="CF298" s="39"/>
      <c r="CG298" s="39"/>
      <c r="CH298" s="274"/>
      <c r="CI298" s="274"/>
      <c r="CJ298" s="274"/>
      <c r="CK298" s="39"/>
      <c r="CL298" s="39"/>
      <c r="CM298" s="39"/>
      <c r="CN298" s="39"/>
      <c r="CO298" s="39"/>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274"/>
      <c r="DM298" s="274"/>
      <c r="DN298" s="274"/>
      <c r="DO298" s="274"/>
      <c r="DP298" s="274"/>
      <c r="DQ298" s="274"/>
      <c r="DR298" s="274"/>
      <c r="DS298" s="274"/>
      <c r="DT298" s="274"/>
      <c r="DU298" s="274"/>
      <c r="DV298" s="274"/>
      <c r="DW298" s="274"/>
      <c r="DX298" s="274"/>
      <c r="DY298" s="274"/>
      <c r="DZ298" s="274"/>
      <c r="EA298" s="274"/>
      <c r="EB298" s="274"/>
      <c r="EC298" s="274"/>
      <c r="ED298" s="39">
        <f t="shared" si="98"/>
        <v>2160229.5700000003</v>
      </c>
      <c r="EE298" s="30">
        <f t="shared" si="99"/>
        <v>3</v>
      </c>
      <c r="EF298" s="39">
        <f t="shared" si="100"/>
        <v>720076.52333333343</v>
      </c>
    </row>
    <row r="299" spans="1:136" x14ac:dyDescent="0.25">
      <c r="A299" s="25" t="e">
        <f>#REF!</f>
        <v>#REF!</v>
      </c>
      <c r="B299" s="50" t="e">
        <f>#REF!</f>
        <v>#REF!</v>
      </c>
      <c r="C299" s="5" t="e">
        <f>#REF!</f>
        <v>#REF!</v>
      </c>
      <c r="D299" s="5" t="e">
        <f>#REF!</f>
        <v>#REF!</v>
      </c>
      <c r="E299" s="252">
        <v>1</v>
      </c>
      <c r="F299" s="249">
        <v>0</v>
      </c>
      <c r="G299" s="249">
        <v>0</v>
      </c>
      <c r="H299" s="249">
        <v>19241.739450441608</v>
      </c>
      <c r="I299" s="249">
        <v>0</v>
      </c>
      <c r="J299" s="249">
        <v>59500</v>
      </c>
      <c r="K299" s="249">
        <v>0</v>
      </c>
      <c r="L299" s="274">
        <f>AVERAGE(H299,J299)</f>
        <v>39370.869725220808</v>
      </c>
      <c r="M299" s="274"/>
      <c r="N299" s="255">
        <v>50000</v>
      </c>
      <c r="O299" s="135">
        <f>+N299*0.19</f>
        <v>9500</v>
      </c>
      <c r="P299" s="135">
        <f>+N299+O299</f>
        <v>59500</v>
      </c>
      <c r="Q299" s="131"/>
      <c r="R299" s="131"/>
      <c r="S299" s="11"/>
      <c r="T299" s="274"/>
      <c r="U299" s="274"/>
      <c r="V299" s="274"/>
      <c r="W299" s="39"/>
      <c r="X299" s="11"/>
      <c r="Y299" s="11"/>
      <c r="Z299" s="274"/>
      <c r="AA299" s="274"/>
      <c r="AB299" s="274"/>
      <c r="AC299" s="5"/>
      <c r="AD299" s="22"/>
      <c r="AE299" s="39"/>
      <c r="AF299" s="274"/>
      <c r="AG299" s="274"/>
      <c r="AH299" s="169"/>
      <c r="AI299" s="4"/>
      <c r="AJ299" s="39"/>
      <c r="AK299" s="39"/>
      <c r="AL299" s="118"/>
      <c r="AM299" s="152"/>
      <c r="AN299" s="181"/>
      <c r="AO299" s="131"/>
      <c r="AP299" s="131"/>
      <c r="AQ299" s="39"/>
      <c r="AR299" s="274"/>
      <c r="AS299" s="274"/>
      <c r="AT299" s="274"/>
      <c r="AU299" s="39"/>
      <c r="AV299" s="39"/>
      <c r="AW299" s="39"/>
      <c r="AX299" s="274"/>
      <c r="AY299" s="274"/>
      <c r="AZ299" s="274"/>
      <c r="BA299" s="39"/>
      <c r="BB299" s="62"/>
      <c r="BC299" s="39"/>
      <c r="BD299" s="274"/>
      <c r="BE299" s="274"/>
      <c r="BF299" s="274"/>
      <c r="BG299" s="39"/>
      <c r="BH299" s="39"/>
      <c r="BI299" s="39"/>
      <c r="BJ299" s="274">
        <f>782800/25</f>
        <v>31312</v>
      </c>
      <c r="BK299" s="274">
        <f>+BJ299*0.19</f>
        <v>5949.28</v>
      </c>
      <c r="BL299" s="274">
        <f>+BJ299+BK299</f>
        <v>37261.279999999999</v>
      </c>
      <c r="BM299" s="213" t="s">
        <v>4823</v>
      </c>
      <c r="BN299" s="213" t="s">
        <v>2925</v>
      </c>
      <c r="BO299" s="39"/>
      <c r="BP299" s="274">
        <v>18500</v>
      </c>
      <c r="BQ299" s="274">
        <f>+BP299*19%</f>
        <v>3515</v>
      </c>
      <c r="BR299" s="274">
        <f>+BQ299+BP299</f>
        <v>22015</v>
      </c>
      <c r="BS299" s="39"/>
      <c r="BT299" s="39"/>
      <c r="BU299" s="39"/>
      <c r="BV299" s="219">
        <f>822569.3712/25</f>
        <v>32902.774848000001</v>
      </c>
      <c r="BW299" s="219">
        <f>+BV299*0.19</f>
        <v>6251.5272211199999</v>
      </c>
      <c r="BX299" s="273">
        <f>+BV299+BW299</f>
        <v>39154.30206912</v>
      </c>
      <c r="BY299" s="213" t="s">
        <v>4823</v>
      </c>
      <c r="BZ299" s="213" t="s">
        <v>2925</v>
      </c>
      <c r="CA299" s="213"/>
      <c r="CB299" s="274"/>
      <c r="CC299" s="274"/>
      <c r="CD299" s="274"/>
      <c r="CE299" s="39"/>
      <c r="CF299" s="39"/>
      <c r="CG299" s="39"/>
      <c r="CH299" s="274"/>
      <c r="CI299" s="274"/>
      <c r="CJ299" s="274"/>
      <c r="CK299" s="39"/>
      <c r="CL299" s="39"/>
      <c r="CM299" s="39"/>
      <c r="CN299" s="39"/>
      <c r="CO299" s="39"/>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274"/>
      <c r="DM299" s="274"/>
      <c r="DN299" s="274"/>
      <c r="DO299" s="274"/>
      <c r="DP299" s="274"/>
      <c r="DQ299" s="274"/>
      <c r="DR299" s="274"/>
      <c r="DS299" s="274"/>
      <c r="DT299" s="274"/>
      <c r="DU299" s="274"/>
      <c r="DV299" s="274"/>
      <c r="DW299" s="274"/>
      <c r="DX299" s="274"/>
      <c r="DY299" s="274"/>
      <c r="DZ299" s="274"/>
      <c r="EA299" s="274"/>
      <c r="EB299" s="274"/>
      <c r="EC299" s="274"/>
      <c r="ED299" s="39">
        <f t="shared" si="98"/>
        <v>157930.58206911999</v>
      </c>
      <c r="EE299" s="30">
        <f t="shared" si="99"/>
        <v>4</v>
      </c>
      <c r="EF299" s="39">
        <f t="shared" si="100"/>
        <v>39482.645517279998</v>
      </c>
    </row>
    <row r="300" spans="1:136" x14ac:dyDescent="0.25">
      <c r="A300" s="25" t="e">
        <f>#REF!</f>
        <v>#REF!</v>
      </c>
      <c r="B300" s="50" t="e">
        <f>#REF!</f>
        <v>#REF!</v>
      </c>
      <c r="C300" s="5" t="e">
        <f>#REF!</f>
        <v>#REF!</v>
      </c>
      <c r="D300" s="5" t="e">
        <f>#REF!</f>
        <v>#REF!</v>
      </c>
      <c r="E300" s="252">
        <v>1</v>
      </c>
      <c r="F300" s="249">
        <v>95200</v>
      </c>
      <c r="G300" s="249">
        <v>0</v>
      </c>
      <c r="H300" s="249">
        <v>65938.197500000009</v>
      </c>
      <c r="I300" s="249">
        <v>0</v>
      </c>
      <c r="J300" s="249">
        <v>94048.675000000003</v>
      </c>
      <c r="K300" s="249">
        <v>0</v>
      </c>
      <c r="L300" s="274">
        <f>AVERAGE(F300,H300,J300)</f>
        <v>85062.290833333333</v>
      </c>
      <c r="M300" s="274"/>
      <c r="N300" s="255">
        <v>110000</v>
      </c>
      <c r="O300" s="135">
        <f>+N300*0.19</f>
        <v>20900</v>
      </c>
      <c r="P300" s="135">
        <f>+N300+O300</f>
        <v>130900</v>
      </c>
      <c r="Q300" s="131"/>
      <c r="R300" s="131"/>
      <c r="S300" s="11"/>
      <c r="T300" s="274"/>
      <c r="U300" s="274"/>
      <c r="V300" s="274"/>
      <c r="W300" s="39"/>
      <c r="X300" s="11"/>
      <c r="Y300" s="11"/>
      <c r="Z300" s="274"/>
      <c r="AA300" s="274"/>
      <c r="AB300" s="274"/>
      <c r="AC300" s="52"/>
      <c r="AD300" s="22"/>
      <c r="AE300" s="39"/>
      <c r="AF300" s="274"/>
      <c r="AG300" s="274"/>
      <c r="AH300" s="171"/>
      <c r="AI300" s="4"/>
      <c r="AJ300" s="39"/>
      <c r="AK300" s="39"/>
      <c r="AL300" s="118"/>
      <c r="AM300" s="152"/>
      <c r="AN300" s="181"/>
      <c r="AO300" s="131"/>
      <c r="AP300" s="131"/>
      <c r="AQ300" s="39"/>
      <c r="AR300" s="274"/>
      <c r="AS300" s="274"/>
      <c r="AT300" s="274"/>
      <c r="AU300" s="39"/>
      <c r="AV300" s="39"/>
      <c r="AW300" s="39"/>
      <c r="AX300" s="274"/>
      <c r="AY300" s="274"/>
      <c r="AZ300" s="274"/>
      <c r="BA300" s="39"/>
      <c r="BB300" s="62"/>
      <c r="BC300" s="39"/>
      <c r="BD300" s="274"/>
      <c r="BE300" s="274"/>
      <c r="BF300" s="274"/>
      <c r="BG300" s="39"/>
      <c r="BH300" s="39"/>
      <c r="BI300" s="39"/>
      <c r="BJ300" s="274"/>
      <c r="BK300" s="274"/>
      <c r="BL300" s="274"/>
      <c r="BM300" s="213"/>
      <c r="BN300" s="213"/>
      <c r="BO300" s="39"/>
      <c r="BP300" s="274">
        <v>89600</v>
      </c>
      <c r="BQ300" s="274">
        <f>+BP300*19%</f>
        <v>17024</v>
      </c>
      <c r="BR300" s="274">
        <f>+BQ300+BP300</f>
        <v>106624</v>
      </c>
      <c r="BS300" s="39"/>
      <c r="BT300" s="39"/>
      <c r="BU300" s="39"/>
      <c r="BV300" s="212"/>
      <c r="BW300" s="221"/>
      <c r="BX300" s="273"/>
      <c r="BY300" s="213"/>
      <c r="BZ300" s="213"/>
      <c r="CA300" s="213"/>
      <c r="CB300" s="274"/>
      <c r="CC300" s="274"/>
      <c r="CD300" s="274"/>
      <c r="CE300" s="39"/>
      <c r="CF300" s="39"/>
      <c r="CG300" s="39"/>
      <c r="CH300" s="274"/>
      <c r="CI300" s="274"/>
      <c r="CJ300" s="274"/>
      <c r="CK300" s="39"/>
      <c r="CL300" s="39"/>
      <c r="CM300" s="39"/>
      <c r="CN300" s="39"/>
      <c r="CO300" s="39"/>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274"/>
      <c r="DM300" s="274"/>
      <c r="DN300" s="274"/>
      <c r="DO300" s="274"/>
      <c r="DP300" s="274"/>
      <c r="DQ300" s="274"/>
      <c r="DR300" s="274"/>
      <c r="DS300" s="274"/>
      <c r="DT300" s="274"/>
      <c r="DU300" s="274"/>
      <c r="DV300" s="274"/>
      <c r="DW300" s="274"/>
      <c r="DX300" s="274"/>
      <c r="DY300" s="274"/>
      <c r="DZ300" s="274"/>
      <c r="EA300" s="274"/>
      <c r="EB300" s="274"/>
      <c r="EC300" s="274"/>
      <c r="ED300" s="39">
        <f t="shared" si="98"/>
        <v>237524</v>
      </c>
      <c r="EE300" s="30">
        <f t="shared" si="99"/>
        <v>2</v>
      </c>
      <c r="EF300" s="39">
        <f t="shared" si="100"/>
        <v>118762</v>
      </c>
    </row>
    <row r="301" spans="1:136" x14ac:dyDescent="0.25">
      <c r="A301" s="25" t="e">
        <f>#REF!</f>
        <v>#REF!</v>
      </c>
      <c r="B301" s="50" t="e">
        <f>#REF!</f>
        <v>#REF!</v>
      </c>
      <c r="C301" s="5" t="e">
        <f>#REF!</f>
        <v>#REF!</v>
      </c>
      <c r="D301" s="5" t="e">
        <f>#REF!</f>
        <v>#REF!</v>
      </c>
      <c r="E301" s="252">
        <v>1</v>
      </c>
      <c r="F301" s="249">
        <v>0</v>
      </c>
      <c r="G301" s="249">
        <v>0</v>
      </c>
      <c r="H301" s="249">
        <v>0</v>
      </c>
      <c r="I301" s="249">
        <v>0</v>
      </c>
      <c r="J301" s="249">
        <v>2082.5</v>
      </c>
      <c r="K301" s="249">
        <v>595</v>
      </c>
      <c r="L301" s="274">
        <f>J301</f>
        <v>2082.5</v>
      </c>
      <c r="M301" s="274">
        <f>K301*E1</f>
        <v>612.85</v>
      </c>
      <c r="N301" s="255">
        <v>1000</v>
      </c>
      <c r="O301" s="135">
        <f>+N301*0.19</f>
        <v>190</v>
      </c>
      <c r="P301" s="135">
        <f>+N301+O301</f>
        <v>1190</v>
      </c>
      <c r="Q301" s="131"/>
      <c r="R301" s="131"/>
      <c r="S301" s="11"/>
      <c r="T301" s="274"/>
      <c r="U301" s="274"/>
      <c r="V301" s="274"/>
      <c r="W301" s="39"/>
      <c r="X301" s="11"/>
      <c r="Y301" s="11"/>
      <c r="Z301" s="274"/>
      <c r="AA301" s="274"/>
      <c r="AB301" s="274"/>
      <c r="AC301" s="52"/>
      <c r="AD301" s="22"/>
      <c r="AE301" s="39"/>
      <c r="AF301" s="274"/>
      <c r="AG301" s="274"/>
      <c r="AH301" s="171"/>
      <c r="AI301" s="4"/>
      <c r="AJ301" s="39"/>
      <c r="AK301" s="39"/>
      <c r="AL301" s="118"/>
      <c r="AM301" s="152"/>
      <c r="AN301" s="181"/>
      <c r="AO301" s="131"/>
      <c r="AP301" s="131"/>
      <c r="AQ301" s="39"/>
      <c r="AR301" s="274"/>
      <c r="AS301" s="274"/>
      <c r="AT301" s="274"/>
      <c r="AU301" s="39"/>
      <c r="AV301" s="39"/>
      <c r="AW301" s="39"/>
      <c r="AX301" s="274"/>
      <c r="AY301" s="274"/>
      <c r="AZ301" s="274"/>
      <c r="BA301" s="39"/>
      <c r="BB301" s="62"/>
      <c r="BC301" s="39"/>
      <c r="BD301" s="274"/>
      <c r="BE301" s="274"/>
      <c r="BF301" s="274"/>
      <c r="BG301" s="39"/>
      <c r="BH301" s="39"/>
      <c r="BI301" s="39"/>
      <c r="BJ301" s="274">
        <v>700</v>
      </c>
      <c r="BK301" s="274">
        <f>+BJ301*0.19</f>
        <v>133</v>
      </c>
      <c r="BL301" s="274">
        <f>+BJ301+BK301</f>
        <v>833</v>
      </c>
      <c r="BM301" s="214" t="s">
        <v>445</v>
      </c>
      <c r="BN301" s="213" t="s">
        <v>3626</v>
      </c>
      <c r="BO301" s="39"/>
      <c r="BP301" s="274">
        <v>350</v>
      </c>
      <c r="BQ301" s="274">
        <f>+BP301*19%</f>
        <v>66.5</v>
      </c>
      <c r="BR301" s="274">
        <f>+BQ301+BP301</f>
        <v>416.5</v>
      </c>
      <c r="BS301" s="39"/>
      <c r="BT301" s="39"/>
      <c r="BU301" s="39"/>
      <c r="BV301" s="219">
        <v>809.3904</v>
      </c>
      <c r="BW301" s="219">
        <f>+BV301*0.19</f>
        <v>153.784176</v>
      </c>
      <c r="BX301" s="273">
        <f>+BV301+BW301</f>
        <v>963.174576</v>
      </c>
      <c r="BY301" s="214" t="s">
        <v>445</v>
      </c>
      <c r="BZ301" s="213" t="s">
        <v>3626</v>
      </c>
      <c r="CA301" s="213"/>
      <c r="CB301" s="274"/>
      <c r="CC301" s="274"/>
      <c r="CD301" s="274"/>
      <c r="CE301" s="39"/>
      <c r="CF301" s="39"/>
      <c r="CG301" s="39"/>
      <c r="CH301" s="274"/>
      <c r="CI301" s="274"/>
      <c r="CJ301" s="274"/>
      <c r="CK301" s="39"/>
      <c r="CL301" s="39"/>
      <c r="CM301" s="39"/>
      <c r="CN301" s="39"/>
      <c r="CO301" s="39"/>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274"/>
      <c r="DM301" s="274"/>
      <c r="DN301" s="274"/>
      <c r="DO301" s="274"/>
      <c r="DP301" s="274"/>
      <c r="DQ301" s="274"/>
      <c r="DR301" s="274"/>
      <c r="DS301" s="274"/>
      <c r="DT301" s="274"/>
      <c r="DU301" s="274"/>
      <c r="DV301" s="274"/>
      <c r="DW301" s="274"/>
      <c r="DX301" s="274"/>
      <c r="DY301" s="274"/>
      <c r="DZ301" s="274"/>
      <c r="EA301" s="274"/>
      <c r="EB301" s="274"/>
      <c r="EC301" s="274"/>
      <c r="ED301" s="39">
        <f t="shared" si="98"/>
        <v>4015.5245759999998</v>
      </c>
      <c r="EE301" s="30">
        <f t="shared" si="99"/>
        <v>5</v>
      </c>
      <c r="EF301" s="39">
        <f t="shared" si="100"/>
        <v>803.10491519999994</v>
      </c>
    </row>
    <row r="302" spans="1:136" x14ac:dyDescent="0.25">
      <c r="A302" s="25" t="e">
        <f>#REF!</f>
        <v>#REF!</v>
      </c>
      <c r="B302" s="50" t="e">
        <f>#REF!</f>
        <v>#REF!</v>
      </c>
      <c r="C302" s="5" t="e">
        <f>#REF!</f>
        <v>#REF!</v>
      </c>
      <c r="D302" s="5" t="e">
        <f>#REF!</f>
        <v>#REF!</v>
      </c>
      <c r="E302" s="252">
        <v>1</v>
      </c>
      <c r="F302" s="249">
        <v>0</v>
      </c>
      <c r="G302" s="249">
        <v>0</v>
      </c>
      <c r="H302" s="249">
        <v>0</v>
      </c>
      <c r="I302" s="249">
        <v>0</v>
      </c>
      <c r="J302" s="249">
        <v>133875</v>
      </c>
      <c r="K302" s="249">
        <v>117810</v>
      </c>
      <c r="L302" s="274">
        <f>J302</f>
        <v>133875</v>
      </c>
      <c r="M302" s="274">
        <f>K302*E1</f>
        <v>121344.3</v>
      </c>
      <c r="N302" s="255"/>
      <c r="O302" s="135"/>
      <c r="P302" s="135"/>
      <c r="Q302" s="131"/>
      <c r="R302" s="131"/>
      <c r="S302" s="11"/>
      <c r="T302" s="274"/>
      <c r="U302" s="274"/>
      <c r="V302" s="274"/>
      <c r="W302" s="39"/>
      <c r="X302" s="11"/>
      <c r="Y302" s="11"/>
      <c r="Z302" s="274"/>
      <c r="AA302" s="274"/>
      <c r="AB302" s="274"/>
      <c r="AC302" s="5"/>
      <c r="AD302" s="22"/>
      <c r="AE302" s="39"/>
      <c r="AF302" s="274"/>
      <c r="AG302" s="274"/>
      <c r="AH302" s="169"/>
      <c r="AI302" s="4"/>
      <c r="AJ302" s="39"/>
      <c r="AK302" s="39"/>
      <c r="AL302" s="118"/>
      <c r="AM302" s="152"/>
      <c r="AN302" s="181"/>
      <c r="AO302" s="131"/>
      <c r="AP302" s="131"/>
      <c r="AQ302" s="39"/>
      <c r="AR302" s="274"/>
      <c r="AS302" s="274"/>
      <c r="AT302" s="274"/>
      <c r="AU302" s="39"/>
      <c r="AV302" s="39"/>
      <c r="AW302" s="39"/>
      <c r="AX302" s="274"/>
      <c r="AY302" s="274"/>
      <c r="AZ302" s="274"/>
      <c r="BA302" s="39"/>
      <c r="BB302" s="62"/>
      <c r="BC302" s="39"/>
      <c r="BD302" s="274"/>
      <c r="BE302" s="274"/>
      <c r="BF302" s="274"/>
      <c r="BG302" s="39"/>
      <c r="BH302" s="39"/>
      <c r="BI302" s="39"/>
      <c r="BJ302" s="274"/>
      <c r="BK302" s="274"/>
      <c r="BL302" s="274"/>
      <c r="BM302" s="213"/>
      <c r="BN302" s="213"/>
      <c r="BO302" s="39"/>
      <c r="BP302" s="274"/>
      <c r="BQ302" s="274"/>
      <c r="BR302" s="274"/>
      <c r="BS302" s="39"/>
      <c r="BT302" s="39"/>
      <c r="BU302" s="39"/>
      <c r="BV302" s="212"/>
      <c r="BW302" s="221"/>
      <c r="BX302" s="273"/>
      <c r="BY302" s="213"/>
      <c r="BZ302" s="213"/>
      <c r="CA302" s="213"/>
      <c r="CB302" s="274"/>
      <c r="CC302" s="274"/>
      <c r="CD302" s="274"/>
      <c r="CE302" s="39"/>
      <c r="CF302" s="39"/>
      <c r="CG302" s="39"/>
      <c r="CH302" s="274"/>
      <c r="CI302" s="274"/>
      <c r="CJ302" s="274"/>
      <c r="CK302" s="39"/>
      <c r="CL302" s="39"/>
      <c r="CM302" s="39"/>
      <c r="CN302" s="39"/>
      <c r="CO302" s="39"/>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274"/>
      <c r="DM302" s="274"/>
      <c r="DN302" s="274"/>
      <c r="DO302" s="274"/>
      <c r="DP302" s="274"/>
      <c r="DQ302" s="274"/>
      <c r="DR302" s="274"/>
      <c r="DS302" s="274"/>
      <c r="DT302" s="274"/>
      <c r="DU302" s="274"/>
      <c r="DV302" s="274"/>
      <c r="DW302" s="274"/>
      <c r="DX302" s="274"/>
      <c r="DY302" s="274"/>
      <c r="DZ302" s="274"/>
      <c r="EA302" s="274"/>
      <c r="EB302" s="274"/>
      <c r="EC302" s="274"/>
      <c r="ED302" s="39">
        <f t="shared" si="98"/>
        <v>121344.3</v>
      </c>
      <c r="EE302" s="30">
        <f t="shared" si="99"/>
        <v>1</v>
      </c>
      <c r="EF302" s="39">
        <f t="shared" si="100"/>
        <v>121344.3</v>
      </c>
    </row>
    <row r="303" spans="1:136" x14ac:dyDescent="0.25">
      <c r="A303" s="25" t="e">
        <f>#REF!</f>
        <v>#REF!</v>
      </c>
      <c r="B303" s="50" t="e">
        <f>#REF!</f>
        <v>#REF!</v>
      </c>
      <c r="C303" s="5" t="e">
        <f>#REF!</f>
        <v>#REF!</v>
      </c>
      <c r="D303" s="5" t="e">
        <f>#REF!</f>
        <v>#REF!</v>
      </c>
      <c r="E303" s="252">
        <v>1</v>
      </c>
      <c r="F303" s="249">
        <v>20556.456666666665</v>
      </c>
      <c r="G303" s="249">
        <v>19873</v>
      </c>
      <c r="H303" s="249">
        <v>19716.160974999999</v>
      </c>
      <c r="I303" s="249">
        <v>7497</v>
      </c>
      <c r="J303" s="249">
        <v>10612.816666666668</v>
      </c>
      <c r="K303" s="249">
        <v>0</v>
      </c>
      <c r="L303" s="274">
        <f>AVERAGE(F303,H303,J303)</f>
        <v>16961.811436111111</v>
      </c>
      <c r="M303" s="274">
        <f>AVERAGE(G303,I303)*E1</f>
        <v>14095.550000000001</v>
      </c>
      <c r="N303" s="255">
        <v>3500</v>
      </c>
      <c r="O303" s="135">
        <f>+N303*0.19</f>
        <v>665</v>
      </c>
      <c r="P303" s="135">
        <f>+N303+O303</f>
        <v>4165</v>
      </c>
      <c r="Q303" s="131"/>
      <c r="R303" s="131"/>
      <c r="S303" s="11"/>
      <c r="T303" s="274"/>
      <c r="U303" s="274"/>
      <c r="V303" s="274"/>
      <c r="W303" s="39"/>
      <c r="X303" s="11"/>
      <c r="Y303" s="11"/>
      <c r="Z303" s="274"/>
      <c r="AA303" s="274"/>
      <c r="AB303" s="274"/>
      <c r="AC303" s="54"/>
      <c r="AD303" s="23"/>
      <c r="AE303" s="39"/>
      <c r="AF303" s="274"/>
      <c r="AG303" s="274"/>
      <c r="AH303" s="172"/>
      <c r="AI303" s="24"/>
      <c r="AJ303" s="39"/>
      <c r="AK303" s="39"/>
      <c r="AL303" s="118"/>
      <c r="AM303" s="152"/>
      <c r="AN303" s="181"/>
      <c r="AO303" s="131"/>
      <c r="AP303" s="131"/>
      <c r="AQ303" s="39"/>
      <c r="AR303" s="274"/>
      <c r="AS303" s="274"/>
      <c r="AT303" s="274"/>
      <c r="AU303" s="39"/>
      <c r="AV303" s="39"/>
      <c r="AW303" s="39"/>
      <c r="AX303" s="274"/>
      <c r="AY303" s="274"/>
      <c r="AZ303" s="274"/>
      <c r="BA303" s="39"/>
      <c r="BB303" s="62"/>
      <c r="BC303" s="39"/>
      <c r="BD303" s="274"/>
      <c r="BE303" s="274"/>
      <c r="BF303" s="274"/>
      <c r="BG303" s="39"/>
      <c r="BH303" s="39"/>
      <c r="BI303" s="39"/>
      <c r="BJ303" s="274">
        <v>17300</v>
      </c>
      <c r="BK303" s="274">
        <f>+BJ303*0.19</f>
        <v>3287</v>
      </c>
      <c r="BL303" s="274">
        <f>+BJ303+BK303</f>
        <v>20587</v>
      </c>
      <c r="BM303" s="214" t="s">
        <v>445</v>
      </c>
      <c r="BN303" s="213" t="s">
        <v>2925</v>
      </c>
      <c r="BO303" s="39"/>
      <c r="BP303" s="274"/>
      <c r="BQ303" s="274"/>
      <c r="BR303" s="274"/>
      <c r="BS303" s="39"/>
      <c r="BT303" s="39"/>
      <c r="BU303" s="39"/>
      <c r="BV303" s="219">
        <v>19814.382000000001</v>
      </c>
      <c r="BW303" s="219">
        <f>+BV303*0.19</f>
        <v>3764.7325800000003</v>
      </c>
      <c r="BX303" s="273">
        <f>+BV303+BW303</f>
        <v>23579.114580000001</v>
      </c>
      <c r="BY303" s="214" t="s">
        <v>445</v>
      </c>
      <c r="BZ303" s="213" t="s">
        <v>2925</v>
      </c>
      <c r="CA303" s="213"/>
      <c r="CB303" s="274"/>
      <c r="CC303" s="274"/>
      <c r="CD303" s="274"/>
      <c r="CE303" s="39"/>
      <c r="CF303" s="39"/>
      <c r="CG303" s="39"/>
      <c r="CH303" s="274"/>
      <c r="CI303" s="274"/>
      <c r="CJ303" s="274"/>
      <c r="CK303" s="39"/>
      <c r="CL303" s="39"/>
      <c r="CM303" s="39"/>
      <c r="CN303" s="39"/>
      <c r="CO303" s="39"/>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274"/>
      <c r="DM303" s="274"/>
      <c r="DN303" s="274"/>
      <c r="DO303" s="274"/>
      <c r="DP303" s="274"/>
      <c r="DQ303" s="274"/>
      <c r="DR303" s="274"/>
      <c r="DS303" s="274"/>
      <c r="DT303" s="274"/>
      <c r="DU303" s="274"/>
      <c r="DV303" s="274"/>
      <c r="DW303" s="274"/>
      <c r="DX303" s="274"/>
      <c r="DY303" s="274"/>
      <c r="DZ303" s="274"/>
      <c r="EA303" s="274"/>
      <c r="EB303" s="274"/>
      <c r="EC303" s="274"/>
      <c r="ED303" s="39">
        <f t="shared" si="98"/>
        <v>62426.664580000004</v>
      </c>
      <c r="EE303" s="30">
        <f t="shared" si="99"/>
        <v>4</v>
      </c>
      <c r="EF303" s="39">
        <f t="shared" si="100"/>
        <v>15606.666145000001</v>
      </c>
    </row>
    <row r="304" spans="1:136" x14ac:dyDescent="0.25">
      <c r="A304" s="25" t="e">
        <f>#REF!</f>
        <v>#REF!</v>
      </c>
      <c r="B304" s="50" t="e">
        <f>#REF!</f>
        <v>#REF!</v>
      </c>
      <c r="C304" s="5" t="e">
        <f>#REF!</f>
        <v>#REF!</v>
      </c>
      <c r="D304" s="5" t="e">
        <f>#REF!</f>
        <v>#REF!</v>
      </c>
      <c r="E304" s="252">
        <v>1</v>
      </c>
      <c r="F304" s="249">
        <v>0</v>
      </c>
      <c r="G304" s="249">
        <v>0</v>
      </c>
      <c r="H304" s="249">
        <v>0</v>
      </c>
      <c r="I304" s="249">
        <v>0</v>
      </c>
      <c r="J304" s="249">
        <v>666400</v>
      </c>
      <c r="K304" s="249">
        <v>236810</v>
      </c>
      <c r="L304" s="274">
        <f>J304</f>
        <v>666400</v>
      </c>
      <c r="M304" s="274">
        <f>K304*E1</f>
        <v>243914.30000000002</v>
      </c>
      <c r="N304" s="255">
        <v>57500</v>
      </c>
      <c r="O304" s="135">
        <f>+N304*0.19</f>
        <v>10925</v>
      </c>
      <c r="P304" s="135">
        <f>+N304+O304</f>
        <v>68425</v>
      </c>
      <c r="Q304" s="131"/>
      <c r="R304" s="131"/>
      <c r="S304" s="11"/>
      <c r="T304" s="274"/>
      <c r="U304" s="274"/>
      <c r="V304" s="274"/>
      <c r="W304" s="39"/>
      <c r="X304" s="11"/>
      <c r="Y304" s="11"/>
      <c r="Z304" s="274"/>
      <c r="AA304" s="274"/>
      <c r="AB304" s="274"/>
      <c r="AC304" s="52"/>
      <c r="AD304" s="22"/>
      <c r="AE304" s="39"/>
      <c r="AF304" s="274"/>
      <c r="AG304" s="274"/>
      <c r="AH304" s="113"/>
      <c r="AI304" s="22"/>
      <c r="AJ304" s="39"/>
      <c r="AK304" s="39"/>
      <c r="AL304" s="118"/>
      <c r="AM304" s="152"/>
      <c r="AN304" s="181"/>
      <c r="AO304" s="131"/>
      <c r="AP304" s="131"/>
      <c r="AQ304" s="39"/>
      <c r="AR304" s="274"/>
      <c r="AS304" s="274"/>
      <c r="AT304" s="274"/>
      <c r="AU304" s="39"/>
      <c r="AV304" s="39"/>
      <c r="AW304" s="39"/>
      <c r="AX304" s="274"/>
      <c r="AY304" s="274"/>
      <c r="AZ304" s="274"/>
      <c r="BA304" s="39"/>
      <c r="BB304" s="62"/>
      <c r="BC304" s="39"/>
      <c r="BD304" s="274"/>
      <c r="BE304" s="274"/>
      <c r="BF304" s="274"/>
      <c r="BG304" s="39"/>
      <c r="BH304" s="39"/>
      <c r="BI304" s="39"/>
      <c r="BJ304" s="274">
        <v>285000</v>
      </c>
      <c r="BK304" s="274">
        <f>+BJ304*0.19</f>
        <v>54150</v>
      </c>
      <c r="BL304" s="274">
        <f>+BJ304+BK304</f>
        <v>339150</v>
      </c>
      <c r="BM304" s="213" t="s">
        <v>4831</v>
      </c>
      <c r="BN304" s="213" t="s">
        <v>338</v>
      </c>
      <c r="BO304" s="39"/>
      <c r="BP304" s="274"/>
      <c r="BQ304" s="274"/>
      <c r="BR304" s="274"/>
      <c r="BS304" s="39"/>
      <c r="BT304" s="39"/>
      <c r="BU304" s="39"/>
      <c r="BV304" s="219">
        <v>323169.19500000001</v>
      </c>
      <c r="BW304" s="219">
        <f>+BV304*0.19</f>
        <v>61402.14705</v>
      </c>
      <c r="BX304" s="273">
        <f>+BV304+BW304</f>
        <v>384571.34204999998</v>
      </c>
      <c r="BY304" s="213" t="s">
        <v>4831</v>
      </c>
      <c r="BZ304" s="213" t="s">
        <v>338</v>
      </c>
      <c r="CA304" s="213"/>
      <c r="CB304" s="274"/>
      <c r="CC304" s="274"/>
      <c r="CD304" s="274"/>
      <c r="CE304" s="39"/>
      <c r="CF304" s="39"/>
      <c r="CG304" s="39"/>
      <c r="CH304" s="274"/>
      <c r="CI304" s="274"/>
      <c r="CJ304" s="274"/>
      <c r="CK304" s="39"/>
      <c r="CL304" s="39"/>
      <c r="CM304" s="39"/>
      <c r="CN304" s="39"/>
      <c r="CO304" s="39"/>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274"/>
      <c r="DM304" s="274"/>
      <c r="DN304" s="274"/>
      <c r="DO304" s="274"/>
      <c r="DP304" s="274"/>
      <c r="DQ304" s="274"/>
      <c r="DR304" s="274"/>
      <c r="DS304" s="274"/>
      <c r="DT304" s="274"/>
      <c r="DU304" s="274"/>
      <c r="DV304" s="274"/>
      <c r="DW304" s="274"/>
      <c r="DX304" s="274"/>
      <c r="DY304" s="274"/>
      <c r="DZ304" s="274"/>
      <c r="EA304" s="274"/>
      <c r="EB304" s="274"/>
      <c r="EC304" s="274"/>
      <c r="ED304" s="39">
        <f t="shared" si="98"/>
        <v>1036060.64205</v>
      </c>
      <c r="EE304" s="30">
        <f t="shared" si="99"/>
        <v>4</v>
      </c>
      <c r="EF304" s="39">
        <f t="shared" si="100"/>
        <v>259015.16051250001</v>
      </c>
    </row>
    <row r="305" spans="1:136" x14ac:dyDescent="0.25">
      <c r="A305" s="25" t="e">
        <f>#REF!</f>
        <v>#REF!</v>
      </c>
      <c r="B305" s="50" t="e">
        <f>#REF!</f>
        <v>#REF!</v>
      </c>
      <c r="C305" s="5" t="e">
        <f>#REF!</f>
        <v>#REF!</v>
      </c>
      <c r="D305" s="5" t="e">
        <f>#REF!</f>
        <v>#REF!</v>
      </c>
      <c r="E305" s="252">
        <v>1</v>
      </c>
      <c r="F305" s="249">
        <v>107100</v>
      </c>
      <c r="G305" s="249">
        <v>0</v>
      </c>
      <c r="H305" s="249">
        <v>642600</v>
      </c>
      <c r="I305" s="249">
        <v>0</v>
      </c>
      <c r="J305" s="249">
        <v>375445</v>
      </c>
      <c r="K305" s="249">
        <v>0</v>
      </c>
      <c r="L305" s="274">
        <f>AVERAGE(F305,H305,J305)</f>
        <v>375048.33333333331</v>
      </c>
      <c r="M305" s="274"/>
      <c r="N305" s="255">
        <v>140000</v>
      </c>
      <c r="O305" s="135">
        <f>+N305*0.19</f>
        <v>26600</v>
      </c>
      <c r="P305" s="135">
        <f>+N305+O305</f>
        <v>166600</v>
      </c>
      <c r="Q305" s="131"/>
      <c r="R305" s="131"/>
      <c r="S305" s="11"/>
      <c r="T305" s="274"/>
      <c r="U305" s="274"/>
      <c r="V305" s="274"/>
      <c r="W305" s="39"/>
      <c r="X305" s="11"/>
      <c r="Y305" s="11"/>
      <c r="Z305" s="274"/>
      <c r="AA305" s="274"/>
      <c r="AB305" s="274"/>
      <c r="AC305" s="52"/>
      <c r="AD305" s="22"/>
      <c r="AE305" s="39"/>
      <c r="AF305" s="274"/>
      <c r="AG305" s="274"/>
      <c r="AH305" s="113"/>
      <c r="AI305" s="22"/>
      <c r="AJ305" s="39"/>
      <c r="AK305" s="39"/>
      <c r="AL305" s="118"/>
      <c r="AM305" s="152"/>
      <c r="AN305" s="181"/>
      <c r="AO305" s="131"/>
      <c r="AP305" s="131"/>
      <c r="AQ305" s="39"/>
      <c r="AR305" s="274"/>
      <c r="AS305" s="274"/>
      <c r="AT305" s="274"/>
      <c r="AU305" s="39"/>
      <c r="AV305" s="39"/>
      <c r="AW305" s="39"/>
      <c r="AX305" s="274"/>
      <c r="AY305" s="274"/>
      <c r="AZ305" s="274"/>
      <c r="BA305" s="39"/>
      <c r="BB305" s="62"/>
      <c r="BC305" s="39"/>
      <c r="BD305" s="274"/>
      <c r="BE305" s="274"/>
      <c r="BF305" s="274"/>
      <c r="BG305" s="39"/>
      <c r="BH305" s="39"/>
      <c r="BI305" s="39"/>
      <c r="BJ305" s="274"/>
      <c r="BK305" s="274"/>
      <c r="BL305" s="274"/>
      <c r="BM305" s="213"/>
      <c r="BN305" s="213"/>
      <c r="BO305" s="39"/>
      <c r="BP305" s="274">
        <f>840*1100</f>
        <v>924000</v>
      </c>
      <c r="BQ305" s="274">
        <f>+BP305*19%</f>
        <v>175560</v>
      </c>
      <c r="BR305" s="274">
        <f>+BQ305+BP305</f>
        <v>1099560</v>
      </c>
      <c r="BS305" s="39"/>
      <c r="BT305" s="39"/>
      <c r="BU305" s="39"/>
      <c r="BV305" s="212"/>
      <c r="BW305" s="221"/>
      <c r="BX305" s="273"/>
      <c r="BY305" s="213"/>
      <c r="BZ305" s="213"/>
      <c r="CA305" s="213"/>
      <c r="CB305" s="274"/>
      <c r="CC305" s="274"/>
      <c r="CD305" s="274"/>
      <c r="CE305" s="39"/>
      <c r="CF305" s="39"/>
      <c r="CG305" s="39"/>
      <c r="CH305" s="274"/>
      <c r="CI305" s="274"/>
      <c r="CJ305" s="274"/>
      <c r="CK305" s="39"/>
      <c r="CL305" s="39"/>
      <c r="CM305" s="39"/>
      <c r="CN305" s="39"/>
      <c r="CO305" s="39"/>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274"/>
      <c r="DM305" s="274"/>
      <c r="DN305" s="274"/>
      <c r="DO305" s="274"/>
      <c r="DP305" s="274"/>
      <c r="DQ305" s="274"/>
      <c r="DR305" s="274"/>
      <c r="DS305" s="274"/>
      <c r="DT305" s="274"/>
      <c r="DU305" s="274"/>
      <c r="DV305" s="274"/>
      <c r="DW305" s="274"/>
      <c r="DX305" s="274"/>
      <c r="DY305" s="274"/>
      <c r="DZ305" s="274"/>
      <c r="EA305" s="274"/>
      <c r="EB305" s="274"/>
      <c r="EC305" s="274"/>
      <c r="ED305" s="39">
        <f t="shared" si="98"/>
        <v>1266160</v>
      </c>
      <c r="EE305" s="30">
        <f t="shared" si="99"/>
        <v>2</v>
      </c>
      <c r="EF305" s="39">
        <f t="shared" si="100"/>
        <v>633080</v>
      </c>
    </row>
    <row r="306" spans="1:136" x14ac:dyDescent="0.25">
      <c r="A306" s="25" t="e">
        <f>#REF!</f>
        <v>#REF!</v>
      </c>
      <c r="B306" s="50" t="e">
        <f>#REF!</f>
        <v>#REF!</v>
      </c>
      <c r="C306" s="5" t="e">
        <f>#REF!</f>
        <v>#REF!</v>
      </c>
      <c r="D306" s="5" t="e">
        <f>#REF!</f>
        <v>#REF!</v>
      </c>
      <c r="E306" s="252">
        <v>1</v>
      </c>
      <c r="F306" s="249">
        <v>0</v>
      </c>
      <c r="G306" s="249">
        <v>0</v>
      </c>
      <c r="H306" s="249">
        <v>56525</v>
      </c>
      <c r="I306" s="249">
        <v>0</v>
      </c>
      <c r="J306" s="249">
        <v>0</v>
      </c>
      <c r="K306" s="249">
        <v>0</v>
      </c>
      <c r="L306" s="274">
        <f>H306</f>
        <v>56525</v>
      </c>
      <c r="M306" s="274"/>
      <c r="N306" s="255"/>
      <c r="O306" s="135"/>
      <c r="P306" s="135"/>
      <c r="Q306" s="131"/>
      <c r="R306" s="131"/>
      <c r="S306" s="11"/>
      <c r="T306" s="274"/>
      <c r="U306" s="274"/>
      <c r="V306" s="274"/>
      <c r="W306" s="39"/>
      <c r="X306" s="11"/>
      <c r="Y306" s="11"/>
      <c r="Z306" s="274"/>
      <c r="AA306" s="274"/>
      <c r="AB306" s="274"/>
      <c r="AC306" s="5"/>
      <c r="AD306" s="22"/>
      <c r="AE306" s="39"/>
      <c r="AF306" s="274"/>
      <c r="AG306" s="274"/>
      <c r="AH306" s="169"/>
      <c r="AI306" s="4"/>
      <c r="AJ306" s="39"/>
      <c r="AK306" s="39"/>
      <c r="AL306" s="118"/>
      <c r="AM306" s="152"/>
      <c r="AN306" s="152"/>
      <c r="AO306" s="131"/>
      <c r="AP306" s="131"/>
      <c r="AQ306" s="39"/>
      <c r="AR306" s="274"/>
      <c r="AS306" s="274"/>
      <c r="AT306" s="274"/>
      <c r="AU306" s="39"/>
      <c r="AV306" s="39"/>
      <c r="AW306" s="39"/>
      <c r="AX306" s="274"/>
      <c r="AY306" s="274"/>
      <c r="AZ306" s="274"/>
      <c r="BA306" s="39"/>
      <c r="BB306" s="62"/>
      <c r="BC306" s="39"/>
      <c r="BD306" s="274"/>
      <c r="BE306" s="274"/>
      <c r="BF306" s="274"/>
      <c r="BG306" s="39"/>
      <c r="BH306" s="39"/>
      <c r="BI306" s="39"/>
      <c r="BJ306" s="274"/>
      <c r="BK306" s="274"/>
      <c r="BL306" s="274"/>
      <c r="BM306" s="213"/>
      <c r="BN306" s="213"/>
      <c r="BO306" s="39"/>
      <c r="BP306" s="274"/>
      <c r="BQ306" s="274"/>
      <c r="BR306" s="274"/>
      <c r="BS306" s="39"/>
      <c r="BT306" s="39"/>
      <c r="BU306" s="39"/>
      <c r="BV306" s="212"/>
      <c r="BW306" s="221"/>
      <c r="BX306" s="273"/>
      <c r="BY306" s="213"/>
      <c r="BZ306" s="213"/>
      <c r="CA306" s="213"/>
      <c r="CB306" s="274"/>
      <c r="CC306" s="274"/>
      <c r="CD306" s="274"/>
      <c r="CE306" s="39"/>
      <c r="CF306" s="39"/>
      <c r="CG306" s="39"/>
      <c r="CH306" s="274"/>
      <c r="CI306" s="274"/>
      <c r="CJ306" s="274"/>
      <c r="CK306" s="39"/>
      <c r="CL306" s="39"/>
      <c r="CM306" s="39"/>
      <c r="CN306" s="39"/>
      <c r="CO306" s="39"/>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274"/>
      <c r="DM306" s="274"/>
      <c r="DN306" s="274"/>
      <c r="DO306" s="274"/>
      <c r="DP306" s="274"/>
      <c r="DQ306" s="274"/>
      <c r="DR306" s="274"/>
      <c r="DS306" s="274"/>
      <c r="DT306" s="274"/>
      <c r="DU306" s="274"/>
      <c r="DV306" s="274"/>
      <c r="DW306" s="274"/>
      <c r="DX306" s="274"/>
      <c r="DY306" s="274"/>
      <c r="DZ306" s="274"/>
      <c r="EA306" s="274"/>
      <c r="EB306" s="274"/>
      <c r="EC306" s="274"/>
      <c r="ED306" s="39">
        <f t="shared" si="98"/>
        <v>0</v>
      </c>
      <c r="EE306" s="30">
        <f t="shared" si="99"/>
        <v>0</v>
      </c>
      <c r="EF306" s="39" t="str">
        <f t="shared" si="100"/>
        <v xml:space="preserve"> </v>
      </c>
    </row>
    <row r="307" spans="1:136" x14ac:dyDescent="0.25">
      <c r="A307" s="25" t="e">
        <f>#REF!</f>
        <v>#REF!</v>
      </c>
      <c r="B307" s="50" t="e">
        <f>#REF!</f>
        <v>#REF!</v>
      </c>
      <c r="C307" s="5" t="e">
        <f>#REF!</f>
        <v>#REF!</v>
      </c>
      <c r="D307" s="5" t="e">
        <f>#REF!</f>
        <v>#REF!</v>
      </c>
      <c r="E307" s="252">
        <v>1</v>
      </c>
      <c r="F307" s="249">
        <v>0</v>
      </c>
      <c r="G307" s="249">
        <v>0</v>
      </c>
      <c r="H307" s="249">
        <v>0</v>
      </c>
      <c r="I307" s="249">
        <v>0</v>
      </c>
      <c r="J307" s="249">
        <v>0</v>
      </c>
      <c r="K307" s="249">
        <v>0</v>
      </c>
      <c r="L307" s="274"/>
      <c r="M307" s="274"/>
      <c r="N307" s="255"/>
      <c r="O307" s="135"/>
      <c r="P307" s="135"/>
      <c r="Q307" s="131"/>
      <c r="R307" s="131"/>
      <c r="S307" s="11"/>
      <c r="T307" s="274"/>
      <c r="U307" s="274"/>
      <c r="V307" s="274"/>
      <c r="W307" s="39"/>
      <c r="X307" s="11"/>
      <c r="Y307" s="11"/>
      <c r="Z307" s="274"/>
      <c r="AA307" s="274"/>
      <c r="AB307" s="274"/>
      <c r="AC307" s="52"/>
      <c r="AD307" s="22"/>
      <c r="AE307" s="39"/>
      <c r="AF307" s="274"/>
      <c r="AG307" s="274"/>
      <c r="AH307" s="171"/>
      <c r="AI307" s="4"/>
      <c r="AJ307" s="39"/>
      <c r="AK307" s="39"/>
      <c r="AL307" s="118"/>
      <c r="AM307" s="152"/>
      <c r="AN307" s="181"/>
      <c r="AO307" s="131"/>
      <c r="AP307" s="131"/>
      <c r="AQ307" s="39"/>
      <c r="AR307" s="274"/>
      <c r="AS307" s="274"/>
      <c r="AT307" s="274"/>
      <c r="AU307" s="39"/>
      <c r="AV307" s="39"/>
      <c r="AW307" s="39"/>
      <c r="AX307" s="274"/>
      <c r="AY307" s="274"/>
      <c r="AZ307" s="274"/>
      <c r="BA307" s="39"/>
      <c r="BB307" s="62"/>
      <c r="BC307" s="39"/>
      <c r="BD307" s="274"/>
      <c r="BE307" s="274"/>
      <c r="BF307" s="274"/>
      <c r="BG307" s="39"/>
      <c r="BH307" s="39"/>
      <c r="BI307" s="39"/>
      <c r="BJ307" s="274"/>
      <c r="BK307" s="274"/>
      <c r="BL307" s="274"/>
      <c r="BM307" s="213"/>
      <c r="BN307" s="213"/>
      <c r="BO307" s="39"/>
      <c r="BP307" s="274"/>
      <c r="BQ307" s="274"/>
      <c r="BR307" s="274"/>
      <c r="BS307" s="39"/>
      <c r="BT307" s="39"/>
      <c r="BU307" s="39"/>
      <c r="BV307" s="212"/>
      <c r="BW307" s="221"/>
      <c r="BX307" s="273"/>
      <c r="BY307" s="213"/>
      <c r="BZ307" s="213"/>
      <c r="CA307" s="213"/>
      <c r="CB307" s="274"/>
      <c r="CC307" s="274"/>
      <c r="CD307" s="274"/>
      <c r="CE307" s="39"/>
      <c r="CF307" s="39"/>
      <c r="CG307" s="39"/>
      <c r="CH307" s="274"/>
      <c r="CI307" s="274"/>
      <c r="CJ307" s="274"/>
      <c r="CK307" s="39"/>
      <c r="CL307" s="39"/>
      <c r="CM307" s="39"/>
      <c r="CN307" s="39"/>
      <c r="CO307" s="39"/>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274"/>
      <c r="DM307" s="274"/>
      <c r="DN307" s="274"/>
      <c r="DO307" s="274"/>
      <c r="DP307" s="274"/>
      <c r="DQ307" s="274"/>
      <c r="DR307" s="274"/>
      <c r="DS307" s="274"/>
      <c r="DT307" s="274"/>
      <c r="DU307" s="274"/>
      <c r="DV307" s="274"/>
      <c r="DW307" s="274"/>
      <c r="DX307" s="274"/>
      <c r="DY307" s="274"/>
      <c r="DZ307" s="274"/>
      <c r="EA307" s="274"/>
      <c r="EB307" s="274"/>
      <c r="EC307" s="274"/>
      <c r="ED307" s="39">
        <f t="shared" si="98"/>
        <v>0</v>
      </c>
      <c r="EE307" s="30">
        <f t="shared" si="99"/>
        <v>0</v>
      </c>
      <c r="EF307" s="39" t="str">
        <f t="shared" si="100"/>
        <v xml:space="preserve"> </v>
      </c>
    </row>
    <row r="308" spans="1:136" x14ac:dyDescent="0.25">
      <c r="A308" s="25" t="e">
        <f>#REF!</f>
        <v>#REF!</v>
      </c>
      <c r="B308" s="50" t="e">
        <f>#REF!</f>
        <v>#REF!</v>
      </c>
      <c r="C308" s="5" t="e">
        <f>#REF!</f>
        <v>#REF!</v>
      </c>
      <c r="D308" s="5" t="e">
        <f>#REF!</f>
        <v>#REF!</v>
      </c>
      <c r="E308" s="252">
        <v>1</v>
      </c>
      <c r="F308" s="249">
        <v>0</v>
      </c>
      <c r="G308" s="249">
        <v>0</v>
      </c>
      <c r="H308" s="249">
        <v>0</v>
      </c>
      <c r="I308" s="249">
        <v>0</v>
      </c>
      <c r="J308" s="249">
        <v>0</v>
      </c>
      <c r="K308" s="249">
        <v>0</v>
      </c>
      <c r="L308" s="274"/>
      <c r="M308" s="274"/>
      <c r="N308" s="255">
        <v>90000</v>
      </c>
      <c r="O308" s="135">
        <f>+N308*0.19</f>
        <v>17100</v>
      </c>
      <c r="P308" s="135">
        <f>+N308+O308</f>
        <v>107100</v>
      </c>
      <c r="Q308" s="131"/>
      <c r="R308" s="131"/>
      <c r="S308" s="11"/>
      <c r="T308" s="274"/>
      <c r="U308" s="274"/>
      <c r="V308" s="274"/>
      <c r="W308" s="39"/>
      <c r="X308" s="11"/>
      <c r="Y308" s="11"/>
      <c r="Z308" s="274"/>
      <c r="AA308" s="274"/>
      <c r="AB308" s="274"/>
      <c r="AC308" s="52"/>
      <c r="AD308" s="22"/>
      <c r="AE308" s="39"/>
      <c r="AF308" s="274"/>
      <c r="AG308" s="274"/>
      <c r="AH308" s="171"/>
      <c r="AI308" s="4"/>
      <c r="AJ308" s="39"/>
      <c r="AK308" s="39"/>
      <c r="AL308" s="118"/>
      <c r="AM308" s="152"/>
      <c r="AN308" s="181"/>
      <c r="AO308" s="131"/>
      <c r="AP308" s="131"/>
      <c r="AQ308" s="39"/>
      <c r="AR308" s="274"/>
      <c r="AS308" s="274"/>
      <c r="AT308" s="274"/>
      <c r="AU308" s="39"/>
      <c r="AV308" s="39"/>
      <c r="AW308" s="39"/>
      <c r="AX308" s="274"/>
      <c r="AY308" s="274"/>
      <c r="AZ308" s="274"/>
      <c r="BA308" s="39"/>
      <c r="BB308" s="62"/>
      <c r="BC308" s="39"/>
      <c r="BD308" s="274"/>
      <c r="BE308" s="274"/>
      <c r="BF308" s="274"/>
      <c r="BG308" s="39"/>
      <c r="BH308" s="39"/>
      <c r="BI308" s="39"/>
      <c r="BJ308" s="274"/>
      <c r="BK308" s="274"/>
      <c r="BL308" s="274"/>
      <c r="BM308" s="213"/>
      <c r="BN308" s="213"/>
      <c r="BO308" s="39"/>
      <c r="BP308" s="274"/>
      <c r="BQ308" s="274"/>
      <c r="BR308" s="274"/>
      <c r="BS308" s="39"/>
      <c r="BT308" s="39"/>
      <c r="BU308" s="39"/>
      <c r="BV308" s="212"/>
      <c r="BW308" s="221"/>
      <c r="BX308" s="273"/>
      <c r="BY308" s="213"/>
      <c r="BZ308" s="213"/>
      <c r="CA308" s="213"/>
      <c r="CB308" s="274"/>
      <c r="CC308" s="274"/>
      <c r="CD308" s="274"/>
      <c r="CE308" s="39"/>
      <c r="CF308" s="39"/>
      <c r="CG308" s="39"/>
      <c r="CH308" s="274"/>
      <c r="CI308" s="274"/>
      <c r="CJ308" s="274"/>
      <c r="CK308" s="39"/>
      <c r="CL308" s="39"/>
      <c r="CM308" s="39"/>
      <c r="CN308" s="39"/>
      <c r="CO308" s="39"/>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274"/>
      <c r="DM308" s="274"/>
      <c r="DN308" s="274"/>
      <c r="DO308" s="274"/>
      <c r="DP308" s="274"/>
      <c r="DQ308" s="274"/>
      <c r="DR308" s="274"/>
      <c r="DS308" s="274"/>
      <c r="DT308" s="274"/>
      <c r="DU308" s="274"/>
      <c r="DV308" s="274"/>
      <c r="DW308" s="274"/>
      <c r="DX308" s="274"/>
      <c r="DY308" s="274"/>
      <c r="DZ308" s="274"/>
      <c r="EA308" s="274"/>
      <c r="EB308" s="274"/>
      <c r="EC308" s="274"/>
      <c r="ED308" s="39">
        <f t="shared" si="98"/>
        <v>107100</v>
      </c>
      <c r="EE308" s="30">
        <f t="shared" si="99"/>
        <v>1</v>
      </c>
      <c r="EF308" s="39">
        <f t="shared" si="100"/>
        <v>107100</v>
      </c>
    </row>
    <row r="309" spans="1:136" x14ac:dyDescent="0.25">
      <c r="A309" s="25" t="e">
        <f>#REF!</f>
        <v>#REF!</v>
      </c>
      <c r="B309" s="50" t="e">
        <f>#REF!</f>
        <v>#REF!</v>
      </c>
      <c r="C309" s="5" t="e">
        <f>#REF!</f>
        <v>#REF!</v>
      </c>
      <c r="D309" s="5" t="e">
        <f>#REF!</f>
        <v>#REF!</v>
      </c>
      <c r="E309" s="252">
        <v>1</v>
      </c>
      <c r="F309" s="249">
        <v>2848.0666666666666</v>
      </c>
      <c r="G309" s="249">
        <v>2618</v>
      </c>
      <c r="H309" s="249">
        <v>7400.4493499999999</v>
      </c>
      <c r="I309" s="249">
        <v>7259</v>
      </c>
      <c r="J309" s="249">
        <v>9513.0583333333343</v>
      </c>
      <c r="K309" s="249">
        <v>8925</v>
      </c>
      <c r="L309" s="274">
        <f>AVERAGE(F309,H309,J309)</f>
        <v>6587.1914500000012</v>
      </c>
      <c r="M309" s="274">
        <f>AVERAGE(G309,I309,K309)*E1</f>
        <v>6455.3533333333335</v>
      </c>
      <c r="N309" s="255">
        <v>700</v>
      </c>
      <c r="O309" s="135">
        <f>+N309*0.19</f>
        <v>133</v>
      </c>
      <c r="P309" s="135">
        <f>+N309+O309</f>
        <v>833</v>
      </c>
      <c r="Q309" s="131"/>
      <c r="R309" s="131"/>
      <c r="S309" s="11"/>
      <c r="T309" s="274"/>
      <c r="U309" s="274"/>
      <c r="V309" s="274"/>
      <c r="W309" s="39"/>
      <c r="X309" s="11"/>
      <c r="Y309" s="11"/>
      <c r="Z309" s="274">
        <v>12000</v>
      </c>
      <c r="AA309" s="274">
        <f>+Z309*0.19</f>
        <v>2280</v>
      </c>
      <c r="AB309" s="274">
        <f>+Z309+AA309</f>
        <v>14280</v>
      </c>
      <c r="AC309" s="5" t="s">
        <v>445</v>
      </c>
      <c r="AD309" s="22" t="s">
        <v>4832</v>
      </c>
      <c r="AE309" s="39"/>
      <c r="AF309" s="274"/>
      <c r="AG309" s="274"/>
      <c r="AH309" s="171"/>
      <c r="AI309" s="4"/>
      <c r="AJ309" s="39"/>
      <c r="AK309" s="39"/>
      <c r="AL309" s="118"/>
      <c r="AM309" s="152"/>
      <c r="AN309" s="181"/>
      <c r="AO309" s="131"/>
      <c r="AP309" s="131"/>
      <c r="AQ309" s="39"/>
      <c r="AR309" s="274"/>
      <c r="AS309" s="274"/>
      <c r="AT309" s="274"/>
      <c r="AU309" s="39"/>
      <c r="AV309" s="39"/>
      <c r="AW309" s="39"/>
      <c r="AX309" s="274"/>
      <c r="AY309" s="274"/>
      <c r="AZ309" s="274"/>
      <c r="BA309" s="39"/>
      <c r="BB309" s="62"/>
      <c r="BC309" s="39"/>
      <c r="BD309" s="274"/>
      <c r="BE309" s="274"/>
      <c r="BF309" s="274"/>
      <c r="BG309" s="39"/>
      <c r="BH309" s="39"/>
      <c r="BI309" s="39"/>
      <c r="BJ309" s="274">
        <v>92000</v>
      </c>
      <c r="BK309" s="274">
        <f>+BJ309*0.19</f>
        <v>17480</v>
      </c>
      <c r="BL309" s="274">
        <f>+BJ309+BK309</f>
        <v>109480</v>
      </c>
      <c r="BM309" s="214" t="s">
        <v>445</v>
      </c>
      <c r="BN309" s="213" t="s">
        <v>4833</v>
      </c>
      <c r="BO309" s="39"/>
      <c r="BP309" s="274"/>
      <c r="BQ309" s="274"/>
      <c r="BR309" s="274"/>
      <c r="BS309" s="39"/>
      <c r="BT309" s="39"/>
      <c r="BU309" s="39"/>
      <c r="BV309" s="219">
        <v>96673.968000000008</v>
      </c>
      <c r="BW309" s="219">
        <f>+BV309*0.19</f>
        <v>18368.053920000002</v>
      </c>
      <c r="BX309" s="273">
        <f>+BV309+BW309</f>
        <v>115042.02192000001</v>
      </c>
      <c r="BY309" s="214" t="s">
        <v>445</v>
      </c>
      <c r="BZ309" s="213" t="s">
        <v>4833</v>
      </c>
      <c r="CA309" s="213"/>
      <c r="CB309" s="274"/>
      <c r="CC309" s="274"/>
      <c r="CD309" s="274"/>
      <c r="CE309" s="39"/>
      <c r="CF309" s="39"/>
      <c r="CG309" s="39"/>
      <c r="CH309" s="274"/>
      <c r="CI309" s="274"/>
      <c r="CJ309" s="274"/>
      <c r="CK309" s="39"/>
      <c r="CL309" s="39"/>
      <c r="CM309" s="39"/>
      <c r="CN309" s="39"/>
      <c r="CO309" s="39"/>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274"/>
      <c r="DM309" s="274"/>
      <c r="DN309" s="274"/>
      <c r="DO309" s="274"/>
      <c r="DP309" s="274"/>
      <c r="DQ309" s="274"/>
      <c r="DR309" s="274"/>
      <c r="DS309" s="274"/>
      <c r="DT309" s="274"/>
      <c r="DU309" s="274"/>
      <c r="DV309" s="274"/>
      <c r="DW309" s="274"/>
      <c r="DX309" s="274"/>
      <c r="DY309" s="274"/>
      <c r="DZ309" s="274"/>
      <c r="EA309" s="274"/>
      <c r="EB309" s="274"/>
      <c r="EC309" s="274"/>
      <c r="ED309" s="39">
        <f t="shared" si="98"/>
        <v>246090.37525333336</v>
      </c>
      <c r="EE309" s="30">
        <f t="shared" si="99"/>
        <v>5</v>
      </c>
      <c r="EF309" s="39">
        <f t="shared" si="100"/>
        <v>49218.075050666674</v>
      </c>
    </row>
    <row r="310" spans="1:136" ht="36" x14ac:dyDescent="0.25">
      <c r="A310" s="25" t="e">
        <f>#REF!</f>
        <v>#REF!</v>
      </c>
      <c r="B310" s="50" t="e">
        <f>#REF!</f>
        <v>#REF!</v>
      </c>
      <c r="C310" s="5" t="e">
        <f>#REF!</f>
        <v>#REF!</v>
      </c>
      <c r="D310" s="5" t="e">
        <f>#REF!</f>
        <v>#REF!</v>
      </c>
      <c r="E310" s="252">
        <v>1</v>
      </c>
      <c r="F310" s="249">
        <v>0</v>
      </c>
      <c r="G310" s="249">
        <v>0</v>
      </c>
      <c r="H310" s="249">
        <v>28168.602109911677</v>
      </c>
      <c r="I310" s="249">
        <v>0</v>
      </c>
      <c r="J310" s="249">
        <v>29244.25</v>
      </c>
      <c r="K310" s="249">
        <v>23681</v>
      </c>
      <c r="L310" s="274">
        <f>AVERAGE(H310,J310)</f>
        <v>28706.426054955838</v>
      </c>
      <c r="M310" s="274">
        <f>K310*E1</f>
        <v>24391.43</v>
      </c>
      <c r="N310" s="255">
        <v>25000</v>
      </c>
      <c r="O310" s="135">
        <f>+N310*0.19</f>
        <v>4750</v>
      </c>
      <c r="P310" s="135">
        <f>+N310+O310</f>
        <v>29750</v>
      </c>
      <c r="Q310" s="131"/>
      <c r="R310" s="131"/>
      <c r="S310" s="11"/>
      <c r="T310" s="274"/>
      <c r="U310" s="274"/>
      <c r="V310" s="274"/>
      <c r="W310" s="39"/>
      <c r="X310" s="11"/>
      <c r="Y310" s="11"/>
      <c r="Z310" s="274"/>
      <c r="AA310" s="274"/>
      <c r="AB310" s="274"/>
      <c r="AC310" s="52"/>
      <c r="AD310" s="22"/>
      <c r="AE310" s="39"/>
      <c r="AF310" s="274"/>
      <c r="AG310" s="274"/>
      <c r="AH310" s="171"/>
      <c r="AI310" s="4"/>
      <c r="AJ310" s="39"/>
      <c r="AK310" s="39"/>
      <c r="AL310" s="118"/>
      <c r="AM310" s="152"/>
      <c r="AN310" s="181"/>
      <c r="AO310" s="131"/>
      <c r="AP310" s="131"/>
      <c r="AQ310" s="39"/>
      <c r="AR310" s="274"/>
      <c r="AS310" s="274"/>
      <c r="AT310" s="274"/>
      <c r="AU310" s="39"/>
      <c r="AV310" s="39"/>
      <c r="AW310" s="39"/>
      <c r="AX310" s="274"/>
      <c r="AY310" s="274"/>
      <c r="AZ310" s="274"/>
      <c r="BA310" s="39"/>
      <c r="BB310" s="62"/>
      <c r="BC310" s="39"/>
      <c r="BD310" s="274"/>
      <c r="BE310" s="274"/>
      <c r="BF310" s="274"/>
      <c r="BG310" s="39"/>
      <c r="BH310" s="39"/>
      <c r="BI310" s="39"/>
      <c r="BJ310" s="274">
        <v>38100</v>
      </c>
      <c r="BK310" s="274">
        <f>+BJ310*0.19</f>
        <v>7239</v>
      </c>
      <c r="BL310" s="274">
        <f>+BJ310+BK310</f>
        <v>45339</v>
      </c>
      <c r="BM310" s="214" t="s">
        <v>445</v>
      </c>
      <c r="BN310" s="213" t="s">
        <v>4834</v>
      </c>
      <c r="BO310" s="39"/>
      <c r="BP310" s="274">
        <v>38500</v>
      </c>
      <c r="BQ310" s="274">
        <f>+BP310*19%</f>
        <v>7315</v>
      </c>
      <c r="BR310" s="274">
        <f>+BQ310+BP310</f>
        <v>45815</v>
      </c>
      <c r="BS310" s="39"/>
      <c r="BT310" s="39"/>
      <c r="BU310" s="39"/>
      <c r="BV310" s="219">
        <v>43202.618700000006</v>
      </c>
      <c r="BW310" s="219">
        <f>+BV310*0.19</f>
        <v>8208.4975530000011</v>
      </c>
      <c r="BX310" s="273">
        <f>+BV310+BW310</f>
        <v>51411.116253000007</v>
      </c>
      <c r="BY310" s="214" t="s">
        <v>445</v>
      </c>
      <c r="BZ310" s="213" t="s">
        <v>4834</v>
      </c>
      <c r="CA310" s="213"/>
      <c r="CB310" s="274"/>
      <c r="CC310" s="274"/>
      <c r="CD310" s="274"/>
      <c r="CE310" s="39"/>
      <c r="CF310" s="39"/>
      <c r="CG310" s="39"/>
      <c r="CH310" s="274"/>
      <c r="CI310" s="274"/>
      <c r="CJ310" s="274"/>
      <c r="CK310" s="39"/>
      <c r="CL310" s="39"/>
      <c r="CM310" s="39"/>
      <c r="CN310" s="39"/>
      <c r="CO310" s="39"/>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274"/>
      <c r="DM310" s="274"/>
      <c r="DN310" s="274"/>
      <c r="DO310" s="274"/>
      <c r="DP310" s="274"/>
      <c r="DQ310" s="274"/>
      <c r="DR310" s="274"/>
      <c r="DS310" s="274"/>
      <c r="DT310" s="274"/>
      <c r="DU310" s="274"/>
      <c r="DV310" s="274"/>
      <c r="DW310" s="274"/>
      <c r="DX310" s="274"/>
      <c r="DY310" s="274"/>
      <c r="DZ310" s="274"/>
      <c r="EA310" s="274"/>
      <c r="EB310" s="274"/>
      <c r="EC310" s="274"/>
      <c r="ED310" s="39">
        <f t="shared" si="98"/>
        <v>196706.54625300001</v>
      </c>
      <c r="EE310" s="30">
        <f t="shared" si="99"/>
        <v>5</v>
      </c>
      <c r="EF310" s="39">
        <f t="shared" si="100"/>
        <v>39341.309250600003</v>
      </c>
    </row>
    <row r="311" spans="1:136" x14ac:dyDescent="0.25">
      <c r="A311" s="25" t="e">
        <f>#REF!</f>
        <v>#REF!</v>
      </c>
      <c r="B311" s="50" t="e">
        <f>#REF!</f>
        <v>#REF!</v>
      </c>
      <c r="C311" s="5" t="e">
        <f>#REF!</f>
        <v>#REF!</v>
      </c>
      <c r="D311" s="5" t="e">
        <f>#REF!</f>
        <v>#REF!</v>
      </c>
      <c r="E311" s="252">
        <v>1</v>
      </c>
      <c r="F311" s="249">
        <v>0</v>
      </c>
      <c r="G311" s="249">
        <v>0</v>
      </c>
      <c r="H311" s="249">
        <v>0</v>
      </c>
      <c r="I311" s="249">
        <v>0</v>
      </c>
      <c r="J311" s="249">
        <v>0</v>
      </c>
      <c r="K311" s="249">
        <v>0</v>
      </c>
      <c r="L311" s="274"/>
      <c r="M311" s="274"/>
      <c r="N311" s="255"/>
      <c r="O311" s="135"/>
      <c r="P311" s="135"/>
      <c r="Q311" s="131"/>
      <c r="R311" s="131"/>
      <c r="S311" s="11"/>
      <c r="T311" s="274"/>
      <c r="U311" s="274"/>
      <c r="V311" s="274"/>
      <c r="W311" s="39"/>
      <c r="X311" s="11"/>
      <c r="Y311" s="11"/>
      <c r="Z311" s="274"/>
      <c r="AA311" s="274"/>
      <c r="AB311" s="274"/>
      <c r="AC311" s="5"/>
      <c r="AD311" s="22"/>
      <c r="AE311" s="39"/>
      <c r="AF311" s="274"/>
      <c r="AG311" s="274"/>
      <c r="AH311" s="125"/>
      <c r="AI311" s="4"/>
      <c r="AJ311" s="39"/>
      <c r="AK311" s="39"/>
      <c r="AL311" s="118"/>
      <c r="AM311" s="152"/>
      <c r="AN311" s="181"/>
      <c r="AO311" s="131"/>
      <c r="AP311" s="131"/>
      <c r="AQ311" s="39"/>
      <c r="AR311" s="274"/>
      <c r="AS311" s="274"/>
      <c r="AT311" s="274"/>
      <c r="AU311" s="39"/>
      <c r="AV311" s="39"/>
      <c r="AW311" s="39"/>
      <c r="AX311" s="274"/>
      <c r="AY311" s="274"/>
      <c r="AZ311" s="274"/>
      <c r="BA311" s="39"/>
      <c r="BB311" s="62"/>
      <c r="BC311" s="39"/>
      <c r="BD311" s="274"/>
      <c r="BE311" s="274"/>
      <c r="BF311" s="274"/>
      <c r="BG311" s="39"/>
      <c r="BH311" s="39"/>
      <c r="BI311" s="39"/>
      <c r="BJ311" s="274">
        <v>141900</v>
      </c>
      <c r="BK311" s="274">
        <f>+BJ311*0.19</f>
        <v>26961</v>
      </c>
      <c r="BL311" s="274">
        <f>+BJ311+BK311</f>
        <v>168861</v>
      </c>
      <c r="BM311" s="214" t="s">
        <v>445</v>
      </c>
      <c r="BN311" s="213" t="s">
        <v>4835</v>
      </c>
      <c r="BO311" s="39"/>
      <c r="BP311" s="274"/>
      <c r="BQ311" s="274"/>
      <c r="BR311" s="274"/>
      <c r="BS311" s="39"/>
      <c r="BT311" s="39"/>
      <c r="BU311" s="39"/>
      <c r="BV311" s="219">
        <v>153523.31280000001</v>
      </c>
      <c r="BW311" s="219">
        <f>+BV311*0.19</f>
        <v>29169.429432000004</v>
      </c>
      <c r="BX311" s="273">
        <f>+BV311+BW311</f>
        <v>182692.74223200002</v>
      </c>
      <c r="BY311" s="214" t="s">
        <v>445</v>
      </c>
      <c r="BZ311" s="213" t="s">
        <v>4835</v>
      </c>
      <c r="CA311" s="213"/>
      <c r="CB311" s="274"/>
      <c r="CC311" s="274"/>
      <c r="CD311" s="274"/>
      <c r="CE311" s="39"/>
      <c r="CF311" s="39"/>
      <c r="CG311" s="39"/>
      <c r="CH311" s="274"/>
      <c r="CI311" s="274"/>
      <c r="CJ311" s="274"/>
      <c r="CK311" s="39"/>
      <c r="CL311" s="39"/>
      <c r="CM311" s="39"/>
      <c r="CN311" s="39"/>
      <c r="CO311" s="39"/>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274"/>
      <c r="DM311" s="274"/>
      <c r="DN311" s="274"/>
      <c r="DO311" s="274"/>
      <c r="DP311" s="274"/>
      <c r="DQ311" s="274"/>
      <c r="DR311" s="274"/>
      <c r="DS311" s="274"/>
      <c r="DT311" s="274"/>
      <c r="DU311" s="274"/>
      <c r="DV311" s="274"/>
      <c r="DW311" s="274"/>
      <c r="DX311" s="274"/>
      <c r="DY311" s="274"/>
      <c r="DZ311" s="274"/>
      <c r="EA311" s="274"/>
      <c r="EB311" s="274"/>
      <c r="EC311" s="274"/>
      <c r="ED311" s="39">
        <f t="shared" si="98"/>
        <v>351553.74223199999</v>
      </c>
      <c r="EE311" s="30">
        <f t="shared" si="99"/>
        <v>2</v>
      </c>
      <c r="EF311" s="39">
        <f t="shared" si="100"/>
        <v>175776.87111599999</v>
      </c>
    </row>
    <row r="312" spans="1:136" x14ac:dyDescent="0.25">
      <c r="A312" s="25" t="e">
        <f>#REF!</f>
        <v>#REF!</v>
      </c>
      <c r="B312" s="50" t="e">
        <f>#REF!</f>
        <v>#REF!</v>
      </c>
      <c r="C312" s="5" t="e">
        <f>#REF!</f>
        <v>#REF!</v>
      </c>
      <c r="D312" s="5" t="e">
        <f>#REF!</f>
        <v>#REF!</v>
      </c>
      <c r="E312" s="252">
        <v>1</v>
      </c>
      <c r="F312" s="249">
        <v>0</v>
      </c>
      <c r="G312" s="249">
        <v>0</v>
      </c>
      <c r="H312" s="249">
        <v>0</v>
      </c>
      <c r="I312" s="249">
        <v>0</v>
      </c>
      <c r="J312" s="249">
        <v>0</v>
      </c>
      <c r="K312" s="249">
        <v>0</v>
      </c>
      <c r="L312" s="274"/>
      <c r="M312" s="274"/>
      <c r="N312" s="255">
        <v>110000</v>
      </c>
      <c r="O312" s="135">
        <f>+N312*0.19</f>
        <v>20900</v>
      </c>
      <c r="P312" s="135">
        <f>+N312+O312</f>
        <v>130900</v>
      </c>
      <c r="Q312" s="131"/>
      <c r="R312" s="131"/>
      <c r="S312" s="11"/>
      <c r="T312" s="274"/>
      <c r="U312" s="274"/>
      <c r="V312" s="274"/>
      <c r="W312" s="39"/>
      <c r="X312" s="11"/>
      <c r="Y312" s="11"/>
      <c r="Z312" s="274"/>
      <c r="AA312" s="274"/>
      <c r="AB312" s="274"/>
      <c r="AC312" s="52"/>
      <c r="AD312" s="22"/>
      <c r="AE312" s="39"/>
      <c r="AF312" s="274"/>
      <c r="AG312" s="274"/>
      <c r="AH312" s="171"/>
      <c r="AI312" s="4"/>
      <c r="AJ312" s="39"/>
      <c r="AK312" s="39"/>
      <c r="AL312" s="118"/>
      <c r="AM312" s="152"/>
      <c r="AN312" s="181"/>
      <c r="AO312" s="131"/>
      <c r="AP312" s="131"/>
      <c r="AQ312" s="39"/>
      <c r="AR312" s="274"/>
      <c r="AS312" s="274"/>
      <c r="AT312" s="274"/>
      <c r="AU312" s="39"/>
      <c r="AV312" s="39"/>
      <c r="AW312" s="39"/>
      <c r="AX312" s="274"/>
      <c r="AY312" s="274"/>
      <c r="AZ312" s="274"/>
      <c r="BA312" s="39"/>
      <c r="BB312" s="62"/>
      <c r="BC312" s="39"/>
      <c r="BD312" s="274"/>
      <c r="BE312" s="274"/>
      <c r="BF312" s="274"/>
      <c r="BG312" s="39"/>
      <c r="BH312" s="39"/>
      <c r="BI312" s="39"/>
      <c r="BJ312" s="274"/>
      <c r="BK312" s="274"/>
      <c r="BL312" s="274"/>
      <c r="BM312" s="213"/>
      <c r="BN312" s="213"/>
      <c r="BO312" s="39"/>
      <c r="BP312" s="274"/>
      <c r="BQ312" s="274"/>
      <c r="BR312" s="274"/>
      <c r="BS312" s="39"/>
      <c r="BT312" s="39"/>
      <c r="BU312" s="39"/>
      <c r="BV312" s="212"/>
      <c r="BW312" s="221"/>
      <c r="BX312" s="273"/>
      <c r="BY312" s="213"/>
      <c r="BZ312" s="213"/>
      <c r="CA312" s="213"/>
      <c r="CB312" s="274"/>
      <c r="CC312" s="274"/>
      <c r="CD312" s="274"/>
      <c r="CE312" s="39"/>
      <c r="CF312" s="39"/>
      <c r="CG312" s="39"/>
      <c r="CH312" s="274"/>
      <c r="CI312" s="274"/>
      <c r="CJ312" s="274"/>
      <c r="CK312" s="39"/>
      <c r="CL312" s="39"/>
      <c r="CM312" s="39"/>
      <c r="CN312" s="39"/>
      <c r="CO312" s="39"/>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274"/>
      <c r="DM312" s="274"/>
      <c r="DN312" s="274"/>
      <c r="DO312" s="274"/>
      <c r="DP312" s="274"/>
      <c r="DQ312" s="274"/>
      <c r="DR312" s="274"/>
      <c r="DS312" s="274"/>
      <c r="DT312" s="274"/>
      <c r="DU312" s="274"/>
      <c r="DV312" s="274"/>
      <c r="DW312" s="274"/>
      <c r="DX312" s="274"/>
      <c r="DY312" s="274"/>
      <c r="DZ312" s="274"/>
      <c r="EA312" s="274"/>
      <c r="EB312" s="274"/>
      <c r="EC312" s="274"/>
      <c r="ED312" s="39">
        <f t="shared" si="98"/>
        <v>130900</v>
      </c>
      <c r="EE312" s="30">
        <f t="shared" si="99"/>
        <v>1</v>
      </c>
      <c r="EF312" s="39">
        <f t="shared" si="100"/>
        <v>130900</v>
      </c>
    </row>
    <row r="313" spans="1:136" ht="24" x14ac:dyDescent="0.25">
      <c r="A313" s="25" t="e">
        <f>#REF!</f>
        <v>#REF!</v>
      </c>
      <c r="B313" s="50" t="e">
        <f>#REF!</f>
        <v>#REF!</v>
      </c>
      <c r="C313" s="5" t="e">
        <f>#REF!</f>
        <v>#REF!</v>
      </c>
      <c r="D313" s="5" t="e">
        <f>#REF!</f>
        <v>#REF!</v>
      </c>
      <c r="E313" s="252">
        <v>1</v>
      </c>
      <c r="F313" s="249">
        <v>92820</v>
      </c>
      <c r="G313" s="249">
        <v>90440</v>
      </c>
      <c r="H313" s="249">
        <v>68706.03333333334</v>
      </c>
      <c r="I313" s="249">
        <v>68544</v>
      </c>
      <c r="J313" s="249">
        <v>82594</v>
      </c>
      <c r="K313" s="249">
        <v>82110</v>
      </c>
      <c r="L313" s="274">
        <f>AVERAGE(F313,H313,J313)</f>
        <v>81373.344444444447</v>
      </c>
      <c r="M313" s="274">
        <f>AVERAGE(G313,I313,K313)*E1</f>
        <v>82775.606666666674</v>
      </c>
      <c r="N313" s="255">
        <v>60000</v>
      </c>
      <c r="O313" s="135">
        <v>0</v>
      </c>
      <c r="P313" s="135">
        <f>+N313+O313</f>
        <v>60000</v>
      </c>
      <c r="Q313" s="131"/>
      <c r="R313" s="131"/>
      <c r="S313" s="11"/>
      <c r="T313" s="274"/>
      <c r="U313" s="274"/>
      <c r="V313" s="274"/>
      <c r="W313" s="39"/>
      <c r="X313" s="11"/>
      <c r="Y313" s="11"/>
      <c r="Z313" s="274"/>
      <c r="AA313" s="274"/>
      <c r="AB313" s="274"/>
      <c r="AC313" s="52"/>
      <c r="AD313" s="22"/>
      <c r="AE313" s="39"/>
      <c r="AF313" s="274"/>
      <c r="AG313" s="274"/>
      <c r="AH313" s="171"/>
      <c r="AI313" s="4"/>
      <c r="AJ313" s="39"/>
      <c r="AK313" s="39"/>
      <c r="AL313" s="118"/>
      <c r="AM313" s="152"/>
      <c r="AN313" s="181"/>
      <c r="AO313" s="131"/>
      <c r="AP313" s="131"/>
      <c r="AQ313" s="39"/>
      <c r="AR313" s="274"/>
      <c r="AS313" s="274"/>
      <c r="AT313" s="274"/>
      <c r="AU313" s="39"/>
      <c r="AV313" s="39"/>
      <c r="AW313" s="39"/>
      <c r="AX313" s="274"/>
      <c r="AY313" s="274"/>
      <c r="AZ313" s="274"/>
      <c r="BA313" s="39"/>
      <c r="BB313" s="62"/>
      <c r="BC313" s="39"/>
      <c r="BD313" s="274"/>
      <c r="BE313" s="274"/>
      <c r="BF313" s="274"/>
      <c r="BG313" s="39"/>
      <c r="BH313" s="39"/>
      <c r="BI313" s="39"/>
      <c r="BJ313" s="274">
        <v>84700</v>
      </c>
      <c r="BK313" s="274">
        <f>+BJ313*0</f>
        <v>0</v>
      </c>
      <c r="BL313" s="274">
        <f t="shared" ref="BL313:BL319" si="107">+BJ313+BK313</f>
        <v>84700</v>
      </c>
      <c r="BM313" s="213" t="s">
        <v>4836</v>
      </c>
      <c r="BN313" s="213" t="s">
        <v>4837</v>
      </c>
      <c r="BO313" s="39"/>
      <c r="BP313" s="274">
        <v>85600</v>
      </c>
      <c r="BQ313" s="274">
        <f>+BP313*19%</f>
        <v>16264</v>
      </c>
      <c r="BR313" s="274">
        <f>+BQ313+BP313</f>
        <v>101864</v>
      </c>
      <c r="BS313" s="39"/>
      <c r="BT313" s="39"/>
      <c r="BU313" s="39"/>
      <c r="BV313" s="219">
        <v>93435.111000000004</v>
      </c>
      <c r="BW313" s="222">
        <f>+BV313*0</f>
        <v>0</v>
      </c>
      <c r="BX313" s="273">
        <f t="shared" ref="BX313:BX319" si="108">+BV313+BW313</f>
        <v>93435.111000000004</v>
      </c>
      <c r="BY313" s="213" t="s">
        <v>4836</v>
      </c>
      <c r="BZ313" s="213" t="s">
        <v>4837</v>
      </c>
      <c r="CA313" s="213"/>
      <c r="CB313" s="274"/>
      <c r="CC313" s="274"/>
      <c r="CD313" s="274"/>
      <c r="CE313" s="39"/>
      <c r="CF313" s="39"/>
      <c r="CG313" s="39"/>
      <c r="CH313" s="274"/>
      <c r="CI313" s="274"/>
      <c r="CJ313" s="274"/>
      <c r="CK313" s="39"/>
      <c r="CL313" s="39"/>
      <c r="CM313" s="39"/>
      <c r="CN313" s="39"/>
      <c r="CO313" s="39"/>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274"/>
      <c r="DM313" s="274"/>
      <c r="DN313" s="274"/>
      <c r="DO313" s="274"/>
      <c r="DP313" s="274"/>
      <c r="DQ313" s="274"/>
      <c r="DR313" s="274"/>
      <c r="DS313" s="274"/>
      <c r="DT313" s="274"/>
      <c r="DU313" s="274"/>
      <c r="DV313" s="274"/>
      <c r="DW313" s="274"/>
      <c r="DX313" s="274"/>
      <c r="DY313" s="274"/>
      <c r="DZ313" s="274"/>
      <c r="EA313" s="274"/>
      <c r="EB313" s="274"/>
      <c r="EC313" s="274"/>
      <c r="ED313" s="39">
        <f t="shared" si="98"/>
        <v>422774.71766666672</v>
      </c>
      <c r="EE313" s="30">
        <f t="shared" si="99"/>
        <v>5</v>
      </c>
      <c r="EF313" s="39">
        <f t="shared" si="100"/>
        <v>84554.943533333339</v>
      </c>
    </row>
    <row r="314" spans="1:136" x14ac:dyDescent="0.25">
      <c r="A314" s="25" t="e">
        <f>#REF!</f>
        <v>#REF!</v>
      </c>
      <c r="B314" s="50" t="e">
        <f>#REF!</f>
        <v>#REF!</v>
      </c>
      <c r="C314" s="5" t="e">
        <f>#REF!</f>
        <v>#REF!</v>
      </c>
      <c r="D314" s="5" t="e">
        <f>#REF!</f>
        <v>#REF!</v>
      </c>
      <c r="E314" s="252">
        <v>1</v>
      </c>
      <c r="F314" s="249">
        <v>0</v>
      </c>
      <c r="G314" s="249">
        <v>0</v>
      </c>
      <c r="H314" s="249">
        <v>1428000</v>
      </c>
      <c r="I314" s="249">
        <v>1427881</v>
      </c>
      <c r="J314" s="249">
        <v>1556730</v>
      </c>
      <c r="K314" s="249">
        <v>0</v>
      </c>
      <c r="L314" s="274">
        <f>AVERAGE(H314,J314)</f>
        <v>1492365</v>
      </c>
      <c r="M314" s="274">
        <f>I314*E1</f>
        <v>1470717.43</v>
      </c>
      <c r="N314" s="255">
        <v>160000</v>
      </c>
      <c r="O314" s="135">
        <f>+N314*0.19</f>
        <v>30400</v>
      </c>
      <c r="P314" s="135">
        <f>+N314+O314</f>
        <v>190400</v>
      </c>
      <c r="Q314" s="131"/>
      <c r="R314" s="131"/>
      <c r="S314" s="11"/>
      <c r="T314" s="274"/>
      <c r="U314" s="274"/>
      <c r="V314" s="274"/>
      <c r="W314" s="39"/>
      <c r="X314" s="11"/>
      <c r="Y314" s="11"/>
      <c r="Z314" s="274"/>
      <c r="AA314" s="274"/>
      <c r="AB314" s="274"/>
      <c r="AC314" s="54"/>
      <c r="AD314" s="22"/>
      <c r="AE314" s="39"/>
      <c r="AF314" s="274"/>
      <c r="AG314" s="274"/>
      <c r="AH314" s="172"/>
      <c r="AI314" s="4"/>
      <c r="AJ314" s="39"/>
      <c r="AK314" s="39"/>
      <c r="AL314" s="118"/>
      <c r="AM314" s="152"/>
      <c r="AN314" s="181"/>
      <c r="AO314" s="131"/>
      <c r="AP314" s="131"/>
      <c r="AQ314" s="39"/>
      <c r="AR314" s="274"/>
      <c r="AS314" s="274"/>
      <c r="AT314" s="274"/>
      <c r="AU314" s="39"/>
      <c r="AV314" s="39"/>
      <c r="AW314" s="39"/>
      <c r="AX314" s="274"/>
      <c r="AY314" s="274"/>
      <c r="AZ314" s="274"/>
      <c r="BA314" s="39"/>
      <c r="BB314" s="62"/>
      <c r="BC314" s="39"/>
      <c r="BD314" s="274"/>
      <c r="BE314" s="274"/>
      <c r="BF314" s="274"/>
      <c r="BG314" s="39"/>
      <c r="BH314" s="39"/>
      <c r="BI314" s="39"/>
      <c r="BJ314" s="274">
        <v>285700</v>
      </c>
      <c r="BK314" s="274">
        <f>+BJ314*0.19</f>
        <v>54283</v>
      </c>
      <c r="BL314" s="274">
        <f t="shared" si="107"/>
        <v>339983</v>
      </c>
      <c r="BM314" s="214" t="s">
        <v>445</v>
      </c>
      <c r="BN314" s="213" t="s">
        <v>41</v>
      </c>
      <c r="BO314" s="39"/>
      <c r="BP314" s="274"/>
      <c r="BQ314" s="274"/>
      <c r="BR314" s="274"/>
      <c r="BS314" s="39"/>
      <c r="BT314" s="39"/>
      <c r="BU314" s="35"/>
      <c r="BV314" s="219">
        <v>337033.14750000002</v>
      </c>
      <c r="BW314" s="219">
        <f>+BV314*0.19</f>
        <v>64036.298025000004</v>
      </c>
      <c r="BX314" s="273">
        <f t="shared" si="108"/>
        <v>401069.44552500005</v>
      </c>
      <c r="BY314" s="214" t="s">
        <v>445</v>
      </c>
      <c r="BZ314" s="213" t="s">
        <v>41</v>
      </c>
      <c r="CA314" s="213"/>
      <c r="CB314" s="274"/>
      <c r="CC314" s="274"/>
      <c r="CD314" s="274"/>
      <c r="CE314" s="39"/>
      <c r="CF314" s="39"/>
      <c r="CG314" s="39"/>
      <c r="CH314" s="274"/>
      <c r="CI314" s="274"/>
      <c r="CJ314" s="274"/>
      <c r="CK314" s="39"/>
      <c r="CL314" s="39"/>
      <c r="CM314" s="39"/>
      <c r="CN314" s="39"/>
      <c r="CO314" s="39"/>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274"/>
      <c r="DM314" s="274"/>
      <c r="DN314" s="274"/>
      <c r="DO314" s="274"/>
      <c r="DP314" s="274"/>
      <c r="DQ314" s="274"/>
      <c r="DR314" s="274"/>
      <c r="DS314" s="274"/>
      <c r="DT314" s="274"/>
      <c r="DU314" s="274"/>
      <c r="DV314" s="274"/>
      <c r="DW314" s="274"/>
      <c r="DX314" s="274"/>
      <c r="DY314" s="274"/>
      <c r="DZ314" s="274"/>
      <c r="EA314" s="274"/>
      <c r="EB314" s="274"/>
      <c r="EC314" s="274"/>
      <c r="ED314" s="39">
        <f t="shared" si="98"/>
        <v>2402169.875525</v>
      </c>
      <c r="EE314" s="30">
        <f t="shared" si="99"/>
        <v>4</v>
      </c>
      <c r="EF314" s="39">
        <f t="shared" si="100"/>
        <v>600542.46888125001</v>
      </c>
    </row>
    <row r="315" spans="1:136" ht="24" x14ac:dyDescent="0.25">
      <c r="A315" s="25" t="e">
        <f>#REF!</f>
        <v>#REF!</v>
      </c>
      <c r="B315" s="50" t="e">
        <f>#REF!</f>
        <v>#REF!</v>
      </c>
      <c r="C315" s="5" t="e">
        <f>#REF!</f>
        <v>#REF!</v>
      </c>
      <c r="D315" s="5" t="e">
        <f>#REF!</f>
        <v>#REF!</v>
      </c>
      <c r="E315" s="252">
        <v>1</v>
      </c>
      <c r="F315" s="249">
        <v>0</v>
      </c>
      <c r="G315" s="249">
        <v>0</v>
      </c>
      <c r="H315" s="249">
        <v>0</v>
      </c>
      <c r="I315" s="249">
        <v>0</v>
      </c>
      <c r="J315" s="249">
        <v>0</v>
      </c>
      <c r="K315" s="249">
        <v>0</v>
      </c>
      <c r="L315" s="274"/>
      <c r="M315" s="274"/>
      <c r="N315" s="255">
        <v>150000</v>
      </c>
      <c r="O315" s="135">
        <f>+N315*0.19</f>
        <v>28500</v>
      </c>
      <c r="P315" s="135">
        <f>+N315+O315</f>
        <v>178500</v>
      </c>
      <c r="Q315" s="131"/>
      <c r="R315" s="131"/>
      <c r="S315" s="11"/>
      <c r="T315" s="274"/>
      <c r="U315" s="274"/>
      <c r="V315" s="274"/>
      <c r="W315" s="39"/>
      <c r="X315" s="11"/>
      <c r="Y315" s="11"/>
      <c r="Z315" s="274"/>
      <c r="AA315" s="274"/>
      <c r="AB315" s="274"/>
      <c r="AC315" s="52"/>
      <c r="AD315" s="22"/>
      <c r="AE315" s="39"/>
      <c r="AF315" s="274"/>
      <c r="AG315" s="274"/>
      <c r="AH315" s="171"/>
      <c r="AI315" s="4"/>
      <c r="AJ315" s="39"/>
      <c r="AK315" s="39"/>
      <c r="AL315" s="118"/>
      <c r="AM315" s="152"/>
      <c r="AN315" s="181"/>
      <c r="AO315" s="131"/>
      <c r="AP315" s="131"/>
      <c r="AQ315" s="39"/>
      <c r="AR315" s="274"/>
      <c r="AS315" s="274"/>
      <c r="AT315" s="274"/>
      <c r="AU315" s="39"/>
      <c r="AV315" s="39"/>
      <c r="AW315" s="39"/>
      <c r="AX315" s="274"/>
      <c r="AY315" s="274"/>
      <c r="AZ315" s="274"/>
      <c r="BA315" s="39"/>
      <c r="BB315" s="62"/>
      <c r="BC315" s="39"/>
      <c r="BD315" s="274"/>
      <c r="BE315" s="274"/>
      <c r="BF315" s="274"/>
      <c r="BG315" s="39"/>
      <c r="BH315" s="39"/>
      <c r="BI315" s="39"/>
      <c r="BJ315" s="274">
        <f>+(160000/50)*48</f>
        <v>153600</v>
      </c>
      <c r="BK315" s="274">
        <f>+BJ315*0.19</f>
        <v>29184</v>
      </c>
      <c r="BL315" s="274">
        <f t="shared" si="107"/>
        <v>182784</v>
      </c>
      <c r="BM315" s="213" t="s">
        <v>4838</v>
      </c>
      <c r="BN315" s="213" t="s">
        <v>4775</v>
      </c>
      <c r="BO315" s="39"/>
      <c r="BP315" s="274">
        <v>165000</v>
      </c>
      <c r="BQ315" s="274">
        <f>+BP315*19%</f>
        <v>31350</v>
      </c>
      <c r="BR315" s="274">
        <f>+BQ315+BP315</f>
        <v>196350</v>
      </c>
      <c r="BS315" s="39"/>
      <c r="BT315" s="39"/>
      <c r="BU315" s="39"/>
      <c r="BV315" s="219">
        <f>+(173073.6/50)*48</f>
        <v>166150.65600000002</v>
      </c>
      <c r="BW315" s="219">
        <f>+BV315*0.19</f>
        <v>31568.624640000005</v>
      </c>
      <c r="BX315" s="273">
        <f t="shared" si="108"/>
        <v>197719.28064000001</v>
      </c>
      <c r="BY315" s="213" t="s">
        <v>4838</v>
      </c>
      <c r="BZ315" s="213" t="s">
        <v>4775</v>
      </c>
      <c r="CA315" s="213"/>
      <c r="CB315" s="274"/>
      <c r="CC315" s="274"/>
      <c r="CD315" s="274"/>
      <c r="CE315" s="39"/>
      <c r="CF315" s="39"/>
      <c r="CG315" s="39"/>
      <c r="CH315" s="274"/>
      <c r="CI315" s="274"/>
      <c r="CJ315" s="274"/>
      <c r="CK315" s="39"/>
      <c r="CL315" s="39"/>
      <c r="CM315" s="39"/>
      <c r="CN315" s="39"/>
      <c r="CO315" s="39"/>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274"/>
      <c r="DM315" s="274"/>
      <c r="DN315" s="274"/>
      <c r="DO315" s="274"/>
      <c r="DP315" s="274"/>
      <c r="DQ315" s="274"/>
      <c r="DR315" s="274"/>
      <c r="DS315" s="274"/>
      <c r="DT315" s="274"/>
      <c r="DU315" s="274"/>
      <c r="DV315" s="274"/>
      <c r="DW315" s="274"/>
      <c r="DX315" s="274"/>
      <c r="DY315" s="274"/>
      <c r="DZ315" s="274"/>
      <c r="EA315" s="274"/>
      <c r="EB315" s="274"/>
      <c r="EC315" s="274"/>
      <c r="ED315" s="39">
        <f t="shared" si="98"/>
        <v>755353.28064000001</v>
      </c>
      <c r="EE315" s="30">
        <f t="shared" si="99"/>
        <v>4</v>
      </c>
      <c r="EF315" s="39">
        <f t="shared" si="100"/>
        <v>188838.32016</v>
      </c>
    </row>
    <row r="316" spans="1:136" ht="24" x14ac:dyDescent="0.25">
      <c r="A316" s="25" t="e">
        <f>#REF!</f>
        <v>#REF!</v>
      </c>
      <c r="B316" s="50" t="e">
        <f>#REF!</f>
        <v>#REF!</v>
      </c>
      <c r="C316" s="5" t="e">
        <f>#REF!</f>
        <v>#REF!</v>
      </c>
      <c r="D316" s="5" t="e">
        <f>#REF!</f>
        <v>#REF!</v>
      </c>
      <c r="E316" s="252">
        <v>1</v>
      </c>
      <c r="F316" s="249">
        <v>0</v>
      </c>
      <c r="G316" s="249">
        <v>0</v>
      </c>
      <c r="H316" s="249">
        <v>0</v>
      </c>
      <c r="I316" s="249">
        <v>0</v>
      </c>
      <c r="J316" s="249">
        <v>0</v>
      </c>
      <c r="K316" s="249">
        <v>0</v>
      </c>
      <c r="L316" s="274"/>
      <c r="M316" s="274"/>
      <c r="N316" s="255">
        <v>420000</v>
      </c>
      <c r="O316" s="135">
        <f>+N316*0.19</f>
        <v>79800</v>
      </c>
      <c r="P316" s="135">
        <f>+N316+O316</f>
        <v>499800</v>
      </c>
      <c r="Q316" s="131"/>
      <c r="R316" s="131"/>
      <c r="S316" s="11"/>
      <c r="T316" s="274"/>
      <c r="U316" s="274"/>
      <c r="V316" s="274"/>
      <c r="W316" s="39"/>
      <c r="X316" s="11"/>
      <c r="Y316" s="11"/>
      <c r="Z316" s="274"/>
      <c r="AA316" s="274"/>
      <c r="AB316" s="274"/>
      <c r="AC316" s="52"/>
      <c r="AD316" s="22"/>
      <c r="AE316" s="39"/>
      <c r="AF316" s="274"/>
      <c r="AG316" s="274"/>
      <c r="AH316" s="171"/>
      <c r="AI316" s="4"/>
      <c r="AJ316" s="39"/>
      <c r="AK316" s="39"/>
      <c r="AL316" s="118"/>
      <c r="AM316" s="152"/>
      <c r="AN316" s="181"/>
      <c r="AO316" s="131"/>
      <c r="AP316" s="131"/>
      <c r="AQ316" s="39"/>
      <c r="AR316" s="274"/>
      <c r="AS316" s="274"/>
      <c r="AT316" s="274"/>
      <c r="AU316" s="39"/>
      <c r="AV316" s="39"/>
      <c r="AW316" s="39"/>
      <c r="AX316" s="274"/>
      <c r="AY316" s="274"/>
      <c r="AZ316" s="274"/>
      <c r="BA316" s="39"/>
      <c r="BB316" s="62"/>
      <c r="BC316" s="39"/>
      <c r="BD316" s="274"/>
      <c r="BE316" s="274"/>
      <c r="BF316" s="274"/>
      <c r="BG316" s="39"/>
      <c r="BH316" s="39"/>
      <c r="BI316" s="39"/>
      <c r="BJ316" s="274">
        <v>1000000</v>
      </c>
      <c r="BK316" s="274">
        <f>+BJ316*0.19</f>
        <v>190000</v>
      </c>
      <c r="BL316" s="274">
        <f t="shared" si="107"/>
        <v>1190000</v>
      </c>
      <c r="BM316" s="213" t="s">
        <v>4839</v>
      </c>
      <c r="BN316" s="213" t="s">
        <v>4775</v>
      </c>
      <c r="BO316" s="39"/>
      <c r="BP316" s="274">
        <v>260000</v>
      </c>
      <c r="BQ316" s="274">
        <f>+BP316*19%</f>
        <v>49400</v>
      </c>
      <c r="BR316" s="274">
        <f>+BQ316+BP316</f>
        <v>309400</v>
      </c>
      <c r="BS316" s="39"/>
      <c r="BT316" s="39"/>
      <c r="BU316" s="39"/>
      <c r="BV316" s="219">
        <v>1133927</v>
      </c>
      <c r="BW316" s="219">
        <f>+BV316*0.19</f>
        <v>215446.13</v>
      </c>
      <c r="BX316" s="273">
        <f t="shared" si="108"/>
        <v>1349373.13</v>
      </c>
      <c r="BY316" s="213" t="s">
        <v>4839</v>
      </c>
      <c r="BZ316" s="213" t="s">
        <v>4775</v>
      </c>
      <c r="CA316" s="213"/>
      <c r="CB316" s="274"/>
      <c r="CC316" s="274"/>
      <c r="CD316" s="274"/>
      <c r="CE316" s="39"/>
      <c r="CF316" s="39"/>
      <c r="CG316" s="39"/>
      <c r="CH316" s="274"/>
      <c r="CI316" s="274"/>
      <c r="CJ316" s="274"/>
      <c r="CK316" s="39"/>
      <c r="CL316" s="39"/>
      <c r="CM316" s="39"/>
      <c r="CN316" s="39"/>
      <c r="CO316" s="39"/>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274"/>
      <c r="DM316" s="274"/>
      <c r="DN316" s="274"/>
      <c r="DO316" s="274"/>
      <c r="DP316" s="274"/>
      <c r="DQ316" s="274"/>
      <c r="DR316" s="274"/>
      <c r="DS316" s="274"/>
      <c r="DT316" s="274"/>
      <c r="DU316" s="274"/>
      <c r="DV316" s="274"/>
      <c r="DW316" s="274"/>
      <c r="DX316" s="274"/>
      <c r="DY316" s="274"/>
      <c r="DZ316" s="274"/>
      <c r="EA316" s="274"/>
      <c r="EB316" s="274"/>
      <c r="EC316" s="274"/>
      <c r="ED316" s="39">
        <f t="shared" si="98"/>
        <v>3348573.13</v>
      </c>
      <c r="EE316" s="30">
        <f t="shared" si="99"/>
        <v>4</v>
      </c>
      <c r="EF316" s="39">
        <f t="shared" si="100"/>
        <v>837143.28249999997</v>
      </c>
    </row>
    <row r="317" spans="1:136" x14ac:dyDescent="0.25">
      <c r="A317" s="25" t="e">
        <f>#REF!</f>
        <v>#REF!</v>
      </c>
      <c r="B317" s="50" t="e">
        <f>#REF!</f>
        <v>#REF!</v>
      </c>
      <c r="C317" s="5" t="e">
        <f>#REF!</f>
        <v>#REF!</v>
      </c>
      <c r="D317" s="5" t="e">
        <f>#REF!</f>
        <v>#REF!</v>
      </c>
      <c r="E317" s="252">
        <v>1</v>
      </c>
      <c r="F317" s="249">
        <v>0</v>
      </c>
      <c r="G317" s="249">
        <v>0</v>
      </c>
      <c r="H317" s="249">
        <v>0</v>
      </c>
      <c r="I317" s="249">
        <v>0</v>
      </c>
      <c r="J317" s="249">
        <v>0</v>
      </c>
      <c r="K317" s="249">
        <v>0</v>
      </c>
      <c r="L317" s="274"/>
      <c r="M317" s="274"/>
      <c r="N317" s="255"/>
      <c r="O317" s="135"/>
      <c r="P317" s="135"/>
      <c r="Q317" s="131"/>
      <c r="R317" s="131"/>
      <c r="S317" s="11"/>
      <c r="T317" s="274"/>
      <c r="U317" s="274"/>
      <c r="V317" s="274"/>
      <c r="W317" s="39"/>
      <c r="X317" s="11"/>
      <c r="Y317" s="11"/>
      <c r="Z317" s="274"/>
      <c r="AA317" s="274"/>
      <c r="AB317" s="274"/>
      <c r="AC317" s="52"/>
      <c r="AD317" s="22"/>
      <c r="AE317" s="39"/>
      <c r="AF317" s="274"/>
      <c r="AG317" s="274"/>
      <c r="AH317" s="113"/>
      <c r="AI317" s="4"/>
      <c r="AJ317" s="39"/>
      <c r="AK317" s="39"/>
      <c r="AL317" s="118"/>
      <c r="AM317" s="152"/>
      <c r="AN317" s="152"/>
      <c r="AO317" s="131"/>
      <c r="AP317" s="131"/>
      <c r="AQ317" s="39"/>
      <c r="AR317" s="274"/>
      <c r="AS317" s="274"/>
      <c r="AT317" s="274"/>
      <c r="AU317" s="39"/>
      <c r="AV317" s="39"/>
      <c r="AW317" s="39"/>
      <c r="AX317" s="274"/>
      <c r="AY317" s="274"/>
      <c r="AZ317" s="274"/>
      <c r="BA317" s="39"/>
      <c r="BB317" s="62"/>
      <c r="BC317" s="39"/>
      <c r="BD317" s="274"/>
      <c r="BE317" s="274"/>
      <c r="BF317" s="274"/>
      <c r="BG317" s="39"/>
      <c r="BH317" s="39"/>
      <c r="BI317" s="39"/>
      <c r="BJ317" s="274">
        <v>784000</v>
      </c>
      <c r="BK317" s="274">
        <f>+BJ317*0.19</f>
        <v>148960</v>
      </c>
      <c r="BL317" s="274">
        <f t="shared" si="107"/>
        <v>932960</v>
      </c>
      <c r="BM317" s="213" t="s">
        <v>326</v>
      </c>
      <c r="BN317" s="213" t="s">
        <v>45</v>
      </c>
      <c r="BO317" s="39"/>
      <c r="BP317" s="274"/>
      <c r="BQ317" s="274"/>
      <c r="BR317" s="274"/>
      <c r="BS317" s="39"/>
      <c r="BT317" s="39"/>
      <c r="BU317" s="39"/>
      <c r="BV317" s="219">
        <v>864530.91200000001</v>
      </c>
      <c r="BW317" s="219">
        <f>+BV317*0.19</f>
        <v>164260.87328</v>
      </c>
      <c r="BX317" s="273">
        <f t="shared" si="108"/>
        <v>1028791.78528</v>
      </c>
      <c r="BY317" s="213" t="s">
        <v>326</v>
      </c>
      <c r="BZ317" s="213" t="s">
        <v>45</v>
      </c>
      <c r="CA317" s="213"/>
      <c r="CB317" s="274"/>
      <c r="CC317" s="274"/>
      <c r="CD317" s="274"/>
      <c r="CE317" s="39"/>
      <c r="CF317" s="39"/>
      <c r="CG317" s="39"/>
      <c r="CH317" s="274"/>
      <c r="CI317" s="274"/>
      <c r="CJ317" s="274"/>
      <c r="CK317" s="39"/>
      <c r="CL317" s="39"/>
      <c r="CM317" s="39"/>
      <c r="CN317" s="39"/>
      <c r="CO317" s="39"/>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274"/>
      <c r="DM317" s="274"/>
      <c r="DN317" s="274"/>
      <c r="DO317" s="274"/>
      <c r="DP317" s="274"/>
      <c r="DQ317" s="274"/>
      <c r="DR317" s="274"/>
      <c r="DS317" s="274"/>
      <c r="DT317" s="274"/>
      <c r="DU317" s="274"/>
      <c r="DV317" s="274"/>
      <c r="DW317" s="274"/>
      <c r="DX317" s="274"/>
      <c r="DY317" s="274"/>
      <c r="DZ317" s="274"/>
      <c r="EA317" s="274"/>
      <c r="EB317" s="274"/>
      <c r="EC317" s="274"/>
      <c r="ED317" s="39">
        <f t="shared" si="98"/>
        <v>1961751.78528</v>
      </c>
      <c r="EE317" s="30">
        <f t="shared" si="99"/>
        <v>2</v>
      </c>
      <c r="EF317" s="39">
        <f t="shared" si="100"/>
        <v>980875.89263999998</v>
      </c>
    </row>
    <row r="318" spans="1:136" ht="24" x14ac:dyDescent="0.25">
      <c r="A318" s="25" t="e">
        <f>#REF!</f>
        <v>#REF!</v>
      </c>
      <c r="B318" s="50" t="e">
        <f>#REF!</f>
        <v>#REF!</v>
      </c>
      <c r="C318" s="5" t="e">
        <f>#REF!</f>
        <v>#REF!</v>
      </c>
      <c r="D318" s="5" t="e">
        <f>#REF!</f>
        <v>#REF!</v>
      </c>
      <c r="E318" s="252">
        <v>1</v>
      </c>
      <c r="F318" s="249">
        <v>94605</v>
      </c>
      <c r="G318" s="249">
        <v>94605</v>
      </c>
      <c r="H318" s="249">
        <v>71237.475750000012</v>
      </c>
      <c r="I318" s="249">
        <v>0</v>
      </c>
      <c r="J318" s="249">
        <v>62200.638888888898</v>
      </c>
      <c r="K318" s="249">
        <v>0</v>
      </c>
      <c r="L318" s="274">
        <f>AVERAGE(F318,H318,J318)</f>
        <v>76014.371546296301</v>
      </c>
      <c r="M318" s="274">
        <f>G318*E1</f>
        <v>97443.150000000009</v>
      </c>
      <c r="N318" s="255">
        <v>40000</v>
      </c>
      <c r="O318" s="135">
        <f>+N318*0.19</f>
        <v>7600</v>
      </c>
      <c r="P318" s="135">
        <f>+N318+O318</f>
        <v>47600</v>
      </c>
      <c r="Q318" s="131"/>
      <c r="R318" s="131"/>
      <c r="S318" s="11"/>
      <c r="T318" s="274"/>
      <c r="U318" s="274"/>
      <c r="V318" s="274"/>
      <c r="W318" s="39"/>
      <c r="X318" s="11"/>
      <c r="Y318" s="11"/>
      <c r="Z318" s="274"/>
      <c r="AA318" s="274"/>
      <c r="AB318" s="274"/>
      <c r="AC318" s="52"/>
      <c r="AD318" s="22"/>
      <c r="AE318" s="39"/>
      <c r="AF318" s="274"/>
      <c r="AG318" s="274"/>
      <c r="AH318" s="171"/>
      <c r="AI318" s="4"/>
      <c r="AJ318" s="39"/>
      <c r="AK318" s="39"/>
      <c r="AL318" s="118"/>
      <c r="AM318" s="152"/>
      <c r="AN318" s="152"/>
      <c r="AO318" s="131"/>
      <c r="AP318" s="131"/>
      <c r="AQ318" s="39"/>
      <c r="AR318" s="274"/>
      <c r="AS318" s="274"/>
      <c r="AT318" s="274"/>
      <c r="AU318" s="39"/>
      <c r="AV318" s="39"/>
      <c r="AW318" s="39"/>
      <c r="AX318" s="274"/>
      <c r="AY318" s="274"/>
      <c r="AZ318" s="274"/>
      <c r="BA318" s="39"/>
      <c r="BB318" s="62"/>
      <c r="BC318" s="39"/>
      <c r="BD318" s="274"/>
      <c r="BE318" s="274"/>
      <c r="BF318" s="274"/>
      <c r="BG318" s="39"/>
      <c r="BH318" s="39"/>
      <c r="BI318" s="39"/>
      <c r="BJ318" s="274">
        <v>47800</v>
      </c>
      <c r="BK318" s="274">
        <f>+BJ318*0</f>
        <v>0</v>
      </c>
      <c r="BL318" s="274">
        <f t="shared" si="107"/>
        <v>47800</v>
      </c>
      <c r="BM318" s="213" t="s">
        <v>554</v>
      </c>
      <c r="BN318" s="213" t="s">
        <v>4840</v>
      </c>
      <c r="BO318" s="39"/>
      <c r="BP318" s="274">
        <v>15500</v>
      </c>
      <c r="BQ318" s="274">
        <f>+BP318*19%</f>
        <v>2945</v>
      </c>
      <c r="BR318" s="274">
        <f>+BQ318+BP318</f>
        <v>18445</v>
      </c>
      <c r="BS318" s="39"/>
      <c r="BT318" s="39"/>
      <c r="BU318" s="39"/>
      <c r="BV318" s="219">
        <v>52198.173600000002</v>
      </c>
      <c r="BW318" s="222">
        <f>+BV318*0</f>
        <v>0</v>
      </c>
      <c r="BX318" s="273">
        <f t="shared" si="108"/>
        <v>52198.173600000002</v>
      </c>
      <c r="BY318" s="213" t="s">
        <v>554</v>
      </c>
      <c r="BZ318" s="213" t="s">
        <v>4840</v>
      </c>
      <c r="CA318" s="213"/>
      <c r="CB318" s="274"/>
      <c r="CC318" s="274"/>
      <c r="CD318" s="274"/>
      <c r="CE318" s="39"/>
      <c r="CF318" s="39"/>
      <c r="CG318" s="39"/>
      <c r="CH318" s="274"/>
      <c r="CI318" s="274"/>
      <c r="CJ318" s="274"/>
      <c r="CK318" s="39"/>
      <c r="CL318" s="39"/>
      <c r="CM318" s="39"/>
      <c r="CN318" s="39"/>
      <c r="CO318" s="39"/>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274"/>
      <c r="DM318" s="274"/>
      <c r="DN318" s="274"/>
      <c r="DO318" s="274"/>
      <c r="DP318" s="274"/>
      <c r="DQ318" s="274"/>
      <c r="DR318" s="274"/>
      <c r="DS318" s="274"/>
      <c r="DT318" s="274"/>
      <c r="DU318" s="274"/>
      <c r="DV318" s="274"/>
      <c r="DW318" s="274"/>
      <c r="DX318" s="274"/>
      <c r="DY318" s="274"/>
      <c r="DZ318" s="274"/>
      <c r="EA318" s="274"/>
      <c r="EB318" s="274"/>
      <c r="EC318" s="274"/>
      <c r="ED318" s="39">
        <f t="shared" si="98"/>
        <v>263486.3236</v>
      </c>
      <c r="EE318" s="30">
        <f t="shared" si="99"/>
        <v>5</v>
      </c>
      <c r="EF318" s="39">
        <f t="shared" si="100"/>
        <v>52697.264719999999</v>
      </c>
    </row>
    <row r="319" spans="1:136" x14ac:dyDescent="0.25">
      <c r="A319" s="25" t="e">
        <f>#REF!</f>
        <v>#REF!</v>
      </c>
      <c r="B319" s="50" t="e">
        <f>#REF!</f>
        <v>#REF!</v>
      </c>
      <c r="C319" s="5" t="e">
        <f>#REF!</f>
        <v>#REF!</v>
      </c>
      <c r="D319" s="5" t="e">
        <f>#REF!</f>
        <v>#REF!</v>
      </c>
      <c r="E319" s="252">
        <v>1</v>
      </c>
      <c r="F319" s="249">
        <v>0</v>
      </c>
      <c r="G319" s="249">
        <v>0</v>
      </c>
      <c r="H319" s="249">
        <v>0</v>
      </c>
      <c r="I319" s="249">
        <v>0</v>
      </c>
      <c r="J319" s="249">
        <v>0</v>
      </c>
      <c r="K319" s="249">
        <v>0</v>
      </c>
      <c r="L319" s="274"/>
      <c r="M319" s="274"/>
      <c r="N319" s="255">
        <v>2500</v>
      </c>
      <c r="O319" s="135">
        <f>+N319*0.19</f>
        <v>475</v>
      </c>
      <c r="P319" s="135">
        <f>+N319+O319</f>
        <v>2975</v>
      </c>
      <c r="Q319" s="131"/>
      <c r="R319" s="131"/>
      <c r="S319" s="11"/>
      <c r="T319" s="274"/>
      <c r="U319" s="274"/>
      <c r="V319" s="274"/>
      <c r="W319" s="39"/>
      <c r="X319" s="11"/>
      <c r="Y319" s="11"/>
      <c r="Z319" s="274"/>
      <c r="AA319" s="274"/>
      <c r="AB319" s="274"/>
      <c r="AC319" s="52"/>
      <c r="AD319" s="22"/>
      <c r="AE319" s="39"/>
      <c r="AF319" s="274"/>
      <c r="AG319" s="274"/>
      <c r="AH319" s="171"/>
      <c r="AI319" s="4"/>
      <c r="AJ319" s="39"/>
      <c r="AK319" s="39"/>
      <c r="AL319" s="118"/>
      <c r="AM319" s="152"/>
      <c r="AN319" s="152"/>
      <c r="AO319" s="131"/>
      <c r="AP319" s="131"/>
      <c r="AQ319" s="39"/>
      <c r="AR319" s="274"/>
      <c r="AS319" s="274"/>
      <c r="AT319" s="274"/>
      <c r="AU319" s="39"/>
      <c r="AV319" s="39"/>
      <c r="AW319" s="39"/>
      <c r="AX319" s="274"/>
      <c r="AY319" s="274"/>
      <c r="AZ319" s="274"/>
      <c r="BA319" s="39"/>
      <c r="BB319" s="62"/>
      <c r="BC319" s="39"/>
      <c r="BD319" s="274"/>
      <c r="BE319" s="274"/>
      <c r="BF319" s="274"/>
      <c r="BG319" s="39"/>
      <c r="BH319" s="39"/>
      <c r="BI319" s="39"/>
      <c r="BJ319" s="274">
        <v>1200</v>
      </c>
      <c r="BK319" s="274">
        <f>+BJ319*0.19</f>
        <v>228</v>
      </c>
      <c r="BL319" s="274">
        <f t="shared" si="107"/>
        <v>1428</v>
      </c>
      <c r="BM319" s="214" t="s">
        <v>445</v>
      </c>
      <c r="BN319" s="213" t="s">
        <v>164</v>
      </c>
      <c r="BO319" s="39"/>
      <c r="BP319" s="274"/>
      <c r="BQ319" s="274"/>
      <c r="BR319" s="274"/>
      <c r="BS319" s="39"/>
      <c r="BT319" s="39"/>
      <c r="BU319" s="39"/>
      <c r="BV319" s="219">
        <v>1428.84</v>
      </c>
      <c r="BW319" s="219">
        <f>+BV319*0.19</f>
        <v>271.4796</v>
      </c>
      <c r="BX319" s="273">
        <f t="shared" si="108"/>
        <v>1700.3195999999998</v>
      </c>
      <c r="BY319" s="214" t="s">
        <v>445</v>
      </c>
      <c r="BZ319" s="213" t="s">
        <v>164</v>
      </c>
      <c r="CA319" s="213"/>
      <c r="CB319" s="274"/>
      <c r="CC319" s="274"/>
      <c r="CD319" s="274"/>
      <c r="CE319" s="39"/>
      <c r="CF319" s="39"/>
      <c r="CG319" s="39"/>
      <c r="CH319" s="274"/>
      <c r="CI319" s="274"/>
      <c r="CJ319" s="274"/>
      <c r="CK319" s="39"/>
      <c r="CL319" s="39"/>
      <c r="CM319" s="39"/>
      <c r="CN319" s="39"/>
      <c r="CO319" s="39"/>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274"/>
      <c r="DM319" s="274"/>
      <c r="DN319" s="274"/>
      <c r="DO319" s="274"/>
      <c r="DP319" s="274"/>
      <c r="DQ319" s="274"/>
      <c r="DR319" s="274"/>
      <c r="DS319" s="274"/>
      <c r="DT319" s="274"/>
      <c r="DU319" s="274"/>
      <c r="DV319" s="274"/>
      <c r="DW319" s="274"/>
      <c r="DX319" s="274"/>
      <c r="DY319" s="274"/>
      <c r="DZ319" s="274"/>
      <c r="EA319" s="274"/>
      <c r="EB319" s="274"/>
      <c r="EC319" s="274"/>
      <c r="ED319" s="39">
        <f t="shared" si="98"/>
        <v>6103.3195999999998</v>
      </c>
      <c r="EE319" s="30">
        <f t="shared" si="99"/>
        <v>3</v>
      </c>
      <c r="EF319" s="39">
        <f t="shared" si="100"/>
        <v>2034.4398666666666</v>
      </c>
    </row>
    <row r="320" spans="1:136" ht="25.5" x14ac:dyDescent="0.25">
      <c r="A320" s="25" t="e">
        <f>#REF!</f>
        <v>#REF!</v>
      </c>
      <c r="B320" s="50" t="e">
        <f>#REF!</f>
        <v>#REF!</v>
      </c>
      <c r="C320" s="5" t="e">
        <f>#REF!</f>
        <v>#REF!</v>
      </c>
      <c r="D320" s="5" t="e">
        <f>#REF!</f>
        <v>#REF!</v>
      </c>
      <c r="E320" s="252">
        <v>1</v>
      </c>
      <c r="F320" s="249">
        <v>0</v>
      </c>
      <c r="G320" s="249">
        <v>0</v>
      </c>
      <c r="H320" s="249">
        <v>95180.147203140325</v>
      </c>
      <c r="I320" s="249">
        <v>0</v>
      </c>
      <c r="J320" s="249">
        <v>364124.39777777781</v>
      </c>
      <c r="K320" s="249">
        <v>362950</v>
      </c>
      <c r="L320" s="274">
        <f>AVERAGE(H320,J320)</f>
        <v>229652.27249045906</v>
      </c>
      <c r="M320" s="274">
        <f>K320*E1</f>
        <v>373838.5</v>
      </c>
      <c r="N320" s="255"/>
      <c r="O320" s="135"/>
      <c r="P320" s="135"/>
      <c r="Q320" s="131"/>
      <c r="R320" s="131"/>
      <c r="S320" s="11"/>
      <c r="T320" s="274"/>
      <c r="U320" s="274"/>
      <c r="V320" s="274"/>
      <c r="W320" s="39"/>
      <c r="X320" s="11"/>
      <c r="Y320" s="11"/>
      <c r="Z320" s="274">
        <v>210000</v>
      </c>
      <c r="AA320" s="274">
        <f>+Z320*0.19</f>
        <v>39900</v>
      </c>
      <c r="AB320" s="274">
        <f>+Z320+AA320</f>
        <v>249900</v>
      </c>
      <c r="AC320" s="52" t="s">
        <v>4841</v>
      </c>
      <c r="AD320" s="22" t="s">
        <v>4795</v>
      </c>
      <c r="AE320" s="39"/>
      <c r="AF320" s="274"/>
      <c r="AG320" s="274"/>
      <c r="AH320" s="171"/>
      <c r="AI320" s="4"/>
      <c r="AJ320" s="39"/>
      <c r="AK320" s="39"/>
      <c r="AL320" s="118"/>
      <c r="AM320" s="152"/>
      <c r="AN320" s="152"/>
      <c r="AO320" s="131"/>
      <c r="AP320" s="131"/>
      <c r="AQ320" s="39"/>
      <c r="AR320" s="274"/>
      <c r="AS320" s="274"/>
      <c r="AT320" s="274"/>
      <c r="AU320" s="39"/>
      <c r="AV320" s="39"/>
      <c r="AW320" s="39"/>
      <c r="AX320" s="274"/>
      <c r="AY320" s="274"/>
      <c r="AZ320" s="274"/>
      <c r="BA320" s="39"/>
      <c r="BB320" s="62"/>
      <c r="BC320" s="39"/>
      <c r="BD320" s="274"/>
      <c r="BE320" s="274"/>
      <c r="BF320" s="274"/>
      <c r="BG320" s="39"/>
      <c r="BH320" s="39"/>
      <c r="BI320" s="39"/>
      <c r="BJ320" s="274"/>
      <c r="BK320" s="274"/>
      <c r="BL320" s="274"/>
      <c r="BM320" s="213"/>
      <c r="BN320" s="213"/>
      <c r="BO320" s="39"/>
      <c r="BP320" s="274">
        <v>98500</v>
      </c>
      <c r="BQ320" s="274">
        <f t="shared" ref="BQ320:BQ327" si="109">+BP320*19%</f>
        <v>18715</v>
      </c>
      <c r="BR320" s="274">
        <f t="shared" ref="BR320:BR327" si="110">+BQ320+BP320</f>
        <v>117215</v>
      </c>
      <c r="BS320" s="39"/>
      <c r="BT320" s="39"/>
      <c r="BU320" s="39"/>
      <c r="BV320" s="212"/>
      <c r="BW320" s="221"/>
      <c r="BX320" s="273"/>
      <c r="BY320" s="213"/>
      <c r="BZ320" s="213"/>
      <c r="CA320" s="213"/>
      <c r="CB320" s="274"/>
      <c r="CC320" s="274"/>
      <c r="CD320" s="274"/>
      <c r="CE320" s="39"/>
      <c r="CF320" s="39"/>
      <c r="CG320" s="39"/>
      <c r="CH320" s="274"/>
      <c r="CI320" s="274"/>
      <c r="CJ320" s="274"/>
      <c r="CK320" s="39"/>
      <c r="CL320" s="39"/>
      <c r="CM320" s="39"/>
      <c r="CN320" s="39"/>
      <c r="CO320" s="39"/>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274"/>
      <c r="DM320" s="274"/>
      <c r="DN320" s="274"/>
      <c r="DO320" s="274"/>
      <c r="DP320" s="274"/>
      <c r="DQ320" s="274"/>
      <c r="DR320" s="274"/>
      <c r="DS320" s="274"/>
      <c r="DT320" s="274"/>
      <c r="DU320" s="274"/>
      <c r="DV320" s="274"/>
      <c r="DW320" s="274"/>
      <c r="DX320" s="274"/>
      <c r="DY320" s="274"/>
      <c r="DZ320" s="274"/>
      <c r="EA320" s="274"/>
      <c r="EB320" s="274"/>
      <c r="EC320" s="274"/>
      <c r="ED320" s="39">
        <f t="shared" si="98"/>
        <v>740953.5</v>
      </c>
      <c r="EE320" s="30">
        <f t="shared" si="99"/>
        <v>3</v>
      </c>
      <c r="EF320" s="39">
        <f t="shared" si="100"/>
        <v>246984.5</v>
      </c>
    </row>
    <row r="321" spans="1:136" ht="25.5" x14ac:dyDescent="0.25">
      <c r="A321" s="25" t="e">
        <f>#REF!</f>
        <v>#REF!</v>
      </c>
      <c r="B321" s="50" t="e">
        <f>#REF!</f>
        <v>#REF!</v>
      </c>
      <c r="C321" s="5" t="e">
        <f>#REF!</f>
        <v>#REF!</v>
      </c>
      <c r="D321" s="5" t="e">
        <f>#REF!</f>
        <v>#REF!</v>
      </c>
      <c r="E321" s="252">
        <v>1</v>
      </c>
      <c r="F321" s="249">
        <v>151670.65666666668</v>
      </c>
      <c r="G321" s="249">
        <v>151671</v>
      </c>
      <c r="H321" s="249">
        <v>127657.77176666667</v>
      </c>
      <c r="I321" s="249">
        <v>0</v>
      </c>
      <c r="J321" s="249">
        <v>217043.9075</v>
      </c>
      <c r="K321" s="249">
        <v>117810</v>
      </c>
      <c r="L321" s="274">
        <f>AVERAGE(F321,H321,J321)</f>
        <v>165457.44531111114</v>
      </c>
      <c r="M321" s="274">
        <f>AVERAGE(G321,K321)*E1</f>
        <v>138782.715</v>
      </c>
      <c r="N321" s="255">
        <v>120000</v>
      </c>
      <c r="O321" s="135">
        <f t="shared" ref="O321:O327" si="111">+N321*0.19</f>
        <v>22800</v>
      </c>
      <c r="P321" s="135">
        <f t="shared" ref="P321:P327" si="112">+N321+O321</f>
        <v>142800</v>
      </c>
      <c r="Q321" s="131"/>
      <c r="R321" s="131"/>
      <c r="S321" s="11"/>
      <c r="T321" s="274">
        <v>28490.000000000004</v>
      </c>
      <c r="U321" s="274">
        <f>+T321*0.19</f>
        <v>5413.1</v>
      </c>
      <c r="V321" s="274">
        <f>+T321+U321</f>
        <v>33903.100000000006</v>
      </c>
      <c r="W321" s="39" t="s">
        <v>445</v>
      </c>
      <c r="X321" s="11" t="s">
        <v>4051</v>
      </c>
      <c r="Y321" s="11"/>
      <c r="Z321" s="274">
        <v>105000</v>
      </c>
      <c r="AA321" s="274">
        <f>+Z321*0.19</f>
        <v>19950</v>
      </c>
      <c r="AB321" s="274">
        <f>+Z321+AA321</f>
        <v>124950</v>
      </c>
      <c r="AC321" s="52" t="s">
        <v>445</v>
      </c>
      <c r="AD321" s="22" t="s">
        <v>4795</v>
      </c>
      <c r="AE321" s="39"/>
      <c r="AF321" s="274"/>
      <c r="AG321" s="274"/>
      <c r="AH321" s="171"/>
      <c r="AI321" s="4"/>
      <c r="AJ321" s="39"/>
      <c r="AK321" s="39"/>
      <c r="AL321" s="118"/>
      <c r="AM321" s="152"/>
      <c r="AN321" s="181"/>
      <c r="AO321" s="131"/>
      <c r="AP321" s="131"/>
      <c r="AQ321" s="39"/>
      <c r="AR321" s="274"/>
      <c r="AS321" s="274"/>
      <c r="AT321" s="274"/>
      <c r="AU321" s="39"/>
      <c r="AV321" s="39"/>
      <c r="AW321" s="39"/>
      <c r="AX321" s="274"/>
      <c r="AY321" s="274"/>
      <c r="AZ321" s="274"/>
      <c r="BA321" s="39"/>
      <c r="BB321" s="62"/>
      <c r="BC321" s="39"/>
      <c r="BD321" s="274"/>
      <c r="BE321" s="274"/>
      <c r="BF321" s="274"/>
      <c r="BG321" s="39"/>
      <c r="BH321" s="39"/>
      <c r="BI321" s="39"/>
      <c r="BJ321" s="274">
        <v>68200</v>
      </c>
      <c r="BK321" s="274">
        <f>+BJ321*0.19</f>
        <v>12958</v>
      </c>
      <c r="BL321" s="274">
        <f>+BJ321+BK321</f>
        <v>81158</v>
      </c>
      <c r="BM321" s="214" t="s">
        <v>445</v>
      </c>
      <c r="BN321" s="213" t="s">
        <v>2925</v>
      </c>
      <c r="BO321" s="39"/>
      <c r="BP321" s="274">
        <v>65200</v>
      </c>
      <c r="BQ321" s="274">
        <f t="shared" si="109"/>
        <v>12388</v>
      </c>
      <c r="BR321" s="274">
        <f t="shared" si="110"/>
        <v>77588</v>
      </c>
      <c r="BS321" s="39"/>
      <c r="BT321" s="39"/>
      <c r="BU321" s="39"/>
      <c r="BV321" s="219">
        <v>71664.832800000004</v>
      </c>
      <c r="BW321" s="219">
        <f>+BV321*0.19</f>
        <v>13616.318232000001</v>
      </c>
      <c r="BX321" s="273">
        <f>+BV321+BW321</f>
        <v>85281.151032000009</v>
      </c>
      <c r="BY321" s="214" t="s">
        <v>445</v>
      </c>
      <c r="BZ321" s="213" t="s">
        <v>2925</v>
      </c>
      <c r="CA321" s="213"/>
      <c r="CB321" s="274"/>
      <c r="CC321" s="274"/>
      <c r="CD321" s="274"/>
      <c r="CE321" s="39"/>
      <c r="CF321" s="39"/>
      <c r="CG321" s="39"/>
      <c r="CH321" s="274"/>
      <c r="CI321" s="274"/>
      <c r="CJ321" s="274"/>
      <c r="CK321" s="39"/>
      <c r="CL321" s="39"/>
      <c r="CM321" s="39"/>
      <c r="CN321" s="39"/>
      <c r="CO321" s="39"/>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274"/>
      <c r="DM321" s="274"/>
      <c r="DN321" s="274"/>
      <c r="DO321" s="274"/>
      <c r="DP321" s="274"/>
      <c r="DQ321" s="274"/>
      <c r="DR321" s="274"/>
      <c r="DS321" s="274"/>
      <c r="DT321" s="274"/>
      <c r="DU321" s="274"/>
      <c r="DV321" s="274"/>
      <c r="DW321" s="274"/>
      <c r="DX321" s="274"/>
      <c r="DY321" s="274"/>
      <c r="DZ321" s="274"/>
      <c r="EA321" s="274"/>
      <c r="EB321" s="274"/>
      <c r="EC321" s="274"/>
      <c r="ED321" s="39">
        <f t="shared" si="98"/>
        <v>684462.96603199991</v>
      </c>
      <c r="EE321" s="30">
        <f t="shared" si="99"/>
        <v>7</v>
      </c>
      <c r="EF321" s="39">
        <f t="shared" si="100"/>
        <v>97780.423718857128</v>
      </c>
    </row>
    <row r="322" spans="1:136" ht="25.5" x14ac:dyDescent="0.25">
      <c r="A322" s="25" t="e">
        <f>#REF!</f>
        <v>#REF!</v>
      </c>
      <c r="B322" s="50" t="e">
        <f>#REF!</f>
        <v>#REF!</v>
      </c>
      <c r="C322" s="5" t="e">
        <f>#REF!</f>
        <v>#REF!</v>
      </c>
      <c r="D322" s="5" t="e">
        <f>#REF!</f>
        <v>#REF!</v>
      </c>
      <c r="E322" s="252">
        <v>1</v>
      </c>
      <c r="F322" s="249">
        <v>0</v>
      </c>
      <c r="G322" s="249">
        <v>0</v>
      </c>
      <c r="H322" s="249">
        <v>38900.334105372916</v>
      </c>
      <c r="I322" s="249">
        <v>30821</v>
      </c>
      <c r="J322" s="249">
        <v>123349.61799999997</v>
      </c>
      <c r="K322" s="249">
        <v>121975</v>
      </c>
      <c r="L322" s="274">
        <f>AVERAGE(H322,J322)</f>
        <v>81124.976052686441</v>
      </c>
      <c r="M322" s="274">
        <f>AVERAGE(I322,K322)*E1</f>
        <v>78689.94</v>
      </c>
      <c r="N322" s="255">
        <v>38000</v>
      </c>
      <c r="O322" s="135">
        <f t="shared" si="111"/>
        <v>7220</v>
      </c>
      <c r="P322" s="135">
        <f t="shared" si="112"/>
        <v>45220</v>
      </c>
      <c r="Q322" s="131"/>
      <c r="R322" s="131"/>
      <c r="S322" s="11"/>
      <c r="T322" s="274">
        <v>29700.000000000004</v>
      </c>
      <c r="U322" s="274">
        <f>+T322*0.19</f>
        <v>5643.0000000000009</v>
      </c>
      <c r="V322" s="274">
        <f>+T322+U322</f>
        <v>35343.000000000007</v>
      </c>
      <c r="W322" s="39" t="s">
        <v>445</v>
      </c>
      <c r="X322" s="11" t="s">
        <v>4051</v>
      </c>
      <c r="Y322" s="11"/>
      <c r="Z322" s="274">
        <v>105000</v>
      </c>
      <c r="AA322" s="274">
        <f>+Z322*0.19</f>
        <v>19950</v>
      </c>
      <c r="AB322" s="274">
        <f>+Z322+AA322</f>
        <v>124950</v>
      </c>
      <c r="AC322" s="52" t="s">
        <v>445</v>
      </c>
      <c r="AD322" s="22" t="s">
        <v>4795</v>
      </c>
      <c r="AE322" s="39"/>
      <c r="AF322" s="274"/>
      <c r="AG322" s="274"/>
      <c r="AH322" s="171"/>
      <c r="AI322" s="4"/>
      <c r="AJ322" s="39"/>
      <c r="AK322" s="39"/>
      <c r="AL322" s="118"/>
      <c r="AM322" s="152"/>
      <c r="AN322" s="152"/>
      <c r="AO322" s="131"/>
      <c r="AP322" s="131"/>
      <c r="AQ322" s="39"/>
      <c r="AR322" s="274"/>
      <c r="AS322" s="274"/>
      <c r="AT322" s="274"/>
      <c r="AU322" s="39"/>
      <c r="AV322" s="39"/>
      <c r="AW322" s="39"/>
      <c r="AX322" s="274"/>
      <c r="AY322" s="274"/>
      <c r="AZ322" s="274"/>
      <c r="BA322" s="39"/>
      <c r="BB322" s="62"/>
      <c r="BC322" s="39"/>
      <c r="BD322" s="274"/>
      <c r="BE322" s="274"/>
      <c r="BF322" s="274"/>
      <c r="BG322" s="39"/>
      <c r="BH322" s="39"/>
      <c r="BI322" s="39"/>
      <c r="BJ322" s="274">
        <v>242300</v>
      </c>
      <c r="BK322" s="274">
        <f>+BJ322*0.19</f>
        <v>46037</v>
      </c>
      <c r="BL322" s="274">
        <f>+BJ322+BK322</f>
        <v>288337</v>
      </c>
      <c r="BM322" s="214" t="s">
        <v>445</v>
      </c>
      <c r="BN322" s="213" t="s">
        <v>4776</v>
      </c>
      <c r="BO322" s="39"/>
      <c r="BP322" s="274">
        <v>55000</v>
      </c>
      <c r="BQ322" s="274">
        <f t="shared" si="109"/>
        <v>10450</v>
      </c>
      <c r="BR322" s="274">
        <f t="shared" si="110"/>
        <v>65450</v>
      </c>
      <c r="BS322" s="39"/>
      <c r="BT322" s="39"/>
      <c r="BU322" s="39"/>
      <c r="BV322" s="219">
        <v>277720.38320000004</v>
      </c>
      <c r="BW322" s="219">
        <f>+BV322*0.19</f>
        <v>52766.872808000007</v>
      </c>
      <c r="BX322" s="273">
        <f>+BV322+BW322</f>
        <v>330487.25600800005</v>
      </c>
      <c r="BY322" s="214" t="s">
        <v>445</v>
      </c>
      <c r="BZ322" s="213" t="s">
        <v>4776</v>
      </c>
      <c r="CA322" s="213"/>
      <c r="CB322" s="274"/>
      <c r="CC322" s="274"/>
      <c r="CD322" s="274"/>
      <c r="CE322" s="39"/>
      <c r="CF322" s="39"/>
      <c r="CG322" s="39"/>
      <c r="CH322" s="274"/>
      <c r="CI322" s="274"/>
      <c r="CJ322" s="274"/>
      <c r="CK322" s="39"/>
      <c r="CL322" s="39"/>
      <c r="CM322" s="39"/>
      <c r="CN322" s="39"/>
      <c r="CO322" s="39"/>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274"/>
      <c r="DM322" s="274"/>
      <c r="DN322" s="274"/>
      <c r="DO322" s="274"/>
      <c r="DP322" s="274"/>
      <c r="DQ322" s="274"/>
      <c r="DR322" s="274"/>
      <c r="DS322" s="274"/>
      <c r="DT322" s="274"/>
      <c r="DU322" s="274"/>
      <c r="DV322" s="274"/>
      <c r="DW322" s="274"/>
      <c r="DX322" s="274"/>
      <c r="DY322" s="274"/>
      <c r="DZ322" s="274"/>
      <c r="EA322" s="274"/>
      <c r="EB322" s="274"/>
      <c r="EC322" s="274"/>
      <c r="ED322" s="39">
        <f t="shared" si="98"/>
        <v>968477.19600800006</v>
      </c>
      <c r="EE322" s="30">
        <f t="shared" si="99"/>
        <v>7</v>
      </c>
      <c r="EF322" s="39">
        <f t="shared" si="100"/>
        <v>138353.885144</v>
      </c>
    </row>
    <row r="323" spans="1:136" ht="25.5" x14ac:dyDescent="0.25">
      <c r="A323" s="25" t="e">
        <f>#REF!</f>
        <v>#REF!</v>
      </c>
      <c r="B323" s="50" t="e">
        <f>#REF!</f>
        <v>#REF!</v>
      </c>
      <c r="C323" s="5" t="e">
        <f>#REF!</f>
        <v>#REF!</v>
      </c>
      <c r="D323" s="5" t="e">
        <f>#REF!</f>
        <v>#REF!</v>
      </c>
      <c r="E323" s="252">
        <v>1</v>
      </c>
      <c r="F323" s="249">
        <v>61880</v>
      </c>
      <c r="G323" s="249">
        <v>0</v>
      </c>
      <c r="H323" s="249">
        <v>1285993.3333333333</v>
      </c>
      <c r="I323" s="249">
        <v>1285914</v>
      </c>
      <c r="J323" s="249">
        <v>186065.22666666665</v>
      </c>
      <c r="K323" s="249">
        <v>0</v>
      </c>
      <c r="L323" s="274">
        <f>AVERAGE(F323,H323,J323)</f>
        <v>511312.85333333327</v>
      </c>
      <c r="M323" s="274">
        <f>I323*E1</f>
        <v>1324491.42</v>
      </c>
      <c r="N323" s="255">
        <v>580000</v>
      </c>
      <c r="O323" s="135">
        <f t="shared" si="111"/>
        <v>110200</v>
      </c>
      <c r="P323" s="135">
        <f t="shared" si="112"/>
        <v>690200</v>
      </c>
      <c r="Q323" s="131"/>
      <c r="R323" s="131"/>
      <c r="S323" s="11"/>
      <c r="T323" s="274">
        <f>31900*20</f>
        <v>638000</v>
      </c>
      <c r="U323" s="274">
        <f>+T323*0.19</f>
        <v>121220</v>
      </c>
      <c r="V323" s="274">
        <f>+T323+U323</f>
        <v>759220</v>
      </c>
      <c r="W323" s="39" t="s">
        <v>445</v>
      </c>
      <c r="X323" s="11" t="s">
        <v>4842</v>
      </c>
      <c r="Y323" s="11"/>
      <c r="Z323" s="274">
        <v>105000</v>
      </c>
      <c r="AA323" s="274">
        <f>+Z323*0.19</f>
        <v>19950</v>
      </c>
      <c r="AB323" s="274">
        <f>+Z323+AA323</f>
        <v>124950</v>
      </c>
      <c r="AC323" s="52" t="s">
        <v>445</v>
      </c>
      <c r="AD323" s="22" t="s">
        <v>4795</v>
      </c>
      <c r="AE323" s="39"/>
      <c r="AF323" s="274"/>
      <c r="AG323" s="274"/>
      <c r="AH323" s="171"/>
      <c r="AI323" s="22"/>
      <c r="AJ323" s="39"/>
      <c r="AK323" s="39"/>
      <c r="AL323" s="118"/>
      <c r="AM323" s="152"/>
      <c r="AN323" s="181"/>
      <c r="AO323" s="131"/>
      <c r="AP323" s="131"/>
      <c r="AQ323" s="39"/>
      <c r="AR323" s="274"/>
      <c r="AS323" s="274"/>
      <c r="AT323" s="274"/>
      <c r="AU323" s="39"/>
      <c r="AV323" s="39"/>
      <c r="AW323" s="39"/>
      <c r="AX323" s="274"/>
      <c r="AY323" s="274"/>
      <c r="AZ323" s="274"/>
      <c r="BA323" s="39"/>
      <c r="BB323" s="62"/>
      <c r="BC323" s="39"/>
      <c r="BD323" s="274"/>
      <c r="BE323" s="274"/>
      <c r="BF323" s="274"/>
      <c r="BG323" s="39"/>
      <c r="BH323" s="39"/>
      <c r="BI323" s="39"/>
      <c r="BJ323" s="274"/>
      <c r="BK323" s="274"/>
      <c r="BL323" s="274"/>
      <c r="BM323" s="213"/>
      <c r="BN323" s="213"/>
      <c r="BO323" s="39"/>
      <c r="BP323" s="274">
        <f>36000*20</f>
        <v>720000</v>
      </c>
      <c r="BQ323" s="274">
        <f t="shared" si="109"/>
        <v>136800</v>
      </c>
      <c r="BR323" s="274">
        <f t="shared" si="110"/>
        <v>856800</v>
      </c>
      <c r="BS323" s="39"/>
      <c r="BT323" s="39"/>
      <c r="BU323" s="39"/>
      <c r="BV323" s="212"/>
      <c r="BW323" s="221"/>
      <c r="BX323" s="273"/>
      <c r="BY323" s="213"/>
      <c r="BZ323" s="213"/>
      <c r="CA323" s="213"/>
      <c r="CB323" s="274"/>
      <c r="CC323" s="274"/>
      <c r="CD323" s="274"/>
      <c r="CE323" s="39"/>
      <c r="CF323" s="39"/>
      <c r="CG323" s="39"/>
      <c r="CH323" s="274"/>
      <c r="CI323" s="274"/>
      <c r="CJ323" s="274"/>
      <c r="CK323" s="39"/>
      <c r="CL323" s="39"/>
      <c r="CM323" s="39"/>
      <c r="CN323" s="39"/>
      <c r="CO323" s="39"/>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274"/>
      <c r="DM323" s="274"/>
      <c r="DN323" s="274"/>
      <c r="DO323" s="274"/>
      <c r="DP323" s="274"/>
      <c r="DQ323" s="274"/>
      <c r="DR323" s="274"/>
      <c r="DS323" s="274"/>
      <c r="DT323" s="274"/>
      <c r="DU323" s="274"/>
      <c r="DV323" s="274"/>
      <c r="DW323" s="274"/>
      <c r="DX323" s="274"/>
      <c r="DY323" s="274"/>
      <c r="DZ323" s="274"/>
      <c r="EA323" s="274"/>
      <c r="EB323" s="274"/>
      <c r="EC323" s="274"/>
      <c r="ED323" s="39">
        <f t="shared" ref="ED323:ED386" si="113">SUM(M323,P323,V323,AB323,AH323,AN323,AT323,AZ323,BF323,BL323,BR323,BX323,CD323,CJ323,CP323,CV323,DB323,DH323,DN323,DT323,DZ323)</f>
        <v>3755661.42</v>
      </c>
      <c r="EE323" s="30">
        <f t="shared" ref="EE323:EE386" si="114">COUNTA(M323,N323,T323,Z323,AF323,AL323,AR323,AX323,BD323,BJ323,BP323,BV323,CB323,CH323,CN323,CT323,CZ323,DF323,DL323,DR323,DX323)</f>
        <v>5</v>
      </c>
      <c r="EF323" s="39">
        <f t="shared" ref="EF323:EF386" si="115">IFERROR(ED323/EE323," ")</f>
        <v>751132.28399999999</v>
      </c>
    </row>
    <row r="324" spans="1:136" x14ac:dyDescent="0.25">
      <c r="A324" s="25" t="e">
        <f>#REF!</f>
        <v>#REF!</v>
      </c>
      <c r="B324" s="50" t="e">
        <f>#REF!</f>
        <v>#REF!</v>
      </c>
      <c r="C324" s="5" t="e">
        <f>#REF!</f>
        <v>#REF!</v>
      </c>
      <c r="D324" s="5" t="e">
        <f>#REF!</f>
        <v>#REF!</v>
      </c>
      <c r="E324" s="252">
        <v>1</v>
      </c>
      <c r="F324" s="249">
        <v>0</v>
      </c>
      <c r="G324" s="249">
        <v>0</v>
      </c>
      <c r="H324" s="249">
        <v>100356.66666666667</v>
      </c>
      <c r="I324" s="249">
        <v>0</v>
      </c>
      <c r="J324" s="249">
        <v>185037.06666666668</v>
      </c>
      <c r="K324" s="249">
        <v>0</v>
      </c>
      <c r="L324" s="274">
        <f>AVERAGE(H324,J324)</f>
        <v>142696.86666666667</v>
      </c>
      <c r="M324" s="274"/>
      <c r="N324" s="255">
        <v>90000</v>
      </c>
      <c r="O324" s="135">
        <f t="shared" si="111"/>
        <v>17100</v>
      </c>
      <c r="P324" s="135">
        <f t="shared" si="112"/>
        <v>107100</v>
      </c>
      <c r="Q324" s="131"/>
      <c r="R324" s="131"/>
      <c r="S324" s="11"/>
      <c r="T324" s="274"/>
      <c r="U324" s="274"/>
      <c r="V324" s="274"/>
      <c r="W324" s="39"/>
      <c r="X324" s="11"/>
      <c r="Y324" s="11"/>
      <c r="Z324" s="274"/>
      <c r="AA324" s="274"/>
      <c r="AB324" s="274"/>
      <c r="AC324" s="52"/>
      <c r="AD324" s="22"/>
      <c r="AE324" s="39"/>
      <c r="AF324" s="274"/>
      <c r="AG324" s="274"/>
      <c r="AH324" s="171"/>
      <c r="AI324" s="22"/>
      <c r="AJ324" s="39"/>
      <c r="AK324" s="39"/>
      <c r="AL324" s="118"/>
      <c r="AM324" s="152"/>
      <c r="AN324" s="181"/>
      <c r="AO324" s="131"/>
      <c r="AP324" s="131"/>
      <c r="AQ324" s="39"/>
      <c r="AR324" s="274"/>
      <c r="AS324" s="274"/>
      <c r="AT324" s="274"/>
      <c r="AU324" s="39"/>
      <c r="AV324" s="39"/>
      <c r="AW324" s="39"/>
      <c r="AX324" s="274"/>
      <c r="AY324" s="274"/>
      <c r="AZ324" s="274"/>
      <c r="BA324" s="39"/>
      <c r="BB324" s="62"/>
      <c r="BC324" s="39"/>
      <c r="BD324" s="274"/>
      <c r="BE324" s="274"/>
      <c r="BF324" s="274"/>
      <c r="BG324" s="39"/>
      <c r="BH324" s="39"/>
      <c r="BI324" s="39"/>
      <c r="BJ324" s="274">
        <v>160500</v>
      </c>
      <c r="BK324" s="274">
        <f>+BJ324*0.19</f>
        <v>30495</v>
      </c>
      <c r="BL324" s="274">
        <f>+BJ324+BK324</f>
        <v>190995</v>
      </c>
      <c r="BM324" s="214" t="s">
        <v>445</v>
      </c>
      <c r="BN324" s="213" t="s">
        <v>338</v>
      </c>
      <c r="BO324" s="39"/>
      <c r="BP324" s="274">
        <v>165000</v>
      </c>
      <c r="BQ324" s="274">
        <f t="shared" si="109"/>
        <v>31350</v>
      </c>
      <c r="BR324" s="274">
        <f t="shared" si="110"/>
        <v>196350</v>
      </c>
      <c r="BS324" s="39"/>
      <c r="BT324" s="39"/>
      <c r="BU324" s="39"/>
      <c r="BV324" s="219">
        <v>178704.55200000003</v>
      </c>
      <c r="BW324" s="219">
        <f>+BV324*0.19</f>
        <v>33953.864880000008</v>
      </c>
      <c r="BX324" s="273">
        <f>+BV324+BW324</f>
        <v>212658.41688000003</v>
      </c>
      <c r="BY324" s="214" t="s">
        <v>445</v>
      </c>
      <c r="BZ324" s="213" t="s">
        <v>338</v>
      </c>
      <c r="CA324" s="213"/>
      <c r="CB324" s="275"/>
      <c r="CC324" s="274"/>
      <c r="CD324" s="274"/>
      <c r="CE324" s="39"/>
      <c r="CF324" s="39"/>
      <c r="CG324" s="39"/>
      <c r="CH324" s="274"/>
      <c r="CI324" s="274"/>
      <c r="CJ324" s="274"/>
      <c r="CK324" s="39"/>
      <c r="CL324" s="39"/>
      <c r="CM324" s="39"/>
      <c r="CN324" s="39"/>
      <c r="CO324" s="39"/>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274"/>
      <c r="DM324" s="274"/>
      <c r="DN324" s="274"/>
      <c r="DO324" s="274"/>
      <c r="DP324" s="274"/>
      <c r="DQ324" s="274"/>
      <c r="DR324" s="274"/>
      <c r="DS324" s="274"/>
      <c r="DT324" s="274"/>
      <c r="DU324" s="274"/>
      <c r="DV324" s="274"/>
      <c r="DW324" s="274"/>
      <c r="DX324" s="274"/>
      <c r="DY324" s="274"/>
      <c r="DZ324" s="274"/>
      <c r="EA324" s="274"/>
      <c r="EB324" s="274"/>
      <c r="EC324" s="274"/>
      <c r="ED324" s="39">
        <f t="shared" si="113"/>
        <v>707103.41688000003</v>
      </c>
      <c r="EE324" s="30">
        <f t="shared" si="114"/>
        <v>4</v>
      </c>
      <c r="EF324" s="39">
        <f t="shared" si="115"/>
        <v>176775.85422000001</v>
      </c>
    </row>
    <row r="325" spans="1:136" x14ac:dyDescent="0.25">
      <c r="A325" s="25" t="e">
        <f>#REF!</f>
        <v>#REF!</v>
      </c>
      <c r="B325" s="50" t="e">
        <f>#REF!</f>
        <v>#REF!</v>
      </c>
      <c r="C325" s="5" t="e">
        <f>#REF!</f>
        <v>#REF!</v>
      </c>
      <c r="D325" s="5" t="e">
        <f>#REF!</f>
        <v>#REF!</v>
      </c>
      <c r="E325" s="252">
        <v>1</v>
      </c>
      <c r="F325" s="249">
        <v>204656.2</v>
      </c>
      <c r="G325" s="249">
        <v>199444</v>
      </c>
      <c r="H325" s="249">
        <v>140373.96046486753</v>
      </c>
      <c r="I325" s="249">
        <v>0</v>
      </c>
      <c r="J325" s="249">
        <v>196290.5</v>
      </c>
      <c r="K325" s="249">
        <v>195160</v>
      </c>
      <c r="L325" s="274">
        <f>AVERAGE(F325,H325,J325)</f>
        <v>180440.22015495584</v>
      </c>
      <c r="M325" s="274">
        <f>AVERAGE(G325,K325)*E1</f>
        <v>203221.06</v>
      </c>
      <c r="N325" s="256">
        <v>180000</v>
      </c>
      <c r="O325" s="135">
        <f t="shared" si="111"/>
        <v>34200</v>
      </c>
      <c r="P325" s="135">
        <f t="shared" si="112"/>
        <v>214200</v>
      </c>
      <c r="Q325" s="131"/>
      <c r="R325" s="131"/>
      <c r="S325" s="11"/>
      <c r="T325" s="274"/>
      <c r="U325" s="274"/>
      <c r="V325" s="274"/>
      <c r="W325" s="39"/>
      <c r="X325" s="11"/>
      <c r="Y325" s="11"/>
      <c r="Z325" s="274">
        <v>23000</v>
      </c>
      <c r="AA325" s="274">
        <f>+Z325*0.19</f>
        <v>4370</v>
      </c>
      <c r="AB325" s="274">
        <f>+Z325+AA325</f>
        <v>27370</v>
      </c>
      <c r="AC325" s="52" t="s">
        <v>445</v>
      </c>
      <c r="AD325" s="22" t="s">
        <v>4783</v>
      </c>
      <c r="AE325" s="39"/>
      <c r="AF325" s="274"/>
      <c r="AG325" s="274"/>
      <c r="AH325" s="171"/>
      <c r="AI325" s="4"/>
      <c r="AJ325" s="39"/>
      <c r="AK325" s="39"/>
      <c r="AL325" s="118"/>
      <c r="AM325" s="152"/>
      <c r="AN325" s="181"/>
      <c r="AO325" s="131"/>
      <c r="AP325" s="131"/>
      <c r="AQ325" s="39"/>
      <c r="AR325" s="274"/>
      <c r="AS325" s="274"/>
      <c r="AT325" s="274"/>
      <c r="AU325" s="39"/>
      <c r="AV325" s="39"/>
      <c r="AW325" s="39"/>
      <c r="AX325" s="275"/>
      <c r="AY325" s="274"/>
      <c r="AZ325" s="274"/>
      <c r="BA325" s="39"/>
      <c r="BB325" s="62"/>
      <c r="BC325" s="39"/>
      <c r="BD325" s="274"/>
      <c r="BE325" s="274"/>
      <c r="BF325" s="274"/>
      <c r="BG325" s="39"/>
      <c r="BH325" s="39"/>
      <c r="BI325" s="39"/>
      <c r="BJ325" s="274">
        <v>408000</v>
      </c>
      <c r="BK325" s="274">
        <f>+BJ325*0.19</f>
        <v>77520</v>
      </c>
      <c r="BL325" s="274">
        <f>+BJ325+BK325</f>
        <v>485520</v>
      </c>
      <c r="BM325" s="213" t="s">
        <v>4843</v>
      </c>
      <c r="BN325" s="213" t="s">
        <v>338</v>
      </c>
      <c r="BO325" s="39"/>
      <c r="BP325" s="274">
        <v>285000</v>
      </c>
      <c r="BQ325" s="274">
        <f t="shared" si="109"/>
        <v>54150</v>
      </c>
      <c r="BR325" s="274">
        <f t="shared" si="110"/>
        <v>339150</v>
      </c>
      <c r="BS325" s="39"/>
      <c r="BT325" s="39"/>
      <c r="BU325" s="39"/>
      <c r="BV325" s="212">
        <v>449744.11200000002</v>
      </c>
      <c r="BW325" s="219">
        <f>+BV325*0.19</f>
        <v>85451.381280000001</v>
      </c>
      <c r="BX325" s="273">
        <f>+BV325+BW325</f>
        <v>535195.49328000005</v>
      </c>
      <c r="BY325" s="213" t="s">
        <v>4843</v>
      </c>
      <c r="BZ325" s="213" t="s">
        <v>338</v>
      </c>
      <c r="CA325" s="213"/>
      <c r="CB325" s="274"/>
      <c r="CC325" s="274"/>
      <c r="CD325" s="274"/>
      <c r="CE325" s="39"/>
      <c r="CF325" s="39"/>
      <c r="CG325" s="39"/>
      <c r="CH325" s="275"/>
      <c r="CI325" s="275"/>
      <c r="CJ325" s="275"/>
      <c r="CK325" s="39"/>
      <c r="CL325" s="39"/>
      <c r="CM325" s="39"/>
      <c r="CN325" s="39"/>
      <c r="CO325" s="39"/>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274"/>
      <c r="DM325" s="274"/>
      <c r="DN325" s="274"/>
      <c r="DO325" s="274"/>
      <c r="DP325" s="274"/>
      <c r="DQ325" s="274"/>
      <c r="DR325" s="274"/>
      <c r="DS325" s="274"/>
      <c r="DT325" s="274"/>
      <c r="DU325" s="274"/>
      <c r="DV325" s="274"/>
      <c r="DW325" s="274"/>
      <c r="DX325" s="274"/>
      <c r="DY325" s="274"/>
      <c r="DZ325" s="274"/>
      <c r="EA325" s="274"/>
      <c r="EB325" s="274"/>
      <c r="EC325" s="274"/>
      <c r="ED325" s="39">
        <f t="shared" si="113"/>
        <v>1804656.5532800001</v>
      </c>
      <c r="EE325" s="30">
        <f t="shared" si="114"/>
        <v>6</v>
      </c>
      <c r="EF325" s="39">
        <f t="shared" si="115"/>
        <v>300776.09221333335</v>
      </c>
    </row>
    <row r="326" spans="1:136" x14ac:dyDescent="0.25">
      <c r="A326" s="25" t="e">
        <f>#REF!</f>
        <v>#REF!</v>
      </c>
      <c r="B326" s="50" t="e">
        <f>#REF!</f>
        <v>#REF!</v>
      </c>
      <c r="C326" s="5" t="e">
        <f>#REF!</f>
        <v>#REF!</v>
      </c>
      <c r="D326" s="5" t="e">
        <f>#REF!</f>
        <v>#REF!</v>
      </c>
      <c r="E326" s="252">
        <v>1</v>
      </c>
      <c r="F326" s="249">
        <v>0</v>
      </c>
      <c r="G326" s="249">
        <v>0</v>
      </c>
      <c r="H326" s="249">
        <v>119000</v>
      </c>
      <c r="I326" s="249">
        <v>0</v>
      </c>
      <c r="J326" s="249">
        <v>126675.5</v>
      </c>
      <c r="K326" s="249">
        <v>107100</v>
      </c>
      <c r="L326" s="274">
        <f>AVERAGE(H326,J326)</f>
        <v>122837.75</v>
      </c>
      <c r="M326" s="274">
        <f>K326*E1</f>
        <v>110313</v>
      </c>
      <c r="N326" s="255">
        <v>110000</v>
      </c>
      <c r="O326" s="135">
        <f t="shared" si="111"/>
        <v>20900</v>
      </c>
      <c r="P326" s="135">
        <f t="shared" si="112"/>
        <v>130900</v>
      </c>
      <c r="Q326" s="131"/>
      <c r="R326" s="131"/>
      <c r="S326" s="11"/>
      <c r="T326" s="274"/>
      <c r="U326" s="274"/>
      <c r="V326" s="274"/>
      <c r="W326" s="39"/>
      <c r="X326" s="11"/>
      <c r="Y326" s="11"/>
      <c r="Z326" s="274"/>
      <c r="AA326" s="274"/>
      <c r="AB326" s="274"/>
      <c r="AC326" s="52"/>
      <c r="AD326" s="22"/>
      <c r="AE326" s="39"/>
      <c r="AF326" s="274"/>
      <c r="AG326" s="274"/>
      <c r="AH326" s="171"/>
      <c r="AI326" s="4"/>
      <c r="AJ326" s="39"/>
      <c r="AK326" s="39"/>
      <c r="AL326" s="118"/>
      <c r="AM326" s="152"/>
      <c r="AN326" s="181"/>
      <c r="AO326" s="131"/>
      <c r="AP326" s="131"/>
      <c r="AQ326" s="39"/>
      <c r="AR326" s="274"/>
      <c r="AS326" s="274"/>
      <c r="AT326" s="274"/>
      <c r="AU326" s="39"/>
      <c r="AV326" s="39"/>
      <c r="AW326" s="39"/>
      <c r="AX326" s="274"/>
      <c r="AY326" s="274"/>
      <c r="AZ326" s="274"/>
      <c r="BA326" s="39"/>
      <c r="BB326" s="62"/>
      <c r="BC326" s="39"/>
      <c r="BD326" s="274"/>
      <c r="BE326" s="274"/>
      <c r="BF326" s="274"/>
      <c r="BG326" s="39"/>
      <c r="BH326" s="39"/>
      <c r="BI326" s="39"/>
      <c r="BJ326" s="274"/>
      <c r="BK326" s="274"/>
      <c r="BL326" s="274"/>
      <c r="BM326" s="213"/>
      <c r="BN326" s="213"/>
      <c r="BO326" s="39"/>
      <c r="BP326" s="274">
        <v>154000</v>
      </c>
      <c r="BQ326" s="274">
        <f t="shared" si="109"/>
        <v>29260</v>
      </c>
      <c r="BR326" s="274">
        <f t="shared" si="110"/>
        <v>183260</v>
      </c>
      <c r="BS326" s="39"/>
      <c r="BT326" s="39"/>
      <c r="BU326" s="39"/>
      <c r="BV326" s="212"/>
      <c r="BW326" s="221"/>
      <c r="BX326" s="273"/>
      <c r="BY326" s="213"/>
      <c r="BZ326" s="213"/>
      <c r="CA326" s="213"/>
      <c r="CB326" s="274"/>
      <c r="CC326" s="274"/>
      <c r="CD326" s="274"/>
      <c r="CE326" s="39"/>
      <c r="CF326" s="39"/>
      <c r="CG326" s="39"/>
      <c r="CH326" s="274"/>
      <c r="CI326" s="274"/>
      <c r="CJ326" s="274"/>
      <c r="CK326" s="39"/>
      <c r="CL326" s="39"/>
      <c r="CM326" s="39"/>
      <c r="CN326" s="39"/>
      <c r="CO326" s="39"/>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274"/>
      <c r="DM326" s="274"/>
      <c r="DN326" s="274"/>
      <c r="DO326" s="274"/>
      <c r="DP326" s="274"/>
      <c r="DQ326" s="274"/>
      <c r="DR326" s="274"/>
      <c r="DS326" s="274"/>
      <c r="DT326" s="274"/>
      <c r="DU326" s="274"/>
      <c r="DV326" s="274"/>
      <c r="DW326" s="274"/>
      <c r="DX326" s="274"/>
      <c r="DY326" s="274"/>
      <c r="DZ326" s="274"/>
      <c r="EA326" s="274"/>
      <c r="EB326" s="274"/>
      <c r="EC326" s="274"/>
      <c r="ED326" s="39">
        <f t="shared" si="113"/>
        <v>424473</v>
      </c>
      <c r="EE326" s="30">
        <f t="shared" si="114"/>
        <v>3</v>
      </c>
      <c r="EF326" s="39">
        <f t="shared" si="115"/>
        <v>141491</v>
      </c>
    </row>
    <row r="327" spans="1:136" x14ac:dyDescent="0.25">
      <c r="A327" s="25" t="e">
        <f>#REF!</f>
        <v>#REF!</v>
      </c>
      <c r="B327" s="50" t="e">
        <f>#REF!</f>
        <v>#REF!</v>
      </c>
      <c r="C327" s="5" t="e">
        <f>#REF!</f>
        <v>#REF!</v>
      </c>
      <c r="D327" s="5" t="e">
        <f>#REF!</f>
        <v>#REF!</v>
      </c>
      <c r="E327" s="252">
        <v>1</v>
      </c>
      <c r="F327" s="249">
        <v>0</v>
      </c>
      <c r="G327" s="249">
        <v>0</v>
      </c>
      <c r="H327" s="249">
        <v>0</v>
      </c>
      <c r="I327" s="249">
        <v>0</v>
      </c>
      <c r="J327" s="249">
        <v>56673.75</v>
      </c>
      <c r="K327" s="249">
        <v>0</v>
      </c>
      <c r="L327" s="274">
        <f>J327</f>
        <v>56673.75</v>
      </c>
      <c r="M327" s="274"/>
      <c r="N327" s="255">
        <v>50000</v>
      </c>
      <c r="O327" s="135">
        <f t="shared" si="111"/>
        <v>9500</v>
      </c>
      <c r="P327" s="135">
        <f t="shared" si="112"/>
        <v>59500</v>
      </c>
      <c r="Q327" s="131"/>
      <c r="R327" s="131"/>
      <c r="S327" s="11"/>
      <c r="T327" s="274"/>
      <c r="U327" s="274"/>
      <c r="V327" s="274"/>
      <c r="W327" s="39"/>
      <c r="X327" s="11"/>
      <c r="Y327" s="11"/>
      <c r="Z327" s="274"/>
      <c r="AA327" s="274"/>
      <c r="AB327" s="274"/>
      <c r="AC327" s="54"/>
      <c r="AD327" s="23"/>
      <c r="AE327" s="39"/>
      <c r="AF327" s="274"/>
      <c r="AG327" s="274"/>
      <c r="AH327" s="172"/>
      <c r="AI327" s="24"/>
      <c r="AJ327" s="39"/>
      <c r="AK327" s="39"/>
      <c r="AL327" s="118"/>
      <c r="AM327" s="152"/>
      <c r="AN327" s="181"/>
      <c r="AO327" s="131"/>
      <c r="AP327" s="131"/>
      <c r="AQ327" s="39"/>
      <c r="AR327" s="274"/>
      <c r="AS327" s="274"/>
      <c r="AT327" s="274"/>
      <c r="AU327" s="39"/>
      <c r="AV327" s="39"/>
      <c r="AW327" s="39"/>
      <c r="AX327" s="274"/>
      <c r="AY327" s="274"/>
      <c r="AZ327" s="274"/>
      <c r="BA327" s="39"/>
      <c r="BB327" s="62"/>
      <c r="BC327" s="39"/>
      <c r="BD327" s="274"/>
      <c r="BE327" s="274"/>
      <c r="BF327" s="274"/>
      <c r="BG327" s="39"/>
      <c r="BH327" s="39"/>
      <c r="BI327" s="39"/>
      <c r="BJ327" s="274"/>
      <c r="BK327" s="274"/>
      <c r="BL327" s="274"/>
      <c r="BM327" s="213"/>
      <c r="BN327" s="213"/>
      <c r="BO327" s="39"/>
      <c r="BP327" s="274">
        <v>36800</v>
      </c>
      <c r="BQ327" s="274">
        <f t="shared" si="109"/>
        <v>6992</v>
      </c>
      <c r="BR327" s="274">
        <f t="shared" si="110"/>
        <v>43792</v>
      </c>
      <c r="BS327" s="39"/>
      <c r="BT327" s="39"/>
      <c r="BU327" s="39"/>
      <c r="BV327" s="212"/>
      <c r="BW327" s="221"/>
      <c r="BX327" s="273"/>
      <c r="BY327" s="213"/>
      <c r="BZ327" s="213"/>
      <c r="CA327" s="213"/>
      <c r="CB327" s="274"/>
      <c r="CC327" s="274"/>
      <c r="CD327" s="274"/>
      <c r="CE327" s="39"/>
      <c r="CF327" s="39"/>
      <c r="CG327" s="39"/>
      <c r="CH327" s="274"/>
      <c r="CI327" s="274"/>
      <c r="CJ327" s="274"/>
      <c r="CK327" s="39"/>
      <c r="CL327" s="39"/>
      <c r="CM327" s="39"/>
      <c r="CN327" s="39"/>
      <c r="CO327" s="39"/>
      <c r="CP327" s="11"/>
      <c r="CQ327" s="11"/>
      <c r="CR327" s="11"/>
      <c r="CS327" s="11"/>
      <c r="CT327" s="11"/>
      <c r="CU327" s="11"/>
      <c r="CV327" s="11"/>
      <c r="CW327" s="11"/>
      <c r="CX327" s="11"/>
      <c r="CY327" s="11"/>
      <c r="CZ327" s="68"/>
      <c r="DA327" s="111"/>
      <c r="DB327" s="67"/>
      <c r="DC327" s="67"/>
      <c r="DD327" s="65"/>
      <c r="DE327" s="65"/>
      <c r="DF327" s="65"/>
      <c r="DG327" s="65"/>
      <c r="DH327" s="65"/>
      <c r="DI327" s="65"/>
      <c r="DJ327" s="65"/>
      <c r="DK327" s="65"/>
      <c r="DL327" s="61"/>
      <c r="DM327" s="61"/>
      <c r="DN327" s="61"/>
      <c r="DO327" s="61"/>
      <c r="DP327" s="61"/>
      <c r="DQ327" s="61"/>
      <c r="DR327" s="61"/>
      <c r="DS327" s="61"/>
      <c r="DT327" s="61"/>
      <c r="DU327" s="61"/>
      <c r="DV327" s="61"/>
      <c r="DW327" s="61"/>
      <c r="DX327" s="61"/>
      <c r="DY327" s="61"/>
      <c r="DZ327" s="61"/>
      <c r="EA327" s="61"/>
      <c r="EB327" s="61"/>
      <c r="EC327" s="61"/>
      <c r="ED327" s="39">
        <f t="shared" si="113"/>
        <v>103292</v>
      </c>
      <c r="EE327" s="30">
        <f t="shared" si="114"/>
        <v>2</v>
      </c>
      <c r="EF327" s="39">
        <f t="shared" si="115"/>
        <v>51646</v>
      </c>
    </row>
    <row r="328" spans="1:136" x14ac:dyDescent="0.25">
      <c r="A328" s="25" t="e">
        <f>#REF!</f>
        <v>#REF!</v>
      </c>
      <c r="B328" s="50" t="e">
        <f>#REF!</f>
        <v>#REF!</v>
      </c>
      <c r="C328" s="5" t="e">
        <f>#REF!</f>
        <v>#REF!</v>
      </c>
      <c r="D328" s="5" t="e">
        <f>#REF!</f>
        <v>#REF!</v>
      </c>
      <c r="E328" s="252">
        <v>1</v>
      </c>
      <c r="F328" s="249">
        <v>0</v>
      </c>
      <c r="G328" s="249">
        <v>0</v>
      </c>
      <c r="H328" s="249">
        <v>47600</v>
      </c>
      <c r="I328" s="249">
        <v>0</v>
      </c>
      <c r="J328" s="249">
        <v>0</v>
      </c>
      <c r="K328" s="249">
        <v>0</v>
      </c>
      <c r="L328" s="274">
        <f>H328</f>
        <v>47600</v>
      </c>
      <c r="M328" s="274"/>
      <c r="N328" s="255"/>
      <c r="O328" s="135"/>
      <c r="P328" s="135"/>
      <c r="Q328" s="131"/>
      <c r="R328" s="131"/>
      <c r="S328" s="11"/>
      <c r="T328" s="274"/>
      <c r="U328" s="274"/>
      <c r="V328" s="274"/>
      <c r="W328" s="39"/>
      <c r="X328" s="11"/>
      <c r="Y328" s="11"/>
      <c r="Z328" s="274"/>
      <c r="AA328" s="274"/>
      <c r="AB328" s="274"/>
      <c r="AC328" s="51"/>
      <c r="AD328" s="22"/>
      <c r="AE328" s="39"/>
      <c r="AF328" s="274"/>
      <c r="AG328" s="274"/>
      <c r="AH328" s="170"/>
      <c r="AI328" s="4"/>
      <c r="AJ328" s="39"/>
      <c r="AK328" s="39"/>
      <c r="AL328" s="118"/>
      <c r="AM328" s="152"/>
      <c r="AN328" s="181"/>
      <c r="AO328" s="131"/>
      <c r="AP328" s="131"/>
      <c r="AQ328" s="39"/>
      <c r="AR328" s="274"/>
      <c r="AS328" s="274"/>
      <c r="AT328" s="274"/>
      <c r="AU328" s="39"/>
      <c r="AV328" s="39"/>
      <c r="AW328" s="39"/>
      <c r="AX328" s="274"/>
      <c r="AY328" s="274"/>
      <c r="AZ328" s="274"/>
      <c r="BA328" s="39"/>
      <c r="BB328" s="62"/>
      <c r="BC328" s="39"/>
      <c r="BD328" s="274"/>
      <c r="BE328" s="274"/>
      <c r="BF328" s="274"/>
      <c r="BG328" s="39"/>
      <c r="BH328" s="39"/>
      <c r="BI328" s="39"/>
      <c r="BJ328" s="274">
        <v>172400</v>
      </c>
      <c r="BK328" s="274">
        <f>+BJ328*0.19</f>
        <v>32756</v>
      </c>
      <c r="BL328" s="274">
        <f>+BJ328+BK328</f>
        <v>205156</v>
      </c>
      <c r="BM328" s="214" t="s">
        <v>445</v>
      </c>
      <c r="BN328" s="213" t="s">
        <v>338</v>
      </c>
      <c r="BO328" s="39"/>
      <c r="BP328" s="274"/>
      <c r="BQ328" s="274"/>
      <c r="BR328" s="274"/>
      <c r="BS328" s="39"/>
      <c r="BT328" s="39"/>
      <c r="BU328" s="39"/>
      <c r="BV328" s="219">
        <v>188332.5184</v>
      </c>
      <c r="BW328" s="219">
        <f>+BV328*0.19</f>
        <v>35783.178496</v>
      </c>
      <c r="BX328" s="273">
        <f>+BV328+BW328</f>
        <v>224115.69689600001</v>
      </c>
      <c r="BY328" s="214" t="s">
        <v>445</v>
      </c>
      <c r="BZ328" s="213" t="s">
        <v>338</v>
      </c>
      <c r="CA328" s="213"/>
      <c r="CB328" s="274"/>
      <c r="CC328" s="274"/>
      <c r="CD328" s="274"/>
      <c r="CE328" s="39"/>
      <c r="CF328" s="39"/>
      <c r="CG328" s="39"/>
      <c r="CH328" s="274"/>
      <c r="CI328" s="274"/>
      <c r="CJ328" s="274"/>
      <c r="CK328" s="39"/>
      <c r="CL328" s="39"/>
      <c r="CM328" s="39"/>
      <c r="CN328" s="39"/>
      <c r="CO328" s="39"/>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274"/>
      <c r="DM328" s="274"/>
      <c r="DN328" s="274"/>
      <c r="DO328" s="274"/>
      <c r="DP328" s="274"/>
      <c r="DQ328" s="274"/>
      <c r="DR328" s="274"/>
      <c r="DS328" s="274"/>
      <c r="DT328" s="274"/>
      <c r="DU328" s="274"/>
      <c r="DV328" s="274"/>
      <c r="DW328" s="274"/>
      <c r="DX328" s="274"/>
      <c r="DY328" s="274"/>
      <c r="DZ328" s="274"/>
      <c r="EA328" s="274"/>
      <c r="EB328" s="274"/>
      <c r="EC328" s="274"/>
      <c r="ED328" s="39">
        <f t="shared" si="113"/>
        <v>429271.69689600001</v>
      </c>
      <c r="EE328" s="30">
        <f t="shared" si="114"/>
        <v>2</v>
      </c>
      <c r="EF328" s="39">
        <f t="shared" si="115"/>
        <v>214635.848448</v>
      </c>
    </row>
    <row r="329" spans="1:136" x14ac:dyDescent="0.25">
      <c r="A329" s="25" t="e">
        <f>#REF!</f>
        <v>#REF!</v>
      </c>
      <c r="B329" s="50" t="e">
        <f>#REF!</f>
        <v>#REF!</v>
      </c>
      <c r="C329" s="5" t="e">
        <f>#REF!</f>
        <v>#REF!</v>
      </c>
      <c r="D329" s="5" t="e">
        <f>#REF!</f>
        <v>#REF!</v>
      </c>
      <c r="E329" s="252">
        <v>1</v>
      </c>
      <c r="F329" s="249">
        <v>0</v>
      </c>
      <c r="G329" s="249">
        <v>0</v>
      </c>
      <c r="H329" s="249">
        <v>77350</v>
      </c>
      <c r="I329" s="249">
        <v>0</v>
      </c>
      <c r="J329" s="249">
        <v>0</v>
      </c>
      <c r="K329" s="249">
        <v>0</v>
      </c>
      <c r="L329" s="274">
        <f>H329</f>
        <v>77350</v>
      </c>
      <c r="M329" s="274"/>
      <c r="N329" s="255"/>
      <c r="O329" s="135"/>
      <c r="P329" s="135"/>
      <c r="Q329" s="131"/>
      <c r="R329" s="131"/>
      <c r="S329" s="11"/>
      <c r="T329" s="274"/>
      <c r="U329" s="274"/>
      <c r="V329" s="274"/>
      <c r="W329" s="39"/>
      <c r="X329" s="11"/>
      <c r="Y329" s="11"/>
      <c r="Z329" s="274"/>
      <c r="AA329" s="274"/>
      <c r="AB329" s="274"/>
      <c r="AC329" s="5"/>
      <c r="AD329" s="22"/>
      <c r="AE329" s="39"/>
      <c r="AF329" s="274"/>
      <c r="AG329" s="274"/>
      <c r="AH329" s="169"/>
      <c r="AI329" s="4"/>
      <c r="AJ329" s="39"/>
      <c r="AK329" s="39"/>
      <c r="AL329" s="118"/>
      <c r="AM329" s="152"/>
      <c r="AN329" s="181"/>
      <c r="AO329" s="131"/>
      <c r="AP329" s="131"/>
      <c r="AQ329" s="39"/>
      <c r="AR329" s="274"/>
      <c r="AS329" s="274"/>
      <c r="AT329" s="274"/>
      <c r="AU329" s="39"/>
      <c r="AV329" s="39"/>
      <c r="AW329" s="39"/>
      <c r="AX329" s="274"/>
      <c r="AY329" s="274"/>
      <c r="AZ329" s="274"/>
      <c r="BA329" s="39"/>
      <c r="BB329" s="62"/>
      <c r="BC329" s="39"/>
      <c r="BD329" s="274"/>
      <c r="BE329" s="274"/>
      <c r="BF329" s="274"/>
      <c r="BG329" s="39"/>
      <c r="BH329" s="39"/>
      <c r="BI329" s="39"/>
      <c r="BJ329" s="274"/>
      <c r="BK329" s="274"/>
      <c r="BL329" s="274"/>
      <c r="BM329" s="213"/>
      <c r="BN329" s="213"/>
      <c r="BO329" s="39"/>
      <c r="BP329" s="274"/>
      <c r="BQ329" s="274"/>
      <c r="BR329" s="274"/>
      <c r="BS329" s="39"/>
      <c r="BT329" s="39"/>
      <c r="BU329" s="39"/>
      <c r="BV329" s="212"/>
      <c r="BW329" s="221"/>
      <c r="BX329" s="273"/>
      <c r="BY329" s="213"/>
      <c r="BZ329" s="213"/>
      <c r="CA329" s="213"/>
      <c r="CB329" s="274"/>
      <c r="CC329" s="274"/>
      <c r="CD329" s="274"/>
      <c r="CE329" s="39"/>
      <c r="CF329" s="39"/>
      <c r="CG329" s="39"/>
      <c r="CH329" s="274"/>
      <c r="CI329" s="274"/>
      <c r="CJ329" s="274"/>
      <c r="CK329" s="39"/>
      <c r="CL329" s="39"/>
      <c r="CM329" s="39"/>
      <c r="CN329" s="39"/>
      <c r="CO329" s="39"/>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274"/>
      <c r="DM329" s="274"/>
      <c r="DN329" s="274"/>
      <c r="DO329" s="274"/>
      <c r="DP329" s="274"/>
      <c r="DQ329" s="274"/>
      <c r="DR329" s="274"/>
      <c r="DS329" s="274"/>
      <c r="DT329" s="274"/>
      <c r="DU329" s="274"/>
      <c r="DV329" s="274"/>
      <c r="DW329" s="274"/>
      <c r="DX329" s="274"/>
      <c r="DY329" s="274"/>
      <c r="DZ329" s="274"/>
      <c r="EA329" s="274"/>
      <c r="EB329" s="274"/>
      <c r="EC329" s="274"/>
      <c r="ED329" s="39">
        <f t="shared" si="113"/>
        <v>0</v>
      </c>
      <c r="EE329" s="30">
        <f t="shared" si="114"/>
        <v>0</v>
      </c>
      <c r="EF329" s="39" t="str">
        <f t="shared" si="115"/>
        <v xml:space="preserve"> </v>
      </c>
    </row>
    <row r="330" spans="1:136" x14ac:dyDescent="0.25">
      <c r="A330" s="25" t="e">
        <f>#REF!</f>
        <v>#REF!</v>
      </c>
      <c r="B330" s="50" t="e">
        <f>#REF!</f>
        <v>#REF!</v>
      </c>
      <c r="C330" s="5" t="e">
        <f>#REF!</f>
        <v>#REF!</v>
      </c>
      <c r="D330" s="5" t="e">
        <f>#REF!</f>
        <v>#REF!</v>
      </c>
      <c r="E330" s="252">
        <v>1</v>
      </c>
      <c r="F330" s="249">
        <v>0</v>
      </c>
      <c r="G330" s="249">
        <v>0</v>
      </c>
      <c r="H330" s="249">
        <v>238000</v>
      </c>
      <c r="I330" s="249">
        <v>0</v>
      </c>
      <c r="J330" s="249">
        <v>0</v>
      </c>
      <c r="K330" s="249">
        <v>0</v>
      </c>
      <c r="L330" s="274">
        <f>H330</f>
        <v>238000</v>
      </c>
      <c r="M330" s="274"/>
      <c r="N330" s="255"/>
      <c r="O330" s="135"/>
      <c r="P330" s="135"/>
      <c r="Q330" s="131"/>
      <c r="R330" s="131"/>
      <c r="S330" s="11"/>
      <c r="T330" s="274"/>
      <c r="U330" s="274"/>
      <c r="V330" s="274"/>
      <c r="W330" s="39"/>
      <c r="X330" s="11"/>
      <c r="Y330" s="11"/>
      <c r="Z330" s="274"/>
      <c r="AA330" s="274"/>
      <c r="AB330" s="274"/>
      <c r="AC330" s="5"/>
      <c r="AD330" s="22"/>
      <c r="AE330" s="39"/>
      <c r="AF330" s="274"/>
      <c r="AG330" s="274"/>
      <c r="AH330" s="169"/>
      <c r="AI330" s="4"/>
      <c r="AJ330" s="39"/>
      <c r="AK330" s="39"/>
      <c r="AL330" s="118"/>
      <c r="AM330" s="152"/>
      <c r="AN330" s="181"/>
      <c r="AO330" s="131"/>
      <c r="AP330" s="131"/>
      <c r="AQ330" s="39"/>
      <c r="AR330" s="274"/>
      <c r="AS330" s="274"/>
      <c r="AT330" s="274"/>
      <c r="AU330" s="39"/>
      <c r="AV330" s="39"/>
      <c r="AW330" s="39"/>
      <c r="AX330" s="274"/>
      <c r="AY330" s="274"/>
      <c r="AZ330" s="274"/>
      <c r="BA330" s="39"/>
      <c r="BB330" s="62"/>
      <c r="BC330" s="39"/>
      <c r="BD330" s="274"/>
      <c r="BE330" s="274"/>
      <c r="BF330" s="274"/>
      <c r="BG330" s="39"/>
      <c r="BH330" s="39"/>
      <c r="BI330" s="39"/>
      <c r="BJ330" s="274">
        <v>95500</v>
      </c>
      <c r="BK330" s="274">
        <f>+BJ330*0.19</f>
        <v>18145</v>
      </c>
      <c r="BL330" s="274">
        <f>+BJ330+BK330</f>
        <v>113645</v>
      </c>
      <c r="BM330" s="214" t="s">
        <v>445</v>
      </c>
      <c r="BN330" s="213" t="s">
        <v>2925</v>
      </c>
      <c r="BO330" s="39"/>
      <c r="BP330" s="274">
        <v>185200</v>
      </c>
      <c r="BQ330" s="274">
        <f>+BP330*19%</f>
        <v>35188</v>
      </c>
      <c r="BR330" s="274">
        <f>+BQ330+BP330</f>
        <v>220388</v>
      </c>
      <c r="BS330" s="39"/>
      <c r="BT330" s="39"/>
      <c r="BU330" s="39"/>
      <c r="BV330" s="219">
        <v>109362.20700000002</v>
      </c>
      <c r="BW330" s="219">
        <f>+BV330*0.19</f>
        <v>20778.819330000006</v>
      </c>
      <c r="BX330" s="273">
        <f>+BV330+BW330</f>
        <v>130141.02633000002</v>
      </c>
      <c r="BY330" s="214" t="s">
        <v>445</v>
      </c>
      <c r="BZ330" s="213" t="s">
        <v>2925</v>
      </c>
      <c r="CA330" s="213"/>
      <c r="CB330" s="274"/>
      <c r="CC330" s="274"/>
      <c r="CD330" s="274"/>
      <c r="CE330" s="39"/>
      <c r="CF330" s="39"/>
      <c r="CG330" s="39"/>
      <c r="CH330" s="274"/>
      <c r="CI330" s="274"/>
      <c r="CJ330" s="274"/>
      <c r="CK330" s="39"/>
      <c r="CL330" s="39"/>
      <c r="CM330" s="39"/>
      <c r="CN330" s="39"/>
      <c r="CO330" s="39"/>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274"/>
      <c r="DM330" s="274"/>
      <c r="DN330" s="274"/>
      <c r="DO330" s="274"/>
      <c r="DP330" s="274"/>
      <c r="DQ330" s="274"/>
      <c r="DR330" s="274"/>
      <c r="DS330" s="274"/>
      <c r="DT330" s="274"/>
      <c r="DU330" s="274"/>
      <c r="DV330" s="274"/>
      <c r="DW330" s="274"/>
      <c r="DX330" s="274"/>
      <c r="DY330" s="274"/>
      <c r="DZ330" s="274"/>
      <c r="EA330" s="274"/>
      <c r="EB330" s="274"/>
      <c r="EC330" s="274"/>
      <c r="ED330" s="39">
        <f t="shared" si="113"/>
        <v>464174.02633000002</v>
      </c>
      <c r="EE330" s="30">
        <f t="shared" si="114"/>
        <v>3</v>
      </c>
      <c r="EF330" s="39">
        <f t="shared" si="115"/>
        <v>154724.67544333334</v>
      </c>
    </row>
    <row r="331" spans="1:136" x14ac:dyDescent="0.25">
      <c r="A331" s="25" t="e">
        <f>#REF!</f>
        <v>#REF!</v>
      </c>
      <c r="B331" s="50" t="e">
        <f>#REF!</f>
        <v>#REF!</v>
      </c>
      <c r="C331" s="5" t="e">
        <f>#REF!</f>
        <v>#REF!</v>
      </c>
      <c r="D331" s="5" t="e">
        <f>#REF!</f>
        <v>#REF!</v>
      </c>
      <c r="E331" s="252">
        <v>1</v>
      </c>
      <c r="F331" s="249">
        <v>0</v>
      </c>
      <c r="G331" s="249">
        <v>0</v>
      </c>
      <c r="H331" s="249">
        <v>1117500</v>
      </c>
      <c r="I331" s="249">
        <v>0</v>
      </c>
      <c r="J331" s="249">
        <v>0</v>
      </c>
      <c r="K331" s="249">
        <v>0</v>
      </c>
      <c r="L331" s="274">
        <f>H331</f>
        <v>1117500</v>
      </c>
      <c r="M331" s="274"/>
      <c r="N331" s="255"/>
      <c r="O331" s="135"/>
      <c r="P331" s="135"/>
      <c r="Q331" s="131"/>
      <c r="R331" s="131"/>
      <c r="S331" s="11"/>
      <c r="T331" s="274"/>
      <c r="U331" s="274"/>
      <c r="V331" s="274"/>
      <c r="W331" s="39"/>
      <c r="X331" s="11"/>
      <c r="Y331" s="11"/>
      <c r="Z331" s="274"/>
      <c r="AA331" s="274"/>
      <c r="AB331" s="274"/>
      <c r="AC331" s="5"/>
      <c r="AD331" s="22"/>
      <c r="AE331" s="39"/>
      <c r="AF331" s="274"/>
      <c r="AG331" s="274"/>
      <c r="AH331" s="169"/>
      <c r="AI331" s="4"/>
      <c r="AJ331" s="39"/>
      <c r="AK331" s="39"/>
      <c r="AL331" s="118"/>
      <c r="AM331" s="152"/>
      <c r="AN331" s="181"/>
      <c r="AO331" s="131"/>
      <c r="AP331" s="131"/>
      <c r="AQ331" s="39"/>
      <c r="AR331" s="274"/>
      <c r="AS331" s="274"/>
      <c r="AT331" s="274"/>
      <c r="AU331" s="39"/>
      <c r="AV331" s="39"/>
      <c r="AW331" s="39"/>
      <c r="AX331" s="274"/>
      <c r="AY331" s="274"/>
      <c r="AZ331" s="274"/>
      <c r="BA331" s="39"/>
      <c r="BB331" s="62"/>
      <c r="BC331" s="39"/>
      <c r="BD331" s="274"/>
      <c r="BE331" s="274"/>
      <c r="BF331" s="274"/>
      <c r="BG331" s="39"/>
      <c r="BH331" s="39"/>
      <c r="BI331" s="39"/>
      <c r="BJ331" s="274"/>
      <c r="BK331" s="274"/>
      <c r="BL331" s="274"/>
      <c r="BM331" s="213"/>
      <c r="BN331" s="213"/>
      <c r="BO331" s="39"/>
      <c r="BP331" s="274"/>
      <c r="BQ331" s="274"/>
      <c r="BR331" s="274"/>
      <c r="BS331" s="39"/>
      <c r="BT331" s="39"/>
      <c r="BU331" s="39"/>
      <c r="BV331" s="212"/>
      <c r="BW331" s="221"/>
      <c r="BX331" s="273"/>
      <c r="BY331" s="213"/>
      <c r="BZ331" s="213"/>
      <c r="CA331" s="213"/>
      <c r="CB331" s="274"/>
      <c r="CC331" s="274"/>
      <c r="CD331" s="274"/>
      <c r="CE331" s="39"/>
      <c r="CF331" s="39"/>
      <c r="CG331" s="39"/>
      <c r="CH331" s="274"/>
      <c r="CI331" s="274"/>
      <c r="CJ331" s="274"/>
      <c r="CK331" s="39"/>
      <c r="CL331" s="39"/>
      <c r="CM331" s="39"/>
      <c r="CN331" s="39"/>
      <c r="CO331" s="39"/>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274"/>
      <c r="DM331" s="274"/>
      <c r="DN331" s="274"/>
      <c r="DO331" s="274"/>
      <c r="DP331" s="274"/>
      <c r="DQ331" s="274"/>
      <c r="DR331" s="274"/>
      <c r="DS331" s="274"/>
      <c r="DT331" s="274"/>
      <c r="DU331" s="274"/>
      <c r="DV331" s="274"/>
      <c r="DW331" s="274"/>
      <c r="DX331" s="274"/>
      <c r="DY331" s="274"/>
      <c r="DZ331" s="274"/>
      <c r="EA331" s="274"/>
      <c r="EB331" s="274"/>
      <c r="EC331" s="274"/>
      <c r="ED331" s="39">
        <f t="shared" si="113"/>
        <v>0</v>
      </c>
      <c r="EE331" s="30">
        <f t="shared" si="114"/>
        <v>0</v>
      </c>
      <c r="EF331" s="39" t="str">
        <f t="shared" si="115"/>
        <v xml:space="preserve"> </v>
      </c>
    </row>
    <row r="332" spans="1:136" x14ac:dyDescent="0.25">
      <c r="A332" s="25" t="e">
        <f>#REF!</f>
        <v>#REF!</v>
      </c>
      <c r="B332" s="50" t="e">
        <f>#REF!</f>
        <v>#REF!</v>
      </c>
      <c r="C332" s="5" t="e">
        <f>#REF!</f>
        <v>#REF!</v>
      </c>
      <c r="D332" s="5" t="e">
        <f>#REF!</f>
        <v>#REF!</v>
      </c>
      <c r="E332" s="252">
        <v>1</v>
      </c>
      <c r="F332" s="249">
        <v>31487.796666666665</v>
      </c>
      <c r="G332" s="249">
        <v>30345</v>
      </c>
      <c r="H332" s="249">
        <v>24981.271309126594</v>
      </c>
      <c r="I332" s="249">
        <v>0</v>
      </c>
      <c r="J332" s="249">
        <v>37171.633333333331</v>
      </c>
      <c r="K332" s="249">
        <v>37128</v>
      </c>
      <c r="L332" s="274">
        <f>AVERAGE(F332,H332,J332)</f>
        <v>31213.567103042198</v>
      </c>
      <c r="M332" s="274">
        <f>AVERAGE(G332,K332)*E1</f>
        <v>34748.595000000001</v>
      </c>
      <c r="N332" s="255">
        <v>40000</v>
      </c>
      <c r="O332" s="135">
        <f t="shared" ref="O332:O341" si="116">+N332*0.19</f>
        <v>7600</v>
      </c>
      <c r="P332" s="135">
        <f t="shared" ref="P332:P341" si="117">+N332+O332</f>
        <v>47600</v>
      </c>
      <c r="Q332" s="131"/>
      <c r="R332" s="131"/>
      <c r="S332" s="11"/>
      <c r="T332" s="274"/>
      <c r="U332" s="274"/>
      <c r="V332" s="274"/>
      <c r="W332" s="39"/>
      <c r="X332" s="11"/>
      <c r="Y332" s="11"/>
      <c r="Z332" s="274"/>
      <c r="AA332" s="274"/>
      <c r="AB332" s="274"/>
      <c r="AC332" s="5"/>
      <c r="AD332" s="22"/>
      <c r="AE332" s="39"/>
      <c r="AF332" s="274"/>
      <c r="AG332" s="274"/>
      <c r="AH332" s="169"/>
      <c r="AI332" s="4"/>
      <c r="AJ332" s="39"/>
      <c r="AK332" s="39"/>
      <c r="AL332" s="118"/>
      <c r="AM332" s="152"/>
      <c r="AN332" s="181"/>
      <c r="AO332" s="131"/>
      <c r="AP332" s="131"/>
      <c r="AQ332" s="39"/>
      <c r="AR332" s="274"/>
      <c r="AS332" s="274"/>
      <c r="AT332" s="274"/>
      <c r="AU332" s="39"/>
      <c r="AV332" s="39"/>
      <c r="AW332" s="39"/>
      <c r="AX332" s="274"/>
      <c r="AY332" s="274"/>
      <c r="AZ332" s="274"/>
      <c r="BA332" s="39"/>
      <c r="BB332" s="62"/>
      <c r="BC332" s="39"/>
      <c r="BD332" s="274"/>
      <c r="BE332" s="274"/>
      <c r="BF332" s="274"/>
      <c r="BG332" s="39"/>
      <c r="BH332" s="39"/>
      <c r="BI332" s="39"/>
      <c r="BJ332" s="275">
        <v>100000</v>
      </c>
      <c r="BK332" s="274">
        <f>+BJ332*0</f>
        <v>0</v>
      </c>
      <c r="BL332" s="274">
        <f>+BJ332+BK332</f>
        <v>100000</v>
      </c>
      <c r="BM332" s="213" t="s">
        <v>362</v>
      </c>
      <c r="BN332" s="213" t="s">
        <v>4844</v>
      </c>
      <c r="BO332" s="39"/>
      <c r="BP332" s="274"/>
      <c r="BQ332" s="274"/>
      <c r="BR332" s="274"/>
      <c r="BS332" s="39"/>
      <c r="BT332" s="39"/>
      <c r="BU332" s="39"/>
      <c r="BV332" s="219">
        <v>168534.57920000001</v>
      </c>
      <c r="BW332" s="222">
        <f>+BV332*0</f>
        <v>0</v>
      </c>
      <c r="BX332" s="273">
        <f>+BV332+BW332</f>
        <v>168534.57920000001</v>
      </c>
      <c r="BY332" s="213" t="s">
        <v>362</v>
      </c>
      <c r="BZ332" s="213" t="s">
        <v>4844</v>
      </c>
      <c r="CA332" s="213"/>
      <c r="CB332" s="274"/>
      <c r="CC332" s="274"/>
      <c r="CD332" s="274"/>
      <c r="CE332" s="39"/>
      <c r="CF332" s="39"/>
      <c r="CG332" s="39"/>
      <c r="CH332" s="274"/>
      <c r="CI332" s="274"/>
      <c r="CJ332" s="274"/>
      <c r="CK332" s="39"/>
      <c r="CL332" s="39"/>
      <c r="CM332" s="39"/>
      <c r="CN332" s="39"/>
      <c r="CO332" s="39"/>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274"/>
      <c r="DM332" s="274"/>
      <c r="DN332" s="274"/>
      <c r="DO332" s="274"/>
      <c r="DP332" s="274"/>
      <c r="DQ332" s="274"/>
      <c r="DR332" s="274"/>
      <c r="DS332" s="274"/>
      <c r="DT332" s="274"/>
      <c r="DU332" s="274"/>
      <c r="DV332" s="274"/>
      <c r="DW332" s="274"/>
      <c r="DX332" s="274"/>
      <c r="DY332" s="274"/>
      <c r="DZ332" s="274"/>
      <c r="EA332" s="274"/>
      <c r="EB332" s="274"/>
      <c r="EC332" s="274"/>
      <c r="ED332" s="39">
        <f t="shared" si="113"/>
        <v>350883.17420000001</v>
      </c>
      <c r="EE332" s="30">
        <f t="shared" si="114"/>
        <v>4</v>
      </c>
      <c r="EF332" s="39">
        <f t="shared" si="115"/>
        <v>87720.793550000002</v>
      </c>
    </row>
    <row r="333" spans="1:136" x14ac:dyDescent="0.25">
      <c r="A333" s="25" t="e">
        <f>#REF!</f>
        <v>#REF!</v>
      </c>
      <c r="B333" s="50" t="e">
        <f>#REF!</f>
        <v>#REF!</v>
      </c>
      <c r="C333" s="5" t="e">
        <f>#REF!</f>
        <v>#REF!</v>
      </c>
      <c r="D333" s="5" t="e">
        <f>#REF!</f>
        <v>#REF!</v>
      </c>
      <c r="E333" s="252">
        <v>1</v>
      </c>
      <c r="F333" s="249">
        <v>31487.796666666665</v>
      </c>
      <c r="G333" s="249">
        <v>30345</v>
      </c>
      <c r="H333" s="249">
        <v>24981.271309126594</v>
      </c>
      <c r="I333" s="249">
        <v>0</v>
      </c>
      <c r="J333" s="249">
        <v>37171.633333333331</v>
      </c>
      <c r="K333" s="249">
        <v>37128</v>
      </c>
      <c r="L333" s="274">
        <f>AVERAGE(F333,H333,J333)</f>
        <v>31213.567103042198</v>
      </c>
      <c r="M333" s="274">
        <f>AVERAGE(G333,K333)*E1</f>
        <v>34748.595000000001</v>
      </c>
      <c r="N333" s="255">
        <v>40000</v>
      </c>
      <c r="O333" s="135">
        <f t="shared" si="116"/>
        <v>7600</v>
      </c>
      <c r="P333" s="135">
        <f t="shared" si="117"/>
        <v>47600</v>
      </c>
      <c r="Q333" s="131"/>
      <c r="R333" s="131"/>
      <c r="S333" s="11"/>
      <c r="T333" s="274"/>
      <c r="U333" s="274"/>
      <c r="V333" s="274"/>
      <c r="W333" s="39"/>
      <c r="X333" s="11"/>
      <c r="Y333" s="11"/>
      <c r="Z333" s="274"/>
      <c r="AA333" s="274"/>
      <c r="AB333" s="274"/>
      <c r="AC333" s="5"/>
      <c r="AD333" s="22"/>
      <c r="AE333" s="39"/>
      <c r="AF333" s="274"/>
      <c r="AG333" s="274"/>
      <c r="AH333" s="169"/>
      <c r="AI333" s="4"/>
      <c r="AJ333" s="39"/>
      <c r="AK333" s="39"/>
      <c r="AL333" s="118"/>
      <c r="AM333" s="152"/>
      <c r="AN333" s="181"/>
      <c r="AO333" s="131"/>
      <c r="AP333" s="131"/>
      <c r="AQ333" s="39"/>
      <c r="AR333" s="274"/>
      <c r="AS333" s="274"/>
      <c r="AT333" s="274"/>
      <c r="AU333" s="39"/>
      <c r="AV333" s="39"/>
      <c r="AW333" s="39"/>
      <c r="AX333" s="274"/>
      <c r="AY333" s="274"/>
      <c r="AZ333" s="274"/>
      <c r="BA333" s="39"/>
      <c r="BB333" s="62"/>
      <c r="BC333" s="39"/>
      <c r="BD333" s="274"/>
      <c r="BE333" s="274"/>
      <c r="BF333" s="274"/>
      <c r="BG333" s="39"/>
      <c r="BH333" s="39"/>
      <c r="BI333" s="39"/>
      <c r="BJ333" s="275">
        <v>100000</v>
      </c>
      <c r="BK333" s="274">
        <f>+BJ333*0</f>
        <v>0</v>
      </c>
      <c r="BL333" s="274">
        <f>+BJ333+BK333</f>
        <v>100000</v>
      </c>
      <c r="BM333" s="213" t="s">
        <v>362</v>
      </c>
      <c r="BN333" s="213" t="s">
        <v>4844</v>
      </c>
      <c r="BO333" s="39"/>
      <c r="BP333" s="274"/>
      <c r="BQ333" s="274"/>
      <c r="BR333" s="274"/>
      <c r="BS333" s="39"/>
      <c r="BT333" s="39"/>
      <c r="BU333" s="39"/>
      <c r="BV333" s="219">
        <v>171871.89760000003</v>
      </c>
      <c r="BW333" s="222">
        <f>+BV333*0</f>
        <v>0</v>
      </c>
      <c r="BX333" s="273">
        <f>+BV333+BW333</f>
        <v>171871.89760000003</v>
      </c>
      <c r="BY333" s="213" t="s">
        <v>362</v>
      </c>
      <c r="BZ333" s="213" t="s">
        <v>4844</v>
      </c>
      <c r="CA333" s="213"/>
      <c r="CB333" s="274"/>
      <c r="CC333" s="274"/>
      <c r="CD333" s="274"/>
      <c r="CE333" s="39"/>
      <c r="CF333" s="39"/>
      <c r="CG333" s="39"/>
      <c r="CH333" s="274"/>
      <c r="CI333" s="274"/>
      <c r="CJ333" s="274"/>
      <c r="CK333" s="39"/>
      <c r="CL333" s="39"/>
      <c r="CM333" s="39"/>
      <c r="CN333" s="39"/>
      <c r="CO333" s="39"/>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274"/>
      <c r="DM333" s="274"/>
      <c r="DN333" s="274"/>
      <c r="DO333" s="274"/>
      <c r="DP333" s="274"/>
      <c r="DQ333" s="274"/>
      <c r="DR333" s="274"/>
      <c r="DS333" s="274"/>
      <c r="DT333" s="274"/>
      <c r="DU333" s="274"/>
      <c r="DV333" s="274"/>
      <c r="DW333" s="274"/>
      <c r="DX333" s="274"/>
      <c r="DY333" s="274"/>
      <c r="DZ333" s="274"/>
      <c r="EA333" s="274"/>
      <c r="EB333" s="274"/>
      <c r="EC333" s="274"/>
      <c r="ED333" s="39">
        <f t="shared" si="113"/>
        <v>354220.4926</v>
      </c>
      <c r="EE333" s="30">
        <f t="shared" si="114"/>
        <v>4</v>
      </c>
      <c r="EF333" s="39">
        <f t="shared" si="115"/>
        <v>88555.123149999999</v>
      </c>
    </row>
    <row r="334" spans="1:136" x14ac:dyDescent="0.25">
      <c r="A334" s="25" t="e">
        <f>#REF!</f>
        <v>#REF!</v>
      </c>
      <c r="B334" s="50" t="e">
        <f>#REF!</f>
        <v>#REF!</v>
      </c>
      <c r="C334" s="5" t="e">
        <f>#REF!</f>
        <v>#REF!</v>
      </c>
      <c r="D334" s="5" t="e">
        <f>#REF!</f>
        <v>#REF!</v>
      </c>
      <c r="E334" s="252">
        <v>1</v>
      </c>
      <c r="F334" s="249">
        <v>47191.433333333334</v>
      </c>
      <c r="G334" s="249">
        <v>45696</v>
      </c>
      <c r="H334" s="249">
        <v>41296.966666666667</v>
      </c>
      <c r="I334" s="249">
        <v>41174</v>
      </c>
      <c r="J334" s="249">
        <v>51693.599999999999</v>
      </c>
      <c r="K334" s="249">
        <v>0</v>
      </c>
      <c r="L334" s="274">
        <f>AVERAGE(F334,H334,J334)</f>
        <v>46727.333333333336</v>
      </c>
      <c r="M334" s="274">
        <f>AVERAGE(G334,I334)*E1</f>
        <v>44738.05</v>
      </c>
      <c r="N334" s="255">
        <v>75000</v>
      </c>
      <c r="O334" s="135">
        <f t="shared" si="116"/>
        <v>14250</v>
      </c>
      <c r="P334" s="135">
        <f t="shared" si="117"/>
        <v>89250</v>
      </c>
      <c r="Q334" s="11"/>
      <c r="R334" s="11"/>
      <c r="S334" s="11"/>
      <c r="T334" s="274"/>
      <c r="U334" s="274"/>
      <c r="V334" s="274"/>
      <c r="W334" s="11"/>
      <c r="X334" s="11"/>
      <c r="Y334" s="11"/>
      <c r="Z334" s="274"/>
      <c r="AA334" s="274"/>
      <c r="AB334" s="274"/>
      <c r="AC334" s="11"/>
      <c r="AD334" s="11"/>
      <c r="AE334" s="11"/>
      <c r="AF334" s="274"/>
      <c r="AG334" s="274"/>
      <c r="AH334" s="274"/>
      <c r="AI334" s="11"/>
      <c r="AJ334" s="11"/>
      <c r="AK334" s="11"/>
      <c r="AL334" s="118"/>
      <c r="AM334" s="118"/>
      <c r="AN334" s="118"/>
      <c r="AO334" s="52"/>
      <c r="AP334" s="52"/>
      <c r="AQ334" s="11"/>
      <c r="AR334" s="274"/>
      <c r="AS334" s="274"/>
      <c r="AT334" s="274"/>
      <c r="AU334" s="11"/>
      <c r="AV334" s="11"/>
      <c r="AW334" s="11"/>
      <c r="AX334" s="274"/>
      <c r="AY334" s="274"/>
      <c r="AZ334" s="274"/>
      <c r="BA334" s="11"/>
      <c r="BB334" s="11"/>
      <c r="BC334" s="11"/>
      <c r="BD334" s="274"/>
      <c r="BE334" s="274"/>
      <c r="BF334" s="274"/>
      <c r="BG334" s="11"/>
      <c r="BH334" s="11"/>
      <c r="BI334" s="11"/>
      <c r="BJ334" s="275">
        <v>80000</v>
      </c>
      <c r="BK334" s="274">
        <f>+BJ334*0</f>
        <v>0</v>
      </c>
      <c r="BL334" s="274">
        <f>+BJ334+BK334</f>
        <v>80000</v>
      </c>
      <c r="BM334" s="213" t="s">
        <v>362</v>
      </c>
      <c r="BN334" s="213" t="s">
        <v>164</v>
      </c>
      <c r="BO334" s="11"/>
      <c r="BP334" s="274"/>
      <c r="BQ334" s="274"/>
      <c r="BR334" s="274"/>
      <c r="BS334" s="11"/>
      <c r="BT334" s="11"/>
      <c r="BU334" s="11"/>
      <c r="BV334" s="219"/>
      <c r="BW334" s="222"/>
      <c r="BX334" s="273"/>
      <c r="BY334" s="213"/>
      <c r="BZ334" s="213"/>
      <c r="CA334" s="213"/>
      <c r="CB334" s="274"/>
      <c r="CC334" s="274"/>
      <c r="CD334" s="274"/>
      <c r="CE334" s="11"/>
      <c r="CF334" s="11"/>
      <c r="CG334" s="11"/>
      <c r="CH334" s="274"/>
      <c r="CI334" s="274"/>
      <c r="CJ334" s="274"/>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274"/>
      <c r="DM334" s="274"/>
      <c r="DN334" s="274"/>
      <c r="DO334" s="274"/>
      <c r="DP334" s="274"/>
      <c r="DQ334" s="274"/>
      <c r="DR334" s="274"/>
      <c r="DS334" s="274"/>
      <c r="DT334" s="274"/>
      <c r="DU334" s="274"/>
      <c r="DV334" s="274"/>
      <c r="DW334" s="274"/>
      <c r="DX334" s="274"/>
      <c r="DY334" s="274"/>
      <c r="DZ334" s="274"/>
      <c r="EA334" s="274"/>
      <c r="EB334" s="274"/>
      <c r="EC334" s="274"/>
      <c r="ED334" s="39">
        <f t="shared" si="113"/>
        <v>213988.05</v>
      </c>
      <c r="EE334" s="30">
        <f t="shared" si="114"/>
        <v>3</v>
      </c>
      <c r="EF334" s="39">
        <f t="shared" si="115"/>
        <v>71329.349999999991</v>
      </c>
    </row>
    <row r="335" spans="1:136" x14ac:dyDescent="0.25">
      <c r="A335" s="25" t="e">
        <f>#REF!</f>
        <v>#REF!</v>
      </c>
      <c r="B335" s="50" t="e">
        <f>#REF!</f>
        <v>#REF!</v>
      </c>
      <c r="C335" s="5" t="e">
        <f>#REF!</f>
        <v>#REF!</v>
      </c>
      <c r="D335" s="5" t="e">
        <f>#REF!</f>
        <v>#REF!</v>
      </c>
      <c r="E335" s="252">
        <v>1</v>
      </c>
      <c r="F335" s="249">
        <v>43415.166666666672</v>
      </c>
      <c r="G335" s="249">
        <v>42007</v>
      </c>
      <c r="H335" s="249">
        <v>41296.966666666667</v>
      </c>
      <c r="I335" s="249">
        <v>41174</v>
      </c>
      <c r="J335" s="249">
        <v>50402.450000000004</v>
      </c>
      <c r="K335" s="249">
        <v>0</v>
      </c>
      <c r="L335" s="274">
        <f>AVERAGE(F335,H335,J335)</f>
        <v>45038.194444444445</v>
      </c>
      <c r="M335" s="274">
        <f>AVERAGE(G335,I335)*E1</f>
        <v>42838.215000000004</v>
      </c>
      <c r="N335" s="255">
        <v>75000</v>
      </c>
      <c r="O335" s="135">
        <f t="shared" si="116"/>
        <v>14250</v>
      </c>
      <c r="P335" s="135">
        <f t="shared" si="117"/>
        <v>89250</v>
      </c>
      <c r="Q335" s="11"/>
      <c r="R335" s="11"/>
      <c r="S335" s="11"/>
      <c r="T335" s="274"/>
      <c r="U335" s="274"/>
      <c r="V335" s="274"/>
      <c r="W335" s="11"/>
      <c r="X335" s="11"/>
      <c r="Y335" s="11"/>
      <c r="Z335" s="274"/>
      <c r="AA335" s="274"/>
      <c r="AB335" s="274"/>
      <c r="AC335" s="11"/>
      <c r="AD335" s="11"/>
      <c r="AE335" s="11"/>
      <c r="AF335" s="274"/>
      <c r="AG335" s="274"/>
      <c r="AH335" s="274"/>
      <c r="AI335" s="11"/>
      <c r="AJ335" s="11"/>
      <c r="AK335" s="11"/>
      <c r="AL335" s="118"/>
      <c r="AM335" s="118"/>
      <c r="AN335" s="118"/>
      <c r="AO335" s="52"/>
      <c r="AP335" s="52"/>
      <c r="AQ335" s="11"/>
      <c r="AR335" s="274"/>
      <c r="AS335" s="274"/>
      <c r="AT335" s="274"/>
      <c r="AU335" s="11"/>
      <c r="AV335" s="11"/>
      <c r="AW335" s="11"/>
      <c r="AX335" s="274"/>
      <c r="AY335" s="274"/>
      <c r="AZ335" s="274"/>
      <c r="BA335" s="11"/>
      <c r="BB335" s="11"/>
      <c r="BC335" s="11"/>
      <c r="BD335" s="274"/>
      <c r="BE335" s="274"/>
      <c r="BF335" s="274"/>
      <c r="BG335" s="11"/>
      <c r="BH335" s="11"/>
      <c r="BI335" s="11"/>
      <c r="BJ335" s="275">
        <v>80000</v>
      </c>
      <c r="BK335" s="274">
        <f>+BJ335*0</f>
        <v>0</v>
      </c>
      <c r="BL335" s="274">
        <f>+BJ335+BK335</f>
        <v>80000</v>
      </c>
      <c r="BM335" s="213" t="s">
        <v>362</v>
      </c>
      <c r="BN335" s="213" t="s">
        <v>164</v>
      </c>
      <c r="BO335" s="11"/>
      <c r="BP335" s="274"/>
      <c r="BQ335" s="274"/>
      <c r="BR335" s="274"/>
      <c r="BS335" s="11"/>
      <c r="BT335" s="11"/>
      <c r="BU335" s="11"/>
      <c r="BV335" s="219"/>
      <c r="BW335" s="222"/>
      <c r="BX335" s="273"/>
      <c r="BY335" s="213"/>
      <c r="BZ335" s="213"/>
      <c r="CA335" s="213"/>
      <c r="CB335" s="274"/>
      <c r="CC335" s="274"/>
      <c r="CD335" s="274"/>
      <c r="CE335" s="11"/>
      <c r="CF335" s="11"/>
      <c r="CG335" s="11"/>
      <c r="CH335" s="274"/>
      <c r="CI335" s="274"/>
      <c r="CJ335" s="274"/>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274"/>
      <c r="DM335" s="274"/>
      <c r="DN335" s="274"/>
      <c r="DO335" s="274"/>
      <c r="DP335" s="274"/>
      <c r="DQ335" s="274"/>
      <c r="DR335" s="274"/>
      <c r="DS335" s="274"/>
      <c r="DT335" s="274"/>
      <c r="DU335" s="274"/>
      <c r="DV335" s="274"/>
      <c r="DW335" s="274"/>
      <c r="DX335" s="274"/>
      <c r="DY335" s="274"/>
      <c r="DZ335" s="274"/>
      <c r="EA335" s="274"/>
      <c r="EB335" s="274"/>
      <c r="EC335" s="274"/>
      <c r="ED335" s="39">
        <f t="shared" si="113"/>
        <v>212088.215</v>
      </c>
      <c r="EE335" s="30">
        <f t="shared" si="114"/>
        <v>3</v>
      </c>
      <c r="EF335" s="39">
        <f t="shared" si="115"/>
        <v>70696.07166666667</v>
      </c>
    </row>
    <row r="336" spans="1:136" x14ac:dyDescent="0.25">
      <c r="A336" s="25" t="e">
        <f>#REF!</f>
        <v>#REF!</v>
      </c>
      <c r="B336" s="50" t="e">
        <f>#REF!</f>
        <v>#REF!</v>
      </c>
      <c r="C336" s="5" t="e">
        <f>#REF!</f>
        <v>#REF!</v>
      </c>
      <c r="D336" s="5" t="e">
        <f>#REF!</f>
        <v>#REF!</v>
      </c>
      <c r="E336" s="252">
        <v>1</v>
      </c>
      <c r="F336" s="249">
        <v>43415.166666666672</v>
      </c>
      <c r="G336" s="249">
        <v>42007</v>
      </c>
      <c r="H336" s="249">
        <v>41296.966666666667</v>
      </c>
      <c r="I336" s="249">
        <v>41174</v>
      </c>
      <c r="J336" s="249">
        <v>50402.450000000004</v>
      </c>
      <c r="K336" s="249">
        <v>0</v>
      </c>
      <c r="L336" s="274">
        <f>AVERAGE(F336,H336,J336)</f>
        <v>45038.194444444445</v>
      </c>
      <c r="M336" s="274">
        <f>AVERAGE(G336,I336)*E1</f>
        <v>42838.215000000004</v>
      </c>
      <c r="N336" s="255">
        <v>75000</v>
      </c>
      <c r="O336" s="135">
        <f t="shared" si="116"/>
        <v>14250</v>
      </c>
      <c r="P336" s="135">
        <f t="shared" si="117"/>
        <v>89250</v>
      </c>
      <c r="Q336" s="11"/>
      <c r="R336" s="11"/>
      <c r="S336" s="11"/>
      <c r="T336" s="274"/>
      <c r="U336" s="274"/>
      <c r="V336" s="274"/>
      <c r="W336" s="11"/>
      <c r="X336" s="11"/>
      <c r="Y336" s="11"/>
      <c r="Z336" s="274"/>
      <c r="AA336" s="274"/>
      <c r="AB336" s="274"/>
      <c r="AC336" s="11"/>
      <c r="AD336" s="11"/>
      <c r="AE336" s="11"/>
      <c r="AF336" s="274"/>
      <c r="AG336" s="274"/>
      <c r="AH336" s="274"/>
      <c r="AI336" s="11"/>
      <c r="AJ336" s="11"/>
      <c r="AK336" s="11"/>
      <c r="AL336" s="118"/>
      <c r="AM336" s="118"/>
      <c r="AN336" s="118"/>
      <c r="AO336" s="52"/>
      <c r="AP336" s="52"/>
      <c r="AQ336" s="11"/>
      <c r="AR336" s="274"/>
      <c r="AS336" s="274"/>
      <c r="AT336" s="274"/>
      <c r="AU336" s="11"/>
      <c r="AV336" s="11"/>
      <c r="AW336" s="11"/>
      <c r="AX336" s="274"/>
      <c r="AY336" s="274"/>
      <c r="AZ336" s="274"/>
      <c r="BA336" s="11"/>
      <c r="BB336" s="11"/>
      <c r="BC336" s="11"/>
      <c r="BD336" s="274"/>
      <c r="BE336" s="274"/>
      <c r="BF336" s="274"/>
      <c r="BG336" s="11"/>
      <c r="BH336" s="11"/>
      <c r="BI336" s="11"/>
      <c r="BJ336" s="275">
        <v>100000</v>
      </c>
      <c r="BK336" s="274">
        <f>+BJ336*0</f>
        <v>0</v>
      </c>
      <c r="BL336" s="274">
        <f>+BJ336+BK336</f>
        <v>100000</v>
      </c>
      <c r="BM336" s="213" t="s">
        <v>362</v>
      </c>
      <c r="BN336" s="213" t="s">
        <v>164</v>
      </c>
      <c r="BO336" s="11"/>
      <c r="BP336" s="274"/>
      <c r="BQ336" s="274"/>
      <c r="BR336" s="274"/>
      <c r="BS336" s="11"/>
      <c r="BT336" s="11"/>
      <c r="BU336" s="11"/>
      <c r="BV336" s="219"/>
      <c r="BW336" s="222"/>
      <c r="BX336" s="273"/>
      <c r="BY336" s="213"/>
      <c r="BZ336" s="213"/>
      <c r="CA336" s="213"/>
      <c r="CB336" s="274"/>
      <c r="CC336" s="274"/>
      <c r="CD336" s="274"/>
      <c r="CE336" s="11"/>
      <c r="CF336" s="11"/>
      <c r="CG336" s="11"/>
      <c r="CH336" s="274"/>
      <c r="CI336" s="274"/>
      <c r="CJ336" s="274"/>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274"/>
      <c r="DM336" s="274"/>
      <c r="DN336" s="274"/>
      <c r="DO336" s="274"/>
      <c r="DP336" s="274"/>
      <c r="DQ336" s="274"/>
      <c r="DR336" s="274"/>
      <c r="DS336" s="274"/>
      <c r="DT336" s="274"/>
      <c r="DU336" s="274"/>
      <c r="DV336" s="274"/>
      <c r="DW336" s="274"/>
      <c r="DX336" s="274"/>
      <c r="DY336" s="274"/>
      <c r="DZ336" s="274"/>
      <c r="EA336" s="274"/>
      <c r="EB336" s="274"/>
      <c r="EC336" s="274"/>
      <c r="ED336" s="39">
        <f t="shared" si="113"/>
        <v>232088.215</v>
      </c>
      <c r="EE336" s="30">
        <f t="shared" si="114"/>
        <v>3</v>
      </c>
      <c r="EF336" s="39">
        <f t="shared" si="115"/>
        <v>77362.738333333327</v>
      </c>
    </row>
    <row r="337" spans="1:136" x14ac:dyDescent="0.25">
      <c r="A337" s="25" t="e">
        <f>#REF!</f>
        <v>#REF!</v>
      </c>
      <c r="B337" s="50" t="e">
        <f>#REF!</f>
        <v>#REF!</v>
      </c>
      <c r="C337" s="5" t="e">
        <f>#REF!</f>
        <v>#REF!</v>
      </c>
      <c r="D337" s="5" t="e">
        <f>#REF!</f>
        <v>#REF!</v>
      </c>
      <c r="E337" s="252">
        <v>1</v>
      </c>
      <c r="F337" s="249">
        <v>0</v>
      </c>
      <c r="G337" s="249">
        <v>0</v>
      </c>
      <c r="H337" s="249">
        <v>0</v>
      </c>
      <c r="I337" s="249">
        <v>0</v>
      </c>
      <c r="J337" s="249">
        <v>132923</v>
      </c>
      <c r="K337" s="249">
        <v>0</v>
      </c>
      <c r="L337" s="274">
        <f>J337</f>
        <v>132923</v>
      </c>
      <c r="M337" s="274"/>
      <c r="N337" s="255">
        <v>110000</v>
      </c>
      <c r="O337" s="135">
        <f t="shared" si="116"/>
        <v>20900</v>
      </c>
      <c r="P337" s="135">
        <f t="shared" si="117"/>
        <v>130900</v>
      </c>
      <c r="Q337" s="131"/>
      <c r="R337" s="131"/>
      <c r="S337" s="11"/>
      <c r="T337" s="274"/>
      <c r="U337" s="274"/>
      <c r="V337" s="274"/>
      <c r="W337" s="39"/>
      <c r="X337" s="11"/>
      <c r="Y337" s="11"/>
      <c r="Z337" s="274"/>
      <c r="AA337" s="274"/>
      <c r="AB337" s="274"/>
      <c r="AC337" s="5"/>
      <c r="AD337" s="22"/>
      <c r="AE337" s="39"/>
      <c r="AF337" s="274"/>
      <c r="AG337" s="274"/>
      <c r="AH337" s="169"/>
      <c r="AI337" s="22"/>
      <c r="AJ337" s="39"/>
      <c r="AK337" s="39"/>
      <c r="AL337" s="118"/>
      <c r="AM337" s="152"/>
      <c r="AN337" s="181"/>
      <c r="AO337" s="131"/>
      <c r="AP337" s="131"/>
      <c r="AQ337" s="39"/>
      <c r="AR337" s="274"/>
      <c r="AS337" s="274"/>
      <c r="AT337" s="274"/>
      <c r="AU337" s="39"/>
      <c r="AV337" s="39"/>
      <c r="AW337" s="39"/>
      <c r="AX337" s="274"/>
      <c r="AY337" s="274"/>
      <c r="AZ337" s="274"/>
      <c r="BA337" s="39"/>
      <c r="BB337" s="62"/>
      <c r="BC337" s="39"/>
      <c r="BD337" s="274"/>
      <c r="BE337" s="274"/>
      <c r="BF337" s="274"/>
      <c r="BG337" s="39"/>
      <c r="BH337" s="39"/>
      <c r="BI337" s="39"/>
      <c r="BJ337" s="274"/>
      <c r="BK337" s="274"/>
      <c r="BL337" s="274"/>
      <c r="BM337" s="213"/>
      <c r="BN337" s="213"/>
      <c r="BO337" s="39"/>
      <c r="BP337" s="274"/>
      <c r="BQ337" s="274"/>
      <c r="BR337" s="274"/>
      <c r="BS337" s="39"/>
      <c r="BT337" s="39"/>
      <c r="BU337" s="39"/>
      <c r="BV337" s="212"/>
      <c r="BW337" s="221"/>
      <c r="BX337" s="273"/>
      <c r="BY337" s="213"/>
      <c r="BZ337" s="213"/>
      <c r="CA337" s="213"/>
      <c r="CB337" s="274"/>
      <c r="CC337" s="274"/>
      <c r="CD337" s="274"/>
      <c r="CE337" s="39"/>
      <c r="CF337" s="39"/>
      <c r="CG337" s="39"/>
      <c r="CH337" s="274"/>
      <c r="CI337" s="274"/>
      <c r="CJ337" s="274"/>
      <c r="CK337" s="39"/>
      <c r="CL337" s="39"/>
      <c r="CM337" s="39"/>
      <c r="CN337" s="39"/>
      <c r="CO337" s="39"/>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274"/>
      <c r="DM337" s="274"/>
      <c r="DN337" s="274"/>
      <c r="DO337" s="274"/>
      <c r="DP337" s="274"/>
      <c r="DQ337" s="274"/>
      <c r="DR337" s="274"/>
      <c r="DS337" s="274"/>
      <c r="DT337" s="274"/>
      <c r="DU337" s="274"/>
      <c r="DV337" s="274"/>
      <c r="DW337" s="274"/>
      <c r="DX337" s="274"/>
      <c r="DY337" s="274"/>
      <c r="DZ337" s="274"/>
      <c r="EA337" s="274"/>
      <c r="EB337" s="274"/>
      <c r="EC337" s="274"/>
      <c r="ED337" s="39">
        <f t="shared" si="113"/>
        <v>130900</v>
      </c>
      <c r="EE337" s="30">
        <f t="shared" si="114"/>
        <v>1</v>
      </c>
      <c r="EF337" s="39">
        <f t="shared" si="115"/>
        <v>130900</v>
      </c>
    </row>
    <row r="338" spans="1:136" x14ac:dyDescent="0.25">
      <c r="A338" s="25" t="e">
        <f>#REF!</f>
        <v>#REF!</v>
      </c>
      <c r="B338" s="50" t="e">
        <f>#REF!</f>
        <v>#REF!</v>
      </c>
      <c r="C338" s="5" t="e">
        <f>#REF!</f>
        <v>#REF!</v>
      </c>
      <c r="D338" s="5" t="e">
        <f>#REF!</f>
        <v>#REF!</v>
      </c>
      <c r="E338" s="252">
        <v>1</v>
      </c>
      <c r="F338" s="249">
        <v>0</v>
      </c>
      <c r="G338" s="249">
        <v>0</v>
      </c>
      <c r="H338" s="249">
        <v>0</v>
      </c>
      <c r="I338" s="249">
        <v>0</v>
      </c>
      <c r="J338" s="249">
        <v>0</v>
      </c>
      <c r="K338" s="249">
        <v>0</v>
      </c>
      <c r="L338" s="274"/>
      <c r="M338" s="274"/>
      <c r="N338" s="255">
        <v>110000</v>
      </c>
      <c r="O338" s="135">
        <f t="shared" si="116"/>
        <v>20900</v>
      </c>
      <c r="P338" s="135">
        <f t="shared" si="117"/>
        <v>130900</v>
      </c>
      <c r="Q338" s="131"/>
      <c r="R338" s="131"/>
      <c r="S338" s="11"/>
      <c r="T338" s="274"/>
      <c r="U338" s="274"/>
      <c r="V338" s="274"/>
      <c r="W338" s="39"/>
      <c r="X338" s="11"/>
      <c r="Y338" s="11"/>
      <c r="Z338" s="274"/>
      <c r="AA338" s="274"/>
      <c r="AB338" s="274"/>
      <c r="AC338" s="5"/>
      <c r="AD338" s="22"/>
      <c r="AE338" s="39"/>
      <c r="AF338" s="274"/>
      <c r="AG338" s="274"/>
      <c r="AH338" s="169"/>
      <c r="AI338" s="22"/>
      <c r="AJ338" s="39"/>
      <c r="AK338" s="39"/>
      <c r="AL338" s="118"/>
      <c r="AM338" s="152"/>
      <c r="AN338" s="181"/>
      <c r="AO338" s="131"/>
      <c r="AP338" s="131"/>
      <c r="AQ338" s="39"/>
      <c r="AR338" s="274"/>
      <c r="AS338" s="274"/>
      <c r="AT338" s="274"/>
      <c r="AU338" s="39"/>
      <c r="AV338" s="39"/>
      <c r="AW338" s="39"/>
      <c r="AX338" s="274"/>
      <c r="AY338" s="274"/>
      <c r="AZ338" s="274"/>
      <c r="BA338" s="39"/>
      <c r="BB338" s="62"/>
      <c r="BC338" s="39"/>
      <c r="BD338" s="274"/>
      <c r="BE338" s="274"/>
      <c r="BF338" s="274"/>
      <c r="BG338" s="39"/>
      <c r="BH338" s="39"/>
      <c r="BI338" s="39"/>
      <c r="BJ338" s="274"/>
      <c r="BK338" s="274"/>
      <c r="BL338" s="274"/>
      <c r="BM338" s="213"/>
      <c r="BN338" s="213"/>
      <c r="BO338" s="39"/>
      <c r="BP338" s="274"/>
      <c r="BQ338" s="274"/>
      <c r="BR338" s="274"/>
      <c r="BS338" s="39"/>
      <c r="BT338" s="39"/>
      <c r="BU338" s="39"/>
      <c r="BV338" s="212"/>
      <c r="BW338" s="221"/>
      <c r="BX338" s="273"/>
      <c r="BY338" s="213"/>
      <c r="BZ338" s="213"/>
      <c r="CA338" s="213"/>
      <c r="CB338" s="274"/>
      <c r="CC338" s="274"/>
      <c r="CD338" s="274"/>
      <c r="CE338" s="39"/>
      <c r="CF338" s="39"/>
      <c r="CG338" s="39"/>
      <c r="CH338" s="274"/>
      <c r="CI338" s="274"/>
      <c r="CJ338" s="274"/>
      <c r="CK338" s="39"/>
      <c r="CL338" s="39"/>
      <c r="CM338" s="39"/>
      <c r="CN338" s="39"/>
      <c r="CO338" s="39"/>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274"/>
      <c r="DM338" s="274"/>
      <c r="DN338" s="274"/>
      <c r="DO338" s="274"/>
      <c r="DP338" s="274"/>
      <c r="DQ338" s="274"/>
      <c r="DR338" s="274"/>
      <c r="DS338" s="274"/>
      <c r="DT338" s="274"/>
      <c r="DU338" s="274"/>
      <c r="DV338" s="274"/>
      <c r="DW338" s="274"/>
      <c r="DX338" s="274"/>
      <c r="DY338" s="274"/>
      <c r="DZ338" s="274"/>
      <c r="EA338" s="274"/>
      <c r="EB338" s="274"/>
      <c r="EC338" s="274"/>
      <c r="ED338" s="39">
        <f t="shared" si="113"/>
        <v>130900</v>
      </c>
      <c r="EE338" s="30">
        <f t="shared" si="114"/>
        <v>1</v>
      </c>
      <c r="EF338" s="39">
        <f t="shared" si="115"/>
        <v>130900</v>
      </c>
    </row>
    <row r="339" spans="1:136" x14ac:dyDescent="0.25">
      <c r="A339" s="25" t="e">
        <f>#REF!</f>
        <v>#REF!</v>
      </c>
      <c r="B339" s="50" t="e">
        <f>#REF!</f>
        <v>#REF!</v>
      </c>
      <c r="C339" s="5" t="e">
        <f>#REF!</f>
        <v>#REF!</v>
      </c>
      <c r="D339" s="5" t="e">
        <f>#REF!</f>
        <v>#REF!</v>
      </c>
      <c r="E339" s="252">
        <v>1</v>
      </c>
      <c r="F339" s="249">
        <v>0</v>
      </c>
      <c r="G339" s="249">
        <v>0</v>
      </c>
      <c r="H339" s="249">
        <v>0</v>
      </c>
      <c r="I339" s="249">
        <v>0</v>
      </c>
      <c r="J339" s="249">
        <v>0</v>
      </c>
      <c r="K339" s="249">
        <v>0</v>
      </c>
      <c r="L339" s="274"/>
      <c r="M339" s="274"/>
      <c r="N339" s="255">
        <v>110000</v>
      </c>
      <c r="O339" s="135">
        <f t="shared" si="116"/>
        <v>20900</v>
      </c>
      <c r="P339" s="135">
        <f t="shared" si="117"/>
        <v>130900</v>
      </c>
      <c r="Q339" s="131"/>
      <c r="R339" s="131"/>
      <c r="S339" s="11"/>
      <c r="T339" s="274"/>
      <c r="U339" s="274"/>
      <c r="V339" s="274"/>
      <c r="W339" s="39"/>
      <c r="X339" s="11"/>
      <c r="Y339" s="11"/>
      <c r="Z339" s="274"/>
      <c r="AA339" s="274"/>
      <c r="AB339" s="274"/>
      <c r="AC339" s="5"/>
      <c r="AD339" s="22"/>
      <c r="AE339" s="39"/>
      <c r="AF339" s="274"/>
      <c r="AG339" s="274"/>
      <c r="AH339" s="169"/>
      <c r="AI339" s="4"/>
      <c r="AJ339" s="39"/>
      <c r="AK339" s="39"/>
      <c r="AL339" s="118"/>
      <c r="AM339" s="152"/>
      <c r="AN339" s="181"/>
      <c r="AO339" s="131"/>
      <c r="AP339" s="131"/>
      <c r="AQ339" s="39"/>
      <c r="AR339" s="274"/>
      <c r="AS339" s="274"/>
      <c r="AT339" s="274"/>
      <c r="AU339" s="39"/>
      <c r="AV339" s="39"/>
      <c r="AW339" s="39"/>
      <c r="AX339" s="274"/>
      <c r="AY339" s="274"/>
      <c r="AZ339" s="274"/>
      <c r="BA339" s="39"/>
      <c r="BB339" s="62"/>
      <c r="BC339" s="39"/>
      <c r="BD339" s="274"/>
      <c r="BE339" s="274"/>
      <c r="BF339" s="274"/>
      <c r="BG339" s="39"/>
      <c r="BH339" s="39"/>
      <c r="BI339" s="39"/>
      <c r="BJ339" s="274"/>
      <c r="BK339" s="274"/>
      <c r="BL339" s="274"/>
      <c r="BM339" s="213"/>
      <c r="BN339" s="213"/>
      <c r="BO339" s="39"/>
      <c r="BP339" s="274"/>
      <c r="BQ339" s="274"/>
      <c r="BR339" s="274"/>
      <c r="BS339" s="39"/>
      <c r="BT339" s="39"/>
      <c r="BU339" s="39"/>
      <c r="BV339" s="212"/>
      <c r="BW339" s="221"/>
      <c r="BX339" s="273"/>
      <c r="BY339" s="213"/>
      <c r="BZ339" s="213"/>
      <c r="CA339" s="213"/>
      <c r="CB339" s="274"/>
      <c r="CC339" s="274"/>
      <c r="CD339" s="274"/>
      <c r="CE339" s="39"/>
      <c r="CF339" s="39"/>
      <c r="CG339" s="39"/>
      <c r="CH339" s="274"/>
      <c r="CI339" s="274"/>
      <c r="CJ339" s="274"/>
      <c r="CK339" s="39"/>
      <c r="CL339" s="39"/>
      <c r="CM339" s="39"/>
      <c r="CN339" s="39"/>
      <c r="CO339" s="39"/>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274"/>
      <c r="DM339" s="274"/>
      <c r="DN339" s="274"/>
      <c r="DO339" s="274"/>
      <c r="DP339" s="274"/>
      <c r="DQ339" s="274"/>
      <c r="DR339" s="274"/>
      <c r="DS339" s="274"/>
      <c r="DT339" s="274"/>
      <c r="DU339" s="274"/>
      <c r="DV339" s="274"/>
      <c r="DW339" s="274"/>
      <c r="DX339" s="274"/>
      <c r="DY339" s="274"/>
      <c r="DZ339" s="274"/>
      <c r="EA339" s="274"/>
      <c r="EB339" s="274"/>
      <c r="EC339" s="274"/>
      <c r="ED339" s="39">
        <f t="shared" si="113"/>
        <v>130900</v>
      </c>
      <c r="EE339" s="30">
        <f t="shared" si="114"/>
        <v>1</v>
      </c>
      <c r="EF339" s="39">
        <f t="shared" si="115"/>
        <v>130900</v>
      </c>
    </row>
    <row r="340" spans="1:136" x14ac:dyDescent="0.25">
      <c r="A340" s="25" t="e">
        <f>#REF!</f>
        <v>#REF!</v>
      </c>
      <c r="B340" s="50" t="e">
        <f>#REF!</f>
        <v>#REF!</v>
      </c>
      <c r="C340" s="5" t="e">
        <f>#REF!</f>
        <v>#REF!</v>
      </c>
      <c r="D340" s="5" t="e">
        <f>#REF!</f>
        <v>#REF!</v>
      </c>
      <c r="E340" s="252">
        <v>1</v>
      </c>
      <c r="F340" s="249">
        <v>14012.25</v>
      </c>
      <c r="G340" s="249">
        <v>13566</v>
      </c>
      <c r="H340" s="249">
        <v>11817.104600000001</v>
      </c>
      <c r="I340" s="249">
        <v>0</v>
      </c>
      <c r="J340" s="249">
        <v>21228.93888888889</v>
      </c>
      <c r="K340" s="249">
        <v>20825</v>
      </c>
      <c r="L340" s="274">
        <f>AVERAGE(F340,H340,J340)</f>
        <v>15686.097829629629</v>
      </c>
      <c r="M340" s="274">
        <f>AVERAGE(G340,K340)*E1</f>
        <v>17711.365000000002</v>
      </c>
      <c r="N340" s="255">
        <v>7000</v>
      </c>
      <c r="O340" s="135">
        <f t="shared" si="116"/>
        <v>1330</v>
      </c>
      <c r="P340" s="135">
        <f t="shared" si="117"/>
        <v>8330</v>
      </c>
      <c r="Q340" s="131"/>
      <c r="R340" s="131"/>
      <c r="S340" s="11"/>
      <c r="T340" s="274"/>
      <c r="U340" s="274"/>
      <c r="V340" s="274"/>
      <c r="W340" s="39"/>
      <c r="X340" s="11"/>
      <c r="Y340" s="11"/>
      <c r="Z340" s="274"/>
      <c r="AA340" s="274"/>
      <c r="AB340" s="274"/>
      <c r="AC340" s="5"/>
      <c r="AD340" s="22"/>
      <c r="AE340" s="39"/>
      <c r="AF340" s="274"/>
      <c r="AG340" s="274"/>
      <c r="AH340" s="169"/>
      <c r="AI340" s="4"/>
      <c r="AJ340" s="39"/>
      <c r="AK340" s="39"/>
      <c r="AL340" s="118"/>
      <c r="AM340" s="152"/>
      <c r="AN340" s="181"/>
      <c r="AO340" s="131"/>
      <c r="AP340" s="131"/>
      <c r="AQ340" s="39"/>
      <c r="AR340" s="274"/>
      <c r="AS340" s="274"/>
      <c r="AT340" s="274"/>
      <c r="AU340" s="39"/>
      <c r="AV340" s="39"/>
      <c r="AW340" s="39"/>
      <c r="AX340" s="274"/>
      <c r="AY340" s="274"/>
      <c r="AZ340" s="274"/>
      <c r="BA340" s="39"/>
      <c r="BB340" s="62"/>
      <c r="BC340" s="39"/>
      <c r="BD340" s="274"/>
      <c r="BE340" s="274"/>
      <c r="BF340" s="274"/>
      <c r="BG340" s="39"/>
      <c r="BH340" s="39"/>
      <c r="BI340" s="39"/>
      <c r="BJ340" s="275">
        <v>20000</v>
      </c>
      <c r="BK340" s="274">
        <f>+BJ340*0</f>
        <v>0</v>
      </c>
      <c r="BL340" s="274">
        <f>+BJ340+BK340</f>
        <v>20000</v>
      </c>
      <c r="BM340" s="214" t="s">
        <v>3721</v>
      </c>
      <c r="BN340" s="213" t="s">
        <v>4845</v>
      </c>
      <c r="BO340" s="39"/>
      <c r="BP340" s="274">
        <v>12500</v>
      </c>
      <c r="BQ340" s="274">
        <f>+BP340*19%</f>
        <v>2375</v>
      </c>
      <c r="BR340" s="274">
        <f>+BQ340+BP340</f>
        <v>14875</v>
      </c>
      <c r="BS340" s="39"/>
      <c r="BT340" s="39"/>
      <c r="BU340" s="39"/>
      <c r="BV340" s="219">
        <v>54811.161599999999</v>
      </c>
      <c r="BW340" s="222">
        <f>+BV340*0</f>
        <v>0</v>
      </c>
      <c r="BX340" s="273">
        <f>+BV340+BW340</f>
        <v>54811.161599999999</v>
      </c>
      <c r="BY340" s="214" t="s">
        <v>3721</v>
      </c>
      <c r="BZ340" s="213" t="s">
        <v>4845</v>
      </c>
      <c r="CA340" s="213"/>
      <c r="CB340" s="274"/>
      <c r="CC340" s="274"/>
      <c r="CD340" s="274"/>
      <c r="CE340" s="39"/>
      <c r="CF340" s="39"/>
      <c r="CG340" s="39"/>
      <c r="CH340" s="274"/>
      <c r="CI340" s="274"/>
      <c r="CJ340" s="274"/>
      <c r="CK340" s="39"/>
      <c r="CL340" s="39"/>
      <c r="CM340" s="39"/>
      <c r="CN340" s="39"/>
      <c r="CO340" s="39"/>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274"/>
      <c r="DM340" s="274"/>
      <c r="DN340" s="274"/>
      <c r="DO340" s="274"/>
      <c r="DP340" s="274"/>
      <c r="DQ340" s="274"/>
      <c r="DR340" s="274"/>
      <c r="DS340" s="274"/>
      <c r="DT340" s="274"/>
      <c r="DU340" s="274"/>
      <c r="DV340" s="274"/>
      <c r="DW340" s="274"/>
      <c r="DX340" s="274"/>
      <c r="DY340" s="274"/>
      <c r="DZ340" s="274"/>
      <c r="EA340" s="274"/>
      <c r="EB340" s="274"/>
      <c r="EC340" s="274"/>
      <c r="ED340" s="39">
        <f t="shared" si="113"/>
        <v>115727.52660000001</v>
      </c>
      <c r="EE340" s="30">
        <f t="shared" si="114"/>
        <v>5</v>
      </c>
      <c r="EF340" s="39">
        <f t="shared" si="115"/>
        <v>23145.505320000004</v>
      </c>
    </row>
    <row r="341" spans="1:136" x14ac:dyDescent="0.25">
      <c r="A341" s="25" t="e">
        <f>#REF!</f>
        <v>#REF!</v>
      </c>
      <c r="B341" s="50" t="e">
        <f>#REF!</f>
        <v>#REF!</v>
      </c>
      <c r="C341" s="5" t="e">
        <f>#REF!</f>
        <v>#REF!</v>
      </c>
      <c r="D341" s="5" t="e">
        <f>#REF!</f>
        <v>#REF!</v>
      </c>
      <c r="E341" s="252">
        <v>1</v>
      </c>
      <c r="F341" s="249">
        <v>17393.833333333332</v>
      </c>
      <c r="G341" s="249">
        <v>16779</v>
      </c>
      <c r="H341" s="249">
        <v>12924.839900000001</v>
      </c>
      <c r="I341" s="249">
        <v>12852</v>
      </c>
      <c r="J341" s="249">
        <v>23061.538888888888</v>
      </c>
      <c r="K341" s="249">
        <v>22610</v>
      </c>
      <c r="L341" s="274">
        <f>AVERAGE(F341,H341,J341)</f>
        <v>17793.404040740741</v>
      </c>
      <c r="M341" s="274">
        <f>AVERAGE(G341,I341,K341)*E1</f>
        <v>17936.076666666668</v>
      </c>
      <c r="N341" s="255">
        <v>7000</v>
      </c>
      <c r="O341" s="135">
        <f t="shared" si="116"/>
        <v>1330</v>
      </c>
      <c r="P341" s="135">
        <f t="shared" si="117"/>
        <v>8330</v>
      </c>
      <c r="Q341" s="131"/>
      <c r="R341" s="131"/>
      <c r="S341" s="11"/>
      <c r="T341" s="274"/>
      <c r="U341" s="274"/>
      <c r="V341" s="274"/>
      <c r="W341" s="39"/>
      <c r="X341" s="11"/>
      <c r="Y341" s="11"/>
      <c r="Z341" s="274"/>
      <c r="AA341" s="274"/>
      <c r="AB341" s="274"/>
      <c r="AC341" s="52"/>
      <c r="AD341" s="22"/>
      <c r="AE341" s="39"/>
      <c r="AF341" s="274"/>
      <c r="AG341" s="274"/>
      <c r="AH341" s="171"/>
      <c r="AI341" s="22"/>
      <c r="AJ341" s="39"/>
      <c r="AK341" s="39"/>
      <c r="AL341" s="118"/>
      <c r="AM341" s="152"/>
      <c r="AN341" s="181"/>
      <c r="AO341" s="131"/>
      <c r="AP341" s="131"/>
      <c r="AQ341" s="39"/>
      <c r="AR341" s="274"/>
      <c r="AS341" s="274"/>
      <c r="AT341" s="274"/>
      <c r="AU341" s="39"/>
      <c r="AV341" s="39"/>
      <c r="AW341" s="39"/>
      <c r="AX341" s="274"/>
      <c r="AY341" s="274"/>
      <c r="AZ341" s="274"/>
      <c r="BA341" s="39"/>
      <c r="BB341" s="62"/>
      <c r="BC341" s="39"/>
      <c r="BD341" s="274"/>
      <c r="BE341" s="274"/>
      <c r="BF341" s="274"/>
      <c r="BG341" s="39"/>
      <c r="BH341" s="39"/>
      <c r="BI341" s="39"/>
      <c r="BJ341" s="275">
        <v>20000</v>
      </c>
      <c r="BK341" s="274">
        <f>+BJ341*0</f>
        <v>0</v>
      </c>
      <c r="BL341" s="274">
        <f>+BJ341+BK341</f>
        <v>20000</v>
      </c>
      <c r="BM341" s="214" t="s">
        <v>3721</v>
      </c>
      <c r="BN341" s="213" t="s">
        <v>4845</v>
      </c>
      <c r="BO341" s="39"/>
      <c r="BP341" s="274">
        <v>12500</v>
      </c>
      <c r="BQ341" s="274">
        <f>+BP341*19%</f>
        <v>2375</v>
      </c>
      <c r="BR341" s="274">
        <f>+BQ341+BP341</f>
        <v>14875</v>
      </c>
      <c r="BS341" s="39"/>
      <c r="BT341" s="39"/>
      <c r="BU341" s="39"/>
      <c r="BV341" s="219">
        <v>57998.682000000008</v>
      </c>
      <c r="BW341" s="222">
        <f>+BV341*0</f>
        <v>0</v>
      </c>
      <c r="BX341" s="273">
        <f>+BV341+BW341</f>
        <v>57998.682000000008</v>
      </c>
      <c r="BY341" s="214" t="s">
        <v>3721</v>
      </c>
      <c r="BZ341" s="213" t="s">
        <v>4845</v>
      </c>
      <c r="CA341" s="213"/>
      <c r="CB341" s="274"/>
      <c r="CC341" s="274"/>
      <c r="CD341" s="274"/>
      <c r="CE341" s="39"/>
      <c r="CF341" s="39"/>
      <c r="CG341" s="39"/>
      <c r="CH341" s="274"/>
      <c r="CI341" s="274"/>
      <c r="CJ341" s="274"/>
      <c r="CK341" s="39"/>
      <c r="CL341" s="39"/>
      <c r="CM341" s="39"/>
      <c r="CN341" s="39"/>
      <c r="CO341" s="39"/>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274"/>
      <c r="DM341" s="274"/>
      <c r="DN341" s="274"/>
      <c r="DO341" s="274"/>
      <c r="DP341" s="274"/>
      <c r="DQ341" s="274"/>
      <c r="DR341" s="274"/>
      <c r="DS341" s="274"/>
      <c r="DT341" s="274"/>
      <c r="DU341" s="274"/>
      <c r="DV341" s="274"/>
      <c r="DW341" s="274"/>
      <c r="DX341" s="274"/>
      <c r="DY341" s="274"/>
      <c r="DZ341" s="274"/>
      <c r="EA341" s="274"/>
      <c r="EB341" s="274"/>
      <c r="EC341" s="274"/>
      <c r="ED341" s="39">
        <f t="shared" si="113"/>
        <v>119139.75866666668</v>
      </c>
      <c r="EE341" s="30">
        <f t="shared" si="114"/>
        <v>5</v>
      </c>
      <c r="EF341" s="39">
        <f t="shared" si="115"/>
        <v>23827.951733333335</v>
      </c>
    </row>
    <row r="342" spans="1:136" x14ac:dyDescent="0.25">
      <c r="A342" s="25" t="e">
        <f>#REF!</f>
        <v>#REF!</v>
      </c>
      <c r="B342" s="50" t="e">
        <f>#REF!</f>
        <v>#REF!</v>
      </c>
      <c r="C342" s="5" t="e">
        <f>#REF!</f>
        <v>#REF!</v>
      </c>
      <c r="D342" s="5" t="e">
        <f>#REF!</f>
        <v>#REF!</v>
      </c>
      <c r="E342" s="252">
        <v>1</v>
      </c>
      <c r="F342" s="249">
        <v>84966</v>
      </c>
      <c r="G342" s="249">
        <v>83300</v>
      </c>
      <c r="H342" s="249">
        <v>92185.333333333328</v>
      </c>
      <c r="I342" s="249">
        <v>0</v>
      </c>
      <c r="J342" s="249">
        <v>0</v>
      </c>
      <c r="K342" s="249">
        <v>0</v>
      </c>
      <c r="L342" s="274">
        <f>AVERAGE(F342,H342)</f>
        <v>88575.666666666657</v>
      </c>
      <c r="M342" s="274">
        <f>G342*E1</f>
        <v>85799</v>
      </c>
      <c r="N342" s="255"/>
      <c r="O342" s="135"/>
      <c r="P342" s="135"/>
      <c r="Q342" s="131"/>
      <c r="R342" s="131"/>
      <c r="S342" s="11"/>
      <c r="T342" s="274"/>
      <c r="U342" s="274"/>
      <c r="V342" s="274"/>
      <c r="W342" s="39"/>
      <c r="X342" s="11"/>
      <c r="Y342" s="11"/>
      <c r="Z342" s="274"/>
      <c r="AA342" s="274"/>
      <c r="AB342" s="274"/>
      <c r="AC342" s="52"/>
      <c r="AD342" s="22"/>
      <c r="AE342" s="39"/>
      <c r="AF342" s="274"/>
      <c r="AG342" s="274"/>
      <c r="AH342" s="171"/>
      <c r="AI342" s="4"/>
      <c r="AJ342" s="39"/>
      <c r="AK342" s="39"/>
      <c r="AL342" s="118"/>
      <c r="AM342" s="152"/>
      <c r="AN342" s="181"/>
      <c r="AO342" s="131"/>
      <c r="AP342" s="131"/>
      <c r="AQ342" s="39"/>
      <c r="AR342" s="274"/>
      <c r="AS342" s="274"/>
      <c r="AT342" s="274"/>
      <c r="AU342" s="39"/>
      <c r="AV342" s="39"/>
      <c r="AW342" s="39"/>
      <c r="AX342" s="274"/>
      <c r="AY342" s="274"/>
      <c r="AZ342" s="274"/>
      <c r="BA342" s="39"/>
      <c r="BB342" s="62"/>
      <c r="BC342" s="39"/>
      <c r="BD342" s="274"/>
      <c r="BE342" s="274"/>
      <c r="BF342" s="274"/>
      <c r="BG342" s="39"/>
      <c r="BH342" s="39"/>
      <c r="BI342" s="39"/>
      <c r="BJ342" s="274"/>
      <c r="BK342" s="274"/>
      <c r="BL342" s="274"/>
      <c r="BM342" s="214"/>
      <c r="BN342" s="213"/>
      <c r="BO342" s="39"/>
      <c r="BP342" s="274"/>
      <c r="BQ342" s="274"/>
      <c r="BR342" s="274"/>
      <c r="BS342" s="39"/>
      <c r="BT342" s="39"/>
      <c r="BU342" s="39"/>
      <c r="BV342" s="212"/>
      <c r="BW342" s="221"/>
      <c r="BX342" s="273"/>
      <c r="BY342" s="214"/>
      <c r="BZ342" s="213"/>
      <c r="CA342" s="213"/>
      <c r="CB342" s="274"/>
      <c r="CC342" s="274"/>
      <c r="CD342" s="274"/>
      <c r="CE342" s="39"/>
      <c r="CF342" s="39"/>
      <c r="CG342" s="39"/>
      <c r="CH342" s="274"/>
      <c r="CI342" s="274"/>
      <c r="CJ342" s="274"/>
      <c r="CK342" s="39"/>
      <c r="CL342" s="39"/>
      <c r="CM342" s="39"/>
      <c r="CN342" s="39"/>
      <c r="CO342" s="39"/>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274"/>
      <c r="DM342" s="274"/>
      <c r="DN342" s="274"/>
      <c r="DO342" s="274"/>
      <c r="DP342" s="274"/>
      <c r="DQ342" s="274"/>
      <c r="DR342" s="274"/>
      <c r="DS342" s="274"/>
      <c r="DT342" s="274"/>
      <c r="DU342" s="274"/>
      <c r="DV342" s="274"/>
      <c r="DW342" s="274"/>
      <c r="DX342" s="274"/>
      <c r="DY342" s="274"/>
      <c r="DZ342" s="274"/>
      <c r="EA342" s="274"/>
      <c r="EB342" s="274"/>
      <c r="EC342" s="274"/>
      <c r="ED342" s="39">
        <f t="shared" si="113"/>
        <v>85799</v>
      </c>
      <c r="EE342" s="30">
        <f t="shared" si="114"/>
        <v>1</v>
      </c>
      <c r="EF342" s="39">
        <f t="shared" si="115"/>
        <v>85799</v>
      </c>
    </row>
    <row r="343" spans="1:136" x14ac:dyDescent="0.25">
      <c r="A343" s="25" t="e">
        <f>#REF!</f>
        <v>#REF!</v>
      </c>
      <c r="B343" s="50" t="e">
        <f>#REF!</f>
        <v>#REF!</v>
      </c>
      <c r="C343" s="5" t="e">
        <f>#REF!</f>
        <v>#REF!</v>
      </c>
      <c r="D343" s="5" t="e">
        <f>#REF!</f>
        <v>#REF!</v>
      </c>
      <c r="E343" s="252">
        <v>1</v>
      </c>
      <c r="F343" s="249">
        <v>84966</v>
      </c>
      <c r="G343" s="249">
        <v>83300</v>
      </c>
      <c r="H343" s="249">
        <v>99563.333333333328</v>
      </c>
      <c r="I343" s="249">
        <v>0</v>
      </c>
      <c r="J343" s="249">
        <v>288072.02666666661</v>
      </c>
      <c r="K343" s="249">
        <v>236810</v>
      </c>
      <c r="L343" s="274">
        <f>AVERAGE(F343,H343,J343)</f>
        <v>157533.78666666665</v>
      </c>
      <c r="M343" s="274">
        <f>AVERAGE(G343,K343)*E1</f>
        <v>164856.65</v>
      </c>
      <c r="N343" s="255"/>
      <c r="O343" s="135"/>
      <c r="P343" s="135"/>
      <c r="Q343" s="11"/>
      <c r="R343" s="11"/>
      <c r="S343" s="25"/>
      <c r="T343" s="148"/>
      <c r="U343" s="274"/>
      <c r="V343" s="274"/>
      <c r="W343" s="39"/>
      <c r="X343" s="11"/>
      <c r="Y343" s="11"/>
      <c r="Z343" s="274"/>
      <c r="AA343" s="274"/>
      <c r="AB343" s="274"/>
      <c r="AC343" s="11"/>
      <c r="AD343" s="11"/>
      <c r="AE343" s="11"/>
      <c r="AF343" s="274"/>
      <c r="AG343" s="274"/>
      <c r="AH343" s="274"/>
      <c r="AI343" s="11"/>
      <c r="AJ343" s="11"/>
      <c r="AK343" s="11"/>
      <c r="AL343" s="118"/>
      <c r="AM343" s="118"/>
      <c r="AN343" s="118"/>
      <c r="AO343" s="52"/>
      <c r="AP343" s="52"/>
      <c r="AQ343" s="11"/>
      <c r="AR343" s="274"/>
      <c r="AS343" s="274"/>
      <c r="AT343" s="274"/>
      <c r="AU343" s="11"/>
      <c r="AV343" s="11"/>
      <c r="AW343" s="11"/>
      <c r="AX343" s="274"/>
      <c r="AY343" s="274"/>
      <c r="AZ343" s="274"/>
      <c r="BA343" s="11"/>
      <c r="BB343" s="62"/>
      <c r="BC343" s="39"/>
      <c r="BD343" s="274"/>
      <c r="BE343" s="274"/>
      <c r="BF343" s="274"/>
      <c r="BG343" s="11"/>
      <c r="BH343" s="11"/>
      <c r="BI343" s="11"/>
      <c r="BJ343" s="274"/>
      <c r="BK343" s="274"/>
      <c r="BL343" s="274"/>
      <c r="BM343" s="213"/>
      <c r="BN343" s="213"/>
      <c r="BO343" s="17"/>
      <c r="BP343" s="274"/>
      <c r="BQ343" s="274"/>
      <c r="BR343" s="274"/>
      <c r="BS343" s="17"/>
      <c r="BT343" s="17"/>
      <c r="BU343" s="17"/>
      <c r="BV343" s="212"/>
      <c r="BW343" s="221"/>
      <c r="BX343" s="273"/>
      <c r="BY343" s="213"/>
      <c r="BZ343" s="213"/>
      <c r="CA343" s="213"/>
      <c r="CB343" s="274"/>
      <c r="CC343" s="274"/>
      <c r="CD343" s="274"/>
      <c r="CE343" s="11"/>
      <c r="CF343" s="11"/>
      <c r="CG343" s="11"/>
      <c r="CH343" s="274"/>
      <c r="CI343" s="274"/>
      <c r="CJ343" s="274"/>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274"/>
      <c r="DM343" s="274"/>
      <c r="DN343" s="274"/>
      <c r="DO343" s="274"/>
      <c r="DP343" s="274"/>
      <c r="DQ343" s="274"/>
      <c r="DR343" s="274"/>
      <c r="DS343" s="274"/>
      <c r="DT343" s="274"/>
      <c r="DU343" s="274"/>
      <c r="DV343" s="274"/>
      <c r="DW343" s="274"/>
      <c r="DX343" s="274"/>
      <c r="DY343" s="274"/>
      <c r="DZ343" s="274"/>
      <c r="EA343" s="274"/>
      <c r="EB343" s="274"/>
      <c r="EC343" s="274"/>
      <c r="ED343" s="39">
        <f t="shared" si="113"/>
        <v>164856.65</v>
      </c>
      <c r="EE343" s="30">
        <f t="shared" si="114"/>
        <v>1</v>
      </c>
      <c r="EF343" s="39">
        <f t="shared" si="115"/>
        <v>164856.65</v>
      </c>
    </row>
    <row r="344" spans="1:136" ht="24" x14ac:dyDescent="0.25">
      <c r="A344" s="25" t="e">
        <f>#REF!</f>
        <v>#REF!</v>
      </c>
      <c r="B344" s="50" t="e">
        <f>#REF!</f>
        <v>#REF!</v>
      </c>
      <c r="C344" s="5" t="e">
        <f>#REF!</f>
        <v>#REF!</v>
      </c>
      <c r="D344" s="5" t="e">
        <f>#REF!</f>
        <v>#REF!</v>
      </c>
      <c r="E344" s="252">
        <v>1</v>
      </c>
      <c r="F344" s="249">
        <v>0</v>
      </c>
      <c r="G344" s="249">
        <v>0</v>
      </c>
      <c r="H344" s="249">
        <v>0</v>
      </c>
      <c r="I344" s="249">
        <v>0</v>
      </c>
      <c r="J344" s="249">
        <v>185937.5</v>
      </c>
      <c r="K344" s="249">
        <v>178500</v>
      </c>
      <c r="L344" s="274">
        <f>J344</f>
        <v>185937.5</v>
      </c>
      <c r="M344" s="274">
        <f>K344*E1</f>
        <v>183855</v>
      </c>
      <c r="N344" s="255">
        <v>155000</v>
      </c>
      <c r="O344" s="135">
        <f>+N344*0.19</f>
        <v>29450</v>
      </c>
      <c r="P344" s="135">
        <f>+N344+O344</f>
        <v>184450</v>
      </c>
      <c r="Q344" s="131"/>
      <c r="R344" s="131"/>
      <c r="S344" s="11"/>
      <c r="T344" s="274"/>
      <c r="U344" s="274"/>
      <c r="V344" s="274"/>
      <c r="W344" s="39"/>
      <c r="X344" s="11"/>
      <c r="Y344" s="11"/>
      <c r="Z344" s="274"/>
      <c r="AA344" s="274"/>
      <c r="AB344" s="274"/>
      <c r="AC344" s="52"/>
      <c r="AD344" s="22"/>
      <c r="AE344" s="39"/>
      <c r="AF344" s="274"/>
      <c r="AG344" s="274"/>
      <c r="AH344" s="171"/>
      <c r="AI344" s="4"/>
      <c r="AJ344" s="39"/>
      <c r="AK344" s="39"/>
      <c r="AL344" s="118"/>
      <c r="AM344" s="152"/>
      <c r="AN344" s="181"/>
      <c r="AO344" s="131"/>
      <c r="AP344" s="131"/>
      <c r="AQ344" s="39"/>
      <c r="AR344" s="274"/>
      <c r="AS344" s="274"/>
      <c r="AT344" s="274"/>
      <c r="AU344" s="39"/>
      <c r="AV344" s="39"/>
      <c r="AW344" s="39"/>
      <c r="AX344" s="274"/>
      <c r="AY344" s="274"/>
      <c r="AZ344" s="274"/>
      <c r="BA344" s="39"/>
      <c r="BB344" s="62"/>
      <c r="BC344" s="39"/>
      <c r="BD344" s="274"/>
      <c r="BE344" s="274"/>
      <c r="BF344" s="274"/>
      <c r="BG344" s="39"/>
      <c r="BH344" s="39"/>
      <c r="BI344" s="39"/>
      <c r="BJ344" s="274">
        <v>62800</v>
      </c>
      <c r="BK344" s="274">
        <f>+BJ344*0</f>
        <v>0</v>
      </c>
      <c r="BL344" s="274">
        <f>+BJ344+BK344</f>
        <v>62800</v>
      </c>
      <c r="BM344" s="214" t="s">
        <v>3721</v>
      </c>
      <c r="BN344" s="213" t="s">
        <v>4846</v>
      </c>
      <c r="BO344" s="39"/>
      <c r="BP344" s="274"/>
      <c r="BQ344" s="274"/>
      <c r="BR344" s="274"/>
      <c r="BS344" s="39"/>
      <c r="BT344" s="39"/>
      <c r="BU344" s="39"/>
      <c r="BV344" s="219">
        <v>68597.381999999998</v>
      </c>
      <c r="BW344" s="222">
        <f>+BV344*0</f>
        <v>0</v>
      </c>
      <c r="BX344" s="273">
        <f>+BV344+BW344</f>
        <v>68597.381999999998</v>
      </c>
      <c r="BY344" s="214" t="s">
        <v>3721</v>
      </c>
      <c r="BZ344" s="213" t="s">
        <v>4846</v>
      </c>
      <c r="CA344" s="213"/>
      <c r="CB344" s="274"/>
      <c r="CC344" s="274"/>
      <c r="CD344" s="274"/>
      <c r="CE344" s="39"/>
      <c r="CF344" s="39"/>
      <c r="CG344" s="39"/>
      <c r="CH344" s="274"/>
      <c r="CI344" s="274"/>
      <c r="CJ344" s="274"/>
      <c r="CK344" s="39"/>
      <c r="CL344" s="39"/>
      <c r="CM344" s="39"/>
      <c r="CN344" s="39"/>
      <c r="CO344" s="39"/>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274"/>
      <c r="DM344" s="274"/>
      <c r="DN344" s="274"/>
      <c r="DO344" s="274"/>
      <c r="DP344" s="274"/>
      <c r="DQ344" s="274"/>
      <c r="DR344" s="274"/>
      <c r="DS344" s="274"/>
      <c r="DT344" s="274"/>
      <c r="DU344" s="274"/>
      <c r="DV344" s="274"/>
      <c r="DW344" s="274"/>
      <c r="DX344" s="274"/>
      <c r="DY344" s="274"/>
      <c r="DZ344" s="274"/>
      <c r="EA344" s="274"/>
      <c r="EB344" s="274"/>
      <c r="EC344" s="274"/>
      <c r="ED344" s="39">
        <f t="shared" si="113"/>
        <v>499702.38199999998</v>
      </c>
      <c r="EE344" s="30">
        <f t="shared" si="114"/>
        <v>4</v>
      </c>
      <c r="EF344" s="39">
        <f t="shared" si="115"/>
        <v>124925.5955</v>
      </c>
    </row>
    <row r="345" spans="1:136" x14ac:dyDescent="0.25">
      <c r="A345" s="25" t="e">
        <f>#REF!</f>
        <v>#REF!</v>
      </c>
      <c r="B345" s="50" t="e">
        <f>#REF!</f>
        <v>#REF!</v>
      </c>
      <c r="C345" s="5" t="e">
        <f>#REF!</f>
        <v>#REF!</v>
      </c>
      <c r="D345" s="5" t="e">
        <f>#REF!</f>
        <v>#REF!</v>
      </c>
      <c r="E345" s="252">
        <v>1</v>
      </c>
      <c r="F345" s="249">
        <v>0</v>
      </c>
      <c r="G345" s="249">
        <v>0</v>
      </c>
      <c r="H345" s="249">
        <v>0</v>
      </c>
      <c r="I345" s="249">
        <v>0</v>
      </c>
      <c r="J345" s="249">
        <v>146268.9025</v>
      </c>
      <c r="K345" s="249">
        <v>145180</v>
      </c>
      <c r="L345" s="274">
        <f>J345</f>
        <v>146268.9025</v>
      </c>
      <c r="M345" s="274">
        <f>K345*E1</f>
        <v>149535.4</v>
      </c>
      <c r="N345" s="255">
        <v>75000</v>
      </c>
      <c r="O345" s="135">
        <f>+N345*0.19</f>
        <v>14250</v>
      </c>
      <c r="P345" s="135">
        <f>+N345+O345</f>
        <v>89250</v>
      </c>
      <c r="Q345" s="131"/>
      <c r="R345" s="131"/>
      <c r="S345" s="11"/>
      <c r="T345" s="274"/>
      <c r="U345" s="274"/>
      <c r="V345" s="274"/>
      <c r="W345" s="39"/>
      <c r="X345" s="11"/>
      <c r="Y345" s="11"/>
      <c r="Z345" s="274"/>
      <c r="AA345" s="274"/>
      <c r="AB345" s="274"/>
      <c r="AC345" s="52"/>
      <c r="AD345" s="22"/>
      <c r="AE345" s="39"/>
      <c r="AF345" s="274"/>
      <c r="AG345" s="274"/>
      <c r="AH345" s="171"/>
      <c r="AI345" s="22"/>
      <c r="AJ345" s="39"/>
      <c r="AK345" s="39"/>
      <c r="AL345" s="118"/>
      <c r="AM345" s="152"/>
      <c r="AN345" s="181"/>
      <c r="AO345" s="131"/>
      <c r="AP345" s="131"/>
      <c r="AQ345" s="39"/>
      <c r="AR345" s="274"/>
      <c r="AS345" s="274"/>
      <c r="AT345" s="274"/>
      <c r="AU345" s="39"/>
      <c r="AV345" s="39"/>
      <c r="AW345" s="39"/>
      <c r="AX345" s="274"/>
      <c r="AY345" s="274"/>
      <c r="AZ345" s="274"/>
      <c r="BA345" s="39"/>
      <c r="BB345" s="62"/>
      <c r="BC345" s="39"/>
      <c r="BD345" s="274"/>
      <c r="BE345" s="274"/>
      <c r="BF345" s="274"/>
      <c r="BG345" s="39"/>
      <c r="BH345" s="39"/>
      <c r="BI345" s="39"/>
      <c r="BJ345" s="274">
        <v>740800</v>
      </c>
      <c r="BK345" s="274">
        <f>+BJ345*0.19</f>
        <v>140752</v>
      </c>
      <c r="BL345" s="274">
        <f>+BJ345+BK345</f>
        <v>881552</v>
      </c>
      <c r="BM345" s="214" t="s">
        <v>445</v>
      </c>
      <c r="BN345" s="213" t="s">
        <v>4847</v>
      </c>
      <c r="BO345" s="39"/>
      <c r="BP345" s="274"/>
      <c r="BQ345" s="274"/>
      <c r="BR345" s="274"/>
      <c r="BS345" s="39"/>
      <c r="BT345" s="39"/>
      <c r="BU345" s="39"/>
      <c r="BV345" s="219">
        <v>770803.88159999996</v>
      </c>
      <c r="BW345" s="219">
        <f>+BV345*0.19</f>
        <v>146452.73750399999</v>
      </c>
      <c r="BX345" s="273">
        <f>+BV345+BW345</f>
        <v>917256.61910399992</v>
      </c>
      <c r="BY345" s="214" t="s">
        <v>445</v>
      </c>
      <c r="BZ345" s="213" t="s">
        <v>4847</v>
      </c>
      <c r="CA345" s="213"/>
      <c r="CB345" s="274"/>
      <c r="CC345" s="274"/>
      <c r="CD345" s="274"/>
      <c r="CE345" s="39"/>
      <c r="CF345" s="39"/>
      <c r="CG345" s="39"/>
      <c r="CH345" s="274"/>
      <c r="CI345" s="274"/>
      <c r="CJ345" s="274"/>
      <c r="CK345" s="39"/>
      <c r="CL345" s="39"/>
      <c r="CM345" s="39"/>
      <c r="CN345" s="39"/>
      <c r="CO345" s="39"/>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274"/>
      <c r="DM345" s="274"/>
      <c r="DN345" s="274"/>
      <c r="DO345" s="274"/>
      <c r="DP345" s="274"/>
      <c r="DQ345" s="274"/>
      <c r="DR345" s="274"/>
      <c r="DS345" s="274"/>
      <c r="DT345" s="274"/>
      <c r="DU345" s="274"/>
      <c r="DV345" s="274"/>
      <c r="DW345" s="274"/>
      <c r="DX345" s="274"/>
      <c r="DY345" s="274"/>
      <c r="DZ345" s="274"/>
      <c r="EA345" s="274"/>
      <c r="EB345" s="274"/>
      <c r="EC345" s="274"/>
      <c r="ED345" s="39">
        <f t="shared" si="113"/>
        <v>2037594.0191039997</v>
      </c>
      <c r="EE345" s="30">
        <f t="shared" si="114"/>
        <v>4</v>
      </c>
      <c r="EF345" s="39">
        <f t="shared" si="115"/>
        <v>509398.50477599993</v>
      </c>
    </row>
    <row r="346" spans="1:136" x14ac:dyDescent="0.25">
      <c r="A346" s="25" t="e">
        <f>#REF!</f>
        <v>#REF!</v>
      </c>
      <c r="B346" s="50" t="e">
        <f>#REF!</f>
        <v>#REF!</v>
      </c>
      <c r="C346" s="5" t="e">
        <f>#REF!</f>
        <v>#REF!</v>
      </c>
      <c r="D346" s="5" t="e">
        <f>#REF!</f>
        <v>#REF!</v>
      </c>
      <c r="E346" s="252">
        <v>1</v>
      </c>
      <c r="F346" s="249">
        <v>0</v>
      </c>
      <c r="G346" s="249">
        <v>0</v>
      </c>
      <c r="H346" s="249">
        <v>0</v>
      </c>
      <c r="I346" s="249">
        <v>0</v>
      </c>
      <c r="J346" s="249">
        <v>0</v>
      </c>
      <c r="K346" s="249">
        <v>0</v>
      </c>
      <c r="L346" s="274"/>
      <c r="M346" s="274"/>
      <c r="N346" s="255">
        <v>4600000</v>
      </c>
      <c r="O346" s="135">
        <f>+N346*0.19</f>
        <v>874000</v>
      </c>
      <c r="P346" s="135">
        <f>+N346+O346</f>
        <v>5474000</v>
      </c>
      <c r="Q346" s="131"/>
      <c r="R346" s="131"/>
      <c r="S346" s="11"/>
      <c r="T346" s="274"/>
      <c r="U346" s="274"/>
      <c r="V346" s="274"/>
      <c r="W346" s="39"/>
      <c r="X346" s="11"/>
      <c r="Y346" s="11"/>
      <c r="Z346" s="274"/>
      <c r="AA346" s="274"/>
      <c r="AB346" s="274"/>
      <c r="AC346" s="52"/>
      <c r="AD346" s="22"/>
      <c r="AE346" s="39"/>
      <c r="AF346" s="274"/>
      <c r="AG346" s="274"/>
      <c r="AH346" s="171"/>
      <c r="AI346" s="4"/>
      <c r="AJ346" s="39"/>
      <c r="AK346" s="39"/>
      <c r="AL346" s="118"/>
      <c r="AM346" s="152"/>
      <c r="AN346" s="181"/>
      <c r="AO346" s="131"/>
      <c r="AP346" s="131"/>
      <c r="AQ346" s="39"/>
      <c r="AR346" s="274"/>
      <c r="AS346" s="274"/>
      <c r="AT346" s="274"/>
      <c r="AU346" s="39"/>
      <c r="AV346" s="39"/>
      <c r="AW346" s="39"/>
      <c r="AX346" s="274"/>
      <c r="AY346" s="274"/>
      <c r="AZ346" s="274"/>
      <c r="BA346" s="39"/>
      <c r="BB346" s="62"/>
      <c r="BC346" s="39"/>
      <c r="BD346" s="274"/>
      <c r="BE346" s="274"/>
      <c r="BF346" s="274"/>
      <c r="BG346" s="39"/>
      <c r="BH346" s="39"/>
      <c r="BI346" s="39"/>
      <c r="BJ346" s="274">
        <v>5409600</v>
      </c>
      <c r="BK346" s="274">
        <f>+BJ346*0.19</f>
        <v>1027824</v>
      </c>
      <c r="BL346" s="274">
        <f>+BJ346+BK346</f>
        <v>6437424</v>
      </c>
      <c r="BM346" s="214" t="s">
        <v>445</v>
      </c>
      <c r="BN346" s="213" t="s">
        <v>2925</v>
      </c>
      <c r="BO346" s="39"/>
      <c r="BP346" s="274"/>
      <c r="BQ346" s="274"/>
      <c r="BR346" s="274"/>
      <c r="BS346" s="39"/>
      <c r="BT346" s="39"/>
      <c r="BU346" s="39"/>
      <c r="BV346" s="219">
        <v>5794249.608</v>
      </c>
      <c r="BW346" s="219">
        <f>+BV346*0.19</f>
        <v>1100907.42552</v>
      </c>
      <c r="BX346" s="273">
        <f>+BV346+BW346</f>
        <v>6895157.0335200001</v>
      </c>
      <c r="BY346" s="214" t="s">
        <v>445</v>
      </c>
      <c r="BZ346" s="213" t="s">
        <v>2925</v>
      </c>
      <c r="CA346" s="213"/>
      <c r="CB346" s="274"/>
      <c r="CC346" s="274"/>
      <c r="CD346" s="274"/>
      <c r="CE346" s="39"/>
      <c r="CF346" s="39"/>
      <c r="CG346" s="39"/>
      <c r="CH346" s="274"/>
      <c r="CI346" s="274"/>
      <c r="CJ346" s="274"/>
      <c r="CK346" s="39"/>
      <c r="CL346" s="39"/>
      <c r="CM346" s="39"/>
      <c r="CN346" s="39"/>
      <c r="CO346" s="39"/>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274"/>
      <c r="DM346" s="274"/>
      <c r="DN346" s="274"/>
      <c r="DO346" s="274"/>
      <c r="DP346" s="274"/>
      <c r="DQ346" s="274"/>
      <c r="DR346" s="274"/>
      <c r="DS346" s="274"/>
      <c r="DT346" s="274"/>
      <c r="DU346" s="274"/>
      <c r="DV346" s="274"/>
      <c r="DW346" s="274"/>
      <c r="DX346" s="274"/>
      <c r="DY346" s="274"/>
      <c r="DZ346" s="274"/>
      <c r="EA346" s="274"/>
      <c r="EB346" s="274"/>
      <c r="EC346" s="274"/>
      <c r="ED346" s="39">
        <f t="shared" si="113"/>
        <v>18806581.033519998</v>
      </c>
      <c r="EE346" s="30">
        <f t="shared" si="114"/>
        <v>3</v>
      </c>
      <c r="EF346" s="39">
        <f t="shared" si="115"/>
        <v>6268860.3445066661</v>
      </c>
    </row>
    <row r="347" spans="1:136" x14ac:dyDescent="0.25">
      <c r="A347" s="25" t="e">
        <f>#REF!</f>
        <v>#REF!</v>
      </c>
      <c r="B347" s="50" t="e">
        <f>#REF!</f>
        <v>#REF!</v>
      </c>
      <c r="C347" s="5" t="e">
        <f>#REF!</f>
        <v>#REF!</v>
      </c>
      <c r="D347" s="5" t="e">
        <f>#REF!</f>
        <v>#REF!</v>
      </c>
      <c r="E347" s="252">
        <v>1</v>
      </c>
      <c r="F347" s="249">
        <v>29750</v>
      </c>
      <c r="G347" s="249">
        <v>0</v>
      </c>
      <c r="H347" s="249">
        <v>29750</v>
      </c>
      <c r="I347" s="249">
        <v>0</v>
      </c>
      <c r="J347" s="249">
        <v>0</v>
      </c>
      <c r="K347" s="249">
        <v>0</v>
      </c>
      <c r="L347" s="274">
        <f>AVERAGE(F347,H347)</f>
        <v>29750</v>
      </c>
      <c r="M347" s="274"/>
      <c r="N347" s="255"/>
      <c r="O347" s="135"/>
      <c r="P347" s="135"/>
      <c r="Q347" s="131"/>
      <c r="R347" s="131"/>
      <c r="S347" s="11"/>
      <c r="T347" s="274"/>
      <c r="U347" s="274"/>
      <c r="V347" s="274"/>
      <c r="W347" s="39"/>
      <c r="X347" s="11"/>
      <c r="Y347" s="11"/>
      <c r="Z347" s="274"/>
      <c r="AA347" s="274"/>
      <c r="AB347" s="274"/>
      <c r="AC347" s="52"/>
      <c r="AD347" s="22"/>
      <c r="AE347" s="39"/>
      <c r="AF347" s="274"/>
      <c r="AG347" s="274"/>
      <c r="AH347" s="171"/>
      <c r="AI347" s="4"/>
      <c r="AJ347" s="39"/>
      <c r="AK347" s="39"/>
      <c r="AL347" s="118"/>
      <c r="AM347" s="152"/>
      <c r="AN347" s="181"/>
      <c r="AO347" s="131"/>
      <c r="AP347" s="131"/>
      <c r="AQ347" s="39"/>
      <c r="AR347" s="274"/>
      <c r="AS347" s="274"/>
      <c r="AT347" s="274"/>
      <c r="AU347" s="39"/>
      <c r="AV347" s="39"/>
      <c r="AW347" s="39"/>
      <c r="AX347" s="274"/>
      <c r="AY347" s="274"/>
      <c r="AZ347" s="274"/>
      <c r="BA347" s="39"/>
      <c r="BB347" s="62"/>
      <c r="BC347" s="39"/>
      <c r="BD347" s="274"/>
      <c r="BE347" s="274"/>
      <c r="BF347" s="274"/>
      <c r="BG347" s="39"/>
      <c r="BH347" s="39"/>
      <c r="BI347" s="39"/>
      <c r="BJ347" s="274"/>
      <c r="BK347" s="274"/>
      <c r="BL347" s="274"/>
      <c r="BM347" s="213"/>
      <c r="BN347" s="213"/>
      <c r="BO347" s="39"/>
      <c r="BP347" s="274"/>
      <c r="BQ347" s="274"/>
      <c r="BR347" s="274"/>
      <c r="BS347" s="39"/>
      <c r="BT347" s="39"/>
      <c r="BU347" s="39"/>
      <c r="BV347" s="212"/>
      <c r="BW347" s="221"/>
      <c r="BX347" s="273"/>
      <c r="BY347" s="213"/>
      <c r="BZ347" s="213"/>
      <c r="CA347" s="213"/>
      <c r="CB347" s="274"/>
      <c r="CC347" s="274"/>
      <c r="CD347" s="274"/>
      <c r="CE347" s="39"/>
      <c r="CF347" s="39"/>
      <c r="CG347" s="39"/>
      <c r="CH347" s="274"/>
      <c r="CI347" s="274"/>
      <c r="CJ347" s="274"/>
      <c r="CK347" s="39"/>
      <c r="CL347" s="39"/>
      <c r="CM347" s="39"/>
      <c r="CN347" s="39"/>
      <c r="CO347" s="39"/>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274"/>
      <c r="DM347" s="274"/>
      <c r="DN347" s="274"/>
      <c r="DO347" s="274"/>
      <c r="DP347" s="274"/>
      <c r="DQ347" s="274"/>
      <c r="DR347" s="274"/>
      <c r="DS347" s="274"/>
      <c r="DT347" s="274"/>
      <c r="DU347" s="274"/>
      <c r="DV347" s="274"/>
      <c r="DW347" s="274"/>
      <c r="DX347" s="274"/>
      <c r="DY347" s="274"/>
      <c r="DZ347" s="274"/>
      <c r="EA347" s="274"/>
      <c r="EB347" s="274"/>
      <c r="EC347" s="274"/>
      <c r="ED347" s="39">
        <f t="shared" si="113"/>
        <v>0</v>
      </c>
      <c r="EE347" s="30">
        <f t="shared" si="114"/>
        <v>0</v>
      </c>
      <c r="EF347" s="39" t="str">
        <f t="shared" si="115"/>
        <v xml:space="preserve"> </v>
      </c>
    </row>
    <row r="348" spans="1:136" x14ac:dyDescent="0.25">
      <c r="A348" s="25" t="e">
        <f>#REF!</f>
        <v>#REF!</v>
      </c>
      <c r="B348" s="50" t="e">
        <f>#REF!</f>
        <v>#REF!</v>
      </c>
      <c r="C348" s="5" t="e">
        <f>#REF!</f>
        <v>#REF!</v>
      </c>
      <c r="D348" s="5" t="e">
        <f>#REF!</f>
        <v>#REF!</v>
      </c>
      <c r="E348" s="252">
        <v>1</v>
      </c>
      <c r="F348" s="249">
        <v>574175</v>
      </c>
      <c r="G348" s="249">
        <v>556920</v>
      </c>
      <c r="H348" s="249">
        <v>645011.17800000007</v>
      </c>
      <c r="I348" s="249">
        <v>0</v>
      </c>
      <c r="J348" s="249">
        <v>584766</v>
      </c>
      <c r="K348" s="249">
        <v>583100</v>
      </c>
      <c r="L348" s="274">
        <f>AVERAGE(F348,H348,J348)</f>
        <v>601317.39266666665</v>
      </c>
      <c r="M348" s="274">
        <f>AVERAGE(G348,K348)*E1</f>
        <v>587110.30000000005</v>
      </c>
      <c r="N348" s="255"/>
      <c r="O348" s="135"/>
      <c r="P348" s="135"/>
      <c r="Q348" s="131"/>
      <c r="R348" s="131"/>
      <c r="S348" s="11"/>
      <c r="T348" s="274"/>
      <c r="U348" s="274"/>
      <c r="V348" s="274"/>
      <c r="W348" s="39"/>
      <c r="X348" s="11"/>
      <c r="Y348" s="11"/>
      <c r="Z348" s="274"/>
      <c r="AA348" s="274"/>
      <c r="AB348" s="274"/>
      <c r="AC348" s="52"/>
      <c r="AD348" s="22"/>
      <c r="AE348" s="39"/>
      <c r="AF348" s="274"/>
      <c r="AG348" s="274"/>
      <c r="AH348" s="171"/>
      <c r="AI348" s="4"/>
      <c r="AJ348" s="39"/>
      <c r="AK348" s="39"/>
      <c r="AL348" s="118"/>
      <c r="AM348" s="152"/>
      <c r="AN348" s="181"/>
      <c r="AO348" s="131"/>
      <c r="AP348" s="131"/>
      <c r="AQ348" s="39"/>
      <c r="AR348" s="274"/>
      <c r="AS348" s="274"/>
      <c r="AT348" s="274"/>
      <c r="AU348" s="39"/>
      <c r="AV348" s="39"/>
      <c r="AW348" s="39"/>
      <c r="AX348" s="274"/>
      <c r="AY348" s="274"/>
      <c r="AZ348" s="274"/>
      <c r="BA348" s="39"/>
      <c r="BB348" s="62"/>
      <c r="BC348" s="39"/>
      <c r="BD348" s="274"/>
      <c r="BE348" s="274"/>
      <c r="BF348" s="274"/>
      <c r="BG348" s="39"/>
      <c r="BH348" s="39"/>
      <c r="BI348" s="39"/>
      <c r="BJ348" s="274"/>
      <c r="BK348" s="274"/>
      <c r="BL348" s="274"/>
      <c r="BM348" s="213"/>
      <c r="BN348" s="213"/>
      <c r="BO348" s="39"/>
      <c r="BP348" s="274"/>
      <c r="BQ348" s="274"/>
      <c r="BR348" s="274"/>
      <c r="BS348" s="39"/>
      <c r="BT348" s="39"/>
      <c r="BU348" s="39"/>
      <c r="BV348" s="212"/>
      <c r="BW348" s="221"/>
      <c r="BX348" s="273"/>
      <c r="BY348" s="213"/>
      <c r="BZ348" s="213"/>
      <c r="CA348" s="213"/>
      <c r="CB348" s="274"/>
      <c r="CC348" s="274"/>
      <c r="CD348" s="274"/>
      <c r="CE348" s="39"/>
      <c r="CF348" s="39"/>
      <c r="CG348" s="39"/>
      <c r="CH348" s="274"/>
      <c r="CI348" s="274"/>
      <c r="CJ348" s="274"/>
      <c r="CK348" s="39"/>
      <c r="CL348" s="39"/>
      <c r="CM348" s="39"/>
      <c r="CN348" s="39"/>
      <c r="CO348" s="39"/>
      <c r="CP348" s="11"/>
      <c r="CQ348" s="11"/>
      <c r="CR348" s="11"/>
      <c r="CS348" s="11"/>
      <c r="CT348" s="11"/>
      <c r="CU348" s="11"/>
      <c r="CV348" s="11"/>
      <c r="CW348" s="11"/>
      <c r="CX348" s="11"/>
      <c r="CY348" s="11"/>
      <c r="CZ348" s="11"/>
      <c r="DA348" s="32"/>
      <c r="DB348" s="67"/>
      <c r="DC348" s="67"/>
      <c r="DD348" s="65"/>
      <c r="DE348" s="65"/>
      <c r="DF348" s="65"/>
      <c r="DG348" s="65"/>
      <c r="DH348" s="65"/>
      <c r="DI348" s="65"/>
      <c r="DJ348" s="65"/>
      <c r="DK348" s="65"/>
      <c r="DL348" s="61"/>
      <c r="DM348" s="61"/>
      <c r="DN348" s="61"/>
      <c r="DO348" s="61"/>
      <c r="DP348" s="61"/>
      <c r="DQ348" s="61"/>
      <c r="DR348" s="61"/>
      <c r="DS348" s="61"/>
      <c r="DT348" s="61"/>
      <c r="DU348" s="61"/>
      <c r="DV348" s="61"/>
      <c r="DW348" s="61"/>
      <c r="DX348" s="61"/>
      <c r="DY348" s="61"/>
      <c r="DZ348" s="61"/>
      <c r="EA348" s="61"/>
      <c r="EB348" s="61"/>
      <c r="EC348" s="61"/>
      <c r="ED348" s="39">
        <f t="shared" si="113"/>
        <v>587110.30000000005</v>
      </c>
      <c r="EE348" s="30">
        <f t="shared" si="114"/>
        <v>1</v>
      </c>
      <c r="EF348" s="39">
        <f t="shared" si="115"/>
        <v>587110.30000000005</v>
      </c>
    </row>
    <row r="349" spans="1:136" x14ac:dyDescent="0.25">
      <c r="A349" s="25" t="e">
        <f>#REF!</f>
        <v>#REF!</v>
      </c>
      <c r="B349" s="50" t="e">
        <f>#REF!</f>
        <v>#REF!</v>
      </c>
      <c r="C349" s="5" t="e">
        <f>#REF!</f>
        <v>#REF!</v>
      </c>
      <c r="D349" s="5" t="e">
        <f>#REF!</f>
        <v>#REF!</v>
      </c>
      <c r="E349" s="252">
        <v>1</v>
      </c>
      <c r="F349" s="249">
        <v>0</v>
      </c>
      <c r="G349" s="249">
        <v>0</v>
      </c>
      <c r="H349" s="249">
        <v>0</v>
      </c>
      <c r="I349" s="249">
        <v>0</v>
      </c>
      <c r="J349" s="249">
        <v>491425</v>
      </c>
      <c r="K349" s="249">
        <v>0</v>
      </c>
      <c r="L349" s="274">
        <f>J349</f>
        <v>491425</v>
      </c>
      <c r="M349" s="274"/>
      <c r="N349" s="255">
        <v>300000</v>
      </c>
      <c r="O349" s="135">
        <f>+N349*0.19</f>
        <v>57000</v>
      </c>
      <c r="P349" s="135">
        <f>+N349+O349</f>
        <v>357000</v>
      </c>
      <c r="Q349" s="131"/>
      <c r="R349" s="131"/>
      <c r="S349" s="11"/>
      <c r="T349" s="274"/>
      <c r="U349" s="274"/>
      <c r="V349" s="274"/>
      <c r="W349" s="39"/>
      <c r="X349" s="11"/>
      <c r="Y349" s="11"/>
      <c r="Z349" s="274"/>
      <c r="AA349" s="274"/>
      <c r="AB349" s="274"/>
      <c r="AC349" s="52"/>
      <c r="AD349" s="22"/>
      <c r="AE349" s="39"/>
      <c r="AF349" s="274"/>
      <c r="AG349" s="274"/>
      <c r="AH349" s="171"/>
      <c r="AI349" s="4"/>
      <c r="AJ349" s="39"/>
      <c r="AK349" s="39"/>
      <c r="AL349" s="118"/>
      <c r="AM349" s="152"/>
      <c r="AN349" s="181"/>
      <c r="AO349" s="131"/>
      <c r="AP349" s="131"/>
      <c r="AQ349" s="39"/>
      <c r="AR349" s="274"/>
      <c r="AS349" s="274"/>
      <c r="AT349" s="274"/>
      <c r="AU349" s="39"/>
      <c r="AV349" s="39"/>
      <c r="AW349" s="39"/>
      <c r="AX349" s="274"/>
      <c r="AY349" s="274"/>
      <c r="AZ349" s="274"/>
      <c r="BA349" s="39"/>
      <c r="BB349" s="62"/>
      <c r="BC349" s="39"/>
      <c r="BD349" s="274"/>
      <c r="BE349" s="274"/>
      <c r="BF349" s="274"/>
      <c r="BG349" s="39"/>
      <c r="BH349" s="39"/>
      <c r="BI349" s="39"/>
      <c r="BJ349" s="274"/>
      <c r="BK349" s="274"/>
      <c r="BL349" s="274"/>
      <c r="BM349" s="213"/>
      <c r="BN349" s="213"/>
      <c r="BO349" s="39"/>
      <c r="BP349" s="274"/>
      <c r="BQ349" s="274"/>
      <c r="BR349" s="274"/>
      <c r="BS349" s="39"/>
      <c r="BT349" s="39"/>
      <c r="BU349" s="39"/>
      <c r="BV349" s="212"/>
      <c r="BW349" s="221"/>
      <c r="BX349" s="273"/>
      <c r="BY349" s="213"/>
      <c r="BZ349" s="213"/>
      <c r="CA349" s="213"/>
      <c r="CB349" s="274"/>
      <c r="CC349" s="274"/>
      <c r="CD349" s="274"/>
      <c r="CE349" s="39"/>
      <c r="CF349" s="39"/>
      <c r="CG349" s="39"/>
      <c r="CH349" s="274"/>
      <c r="CI349" s="274"/>
      <c r="CJ349" s="274"/>
      <c r="CK349" s="39"/>
      <c r="CL349" s="39"/>
      <c r="CM349" s="39"/>
      <c r="CN349" s="39"/>
      <c r="CO349" s="39"/>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274"/>
      <c r="DM349" s="274"/>
      <c r="DN349" s="274"/>
      <c r="DO349" s="274"/>
      <c r="DP349" s="274"/>
      <c r="DQ349" s="274"/>
      <c r="DR349" s="274"/>
      <c r="DS349" s="274"/>
      <c r="DT349" s="274"/>
      <c r="DU349" s="274"/>
      <c r="DV349" s="274"/>
      <c r="DW349" s="274"/>
      <c r="DX349" s="274"/>
      <c r="DY349" s="274"/>
      <c r="DZ349" s="274"/>
      <c r="EA349" s="274"/>
      <c r="EB349" s="274"/>
      <c r="EC349" s="274"/>
      <c r="ED349" s="39">
        <f t="shared" si="113"/>
        <v>357000</v>
      </c>
      <c r="EE349" s="30">
        <f t="shared" si="114"/>
        <v>1</v>
      </c>
      <c r="EF349" s="39">
        <f t="shared" si="115"/>
        <v>357000</v>
      </c>
    </row>
    <row r="350" spans="1:136" x14ac:dyDescent="0.25">
      <c r="A350" s="25" t="e">
        <f>#REF!</f>
        <v>#REF!</v>
      </c>
      <c r="B350" s="50" t="e">
        <f>#REF!</f>
        <v>#REF!</v>
      </c>
      <c r="C350" s="5" t="e">
        <f>#REF!</f>
        <v>#REF!</v>
      </c>
      <c r="D350" s="5" t="e">
        <f>#REF!</f>
        <v>#REF!</v>
      </c>
      <c r="E350" s="252">
        <v>1</v>
      </c>
      <c r="F350" s="249">
        <v>178500</v>
      </c>
      <c r="G350" s="249">
        <v>175763</v>
      </c>
      <c r="H350" s="249">
        <v>80827.223633333342</v>
      </c>
      <c r="I350" s="249">
        <v>0</v>
      </c>
      <c r="J350" s="249">
        <v>991855.87666666659</v>
      </c>
      <c r="K350" s="249">
        <v>928200</v>
      </c>
      <c r="L350" s="274">
        <f>AVERAGE(F350,H350,J350)</f>
        <v>417061.03343333333</v>
      </c>
      <c r="M350" s="274">
        <f>AVERAGE(G350,K350)*E1</f>
        <v>568540.94500000007</v>
      </c>
      <c r="N350" s="255">
        <v>50000</v>
      </c>
      <c r="O350" s="135">
        <f>+N350*0.19</f>
        <v>9500</v>
      </c>
      <c r="P350" s="135">
        <f>+N350+O350</f>
        <v>59500</v>
      </c>
      <c r="Q350" s="131"/>
      <c r="R350" s="131"/>
      <c r="S350" s="11"/>
      <c r="T350" s="274"/>
      <c r="U350" s="274"/>
      <c r="V350" s="274"/>
      <c r="W350" s="39"/>
      <c r="X350" s="11"/>
      <c r="Y350" s="11"/>
      <c r="Z350" s="274"/>
      <c r="AA350" s="274"/>
      <c r="AB350" s="274"/>
      <c r="AC350" s="54"/>
      <c r="AD350" s="23"/>
      <c r="AE350" s="39"/>
      <c r="AF350" s="274"/>
      <c r="AG350" s="274"/>
      <c r="AH350" s="172"/>
      <c r="AI350" s="24"/>
      <c r="AJ350" s="39"/>
      <c r="AK350" s="39"/>
      <c r="AL350" s="118"/>
      <c r="AM350" s="186"/>
      <c r="AN350" s="189"/>
      <c r="AO350" s="185"/>
      <c r="AP350" s="131"/>
      <c r="AQ350" s="39"/>
      <c r="AR350" s="182"/>
      <c r="AS350" s="183"/>
      <c r="AT350" s="201"/>
      <c r="AU350" s="39"/>
      <c r="AV350" s="39"/>
      <c r="AW350" s="39"/>
      <c r="AX350" s="274"/>
      <c r="AY350" s="274"/>
      <c r="AZ350" s="274"/>
      <c r="BA350" s="39"/>
      <c r="BB350" s="62"/>
      <c r="BC350" s="39"/>
      <c r="BD350" s="274"/>
      <c r="BE350" s="274"/>
      <c r="BF350" s="274"/>
      <c r="BG350" s="39"/>
      <c r="BH350" s="39"/>
      <c r="BI350" s="39"/>
      <c r="BJ350" s="274"/>
      <c r="BK350" s="274"/>
      <c r="BL350" s="274"/>
      <c r="BM350" s="213"/>
      <c r="BN350" s="213"/>
      <c r="BO350" s="39"/>
      <c r="BP350" s="274"/>
      <c r="BQ350" s="274"/>
      <c r="BR350" s="274"/>
      <c r="BS350" s="39"/>
      <c r="BT350" s="39"/>
      <c r="BU350" s="39"/>
      <c r="BV350" s="212"/>
      <c r="BW350" s="221"/>
      <c r="BX350" s="273"/>
      <c r="BY350" s="213"/>
      <c r="BZ350" s="213"/>
      <c r="CA350" s="213"/>
      <c r="CB350" s="274"/>
      <c r="CC350" s="274"/>
      <c r="CD350" s="274"/>
      <c r="CE350" s="39"/>
      <c r="CF350" s="39"/>
      <c r="CG350" s="39"/>
      <c r="CH350" s="274"/>
      <c r="CI350" s="274"/>
      <c r="CJ350" s="274"/>
      <c r="CK350" s="39"/>
      <c r="CL350" s="39"/>
      <c r="CM350" s="39"/>
      <c r="CN350" s="39"/>
      <c r="CO350" s="39"/>
      <c r="CP350" s="11"/>
      <c r="CQ350" s="11"/>
      <c r="CR350" s="11"/>
      <c r="CS350" s="11"/>
      <c r="CT350" s="11"/>
      <c r="CU350" s="11"/>
      <c r="CV350" s="11"/>
      <c r="CW350" s="11"/>
      <c r="CX350" s="11"/>
      <c r="CY350" s="11"/>
      <c r="CZ350" s="68"/>
      <c r="DA350" s="111"/>
      <c r="DB350" s="67"/>
      <c r="DC350" s="67"/>
      <c r="DD350" s="65"/>
      <c r="DE350" s="65"/>
      <c r="DF350" s="65"/>
      <c r="DG350" s="65"/>
      <c r="DH350" s="65"/>
      <c r="DI350" s="65"/>
      <c r="DJ350" s="65"/>
      <c r="DK350" s="65"/>
      <c r="DL350" s="61"/>
      <c r="DM350" s="61"/>
      <c r="DN350" s="61"/>
      <c r="DO350" s="61"/>
      <c r="DP350" s="61"/>
      <c r="DQ350" s="61"/>
      <c r="DR350" s="61"/>
      <c r="DS350" s="61"/>
      <c r="DT350" s="61"/>
      <c r="DU350" s="61"/>
      <c r="DV350" s="61"/>
      <c r="DW350" s="61"/>
      <c r="DX350" s="61"/>
      <c r="DY350" s="61"/>
      <c r="DZ350" s="61"/>
      <c r="EA350" s="61"/>
      <c r="EB350" s="61"/>
      <c r="EC350" s="61"/>
      <c r="ED350" s="39">
        <f t="shared" si="113"/>
        <v>628040.94500000007</v>
      </c>
      <c r="EE350" s="30">
        <f t="shared" si="114"/>
        <v>2</v>
      </c>
      <c r="EF350" s="39">
        <f t="shared" si="115"/>
        <v>314020.47250000003</v>
      </c>
    </row>
    <row r="351" spans="1:136" x14ac:dyDescent="0.25">
      <c r="A351" s="25" t="e">
        <f>#REF!</f>
        <v>#REF!</v>
      </c>
      <c r="B351" s="50" t="e">
        <f>#REF!</f>
        <v>#REF!</v>
      </c>
      <c r="C351" s="5" t="e">
        <f>#REF!</f>
        <v>#REF!</v>
      </c>
      <c r="D351" s="5" t="e">
        <f>#REF!</f>
        <v>#REF!</v>
      </c>
      <c r="E351" s="252">
        <v>1</v>
      </c>
      <c r="F351" s="249">
        <v>699720</v>
      </c>
      <c r="G351" s="249">
        <v>0</v>
      </c>
      <c r="H351" s="249">
        <v>702100</v>
      </c>
      <c r="I351" s="249">
        <v>0</v>
      </c>
      <c r="J351" s="249">
        <v>773500</v>
      </c>
      <c r="K351" s="249">
        <v>773500</v>
      </c>
      <c r="L351" s="274">
        <f>AVERAGE(F351,H351,J351)</f>
        <v>725106.66666666663</v>
      </c>
      <c r="M351" s="274">
        <f>K351*E1</f>
        <v>796705</v>
      </c>
      <c r="N351" s="255"/>
      <c r="O351" s="135"/>
      <c r="P351" s="135"/>
      <c r="Q351" s="131"/>
      <c r="R351" s="131"/>
      <c r="S351" s="11"/>
      <c r="T351" s="274"/>
      <c r="U351" s="274"/>
      <c r="V351" s="274"/>
      <c r="W351" s="39"/>
      <c r="X351" s="11"/>
      <c r="Y351" s="11"/>
      <c r="Z351" s="274"/>
      <c r="AA351" s="274"/>
      <c r="AB351" s="274"/>
      <c r="AC351" s="52"/>
      <c r="AD351" s="22"/>
      <c r="AE351" s="39"/>
      <c r="AF351" s="274"/>
      <c r="AG351" s="274"/>
      <c r="AH351" s="113"/>
      <c r="AI351" s="22"/>
      <c r="AJ351" s="39"/>
      <c r="AK351" s="39"/>
      <c r="AL351" s="118"/>
      <c r="AM351" s="192"/>
      <c r="AN351" s="118"/>
      <c r="AO351" s="131"/>
      <c r="AP351" s="131"/>
      <c r="AQ351" s="131"/>
      <c r="AR351" s="118"/>
      <c r="AS351" s="118"/>
      <c r="AT351" s="118"/>
      <c r="AU351" s="131"/>
      <c r="AV351" s="131"/>
      <c r="AW351" s="131"/>
      <c r="AX351" s="274"/>
      <c r="AY351" s="118"/>
      <c r="AZ351" s="118"/>
      <c r="BA351" s="131"/>
      <c r="BB351" s="62"/>
      <c r="BC351" s="39"/>
      <c r="BD351" s="274"/>
      <c r="BE351" s="118"/>
      <c r="BF351" s="118"/>
      <c r="BG351" s="131"/>
      <c r="BH351" s="131"/>
      <c r="BI351" s="131"/>
      <c r="BJ351" s="118"/>
      <c r="BK351" s="274"/>
      <c r="BL351" s="274"/>
      <c r="BM351" s="213"/>
      <c r="BN351" s="213"/>
      <c r="BO351" s="131"/>
      <c r="BP351" s="274"/>
      <c r="BQ351" s="274"/>
      <c r="BR351" s="274"/>
      <c r="BS351" s="39"/>
      <c r="BT351" s="39"/>
      <c r="BU351" s="38"/>
      <c r="BV351" s="212"/>
      <c r="BW351" s="221"/>
      <c r="BX351" s="273"/>
      <c r="BY351" s="213"/>
      <c r="BZ351" s="213"/>
      <c r="CA351" s="213"/>
      <c r="CB351" s="274"/>
      <c r="CC351" s="274"/>
      <c r="CD351" s="274"/>
      <c r="CE351" s="131"/>
      <c r="CF351" s="131"/>
      <c r="CG351" s="131"/>
      <c r="CH351" s="274"/>
      <c r="CI351" s="274"/>
      <c r="CJ351" s="274"/>
      <c r="CK351" s="64"/>
      <c r="CL351" s="131"/>
      <c r="CM351" s="131"/>
      <c r="CN351" s="131"/>
      <c r="CO351" s="13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274"/>
      <c r="DM351" s="274"/>
      <c r="DN351" s="274"/>
      <c r="DO351" s="274"/>
      <c r="DP351" s="274"/>
      <c r="DQ351" s="274"/>
      <c r="DR351" s="274"/>
      <c r="DS351" s="274"/>
      <c r="DT351" s="274"/>
      <c r="DU351" s="274"/>
      <c r="DV351" s="274"/>
      <c r="DW351" s="274"/>
      <c r="DX351" s="274"/>
      <c r="DY351" s="274"/>
      <c r="DZ351" s="274"/>
      <c r="EA351" s="274"/>
      <c r="EB351" s="274"/>
      <c r="EC351" s="274"/>
      <c r="ED351" s="39">
        <f t="shared" si="113"/>
        <v>796705</v>
      </c>
      <c r="EE351" s="30">
        <f t="shared" si="114"/>
        <v>1</v>
      </c>
      <c r="EF351" s="39">
        <f t="shared" si="115"/>
        <v>796705</v>
      </c>
    </row>
    <row r="352" spans="1:136" x14ac:dyDescent="0.25">
      <c r="A352" s="25" t="e">
        <f>#REF!</f>
        <v>#REF!</v>
      </c>
      <c r="B352" s="50" t="e">
        <f>#REF!</f>
        <v>#REF!</v>
      </c>
      <c r="C352" s="5" t="e">
        <f>#REF!</f>
        <v>#REF!</v>
      </c>
      <c r="D352" s="5" t="e">
        <f>#REF!</f>
        <v>#REF!</v>
      </c>
      <c r="E352" s="252">
        <v>1</v>
      </c>
      <c r="F352" s="249">
        <v>0</v>
      </c>
      <c r="G352" s="249">
        <v>0</v>
      </c>
      <c r="H352" s="249">
        <v>0</v>
      </c>
      <c r="I352" s="249">
        <v>0</v>
      </c>
      <c r="J352" s="249">
        <v>0</v>
      </c>
      <c r="K352" s="249">
        <v>0</v>
      </c>
      <c r="L352" s="274"/>
      <c r="M352" s="274"/>
      <c r="N352" s="255"/>
      <c r="O352" s="135"/>
      <c r="P352" s="135"/>
      <c r="Q352" s="131"/>
      <c r="R352" s="131"/>
      <c r="S352" s="11"/>
      <c r="T352" s="274"/>
      <c r="U352" s="274"/>
      <c r="V352" s="274"/>
      <c r="W352" s="39"/>
      <c r="X352" s="11"/>
      <c r="Y352" s="11"/>
      <c r="Z352" s="274"/>
      <c r="AA352" s="274"/>
      <c r="AB352" s="274"/>
      <c r="AC352" s="54"/>
      <c r="AD352" s="23"/>
      <c r="AE352" s="39"/>
      <c r="AF352" s="274"/>
      <c r="AG352" s="274"/>
      <c r="AH352" s="172"/>
      <c r="AI352" s="24"/>
      <c r="AJ352" s="39"/>
      <c r="AK352" s="39"/>
      <c r="AL352" s="118"/>
      <c r="AM352" s="152"/>
      <c r="AN352" s="181"/>
      <c r="AO352" s="131"/>
      <c r="AP352" s="131"/>
      <c r="AQ352" s="39"/>
      <c r="AR352" s="274"/>
      <c r="AS352" s="274"/>
      <c r="AT352" s="274"/>
      <c r="AU352" s="39"/>
      <c r="AV352" s="39"/>
      <c r="AW352" s="39"/>
      <c r="AX352" s="274"/>
      <c r="AY352" s="274"/>
      <c r="AZ352" s="274"/>
      <c r="BA352" s="39"/>
      <c r="BB352" s="62"/>
      <c r="BC352" s="39"/>
      <c r="BD352" s="274"/>
      <c r="BE352" s="274"/>
      <c r="BF352" s="274"/>
      <c r="BG352" s="39"/>
      <c r="BH352" s="39"/>
      <c r="BI352" s="39"/>
      <c r="BJ352" s="274"/>
      <c r="BK352" s="274"/>
      <c r="BL352" s="274"/>
      <c r="BM352" s="213"/>
      <c r="BN352" s="213"/>
      <c r="BO352" s="39"/>
      <c r="BP352" s="274"/>
      <c r="BQ352" s="274"/>
      <c r="BR352" s="274"/>
      <c r="BS352" s="39"/>
      <c r="BT352" s="39"/>
      <c r="BU352" s="39"/>
      <c r="BV352" s="212"/>
      <c r="BW352" s="221"/>
      <c r="BX352" s="273"/>
      <c r="BY352" s="213"/>
      <c r="BZ352" s="213"/>
      <c r="CA352" s="213"/>
      <c r="CB352" s="274"/>
      <c r="CC352" s="274"/>
      <c r="CD352" s="274"/>
      <c r="CE352" s="39"/>
      <c r="CF352" s="39"/>
      <c r="CG352" s="39"/>
      <c r="CH352" s="274"/>
      <c r="CI352" s="274"/>
      <c r="CJ352" s="274"/>
      <c r="CK352" s="39"/>
      <c r="CL352" s="39"/>
      <c r="CM352" s="39"/>
      <c r="CN352" s="39"/>
      <c r="CO352" s="39"/>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274"/>
      <c r="DM352" s="274"/>
      <c r="DN352" s="274"/>
      <c r="DO352" s="274"/>
      <c r="DP352" s="274"/>
      <c r="DQ352" s="274"/>
      <c r="DR352" s="274"/>
      <c r="DS352" s="274"/>
      <c r="DT352" s="274"/>
      <c r="DU352" s="274"/>
      <c r="DV352" s="274"/>
      <c r="DW352" s="274"/>
      <c r="DX352" s="274"/>
      <c r="DY352" s="274"/>
      <c r="DZ352" s="274"/>
      <c r="EA352" s="274"/>
      <c r="EB352" s="274"/>
      <c r="EC352" s="274"/>
      <c r="ED352" s="39">
        <f t="shared" si="113"/>
        <v>0</v>
      </c>
      <c r="EE352" s="30">
        <f t="shared" si="114"/>
        <v>0</v>
      </c>
      <c r="EF352" s="39" t="str">
        <f t="shared" si="115"/>
        <v xml:space="preserve"> </v>
      </c>
    </row>
    <row r="353" spans="1:136" x14ac:dyDescent="0.25">
      <c r="A353" s="25" t="e">
        <f>#REF!</f>
        <v>#REF!</v>
      </c>
      <c r="B353" s="50" t="e">
        <f>#REF!</f>
        <v>#REF!</v>
      </c>
      <c r="C353" s="5" t="e">
        <f>#REF!</f>
        <v>#REF!</v>
      </c>
      <c r="D353" s="5" t="e">
        <f>#REF!</f>
        <v>#REF!</v>
      </c>
      <c r="E353" s="252">
        <v>1</v>
      </c>
      <c r="F353" s="249">
        <v>0</v>
      </c>
      <c r="G353" s="249">
        <v>0</v>
      </c>
      <c r="H353" s="249">
        <v>0</v>
      </c>
      <c r="I353" s="249">
        <v>0</v>
      </c>
      <c r="J353" s="249">
        <v>0</v>
      </c>
      <c r="K353" s="249">
        <v>0</v>
      </c>
      <c r="L353" s="274"/>
      <c r="M353" s="274"/>
      <c r="N353" s="255"/>
      <c r="O353" s="135"/>
      <c r="P353" s="135"/>
      <c r="Q353" s="131"/>
      <c r="R353" s="131"/>
      <c r="S353" s="11"/>
      <c r="T353" s="274"/>
      <c r="U353" s="274"/>
      <c r="V353" s="274"/>
      <c r="W353" s="39"/>
      <c r="X353" s="11"/>
      <c r="Y353" s="11"/>
      <c r="Z353" s="274"/>
      <c r="AA353" s="274"/>
      <c r="AB353" s="274"/>
      <c r="AC353" s="54"/>
      <c r="AD353" s="23"/>
      <c r="AE353" s="39"/>
      <c r="AF353" s="274"/>
      <c r="AG353" s="274"/>
      <c r="AH353" s="172"/>
      <c r="AI353" s="24"/>
      <c r="AJ353" s="39"/>
      <c r="AK353" s="39"/>
      <c r="AL353" s="118"/>
      <c r="AM353" s="152"/>
      <c r="AN353" s="181"/>
      <c r="AO353" s="131"/>
      <c r="AP353" s="131"/>
      <c r="AQ353" s="39"/>
      <c r="AR353" s="274"/>
      <c r="AS353" s="274"/>
      <c r="AT353" s="274"/>
      <c r="AU353" s="39"/>
      <c r="AV353" s="39"/>
      <c r="AW353" s="39"/>
      <c r="AX353" s="274"/>
      <c r="AY353" s="274"/>
      <c r="AZ353" s="274"/>
      <c r="BA353" s="39"/>
      <c r="BB353" s="62"/>
      <c r="BC353" s="39"/>
      <c r="BD353" s="274"/>
      <c r="BE353" s="274"/>
      <c r="BF353" s="274"/>
      <c r="BG353" s="39"/>
      <c r="BH353" s="39"/>
      <c r="BI353" s="39"/>
      <c r="BJ353" s="274"/>
      <c r="BK353" s="274"/>
      <c r="BL353" s="274"/>
      <c r="BM353" s="213"/>
      <c r="BN353" s="213"/>
      <c r="BO353" s="39"/>
      <c r="BP353" s="274"/>
      <c r="BQ353" s="274"/>
      <c r="BR353" s="274"/>
      <c r="BS353" s="39"/>
      <c r="BT353" s="39"/>
      <c r="BU353" s="39"/>
      <c r="BV353" s="212"/>
      <c r="BW353" s="221"/>
      <c r="BX353" s="273"/>
      <c r="BY353" s="213"/>
      <c r="BZ353" s="213"/>
      <c r="CA353" s="213"/>
      <c r="CB353" s="274">
        <v>137752</v>
      </c>
      <c r="CC353" s="274">
        <f>+CB353*0.19</f>
        <v>26172.880000000001</v>
      </c>
      <c r="CD353" s="274">
        <f>+CB353+CC353</f>
        <v>163924.88</v>
      </c>
      <c r="CE353" s="39"/>
      <c r="CF353" s="39"/>
      <c r="CG353" s="39"/>
      <c r="CH353" s="274"/>
      <c r="CI353" s="274"/>
      <c r="CJ353" s="274"/>
      <c r="CK353" s="39"/>
      <c r="CL353" s="39"/>
      <c r="CM353" s="39"/>
      <c r="CN353" s="39"/>
      <c r="CO353" s="39"/>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274"/>
      <c r="DM353" s="274"/>
      <c r="DN353" s="274"/>
      <c r="DO353" s="274"/>
      <c r="DP353" s="274"/>
      <c r="DQ353" s="274"/>
      <c r="DR353" s="274"/>
      <c r="DS353" s="274"/>
      <c r="DT353" s="274"/>
      <c r="DU353" s="274"/>
      <c r="DV353" s="274"/>
      <c r="DW353" s="274"/>
      <c r="DX353" s="274"/>
      <c r="DY353" s="274"/>
      <c r="DZ353" s="274"/>
      <c r="EA353" s="274"/>
      <c r="EB353" s="274"/>
      <c r="EC353" s="274"/>
      <c r="ED353" s="39">
        <f t="shared" si="113"/>
        <v>163924.88</v>
      </c>
      <c r="EE353" s="30">
        <f t="shared" si="114"/>
        <v>1</v>
      </c>
      <c r="EF353" s="39">
        <f t="shared" si="115"/>
        <v>163924.88</v>
      </c>
    </row>
    <row r="354" spans="1:136" x14ac:dyDescent="0.25">
      <c r="A354" s="25" t="e">
        <f>#REF!</f>
        <v>#REF!</v>
      </c>
      <c r="B354" s="50" t="e">
        <f>#REF!</f>
        <v>#REF!</v>
      </c>
      <c r="C354" s="5" t="e">
        <f>#REF!</f>
        <v>#REF!</v>
      </c>
      <c r="D354" s="5" t="e">
        <f>#REF!</f>
        <v>#REF!</v>
      </c>
      <c r="E354" s="252">
        <v>1</v>
      </c>
      <c r="F354" s="249">
        <v>0</v>
      </c>
      <c r="G354" s="249">
        <v>0</v>
      </c>
      <c r="H354" s="249">
        <v>0</v>
      </c>
      <c r="I354" s="249">
        <v>0</v>
      </c>
      <c r="J354" s="249">
        <v>0</v>
      </c>
      <c r="K354" s="249">
        <v>0</v>
      </c>
      <c r="L354" s="274"/>
      <c r="M354" s="274"/>
      <c r="N354" s="255"/>
      <c r="O354" s="135"/>
      <c r="P354" s="135"/>
      <c r="Q354" s="131"/>
      <c r="R354" s="131"/>
      <c r="S354" s="11"/>
      <c r="T354" s="274"/>
      <c r="U354" s="274"/>
      <c r="V354" s="274"/>
      <c r="W354" s="39"/>
      <c r="X354" s="11"/>
      <c r="Y354" s="11"/>
      <c r="Z354" s="274"/>
      <c r="AA354" s="274"/>
      <c r="AB354" s="274"/>
      <c r="AC354" s="52"/>
      <c r="AD354" s="22"/>
      <c r="AE354" s="39"/>
      <c r="AF354" s="274"/>
      <c r="AG354" s="274"/>
      <c r="AH354" s="171"/>
      <c r="AI354" s="4"/>
      <c r="AJ354" s="39"/>
      <c r="AK354" s="39"/>
      <c r="AL354" s="118"/>
      <c r="AM354" s="152"/>
      <c r="AN354" s="181"/>
      <c r="AO354" s="131"/>
      <c r="AP354" s="131"/>
      <c r="AQ354" s="39"/>
      <c r="AR354" s="274"/>
      <c r="AS354" s="274"/>
      <c r="AT354" s="274"/>
      <c r="AU354" s="39"/>
      <c r="AV354" s="39"/>
      <c r="AW354" s="39"/>
      <c r="AX354" s="274"/>
      <c r="AY354" s="274"/>
      <c r="AZ354" s="274"/>
      <c r="BA354" s="39"/>
      <c r="BB354" s="62"/>
      <c r="BC354" s="39"/>
      <c r="BD354" s="274"/>
      <c r="BE354" s="274"/>
      <c r="BF354" s="274"/>
      <c r="BG354" s="39"/>
      <c r="BH354" s="39"/>
      <c r="BI354" s="39"/>
      <c r="BJ354" s="274"/>
      <c r="BK354" s="274"/>
      <c r="BL354" s="274"/>
      <c r="BM354" s="213"/>
      <c r="BN354" s="213"/>
      <c r="BO354" s="39"/>
      <c r="BP354" s="274">
        <v>135000</v>
      </c>
      <c r="BQ354" s="274">
        <f>+BP354*19%</f>
        <v>25650</v>
      </c>
      <c r="BR354" s="274">
        <f>+BQ354+BP354</f>
        <v>160650</v>
      </c>
      <c r="BS354" s="39"/>
      <c r="BT354" s="39"/>
      <c r="BU354" s="39"/>
      <c r="BV354" s="212"/>
      <c r="BW354" s="221"/>
      <c r="BX354" s="273"/>
      <c r="BY354" s="213"/>
      <c r="BZ354" s="213"/>
      <c r="CA354" s="213"/>
      <c r="CB354" s="274"/>
      <c r="CC354" s="274"/>
      <c r="CD354" s="274"/>
      <c r="CE354" s="39"/>
      <c r="CF354" s="39"/>
      <c r="CG354" s="39"/>
      <c r="CH354" s="274"/>
      <c r="CI354" s="274"/>
      <c r="CJ354" s="274"/>
      <c r="CK354" s="39"/>
      <c r="CL354" s="39"/>
      <c r="CM354" s="39"/>
      <c r="CN354" s="39"/>
      <c r="CO354" s="39"/>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274"/>
      <c r="DM354" s="274"/>
      <c r="DN354" s="274"/>
      <c r="DO354" s="274"/>
      <c r="DP354" s="274"/>
      <c r="DQ354" s="274"/>
      <c r="DR354" s="274"/>
      <c r="DS354" s="274"/>
      <c r="DT354" s="274"/>
      <c r="DU354" s="274"/>
      <c r="DV354" s="274"/>
      <c r="DW354" s="274"/>
      <c r="DX354" s="274"/>
      <c r="DY354" s="274"/>
      <c r="DZ354" s="274"/>
      <c r="EA354" s="274"/>
      <c r="EB354" s="274"/>
      <c r="EC354" s="274"/>
      <c r="ED354" s="39">
        <f t="shared" si="113"/>
        <v>160650</v>
      </c>
      <c r="EE354" s="30">
        <f t="shared" si="114"/>
        <v>1</v>
      </c>
      <c r="EF354" s="39">
        <f t="shared" si="115"/>
        <v>160650</v>
      </c>
    </row>
    <row r="355" spans="1:136" x14ac:dyDescent="0.25">
      <c r="A355" s="25" t="e">
        <f>#REF!</f>
        <v>#REF!</v>
      </c>
      <c r="B355" s="50" t="e">
        <f>#REF!</f>
        <v>#REF!</v>
      </c>
      <c r="C355" s="5" t="e">
        <f>#REF!</f>
        <v>#REF!</v>
      </c>
      <c r="D355" s="5" t="e">
        <f>#REF!</f>
        <v>#REF!</v>
      </c>
      <c r="E355" s="252">
        <v>1</v>
      </c>
      <c r="F355" s="249">
        <v>0</v>
      </c>
      <c r="G355" s="249">
        <v>0</v>
      </c>
      <c r="H355" s="249">
        <v>0</v>
      </c>
      <c r="I355" s="249">
        <v>0</v>
      </c>
      <c r="J355" s="249">
        <v>0</v>
      </c>
      <c r="K355" s="249">
        <v>0</v>
      </c>
      <c r="L355" s="274"/>
      <c r="M355" s="274"/>
      <c r="N355" s="255">
        <v>8500</v>
      </c>
      <c r="O355" s="135">
        <f>+N355*0.19</f>
        <v>1615</v>
      </c>
      <c r="P355" s="135">
        <f>+N355+O355</f>
        <v>10115</v>
      </c>
      <c r="Q355" s="131"/>
      <c r="R355" s="131"/>
      <c r="S355" s="11"/>
      <c r="T355" s="274"/>
      <c r="U355" s="274"/>
      <c r="V355" s="274"/>
      <c r="W355" s="39"/>
      <c r="X355" s="11"/>
      <c r="Y355" s="11"/>
      <c r="Z355" s="274"/>
      <c r="AA355" s="274"/>
      <c r="AB355" s="274"/>
      <c r="AC355" s="5"/>
      <c r="AD355" s="5"/>
      <c r="AE355" s="39"/>
      <c r="AF355" s="274"/>
      <c r="AG355" s="274"/>
      <c r="AH355" s="169"/>
      <c r="AI355" s="5"/>
      <c r="AJ355" s="39"/>
      <c r="AK355" s="39"/>
      <c r="AL355" s="118"/>
      <c r="AM355" s="152"/>
      <c r="AN355" s="181"/>
      <c r="AO355" s="131"/>
      <c r="AP355" s="131"/>
      <c r="AQ355" s="39"/>
      <c r="AR355" s="274"/>
      <c r="AS355" s="274"/>
      <c r="AT355" s="274"/>
      <c r="AU355" s="39"/>
      <c r="AV355" s="39"/>
      <c r="AW355" s="39"/>
      <c r="AX355" s="274"/>
      <c r="AY355" s="274"/>
      <c r="AZ355" s="274"/>
      <c r="BA355" s="39"/>
      <c r="BB355" s="62"/>
      <c r="BC355" s="39"/>
      <c r="BD355" s="274"/>
      <c r="BE355" s="274"/>
      <c r="BF355" s="274"/>
      <c r="BG355" s="39"/>
      <c r="BH355" s="39"/>
      <c r="BI355" s="39"/>
      <c r="BJ355" s="274"/>
      <c r="BK355" s="274"/>
      <c r="BL355" s="274"/>
      <c r="BM355" s="213"/>
      <c r="BN355" s="213"/>
      <c r="BO355" s="39"/>
      <c r="BP355" s="274">
        <v>12000</v>
      </c>
      <c r="BQ355" s="274">
        <f>+BP355*19%</f>
        <v>2280</v>
      </c>
      <c r="BR355" s="274">
        <f>+BQ355+BP355</f>
        <v>14280</v>
      </c>
      <c r="BS355" s="39"/>
      <c r="BT355" s="39"/>
      <c r="BU355" s="39"/>
      <c r="BV355" s="212"/>
      <c r="BW355" s="221"/>
      <c r="BX355" s="273"/>
      <c r="BY355" s="213"/>
      <c r="BZ355" s="213"/>
      <c r="CA355" s="213"/>
      <c r="CB355" s="274"/>
      <c r="CC355" s="274"/>
      <c r="CD355" s="274"/>
      <c r="CE355" s="39"/>
      <c r="CF355" s="39"/>
      <c r="CG355" s="39"/>
      <c r="CH355" s="274"/>
      <c r="CI355" s="274"/>
      <c r="CJ355" s="274"/>
      <c r="CK355" s="39"/>
      <c r="CL355" s="39"/>
      <c r="CM355" s="39"/>
      <c r="CN355" s="39"/>
      <c r="CO355" s="39"/>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274"/>
      <c r="DM355" s="274"/>
      <c r="DN355" s="274"/>
      <c r="DO355" s="274"/>
      <c r="DP355" s="274"/>
      <c r="DQ355" s="274"/>
      <c r="DR355" s="274"/>
      <c r="DS355" s="274"/>
      <c r="DT355" s="274"/>
      <c r="DU355" s="274"/>
      <c r="DV355" s="274"/>
      <c r="DW355" s="274"/>
      <c r="DX355" s="274"/>
      <c r="DY355" s="274"/>
      <c r="DZ355" s="274"/>
      <c r="EA355" s="274"/>
      <c r="EB355" s="274"/>
      <c r="EC355" s="274"/>
      <c r="ED355" s="39">
        <f t="shared" si="113"/>
        <v>24395</v>
      </c>
      <c r="EE355" s="30">
        <f t="shared" si="114"/>
        <v>2</v>
      </c>
      <c r="EF355" s="39">
        <f t="shared" si="115"/>
        <v>12197.5</v>
      </c>
    </row>
    <row r="356" spans="1:136" x14ac:dyDescent="0.25">
      <c r="A356" s="25" t="e">
        <f>#REF!</f>
        <v>#REF!</v>
      </c>
      <c r="B356" s="50" t="e">
        <f>#REF!</f>
        <v>#REF!</v>
      </c>
      <c r="C356" s="5" t="e">
        <f>#REF!</f>
        <v>#REF!</v>
      </c>
      <c r="D356" s="5" t="e">
        <f>#REF!</f>
        <v>#REF!</v>
      </c>
      <c r="E356" s="252">
        <v>1</v>
      </c>
      <c r="F356" s="249">
        <v>0</v>
      </c>
      <c r="G356" s="249">
        <v>0</v>
      </c>
      <c r="H356" s="249">
        <v>65450</v>
      </c>
      <c r="I356" s="249">
        <v>65323</v>
      </c>
      <c r="J356" s="249">
        <v>83300</v>
      </c>
      <c r="K356" s="249">
        <v>83062</v>
      </c>
      <c r="L356" s="274">
        <f>AVERAGE(H356,J356)</f>
        <v>74375</v>
      </c>
      <c r="M356" s="274">
        <f>AVERAGE(I356,K356)*E1</f>
        <v>76418.275000000009</v>
      </c>
      <c r="N356" s="255">
        <v>55000</v>
      </c>
      <c r="O356" s="135">
        <f>+N356*0.19</f>
        <v>10450</v>
      </c>
      <c r="P356" s="135">
        <f>+N356+O356</f>
        <v>65450</v>
      </c>
      <c r="Q356" s="131"/>
      <c r="R356" s="131"/>
      <c r="S356" s="11"/>
      <c r="T356" s="274"/>
      <c r="U356" s="274"/>
      <c r="V356" s="274"/>
      <c r="W356" s="39"/>
      <c r="X356" s="11"/>
      <c r="Y356" s="11"/>
      <c r="Z356" s="274"/>
      <c r="AA356" s="274"/>
      <c r="AB356" s="274"/>
      <c r="AC356" s="52"/>
      <c r="AD356" s="22"/>
      <c r="AE356" s="39"/>
      <c r="AF356" s="274"/>
      <c r="AG356" s="274"/>
      <c r="AH356" s="171"/>
      <c r="AI356" s="4"/>
      <c r="AJ356" s="39"/>
      <c r="AK356" s="39"/>
      <c r="AL356" s="118"/>
      <c r="AM356" s="152"/>
      <c r="AN356" s="181"/>
      <c r="AO356" s="131"/>
      <c r="AP356" s="131"/>
      <c r="AQ356" s="39"/>
      <c r="AR356" s="274"/>
      <c r="AS356" s="274"/>
      <c r="AT356" s="274"/>
      <c r="AU356" s="39"/>
      <c r="AV356" s="39"/>
      <c r="AW356" s="39"/>
      <c r="AX356" s="274"/>
      <c r="AY356" s="274"/>
      <c r="AZ356" s="274"/>
      <c r="BA356" s="39"/>
      <c r="BB356" s="62"/>
      <c r="BC356" s="39"/>
      <c r="BD356" s="274"/>
      <c r="BE356" s="274"/>
      <c r="BF356" s="274"/>
      <c r="BG356" s="39"/>
      <c r="BH356" s="39"/>
      <c r="BI356" s="39"/>
      <c r="BJ356" s="274"/>
      <c r="BK356" s="274"/>
      <c r="BL356" s="274"/>
      <c r="BM356" s="213"/>
      <c r="BN356" s="213"/>
      <c r="BO356" s="39"/>
      <c r="BP356" s="274">
        <v>42000</v>
      </c>
      <c r="BQ356" s="274">
        <f>+BP356*19%</f>
        <v>7980</v>
      </c>
      <c r="BR356" s="274">
        <f>+BQ356+BP356</f>
        <v>49980</v>
      </c>
      <c r="BS356" s="39"/>
      <c r="BT356" s="39"/>
      <c r="BU356" s="39"/>
      <c r="BV356" s="212"/>
      <c r="BW356" s="221"/>
      <c r="BX356" s="273"/>
      <c r="BY356" s="213"/>
      <c r="BZ356" s="213"/>
      <c r="CA356" s="213"/>
      <c r="CB356" s="274"/>
      <c r="CC356" s="274"/>
      <c r="CD356" s="274"/>
      <c r="CE356" s="39"/>
      <c r="CF356" s="39"/>
      <c r="CG356" s="39"/>
      <c r="CH356" s="274"/>
      <c r="CI356" s="274"/>
      <c r="CJ356" s="274"/>
      <c r="CK356" s="39"/>
      <c r="CL356" s="39"/>
      <c r="CM356" s="39"/>
      <c r="CN356" s="39"/>
      <c r="CO356" s="39"/>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274"/>
      <c r="DM356" s="274"/>
      <c r="DN356" s="274"/>
      <c r="DO356" s="274"/>
      <c r="DP356" s="274"/>
      <c r="DQ356" s="274"/>
      <c r="DR356" s="274"/>
      <c r="DS356" s="274"/>
      <c r="DT356" s="274"/>
      <c r="DU356" s="274"/>
      <c r="DV356" s="274"/>
      <c r="DW356" s="274"/>
      <c r="DX356" s="274"/>
      <c r="DY356" s="274"/>
      <c r="DZ356" s="274"/>
      <c r="EA356" s="274"/>
      <c r="EB356" s="274"/>
      <c r="EC356" s="274"/>
      <c r="ED356" s="39">
        <f t="shared" si="113"/>
        <v>191848.27500000002</v>
      </c>
      <c r="EE356" s="30">
        <f t="shared" si="114"/>
        <v>3</v>
      </c>
      <c r="EF356" s="39">
        <f t="shared" si="115"/>
        <v>63949.42500000001</v>
      </c>
    </row>
    <row r="357" spans="1:136" x14ac:dyDescent="0.25">
      <c r="A357" s="25" t="e">
        <f>#REF!</f>
        <v>#REF!</v>
      </c>
      <c r="B357" s="50" t="e">
        <f>#REF!</f>
        <v>#REF!</v>
      </c>
      <c r="C357" s="5" t="e">
        <f>#REF!</f>
        <v>#REF!</v>
      </c>
      <c r="D357" s="5" t="e">
        <f>#REF!</f>
        <v>#REF!</v>
      </c>
      <c r="E357" s="252">
        <v>1</v>
      </c>
      <c r="F357" s="249">
        <v>1171852.5</v>
      </c>
      <c r="G357" s="249">
        <v>1142519</v>
      </c>
      <c r="H357" s="249">
        <v>903619.13390000013</v>
      </c>
      <c r="I357" s="249">
        <v>0</v>
      </c>
      <c r="J357" s="249">
        <v>758489.1416666666</v>
      </c>
      <c r="K357" s="249">
        <v>0</v>
      </c>
      <c r="L357" s="274">
        <f>AVERAGE(F357,H357,J357)</f>
        <v>944653.59185555566</v>
      </c>
      <c r="M357" s="274">
        <f>G357*E1</f>
        <v>1176794.57</v>
      </c>
      <c r="N357" s="255">
        <v>1500000</v>
      </c>
      <c r="O357" s="135">
        <f>+N357*0.19</f>
        <v>285000</v>
      </c>
      <c r="P357" s="135">
        <f>+N357+O357</f>
        <v>1785000</v>
      </c>
      <c r="Q357" s="131"/>
      <c r="R357" s="131"/>
      <c r="S357" s="11"/>
      <c r="T357" s="274"/>
      <c r="U357" s="274"/>
      <c r="V357" s="274"/>
      <c r="W357" s="39"/>
      <c r="X357" s="11"/>
      <c r="Y357" s="11"/>
      <c r="Z357" s="274"/>
      <c r="AA357" s="274"/>
      <c r="AB357" s="274"/>
      <c r="AC357" s="52"/>
      <c r="AD357" s="22"/>
      <c r="AE357" s="39"/>
      <c r="AF357" s="274"/>
      <c r="AG357" s="274"/>
      <c r="AH357" s="171"/>
      <c r="AI357" s="4"/>
      <c r="AJ357" s="39"/>
      <c r="AK357" s="39"/>
      <c r="AL357" s="118"/>
      <c r="AM357" s="152"/>
      <c r="AN357" s="181"/>
      <c r="AO357" s="131"/>
      <c r="AP357" s="131"/>
      <c r="AQ357" s="39"/>
      <c r="AR357" s="274"/>
      <c r="AS357" s="274"/>
      <c r="AT357" s="274"/>
      <c r="AU357" s="39"/>
      <c r="AV357" s="39"/>
      <c r="AW357" s="39"/>
      <c r="AX357" s="274"/>
      <c r="AY357" s="274"/>
      <c r="AZ357" s="274"/>
      <c r="BA357" s="39"/>
      <c r="BB357" s="62"/>
      <c r="BC357" s="39"/>
      <c r="BD357" s="274"/>
      <c r="BE357" s="274"/>
      <c r="BF357" s="274"/>
      <c r="BG357" s="39"/>
      <c r="BH357" s="39"/>
      <c r="BI357" s="39"/>
      <c r="BJ357" s="274"/>
      <c r="BK357" s="274"/>
      <c r="BL357" s="274"/>
      <c r="BM357" s="213"/>
      <c r="BN357" s="213"/>
      <c r="BO357" s="39"/>
      <c r="BP357" s="274">
        <v>1452000</v>
      </c>
      <c r="BQ357" s="274">
        <f>+BP357*19%</f>
        <v>275880</v>
      </c>
      <c r="BR357" s="274">
        <f>+BQ357+BP357</f>
        <v>1727880</v>
      </c>
      <c r="BS357" s="39"/>
      <c r="BT357" s="39"/>
      <c r="BU357" s="39"/>
      <c r="BV357" s="212"/>
      <c r="BW357" s="221"/>
      <c r="BX357" s="273"/>
      <c r="BY357" s="213"/>
      <c r="BZ357" s="213"/>
      <c r="CA357" s="213"/>
      <c r="CB357" s="274"/>
      <c r="CC357" s="274"/>
      <c r="CD357" s="274"/>
      <c r="CE357" s="39"/>
      <c r="CF357" s="39"/>
      <c r="CG357" s="39"/>
      <c r="CH357" s="274"/>
      <c r="CI357" s="274"/>
      <c r="CJ357" s="274"/>
      <c r="CK357" s="39"/>
      <c r="CL357" s="39"/>
      <c r="CM357" s="39"/>
      <c r="CN357" s="39"/>
      <c r="CO357" s="39"/>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274"/>
      <c r="DM357" s="274"/>
      <c r="DN357" s="274"/>
      <c r="DO357" s="274"/>
      <c r="DP357" s="274"/>
      <c r="DQ357" s="274"/>
      <c r="DR357" s="274"/>
      <c r="DS357" s="274"/>
      <c r="DT357" s="274"/>
      <c r="DU357" s="274"/>
      <c r="DV357" s="274"/>
      <c r="DW357" s="274"/>
      <c r="DX357" s="274"/>
      <c r="DY357" s="274"/>
      <c r="DZ357" s="274"/>
      <c r="EA357" s="274"/>
      <c r="EB357" s="274"/>
      <c r="EC357" s="274"/>
      <c r="ED357" s="39">
        <f t="shared" si="113"/>
        <v>4689674.57</v>
      </c>
      <c r="EE357" s="30">
        <f t="shared" si="114"/>
        <v>3</v>
      </c>
      <c r="EF357" s="39">
        <f t="shared" si="115"/>
        <v>1563224.8566666667</v>
      </c>
    </row>
    <row r="358" spans="1:136" x14ac:dyDescent="0.25">
      <c r="A358" s="25" t="e">
        <f>#REF!</f>
        <v>#REF!</v>
      </c>
      <c r="B358" s="50" t="e">
        <f>#REF!</f>
        <v>#REF!</v>
      </c>
      <c r="C358" s="5" t="e">
        <f>#REF!</f>
        <v>#REF!</v>
      </c>
      <c r="D358" s="5" t="e">
        <f>#REF!</f>
        <v>#REF!</v>
      </c>
      <c r="E358" s="252">
        <v>1</v>
      </c>
      <c r="F358" s="249">
        <v>0</v>
      </c>
      <c r="G358" s="249">
        <v>0</v>
      </c>
      <c r="H358" s="249">
        <v>0</v>
      </c>
      <c r="I358" s="249">
        <v>0</v>
      </c>
      <c r="J358" s="249">
        <v>0</v>
      </c>
      <c r="K358" s="249">
        <v>0</v>
      </c>
      <c r="L358" s="274"/>
      <c r="M358" s="274"/>
      <c r="N358" s="255"/>
      <c r="O358" s="135"/>
      <c r="P358" s="135"/>
      <c r="Q358" s="131"/>
      <c r="R358" s="131"/>
      <c r="S358" s="11"/>
      <c r="T358" s="274"/>
      <c r="U358" s="274"/>
      <c r="V358" s="274"/>
      <c r="W358" s="39"/>
      <c r="X358" s="11"/>
      <c r="Y358" s="11"/>
      <c r="Z358" s="274"/>
      <c r="AA358" s="274"/>
      <c r="AB358" s="274"/>
      <c r="AC358" s="52"/>
      <c r="AD358" s="22"/>
      <c r="AE358" s="39"/>
      <c r="AF358" s="274"/>
      <c r="AG358" s="274"/>
      <c r="AH358" s="171"/>
      <c r="AI358" s="4"/>
      <c r="AJ358" s="39"/>
      <c r="AK358" s="39"/>
      <c r="AL358" s="118"/>
      <c r="AM358" s="152"/>
      <c r="AN358" s="181"/>
      <c r="AO358" s="131"/>
      <c r="AP358" s="131"/>
      <c r="AQ358" s="39"/>
      <c r="AR358" s="274"/>
      <c r="AS358" s="274"/>
      <c r="AT358" s="274"/>
      <c r="AU358" s="39"/>
      <c r="AV358" s="39"/>
      <c r="AW358" s="39"/>
      <c r="AX358" s="274"/>
      <c r="AY358" s="274"/>
      <c r="AZ358" s="274"/>
      <c r="BA358" s="39"/>
      <c r="BB358" s="62"/>
      <c r="BC358" s="39"/>
      <c r="BD358" s="274"/>
      <c r="BE358" s="274"/>
      <c r="BF358" s="274"/>
      <c r="BG358" s="39"/>
      <c r="BH358" s="39"/>
      <c r="BI358" s="39"/>
      <c r="BJ358" s="274"/>
      <c r="BK358" s="274"/>
      <c r="BL358" s="274"/>
      <c r="BM358" s="213"/>
      <c r="BN358" s="213"/>
      <c r="BO358" s="39"/>
      <c r="BP358" s="274"/>
      <c r="BQ358" s="274"/>
      <c r="BR358" s="274"/>
      <c r="BS358" s="39"/>
      <c r="BT358" s="39"/>
      <c r="BU358" s="39"/>
      <c r="BV358" s="212"/>
      <c r="BW358" s="221"/>
      <c r="BX358" s="273"/>
      <c r="BY358" s="213"/>
      <c r="BZ358" s="213"/>
      <c r="CA358" s="213"/>
      <c r="CB358" s="274"/>
      <c r="CC358" s="274"/>
      <c r="CD358" s="274"/>
      <c r="CE358" s="39"/>
      <c r="CF358" s="39"/>
      <c r="CG358" s="39"/>
      <c r="CH358" s="274"/>
      <c r="CI358" s="274"/>
      <c r="CJ358" s="274"/>
      <c r="CK358" s="39"/>
      <c r="CL358" s="39"/>
      <c r="CM358" s="39"/>
      <c r="CN358" s="39"/>
      <c r="CO358" s="39"/>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274"/>
      <c r="DM358" s="274"/>
      <c r="DN358" s="274"/>
      <c r="DO358" s="274"/>
      <c r="DP358" s="274"/>
      <c r="DQ358" s="274"/>
      <c r="DR358" s="274"/>
      <c r="DS358" s="274"/>
      <c r="DT358" s="274"/>
      <c r="DU358" s="274"/>
      <c r="DV358" s="274"/>
      <c r="DW358" s="274"/>
      <c r="DX358" s="274"/>
      <c r="DY358" s="274"/>
      <c r="DZ358" s="274"/>
      <c r="EA358" s="274"/>
      <c r="EB358" s="274"/>
      <c r="EC358" s="274"/>
      <c r="ED358" s="39">
        <f t="shared" si="113"/>
        <v>0</v>
      </c>
      <c r="EE358" s="30">
        <f t="shared" si="114"/>
        <v>0</v>
      </c>
      <c r="EF358" s="39" t="str">
        <f t="shared" si="115"/>
        <v xml:space="preserve"> </v>
      </c>
    </row>
    <row r="359" spans="1:136" x14ac:dyDescent="0.25">
      <c r="A359" s="25" t="e">
        <f>#REF!</f>
        <v>#REF!</v>
      </c>
      <c r="B359" s="50" t="e">
        <f>#REF!</f>
        <v>#REF!</v>
      </c>
      <c r="C359" s="5" t="e">
        <f>#REF!</f>
        <v>#REF!</v>
      </c>
      <c r="D359" s="5" t="e">
        <f>#REF!</f>
        <v>#REF!</v>
      </c>
      <c r="E359" s="252">
        <v>1</v>
      </c>
      <c r="F359" s="249">
        <v>51318.75</v>
      </c>
      <c r="G359" s="249">
        <v>49266</v>
      </c>
      <c r="H359" s="249">
        <v>58881.205950000003</v>
      </c>
      <c r="I359" s="249">
        <v>0</v>
      </c>
      <c r="J359" s="249">
        <v>49769.766666666663</v>
      </c>
      <c r="K359" s="249">
        <v>0</v>
      </c>
      <c r="L359" s="274">
        <f t="shared" ref="L359:L364" si="118">AVERAGE(F359,H359,J359)</f>
        <v>53323.240872222224</v>
      </c>
      <c r="M359" s="274">
        <f>G359*E1</f>
        <v>50743.98</v>
      </c>
      <c r="N359" s="255">
        <v>70000</v>
      </c>
      <c r="O359" s="135">
        <f t="shared" ref="O359:O365" si="119">+N359*0.19</f>
        <v>13300</v>
      </c>
      <c r="P359" s="135">
        <f t="shared" ref="P359:P365" si="120">+N359+O359</f>
        <v>83300</v>
      </c>
      <c r="Q359" s="131"/>
      <c r="R359" s="131"/>
      <c r="S359" s="11"/>
      <c r="T359" s="274"/>
      <c r="U359" s="274"/>
      <c r="V359" s="274"/>
      <c r="W359" s="39"/>
      <c r="X359" s="11"/>
      <c r="Y359" s="11"/>
      <c r="Z359" s="274"/>
      <c r="AA359" s="274"/>
      <c r="AB359" s="274"/>
      <c r="AC359" s="52"/>
      <c r="AD359" s="22"/>
      <c r="AE359" s="39"/>
      <c r="AF359" s="274"/>
      <c r="AG359" s="274"/>
      <c r="AH359" s="171"/>
      <c r="AI359" s="4"/>
      <c r="AJ359" s="39"/>
      <c r="AK359" s="39"/>
      <c r="AL359" s="118"/>
      <c r="AM359" s="152"/>
      <c r="AN359" s="181"/>
      <c r="AO359" s="131"/>
      <c r="AP359" s="131"/>
      <c r="AQ359" s="39"/>
      <c r="AR359" s="274"/>
      <c r="AS359" s="274"/>
      <c r="AT359" s="274"/>
      <c r="AU359" s="39"/>
      <c r="AV359" s="39"/>
      <c r="AW359" s="39"/>
      <c r="AX359" s="274"/>
      <c r="AY359" s="274"/>
      <c r="AZ359" s="274"/>
      <c r="BA359" s="39"/>
      <c r="BB359" s="62"/>
      <c r="BC359" s="39"/>
      <c r="BD359" s="274"/>
      <c r="BE359" s="274"/>
      <c r="BF359" s="274"/>
      <c r="BG359" s="39"/>
      <c r="BH359" s="39"/>
      <c r="BI359" s="39"/>
      <c r="BJ359" s="274"/>
      <c r="BK359" s="274"/>
      <c r="BL359" s="274"/>
      <c r="BM359" s="213"/>
      <c r="BN359" s="213"/>
      <c r="BO359" s="39"/>
      <c r="BP359" s="274">
        <v>32500</v>
      </c>
      <c r="BQ359" s="274">
        <f t="shared" ref="BQ359:BQ369" si="121">+BP359*19%</f>
        <v>6175</v>
      </c>
      <c r="BR359" s="274">
        <f t="shared" ref="BR359:BR369" si="122">+BQ359+BP359</f>
        <v>38675</v>
      </c>
      <c r="BS359" s="39"/>
      <c r="BT359" s="39"/>
      <c r="BU359" s="39"/>
      <c r="BV359" s="212"/>
      <c r="BW359" s="221"/>
      <c r="BX359" s="273"/>
      <c r="BY359" s="213"/>
      <c r="BZ359" s="213"/>
      <c r="CA359" s="213"/>
      <c r="CB359" s="274"/>
      <c r="CC359" s="274"/>
      <c r="CD359" s="274"/>
      <c r="CE359" s="39"/>
      <c r="CF359" s="39"/>
      <c r="CG359" s="39"/>
      <c r="CH359" s="274"/>
      <c r="CI359" s="274"/>
      <c r="CJ359" s="274"/>
      <c r="CK359" s="39"/>
      <c r="CL359" s="39"/>
      <c r="CM359" s="39"/>
      <c r="CN359" s="39"/>
      <c r="CO359" s="39"/>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274"/>
      <c r="DM359" s="274"/>
      <c r="DN359" s="274"/>
      <c r="DO359" s="274"/>
      <c r="DP359" s="274"/>
      <c r="DQ359" s="274"/>
      <c r="DR359" s="274"/>
      <c r="DS359" s="274"/>
      <c r="DT359" s="274"/>
      <c r="DU359" s="274"/>
      <c r="DV359" s="274"/>
      <c r="DW359" s="274"/>
      <c r="DX359" s="274"/>
      <c r="DY359" s="274"/>
      <c r="DZ359" s="274"/>
      <c r="EA359" s="274"/>
      <c r="EB359" s="274"/>
      <c r="EC359" s="274"/>
      <c r="ED359" s="39">
        <f t="shared" si="113"/>
        <v>172718.98</v>
      </c>
      <c r="EE359" s="30">
        <f t="shared" si="114"/>
        <v>3</v>
      </c>
      <c r="EF359" s="39">
        <f t="shared" si="115"/>
        <v>57572.993333333339</v>
      </c>
    </row>
    <row r="360" spans="1:136" x14ac:dyDescent="0.25">
      <c r="A360" s="25" t="e">
        <f>#REF!</f>
        <v>#REF!</v>
      </c>
      <c r="B360" s="50" t="e">
        <f>#REF!</f>
        <v>#REF!</v>
      </c>
      <c r="C360" s="5" t="e">
        <f>#REF!</f>
        <v>#REF!</v>
      </c>
      <c r="D360" s="5" t="e">
        <f>#REF!</f>
        <v>#REF!</v>
      </c>
      <c r="E360" s="252">
        <v>1</v>
      </c>
      <c r="F360" s="249">
        <v>55989.5</v>
      </c>
      <c r="G360" s="249">
        <v>0</v>
      </c>
      <c r="H360" s="249">
        <v>53970.466666666667</v>
      </c>
      <c r="I360" s="249">
        <v>0</v>
      </c>
      <c r="J360" s="249">
        <v>91827.011111111133</v>
      </c>
      <c r="K360" s="249">
        <v>57120</v>
      </c>
      <c r="L360" s="274">
        <f t="shared" si="118"/>
        <v>67262.325925925936</v>
      </c>
      <c r="M360" s="274">
        <f>K360*E1</f>
        <v>58833.599999999999</v>
      </c>
      <c r="N360" s="255">
        <v>50000</v>
      </c>
      <c r="O360" s="135">
        <f t="shared" si="119"/>
        <v>9500</v>
      </c>
      <c r="P360" s="135">
        <f t="shared" si="120"/>
        <v>59500</v>
      </c>
      <c r="Q360" s="131"/>
      <c r="R360" s="131"/>
      <c r="S360" s="11"/>
      <c r="T360" s="274"/>
      <c r="U360" s="274"/>
      <c r="V360" s="274"/>
      <c r="W360" s="39"/>
      <c r="X360" s="11"/>
      <c r="Y360" s="11"/>
      <c r="Z360" s="274"/>
      <c r="AA360" s="274"/>
      <c r="AB360" s="274"/>
      <c r="AC360" s="52"/>
      <c r="AD360" s="22"/>
      <c r="AE360" s="39"/>
      <c r="AF360" s="274"/>
      <c r="AG360" s="274"/>
      <c r="AH360" s="171"/>
      <c r="AI360" s="4"/>
      <c r="AJ360" s="39"/>
      <c r="AK360" s="39"/>
      <c r="AL360" s="118"/>
      <c r="AM360" s="152"/>
      <c r="AN360" s="181"/>
      <c r="AO360" s="131"/>
      <c r="AP360" s="131"/>
      <c r="AQ360" s="39"/>
      <c r="AR360" s="274"/>
      <c r="AS360" s="274"/>
      <c r="AT360" s="274"/>
      <c r="AU360" s="39"/>
      <c r="AV360" s="39"/>
      <c r="AW360" s="39"/>
      <c r="AX360" s="274"/>
      <c r="AY360" s="274"/>
      <c r="AZ360" s="274"/>
      <c r="BA360" s="39"/>
      <c r="BB360" s="62"/>
      <c r="BC360" s="39"/>
      <c r="BD360" s="274"/>
      <c r="BE360" s="274"/>
      <c r="BF360" s="274"/>
      <c r="BG360" s="39"/>
      <c r="BH360" s="39"/>
      <c r="BI360" s="39"/>
      <c r="BJ360" s="274">
        <v>86300</v>
      </c>
      <c r="BK360" s="274">
        <f>+BJ360*0</f>
        <v>0</v>
      </c>
      <c r="BL360" s="274">
        <f>+BJ360+BK360</f>
        <v>86300</v>
      </c>
      <c r="BM360" s="213" t="s">
        <v>362</v>
      </c>
      <c r="BN360" s="213" t="s">
        <v>131</v>
      </c>
      <c r="BO360" s="39"/>
      <c r="BP360" s="274">
        <v>33500</v>
      </c>
      <c r="BQ360" s="274">
        <f t="shared" si="121"/>
        <v>6365</v>
      </c>
      <c r="BR360" s="274">
        <f t="shared" si="122"/>
        <v>39865</v>
      </c>
      <c r="BS360" s="39"/>
      <c r="BT360" s="39"/>
      <c r="BU360" s="39"/>
      <c r="BV360" s="219">
        <v>95077.400399999999</v>
      </c>
      <c r="BW360" s="222">
        <f>+BV360*0</f>
        <v>0</v>
      </c>
      <c r="BX360" s="273">
        <f>+BV360+BW360</f>
        <v>95077.400399999999</v>
      </c>
      <c r="BY360" s="213" t="s">
        <v>362</v>
      </c>
      <c r="BZ360" s="213" t="s">
        <v>131</v>
      </c>
      <c r="CA360" s="213"/>
      <c r="CB360" s="274"/>
      <c r="CC360" s="274">
        <f>+CB360*0.19</f>
        <v>0</v>
      </c>
      <c r="CD360" s="274">
        <f>+CB360+CC360</f>
        <v>0</v>
      </c>
      <c r="CE360" s="39"/>
      <c r="CF360" s="39"/>
      <c r="CG360" s="39"/>
      <c r="CH360" s="274"/>
      <c r="CI360" s="274"/>
      <c r="CJ360" s="274"/>
      <c r="CK360" s="39"/>
      <c r="CL360" s="39"/>
      <c r="CM360" s="39"/>
      <c r="CN360" s="39"/>
      <c r="CO360" s="39"/>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274"/>
      <c r="DM360" s="274"/>
      <c r="DN360" s="274"/>
      <c r="DO360" s="274"/>
      <c r="DP360" s="274"/>
      <c r="DQ360" s="274"/>
      <c r="DR360" s="274"/>
      <c r="DS360" s="274"/>
      <c r="DT360" s="274"/>
      <c r="DU360" s="274"/>
      <c r="DV360" s="274"/>
      <c r="DW360" s="274"/>
      <c r="DX360" s="274"/>
      <c r="DY360" s="274"/>
      <c r="DZ360" s="274"/>
      <c r="EA360" s="274"/>
      <c r="EB360" s="274"/>
      <c r="EC360" s="274"/>
      <c r="ED360" s="39">
        <f t="shared" si="113"/>
        <v>339576.00040000002</v>
      </c>
      <c r="EE360" s="30">
        <f t="shared" si="114"/>
        <v>5</v>
      </c>
      <c r="EF360" s="39">
        <f t="shared" si="115"/>
        <v>67915.20008000001</v>
      </c>
    </row>
    <row r="361" spans="1:136" x14ac:dyDescent="0.25">
      <c r="A361" s="25" t="e">
        <f>#REF!</f>
        <v>#REF!</v>
      </c>
      <c r="B361" s="50" t="e">
        <f>#REF!</f>
        <v>#REF!</v>
      </c>
      <c r="C361" s="5" t="e">
        <f>#REF!</f>
        <v>#REF!</v>
      </c>
      <c r="D361" s="5" t="e">
        <f>#REF!</f>
        <v>#REF!</v>
      </c>
      <c r="E361" s="252">
        <v>1</v>
      </c>
      <c r="F361" s="249">
        <v>39270</v>
      </c>
      <c r="G361" s="249">
        <v>38675</v>
      </c>
      <c r="H361" s="249">
        <v>37111.563125000001</v>
      </c>
      <c r="I361" s="249">
        <v>37009</v>
      </c>
      <c r="J361" s="249">
        <v>60342.916666666664</v>
      </c>
      <c r="K361" s="249">
        <v>55454</v>
      </c>
      <c r="L361" s="274">
        <f t="shared" si="118"/>
        <v>45574.826597222222</v>
      </c>
      <c r="M361" s="274">
        <f>AVERAGE(G361,I361,K361)*E1</f>
        <v>45024.046666666669</v>
      </c>
      <c r="N361" s="255">
        <v>38000</v>
      </c>
      <c r="O361" s="135">
        <f t="shared" si="119"/>
        <v>7220</v>
      </c>
      <c r="P361" s="135">
        <f t="shared" si="120"/>
        <v>45220</v>
      </c>
      <c r="Q361" s="131"/>
      <c r="R361" s="131"/>
      <c r="S361" s="11"/>
      <c r="T361" s="274"/>
      <c r="U361" s="274"/>
      <c r="V361" s="274"/>
      <c r="W361" s="39"/>
      <c r="X361" s="11"/>
      <c r="Y361" s="11"/>
      <c r="Z361" s="274"/>
      <c r="AA361" s="274"/>
      <c r="AB361" s="274"/>
      <c r="AC361" s="52"/>
      <c r="AD361" s="22"/>
      <c r="AE361" s="39"/>
      <c r="AF361" s="274"/>
      <c r="AG361" s="274"/>
      <c r="AH361" s="171"/>
      <c r="AI361" s="4"/>
      <c r="AJ361" s="39"/>
      <c r="AK361" s="39"/>
      <c r="AL361" s="118"/>
      <c r="AM361" s="152"/>
      <c r="AN361" s="181"/>
      <c r="AO361" s="131"/>
      <c r="AP361" s="131"/>
      <c r="AQ361" s="39"/>
      <c r="AR361" s="274"/>
      <c r="AS361" s="274"/>
      <c r="AT361" s="274"/>
      <c r="AU361" s="39"/>
      <c r="AV361" s="39"/>
      <c r="AW361" s="39"/>
      <c r="AX361" s="274"/>
      <c r="AY361" s="274"/>
      <c r="AZ361" s="274"/>
      <c r="BA361" s="39"/>
      <c r="BB361" s="62"/>
      <c r="BC361" s="39"/>
      <c r="BD361" s="274"/>
      <c r="BE361" s="274"/>
      <c r="BF361" s="274"/>
      <c r="BG361" s="39"/>
      <c r="BH361" s="39"/>
      <c r="BI361" s="39"/>
      <c r="BJ361" s="274">
        <v>57500</v>
      </c>
      <c r="BK361" s="274">
        <f>+BJ361*0</f>
        <v>0</v>
      </c>
      <c r="BL361" s="274">
        <f>+BJ361+BK361</f>
        <v>57500</v>
      </c>
      <c r="BM361" s="213" t="s">
        <v>362</v>
      </c>
      <c r="BN361" s="213" t="s">
        <v>131</v>
      </c>
      <c r="BO361" s="39"/>
      <c r="BP361" s="274">
        <v>33500</v>
      </c>
      <c r="BQ361" s="274">
        <f t="shared" si="121"/>
        <v>6365</v>
      </c>
      <c r="BR361" s="274">
        <f t="shared" si="122"/>
        <v>39865</v>
      </c>
      <c r="BS361" s="39"/>
      <c r="BT361" s="39"/>
      <c r="BU361" s="39"/>
      <c r="BV361" s="219">
        <v>63429.974999999999</v>
      </c>
      <c r="BW361" s="222">
        <f>+BV361*0</f>
        <v>0</v>
      </c>
      <c r="BX361" s="273">
        <f>+BV361+BW361</f>
        <v>63429.974999999999</v>
      </c>
      <c r="BY361" s="213" t="s">
        <v>362</v>
      </c>
      <c r="BZ361" s="213" t="s">
        <v>131</v>
      </c>
      <c r="CA361" s="213"/>
      <c r="CB361" s="274"/>
      <c r="CC361" s="274"/>
      <c r="CD361" s="274"/>
      <c r="CE361" s="39"/>
      <c r="CF361" s="39"/>
      <c r="CG361" s="39"/>
      <c r="CH361" s="274"/>
      <c r="CI361" s="274"/>
      <c r="CJ361" s="274"/>
      <c r="CK361" s="39"/>
      <c r="CL361" s="39"/>
      <c r="CM361" s="39"/>
      <c r="CN361" s="39"/>
      <c r="CO361" s="39"/>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274"/>
      <c r="DM361" s="274"/>
      <c r="DN361" s="274"/>
      <c r="DO361" s="274"/>
      <c r="DP361" s="274"/>
      <c r="DQ361" s="274"/>
      <c r="DR361" s="274"/>
      <c r="DS361" s="274"/>
      <c r="DT361" s="274"/>
      <c r="DU361" s="274"/>
      <c r="DV361" s="274"/>
      <c r="DW361" s="274"/>
      <c r="DX361" s="274"/>
      <c r="DY361" s="274"/>
      <c r="DZ361" s="274"/>
      <c r="EA361" s="274"/>
      <c r="EB361" s="274"/>
      <c r="EC361" s="274"/>
      <c r="ED361" s="39">
        <f t="shared" si="113"/>
        <v>251039.02166666667</v>
      </c>
      <c r="EE361" s="30">
        <f t="shared" si="114"/>
        <v>5</v>
      </c>
      <c r="EF361" s="39">
        <f t="shared" si="115"/>
        <v>50207.804333333333</v>
      </c>
    </row>
    <row r="362" spans="1:136" x14ac:dyDescent="0.25">
      <c r="A362" s="25" t="e">
        <f>#REF!</f>
        <v>#REF!</v>
      </c>
      <c r="B362" s="50" t="e">
        <f>#REF!</f>
        <v>#REF!</v>
      </c>
      <c r="C362" s="5" t="e">
        <f>#REF!</f>
        <v>#REF!</v>
      </c>
      <c r="D362" s="5" t="e">
        <f>#REF!</f>
        <v>#REF!</v>
      </c>
      <c r="E362" s="252">
        <v>1</v>
      </c>
      <c r="F362" s="249">
        <v>39270</v>
      </c>
      <c r="G362" s="249">
        <v>29750</v>
      </c>
      <c r="H362" s="249">
        <v>30486.808333333334</v>
      </c>
      <c r="I362" s="249">
        <v>0</v>
      </c>
      <c r="J362" s="249">
        <v>28881.300000000003</v>
      </c>
      <c r="K362" s="249">
        <v>0</v>
      </c>
      <c r="L362" s="274">
        <f t="shared" si="118"/>
        <v>32879.369444444448</v>
      </c>
      <c r="M362" s="274">
        <f>G362*E1</f>
        <v>30642.5</v>
      </c>
      <c r="N362" s="255">
        <v>35000</v>
      </c>
      <c r="O362" s="135">
        <f t="shared" si="119"/>
        <v>6650</v>
      </c>
      <c r="P362" s="135">
        <f t="shared" si="120"/>
        <v>41650</v>
      </c>
      <c r="Q362" s="131"/>
      <c r="R362" s="131"/>
      <c r="S362" s="11"/>
      <c r="T362" s="274"/>
      <c r="U362" s="274"/>
      <c r="V362" s="274"/>
      <c r="W362" s="39"/>
      <c r="X362" s="11"/>
      <c r="Y362" s="11"/>
      <c r="Z362" s="274"/>
      <c r="AA362" s="274"/>
      <c r="AB362" s="274"/>
      <c r="AC362" s="52"/>
      <c r="AD362" s="22"/>
      <c r="AE362" s="39"/>
      <c r="AF362" s="274"/>
      <c r="AG362" s="274"/>
      <c r="AH362" s="171"/>
      <c r="AI362" s="4"/>
      <c r="AJ362" s="39"/>
      <c r="AK362" s="39"/>
      <c r="AL362" s="118"/>
      <c r="AM362" s="152"/>
      <c r="AN362" s="181"/>
      <c r="AO362" s="131"/>
      <c r="AP362" s="131"/>
      <c r="AQ362" s="39"/>
      <c r="AR362" s="274"/>
      <c r="AS362" s="274"/>
      <c r="AT362" s="274"/>
      <c r="AU362" s="39"/>
      <c r="AV362" s="39"/>
      <c r="AW362" s="39"/>
      <c r="AX362" s="274"/>
      <c r="AY362" s="274"/>
      <c r="AZ362" s="274"/>
      <c r="BA362" s="39"/>
      <c r="BB362" s="62"/>
      <c r="BC362" s="39"/>
      <c r="BD362" s="274"/>
      <c r="BE362" s="274"/>
      <c r="BF362" s="274"/>
      <c r="BG362" s="39"/>
      <c r="BH362" s="39"/>
      <c r="BI362" s="39"/>
      <c r="BJ362" s="274"/>
      <c r="BK362" s="274"/>
      <c r="BL362" s="274"/>
      <c r="BM362" s="213"/>
      <c r="BN362" s="213"/>
      <c r="BO362" s="39"/>
      <c r="BP362" s="274">
        <v>28500</v>
      </c>
      <c r="BQ362" s="274">
        <f t="shared" si="121"/>
        <v>5415</v>
      </c>
      <c r="BR362" s="274">
        <f t="shared" si="122"/>
        <v>33915</v>
      </c>
      <c r="BS362" s="39"/>
      <c r="BT362" s="39"/>
      <c r="BU362" s="39"/>
      <c r="BV362" s="212"/>
      <c r="BW362" s="221"/>
      <c r="BX362" s="273"/>
      <c r="BY362" s="213"/>
      <c r="BZ362" s="213"/>
      <c r="CA362" s="213"/>
      <c r="CB362" s="275"/>
      <c r="CC362" s="274"/>
      <c r="CD362" s="274"/>
      <c r="CE362" s="39"/>
      <c r="CF362" s="39"/>
      <c r="CG362" s="39"/>
      <c r="CH362" s="274"/>
      <c r="CI362" s="274"/>
      <c r="CJ362" s="274"/>
      <c r="CK362" s="39"/>
      <c r="CL362" s="39"/>
      <c r="CM362" s="39"/>
      <c r="CN362" s="39"/>
      <c r="CO362" s="39"/>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274"/>
      <c r="DM362" s="274"/>
      <c r="DN362" s="274"/>
      <c r="DO362" s="274"/>
      <c r="DP362" s="274"/>
      <c r="DQ362" s="274"/>
      <c r="DR362" s="274"/>
      <c r="DS362" s="274"/>
      <c r="DT362" s="274"/>
      <c r="DU362" s="274"/>
      <c r="DV362" s="274"/>
      <c r="DW362" s="274"/>
      <c r="DX362" s="274"/>
      <c r="DY362" s="274"/>
      <c r="DZ362" s="274"/>
      <c r="EA362" s="274"/>
      <c r="EB362" s="274"/>
      <c r="EC362" s="274"/>
      <c r="ED362" s="39">
        <f t="shared" si="113"/>
        <v>106207.5</v>
      </c>
      <c r="EE362" s="30">
        <f t="shared" si="114"/>
        <v>3</v>
      </c>
      <c r="EF362" s="39">
        <f t="shared" si="115"/>
        <v>35402.5</v>
      </c>
    </row>
    <row r="363" spans="1:136" x14ac:dyDescent="0.25">
      <c r="A363" s="25" t="e">
        <f>#REF!</f>
        <v>#REF!</v>
      </c>
      <c r="B363" s="50" t="e">
        <f>#REF!</f>
        <v>#REF!</v>
      </c>
      <c r="C363" s="5" t="e">
        <f>#REF!</f>
        <v>#REF!</v>
      </c>
      <c r="D363" s="5" t="e">
        <f>#REF!</f>
        <v>#REF!</v>
      </c>
      <c r="E363" s="252">
        <v>1</v>
      </c>
      <c r="F363" s="249">
        <v>50808.24</v>
      </c>
      <c r="G363" s="249">
        <v>48671</v>
      </c>
      <c r="H363" s="249">
        <v>47319.843059999999</v>
      </c>
      <c r="I363" s="249">
        <v>0</v>
      </c>
      <c r="J363" s="249">
        <v>76612.861111111109</v>
      </c>
      <c r="K363" s="249">
        <v>47481</v>
      </c>
      <c r="L363" s="274">
        <f t="shared" si="118"/>
        <v>58246.981390370369</v>
      </c>
      <c r="M363" s="274">
        <f>AVERAGE(G363,K363)*E1</f>
        <v>49518.28</v>
      </c>
      <c r="N363" s="256">
        <v>45000</v>
      </c>
      <c r="O363" s="135">
        <f t="shared" si="119"/>
        <v>8550</v>
      </c>
      <c r="P363" s="135">
        <f t="shared" si="120"/>
        <v>53550</v>
      </c>
      <c r="Q363" s="131"/>
      <c r="R363" s="131"/>
      <c r="S363" s="11"/>
      <c r="T363" s="274"/>
      <c r="U363" s="274"/>
      <c r="V363" s="274"/>
      <c r="W363" s="39"/>
      <c r="X363" s="11"/>
      <c r="Y363" s="11"/>
      <c r="Z363" s="274"/>
      <c r="AA363" s="274"/>
      <c r="AB363" s="274"/>
      <c r="AC363" s="52"/>
      <c r="AD363" s="22"/>
      <c r="AE363" s="39"/>
      <c r="AF363" s="274"/>
      <c r="AG363" s="274"/>
      <c r="AH363" s="171"/>
      <c r="AI363" s="22"/>
      <c r="AJ363" s="39"/>
      <c r="AK363" s="39"/>
      <c r="AL363" s="118"/>
      <c r="AM363" s="152"/>
      <c r="AN363" s="181"/>
      <c r="AO363" s="131"/>
      <c r="AP363" s="131"/>
      <c r="AQ363" s="39"/>
      <c r="AR363" s="274"/>
      <c r="AS363" s="274"/>
      <c r="AT363" s="274"/>
      <c r="AU363" s="39"/>
      <c r="AV363" s="39"/>
      <c r="AW363" s="39"/>
      <c r="AX363" s="275"/>
      <c r="AY363" s="274"/>
      <c r="AZ363" s="274"/>
      <c r="BA363" s="39"/>
      <c r="BB363" s="62"/>
      <c r="BC363" s="39"/>
      <c r="BD363" s="274"/>
      <c r="BE363" s="274"/>
      <c r="BF363" s="274"/>
      <c r="BG363" s="39"/>
      <c r="BH363" s="39"/>
      <c r="BI363" s="39"/>
      <c r="BJ363" s="274">
        <v>41600</v>
      </c>
      <c r="BK363" s="274">
        <f>+BJ363*0</f>
        <v>0</v>
      </c>
      <c r="BL363" s="274">
        <f>+BJ363+BK363</f>
        <v>41600</v>
      </c>
      <c r="BM363" s="213" t="s">
        <v>362</v>
      </c>
      <c r="BN363" s="213" t="s">
        <v>4848</v>
      </c>
      <c r="BO363" s="39"/>
      <c r="BP363" s="274">
        <v>24000</v>
      </c>
      <c r="BQ363" s="274">
        <f t="shared" si="121"/>
        <v>4560</v>
      </c>
      <c r="BR363" s="274">
        <f t="shared" si="122"/>
        <v>28560</v>
      </c>
      <c r="BS363" s="39"/>
      <c r="BT363" s="39"/>
      <c r="BU363" s="39"/>
      <c r="BV363" s="212">
        <v>47654.547200000001</v>
      </c>
      <c r="BW363" s="222">
        <f>+BV363*0</f>
        <v>0</v>
      </c>
      <c r="BX363" s="273">
        <f>+BV363+BW363</f>
        <v>47654.547200000001</v>
      </c>
      <c r="BY363" s="213" t="s">
        <v>362</v>
      </c>
      <c r="BZ363" s="213" t="s">
        <v>4848</v>
      </c>
      <c r="CA363" s="213"/>
      <c r="CB363" s="274"/>
      <c r="CC363" s="274"/>
      <c r="CD363" s="274"/>
      <c r="CE363" s="39"/>
      <c r="CF363" s="39"/>
      <c r="CG363" s="39"/>
      <c r="CH363" s="275"/>
      <c r="CI363" s="275"/>
      <c r="CJ363" s="275"/>
      <c r="CK363" s="39"/>
      <c r="CL363" s="39"/>
      <c r="CM363" s="39"/>
      <c r="CN363" s="39"/>
      <c r="CO363" s="39"/>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274"/>
      <c r="DM363" s="274"/>
      <c r="DN363" s="274"/>
      <c r="DO363" s="274"/>
      <c r="DP363" s="274"/>
      <c r="DQ363" s="274"/>
      <c r="DR363" s="274"/>
      <c r="DS363" s="274"/>
      <c r="DT363" s="274"/>
      <c r="DU363" s="274"/>
      <c r="DV363" s="274"/>
      <c r="DW363" s="274"/>
      <c r="DX363" s="274"/>
      <c r="DY363" s="274"/>
      <c r="DZ363" s="274"/>
      <c r="EA363" s="274"/>
      <c r="EB363" s="274"/>
      <c r="EC363" s="274"/>
      <c r="ED363" s="39">
        <f t="shared" si="113"/>
        <v>220882.8272</v>
      </c>
      <c r="EE363" s="30">
        <f t="shared" si="114"/>
        <v>5</v>
      </c>
      <c r="EF363" s="39">
        <f t="shared" si="115"/>
        <v>44176.565439999998</v>
      </c>
    </row>
    <row r="364" spans="1:136" x14ac:dyDescent="0.25">
      <c r="A364" s="25" t="e">
        <f>#REF!</f>
        <v>#REF!</v>
      </c>
      <c r="B364" s="50" t="e">
        <f>#REF!</f>
        <v>#REF!</v>
      </c>
      <c r="C364" s="5" t="e">
        <f>#REF!</f>
        <v>#REF!</v>
      </c>
      <c r="D364" s="5" t="e">
        <f>#REF!</f>
        <v>#REF!</v>
      </c>
      <c r="E364" s="252">
        <v>1</v>
      </c>
      <c r="F364" s="249">
        <v>50708.28</v>
      </c>
      <c r="G364" s="249">
        <v>48671</v>
      </c>
      <c r="H364" s="249">
        <v>42493.485883333335</v>
      </c>
      <c r="I364" s="249">
        <v>42364</v>
      </c>
      <c r="J364" s="249">
        <v>68601.516666666663</v>
      </c>
      <c r="K364" s="249">
        <v>29750</v>
      </c>
      <c r="L364" s="274">
        <f t="shared" si="118"/>
        <v>53934.42751666667</v>
      </c>
      <c r="M364" s="274">
        <f>AVERAGE(G364,I364,K364)*E1</f>
        <v>41469.516666666663</v>
      </c>
      <c r="N364" s="255">
        <v>4000</v>
      </c>
      <c r="O364" s="135">
        <f t="shared" si="119"/>
        <v>760</v>
      </c>
      <c r="P364" s="135">
        <f t="shared" si="120"/>
        <v>4760</v>
      </c>
      <c r="Q364" s="131"/>
      <c r="R364" s="131"/>
      <c r="S364" s="11"/>
      <c r="T364" s="274"/>
      <c r="U364" s="274"/>
      <c r="V364" s="274"/>
      <c r="W364" s="39"/>
      <c r="X364" s="11"/>
      <c r="Y364" s="11"/>
      <c r="Z364" s="274"/>
      <c r="AA364" s="274"/>
      <c r="AB364" s="274"/>
      <c r="AC364" s="52"/>
      <c r="AD364" s="22"/>
      <c r="AE364" s="39"/>
      <c r="AF364" s="274"/>
      <c r="AG364" s="274"/>
      <c r="AH364" s="171"/>
      <c r="AI364" s="4"/>
      <c r="AJ364" s="39"/>
      <c r="AK364" s="39"/>
      <c r="AL364" s="118"/>
      <c r="AM364" s="152"/>
      <c r="AN364" s="181"/>
      <c r="AO364" s="131"/>
      <c r="AP364" s="131"/>
      <c r="AQ364" s="39"/>
      <c r="AR364" s="274"/>
      <c r="AS364" s="274"/>
      <c r="AT364" s="274"/>
      <c r="AU364" s="39"/>
      <c r="AV364" s="39"/>
      <c r="AW364" s="39"/>
      <c r="AX364" s="274"/>
      <c r="AY364" s="274"/>
      <c r="AZ364" s="274"/>
      <c r="BA364" s="39"/>
      <c r="BB364" s="62"/>
      <c r="BC364" s="39"/>
      <c r="BD364" s="274"/>
      <c r="BE364" s="274"/>
      <c r="BF364" s="274"/>
      <c r="BG364" s="39"/>
      <c r="BH364" s="39"/>
      <c r="BI364" s="39"/>
      <c r="BJ364" s="274">
        <v>63600</v>
      </c>
      <c r="BK364" s="274">
        <f>+BJ364*0</f>
        <v>0</v>
      </c>
      <c r="BL364" s="274">
        <f>+BJ364+BK364</f>
        <v>63600</v>
      </c>
      <c r="BM364" s="213" t="s">
        <v>362</v>
      </c>
      <c r="BN364" s="213" t="s">
        <v>131</v>
      </c>
      <c r="BO364" s="39"/>
      <c r="BP364" s="274">
        <v>42500</v>
      </c>
      <c r="BQ364" s="274">
        <f t="shared" si="121"/>
        <v>8075</v>
      </c>
      <c r="BR364" s="274">
        <f t="shared" si="122"/>
        <v>50575</v>
      </c>
      <c r="BS364" s="39"/>
      <c r="BT364" s="39"/>
      <c r="BU364" s="39"/>
      <c r="BV364" s="219">
        <v>70827.24960000001</v>
      </c>
      <c r="BW364" s="222">
        <f>+BV364*0</f>
        <v>0</v>
      </c>
      <c r="BX364" s="273">
        <f>+BV364+BW364</f>
        <v>70827.24960000001</v>
      </c>
      <c r="BY364" s="213" t="s">
        <v>362</v>
      </c>
      <c r="BZ364" s="213" t="s">
        <v>131</v>
      </c>
      <c r="CA364" s="213"/>
      <c r="CB364" s="274"/>
      <c r="CC364" s="274"/>
      <c r="CD364" s="274"/>
      <c r="CE364" s="39"/>
      <c r="CF364" s="39"/>
      <c r="CG364" s="39"/>
      <c r="CH364" s="274"/>
      <c r="CI364" s="274"/>
      <c r="CJ364" s="274"/>
      <c r="CK364" s="39"/>
      <c r="CL364" s="39"/>
      <c r="CM364" s="39"/>
      <c r="CN364" s="39"/>
      <c r="CO364" s="39"/>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274"/>
      <c r="DM364" s="274"/>
      <c r="DN364" s="274"/>
      <c r="DO364" s="274"/>
      <c r="DP364" s="274"/>
      <c r="DQ364" s="274"/>
      <c r="DR364" s="274"/>
      <c r="DS364" s="274"/>
      <c r="DT364" s="274"/>
      <c r="DU364" s="274"/>
      <c r="DV364" s="274"/>
      <c r="DW364" s="274"/>
      <c r="DX364" s="274"/>
      <c r="DY364" s="274"/>
      <c r="DZ364" s="274"/>
      <c r="EA364" s="274"/>
      <c r="EB364" s="274"/>
      <c r="EC364" s="274"/>
      <c r="ED364" s="39">
        <f t="shared" si="113"/>
        <v>231231.76626666667</v>
      </c>
      <c r="EE364" s="30">
        <f t="shared" si="114"/>
        <v>5</v>
      </c>
      <c r="EF364" s="39">
        <f t="shared" si="115"/>
        <v>46246.353253333335</v>
      </c>
    </row>
    <row r="365" spans="1:136" x14ac:dyDescent="0.25">
      <c r="A365" s="25" t="e">
        <f>#REF!</f>
        <v>#REF!</v>
      </c>
      <c r="B365" s="50" t="e">
        <f>#REF!</f>
        <v>#REF!</v>
      </c>
      <c r="C365" s="5" t="e">
        <f>#REF!</f>
        <v>#REF!</v>
      </c>
      <c r="D365" s="5" t="e">
        <f>#REF!</f>
        <v>#REF!</v>
      </c>
      <c r="E365" s="252">
        <v>1</v>
      </c>
      <c r="F365" s="249">
        <v>0</v>
      </c>
      <c r="G365" s="249">
        <v>0</v>
      </c>
      <c r="H365" s="249">
        <v>46687.666666666664</v>
      </c>
      <c r="I365" s="249">
        <v>0</v>
      </c>
      <c r="J365" s="249">
        <v>77915.25</v>
      </c>
      <c r="K365" s="249">
        <v>71995</v>
      </c>
      <c r="L365" s="274">
        <f>AVERAGE(H365,J365)</f>
        <v>62301.458333333328</v>
      </c>
      <c r="M365" s="274">
        <f>K365*E1</f>
        <v>74154.850000000006</v>
      </c>
      <c r="N365" s="255">
        <v>50000</v>
      </c>
      <c r="O365" s="135">
        <f t="shared" si="119"/>
        <v>9500</v>
      </c>
      <c r="P365" s="135">
        <f t="shared" si="120"/>
        <v>59500</v>
      </c>
      <c r="Q365" s="131"/>
      <c r="R365" s="131"/>
      <c r="S365" s="11"/>
      <c r="T365" s="274"/>
      <c r="U365" s="274"/>
      <c r="V365" s="274"/>
      <c r="W365" s="39"/>
      <c r="X365" s="11"/>
      <c r="Y365" s="11"/>
      <c r="Z365" s="274"/>
      <c r="AA365" s="274"/>
      <c r="AB365" s="274"/>
      <c r="AC365" s="52"/>
      <c r="AD365" s="22"/>
      <c r="AE365" s="39"/>
      <c r="AF365" s="274"/>
      <c r="AG365" s="274"/>
      <c r="AH365" s="171"/>
      <c r="AI365" s="22"/>
      <c r="AJ365" s="39"/>
      <c r="AK365" s="39"/>
      <c r="AL365" s="118"/>
      <c r="AM365" s="188"/>
      <c r="AN365" s="181"/>
      <c r="AO365" s="185"/>
      <c r="AP365" s="131"/>
      <c r="AQ365" s="39"/>
      <c r="AR365" s="274"/>
      <c r="AS365" s="274"/>
      <c r="AT365" s="274"/>
      <c r="AU365" s="39"/>
      <c r="AV365" s="39"/>
      <c r="AW365" s="39"/>
      <c r="AX365" s="274"/>
      <c r="AY365" s="274"/>
      <c r="AZ365" s="274"/>
      <c r="BA365" s="39"/>
      <c r="BB365" s="62"/>
      <c r="BC365" s="39"/>
      <c r="BD365" s="274"/>
      <c r="BE365" s="274"/>
      <c r="BF365" s="274"/>
      <c r="BG365" s="39"/>
      <c r="BH365" s="39"/>
      <c r="BI365" s="39"/>
      <c r="BJ365" s="274">
        <v>82200</v>
      </c>
      <c r="BK365" s="274">
        <f>+BJ365*0</f>
        <v>0</v>
      </c>
      <c r="BL365" s="274">
        <f>+BJ365+BK365</f>
        <v>82200</v>
      </c>
      <c r="BM365" s="213" t="s">
        <v>4849</v>
      </c>
      <c r="BN365" s="213" t="s">
        <v>131</v>
      </c>
      <c r="BO365" s="39"/>
      <c r="BP365" s="274">
        <v>85200</v>
      </c>
      <c r="BQ365" s="274">
        <f t="shared" si="121"/>
        <v>16188</v>
      </c>
      <c r="BR365" s="274">
        <f t="shared" si="122"/>
        <v>101388</v>
      </c>
      <c r="BS365" s="39"/>
      <c r="BT365" s="39"/>
      <c r="BU365" s="39"/>
      <c r="BV365" s="219">
        <v>96900.237000000008</v>
      </c>
      <c r="BW365" s="222">
        <f>+BV365*0</f>
        <v>0</v>
      </c>
      <c r="BX365" s="273">
        <f>+BV365+BW365</f>
        <v>96900.237000000008</v>
      </c>
      <c r="BY365" s="213" t="s">
        <v>4849</v>
      </c>
      <c r="BZ365" s="213" t="s">
        <v>131</v>
      </c>
      <c r="CA365" s="213"/>
      <c r="CB365" s="274"/>
      <c r="CC365" s="274"/>
      <c r="CD365" s="274"/>
      <c r="CE365" s="39"/>
      <c r="CF365" s="39"/>
      <c r="CG365" s="39"/>
      <c r="CH365" s="274"/>
      <c r="CI365" s="274"/>
      <c r="CJ365" s="274"/>
      <c r="CK365" s="39"/>
      <c r="CL365" s="39"/>
      <c r="CM365" s="39"/>
      <c r="CN365" s="39"/>
      <c r="CO365" s="39"/>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274"/>
      <c r="DM365" s="274"/>
      <c r="DN365" s="274"/>
      <c r="DO365" s="274"/>
      <c r="DP365" s="274"/>
      <c r="DQ365" s="274"/>
      <c r="DR365" s="274"/>
      <c r="DS365" s="274"/>
      <c r="DT365" s="274"/>
      <c r="DU365" s="274"/>
      <c r="DV365" s="274"/>
      <c r="DW365" s="274"/>
      <c r="DX365" s="274"/>
      <c r="DY365" s="274"/>
      <c r="DZ365" s="274"/>
      <c r="EA365" s="274"/>
      <c r="EB365" s="274"/>
      <c r="EC365" s="274"/>
      <c r="ED365" s="39">
        <f t="shared" si="113"/>
        <v>414143.087</v>
      </c>
      <c r="EE365" s="30">
        <f t="shared" si="114"/>
        <v>5</v>
      </c>
      <c r="EF365" s="39">
        <f t="shared" si="115"/>
        <v>82828.617400000003</v>
      </c>
    </row>
    <row r="366" spans="1:136" x14ac:dyDescent="0.25">
      <c r="A366" s="25" t="e">
        <f>#REF!</f>
        <v>#REF!</v>
      </c>
      <c r="B366" s="50" t="e">
        <f>#REF!</f>
        <v>#REF!</v>
      </c>
      <c r="C366" s="5" t="e">
        <f>#REF!</f>
        <v>#REF!</v>
      </c>
      <c r="D366" s="5" t="e">
        <f>#REF!</f>
        <v>#REF!</v>
      </c>
      <c r="E366" s="252">
        <v>1</v>
      </c>
      <c r="F366" s="249">
        <v>0</v>
      </c>
      <c r="G366" s="249">
        <v>0</v>
      </c>
      <c r="H366" s="249">
        <v>0</v>
      </c>
      <c r="I366" s="249">
        <v>0</v>
      </c>
      <c r="J366" s="249">
        <v>0</v>
      </c>
      <c r="K366" s="249">
        <v>0</v>
      </c>
      <c r="L366" s="274"/>
      <c r="M366" s="274"/>
      <c r="N366" s="255"/>
      <c r="O366" s="135"/>
      <c r="P366" s="135"/>
      <c r="Q366" s="131"/>
      <c r="R366" s="131"/>
      <c r="S366" s="11"/>
      <c r="T366" s="274"/>
      <c r="U366" s="274"/>
      <c r="V366" s="274"/>
      <c r="W366" s="39"/>
      <c r="X366" s="11"/>
      <c r="Y366" s="11"/>
      <c r="Z366" s="274"/>
      <c r="AA366" s="274"/>
      <c r="AB366" s="274"/>
      <c r="AC366" s="52"/>
      <c r="AD366" s="22"/>
      <c r="AE366" s="39"/>
      <c r="AF366" s="274"/>
      <c r="AG366" s="274"/>
      <c r="AH366" s="171"/>
      <c r="AI366" s="22"/>
      <c r="AJ366" s="39"/>
      <c r="AK366" s="39"/>
      <c r="AL366" s="118"/>
      <c r="AM366" s="152"/>
      <c r="AN366" s="181"/>
      <c r="AO366" s="131"/>
      <c r="AP366" s="131"/>
      <c r="AQ366" s="39"/>
      <c r="AR366" s="274"/>
      <c r="AS366" s="274"/>
      <c r="AT366" s="274"/>
      <c r="AU366" s="39"/>
      <c r="AV366" s="39"/>
      <c r="AW366" s="39"/>
      <c r="AX366" s="274"/>
      <c r="AY366" s="274"/>
      <c r="AZ366" s="274"/>
      <c r="BA366" s="39"/>
      <c r="BB366" s="62"/>
      <c r="BC366" s="39"/>
      <c r="BD366" s="274"/>
      <c r="BE366" s="274"/>
      <c r="BF366" s="274"/>
      <c r="BG366" s="39"/>
      <c r="BH366" s="39"/>
      <c r="BI366" s="39"/>
      <c r="BJ366" s="274"/>
      <c r="BK366" s="274"/>
      <c r="BL366" s="274"/>
      <c r="BM366" s="213"/>
      <c r="BN366" s="213"/>
      <c r="BO366" s="39"/>
      <c r="BP366" s="274">
        <v>1450000</v>
      </c>
      <c r="BQ366" s="274">
        <f t="shared" si="121"/>
        <v>275500</v>
      </c>
      <c r="BR366" s="274">
        <f t="shared" si="122"/>
        <v>1725500</v>
      </c>
      <c r="BS366" s="39"/>
      <c r="BT366" s="39"/>
      <c r="BU366" s="39"/>
      <c r="BV366" s="212"/>
      <c r="BW366" s="221"/>
      <c r="BX366" s="273"/>
      <c r="BY366" s="213"/>
      <c r="BZ366" s="213"/>
      <c r="CA366" s="213"/>
      <c r="CB366" s="274"/>
      <c r="CC366" s="274"/>
      <c r="CD366" s="274"/>
      <c r="CE366" s="39"/>
      <c r="CF366" s="39"/>
      <c r="CG366" s="39"/>
      <c r="CH366" s="274"/>
      <c r="CI366" s="274"/>
      <c r="CJ366" s="274"/>
      <c r="CK366" s="39"/>
      <c r="CL366" s="39"/>
      <c r="CM366" s="39"/>
      <c r="CN366" s="39"/>
      <c r="CO366" s="39"/>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274"/>
      <c r="DM366" s="274"/>
      <c r="DN366" s="274"/>
      <c r="DO366" s="274"/>
      <c r="DP366" s="274"/>
      <c r="DQ366" s="274"/>
      <c r="DR366" s="274"/>
      <c r="DS366" s="274"/>
      <c r="DT366" s="274"/>
      <c r="DU366" s="274"/>
      <c r="DV366" s="274"/>
      <c r="DW366" s="274"/>
      <c r="DX366" s="274"/>
      <c r="DY366" s="274"/>
      <c r="DZ366" s="274"/>
      <c r="EA366" s="274"/>
      <c r="EB366" s="274"/>
      <c r="EC366" s="274"/>
      <c r="ED366" s="39">
        <f t="shared" si="113"/>
        <v>1725500</v>
      </c>
      <c r="EE366" s="30">
        <f t="shared" si="114"/>
        <v>1</v>
      </c>
      <c r="EF366" s="39">
        <f t="shared" si="115"/>
        <v>1725500</v>
      </c>
    </row>
    <row r="367" spans="1:136" x14ac:dyDescent="0.25">
      <c r="A367" s="25" t="e">
        <f>#REF!</f>
        <v>#REF!</v>
      </c>
      <c r="B367" s="50" t="e">
        <f>#REF!</f>
        <v>#REF!</v>
      </c>
      <c r="C367" s="5" t="e">
        <f>#REF!</f>
        <v>#REF!</v>
      </c>
      <c r="D367" s="5" t="e">
        <f>#REF!</f>
        <v>#REF!</v>
      </c>
      <c r="E367" s="252">
        <v>1</v>
      </c>
      <c r="F367" s="249">
        <v>3316967.92</v>
      </c>
      <c r="G367" s="249">
        <v>3267145</v>
      </c>
      <c r="H367" s="249">
        <v>4148288.6911666668</v>
      </c>
      <c r="I367" s="249">
        <v>4148221</v>
      </c>
      <c r="J367" s="249">
        <v>0</v>
      </c>
      <c r="K367" s="249">
        <v>0</v>
      </c>
      <c r="L367" s="274">
        <f>AVERAGE(F367,H367)</f>
        <v>3732628.3055833336</v>
      </c>
      <c r="M367" s="274">
        <f>AVERAGE(G367,I367)*E1</f>
        <v>3818913.49</v>
      </c>
      <c r="N367" s="255"/>
      <c r="O367" s="135"/>
      <c r="P367" s="135"/>
      <c r="Q367" s="131"/>
      <c r="R367" s="131"/>
      <c r="S367" s="11"/>
      <c r="T367" s="274"/>
      <c r="U367" s="274"/>
      <c r="V367" s="274"/>
      <c r="W367" s="39"/>
      <c r="X367" s="11"/>
      <c r="Y367" s="11"/>
      <c r="Z367" s="274"/>
      <c r="AA367" s="274"/>
      <c r="AB367" s="274"/>
      <c r="AC367" s="54"/>
      <c r="AD367" s="23"/>
      <c r="AE367" s="39"/>
      <c r="AF367" s="274"/>
      <c r="AG367" s="274"/>
      <c r="AH367" s="172"/>
      <c r="AI367" s="24"/>
      <c r="AJ367" s="39"/>
      <c r="AK367" s="39"/>
      <c r="AL367" s="118"/>
      <c r="AM367" s="152"/>
      <c r="AN367" s="181"/>
      <c r="AO367" s="131"/>
      <c r="AP367" s="131"/>
      <c r="AQ367" s="39"/>
      <c r="AR367" s="274"/>
      <c r="AS367" s="274"/>
      <c r="AT367" s="274"/>
      <c r="AU367" s="39"/>
      <c r="AV367" s="39"/>
      <c r="AW367" s="39"/>
      <c r="AX367" s="274"/>
      <c r="AY367" s="274"/>
      <c r="AZ367" s="274"/>
      <c r="BA367" s="39"/>
      <c r="BB367" s="62"/>
      <c r="BC367" s="39"/>
      <c r="BD367" s="274"/>
      <c r="BE367" s="274"/>
      <c r="BF367" s="274"/>
      <c r="BG367" s="39"/>
      <c r="BH367" s="39"/>
      <c r="BI367" s="39"/>
      <c r="BJ367" s="274"/>
      <c r="BK367" s="274"/>
      <c r="BL367" s="274"/>
      <c r="BM367" s="213"/>
      <c r="BN367" s="213"/>
      <c r="BO367" s="39"/>
      <c r="BP367" s="274">
        <v>2850000</v>
      </c>
      <c r="BQ367" s="274">
        <f t="shared" si="121"/>
        <v>541500</v>
      </c>
      <c r="BR367" s="274">
        <f t="shared" si="122"/>
        <v>3391500</v>
      </c>
      <c r="BS367" s="39"/>
      <c r="BT367" s="39"/>
      <c r="BU367" s="39"/>
      <c r="BV367" s="212"/>
      <c r="BW367" s="221"/>
      <c r="BX367" s="273"/>
      <c r="BY367" s="213"/>
      <c r="BZ367" s="213"/>
      <c r="CA367" s="213"/>
      <c r="CB367" s="274"/>
      <c r="CC367" s="274"/>
      <c r="CD367" s="274"/>
      <c r="CE367" s="39"/>
      <c r="CF367" s="39"/>
      <c r="CG367" s="39"/>
      <c r="CH367" s="274"/>
      <c r="CI367" s="274"/>
      <c r="CJ367" s="274"/>
      <c r="CK367" s="39"/>
      <c r="CL367" s="39"/>
      <c r="CM367" s="39"/>
      <c r="CN367" s="39"/>
      <c r="CO367" s="39"/>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274"/>
      <c r="DM367" s="274"/>
      <c r="DN367" s="274"/>
      <c r="DO367" s="274"/>
      <c r="DP367" s="274"/>
      <c r="DQ367" s="274"/>
      <c r="DR367" s="274"/>
      <c r="DS367" s="274"/>
      <c r="DT367" s="274"/>
      <c r="DU367" s="274"/>
      <c r="DV367" s="274"/>
      <c r="DW367" s="274"/>
      <c r="DX367" s="274"/>
      <c r="DY367" s="274"/>
      <c r="DZ367" s="274"/>
      <c r="EA367" s="274"/>
      <c r="EB367" s="274"/>
      <c r="EC367" s="274"/>
      <c r="ED367" s="39">
        <f t="shared" si="113"/>
        <v>7210413.4900000002</v>
      </c>
      <c r="EE367" s="30">
        <f t="shared" si="114"/>
        <v>2</v>
      </c>
      <c r="EF367" s="39">
        <f t="shared" si="115"/>
        <v>3605206.7450000001</v>
      </c>
    </row>
    <row r="368" spans="1:136" x14ac:dyDescent="0.25">
      <c r="A368" s="25" t="e">
        <f>#REF!</f>
        <v>#REF!</v>
      </c>
      <c r="B368" s="50" t="e">
        <f>#REF!</f>
        <v>#REF!</v>
      </c>
      <c r="C368" s="5" t="e">
        <f>#REF!</f>
        <v>#REF!</v>
      </c>
      <c r="D368" s="5" t="e">
        <f>#REF!</f>
        <v>#REF!</v>
      </c>
      <c r="E368" s="252">
        <v>1</v>
      </c>
      <c r="F368" s="249">
        <v>499800</v>
      </c>
      <c r="G368" s="249">
        <v>0</v>
      </c>
      <c r="H368" s="249">
        <v>5117000</v>
      </c>
      <c r="I368" s="249">
        <v>5116881</v>
      </c>
      <c r="J368" s="249">
        <v>6581096.666666667</v>
      </c>
      <c r="K368" s="249">
        <v>6545000</v>
      </c>
      <c r="L368" s="274">
        <f>AVERAGE(F368,H368,J368)</f>
        <v>4065965.555555556</v>
      </c>
      <c r="M368" s="274">
        <f>AVERAGE(I368,K368)*E1</f>
        <v>6005868.7149999999</v>
      </c>
      <c r="N368" s="255"/>
      <c r="O368" s="135"/>
      <c r="P368" s="135"/>
      <c r="Q368" s="131"/>
      <c r="R368" s="131"/>
      <c r="S368" s="11"/>
      <c r="T368" s="274"/>
      <c r="U368" s="274"/>
      <c r="V368" s="274"/>
      <c r="W368" s="39"/>
      <c r="X368" s="11"/>
      <c r="Y368" s="11"/>
      <c r="Z368" s="274"/>
      <c r="AA368" s="274"/>
      <c r="AB368" s="274"/>
      <c r="AC368" s="52"/>
      <c r="AD368" s="22"/>
      <c r="AE368" s="39"/>
      <c r="AF368" s="274"/>
      <c r="AG368" s="274"/>
      <c r="AH368" s="113"/>
      <c r="AI368" s="4"/>
      <c r="AJ368" s="39"/>
      <c r="AK368" s="39"/>
      <c r="AL368" s="118"/>
      <c r="AM368" s="152"/>
      <c r="AN368" s="181"/>
      <c r="AO368" s="131"/>
      <c r="AP368" s="131"/>
      <c r="AQ368" s="39"/>
      <c r="AR368" s="274"/>
      <c r="AS368" s="274"/>
      <c r="AT368" s="274"/>
      <c r="AU368" s="39"/>
      <c r="AV368" s="39"/>
      <c r="AW368" s="39"/>
      <c r="AX368" s="274"/>
      <c r="AY368" s="274"/>
      <c r="AZ368" s="274"/>
      <c r="BA368" s="39"/>
      <c r="BB368" s="62"/>
      <c r="BC368" s="39"/>
      <c r="BD368" s="274"/>
      <c r="BE368" s="274"/>
      <c r="BF368" s="274"/>
      <c r="BG368" s="39"/>
      <c r="BH368" s="39"/>
      <c r="BI368" s="39"/>
      <c r="BJ368" s="274"/>
      <c r="BK368" s="274"/>
      <c r="BL368" s="274"/>
      <c r="BM368" s="213"/>
      <c r="BN368" s="213"/>
      <c r="BO368" s="39"/>
      <c r="BP368" s="274">
        <v>3200000</v>
      </c>
      <c r="BQ368" s="274">
        <f t="shared" si="121"/>
        <v>608000</v>
      </c>
      <c r="BR368" s="274">
        <f t="shared" si="122"/>
        <v>3808000</v>
      </c>
      <c r="BS368" s="39"/>
      <c r="BT368" s="39"/>
      <c r="BU368" s="39"/>
      <c r="BV368" s="212"/>
      <c r="BW368" s="221"/>
      <c r="BX368" s="273"/>
      <c r="BY368" s="213"/>
      <c r="BZ368" s="213"/>
      <c r="CA368" s="213"/>
      <c r="CB368" s="274"/>
      <c r="CC368" s="274"/>
      <c r="CD368" s="274"/>
      <c r="CE368" s="39"/>
      <c r="CF368" s="39"/>
      <c r="CG368" s="39"/>
      <c r="CH368" s="274"/>
      <c r="CI368" s="274"/>
      <c r="CJ368" s="274"/>
      <c r="CK368" s="39"/>
      <c r="CL368" s="39"/>
      <c r="CM368" s="39"/>
      <c r="CN368" s="39"/>
      <c r="CO368" s="39"/>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274"/>
      <c r="DM368" s="274"/>
      <c r="DN368" s="274"/>
      <c r="DO368" s="274"/>
      <c r="DP368" s="274"/>
      <c r="DQ368" s="274"/>
      <c r="DR368" s="274"/>
      <c r="DS368" s="274"/>
      <c r="DT368" s="274"/>
      <c r="DU368" s="274"/>
      <c r="DV368" s="274"/>
      <c r="DW368" s="274"/>
      <c r="DX368" s="274"/>
      <c r="DY368" s="274"/>
      <c r="DZ368" s="274"/>
      <c r="EA368" s="274"/>
      <c r="EB368" s="274"/>
      <c r="EC368" s="274"/>
      <c r="ED368" s="39">
        <f t="shared" si="113"/>
        <v>9813868.7149999999</v>
      </c>
      <c r="EE368" s="30">
        <f t="shared" si="114"/>
        <v>2</v>
      </c>
      <c r="EF368" s="39">
        <f t="shared" si="115"/>
        <v>4906934.3574999999</v>
      </c>
    </row>
    <row r="369" spans="1:136" x14ac:dyDescent="0.25">
      <c r="A369" s="25" t="e">
        <f>#REF!</f>
        <v>#REF!</v>
      </c>
      <c r="B369" s="50" t="e">
        <f>#REF!</f>
        <v>#REF!</v>
      </c>
      <c r="C369" s="5" t="e">
        <f>#REF!</f>
        <v>#REF!</v>
      </c>
      <c r="D369" s="5" t="e">
        <f>#REF!</f>
        <v>#REF!</v>
      </c>
      <c r="E369" s="252">
        <v>1</v>
      </c>
      <c r="F369" s="249">
        <v>0</v>
      </c>
      <c r="G369" s="249">
        <v>0</v>
      </c>
      <c r="H369" s="249">
        <v>0</v>
      </c>
      <c r="I369" s="249">
        <v>0</v>
      </c>
      <c r="J369" s="249">
        <v>966280</v>
      </c>
      <c r="K369" s="249">
        <v>966280</v>
      </c>
      <c r="L369" s="274">
        <f>J369</f>
        <v>966280</v>
      </c>
      <c r="M369" s="274">
        <f>K369*E1</f>
        <v>995268.4</v>
      </c>
      <c r="N369" s="255"/>
      <c r="O369" s="135"/>
      <c r="P369" s="135"/>
      <c r="Q369" s="131"/>
      <c r="R369" s="131"/>
      <c r="S369" s="11"/>
      <c r="T369" s="274"/>
      <c r="U369" s="274"/>
      <c r="V369" s="274"/>
      <c r="W369" s="39"/>
      <c r="X369" s="11"/>
      <c r="Y369" s="11"/>
      <c r="Z369" s="274"/>
      <c r="AA369" s="274"/>
      <c r="AB369" s="274"/>
      <c r="AC369" s="52"/>
      <c r="AD369" s="22"/>
      <c r="AE369" s="39"/>
      <c r="AF369" s="274"/>
      <c r="AG369" s="274"/>
      <c r="AH369" s="171"/>
      <c r="AI369" s="22"/>
      <c r="AJ369" s="39"/>
      <c r="AK369" s="39"/>
      <c r="AL369" s="118"/>
      <c r="AM369" s="152"/>
      <c r="AN369" s="181"/>
      <c r="AO369" s="131"/>
      <c r="AP369" s="131"/>
      <c r="AQ369" s="39"/>
      <c r="AR369" s="274"/>
      <c r="AS369" s="274"/>
      <c r="AT369" s="274"/>
      <c r="AU369" s="39"/>
      <c r="AV369" s="39"/>
      <c r="AW369" s="39"/>
      <c r="AX369" s="274"/>
      <c r="AY369" s="274"/>
      <c r="AZ369" s="274"/>
      <c r="BA369" s="39"/>
      <c r="BB369" s="62"/>
      <c r="BC369" s="39"/>
      <c r="BD369" s="274"/>
      <c r="BE369" s="274"/>
      <c r="BF369" s="274"/>
      <c r="BG369" s="39"/>
      <c r="BH369" s="39"/>
      <c r="BI369" s="39"/>
      <c r="BJ369" s="274"/>
      <c r="BK369" s="274"/>
      <c r="BL369" s="274"/>
      <c r="BM369" s="213"/>
      <c r="BN369" s="213"/>
      <c r="BO369" s="39"/>
      <c r="BP369" s="274">
        <v>3850000</v>
      </c>
      <c r="BQ369" s="274">
        <f t="shared" si="121"/>
        <v>731500</v>
      </c>
      <c r="BR369" s="274">
        <f t="shared" si="122"/>
        <v>4581500</v>
      </c>
      <c r="BS369" s="39"/>
      <c r="BT369" s="39"/>
      <c r="BU369" s="39"/>
      <c r="BV369" s="212"/>
      <c r="BW369" s="221"/>
      <c r="BX369" s="273"/>
      <c r="BY369" s="213"/>
      <c r="BZ369" s="213"/>
      <c r="CA369" s="213"/>
      <c r="CB369" s="274"/>
      <c r="CC369" s="274"/>
      <c r="CD369" s="274"/>
      <c r="CE369" s="39"/>
      <c r="CF369" s="39"/>
      <c r="CG369" s="39"/>
      <c r="CH369" s="274"/>
      <c r="CI369" s="274"/>
      <c r="CJ369" s="274"/>
      <c r="CK369" s="39"/>
      <c r="CL369" s="39"/>
      <c r="CM369" s="39"/>
      <c r="CN369" s="39"/>
      <c r="CO369" s="39"/>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274"/>
      <c r="DM369" s="274"/>
      <c r="DN369" s="274"/>
      <c r="DO369" s="274"/>
      <c r="DP369" s="274"/>
      <c r="DQ369" s="274"/>
      <c r="DR369" s="274"/>
      <c r="DS369" s="274"/>
      <c r="DT369" s="274"/>
      <c r="DU369" s="274"/>
      <c r="DV369" s="274"/>
      <c r="DW369" s="274"/>
      <c r="DX369" s="274"/>
      <c r="DY369" s="274"/>
      <c r="DZ369" s="274"/>
      <c r="EA369" s="274"/>
      <c r="EB369" s="274"/>
      <c r="EC369" s="274"/>
      <c r="ED369" s="39">
        <f t="shared" si="113"/>
        <v>5576768.4000000004</v>
      </c>
      <c r="EE369" s="30">
        <f t="shared" si="114"/>
        <v>2</v>
      </c>
      <c r="EF369" s="39">
        <f t="shared" si="115"/>
        <v>2788384.2</v>
      </c>
    </row>
    <row r="370" spans="1:136" x14ac:dyDescent="0.25">
      <c r="A370" s="25" t="e">
        <f>#REF!</f>
        <v>#REF!</v>
      </c>
      <c r="B370" s="50" t="e">
        <f>#REF!</f>
        <v>#REF!</v>
      </c>
      <c r="C370" s="5" t="e">
        <f>#REF!</f>
        <v>#REF!</v>
      </c>
      <c r="D370" s="5" t="e">
        <f>#REF!</f>
        <v>#REF!</v>
      </c>
      <c r="E370" s="252">
        <v>1</v>
      </c>
      <c r="F370" s="249">
        <v>7854000</v>
      </c>
      <c r="G370" s="249">
        <v>0</v>
      </c>
      <c r="H370" s="249">
        <v>0</v>
      </c>
      <c r="I370" s="249">
        <v>0</v>
      </c>
      <c r="J370" s="249">
        <v>0</v>
      </c>
      <c r="K370" s="249">
        <v>0</v>
      </c>
      <c r="L370" s="274">
        <f>F370</f>
        <v>7854000</v>
      </c>
      <c r="M370" s="274"/>
      <c r="N370" s="255"/>
      <c r="O370" s="135"/>
      <c r="P370" s="135"/>
      <c r="Q370" s="131"/>
      <c r="R370" s="131"/>
      <c r="S370" s="11"/>
      <c r="T370" s="274"/>
      <c r="U370" s="274"/>
      <c r="V370" s="274"/>
      <c r="W370" s="39"/>
      <c r="X370" s="11"/>
      <c r="Y370" s="11"/>
      <c r="Z370" s="274"/>
      <c r="AA370" s="274"/>
      <c r="AB370" s="274"/>
      <c r="AC370" s="52"/>
      <c r="AD370" s="22"/>
      <c r="AE370" s="39"/>
      <c r="AF370" s="274"/>
      <c r="AG370" s="274"/>
      <c r="AH370" s="171"/>
      <c r="AI370" s="22"/>
      <c r="AJ370" s="39"/>
      <c r="AK370" s="39"/>
      <c r="AL370" s="118"/>
      <c r="AM370" s="152"/>
      <c r="AN370" s="181"/>
      <c r="AO370" s="131"/>
      <c r="AP370" s="131"/>
      <c r="AQ370" s="39"/>
      <c r="AR370" s="274"/>
      <c r="AS370" s="274"/>
      <c r="AT370" s="274"/>
      <c r="AU370" s="39"/>
      <c r="AV370" s="39"/>
      <c r="AW370" s="39"/>
      <c r="AX370" s="274"/>
      <c r="AY370" s="274"/>
      <c r="AZ370" s="274"/>
      <c r="BA370" s="39"/>
      <c r="BB370" s="62"/>
      <c r="BC370" s="39"/>
      <c r="BD370" s="274"/>
      <c r="BE370" s="274"/>
      <c r="BF370" s="274"/>
      <c r="BG370" s="39"/>
      <c r="BH370" s="39"/>
      <c r="BI370" s="39"/>
      <c r="BJ370" s="274"/>
      <c r="BK370" s="274"/>
      <c r="BL370" s="274"/>
      <c r="BM370" s="213"/>
      <c r="BN370" s="213"/>
      <c r="BO370" s="39"/>
      <c r="BP370" s="274"/>
      <c r="BQ370" s="274"/>
      <c r="BR370" s="274"/>
      <c r="BS370" s="39"/>
      <c r="BT370" s="39"/>
      <c r="BU370" s="39"/>
      <c r="BV370" s="212"/>
      <c r="BW370" s="221"/>
      <c r="BX370" s="273"/>
      <c r="BY370" s="213"/>
      <c r="BZ370" s="213"/>
      <c r="CA370" s="213"/>
      <c r="CB370" s="274"/>
      <c r="CC370" s="274"/>
      <c r="CD370" s="274"/>
      <c r="CE370" s="39"/>
      <c r="CF370" s="39"/>
      <c r="CG370" s="39"/>
      <c r="CH370" s="274"/>
      <c r="CI370" s="274"/>
      <c r="CJ370" s="274"/>
      <c r="CK370" s="39"/>
      <c r="CL370" s="39"/>
      <c r="CM370" s="39"/>
      <c r="CN370" s="39"/>
      <c r="CO370" s="39"/>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274"/>
      <c r="DM370" s="274"/>
      <c r="DN370" s="274"/>
      <c r="DO370" s="274"/>
      <c r="DP370" s="274"/>
      <c r="DQ370" s="274"/>
      <c r="DR370" s="274"/>
      <c r="DS370" s="274"/>
      <c r="DT370" s="274"/>
      <c r="DU370" s="274"/>
      <c r="DV370" s="274"/>
      <c r="DW370" s="274"/>
      <c r="DX370" s="274"/>
      <c r="DY370" s="274"/>
      <c r="DZ370" s="274"/>
      <c r="EA370" s="274"/>
      <c r="EB370" s="274"/>
      <c r="EC370" s="274"/>
      <c r="ED370" s="39">
        <f t="shared" si="113"/>
        <v>0</v>
      </c>
      <c r="EE370" s="30">
        <f t="shared" si="114"/>
        <v>0</v>
      </c>
      <c r="EF370" s="39" t="str">
        <f t="shared" si="115"/>
        <v xml:space="preserve"> </v>
      </c>
    </row>
    <row r="371" spans="1:136" x14ac:dyDescent="0.25">
      <c r="A371" s="25" t="e">
        <f>#REF!</f>
        <v>#REF!</v>
      </c>
      <c r="B371" s="50" t="e">
        <f>#REF!</f>
        <v>#REF!</v>
      </c>
      <c r="C371" s="5" t="e">
        <f>#REF!</f>
        <v>#REF!</v>
      </c>
      <c r="D371" s="5" t="e">
        <f>#REF!</f>
        <v>#REF!</v>
      </c>
      <c r="E371" s="252">
        <v>1</v>
      </c>
      <c r="F371" s="249">
        <v>0</v>
      </c>
      <c r="G371" s="249">
        <v>0</v>
      </c>
      <c r="H371" s="249">
        <v>0</v>
      </c>
      <c r="I371" s="249">
        <v>0</v>
      </c>
      <c r="J371" s="249">
        <v>0</v>
      </c>
      <c r="K371" s="249">
        <v>0</v>
      </c>
      <c r="L371" s="274"/>
      <c r="M371" s="274"/>
      <c r="N371" s="255"/>
      <c r="O371" s="135"/>
      <c r="P371" s="135"/>
      <c r="Q371" s="131"/>
      <c r="R371" s="131"/>
      <c r="S371" s="11"/>
      <c r="T371" s="274"/>
      <c r="U371" s="274"/>
      <c r="V371" s="274"/>
      <c r="W371" s="39"/>
      <c r="X371" s="11"/>
      <c r="Y371" s="11"/>
      <c r="Z371" s="274"/>
      <c r="AA371" s="274"/>
      <c r="AB371" s="274"/>
      <c r="AC371" s="52"/>
      <c r="AD371" s="22"/>
      <c r="AE371" s="39"/>
      <c r="AF371" s="274"/>
      <c r="AG371" s="274"/>
      <c r="AH371" s="171"/>
      <c r="AI371" s="22"/>
      <c r="AJ371" s="39"/>
      <c r="AK371" s="39"/>
      <c r="AL371" s="118"/>
      <c r="AM371" s="152"/>
      <c r="AN371" s="181"/>
      <c r="AO371" s="131"/>
      <c r="AP371" s="131"/>
      <c r="AQ371" s="39"/>
      <c r="AR371" s="274"/>
      <c r="AS371" s="274"/>
      <c r="AT371" s="274"/>
      <c r="AU371" s="39"/>
      <c r="AV371" s="39"/>
      <c r="AW371" s="39"/>
      <c r="AX371" s="274"/>
      <c r="AY371" s="274"/>
      <c r="AZ371" s="274"/>
      <c r="BA371" s="39"/>
      <c r="BB371" s="62"/>
      <c r="BC371" s="39"/>
      <c r="BD371" s="274"/>
      <c r="BE371" s="274"/>
      <c r="BF371" s="274"/>
      <c r="BG371" s="39"/>
      <c r="BH371" s="39"/>
      <c r="BI371" s="39"/>
      <c r="BJ371" s="274"/>
      <c r="BK371" s="274"/>
      <c r="BL371" s="274"/>
      <c r="BM371" s="213"/>
      <c r="BN371" s="213"/>
      <c r="BO371" s="39"/>
      <c r="BP371" s="274"/>
      <c r="BQ371" s="274"/>
      <c r="BR371" s="274"/>
      <c r="BS371" s="39"/>
      <c r="BT371" s="39"/>
      <c r="BU371" s="39"/>
      <c r="BV371" s="212"/>
      <c r="BW371" s="221"/>
      <c r="BX371" s="273"/>
      <c r="BY371" s="213"/>
      <c r="BZ371" s="213"/>
      <c r="CA371" s="213"/>
      <c r="CB371" s="274"/>
      <c r="CC371" s="274"/>
      <c r="CD371" s="274"/>
      <c r="CE371" s="39"/>
      <c r="CF371" s="39"/>
      <c r="CG371" s="39"/>
      <c r="CH371" s="274"/>
      <c r="CI371" s="274"/>
      <c r="CJ371" s="274"/>
      <c r="CK371" s="39"/>
      <c r="CL371" s="39"/>
      <c r="CM371" s="39"/>
      <c r="CN371" s="39"/>
      <c r="CO371" s="39"/>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274"/>
      <c r="DM371" s="274"/>
      <c r="DN371" s="274"/>
      <c r="DO371" s="274"/>
      <c r="DP371" s="274"/>
      <c r="DQ371" s="274"/>
      <c r="DR371" s="274"/>
      <c r="DS371" s="274"/>
      <c r="DT371" s="274"/>
      <c r="DU371" s="274"/>
      <c r="DV371" s="274"/>
      <c r="DW371" s="274"/>
      <c r="DX371" s="274"/>
      <c r="DY371" s="274"/>
      <c r="DZ371" s="274"/>
      <c r="EA371" s="274"/>
      <c r="EB371" s="274"/>
      <c r="EC371" s="274"/>
      <c r="ED371" s="39">
        <f t="shared" si="113"/>
        <v>0</v>
      </c>
      <c r="EE371" s="30">
        <f t="shared" si="114"/>
        <v>0</v>
      </c>
      <c r="EF371" s="39" t="str">
        <f t="shared" si="115"/>
        <v xml:space="preserve"> </v>
      </c>
    </row>
    <row r="372" spans="1:136" x14ac:dyDescent="0.25">
      <c r="A372" s="25" t="e">
        <f>#REF!</f>
        <v>#REF!</v>
      </c>
      <c r="B372" s="50" t="e">
        <f>#REF!</f>
        <v>#REF!</v>
      </c>
      <c r="C372" s="5" t="e">
        <f>#REF!</f>
        <v>#REF!</v>
      </c>
      <c r="D372" s="5" t="e">
        <f>#REF!</f>
        <v>#REF!</v>
      </c>
      <c r="E372" s="252">
        <v>1</v>
      </c>
      <c r="F372" s="249">
        <v>0</v>
      </c>
      <c r="G372" s="249">
        <v>0</v>
      </c>
      <c r="H372" s="249">
        <v>1428000</v>
      </c>
      <c r="I372" s="249">
        <v>0</v>
      </c>
      <c r="J372" s="249">
        <v>0</v>
      </c>
      <c r="K372" s="249">
        <v>0</v>
      </c>
      <c r="L372" s="274">
        <f>H372</f>
        <v>1428000</v>
      </c>
      <c r="M372" s="274"/>
      <c r="N372" s="255"/>
      <c r="O372" s="135"/>
      <c r="P372" s="135"/>
      <c r="Q372" s="131"/>
      <c r="R372" s="131"/>
      <c r="S372" s="11"/>
      <c r="T372" s="274"/>
      <c r="U372" s="274"/>
      <c r="V372" s="274"/>
      <c r="W372" s="39"/>
      <c r="X372" s="11"/>
      <c r="Y372" s="11"/>
      <c r="Z372" s="274"/>
      <c r="AA372" s="274"/>
      <c r="AB372" s="274"/>
      <c r="AC372" s="52"/>
      <c r="AD372" s="22"/>
      <c r="AE372" s="39"/>
      <c r="AF372" s="274"/>
      <c r="AG372" s="274"/>
      <c r="AH372" s="171"/>
      <c r="AI372" s="22"/>
      <c r="AJ372" s="39"/>
      <c r="AK372" s="39"/>
      <c r="AL372" s="118"/>
      <c r="AM372" s="152"/>
      <c r="AN372" s="181"/>
      <c r="AO372" s="131"/>
      <c r="AP372" s="131"/>
      <c r="AQ372" s="39"/>
      <c r="AR372" s="274">
        <v>750000</v>
      </c>
      <c r="AS372" s="274">
        <f t="shared" ref="AS372:AS377" si="123">+AR372*0.19</f>
        <v>142500</v>
      </c>
      <c r="AT372" s="274">
        <f t="shared" ref="AT372:AT377" si="124">+AR372+AS372</f>
        <v>892500</v>
      </c>
      <c r="AU372" s="39"/>
      <c r="AV372" s="39"/>
      <c r="AW372" s="39"/>
      <c r="AX372" s="274"/>
      <c r="AY372" s="274"/>
      <c r="AZ372" s="274"/>
      <c r="BA372" s="39"/>
      <c r="BB372" s="62"/>
      <c r="BC372" s="39"/>
      <c r="BD372" s="274"/>
      <c r="BE372" s="274"/>
      <c r="BF372" s="274"/>
      <c r="BG372" s="39"/>
      <c r="BH372" s="39"/>
      <c r="BI372" s="39"/>
      <c r="BJ372" s="274"/>
      <c r="BK372" s="274"/>
      <c r="BL372" s="274"/>
      <c r="BM372" s="213"/>
      <c r="BN372" s="213"/>
      <c r="BO372" s="39"/>
      <c r="BP372" s="274">
        <v>865000</v>
      </c>
      <c r="BQ372" s="274">
        <f>+BP372*19%</f>
        <v>164350</v>
      </c>
      <c r="BR372" s="274">
        <f>+BQ372+BP372</f>
        <v>1029350</v>
      </c>
      <c r="BS372" s="39"/>
      <c r="BT372" s="39"/>
      <c r="BU372" s="39"/>
      <c r="BV372" s="212"/>
      <c r="BW372" s="221"/>
      <c r="BX372" s="273"/>
      <c r="BY372" s="213"/>
      <c r="BZ372" s="213"/>
      <c r="CA372" s="213"/>
      <c r="CB372" s="274"/>
      <c r="CC372" s="274"/>
      <c r="CD372" s="274"/>
      <c r="CE372" s="39"/>
      <c r="CF372" s="39"/>
      <c r="CG372" s="39"/>
      <c r="CH372" s="274"/>
      <c r="CI372" s="274"/>
      <c r="CJ372" s="274"/>
      <c r="CK372" s="39"/>
      <c r="CL372" s="39"/>
      <c r="CM372" s="39"/>
      <c r="CN372" s="39"/>
      <c r="CO372" s="39"/>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274"/>
      <c r="DM372" s="274"/>
      <c r="DN372" s="274"/>
      <c r="DO372" s="274"/>
      <c r="DP372" s="274"/>
      <c r="DQ372" s="274"/>
      <c r="DR372" s="274"/>
      <c r="DS372" s="274"/>
      <c r="DT372" s="274"/>
      <c r="DU372" s="274"/>
      <c r="DV372" s="274"/>
      <c r="DW372" s="274"/>
      <c r="DX372" s="274"/>
      <c r="DY372" s="274"/>
      <c r="DZ372" s="274"/>
      <c r="EA372" s="274"/>
      <c r="EB372" s="274"/>
      <c r="EC372" s="274"/>
      <c r="ED372" s="39">
        <f t="shared" si="113"/>
        <v>1921850</v>
      </c>
      <c r="EE372" s="30">
        <f t="shared" si="114"/>
        <v>2</v>
      </c>
      <c r="EF372" s="39">
        <f t="shared" si="115"/>
        <v>960925</v>
      </c>
    </row>
    <row r="373" spans="1:136" x14ac:dyDescent="0.25">
      <c r="A373" s="25" t="e">
        <f>#REF!</f>
        <v>#REF!</v>
      </c>
      <c r="B373" s="50" t="e">
        <f>#REF!</f>
        <v>#REF!</v>
      </c>
      <c r="C373" s="5" t="e">
        <f>#REF!</f>
        <v>#REF!</v>
      </c>
      <c r="D373" s="5" t="e">
        <f>#REF!</f>
        <v>#REF!</v>
      </c>
      <c r="E373" s="252">
        <v>1</v>
      </c>
      <c r="F373" s="249">
        <v>0</v>
      </c>
      <c r="G373" s="249">
        <v>0</v>
      </c>
      <c r="H373" s="249">
        <v>0</v>
      </c>
      <c r="I373" s="249">
        <v>0</v>
      </c>
      <c r="J373" s="249">
        <v>0</v>
      </c>
      <c r="K373" s="249">
        <v>0</v>
      </c>
      <c r="L373" s="274"/>
      <c r="M373" s="274"/>
      <c r="N373" s="255">
        <v>2250000</v>
      </c>
      <c r="O373" s="135">
        <f>+N373*0.19</f>
        <v>427500</v>
      </c>
      <c r="P373" s="135">
        <f>+N373+O373</f>
        <v>2677500</v>
      </c>
      <c r="Q373" s="131"/>
      <c r="R373" s="131"/>
      <c r="S373" s="11"/>
      <c r="T373" s="274"/>
      <c r="U373" s="274"/>
      <c r="V373" s="274"/>
      <c r="W373" s="39"/>
      <c r="X373" s="11"/>
      <c r="Y373" s="11"/>
      <c r="Z373" s="274"/>
      <c r="AA373" s="274"/>
      <c r="AB373" s="274"/>
      <c r="AC373" s="52"/>
      <c r="AD373" s="22"/>
      <c r="AE373" s="39"/>
      <c r="AF373" s="274"/>
      <c r="AG373" s="274"/>
      <c r="AH373" s="171"/>
      <c r="AI373" s="22"/>
      <c r="AJ373" s="39"/>
      <c r="AK373" s="39"/>
      <c r="AL373" s="118"/>
      <c r="AM373" s="152"/>
      <c r="AN373" s="181"/>
      <c r="AO373" s="131"/>
      <c r="AP373" s="131"/>
      <c r="AQ373" s="39"/>
      <c r="AR373" s="274">
        <v>1720000</v>
      </c>
      <c r="AS373" s="274">
        <f t="shared" si="123"/>
        <v>326800</v>
      </c>
      <c r="AT373" s="274">
        <f t="shared" si="124"/>
        <v>2046800</v>
      </c>
      <c r="AU373" s="39"/>
      <c r="AV373" s="39"/>
      <c r="AW373" s="39"/>
      <c r="AX373" s="274"/>
      <c r="AY373" s="274"/>
      <c r="AZ373" s="274"/>
      <c r="BA373" s="39"/>
      <c r="BB373" s="62"/>
      <c r="BC373" s="39"/>
      <c r="BD373" s="274"/>
      <c r="BE373" s="274"/>
      <c r="BF373" s="274"/>
      <c r="BG373" s="39"/>
      <c r="BH373" s="39"/>
      <c r="BI373" s="39"/>
      <c r="BJ373" s="274"/>
      <c r="BK373" s="274"/>
      <c r="BL373" s="274"/>
      <c r="BM373" s="213"/>
      <c r="BN373" s="213"/>
      <c r="BO373" s="39"/>
      <c r="BP373" s="274"/>
      <c r="BQ373" s="274"/>
      <c r="BR373" s="274"/>
      <c r="BS373" s="39"/>
      <c r="BT373" s="39"/>
      <c r="BU373" s="39"/>
      <c r="BV373" s="212"/>
      <c r="BW373" s="221"/>
      <c r="BX373" s="273"/>
      <c r="BY373" s="213"/>
      <c r="BZ373" s="213"/>
      <c r="CA373" s="213"/>
      <c r="CB373" s="274"/>
      <c r="CC373" s="274"/>
      <c r="CD373" s="274"/>
      <c r="CE373" s="39"/>
      <c r="CF373" s="39"/>
      <c r="CG373" s="39"/>
      <c r="CH373" s="274"/>
      <c r="CI373" s="274"/>
      <c r="CJ373" s="274"/>
      <c r="CK373" s="39"/>
      <c r="CL373" s="39"/>
      <c r="CM373" s="39"/>
      <c r="CN373" s="39"/>
      <c r="CO373" s="39"/>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274"/>
      <c r="DM373" s="274"/>
      <c r="DN373" s="274"/>
      <c r="DO373" s="274"/>
      <c r="DP373" s="274"/>
      <c r="DQ373" s="274"/>
      <c r="DR373" s="274"/>
      <c r="DS373" s="274"/>
      <c r="DT373" s="274"/>
      <c r="DU373" s="274"/>
      <c r="DV373" s="274"/>
      <c r="DW373" s="274"/>
      <c r="DX373" s="274"/>
      <c r="DY373" s="274"/>
      <c r="DZ373" s="274"/>
      <c r="EA373" s="274"/>
      <c r="EB373" s="274"/>
      <c r="EC373" s="274"/>
      <c r="ED373" s="39">
        <f t="shared" si="113"/>
        <v>4724300</v>
      </c>
      <c r="EE373" s="30">
        <f t="shared" si="114"/>
        <v>2</v>
      </c>
      <c r="EF373" s="39">
        <f t="shared" si="115"/>
        <v>2362150</v>
      </c>
    </row>
    <row r="374" spans="1:136" x14ac:dyDescent="0.25">
      <c r="A374" s="25" t="e">
        <f>#REF!</f>
        <v>#REF!</v>
      </c>
      <c r="B374" s="50" t="e">
        <f>#REF!</f>
        <v>#REF!</v>
      </c>
      <c r="C374" s="5" t="e">
        <f>#REF!</f>
        <v>#REF!</v>
      </c>
      <c r="D374" s="5" t="e">
        <f>#REF!</f>
        <v>#REF!</v>
      </c>
      <c r="E374" s="252">
        <v>1</v>
      </c>
      <c r="F374" s="249">
        <v>0</v>
      </c>
      <c r="G374" s="249">
        <v>0</v>
      </c>
      <c r="H374" s="249">
        <v>0</v>
      </c>
      <c r="I374" s="249">
        <v>0</v>
      </c>
      <c r="J374" s="249">
        <v>0</v>
      </c>
      <c r="K374" s="249">
        <v>0</v>
      </c>
      <c r="L374" s="274"/>
      <c r="M374" s="274"/>
      <c r="N374" s="255">
        <v>2100000</v>
      </c>
      <c r="O374" s="135">
        <f>+N374*0.19</f>
        <v>399000</v>
      </c>
      <c r="P374" s="135">
        <f>+N374+O374</f>
        <v>2499000</v>
      </c>
      <c r="Q374" s="131"/>
      <c r="R374" s="131"/>
      <c r="S374" s="11"/>
      <c r="T374" s="274"/>
      <c r="U374" s="274"/>
      <c r="V374" s="274"/>
      <c r="W374" s="39"/>
      <c r="X374" s="11"/>
      <c r="Y374" s="11"/>
      <c r="Z374" s="274"/>
      <c r="AA374" s="274"/>
      <c r="AB374" s="274"/>
      <c r="AC374" s="52"/>
      <c r="AD374" s="22"/>
      <c r="AE374" s="39"/>
      <c r="AF374" s="274"/>
      <c r="AG374" s="274"/>
      <c r="AH374" s="171"/>
      <c r="AI374" s="4"/>
      <c r="AJ374" s="39"/>
      <c r="AK374" s="39"/>
      <c r="AL374" s="118"/>
      <c r="AM374" s="152"/>
      <c r="AN374" s="181"/>
      <c r="AO374" s="131"/>
      <c r="AP374" s="131"/>
      <c r="AQ374" s="39"/>
      <c r="AR374" s="274">
        <v>1650000</v>
      </c>
      <c r="AS374" s="274">
        <f t="shared" si="123"/>
        <v>313500</v>
      </c>
      <c r="AT374" s="274">
        <f t="shared" si="124"/>
        <v>1963500</v>
      </c>
      <c r="AU374" s="39"/>
      <c r="AV374" s="39"/>
      <c r="AW374" s="39"/>
      <c r="AX374" s="274"/>
      <c r="AY374" s="274"/>
      <c r="AZ374" s="274"/>
      <c r="BA374" s="39"/>
      <c r="BB374" s="62"/>
      <c r="BC374" s="39"/>
      <c r="BD374" s="274"/>
      <c r="BE374" s="274"/>
      <c r="BF374" s="274"/>
      <c r="BG374" s="39"/>
      <c r="BH374" s="39"/>
      <c r="BI374" s="39"/>
      <c r="BJ374" s="274"/>
      <c r="BK374" s="274"/>
      <c r="BL374" s="274"/>
      <c r="BM374" s="213"/>
      <c r="BN374" s="213"/>
      <c r="BO374" s="39"/>
      <c r="BP374" s="274"/>
      <c r="BQ374" s="274"/>
      <c r="BR374" s="274"/>
      <c r="BS374" s="39"/>
      <c r="BT374" s="39"/>
      <c r="BU374" s="39"/>
      <c r="BV374" s="212"/>
      <c r="BW374" s="221"/>
      <c r="BX374" s="273"/>
      <c r="BY374" s="213"/>
      <c r="BZ374" s="213"/>
      <c r="CA374" s="213"/>
      <c r="CB374" s="274"/>
      <c r="CC374" s="274"/>
      <c r="CD374" s="274"/>
      <c r="CE374" s="39"/>
      <c r="CF374" s="39"/>
      <c r="CG374" s="39"/>
      <c r="CH374" s="274"/>
      <c r="CI374" s="274"/>
      <c r="CJ374" s="274"/>
      <c r="CK374" s="39"/>
      <c r="CL374" s="39"/>
      <c r="CM374" s="39"/>
      <c r="CN374" s="39"/>
      <c r="CO374" s="39"/>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274"/>
      <c r="DM374" s="274"/>
      <c r="DN374" s="274"/>
      <c r="DO374" s="274"/>
      <c r="DP374" s="274"/>
      <c r="DQ374" s="274"/>
      <c r="DR374" s="274"/>
      <c r="DS374" s="274"/>
      <c r="DT374" s="274"/>
      <c r="DU374" s="274"/>
      <c r="DV374" s="274"/>
      <c r="DW374" s="274"/>
      <c r="DX374" s="274"/>
      <c r="DY374" s="274"/>
      <c r="DZ374" s="274"/>
      <c r="EA374" s="274"/>
      <c r="EB374" s="274"/>
      <c r="EC374" s="274"/>
      <c r="ED374" s="39">
        <f t="shared" si="113"/>
        <v>4462500</v>
      </c>
      <c r="EE374" s="30">
        <f t="shared" si="114"/>
        <v>2</v>
      </c>
      <c r="EF374" s="39">
        <f t="shared" si="115"/>
        <v>2231250</v>
      </c>
    </row>
    <row r="375" spans="1:136" x14ac:dyDescent="0.25">
      <c r="A375" s="25" t="e">
        <f>#REF!</f>
        <v>#REF!</v>
      </c>
      <c r="B375" s="50" t="e">
        <f>#REF!</f>
        <v>#REF!</v>
      </c>
      <c r="C375" s="5" t="e">
        <f>#REF!</f>
        <v>#REF!</v>
      </c>
      <c r="D375" s="5" t="e">
        <f>#REF!</f>
        <v>#REF!</v>
      </c>
      <c r="E375" s="252">
        <v>1</v>
      </c>
      <c r="F375" s="249">
        <v>0</v>
      </c>
      <c r="G375" s="249">
        <v>0</v>
      </c>
      <c r="H375" s="249">
        <v>0</v>
      </c>
      <c r="I375" s="249">
        <v>0</v>
      </c>
      <c r="J375" s="249">
        <v>0</v>
      </c>
      <c r="K375" s="249">
        <v>0</v>
      </c>
      <c r="L375" s="274"/>
      <c r="M375" s="274"/>
      <c r="N375" s="255">
        <v>700000</v>
      </c>
      <c r="O375" s="135">
        <f>+N375*0.19</f>
        <v>133000</v>
      </c>
      <c r="P375" s="135">
        <f>+N375+O375</f>
        <v>833000</v>
      </c>
      <c r="Q375" s="131"/>
      <c r="R375" s="131"/>
      <c r="S375" s="11"/>
      <c r="T375" s="274"/>
      <c r="U375" s="274"/>
      <c r="V375" s="274"/>
      <c r="W375" s="39"/>
      <c r="X375" s="11"/>
      <c r="Y375" s="11"/>
      <c r="Z375" s="274"/>
      <c r="AA375" s="274"/>
      <c r="AB375" s="274"/>
      <c r="AC375" s="52"/>
      <c r="AD375" s="22"/>
      <c r="AE375" s="39"/>
      <c r="AF375" s="274"/>
      <c r="AG375" s="274"/>
      <c r="AH375" s="171"/>
      <c r="AI375" s="4"/>
      <c r="AJ375" s="39"/>
      <c r="AK375" s="39"/>
      <c r="AL375" s="118"/>
      <c r="AM375" s="152"/>
      <c r="AN375" s="181"/>
      <c r="AO375" s="131"/>
      <c r="AP375" s="131"/>
      <c r="AQ375" s="39"/>
      <c r="AR375" s="274">
        <v>580000</v>
      </c>
      <c r="AS375" s="274">
        <f t="shared" si="123"/>
        <v>110200</v>
      </c>
      <c r="AT375" s="274">
        <f t="shared" si="124"/>
        <v>690200</v>
      </c>
      <c r="AU375" s="39"/>
      <c r="AV375" s="39"/>
      <c r="AW375" s="39"/>
      <c r="AX375" s="274"/>
      <c r="AY375" s="274"/>
      <c r="AZ375" s="274"/>
      <c r="BA375" s="39"/>
      <c r="BB375" s="62"/>
      <c r="BC375" s="39"/>
      <c r="BD375" s="274"/>
      <c r="BE375" s="274"/>
      <c r="BF375" s="274"/>
      <c r="BG375" s="39"/>
      <c r="BH375" s="39"/>
      <c r="BI375" s="39"/>
      <c r="BJ375" s="274"/>
      <c r="BK375" s="274"/>
      <c r="BL375" s="274"/>
      <c r="BM375" s="213"/>
      <c r="BN375" s="213"/>
      <c r="BO375" s="39"/>
      <c r="BP375" s="274"/>
      <c r="BQ375" s="274"/>
      <c r="BR375" s="274"/>
      <c r="BS375" s="39"/>
      <c r="BT375" s="39"/>
      <c r="BU375" s="39"/>
      <c r="BV375" s="212"/>
      <c r="BW375" s="221"/>
      <c r="BX375" s="273"/>
      <c r="BY375" s="213"/>
      <c r="BZ375" s="213"/>
      <c r="CA375" s="213"/>
      <c r="CB375" s="274"/>
      <c r="CC375" s="274"/>
      <c r="CD375" s="274"/>
      <c r="CE375" s="39"/>
      <c r="CF375" s="39"/>
      <c r="CG375" s="39"/>
      <c r="CH375" s="274"/>
      <c r="CI375" s="274"/>
      <c r="CJ375" s="274"/>
      <c r="CK375" s="39"/>
      <c r="CL375" s="39"/>
      <c r="CM375" s="39"/>
      <c r="CN375" s="39"/>
      <c r="CO375" s="39"/>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274"/>
      <c r="DM375" s="274"/>
      <c r="DN375" s="274"/>
      <c r="DO375" s="274"/>
      <c r="DP375" s="274"/>
      <c r="DQ375" s="274"/>
      <c r="DR375" s="274"/>
      <c r="DS375" s="274"/>
      <c r="DT375" s="274"/>
      <c r="DU375" s="274"/>
      <c r="DV375" s="274"/>
      <c r="DW375" s="274"/>
      <c r="DX375" s="274"/>
      <c r="DY375" s="274"/>
      <c r="DZ375" s="274"/>
      <c r="EA375" s="274"/>
      <c r="EB375" s="274"/>
      <c r="EC375" s="274"/>
      <c r="ED375" s="39">
        <f t="shared" si="113"/>
        <v>1523200</v>
      </c>
      <c r="EE375" s="30">
        <f t="shared" si="114"/>
        <v>2</v>
      </c>
      <c r="EF375" s="39">
        <f t="shared" si="115"/>
        <v>761600</v>
      </c>
    </row>
    <row r="376" spans="1:136" x14ac:dyDescent="0.25">
      <c r="A376" s="25" t="e">
        <f>#REF!</f>
        <v>#REF!</v>
      </c>
      <c r="B376" s="50" t="e">
        <f>#REF!</f>
        <v>#REF!</v>
      </c>
      <c r="C376" s="5" t="e">
        <f>#REF!</f>
        <v>#REF!</v>
      </c>
      <c r="D376" s="5" t="e">
        <f>#REF!</f>
        <v>#REF!</v>
      </c>
      <c r="E376" s="252">
        <v>1</v>
      </c>
      <c r="F376" s="249">
        <v>0</v>
      </c>
      <c r="G376" s="249">
        <v>0</v>
      </c>
      <c r="H376" s="249">
        <v>0</v>
      </c>
      <c r="I376" s="249">
        <v>0</v>
      </c>
      <c r="J376" s="249">
        <v>0</v>
      </c>
      <c r="K376" s="249">
        <v>0</v>
      </c>
      <c r="L376" s="274"/>
      <c r="M376" s="274"/>
      <c r="N376" s="255">
        <v>700000</v>
      </c>
      <c r="O376" s="135">
        <f>+N376*0.19</f>
        <v>133000</v>
      </c>
      <c r="P376" s="135">
        <f>+N376+O376</f>
        <v>833000</v>
      </c>
      <c r="Q376" s="131"/>
      <c r="R376" s="131"/>
      <c r="S376" s="11"/>
      <c r="T376" s="274"/>
      <c r="U376" s="274"/>
      <c r="V376" s="274"/>
      <c r="W376" s="39"/>
      <c r="X376" s="11"/>
      <c r="Y376" s="11"/>
      <c r="Z376" s="274"/>
      <c r="AA376" s="274"/>
      <c r="AB376" s="274"/>
      <c r="AC376" s="52"/>
      <c r="AD376" s="22"/>
      <c r="AE376" s="39"/>
      <c r="AF376" s="274"/>
      <c r="AG376" s="274"/>
      <c r="AH376" s="171"/>
      <c r="AI376" s="4"/>
      <c r="AJ376" s="39"/>
      <c r="AK376" s="39"/>
      <c r="AL376" s="118"/>
      <c r="AM376" s="152"/>
      <c r="AN376" s="181"/>
      <c r="AO376" s="131"/>
      <c r="AP376" s="131"/>
      <c r="AQ376" s="39"/>
      <c r="AR376" s="274">
        <v>783000</v>
      </c>
      <c r="AS376" s="274">
        <f t="shared" si="123"/>
        <v>148770</v>
      </c>
      <c r="AT376" s="274">
        <f t="shared" si="124"/>
        <v>931770</v>
      </c>
      <c r="AU376" s="39"/>
      <c r="AV376" s="39"/>
      <c r="AW376" s="39"/>
      <c r="AX376" s="274"/>
      <c r="AY376" s="274"/>
      <c r="AZ376" s="274"/>
      <c r="BA376" s="39"/>
      <c r="BB376" s="62"/>
      <c r="BC376" s="39"/>
      <c r="BD376" s="274"/>
      <c r="BE376" s="274"/>
      <c r="BF376" s="274"/>
      <c r="BG376" s="39"/>
      <c r="BH376" s="39"/>
      <c r="BI376" s="39"/>
      <c r="BJ376" s="274"/>
      <c r="BK376" s="274"/>
      <c r="BL376" s="274"/>
      <c r="BM376" s="213"/>
      <c r="BN376" s="213"/>
      <c r="BO376" s="39"/>
      <c r="BP376" s="274"/>
      <c r="BQ376" s="274"/>
      <c r="BR376" s="274"/>
      <c r="BS376" s="39"/>
      <c r="BT376" s="39"/>
      <c r="BU376" s="39"/>
      <c r="BV376" s="212"/>
      <c r="BW376" s="221"/>
      <c r="BX376" s="273"/>
      <c r="BY376" s="213"/>
      <c r="BZ376" s="213"/>
      <c r="CA376" s="213"/>
      <c r="CB376" s="274"/>
      <c r="CC376" s="274"/>
      <c r="CD376" s="274"/>
      <c r="CE376" s="39"/>
      <c r="CF376" s="39"/>
      <c r="CG376" s="39"/>
      <c r="CH376" s="274"/>
      <c r="CI376" s="274"/>
      <c r="CJ376" s="274"/>
      <c r="CK376" s="39"/>
      <c r="CL376" s="39"/>
      <c r="CM376" s="39"/>
      <c r="CN376" s="39"/>
      <c r="CO376" s="39"/>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274"/>
      <c r="DM376" s="274"/>
      <c r="DN376" s="274"/>
      <c r="DO376" s="274"/>
      <c r="DP376" s="274"/>
      <c r="DQ376" s="274"/>
      <c r="DR376" s="274"/>
      <c r="DS376" s="274"/>
      <c r="DT376" s="274"/>
      <c r="DU376" s="274"/>
      <c r="DV376" s="274"/>
      <c r="DW376" s="274"/>
      <c r="DX376" s="274"/>
      <c r="DY376" s="274"/>
      <c r="DZ376" s="274"/>
      <c r="EA376" s="274"/>
      <c r="EB376" s="274"/>
      <c r="EC376" s="274"/>
      <c r="ED376" s="39">
        <f t="shared" si="113"/>
        <v>1764770</v>
      </c>
      <c r="EE376" s="30">
        <f t="shared" si="114"/>
        <v>2</v>
      </c>
      <c r="EF376" s="39">
        <f t="shared" si="115"/>
        <v>882385</v>
      </c>
    </row>
    <row r="377" spans="1:136" x14ac:dyDescent="0.25">
      <c r="A377" s="25" t="e">
        <f>#REF!</f>
        <v>#REF!</v>
      </c>
      <c r="B377" s="50" t="e">
        <f>#REF!</f>
        <v>#REF!</v>
      </c>
      <c r="C377" s="5" t="e">
        <f>#REF!</f>
        <v>#REF!</v>
      </c>
      <c r="D377" s="5" t="e">
        <f>#REF!</f>
        <v>#REF!</v>
      </c>
      <c r="E377" s="252">
        <v>1</v>
      </c>
      <c r="F377" s="249">
        <v>0</v>
      </c>
      <c r="G377" s="249">
        <v>0</v>
      </c>
      <c r="H377" s="249">
        <v>0</v>
      </c>
      <c r="I377" s="249">
        <v>0</v>
      </c>
      <c r="J377" s="249">
        <v>0</v>
      </c>
      <c r="K377" s="249">
        <v>0</v>
      </c>
      <c r="L377" s="274"/>
      <c r="M377" s="274"/>
      <c r="N377" s="255">
        <v>700000</v>
      </c>
      <c r="O377" s="135">
        <f>+N377*0.19</f>
        <v>133000</v>
      </c>
      <c r="P377" s="135">
        <f>+N377+O377</f>
        <v>833000</v>
      </c>
      <c r="Q377" s="131"/>
      <c r="R377" s="131"/>
      <c r="S377" s="11"/>
      <c r="T377" s="274"/>
      <c r="U377" s="274"/>
      <c r="V377" s="274"/>
      <c r="W377" s="39"/>
      <c r="X377" s="11"/>
      <c r="Y377" s="11"/>
      <c r="Z377" s="274"/>
      <c r="AA377" s="274"/>
      <c r="AB377" s="274"/>
      <c r="AC377" s="5"/>
      <c r="AD377" s="5"/>
      <c r="AE377" s="39"/>
      <c r="AF377" s="274"/>
      <c r="AG377" s="274"/>
      <c r="AH377" s="169"/>
      <c r="AI377" s="5"/>
      <c r="AJ377" s="39"/>
      <c r="AK377" s="39"/>
      <c r="AL377" s="118"/>
      <c r="AM377" s="152"/>
      <c r="AN377" s="181"/>
      <c r="AO377" s="131"/>
      <c r="AP377" s="131"/>
      <c r="AQ377" s="39"/>
      <c r="AR377" s="274">
        <v>560000</v>
      </c>
      <c r="AS377" s="274">
        <f t="shared" si="123"/>
        <v>106400</v>
      </c>
      <c r="AT377" s="274">
        <f t="shared" si="124"/>
        <v>666400</v>
      </c>
      <c r="AU377" s="39"/>
      <c r="AV377" s="39"/>
      <c r="AW377" s="39"/>
      <c r="AX377" s="274"/>
      <c r="AY377" s="274"/>
      <c r="AZ377" s="274"/>
      <c r="BA377" s="39"/>
      <c r="BB377" s="62"/>
      <c r="BC377" s="39"/>
      <c r="BD377" s="274"/>
      <c r="BE377" s="274"/>
      <c r="BF377" s="274"/>
      <c r="BG377" s="39"/>
      <c r="BH377" s="39"/>
      <c r="BI377" s="39"/>
      <c r="BJ377" s="274"/>
      <c r="BK377" s="274"/>
      <c r="BL377" s="274"/>
      <c r="BM377" s="213"/>
      <c r="BN377" s="213"/>
      <c r="BO377" s="39"/>
      <c r="BP377" s="274"/>
      <c r="BQ377" s="274"/>
      <c r="BR377" s="274"/>
      <c r="BS377" s="39"/>
      <c r="BT377" s="39"/>
      <c r="BU377" s="39"/>
      <c r="BV377" s="212"/>
      <c r="BW377" s="221"/>
      <c r="BX377" s="273"/>
      <c r="BY377" s="213"/>
      <c r="BZ377" s="213"/>
      <c r="CA377" s="213"/>
      <c r="CB377" s="275"/>
      <c r="CC377" s="274"/>
      <c r="CD377" s="274"/>
      <c r="CE377" s="39"/>
      <c r="CF377" s="39"/>
      <c r="CG377" s="39"/>
      <c r="CH377" s="274"/>
      <c r="CI377" s="274"/>
      <c r="CJ377" s="274"/>
      <c r="CK377" s="39"/>
      <c r="CL377" s="39"/>
      <c r="CM377" s="39"/>
      <c r="CN377" s="39"/>
      <c r="CO377" s="39"/>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274"/>
      <c r="DM377" s="274"/>
      <c r="DN377" s="274"/>
      <c r="DO377" s="274"/>
      <c r="DP377" s="274"/>
      <c r="DQ377" s="274"/>
      <c r="DR377" s="274"/>
      <c r="DS377" s="274"/>
      <c r="DT377" s="274"/>
      <c r="DU377" s="274"/>
      <c r="DV377" s="274"/>
      <c r="DW377" s="274"/>
      <c r="DX377" s="274"/>
      <c r="DY377" s="274"/>
      <c r="DZ377" s="274"/>
      <c r="EA377" s="274"/>
      <c r="EB377" s="274"/>
      <c r="EC377" s="274"/>
      <c r="ED377" s="39">
        <f t="shared" si="113"/>
        <v>1499400</v>
      </c>
      <c r="EE377" s="30">
        <f t="shared" si="114"/>
        <v>2</v>
      </c>
      <c r="EF377" s="39">
        <f t="shared" si="115"/>
        <v>749700</v>
      </c>
    </row>
    <row r="378" spans="1:136" x14ac:dyDescent="0.25">
      <c r="A378" s="25" t="e">
        <f>#REF!</f>
        <v>#REF!</v>
      </c>
      <c r="B378" s="50" t="e">
        <f>#REF!</f>
        <v>#REF!</v>
      </c>
      <c r="C378" s="5" t="e">
        <f>#REF!</f>
        <v>#REF!</v>
      </c>
      <c r="D378" s="5" t="e">
        <f>#REF!</f>
        <v>#REF!</v>
      </c>
      <c r="E378" s="252">
        <v>1</v>
      </c>
      <c r="F378" s="249">
        <v>955332</v>
      </c>
      <c r="G378" s="249">
        <v>917014</v>
      </c>
      <c r="H378" s="249">
        <v>698607.82004999998</v>
      </c>
      <c r="I378" s="249">
        <v>698530</v>
      </c>
      <c r="J378" s="249">
        <v>962864.70000000007</v>
      </c>
      <c r="K378" s="249">
        <v>0</v>
      </c>
      <c r="L378" s="274">
        <f>AVERAGE(F378,H378,J378)</f>
        <v>872268.17334999994</v>
      </c>
      <c r="M378" s="274">
        <f>AVERAGE(G378,I378)*E1</f>
        <v>832005.16</v>
      </c>
      <c r="N378" s="256"/>
      <c r="O378" s="135"/>
      <c r="P378" s="135"/>
      <c r="Q378" s="131"/>
      <c r="R378" s="131"/>
      <c r="S378" s="11"/>
      <c r="T378" s="274"/>
      <c r="U378" s="274"/>
      <c r="V378" s="274"/>
      <c r="W378" s="39"/>
      <c r="X378" s="11"/>
      <c r="Y378" s="11"/>
      <c r="Z378" s="274"/>
      <c r="AA378" s="274"/>
      <c r="AB378" s="274"/>
      <c r="AC378" s="52"/>
      <c r="AD378" s="22"/>
      <c r="AE378" s="39"/>
      <c r="AF378" s="274"/>
      <c r="AG378" s="274"/>
      <c r="AH378" s="171"/>
      <c r="AI378" s="22"/>
      <c r="AJ378" s="39"/>
      <c r="AK378" s="39"/>
      <c r="AL378" s="118"/>
      <c r="AM378" s="152"/>
      <c r="AN378" s="181"/>
      <c r="AO378" s="131"/>
      <c r="AP378" s="131"/>
      <c r="AQ378" s="39"/>
      <c r="AR378" s="274"/>
      <c r="AS378" s="274"/>
      <c r="AT378" s="274"/>
      <c r="AU378" s="39"/>
      <c r="AV378" s="39"/>
      <c r="AW378" s="39"/>
      <c r="AX378" s="275"/>
      <c r="AY378" s="274"/>
      <c r="AZ378" s="274"/>
      <c r="BA378" s="39"/>
      <c r="BB378" s="62"/>
      <c r="BC378" s="39"/>
      <c r="BD378" s="274"/>
      <c r="BE378" s="274"/>
      <c r="BF378" s="274"/>
      <c r="BG378" s="39"/>
      <c r="BH378" s="39"/>
      <c r="BI378" s="39"/>
      <c r="BJ378" s="274"/>
      <c r="BK378" s="274"/>
      <c r="BL378" s="274"/>
      <c r="BM378" s="213"/>
      <c r="BN378" s="213"/>
      <c r="BO378" s="39"/>
      <c r="BP378" s="274">
        <v>85600</v>
      </c>
      <c r="BQ378" s="274">
        <f>+BP378*19%</f>
        <v>16264</v>
      </c>
      <c r="BR378" s="274">
        <f>+BQ378+BP378</f>
        <v>101864</v>
      </c>
      <c r="BS378" s="39"/>
      <c r="BT378" s="39"/>
      <c r="BU378" s="39"/>
      <c r="BV378" s="212"/>
      <c r="BW378" s="221"/>
      <c r="BX378" s="273"/>
      <c r="BY378" s="213"/>
      <c r="BZ378" s="213"/>
      <c r="CA378" s="213"/>
      <c r="CB378" s="274"/>
      <c r="CC378" s="274"/>
      <c r="CD378" s="274"/>
      <c r="CE378" s="39"/>
      <c r="CF378" s="39"/>
      <c r="CG378" s="39"/>
      <c r="CH378" s="275"/>
      <c r="CI378" s="275"/>
      <c r="CJ378" s="275"/>
      <c r="CK378" s="39"/>
      <c r="CL378" s="39"/>
      <c r="CM378" s="39"/>
      <c r="CN378" s="39"/>
      <c r="CO378" s="39"/>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274"/>
      <c r="DM378" s="274"/>
      <c r="DN378" s="274"/>
      <c r="DO378" s="274"/>
      <c r="DP378" s="274"/>
      <c r="DQ378" s="274"/>
      <c r="DR378" s="274"/>
      <c r="DS378" s="274"/>
      <c r="DT378" s="274"/>
      <c r="DU378" s="274"/>
      <c r="DV378" s="274"/>
      <c r="DW378" s="274"/>
      <c r="DX378" s="274"/>
      <c r="DY378" s="274"/>
      <c r="DZ378" s="274"/>
      <c r="EA378" s="274"/>
      <c r="EB378" s="274"/>
      <c r="EC378" s="274"/>
      <c r="ED378" s="39">
        <f t="shared" si="113"/>
        <v>933869.16</v>
      </c>
      <c r="EE378" s="30">
        <f t="shared" si="114"/>
        <v>2</v>
      </c>
      <c r="EF378" s="39">
        <f t="shared" si="115"/>
        <v>466934.58</v>
      </c>
    </row>
    <row r="379" spans="1:136" x14ac:dyDescent="0.25">
      <c r="A379" s="25" t="e">
        <f>#REF!</f>
        <v>#REF!</v>
      </c>
      <c r="B379" s="50" t="e">
        <f>#REF!</f>
        <v>#REF!</v>
      </c>
      <c r="C379" s="5" t="e">
        <f>#REF!</f>
        <v>#REF!</v>
      </c>
      <c r="D379" s="5" t="e">
        <f>#REF!</f>
        <v>#REF!</v>
      </c>
      <c r="E379" s="252">
        <v>1</v>
      </c>
      <c r="F379" s="249">
        <v>0</v>
      </c>
      <c r="G379" s="249">
        <v>0</v>
      </c>
      <c r="H379" s="249">
        <v>9470.2804219823356</v>
      </c>
      <c r="I379" s="249">
        <v>4284</v>
      </c>
      <c r="J379" s="249">
        <v>5882.5666666666666</v>
      </c>
      <c r="K379" s="249">
        <v>5831</v>
      </c>
      <c r="L379" s="274">
        <f>AVERAGE(H379,J379)</f>
        <v>7676.4235443245016</v>
      </c>
      <c r="M379" s="274">
        <f>AVERAGE(I379,K379)*E1</f>
        <v>5209.2250000000004</v>
      </c>
      <c r="N379" s="255">
        <v>7000</v>
      </c>
      <c r="O379" s="135">
        <f>+N379*0.19</f>
        <v>1330</v>
      </c>
      <c r="P379" s="135">
        <f>+N379+O379</f>
        <v>8330</v>
      </c>
      <c r="Q379" s="131"/>
      <c r="R379" s="131"/>
      <c r="S379" s="11"/>
      <c r="T379" s="274">
        <v>3960.0000000000005</v>
      </c>
      <c r="U379" s="274">
        <f>+T379*0.19</f>
        <v>752.40000000000009</v>
      </c>
      <c r="V379" s="274">
        <f>+T379+U379</f>
        <v>4712.4000000000005</v>
      </c>
      <c r="W379" s="39" t="s">
        <v>3739</v>
      </c>
      <c r="X379" s="11" t="s">
        <v>4850</v>
      </c>
      <c r="Y379" s="11"/>
      <c r="Z379" s="274"/>
      <c r="AA379" s="274"/>
      <c r="AB379" s="274"/>
      <c r="AC379" s="52"/>
      <c r="AD379" s="22"/>
      <c r="AE379" s="39"/>
      <c r="AF379" s="274"/>
      <c r="AG379" s="274"/>
      <c r="AH379" s="171"/>
      <c r="AI379" s="4"/>
      <c r="AJ379" s="39"/>
      <c r="AK379" s="39"/>
      <c r="AL379" s="118"/>
      <c r="AM379" s="152"/>
      <c r="AN379" s="181"/>
      <c r="AO379" s="131"/>
      <c r="AP379" s="131"/>
      <c r="AQ379" s="39"/>
      <c r="AR379" s="274"/>
      <c r="AS379" s="274"/>
      <c r="AT379" s="274"/>
      <c r="AU379" s="39"/>
      <c r="AV379" s="39"/>
      <c r="AW379" s="39"/>
      <c r="AX379" s="274"/>
      <c r="AY379" s="274"/>
      <c r="AZ379" s="274"/>
      <c r="BA379" s="39"/>
      <c r="BB379" s="62"/>
      <c r="BC379" s="39"/>
      <c r="BD379" s="274"/>
      <c r="BE379" s="274"/>
      <c r="BF379" s="274"/>
      <c r="BG379" s="39"/>
      <c r="BH379" s="39"/>
      <c r="BI379" s="39"/>
      <c r="BJ379" s="274"/>
      <c r="BK379" s="274"/>
      <c r="BL379" s="274"/>
      <c r="BM379" s="213"/>
      <c r="BN379" s="213"/>
      <c r="BO379" s="39"/>
      <c r="BP379" s="274"/>
      <c r="BQ379" s="274"/>
      <c r="BR379" s="274"/>
      <c r="BS379" s="39"/>
      <c r="BT379" s="39"/>
      <c r="BU379" s="39"/>
      <c r="BV379" s="219"/>
      <c r="BW379" s="219"/>
      <c r="BX379" s="273"/>
      <c r="BY379" s="213"/>
      <c r="BZ379" s="213"/>
      <c r="CA379" s="213"/>
      <c r="CB379" s="274"/>
      <c r="CC379" s="274"/>
      <c r="CD379" s="274"/>
      <c r="CE379" s="39"/>
      <c r="CF379" s="39"/>
      <c r="CG379" s="39"/>
      <c r="CH379" s="274"/>
      <c r="CI379" s="274"/>
      <c r="CJ379" s="274"/>
      <c r="CK379" s="39"/>
      <c r="CL379" s="39"/>
      <c r="CM379" s="39"/>
      <c r="CN379" s="39"/>
      <c r="CO379" s="39"/>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274"/>
      <c r="DM379" s="274"/>
      <c r="DN379" s="274"/>
      <c r="DO379" s="274"/>
      <c r="DP379" s="274"/>
      <c r="DQ379" s="274"/>
      <c r="DR379" s="274"/>
      <c r="DS379" s="274"/>
      <c r="DT379" s="274"/>
      <c r="DU379" s="274"/>
      <c r="DV379" s="274"/>
      <c r="DW379" s="274"/>
      <c r="DX379" s="274"/>
      <c r="DY379" s="274"/>
      <c r="DZ379" s="274"/>
      <c r="EA379" s="274"/>
      <c r="EB379" s="274"/>
      <c r="EC379" s="274"/>
      <c r="ED379" s="39">
        <f t="shared" si="113"/>
        <v>18251.625</v>
      </c>
      <c r="EE379" s="30">
        <f t="shared" si="114"/>
        <v>3</v>
      </c>
      <c r="EF379" s="39">
        <f t="shared" si="115"/>
        <v>6083.875</v>
      </c>
    </row>
    <row r="380" spans="1:136" x14ac:dyDescent="0.25">
      <c r="A380" s="25" t="e">
        <f>#REF!</f>
        <v>#REF!</v>
      </c>
      <c r="B380" s="50" t="e">
        <f>#REF!</f>
        <v>#REF!</v>
      </c>
      <c r="C380" s="5" t="e">
        <f>#REF!</f>
        <v>#REF!</v>
      </c>
      <c r="D380" s="5" t="e">
        <f>#REF!</f>
        <v>#REF!</v>
      </c>
      <c r="E380" s="252">
        <v>1</v>
      </c>
      <c r="F380" s="249">
        <v>0</v>
      </c>
      <c r="G380" s="249">
        <v>0</v>
      </c>
      <c r="H380" s="249">
        <v>178500</v>
      </c>
      <c r="I380" s="249">
        <v>0</v>
      </c>
      <c r="J380" s="249">
        <v>132187.31555555554</v>
      </c>
      <c r="K380" s="249">
        <v>0</v>
      </c>
      <c r="L380" s="274">
        <f>AVERAGE(H380,J380)</f>
        <v>155343.65777777776</v>
      </c>
      <c r="M380" s="274"/>
      <c r="N380" s="255">
        <v>150000</v>
      </c>
      <c r="O380" s="135">
        <f>+N380*0.19</f>
        <v>28500</v>
      </c>
      <c r="P380" s="135">
        <f>+N380+O380</f>
        <v>178500</v>
      </c>
      <c r="Q380" s="131"/>
      <c r="R380" s="131"/>
      <c r="S380" s="11"/>
      <c r="T380" s="274"/>
      <c r="U380" s="274"/>
      <c r="V380" s="274"/>
      <c r="W380" s="39"/>
      <c r="X380" s="11"/>
      <c r="Y380" s="11"/>
      <c r="Z380" s="274"/>
      <c r="AA380" s="274"/>
      <c r="AB380" s="274"/>
      <c r="AC380" s="52"/>
      <c r="AD380" s="22"/>
      <c r="AE380" s="39"/>
      <c r="AF380" s="274"/>
      <c r="AG380" s="274"/>
      <c r="AH380" s="171"/>
      <c r="AI380" s="4"/>
      <c r="AJ380" s="39"/>
      <c r="AK380" s="39"/>
      <c r="AL380" s="118"/>
      <c r="AM380" s="152"/>
      <c r="AN380" s="181"/>
      <c r="AO380" s="131"/>
      <c r="AP380" s="131"/>
      <c r="AQ380" s="39"/>
      <c r="AR380" s="274"/>
      <c r="AS380" s="274"/>
      <c r="AT380" s="274"/>
      <c r="AU380" s="39"/>
      <c r="AV380" s="39"/>
      <c r="AW380" s="39"/>
      <c r="AX380" s="274"/>
      <c r="AY380" s="274"/>
      <c r="AZ380" s="274"/>
      <c r="BA380" s="39"/>
      <c r="BB380" s="62"/>
      <c r="BC380" s="39"/>
      <c r="BD380" s="274"/>
      <c r="BE380" s="274"/>
      <c r="BF380" s="274"/>
      <c r="BG380" s="39"/>
      <c r="BH380" s="39"/>
      <c r="BI380" s="39"/>
      <c r="BJ380" s="274"/>
      <c r="BK380" s="274"/>
      <c r="BL380" s="274"/>
      <c r="BM380" s="213"/>
      <c r="BN380" s="213"/>
      <c r="BO380" s="39"/>
      <c r="BP380" s="274">
        <v>85000</v>
      </c>
      <c r="BQ380" s="274">
        <f>+BP380*19%</f>
        <v>16150</v>
      </c>
      <c r="BR380" s="274">
        <f>+BQ380+BP380</f>
        <v>101150</v>
      </c>
      <c r="BS380" s="39"/>
      <c r="BT380" s="39"/>
      <c r="BU380" s="39"/>
      <c r="BV380" s="212"/>
      <c r="BW380" s="221"/>
      <c r="BX380" s="273"/>
      <c r="BY380" s="213"/>
      <c r="BZ380" s="213"/>
      <c r="CA380" s="213"/>
      <c r="CB380" s="274"/>
      <c r="CC380" s="274"/>
      <c r="CD380" s="274"/>
      <c r="CE380" s="39"/>
      <c r="CF380" s="39"/>
      <c r="CG380" s="39"/>
      <c r="CH380" s="274"/>
      <c r="CI380" s="274"/>
      <c r="CJ380" s="274"/>
      <c r="CK380" s="39"/>
      <c r="CL380" s="39"/>
      <c r="CM380" s="39"/>
      <c r="CN380" s="39"/>
      <c r="CO380" s="39"/>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274"/>
      <c r="DM380" s="274"/>
      <c r="DN380" s="274"/>
      <c r="DO380" s="274"/>
      <c r="DP380" s="274"/>
      <c r="DQ380" s="274"/>
      <c r="DR380" s="274"/>
      <c r="DS380" s="274"/>
      <c r="DT380" s="274"/>
      <c r="DU380" s="274"/>
      <c r="DV380" s="274"/>
      <c r="DW380" s="274"/>
      <c r="DX380" s="274"/>
      <c r="DY380" s="274"/>
      <c r="DZ380" s="274"/>
      <c r="EA380" s="274"/>
      <c r="EB380" s="274"/>
      <c r="EC380" s="274"/>
      <c r="ED380" s="39">
        <f t="shared" si="113"/>
        <v>279650</v>
      </c>
      <c r="EE380" s="30">
        <f t="shared" si="114"/>
        <v>2</v>
      </c>
      <c r="EF380" s="39">
        <f t="shared" si="115"/>
        <v>139825</v>
      </c>
    </row>
    <row r="381" spans="1:136" x14ac:dyDescent="0.25">
      <c r="A381" s="25" t="e">
        <f>#REF!</f>
        <v>#REF!</v>
      </c>
      <c r="B381" s="50" t="e">
        <f>#REF!</f>
        <v>#REF!</v>
      </c>
      <c r="C381" s="5" t="e">
        <f>#REF!</f>
        <v>#REF!</v>
      </c>
      <c r="D381" s="5" t="e">
        <f>#REF!</f>
        <v>#REF!</v>
      </c>
      <c r="E381" s="252">
        <v>1</v>
      </c>
      <c r="F381" s="249">
        <v>0</v>
      </c>
      <c r="G381" s="249">
        <v>0</v>
      </c>
      <c r="H381" s="249">
        <v>0</v>
      </c>
      <c r="I381" s="249">
        <v>0</v>
      </c>
      <c r="J381" s="249">
        <v>27595.050000000003</v>
      </c>
      <c r="K381" s="249">
        <v>0</v>
      </c>
      <c r="L381" s="274">
        <f>J381</f>
        <v>27595.050000000003</v>
      </c>
      <c r="M381" s="274"/>
      <c r="N381" s="255"/>
      <c r="O381" s="135"/>
      <c r="P381" s="135"/>
      <c r="Q381" s="131"/>
      <c r="R381" s="131"/>
      <c r="S381" s="11"/>
      <c r="T381" s="274"/>
      <c r="U381" s="274"/>
      <c r="V381" s="274"/>
      <c r="W381" s="39"/>
      <c r="X381" s="11"/>
      <c r="Y381" s="11"/>
      <c r="Z381" s="274"/>
      <c r="AA381" s="274"/>
      <c r="AB381" s="274"/>
      <c r="AC381" s="52"/>
      <c r="AD381" s="22"/>
      <c r="AE381" s="39"/>
      <c r="AF381" s="274"/>
      <c r="AG381" s="274"/>
      <c r="AH381" s="171"/>
      <c r="AI381" s="4"/>
      <c r="AJ381" s="39"/>
      <c r="AK381" s="39"/>
      <c r="AL381" s="118"/>
      <c r="AM381" s="152"/>
      <c r="AN381" s="181"/>
      <c r="AO381" s="131"/>
      <c r="AP381" s="131"/>
      <c r="AQ381" s="39"/>
      <c r="AR381" s="274"/>
      <c r="AS381" s="274"/>
      <c r="AT381" s="274"/>
      <c r="AU381" s="39"/>
      <c r="AV381" s="39"/>
      <c r="AW381" s="39"/>
      <c r="AX381" s="274"/>
      <c r="AY381" s="274"/>
      <c r="AZ381" s="274"/>
      <c r="BA381" s="39"/>
      <c r="BB381" s="62"/>
      <c r="BC381" s="39"/>
      <c r="BD381" s="274"/>
      <c r="BE381" s="274"/>
      <c r="BF381" s="274"/>
      <c r="BG381" s="39"/>
      <c r="BH381" s="39"/>
      <c r="BI381" s="39"/>
      <c r="BJ381" s="274"/>
      <c r="BK381" s="274"/>
      <c r="BL381" s="274"/>
      <c r="BM381" s="213"/>
      <c r="BN381" s="213"/>
      <c r="BO381" s="39"/>
      <c r="BP381" s="274"/>
      <c r="BQ381" s="274"/>
      <c r="BR381" s="274"/>
      <c r="BS381" s="39"/>
      <c r="BT381" s="39"/>
      <c r="BU381" s="39"/>
      <c r="BV381" s="212"/>
      <c r="BW381" s="221"/>
      <c r="BX381" s="273"/>
      <c r="BY381" s="213"/>
      <c r="BZ381" s="213"/>
      <c r="CA381" s="213"/>
      <c r="CB381" s="274"/>
      <c r="CC381" s="274"/>
      <c r="CD381" s="274"/>
      <c r="CE381" s="39"/>
      <c r="CF381" s="39"/>
      <c r="CG381" s="39"/>
      <c r="CH381" s="274"/>
      <c r="CI381" s="274"/>
      <c r="CJ381" s="274"/>
      <c r="CK381" s="39"/>
      <c r="CL381" s="39"/>
      <c r="CM381" s="39"/>
      <c r="CN381" s="39"/>
      <c r="CO381" s="39"/>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274"/>
      <c r="DM381" s="274"/>
      <c r="DN381" s="274"/>
      <c r="DO381" s="274"/>
      <c r="DP381" s="274"/>
      <c r="DQ381" s="274"/>
      <c r="DR381" s="274"/>
      <c r="DS381" s="274"/>
      <c r="DT381" s="274"/>
      <c r="DU381" s="274"/>
      <c r="DV381" s="274"/>
      <c r="DW381" s="274"/>
      <c r="DX381" s="274"/>
      <c r="DY381" s="274"/>
      <c r="DZ381" s="274"/>
      <c r="EA381" s="274"/>
      <c r="EB381" s="274"/>
      <c r="EC381" s="274"/>
      <c r="ED381" s="39">
        <f t="shared" si="113"/>
        <v>0</v>
      </c>
      <c r="EE381" s="30">
        <f t="shared" si="114"/>
        <v>0</v>
      </c>
      <c r="EF381" s="39" t="str">
        <f t="shared" si="115"/>
        <v xml:space="preserve"> </v>
      </c>
    </row>
    <row r="382" spans="1:136" x14ac:dyDescent="0.25">
      <c r="A382" s="25" t="e">
        <f>#REF!</f>
        <v>#REF!</v>
      </c>
      <c r="B382" s="50" t="e">
        <f>#REF!</f>
        <v>#REF!</v>
      </c>
      <c r="C382" s="5" t="e">
        <f>#REF!</f>
        <v>#REF!</v>
      </c>
      <c r="D382" s="5" t="e">
        <f>#REF!</f>
        <v>#REF!</v>
      </c>
      <c r="E382" s="252">
        <v>1</v>
      </c>
      <c r="F382" s="249">
        <v>0</v>
      </c>
      <c r="G382" s="249">
        <v>0</v>
      </c>
      <c r="H382" s="249">
        <v>0</v>
      </c>
      <c r="I382" s="249">
        <v>0</v>
      </c>
      <c r="J382" s="249">
        <v>0</v>
      </c>
      <c r="K382" s="249">
        <v>0</v>
      </c>
      <c r="L382" s="274"/>
      <c r="M382" s="274"/>
      <c r="N382" s="255"/>
      <c r="O382" s="135"/>
      <c r="P382" s="135"/>
      <c r="Q382" s="131"/>
      <c r="R382" s="131"/>
      <c r="S382" s="11"/>
      <c r="T382" s="274"/>
      <c r="U382" s="274"/>
      <c r="V382" s="274"/>
      <c r="W382" s="39"/>
      <c r="X382" s="11"/>
      <c r="Y382" s="11"/>
      <c r="Z382" s="274"/>
      <c r="AA382" s="274"/>
      <c r="AB382" s="274"/>
      <c r="AC382" s="52"/>
      <c r="AD382" s="22"/>
      <c r="AE382" s="39"/>
      <c r="AF382" s="274"/>
      <c r="AG382" s="274"/>
      <c r="AH382" s="171"/>
      <c r="AI382" s="4"/>
      <c r="AJ382" s="39"/>
      <c r="AK382" s="39"/>
      <c r="AL382" s="118"/>
      <c r="AM382" s="152"/>
      <c r="AN382" s="181"/>
      <c r="AO382" s="131"/>
      <c r="AP382" s="131"/>
      <c r="AQ382" s="39"/>
      <c r="AR382" s="274"/>
      <c r="AS382" s="274"/>
      <c r="AT382" s="274"/>
      <c r="AU382" s="39"/>
      <c r="AV382" s="39"/>
      <c r="AW382" s="39"/>
      <c r="AX382" s="274"/>
      <c r="AY382" s="274"/>
      <c r="AZ382" s="274"/>
      <c r="BA382" s="39"/>
      <c r="BB382" s="62"/>
      <c r="BC382" s="39"/>
      <c r="BD382" s="274"/>
      <c r="BE382" s="274"/>
      <c r="BF382" s="274"/>
      <c r="BG382" s="39"/>
      <c r="BH382" s="39"/>
      <c r="BI382" s="39"/>
      <c r="BJ382" s="274"/>
      <c r="BK382" s="274"/>
      <c r="BL382" s="274"/>
      <c r="BM382" s="213"/>
      <c r="BN382" s="213"/>
      <c r="BO382" s="39"/>
      <c r="BP382" s="274"/>
      <c r="BQ382" s="274"/>
      <c r="BR382" s="274"/>
      <c r="BS382" s="39"/>
      <c r="BT382" s="39"/>
      <c r="BU382" s="39"/>
      <c r="BV382" s="212"/>
      <c r="BW382" s="221"/>
      <c r="BX382" s="273"/>
      <c r="BY382" s="213"/>
      <c r="BZ382" s="213"/>
      <c r="CA382" s="213"/>
      <c r="CB382" s="274"/>
      <c r="CC382" s="274"/>
      <c r="CD382" s="274"/>
      <c r="CE382" s="39"/>
      <c r="CF382" s="39"/>
      <c r="CG382" s="39"/>
      <c r="CH382" s="274"/>
      <c r="CI382" s="274"/>
      <c r="CJ382" s="274"/>
      <c r="CK382" s="39"/>
      <c r="CL382" s="39"/>
      <c r="CM382" s="39"/>
      <c r="CN382" s="39"/>
      <c r="CO382" s="39"/>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274"/>
      <c r="DM382" s="274"/>
      <c r="DN382" s="274"/>
      <c r="DO382" s="274"/>
      <c r="DP382" s="274"/>
      <c r="DQ382" s="274"/>
      <c r="DR382" s="274"/>
      <c r="DS382" s="274"/>
      <c r="DT382" s="274"/>
      <c r="DU382" s="274"/>
      <c r="DV382" s="274"/>
      <c r="DW382" s="274"/>
      <c r="DX382" s="274"/>
      <c r="DY382" s="274"/>
      <c r="DZ382" s="274"/>
      <c r="EA382" s="274"/>
      <c r="EB382" s="274"/>
      <c r="EC382" s="274"/>
      <c r="ED382" s="39">
        <f t="shared" si="113"/>
        <v>0</v>
      </c>
      <c r="EE382" s="30">
        <f t="shared" si="114"/>
        <v>0</v>
      </c>
      <c r="EF382" s="39" t="str">
        <f t="shared" si="115"/>
        <v xml:space="preserve"> </v>
      </c>
    </row>
    <row r="383" spans="1:136" x14ac:dyDescent="0.25">
      <c r="A383" s="25" t="e">
        <f>#REF!</f>
        <v>#REF!</v>
      </c>
      <c r="B383" s="50" t="e">
        <f>#REF!</f>
        <v>#REF!</v>
      </c>
      <c r="C383" s="5" t="e">
        <f>#REF!</f>
        <v>#REF!</v>
      </c>
      <c r="D383" s="5" t="e">
        <f>#REF!</f>
        <v>#REF!</v>
      </c>
      <c r="E383" s="252">
        <v>1</v>
      </c>
      <c r="F383" s="249">
        <v>0</v>
      </c>
      <c r="G383" s="249">
        <v>0</v>
      </c>
      <c r="H383" s="249">
        <v>0</v>
      </c>
      <c r="I383" s="249">
        <v>0</v>
      </c>
      <c r="J383" s="249">
        <v>0</v>
      </c>
      <c r="K383" s="249">
        <v>0</v>
      </c>
      <c r="L383" s="274"/>
      <c r="M383" s="274"/>
      <c r="N383" s="255">
        <v>55000</v>
      </c>
      <c r="O383" s="135">
        <f t="shared" ref="O383:O389" si="125">+N383*0.19</f>
        <v>10450</v>
      </c>
      <c r="P383" s="135">
        <f t="shared" ref="P383:P389" si="126">+N383+O383</f>
        <v>65450</v>
      </c>
      <c r="Q383" s="131"/>
      <c r="R383" s="131"/>
      <c r="S383" s="11"/>
      <c r="T383" s="274"/>
      <c r="U383" s="274"/>
      <c r="V383" s="274"/>
      <c r="W383" s="39"/>
      <c r="X383" s="11"/>
      <c r="Y383" s="11"/>
      <c r="Z383" s="274"/>
      <c r="AA383" s="274"/>
      <c r="AB383" s="274"/>
      <c r="AC383" s="52"/>
      <c r="AD383" s="22"/>
      <c r="AE383" s="39"/>
      <c r="AF383" s="274"/>
      <c r="AG383" s="274"/>
      <c r="AH383" s="171"/>
      <c r="AI383" s="4"/>
      <c r="AJ383" s="39"/>
      <c r="AK383" s="39"/>
      <c r="AL383" s="118"/>
      <c r="AM383" s="152"/>
      <c r="AN383" s="181"/>
      <c r="AO383" s="131"/>
      <c r="AP383" s="131"/>
      <c r="AQ383" s="39"/>
      <c r="AR383" s="274"/>
      <c r="AS383" s="274"/>
      <c r="AT383" s="274"/>
      <c r="AU383" s="39"/>
      <c r="AV383" s="39"/>
      <c r="AW383" s="39"/>
      <c r="AX383" s="274"/>
      <c r="AY383" s="274"/>
      <c r="AZ383" s="274"/>
      <c r="BA383" s="39"/>
      <c r="BB383" s="62"/>
      <c r="BC383" s="39"/>
      <c r="BD383" s="274"/>
      <c r="BE383" s="274"/>
      <c r="BF383" s="274"/>
      <c r="BG383" s="39"/>
      <c r="BH383" s="39"/>
      <c r="BI383" s="39"/>
      <c r="BJ383" s="274"/>
      <c r="BK383" s="274"/>
      <c r="BL383" s="274"/>
      <c r="BM383" s="213"/>
      <c r="BN383" s="213"/>
      <c r="BO383" s="39"/>
      <c r="BP383" s="274">
        <v>65000</v>
      </c>
      <c r="BQ383" s="274">
        <f>+BP383*19%</f>
        <v>12350</v>
      </c>
      <c r="BR383" s="274">
        <f>+BQ383+BP383</f>
        <v>77350</v>
      </c>
      <c r="BS383" s="39"/>
      <c r="BT383" s="39"/>
      <c r="BU383" s="39"/>
      <c r="BV383" s="212"/>
      <c r="BW383" s="221"/>
      <c r="BX383" s="273"/>
      <c r="BY383" s="213"/>
      <c r="BZ383" s="213"/>
      <c r="CA383" s="213"/>
      <c r="CB383" s="274"/>
      <c r="CC383" s="274"/>
      <c r="CD383" s="274"/>
      <c r="CE383" s="39"/>
      <c r="CF383" s="39"/>
      <c r="CG383" s="39"/>
      <c r="CH383" s="274"/>
      <c r="CI383" s="274"/>
      <c r="CJ383" s="274"/>
      <c r="CK383" s="39"/>
      <c r="CL383" s="39"/>
      <c r="CM383" s="39"/>
      <c r="CN383" s="39"/>
      <c r="CO383" s="39"/>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274"/>
      <c r="DM383" s="274"/>
      <c r="DN383" s="274"/>
      <c r="DO383" s="274"/>
      <c r="DP383" s="274"/>
      <c r="DQ383" s="274"/>
      <c r="DR383" s="274"/>
      <c r="DS383" s="274"/>
      <c r="DT383" s="274"/>
      <c r="DU383" s="274"/>
      <c r="DV383" s="274"/>
      <c r="DW383" s="274"/>
      <c r="DX383" s="274"/>
      <c r="DY383" s="274"/>
      <c r="DZ383" s="274"/>
      <c r="EA383" s="274"/>
      <c r="EB383" s="274"/>
      <c r="EC383" s="274"/>
      <c r="ED383" s="39">
        <f t="shared" si="113"/>
        <v>142800</v>
      </c>
      <c r="EE383" s="30">
        <f t="shared" si="114"/>
        <v>2</v>
      </c>
      <c r="EF383" s="39">
        <f t="shared" si="115"/>
        <v>71400</v>
      </c>
    </row>
    <row r="384" spans="1:136" x14ac:dyDescent="0.25">
      <c r="A384" s="25" t="e">
        <f>#REF!</f>
        <v>#REF!</v>
      </c>
      <c r="B384" s="50" t="e">
        <f>#REF!</f>
        <v>#REF!</v>
      </c>
      <c r="C384" s="5" t="e">
        <f>#REF!</f>
        <v>#REF!</v>
      </c>
      <c r="D384" s="5" t="e">
        <f>#REF!</f>
        <v>#REF!</v>
      </c>
      <c r="E384" s="252">
        <v>1</v>
      </c>
      <c r="F384" s="249">
        <v>20593.901999999998</v>
      </c>
      <c r="G384" s="249">
        <v>19516</v>
      </c>
      <c r="H384" s="249">
        <v>9969.1134389597646</v>
      </c>
      <c r="I384" s="249">
        <v>4879</v>
      </c>
      <c r="J384" s="249">
        <v>9174.2388888888891</v>
      </c>
      <c r="K384" s="249">
        <v>8925</v>
      </c>
      <c r="L384" s="274">
        <f>AVERAGE(F384,H384,J384)</f>
        <v>13245.751442616218</v>
      </c>
      <c r="M384" s="274">
        <f>AVERAGE(G384,I384,K384)*E1</f>
        <v>11439.866666666667</v>
      </c>
      <c r="N384" s="255">
        <v>7500</v>
      </c>
      <c r="O384" s="135">
        <f t="shared" si="125"/>
        <v>1425</v>
      </c>
      <c r="P384" s="135">
        <f t="shared" si="126"/>
        <v>8925</v>
      </c>
      <c r="Q384" s="131"/>
      <c r="R384" s="131"/>
      <c r="S384" s="11"/>
      <c r="T384" s="274">
        <v>4510</v>
      </c>
      <c r="U384" s="274">
        <f>+T384*0.19</f>
        <v>856.9</v>
      </c>
      <c r="V384" s="274">
        <f>+T384+U384</f>
        <v>5366.9</v>
      </c>
      <c r="W384" s="39" t="s">
        <v>2005</v>
      </c>
      <c r="X384" s="11" t="s">
        <v>4851</v>
      </c>
      <c r="Y384" s="11"/>
      <c r="Z384" s="274"/>
      <c r="AA384" s="274"/>
      <c r="AB384" s="274"/>
      <c r="AC384" s="33"/>
      <c r="AD384" s="22"/>
      <c r="AE384" s="39"/>
      <c r="AF384" s="274"/>
      <c r="AG384" s="274"/>
      <c r="AH384" s="143"/>
      <c r="AI384" s="4"/>
      <c r="AJ384" s="39"/>
      <c r="AK384" s="39"/>
      <c r="AL384" s="118"/>
      <c r="AM384" s="152"/>
      <c r="AN384" s="181"/>
      <c r="AO384" s="131"/>
      <c r="AP384" s="131"/>
      <c r="AQ384" s="39"/>
      <c r="AR384" s="274"/>
      <c r="AS384" s="274"/>
      <c r="AT384" s="274"/>
      <c r="AU384" s="39"/>
      <c r="AV384" s="39"/>
      <c r="AW384" s="39"/>
      <c r="AX384" s="274"/>
      <c r="AY384" s="274"/>
      <c r="AZ384" s="274"/>
      <c r="BA384" s="39"/>
      <c r="BB384" s="62"/>
      <c r="BC384" s="39"/>
      <c r="BD384" s="274"/>
      <c r="BE384" s="274"/>
      <c r="BF384" s="274"/>
      <c r="BG384" s="39"/>
      <c r="BH384" s="39"/>
      <c r="BI384" s="39"/>
      <c r="BJ384" s="274"/>
      <c r="BK384" s="274"/>
      <c r="BL384" s="274"/>
      <c r="BM384" s="213"/>
      <c r="BN384" s="213"/>
      <c r="BO384" s="39"/>
      <c r="BP384" s="274">
        <v>3500</v>
      </c>
      <c r="BQ384" s="274">
        <f>+BP384*19%</f>
        <v>665</v>
      </c>
      <c r="BR384" s="274">
        <f>+BQ384+BP384</f>
        <v>4165</v>
      </c>
      <c r="BS384" s="39"/>
      <c r="BT384" s="39"/>
      <c r="BU384" s="39"/>
      <c r="BV384" s="212"/>
      <c r="BW384" s="221"/>
      <c r="BX384" s="273"/>
      <c r="BY384" s="213"/>
      <c r="BZ384" s="213"/>
      <c r="CA384" s="213"/>
      <c r="CB384" s="274"/>
      <c r="CC384" s="274"/>
      <c r="CD384" s="274"/>
      <c r="CE384" s="39"/>
      <c r="CF384" s="39"/>
      <c r="CG384" s="39"/>
      <c r="CH384" s="274"/>
      <c r="CI384" s="274"/>
      <c r="CJ384" s="274"/>
      <c r="CK384" s="39"/>
      <c r="CL384" s="39"/>
      <c r="CM384" s="39"/>
      <c r="CN384" s="39"/>
      <c r="CO384" s="39"/>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274"/>
      <c r="DM384" s="274"/>
      <c r="DN384" s="274"/>
      <c r="DO384" s="274"/>
      <c r="DP384" s="274"/>
      <c r="DQ384" s="274"/>
      <c r="DR384" s="274"/>
      <c r="DS384" s="274"/>
      <c r="DT384" s="274"/>
      <c r="DU384" s="274"/>
      <c r="DV384" s="274"/>
      <c r="DW384" s="274"/>
      <c r="DX384" s="274"/>
      <c r="DY384" s="274"/>
      <c r="DZ384" s="274"/>
      <c r="EA384" s="274"/>
      <c r="EB384" s="274"/>
      <c r="EC384" s="274"/>
      <c r="ED384" s="39">
        <f t="shared" si="113"/>
        <v>29896.76666666667</v>
      </c>
      <c r="EE384" s="30">
        <f t="shared" si="114"/>
        <v>4</v>
      </c>
      <c r="EF384" s="39">
        <f t="shared" si="115"/>
        <v>7474.1916666666675</v>
      </c>
    </row>
    <row r="385" spans="1:136" x14ac:dyDescent="0.25">
      <c r="A385" s="25" t="e">
        <f>#REF!</f>
        <v>#REF!</v>
      </c>
      <c r="B385" s="50" t="e">
        <f>#REF!</f>
        <v>#REF!</v>
      </c>
      <c r="C385" s="5" t="e">
        <f>#REF!</f>
        <v>#REF!</v>
      </c>
      <c r="D385" s="5" t="e">
        <f>#REF!</f>
        <v>#REF!</v>
      </c>
      <c r="E385" s="252">
        <v>1</v>
      </c>
      <c r="F385" s="249">
        <v>8637.8133333333335</v>
      </c>
      <c r="G385" s="249">
        <v>8211</v>
      </c>
      <c r="H385" s="249">
        <v>11305</v>
      </c>
      <c r="I385" s="249">
        <v>0</v>
      </c>
      <c r="J385" s="249">
        <v>23294.25</v>
      </c>
      <c r="K385" s="249">
        <v>0</v>
      </c>
      <c r="L385" s="274">
        <f>AVERAGE(F385,H385,J385)</f>
        <v>14412.354444444443</v>
      </c>
      <c r="M385" s="274">
        <f>G385*E1</f>
        <v>8457.33</v>
      </c>
      <c r="N385" s="255">
        <v>15000</v>
      </c>
      <c r="O385" s="135">
        <f t="shared" si="125"/>
        <v>2850</v>
      </c>
      <c r="P385" s="135">
        <f t="shared" si="126"/>
        <v>17850</v>
      </c>
      <c r="Q385" s="131"/>
      <c r="R385" s="131"/>
      <c r="S385" s="11"/>
      <c r="T385" s="274"/>
      <c r="U385" s="274"/>
      <c r="V385" s="274"/>
      <c r="W385" s="39"/>
      <c r="X385" s="11"/>
      <c r="Y385" s="11"/>
      <c r="Z385" s="274"/>
      <c r="AA385" s="274"/>
      <c r="AB385" s="274"/>
      <c r="AC385" s="52"/>
      <c r="AD385" s="22"/>
      <c r="AE385" s="39"/>
      <c r="AF385" s="274"/>
      <c r="AG385" s="274"/>
      <c r="AH385" s="171"/>
      <c r="AI385" s="4"/>
      <c r="AJ385" s="39"/>
      <c r="AK385" s="39"/>
      <c r="AL385" s="118"/>
      <c r="AM385" s="152"/>
      <c r="AN385" s="181"/>
      <c r="AO385" s="131"/>
      <c r="AP385" s="131"/>
      <c r="AQ385" s="39"/>
      <c r="AR385" s="274"/>
      <c r="AS385" s="274"/>
      <c r="AT385" s="274"/>
      <c r="AU385" s="39"/>
      <c r="AV385" s="39"/>
      <c r="AW385" s="39"/>
      <c r="AX385" s="274"/>
      <c r="AY385" s="274"/>
      <c r="AZ385" s="274"/>
      <c r="BA385" s="39"/>
      <c r="BB385" s="62"/>
      <c r="BC385" s="39"/>
      <c r="BD385" s="274"/>
      <c r="BE385" s="274"/>
      <c r="BF385" s="274"/>
      <c r="BG385" s="39"/>
      <c r="BH385" s="39"/>
      <c r="BI385" s="39"/>
      <c r="BJ385" s="274"/>
      <c r="BK385" s="274"/>
      <c r="BL385" s="274"/>
      <c r="BM385" s="213"/>
      <c r="BN385" s="213"/>
      <c r="BO385" s="39"/>
      <c r="BP385" s="274">
        <v>85000</v>
      </c>
      <c r="BQ385" s="274">
        <f>+BP385*19%</f>
        <v>16150</v>
      </c>
      <c r="BR385" s="274">
        <f>+BQ385+BP385</f>
        <v>101150</v>
      </c>
      <c r="BS385" s="39"/>
      <c r="BT385" s="39"/>
      <c r="BU385" s="39"/>
      <c r="BV385" s="212"/>
      <c r="BW385" s="221"/>
      <c r="BX385" s="273"/>
      <c r="BY385" s="213"/>
      <c r="BZ385" s="213"/>
      <c r="CA385" s="213"/>
      <c r="CB385" s="274"/>
      <c r="CC385" s="274"/>
      <c r="CD385" s="274"/>
      <c r="CE385" s="39"/>
      <c r="CF385" s="39"/>
      <c r="CG385" s="39"/>
      <c r="CH385" s="274"/>
      <c r="CI385" s="274"/>
      <c r="CJ385" s="274"/>
      <c r="CK385" s="39"/>
      <c r="CL385" s="39"/>
      <c r="CM385" s="39"/>
      <c r="CN385" s="39"/>
      <c r="CO385" s="39"/>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274"/>
      <c r="DM385" s="274"/>
      <c r="DN385" s="274"/>
      <c r="DO385" s="274"/>
      <c r="DP385" s="274"/>
      <c r="DQ385" s="274"/>
      <c r="DR385" s="274"/>
      <c r="DS385" s="274"/>
      <c r="DT385" s="274"/>
      <c r="DU385" s="274"/>
      <c r="DV385" s="274"/>
      <c r="DW385" s="274"/>
      <c r="DX385" s="274"/>
      <c r="DY385" s="274"/>
      <c r="DZ385" s="274"/>
      <c r="EA385" s="274"/>
      <c r="EB385" s="274"/>
      <c r="EC385" s="274"/>
      <c r="ED385" s="39">
        <f t="shared" si="113"/>
        <v>127457.33</v>
      </c>
      <c r="EE385" s="30">
        <f t="shared" si="114"/>
        <v>3</v>
      </c>
      <c r="EF385" s="39">
        <f t="shared" si="115"/>
        <v>42485.776666666665</v>
      </c>
    </row>
    <row r="386" spans="1:136" x14ac:dyDescent="0.25">
      <c r="A386" s="25" t="e">
        <f>#REF!</f>
        <v>#REF!</v>
      </c>
      <c r="B386" s="50" t="e">
        <f>#REF!</f>
        <v>#REF!</v>
      </c>
      <c r="C386" s="5" t="e">
        <f>#REF!</f>
        <v>#REF!</v>
      </c>
      <c r="D386" s="5" t="e">
        <f>#REF!</f>
        <v>#REF!</v>
      </c>
      <c r="E386" s="252">
        <v>1</v>
      </c>
      <c r="F386" s="249">
        <v>15232</v>
      </c>
      <c r="G386" s="249">
        <v>14518</v>
      </c>
      <c r="H386" s="249">
        <v>32771.989133333329</v>
      </c>
      <c r="I386" s="249">
        <v>10377</v>
      </c>
      <c r="J386" s="249">
        <v>48053.522222222229</v>
      </c>
      <c r="K386" s="249">
        <v>41650</v>
      </c>
      <c r="L386" s="274">
        <f>AVERAGE(F386,H386,J386)</f>
        <v>32019.170451851853</v>
      </c>
      <c r="M386" s="274">
        <f>AVERAGE(G386,I386,K386)*E1</f>
        <v>22847.116666666669</v>
      </c>
      <c r="N386" s="255">
        <v>75000</v>
      </c>
      <c r="O386" s="135">
        <f t="shared" si="125"/>
        <v>14250</v>
      </c>
      <c r="P386" s="135">
        <f t="shared" si="126"/>
        <v>89250</v>
      </c>
      <c r="Q386" s="131"/>
      <c r="R386" s="131"/>
      <c r="S386" s="11"/>
      <c r="T386" s="274"/>
      <c r="U386" s="274"/>
      <c r="V386" s="274"/>
      <c r="W386" s="39"/>
      <c r="X386" s="11"/>
      <c r="Y386" s="11"/>
      <c r="Z386" s="274"/>
      <c r="AA386" s="274"/>
      <c r="AB386" s="274"/>
      <c r="AC386" s="52"/>
      <c r="AD386" s="22"/>
      <c r="AE386" s="39"/>
      <c r="AF386" s="274"/>
      <c r="AG386" s="274"/>
      <c r="AH386" s="171"/>
      <c r="AI386" s="4"/>
      <c r="AJ386" s="39"/>
      <c r="AK386" s="39"/>
      <c r="AL386" s="118"/>
      <c r="AM386" s="152"/>
      <c r="AN386" s="181"/>
      <c r="AO386" s="131"/>
      <c r="AP386" s="131"/>
      <c r="AQ386" s="39"/>
      <c r="AR386" s="274"/>
      <c r="AS386" s="274"/>
      <c r="AT386" s="274"/>
      <c r="AU386" s="39"/>
      <c r="AV386" s="39"/>
      <c r="AW386" s="39"/>
      <c r="AX386" s="274"/>
      <c r="AY386" s="274"/>
      <c r="AZ386" s="274"/>
      <c r="BA386" s="39"/>
      <c r="BB386" s="62"/>
      <c r="BC386" s="39"/>
      <c r="BD386" s="274"/>
      <c r="BE386" s="274"/>
      <c r="BF386" s="274"/>
      <c r="BG386" s="39"/>
      <c r="BH386" s="39"/>
      <c r="BI386" s="39"/>
      <c r="BJ386" s="274"/>
      <c r="BK386" s="274"/>
      <c r="BL386" s="274"/>
      <c r="BM386" s="213"/>
      <c r="BN386" s="213"/>
      <c r="BO386" s="39"/>
      <c r="BP386" s="274">
        <v>65000</v>
      </c>
      <c r="BQ386" s="274">
        <f>+BP386*19%</f>
        <v>12350</v>
      </c>
      <c r="BR386" s="274">
        <f>+BQ386+BP386</f>
        <v>77350</v>
      </c>
      <c r="BS386" s="39"/>
      <c r="BT386" s="39"/>
      <c r="BU386" s="39"/>
      <c r="BV386" s="212"/>
      <c r="BW386" s="221"/>
      <c r="BX386" s="273"/>
      <c r="BY386" s="213"/>
      <c r="BZ386" s="213"/>
      <c r="CA386" s="213"/>
      <c r="CB386" s="274"/>
      <c r="CC386" s="274"/>
      <c r="CD386" s="274"/>
      <c r="CE386" s="39"/>
      <c r="CF386" s="39"/>
      <c r="CG386" s="39"/>
      <c r="CH386" s="274"/>
      <c r="CI386" s="274"/>
      <c r="CJ386" s="274"/>
      <c r="CK386" s="39"/>
      <c r="CL386" s="39"/>
      <c r="CM386" s="39"/>
      <c r="CN386" s="39"/>
      <c r="CO386" s="39"/>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274"/>
      <c r="DM386" s="274"/>
      <c r="DN386" s="274"/>
      <c r="DO386" s="274"/>
      <c r="DP386" s="274"/>
      <c r="DQ386" s="274"/>
      <c r="DR386" s="274"/>
      <c r="DS386" s="274"/>
      <c r="DT386" s="274"/>
      <c r="DU386" s="274"/>
      <c r="DV386" s="274"/>
      <c r="DW386" s="274"/>
      <c r="DX386" s="274"/>
      <c r="DY386" s="274"/>
      <c r="DZ386" s="274"/>
      <c r="EA386" s="274"/>
      <c r="EB386" s="274"/>
      <c r="EC386" s="274"/>
      <c r="ED386" s="39">
        <f t="shared" si="113"/>
        <v>189447.11666666667</v>
      </c>
      <c r="EE386" s="30">
        <f t="shared" si="114"/>
        <v>3</v>
      </c>
      <c r="EF386" s="39">
        <f t="shared" si="115"/>
        <v>63149.038888888892</v>
      </c>
    </row>
    <row r="387" spans="1:136" x14ac:dyDescent="0.25">
      <c r="A387" s="25" t="e">
        <f>#REF!</f>
        <v>#REF!</v>
      </c>
      <c r="B387" s="50" t="e">
        <f>#REF!</f>
        <v>#REF!</v>
      </c>
      <c r="C387" s="5" t="e">
        <f>#REF!</f>
        <v>#REF!</v>
      </c>
      <c r="D387" s="5" t="e">
        <f>#REF!</f>
        <v>#REF!</v>
      </c>
      <c r="E387" s="252">
        <v>1</v>
      </c>
      <c r="F387" s="249">
        <v>0</v>
      </c>
      <c r="G387" s="249">
        <v>0</v>
      </c>
      <c r="H387" s="249">
        <v>29750</v>
      </c>
      <c r="I387" s="249">
        <v>0</v>
      </c>
      <c r="J387" s="249">
        <v>22610</v>
      </c>
      <c r="K387" s="249">
        <v>0</v>
      </c>
      <c r="L387" s="274">
        <f>AVERAGE(H387,J387)</f>
        <v>26180</v>
      </c>
      <c r="M387" s="274"/>
      <c r="N387" s="255">
        <v>3500</v>
      </c>
      <c r="O387" s="135">
        <f t="shared" si="125"/>
        <v>665</v>
      </c>
      <c r="P387" s="135">
        <f t="shared" si="126"/>
        <v>4165</v>
      </c>
      <c r="Q387" s="131"/>
      <c r="R387" s="131"/>
      <c r="S387" s="11"/>
      <c r="T387" s="274"/>
      <c r="U387" s="274"/>
      <c r="V387" s="274"/>
      <c r="W387" s="39"/>
      <c r="X387" s="11"/>
      <c r="Y387" s="11"/>
      <c r="Z387" s="274"/>
      <c r="AA387" s="274"/>
      <c r="AB387" s="274"/>
      <c r="AC387" s="52"/>
      <c r="AD387" s="22"/>
      <c r="AE387" s="39"/>
      <c r="AF387" s="274"/>
      <c r="AG387" s="274"/>
      <c r="AH387" s="171"/>
      <c r="AI387" s="22"/>
      <c r="AJ387" s="39"/>
      <c r="AK387" s="39"/>
      <c r="AL387" s="118"/>
      <c r="AM387" s="152"/>
      <c r="AN387" s="181"/>
      <c r="AO387" s="131"/>
      <c r="AP387" s="131"/>
      <c r="AQ387" s="39"/>
      <c r="AR387" s="274"/>
      <c r="AS387" s="274"/>
      <c r="AT387" s="274"/>
      <c r="AU387" s="39"/>
      <c r="AV387" s="39"/>
      <c r="AW387" s="39"/>
      <c r="AX387" s="274"/>
      <c r="AY387" s="274"/>
      <c r="AZ387" s="274"/>
      <c r="BA387" s="39"/>
      <c r="BB387" s="62"/>
      <c r="BC387" s="39"/>
      <c r="BD387" s="274"/>
      <c r="BE387" s="274"/>
      <c r="BF387" s="274"/>
      <c r="BG387" s="39"/>
      <c r="BH387" s="39"/>
      <c r="BI387" s="39"/>
      <c r="BJ387" s="274">
        <v>400000</v>
      </c>
      <c r="BK387" s="274">
        <f>+BJ387*0.19</f>
        <v>76000</v>
      </c>
      <c r="BL387" s="274">
        <f>+BJ387+BK387</f>
        <v>476000</v>
      </c>
      <c r="BM387" s="214" t="s">
        <v>445</v>
      </c>
      <c r="BN387" s="213" t="s">
        <v>338</v>
      </c>
      <c r="BO387" s="39"/>
      <c r="BP387" s="274"/>
      <c r="BQ387" s="274"/>
      <c r="BR387" s="274"/>
      <c r="BS387" s="39"/>
      <c r="BT387" s="39"/>
      <c r="BU387" s="39"/>
      <c r="BV387" s="219">
        <v>2551565.2624000004</v>
      </c>
      <c r="BW387" s="219">
        <f>+BV387*0.19</f>
        <v>484797.39985600009</v>
      </c>
      <c r="BX387" s="273">
        <f>+BV387+BW387</f>
        <v>3036362.6622560006</v>
      </c>
      <c r="BY387" s="214" t="s">
        <v>445</v>
      </c>
      <c r="BZ387" s="213" t="s">
        <v>338</v>
      </c>
      <c r="CA387" s="213"/>
      <c r="CB387" s="274"/>
      <c r="CC387" s="274"/>
      <c r="CD387" s="274"/>
      <c r="CE387" s="39"/>
      <c r="CF387" s="39"/>
      <c r="CG387" s="39"/>
      <c r="CH387" s="274"/>
      <c r="CI387" s="274"/>
      <c r="CJ387" s="274"/>
      <c r="CK387" s="39"/>
      <c r="CL387" s="39"/>
      <c r="CM387" s="39"/>
      <c r="CN387" s="39"/>
      <c r="CO387" s="39"/>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274"/>
      <c r="DM387" s="274"/>
      <c r="DN387" s="274"/>
      <c r="DO387" s="274"/>
      <c r="DP387" s="274"/>
      <c r="DQ387" s="274"/>
      <c r="DR387" s="274"/>
      <c r="DS387" s="274"/>
      <c r="DT387" s="274"/>
      <c r="DU387" s="274"/>
      <c r="DV387" s="274"/>
      <c r="DW387" s="274"/>
      <c r="DX387" s="274"/>
      <c r="DY387" s="274"/>
      <c r="DZ387" s="274"/>
      <c r="EA387" s="274"/>
      <c r="EB387" s="274"/>
      <c r="EC387" s="274"/>
      <c r="ED387" s="39">
        <f t="shared" ref="ED387:ED450" si="127">SUM(M387,P387,V387,AB387,AH387,AN387,AT387,AZ387,BF387,BL387,BR387,BX387,CD387,CJ387,CP387,CV387,DB387,DH387,DN387,DT387,DZ387)</f>
        <v>3516527.6622560006</v>
      </c>
      <c r="EE387" s="30">
        <f t="shared" ref="EE387:EE450" si="128">COUNTA(M387,N387,T387,Z387,AF387,AL387,AR387,AX387,BD387,BJ387,BP387,BV387,CB387,CH387,CN387,CT387,CZ387,DF387,DL387,DR387,DX387)</f>
        <v>3</v>
      </c>
      <c r="EF387" s="39">
        <f t="shared" ref="EF387:EF450" si="129">IFERROR(ED387/EE387," ")</f>
        <v>1172175.8874186669</v>
      </c>
    </row>
    <row r="388" spans="1:136" x14ac:dyDescent="0.25">
      <c r="A388" s="25" t="e">
        <f>#REF!</f>
        <v>#REF!</v>
      </c>
      <c r="B388" s="50" t="e">
        <f>#REF!</f>
        <v>#REF!</v>
      </c>
      <c r="C388" s="5" t="e">
        <f>#REF!</f>
        <v>#REF!</v>
      </c>
      <c r="D388" s="5" t="e">
        <f>#REF!</f>
        <v>#REF!</v>
      </c>
      <c r="E388" s="252">
        <v>1</v>
      </c>
      <c r="F388" s="249">
        <v>0</v>
      </c>
      <c r="G388" s="249">
        <v>0</v>
      </c>
      <c r="H388" s="249">
        <v>75271.46666666666</v>
      </c>
      <c r="I388" s="249">
        <v>0</v>
      </c>
      <c r="J388" s="249">
        <v>64557.5</v>
      </c>
      <c r="K388" s="249">
        <v>0</v>
      </c>
      <c r="L388" s="274">
        <f>AVERAGE(H388,J388)</f>
        <v>69914.483333333337</v>
      </c>
      <c r="M388" s="274"/>
      <c r="N388" s="255">
        <v>30000</v>
      </c>
      <c r="O388" s="135">
        <f t="shared" si="125"/>
        <v>5700</v>
      </c>
      <c r="P388" s="135">
        <f t="shared" si="126"/>
        <v>35700</v>
      </c>
      <c r="Q388" s="131"/>
      <c r="R388" s="131"/>
      <c r="S388" s="11"/>
      <c r="T388" s="274"/>
      <c r="U388" s="274"/>
      <c r="V388" s="274"/>
      <c r="W388" s="39"/>
      <c r="X388" s="11"/>
      <c r="Y388" s="11"/>
      <c r="Z388" s="274"/>
      <c r="AA388" s="274"/>
      <c r="AB388" s="274"/>
      <c r="AC388" s="52"/>
      <c r="AD388" s="22"/>
      <c r="AE388" s="39"/>
      <c r="AF388" s="274"/>
      <c r="AG388" s="274"/>
      <c r="AH388" s="171"/>
      <c r="AI388" s="22"/>
      <c r="AJ388" s="39"/>
      <c r="AK388" s="39"/>
      <c r="AL388" s="118"/>
      <c r="AM388" s="152"/>
      <c r="AN388" s="181"/>
      <c r="AO388" s="131"/>
      <c r="AP388" s="131"/>
      <c r="AQ388" s="39"/>
      <c r="AR388" s="274"/>
      <c r="AS388" s="274"/>
      <c r="AT388" s="274"/>
      <c r="AU388" s="39"/>
      <c r="AV388" s="39"/>
      <c r="AW388" s="39"/>
      <c r="AX388" s="274"/>
      <c r="AY388" s="274"/>
      <c r="AZ388" s="274"/>
      <c r="BA388" s="39"/>
      <c r="BB388" s="62"/>
      <c r="BC388" s="39"/>
      <c r="BD388" s="274"/>
      <c r="BE388" s="274"/>
      <c r="BF388" s="274"/>
      <c r="BG388" s="39"/>
      <c r="BH388" s="39"/>
      <c r="BI388" s="39"/>
      <c r="BJ388" s="274"/>
      <c r="BK388" s="274"/>
      <c r="BL388" s="274"/>
      <c r="BM388" s="213"/>
      <c r="BN388" s="213"/>
      <c r="BO388" s="39"/>
      <c r="BP388" s="274"/>
      <c r="BQ388" s="274"/>
      <c r="BR388" s="274"/>
      <c r="BS388" s="39"/>
      <c r="BT388" s="39"/>
      <c r="BU388" s="39"/>
      <c r="BV388" s="212"/>
      <c r="BW388" s="221"/>
      <c r="BX388" s="273"/>
      <c r="BY388" s="213"/>
      <c r="BZ388" s="213"/>
      <c r="CA388" s="213"/>
      <c r="CB388" s="274"/>
      <c r="CC388" s="274"/>
      <c r="CD388" s="274"/>
      <c r="CE388" s="39"/>
      <c r="CF388" s="39"/>
      <c r="CG388" s="39"/>
      <c r="CH388" s="274"/>
      <c r="CI388" s="274"/>
      <c r="CJ388" s="274"/>
      <c r="CK388" s="39"/>
      <c r="CL388" s="39"/>
      <c r="CM388" s="39"/>
      <c r="CN388" s="39"/>
      <c r="CO388" s="39"/>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274"/>
      <c r="DM388" s="274"/>
      <c r="DN388" s="274"/>
      <c r="DO388" s="274"/>
      <c r="DP388" s="274"/>
      <c r="DQ388" s="274"/>
      <c r="DR388" s="274"/>
      <c r="DS388" s="274"/>
      <c r="DT388" s="274"/>
      <c r="DU388" s="274"/>
      <c r="DV388" s="274"/>
      <c r="DW388" s="274"/>
      <c r="DX388" s="274"/>
      <c r="DY388" s="274"/>
      <c r="DZ388" s="274"/>
      <c r="EA388" s="274"/>
      <c r="EB388" s="274"/>
      <c r="EC388" s="274"/>
      <c r="ED388" s="39">
        <f t="shared" si="127"/>
        <v>35700</v>
      </c>
      <c r="EE388" s="30">
        <f t="shared" si="128"/>
        <v>1</v>
      </c>
      <c r="EF388" s="39">
        <f t="shared" si="129"/>
        <v>35700</v>
      </c>
    </row>
    <row r="389" spans="1:136" x14ac:dyDescent="0.25">
      <c r="A389" s="25" t="e">
        <f>#REF!</f>
        <v>#REF!</v>
      </c>
      <c r="B389" s="50" t="e">
        <f>#REF!</f>
        <v>#REF!</v>
      </c>
      <c r="C389" s="5" t="e">
        <f>#REF!</f>
        <v>#REF!</v>
      </c>
      <c r="D389" s="5" t="e">
        <f>#REF!</f>
        <v>#REF!</v>
      </c>
      <c r="E389" s="252">
        <v>1</v>
      </c>
      <c r="F389" s="249">
        <v>83300</v>
      </c>
      <c r="G389" s="249">
        <v>80801</v>
      </c>
      <c r="H389" s="249">
        <v>128610.82476666667</v>
      </c>
      <c r="I389" s="249">
        <v>128520</v>
      </c>
      <c r="J389" s="249">
        <v>92995.524999999994</v>
      </c>
      <c r="K389" s="249">
        <v>92820</v>
      </c>
      <c r="L389" s="274">
        <f>AVERAGE(F389,H389,J389)</f>
        <v>101635.44992222222</v>
      </c>
      <c r="M389" s="274">
        <f>AVERAGE(G389,I389,K389)*E1</f>
        <v>103735.07666666668</v>
      </c>
      <c r="N389" s="255">
        <v>85000</v>
      </c>
      <c r="O389" s="135">
        <f t="shared" si="125"/>
        <v>16150</v>
      </c>
      <c r="P389" s="135">
        <f t="shared" si="126"/>
        <v>101150</v>
      </c>
      <c r="Q389" s="131"/>
      <c r="R389" s="131"/>
      <c r="S389" s="11"/>
      <c r="T389" s="274"/>
      <c r="U389" s="274"/>
      <c r="V389" s="274"/>
      <c r="W389" s="39"/>
      <c r="X389" s="11"/>
      <c r="Y389" s="11"/>
      <c r="Z389" s="274"/>
      <c r="AA389" s="274"/>
      <c r="AB389" s="274"/>
      <c r="AC389" s="52"/>
      <c r="AD389" s="22"/>
      <c r="AE389" s="39"/>
      <c r="AF389" s="274"/>
      <c r="AG389" s="274"/>
      <c r="AH389" s="171"/>
      <c r="AI389" s="22"/>
      <c r="AJ389" s="39"/>
      <c r="AK389" s="39"/>
      <c r="AL389" s="118"/>
      <c r="AM389" s="152"/>
      <c r="AN389" s="181"/>
      <c r="AO389" s="131"/>
      <c r="AP389" s="131"/>
      <c r="AQ389" s="39"/>
      <c r="AR389" s="274"/>
      <c r="AS389" s="274"/>
      <c r="AT389" s="274"/>
      <c r="AU389" s="39"/>
      <c r="AV389" s="39"/>
      <c r="AW389" s="39"/>
      <c r="AX389" s="274"/>
      <c r="AY389" s="274"/>
      <c r="AZ389" s="274"/>
      <c r="BA389" s="39"/>
      <c r="BB389" s="62"/>
      <c r="BC389" s="39"/>
      <c r="BD389" s="274"/>
      <c r="BE389" s="274"/>
      <c r="BF389" s="274"/>
      <c r="BG389" s="39"/>
      <c r="BH389" s="39"/>
      <c r="BI389" s="39"/>
      <c r="BJ389" s="274">
        <v>152000</v>
      </c>
      <c r="BK389" s="274">
        <f>+BJ389*0.19</f>
        <v>28880</v>
      </c>
      <c r="BL389" s="274">
        <f>+BJ389+BK389</f>
        <v>180880</v>
      </c>
      <c r="BM389" s="214" t="s">
        <v>445</v>
      </c>
      <c r="BN389" s="213" t="s">
        <v>4837</v>
      </c>
      <c r="BO389" s="39"/>
      <c r="BP389" s="274">
        <v>8500</v>
      </c>
      <c r="BQ389" s="274">
        <f>+BP389*19%</f>
        <v>1615</v>
      </c>
      <c r="BR389" s="274">
        <f>+BQ389+BP389</f>
        <v>10115</v>
      </c>
      <c r="BS389" s="39"/>
      <c r="BT389" s="39"/>
      <c r="BU389" s="39"/>
      <c r="BV389" s="219">
        <v>175753.34400000001</v>
      </c>
      <c r="BW389" s="219">
        <f>+BV389*0.19</f>
        <v>33393.13536</v>
      </c>
      <c r="BX389" s="273">
        <f>+BV389+BW389</f>
        <v>209146.47936</v>
      </c>
      <c r="BY389" s="214" t="s">
        <v>445</v>
      </c>
      <c r="BZ389" s="213" t="s">
        <v>4837</v>
      </c>
      <c r="CA389" s="213"/>
      <c r="CB389" s="274"/>
      <c r="CC389" s="274"/>
      <c r="CD389" s="274"/>
      <c r="CE389" s="39"/>
      <c r="CF389" s="39"/>
      <c r="CG389" s="39"/>
      <c r="CH389" s="274"/>
      <c r="CI389" s="274"/>
      <c r="CJ389" s="274"/>
      <c r="CK389" s="39"/>
      <c r="CL389" s="39"/>
      <c r="CM389" s="39"/>
      <c r="CN389" s="39"/>
      <c r="CO389" s="39"/>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274"/>
      <c r="DM389" s="274"/>
      <c r="DN389" s="274"/>
      <c r="DO389" s="274"/>
      <c r="DP389" s="274"/>
      <c r="DQ389" s="274"/>
      <c r="DR389" s="274"/>
      <c r="DS389" s="274"/>
      <c r="DT389" s="274"/>
      <c r="DU389" s="274"/>
      <c r="DV389" s="274"/>
      <c r="DW389" s="274"/>
      <c r="DX389" s="274"/>
      <c r="DY389" s="274"/>
      <c r="DZ389" s="274"/>
      <c r="EA389" s="274"/>
      <c r="EB389" s="274"/>
      <c r="EC389" s="274"/>
      <c r="ED389" s="39">
        <f t="shared" si="127"/>
        <v>605026.55602666666</v>
      </c>
      <c r="EE389" s="30">
        <f t="shared" si="128"/>
        <v>5</v>
      </c>
      <c r="EF389" s="39">
        <f t="shared" si="129"/>
        <v>121005.31120533333</v>
      </c>
    </row>
    <row r="390" spans="1:136" x14ac:dyDescent="0.25">
      <c r="A390" s="25" t="e">
        <f>#REF!</f>
        <v>#REF!</v>
      </c>
      <c r="B390" s="50" t="e">
        <f>#REF!</f>
        <v>#REF!</v>
      </c>
      <c r="C390" s="5" t="e">
        <f>#REF!</f>
        <v>#REF!</v>
      </c>
      <c r="D390" s="5" t="e">
        <f>#REF!</f>
        <v>#REF!</v>
      </c>
      <c r="E390" s="252">
        <v>1</v>
      </c>
      <c r="F390" s="249">
        <v>0</v>
      </c>
      <c r="G390" s="249">
        <v>0</v>
      </c>
      <c r="H390" s="249">
        <v>1020463.6350997711</v>
      </c>
      <c r="I390" s="249">
        <v>0</v>
      </c>
      <c r="J390" s="249">
        <v>0</v>
      </c>
      <c r="K390" s="249">
        <v>0</v>
      </c>
      <c r="L390" s="274">
        <f>H390</f>
        <v>1020463.6350997711</v>
      </c>
      <c r="M390" s="274"/>
      <c r="N390" s="255"/>
      <c r="O390" s="135"/>
      <c r="P390" s="135"/>
      <c r="Q390" s="131"/>
      <c r="R390" s="131"/>
      <c r="S390" s="11"/>
      <c r="T390" s="274"/>
      <c r="U390" s="274"/>
      <c r="V390" s="274"/>
      <c r="W390" s="39"/>
      <c r="X390" s="11"/>
      <c r="Y390" s="11"/>
      <c r="Z390" s="274"/>
      <c r="AA390" s="274"/>
      <c r="AB390" s="274"/>
      <c r="AC390" s="46"/>
      <c r="AD390" s="48"/>
      <c r="AE390" s="39"/>
      <c r="AF390" s="274"/>
      <c r="AG390" s="274"/>
      <c r="AH390" s="175"/>
      <c r="AI390" s="11"/>
      <c r="AJ390" s="39"/>
      <c r="AK390" s="39"/>
      <c r="AL390" s="118"/>
      <c r="AM390" s="152"/>
      <c r="AN390" s="181"/>
      <c r="AO390" s="131"/>
      <c r="AP390" s="131"/>
      <c r="AQ390" s="39"/>
      <c r="AR390" s="274"/>
      <c r="AS390" s="274"/>
      <c r="AT390" s="274"/>
      <c r="AU390" s="39"/>
      <c r="AV390" s="39"/>
      <c r="AW390" s="39"/>
      <c r="AX390" s="274"/>
      <c r="AY390" s="274"/>
      <c r="AZ390" s="274"/>
      <c r="BA390" s="39"/>
      <c r="BB390" s="62"/>
      <c r="BC390" s="39"/>
      <c r="BD390" s="274"/>
      <c r="BE390" s="274"/>
      <c r="BF390" s="274"/>
      <c r="BG390" s="39"/>
      <c r="BH390" s="39"/>
      <c r="BI390" s="39"/>
      <c r="BJ390" s="274"/>
      <c r="BK390" s="274"/>
      <c r="BL390" s="274"/>
      <c r="BM390" s="213"/>
      <c r="BN390" s="213"/>
      <c r="BO390" s="39"/>
      <c r="BP390" s="274">
        <v>2250000</v>
      </c>
      <c r="BQ390" s="274">
        <f>+BP390*19%</f>
        <v>427500</v>
      </c>
      <c r="BR390" s="274">
        <f>+BQ390+BP390</f>
        <v>2677500</v>
      </c>
      <c r="BS390" s="39"/>
      <c r="BT390" s="39"/>
      <c r="BU390" s="39"/>
      <c r="BV390" s="212"/>
      <c r="BW390" s="221"/>
      <c r="BX390" s="273"/>
      <c r="BY390" s="213"/>
      <c r="BZ390" s="213"/>
      <c r="CA390" s="213"/>
      <c r="CB390" s="274"/>
      <c r="CC390" s="274"/>
      <c r="CD390" s="274"/>
      <c r="CE390" s="39"/>
      <c r="CF390" s="39"/>
      <c r="CG390" s="39"/>
      <c r="CH390" s="274"/>
      <c r="CI390" s="274"/>
      <c r="CJ390" s="274"/>
      <c r="CK390" s="39"/>
      <c r="CL390" s="39"/>
      <c r="CM390" s="39"/>
      <c r="CN390" s="39"/>
      <c r="CO390" s="39"/>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274"/>
      <c r="DM390" s="274"/>
      <c r="DN390" s="274"/>
      <c r="DO390" s="274"/>
      <c r="DP390" s="274"/>
      <c r="DQ390" s="274"/>
      <c r="DR390" s="274"/>
      <c r="DS390" s="274"/>
      <c r="DT390" s="274"/>
      <c r="DU390" s="274"/>
      <c r="DV390" s="274"/>
      <c r="DW390" s="274"/>
      <c r="DX390" s="274"/>
      <c r="DY390" s="274"/>
      <c r="DZ390" s="274"/>
      <c r="EA390" s="274"/>
      <c r="EB390" s="274"/>
      <c r="EC390" s="274"/>
      <c r="ED390" s="39">
        <f t="shared" si="127"/>
        <v>2677500</v>
      </c>
      <c r="EE390" s="30">
        <f t="shared" si="128"/>
        <v>1</v>
      </c>
      <c r="EF390" s="39">
        <f t="shared" si="129"/>
        <v>2677500</v>
      </c>
    </row>
    <row r="391" spans="1:136" x14ac:dyDescent="0.25">
      <c r="A391" s="25" t="e">
        <f>#REF!</f>
        <v>#REF!</v>
      </c>
      <c r="B391" s="50" t="e">
        <f>#REF!</f>
        <v>#REF!</v>
      </c>
      <c r="C391" s="5" t="e">
        <f>#REF!</f>
        <v>#REF!</v>
      </c>
      <c r="D391" s="5" t="e">
        <f>#REF!</f>
        <v>#REF!</v>
      </c>
      <c r="E391" s="252">
        <v>1</v>
      </c>
      <c r="F391" s="249">
        <v>0</v>
      </c>
      <c r="G391" s="249">
        <v>0</v>
      </c>
      <c r="H391" s="249">
        <v>0</v>
      </c>
      <c r="I391" s="249">
        <v>0</v>
      </c>
      <c r="J391" s="249">
        <v>0</v>
      </c>
      <c r="K391" s="249">
        <v>0</v>
      </c>
      <c r="L391" s="274"/>
      <c r="M391" s="274"/>
      <c r="N391" s="255">
        <v>2800</v>
      </c>
      <c r="O391" s="135">
        <f>+N391*0.19</f>
        <v>532</v>
      </c>
      <c r="P391" s="135">
        <f>+N391+O391</f>
        <v>3332</v>
      </c>
      <c r="Q391" s="131"/>
      <c r="R391" s="131"/>
      <c r="S391" s="11"/>
      <c r="T391" s="274"/>
      <c r="U391" s="274"/>
      <c r="V391" s="274"/>
      <c r="W391" s="39"/>
      <c r="X391" s="11"/>
      <c r="Y391" s="11"/>
      <c r="Z391" s="274"/>
      <c r="AA391" s="274"/>
      <c r="AB391" s="274"/>
      <c r="AC391" s="52"/>
      <c r="AD391" s="22"/>
      <c r="AE391" s="39"/>
      <c r="AF391" s="274"/>
      <c r="AG391" s="274"/>
      <c r="AH391" s="171"/>
      <c r="AI391" s="4"/>
      <c r="AJ391" s="39"/>
      <c r="AK391" s="39"/>
      <c r="AL391" s="118"/>
      <c r="AM391" s="152"/>
      <c r="AN391" s="181"/>
      <c r="AO391" s="131"/>
      <c r="AP391" s="131"/>
      <c r="AQ391" s="39"/>
      <c r="AR391" s="274">
        <v>3500</v>
      </c>
      <c r="AS391" s="274">
        <f>+AR391*0.19</f>
        <v>665</v>
      </c>
      <c r="AT391" s="274">
        <f>+AR391+AS391</f>
        <v>4165</v>
      </c>
      <c r="AU391" s="39"/>
      <c r="AV391" s="39"/>
      <c r="AW391" s="39"/>
      <c r="AX391" s="274"/>
      <c r="AY391" s="274"/>
      <c r="AZ391" s="274"/>
      <c r="BA391" s="39"/>
      <c r="BB391" s="62"/>
      <c r="BC391" s="39"/>
      <c r="BD391" s="274"/>
      <c r="BE391" s="274"/>
      <c r="BF391" s="274"/>
      <c r="BG391" s="39"/>
      <c r="BH391" s="39"/>
      <c r="BI391" s="39"/>
      <c r="BJ391" s="274">
        <v>9200</v>
      </c>
      <c r="BK391" s="274">
        <f>+BJ391*0.19</f>
        <v>1748</v>
      </c>
      <c r="BL391" s="274">
        <f>+BJ391+BK391</f>
        <v>10948</v>
      </c>
      <c r="BM391" s="214" t="s">
        <v>445</v>
      </c>
      <c r="BN391" s="213" t="s">
        <v>164</v>
      </c>
      <c r="BO391" s="39"/>
      <c r="BP391" s="274">
        <v>3500</v>
      </c>
      <c r="BQ391" s="274">
        <f>+BP391*19%</f>
        <v>665</v>
      </c>
      <c r="BR391" s="274">
        <f>+BQ391+BP391</f>
        <v>4165</v>
      </c>
      <c r="BS391" s="39"/>
      <c r="BT391" s="39"/>
      <c r="BU391" s="39"/>
      <c r="BV391" s="219">
        <v>10646.286000000002</v>
      </c>
      <c r="BW391" s="219">
        <f>+BV391*0.19</f>
        <v>2022.7943400000004</v>
      </c>
      <c r="BX391" s="273">
        <f>+BV391+BW391</f>
        <v>12669.080340000002</v>
      </c>
      <c r="BY391" s="214" t="s">
        <v>445</v>
      </c>
      <c r="BZ391" s="213" t="s">
        <v>164</v>
      </c>
      <c r="CA391" s="213"/>
      <c r="CB391" s="274"/>
      <c r="CC391" s="274"/>
      <c r="CD391" s="274"/>
      <c r="CE391" s="39"/>
      <c r="CF391" s="39"/>
      <c r="CG391" s="39"/>
      <c r="CH391" s="274"/>
      <c r="CI391" s="274"/>
      <c r="CJ391" s="274"/>
      <c r="CK391" s="39"/>
      <c r="CL391" s="39"/>
      <c r="CM391" s="39"/>
      <c r="CN391" s="39"/>
      <c r="CO391" s="39"/>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274"/>
      <c r="DM391" s="274"/>
      <c r="DN391" s="274"/>
      <c r="DO391" s="274"/>
      <c r="DP391" s="274"/>
      <c r="DQ391" s="274"/>
      <c r="DR391" s="274"/>
      <c r="DS391" s="274"/>
      <c r="DT391" s="274"/>
      <c r="DU391" s="274"/>
      <c r="DV391" s="274"/>
      <c r="DW391" s="274"/>
      <c r="DX391" s="274"/>
      <c r="DY391" s="274"/>
      <c r="DZ391" s="274"/>
      <c r="EA391" s="274"/>
      <c r="EB391" s="274"/>
      <c r="EC391" s="274"/>
      <c r="ED391" s="39">
        <f t="shared" si="127"/>
        <v>35279.08034</v>
      </c>
      <c r="EE391" s="30">
        <f t="shared" si="128"/>
        <v>5</v>
      </c>
      <c r="EF391" s="39">
        <f t="shared" si="129"/>
        <v>7055.8160680000001</v>
      </c>
    </row>
    <row r="392" spans="1:136" x14ac:dyDescent="0.25">
      <c r="A392" s="25" t="e">
        <f>#REF!</f>
        <v>#REF!</v>
      </c>
      <c r="B392" s="50" t="e">
        <f>#REF!</f>
        <v>#REF!</v>
      </c>
      <c r="C392" s="5" t="e">
        <f>#REF!</f>
        <v>#REF!</v>
      </c>
      <c r="D392" s="5" t="e">
        <f>#REF!</f>
        <v>#REF!</v>
      </c>
      <c r="E392" s="252">
        <v>1</v>
      </c>
      <c r="F392" s="249">
        <v>0</v>
      </c>
      <c r="G392" s="249">
        <v>0</v>
      </c>
      <c r="H392" s="249">
        <v>0</v>
      </c>
      <c r="I392" s="249">
        <v>0</v>
      </c>
      <c r="J392" s="249">
        <v>0</v>
      </c>
      <c r="K392" s="249">
        <v>0</v>
      </c>
      <c r="L392" s="274"/>
      <c r="M392" s="274"/>
      <c r="N392" s="255">
        <v>2800</v>
      </c>
      <c r="O392" s="135">
        <f>+N392*0.19</f>
        <v>532</v>
      </c>
      <c r="P392" s="135">
        <f>+N392+O392</f>
        <v>3332</v>
      </c>
      <c r="Q392" s="131"/>
      <c r="R392" s="131"/>
      <c r="S392" s="11"/>
      <c r="T392" s="274"/>
      <c r="U392" s="274"/>
      <c r="V392" s="274"/>
      <c r="W392" s="39"/>
      <c r="X392" s="11"/>
      <c r="Y392" s="11"/>
      <c r="Z392" s="274"/>
      <c r="AA392" s="274"/>
      <c r="AB392" s="274"/>
      <c r="AC392" s="5"/>
      <c r="AD392" s="5"/>
      <c r="AE392" s="39"/>
      <c r="AF392" s="274"/>
      <c r="AG392" s="274"/>
      <c r="AH392" s="169"/>
      <c r="AI392" s="5"/>
      <c r="AJ392" s="39"/>
      <c r="AK392" s="39"/>
      <c r="AL392" s="118"/>
      <c r="AM392" s="152"/>
      <c r="AN392" s="181"/>
      <c r="AO392" s="131"/>
      <c r="AP392" s="131"/>
      <c r="AQ392" s="39"/>
      <c r="AR392" s="274">
        <v>2400</v>
      </c>
      <c r="AS392" s="274">
        <f>+AR392*0.19</f>
        <v>456</v>
      </c>
      <c r="AT392" s="274">
        <f>+AR392+AS392</f>
        <v>2856</v>
      </c>
      <c r="AU392" s="39"/>
      <c r="AV392" s="39"/>
      <c r="AW392" s="39"/>
      <c r="AX392" s="274"/>
      <c r="AY392" s="274"/>
      <c r="AZ392" s="274"/>
      <c r="BA392" s="39"/>
      <c r="BB392" s="62"/>
      <c r="BC392" s="39"/>
      <c r="BD392" s="274"/>
      <c r="BE392" s="274"/>
      <c r="BF392" s="274"/>
      <c r="BG392" s="39"/>
      <c r="BH392" s="39"/>
      <c r="BI392" s="39"/>
      <c r="BJ392" s="274">
        <v>5200</v>
      </c>
      <c r="BK392" s="274">
        <f>+BJ392*0.19</f>
        <v>988</v>
      </c>
      <c r="BL392" s="274">
        <f>+BJ392+BK392</f>
        <v>6188</v>
      </c>
      <c r="BM392" s="214" t="s">
        <v>445</v>
      </c>
      <c r="BN392" s="213" t="s">
        <v>164</v>
      </c>
      <c r="BO392" s="39"/>
      <c r="BP392" s="274">
        <v>3500</v>
      </c>
      <c r="BQ392" s="274">
        <f>+BP392*19%</f>
        <v>665</v>
      </c>
      <c r="BR392" s="274">
        <f>+BQ392+BP392</f>
        <v>4165</v>
      </c>
      <c r="BS392" s="39"/>
      <c r="BT392" s="39"/>
      <c r="BU392" s="39"/>
      <c r="BV392" s="219">
        <v>6248.9700000000012</v>
      </c>
      <c r="BW392" s="219">
        <f>+BV392*0.19</f>
        <v>1187.3043000000002</v>
      </c>
      <c r="BX392" s="273">
        <f>+BV392+BW392</f>
        <v>7436.2743000000009</v>
      </c>
      <c r="BY392" s="214" t="s">
        <v>445</v>
      </c>
      <c r="BZ392" s="213" t="s">
        <v>164</v>
      </c>
      <c r="CA392" s="213"/>
      <c r="CB392" s="274"/>
      <c r="CC392" s="274"/>
      <c r="CD392" s="274"/>
      <c r="CE392" s="39"/>
      <c r="CF392" s="39"/>
      <c r="CG392" s="39"/>
      <c r="CH392" s="274"/>
      <c r="CI392" s="274"/>
      <c r="CJ392" s="274"/>
      <c r="CK392" s="39"/>
      <c r="CL392" s="39"/>
      <c r="CM392" s="39"/>
      <c r="CN392" s="39"/>
      <c r="CO392" s="39"/>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274"/>
      <c r="DM392" s="274"/>
      <c r="DN392" s="274"/>
      <c r="DO392" s="274"/>
      <c r="DP392" s="274"/>
      <c r="DQ392" s="274"/>
      <c r="DR392" s="274"/>
      <c r="DS392" s="274"/>
      <c r="DT392" s="274"/>
      <c r="DU392" s="274"/>
      <c r="DV392" s="274"/>
      <c r="DW392" s="274"/>
      <c r="DX392" s="274"/>
      <c r="DY392" s="274"/>
      <c r="DZ392" s="274"/>
      <c r="EA392" s="274"/>
      <c r="EB392" s="274"/>
      <c r="EC392" s="274"/>
      <c r="ED392" s="39">
        <f t="shared" si="127"/>
        <v>23977.274300000001</v>
      </c>
      <c r="EE392" s="30">
        <f t="shared" si="128"/>
        <v>5</v>
      </c>
      <c r="EF392" s="39">
        <f t="shared" si="129"/>
        <v>4795.4548599999998</v>
      </c>
    </row>
    <row r="393" spans="1:136" x14ac:dyDescent="0.25">
      <c r="A393" s="25" t="e">
        <f>#REF!</f>
        <v>#REF!</v>
      </c>
      <c r="B393" s="50" t="e">
        <f>#REF!</f>
        <v>#REF!</v>
      </c>
      <c r="C393" s="5" t="e">
        <f>#REF!</f>
        <v>#REF!</v>
      </c>
      <c r="D393" s="5" t="e">
        <f>#REF!</f>
        <v>#REF!</v>
      </c>
      <c r="E393" s="252">
        <v>1</v>
      </c>
      <c r="F393" s="249">
        <v>0</v>
      </c>
      <c r="G393" s="249">
        <v>0</v>
      </c>
      <c r="H393" s="249">
        <v>0</v>
      </c>
      <c r="I393" s="249">
        <v>0</v>
      </c>
      <c r="J393" s="249">
        <v>0</v>
      </c>
      <c r="K393" s="249">
        <v>0</v>
      </c>
      <c r="L393" s="274"/>
      <c r="M393" s="274"/>
      <c r="N393" s="255">
        <v>2800</v>
      </c>
      <c r="O393" s="135">
        <f>+N393*0.19</f>
        <v>532</v>
      </c>
      <c r="P393" s="135">
        <f>+N393+O393</f>
        <v>3332</v>
      </c>
      <c r="Q393" s="131"/>
      <c r="R393" s="131"/>
      <c r="S393" s="11"/>
      <c r="T393" s="274"/>
      <c r="U393" s="274"/>
      <c r="V393" s="274"/>
      <c r="W393" s="39"/>
      <c r="X393" s="11"/>
      <c r="Y393" s="11"/>
      <c r="Z393" s="274"/>
      <c r="AA393" s="274"/>
      <c r="AB393" s="274"/>
      <c r="AC393" s="5"/>
      <c r="AD393" s="5"/>
      <c r="AE393" s="39"/>
      <c r="AF393" s="274"/>
      <c r="AG393" s="274"/>
      <c r="AH393" s="169"/>
      <c r="AI393" s="5"/>
      <c r="AJ393" s="39"/>
      <c r="AK393" s="39"/>
      <c r="AL393" s="118"/>
      <c r="AM393" s="152"/>
      <c r="AN393" s="181"/>
      <c r="AO393" s="131"/>
      <c r="AP393" s="131"/>
      <c r="AQ393" s="39"/>
      <c r="AR393" s="274">
        <v>2600</v>
      </c>
      <c r="AS393" s="274">
        <f>+AR393*0.19</f>
        <v>494</v>
      </c>
      <c r="AT393" s="274">
        <f>+AR393+AS393</f>
        <v>3094</v>
      </c>
      <c r="AU393" s="39"/>
      <c r="AV393" s="39"/>
      <c r="AW393" s="39"/>
      <c r="AX393" s="274"/>
      <c r="AY393" s="274"/>
      <c r="AZ393" s="274"/>
      <c r="BA393" s="39"/>
      <c r="BB393" s="62"/>
      <c r="BC393" s="39"/>
      <c r="BD393" s="274"/>
      <c r="BE393" s="274"/>
      <c r="BF393" s="274"/>
      <c r="BG393" s="39"/>
      <c r="BH393" s="39"/>
      <c r="BI393" s="39"/>
      <c r="BJ393" s="274"/>
      <c r="BK393" s="274"/>
      <c r="BL393" s="274"/>
      <c r="BM393" s="213"/>
      <c r="BN393" s="213"/>
      <c r="BO393" s="39"/>
      <c r="BP393" s="274">
        <v>3500</v>
      </c>
      <c r="BQ393" s="274">
        <f>+BP393*19%</f>
        <v>665</v>
      </c>
      <c r="BR393" s="274">
        <f>+BQ393+BP393</f>
        <v>4165</v>
      </c>
      <c r="BS393" s="39"/>
      <c r="BT393" s="39"/>
      <c r="BU393" s="39"/>
      <c r="BV393" s="212"/>
      <c r="BW393" s="221"/>
      <c r="BX393" s="273"/>
      <c r="BY393" s="213"/>
      <c r="BZ393" s="213"/>
      <c r="CA393" s="213"/>
      <c r="CB393" s="274"/>
      <c r="CC393" s="274"/>
      <c r="CD393" s="274"/>
      <c r="CE393" s="39"/>
      <c r="CF393" s="39"/>
      <c r="CG393" s="39"/>
      <c r="CH393" s="274"/>
      <c r="CI393" s="274"/>
      <c r="CJ393" s="274"/>
      <c r="CK393" s="39"/>
      <c r="CL393" s="39"/>
      <c r="CM393" s="39"/>
      <c r="CN393" s="39"/>
      <c r="CO393" s="39"/>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274"/>
      <c r="DM393" s="274"/>
      <c r="DN393" s="274"/>
      <c r="DO393" s="274"/>
      <c r="DP393" s="274"/>
      <c r="DQ393" s="274"/>
      <c r="DR393" s="274"/>
      <c r="DS393" s="274"/>
      <c r="DT393" s="274"/>
      <c r="DU393" s="274"/>
      <c r="DV393" s="274"/>
      <c r="DW393" s="274"/>
      <c r="DX393" s="274"/>
      <c r="DY393" s="274"/>
      <c r="DZ393" s="274"/>
      <c r="EA393" s="274"/>
      <c r="EB393" s="274"/>
      <c r="EC393" s="274"/>
      <c r="ED393" s="39">
        <f t="shared" si="127"/>
        <v>10591</v>
      </c>
      <c r="EE393" s="30">
        <f t="shared" si="128"/>
        <v>3</v>
      </c>
      <c r="EF393" s="39">
        <f t="shared" si="129"/>
        <v>3530.3333333333335</v>
      </c>
    </row>
    <row r="394" spans="1:136" x14ac:dyDescent="0.25">
      <c r="A394" s="25" t="e">
        <f>#REF!</f>
        <v>#REF!</v>
      </c>
      <c r="B394" s="50" t="e">
        <f>#REF!</f>
        <v>#REF!</v>
      </c>
      <c r="C394" s="5" t="e">
        <f>#REF!</f>
        <v>#REF!</v>
      </c>
      <c r="D394" s="5" t="e">
        <f>#REF!</f>
        <v>#REF!</v>
      </c>
      <c r="E394" s="252">
        <v>1</v>
      </c>
      <c r="F394" s="249">
        <v>0</v>
      </c>
      <c r="G394" s="249">
        <v>0</v>
      </c>
      <c r="H394" s="249">
        <v>0</v>
      </c>
      <c r="I394" s="249">
        <v>0</v>
      </c>
      <c r="J394" s="249">
        <v>211820</v>
      </c>
      <c r="K394" s="249">
        <v>211820</v>
      </c>
      <c r="L394" s="274">
        <f>J394</f>
        <v>211820</v>
      </c>
      <c r="M394" s="274">
        <f>K394*E1</f>
        <v>218174.6</v>
      </c>
      <c r="N394" s="255"/>
      <c r="O394" s="135"/>
      <c r="P394" s="135"/>
      <c r="Q394" s="131"/>
      <c r="R394" s="131"/>
      <c r="S394" s="11"/>
      <c r="T394" s="274"/>
      <c r="U394" s="274"/>
      <c r="V394" s="274"/>
      <c r="W394" s="39"/>
      <c r="X394" s="11"/>
      <c r="Y394" s="11"/>
      <c r="Z394" s="274"/>
      <c r="AA394" s="274"/>
      <c r="AB394" s="274"/>
      <c r="AC394" s="5"/>
      <c r="AD394" s="5"/>
      <c r="AE394" s="39"/>
      <c r="AF394" s="274"/>
      <c r="AG394" s="274"/>
      <c r="AH394" s="169"/>
      <c r="AI394" s="5"/>
      <c r="AJ394" s="39"/>
      <c r="AK394" s="39"/>
      <c r="AL394" s="118"/>
      <c r="AM394" s="152"/>
      <c r="AN394" s="181"/>
      <c r="AO394" s="131"/>
      <c r="AP394" s="131"/>
      <c r="AQ394" s="39"/>
      <c r="AR394" s="274"/>
      <c r="AS394" s="274"/>
      <c r="AT394" s="274"/>
      <c r="AU394" s="39"/>
      <c r="AV394" s="39"/>
      <c r="AW394" s="39"/>
      <c r="AX394" s="274"/>
      <c r="AY394" s="274"/>
      <c r="AZ394" s="274"/>
      <c r="BA394" s="39"/>
      <c r="BB394" s="62"/>
      <c r="BC394" s="39"/>
      <c r="BD394" s="274"/>
      <c r="BE394" s="274"/>
      <c r="BF394" s="274"/>
      <c r="BG394" s="39"/>
      <c r="BH394" s="39"/>
      <c r="BI394" s="39"/>
      <c r="BJ394" s="274"/>
      <c r="BK394" s="274"/>
      <c r="BL394" s="274"/>
      <c r="BM394" s="213"/>
      <c r="BN394" s="213"/>
      <c r="BO394" s="39"/>
      <c r="BP394" s="274"/>
      <c r="BQ394" s="274"/>
      <c r="BR394" s="274"/>
      <c r="BS394" s="39"/>
      <c r="BT394" s="39"/>
      <c r="BU394" s="39"/>
      <c r="BV394" s="212"/>
      <c r="BW394" s="221"/>
      <c r="BX394" s="273"/>
      <c r="BY394" s="213"/>
      <c r="BZ394" s="213"/>
      <c r="CA394" s="213"/>
      <c r="CB394" s="274"/>
      <c r="CC394" s="274"/>
      <c r="CD394" s="274"/>
      <c r="CE394" s="39"/>
      <c r="CF394" s="39"/>
      <c r="CG394" s="39"/>
      <c r="CH394" s="274"/>
      <c r="CI394" s="274"/>
      <c r="CJ394" s="274"/>
      <c r="CK394" s="39"/>
      <c r="CL394" s="39"/>
      <c r="CM394" s="39"/>
      <c r="CN394" s="39"/>
      <c r="CO394" s="39"/>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274"/>
      <c r="DM394" s="274"/>
      <c r="DN394" s="274"/>
      <c r="DO394" s="274"/>
      <c r="DP394" s="274"/>
      <c r="DQ394" s="274"/>
      <c r="DR394" s="274"/>
      <c r="DS394" s="274"/>
      <c r="DT394" s="274"/>
      <c r="DU394" s="274"/>
      <c r="DV394" s="274"/>
      <c r="DW394" s="274"/>
      <c r="DX394" s="274"/>
      <c r="DY394" s="274"/>
      <c r="DZ394" s="274"/>
      <c r="EA394" s="274"/>
      <c r="EB394" s="274"/>
      <c r="EC394" s="274"/>
      <c r="ED394" s="39">
        <f t="shared" si="127"/>
        <v>218174.6</v>
      </c>
      <c r="EE394" s="30">
        <f t="shared" si="128"/>
        <v>1</v>
      </c>
      <c r="EF394" s="39">
        <f t="shared" si="129"/>
        <v>218174.6</v>
      </c>
    </row>
    <row r="395" spans="1:136" x14ac:dyDescent="0.25">
      <c r="A395" s="25" t="e">
        <f>#REF!</f>
        <v>#REF!</v>
      </c>
      <c r="B395" s="50" t="e">
        <f>#REF!</f>
        <v>#REF!</v>
      </c>
      <c r="C395" s="5" t="e">
        <f>#REF!</f>
        <v>#REF!</v>
      </c>
      <c r="D395" s="5" t="e">
        <f>#REF!</f>
        <v>#REF!</v>
      </c>
      <c r="E395" s="252">
        <v>1</v>
      </c>
      <c r="F395" s="249">
        <v>65450</v>
      </c>
      <c r="G395" s="249">
        <v>65450</v>
      </c>
      <c r="H395" s="249">
        <v>74131.645000000004</v>
      </c>
      <c r="I395" s="249">
        <v>74018</v>
      </c>
      <c r="J395" s="249">
        <v>113479.72222222223</v>
      </c>
      <c r="K395" s="249">
        <v>57120</v>
      </c>
      <c r="L395" s="274">
        <f>AVERAGE(F395,H395,J395)</f>
        <v>84353.789074074084</v>
      </c>
      <c r="M395" s="274">
        <f>AVERAGE(G395,I395,K395)*E1</f>
        <v>67495.213333333333</v>
      </c>
      <c r="N395" s="255">
        <v>40000</v>
      </c>
      <c r="O395" s="135">
        <f>+N395*0.19</f>
        <v>7600</v>
      </c>
      <c r="P395" s="135">
        <f>+N395+O395</f>
        <v>47600</v>
      </c>
      <c r="Q395" s="131"/>
      <c r="R395" s="131"/>
      <c r="S395" s="11"/>
      <c r="T395" s="274"/>
      <c r="U395" s="274"/>
      <c r="V395" s="274"/>
      <c r="W395" s="39"/>
      <c r="X395" s="11"/>
      <c r="Y395" s="11"/>
      <c r="Z395" s="274"/>
      <c r="AA395" s="274"/>
      <c r="AB395" s="274"/>
      <c r="AC395" s="52"/>
      <c r="AD395" s="22"/>
      <c r="AE395" s="39"/>
      <c r="AF395" s="274"/>
      <c r="AG395" s="274"/>
      <c r="AH395" s="171"/>
      <c r="AI395" s="4"/>
      <c r="AJ395" s="39"/>
      <c r="AK395" s="39"/>
      <c r="AL395" s="118"/>
      <c r="AM395" s="152"/>
      <c r="AN395" s="181"/>
      <c r="AO395" s="131"/>
      <c r="AP395" s="131"/>
      <c r="AQ395" s="39"/>
      <c r="AR395" s="274">
        <v>75000</v>
      </c>
      <c r="AS395" s="274">
        <f>+AR395*0.19</f>
        <v>14250</v>
      </c>
      <c r="AT395" s="274">
        <f>+AR395+AS395</f>
        <v>89250</v>
      </c>
      <c r="AU395" s="39"/>
      <c r="AV395" s="39"/>
      <c r="AW395" s="39"/>
      <c r="AX395" s="274"/>
      <c r="AY395" s="274"/>
      <c r="AZ395" s="274"/>
      <c r="BA395" s="39"/>
      <c r="BB395" s="62"/>
      <c r="BC395" s="39"/>
      <c r="BD395" s="274"/>
      <c r="BE395" s="274"/>
      <c r="BF395" s="274"/>
      <c r="BG395" s="39"/>
      <c r="BH395" s="39"/>
      <c r="BI395" s="39"/>
      <c r="BJ395" s="274">
        <v>747600</v>
      </c>
      <c r="BK395" s="274">
        <f>+BJ395*0.19</f>
        <v>142044</v>
      </c>
      <c r="BL395" s="274">
        <f>+BJ395+BK395</f>
        <v>889644</v>
      </c>
      <c r="BM395" s="214" t="s">
        <v>445</v>
      </c>
      <c r="BN395" s="213" t="s">
        <v>338</v>
      </c>
      <c r="BO395" s="39"/>
      <c r="BP395" s="274"/>
      <c r="BQ395" s="274"/>
      <c r="BR395" s="274"/>
      <c r="BS395" s="39"/>
      <c r="BT395" s="39"/>
      <c r="BU395" s="39"/>
      <c r="BV395" s="219">
        <v>785581.07040000008</v>
      </c>
      <c r="BW395" s="219">
        <f>+BV395*0.19</f>
        <v>149260.40337600003</v>
      </c>
      <c r="BX395" s="273">
        <f>+BV395+BW395</f>
        <v>934841.47377600009</v>
      </c>
      <c r="BY395" s="214" t="s">
        <v>445</v>
      </c>
      <c r="BZ395" s="213" t="s">
        <v>338</v>
      </c>
      <c r="CA395" s="213"/>
      <c r="CB395" s="274"/>
      <c r="CC395" s="274"/>
      <c r="CD395" s="274"/>
      <c r="CE395" s="39"/>
      <c r="CF395" s="39"/>
      <c r="CG395" s="39"/>
      <c r="CH395" s="274"/>
      <c r="CI395" s="274"/>
      <c r="CJ395" s="274"/>
      <c r="CK395" s="39"/>
      <c r="CL395" s="39"/>
      <c r="CM395" s="39"/>
      <c r="CN395" s="39"/>
      <c r="CO395" s="39"/>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274"/>
      <c r="DM395" s="274"/>
      <c r="DN395" s="274"/>
      <c r="DO395" s="274"/>
      <c r="DP395" s="274"/>
      <c r="DQ395" s="274"/>
      <c r="DR395" s="274"/>
      <c r="DS395" s="274"/>
      <c r="DT395" s="274"/>
      <c r="DU395" s="274"/>
      <c r="DV395" s="274"/>
      <c r="DW395" s="274"/>
      <c r="DX395" s="274"/>
      <c r="DY395" s="274"/>
      <c r="DZ395" s="274"/>
      <c r="EA395" s="274"/>
      <c r="EB395" s="274"/>
      <c r="EC395" s="274"/>
      <c r="ED395" s="39">
        <f t="shared" si="127"/>
        <v>2028830.6871093335</v>
      </c>
      <c r="EE395" s="30">
        <f t="shared" si="128"/>
        <v>5</v>
      </c>
      <c r="EF395" s="39">
        <f t="shared" si="129"/>
        <v>405766.1374218667</v>
      </c>
    </row>
    <row r="396" spans="1:136" x14ac:dyDescent="0.25">
      <c r="A396" s="25" t="e">
        <f>#REF!</f>
        <v>#REF!</v>
      </c>
      <c r="B396" s="50" t="e">
        <f>#REF!</f>
        <v>#REF!</v>
      </c>
      <c r="C396" s="5" t="e">
        <f>#REF!</f>
        <v>#REF!</v>
      </c>
      <c r="D396" s="5" t="e">
        <f>#REF!</f>
        <v>#REF!</v>
      </c>
      <c r="E396" s="252">
        <v>1</v>
      </c>
      <c r="F396" s="249">
        <v>0</v>
      </c>
      <c r="G396" s="249">
        <v>0</v>
      </c>
      <c r="H396" s="249">
        <v>0</v>
      </c>
      <c r="I396" s="249">
        <v>0</v>
      </c>
      <c r="J396" s="249">
        <v>0</v>
      </c>
      <c r="K396" s="249">
        <v>0</v>
      </c>
      <c r="L396" s="274"/>
      <c r="M396" s="274"/>
      <c r="N396" s="255">
        <v>100000</v>
      </c>
      <c r="O396" s="135">
        <f>+N396*0.19</f>
        <v>19000</v>
      </c>
      <c r="P396" s="135">
        <f>+N396+O396</f>
        <v>119000</v>
      </c>
      <c r="Q396" s="131"/>
      <c r="R396" s="131"/>
      <c r="S396" s="11"/>
      <c r="T396" s="274"/>
      <c r="U396" s="274"/>
      <c r="V396" s="274"/>
      <c r="W396" s="39"/>
      <c r="X396" s="11"/>
      <c r="Y396" s="11"/>
      <c r="Z396" s="274"/>
      <c r="AA396" s="274"/>
      <c r="AB396" s="274"/>
      <c r="AC396" s="52"/>
      <c r="AD396" s="22"/>
      <c r="AE396" s="39"/>
      <c r="AF396" s="274"/>
      <c r="AG396" s="274"/>
      <c r="AH396" s="171"/>
      <c r="AI396" s="22"/>
      <c r="AJ396" s="39"/>
      <c r="AK396" s="39"/>
      <c r="AL396" s="118"/>
      <c r="AM396" s="152"/>
      <c r="AN396" s="181"/>
      <c r="AO396" s="131"/>
      <c r="AP396" s="131"/>
      <c r="AQ396" s="39"/>
      <c r="AR396" s="274"/>
      <c r="AS396" s="274"/>
      <c r="AT396" s="274"/>
      <c r="AU396" s="39"/>
      <c r="AV396" s="39"/>
      <c r="AW396" s="39"/>
      <c r="AX396" s="274"/>
      <c r="AY396" s="274"/>
      <c r="AZ396" s="274"/>
      <c r="BA396" s="39"/>
      <c r="BB396" s="62"/>
      <c r="BC396" s="39"/>
      <c r="BD396" s="274"/>
      <c r="BE396" s="274"/>
      <c r="BF396" s="274"/>
      <c r="BG396" s="39"/>
      <c r="BH396" s="39"/>
      <c r="BI396" s="39"/>
      <c r="BJ396" s="274"/>
      <c r="BK396" s="274"/>
      <c r="BL396" s="274"/>
      <c r="BM396" s="213"/>
      <c r="BN396" s="213"/>
      <c r="BO396" s="39"/>
      <c r="BP396" s="274"/>
      <c r="BQ396" s="274"/>
      <c r="BR396" s="274"/>
      <c r="BS396" s="39"/>
      <c r="BT396" s="39"/>
      <c r="BU396" s="39"/>
      <c r="BV396" s="212"/>
      <c r="BW396" s="221"/>
      <c r="BX396" s="273"/>
      <c r="BY396" s="213"/>
      <c r="BZ396" s="213"/>
      <c r="CA396" s="213"/>
      <c r="CB396" s="274"/>
      <c r="CC396" s="274"/>
      <c r="CD396" s="274"/>
      <c r="CE396" s="39"/>
      <c r="CF396" s="39"/>
      <c r="CG396" s="39"/>
      <c r="CH396" s="274"/>
      <c r="CI396" s="274"/>
      <c r="CJ396" s="274"/>
      <c r="CK396" s="39"/>
      <c r="CL396" s="39"/>
      <c r="CM396" s="39"/>
      <c r="CN396" s="39"/>
      <c r="CO396" s="39"/>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274"/>
      <c r="DM396" s="274"/>
      <c r="DN396" s="274"/>
      <c r="DO396" s="274"/>
      <c r="DP396" s="274"/>
      <c r="DQ396" s="274"/>
      <c r="DR396" s="274"/>
      <c r="DS396" s="274"/>
      <c r="DT396" s="274"/>
      <c r="DU396" s="274"/>
      <c r="DV396" s="274"/>
      <c r="DW396" s="274"/>
      <c r="DX396" s="274"/>
      <c r="DY396" s="274"/>
      <c r="DZ396" s="274"/>
      <c r="EA396" s="274"/>
      <c r="EB396" s="274"/>
      <c r="EC396" s="274"/>
      <c r="ED396" s="39">
        <f t="shared" si="127"/>
        <v>119000</v>
      </c>
      <c r="EE396" s="30">
        <f t="shared" si="128"/>
        <v>1</v>
      </c>
      <c r="EF396" s="39">
        <f t="shared" si="129"/>
        <v>119000</v>
      </c>
    </row>
    <row r="397" spans="1:136" ht="36" x14ac:dyDescent="0.25">
      <c r="A397" s="25" t="e">
        <f>#REF!</f>
        <v>#REF!</v>
      </c>
      <c r="B397" s="50" t="e">
        <f>#REF!</f>
        <v>#REF!</v>
      </c>
      <c r="C397" s="5" t="e">
        <f>#REF!</f>
        <v>#REF!</v>
      </c>
      <c r="D397" s="5" t="e">
        <f>#REF!</f>
        <v>#REF!</v>
      </c>
      <c r="E397" s="252">
        <v>1</v>
      </c>
      <c r="F397" s="249">
        <v>0</v>
      </c>
      <c r="G397" s="249">
        <v>0</v>
      </c>
      <c r="H397" s="249">
        <v>0</v>
      </c>
      <c r="I397" s="249">
        <v>0</v>
      </c>
      <c r="J397" s="249">
        <v>542283</v>
      </c>
      <c r="K397" s="249">
        <v>0</v>
      </c>
      <c r="L397" s="274">
        <f>J397</f>
        <v>542283</v>
      </c>
      <c r="M397" s="274"/>
      <c r="N397" s="255"/>
      <c r="O397" s="135"/>
      <c r="P397" s="135"/>
      <c r="Q397" s="131"/>
      <c r="R397" s="131"/>
      <c r="S397" s="11"/>
      <c r="T397" s="274"/>
      <c r="U397" s="274"/>
      <c r="V397" s="274"/>
      <c r="W397" s="39"/>
      <c r="X397" s="11"/>
      <c r="Y397" s="11"/>
      <c r="Z397" s="274"/>
      <c r="AA397" s="274"/>
      <c r="AB397" s="274"/>
      <c r="AC397" s="52"/>
      <c r="AD397" s="22"/>
      <c r="AE397" s="39"/>
      <c r="AF397" s="274"/>
      <c r="AG397" s="274"/>
      <c r="AH397" s="171"/>
      <c r="AI397" s="4"/>
      <c r="AJ397" s="39"/>
      <c r="AK397" s="39"/>
      <c r="AL397" s="118"/>
      <c r="AM397" s="152"/>
      <c r="AN397" s="181"/>
      <c r="AO397" s="131"/>
      <c r="AP397" s="131"/>
      <c r="AQ397" s="39"/>
      <c r="AR397" s="274"/>
      <c r="AS397" s="274"/>
      <c r="AT397" s="274"/>
      <c r="AU397" s="39"/>
      <c r="AV397" s="39"/>
      <c r="AW397" s="39"/>
      <c r="AX397" s="274">
        <v>711000</v>
      </c>
      <c r="AY397" s="274">
        <f>+AX397*0.19</f>
        <v>135090</v>
      </c>
      <c r="AZ397" s="274">
        <f>+AX397+AY397</f>
        <v>846090</v>
      </c>
      <c r="BA397" s="39" t="s">
        <v>4852</v>
      </c>
      <c r="BB397" s="62" t="s">
        <v>4853</v>
      </c>
      <c r="BC397" s="39"/>
      <c r="BD397" s="274"/>
      <c r="BE397" s="274"/>
      <c r="BF397" s="274"/>
      <c r="BG397" s="39"/>
      <c r="BH397" s="39"/>
      <c r="BI397" s="39"/>
      <c r="BJ397" s="274">
        <v>1592600</v>
      </c>
      <c r="BK397" s="274">
        <f>+BJ397*0.19</f>
        <v>302594</v>
      </c>
      <c r="BL397" s="274">
        <f>+BJ397+BK397</f>
        <v>1895194</v>
      </c>
      <c r="BM397" s="213" t="s">
        <v>4854</v>
      </c>
      <c r="BN397" s="213" t="s">
        <v>542</v>
      </c>
      <c r="BO397" s="39"/>
      <c r="BP397" s="274"/>
      <c r="BQ397" s="274"/>
      <c r="BR397" s="274"/>
      <c r="BS397" s="39"/>
      <c r="BT397" s="39"/>
      <c r="BU397" s="39"/>
      <c r="BV397" s="219">
        <v>1807690.1856000002</v>
      </c>
      <c r="BW397" s="219">
        <f>+BV397*0.19</f>
        <v>343461.13526400004</v>
      </c>
      <c r="BX397" s="273">
        <f>+BV397+BW397</f>
        <v>2151151.3208640004</v>
      </c>
      <c r="BY397" s="213" t="s">
        <v>4854</v>
      </c>
      <c r="BZ397" s="213" t="s">
        <v>542</v>
      </c>
      <c r="CA397" s="213"/>
      <c r="CB397" s="274"/>
      <c r="CC397" s="274"/>
      <c r="CD397" s="274"/>
      <c r="CE397" s="39"/>
      <c r="CF397" s="39"/>
      <c r="CG397" s="39"/>
      <c r="CH397" s="274"/>
      <c r="CI397" s="274"/>
      <c r="CJ397" s="274"/>
      <c r="CK397" s="39"/>
      <c r="CL397" s="39"/>
      <c r="CM397" s="39"/>
      <c r="CN397" s="39"/>
      <c r="CO397" s="39"/>
      <c r="CP397" s="11"/>
      <c r="CQ397" s="11"/>
      <c r="CR397" s="11"/>
      <c r="CS397" s="11"/>
      <c r="CT397" s="11"/>
      <c r="CU397" s="11"/>
      <c r="CV397" s="11"/>
      <c r="CW397" s="11"/>
      <c r="CX397" s="11"/>
      <c r="CY397" s="11"/>
      <c r="CZ397" s="11"/>
      <c r="DA397" s="11"/>
      <c r="DB397" s="11"/>
      <c r="DC397" s="11"/>
      <c r="DD397" s="11"/>
      <c r="DE397" s="11"/>
      <c r="DF397" s="11"/>
      <c r="DG397" s="11"/>
      <c r="DH397" s="11"/>
      <c r="DI397" s="11"/>
      <c r="DJ397" s="11"/>
      <c r="DK397" s="11"/>
      <c r="DL397" s="274"/>
      <c r="DM397" s="274"/>
      <c r="DN397" s="274"/>
      <c r="DO397" s="274"/>
      <c r="DP397" s="274"/>
      <c r="DQ397" s="274"/>
      <c r="DR397" s="274"/>
      <c r="DS397" s="274"/>
      <c r="DT397" s="274"/>
      <c r="DU397" s="274"/>
      <c r="DV397" s="274"/>
      <c r="DW397" s="274"/>
      <c r="DX397" s="274"/>
      <c r="DY397" s="274"/>
      <c r="DZ397" s="274"/>
      <c r="EA397" s="274"/>
      <c r="EB397" s="274"/>
      <c r="EC397" s="274"/>
      <c r="ED397" s="39">
        <f t="shared" si="127"/>
        <v>4892435.3208640004</v>
      </c>
      <c r="EE397" s="30">
        <f t="shared" si="128"/>
        <v>3</v>
      </c>
      <c r="EF397" s="39">
        <f t="shared" si="129"/>
        <v>1630811.7736213335</v>
      </c>
    </row>
    <row r="398" spans="1:136" ht="24" x14ac:dyDescent="0.25">
      <c r="A398" s="25" t="e">
        <f>#REF!</f>
        <v>#REF!</v>
      </c>
      <c r="B398" s="50" t="e">
        <f>#REF!</f>
        <v>#REF!</v>
      </c>
      <c r="C398" s="5" t="e">
        <f>#REF!</f>
        <v>#REF!</v>
      </c>
      <c r="D398" s="5" t="e">
        <f>#REF!</f>
        <v>#REF!</v>
      </c>
      <c r="E398" s="252">
        <v>1</v>
      </c>
      <c r="F398" s="249">
        <v>0</v>
      </c>
      <c r="G398" s="249">
        <v>0</v>
      </c>
      <c r="H398" s="249">
        <v>0</v>
      </c>
      <c r="I398" s="249">
        <v>0</v>
      </c>
      <c r="J398" s="249">
        <v>3998400</v>
      </c>
      <c r="K398" s="249">
        <v>0</v>
      </c>
      <c r="L398" s="274">
        <f>J398</f>
        <v>3998400</v>
      </c>
      <c r="M398" s="274"/>
      <c r="N398" s="255"/>
      <c r="O398" s="135"/>
      <c r="P398" s="135"/>
      <c r="Q398" s="131"/>
      <c r="R398" s="131"/>
      <c r="S398" s="11"/>
      <c r="T398" s="274"/>
      <c r="U398" s="274"/>
      <c r="V398" s="274"/>
      <c r="W398" s="39"/>
      <c r="X398" s="11"/>
      <c r="Y398" s="11"/>
      <c r="Z398" s="274"/>
      <c r="AA398" s="274"/>
      <c r="AB398" s="274"/>
      <c r="AC398" s="52"/>
      <c r="AD398" s="22"/>
      <c r="AE398" s="39"/>
      <c r="AF398" s="274"/>
      <c r="AG398" s="274"/>
      <c r="AH398" s="171"/>
      <c r="AI398" s="4"/>
      <c r="AJ398" s="39"/>
      <c r="AK398" s="39"/>
      <c r="AL398" s="118"/>
      <c r="AM398" s="152"/>
      <c r="AN398" s="181"/>
      <c r="AO398" s="131"/>
      <c r="AP398" s="131"/>
      <c r="AQ398" s="39"/>
      <c r="AR398" s="274"/>
      <c r="AS398" s="274"/>
      <c r="AT398" s="274"/>
      <c r="AU398" s="39"/>
      <c r="AV398" s="39"/>
      <c r="AW398" s="39"/>
      <c r="AX398" s="274"/>
      <c r="AY398" s="274"/>
      <c r="AZ398" s="274"/>
      <c r="BA398" s="39"/>
      <c r="BB398" s="62"/>
      <c r="BC398" s="39"/>
      <c r="BD398" s="274"/>
      <c r="BE398" s="274"/>
      <c r="BF398" s="274"/>
      <c r="BG398" s="39"/>
      <c r="BH398" s="39"/>
      <c r="BI398" s="39"/>
      <c r="BJ398" s="275">
        <v>5600000</v>
      </c>
      <c r="BK398" s="274">
        <f>+BJ398*0.19</f>
        <v>1064000</v>
      </c>
      <c r="BL398" s="274">
        <f>+BJ398+BK398</f>
        <v>6664000</v>
      </c>
      <c r="BM398" s="213" t="s">
        <v>4855</v>
      </c>
      <c r="BN398" s="213" t="s">
        <v>542</v>
      </c>
      <c r="BO398" s="39"/>
      <c r="BP398" s="274"/>
      <c r="BQ398" s="274"/>
      <c r="BR398" s="274"/>
      <c r="BS398" s="39"/>
      <c r="BT398" s="39"/>
      <c r="BU398" s="39"/>
      <c r="BV398" s="219"/>
      <c r="BW398" s="219"/>
      <c r="BX398" s="273"/>
      <c r="BY398" s="213"/>
      <c r="BZ398" s="213"/>
      <c r="CA398" s="213"/>
      <c r="CB398" s="274"/>
      <c r="CC398" s="274"/>
      <c r="CD398" s="274"/>
      <c r="CE398" s="39"/>
      <c r="CF398" s="39"/>
      <c r="CG398" s="39"/>
      <c r="CH398" s="274"/>
      <c r="CI398" s="274"/>
      <c r="CJ398" s="274"/>
      <c r="CK398" s="39"/>
      <c r="CL398" s="39"/>
      <c r="CM398" s="39"/>
      <c r="CN398" s="39"/>
      <c r="CO398" s="39"/>
      <c r="CP398" s="11"/>
      <c r="CQ398" s="11"/>
      <c r="CR398" s="11"/>
      <c r="CS398" s="11"/>
      <c r="CT398" s="11"/>
      <c r="CU398" s="11"/>
      <c r="CV398" s="11"/>
      <c r="CW398" s="11"/>
      <c r="CX398" s="11"/>
      <c r="CY398" s="11"/>
      <c r="CZ398" s="11"/>
      <c r="DA398" s="11"/>
      <c r="DB398" s="11"/>
      <c r="DC398" s="11"/>
      <c r="DD398" s="11"/>
      <c r="DE398" s="11"/>
      <c r="DF398" s="11"/>
      <c r="DG398" s="11"/>
      <c r="DH398" s="11"/>
      <c r="DI398" s="11"/>
      <c r="DJ398" s="11"/>
      <c r="DK398" s="11"/>
      <c r="DL398" s="274"/>
      <c r="DM398" s="274"/>
      <c r="DN398" s="274"/>
      <c r="DO398" s="274"/>
      <c r="DP398" s="274"/>
      <c r="DQ398" s="274"/>
      <c r="DR398" s="274"/>
      <c r="DS398" s="274"/>
      <c r="DT398" s="274"/>
      <c r="DU398" s="274"/>
      <c r="DV398" s="274"/>
      <c r="DW398" s="274"/>
      <c r="DX398" s="274"/>
      <c r="DY398" s="274"/>
      <c r="DZ398" s="274"/>
      <c r="EA398" s="274"/>
      <c r="EB398" s="274"/>
      <c r="EC398" s="274"/>
      <c r="ED398" s="39">
        <f t="shared" si="127"/>
        <v>6664000</v>
      </c>
      <c r="EE398" s="30">
        <f t="shared" si="128"/>
        <v>1</v>
      </c>
      <c r="EF398" s="39">
        <f t="shared" si="129"/>
        <v>6664000</v>
      </c>
    </row>
    <row r="399" spans="1:136" x14ac:dyDescent="0.25">
      <c r="A399" s="25" t="e">
        <f>#REF!</f>
        <v>#REF!</v>
      </c>
      <c r="B399" s="50" t="e">
        <f>#REF!</f>
        <v>#REF!</v>
      </c>
      <c r="C399" s="5" t="e">
        <f>#REF!</f>
        <v>#REF!</v>
      </c>
      <c r="D399" s="5" t="e">
        <f>#REF!</f>
        <v>#REF!</v>
      </c>
      <c r="E399" s="252">
        <v>1</v>
      </c>
      <c r="F399" s="249">
        <v>0</v>
      </c>
      <c r="G399" s="249">
        <v>0</v>
      </c>
      <c r="H399" s="249">
        <v>41650</v>
      </c>
      <c r="I399" s="249">
        <v>0</v>
      </c>
      <c r="J399" s="249">
        <v>0</v>
      </c>
      <c r="K399" s="249">
        <v>0</v>
      </c>
      <c r="L399" s="274">
        <f>H399</f>
        <v>41650</v>
      </c>
      <c r="M399" s="274"/>
      <c r="N399" s="255"/>
      <c r="O399" s="135"/>
      <c r="P399" s="135"/>
      <c r="Q399" s="131"/>
      <c r="R399" s="131"/>
      <c r="S399" s="11"/>
      <c r="T399" s="274"/>
      <c r="U399" s="274"/>
      <c r="V399" s="274"/>
      <c r="W399" s="39"/>
      <c r="X399" s="11"/>
      <c r="Y399" s="11"/>
      <c r="Z399" s="274"/>
      <c r="AA399" s="274"/>
      <c r="AB399" s="274"/>
      <c r="AC399" s="52"/>
      <c r="AD399" s="22"/>
      <c r="AE399" s="39"/>
      <c r="AF399" s="274"/>
      <c r="AG399" s="274"/>
      <c r="AH399" s="171"/>
      <c r="AI399" s="22"/>
      <c r="AJ399" s="39"/>
      <c r="AK399" s="39"/>
      <c r="AL399" s="118"/>
      <c r="AM399" s="152"/>
      <c r="AN399" s="181"/>
      <c r="AO399" s="131"/>
      <c r="AP399" s="131"/>
      <c r="AQ399" s="39"/>
      <c r="AR399" s="274"/>
      <c r="AS399" s="274"/>
      <c r="AT399" s="274"/>
      <c r="AU399" s="39"/>
      <c r="AV399" s="39"/>
      <c r="AW399" s="39"/>
      <c r="AX399" s="274"/>
      <c r="AY399" s="274"/>
      <c r="AZ399" s="274"/>
      <c r="BA399" s="39"/>
      <c r="BB399" s="62"/>
      <c r="BC399" s="39"/>
      <c r="BD399" s="274"/>
      <c r="BE399" s="274"/>
      <c r="BF399" s="274"/>
      <c r="BG399" s="39"/>
      <c r="BH399" s="39"/>
      <c r="BI399" s="39"/>
      <c r="BJ399" s="274"/>
      <c r="BK399" s="274"/>
      <c r="BL399" s="274"/>
      <c r="BM399" s="213"/>
      <c r="BN399" s="213"/>
      <c r="BO399" s="39"/>
      <c r="BP399" s="274">
        <v>425000</v>
      </c>
      <c r="BQ399" s="274">
        <f>+BP399*19%</f>
        <v>80750</v>
      </c>
      <c r="BR399" s="274">
        <f>+BQ399+BP399</f>
        <v>505750</v>
      </c>
      <c r="BS399" s="39"/>
      <c r="BT399" s="39"/>
      <c r="BU399" s="39"/>
      <c r="BV399" s="212"/>
      <c r="BW399" s="221"/>
      <c r="BX399" s="273"/>
      <c r="BY399" s="213"/>
      <c r="BZ399" s="213"/>
      <c r="CA399" s="213"/>
      <c r="CB399" s="274"/>
      <c r="CC399" s="274"/>
      <c r="CD399" s="274"/>
      <c r="CE399" s="39"/>
      <c r="CF399" s="39"/>
      <c r="CG399" s="39"/>
      <c r="CH399" s="274"/>
      <c r="CI399" s="274"/>
      <c r="CJ399" s="274"/>
      <c r="CK399" s="39"/>
      <c r="CL399" s="39"/>
      <c r="CM399" s="39"/>
      <c r="CN399" s="39"/>
      <c r="CO399" s="39"/>
      <c r="CP399" s="11"/>
      <c r="CQ399" s="11"/>
      <c r="CR399" s="11"/>
      <c r="CS399" s="11"/>
      <c r="CT399" s="11"/>
      <c r="CU399" s="11"/>
      <c r="CV399" s="11"/>
      <c r="CW399" s="11"/>
      <c r="CX399" s="11"/>
      <c r="CY399" s="11"/>
      <c r="CZ399" s="11"/>
      <c r="DA399" s="11"/>
      <c r="DB399" s="11"/>
      <c r="DC399" s="11"/>
      <c r="DD399" s="11"/>
      <c r="DE399" s="11"/>
      <c r="DF399" s="11"/>
      <c r="DG399" s="11"/>
      <c r="DH399" s="11"/>
      <c r="DI399" s="11"/>
      <c r="DJ399" s="11"/>
      <c r="DK399" s="11"/>
      <c r="DL399" s="274"/>
      <c r="DM399" s="274"/>
      <c r="DN399" s="274"/>
      <c r="DO399" s="274"/>
      <c r="DP399" s="274"/>
      <c r="DQ399" s="274"/>
      <c r="DR399" s="274"/>
      <c r="DS399" s="274"/>
      <c r="DT399" s="274"/>
      <c r="DU399" s="274"/>
      <c r="DV399" s="274"/>
      <c r="DW399" s="274"/>
      <c r="DX399" s="274"/>
      <c r="DY399" s="274"/>
      <c r="DZ399" s="274"/>
      <c r="EA399" s="274"/>
      <c r="EB399" s="274"/>
      <c r="EC399" s="274"/>
      <c r="ED399" s="39">
        <f t="shared" si="127"/>
        <v>505750</v>
      </c>
      <c r="EE399" s="30">
        <f t="shared" si="128"/>
        <v>1</v>
      </c>
      <c r="EF399" s="39">
        <f t="shared" si="129"/>
        <v>505750</v>
      </c>
    </row>
    <row r="400" spans="1:136" x14ac:dyDescent="0.25">
      <c r="A400" s="25" t="e">
        <f>#REF!</f>
        <v>#REF!</v>
      </c>
      <c r="B400" s="50" t="e">
        <f>#REF!</f>
        <v>#REF!</v>
      </c>
      <c r="C400" s="5" t="e">
        <f>#REF!</f>
        <v>#REF!</v>
      </c>
      <c r="D400" s="5" t="e">
        <f>#REF!</f>
        <v>#REF!</v>
      </c>
      <c r="E400" s="252">
        <v>1</v>
      </c>
      <c r="F400" s="249">
        <v>0</v>
      </c>
      <c r="G400" s="249">
        <v>0</v>
      </c>
      <c r="H400" s="249">
        <v>5236</v>
      </c>
      <c r="I400" s="249">
        <v>0</v>
      </c>
      <c r="J400" s="249">
        <v>0</v>
      </c>
      <c r="K400" s="249">
        <v>0</v>
      </c>
      <c r="L400" s="274">
        <f>H400</f>
        <v>5236</v>
      </c>
      <c r="M400" s="274"/>
      <c r="N400" s="255"/>
      <c r="O400" s="135"/>
      <c r="P400" s="135"/>
      <c r="Q400" s="131"/>
      <c r="R400" s="131"/>
      <c r="S400" s="11"/>
      <c r="T400" s="274"/>
      <c r="U400" s="274"/>
      <c r="V400" s="274"/>
      <c r="W400" s="39"/>
      <c r="X400" s="11"/>
      <c r="Y400" s="11"/>
      <c r="Z400" s="274"/>
      <c r="AA400" s="274"/>
      <c r="AB400" s="274"/>
      <c r="AC400" s="52"/>
      <c r="AD400" s="22"/>
      <c r="AE400" s="39"/>
      <c r="AF400" s="274"/>
      <c r="AG400" s="274"/>
      <c r="AH400" s="171"/>
      <c r="AI400" s="4"/>
      <c r="AJ400" s="39"/>
      <c r="AK400" s="39"/>
      <c r="AL400" s="118"/>
      <c r="AM400" s="152"/>
      <c r="AN400" s="181"/>
      <c r="AO400" s="131"/>
      <c r="AP400" s="131"/>
      <c r="AQ400" s="39"/>
      <c r="AR400" s="274"/>
      <c r="AS400" s="274"/>
      <c r="AT400" s="274"/>
      <c r="AU400" s="39"/>
      <c r="AV400" s="39"/>
      <c r="AW400" s="39"/>
      <c r="AX400" s="274"/>
      <c r="AY400" s="274"/>
      <c r="AZ400" s="274"/>
      <c r="BA400" s="39"/>
      <c r="BB400" s="62"/>
      <c r="BC400" s="39"/>
      <c r="BD400" s="274"/>
      <c r="BE400" s="274"/>
      <c r="BF400" s="274"/>
      <c r="BG400" s="39"/>
      <c r="BH400" s="39"/>
      <c r="BI400" s="39"/>
      <c r="BJ400" s="274"/>
      <c r="BK400" s="274"/>
      <c r="BL400" s="274"/>
      <c r="BM400" s="213"/>
      <c r="BN400" s="213"/>
      <c r="BO400" s="39"/>
      <c r="BP400" s="274"/>
      <c r="BQ400" s="274"/>
      <c r="BR400" s="274"/>
      <c r="BS400" s="39"/>
      <c r="BT400" s="39"/>
      <c r="BU400" s="39"/>
      <c r="BV400" s="212"/>
      <c r="BW400" s="221"/>
      <c r="BX400" s="273"/>
      <c r="BY400" s="213"/>
      <c r="BZ400" s="213"/>
      <c r="CA400" s="213"/>
      <c r="CB400" s="274"/>
      <c r="CC400" s="274"/>
      <c r="CD400" s="274"/>
      <c r="CE400" s="39"/>
      <c r="CF400" s="39"/>
      <c r="CG400" s="39"/>
      <c r="CH400" s="274"/>
      <c r="CI400" s="274"/>
      <c r="CJ400" s="274"/>
      <c r="CK400" s="39"/>
      <c r="CL400" s="39"/>
      <c r="CM400" s="39"/>
      <c r="CN400" s="39"/>
      <c r="CO400" s="39"/>
      <c r="CP400" s="11"/>
      <c r="CQ400" s="11"/>
      <c r="CR400" s="11"/>
      <c r="CS400" s="11"/>
      <c r="CT400" s="11"/>
      <c r="CU400" s="11"/>
      <c r="CV400" s="11"/>
      <c r="CW400" s="11"/>
      <c r="CX400" s="11"/>
      <c r="CY400" s="11"/>
      <c r="CZ400" s="11"/>
      <c r="DA400" s="11"/>
      <c r="DB400" s="11"/>
      <c r="DC400" s="11"/>
      <c r="DD400" s="11"/>
      <c r="DE400" s="11"/>
      <c r="DF400" s="11"/>
      <c r="DG400" s="11"/>
      <c r="DH400" s="11"/>
      <c r="DI400" s="11"/>
      <c r="DJ400" s="11"/>
      <c r="DK400" s="11"/>
      <c r="DL400" s="274"/>
      <c r="DM400" s="274"/>
      <c r="DN400" s="274"/>
      <c r="DO400" s="274"/>
      <c r="DP400" s="274"/>
      <c r="DQ400" s="274"/>
      <c r="DR400" s="274"/>
      <c r="DS400" s="274"/>
      <c r="DT400" s="274"/>
      <c r="DU400" s="274"/>
      <c r="DV400" s="274"/>
      <c r="DW400" s="274"/>
      <c r="DX400" s="274"/>
      <c r="DY400" s="274"/>
      <c r="DZ400" s="274"/>
      <c r="EA400" s="274"/>
      <c r="EB400" s="274"/>
      <c r="EC400" s="274"/>
      <c r="ED400" s="39">
        <f t="shared" si="127"/>
        <v>0</v>
      </c>
      <c r="EE400" s="30">
        <f t="shared" si="128"/>
        <v>0</v>
      </c>
      <c r="EF400" s="39" t="str">
        <f t="shared" si="129"/>
        <v xml:space="preserve"> </v>
      </c>
    </row>
    <row r="401" spans="1:136" x14ac:dyDescent="0.25">
      <c r="A401" s="25" t="e">
        <f>#REF!</f>
        <v>#REF!</v>
      </c>
      <c r="B401" s="50" t="e">
        <f>#REF!</f>
        <v>#REF!</v>
      </c>
      <c r="C401" s="5" t="e">
        <f>#REF!</f>
        <v>#REF!</v>
      </c>
      <c r="D401" s="5" t="e">
        <f>#REF!</f>
        <v>#REF!</v>
      </c>
      <c r="E401" s="252">
        <v>1</v>
      </c>
      <c r="F401" s="249">
        <v>11483.5</v>
      </c>
      <c r="G401" s="249">
        <v>0</v>
      </c>
      <c r="H401" s="249">
        <v>13328</v>
      </c>
      <c r="I401" s="249">
        <v>0</v>
      </c>
      <c r="J401" s="249">
        <v>16736.68888888889</v>
      </c>
      <c r="K401" s="249">
        <v>5117</v>
      </c>
      <c r="L401" s="274">
        <f>AVERAGE(F401,H401,J401)</f>
        <v>13849.396296296298</v>
      </c>
      <c r="M401" s="274">
        <f>K401*E1</f>
        <v>5270.51</v>
      </c>
      <c r="N401" s="255">
        <v>4500</v>
      </c>
      <c r="O401" s="135">
        <f>+N401*0.19</f>
        <v>855</v>
      </c>
      <c r="P401" s="135">
        <f>+N401+O401</f>
        <v>5355</v>
      </c>
      <c r="Q401" s="131"/>
      <c r="R401" s="131"/>
      <c r="S401" s="11"/>
      <c r="T401" s="274"/>
      <c r="U401" s="274"/>
      <c r="V401" s="274"/>
      <c r="W401" s="39"/>
      <c r="X401" s="11"/>
      <c r="Y401" s="11"/>
      <c r="Z401" s="274"/>
      <c r="AA401" s="274"/>
      <c r="AB401" s="274"/>
      <c r="AC401" s="52"/>
      <c r="AD401" s="22"/>
      <c r="AE401" s="39"/>
      <c r="AF401" s="274"/>
      <c r="AG401" s="274"/>
      <c r="AH401" s="171"/>
      <c r="AI401" s="4"/>
      <c r="AJ401" s="39"/>
      <c r="AK401" s="39"/>
      <c r="AL401" s="118"/>
      <c r="AM401" s="152"/>
      <c r="AN401" s="181"/>
      <c r="AO401" s="131"/>
      <c r="AP401" s="131"/>
      <c r="AQ401" s="39"/>
      <c r="AR401" s="274">
        <v>9200</v>
      </c>
      <c r="AS401" s="274">
        <f>+AR401*0.19</f>
        <v>1748</v>
      </c>
      <c r="AT401" s="274">
        <f>+AR401+AS401</f>
        <v>10948</v>
      </c>
      <c r="AU401" s="39"/>
      <c r="AV401" s="39"/>
      <c r="AW401" s="39"/>
      <c r="AX401" s="274"/>
      <c r="AY401" s="274"/>
      <c r="AZ401" s="274"/>
      <c r="BA401" s="39"/>
      <c r="BB401" s="62"/>
      <c r="BC401" s="39"/>
      <c r="BD401" s="274"/>
      <c r="BE401" s="274"/>
      <c r="BF401" s="274"/>
      <c r="BG401" s="39"/>
      <c r="BH401" s="39"/>
      <c r="BI401" s="39"/>
      <c r="BJ401" s="274">
        <v>5800</v>
      </c>
      <c r="BK401" s="274">
        <f>+BJ401*0.19</f>
        <v>1102</v>
      </c>
      <c r="BL401" s="274">
        <f>+BJ401+BK401</f>
        <v>6902</v>
      </c>
      <c r="BM401" s="214" t="s">
        <v>445</v>
      </c>
      <c r="BN401" s="213" t="s">
        <v>4740</v>
      </c>
      <c r="BO401" s="39"/>
      <c r="BP401" s="274">
        <v>12500</v>
      </c>
      <c r="BQ401" s="274">
        <f>+BP401*19%</f>
        <v>2375</v>
      </c>
      <c r="BR401" s="274">
        <f>+BQ401+BP401</f>
        <v>14875</v>
      </c>
      <c r="BS401" s="39"/>
      <c r="BT401" s="39"/>
      <c r="BU401" s="39"/>
      <c r="BV401" s="219">
        <v>6713.6160000000009</v>
      </c>
      <c r="BW401" s="219">
        <f>+BV401*0.19</f>
        <v>1275.5870400000001</v>
      </c>
      <c r="BX401" s="273">
        <f>+BV401+BW401</f>
        <v>7989.2030400000012</v>
      </c>
      <c r="BY401" s="214" t="s">
        <v>445</v>
      </c>
      <c r="BZ401" s="213" t="s">
        <v>4740</v>
      </c>
      <c r="CA401" s="213"/>
      <c r="CB401" s="274"/>
      <c r="CC401" s="274"/>
      <c r="CD401" s="274"/>
      <c r="CE401" s="39"/>
      <c r="CF401" s="39"/>
      <c r="CG401" s="39"/>
      <c r="CH401" s="274"/>
      <c r="CI401" s="274"/>
      <c r="CJ401" s="274"/>
      <c r="CK401" s="39"/>
      <c r="CL401" s="39"/>
      <c r="CM401" s="39"/>
      <c r="CN401" s="39"/>
      <c r="CO401" s="39"/>
      <c r="CP401" s="11"/>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274"/>
      <c r="DM401" s="274"/>
      <c r="DN401" s="274"/>
      <c r="DO401" s="274"/>
      <c r="DP401" s="274"/>
      <c r="DQ401" s="274"/>
      <c r="DR401" s="274"/>
      <c r="DS401" s="274"/>
      <c r="DT401" s="274"/>
      <c r="DU401" s="274"/>
      <c r="DV401" s="274"/>
      <c r="DW401" s="274"/>
      <c r="DX401" s="274"/>
      <c r="DY401" s="274"/>
      <c r="DZ401" s="274"/>
      <c r="EA401" s="274"/>
      <c r="EB401" s="274"/>
      <c r="EC401" s="274"/>
      <c r="ED401" s="39">
        <f t="shared" si="127"/>
        <v>51339.713040000002</v>
      </c>
      <c r="EE401" s="30">
        <f t="shared" si="128"/>
        <v>6</v>
      </c>
      <c r="EF401" s="39">
        <f t="shared" si="129"/>
        <v>8556.618840000001</v>
      </c>
    </row>
    <row r="402" spans="1:136" x14ac:dyDescent="0.25">
      <c r="A402" s="25" t="e">
        <f>#REF!</f>
        <v>#REF!</v>
      </c>
      <c r="B402" s="50" t="e">
        <f>#REF!</f>
        <v>#REF!</v>
      </c>
      <c r="C402" s="5" t="e">
        <f>#REF!</f>
        <v>#REF!</v>
      </c>
      <c r="D402" s="5" t="e">
        <f>#REF!</f>
        <v>#REF!</v>
      </c>
      <c r="E402" s="252">
        <v>1</v>
      </c>
      <c r="F402" s="249">
        <v>17493</v>
      </c>
      <c r="G402" s="249">
        <v>17136</v>
      </c>
      <c r="H402" s="249">
        <v>14587.952960000001</v>
      </c>
      <c r="I402" s="249">
        <v>14518</v>
      </c>
      <c r="J402" s="249">
        <v>21004.822222222225</v>
      </c>
      <c r="K402" s="249">
        <v>20825</v>
      </c>
      <c r="L402" s="274">
        <f>AVERAGE(F402,H402,J402)</f>
        <v>17695.258394074077</v>
      </c>
      <c r="M402" s="274">
        <f>AVERAGE(G402,I402,K402)*E1</f>
        <v>18017.79</v>
      </c>
      <c r="N402" s="255">
        <v>4500</v>
      </c>
      <c r="O402" s="135">
        <f>+N402*0.19</f>
        <v>855</v>
      </c>
      <c r="P402" s="135">
        <f>+N402+O402</f>
        <v>5355</v>
      </c>
      <c r="Q402" s="131"/>
      <c r="R402" s="131"/>
      <c r="S402" s="11"/>
      <c r="T402" s="274"/>
      <c r="U402" s="274"/>
      <c r="V402" s="274"/>
      <c r="W402" s="39"/>
      <c r="X402" s="11"/>
      <c r="Y402" s="11"/>
      <c r="Z402" s="274"/>
      <c r="AA402" s="274"/>
      <c r="AB402" s="274"/>
      <c r="AC402" s="52"/>
      <c r="AD402" s="22"/>
      <c r="AE402" s="39"/>
      <c r="AF402" s="274"/>
      <c r="AG402" s="274"/>
      <c r="AH402" s="171"/>
      <c r="AI402" s="4"/>
      <c r="AJ402" s="39"/>
      <c r="AK402" s="39"/>
      <c r="AL402" s="118"/>
      <c r="AM402" s="152"/>
      <c r="AN402" s="181"/>
      <c r="AO402" s="131"/>
      <c r="AP402" s="131"/>
      <c r="AQ402" s="39"/>
      <c r="AR402" s="274">
        <v>9600</v>
      </c>
      <c r="AS402" s="274">
        <f>+AR402*0.19</f>
        <v>1824</v>
      </c>
      <c r="AT402" s="274">
        <f>+AR402+AS402</f>
        <v>11424</v>
      </c>
      <c r="AU402" s="39"/>
      <c r="AV402" s="39"/>
      <c r="AW402" s="39"/>
      <c r="AX402" s="274"/>
      <c r="AY402" s="274"/>
      <c r="AZ402" s="274"/>
      <c r="BA402" s="39"/>
      <c r="BB402" s="62"/>
      <c r="BC402" s="39"/>
      <c r="BD402" s="274"/>
      <c r="BE402" s="274"/>
      <c r="BF402" s="274"/>
      <c r="BG402" s="39"/>
      <c r="BH402" s="39"/>
      <c r="BI402" s="39"/>
      <c r="BJ402" s="274">
        <v>24000</v>
      </c>
      <c r="BK402" s="274">
        <f>+BJ402*0.19</f>
        <v>4560</v>
      </c>
      <c r="BL402" s="274">
        <f>+BJ402+BK402</f>
        <v>28560</v>
      </c>
      <c r="BM402" s="214" t="s">
        <v>445</v>
      </c>
      <c r="BN402" s="213" t="s">
        <v>3852</v>
      </c>
      <c r="BO402" s="39"/>
      <c r="BP402" s="274">
        <v>12500</v>
      </c>
      <c r="BQ402" s="274">
        <f>+BP402*19%</f>
        <v>2375</v>
      </c>
      <c r="BR402" s="274">
        <f>+BQ402+BP402</f>
        <v>14875</v>
      </c>
      <c r="BS402" s="39"/>
      <c r="BT402" s="39"/>
      <c r="BU402" s="39"/>
      <c r="BV402" s="219">
        <v>26208.288</v>
      </c>
      <c r="BW402" s="219">
        <f>+BV402*0.19</f>
        <v>4979.5747200000005</v>
      </c>
      <c r="BX402" s="273">
        <f>+BV402+BW402</f>
        <v>31187.862720000001</v>
      </c>
      <c r="BY402" s="214" t="s">
        <v>445</v>
      </c>
      <c r="BZ402" s="213" t="s">
        <v>3852</v>
      </c>
      <c r="CA402" s="213"/>
      <c r="CB402" s="274"/>
      <c r="CC402" s="274"/>
      <c r="CD402" s="274"/>
      <c r="CE402" s="39"/>
      <c r="CF402" s="39"/>
      <c r="CG402" s="39"/>
      <c r="CH402" s="274"/>
      <c r="CI402" s="274"/>
      <c r="CJ402" s="274"/>
      <c r="CK402" s="39"/>
      <c r="CL402" s="39"/>
      <c r="CM402" s="39"/>
      <c r="CN402" s="39"/>
      <c r="CO402" s="39"/>
      <c r="CP402" s="11"/>
      <c r="CQ402" s="11"/>
      <c r="CR402" s="11"/>
      <c r="CS402" s="11"/>
      <c r="CT402" s="11"/>
      <c r="CU402" s="11"/>
      <c r="CV402" s="11"/>
      <c r="CW402" s="11"/>
      <c r="CX402" s="11"/>
      <c r="CY402" s="11"/>
      <c r="CZ402" s="11"/>
      <c r="DA402" s="11"/>
      <c r="DB402" s="11"/>
      <c r="DC402" s="11"/>
      <c r="DD402" s="11"/>
      <c r="DE402" s="11"/>
      <c r="DF402" s="11"/>
      <c r="DG402" s="11"/>
      <c r="DH402" s="11"/>
      <c r="DI402" s="11"/>
      <c r="DJ402" s="11"/>
      <c r="DK402" s="11"/>
      <c r="DL402" s="274"/>
      <c r="DM402" s="274"/>
      <c r="DN402" s="274"/>
      <c r="DO402" s="274"/>
      <c r="DP402" s="274"/>
      <c r="DQ402" s="274"/>
      <c r="DR402" s="274"/>
      <c r="DS402" s="274"/>
      <c r="DT402" s="274"/>
      <c r="DU402" s="274"/>
      <c r="DV402" s="274"/>
      <c r="DW402" s="274"/>
      <c r="DX402" s="274"/>
      <c r="DY402" s="274"/>
      <c r="DZ402" s="274"/>
      <c r="EA402" s="274"/>
      <c r="EB402" s="274"/>
      <c r="EC402" s="274"/>
      <c r="ED402" s="39">
        <f t="shared" si="127"/>
        <v>109419.65272000001</v>
      </c>
      <c r="EE402" s="30">
        <f t="shared" si="128"/>
        <v>6</v>
      </c>
      <c r="EF402" s="39">
        <f t="shared" si="129"/>
        <v>18236.608786666668</v>
      </c>
    </row>
    <row r="403" spans="1:136" x14ac:dyDescent="0.25">
      <c r="A403" s="25" t="e">
        <f>#REF!</f>
        <v>#REF!</v>
      </c>
      <c r="B403" s="50" t="e">
        <f>#REF!</f>
        <v>#REF!</v>
      </c>
      <c r="C403" s="5" t="e">
        <f>#REF!</f>
        <v>#REF!</v>
      </c>
      <c r="D403" s="5" t="e">
        <f>#REF!</f>
        <v>#REF!</v>
      </c>
      <c r="E403" s="252">
        <v>1</v>
      </c>
      <c r="F403" s="249">
        <v>83300</v>
      </c>
      <c r="G403" s="249">
        <v>0</v>
      </c>
      <c r="H403" s="249">
        <v>1714115.6666666667</v>
      </c>
      <c r="I403" s="249">
        <v>1713957</v>
      </c>
      <c r="J403" s="249">
        <v>1868181</v>
      </c>
      <c r="K403" s="249">
        <v>1178100</v>
      </c>
      <c r="L403" s="274">
        <f>AVERAGE(F403,H403,J403)</f>
        <v>1221865.5555555557</v>
      </c>
      <c r="M403" s="274">
        <f>AVERAGE(I403,K403)*E1</f>
        <v>1489409.355</v>
      </c>
      <c r="N403" s="255"/>
      <c r="O403" s="135"/>
      <c r="P403" s="135"/>
      <c r="Q403" s="131"/>
      <c r="R403" s="131"/>
      <c r="S403" s="11"/>
      <c r="T403" s="274"/>
      <c r="U403" s="274"/>
      <c r="V403" s="274"/>
      <c r="W403" s="39"/>
      <c r="X403" s="11"/>
      <c r="Y403" s="11"/>
      <c r="Z403" s="274"/>
      <c r="AA403" s="274"/>
      <c r="AB403" s="274"/>
      <c r="AC403" s="52"/>
      <c r="AD403" s="22"/>
      <c r="AE403" s="39"/>
      <c r="AF403" s="274"/>
      <c r="AG403" s="274"/>
      <c r="AH403" s="171"/>
      <c r="AI403" s="4"/>
      <c r="AJ403" s="39"/>
      <c r="AK403" s="39"/>
      <c r="AL403" s="118"/>
      <c r="AM403" s="152"/>
      <c r="AN403" s="181"/>
      <c r="AO403" s="131"/>
      <c r="AP403" s="131"/>
      <c r="AQ403" s="39"/>
      <c r="AR403" s="274"/>
      <c r="AS403" s="274"/>
      <c r="AT403" s="274"/>
      <c r="AU403" s="39"/>
      <c r="AV403" s="39"/>
      <c r="AW403" s="39"/>
      <c r="AX403" s="274"/>
      <c r="AY403" s="274"/>
      <c r="AZ403" s="274"/>
      <c r="BA403" s="39"/>
      <c r="BB403" s="62"/>
      <c r="BC403" s="39"/>
      <c r="BD403" s="274"/>
      <c r="BE403" s="274"/>
      <c r="BF403" s="274"/>
      <c r="BG403" s="39"/>
      <c r="BH403" s="39"/>
      <c r="BI403" s="39"/>
      <c r="BJ403" s="274">
        <v>106400</v>
      </c>
      <c r="BK403" s="274">
        <f>+BJ403*0.19</f>
        <v>20216</v>
      </c>
      <c r="BL403" s="274">
        <f>+BJ403+BK403</f>
        <v>126616</v>
      </c>
      <c r="BM403" s="214" t="s">
        <v>3855</v>
      </c>
      <c r="BN403" s="213" t="s">
        <v>4856</v>
      </c>
      <c r="BO403" s="39"/>
      <c r="BP403" s="274">
        <v>185000</v>
      </c>
      <c r="BQ403" s="274">
        <f>+BP403*19%</f>
        <v>35150</v>
      </c>
      <c r="BR403" s="274">
        <f>+BQ403+BP403</f>
        <v>220150</v>
      </c>
      <c r="BS403" s="39"/>
      <c r="BT403" s="39"/>
      <c r="BU403" s="39"/>
      <c r="BV403" s="219">
        <v>114008.5576</v>
      </c>
      <c r="BW403" s="219">
        <f>+BV403*0.19</f>
        <v>21661.625943999999</v>
      </c>
      <c r="BX403" s="273">
        <f>+BV403+BW403</f>
        <v>135670.183544</v>
      </c>
      <c r="BY403" s="214" t="s">
        <v>3855</v>
      </c>
      <c r="BZ403" s="213" t="s">
        <v>4856</v>
      </c>
      <c r="CA403" s="213"/>
      <c r="CB403" s="274"/>
      <c r="CC403" s="274"/>
      <c r="CD403" s="274"/>
      <c r="CE403" s="39"/>
      <c r="CF403" s="39"/>
      <c r="CG403" s="39"/>
      <c r="CH403" s="274"/>
      <c r="CI403" s="274"/>
      <c r="CJ403" s="274"/>
      <c r="CK403" s="39"/>
      <c r="CL403" s="39"/>
      <c r="CM403" s="39"/>
      <c r="CN403" s="39"/>
      <c r="CO403" s="39"/>
      <c r="CP403" s="11"/>
      <c r="CQ403" s="11"/>
      <c r="CR403" s="11"/>
      <c r="CS403" s="11"/>
      <c r="CT403" s="11"/>
      <c r="CU403" s="11"/>
      <c r="CV403" s="11"/>
      <c r="CW403" s="11"/>
      <c r="CX403" s="11"/>
      <c r="CY403" s="11"/>
      <c r="CZ403" s="11"/>
      <c r="DA403" s="11"/>
      <c r="DB403" s="11"/>
      <c r="DC403" s="11"/>
      <c r="DD403" s="11"/>
      <c r="DE403" s="11"/>
      <c r="DF403" s="11"/>
      <c r="DG403" s="11"/>
      <c r="DH403" s="11"/>
      <c r="DI403" s="11"/>
      <c r="DJ403" s="11"/>
      <c r="DK403" s="11"/>
      <c r="DL403" s="274"/>
      <c r="DM403" s="274"/>
      <c r="DN403" s="274"/>
      <c r="DO403" s="274"/>
      <c r="DP403" s="274"/>
      <c r="DQ403" s="274"/>
      <c r="DR403" s="274"/>
      <c r="DS403" s="274"/>
      <c r="DT403" s="274"/>
      <c r="DU403" s="274"/>
      <c r="DV403" s="274"/>
      <c r="DW403" s="274"/>
      <c r="DX403" s="274"/>
      <c r="DY403" s="274"/>
      <c r="DZ403" s="274"/>
      <c r="EA403" s="274"/>
      <c r="EB403" s="274"/>
      <c r="EC403" s="274"/>
      <c r="ED403" s="39">
        <f t="shared" si="127"/>
        <v>1971845.5385439999</v>
      </c>
      <c r="EE403" s="30">
        <f t="shared" si="128"/>
        <v>4</v>
      </c>
      <c r="EF403" s="39">
        <f t="shared" si="129"/>
        <v>492961.38463599997</v>
      </c>
    </row>
    <row r="404" spans="1:136" x14ac:dyDescent="0.25">
      <c r="A404" s="25" t="e">
        <f>#REF!</f>
        <v>#REF!</v>
      </c>
      <c r="B404" s="50" t="e">
        <f>#REF!</f>
        <v>#REF!</v>
      </c>
      <c r="C404" s="5" t="e">
        <f>#REF!</f>
        <v>#REF!</v>
      </c>
      <c r="D404" s="5" t="e">
        <f>#REF!</f>
        <v>#REF!</v>
      </c>
      <c r="E404" s="252">
        <v>1</v>
      </c>
      <c r="F404" s="249">
        <v>535500</v>
      </c>
      <c r="G404" s="249">
        <v>0</v>
      </c>
      <c r="H404" s="249">
        <v>505750</v>
      </c>
      <c r="I404" s="249">
        <v>0</v>
      </c>
      <c r="J404" s="249">
        <v>595000</v>
      </c>
      <c r="K404" s="249">
        <v>435900</v>
      </c>
      <c r="L404" s="274">
        <f>AVERAGE(F404,H404,J404)</f>
        <v>545416.66666666663</v>
      </c>
      <c r="M404" s="274">
        <f>K404*E1</f>
        <v>448977</v>
      </c>
      <c r="N404" s="255">
        <v>550000</v>
      </c>
      <c r="O404" s="135">
        <f>+N404*0.19</f>
        <v>104500</v>
      </c>
      <c r="P404" s="135">
        <f>+N404+O404</f>
        <v>654500</v>
      </c>
      <c r="Q404" s="131"/>
      <c r="R404" s="131"/>
      <c r="S404" s="11"/>
      <c r="T404" s="274"/>
      <c r="U404" s="274"/>
      <c r="V404" s="274"/>
      <c r="W404" s="39"/>
      <c r="X404" s="11"/>
      <c r="Y404" s="11"/>
      <c r="Z404" s="274"/>
      <c r="AA404" s="274"/>
      <c r="AB404" s="274"/>
      <c r="AC404" s="52"/>
      <c r="AD404" s="22"/>
      <c r="AE404" s="39"/>
      <c r="AF404" s="274"/>
      <c r="AG404" s="274"/>
      <c r="AH404" s="171"/>
      <c r="AI404" s="22"/>
      <c r="AJ404" s="39"/>
      <c r="AK404" s="39"/>
      <c r="AL404" s="118"/>
      <c r="AM404" s="152"/>
      <c r="AN404" s="181"/>
      <c r="AO404" s="131"/>
      <c r="AP404" s="131"/>
      <c r="AQ404" s="39"/>
      <c r="AR404" s="274">
        <v>520000</v>
      </c>
      <c r="AS404" s="274">
        <f>+AR404*0.19</f>
        <v>98800</v>
      </c>
      <c r="AT404" s="274">
        <f>+AR404+AS404</f>
        <v>618800</v>
      </c>
      <c r="AU404" s="39"/>
      <c r="AV404" s="39"/>
      <c r="AW404" s="39"/>
      <c r="AX404" s="274"/>
      <c r="AY404" s="274"/>
      <c r="AZ404" s="274"/>
      <c r="BA404" s="39"/>
      <c r="BB404" s="62"/>
      <c r="BC404" s="39"/>
      <c r="BD404" s="274"/>
      <c r="BE404" s="274"/>
      <c r="BF404" s="274"/>
      <c r="BG404" s="39"/>
      <c r="BH404" s="39"/>
      <c r="BI404" s="39"/>
      <c r="BJ404" s="274"/>
      <c r="BK404" s="274"/>
      <c r="BL404" s="274"/>
      <c r="BM404" s="213"/>
      <c r="BN404" s="213"/>
      <c r="BO404" s="39"/>
      <c r="BP404" s="274"/>
      <c r="BQ404" s="274"/>
      <c r="BR404" s="274"/>
      <c r="BS404" s="39"/>
      <c r="BT404" s="39"/>
      <c r="BU404" s="39"/>
      <c r="BV404" s="212"/>
      <c r="BW404" s="221"/>
      <c r="BX404" s="273"/>
      <c r="BY404" s="213"/>
      <c r="BZ404" s="213"/>
      <c r="CA404" s="213"/>
      <c r="CB404" s="274"/>
      <c r="CC404" s="274"/>
      <c r="CD404" s="274"/>
      <c r="CE404" s="39"/>
      <c r="CF404" s="39"/>
      <c r="CG404" s="39"/>
      <c r="CH404" s="274"/>
      <c r="CI404" s="274"/>
      <c r="CJ404" s="274"/>
      <c r="CK404" s="39"/>
      <c r="CL404" s="39"/>
      <c r="CM404" s="39"/>
      <c r="CN404" s="39"/>
      <c r="CO404" s="39"/>
      <c r="CP404" s="11"/>
      <c r="CQ404" s="11"/>
      <c r="CR404" s="11"/>
      <c r="CS404" s="11"/>
      <c r="CT404" s="11"/>
      <c r="CU404" s="11"/>
      <c r="CV404" s="11"/>
      <c r="CW404" s="11"/>
      <c r="CX404" s="11"/>
      <c r="CY404" s="11"/>
      <c r="CZ404" s="11"/>
      <c r="DA404" s="11"/>
      <c r="DB404" s="11"/>
      <c r="DC404" s="11"/>
      <c r="DD404" s="11"/>
      <c r="DE404" s="11"/>
      <c r="DF404" s="11"/>
      <c r="DG404" s="11"/>
      <c r="DH404" s="11"/>
      <c r="DI404" s="11"/>
      <c r="DJ404" s="11"/>
      <c r="DK404" s="11"/>
      <c r="DL404" s="274"/>
      <c r="DM404" s="274"/>
      <c r="DN404" s="274"/>
      <c r="DO404" s="274"/>
      <c r="DP404" s="274"/>
      <c r="DQ404" s="274"/>
      <c r="DR404" s="274"/>
      <c r="DS404" s="274"/>
      <c r="DT404" s="274"/>
      <c r="DU404" s="274"/>
      <c r="DV404" s="274"/>
      <c r="DW404" s="274"/>
      <c r="DX404" s="274"/>
      <c r="DY404" s="274"/>
      <c r="DZ404" s="274"/>
      <c r="EA404" s="274"/>
      <c r="EB404" s="274"/>
      <c r="EC404" s="274"/>
      <c r="ED404" s="39">
        <f t="shared" si="127"/>
        <v>1722277</v>
      </c>
      <c r="EE404" s="30">
        <f t="shared" si="128"/>
        <v>3</v>
      </c>
      <c r="EF404" s="39">
        <f t="shared" si="129"/>
        <v>574092.33333333337</v>
      </c>
    </row>
    <row r="405" spans="1:136" x14ac:dyDescent="0.25">
      <c r="A405" s="25" t="e">
        <f>#REF!</f>
        <v>#REF!</v>
      </c>
      <c r="B405" s="50" t="e">
        <f>#REF!</f>
        <v>#REF!</v>
      </c>
      <c r="C405" s="5" t="e">
        <f>#REF!</f>
        <v>#REF!</v>
      </c>
      <c r="D405" s="5" t="e">
        <f>#REF!</f>
        <v>#REF!</v>
      </c>
      <c r="E405" s="252">
        <v>1</v>
      </c>
      <c r="F405" s="249">
        <v>0</v>
      </c>
      <c r="G405" s="249">
        <v>0</v>
      </c>
      <c r="H405" s="249">
        <v>0</v>
      </c>
      <c r="I405" s="249">
        <v>0</v>
      </c>
      <c r="J405" s="249">
        <v>0</v>
      </c>
      <c r="K405" s="249">
        <v>0</v>
      </c>
      <c r="L405" s="274"/>
      <c r="M405" s="274"/>
      <c r="N405" s="255">
        <v>150000</v>
      </c>
      <c r="O405" s="135">
        <f>+N405*0.19</f>
        <v>28500</v>
      </c>
      <c r="P405" s="135">
        <f>+N405+O405</f>
        <v>178500</v>
      </c>
      <c r="Q405" s="131"/>
      <c r="R405" s="131"/>
      <c r="S405" s="11"/>
      <c r="T405" s="274"/>
      <c r="U405" s="274"/>
      <c r="V405" s="274"/>
      <c r="W405" s="39"/>
      <c r="X405" s="11"/>
      <c r="Y405" s="11"/>
      <c r="Z405" s="274"/>
      <c r="AA405" s="274"/>
      <c r="AB405" s="274"/>
      <c r="AC405" s="52"/>
      <c r="AD405" s="22"/>
      <c r="AE405" s="39"/>
      <c r="AF405" s="274"/>
      <c r="AG405" s="274"/>
      <c r="AH405" s="171"/>
      <c r="AI405" s="4"/>
      <c r="AJ405" s="39"/>
      <c r="AK405" s="39"/>
      <c r="AL405" s="118"/>
      <c r="AM405" s="152"/>
      <c r="AN405" s="181"/>
      <c r="AO405" s="131"/>
      <c r="AP405" s="131"/>
      <c r="AQ405" s="39"/>
      <c r="AR405" s="274">
        <v>80000</v>
      </c>
      <c r="AS405" s="274">
        <f>+AR405*0.19</f>
        <v>15200</v>
      </c>
      <c r="AT405" s="274">
        <f>+AR405+AS405</f>
        <v>95200</v>
      </c>
      <c r="AU405" s="39"/>
      <c r="AV405" s="39"/>
      <c r="AW405" s="39"/>
      <c r="AX405" s="274"/>
      <c r="AY405" s="274"/>
      <c r="AZ405" s="274"/>
      <c r="BA405" s="39"/>
      <c r="BB405" s="62"/>
      <c r="BC405" s="39"/>
      <c r="BD405" s="274"/>
      <c r="BE405" s="274"/>
      <c r="BF405" s="274"/>
      <c r="BG405" s="39"/>
      <c r="BH405" s="39"/>
      <c r="BI405" s="39"/>
      <c r="BJ405" s="274"/>
      <c r="BK405" s="274"/>
      <c r="BL405" s="274"/>
      <c r="BM405" s="213"/>
      <c r="BN405" s="213"/>
      <c r="BO405" s="39"/>
      <c r="BP405" s="274"/>
      <c r="BQ405" s="274"/>
      <c r="BR405" s="274"/>
      <c r="BS405" s="39"/>
      <c r="BT405" s="39"/>
      <c r="BU405" s="39"/>
      <c r="BV405" s="212"/>
      <c r="BW405" s="221"/>
      <c r="BX405" s="273"/>
      <c r="BY405" s="213"/>
      <c r="BZ405" s="213"/>
      <c r="CA405" s="213"/>
      <c r="CB405" s="274"/>
      <c r="CC405" s="274"/>
      <c r="CD405" s="274"/>
      <c r="CE405" s="39"/>
      <c r="CF405" s="39"/>
      <c r="CG405" s="39"/>
      <c r="CH405" s="274"/>
      <c r="CI405" s="274"/>
      <c r="CJ405" s="274"/>
      <c r="CK405" s="39"/>
      <c r="CL405" s="39"/>
      <c r="CM405" s="39"/>
      <c r="CN405" s="39"/>
      <c r="CO405" s="39"/>
      <c r="CP405" s="11"/>
      <c r="CQ405" s="11"/>
      <c r="CR405" s="11"/>
      <c r="CS405" s="11"/>
      <c r="CT405" s="11"/>
      <c r="CU405" s="11"/>
      <c r="CV405" s="11"/>
      <c r="CW405" s="11"/>
      <c r="CX405" s="11"/>
      <c r="CY405" s="11"/>
      <c r="CZ405" s="11"/>
      <c r="DA405" s="11"/>
      <c r="DB405" s="11"/>
      <c r="DC405" s="11"/>
      <c r="DD405" s="11"/>
      <c r="DE405" s="11"/>
      <c r="DF405" s="11"/>
      <c r="DG405" s="11"/>
      <c r="DH405" s="11"/>
      <c r="DI405" s="11"/>
      <c r="DJ405" s="11"/>
      <c r="DK405" s="11"/>
      <c r="DL405" s="274"/>
      <c r="DM405" s="274"/>
      <c r="DN405" s="274"/>
      <c r="DO405" s="274"/>
      <c r="DP405" s="274"/>
      <c r="DQ405" s="274"/>
      <c r="DR405" s="274"/>
      <c r="DS405" s="274"/>
      <c r="DT405" s="274"/>
      <c r="DU405" s="274"/>
      <c r="DV405" s="274"/>
      <c r="DW405" s="274"/>
      <c r="DX405" s="274"/>
      <c r="DY405" s="274"/>
      <c r="DZ405" s="274"/>
      <c r="EA405" s="274"/>
      <c r="EB405" s="274"/>
      <c r="EC405" s="274"/>
      <c r="ED405" s="39">
        <f t="shared" si="127"/>
        <v>273700</v>
      </c>
      <c r="EE405" s="30">
        <f t="shared" si="128"/>
        <v>2</v>
      </c>
      <c r="EF405" s="39">
        <f t="shared" si="129"/>
        <v>136850</v>
      </c>
    </row>
    <row r="406" spans="1:136" x14ac:dyDescent="0.25">
      <c r="A406" s="25" t="e">
        <f>#REF!</f>
        <v>#REF!</v>
      </c>
      <c r="B406" s="50" t="e">
        <f>#REF!</f>
        <v>#REF!</v>
      </c>
      <c r="C406" s="5" t="e">
        <f>#REF!</f>
        <v>#REF!</v>
      </c>
      <c r="D406" s="5" t="e">
        <f>#REF!</f>
        <v>#REF!</v>
      </c>
      <c r="E406" s="252">
        <v>1</v>
      </c>
      <c r="F406" s="249">
        <v>85680</v>
      </c>
      <c r="G406" s="249">
        <v>83062</v>
      </c>
      <c r="H406" s="249">
        <v>67503.345000000001</v>
      </c>
      <c r="I406" s="249">
        <v>0</v>
      </c>
      <c r="J406" s="249">
        <v>67711</v>
      </c>
      <c r="K406" s="249">
        <v>67711</v>
      </c>
      <c r="L406" s="274">
        <f>AVERAGE(F406,H406,J406)</f>
        <v>73631.448333333334</v>
      </c>
      <c r="M406" s="274">
        <f>AVERAGE(G406,K406)*E1</f>
        <v>77648.095000000001</v>
      </c>
      <c r="N406" s="255">
        <v>150000</v>
      </c>
      <c r="O406" s="135">
        <f>+N406*0.19</f>
        <v>28500</v>
      </c>
      <c r="P406" s="135">
        <f>+N406+O406</f>
        <v>178500</v>
      </c>
      <c r="Q406" s="131"/>
      <c r="R406" s="131"/>
      <c r="S406" s="11"/>
      <c r="T406" s="274"/>
      <c r="U406" s="274"/>
      <c r="V406" s="274"/>
      <c r="W406" s="39"/>
      <c r="X406" s="11"/>
      <c r="Y406" s="11"/>
      <c r="Z406" s="274"/>
      <c r="AA406" s="274"/>
      <c r="AB406" s="274"/>
      <c r="AC406" s="52"/>
      <c r="AD406" s="22"/>
      <c r="AE406" s="39"/>
      <c r="AF406" s="274"/>
      <c r="AG406" s="274"/>
      <c r="AH406" s="171"/>
      <c r="AI406" s="22"/>
      <c r="AJ406" s="39"/>
      <c r="AK406" s="39"/>
      <c r="AL406" s="118"/>
      <c r="AM406" s="152"/>
      <c r="AN406" s="181"/>
      <c r="AO406" s="131"/>
      <c r="AP406" s="131"/>
      <c r="AQ406" s="39"/>
      <c r="AR406" s="274"/>
      <c r="AS406" s="274"/>
      <c r="AT406" s="274"/>
      <c r="AU406" s="39"/>
      <c r="AV406" s="39"/>
      <c r="AW406" s="39"/>
      <c r="AX406" s="274"/>
      <c r="AY406" s="274"/>
      <c r="AZ406" s="274"/>
      <c r="BA406" s="39"/>
      <c r="BB406" s="62"/>
      <c r="BC406" s="39"/>
      <c r="BD406" s="274"/>
      <c r="BE406" s="274"/>
      <c r="BF406" s="274"/>
      <c r="BG406" s="39"/>
      <c r="BH406" s="39"/>
      <c r="BI406" s="39"/>
      <c r="BJ406" s="274"/>
      <c r="BK406" s="274"/>
      <c r="BL406" s="274"/>
      <c r="BM406" s="213"/>
      <c r="BN406" s="213"/>
      <c r="BO406" s="39"/>
      <c r="BP406" s="274">
        <v>135000</v>
      </c>
      <c r="BQ406" s="274">
        <f>+BP406*19%</f>
        <v>25650</v>
      </c>
      <c r="BR406" s="274">
        <f>+BQ406+BP406</f>
        <v>160650</v>
      </c>
      <c r="BS406" s="39"/>
      <c r="BT406" s="39"/>
      <c r="BU406" s="39"/>
      <c r="BV406" s="212"/>
      <c r="BW406" s="221"/>
      <c r="BX406" s="273"/>
      <c r="BY406" s="213"/>
      <c r="BZ406" s="213"/>
      <c r="CA406" s="213"/>
      <c r="CB406" s="274"/>
      <c r="CC406" s="274"/>
      <c r="CD406" s="274"/>
      <c r="CE406" s="39"/>
      <c r="CF406" s="39"/>
      <c r="CG406" s="39"/>
      <c r="CH406" s="274"/>
      <c r="CI406" s="274"/>
      <c r="CJ406" s="274"/>
      <c r="CK406" s="39"/>
      <c r="CL406" s="39"/>
      <c r="CM406" s="39"/>
      <c r="CN406" s="39"/>
      <c r="CO406" s="39"/>
      <c r="CP406" s="11"/>
      <c r="CQ406" s="11"/>
      <c r="CR406" s="11"/>
      <c r="CS406" s="11"/>
      <c r="CT406" s="11"/>
      <c r="CU406" s="11"/>
      <c r="CV406" s="11"/>
      <c r="CW406" s="11"/>
      <c r="CX406" s="11"/>
      <c r="CY406" s="11"/>
      <c r="CZ406" s="11"/>
      <c r="DA406" s="11"/>
      <c r="DB406" s="11"/>
      <c r="DC406" s="11"/>
      <c r="DD406" s="11"/>
      <c r="DE406" s="11"/>
      <c r="DF406" s="11"/>
      <c r="DG406" s="11"/>
      <c r="DH406" s="11"/>
      <c r="DI406" s="11"/>
      <c r="DJ406" s="11"/>
      <c r="DK406" s="11"/>
      <c r="DL406" s="274"/>
      <c r="DM406" s="274"/>
      <c r="DN406" s="274"/>
      <c r="DO406" s="274"/>
      <c r="DP406" s="274"/>
      <c r="DQ406" s="274"/>
      <c r="DR406" s="274"/>
      <c r="DS406" s="274"/>
      <c r="DT406" s="274"/>
      <c r="DU406" s="274"/>
      <c r="DV406" s="274"/>
      <c r="DW406" s="274"/>
      <c r="DX406" s="274"/>
      <c r="DY406" s="274"/>
      <c r="DZ406" s="274"/>
      <c r="EA406" s="274"/>
      <c r="EB406" s="274"/>
      <c r="EC406" s="274"/>
      <c r="ED406" s="39">
        <f t="shared" si="127"/>
        <v>416798.09499999997</v>
      </c>
      <c r="EE406" s="30">
        <f t="shared" si="128"/>
        <v>3</v>
      </c>
      <c r="EF406" s="39">
        <f t="shared" si="129"/>
        <v>138932.69833333333</v>
      </c>
    </row>
    <row r="407" spans="1:136" x14ac:dyDescent="0.25">
      <c r="A407" s="25" t="e">
        <f>#REF!</f>
        <v>#REF!</v>
      </c>
      <c r="B407" s="50" t="e">
        <f>#REF!</f>
        <v>#REF!</v>
      </c>
      <c r="C407" s="5" t="e">
        <f>#REF!</f>
        <v>#REF!</v>
      </c>
      <c r="D407" s="5" t="e">
        <f>#REF!</f>
        <v>#REF!</v>
      </c>
      <c r="E407" s="252">
        <v>1</v>
      </c>
      <c r="F407" s="249">
        <v>1068046.42</v>
      </c>
      <c r="G407" s="249">
        <v>0</v>
      </c>
      <c r="H407" s="249">
        <v>771239</v>
      </c>
      <c r="I407" s="249">
        <v>0</v>
      </c>
      <c r="J407" s="249">
        <v>730213.75</v>
      </c>
      <c r="K407" s="249">
        <v>0</v>
      </c>
      <c r="L407" s="274">
        <f>AVERAGE(F407,H407,J407)</f>
        <v>856499.72333333327</v>
      </c>
      <c r="M407" s="274"/>
      <c r="N407" s="255">
        <v>650000</v>
      </c>
      <c r="O407" s="135">
        <f>+N407*0.19</f>
        <v>123500</v>
      </c>
      <c r="P407" s="135">
        <f>+N407+O407</f>
        <v>773500</v>
      </c>
      <c r="Q407" s="131"/>
      <c r="R407" s="131"/>
      <c r="S407" s="11"/>
      <c r="T407" s="274"/>
      <c r="U407" s="274"/>
      <c r="V407" s="274"/>
      <c r="W407" s="39"/>
      <c r="X407" s="11"/>
      <c r="Y407" s="11"/>
      <c r="Z407" s="274"/>
      <c r="AA407" s="274"/>
      <c r="AB407" s="274"/>
      <c r="AC407" s="52"/>
      <c r="AD407" s="22"/>
      <c r="AE407" s="39"/>
      <c r="AF407" s="274"/>
      <c r="AG407" s="274"/>
      <c r="AH407" s="171"/>
      <c r="AI407" s="22"/>
      <c r="AJ407" s="39"/>
      <c r="AK407" s="39"/>
      <c r="AL407" s="118"/>
      <c r="AM407" s="152"/>
      <c r="AN407" s="181"/>
      <c r="AO407" s="131"/>
      <c r="AP407" s="131"/>
      <c r="AQ407" s="39"/>
      <c r="AR407" s="274"/>
      <c r="AS407" s="274"/>
      <c r="AT407" s="274"/>
      <c r="AU407" s="39"/>
      <c r="AV407" s="39"/>
      <c r="AW407" s="39"/>
      <c r="AX407" s="274"/>
      <c r="AY407" s="274"/>
      <c r="AZ407" s="274"/>
      <c r="BA407" s="39"/>
      <c r="BB407" s="62"/>
      <c r="BC407" s="39"/>
      <c r="BD407" s="274"/>
      <c r="BE407" s="274"/>
      <c r="BF407" s="274"/>
      <c r="BG407" s="39"/>
      <c r="BH407" s="39"/>
      <c r="BI407" s="39"/>
      <c r="BJ407" s="274"/>
      <c r="BK407" s="274"/>
      <c r="BL407" s="274"/>
      <c r="BM407" s="213"/>
      <c r="BN407" s="213"/>
      <c r="BO407" s="39"/>
      <c r="BP407" s="274">
        <v>265000</v>
      </c>
      <c r="BQ407" s="274">
        <f>+BP407*19%</f>
        <v>50350</v>
      </c>
      <c r="BR407" s="274">
        <f>+BQ407+BP407</f>
        <v>315350</v>
      </c>
      <c r="BS407" s="39"/>
      <c r="BT407" s="39"/>
      <c r="BU407" s="39"/>
      <c r="BV407" s="212"/>
      <c r="BW407" s="221"/>
      <c r="BX407" s="273"/>
      <c r="BY407" s="213"/>
      <c r="BZ407" s="213"/>
      <c r="CA407" s="213"/>
      <c r="CB407" s="274"/>
      <c r="CC407" s="274"/>
      <c r="CD407" s="274"/>
      <c r="CE407" s="39"/>
      <c r="CF407" s="39"/>
      <c r="CG407" s="39"/>
      <c r="CH407" s="274"/>
      <c r="CI407" s="274"/>
      <c r="CJ407" s="274"/>
      <c r="CK407" s="39"/>
      <c r="CL407" s="39"/>
      <c r="CM407" s="39"/>
      <c r="CN407" s="39"/>
      <c r="CO407" s="39"/>
      <c r="CP407" s="11"/>
      <c r="CQ407" s="11"/>
      <c r="CR407" s="11"/>
      <c r="CS407" s="11"/>
      <c r="CT407" s="11"/>
      <c r="CU407" s="11"/>
      <c r="CV407" s="11"/>
      <c r="CW407" s="11"/>
      <c r="CX407" s="11"/>
      <c r="CY407" s="11"/>
      <c r="CZ407" s="11"/>
      <c r="DA407" s="11"/>
      <c r="DB407" s="11"/>
      <c r="DC407" s="11"/>
      <c r="DD407" s="11"/>
      <c r="DE407" s="11"/>
      <c r="DF407" s="11"/>
      <c r="DG407" s="11"/>
      <c r="DH407" s="11"/>
      <c r="DI407" s="11"/>
      <c r="DJ407" s="11"/>
      <c r="DK407" s="11"/>
      <c r="DL407" s="274"/>
      <c r="DM407" s="274"/>
      <c r="DN407" s="274"/>
      <c r="DO407" s="274"/>
      <c r="DP407" s="274"/>
      <c r="DQ407" s="274"/>
      <c r="DR407" s="274"/>
      <c r="DS407" s="274"/>
      <c r="DT407" s="274"/>
      <c r="DU407" s="274"/>
      <c r="DV407" s="274"/>
      <c r="DW407" s="274"/>
      <c r="DX407" s="274"/>
      <c r="DY407" s="274"/>
      <c r="DZ407" s="274"/>
      <c r="EA407" s="274"/>
      <c r="EB407" s="274"/>
      <c r="EC407" s="274"/>
      <c r="ED407" s="39">
        <f t="shared" si="127"/>
        <v>1088850</v>
      </c>
      <c r="EE407" s="30">
        <f t="shared" si="128"/>
        <v>2</v>
      </c>
      <c r="EF407" s="39">
        <f t="shared" si="129"/>
        <v>544425</v>
      </c>
    </row>
    <row r="408" spans="1:136" x14ac:dyDescent="0.25">
      <c r="A408" s="25" t="e">
        <f>#REF!</f>
        <v>#REF!</v>
      </c>
      <c r="B408" s="50" t="e">
        <f>#REF!</f>
        <v>#REF!</v>
      </c>
      <c r="C408" s="5" t="e">
        <f>#REF!</f>
        <v>#REF!</v>
      </c>
      <c r="D408" s="5" t="e">
        <f>#REF!</f>
        <v>#REF!</v>
      </c>
      <c r="E408" s="252">
        <v>1</v>
      </c>
      <c r="F408" s="249">
        <v>0</v>
      </c>
      <c r="G408" s="249">
        <v>0</v>
      </c>
      <c r="H408" s="249">
        <v>0</v>
      </c>
      <c r="I408" s="249">
        <v>0</v>
      </c>
      <c r="J408" s="249">
        <v>0</v>
      </c>
      <c r="K408" s="249">
        <v>0</v>
      </c>
      <c r="L408" s="274"/>
      <c r="M408" s="274"/>
      <c r="N408" s="255">
        <v>150000</v>
      </c>
      <c r="O408" s="135">
        <f>+N408*0.19</f>
        <v>28500</v>
      </c>
      <c r="P408" s="135">
        <f>+N408+O408</f>
        <v>178500</v>
      </c>
      <c r="Q408" s="131"/>
      <c r="R408" s="131"/>
      <c r="S408" s="11"/>
      <c r="T408" s="274"/>
      <c r="U408" s="274"/>
      <c r="V408" s="274"/>
      <c r="W408" s="39"/>
      <c r="X408" s="11"/>
      <c r="Y408" s="11"/>
      <c r="Z408" s="274"/>
      <c r="AA408" s="274"/>
      <c r="AB408" s="274"/>
      <c r="AC408" s="52"/>
      <c r="AD408" s="22"/>
      <c r="AE408" s="39"/>
      <c r="AF408" s="274"/>
      <c r="AG408" s="274"/>
      <c r="AH408" s="171"/>
      <c r="AI408" s="4"/>
      <c r="AJ408" s="39"/>
      <c r="AK408" s="39"/>
      <c r="AL408" s="118"/>
      <c r="AM408" s="152"/>
      <c r="AN408" s="181"/>
      <c r="AO408" s="131"/>
      <c r="AP408" s="131"/>
      <c r="AQ408" s="39"/>
      <c r="AR408" s="274"/>
      <c r="AS408" s="274"/>
      <c r="AT408" s="274"/>
      <c r="AU408" s="39"/>
      <c r="AV408" s="39"/>
      <c r="AW408" s="39"/>
      <c r="AX408" s="274"/>
      <c r="AY408" s="274"/>
      <c r="AZ408" s="274"/>
      <c r="BA408" s="39"/>
      <c r="BB408" s="62"/>
      <c r="BC408" s="39"/>
      <c r="BD408" s="274"/>
      <c r="BE408" s="274"/>
      <c r="BF408" s="274"/>
      <c r="BG408" s="39"/>
      <c r="BH408" s="39"/>
      <c r="BI408" s="39"/>
      <c r="BJ408" s="274"/>
      <c r="BK408" s="274"/>
      <c r="BL408" s="274"/>
      <c r="BM408" s="213"/>
      <c r="BN408" s="213"/>
      <c r="BO408" s="39"/>
      <c r="BP408" s="274">
        <v>165000</v>
      </c>
      <c r="BQ408" s="274">
        <f>+BP408*19%</f>
        <v>31350</v>
      </c>
      <c r="BR408" s="274">
        <f>+BQ408+BP408</f>
        <v>196350</v>
      </c>
      <c r="BS408" s="39"/>
      <c r="BT408" s="39"/>
      <c r="BU408" s="39"/>
      <c r="BV408" s="212"/>
      <c r="BW408" s="221"/>
      <c r="BX408" s="273"/>
      <c r="BY408" s="213"/>
      <c r="BZ408" s="213"/>
      <c r="CA408" s="213"/>
      <c r="CB408" s="274"/>
      <c r="CC408" s="274"/>
      <c r="CD408" s="274"/>
      <c r="CE408" s="39"/>
      <c r="CF408" s="39"/>
      <c r="CG408" s="39"/>
      <c r="CH408" s="274"/>
      <c r="CI408" s="274"/>
      <c r="CJ408" s="274"/>
      <c r="CK408" s="39"/>
      <c r="CL408" s="39"/>
      <c r="CM408" s="39"/>
      <c r="CN408" s="39"/>
      <c r="CO408" s="39"/>
      <c r="CP408" s="11"/>
      <c r="CQ408" s="11"/>
      <c r="CR408" s="11"/>
      <c r="CS408" s="11"/>
      <c r="CT408" s="11"/>
      <c r="CU408" s="11"/>
      <c r="CV408" s="11"/>
      <c r="CW408" s="11"/>
      <c r="CX408" s="11"/>
      <c r="CY408" s="11"/>
      <c r="CZ408" s="11"/>
      <c r="DA408" s="11"/>
      <c r="DB408" s="11"/>
      <c r="DC408" s="11"/>
      <c r="DD408" s="11"/>
      <c r="DE408" s="11"/>
      <c r="DF408" s="11"/>
      <c r="DG408" s="11"/>
      <c r="DH408" s="11"/>
      <c r="DI408" s="11"/>
      <c r="DJ408" s="11"/>
      <c r="DK408" s="11"/>
      <c r="DL408" s="274"/>
      <c r="DM408" s="274"/>
      <c r="DN408" s="274"/>
      <c r="DO408" s="274"/>
      <c r="DP408" s="274"/>
      <c r="DQ408" s="274"/>
      <c r="DR408" s="274"/>
      <c r="DS408" s="274"/>
      <c r="DT408" s="274"/>
      <c r="DU408" s="274"/>
      <c r="DV408" s="274"/>
      <c r="DW408" s="274"/>
      <c r="DX408" s="274"/>
      <c r="DY408" s="274"/>
      <c r="DZ408" s="274"/>
      <c r="EA408" s="274"/>
      <c r="EB408" s="274"/>
      <c r="EC408" s="274"/>
      <c r="ED408" s="39">
        <f t="shared" si="127"/>
        <v>374850</v>
      </c>
      <c r="EE408" s="30">
        <f t="shared" si="128"/>
        <v>2</v>
      </c>
      <c r="EF408" s="39">
        <f t="shared" si="129"/>
        <v>187425</v>
      </c>
    </row>
    <row r="409" spans="1:136" x14ac:dyDescent="0.25">
      <c r="A409" s="25" t="e">
        <f>#REF!</f>
        <v>#REF!</v>
      </c>
      <c r="B409" s="50" t="e">
        <f>#REF!</f>
        <v>#REF!</v>
      </c>
      <c r="C409" s="5" t="e">
        <f>#REF!</f>
        <v>#REF!</v>
      </c>
      <c r="D409" s="5" t="e">
        <f>#REF!</f>
        <v>#REF!</v>
      </c>
      <c r="E409" s="252">
        <v>1</v>
      </c>
      <c r="F409" s="249">
        <v>0</v>
      </c>
      <c r="G409" s="249">
        <v>0</v>
      </c>
      <c r="H409" s="249">
        <v>377795.25</v>
      </c>
      <c r="I409" s="249">
        <v>0</v>
      </c>
      <c r="J409" s="249">
        <v>1190000</v>
      </c>
      <c r="K409" s="249">
        <v>1172150</v>
      </c>
      <c r="L409" s="274">
        <f>AVERAGE(H409,J409)</f>
        <v>783897.625</v>
      </c>
      <c r="M409" s="274">
        <f>K409*E1</f>
        <v>1207314.5</v>
      </c>
      <c r="N409" s="255"/>
      <c r="O409" s="135"/>
      <c r="P409" s="135"/>
      <c r="Q409" s="131"/>
      <c r="R409" s="131"/>
      <c r="S409" s="11"/>
      <c r="T409" s="274"/>
      <c r="U409" s="274"/>
      <c r="V409" s="274"/>
      <c r="W409" s="39"/>
      <c r="X409" s="11"/>
      <c r="Y409" s="11"/>
      <c r="Z409" s="274"/>
      <c r="AA409" s="274"/>
      <c r="AB409" s="274"/>
      <c r="AC409" s="52"/>
      <c r="AD409" s="22"/>
      <c r="AE409" s="39"/>
      <c r="AF409" s="274"/>
      <c r="AG409" s="274"/>
      <c r="AH409" s="171"/>
      <c r="AI409" s="4"/>
      <c r="AJ409" s="39"/>
      <c r="AK409" s="39"/>
      <c r="AL409" s="118"/>
      <c r="AM409" s="152"/>
      <c r="AN409" s="181"/>
      <c r="AO409" s="131"/>
      <c r="AP409" s="131"/>
      <c r="AQ409" s="39"/>
      <c r="AR409" s="274"/>
      <c r="AS409" s="274"/>
      <c r="AT409" s="274"/>
      <c r="AU409" s="39"/>
      <c r="AV409" s="39"/>
      <c r="AW409" s="39"/>
      <c r="AX409" s="274"/>
      <c r="AY409" s="274"/>
      <c r="AZ409" s="274"/>
      <c r="BA409" s="39"/>
      <c r="BB409" s="62"/>
      <c r="BC409" s="39"/>
      <c r="BD409" s="274"/>
      <c r="BE409" s="274"/>
      <c r="BF409" s="274"/>
      <c r="BG409" s="39"/>
      <c r="BH409" s="39"/>
      <c r="BI409" s="39"/>
      <c r="BJ409" s="274"/>
      <c r="BK409" s="274"/>
      <c r="BL409" s="274"/>
      <c r="BM409" s="213"/>
      <c r="BN409" s="213"/>
      <c r="BO409" s="39"/>
      <c r="BP409" s="274"/>
      <c r="BQ409" s="274"/>
      <c r="BR409" s="274"/>
      <c r="BS409" s="39"/>
      <c r="BT409" s="39"/>
      <c r="BU409" s="39"/>
      <c r="BV409" s="212"/>
      <c r="BW409" s="221"/>
      <c r="BX409" s="273"/>
      <c r="BY409" s="213"/>
      <c r="BZ409" s="213"/>
      <c r="CA409" s="213"/>
      <c r="CB409" s="274"/>
      <c r="CC409" s="274"/>
      <c r="CD409" s="274"/>
      <c r="CE409" s="39"/>
      <c r="CF409" s="39"/>
      <c r="CG409" s="39"/>
      <c r="CH409" s="274"/>
      <c r="CI409" s="274"/>
      <c r="CJ409" s="274"/>
      <c r="CK409" s="39"/>
      <c r="CL409" s="39"/>
      <c r="CM409" s="39"/>
      <c r="CN409" s="39"/>
      <c r="CO409" s="39"/>
      <c r="CP409" s="11"/>
      <c r="CQ409" s="11"/>
      <c r="CR409" s="11"/>
      <c r="CS409" s="11"/>
      <c r="CT409" s="11"/>
      <c r="CU409" s="11"/>
      <c r="CV409" s="11"/>
      <c r="CW409" s="11"/>
      <c r="CX409" s="11"/>
      <c r="CY409" s="11"/>
      <c r="CZ409" s="11"/>
      <c r="DA409" s="11"/>
      <c r="DB409" s="11"/>
      <c r="DC409" s="11"/>
      <c r="DD409" s="11"/>
      <c r="DE409" s="11"/>
      <c r="DF409" s="11"/>
      <c r="DG409" s="11"/>
      <c r="DH409" s="11"/>
      <c r="DI409" s="11"/>
      <c r="DJ409" s="11"/>
      <c r="DK409" s="11"/>
      <c r="DL409" s="274"/>
      <c r="DM409" s="274"/>
      <c r="DN409" s="274"/>
      <c r="DO409" s="274"/>
      <c r="DP409" s="274"/>
      <c r="DQ409" s="274"/>
      <c r="DR409" s="274"/>
      <c r="DS409" s="274"/>
      <c r="DT409" s="274"/>
      <c r="DU409" s="274"/>
      <c r="DV409" s="274"/>
      <c r="DW409" s="274"/>
      <c r="DX409" s="274"/>
      <c r="DY409" s="274"/>
      <c r="DZ409" s="274"/>
      <c r="EA409" s="274"/>
      <c r="EB409" s="274"/>
      <c r="EC409" s="274"/>
      <c r="ED409" s="39">
        <f t="shared" si="127"/>
        <v>1207314.5</v>
      </c>
      <c r="EE409" s="30">
        <f t="shared" si="128"/>
        <v>1</v>
      </c>
      <c r="EF409" s="39">
        <f t="shared" si="129"/>
        <v>1207314.5</v>
      </c>
    </row>
    <row r="410" spans="1:136" x14ac:dyDescent="0.25">
      <c r="A410" s="25" t="e">
        <f>#REF!</f>
        <v>#REF!</v>
      </c>
      <c r="B410" s="50" t="e">
        <f>#REF!</f>
        <v>#REF!</v>
      </c>
      <c r="C410" s="5" t="e">
        <f>#REF!</f>
        <v>#REF!</v>
      </c>
      <c r="D410" s="5" t="e">
        <f>#REF!</f>
        <v>#REF!</v>
      </c>
      <c r="E410" s="252">
        <v>1</v>
      </c>
      <c r="F410" s="249">
        <v>0</v>
      </c>
      <c r="G410" s="249">
        <v>0</v>
      </c>
      <c r="H410" s="249">
        <v>116600.16666666667</v>
      </c>
      <c r="I410" s="249">
        <v>116501</v>
      </c>
      <c r="J410" s="249">
        <v>238000</v>
      </c>
      <c r="K410" s="249">
        <v>236810</v>
      </c>
      <c r="L410" s="274">
        <f>AVERAGE(H410,J410)</f>
        <v>177300.08333333334</v>
      </c>
      <c r="M410" s="274">
        <f>AVERAGE(I410,K410)*E1</f>
        <v>181955.16500000001</v>
      </c>
      <c r="N410" s="255"/>
      <c r="O410" s="135"/>
      <c r="P410" s="135"/>
      <c r="Q410" s="131"/>
      <c r="R410" s="131"/>
      <c r="S410" s="11"/>
      <c r="T410" s="274"/>
      <c r="U410" s="274"/>
      <c r="V410" s="274"/>
      <c r="W410" s="39"/>
      <c r="X410" s="11"/>
      <c r="Y410" s="11"/>
      <c r="Z410" s="274"/>
      <c r="AA410" s="274"/>
      <c r="AB410" s="274"/>
      <c r="AC410" s="52"/>
      <c r="AD410" s="22"/>
      <c r="AE410" s="39"/>
      <c r="AF410" s="274"/>
      <c r="AG410" s="274"/>
      <c r="AH410" s="113"/>
      <c r="AI410" s="4"/>
      <c r="AJ410" s="39"/>
      <c r="AK410" s="39"/>
      <c r="AL410" s="118"/>
      <c r="AM410" s="152"/>
      <c r="AN410" s="181"/>
      <c r="AO410" s="131"/>
      <c r="AP410" s="131"/>
      <c r="AQ410" s="39"/>
      <c r="AR410" s="274"/>
      <c r="AS410" s="274"/>
      <c r="AT410" s="274"/>
      <c r="AU410" s="39"/>
      <c r="AV410" s="39"/>
      <c r="AW410" s="39"/>
      <c r="AX410" s="274"/>
      <c r="AY410" s="274"/>
      <c r="AZ410" s="274"/>
      <c r="BA410" s="39"/>
      <c r="BB410" s="62"/>
      <c r="BC410" s="39"/>
      <c r="BD410" s="274"/>
      <c r="BE410" s="274"/>
      <c r="BF410" s="274"/>
      <c r="BG410" s="39"/>
      <c r="BH410" s="39"/>
      <c r="BI410" s="39"/>
      <c r="BJ410" s="274"/>
      <c r="BK410" s="274"/>
      <c r="BL410" s="274"/>
      <c r="BM410" s="213"/>
      <c r="BN410" s="213"/>
      <c r="BO410" s="39"/>
      <c r="BP410" s="274">
        <v>165000</v>
      </c>
      <c r="BQ410" s="274">
        <f>+BP410*19%</f>
        <v>31350</v>
      </c>
      <c r="BR410" s="274">
        <f>+BQ410+BP410</f>
        <v>196350</v>
      </c>
      <c r="BS410" s="39"/>
      <c r="BT410" s="39"/>
      <c r="BU410" s="39"/>
      <c r="BV410" s="212"/>
      <c r="BW410" s="221"/>
      <c r="BX410" s="273"/>
      <c r="BY410" s="213"/>
      <c r="BZ410" s="213"/>
      <c r="CA410" s="213"/>
      <c r="CB410" s="275"/>
      <c r="CC410" s="274"/>
      <c r="CD410" s="274"/>
      <c r="CE410" s="39"/>
      <c r="CF410" s="39"/>
      <c r="CG410" s="39"/>
      <c r="CH410" s="274"/>
      <c r="CI410" s="274"/>
      <c r="CJ410" s="274"/>
      <c r="CK410" s="39"/>
      <c r="CL410" s="39"/>
      <c r="CM410" s="39"/>
      <c r="CN410" s="39"/>
      <c r="CO410" s="39"/>
      <c r="CP410" s="11"/>
      <c r="CQ410" s="11"/>
      <c r="CR410" s="11"/>
      <c r="CS410" s="11"/>
      <c r="CT410" s="11"/>
      <c r="CU410" s="11"/>
      <c r="CV410" s="11"/>
      <c r="CW410" s="11"/>
      <c r="CX410" s="11"/>
      <c r="CY410" s="11"/>
      <c r="CZ410" s="11"/>
      <c r="DA410" s="11"/>
      <c r="DB410" s="11"/>
      <c r="DC410" s="11"/>
      <c r="DD410" s="11"/>
      <c r="DE410" s="11"/>
      <c r="DF410" s="11"/>
      <c r="DG410" s="11"/>
      <c r="DH410" s="11"/>
      <c r="DI410" s="11"/>
      <c r="DJ410" s="11"/>
      <c r="DK410" s="11"/>
      <c r="DL410" s="274"/>
      <c r="DM410" s="274"/>
      <c r="DN410" s="274"/>
      <c r="DO410" s="274"/>
      <c r="DP410" s="274"/>
      <c r="DQ410" s="274"/>
      <c r="DR410" s="274"/>
      <c r="DS410" s="274"/>
      <c r="DT410" s="274"/>
      <c r="DU410" s="274"/>
      <c r="DV410" s="274"/>
      <c r="DW410" s="274"/>
      <c r="DX410" s="274"/>
      <c r="DY410" s="274"/>
      <c r="DZ410" s="274"/>
      <c r="EA410" s="274"/>
      <c r="EB410" s="274"/>
      <c r="EC410" s="274"/>
      <c r="ED410" s="39">
        <f t="shared" si="127"/>
        <v>378305.16500000004</v>
      </c>
      <c r="EE410" s="30">
        <f t="shared" si="128"/>
        <v>2</v>
      </c>
      <c r="EF410" s="39">
        <f t="shared" si="129"/>
        <v>189152.58250000002</v>
      </c>
    </row>
    <row r="411" spans="1:136" x14ac:dyDescent="0.25">
      <c r="A411" s="25" t="e">
        <f>#REF!</f>
        <v>#REF!</v>
      </c>
      <c r="B411" s="50" t="e">
        <f>#REF!</f>
        <v>#REF!</v>
      </c>
      <c r="C411" s="5" t="e">
        <f>#REF!</f>
        <v>#REF!</v>
      </c>
      <c r="D411" s="5" t="e">
        <f>#REF!</f>
        <v>#REF!</v>
      </c>
      <c r="E411" s="252">
        <v>1</v>
      </c>
      <c r="F411" s="249">
        <v>86513</v>
      </c>
      <c r="G411" s="249">
        <v>0</v>
      </c>
      <c r="H411" s="249">
        <v>36370.366666666669</v>
      </c>
      <c r="I411" s="249">
        <v>0</v>
      </c>
      <c r="J411" s="249">
        <v>63466.666666666672</v>
      </c>
      <c r="K411" s="249">
        <v>59381</v>
      </c>
      <c r="L411" s="274">
        <f>AVERAGE(F411,H411,J411)</f>
        <v>62116.677777777775</v>
      </c>
      <c r="M411" s="274">
        <f>K411*E1</f>
        <v>61162.43</v>
      </c>
      <c r="N411" s="256"/>
      <c r="O411" s="135"/>
      <c r="P411" s="135"/>
      <c r="Q411" s="131"/>
      <c r="R411" s="131"/>
      <c r="S411" s="11"/>
      <c r="T411" s="274"/>
      <c r="U411" s="274"/>
      <c r="V411" s="274"/>
      <c r="W411" s="39"/>
      <c r="X411" s="11"/>
      <c r="Y411" s="11"/>
      <c r="Z411" s="274"/>
      <c r="AA411" s="274"/>
      <c r="AB411" s="274"/>
      <c r="AC411" s="4"/>
      <c r="AD411" s="22"/>
      <c r="AE411" s="39"/>
      <c r="AF411" s="274"/>
      <c r="AG411" s="274"/>
      <c r="AH411" s="121"/>
      <c r="AI411" s="22"/>
      <c r="AJ411" s="39"/>
      <c r="AK411" s="39"/>
      <c r="AL411" s="118"/>
      <c r="AM411" s="152"/>
      <c r="AN411" s="181"/>
      <c r="AO411" s="131"/>
      <c r="AP411" s="131"/>
      <c r="AQ411" s="39"/>
      <c r="AR411" s="274"/>
      <c r="AS411" s="274"/>
      <c r="AT411" s="274"/>
      <c r="AU411" s="39"/>
      <c r="AV411" s="39"/>
      <c r="AW411" s="39"/>
      <c r="AX411" s="275"/>
      <c r="AY411" s="274"/>
      <c r="AZ411" s="274"/>
      <c r="BA411" s="39"/>
      <c r="BB411" s="62"/>
      <c r="BC411" s="39"/>
      <c r="BD411" s="274"/>
      <c r="BE411" s="274"/>
      <c r="BF411" s="274"/>
      <c r="BG411" s="39"/>
      <c r="BH411" s="39"/>
      <c r="BI411" s="39"/>
      <c r="BJ411" s="274"/>
      <c r="BK411" s="274"/>
      <c r="BL411" s="274"/>
      <c r="BM411" s="213"/>
      <c r="BN411" s="213"/>
      <c r="BO411" s="39"/>
      <c r="BP411" s="274"/>
      <c r="BQ411" s="274"/>
      <c r="BR411" s="274"/>
      <c r="BS411" s="39"/>
      <c r="BT411" s="39"/>
      <c r="BU411" s="39"/>
      <c r="BV411" s="212"/>
      <c r="BW411" s="221"/>
      <c r="BX411" s="273"/>
      <c r="BY411" s="213"/>
      <c r="BZ411" s="213"/>
      <c r="CA411" s="213"/>
      <c r="CB411" s="274"/>
      <c r="CC411" s="274"/>
      <c r="CD411" s="274"/>
      <c r="CE411" s="39"/>
      <c r="CF411" s="39"/>
      <c r="CG411" s="39"/>
      <c r="CH411" s="275"/>
      <c r="CI411" s="275"/>
      <c r="CJ411" s="275"/>
      <c r="CK411" s="39"/>
      <c r="CL411" s="39"/>
      <c r="CM411" s="39"/>
      <c r="CN411" s="39"/>
      <c r="CO411" s="39"/>
      <c r="CP411" s="11"/>
      <c r="CQ411" s="11"/>
      <c r="CR411" s="11"/>
      <c r="CS411" s="11"/>
      <c r="CT411" s="11"/>
      <c r="CU411" s="11"/>
      <c r="CV411" s="11"/>
      <c r="CW411" s="11"/>
      <c r="CX411" s="11"/>
      <c r="CY411" s="11"/>
      <c r="CZ411" s="11"/>
      <c r="DA411" s="11"/>
      <c r="DB411" s="11"/>
      <c r="DC411" s="11"/>
      <c r="DD411" s="11"/>
      <c r="DE411" s="11"/>
      <c r="DF411" s="11"/>
      <c r="DG411" s="11"/>
      <c r="DH411" s="11"/>
      <c r="DI411" s="11"/>
      <c r="DJ411" s="11"/>
      <c r="DK411" s="11"/>
      <c r="DL411" s="274"/>
      <c r="DM411" s="274"/>
      <c r="DN411" s="274"/>
      <c r="DO411" s="274"/>
      <c r="DP411" s="274"/>
      <c r="DQ411" s="274"/>
      <c r="DR411" s="274"/>
      <c r="DS411" s="274"/>
      <c r="DT411" s="274"/>
      <c r="DU411" s="274"/>
      <c r="DV411" s="274"/>
      <c r="DW411" s="274"/>
      <c r="DX411" s="274"/>
      <c r="DY411" s="274"/>
      <c r="DZ411" s="274"/>
      <c r="EA411" s="274"/>
      <c r="EB411" s="274"/>
      <c r="EC411" s="274"/>
      <c r="ED411" s="39">
        <f t="shared" si="127"/>
        <v>61162.43</v>
      </c>
      <c r="EE411" s="30">
        <f t="shared" si="128"/>
        <v>1</v>
      </c>
      <c r="EF411" s="39">
        <f t="shared" si="129"/>
        <v>61162.43</v>
      </c>
    </row>
    <row r="412" spans="1:136" x14ac:dyDescent="0.25">
      <c r="A412" s="25" t="e">
        <f>#REF!</f>
        <v>#REF!</v>
      </c>
      <c r="B412" s="50" t="e">
        <f>#REF!</f>
        <v>#REF!</v>
      </c>
      <c r="C412" s="5" t="e">
        <f>#REF!</f>
        <v>#REF!</v>
      </c>
      <c r="D412" s="5" t="e">
        <f>#REF!</f>
        <v>#REF!</v>
      </c>
      <c r="E412" s="252">
        <v>1</v>
      </c>
      <c r="F412" s="249">
        <v>59500</v>
      </c>
      <c r="G412" s="249">
        <v>7021</v>
      </c>
      <c r="H412" s="249">
        <v>10829.705075</v>
      </c>
      <c r="I412" s="249">
        <v>7378</v>
      </c>
      <c r="J412" s="249">
        <v>16208.461111111113</v>
      </c>
      <c r="K412" s="249">
        <v>16184</v>
      </c>
      <c r="L412" s="274">
        <f>AVERAGE(F412,H412,J412)</f>
        <v>28846.055395370375</v>
      </c>
      <c r="M412" s="274">
        <f>AVERAGE(G412,I412,K412)*E1</f>
        <v>10500.163333333334</v>
      </c>
      <c r="N412" s="255">
        <v>3000</v>
      </c>
      <c r="O412" s="135">
        <f>+N412*0.19</f>
        <v>570</v>
      </c>
      <c r="P412" s="135">
        <f>+N412+O412</f>
        <v>3570</v>
      </c>
      <c r="Q412" s="131"/>
      <c r="R412" s="131"/>
      <c r="S412" s="11"/>
      <c r="T412" s="274">
        <v>7260.0000000000009</v>
      </c>
      <c r="U412" s="274">
        <f>+T412*0.19</f>
        <v>1379.4</v>
      </c>
      <c r="V412" s="274">
        <f>+T412+U412</f>
        <v>8639.4000000000015</v>
      </c>
      <c r="W412" s="39" t="s">
        <v>4857</v>
      </c>
      <c r="X412" s="11" t="s">
        <v>2927</v>
      </c>
      <c r="Y412" s="11"/>
      <c r="Z412" s="274"/>
      <c r="AA412" s="274"/>
      <c r="AB412" s="274"/>
      <c r="AC412" s="52"/>
      <c r="AD412" s="22"/>
      <c r="AE412" s="39"/>
      <c r="AF412" s="274"/>
      <c r="AG412" s="274"/>
      <c r="AH412" s="113"/>
      <c r="AI412" s="4"/>
      <c r="AJ412" s="39"/>
      <c r="AK412" s="39"/>
      <c r="AL412" s="118"/>
      <c r="AM412" s="152"/>
      <c r="AN412" s="181"/>
      <c r="AO412" s="131"/>
      <c r="AP412" s="131"/>
      <c r="AQ412" s="39"/>
      <c r="AR412" s="274"/>
      <c r="AS412" s="274"/>
      <c r="AT412" s="274"/>
      <c r="AU412" s="39"/>
      <c r="AV412" s="39"/>
      <c r="AW412" s="39"/>
      <c r="AX412" s="274"/>
      <c r="AY412" s="274"/>
      <c r="AZ412" s="274"/>
      <c r="BA412" s="39"/>
      <c r="BB412" s="62"/>
      <c r="BC412" s="39"/>
      <c r="BD412" s="274"/>
      <c r="BE412" s="274"/>
      <c r="BF412" s="274"/>
      <c r="BG412" s="39"/>
      <c r="BH412" s="39"/>
      <c r="BI412" s="39"/>
      <c r="BJ412" s="274"/>
      <c r="BK412" s="274"/>
      <c r="BL412" s="274"/>
      <c r="BM412" s="213"/>
      <c r="BN412" s="213"/>
      <c r="BO412" s="39"/>
      <c r="BP412" s="274">
        <v>26000</v>
      </c>
      <c r="BQ412" s="274">
        <f>+BP412*19%</f>
        <v>4940</v>
      </c>
      <c r="BR412" s="274">
        <f>+BQ412+BP412</f>
        <v>30940</v>
      </c>
      <c r="BS412" s="39"/>
      <c r="BT412" s="39"/>
      <c r="BU412" s="39"/>
      <c r="BV412" s="212"/>
      <c r="BW412" s="221"/>
      <c r="BX412" s="273"/>
      <c r="BY412" s="213"/>
      <c r="BZ412" s="213"/>
      <c r="CA412" s="213"/>
      <c r="CB412" s="274"/>
      <c r="CC412" s="274"/>
      <c r="CD412" s="274"/>
      <c r="CE412" s="39"/>
      <c r="CF412" s="39"/>
      <c r="CG412" s="39"/>
      <c r="CH412" s="274"/>
      <c r="CI412" s="274"/>
      <c r="CJ412" s="274"/>
      <c r="CK412" s="39"/>
      <c r="CL412" s="39"/>
      <c r="CM412" s="39"/>
      <c r="CN412" s="39"/>
      <c r="CO412" s="39"/>
      <c r="CP412" s="11"/>
      <c r="CQ412" s="11"/>
      <c r="CR412" s="11"/>
      <c r="CS412" s="11"/>
      <c r="CT412" s="11"/>
      <c r="CU412" s="11"/>
      <c r="CV412" s="11"/>
      <c r="CW412" s="11"/>
      <c r="CX412" s="11"/>
      <c r="CY412" s="11"/>
      <c r="CZ412" s="11"/>
      <c r="DA412" s="11"/>
      <c r="DB412" s="11"/>
      <c r="DC412" s="11"/>
      <c r="DD412" s="11"/>
      <c r="DE412" s="11"/>
      <c r="DF412" s="11"/>
      <c r="DG412" s="11"/>
      <c r="DH412" s="11"/>
      <c r="DI412" s="11"/>
      <c r="DJ412" s="11"/>
      <c r="DK412" s="11"/>
      <c r="DL412" s="274"/>
      <c r="DM412" s="274"/>
      <c r="DN412" s="274"/>
      <c r="DO412" s="274"/>
      <c r="DP412" s="274"/>
      <c r="DQ412" s="274"/>
      <c r="DR412" s="274"/>
      <c r="DS412" s="274"/>
      <c r="DT412" s="274"/>
      <c r="DU412" s="274"/>
      <c r="DV412" s="274"/>
      <c r="DW412" s="274"/>
      <c r="DX412" s="274"/>
      <c r="DY412" s="274"/>
      <c r="DZ412" s="274"/>
      <c r="EA412" s="274"/>
      <c r="EB412" s="274"/>
      <c r="EC412" s="274"/>
      <c r="ED412" s="39">
        <f t="shared" si="127"/>
        <v>53649.563333333339</v>
      </c>
      <c r="EE412" s="30">
        <f t="shared" si="128"/>
        <v>4</v>
      </c>
      <c r="EF412" s="39">
        <f t="shared" si="129"/>
        <v>13412.390833333335</v>
      </c>
    </row>
    <row r="413" spans="1:136" x14ac:dyDescent="0.25">
      <c r="A413" s="25" t="e">
        <f>#REF!</f>
        <v>#REF!</v>
      </c>
      <c r="B413" s="50" t="e">
        <f>#REF!</f>
        <v>#REF!</v>
      </c>
      <c r="C413" s="5" t="e">
        <f>#REF!</f>
        <v>#REF!</v>
      </c>
      <c r="D413" s="5" t="e">
        <f>#REF!</f>
        <v>#REF!</v>
      </c>
      <c r="E413" s="252">
        <v>1</v>
      </c>
      <c r="F413" s="249">
        <v>0</v>
      </c>
      <c r="G413" s="249">
        <v>0</v>
      </c>
      <c r="H413" s="249">
        <v>0</v>
      </c>
      <c r="I413" s="249">
        <v>0</v>
      </c>
      <c r="J413" s="249">
        <v>0</v>
      </c>
      <c r="K413" s="249">
        <v>0</v>
      </c>
      <c r="L413" s="274"/>
      <c r="M413" s="274"/>
      <c r="N413" s="255">
        <v>200000</v>
      </c>
      <c r="O413" s="135">
        <f>+N413*0.19</f>
        <v>38000</v>
      </c>
      <c r="P413" s="135">
        <f>+N413+O413</f>
        <v>238000</v>
      </c>
      <c r="Q413" s="131"/>
      <c r="R413" s="131"/>
      <c r="S413" s="11"/>
      <c r="T413" s="274"/>
      <c r="U413" s="274"/>
      <c r="V413" s="274"/>
      <c r="W413" s="39"/>
      <c r="X413" s="11"/>
      <c r="Y413" s="11"/>
      <c r="Z413" s="274"/>
      <c r="AA413" s="274"/>
      <c r="AB413" s="274"/>
      <c r="AC413" s="80"/>
      <c r="AD413" s="5"/>
      <c r="AE413" s="39"/>
      <c r="AF413" s="274"/>
      <c r="AG413" s="274"/>
      <c r="AH413" s="176"/>
      <c r="AI413" s="5"/>
      <c r="AJ413" s="39"/>
      <c r="AK413" s="39"/>
      <c r="AL413" s="118"/>
      <c r="AM413" s="152"/>
      <c r="AN413" s="181"/>
      <c r="AO413" s="131"/>
      <c r="AP413" s="131"/>
      <c r="AQ413" s="39"/>
      <c r="AR413" s="274"/>
      <c r="AS413" s="274"/>
      <c r="AT413" s="274"/>
      <c r="AU413" s="39"/>
      <c r="AV413" s="39"/>
      <c r="AW413" s="39"/>
      <c r="AX413" s="274"/>
      <c r="AY413" s="274"/>
      <c r="AZ413" s="274"/>
      <c r="BA413" s="39"/>
      <c r="BB413" s="62"/>
      <c r="BC413" s="39"/>
      <c r="BD413" s="274"/>
      <c r="BE413" s="274"/>
      <c r="BF413" s="274"/>
      <c r="BG413" s="39"/>
      <c r="BH413" s="39"/>
      <c r="BI413" s="39"/>
      <c r="BJ413" s="274">
        <f>1650000/5</f>
        <v>330000</v>
      </c>
      <c r="BK413" s="274">
        <f>+BJ413*0.19</f>
        <v>62700</v>
      </c>
      <c r="BL413" s="274">
        <f>+BJ413+BK413</f>
        <v>392700</v>
      </c>
      <c r="BM413" s="213" t="s">
        <v>4754</v>
      </c>
      <c r="BN413" s="213" t="s">
        <v>3336</v>
      </c>
      <c r="BO413" s="39"/>
      <c r="BP413" s="274">
        <v>165000</v>
      </c>
      <c r="BQ413" s="274">
        <f>+BP413*19%</f>
        <v>31350</v>
      </c>
      <c r="BR413" s="274">
        <f>+BQ413+BP413</f>
        <v>196350</v>
      </c>
      <c r="BS413" s="39"/>
      <c r="BT413" s="39"/>
      <c r="BU413" s="39"/>
      <c r="BV413" s="219">
        <f>1853814.6/5</f>
        <v>370762.92000000004</v>
      </c>
      <c r="BW413" s="219">
        <f>+BV413*0.19</f>
        <v>70444.954800000007</v>
      </c>
      <c r="BX413" s="273">
        <f>+BV413+BW413</f>
        <v>441207.87480000005</v>
      </c>
      <c r="BY413" s="213" t="s">
        <v>4754</v>
      </c>
      <c r="BZ413" s="213" t="s">
        <v>3336</v>
      </c>
      <c r="CA413" s="213"/>
      <c r="CB413" s="274">
        <v>701106</v>
      </c>
      <c r="CC413" s="274">
        <f>+CB413*0.19</f>
        <v>133210.14000000001</v>
      </c>
      <c r="CD413" s="274">
        <f>+CB413+CC413</f>
        <v>834316.14</v>
      </c>
      <c r="CE413" s="39"/>
      <c r="CF413" s="39"/>
      <c r="CG413" s="39"/>
      <c r="CH413" s="274">
        <v>436000</v>
      </c>
      <c r="CI413" s="274">
        <f>CH413*19%</f>
        <v>82840</v>
      </c>
      <c r="CJ413" s="274">
        <f>CH413+CI413</f>
        <v>518840</v>
      </c>
      <c r="CK413" s="39"/>
      <c r="CL413" s="39"/>
      <c r="CM413" s="39"/>
      <c r="CN413" s="39"/>
      <c r="CO413" s="39"/>
      <c r="CP413" s="11"/>
      <c r="CQ413" s="11"/>
      <c r="CR413" s="11"/>
      <c r="CS413" s="11"/>
      <c r="CT413" s="11"/>
      <c r="CU413" s="11"/>
      <c r="CV413" s="11"/>
      <c r="CW413" s="11"/>
      <c r="CX413" s="11"/>
      <c r="CY413" s="11"/>
      <c r="CZ413" s="11"/>
      <c r="DA413" s="11"/>
      <c r="DB413" s="11"/>
      <c r="DC413" s="11"/>
      <c r="DD413" s="11"/>
      <c r="DE413" s="11"/>
      <c r="DF413" s="11"/>
      <c r="DG413" s="11"/>
      <c r="DH413" s="11"/>
      <c r="DI413" s="11"/>
      <c r="DJ413" s="11"/>
      <c r="DK413" s="11"/>
      <c r="DL413" s="274"/>
      <c r="DM413" s="274"/>
      <c r="DN413" s="274"/>
      <c r="DO413" s="274"/>
      <c r="DP413" s="274"/>
      <c r="DQ413" s="274"/>
      <c r="DR413" s="274"/>
      <c r="DS413" s="274"/>
      <c r="DT413" s="274"/>
      <c r="DU413" s="274"/>
      <c r="DV413" s="274"/>
      <c r="DW413" s="274"/>
      <c r="DX413" s="274"/>
      <c r="DY413" s="274"/>
      <c r="DZ413" s="274"/>
      <c r="EA413" s="274"/>
      <c r="EB413" s="274"/>
      <c r="EC413" s="274"/>
      <c r="ED413" s="39">
        <f t="shared" si="127"/>
        <v>2621414.0148</v>
      </c>
      <c r="EE413" s="30">
        <f t="shared" si="128"/>
        <v>6</v>
      </c>
      <c r="EF413" s="39">
        <f t="shared" si="129"/>
        <v>436902.3358</v>
      </c>
    </row>
    <row r="414" spans="1:136" x14ac:dyDescent="0.25">
      <c r="A414" s="25" t="e">
        <f>#REF!</f>
        <v>#REF!</v>
      </c>
      <c r="B414" s="50" t="e">
        <f>#REF!</f>
        <v>#REF!</v>
      </c>
      <c r="C414" s="5" t="e">
        <f>#REF!</f>
        <v>#REF!</v>
      </c>
      <c r="D414" s="5" t="e">
        <f>#REF!</f>
        <v>#REF!</v>
      </c>
      <c r="E414" s="252">
        <v>1</v>
      </c>
      <c r="F414" s="249">
        <v>0</v>
      </c>
      <c r="G414" s="249">
        <v>0</v>
      </c>
      <c r="H414" s="249">
        <v>0</v>
      </c>
      <c r="I414" s="249">
        <v>0</v>
      </c>
      <c r="J414" s="249">
        <v>672044.27500000002</v>
      </c>
      <c r="K414" s="249">
        <v>0</v>
      </c>
      <c r="L414" s="274">
        <f>J414</f>
        <v>672044.27500000002</v>
      </c>
      <c r="M414" s="274"/>
      <c r="N414" s="255"/>
      <c r="O414" s="135"/>
      <c r="P414" s="135"/>
      <c r="Q414" s="131"/>
      <c r="R414" s="131"/>
      <c r="S414" s="11"/>
      <c r="T414" s="274"/>
      <c r="U414" s="274"/>
      <c r="V414" s="274"/>
      <c r="W414" s="39"/>
      <c r="X414" s="11"/>
      <c r="Y414" s="11"/>
      <c r="Z414" s="274"/>
      <c r="AA414" s="274"/>
      <c r="AB414" s="274"/>
      <c r="AC414" s="52"/>
      <c r="AD414" s="22"/>
      <c r="AE414" s="39"/>
      <c r="AF414" s="274"/>
      <c r="AG414" s="274"/>
      <c r="AH414" s="171"/>
      <c r="AI414" s="4"/>
      <c r="AJ414" s="39"/>
      <c r="AK414" s="39"/>
      <c r="AL414" s="118"/>
      <c r="AM414" s="152"/>
      <c r="AN414" s="181"/>
      <c r="AO414" s="131"/>
      <c r="AP414" s="131"/>
      <c r="AQ414" s="39"/>
      <c r="AR414" s="274"/>
      <c r="AS414" s="274"/>
      <c r="AT414" s="274"/>
      <c r="AU414" s="39"/>
      <c r="AV414" s="39"/>
      <c r="AW414" s="39"/>
      <c r="AX414" s="274"/>
      <c r="AY414" s="274"/>
      <c r="AZ414" s="274"/>
      <c r="BA414" s="39"/>
      <c r="BB414" s="62"/>
      <c r="BC414" s="39"/>
      <c r="BD414" s="274"/>
      <c r="BE414" s="274"/>
      <c r="BF414" s="274"/>
      <c r="BG414" s="39"/>
      <c r="BH414" s="39"/>
      <c r="BI414" s="39"/>
      <c r="BJ414" s="274">
        <v>879100</v>
      </c>
      <c r="BK414" s="274">
        <f>+BJ414*0.19</f>
        <v>167029</v>
      </c>
      <c r="BL414" s="274">
        <f>+BJ414+BK414</f>
        <v>1046129</v>
      </c>
      <c r="BM414" s="213" t="s">
        <v>4738</v>
      </c>
      <c r="BN414" s="213" t="s">
        <v>3336</v>
      </c>
      <c r="BO414" s="39"/>
      <c r="BP414" s="274"/>
      <c r="BQ414" s="274"/>
      <c r="BR414" s="274"/>
      <c r="BS414" s="39"/>
      <c r="BT414" s="39"/>
      <c r="BU414" s="39"/>
      <c r="BV414" s="219">
        <v>978100.72560000024</v>
      </c>
      <c r="BW414" s="219">
        <f>+BV414*0.19</f>
        <v>185839.13786400005</v>
      </c>
      <c r="BX414" s="273">
        <f>+BV414+BW414</f>
        <v>1163939.8634640002</v>
      </c>
      <c r="BY414" s="213" t="s">
        <v>4738</v>
      </c>
      <c r="BZ414" s="213" t="s">
        <v>3336</v>
      </c>
      <c r="CA414" s="213"/>
      <c r="CB414" s="274"/>
      <c r="CC414" s="274"/>
      <c r="CD414" s="274"/>
      <c r="CE414" s="39"/>
      <c r="CF414" s="39"/>
      <c r="CG414" s="39"/>
      <c r="CH414" s="274">
        <v>317000</v>
      </c>
      <c r="CI414" s="274">
        <f>CH414*19%</f>
        <v>60230</v>
      </c>
      <c r="CJ414" s="274">
        <f>CH414+CI414</f>
        <v>377230</v>
      </c>
      <c r="CK414" s="39"/>
      <c r="CL414" s="39"/>
      <c r="CM414" s="39"/>
      <c r="CN414" s="39"/>
      <c r="CO414" s="39"/>
      <c r="CP414" s="11"/>
      <c r="CQ414" s="11"/>
      <c r="CR414" s="11"/>
      <c r="CS414" s="11"/>
      <c r="CT414" s="11"/>
      <c r="CU414" s="11"/>
      <c r="CV414" s="11"/>
      <c r="CW414" s="11"/>
      <c r="CX414" s="11"/>
      <c r="CY414" s="11"/>
      <c r="CZ414" s="11"/>
      <c r="DA414" s="11"/>
      <c r="DB414" s="11"/>
      <c r="DC414" s="11"/>
      <c r="DD414" s="11"/>
      <c r="DE414" s="11"/>
      <c r="DF414" s="11"/>
      <c r="DG414" s="11"/>
      <c r="DH414" s="11"/>
      <c r="DI414" s="11"/>
      <c r="DJ414" s="11"/>
      <c r="DK414" s="11"/>
      <c r="DL414" s="274"/>
      <c r="DM414" s="274"/>
      <c r="DN414" s="274"/>
      <c r="DO414" s="274"/>
      <c r="DP414" s="274"/>
      <c r="DQ414" s="274"/>
      <c r="DR414" s="274"/>
      <c r="DS414" s="274"/>
      <c r="DT414" s="274"/>
      <c r="DU414" s="274"/>
      <c r="DV414" s="274"/>
      <c r="DW414" s="274"/>
      <c r="DX414" s="274"/>
      <c r="DY414" s="274"/>
      <c r="DZ414" s="274"/>
      <c r="EA414" s="274"/>
      <c r="EB414" s="274"/>
      <c r="EC414" s="274"/>
      <c r="ED414" s="39">
        <f t="shared" si="127"/>
        <v>2587298.8634640002</v>
      </c>
      <c r="EE414" s="30">
        <f t="shared" si="128"/>
        <v>3</v>
      </c>
      <c r="EF414" s="39">
        <f t="shared" si="129"/>
        <v>862432.95448800002</v>
      </c>
    </row>
    <row r="415" spans="1:136" x14ac:dyDescent="0.25">
      <c r="A415" s="25" t="e">
        <f>#REF!</f>
        <v>#REF!</v>
      </c>
      <c r="B415" s="50" t="e">
        <f>#REF!</f>
        <v>#REF!</v>
      </c>
      <c r="C415" s="5" t="e">
        <f>#REF!</f>
        <v>#REF!</v>
      </c>
      <c r="D415" s="5" t="e">
        <f>#REF!</f>
        <v>#REF!</v>
      </c>
      <c r="E415" s="252">
        <v>1</v>
      </c>
      <c r="F415" s="249">
        <v>0</v>
      </c>
      <c r="G415" s="249">
        <v>0</v>
      </c>
      <c r="H415" s="249">
        <v>0</v>
      </c>
      <c r="I415" s="249">
        <v>0</v>
      </c>
      <c r="J415" s="249">
        <v>0</v>
      </c>
      <c r="K415" s="249">
        <v>0</v>
      </c>
      <c r="L415" s="274"/>
      <c r="M415" s="274"/>
      <c r="N415" s="255"/>
      <c r="O415" s="135"/>
      <c r="P415" s="135"/>
      <c r="Q415" s="131"/>
      <c r="R415" s="131"/>
      <c r="S415" s="11"/>
      <c r="T415" s="274"/>
      <c r="U415" s="274"/>
      <c r="V415" s="274"/>
      <c r="W415" s="39"/>
      <c r="X415" s="11"/>
      <c r="Y415" s="11"/>
      <c r="Z415" s="274"/>
      <c r="AA415" s="274"/>
      <c r="AB415" s="274"/>
      <c r="AC415" s="52"/>
      <c r="AD415" s="22"/>
      <c r="AE415" s="39"/>
      <c r="AF415" s="274"/>
      <c r="AG415" s="274"/>
      <c r="AH415" s="113"/>
      <c r="AI415" s="4"/>
      <c r="AJ415" s="39"/>
      <c r="AK415" s="39"/>
      <c r="AL415" s="118"/>
      <c r="AM415" s="152"/>
      <c r="AN415" s="181"/>
      <c r="AO415" s="131"/>
      <c r="AP415" s="131"/>
      <c r="AQ415" s="39"/>
      <c r="AR415" s="274"/>
      <c r="AS415" s="274"/>
      <c r="AT415" s="274"/>
      <c r="AU415" s="39"/>
      <c r="AV415" s="39"/>
      <c r="AW415" s="39"/>
      <c r="AX415" s="274"/>
      <c r="AY415" s="274"/>
      <c r="AZ415" s="274"/>
      <c r="BA415" s="39"/>
      <c r="BB415" s="62"/>
      <c r="BC415" s="39"/>
      <c r="BD415" s="274"/>
      <c r="BE415" s="274"/>
      <c r="BF415" s="274"/>
      <c r="BG415" s="39"/>
      <c r="BH415" s="39"/>
      <c r="BI415" s="39"/>
      <c r="BJ415" s="274"/>
      <c r="BK415" s="274"/>
      <c r="BL415" s="274"/>
      <c r="BM415" s="213"/>
      <c r="BN415" s="213"/>
      <c r="BO415" s="39"/>
      <c r="BP415" s="274"/>
      <c r="BQ415" s="274"/>
      <c r="BR415" s="274"/>
      <c r="BS415" s="39"/>
      <c r="BT415" s="39"/>
      <c r="BU415" s="39"/>
      <c r="BV415" s="212"/>
      <c r="BW415" s="221"/>
      <c r="BX415" s="273"/>
      <c r="BY415" s="213"/>
      <c r="BZ415" s="213"/>
      <c r="CA415" s="213"/>
      <c r="CB415" s="274">
        <v>1750567</v>
      </c>
      <c r="CC415" s="274">
        <f>+CB415*0.19</f>
        <v>332607.73</v>
      </c>
      <c r="CD415" s="274">
        <f>+CB415+CC415</f>
        <v>2083174.73</v>
      </c>
      <c r="CE415" s="39"/>
      <c r="CF415" s="39"/>
      <c r="CG415" s="39"/>
      <c r="CH415" s="274"/>
      <c r="CI415" s="274"/>
      <c r="CJ415" s="274"/>
      <c r="CK415" s="39"/>
      <c r="CL415" s="39"/>
      <c r="CM415" s="39"/>
      <c r="CN415" s="39"/>
      <c r="CO415" s="39"/>
      <c r="CP415" s="11"/>
      <c r="CQ415" s="11"/>
      <c r="CR415" s="11"/>
      <c r="CS415" s="11"/>
      <c r="CT415" s="11"/>
      <c r="CU415" s="11"/>
      <c r="CV415" s="11"/>
      <c r="CW415" s="11"/>
      <c r="CX415" s="11"/>
      <c r="CY415" s="11"/>
      <c r="CZ415" s="11"/>
      <c r="DA415" s="11"/>
      <c r="DB415" s="11"/>
      <c r="DC415" s="11"/>
      <c r="DD415" s="11"/>
      <c r="DE415" s="11"/>
      <c r="DF415" s="11"/>
      <c r="DG415" s="11"/>
      <c r="DH415" s="11"/>
      <c r="DI415" s="11"/>
      <c r="DJ415" s="11"/>
      <c r="DK415" s="11"/>
      <c r="DL415" s="274"/>
      <c r="DM415" s="274"/>
      <c r="DN415" s="274"/>
      <c r="DO415" s="274"/>
      <c r="DP415" s="274"/>
      <c r="DQ415" s="274"/>
      <c r="DR415" s="274"/>
      <c r="DS415" s="274"/>
      <c r="DT415" s="274"/>
      <c r="DU415" s="274"/>
      <c r="DV415" s="274"/>
      <c r="DW415" s="274"/>
      <c r="DX415" s="274"/>
      <c r="DY415" s="274"/>
      <c r="DZ415" s="274"/>
      <c r="EA415" s="274"/>
      <c r="EB415" s="274"/>
      <c r="EC415" s="274"/>
      <c r="ED415" s="39">
        <f t="shared" si="127"/>
        <v>2083174.73</v>
      </c>
      <c r="EE415" s="30">
        <f t="shared" si="128"/>
        <v>1</v>
      </c>
      <c r="EF415" s="39">
        <f t="shared" si="129"/>
        <v>2083174.73</v>
      </c>
    </row>
    <row r="416" spans="1:136" x14ac:dyDescent="0.25">
      <c r="A416" s="25" t="e">
        <f>#REF!</f>
        <v>#REF!</v>
      </c>
      <c r="B416" s="50" t="e">
        <f>#REF!</f>
        <v>#REF!</v>
      </c>
      <c r="C416" s="5" t="e">
        <f>#REF!</f>
        <v>#REF!</v>
      </c>
      <c r="D416" s="5" t="e">
        <f>#REF!</f>
        <v>#REF!</v>
      </c>
      <c r="E416" s="252">
        <v>1</v>
      </c>
      <c r="F416" s="249">
        <v>0</v>
      </c>
      <c r="G416" s="249">
        <v>0</v>
      </c>
      <c r="H416" s="249">
        <v>0</v>
      </c>
      <c r="I416" s="249">
        <v>0</v>
      </c>
      <c r="J416" s="249">
        <v>297500</v>
      </c>
      <c r="K416" s="249">
        <v>0</v>
      </c>
      <c r="L416" s="274">
        <f>J416</f>
        <v>297500</v>
      </c>
      <c r="M416" s="274"/>
      <c r="N416" s="255">
        <v>275000</v>
      </c>
      <c r="O416" s="135">
        <f>+N416*0.19</f>
        <v>52250</v>
      </c>
      <c r="P416" s="135">
        <f>+N416+O416</f>
        <v>327250</v>
      </c>
      <c r="Q416" s="131"/>
      <c r="R416" s="131"/>
      <c r="S416" s="11"/>
      <c r="T416" s="274"/>
      <c r="U416" s="274"/>
      <c r="V416" s="274"/>
      <c r="W416" s="39"/>
      <c r="X416" s="11"/>
      <c r="Y416" s="11"/>
      <c r="Z416" s="274"/>
      <c r="AA416" s="274"/>
      <c r="AB416" s="274"/>
      <c r="AC416" s="5"/>
      <c r="AD416" s="22"/>
      <c r="AE416" s="39"/>
      <c r="AF416" s="274"/>
      <c r="AG416" s="274"/>
      <c r="AH416" s="169"/>
      <c r="AI416" s="4"/>
      <c r="AJ416" s="39"/>
      <c r="AK416" s="39"/>
      <c r="AL416" s="118"/>
      <c r="AM416" s="152"/>
      <c r="AN416" s="181"/>
      <c r="AO416" s="131"/>
      <c r="AP416" s="131"/>
      <c r="AQ416" s="39"/>
      <c r="AR416" s="274"/>
      <c r="AS416" s="274"/>
      <c r="AT416" s="274"/>
      <c r="AU416" s="39"/>
      <c r="AV416" s="39"/>
      <c r="AW416" s="39"/>
      <c r="AX416" s="274"/>
      <c r="AY416" s="274"/>
      <c r="AZ416" s="274"/>
      <c r="BA416" s="39"/>
      <c r="BB416" s="62"/>
      <c r="BC416" s="39"/>
      <c r="BD416" s="274"/>
      <c r="BE416" s="274"/>
      <c r="BF416" s="274"/>
      <c r="BG416" s="39"/>
      <c r="BH416" s="39"/>
      <c r="BI416" s="39"/>
      <c r="BJ416" s="274">
        <v>2343200</v>
      </c>
      <c r="BK416" s="274">
        <f t="shared" ref="BK416:BK447" si="130">+BJ416*0.19</f>
        <v>445208</v>
      </c>
      <c r="BL416" s="274">
        <f t="shared" ref="BL416:BL447" si="131">+BJ416+BK416</f>
        <v>2788408</v>
      </c>
      <c r="BM416" s="213" t="s">
        <v>4831</v>
      </c>
      <c r="BN416" s="213" t="s">
        <v>3336</v>
      </c>
      <c r="BO416" s="39"/>
      <c r="BP416" s="274">
        <v>1850000</v>
      </c>
      <c r="BQ416" s="274">
        <f>+BP416*19%</f>
        <v>351500</v>
      </c>
      <c r="BR416" s="274">
        <f>+BQ416+BP416</f>
        <v>2201500</v>
      </c>
      <c r="BS416" s="39"/>
      <c r="BT416" s="39"/>
      <c r="BU416" s="39"/>
      <c r="BV416" s="219">
        <v>2635537.6320000002</v>
      </c>
      <c r="BW416" s="219">
        <f t="shared" ref="BW416:BW453" si="132">+BV416*0.19</f>
        <v>500752.15008000005</v>
      </c>
      <c r="BX416" s="273">
        <f t="shared" ref="BX416:BX453" si="133">+BV416+BW416</f>
        <v>3136289.7820800003</v>
      </c>
      <c r="BY416" s="213" t="s">
        <v>4831</v>
      </c>
      <c r="BZ416" s="213" t="s">
        <v>3336</v>
      </c>
      <c r="CA416" s="213"/>
      <c r="CB416" s="274"/>
      <c r="CC416" s="274">
        <f>+CB416*0.19</f>
        <v>0</v>
      </c>
      <c r="CD416" s="274">
        <f>+CB416+CC416</f>
        <v>0</v>
      </c>
      <c r="CE416" s="39"/>
      <c r="CF416" s="39"/>
      <c r="CG416" s="39"/>
      <c r="CH416" s="274"/>
      <c r="CI416" s="274"/>
      <c r="CJ416" s="274"/>
      <c r="CK416" s="39"/>
      <c r="CL416" s="39"/>
      <c r="CM416" s="39"/>
      <c r="CN416" s="39"/>
      <c r="CO416" s="39"/>
      <c r="CP416" s="11"/>
      <c r="CQ416" s="11"/>
      <c r="CR416" s="11"/>
      <c r="CS416" s="11"/>
      <c r="CT416" s="11"/>
      <c r="CU416" s="11"/>
      <c r="CV416" s="11"/>
      <c r="CW416" s="11"/>
      <c r="CX416" s="11"/>
      <c r="CY416" s="11"/>
      <c r="CZ416" s="11"/>
      <c r="DA416" s="11"/>
      <c r="DB416" s="11"/>
      <c r="DC416" s="11"/>
      <c r="DD416" s="11"/>
      <c r="DE416" s="11"/>
      <c r="DF416" s="11"/>
      <c r="DG416" s="11"/>
      <c r="DH416" s="11"/>
      <c r="DI416" s="11"/>
      <c r="DJ416" s="11"/>
      <c r="DK416" s="11"/>
      <c r="DL416" s="274"/>
      <c r="DM416" s="274"/>
      <c r="DN416" s="274"/>
      <c r="DO416" s="274"/>
      <c r="DP416" s="274"/>
      <c r="DQ416" s="274"/>
      <c r="DR416" s="274"/>
      <c r="DS416" s="274"/>
      <c r="DT416" s="274"/>
      <c r="DU416" s="274"/>
      <c r="DV416" s="274"/>
      <c r="DW416" s="274"/>
      <c r="DX416" s="274"/>
      <c r="DY416" s="274"/>
      <c r="DZ416" s="274"/>
      <c r="EA416" s="274"/>
      <c r="EB416" s="274"/>
      <c r="EC416" s="274"/>
      <c r="ED416" s="39">
        <f t="shared" si="127"/>
        <v>8453447.7820800003</v>
      </c>
      <c r="EE416" s="30">
        <f t="shared" si="128"/>
        <v>4</v>
      </c>
      <c r="EF416" s="39">
        <f t="shared" si="129"/>
        <v>2113361.9455200001</v>
      </c>
    </row>
    <row r="417" spans="1:136" x14ac:dyDescent="0.25">
      <c r="A417" s="25" t="e">
        <f>#REF!</f>
        <v>#REF!</v>
      </c>
      <c r="B417" s="50" t="e">
        <f>#REF!</f>
        <v>#REF!</v>
      </c>
      <c r="C417" s="5" t="e">
        <f>#REF!</f>
        <v>#REF!</v>
      </c>
      <c r="D417" s="5" t="e">
        <f>#REF!</f>
        <v>#REF!</v>
      </c>
      <c r="E417" s="252">
        <v>1</v>
      </c>
      <c r="F417" s="249">
        <v>0</v>
      </c>
      <c r="G417" s="249">
        <v>0</v>
      </c>
      <c r="H417" s="249">
        <v>0</v>
      </c>
      <c r="I417" s="249">
        <v>0</v>
      </c>
      <c r="J417" s="249">
        <v>250739.30699999997</v>
      </c>
      <c r="K417" s="249">
        <v>0</v>
      </c>
      <c r="L417" s="274">
        <f>J417</f>
        <v>250739.30699999997</v>
      </c>
      <c r="M417" s="274"/>
      <c r="N417" s="255">
        <v>355000</v>
      </c>
      <c r="O417" s="135">
        <f>+N417*0.19</f>
        <v>67450</v>
      </c>
      <c r="P417" s="135">
        <f>+N417+O417</f>
        <v>422450</v>
      </c>
      <c r="Q417" s="131"/>
      <c r="R417" s="131"/>
      <c r="S417" s="11"/>
      <c r="T417" s="274">
        <v>145200</v>
      </c>
      <c r="U417" s="274">
        <f>+T417*0.19</f>
        <v>27588</v>
      </c>
      <c r="V417" s="274">
        <f>+T417+U417</f>
        <v>172788</v>
      </c>
      <c r="W417" s="39" t="s">
        <v>2005</v>
      </c>
      <c r="X417" s="11" t="s">
        <v>4858</v>
      </c>
      <c r="Y417" s="11"/>
      <c r="Z417" s="274"/>
      <c r="AA417" s="274"/>
      <c r="AB417" s="274"/>
      <c r="AC417" s="5"/>
      <c r="AD417" s="22"/>
      <c r="AE417" s="39"/>
      <c r="AF417" s="274"/>
      <c r="AG417" s="274"/>
      <c r="AH417" s="169"/>
      <c r="AI417" s="22"/>
      <c r="AJ417" s="39"/>
      <c r="AK417" s="39"/>
      <c r="AL417" s="118"/>
      <c r="AM417" s="152"/>
      <c r="AN417" s="152"/>
      <c r="AO417" s="131"/>
      <c r="AP417" s="131"/>
      <c r="AQ417" s="39"/>
      <c r="AR417" s="274"/>
      <c r="AS417" s="274"/>
      <c r="AT417" s="274"/>
      <c r="AU417" s="39"/>
      <c r="AV417" s="39"/>
      <c r="AW417" s="39"/>
      <c r="AX417" s="274"/>
      <c r="AY417" s="274"/>
      <c r="AZ417" s="274"/>
      <c r="BA417" s="39"/>
      <c r="BB417" s="62"/>
      <c r="BC417" s="39"/>
      <c r="BD417" s="274"/>
      <c r="BE417" s="274"/>
      <c r="BF417" s="274"/>
      <c r="BG417" s="39"/>
      <c r="BH417" s="39"/>
      <c r="BI417" s="39"/>
      <c r="BJ417" s="274">
        <f>+(788400/100)*150</f>
        <v>1182600</v>
      </c>
      <c r="BK417" s="274">
        <f t="shared" si="130"/>
        <v>224694</v>
      </c>
      <c r="BL417" s="274">
        <f t="shared" si="131"/>
        <v>1407294</v>
      </c>
      <c r="BM417" s="213" t="s">
        <v>4738</v>
      </c>
      <c r="BN417" s="213" t="s">
        <v>3336</v>
      </c>
      <c r="BO417" s="39"/>
      <c r="BP417" s="274">
        <v>325000</v>
      </c>
      <c r="BQ417" s="274">
        <f>+BP417*19%</f>
        <v>61750</v>
      </c>
      <c r="BR417" s="274">
        <f>+BQ417+BP417</f>
        <v>386750</v>
      </c>
      <c r="BS417" s="39"/>
      <c r="BT417" s="39"/>
      <c r="BU417" s="39"/>
      <c r="BV417" s="219">
        <f>+(886514.8032/100)*150</f>
        <v>1329772.2047999999</v>
      </c>
      <c r="BW417" s="219">
        <f t="shared" si="132"/>
        <v>252656.71891199998</v>
      </c>
      <c r="BX417" s="273">
        <f t="shared" si="133"/>
        <v>1582428.923712</v>
      </c>
      <c r="BY417" s="213" t="s">
        <v>4738</v>
      </c>
      <c r="BZ417" s="213" t="s">
        <v>3336</v>
      </c>
      <c r="CA417" s="213"/>
      <c r="CB417" s="274"/>
      <c r="CC417" s="274"/>
      <c r="CD417" s="274"/>
      <c r="CE417" s="39"/>
      <c r="CF417" s="39"/>
      <c r="CG417" s="39"/>
      <c r="CH417" s="274">
        <v>670000</v>
      </c>
      <c r="CI417" s="274">
        <f>CH417*19%</f>
        <v>127300</v>
      </c>
      <c r="CJ417" s="274">
        <f>CH417+CI417</f>
        <v>797300</v>
      </c>
      <c r="CK417" s="39"/>
      <c r="CL417" s="39"/>
      <c r="CM417" s="39"/>
      <c r="CN417" s="39"/>
      <c r="CO417" s="39"/>
      <c r="CP417" s="11"/>
      <c r="CQ417" s="11"/>
      <c r="CR417" s="11"/>
      <c r="CS417" s="11"/>
      <c r="CT417" s="11"/>
      <c r="CU417" s="11"/>
      <c r="CV417" s="11"/>
      <c r="CW417" s="11"/>
      <c r="CX417" s="11"/>
      <c r="CY417" s="11"/>
      <c r="CZ417" s="11"/>
      <c r="DA417" s="11"/>
      <c r="DB417" s="11"/>
      <c r="DC417" s="11"/>
      <c r="DD417" s="11"/>
      <c r="DE417" s="11"/>
      <c r="DF417" s="11"/>
      <c r="DG417" s="11"/>
      <c r="DH417" s="11"/>
      <c r="DI417" s="11"/>
      <c r="DJ417" s="11"/>
      <c r="DK417" s="11"/>
      <c r="DL417" s="274"/>
      <c r="DM417" s="274"/>
      <c r="DN417" s="274"/>
      <c r="DO417" s="274"/>
      <c r="DP417" s="274"/>
      <c r="DQ417" s="274"/>
      <c r="DR417" s="274"/>
      <c r="DS417" s="274"/>
      <c r="DT417" s="274"/>
      <c r="DU417" s="274"/>
      <c r="DV417" s="274"/>
      <c r="DW417" s="274"/>
      <c r="DX417" s="274"/>
      <c r="DY417" s="274"/>
      <c r="DZ417" s="274"/>
      <c r="EA417" s="274"/>
      <c r="EB417" s="274"/>
      <c r="EC417" s="274"/>
      <c r="ED417" s="39">
        <f t="shared" si="127"/>
        <v>4769010.9237120003</v>
      </c>
      <c r="EE417" s="30">
        <f t="shared" si="128"/>
        <v>6</v>
      </c>
      <c r="EF417" s="39">
        <f t="shared" si="129"/>
        <v>794835.15395200008</v>
      </c>
    </row>
    <row r="418" spans="1:136" x14ac:dyDescent="0.25">
      <c r="A418" s="25" t="e">
        <f>#REF!</f>
        <v>#REF!</v>
      </c>
      <c r="B418" s="50" t="e">
        <f>#REF!</f>
        <v>#REF!</v>
      </c>
      <c r="C418" s="5" t="e">
        <f>#REF!</f>
        <v>#REF!</v>
      </c>
      <c r="D418" s="5" t="e">
        <f>#REF!</f>
        <v>#REF!</v>
      </c>
      <c r="E418" s="252">
        <v>1</v>
      </c>
      <c r="F418" s="249">
        <v>0</v>
      </c>
      <c r="G418" s="249">
        <v>0</v>
      </c>
      <c r="H418" s="249">
        <v>50456</v>
      </c>
      <c r="I418" s="249">
        <v>34510</v>
      </c>
      <c r="J418" s="249">
        <v>24832.5</v>
      </c>
      <c r="K418" s="249">
        <v>0</v>
      </c>
      <c r="L418" s="274">
        <f>AVERAGE(H418,J418)</f>
        <v>37644.25</v>
      </c>
      <c r="M418" s="274">
        <f>I418*E1</f>
        <v>35545.300000000003</v>
      </c>
      <c r="N418" s="255">
        <v>18000</v>
      </c>
      <c r="O418" s="135">
        <f>+N418*0.19</f>
        <v>3420</v>
      </c>
      <c r="P418" s="135">
        <f>+N418+O418</f>
        <v>21420</v>
      </c>
      <c r="Q418" s="131"/>
      <c r="R418" s="131"/>
      <c r="S418" s="11"/>
      <c r="T418" s="274"/>
      <c r="U418" s="274"/>
      <c r="V418" s="274"/>
      <c r="W418" s="39"/>
      <c r="X418" s="11"/>
      <c r="Y418" s="11"/>
      <c r="Z418" s="274"/>
      <c r="AA418" s="274"/>
      <c r="AB418" s="274"/>
      <c r="AC418" s="5"/>
      <c r="AD418" s="22"/>
      <c r="AE418" s="39"/>
      <c r="AF418" s="274"/>
      <c r="AG418" s="274"/>
      <c r="AH418" s="169"/>
      <c r="AI418" s="22"/>
      <c r="AJ418" s="39"/>
      <c r="AK418" s="39"/>
      <c r="AL418" s="118"/>
      <c r="AM418" s="152"/>
      <c r="AN418" s="152"/>
      <c r="AO418" s="131"/>
      <c r="AP418" s="131"/>
      <c r="AQ418" s="39"/>
      <c r="AR418" s="274"/>
      <c r="AS418" s="274"/>
      <c r="AT418" s="274"/>
      <c r="AU418" s="39"/>
      <c r="AV418" s="39"/>
      <c r="AW418" s="39"/>
      <c r="AX418" s="274"/>
      <c r="AY418" s="274"/>
      <c r="AZ418" s="274"/>
      <c r="BA418" s="39"/>
      <c r="BB418" s="62"/>
      <c r="BC418" s="39"/>
      <c r="BD418" s="274"/>
      <c r="BE418" s="274"/>
      <c r="BF418" s="274"/>
      <c r="BG418" s="39"/>
      <c r="BH418" s="39"/>
      <c r="BI418" s="39"/>
      <c r="BJ418" s="274">
        <v>12500</v>
      </c>
      <c r="BK418" s="274">
        <f t="shared" si="130"/>
        <v>2375</v>
      </c>
      <c r="BL418" s="274">
        <f t="shared" si="131"/>
        <v>14875</v>
      </c>
      <c r="BM418" s="214" t="s">
        <v>445</v>
      </c>
      <c r="BN418" s="213" t="s">
        <v>3309</v>
      </c>
      <c r="BO418" s="39"/>
      <c r="BP418" s="274">
        <v>12500</v>
      </c>
      <c r="BQ418" s="274">
        <f>+BP418*19%</f>
        <v>2375</v>
      </c>
      <c r="BR418" s="274">
        <f>+BQ418+BP418</f>
        <v>14875</v>
      </c>
      <c r="BS418" s="39"/>
      <c r="BT418" s="39"/>
      <c r="BU418" s="39"/>
      <c r="BV418" s="219">
        <v>14878.35</v>
      </c>
      <c r="BW418" s="219">
        <f t="shared" si="132"/>
        <v>2826.8865000000001</v>
      </c>
      <c r="BX418" s="273">
        <f t="shared" si="133"/>
        <v>17705.236499999999</v>
      </c>
      <c r="BY418" s="214" t="s">
        <v>445</v>
      </c>
      <c r="BZ418" s="213" t="s">
        <v>3309</v>
      </c>
      <c r="CA418" s="213"/>
      <c r="CB418" s="274"/>
      <c r="CC418" s="274"/>
      <c r="CD418" s="274"/>
      <c r="CE418" s="39"/>
      <c r="CF418" s="39"/>
      <c r="CG418" s="39"/>
      <c r="CH418" s="274">
        <v>1440000</v>
      </c>
      <c r="CI418" s="274">
        <f>CH418*19%</f>
        <v>273600</v>
      </c>
      <c r="CJ418" s="274">
        <f>CH418+CI418</f>
        <v>1713600</v>
      </c>
      <c r="CK418" s="39"/>
      <c r="CL418" s="39"/>
      <c r="CM418" s="39"/>
      <c r="CN418" s="39"/>
      <c r="CO418" s="39"/>
      <c r="CP418" s="11"/>
      <c r="CQ418" s="11"/>
      <c r="CR418" s="11"/>
      <c r="CS418" s="11"/>
      <c r="CT418" s="11"/>
      <c r="CU418" s="11"/>
      <c r="CV418" s="11"/>
      <c r="CW418" s="11"/>
      <c r="CX418" s="11"/>
      <c r="CY418" s="11"/>
      <c r="CZ418" s="11"/>
      <c r="DA418" s="11"/>
      <c r="DB418" s="11"/>
      <c r="DC418" s="11"/>
      <c r="DD418" s="11"/>
      <c r="DE418" s="11"/>
      <c r="DF418" s="11"/>
      <c r="DG418" s="11"/>
      <c r="DH418" s="11"/>
      <c r="DI418" s="11"/>
      <c r="DJ418" s="11"/>
      <c r="DK418" s="11"/>
      <c r="DL418" s="274"/>
      <c r="DM418" s="274"/>
      <c r="DN418" s="274"/>
      <c r="DO418" s="274"/>
      <c r="DP418" s="274"/>
      <c r="DQ418" s="274"/>
      <c r="DR418" s="274"/>
      <c r="DS418" s="274"/>
      <c r="DT418" s="274"/>
      <c r="DU418" s="274"/>
      <c r="DV418" s="274"/>
      <c r="DW418" s="274"/>
      <c r="DX418" s="274"/>
      <c r="DY418" s="274"/>
      <c r="DZ418" s="274"/>
      <c r="EA418" s="274"/>
      <c r="EB418" s="274"/>
      <c r="EC418" s="274"/>
      <c r="ED418" s="39">
        <f t="shared" si="127"/>
        <v>1818020.5364999999</v>
      </c>
      <c r="EE418" s="30">
        <f t="shared" si="128"/>
        <v>6</v>
      </c>
      <c r="EF418" s="39">
        <f t="shared" si="129"/>
        <v>303003.42274999997</v>
      </c>
    </row>
    <row r="419" spans="1:136" x14ac:dyDescent="0.25">
      <c r="A419" s="25" t="e">
        <f>#REF!</f>
        <v>#REF!</v>
      </c>
      <c r="B419" s="50" t="e">
        <f>#REF!</f>
        <v>#REF!</v>
      </c>
      <c r="C419" s="5" t="e">
        <f>#REF!</f>
        <v>#REF!</v>
      </c>
      <c r="D419" s="5" t="e">
        <f>#REF!</f>
        <v>#REF!</v>
      </c>
      <c r="E419" s="252">
        <v>1</v>
      </c>
      <c r="F419" s="249">
        <v>0</v>
      </c>
      <c r="G419" s="249">
        <v>0</v>
      </c>
      <c r="H419" s="249">
        <v>73224.666666666672</v>
      </c>
      <c r="I419" s="249">
        <v>35700</v>
      </c>
      <c r="J419" s="249">
        <v>67028.484444444432</v>
      </c>
      <c r="K419" s="249">
        <v>66640</v>
      </c>
      <c r="L419" s="274">
        <f>AVERAGE(H419,J419)</f>
        <v>70126.575555555552</v>
      </c>
      <c r="M419" s="274">
        <f>AVERAGE(I419,K419)*E1</f>
        <v>52705.1</v>
      </c>
      <c r="N419" s="255">
        <v>18000</v>
      </c>
      <c r="O419" s="135">
        <f>+N419*0.19</f>
        <v>3420</v>
      </c>
      <c r="P419" s="135">
        <f>+N419+O419</f>
        <v>21420</v>
      </c>
      <c r="Q419" s="131"/>
      <c r="R419" s="131"/>
      <c r="S419" s="11"/>
      <c r="T419" s="274">
        <v>37400</v>
      </c>
      <c r="U419" s="274">
        <f>+T419*0.19</f>
        <v>7106</v>
      </c>
      <c r="V419" s="274">
        <f>+T419+U419</f>
        <v>44506</v>
      </c>
      <c r="W419" s="39" t="s">
        <v>445</v>
      </c>
      <c r="X419" s="11" t="s">
        <v>4859</v>
      </c>
      <c r="Y419" s="11"/>
      <c r="Z419" s="274"/>
      <c r="AA419" s="274"/>
      <c r="AB419" s="274"/>
      <c r="AC419" s="5"/>
      <c r="AD419" s="22"/>
      <c r="AE419" s="39"/>
      <c r="AF419" s="274"/>
      <c r="AG419" s="274"/>
      <c r="AH419" s="169"/>
      <c r="AI419" s="22"/>
      <c r="AJ419" s="39"/>
      <c r="AK419" s="39"/>
      <c r="AL419" s="118"/>
      <c r="AM419" s="152"/>
      <c r="AN419" s="152"/>
      <c r="AO419" s="131"/>
      <c r="AP419" s="131"/>
      <c r="AQ419" s="39"/>
      <c r="AR419" s="274"/>
      <c r="AS419" s="274"/>
      <c r="AT419" s="274"/>
      <c r="AU419" s="39"/>
      <c r="AV419" s="39"/>
      <c r="AW419" s="39"/>
      <c r="AX419" s="274"/>
      <c r="AY419" s="274"/>
      <c r="AZ419" s="274"/>
      <c r="BA419" s="39"/>
      <c r="BB419" s="62"/>
      <c r="BC419" s="39"/>
      <c r="BD419" s="274"/>
      <c r="BE419" s="274"/>
      <c r="BF419" s="274"/>
      <c r="BG419" s="39"/>
      <c r="BH419" s="39"/>
      <c r="BI419" s="39"/>
      <c r="BJ419" s="274">
        <v>12500</v>
      </c>
      <c r="BK419" s="274">
        <f t="shared" si="130"/>
        <v>2375</v>
      </c>
      <c r="BL419" s="274">
        <f t="shared" si="131"/>
        <v>14875</v>
      </c>
      <c r="BM419" s="214" t="s">
        <v>445</v>
      </c>
      <c r="BN419" s="213" t="s">
        <v>3309</v>
      </c>
      <c r="BO419" s="39"/>
      <c r="BP419" s="274">
        <v>16500</v>
      </c>
      <c r="BQ419" s="274">
        <f>+BP419*19%</f>
        <v>3135</v>
      </c>
      <c r="BR419" s="274">
        <f>+BQ419+BP419</f>
        <v>19635</v>
      </c>
      <c r="BS419" s="39"/>
      <c r="BT419" s="39"/>
      <c r="BU419" s="39"/>
      <c r="BV419" s="219">
        <v>13915.35</v>
      </c>
      <c r="BW419" s="219">
        <f t="shared" si="132"/>
        <v>2643.9165000000003</v>
      </c>
      <c r="BX419" s="273">
        <f t="shared" si="133"/>
        <v>16559.266500000002</v>
      </c>
      <c r="BY419" s="214" t="s">
        <v>445</v>
      </c>
      <c r="BZ419" s="213" t="s">
        <v>3309</v>
      </c>
      <c r="CA419" s="213"/>
      <c r="CB419" s="274"/>
      <c r="CC419" s="274"/>
      <c r="CD419" s="274"/>
      <c r="CE419" s="39"/>
      <c r="CF419" s="39"/>
      <c r="CG419" s="39"/>
      <c r="CH419" s="274"/>
      <c r="CI419" s="274"/>
      <c r="CJ419" s="274"/>
      <c r="CK419" s="39"/>
      <c r="CL419" s="39"/>
      <c r="CM419" s="39"/>
      <c r="CN419" s="39"/>
      <c r="CO419" s="39"/>
      <c r="CP419" s="11"/>
      <c r="CQ419" s="11"/>
      <c r="CR419" s="11"/>
      <c r="CS419" s="11"/>
      <c r="CT419" s="11"/>
      <c r="CU419" s="11"/>
      <c r="CV419" s="11"/>
      <c r="CW419" s="11"/>
      <c r="CX419" s="11"/>
      <c r="CY419" s="11"/>
      <c r="CZ419" s="11"/>
      <c r="DA419" s="11"/>
      <c r="DB419" s="11"/>
      <c r="DC419" s="11"/>
      <c r="DD419" s="11"/>
      <c r="DE419" s="11"/>
      <c r="DF419" s="11"/>
      <c r="DG419" s="11"/>
      <c r="DH419" s="11"/>
      <c r="DI419" s="11"/>
      <c r="DJ419" s="11"/>
      <c r="DK419" s="11"/>
      <c r="DL419" s="274"/>
      <c r="DM419" s="274"/>
      <c r="DN419" s="274"/>
      <c r="DO419" s="274"/>
      <c r="DP419" s="274"/>
      <c r="DQ419" s="274"/>
      <c r="DR419" s="274"/>
      <c r="DS419" s="274"/>
      <c r="DT419" s="274"/>
      <c r="DU419" s="274"/>
      <c r="DV419" s="274"/>
      <c r="DW419" s="274"/>
      <c r="DX419" s="274"/>
      <c r="DY419" s="274"/>
      <c r="DZ419" s="274"/>
      <c r="EA419" s="274"/>
      <c r="EB419" s="274"/>
      <c r="EC419" s="274"/>
      <c r="ED419" s="39">
        <f t="shared" si="127"/>
        <v>169700.3665</v>
      </c>
      <c r="EE419" s="30">
        <f t="shared" si="128"/>
        <v>6</v>
      </c>
      <c r="EF419" s="39">
        <f t="shared" si="129"/>
        <v>28283.394416666666</v>
      </c>
    </row>
    <row r="420" spans="1:136" x14ac:dyDescent="0.25">
      <c r="A420" s="25" t="e">
        <f>#REF!</f>
        <v>#REF!</v>
      </c>
      <c r="B420" s="50" t="e">
        <f>#REF!</f>
        <v>#REF!</v>
      </c>
      <c r="C420" s="5" t="e">
        <f>#REF!</f>
        <v>#REF!</v>
      </c>
      <c r="D420" s="5" t="e">
        <f>#REF!</f>
        <v>#REF!</v>
      </c>
      <c r="E420" s="252">
        <v>1</v>
      </c>
      <c r="F420" s="249">
        <v>0</v>
      </c>
      <c r="G420" s="249">
        <v>0</v>
      </c>
      <c r="H420" s="249">
        <v>0</v>
      </c>
      <c r="I420" s="249">
        <v>0</v>
      </c>
      <c r="J420" s="249">
        <v>0</v>
      </c>
      <c r="K420" s="249">
        <v>0</v>
      </c>
      <c r="L420" s="274"/>
      <c r="M420" s="274"/>
      <c r="N420" s="255"/>
      <c r="O420" s="137"/>
      <c r="P420" s="135"/>
      <c r="Q420" s="131"/>
      <c r="R420" s="131"/>
      <c r="S420" s="11"/>
      <c r="T420" s="274"/>
      <c r="U420" s="274"/>
      <c r="V420" s="274"/>
      <c r="W420" s="39"/>
      <c r="X420" s="11"/>
      <c r="Y420" s="11"/>
      <c r="Z420" s="274"/>
      <c r="AA420" s="274"/>
      <c r="AB420" s="274"/>
      <c r="AC420" s="5"/>
      <c r="AD420" s="22"/>
      <c r="AE420" s="39"/>
      <c r="AF420" s="274"/>
      <c r="AG420" s="274"/>
      <c r="AH420" s="169"/>
      <c r="AI420" s="4"/>
      <c r="AJ420" s="39"/>
      <c r="AK420" s="39"/>
      <c r="AL420" s="118"/>
      <c r="AM420" s="152"/>
      <c r="AN420" s="152"/>
      <c r="AO420" s="131"/>
      <c r="AP420" s="131"/>
      <c r="AQ420" s="39"/>
      <c r="AR420" s="274"/>
      <c r="AS420" s="274"/>
      <c r="AT420" s="274"/>
      <c r="AU420" s="39"/>
      <c r="AV420" s="39"/>
      <c r="AW420" s="39"/>
      <c r="AX420" s="274"/>
      <c r="AY420" s="274"/>
      <c r="AZ420" s="274"/>
      <c r="BA420" s="39"/>
      <c r="BB420" s="62"/>
      <c r="BC420" s="39"/>
      <c r="BD420" s="274"/>
      <c r="BE420" s="274"/>
      <c r="BF420" s="274"/>
      <c r="BG420" s="39"/>
      <c r="BH420" s="39"/>
      <c r="BI420" s="39"/>
      <c r="BJ420" s="274">
        <v>1887100</v>
      </c>
      <c r="BK420" s="274">
        <f t="shared" si="130"/>
        <v>358549</v>
      </c>
      <c r="BL420" s="274">
        <f t="shared" si="131"/>
        <v>2245649</v>
      </c>
      <c r="BM420" s="214" t="s">
        <v>445</v>
      </c>
      <c r="BN420" s="213" t="s">
        <v>3166</v>
      </c>
      <c r="BO420" s="39"/>
      <c r="BP420" s="274"/>
      <c r="BQ420" s="274"/>
      <c r="BR420" s="274"/>
      <c r="BS420" s="39"/>
      <c r="BT420" s="39"/>
      <c r="BU420" s="39"/>
      <c r="BV420" s="219">
        <v>2081909.1072</v>
      </c>
      <c r="BW420" s="219">
        <f t="shared" si="132"/>
        <v>395562.73036799999</v>
      </c>
      <c r="BX420" s="273">
        <f t="shared" si="133"/>
        <v>2477471.837568</v>
      </c>
      <c r="BY420" s="214" t="s">
        <v>445</v>
      </c>
      <c r="BZ420" s="213" t="s">
        <v>3166</v>
      </c>
      <c r="CA420" s="213"/>
      <c r="CB420" s="274"/>
      <c r="CC420" s="274"/>
      <c r="CD420" s="274"/>
      <c r="CE420" s="39"/>
      <c r="CF420" s="39"/>
      <c r="CG420" s="39"/>
      <c r="CH420" s="274"/>
      <c r="CI420" s="274"/>
      <c r="CJ420" s="274"/>
      <c r="CK420" s="39"/>
      <c r="CL420" s="39"/>
      <c r="CM420" s="39"/>
      <c r="CN420" s="39"/>
      <c r="CO420" s="39"/>
      <c r="CP420" s="11"/>
      <c r="CQ420" s="11"/>
      <c r="CR420" s="11"/>
      <c r="CS420" s="11"/>
      <c r="CT420" s="11"/>
      <c r="CU420" s="11"/>
      <c r="CV420" s="11"/>
      <c r="CW420" s="11"/>
      <c r="CX420" s="11"/>
      <c r="CY420" s="11"/>
      <c r="CZ420" s="11"/>
      <c r="DA420" s="11"/>
      <c r="DB420" s="11"/>
      <c r="DC420" s="11"/>
      <c r="DD420" s="11"/>
      <c r="DE420" s="11"/>
      <c r="DF420" s="11"/>
      <c r="DG420" s="11"/>
      <c r="DH420" s="11"/>
      <c r="DI420" s="11"/>
      <c r="DJ420" s="11"/>
      <c r="DK420" s="11"/>
      <c r="DL420" s="274"/>
      <c r="DM420" s="274"/>
      <c r="DN420" s="274"/>
      <c r="DO420" s="274"/>
      <c r="DP420" s="274"/>
      <c r="DQ420" s="274"/>
      <c r="DR420" s="274"/>
      <c r="DS420" s="274"/>
      <c r="DT420" s="274"/>
      <c r="DU420" s="274"/>
      <c r="DV420" s="274"/>
      <c r="DW420" s="274"/>
      <c r="DX420" s="274"/>
      <c r="DY420" s="274"/>
      <c r="DZ420" s="274"/>
      <c r="EA420" s="274"/>
      <c r="EB420" s="274"/>
      <c r="EC420" s="274"/>
      <c r="ED420" s="39">
        <f t="shared" si="127"/>
        <v>4723120.837568</v>
      </c>
      <c r="EE420" s="30">
        <f t="shared" si="128"/>
        <v>2</v>
      </c>
      <c r="EF420" s="39">
        <f t="shared" si="129"/>
        <v>2361560.418784</v>
      </c>
    </row>
    <row r="421" spans="1:136" ht="89.25" x14ac:dyDescent="0.25">
      <c r="A421" s="25" t="e">
        <f>#REF!</f>
        <v>#REF!</v>
      </c>
      <c r="B421" s="50" t="e">
        <f>#REF!</f>
        <v>#REF!</v>
      </c>
      <c r="C421" s="5" t="e">
        <f>#REF!</f>
        <v>#REF!</v>
      </c>
      <c r="D421" s="5" t="e">
        <f>#REF!</f>
        <v>#REF!</v>
      </c>
      <c r="E421" s="252">
        <v>1</v>
      </c>
      <c r="F421" s="249">
        <v>0</v>
      </c>
      <c r="G421" s="249">
        <v>0</v>
      </c>
      <c r="H421" s="249">
        <v>1323009.2226399998</v>
      </c>
      <c r="I421" s="249">
        <v>1322923</v>
      </c>
      <c r="J421" s="249">
        <v>1895598.3191388105</v>
      </c>
      <c r="K421" s="249">
        <v>1892100</v>
      </c>
      <c r="L421" s="274">
        <f>AVERAGE(H421,J421)</f>
        <v>1609303.7708894052</v>
      </c>
      <c r="M421" s="274">
        <f>AVERAGE(I421,K421)*E1</f>
        <v>1655736.845</v>
      </c>
      <c r="N421" s="255">
        <v>1350000</v>
      </c>
      <c r="O421" s="135">
        <f>+N421*0.19</f>
        <v>256500</v>
      </c>
      <c r="P421" s="135">
        <f>+N421+O421</f>
        <v>1606500</v>
      </c>
      <c r="Q421" s="131"/>
      <c r="R421" s="131"/>
      <c r="S421" s="11"/>
      <c r="T421" s="274"/>
      <c r="U421" s="274"/>
      <c r="V421" s="274"/>
      <c r="W421" s="39"/>
      <c r="X421" s="11"/>
      <c r="Y421" s="11"/>
      <c r="Z421" s="274">
        <v>1570000</v>
      </c>
      <c r="AA421" s="274">
        <f t="shared" ref="AA421:AA428" si="134">+Z421*0.19</f>
        <v>298300</v>
      </c>
      <c r="AB421" s="274">
        <f t="shared" ref="AB421:AB428" si="135">+Z421+AA421</f>
        <v>1868300</v>
      </c>
      <c r="AC421" s="5" t="s">
        <v>445</v>
      </c>
      <c r="AD421" s="22" t="s">
        <v>4795</v>
      </c>
      <c r="AE421" s="39"/>
      <c r="AF421" s="274"/>
      <c r="AG421" s="274"/>
      <c r="AH421" s="169"/>
      <c r="AI421" s="4"/>
      <c r="AJ421" s="39"/>
      <c r="AK421" s="39"/>
      <c r="AL421" s="118"/>
      <c r="AM421" s="152"/>
      <c r="AN421" s="152"/>
      <c r="AO421" s="131"/>
      <c r="AP421" s="131"/>
      <c r="AQ421" s="39"/>
      <c r="AR421" s="274"/>
      <c r="AS421" s="274"/>
      <c r="AT421" s="274"/>
      <c r="AU421" s="39"/>
      <c r="AV421" s="39"/>
      <c r="AW421" s="39"/>
      <c r="AX421" s="274"/>
      <c r="AY421" s="274"/>
      <c r="AZ421" s="274"/>
      <c r="BA421" s="39"/>
      <c r="BB421" s="62"/>
      <c r="BC421" s="39"/>
      <c r="BD421" s="118">
        <v>1337648</v>
      </c>
      <c r="BE421" s="274">
        <f t="shared" ref="BE421:BE432" si="136">+BD421*0.19</f>
        <v>254153.12</v>
      </c>
      <c r="BF421" s="274">
        <f t="shared" ref="BF421:BF432" si="137">+BD421+BE421</f>
        <v>1591801.12</v>
      </c>
      <c r="BG421" s="25" t="s">
        <v>445</v>
      </c>
      <c r="BH421" s="5" t="s">
        <v>4860</v>
      </c>
      <c r="BI421" s="5" t="s">
        <v>4861</v>
      </c>
      <c r="BJ421" s="274">
        <v>2037800</v>
      </c>
      <c r="BK421" s="274">
        <f t="shared" si="130"/>
        <v>387182</v>
      </c>
      <c r="BL421" s="274">
        <f t="shared" si="131"/>
        <v>2424982</v>
      </c>
      <c r="BM421" s="214" t="s">
        <v>445</v>
      </c>
      <c r="BN421" s="213" t="s">
        <v>2925</v>
      </c>
      <c r="BO421" s="39"/>
      <c r="BP421" s="274"/>
      <c r="BQ421" s="274"/>
      <c r="BR421" s="274"/>
      <c r="BS421" s="39"/>
      <c r="BT421" s="39"/>
      <c r="BU421" s="39"/>
      <c r="BV421" s="219">
        <v>2226549.1872</v>
      </c>
      <c r="BW421" s="219">
        <f t="shared" si="132"/>
        <v>423044.34556799999</v>
      </c>
      <c r="BX421" s="273">
        <f t="shared" si="133"/>
        <v>2649593.5327679999</v>
      </c>
      <c r="BY421" s="214" t="s">
        <v>445</v>
      </c>
      <c r="BZ421" s="213" t="s">
        <v>2925</v>
      </c>
      <c r="CA421" s="213"/>
      <c r="CB421" s="274"/>
      <c r="CC421" s="274"/>
      <c r="CD421" s="274"/>
      <c r="CE421" s="39"/>
      <c r="CF421" s="39"/>
      <c r="CG421" s="39"/>
      <c r="CH421" s="231">
        <v>1844000</v>
      </c>
      <c r="CI421" s="231">
        <f t="shared" ref="CI421:CI428" si="138">CH421*19%</f>
        <v>350360</v>
      </c>
      <c r="CJ421" s="231">
        <f t="shared" ref="CJ421:CJ428" si="139">CH421+CI421</f>
        <v>2194360</v>
      </c>
      <c r="CK421" s="39"/>
      <c r="CL421" s="39"/>
      <c r="CM421" s="39"/>
      <c r="CN421" s="39"/>
      <c r="CO421" s="39"/>
      <c r="CP421" s="11"/>
      <c r="CQ421" s="11"/>
      <c r="CR421" s="11"/>
      <c r="CS421" s="11"/>
      <c r="CT421" s="11"/>
      <c r="CU421" s="11"/>
      <c r="CV421" s="11"/>
      <c r="CW421" s="11"/>
      <c r="CX421" s="11"/>
      <c r="CY421" s="11"/>
      <c r="CZ421" s="11"/>
      <c r="DA421" s="11"/>
      <c r="DB421" s="11"/>
      <c r="DC421" s="11"/>
      <c r="DD421" s="11"/>
      <c r="DE421" s="11"/>
      <c r="DF421" s="11"/>
      <c r="DG421" s="11"/>
      <c r="DH421" s="11"/>
      <c r="DI421" s="11"/>
      <c r="DJ421" s="11"/>
      <c r="DK421" s="11"/>
      <c r="DL421" s="274"/>
      <c r="DM421" s="274"/>
      <c r="DN421" s="274"/>
      <c r="DO421" s="274"/>
      <c r="DP421" s="274"/>
      <c r="DQ421" s="274"/>
      <c r="DR421" s="274"/>
      <c r="DS421" s="274"/>
      <c r="DT421" s="274"/>
      <c r="DU421" s="274"/>
      <c r="DV421" s="274"/>
      <c r="DW421" s="274"/>
      <c r="DX421" s="274"/>
      <c r="DY421" s="274"/>
      <c r="DZ421" s="274"/>
      <c r="EA421" s="274"/>
      <c r="EB421" s="274"/>
      <c r="EC421" s="274"/>
      <c r="ED421" s="39">
        <f t="shared" si="127"/>
        <v>13991273.497768</v>
      </c>
      <c r="EE421" s="30">
        <f t="shared" si="128"/>
        <v>7</v>
      </c>
      <c r="EF421" s="39">
        <f t="shared" si="129"/>
        <v>1998753.3568239999</v>
      </c>
    </row>
    <row r="422" spans="1:136" ht="76.5" x14ac:dyDescent="0.25">
      <c r="A422" s="25" t="e">
        <f>#REF!</f>
        <v>#REF!</v>
      </c>
      <c r="B422" s="50" t="e">
        <f>#REF!</f>
        <v>#REF!</v>
      </c>
      <c r="C422" s="5" t="e">
        <f>#REF!</f>
        <v>#REF!</v>
      </c>
      <c r="D422" s="5" t="e">
        <f>#REF!</f>
        <v>#REF!</v>
      </c>
      <c r="E422" s="252">
        <v>1</v>
      </c>
      <c r="F422" s="249">
        <v>1294244</v>
      </c>
      <c r="G422" s="249">
        <v>0</v>
      </c>
      <c r="H422" s="249">
        <v>0</v>
      </c>
      <c r="I422" s="249">
        <v>0</v>
      </c>
      <c r="J422" s="249">
        <v>1857952.8177777778</v>
      </c>
      <c r="K422" s="249">
        <v>1856400</v>
      </c>
      <c r="L422" s="274">
        <f>AVERAGE(F422,J422)</f>
        <v>1576098.408888889</v>
      </c>
      <c r="M422" s="274">
        <f>K422*E1</f>
        <v>1912092</v>
      </c>
      <c r="N422" s="255"/>
      <c r="O422" s="137"/>
      <c r="P422" s="135"/>
      <c r="Q422" s="131"/>
      <c r="R422" s="131"/>
      <c r="S422" s="11"/>
      <c r="T422" s="274"/>
      <c r="U422" s="274"/>
      <c r="V422" s="274"/>
      <c r="W422" s="39"/>
      <c r="X422" s="11"/>
      <c r="Y422" s="11"/>
      <c r="Z422" s="274">
        <v>1570000</v>
      </c>
      <c r="AA422" s="274">
        <f t="shared" si="134"/>
        <v>298300</v>
      </c>
      <c r="AB422" s="274">
        <f t="shared" si="135"/>
        <v>1868300</v>
      </c>
      <c r="AC422" s="5" t="s">
        <v>445</v>
      </c>
      <c r="AD422" s="22" t="s">
        <v>4795</v>
      </c>
      <c r="AE422" s="39"/>
      <c r="AF422" s="274"/>
      <c r="AG422" s="274"/>
      <c r="AH422" s="169"/>
      <c r="AI422" s="4"/>
      <c r="AJ422" s="39"/>
      <c r="AK422" s="39"/>
      <c r="AL422" s="118"/>
      <c r="AM422" s="152"/>
      <c r="AN422" s="152"/>
      <c r="AO422" s="131"/>
      <c r="AP422" s="131"/>
      <c r="AQ422" s="39"/>
      <c r="AR422" s="274"/>
      <c r="AS422" s="274"/>
      <c r="AT422" s="274"/>
      <c r="AU422" s="39"/>
      <c r="AV422" s="39"/>
      <c r="AW422" s="39"/>
      <c r="AX422" s="274"/>
      <c r="AY422" s="274"/>
      <c r="AZ422" s="274"/>
      <c r="BA422" s="39"/>
      <c r="BB422" s="62"/>
      <c r="BC422" s="39"/>
      <c r="BD422" s="118">
        <v>1277000</v>
      </c>
      <c r="BE422" s="274">
        <f t="shared" si="136"/>
        <v>242630</v>
      </c>
      <c r="BF422" s="274">
        <f t="shared" si="137"/>
        <v>1519630</v>
      </c>
      <c r="BG422" s="25" t="s">
        <v>445</v>
      </c>
      <c r="BH422" s="5" t="s">
        <v>4862</v>
      </c>
      <c r="BI422" s="5" t="s">
        <v>4863</v>
      </c>
      <c r="BJ422" s="274">
        <v>1944600</v>
      </c>
      <c r="BK422" s="274">
        <f t="shared" si="130"/>
        <v>369474</v>
      </c>
      <c r="BL422" s="274">
        <f t="shared" si="131"/>
        <v>2314074</v>
      </c>
      <c r="BM422" s="214" t="s">
        <v>445</v>
      </c>
      <c r="BN422" s="213" t="s">
        <v>2925</v>
      </c>
      <c r="BO422" s="39"/>
      <c r="BP422" s="274"/>
      <c r="BQ422" s="274"/>
      <c r="BR422" s="274"/>
      <c r="BS422" s="39"/>
      <c r="BT422" s="39"/>
      <c r="BU422" s="39"/>
      <c r="BV422" s="219">
        <v>2250300.8430000008</v>
      </c>
      <c r="BW422" s="219">
        <f t="shared" si="132"/>
        <v>427557.16017000016</v>
      </c>
      <c r="BX422" s="273">
        <f t="shared" si="133"/>
        <v>2677858.0031700009</v>
      </c>
      <c r="BY422" s="214" t="s">
        <v>445</v>
      </c>
      <c r="BZ422" s="213" t="s">
        <v>2925</v>
      </c>
      <c r="CA422" s="213"/>
      <c r="CB422" s="274"/>
      <c r="CC422" s="274"/>
      <c r="CD422" s="274"/>
      <c r="CE422" s="39"/>
      <c r="CF422" s="39"/>
      <c r="CG422" s="39"/>
      <c r="CH422" s="231">
        <v>1147000</v>
      </c>
      <c r="CI422" s="231">
        <f t="shared" si="138"/>
        <v>217930</v>
      </c>
      <c r="CJ422" s="231">
        <f t="shared" si="139"/>
        <v>1364930</v>
      </c>
      <c r="CK422" s="39"/>
      <c r="CL422" s="39"/>
      <c r="CM422" s="39"/>
      <c r="CN422" s="39"/>
      <c r="CO422" s="39"/>
      <c r="CP422" s="11"/>
      <c r="CQ422" s="11"/>
      <c r="CR422" s="11"/>
      <c r="CS422" s="11"/>
      <c r="CT422" s="11"/>
      <c r="CU422" s="11"/>
      <c r="CV422" s="11"/>
      <c r="CW422" s="11"/>
      <c r="CX422" s="11"/>
      <c r="CY422" s="11"/>
      <c r="CZ422" s="11"/>
      <c r="DA422" s="11"/>
      <c r="DB422" s="11"/>
      <c r="DC422" s="11"/>
      <c r="DD422" s="11"/>
      <c r="DE422" s="11"/>
      <c r="DF422" s="11"/>
      <c r="DG422" s="11"/>
      <c r="DH422" s="11"/>
      <c r="DI422" s="11"/>
      <c r="DJ422" s="11"/>
      <c r="DK422" s="11"/>
      <c r="DL422" s="274"/>
      <c r="DM422" s="274"/>
      <c r="DN422" s="274"/>
      <c r="DO422" s="274"/>
      <c r="DP422" s="274"/>
      <c r="DQ422" s="274"/>
      <c r="DR422" s="274"/>
      <c r="DS422" s="274"/>
      <c r="DT422" s="274"/>
      <c r="DU422" s="274"/>
      <c r="DV422" s="274"/>
      <c r="DW422" s="274"/>
      <c r="DX422" s="274"/>
      <c r="DY422" s="274"/>
      <c r="DZ422" s="274"/>
      <c r="EA422" s="274"/>
      <c r="EB422" s="274"/>
      <c r="EC422" s="274"/>
      <c r="ED422" s="39">
        <f t="shared" si="127"/>
        <v>11656884.00317</v>
      </c>
      <c r="EE422" s="30">
        <f t="shared" si="128"/>
        <v>6</v>
      </c>
      <c r="EF422" s="39">
        <f t="shared" si="129"/>
        <v>1942814.0005283335</v>
      </c>
    </row>
    <row r="423" spans="1:136" ht="76.5" x14ac:dyDescent="0.25">
      <c r="A423" s="25" t="e">
        <f>#REF!</f>
        <v>#REF!</v>
      </c>
      <c r="B423" s="50" t="e">
        <f>#REF!</f>
        <v>#REF!</v>
      </c>
      <c r="C423" s="5" t="e">
        <f>#REF!</f>
        <v>#REF!</v>
      </c>
      <c r="D423" s="5" t="e">
        <f>#REF!</f>
        <v>#REF!</v>
      </c>
      <c r="E423" s="252">
        <v>1</v>
      </c>
      <c r="F423" s="249">
        <v>1208683</v>
      </c>
      <c r="G423" s="249">
        <v>1178457</v>
      </c>
      <c r="H423" s="249">
        <v>1242101.294</v>
      </c>
      <c r="I423" s="249">
        <v>1242003</v>
      </c>
      <c r="J423" s="249">
        <v>1771262.0945833332</v>
      </c>
      <c r="K423" s="249">
        <v>1767150</v>
      </c>
      <c r="L423" s="274">
        <f t="shared" ref="L423:L428" si="140">AVERAGE(F423,H423,J423)</f>
        <v>1407348.7961944444</v>
      </c>
      <c r="M423" s="274">
        <f>AVERAGE(G423,I423,K423)*E1</f>
        <v>1437746.1</v>
      </c>
      <c r="N423" s="255">
        <v>1150000</v>
      </c>
      <c r="O423" s="135">
        <f>+N423*0.19</f>
        <v>218500</v>
      </c>
      <c r="P423" s="135">
        <f>+N423+O423</f>
        <v>1368500</v>
      </c>
      <c r="Q423" s="131"/>
      <c r="R423" s="131"/>
      <c r="S423" s="11"/>
      <c r="T423" s="274"/>
      <c r="U423" s="274"/>
      <c r="V423" s="274"/>
      <c r="W423" s="39"/>
      <c r="X423" s="11"/>
      <c r="Y423" s="11"/>
      <c r="Z423" s="274">
        <v>1570000</v>
      </c>
      <c r="AA423" s="274">
        <f t="shared" si="134"/>
        <v>298300</v>
      </c>
      <c r="AB423" s="274">
        <f t="shared" si="135"/>
        <v>1868300</v>
      </c>
      <c r="AC423" s="5" t="s">
        <v>445</v>
      </c>
      <c r="AD423" s="22" t="s">
        <v>4795</v>
      </c>
      <c r="AE423" s="39"/>
      <c r="AF423" s="274"/>
      <c r="AG423" s="274"/>
      <c r="AH423" s="169"/>
      <c r="AI423" s="4"/>
      <c r="AJ423" s="39"/>
      <c r="AK423" s="39"/>
      <c r="AL423" s="118"/>
      <c r="AM423" s="152"/>
      <c r="AN423" s="152"/>
      <c r="AO423" s="131"/>
      <c r="AP423" s="131"/>
      <c r="AQ423" s="39"/>
      <c r="AR423" s="274"/>
      <c r="AS423" s="274"/>
      <c r="AT423" s="274"/>
      <c r="AU423" s="39"/>
      <c r="AV423" s="39"/>
      <c r="AW423" s="39"/>
      <c r="AX423" s="274"/>
      <c r="AY423" s="274"/>
      <c r="AZ423" s="274"/>
      <c r="BA423" s="39"/>
      <c r="BB423" s="62"/>
      <c r="BC423" s="39"/>
      <c r="BD423" s="118">
        <v>1277000</v>
      </c>
      <c r="BE423" s="274">
        <f t="shared" si="136"/>
        <v>242630</v>
      </c>
      <c r="BF423" s="274">
        <f t="shared" si="137"/>
        <v>1519630</v>
      </c>
      <c r="BG423" s="25" t="s">
        <v>445</v>
      </c>
      <c r="BH423" s="5" t="s">
        <v>4862</v>
      </c>
      <c r="BI423" s="5" t="s">
        <v>4863</v>
      </c>
      <c r="BJ423" s="274">
        <v>1944600</v>
      </c>
      <c r="BK423" s="274">
        <f t="shared" si="130"/>
        <v>369474</v>
      </c>
      <c r="BL423" s="274">
        <f t="shared" si="131"/>
        <v>2314074</v>
      </c>
      <c r="BM423" s="214" t="s">
        <v>445</v>
      </c>
      <c r="BN423" s="213" t="s">
        <v>2925</v>
      </c>
      <c r="BO423" s="39"/>
      <c r="BP423" s="274"/>
      <c r="BQ423" s="274"/>
      <c r="BR423" s="274"/>
      <c r="BS423" s="39"/>
      <c r="BT423" s="39"/>
      <c r="BU423" s="39"/>
      <c r="BV423" s="219">
        <v>2063426.7276000001</v>
      </c>
      <c r="BW423" s="219">
        <f t="shared" si="132"/>
        <v>392051.07824400003</v>
      </c>
      <c r="BX423" s="273">
        <f t="shared" si="133"/>
        <v>2455477.8058440001</v>
      </c>
      <c r="BY423" s="214" t="s">
        <v>445</v>
      </c>
      <c r="BZ423" s="213" t="s">
        <v>2925</v>
      </c>
      <c r="CA423" s="213"/>
      <c r="CB423" s="274"/>
      <c r="CC423" s="274"/>
      <c r="CD423" s="274"/>
      <c r="CE423" s="39"/>
      <c r="CF423" s="39"/>
      <c r="CG423" s="39"/>
      <c r="CH423" s="231">
        <v>1147000</v>
      </c>
      <c r="CI423" s="231">
        <f t="shared" si="138"/>
        <v>217930</v>
      </c>
      <c r="CJ423" s="231">
        <f t="shared" si="139"/>
        <v>1364930</v>
      </c>
      <c r="CK423" s="39"/>
      <c r="CL423" s="39"/>
      <c r="CM423" s="39"/>
      <c r="CN423" s="39"/>
      <c r="CO423" s="39"/>
      <c r="CP423" s="11"/>
      <c r="CQ423" s="11"/>
      <c r="CR423" s="11"/>
      <c r="CS423" s="11"/>
      <c r="CT423" s="11"/>
      <c r="CU423" s="11"/>
      <c r="CV423" s="11"/>
      <c r="CW423" s="11"/>
      <c r="CX423" s="11"/>
      <c r="CY423" s="11"/>
      <c r="CZ423" s="11"/>
      <c r="DA423" s="11"/>
      <c r="DB423" s="11"/>
      <c r="DC423" s="11"/>
      <c r="DD423" s="11"/>
      <c r="DE423" s="11"/>
      <c r="DF423" s="11"/>
      <c r="DG423" s="11"/>
      <c r="DH423" s="11"/>
      <c r="DI423" s="11"/>
      <c r="DJ423" s="11"/>
      <c r="DK423" s="11"/>
      <c r="DL423" s="274"/>
      <c r="DM423" s="274"/>
      <c r="DN423" s="274"/>
      <c r="DO423" s="274"/>
      <c r="DP423" s="274"/>
      <c r="DQ423" s="274"/>
      <c r="DR423" s="274"/>
      <c r="DS423" s="274"/>
      <c r="DT423" s="274"/>
      <c r="DU423" s="274"/>
      <c r="DV423" s="274"/>
      <c r="DW423" s="274"/>
      <c r="DX423" s="274"/>
      <c r="DY423" s="274"/>
      <c r="DZ423" s="274"/>
      <c r="EA423" s="274"/>
      <c r="EB423" s="274"/>
      <c r="EC423" s="274"/>
      <c r="ED423" s="39">
        <f t="shared" si="127"/>
        <v>12328657.905843999</v>
      </c>
      <c r="EE423" s="30">
        <f t="shared" si="128"/>
        <v>7</v>
      </c>
      <c r="EF423" s="39">
        <f t="shared" si="129"/>
        <v>1761236.8436919998</v>
      </c>
    </row>
    <row r="424" spans="1:136" ht="76.5" x14ac:dyDescent="0.25">
      <c r="A424" s="25" t="e">
        <f>#REF!</f>
        <v>#REF!</v>
      </c>
      <c r="B424" s="50" t="e">
        <f>#REF!</f>
        <v>#REF!</v>
      </c>
      <c r="C424" s="5" t="e">
        <f>#REF!</f>
        <v>#REF!</v>
      </c>
      <c r="D424" s="5" t="e">
        <f>#REF!</f>
        <v>#REF!</v>
      </c>
      <c r="E424" s="252">
        <v>1</v>
      </c>
      <c r="F424" s="249">
        <v>1294244</v>
      </c>
      <c r="G424" s="249">
        <v>0</v>
      </c>
      <c r="H424" s="249">
        <v>1264690.9740785083</v>
      </c>
      <c r="I424" s="249">
        <v>1264613</v>
      </c>
      <c r="J424" s="249">
        <v>1864195.52</v>
      </c>
      <c r="K424" s="249">
        <v>1856400</v>
      </c>
      <c r="L424" s="274">
        <f t="shared" si="140"/>
        <v>1474376.8313595026</v>
      </c>
      <c r="M424" s="274">
        <f>AVERAGE(I424,K424)*E1</f>
        <v>1607321.6950000001</v>
      </c>
      <c r="N424" s="255"/>
      <c r="O424" s="137"/>
      <c r="P424" s="135"/>
      <c r="Q424" s="131"/>
      <c r="R424" s="131"/>
      <c r="S424" s="11"/>
      <c r="T424" s="274"/>
      <c r="U424" s="274"/>
      <c r="V424" s="274"/>
      <c r="W424" s="39"/>
      <c r="X424" s="11"/>
      <c r="Y424" s="11"/>
      <c r="Z424" s="274">
        <v>1570000</v>
      </c>
      <c r="AA424" s="274">
        <f t="shared" si="134"/>
        <v>298300</v>
      </c>
      <c r="AB424" s="274">
        <f t="shared" si="135"/>
        <v>1868300</v>
      </c>
      <c r="AC424" s="5" t="s">
        <v>445</v>
      </c>
      <c r="AD424" s="22" t="s">
        <v>4795</v>
      </c>
      <c r="AE424" s="39"/>
      <c r="AF424" s="274"/>
      <c r="AG424" s="274"/>
      <c r="AH424" s="169"/>
      <c r="AI424" s="4"/>
      <c r="AJ424" s="39"/>
      <c r="AK424" s="39"/>
      <c r="AL424" s="118"/>
      <c r="AM424" s="152"/>
      <c r="AN424" s="152"/>
      <c r="AO424" s="131"/>
      <c r="AP424" s="131"/>
      <c r="AQ424" s="39"/>
      <c r="AR424" s="274"/>
      <c r="AS424" s="274"/>
      <c r="AT424" s="274"/>
      <c r="AU424" s="39"/>
      <c r="AV424" s="39"/>
      <c r="AW424" s="39"/>
      <c r="AX424" s="274"/>
      <c r="AY424" s="274"/>
      <c r="AZ424" s="274"/>
      <c r="BA424" s="39"/>
      <c r="BB424" s="62"/>
      <c r="BC424" s="39"/>
      <c r="BD424" s="118">
        <v>1277000</v>
      </c>
      <c r="BE424" s="274">
        <f t="shared" si="136"/>
        <v>242630</v>
      </c>
      <c r="BF424" s="274">
        <f t="shared" si="137"/>
        <v>1519630</v>
      </c>
      <c r="BG424" s="25" t="s">
        <v>445</v>
      </c>
      <c r="BH424" s="5" t="s">
        <v>4864</v>
      </c>
      <c r="BI424" s="5" t="s">
        <v>4865</v>
      </c>
      <c r="BJ424" s="274">
        <v>1944600</v>
      </c>
      <c r="BK424" s="274">
        <f t="shared" si="130"/>
        <v>369474</v>
      </c>
      <c r="BL424" s="274">
        <f t="shared" si="131"/>
        <v>2314074</v>
      </c>
      <c r="BM424" s="214" t="s">
        <v>445</v>
      </c>
      <c r="BN424" s="213" t="s">
        <v>2925</v>
      </c>
      <c r="BO424" s="39"/>
      <c r="BP424" s="274"/>
      <c r="BQ424" s="274"/>
      <c r="BR424" s="274"/>
      <c r="BS424" s="39"/>
      <c r="BT424" s="39"/>
      <c r="BU424" s="39"/>
      <c r="BV424" s="219">
        <v>2229476.1216000002</v>
      </c>
      <c r="BW424" s="219">
        <f t="shared" si="132"/>
        <v>423600.46310400002</v>
      </c>
      <c r="BX424" s="273">
        <f t="shared" si="133"/>
        <v>2653076.584704</v>
      </c>
      <c r="BY424" s="214" t="s">
        <v>445</v>
      </c>
      <c r="BZ424" s="213" t="s">
        <v>2925</v>
      </c>
      <c r="CA424" s="213"/>
      <c r="CB424" s="274"/>
      <c r="CC424" s="274"/>
      <c r="CD424" s="274"/>
      <c r="CE424" s="39"/>
      <c r="CF424" s="39"/>
      <c r="CG424" s="39"/>
      <c r="CH424" s="231">
        <v>1147000</v>
      </c>
      <c r="CI424" s="231">
        <f t="shared" si="138"/>
        <v>217930</v>
      </c>
      <c r="CJ424" s="231">
        <f t="shared" si="139"/>
        <v>1364930</v>
      </c>
      <c r="CK424" s="39"/>
      <c r="CL424" s="39"/>
      <c r="CM424" s="39"/>
      <c r="CN424" s="39"/>
      <c r="CO424" s="39"/>
      <c r="CP424" s="11"/>
      <c r="CQ424" s="11"/>
      <c r="CR424" s="11"/>
      <c r="CS424" s="11"/>
      <c r="CT424" s="11"/>
      <c r="CU424" s="11"/>
      <c r="CV424" s="11"/>
      <c r="CW424" s="11"/>
      <c r="CX424" s="11"/>
      <c r="CY424" s="11"/>
      <c r="CZ424" s="11"/>
      <c r="DA424" s="11"/>
      <c r="DB424" s="11"/>
      <c r="DC424" s="11"/>
      <c r="DD424" s="11"/>
      <c r="DE424" s="11"/>
      <c r="DF424" s="11"/>
      <c r="DG424" s="11"/>
      <c r="DH424" s="11"/>
      <c r="DI424" s="11"/>
      <c r="DJ424" s="11"/>
      <c r="DK424" s="11"/>
      <c r="DL424" s="274"/>
      <c r="DM424" s="274"/>
      <c r="DN424" s="274"/>
      <c r="DO424" s="274"/>
      <c r="DP424" s="274"/>
      <c r="DQ424" s="274"/>
      <c r="DR424" s="274"/>
      <c r="DS424" s="274"/>
      <c r="DT424" s="274"/>
      <c r="DU424" s="274"/>
      <c r="DV424" s="274"/>
      <c r="DW424" s="274"/>
      <c r="DX424" s="274"/>
      <c r="DY424" s="274"/>
      <c r="DZ424" s="274"/>
      <c r="EA424" s="274"/>
      <c r="EB424" s="274"/>
      <c r="EC424" s="274"/>
      <c r="ED424" s="39">
        <f t="shared" si="127"/>
        <v>11327332.279704001</v>
      </c>
      <c r="EE424" s="30">
        <f t="shared" si="128"/>
        <v>6</v>
      </c>
      <c r="EF424" s="39">
        <f t="shared" si="129"/>
        <v>1887888.7132840001</v>
      </c>
    </row>
    <row r="425" spans="1:136" ht="76.5" x14ac:dyDescent="0.25">
      <c r="A425" s="25" t="e">
        <f>#REF!</f>
        <v>#REF!</v>
      </c>
      <c r="B425" s="50" t="e">
        <f>#REF!</f>
        <v>#REF!</v>
      </c>
      <c r="C425" s="5" t="e">
        <f>#REF!</f>
        <v>#REF!</v>
      </c>
      <c r="D425" s="5" t="e">
        <f>#REF!</f>
        <v>#REF!</v>
      </c>
      <c r="E425" s="252">
        <v>1</v>
      </c>
      <c r="F425" s="249">
        <v>1389444</v>
      </c>
      <c r="G425" s="249">
        <v>0</v>
      </c>
      <c r="H425" s="249">
        <v>1264690.9740785083</v>
      </c>
      <c r="I425" s="249">
        <v>1264613</v>
      </c>
      <c r="J425" s="249">
        <v>1875985.3599999999</v>
      </c>
      <c r="K425" s="249">
        <v>1868300</v>
      </c>
      <c r="L425" s="274">
        <f t="shared" si="140"/>
        <v>1510040.1113595024</v>
      </c>
      <c r="M425" s="274">
        <f>AVERAGE(I425,K425)*E1</f>
        <v>1613450.1950000001</v>
      </c>
      <c r="N425" s="255"/>
      <c r="O425" s="135"/>
      <c r="P425" s="135"/>
      <c r="Q425" s="131"/>
      <c r="R425" s="131"/>
      <c r="S425" s="11"/>
      <c r="T425" s="274"/>
      <c r="U425" s="274"/>
      <c r="V425" s="274"/>
      <c r="W425" s="39"/>
      <c r="X425" s="11"/>
      <c r="Y425" s="11"/>
      <c r="Z425" s="274">
        <v>1570000</v>
      </c>
      <c r="AA425" s="274">
        <f t="shared" si="134"/>
        <v>298300</v>
      </c>
      <c r="AB425" s="274">
        <f t="shared" si="135"/>
        <v>1868300</v>
      </c>
      <c r="AC425" s="5" t="s">
        <v>445</v>
      </c>
      <c r="AD425" s="22" t="s">
        <v>4795</v>
      </c>
      <c r="AE425" s="39"/>
      <c r="AF425" s="274"/>
      <c r="AG425" s="274"/>
      <c r="AH425" s="171"/>
      <c r="AI425" s="4"/>
      <c r="AJ425" s="39"/>
      <c r="AK425" s="39"/>
      <c r="AL425" s="118"/>
      <c r="AM425" s="152"/>
      <c r="AN425" s="181"/>
      <c r="AO425" s="131"/>
      <c r="AP425" s="131"/>
      <c r="AQ425" s="39"/>
      <c r="AR425" s="274"/>
      <c r="AS425" s="274"/>
      <c r="AT425" s="274"/>
      <c r="AU425" s="39"/>
      <c r="AV425" s="39"/>
      <c r="AW425" s="39"/>
      <c r="AX425" s="274"/>
      <c r="AY425" s="274"/>
      <c r="AZ425" s="274"/>
      <c r="BA425" s="39"/>
      <c r="BB425" s="62"/>
      <c r="BC425" s="39"/>
      <c r="BD425" s="118">
        <v>1277000</v>
      </c>
      <c r="BE425" s="274">
        <f t="shared" si="136"/>
        <v>242630</v>
      </c>
      <c r="BF425" s="274">
        <f t="shared" si="137"/>
        <v>1519630</v>
      </c>
      <c r="BG425" s="25" t="s">
        <v>445</v>
      </c>
      <c r="BH425" s="5" t="s">
        <v>4866</v>
      </c>
      <c r="BI425" s="5" t="s">
        <v>4867</v>
      </c>
      <c r="BJ425" s="274">
        <v>2136700</v>
      </c>
      <c r="BK425" s="274">
        <f t="shared" si="130"/>
        <v>405973</v>
      </c>
      <c r="BL425" s="274">
        <f t="shared" si="131"/>
        <v>2542673</v>
      </c>
      <c r="BM425" s="214" t="s">
        <v>445</v>
      </c>
      <c r="BN425" s="213" t="s">
        <v>2925</v>
      </c>
      <c r="BO425" s="39"/>
      <c r="BP425" s="274"/>
      <c r="BQ425" s="274"/>
      <c r="BR425" s="274"/>
      <c r="BS425" s="39"/>
      <c r="BT425" s="39"/>
      <c r="BU425" s="39"/>
      <c r="BV425" s="219">
        <v>2471914.0428000004</v>
      </c>
      <c r="BW425" s="219">
        <f t="shared" si="132"/>
        <v>469663.66813200008</v>
      </c>
      <c r="BX425" s="273">
        <f t="shared" si="133"/>
        <v>2941577.7109320005</v>
      </c>
      <c r="BY425" s="214" t="s">
        <v>445</v>
      </c>
      <c r="BZ425" s="213" t="s">
        <v>2925</v>
      </c>
      <c r="CA425" s="213"/>
      <c r="CB425" s="274"/>
      <c r="CC425" s="274"/>
      <c r="CD425" s="274"/>
      <c r="CE425" s="39"/>
      <c r="CF425" s="39"/>
      <c r="CG425" s="39"/>
      <c r="CH425" s="231">
        <v>1147000</v>
      </c>
      <c r="CI425" s="231">
        <f t="shared" si="138"/>
        <v>217930</v>
      </c>
      <c r="CJ425" s="231">
        <f t="shared" si="139"/>
        <v>1364930</v>
      </c>
      <c r="CK425" s="39"/>
      <c r="CL425" s="39"/>
      <c r="CM425" s="39"/>
      <c r="CN425" s="39"/>
      <c r="CO425" s="39"/>
      <c r="CP425" s="11"/>
      <c r="CQ425" s="11"/>
      <c r="CR425" s="11"/>
      <c r="CS425" s="11"/>
      <c r="CT425" s="11"/>
      <c r="CU425" s="11"/>
      <c r="CV425" s="11"/>
      <c r="CW425" s="11"/>
      <c r="CX425" s="11"/>
      <c r="CY425" s="11"/>
      <c r="CZ425" s="11"/>
      <c r="DA425" s="11"/>
      <c r="DB425" s="11"/>
      <c r="DC425" s="11"/>
      <c r="DD425" s="11"/>
      <c r="DE425" s="11"/>
      <c r="DF425" s="11"/>
      <c r="DG425" s="11"/>
      <c r="DH425" s="11"/>
      <c r="DI425" s="11"/>
      <c r="DJ425" s="11"/>
      <c r="DK425" s="11"/>
      <c r="DL425" s="274"/>
      <c r="DM425" s="274"/>
      <c r="DN425" s="274"/>
      <c r="DO425" s="274"/>
      <c r="DP425" s="274"/>
      <c r="DQ425" s="274"/>
      <c r="DR425" s="274"/>
      <c r="DS425" s="274"/>
      <c r="DT425" s="274"/>
      <c r="DU425" s="274"/>
      <c r="DV425" s="274"/>
      <c r="DW425" s="274"/>
      <c r="DX425" s="274"/>
      <c r="DY425" s="274"/>
      <c r="DZ425" s="274"/>
      <c r="EA425" s="274"/>
      <c r="EB425" s="274"/>
      <c r="EC425" s="274"/>
      <c r="ED425" s="39">
        <f t="shared" si="127"/>
        <v>11850560.905932002</v>
      </c>
      <c r="EE425" s="30">
        <f t="shared" si="128"/>
        <v>6</v>
      </c>
      <c r="EF425" s="39">
        <f t="shared" si="129"/>
        <v>1975093.4843220003</v>
      </c>
    </row>
    <row r="426" spans="1:136" ht="76.5" x14ac:dyDescent="0.25">
      <c r="A426" s="25" t="e">
        <f>#REF!</f>
        <v>#REF!</v>
      </c>
      <c r="B426" s="50" t="e">
        <f>#REF!</f>
        <v>#REF!</v>
      </c>
      <c r="C426" s="5" t="e">
        <f>#REF!</f>
        <v>#REF!</v>
      </c>
      <c r="D426" s="5" t="e">
        <f>#REF!</f>
        <v>#REF!</v>
      </c>
      <c r="E426" s="252">
        <v>1</v>
      </c>
      <c r="F426" s="249">
        <v>1294334.7375</v>
      </c>
      <c r="G426" s="249">
        <v>0</v>
      </c>
      <c r="H426" s="249">
        <v>1557675.49</v>
      </c>
      <c r="I426" s="249">
        <v>1557591</v>
      </c>
      <c r="J426" s="249">
        <v>1792021</v>
      </c>
      <c r="K426" s="249">
        <v>1785000</v>
      </c>
      <c r="L426" s="274">
        <f t="shared" si="140"/>
        <v>1548010.4091666667</v>
      </c>
      <c r="M426" s="274">
        <f>AVERAGE(I426,K426)*E1</f>
        <v>1721434.365</v>
      </c>
      <c r="N426" s="255"/>
      <c r="O426" s="137"/>
      <c r="P426" s="135"/>
      <c r="Q426" s="131"/>
      <c r="R426" s="131"/>
      <c r="S426" s="11"/>
      <c r="T426" s="274"/>
      <c r="U426" s="274"/>
      <c r="V426" s="274"/>
      <c r="W426" s="39"/>
      <c r="X426" s="11"/>
      <c r="Y426" s="11"/>
      <c r="Z426" s="274">
        <v>1570000</v>
      </c>
      <c r="AA426" s="274">
        <f t="shared" si="134"/>
        <v>298300</v>
      </c>
      <c r="AB426" s="274">
        <f t="shared" si="135"/>
        <v>1868300</v>
      </c>
      <c r="AC426" s="5" t="s">
        <v>445</v>
      </c>
      <c r="AD426" s="22" t="s">
        <v>4795</v>
      </c>
      <c r="AE426" s="39"/>
      <c r="AF426" s="274"/>
      <c r="AG426" s="274"/>
      <c r="AH426" s="172"/>
      <c r="AI426" s="24"/>
      <c r="AJ426" s="39"/>
      <c r="AK426" s="39"/>
      <c r="AL426" s="118"/>
      <c r="AM426" s="152"/>
      <c r="AN426" s="152"/>
      <c r="AO426" s="131"/>
      <c r="AP426" s="131"/>
      <c r="AQ426" s="39"/>
      <c r="AR426" s="274"/>
      <c r="AS426" s="274"/>
      <c r="AT426" s="274"/>
      <c r="AU426" s="39"/>
      <c r="AV426" s="39"/>
      <c r="AW426" s="39"/>
      <c r="AX426" s="274"/>
      <c r="AY426" s="274"/>
      <c r="AZ426" s="274"/>
      <c r="BA426" s="39"/>
      <c r="BB426" s="62"/>
      <c r="BC426" s="39"/>
      <c r="BD426" s="118">
        <v>1337648</v>
      </c>
      <c r="BE426" s="274">
        <f t="shared" si="136"/>
        <v>254153.12</v>
      </c>
      <c r="BF426" s="274">
        <f t="shared" si="137"/>
        <v>1591801.12</v>
      </c>
      <c r="BG426" s="25" t="s">
        <v>445</v>
      </c>
      <c r="BH426" s="5" t="s">
        <v>4868</v>
      </c>
      <c r="BI426" s="5" t="s">
        <v>4869</v>
      </c>
      <c r="BJ426" s="274">
        <v>2136700</v>
      </c>
      <c r="BK426" s="274">
        <f t="shared" si="130"/>
        <v>405973</v>
      </c>
      <c r="BL426" s="274">
        <f t="shared" si="131"/>
        <v>2542673</v>
      </c>
      <c r="BM426" s="214" t="s">
        <v>445</v>
      </c>
      <c r="BN426" s="213" t="s">
        <v>2925</v>
      </c>
      <c r="BO426" s="39"/>
      <c r="BP426" s="274"/>
      <c r="BQ426" s="274"/>
      <c r="BR426" s="274"/>
      <c r="BS426" s="39"/>
      <c r="BT426" s="39"/>
      <c r="BU426" s="39"/>
      <c r="BV426" s="219">
        <v>2426383.1025</v>
      </c>
      <c r="BW426" s="219">
        <f t="shared" si="132"/>
        <v>461012.789475</v>
      </c>
      <c r="BX426" s="273">
        <f t="shared" si="133"/>
        <v>2887395.891975</v>
      </c>
      <c r="BY426" s="214" t="s">
        <v>445</v>
      </c>
      <c r="BZ426" s="213" t="s">
        <v>2925</v>
      </c>
      <c r="CA426" s="213"/>
      <c r="CB426" s="274"/>
      <c r="CC426" s="274"/>
      <c r="CD426" s="274"/>
      <c r="CE426" s="39"/>
      <c r="CF426" s="39"/>
      <c r="CG426" s="39"/>
      <c r="CH426" s="231">
        <v>1471000</v>
      </c>
      <c r="CI426" s="231">
        <f t="shared" si="138"/>
        <v>279490</v>
      </c>
      <c r="CJ426" s="231">
        <f t="shared" si="139"/>
        <v>1750490</v>
      </c>
      <c r="CK426" s="39"/>
      <c r="CL426" s="39"/>
      <c r="CM426" s="39"/>
      <c r="CN426" s="39"/>
      <c r="CO426" s="39"/>
      <c r="CP426" s="11"/>
      <c r="CQ426" s="11"/>
      <c r="CR426" s="11"/>
      <c r="CS426" s="11"/>
      <c r="CT426" s="11"/>
      <c r="CU426" s="11"/>
      <c r="CV426" s="11"/>
      <c r="CW426" s="11"/>
      <c r="CX426" s="11"/>
      <c r="CY426" s="11"/>
      <c r="CZ426" s="11"/>
      <c r="DA426" s="11"/>
      <c r="DB426" s="11"/>
      <c r="DC426" s="11"/>
      <c r="DD426" s="11"/>
      <c r="DE426" s="11"/>
      <c r="DF426" s="11"/>
      <c r="DG426" s="11"/>
      <c r="DH426" s="11"/>
      <c r="DI426" s="11"/>
      <c r="DJ426" s="11"/>
      <c r="DK426" s="11"/>
      <c r="DL426" s="274"/>
      <c r="DM426" s="274"/>
      <c r="DN426" s="274"/>
      <c r="DO426" s="274"/>
      <c r="DP426" s="274"/>
      <c r="DQ426" s="274"/>
      <c r="DR426" s="274"/>
      <c r="DS426" s="274"/>
      <c r="DT426" s="274"/>
      <c r="DU426" s="274"/>
      <c r="DV426" s="274"/>
      <c r="DW426" s="274"/>
      <c r="DX426" s="274"/>
      <c r="DY426" s="274"/>
      <c r="DZ426" s="274"/>
      <c r="EA426" s="274"/>
      <c r="EB426" s="274"/>
      <c r="EC426" s="274"/>
      <c r="ED426" s="39">
        <f t="shared" si="127"/>
        <v>12362094.376975</v>
      </c>
      <c r="EE426" s="30">
        <f t="shared" si="128"/>
        <v>6</v>
      </c>
      <c r="EF426" s="39">
        <f t="shared" si="129"/>
        <v>2060349.0628291667</v>
      </c>
    </row>
    <row r="427" spans="1:136" ht="76.5" x14ac:dyDescent="0.25">
      <c r="A427" s="25" t="e">
        <f>#REF!</f>
        <v>#REF!</v>
      </c>
      <c r="B427" s="50" t="e">
        <f>#REF!</f>
        <v>#REF!</v>
      </c>
      <c r="C427" s="5" t="e">
        <f>#REF!</f>
        <v>#REF!</v>
      </c>
      <c r="D427" s="5" t="e">
        <f>#REF!</f>
        <v>#REF!</v>
      </c>
      <c r="E427" s="252">
        <v>1</v>
      </c>
      <c r="F427" s="249">
        <v>1294244</v>
      </c>
      <c r="G427" s="249">
        <v>0</v>
      </c>
      <c r="H427" s="249">
        <v>1279322.7190385084</v>
      </c>
      <c r="I427" s="249">
        <v>1279250</v>
      </c>
      <c r="J427" s="249">
        <v>1839885.52</v>
      </c>
      <c r="K427" s="249">
        <v>1832600</v>
      </c>
      <c r="L427" s="274">
        <f t="shared" si="140"/>
        <v>1471150.7463461694</v>
      </c>
      <c r="M427" s="274">
        <f>AVERAGE(I427,K427)*E1</f>
        <v>1602602.75</v>
      </c>
      <c r="N427" s="255"/>
      <c r="O427" s="137"/>
      <c r="P427" s="135"/>
      <c r="Q427" s="131"/>
      <c r="R427" s="131"/>
      <c r="S427" s="11"/>
      <c r="T427" s="274"/>
      <c r="U427" s="274"/>
      <c r="V427" s="274"/>
      <c r="W427" s="39"/>
      <c r="X427" s="11"/>
      <c r="Y427" s="11"/>
      <c r="Z427" s="274">
        <v>1570000</v>
      </c>
      <c r="AA427" s="274">
        <f t="shared" si="134"/>
        <v>298300</v>
      </c>
      <c r="AB427" s="274">
        <f t="shared" si="135"/>
        <v>1868300</v>
      </c>
      <c r="AC427" s="5" t="s">
        <v>445</v>
      </c>
      <c r="AD427" s="22" t="s">
        <v>4795</v>
      </c>
      <c r="AE427" s="39"/>
      <c r="AF427" s="274"/>
      <c r="AG427" s="274"/>
      <c r="AH427" s="172"/>
      <c r="AI427" s="24"/>
      <c r="AJ427" s="39"/>
      <c r="AK427" s="39"/>
      <c r="AL427" s="118"/>
      <c r="AM427" s="152"/>
      <c r="AN427" s="152"/>
      <c r="AO427" s="131"/>
      <c r="AP427" s="131"/>
      <c r="AQ427" s="39"/>
      <c r="AR427" s="274"/>
      <c r="AS427" s="274"/>
      <c r="AT427" s="274"/>
      <c r="AU427" s="39"/>
      <c r="AV427" s="39"/>
      <c r="AW427" s="39"/>
      <c r="AX427" s="274"/>
      <c r="AY427" s="274"/>
      <c r="AZ427" s="274"/>
      <c r="BA427" s="39"/>
      <c r="BB427" s="62"/>
      <c r="BC427" s="39"/>
      <c r="BD427" s="118">
        <v>1277000</v>
      </c>
      <c r="BE427" s="274">
        <f t="shared" si="136"/>
        <v>242630</v>
      </c>
      <c r="BF427" s="274">
        <f t="shared" si="137"/>
        <v>1519630</v>
      </c>
      <c r="BG427" s="25" t="s">
        <v>445</v>
      </c>
      <c r="BH427" s="5" t="s">
        <v>4870</v>
      </c>
      <c r="BI427" s="5" t="s">
        <v>4871</v>
      </c>
      <c r="BJ427" s="274">
        <v>1944600</v>
      </c>
      <c r="BK427" s="274">
        <f t="shared" si="130"/>
        <v>369474</v>
      </c>
      <c r="BL427" s="274">
        <f t="shared" si="131"/>
        <v>2314074</v>
      </c>
      <c r="BM427" s="214" t="s">
        <v>445</v>
      </c>
      <c r="BN427" s="213" t="s">
        <v>2925</v>
      </c>
      <c r="BO427" s="39"/>
      <c r="BP427" s="274"/>
      <c r="BQ427" s="274"/>
      <c r="BR427" s="274"/>
      <c r="BS427" s="39"/>
      <c r="BT427" s="39"/>
      <c r="BU427" s="39"/>
      <c r="BV427" s="219">
        <v>2185983.1980000003</v>
      </c>
      <c r="BW427" s="219">
        <f t="shared" si="132"/>
        <v>415336.80762000009</v>
      </c>
      <c r="BX427" s="273">
        <f t="shared" si="133"/>
        <v>2601320.0056200004</v>
      </c>
      <c r="BY427" s="214" t="s">
        <v>445</v>
      </c>
      <c r="BZ427" s="213" t="s">
        <v>2925</v>
      </c>
      <c r="CA427" s="213"/>
      <c r="CB427" s="274"/>
      <c r="CC427" s="274"/>
      <c r="CD427" s="274"/>
      <c r="CE427" s="39"/>
      <c r="CF427" s="39"/>
      <c r="CG427" s="39"/>
      <c r="CH427" s="231">
        <v>1147000</v>
      </c>
      <c r="CI427" s="231">
        <f t="shared" si="138"/>
        <v>217930</v>
      </c>
      <c r="CJ427" s="231">
        <f t="shared" si="139"/>
        <v>1364930</v>
      </c>
      <c r="CK427" s="39"/>
      <c r="CL427" s="39"/>
      <c r="CM427" s="39"/>
      <c r="CN427" s="39"/>
      <c r="CO427" s="39"/>
      <c r="CP427" s="11"/>
      <c r="CQ427" s="11"/>
      <c r="CR427" s="11"/>
      <c r="CS427" s="11"/>
      <c r="CT427" s="11"/>
      <c r="CU427" s="11"/>
      <c r="CV427" s="11"/>
      <c r="CW427" s="11"/>
      <c r="CX427" s="11"/>
      <c r="CY427" s="11"/>
      <c r="CZ427" s="11"/>
      <c r="DA427" s="11"/>
      <c r="DB427" s="11"/>
      <c r="DC427" s="11"/>
      <c r="DD427" s="11"/>
      <c r="DE427" s="11"/>
      <c r="DF427" s="11"/>
      <c r="DG427" s="11"/>
      <c r="DH427" s="11"/>
      <c r="DI427" s="11"/>
      <c r="DJ427" s="11"/>
      <c r="DK427" s="11"/>
      <c r="DL427" s="274"/>
      <c r="DM427" s="274"/>
      <c r="DN427" s="274"/>
      <c r="DO427" s="274"/>
      <c r="DP427" s="274"/>
      <c r="DQ427" s="274"/>
      <c r="DR427" s="274"/>
      <c r="DS427" s="274"/>
      <c r="DT427" s="274"/>
      <c r="DU427" s="274"/>
      <c r="DV427" s="274"/>
      <c r="DW427" s="274"/>
      <c r="DX427" s="274"/>
      <c r="DY427" s="274"/>
      <c r="DZ427" s="274"/>
      <c r="EA427" s="274"/>
      <c r="EB427" s="274"/>
      <c r="EC427" s="274"/>
      <c r="ED427" s="39">
        <f t="shared" si="127"/>
        <v>11270856.755620001</v>
      </c>
      <c r="EE427" s="30">
        <f t="shared" si="128"/>
        <v>6</v>
      </c>
      <c r="EF427" s="39">
        <f t="shared" si="129"/>
        <v>1878476.1259366667</v>
      </c>
    </row>
    <row r="428" spans="1:136" ht="76.5" x14ac:dyDescent="0.25">
      <c r="A428" s="25" t="e">
        <f>#REF!</f>
        <v>#REF!</v>
      </c>
      <c r="B428" s="50" t="e">
        <f>#REF!</f>
        <v>#REF!</v>
      </c>
      <c r="C428" s="5" t="e">
        <f>#REF!</f>
        <v>#REF!</v>
      </c>
      <c r="D428" s="5" t="e">
        <f>#REF!</f>
        <v>#REF!</v>
      </c>
      <c r="E428" s="252">
        <v>1</v>
      </c>
      <c r="F428" s="249">
        <v>1294244</v>
      </c>
      <c r="G428" s="249">
        <v>0</v>
      </c>
      <c r="H428" s="249">
        <v>1279322.7190385084</v>
      </c>
      <c r="I428" s="249">
        <v>1279250</v>
      </c>
      <c r="J428" s="249">
        <v>1849033.1066666667</v>
      </c>
      <c r="K428" s="249">
        <v>1826650</v>
      </c>
      <c r="L428" s="274">
        <f t="shared" si="140"/>
        <v>1474199.941901725</v>
      </c>
      <c r="M428" s="274">
        <f>AVERAGE(I428,K428)*E1</f>
        <v>1599538.5</v>
      </c>
      <c r="N428" s="255"/>
      <c r="O428" s="137"/>
      <c r="P428" s="135"/>
      <c r="Q428" s="131"/>
      <c r="R428" s="131"/>
      <c r="S428" s="11"/>
      <c r="T428" s="274"/>
      <c r="U428" s="274"/>
      <c r="V428" s="274"/>
      <c r="W428" s="39"/>
      <c r="X428" s="11"/>
      <c r="Y428" s="11"/>
      <c r="Z428" s="274">
        <v>1570000</v>
      </c>
      <c r="AA428" s="274">
        <f t="shared" si="134"/>
        <v>298300</v>
      </c>
      <c r="AB428" s="274">
        <f t="shared" si="135"/>
        <v>1868300</v>
      </c>
      <c r="AC428" s="5" t="s">
        <v>445</v>
      </c>
      <c r="AD428" s="22" t="s">
        <v>4795</v>
      </c>
      <c r="AE428" s="39"/>
      <c r="AF428" s="274"/>
      <c r="AG428" s="274"/>
      <c r="AH428" s="172"/>
      <c r="AI428" s="23"/>
      <c r="AJ428" s="39"/>
      <c r="AK428" s="39"/>
      <c r="AL428" s="118"/>
      <c r="AM428" s="152"/>
      <c r="AN428" s="152"/>
      <c r="AO428" s="131"/>
      <c r="AP428" s="131"/>
      <c r="AQ428" s="39"/>
      <c r="AR428" s="274"/>
      <c r="AS428" s="274"/>
      <c r="AT428" s="274"/>
      <c r="AU428" s="39"/>
      <c r="AV428" s="39"/>
      <c r="AW428" s="39"/>
      <c r="AX428" s="274"/>
      <c r="AY428" s="274"/>
      <c r="AZ428" s="274"/>
      <c r="BA428" s="39"/>
      <c r="BB428" s="62"/>
      <c r="BC428" s="39"/>
      <c r="BD428" s="118">
        <v>1277000</v>
      </c>
      <c r="BE428" s="274">
        <f t="shared" si="136"/>
        <v>242630</v>
      </c>
      <c r="BF428" s="274">
        <f t="shared" si="137"/>
        <v>1519630</v>
      </c>
      <c r="BG428" s="25" t="s">
        <v>445</v>
      </c>
      <c r="BH428" s="5" t="s">
        <v>4872</v>
      </c>
      <c r="BI428" s="5" t="s">
        <v>4873</v>
      </c>
      <c r="BJ428" s="274">
        <v>1944600</v>
      </c>
      <c r="BK428" s="274">
        <f t="shared" si="130"/>
        <v>369474</v>
      </c>
      <c r="BL428" s="274">
        <f t="shared" si="131"/>
        <v>2314074</v>
      </c>
      <c r="BM428" s="214" t="s">
        <v>445</v>
      </c>
      <c r="BN428" s="213" t="s">
        <v>2925</v>
      </c>
      <c r="BO428" s="39"/>
      <c r="BP428" s="274"/>
      <c r="BQ428" s="274"/>
      <c r="BR428" s="274"/>
      <c r="BS428" s="39"/>
      <c r="BT428" s="39"/>
      <c r="BU428" s="39"/>
      <c r="BV428" s="219">
        <v>2043393.4584000001</v>
      </c>
      <c r="BW428" s="219">
        <f t="shared" si="132"/>
        <v>388244.75709600002</v>
      </c>
      <c r="BX428" s="273">
        <f t="shared" si="133"/>
        <v>2431638.2154959999</v>
      </c>
      <c r="BY428" s="214" t="s">
        <v>445</v>
      </c>
      <c r="BZ428" s="213" t="s">
        <v>2925</v>
      </c>
      <c r="CA428" s="213"/>
      <c r="CB428" s="275"/>
      <c r="CC428" s="274"/>
      <c r="CD428" s="274"/>
      <c r="CE428" s="39"/>
      <c r="CF428" s="39"/>
      <c r="CG428" s="39"/>
      <c r="CH428" s="231">
        <v>1147000</v>
      </c>
      <c r="CI428" s="231">
        <f t="shared" si="138"/>
        <v>217930</v>
      </c>
      <c r="CJ428" s="231">
        <f t="shared" si="139"/>
        <v>1364930</v>
      </c>
      <c r="CK428" s="39"/>
      <c r="CL428" s="39"/>
      <c r="CM428" s="39"/>
      <c r="CN428" s="39"/>
      <c r="CO428" s="39"/>
      <c r="CP428" s="11"/>
      <c r="CQ428" s="11"/>
      <c r="CR428" s="11"/>
      <c r="CS428" s="11"/>
      <c r="CT428" s="11"/>
      <c r="CU428" s="11"/>
      <c r="CV428" s="11"/>
      <c r="CW428" s="11"/>
      <c r="CX428" s="11"/>
      <c r="CY428" s="11"/>
      <c r="CZ428" s="11"/>
      <c r="DA428" s="11"/>
      <c r="DB428" s="11"/>
      <c r="DC428" s="11"/>
      <c r="DD428" s="11"/>
      <c r="DE428" s="11"/>
      <c r="DF428" s="11"/>
      <c r="DG428" s="11"/>
      <c r="DH428" s="11"/>
      <c r="DI428" s="11"/>
      <c r="DJ428" s="11"/>
      <c r="DK428" s="11"/>
      <c r="DL428" s="274"/>
      <c r="DM428" s="274"/>
      <c r="DN428" s="274"/>
      <c r="DO428" s="274"/>
      <c r="DP428" s="274"/>
      <c r="DQ428" s="274"/>
      <c r="DR428" s="274"/>
      <c r="DS428" s="274"/>
      <c r="DT428" s="274"/>
      <c r="DU428" s="274"/>
      <c r="DV428" s="274"/>
      <c r="DW428" s="274"/>
      <c r="DX428" s="274"/>
      <c r="DY428" s="274"/>
      <c r="DZ428" s="274"/>
      <c r="EA428" s="274"/>
      <c r="EB428" s="274"/>
      <c r="EC428" s="274"/>
      <c r="ED428" s="39">
        <f t="shared" si="127"/>
        <v>11098110.715496</v>
      </c>
      <c r="EE428" s="30">
        <f t="shared" si="128"/>
        <v>6</v>
      </c>
      <c r="EF428" s="39">
        <f t="shared" si="129"/>
        <v>1849685.1192493334</v>
      </c>
    </row>
    <row r="429" spans="1:136" ht="76.5" x14ac:dyDescent="0.25">
      <c r="A429" s="25" t="e">
        <f>#REF!</f>
        <v>#REF!</v>
      </c>
      <c r="B429" s="50" t="e">
        <f>#REF!</f>
        <v>#REF!</v>
      </c>
      <c r="C429" s="5" t="e">
        <f>#REF!</f>
        <v>#REF!</v>
      </c>
      <c r="D429" s="5" t="e">
        <f>#REF!</f>
        <v>#REF!</v>
      </c>
      <c r="E429" s="252">
        <v>1</v>
      </c>
      <c r="F429" s="249">
        <v>1279607</v>
      </c>
      <c r="G429" s="249">
        <v>0</v>
      </c>
      <c r="H429" s="249">
        <v>1447173.9225999999</v>
      </c>
      <c r="I429" s="249">
        <v>1447040</v>
      </c>
      <c r="J429" s="249">
        <v>0</v>
      </c>
      <c r="K429" s="249">
        <v>0</v>
      </c>
      <c r="L429" s="274">
        <f>AVERAGE(F429,H429)</f>
        <v>1363390.4613000001</v>
      </c>
      <c r="M429" s="274">
        <f>I429*E1</f>
        <v>1490451.2</v>
      </c>
      <c r="N429" s="256"/>
      <c r="O429" s="135"/>
      <c r="P429" s="135"/>
      <c r="Q429" s="131"/>
      <c r="R429" s="131"/>
      <c r="S429" s="11"/>
      <c r="T429" s="274"/>
      <c r="U429" s="274"/>
      <c r="V429" s="274"/>
      <c r="W429" s="39"/>
      <c r="X429" s="11"/>
      <c r="Y429" s="11"/>
      <c r="Z429" s="274"/>
      <c r="AA429" s="274"/>
      <c r="AB429" s="274"/>
      <c r="AC429" s="54"/>
      <c r="AD429" s="23"/>
      <c r="AE429" s="39"/>
      <c r="AF429" s="274"/>
      <c r="AG429" s="274"/>
      <c r="AH429" s="172"/>
      <c r="AI429" s="24"/>
      <c r="AJ429" s="39"/>
      <c r="AK429" s="39"/>
      <c r="AL429" s="118"/>
      <c r="AM429" s="152"/>
      <c r="AN429" s="181"/>
      <c r="AO429" s="131"/>
      <c r="AP429" s="131"/>
      <c r="AQ429" s="39"/>
      <c r="AR429" s="274"/>
      <c r="AS429" s="274"/>
      <c r="AT429" s="274"/>
      <c r="AU429" s="39"/>
      <c r="AV429" s="39"/>
      <c r="AW429" s="39"/>
      <c r="AX429" s="275"/>
      <c r="AY429" s="274"/>
      <c r="AZ429" s="274"/>
      <c r="BA429" s="39"/>
      <c r="BB429" s="62"/>
      <c r="BC429" s="39"/>
      <c r="BD429" s="113">
        <v>1277000</v>
      </c>
      <c r="BE429" s="274">
        <f t="shared" si="136"/>
        <v>242630</v>
      </c>
      <c r="BF429" s="274">
        <f t="shared" si="137"/>
        <v>1519630</v>
      </c>
      <c r="BG429" s="25" t="s">
        <v>445</v>
      </c>
      <c r="BH429" s="5" t="s">
        <v>4874</v>
      </c>
      <c r="BI429" s="5" t="s">
        <v>4875</v>
      </c>
      <c r="BJ429" s="274">
        <v>1944600</v>
      </c>
      <c r="BK429" s="274">
        <f t="shared" si="130"/>
        <v>369474</v>
      </c>
      <c r="BL429" s="274">
        <f t="shared" si="131"/>
        <v>2314074</v>
      </c>
      <c r="BM429" s="214" t="s">
        <v>445</v>
      </c>
      <c r="BN429" s="213" t="s">
        <v>2925</v>
      </c>
      <c r="BO429" s="39"/>
      <c r="BP429" s="274"/>
      <c r="BQ429" s="274"/>
      <c r="BR429" s="274"/>
      <c r="BS429" s="39"/>
      <c r="BT429" s="39"/>
      <c r="BU429" s="39"/>
      <c r="BV429" s="212">
        <v>2270530.5168000003</v>
      </c>
      <c r="BW429" s="219">
        <f t="shared" si="132"/>
        <v>431400.79819200007</v>
      </c>
      <c r="BX429" s="273">
        <f t="shared" si="133"/>
        <v>2701931.3149920003</v>
      </c>
      <c r="BY429" s="214" t="s">
        <v>445</v>
      </c>
      <c r="BZ429" s="213" t="s">
        <v>2925</v>
      </c>
      <c r="CA429" s="213"/>
      <c r="CB429" s="275"/>
      <c r="CC429" s="274"/>
      <c r="CD429" s="274"/>
      <c r="CE429" s="39"/>
      <c r="CF429" s="39"/>
      <c r="CG429" s="39"/>
      <c r="CH429" s="232"/>
      <c r="CI429" s="232"/>
      <c r="CJ429" s="232"/>
      <c r="CK429" s="39"/>
      <c r="CL429" s="39"/>
      <c r="CM429" s="39"/>
      <c r="CN429" s="39"/>
      <c r="CO429" s="39"/>
      <c r="CP429" s="11"/>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274"/>
      <c r="DM429" s="274"/>
      <c r="DN429" s="274"/>
      <c r="DO429" s="274"/>
      <c r="DP429" s="274"/>
      <c r="DQ429" s="274"/>
      <c r="DR429" s="274"/>
      <c r="DS429" s="274"/>
      <c r="DT429" s="274"/>
      <c r="DU429" s="274"/>
      <c r="DV429" s="274"/>
      <c r="DW429" s="274"/>
      <c r="DX429" s="274"/>
      <c r="DY429" s="274"/>
      <c r="DZ429" s="274"/>
      <c r="EA429" s="274"/>
      <c r="EB429" s="274"/>
      <c r="EC429" s="274"/>
      <c r="ED429" s="39">
        <f t="shared" si="127"/>
        <v>8026086.5149920005</v>
      </c>
      <c r="EE429" s="30">
        <f t="shared" si="128"/>
        <v>4</v>
      </c>
      <c r="EF429" s="39">
        <f t="shared" si="129"/>
        <v>2006521.6287480001</v>
      </c>
    </row>
    <row r="430" spans="1:136" ht="89.25" x14ac:dyDescent="0.25">
      <c r="A430" s="25" t="e">
        <f>#REF!</f>
        <v>#REF!</v>
      </c>
      <c r="B430" s="50" t="e">
        <f>#REF!</f>
        <v>#REF!</v>
      </c>
      <c r="C430" s="5" t="e">
        <f>#REF!</f>
        <v>#REF!</v>
      </c>
      <c r="D430" s="5" t="e">
        <f>#REF!</f>
        <v>#REF!</v>
      </c>
      <c r="E430" s="252">
        <v>1</v>
      </c>
      <c r="F430" s="249">
        <v>0</v>
      </c>
      <c r="G430" s="249">
        <v>0</v>
      </c>
      <c r="H430" s="249">
        <v>0</v>
      </c>
      <c r="I430" s="249">
        <v>0</v>
      </c>
      <c r="J430" s="249">
        <v>0</v>
      </c>
      <c r="K430" s="249">
        <v>0</v>
      </c>
      <c r="L430" s="274"/>
      <c r="M430" s="274"/>
      <c r="N430" s="256"/>
      <c r="O430" s="137"/>
      <c r="P430" s="135"/>
      <c r="Q430" s="131"/>
      <c r="R430" s="131"/>
      <c r="S430" s="11"/>
      <c r="T430" s="274"/>
      <c r="U430" s="274"/>
      <c r="V430" s="274"/>
      <c r="W430" s="39"/>
      <c r="X430" s="11"/>
      <c r="Y430" s="11"/>
      <c r="Z430" s="274">
        <v>1570000</v>
      </c>
      <c r="AA430" s="274">
        <f>+Z430*0.19</f>
        <v>298300</v>
      </c>
      <c r="AB430" s="274">
        <f>+Z430+AA430</f>
        <v>1868300</v>
      </c>
      <c r="AC430" s="5" t="s">
        <v>445</v>
      </c>
      <c r="AD430" s="22" t="s">
        <v>4795</v>
      </c>
      <c r="AE430" s="39"/>
      <c r="AF430" s="274"/>
      <c r="AG430" s="274"/>
      <c r="AH430" s="172"/>
      <c r="AI430" s="24"/>
      <c r="AJ430" s="39"/>
      <c r="AK430" s="39"/>
      <c r="AL430" s="118"/>
      <c r="AM430" s="152"/>
      <c r="AN430" s="181"/>
      <c r="AO430" s="131"/>
      <c r="AP430" s="131"/>
      <c r="AQ430" s="39"/>
      <c r="AR430" s="274"/>
      <c r="AS430" s="274"/>
      <c r="AT430" s="274"/>
      <c r="AU430" s="39"/>
      <c r="AV430" s="39"/>
      <c r="AW430" s="39"/>
      <c r="AX430" s="275"/>
      <c r="AY430" s="274"/>
      <c r="AZ430" s="274"/>
      <c r="BA430" s="39"/>
      <c r="BB430" s="62"/>
      <c r="BC430" s="39"/>
      <c r="BD430" s="113">
        <v>1357000</v>
      </c>
      <c r="BE430" s="274">
        <f t="shared" si="136"/>
        <v>257830</v>
      </c>
      <c r="BF430" s="274">
        <f t="shared" si="137"/>
        <v>1614830</v>
      </c>
      <c r="BG430" s="25" t="s">
        <v>445</v>
      </c>
      <c r="BH430" s="5" t="s">
        <v>4866</v>
      </c>
      <c r="BI430" s="5" t="s">
        <v>4876</v>
      </c>
      <c r="BJ430" s="274">
        <v>2463900</v>
      </c>
      <c r="BK430" s="274">
        <f t="shared" si="130"/>
        <v>468141</v>
      </c>
      <c r="BL430" s="274">
        <f t="shared" si="131"/>
        <v>2932041</v>
      </c>
      <c r="BM430" s="214" t="s">
        <v>445</v>
      </c>
      <c r="BN430" s="213" t="s">
        <v>2925</v>
      </c>
      <c r="BO430" s="39"/>
      <c r="BP430" s="274"/>
      <c r="BQ430" s="274"/>
      <c r="BR430" s="274"/>
      <c r="BS430" s="39"/>
      <c r="BT430" s="39"/>
      <c r="BU430" s="39"/>
      <c r="BV430" s="212">
        <v>2588827.1217</v>
      </c>
      <c r="BW430" s="219">
        <f t="shared" si="132"/>
        <v>491877.153123</v>
      </c>
      <c r="BX430" s="273">
        <f t="shared" si="133"/>
        <v>3080704.2748230002</v>
      </c>
      <c r="BY430" s="214" t="s">
        <v>445</v>
      </c>
      <c r="BZ430" s="213" t="s">
        <v>2925</v>
      </c>
      <c r="CA430" s="213"/>
      <c r="CB430" s="274"/>
      <c r="CC430" s="274"/>
      <c r="CD430" s="274"/>
      <c r="CE430" s="39"/>
      <c r="CF430" s="39"/>
      <c r="CG430" s="39"/>
      <c r="CH430" s="231">
        <v>1891000</v>
      </c>
      <c r="CI430" s="231">
        <f>CH430*19%</f>
        <v>359290</v>
      </c>
      <c r="CJ430" s="231">
        <f>CH430+CI430</f>
        <v>2250290</v>
      </c>
      <c r="CK430" s="39"/>
      <c r="CL430" s="39"/>
      <c r="CM430" s="39"/>
      <c r="CN430" s="39"/>
      <c r="CO430" s="39"/>
      <c r="CP430" s="11"/>
      <c r="CQ430" s="11"/>
      <c r="CR430" s="11"/>
      <c r="CS430" s="11"/>
      <c r="CT430" s="11"/>
      <c r="CU430" s="11"/>
      <c r="CV430" s="11"/>
      <c r="CW430" s="11"/>
      <c r="CX430" s="11"/>
      <c r="CY430" s="11"/>
      <c r="CZ430" s="11"/>
      <c r="DA430" s="11"/>
      <c r="DB430" s="11"/>
      <c r="DC430" s="11"/>
      <c r="DD430" s="11"/>
      <c r="DE430" s="11"/>
      <c r="DF430" s="11"/>
      <c r="DG430" s="11"/>
      <c r="DH430" s="11"/>
      <c r="DI430" s="11"/>
      <c r="DJ430" s="11"/>
      <c r="DK430" s="11"/>
      <c r="DL430" s="274"/>
      <c r="DM430" s="274"/>
      <c r="DN430" s="274"/>
      <c r="DO430" s="274"/>
      <c r="DP430" s="274"/>
      <c r="DQ430" s="274"/>
      <c r="DR430" s="274"/>
      <c r="DS430" s="274"/>
      <c r="DT430" s="274"/>
      <c r="DU430" s="274"/>
      <c r="DV430" s="274"/>
      <c r="DW430" s="274"/>
      <c r="DX430" s="274"/>
      <c r="DY430" s="274"/>
      <c r="DZ430" s="274"/>
      <c r="EA430" s="274"/>
      <c r="EB430" s="274"/>
      <c r="EC430" s="274"/>
      <c r="ED430" s="39">
        <f t="shared" si="127"/>
        <v>11746165.274823001</v>
      </c>
      <c r="EE430" s="30">
        <f t="shared" si="128"/>
        <v>5</v>
      </c>
      <c r="EF430" s="39">
        <f t="shared" si="129"/>
        <v>2349233.0549646001</v>
      </c>
    </row>
    <row r="431" spans="1:136" ht="89.25" x14ac:dyDescent="0.25">
      <c r="A431" s="25" t="e">
        <f>#REF!</f>
        <v>#REF!</v>
      </c>
      <c r="B431" s="50" t="e">
        <f>#REF!</f>
        <v>#REF!</v>
      </c>
      <c r="C431" s="5" t="e">
        <f>#REF!</f>
        <v>#REF!</v>
      </c>
      <c r="D431" s="5" t="e">
        <f>#REF!</f>
        <v>#REF!</v>
      </c>
      <c r="E431" s="252">
        <v>1</v>
      </c>
      <c r="F431" s="249">
        <v>0</v>
      </c>
      <c r="G431" s="249">
        <v>0</v>
      </c>
      <c r="H431" s="249">
        <v>0</v>
      </c>
      <c r="I431" s="249">
        <v>0</v>
      </c>
      <c r="J431" s="249">
        <v>0</v>
      </c>
      <c r="K431" s="249">
        <v>0</v>
      </c>
      <c r="L431" s="274"/>
      <c r="M431" s="274"/>
      <c r="N431" s="255"/>
      <c r="O431" s="137"/>
      <c r="P431" s="135"/>
      <c r="Q431" s="131"/>
      <c r="R431" s="131"/>
      <c r="S431" s="11"/>
      <c r="T431" s="274"/>
      <c r="U431" s="274"/>
      <c r="V431" s="274"/>
      <c r="W431" s="39"/>
      <c r="X431" s="11"/>
      <c r="Y431" s="11"/>
      <c r="Z431" s="274">
        <v>1570000</v>
      </c>
      <c r="AA431" s="274">
        <f>+Z431*0.19</f>
        <v>298300</v>
      </c>
      <c r="AB431" s="274">
        <f>+Z431+AA431</f>
        <v>1868300</v>
      </c>
      <c r="AC431" s="5" t="s">
        <v>445</v>
      </c>
      <c r="AD431" s="22" t="s">
        <v>4795</v>
      </c>
      <c r="AE431" s="39"/>
      <c r="AF431" s="274"/>
      <c r="AG431" s="274"/>
      <c r="AH431" s="172"/>
      <c r="AI431" s="24"/>
      <c r="AJ431" s="39"/>
      <c r="AK431" s="39"/>
      <c r="AL431" s="118"/>
      <c r="AM431" s="152"/>
      <c r="AN431" s="181"/>
      <c r="AO431" s="131"/>
      <c r="AP431" s="131"/>
      <c r="AQ431" s="39"/>
      <c r="AR431" s="274"/>
      <c r="AS431" s="274"/>
      <c r="AT431" s="274"/>
      <c r="AU431" s="39"/>
      <c r="AV431" s="39"/>
      <c r="AW431" s="39"/>
      <c r="AX431" s="274"/>
      <c r="AY431" s="274"/>
      <c r="AZ431" s="274"/>
      <c r="BA431" s="39"/>
      <c r="BB431" s="62"/>
      <c r="BC431" s="39"/>
      <c r="BD431" s="118">
        <v>1357000</v>
      </c>
      <c r="BE431" s="274">
        <f t="shared" si="136"/>
        <v>257830</v>
      </c>
      <c r="BF431" s="274">
        <f t="shared" si="137"/>
        <v>1614830</v>
      </c>
      <c r="BG431" s="25" t="s">
        <v>445</v>
      </c>
      <c r="BH431" s="5" t="s">
        <v>4862</v>
      </c>
      <c r="BI431" s="5" t="s">
        <v>4877</v>
      </c>
      <c r="BJ431" s="274">
        <v>2064100</v>
      </c>
      <c r="BK431" s="274">
        <f t="shared" si="130"/>
        <v>392179</v>
      </c>
      <c r="BL431" s="274">
        <f t="shared" si="131"/>
        <v>2456279</v>
      </c>
      <c r="BM431" s="214" t="s">
        <v>445</v>
      </c>
      <c r="BN431" s="213" t="s">
        <v>2925</v>
      </c>
      <c r="BO431" s="39"/>
      <c r="BP431" s="274"/>
      <c r="BQ431" s="274"/>
      <c r="BR431" s="274"/>
      <c r="BS431" s="39"/>
      <c r="BT431" s="39"/>
      <c r="BU431" s="39"/>
      <c r="BV431" s="219">
        <v>2254864.1220000004</v>
      </c>
      <c r="BW431" s="219">
        <f t="shared" si="132"/>
        <v>428424.18318000011</v>
      </c>
      <c r="BX431" s="273">
        <f t="shared" si="133"/>
        <v>2683288.3051800006</v>
      </c>
      <c r="BY431" s="214" t="s">
        <v>445</v>
      </c>
      <c r="BZ431" s="213" t="s">
        <v>2925</v>
      </c>
      <c r="CA431" s="213"/>
      <c r="CB431" s="275"/>
      <c r="CC431" s="274"/>
      <c r="CD431" s="274"/>
      <c r="CE431" s="39"/>
      <c r="CF431" s="39"/>
      <c r="CG431" s="39"/>
      <c r="CH431" s="231">
        <v>1232000</v>
      </c>
      <c r="CI431" s="231">
        <f>CH431*19%</f>
        <v>234080</v>
      </c>
      <c r="CJ431" s="231">
        <f>CH431+CI431</f>
        <v>1466080</v>
      </c>
      <c r="CK431" s="39"/>
      <c r="CL431" s="39"/>
      <c r="CM431" s="39"/>
      <c r="CN431" s="39"/>
      <c r="CO431" s="39"/>
      <c r="CP431" s="11"/>
      <c r="CQ431" s="11"/>
      <c r="CR431" s="11"/>
      <c r="CS431" s="11"/>
      <c r="CT431" s="11"/>
      <c r="CU431" s="11"/>
      <c r="CV431" s="11"/>
      <c r="CW431" s="11"/>
      <c r="CX431" s="11"/>
      <c r="CY431" s="11"/>
      <c r="CZ431" s="11"/>
      <c r="DA431" s="11"/>
      <c r="DB431" s="11"/>
      <c r="DC431" s="11"/>
      <c r="DD431" s="11"/>
      <c r="DE431" s="11"/>
      <c r="DF431" s="11"/>
      <c r="DG431" s="11"/>
      <c r="DH431" s="11"/>
      <c r="DI431" s="11"/>
      <c r="DJ431" s="11"/>
      <c r="DK431" s="11"/>
      <c r="DL431" s="274"/>
      <c r="DM431" s="274"/>
      <c r="DN431" s="274"/>
      <c r="DO431" s="274"/>
      <c r="DP431" s="274"/>
      <c r="DQ431" s="274"/>
      <c r="DR431" s="274"/>
      <c r="DS431" s="274"/>
      <c r="DT431" s="274"/>
      <c r="DU431" s="274"/>
      <c r="DV431" s="274"/>
      <c r="DW431" s="274"/>
      <c r="DX431" s="274"/>
      <c r="DY431" s="274"/>
      <c r="DZ431" s="274"/>
      <c r="EA431" s="274"/>
      <c r="EB431" s="274"/>
      <c r="EC431" s="274"/>
      <c r="ED431" s="39">
        <f t="shared" si="127"/>
        <v>10088777.30518</v>
      </c>
      <c r="EE431" s="30">
        <f t="shared" si="128"/>
        <v>5</v>
      </c>
      <c r="EF431" s="39">
        <f t="shared" si="129"/>
        <v>2017755.4610359999</v>
      </c>
    </row>
    <row r="432" spans="1:136" ht="76.5" x14ac:dyDescent="0.25">
      <c r="A432" s="25" t="e">
        <f>#REF!</f>
        <v>#REF!</v>
      </c>
      <c r="B432" s="50" t="e">
        <f>#REF!</f>
        <v>#REF!</v>
      </c>
      <c r="C432" s="5" t="e">
        <f>#REF!</f>
        <v>#REF!</v>
      </c>
      <c r="D432" s="5" t="e">
        <f>#REF!</f>
        <v>#REF!</v>
      </c>
      <c r="E432" s="252">
        <v>1</v>
      </c>
      <c r="F432" s="249">
        <v>0</v>
      </c>
      <c r="G432" s="249">
        <v>0</v>
      </c>
      <c r="H432" s="249">
        <v>0</v>
      </c>
      <c r="I432" s="249">
        <v>0</v>
      </c>
      <c r="J432" s="249">
        <v>0</v>
      </c>
      <c r="K432" s="249">
        <v>0</v>
      </c>
      <c r="L432" s="274"/>
      <c r="M432" s="274"/>
      <c r="N432" s="256"/>
      <c r="O432" s="135"/>
      <c r="P432" s="135"/>
      <c r="Q432" s="131"/>
      <c r="R432" s="131"/>
      <c r="S432" s="11"/>
      <c r="T432" s="274"/>
      <c r="U432" s="274"/>
      <c r="V432" s="274"/>
      <c r="W432" s="39"/>
      <c r="X432" s="11"/>
      <c r="Y432" s="11"/>
      <c r="Z432" s="274">
        <v>1570000</v>
      </c>
      <c r="AA432" s="274">
        <f>+Z432*0.19</f>
        <v>298300</v>
      </c>
      <c r="AB432" s="274">
        <f>+Z432+AA432</f>
        <v>1868300</v>
      </c>
      <c r="AC432" s="5" t="s">
        <v>445</v>
      </c>
      <c r="AD432" s="22" t="s">
        <v>4795</v>
      </c>
      <c r="AE432" s="39"/>
      <c r="AF432" s="274"/>
      <c r="AG432" s="274"/>
      <c r="AH432" s="172"/>
      <c r="AI432" s="24"/>
      <c r="AJ432" s="39"/>
      <c r="AK432" s="39"/>
      <c r="AL432" s="118"/>
      <c r="AM432" s="152"/>
      <c r="AN432" s="181"/>
      <c r="AO432" s="131"/>
      <c r="AP432" s="131"/>
      <c r="AQ432" s="39"/>
      <c r="AR432" s="274"/>
      <c r="AS432" s="274"/>
      <c r="AT432" s="274"/>
      <c r="AU432" s="39"/>
      <c r="AV432" s="39"/>
      <c r="AW432" s="39"/>
      <c r="AX432" s="275"/>
      <c r="AY432" s="274"/>
      <c r="AZ432" s="274"/>
      <c r="BA432" s="39"/>
      <c r="BB432" s="62"/>
      <c r="BC432" s="39"/>
      <c r="BD432" s="113">
        <v>1277000</v>
      </c>
      <c r="BE432" s="274">
        <f t="shared" si="136"/>
        <v>242630</v>
      </c>
      <c r="BF432" s="274">
        <f t="shared" si="137"/>
        <v>1519630</v>
      </c>
      <c r="BG432" s="25" t="s">
        <v>445</v>
      </c>
      <c r="BH432" s="5" t="s">
        <v>4866</v>
      </c>
      <c r="BI432" s="5" t="s">
        <v>4867</v>
      </c>
      <c r="BJ432" s="274">
        <v>2136700</v>
      </c>
      <c r="BK432" s="274">
        <f t="shared" si="130"/>
        <v>405973</v>
      </c>
      <c r="BL432" s="274">
        <f t="shared" si="131"/>
        <v>2542673</v>
      </c>
      <c r="BM432" s="214" t="s">
        <v>445</v>
      </c>
      <c r="BN432" s="213" t="s">
        <v>2925</v>
      </c>
      <c r="BO432" s="39"/>
      <c r="BP432" s="274"/>
      <c r="BQ432" s="274"/>
      <c r="BR432" s="274"/>
      <c r="BS432" s="39"/>
      <c r="BT432" s="39"/>
      <c r="BU432" s="39"/>
      <c r="BV432" s="212">
        <v>2378405.6407000003</v>
      </c>
      <c r="BW432" s="219">
        <f t="shared" si="132"/>
        <v>451897.07173300005</v>
      </c>
      <c r="BX432" s="273">
        <f t="shared" si="133"/>
        <v>2830302.7124330006</v>
      </c>
      <c r="BY432" s="214" t="s">
        <v>445</v>
      </c>
      <c r="BZ432" s="213" t="s">
        <v>2925</v>
      </c>
      <c r="CA432" s="213"/>
      <c r="CB432" s="274"/>
      <c r="CC432" s="274"/>
      <c r="CD432" s="274"/>
      <c r="CE432" s="39"/>
      <c r="CF432" s="39"/>
      <c r="CG432" s="39"/>
      <c r="CH432" s="231">
        <v>1147000</v>
      </c>
      <c r="CI432" s="231">
        <f>CH432*19%</f>
        <v>217930</v>
      </c>
      <c r="CJ432" s="231">
        <f>CH432+CI432</f>
        <v>1364930</v>
      </c>
      <c r="CK432" s="39"/>
      <c r="CL432" s="39"/>
      <c r="CM432" s="39"/>
      <c r="CN432" s="39"/>
      <c r="CO432" s="39"/>
      <c r="CP432" s="11"/>
      <c r="CQ432" s="11"/>
      <c r="CR432" s="11"/>
      <c r="CS432" s="11"/>
      <c r="CT432" s="11"/>
      <c r="CU432" s="11"/>
      <c r="CV432" s="11"/>
      <c r="CW432" s="11"/>
      <c r="CX432" s="11"/>
      <c r="CY432" s="11"/>
      <c r="CZ432" s="11"/>
      <c r="DA432" s="11"/>
      <c r="DB432" s="11"/>
      <c r="DC432" s="11"/>
      <c r="DD432" s="11"/>
      <c r="DE432" s="11"/>
      <c r="DF432" s="11"/>
      <c r="DG432" s="11"/>
      <c r="DH432" s="11"/>
      <c r="DI432" s="11"/>
      <c r="DJ432" s="11"/>
      <c r="DK432" s="11"/>
      <c r="DL432" s="274"/>
      <c r="DM432" s="274"/>
      <c r="DN432" s="274"/>
      <c r="DO432" s="274"/>
      <c r="DP432" s="274"/>
      <c r="DQ432" s="274"/>
      <c r="DR432" s="274"/>
      <c r="DS432" s="274"/>
      <c r="DT432" s="274"/>
      <c r="DU432" s="274"/>
      <c r="DV432" s="274"/>
      <c r="DW432" s="274"/>
      <c r="DX432" s="274"/>
      <c r="DY432" s="274"/>
      <c r="DZ432" s="274"/>
      <c r="EA432" s="274"/>
      <c r="EB432" s="274"/>
      <c r="EC432" s="274"/>
      <c r="ED432" s="39">
        <f t="shared" si="127"/>
        <v>10125835.712433001</v>
      </c>
      <c r="EE432" s="30">
        <f t="shared" si="128"/>
        <v>5</v>
      </c>
      <c r="EF432" s="39">
        <f t="shared" si="129"/>
        <v>2025167.1424866002</v>
      </c>
    </row>
    <row r="433" spans="1:136" x14ac:dyDescent="0.25">
      <c r="A433" s="25" t="e">
        <f>#REF!</f>
        <v>#REF!</v>
      </c>
      <c r="B433" s="50" t="e">
        <f>#REF!</f>
        <v>#REF!</v>
      </c>
      <c r="C433" s="5" t="e">
        <f>#REF!</f>
        <v>#REF!</v>
      </c>
      <c r="D433" s="5" t="e">
        <f>#REF!</f>
        <v>#REF!</v>
      </c>
      <c r="E433" s="252">
        <v>1</v>
      </c>
      <c r="F433" s="249">
        <v>0</v>
      </c>
      <c r="G433" s="249">
        <v>0</v>
      </c>
      <c r="H433" s="249">
        <v>0</v>
      </c>
      <c r="I433" s="249">
        <v>0</v>
      </c>
      <c r="J433" s="249">
        <v>0</v>
      </c>
      <c r="K433" s="249">
        <v>0</v>
      </c>
      <c r="L433" s="274"/>
      <c r="M433" s="274"/>
      <c r="N433" s="255"/>
      <c r="O433" s="137"/>
      <c r="P433" s="135"/>
      <c r="Q433" s="131"/>
      <c r="R433" s="131"/>
      <c r="S433" s="11"/>
      <c r="T433" s="274"/>
      <c r="U433" s="274"/>
      <c r="V433" s="274"/>
      <c r="W433" s="39"/>
      <c r="X433" s="11"/>
      <c r="Y433" s="11"/>
      <c r="Z433" s="274"/>
      <c r="AA433" s="274"/>
      <c r="AB433" s="274"/>
      <c r="AC433" s="54"/>
      <c r="AD433" s="23"/>
      <c r="AE433" s="39"/>
      <c r="AF433" s="274"/>
      <c r="AG433" s="274"/>
      <c r="AH433" s="172"/>
      <c r="AI433" s="24"/>
      <c r="AJ433" s="39"/>
      <c r="AK433" s="39"/>
      <c r="AL433" s="118"/>
      <c r="AM433" s="152"/>
      <c r="AN433" s="181"/>
      <c r="AO433" s="131"/>
      <c r="AP433" s="131"/>
      <c r="AQ433" s="39"/>
      <c r="AR433" s="274"/>
      <c r="AS433" s="274"/>
      <c r="AT433" s="274"/>
      <c r="AU433" s="39"/>
      <c r="AV433" s="39"/>
      <c r="AW433" s="39"/>
      <c r="AX433" s="274"/>
      <c r="AY433" s="274"/>
      <c r="AZ433" s="274"/>
      <c r="BA433" s="39"/>
      <c r="BB433" s="62"/>
      <c r="BC433" s="39"/>
      <c r="BD433" s="274"/>
      <c r="BE433" s="274"/>
      <c r="BF433" s="274"/>
      <c r="BG433" s="39"/>
      <c r="BH433" s="39"/>
      <c r="BI433" s="39"/>
      <c r="BJ433" s="274">
        <v>3198600</v>
      </c>
      <c r="BK433" s="274">
        <f t="shared" si="130"/>
        <v>607734</v>
      </c>
      <c r="BL433" s="274">
        <f t="shared" si="131"/>
        <v>3806334</v>
      </c>
      <c r="BM433" s="214" t="s">
        <v>445</v>
      </c>
      <c r="BN433" s="213" t="s">
        <v>2925</v>
      </c>
      <c r="BO433" s="39"/>
      <c r="BP433" s="274"/>
      <c r="BQ433" s="274"/>
      <c r="BR433" s="274"/>
      <c r="BS433" s="39"/>
      <c r="BT433" s="39"/>
      <c r="BU433" s="39"/>
      <c r="BV433" s="219">
        <v>3560771.0808000001</v>
      </c>
      <c r="BW433" s="219">
        <f t="shared" si="132"/>
        <v>676546.50535200001</v>
      </c>
      <c r="BX433" s="273">
        <f t="shared" si="133"/>
        <v>4237317.5861520004</v>
      </c>
      <c r="BY433" s="214" t="s">
        <v>445</v>
      </c>
      <c r="BZ433" s="213" t="s">
        <v>2925</v>
      </c>
      <c r="CA433" s="213"/>
      <c r="CB433" s="274"/>
      <c r="CC433" s="274"/>
      <c r="CD433" s="274"/>
      <c r="CE433" s="39"/>
      <c r="CF433" s="39"/>
      <c r="CG433" s="39"/>
      <c r="CH433" s="232"/>
      <c r="CI433" s="232"/>
      <c r="CJ433" s="232"/>
      <c r="CK433" s="39"/>
      <c r="CL433" s="39"/>
      <c r="CM433" s="39"/>
      <c r="CN433" s="39"/>
      <c r="CO433" s="39"/>
      <c r="CP433" s="11"/>
      <c r="CQ433" s="11"/>
      <c r="CR433" s="11"/>
      <c r="CS433" s="11"/>
      <c r="CT433" s="11"/>
      <c r="CU433" s="11"/>
      <c r="CV433" s="11"/>
      <c r="CW433" s="11"/>
      <c r="CX433" s="11"/>
      <c r="CY433" s="11"/>
      <c r="CZ433" s="11"/>
      <c r="DA433" s="11"/>
      <c r="DB433" s="11"/>
      <c r="DC433" s="11"/>
      <c r="DD433" s="11"/>
      <c r="DE433" s="11"/>
      <c r="DF433" s="11"/>
      <c r="DG433" s="11"/>
      <c r="DH433" s="11"/>
      <c r="DI433" s="11"/>
      <c r="DJ433" s="11"/>
      <c r="DK433" s="11"/>
      <c r="DL433" s="274"/>
      <c r="DM433" s="274"/>
      <c r="DN433" s="274"/>
      <c r="DO433" s="274"/>
      <c r="DP433" s="274"/>
      <c r="DQ433" s="274"/>
      <c r="DR433" s="274"/>
      <c r="DS433" s="274"/>
      <c r="DT433" s="274"/>
      <c r="DU433" s="274"/>
      <c r="DV433" s="274"/>
      <c r="DW433" s="274"/>
      <c r="DX433" s="274"/>
      <c r="DY433" s="274"/>
      <c r="DZ433" s="274"/>
      <c r="EA433" s="274"/>
      <c r="EB433" s="274"/>
      <c r="EC433" s="274"/>
      <c r="ED433" s="39">
        <f t="shared" si="127"/>
        <v>8043651.5861520004</v>
      </c>
      <c r="EE433" s="30">
        <f t="shared" si="128"/>
        <v>2</v>
      </c>
      <c r="EF433" s="39">
        <f t="shared" si="129"/>
        <v>4021825.7930760002</v>
      </c>
    </row>
    <row r="434" spans="1:136" x14ac:dyDescent="0.25">
      <c r="A434" s="25" t="e">
        <f>#REF!</f>
        <v>#REF!</v>
      </c>
      <c r="B434" s="50" t="e">
        <f>#REF!</f>
        <v>#REF!</v>
      </c>
      <c r="C434" s="5" t="e">
        <f>#REF!</f>
        <v>#REF!</v>
      </c>
      <c r="D434" s="5" t="e">
        <f>#REF!</f>
        <v>#REF!</v>
      </c>
      <c r="E434" s="252">
        <v>1</v>
      </c>
      <c r="F434" s="249">
        <v>0</v>
      </c>
      <c r="G434" s="249">
        <v>0</v>
      </c>
      <c r="H434" s="249">
        <v>0</v>
      </c>
      <c r="I434" s="249">
        <v>0</v>
      </c>
      <c r="J434" s="249">
        <v>0</v>
      </c>
      <c r="K434" s="249">
        <v>0</v>
      </c>
      <c r="L434" s="274"/>
      <c r="M434" s="274"/>
      <c r="N434" s="255"/>
      <c r="O434" s="137"/>
      <c r="P434" s="135"/>
      <c r="Q434" s="131"/>
      <c r="R434" s="131"/>
      <c r="S434" s="11"/>
      <c r="T434" s="274"/>
      <c r="U434" s="274"/>
      <c r="V434" s="274"/>
      <c r="W434" s="39"/>
      <c r="X434" s="11"/>
      <c r="Y434" s="11"/>
      <c r="Z434" s="274"/>
      <c r="AA434" s="274"/>
      <c r="AB434" s="274"/>
      <c r="AC434" s="52"/>
      <c r="AD434" s="22"/>
      <c r="AE434" s="39"/>
      <c r="AF434" s="274"/>
      <c r="AG434" s="274"/>
      <c r="AH434" s="171"/>
      <c r="AI434" s="4"/>
      <c r="AJ434" s="39"/>
      <c r="AK434" s="39"/>
      <c r="AL434" s="118"/>
      <c r="AM434" s="152"/>
      <c r="AN434" s="181"/>
      <c r="AO434" s="131"/>
      <c r="AP434" s="131"/>
      <c r="AQ434" s="39"/>
      <c r="AR434" s="274"/>
      <c r="AS434" s="274"/>
      <c r="AT434" s="274"/>
      <c r="AU434" s="39"/>
      <c r="AV434" s="39"/>
      <c r="AW434" s="39"/>
      <c r="AX434" s="274"/>
      <c r="AY434" s="274"/>
      <c r="AZ434" s="274"/>
      <c r="BA434" s="39"/>
      <c r="BB434" s="62"/>
      <c r="BC434" s="39"/>
      <c r="BD434" s="274"/>
      <c r="BE434" s="274"/>
      <c r="BF434" s="274"/>
      <c r="BG434" s="39"/>
      <c r="BH434" s="39"/>
      <c r="BI434" s="39"/>
      <c r="BJ434" s="274">
        <v>3198600</v>
      </c>
      <c r="BK434" s="274">
        <f t="shared" si="130"/>
        <v>607734</v>
      </c>
      <c r="BL434" s="274">
        <f t="shared" si="131"/>
        <v>3806334</v>
      </c>
      <c r="BM434" s="214" t="s">
        <v>445</v>
      </c>
      <c r="BN434" s="213" t="s">
        <v>2925</v>
      </c>
      <c r="BO434" s="39"/>
      <c r="BP434" s="274"/>
      <c r="BQ434" s="274"/>
      <c r="BR434" s="274"/>
      <c r="BS434" s="39"/>
      <c r="BT434" s="39"/>
      <c r="BU434" s="39"/>
      <c r="BV434" s="219">
        <v>3769575.6888000006</v>
      </c>
      <c r="BW434" s="219">
        <f t="shared" si="132"/>
        <v>716219.38087200013</v>
      </c>
      <c r="BX434" s="273">
        <f t="shared" si="133"/>
        <v>4485795.0696720006</v>
      </c>
      <c r="BY434" s="214" t="s">
        <v>445</v>
      </c>
      <c r="BZ434" s="213" t="s">
        <v>2925</v>
      </c>
      <c r="CA434" s="213"/>
      <c r="CB434" s="274"/>
      <c r="CC434" s="274"/>
      <c r="CD434" s="274"/>
      <c r="CE434" s="39"/>
      <c r="CF434" s="39"/>
      <c r="CG434" s="39"/>
      <c r="CH434" s="232"/>
      <c r="CI434" s="232"/>
      <c r="CJ434" s="232"/>
      <c r="CK434" s="39"/>
      <c r="CL434" s="39"/>
      <c r="CM434" s="39"/>
      <c r="CN434" s="39"/>
      <c r="CO434" s="39"/>
      <c r="CP434" s="11"/>
      <c r="CQ434" s="11"/>
      <c r="CR434" s="11"/>
      <c r="CS434" s="11"/>
      <c r="CT434" s="11"/>
      <c r="CU434" s="11"/>
      <c r="CV434" s="11"/>
      <c r="CW434" s="11"/>
      <c r="CX434" s="11"/>
      <c r="CY434" s="11"/>
      <c r="CZ434" s="11"/>
      <c r="DA434" s="11"/>
      <c r="DB434" s="11"/>
      <c r="DC434" s="11"/>
      <c r="DD434" s="11"/>
      <c r="DE434" s="11"/>
      <c r="DF434" s="11"/>
      <c r="DG434" s="11"/>
      <c r="DH434" s="11"/>
      <c r="DI434" s="11"/>
      <c r="DJ434" s="11"/>
      <c r="DK434" s="11"/>
      <c r="DL434" s="274"/>
      <c r="DM434" s="274"/>
      <c r="DN434" s="274"/>
      <c r="DO434" s="274"/>
      <c r="DP434" s="274"/>
      <c r="DQ434" s="274"/>
      <c r="DR434" s="274"/>
      <c r="DS434" s="274"/>
      <c r="DT434" s="274"/>
      <c r="DU434" s="274"/>
      <c r="DV434" s="274"/>
      <c r="DW434" s="274"/>
      <c r="DX434" s="274"/>
      <c r="DY434" s="274"/>
      <c r="DZ434" s="274"/>
      <c r="EA434" s="274"/>
      <c r="EB434" s="274"/>
      <c r="EC434" s="274"/>
      <c r="ED434" s="39">
        <f t="shared" si="127"/>
        <v>8292129.0696720006</v>
      </c>
      <c r="EE434" s="30">
        <f t="shared" si="128"/>
        <v>2</v>
      </c>
      <c r="EF434" s="39">
        <f t="shared" si="129"/>
        <v>4146064.5348360003</v>
      </c>
    </row>
    <row r="435" spans="1:136" x14ac:dyDescent="0.25">
      <c r="A435" s="25" t="e">
        <f>#REF!</f>
        <v>#REF!</v>
      </c>
      <c r="B435" s="50" t="e">
        <f>#REF!</f>
        <v>#REF!</v>
      </c>
      <c r="C435" s="5" t="e">
        <f>#REF!</f>
        <v>#REF!</v>
      </c>
      <c r="D435" s="5" t="e">
        <f>#REF!</f>
        <v>#REF!</v>
      </c>
      <c r="E435" s="252">
        <v>1</v>
      </c>
      <c r="F435" s="249">
        <v>0</v>
      </c>
      <c r="G435" s="249">
        <v>0</v>
      </c>
      <c r="H435" s="249">
        <v>0</v>
      </c>
      <c r="I435" s="249">
        <v>0</v>
      </c>
      <c r="J435" s="249">
        <v>0</v>
      </c>
      <c r="K435" s="249">
        <v>0</v>
      </c>
      <c r="L435" s="274"/>
      <c r="M435" s="274"/>
      <c r="N435" s="255"/>
      <c r="O435" s="137"/>
      <c r="P435" s="135"/>
      <c r="Q435" s="131"/>
      <c r="R435" s="131"/>
      <c r="S435" s="11"/>
      <c r="T435" s="274"/>
      <c r="U435" s="274"/>
      <c r="V435" s="274"/>
      <c r="W435" s="39"/>
      <c r="X435" s="11"/>
      <c r="Y435" s="11"/>
      <c r="Z435" s="274"/>
      <c r="AA435" s="274"/>
      <c r="AB435" s="274"/>
      <c r="AC435" s="52"/>
      <c r="AD435" s="22"/>
      <c r="AE435" s="39"/>
      <c r="AF435" s="274"/>
      <c r="AG435" s="274"/>
      <c r="AH435" s="171"/>
      <c r="AI435" s="4"/>
      <c r="AJ435" s="39"/>
      <c r="AK435" s="39"/>
      <c r="AL435" s="118"/>
      <c r="AM435" s="152"/>
      <c r="AN435" s="181"/>
      <c r="AO435" s="131"/>
      <c r="AP435" s="131"/>
      <c r="AQ435" s="39"/>
      <c r="AR435" s="274"/>
      <c r="AS435" s="274"/>
      <c r="AT435" s="274"/>
      <c r="AU435" s="39"/>
      <c r="AV435" s="39"/>
      <c r="AW435" s="39"/>
      <c r="AX435" s="274"/>
      <c r="AY435" s="274"/>
      <c r="AZ435" s="274"/>
      <c r="BA435" s="39"/>
      <c r="BB435" s="62"/>
      <c r="BC435" s="39"/>
      <c r="BD435" s="274"/>
      <c r="BE435" s="274"/>
      <c r="BF435" s="274"/>
      <c r="BG435" s="39"/>
      <c r="BH435" s="39"/>
      <c r="BI435" s="39"/>
      <c r="BJ435" s="274">
        <v>3198600</v>
      </c>
      <c r="BK435" s="274">
        <f t="shared" si="130"/>
        <v>607734</v>
      </c>
      <c r="BL435" s="274">
        <f t="shared" si="131"/>
        <v>3806334</v>
      </c>
      <c r="BM435" s="214" t="s">
        <v>445</v>
      </c>
      <c r="BN435" s="213" t="s">
        <v>2925</v>
      </c>
      <c r="BO435" s="39"/>
      <c r="BP435" s="274"/>
      <c r="BQ435" s="274"/>
      <c r="BR435" s="274"/>
      <c r="BS435" s="39"/>
      <c r="BT435" s="39"/>
      <c r="BU435" s="39"/>
      <c r="BV435" s="219">
        <v>3561721.0649999999</v>
      </c>
      <c r="BW435" s="219">
        <f t="shared" si="132"/>
        <v>676727.00234999997</v>
      </c>
      <c r="BX435" s="273">
        <f t="shared" si="133"/>
        <v>4238448.0673500001</v>
      </c>
      <c r="BY435" s="214" t="s">
        <v>445</v>
      </c>
      <c r="BZ435" s="213" t="s">
        <v>2925</v>
      </c>
      <c r="CA435" s="213"/>
      <c r="CB435" s="274"/>
      <c r="CC435" s="274"/>
      <c r="CD435" s="274"/>
      <c r="CE435" s="39"/>
      <c r="CF435" s="39"/>
      <c r="CG435" s="39"/>
      <c r="CH435" s="274"/>
      <c r="CI435" s="274"/>
      <c r="CJ435" s="274"/>
      <c r="CK435" s="39"/>
      <c r="CL435" s="39"/>
      <c r="CM435" s="39"/>
      <c r="CN435" s="39"/>
      <c r="CO435" s="39"/>
      <c r="CP435" s="11"/>
      <c r="CQ435" s="11"/>
      <c r="CR435" s="11"/>
      <c r="CS435" s="11"/>
      <c r="CT435" s="11"/>
      <c r="CU435" s="11"/>
      <c r="CV435" s="11"/>
      <c r="CW435" s="11"/>
      <c r="CX435" s="11"/>
      <c r="CY435" s="11"/>
      <c r="CZ435" s="11"/>
      <c r="DA435" s="11"/>
      <c r="DB435" s="11"/>
      <c r="DC435" s="11"/>
      <c r="DD435" s="11"/>
      <c r="DE435" s="11"/>
      <c r="DF435" s="11"/>
      <c r="DG435" s="11"/>
      <c r="DH435" s="11"/>
      <c r="DI435" s="11"/>
      <c r="DJ435" s="11"/>
      <c r="DK435" s="11"/>
      <c r="DL435" s="274"/>
      <c r="DM435" s="274"/>
      <c r="DN435" s="274"/>
      <c r="DO435" s="274"/>
      <c r="DP435" s="274"/>
      <c r="DQ435" s="274"/>
      <c r="DR435" s="274"/>
      <c r="DS435" s="274"/>
      <c r="DT435" s="274"/>
      <c r="DU435" s="274"/>
      <c r="DV435" s="274"/>
      <c r="DW435" s="274"/>
      <c r="DX435" s="274"/>
      <c r="DY435" s="274"/>
      <c r="DZ435" s="274"/>
      <c r="EA435" s="274"/>
      <c r="EB435" s="274"/>
      <c r="EC435" s="274"/>
      <c r="ED435" s="39">
        <f t="shared" si="127"/>
        <v>8044782.0673500001</v>
      </c>
      <c r="EE435" s="30">
        <f t="shared" si="128"/>
        <v>2</v>
      </c>
      <c r="EF435" s="39">
        <f t="shared" si="129"/>
        <v>4022391.0336750001</v>
      </c>
    </row>
    <row r="436" spans="1:136" x14ac:dyDescent="0.25">
      <c r="A436" s="25" t="e">
        <f>#REF!</f>
        <v>#REF!</v>
      </c>
      <c r="B436" s="50" t="e">
        <f>#REF!</f>
        <v>#REF!</v>
      </c>
      <c r="C436" s="5" t="e">
        <f>#REF!</f>
        <v>#REF!</v>
      </c>
      <c r="D436" s="5" t="e">
        <f>#REF!</f>
        <v>#REF!</v>
      </c>
      <c r="E436" s="252">
        <v>1</v>
      </c>
      <c r="F436" s="249">
        <v>0</v>
      </c>
      <c r="G436" s="249">
        <v>0</v>
      </c>
      <c r="H436" s="249">
        <v>0</v>
      </c>
      <c r="I436" s="249">
        <v>0</v>
      </c>
      <c r="J436" s="249">
        <v>0</v>
      </c>
      <c r="K436" s="249">
        <v>0</v>
      </c>
      <c r="L436" s="274"/>
      <c r="M436" s="274"/>
      <c r="N436" s="255"/>
      <c r="O436" s="135"/>
      <c r="P436" s="135"/>
      <c r="Q436" s="131"/>
      <c r="R436" s="131"/>
      <c r="S436" s="11"/>
      <c r="T436" s="274"/>
      <c r="U436" s="274"/>
      <c r="V436" s="274"/>
      <c r="W436" s="39"/>
      <c r="X436" s="11"/>
      <c r="Y436" s="11"/>
      <c r="Z436" s="274"/>
      <c r="AA436" s="274"/>
      <c r="AB436" s="274"/>
      <c r="AC436" s="5"/>
      <c r="AD436" s="22"/>
      <c r="AE436" s="39"/>
      <c r="AF436" s="274"/>
      <c r="AG436" s="274"/>
      <c r="AH436" s="169"/>
      <c r="AI436" s="4"/>
      <c r="AJ436" s="39"/>
      <c r="AK436" s="39"/>
      <c r="AL436" s="118"/>
      <c r="AM436" s="152"/>
      <c r="AN436" s="152"/>
      <c r="AO436" s="131"/>
      <c r="AP436" s="131"/>
      <c r="AQ436" s="39"/>
      <c r="AR436" s="274"/>
      <c r="AS436" s="274"/>
      <c r="AT436" s="274"/>
      <c r="AU436" s="39"/>
      <c r="AV436" s="39"/>
      <c r="AW436" s="39"/>
      <c r="AX436" s="274"/>
      <c r="AY436" s="274"/>
      <c r="AZ436" s="274"/>
      <c r="BA436" s="39"/>
      <c r="BB436" s="62"/>
      <c r="BC436" s="39"/>
      <c r="BD436" s="274"/>
      <c r="BE436" s="274"/>
      <c r="BF436" s="274"/>
      <c r="BG436" s="39"/>
      <c r="BH436" s="39"/>
      <c r="BI436" s="39"/>
      <c r="BJ436" s="274">
        <v>3198600</v>
      </c>
      <c r="BK436" s="274">
        <f t="shared" si="130"/>
        <v>607734</v>
      </c>
      <c r="BL436" s="274">
        <f t="shared" si="131"/>
        <v>3806334</v>
      </c>
      <c r="BM436" s="214" t="s">
        <v>445</v>
      </c>
      <c r="BN436" s="213" t="s">
        <v>2925</v>
      </c>
      <c r="BO436" s="39"/>
      <c r="BP436" s="274"/>
      <c r="BQ436" s="274"/>
      <c r="BR436" s="274"/>
      <c r="BS436" s="39"/>
      <c r="BT436" s="39"/>
      <c r="BU436" s="39"/>
      <c r="BV436" s="219">
        <v>3591765.5148000009</v>
      </c>
      <c r="BW436" s="219">
        <f t="shared" si="132"/>
        <v>682435.44781200017</v>
      </c>
      <c r="BX436" s="273">
        <f t="shared" si="133"/>
        <v>4274200.9626120012</v>
      </c>
      <c r="BY436" s="214" t="s">
        <v>445</v>
      </c>
      <c r="BZ436" s="213" t="s">
        <v>2925</v>
      </c>
      <c r="CA436" s="213"/>
      <c r="CB436" s="274"/>
      <c r="CC436" s="274"/>
      <c r="CD436" s="274"/>
      <c r="CE436" s="39"/>
      <c r="CF436" s="39"/>
      <c r="CG436" s="39"/>
      <c r="CH436" s="274"/>
      <c r="CI436" s="274"/>
      <c r="CJ436" s="274"/>
      <c r="CK436" s="39"/>
      <c r="CL436" s="39"/>
      <c r="CM436" s="39"/>
      <c r="CN436" s="39"/>
      <c r="CO436" s="39"/>
      <c r="CP436" s="11"/>
      <c r="CQ436" s="11"/>
      <c r="CR436" s="11"/>
      <c r="CS436" s="11"/>
      <c r="CT436" s="11"/>
      <c r="CU436" s="11"/>
      <c r="CV436" s="11"/>
      <c r="CW436" s="11"/>
      <c r="CX436" s="11"/>
      <c r="CY436" s="11"/>
      <c r="CZ436" s="11"/>
      <c r="DA436" s="11"/>
      <c r="DB436" s="11"/>
      <c r="DC436" s="11"/>
      <c r="DD436" s="11"/>
      <c r="DE436" s="11"/>
      <c r="DF436" s="11"/>
      <c r="DG436" s="11"/>
      <c r="DH436" s="11"/>
      <c r="DI436" s="11"/>
      <c r="DJ436" s="11"/>
      <c r="DK436" s="11"/>
      <c r="DL436" s="274"/>
      <c r="DM436" s="274"/>
      <c r="DN436" s="274"/>
      <c r="DO436" s="274"/>
      <c r="DP436" s="274"/>
      <c r="DQ436" s="274"/>
      <c r="DR436" s="274"/>
      <c r="DS436" s="274"/>
      <c r="DT436" s="274"/>
      <c r="DU436" s="274"/>
      <c r="DV436" s="274"/>
      <c r="DW436" s="274"/>
      <c r="DX436" s="274"/>
      <c r="DY436" s="274"/>
      <c r="DZ436" s="274"/>
      <c r="EA436" s="274"/>
      <c r="EB436" s="274"/>
      <c r="EC436" s="274"/>
      <c r="ED436" s="39">
        <f t="shared" si="127"/>
        <v>8080534.9626120012</v>
      </c>
      <c r="EE436" s="30">
        <f t="shared" si="128"/>
        <v>2</v>
      </c>
      <c r="EF436" s="39">
        <f t="shared" si="129"/>
        <v>4040267.4813060006</v>
      </c>
    </row>
    <row r="437" spans="1:136" x14ac:dyDescent="0.25">
      <c r="A437" s="25" t="e">
        <f>#REF!</f>
        <v>#REF!</v>
      </c>
      <c r="B437" s="50" t="e">
        <f>#REF!</f>
        <v>#REF!</v>
      </c>
      <c r="C437" s="5" t="e">
        <f>#REF!</f>
        <v>#REF!</v>
      </c>
      <c r="D437" s="5" t="e">
        <f>#REF!</f>
        <v>#REF!</v>
      </c>
      <c r="E437" s="252">
        <v>1</v>
      </c>
      <c r="F437" s="249">
        <v>0</v>
      </c>
      <c r="G437" s="249">
        <v>0</v>
      </c>
      <c r="H437" s="249">
        <v>0</v>
      </c>
      <c r="I437" s="249">
        <v>0</v>
      </c>
      <c r="J437" s="249">
        <v>0</v>
      </c>
      <c r="K437" s="249">
        <v>0</v>
      </c>
      <c r="L437" s="274"/>
      <c r="M437" s="274"/>
      <c r="N437" s="255"/>
      <c r="O437" s="137"/>
      <c r="P437" s="135"/>
      <c r="Q437" s="131"/>
      <c r="R437" s="131"/>
      <c r="S437" s="11"/>
      <c r="T437" s="274"/>
      <c r="U437" s="274"/>
      <c r="V437" s="274"/>
      <c r="W437" s="39"/>
      <c r="X437" s="11"/>
      <c r="Y437" s="11"/>
      <c r="Z437" s="274"/>
      <c r="AA437" s="274"/>
      <c r="AB437" s="274"/>
      <c r="AC437" s="5"/>
      <c r="AD437" s="22"/>
      <c r="AE437" s="39"/>
      <c r="AF437" s="274"/>
      <c r="AG437" s="274"/>
      <c r="AH437" s="169"/>
      <c r="AI437" s="4"/>
      <c r="AJ437" s="39"/>
      <c r="AK437" s="39"/>
      <c r="AL437" s="118"/>
      <c r="AM437" s="152"/>
      <c r="AN437" s="181"/>
      <c r="AO437" s="131"/>
      <c r="AP437" s="131"/>
      <c r="AQ437" s="39"/>
      <c r="AR437" s="274"/>
      <c r="AS437" s="274"/>
      <c r="AT437" s="274"/>
      <c r="AU437" s="39"/>
      <c r="AV437" s="39"/>
      <c r="AW437" s="39"/>
      <c r="AX437" s="274"/>
      <c r="AY437" s="274"/>
      <c r="AZ437" s="274"/>
      <c r="BA437" s="39"/>
      <c r="BB437" s="62"/>
      <c r="BC437" s="39"/>
      <c r="BD437" s="274"/>
      <c r="BE437" s="274"/>
      <c r="BF437" s="274"/>
      <c r="BG437" s="39"/>
      <c r="BH437" s="39"/>
      <c r="BI437" s="39"/>
      <c r="BJ437" s="274">
        <v>3198600</v>
      </c>
      <c r="BK437" s="274">
        <f t="shared" si="130"/>
        <v>607734</v>
      </c>
      <c r="BL437" s="274">
        <f t="shared" si="131"/>
        <v>3806334</v>
      </c>
      <c r="BM437" s="214" t="s">
        <v>445</v>
      </c>
      <c r="BN437" s="213" t="s">
        <v>2925</v>
      </c>
      <c r="BO437" s="39"/>
      <c r="BP437" s="274"/>
      <c r="BQ437" s="274"/>
      <c r="BR437" s="274"/>
      <c r="BS437" s="39"/>
      <c r="BT437" s="39"/>
      <c r="BU437" s="39"/>
      <c r="BV437" s="219">
        <v>3699756.6480000005</v>
      </c>
      <c r="BW437" s="219">
        <f t="shared" si="132"/>
        <v>702953.76312000013</v>
      </c>
      <c r="BX437" s="273">
        <f t="shared" si="133"/>
        <v>4402710.4111200003</v>
      </c>
      <c r="BY437" s="214" t="s">
        <v>445</v>
      </c>
      <c r="BZ437" s="213" t="s">
        <v>2925</v>
      </c>
      <c r="CA437" s="213"/>
      <c r="CB437" s="274"/>
      <c r="CC437" s="274"/>
      <c r="CD437" s="274"/>
      <c r="CE437" s="39"/>
      <c r="CF437" s="39"/>
      <c r="CG437" s="39"/>
      <c r="CH437" s="274"/>
      <c r="CI437" s="274"/>
      <c r="CJ437" s="274"/>
      <c r="CK437" s="39"/>
      <c r="CL437" s="39"/>
      <c r="CM437" s="39"/>
      <c r="CN437" s="39"/>
      <c r="CO437" s="39"/>
      <c r="CP437" s="11"/>
      <c r="CQ437" s="11"/>
      <c r="CR437" s="11"/>
      <c r="CS437" s="11"/>
      <c r="CT437" s="11"/>
      <c r="CU437" s="11"/>
      <c r="CV437" s="11"/>
      <c r="CW437" s="11"/>
      <c r="CX437" s="11"/>
      <c r="CY437" s="11"/>
      <c r="CZ437" s="11"/>
      <c r="DA437" s="11"/>
      <c r="DB437" s="11"/>
      <c r="DC437" s="11"/>
      <c r="DD437" s="11"/>
      <c r="DE437" s="11"/>
      <c r="DF437" s="11"/>
      <c r="DG437" s="11"/>
      <c r="DH437" s="11"/>
      <c r="DI437" s="11"/>
      <c r="DJ437" s="11"/>
      <c r="DK437" s="11"/>
      <c r="DL437" s="274"/>
      <c r="DM437" s="274"/>
      <c r="DN437" s="274"/>
      <c r="DO437" s="274"/>
      <c r="DP437" s="274"/>
      <c r="DQ437" s="274"/>
      <c r="DR437" s="274"/>
      <c r="DS437" s="274"/>
      <c r="DT437" s="274"/>
      <c r="DU437" s="274"/>
      <c r="DV437" s="274"/>
      <c r="DW437" s="274"/>
      <c r="DX437" s="274"/>
      <c r="DY437" s="274"/>
      <c r="DZ437" s="274"/>
      <c r="EA437" s="274"/>
      <c r="EB437" s="274"/>
      <c r="EC437" s="274"/>
      <c r="ED437" s="39">
        <f t="shared" si="127"/>
        <v>8209044.4111200003</v>
      </c>
      <c r="EE437" s="30">
        <f t="shared" si="128"/>
        <v>2</v>
      </c>
      <c r="EF437" s="39">
        <f t="shared" si="129"/>
        <v>4104522.2055600001</v>
      </c>
    </row>
    <row r="438" spans="1:136" x14ac:dyDescent="0.25">
      <c r="A438" s="25" t="e">
        <f>#REF!</f>
        <v>#REF!</v>
      </c>
      <c r="B438" s="50" t="e">
        <f>#REF!</f>
        <v>#REF!</v>
      </c>
      <c r="C438" s="5" t="e">
        <f>#REF!</f>
        <v>#REF!</v>
      </c>
      <c r="D438" s="5" t="e">
        <f>#REF!</f>
        <v>#REF!</v>
      </c>
      <c r="E438" s="252">
        <v>1</v>
      </c>
      <c r="F438" s="249">
        <v>3963890</v>
      </c>
      <c r="G438" s="249">
        <v>3963890</v>
      </c>
      <c r="H438" s="249">
        <v>4316923.333333333</v>
      </c>
      <c r="I438" s="249">
        <v>0</v>
      </c>
      <c r="J438" s="249">
        <v>0</v>
      </c>
      <c r="K438" s="249">
        <v>0</v>
      </c>
      <c r="L438" s="274">
        <f>AVERAGE(F438,H438)</f>
        <v>4140406.6666666665</v>
      </c>
      <c r="M438" s="274">
        <f>G438*E1</f>
        <v>4082806.7</v>
      </c>
      <c r="N438" s="255"/>
      <c r="O438" s="137"/>
      <c r="P438" s="135"/>
      <c r="Q438" s="131"/>
      <c r="R438" s="131"/>
      <c r="S438" s="11"/>
      <c r="T438" s="274"/>
      <c r="U438" s="274"/>
      <c r="V438" s="274"/>
      <c r="W438" s="39"/>
      <c r="X438" s="11"/>
      <c r="Y438" s="11"/>
      <c r="Z438" s="274"/>
      <c r="AA438" s="274"/>
      <c r="AB438" s="274"/>
      <c r="AC438" s="5"/>
      <c r="AD438" s="22"/>
      <c r="AE438" s="39"/>
      <c r="AF438" s="274"/>
      <c r="AG438" s="274"/>
      <c r="AH438" s="169"/>
      <c r="AI438" s="22"/>
      <c r="AJ438" s="39"/>
      <c r="AK438" s="39"/>
      <c r="AL438" s="118"/>
      <c r="AM438" s="152"/>
      <c r="AN438" s="181"/>
      <c r="AO438" s="131"/>
      <c r="AP438" s="131"/>
      <c r="AQ438" s="39"/>
      <c r="AR438" s="274"/>
      <c r="AS438" s="274"/>
      <c r="AT438" s="274"/>
      <c r="AU438" s="39"/>
      <c r="AV438" s="39"/>
      <c r="AW438" s="39"/>
      <c r="AX438" s="274"/>
      <c r="AY438" s="274"/>
      <c r="AZ438" s="274"/>
      <c r="BA438" s="39"/>
      <c r="BB438" s="62"/>
      <c r="BC438" s="39"/>
      <c r="BD438" s="274"/>
      <c r="BE438" s="274"/>
      <c r="BF438" s="274"/>
      <c r="BG438" s="39"/>
      <c r="BH438" s="39"/>
      <c r="BI438" s="39"/>
      <c r="BJ438" s="274">
        <v>7830300</v>
      </c>
      <c r="BK438" s="274">
        <f t="shared" si="130"/>
        <v>1487757</v>
      </c>
      <c r="BL438" s="274">
        <f t="shared" si="131"/>
        <v>9318057</v>
      </c>
      <c r="BM438" s="214" t="s">
        <v>445</v>
      </c>
      <c r="BN438" s="213" t="s">
        <v>2925</v>
      </c>
      <c r="BO438" s="39"/>
      <c r="BP438" s="274"/>
      <c r="BQ438" s="274"/>
      <c r="BR438" s="274"/>
      <c r="BS438" s="39"/>
      <c r="BT438" s="39"/>
      <c r="BU438" s="39"/>
      <c r="BV438" s="219">
        <v>9062068.8324000016</v>
      </c>
      <c r="BW438" s="219">
        <f t="shared" si="132"/>
        <v>1721793.0781560002</v>
      </c>
      <c r="BX438" s="273">
        <f t="shared" si="133"/>
        <v>10783861.910556002</v>
      </c>
      <c r="BY438" s="214" t="s">
        <v>445</v>
      </c>
      <c r="BZ438" s="213" t="s">
        <v>2925</v>
      </c>
      <c r="CA438" s="213"/>
      <c r="CB438" s="274"/>
      <c r="CC438" s="274"/>
      <c r="CD438" s="274"/>
      <c r="CE438" s="39"/>
      <c r="CF438" s="39"/>
      <c r="CG438" s="39"/>
      <c r="CH438" s="274"/>
      <c r="CI438" s="274"/>
      <c r="CJ438" s="274"/>
      <c r="CK438" s="39"/>
      <c r="CL438" s="39"/>
      <c r="CM438" s="39"/>
      <c r="CN438" s="39"/>
      <c r="CO438" s="39"/>
      <c r="CP438" s="11"/>
      <c r="CQ438" s="11"/>
      <c r="CR438" s="11"/>
      <c r="CS438" s="11"/>
      <c r="CT438" s="11"/>
      <c r="CU438" s="11"/>
      <c r="CV438" s="11"/>
      <c r="CW438" s="11"/>
      <c r="CX438" s="11"/>
      <c r="CY438" s="11"/>
      <c r="CZ438" s="11"/>
      <c r="DA438" s="11"/>
      <c r="DB438" s="11"/>
      <c r="DC438" s="11"/>
      <c r="DD438" s="11"/>
      <c r="DE438" s="11"/>
      <c r="DF438" s="11"/>
      <c r="DG438" s="11"/>
      <c r="DH438" s="11"/>
      <c r="DI438" s="11"/>
      <c r="DJ438" s="11"/>
      <c r="DK438" s="11"/>
      <c r="DL438" s="274"/>
      <c r="DM438" s="274"/>
      <c r="DN438" s="274"/>
      <c r="DO438" s="274"/>
      <c r="DP438" s="274"/>
      <c r="DQ438" s="274"/>
      <c r="DR438" s="274"/>
      <c r="DS438" s="274"/>
      <c r="DT438" s="274"/>
      <c r="DU438" s="274"/>
      <c r="DV438" s="274"/>
      <c r="DW438" s="274"/>
      <c r="DX438" s="274"/>
      <c r="DY438" s="274"/>
      <c r="DZ438" s="274"/>
      <c r="EA438" s="274"/>
      <c r="EB438" s="274"/>
      <c r="EC438" s="274"/>
      <c r="ED438" s="39">
        <f t="shared" si="127"/>
        <v>24184725.610555999</v>
      </c>
      <c r="EE438" s="30">
        <f t="shared" si="128"/>
        <v>3</v>
      </c>
      <c r="EF438" s="39">
        <f t="shared" si="129"/>
        <v>8061575.2035186663</v>
      </c>
    </row>
    <row r="439" spans="1:136" ht="76.5" x14ac:dyDescent="0.25">
      <c r="A439" s="25" t="e">
        <f>#REF!</f>
        <v>#REF!</v>
      </c>
      <c r="B439" s="50" t="e">
        <f>#REF!</f>
        <v>#REF!</v>
      </c>
      <c r="C439" s="5" t="e">
        <f>#REF!</f>
        <v>#REF!</v>
      </c>
      <c r="D439" s="5" t="e">
        <f>#REF!</f>
        <v>#REF!</v>
      </c>
      <c r="E439" s="252">
        <v>1</v>
      </c>
      <c r="F439" s="249">
        <v>3968650</v>
      </c>
      <c r="G439" s="249">
        <v>0</v>
      </c>
      <c r="H439" s="249">
        <v>4515256.666666667</v>
      </c>
      <c r="I439" s="249">
        <v>4515098</v>
      </c>
      <c r="J439" s="249">
        <v>0</v>
      </c>
      <c r="K439" s="249">
        <v>0</v>
      </c>
      <c r="L439" s="274">
        <f>AVERAGE(F439,H439)</f>
        <v>4241953.333333334</v>
      </c>
      <c r="M439" s="274">
        <f>I439*E1</f>
        <v>4650550.9400000004</v>
      </c>
      <c r="N439" s="255"/>
      <c r="O439" s="137"/>
      <c r="P439" s="135"/>
      <c r="Q439" s="131"/>
      <c r="R439" s="131"/>
      <c r="S439" s="11"/>
      <c r="T439" s="274"/>
      <c r="U439" s="274"/>
      <c r="V439" s="274"/>
      <c r="W439" s="39"/>
      <c r="X439" s="11"/>
      <c r="Y439" s="11"/>
      <c r="Z439" s="274"/>
      <c r="AA439" s="274"/>
      <c r="AB439" s="274"/>
      <c r="AC439" s="5"/>
      <c r="AD439" s="22"/>
      <c r="AE439" s="39"/>
      <c r="AF439" s="274"/>
      <c r="AG439" s="274"/>
      <c r="AH439" s="169"/>
      <c r="AI439" s="22"/>
      <c r="AJ439" s="39"/>
      <c r="AK439" s="39"/>
      <c r="AL439" s="118"/>
      <c r="AM439" s="152"/>
      <c r="AN439" s="181"/>
      <c r="AO439" s="131"/>
      <c r="AP439" s="131"/>
      <c r="AQ439" s="39"/>
      <c r="AR439" s="274"/>
      <c r="AS439" s="274"/>
      <c r="AT439" s="274"/>
      <c r="AU439" s="39"/>
      <c r="AV439" s="39"/>
      <c r="AW439" s="39"/>
      <c r="AX439" s="274"/>
      <c r="AY439" s="274"/>
      <c r="AZ439" s="274"/>
      <c r="BA439" s="39"/>
      <c r="BB439" s="62"/>
      <c r="BC439" s="39"/>
      <c r="BD439" s="118">
        <v>3284972</v>
      </c>
      <c r="BE439" s="274">
        <f>+BD439*0.19</f>
        <v>624144.68000000005</v>
      </c>
      <c r="BF439" s="274">
        <f>+BD439+BE439</f>
        <v>3909116.68</v>
      </c>
      <c r="BG439" s="25" t="s">
        <v>445</v>
      </c>
      <c r="BH439" s="5" t="s">
        <v>4878</v>
      </c>
      <c r="BI439" s="5" t="s">
        <v>4879</v>
      </c>
      <c r="BJ439" s="274">
        <v>6909900</v>
      </c>
      <c r="BK439" s="274">
        <f t="shared" si="130"/>
        <v>1312881</v>
      </c>
      <c r="BL439" s="274">
        <f t="shared" si="131"/>
        <v>8222781</v>
      </c>
      <c r="BM439" s="214" t="s">
        <v>445</v>
      </c>
      <c r="BN439" s="213" t="s">
        <v>2925</v>
      </c>
      <c r="BO439" s="39"/>
      <c r="BP439" s="274"/>
      <c r="BQ439" s="274"/>
      <c r="BR439" s="274"/>
      <c r="BS439" s="39"/>
      <c r="BT439" s="39"/>
      <c r="BU439" s="39"/>
      <c r="BV439" s="219">
        <v>7542204.2193</v>
      </c>
      <c r="BW439" s="219">
        <f t="shared" si="132"/>
        <v>1433018.8016669999</v>
      </c>
      <c r="BX439" s="273">
        <f t="shared" si="133"/>
        <v>8975223.0209669992</v>
      </c>
      <c r="BY439" s="214" t="s">
        <v>445</v>
      </c>
      <c r="BZ439" s="213" t="s">
        <v>2925</v>
      </c>
      <c r="CA439" s="213"/>
      <c r="CB439" s="274"/>
      <c r="CC439" s="274"/>
      <c r="CD439" s="274"/>
      <c r="CE439" s="39"/>
      <c r="CF439" s="39"/>
      <c r="CG439" s="39"/>
      <c r="CH439" s="274"/>
      <c r="CI439" s="274"/>
      <c r="CJ439" s="274"/>
      <c r="CK439" s="39"/>
      <c r="CL439" s="39"/>
      <c r="CM439" s="39"/>
      <c r="CN439" s="39"/>
      <c r="CO439" s="39"/>
      <c r="CP439" s="11"/>
      <c r="CQ439" s="11"/>
      <c r="CR439" s="11"/>
      <c r="CS439" s="11"/>
      <c r="CT439" s="11"/>
      <c r="CU439" s="11"/>
      <c r="CV439" s="11"/>
      <c r="CW439" s="11"/>
      <c r="CX439" s="11"/>
      <c r="CY439" s="11"/>
      <c r="CZ439" s="11"/>
      <c r="DA439" s="11"/>
      <c r="DB439" s="11"/>
      <c r="DC439" s="11"/>
      <c r="DD439" s="11"/>
      <c r="DE439" s="11"/>
      <c r="DF439" s="11"/>
      <c r="DG439" s="11"/>
      <c r="DH439" s="11"/>
      <c r="DI439" s="11"/>
      <c r="DJ439" s="11"/>
      <c r="DK439" s="11"/>
      <c r="DL439" s="274"/>
      <c r="DM439" s="274"/>
      <c r="DN439" s="274"/>
      <c r="DO439" s="274"/>
      <c r="DP439" s="274"/>
      <c r="DQ439" s="274"/>
      <c r="DR439" s="274"/>
      <c r="DS439" s="274"/>
      <c r="DT439" s="274"/>
      <c r="DU439" s="274"/>
      <c r="DV439" s="274"/>
      <c r="DW439" s="274"/>
      <c r="DX439" s="274"/>
      <c r="DY439" s="274"/>
      <c r="DZ439" s="274"/>
      <c r="EA439" s="274"/>
      <c r="EB439" s="274"/>
      <c r="EC439" s="274"/>
      <c r="ED439" s="39">
        <f t="shared" si="127"/>
        <v>25757671.640967</v>
      </c>
      <c r="EE439" s="30">
        <f t="shared" si="128"/>
        <v>4</v>
      </c>
      <c r="EF439" s="39">
        <f t="shared" si="129"/>
        <v>6439417.9102417501</v>
      </c>
    </row>
    <row r="440" spans="1:136" ht="76.5" x14ac:dyDescent="0.25">
      <c r="A440" s="25" t="e">
        <f>#REF!</f>
        <v>#REF!</v>
      </c>
      <c r="B440" s="50" t="e">
        <f>#REF!</f>
        <v>#REF!</v>
      </c>
      <c r="C440" s="5" t="e">
        <f>#REF!</f>
        <v>#REF!</v>
      </c>
      <c r="D440" s="5" t="e">
        <f>#REF!</f>
        <v>#REF!</v>
      </c>
      <c r="E440" s="252">
        <v>1</v>
      </c>
      <c r="F440" s="249">
        <v>3487890</v>
      </c>
      <c r="G440" s="249">
        <v>3435530</v>
      </c>
      <c r="H440" s="249">
        <v>4197923.333333333</v>
      </c>
      <c r="I440" s="249">
        <v>4197844</v>
      </c>
      <c r="J440" s="249">
        <v>4437614.125</v>
      </c>
      <c r="K440" s="249">
        <v>4432750</v>
      </c>
      <c r="L440" s="274">
        <f>AVERAGE(F440,H440,J440)</f>
        <v>4041142.4861111105</v>
      </c>
      <c r="M440" s="274">
        <f>AVERAGE(G440,I440,K440)*E1</f>
        <v>4142702.5733333337</v>
      </c>
      <c r="N440" s="255"/>
      <c r="O440" s="137"/>
      <c r="P440" s="135"/>
      <c r="Q440" s="131"/>
      <c r="R440" s="131"/>
      <c r="S440" s="11"/>
      <c r="T440" s="274"/>
      <c r="U440" s="274"/>
      <c r="V440" s="274"/>
      <c r="W440" s="39"/>
      <c r="X440" s="11"/>
      <c r="Y440" s="11"/>
      <c r="Z440" s="274">
        <v>4500000</v>
      </c>
      <c r="AA440" s="274">
        <f>+Z440*0.19</f>
        <v>855000</v>
      </c>
      <c r="AB440" s="274">
        <f>+Z440+AA440</f>
        <v>5355000</v>
      </c>
      <c r="AC440" s="5" t="s">
        <v>445</v>
      </c>
      <c r="AD440" s="22" t="s">
        <v>4795</v>
      </c>
      <c r="AE440" s="39"/>
      <c r="AF440" s="274"/>
      <c r="AG440" s="274"/>
      <c r="AH440" s="171"/>
      <c r="AI440" s="22"/>
      <c r="AJ440" s="39"/>
      <c r="AK440" s="39"/>
      <c r="AL440" s="118"/>
      <c r="AM440" s="152"/>
      <c r="AN440" s="181"/>
      <c r="AO440" s="131"/>
      <c r="AP440" s="131"/>
      <c r="AQ440" s="39"/>
      <c r="AR440" s="274"/>
      <c r="AS440" s="274"/>
      <c r="AT440" s="274"/>
      <c r="AU440" s="39"/>
      <c r="AV440" s="39"/>
      <c r="AW440" s="39"/>
      <c r="AX440" s="274"/>
      <c r="AY440" s="274"/>
      <c r="AZ440" s="274"/>
      <c r="BA440" s="39"/>
      <c r="BB440" s="62"/>
      <c r="BC440" s="39"/>
      <c r="BD440" s="118">
        <v>3284972</v>
      </c>
      <c r="BE440" s="274">
        <f>+BD440*0.19</f>
        <v>624144.68000000005</v>
      </c>
      <c r="BF440" s="274">
        <f>+BD440+BE440</f>
        <v>3909116.68</v>
      </c>
      <c r="BG440" s="25" t="s">
        <v>445</v>
      </c>
      <c r="BH440" s="5" t="s">
        <v>4880</v>
      </c>
      <c r="BI440" s="5" t="s">
        <v>4881</v>
      </c>
      <c r="BJ440" s="274">
        <v>6909900</v>
      </c>
      <c r="BK440" s="274">
        <f t="shared" si="130"/>
        <v>1312881</v>
      </c>
      <c r="BL440" s="274">
        <f t="shared" si="131"/>
        <v>8222781</v>
      </c>
      <c r="BM440" s="214" t="s">
        <v>445</v>
      </c>
      <c r="BN440" s="213" t="s">
        <v>2925</v>
      </c>
      <c r="BO440" s="39"/>
      <c r="BP440" s="274"/>
      <c r="BQ440" s="274"/>
      <c r="BR440" s="274"/>
      <c r="BS440" s="39"/>
      <c r="BT440" s="39"/>
      <c r="BU440" s="39"/>
      <c r="BV440" s="219">
        <v>7838811.6768000014</v>
      </c>
      <c r="BW440" s="219">
        <f t="shared" si="132"/>
        <v>1489374.2185920002</v>
      </c>
      <c r="BX440" s="273">
        <f t="shared" si="133"/>
        <v>9328185.8953920007</v>
      </c>
      <c r="BY440" s="214" t="s">
        <v>445</v>
      </c>
      <c r="BZ440" s="213" t="s">
        <v>2925</v>
      </c>
      <c r="CA440" s="213"/>
      <c r="CB440" s="274"/>
      <c r="CC440" s="274"/>
      <c r="CD440" s="274"/>
      <c r="CE440" s="39"/>
      <c r="CF440" s="39"/>
      <c r="CG440" s="39"/>
      <c r="CH440" s="274"/>
      <c r="CI440" s="274"/>
      <c r="CJ440" s="274"/>
      <c r="CK440" s="39"/>
      <c r="CL440" s="39"/>
      <c r="CM440" s="39"/>
      <c r="CN440" s="39"/>
      <c r="CO440" s="39"/>
      <c r="CP440" s="11"/>
      <c r="CQ440" s="11"/>
      <c r="CR440" s="11"/>
      <c r="CS440" s="11"/>
      <c r="CT440" s="11"/>
      <c r="CU440" s="11"/>
      <c r="CV440" s="11"/>
      <c r="CW440" s="11"/>
      <c r="CX440" s="11"/>
      <c r="CY440" s="11"/>
      <c r="CZ440" s="11"/>
      <c r="DA440" s="11"/>
      <c r="DB440" s="11"/>
      <c r="DC440" s="11"/>
      <c r="DD440" s="11"/>
      <c r="DE440" s="11"/>
      <c r="DF440" s="11"/>
      <c r="DG440" s="11"/>
      <c r="DH440" s="11"/>
      <c r="DI440" s="11"/>
      <c r="DJ440" s="11"/>
      <c r="DK440" s="11"/>
      <c r="DL440" s="274"/>
      <c r="DM440" s="274"/>
      <c r="DN440" s="274"/>
      <c r="DO440" s="274"/>
      <c r="DP440" s="274"/>
      <c r="DQ440" s="274"/>
      <c r="DR440" s="274"/>
      <c r="DS440" s="274"/>
      <c r="DT440" s="274"/>
      <c r="DU440" s="274"/>
      <c r="DV440" s="274"/>
      <c r="DW440" s="274"/>
      <c r="DX440" s="274"/>
      <c r="DY440" s="274"/>
      <c r="DZ440" s="274"/>
      <c r="EA440" s="274"/>
      <c r="EB440" s="274"/>
      <c r="EC440" s="274"/>
      <c r="ED440" s="39">
        <f t="shared" si="127"/>
        <v>30957786.148725335</v>
      </c>
      <c r="EE440" s="30">
        <f t="shared" si="128"/>
        <v>5</v>
      </c>
      <c r="EF440" s="39">
        <f t="shared" si="129"/>
        <v>6191557.2297450667</v>
      </c>
    </row>
    <row r="441" spans="1:136" ht="76.5" x14ac:dyDescent="0.25">
      <c r="A441" s="25" t="e">
        <f>#REF!</f>
        <v>#REF!</v>
      </c>
      <c r="B441" s="50" t="e">
        <f>#REF!</f>
        <v>#REF!</v>
      </c>
      <c r="C441" s="5" t="e">
        <f>#REF!</f>
        <v>#REF!</v>
      </c>
      <c r="D441" s="5" t="e">
        <f>#REF!</f>
        <v>#REF!</v>
      </c>
      <c r="E441" s="252">
        <v>1</v>
      </c>
      <c r="F441" s="249">
        <v>3896139.333333333</v>
      </c>
      <c r="G441" s="249">
        <v>3837631</v>
      </c>
      <c r="H441" s="249">
        <v>4197923.333333333</v>
      </c>
      <c r="I441" s="249">
        <v>4197844</v>
      </c>
      <c r="J441" s="249">
        <v>4470887.5166666666</v>
      </c>
      <c r="K441" s="249">
        <v>4470830</v>
      </c>
      <c r="L441" s="274">
        <f>AVERAGE(F441,H441,J441)</f>
        <v>4188316.7277777777</v>
      </c>
      <c r="M441" s="274">
        <f>AVERAGE(G441,I441,K441)*E1</f>
        <v>4293831.3833333338</v>
      </c>
      <c r="N441" s="255"/>
      <c r="O441" s="137"/>
      <c r="P441" s="135"/>
      <c r="Q441" s="131"/>
      <c r="R441" s="131"/>
      <c r="S441" s="11"/>
      <c r="T441" s="274"/>
      <c r="U441" s="274"/>
      <c r="V441" s="274"/>
      <c r="W441" s="39"/>
      <c r="X441" s="11"/>
      <c r="Y441" s="11"/>
      <c r="Z441" s="274"/>
      <c r="AA441" s="274"/>
      <c r="AB441" s="274"/>
      <c r="AC441" s="52"/>
      <c r="AD441" s="22"/>
      <c r="AE441" s="39"/>
      <c r="AF441" s="274"/>
      <c r="AG441" s="274"/>
      <c r="AH441" s="113"/>
      <c r="AI441" s="4"/>
      <c r="AJ441" s="39"/>
      <c r="AK441" s="39"/>
      <c r="AL441" s="118"/>
      <c r="AM441" s="152"/>
      <c r="AN441" s="181"/>
      <c r="AO441" s="131"/>
      <c r="AP441" s="131"/>
      <c r="AQ441" s="39"/>
      <c r="AR441" s="274"/>
      <c r="AS441" s="274"/>
      <c r="AT441" s="274"/>
      <c r="AU441" s="39"/>
      <c r="AV441" s="39"/>
      <c r="AW441" s="39"/>
      <c r="AX441" s="274"/>
      <c r="AY441" s="274"/>
      <c r="AZ441" s="274"/>
      <c r="BA441" s="39"/>
      <c r="BB441" s="62"/>
      <c r="BC441" s="39"/>
      <c r="BD441" s="118">
        <v>3284972</v>
      </c>
      <c r="BE441" s="274">
        <f>+BD441*0.19</f>
        <v>624144.68000000005</v>
      </c>
      <c r="BF441" s="274">
        <f>+BD441+BE441</f>
        <v>3909116.68</v>
      </c>
      <c r="BG441" s="25" t="s">
        <v>445</v>
      </c>
      <c r="BH441" s="5" t="s">
        <v>4882</v>
      </c>
      <c r="BI441" s="5" t="s">
        <v>4883</v>
      </c>
      <c r="BJ441" s="274">
        <v>6909900</v>
      </c>
      <c r="BK441" s="274">
        <f t="shared" si="130"/>
        <v>1312881</v>
      </c>
      <c r="BL441" s="274">
        <f t="shared" si="131"/>
        <v>8222781</v>
      </c>
      <c r="BM441" s="214" t="s">
        <v>445</v>
      </c>
      <c r="BN441" s="213" t="s">
        <v>2925</v>
      </c>
      <c r="BO441" s="39"/>
      <c r="BP441" s="274"/>
      <c r="BQ441" s="274"/>
      <c r="BR441" s="274"/>
      <c r="BS441" s="39"/>
      <c r="BT441" s="39"/>
      <c r="BU441" s="39"/>
      <c r="BV441" s="219">
        <v>7692294.1572000002</v>
      </c>
      <c r="BW441" s="219">
        <f t="shared" si="132"/>
        <v>1461535.8898680001</v>
      </c>
      <c r="BX441" s="273">
        <f t="shared" si="133"/>
        <v>9153830.0470679998</v>
      </c>
      <c r="BY441" s="214" t="s">
        <v>445</v>
      </c>
      <c r="BZ441" s="213" t="s">
        <v>2925</v>
      </c>
      <c r="CA441" s="213"/>
      <c r="CB441" s="274"/>
      <c r="CC441" s="274"/>
      <c r="CD441" s="274"/>
      <c r="CE441" s="39"/>
      <c r="CF441" s="39"/>
      <c r="CG441" s="39"/>
      <c r="CH441" s="274"/>
      <c r="CI441" s="274"/>
      <c r="CJ441" s="274"/>
      <c r="CK441" s="39"/>
      <c r="CL441" s="39"/>
      <c r="CM441" s="39"/>
      <c r="CN441" s="39"/>
      <c r="CO441" s="39"/>
      <c r="CP441" s="11"/>
      <c r="CQ441" s="11"/>
      <c r="CR441" s="11"/>
      <c r="CS441" s="11"/>
      <c r="CT441" s="11"/>
      <c r="CU441" s="11"/>
      <c r="CV441" s="11"/>
      <c r="CW441" s="11"/>
      <c r="CX441" s="11"/>
      <c r="CY441" s="11"/>
      <c r="CZ441" s="11"/>
      <c r="DA441" s="11"/>
      <c r="DB441" s="11"/>
      <c r="DC441" s="11"/>
      <c r="DD441" s="11"/>
      <c r="DE441" s="11"/>
      <c r="DF441" s="11"/>
      <c r="DG441" s="11"/>
      <c r="DH441" s="11"/>
      <c r="DI441" s="11"/>
      <c r="DJ441" s="11"/>
      <c r="DK441" s="11"/>
      <c r="DL441" s="274"/>
      <c r="DM441" s="274"/>
      <c r="DN441" s="274"/>
      <c r="DO441" s="274"/>
      <c r="DP441" s="274"/>
      <c r="DQ441" s="274"/>
      <c r="DR441" s="274"/>
      <c r="DS441" s="274"/>
      <c r="DT441" s="274"/>
      <c r="DU441" s="274"/>
      <c r="DV441" s="274"/>
      <c r="DW441" s="274"/>
      <c r="DX441" s="274"/>
      <c r="DY441" s="274"/>
      <c r="DZ441" s="274"/>
      <c r="EA441" s="274"/>
      <c r="EB441" s="274"/>
      <c r="EC441" s="274"/>
      <c r="ED441" s="39">
        <f t="shared" si="127"/>
        <v>25579559.110401332</v>
      </c>
      <c r="EE441" s="30">
        <f t="shared" si="128"/>
        <v>4</v>
      </c>
      <c r="EF441" s="39">
        <f t="shared" si="129"/>
        <v>6394889.7776003331</v>
      </c>
    </row>
    <row r="442" spans="1:136" x14ac:dyDescent="0.25">
      <c r="A442" s="25" t="e">
        <f>#REF!</f>
        <v>#REF!</v>
      </c>
      <c r="B442" s="50" t="e">
        <f>#REF!</f>
        <v>#REF!</v>
      </c>
      <c r="C442" s="5" t="e">
        <f>#REF!</f>
        <v>#REF!</v>
      </c>
      <c r="D442" s="5" t="e">
        <f>#REF!</f>
        <v>#REF!</v>
      </c>
      <c r="E442" s="252">
        <v>1</v>
      </c>
      <c r="F442" s="249">
        <v>3077935</v>
      </c>
      <c r="G442" s="249">
        <v>0</v>
      </c>
      <c r="H442" s="249">
        <v>4601333.333333333</v>
      </c>
      <c r="I442" s="249">
        <v>0</v>
      </c>
      <c r="J442" s="249">
        <v>0</v>
      </c>
      <c r="K442" s="249">
        <v>0</v>
      </c>
      <c r="L442" s="274">
        <f>AVERAGE(F442,H442)</f>
        <v>3839634.1666666665</v>
      </c>
      <c r="M442" s="274"/>
      <c r="N442" s="255"/>
      <c r="O442" s="137"/>
      <c r="P442" s="135"/>
      <c r="Q442" s="131"/>
      <c r="R442" s="131"/>
      <c r="S442" s="11"/>
      <c r="T442" s="274"/>
      <c r="U442" s="274"/>
      <c r="V442" s="274"/>
      <c r="W442" s="39"/>
      <c r="X442" s="11"/>
      <c r="Y442" s="11"/>
      <c r="Z442" s="274"/>
      <c r="AA442" s="274"/>
      <c r="AB442" s="274"/>
      <c r="AC442" s="52"/>
      <c r="AD442" s="22"/>
      <c r="AE442" s="39"/>
      <c r="AF442" s="274"/>
      <c r="AG442" s="274"/>
      <c r="AH442" s="113"/>
      <c r="AI442" s="4"/>
      <c r="AJ442" s="39"/>
      <c r="AK442" s="39"/>
      <c r="AL442" s="118"/>
      <c r="AM442" s="152"/>
      <c r="AN442" s="181"/>
      <c r="AO442" s="131"/>
      <c r="AP442" s="131"/>
      <c r="AQ442" s="39"/>
      <c r="AR442" s="274"/>
      <c r="AS442" s="274"/>
      <c r="AT442" s="274"/>
      <c r="AU442" s="39"/>
      <c r="AV442" s="39"/>
      <c r="AW442" s="39"/>
      <c r="AX442" s="274"/>
      <c r="AY442" s="274"/>
      <c r="AZ442" s="274"/>
      <c r="BA442" s="39"/>
      <c r="BB442" s="62"/>
      <c r="BC442" s="39"/>
      <c r="BD442" s="274"/>
      <c r="BE442" s="274"/>
      <c r="BF442" s="274"/>
      <c r="BG442" s="39"/>
      <c r="BH442" s="39"/>
      <c r="BI442" s="39"/>
      <c r="BJ442" s="274">
        <v>5977000</v>
      </c>
      <c r="BK442" s="274">
        <f t="shared" si="130"/>
        <v>1135630</v>
      </c>
      <c r="BL442" s="274">
        <f t="shared" si="131"/>
        <v>7112630</v>
      </c>
      <c r="BM442" s="214" t="s">
        <v>445</v>
      </c>
      <c r="BN442" s="213" t="s">
        <v>2925</v>
      </c>
      <c r="BO442" s="39"/>
      <c r="BP442" s="274"/>
      <c r="BQ442" s="274"/>
      <c r="BR442" s="274"/>
      <c r="BS442" s="39"/>
      <c r="BT442" s="39"/>
      <c r="BU442" s="39"/>
      <c r="BV442" s="219">
        <v>7050277.9360000007</v>
      </c>
      <c r="BW442" s="219">
        <f t="shared" si="132"/>
        <v>1339552.8078400001</v>
      </c>
      <c r="BX442" s="273">
        <f t="shared" si="133"/>
        <v>8389830.7438400015</v>
      </c>
      <c r="BY442" s="214" t="s">
        <v>445</v>
      </c>
      <c r="BZ442" s="213" t="s">
        <v>2925</v>
      </c>
      <c r="CA442" s="213"/>
      <c r="CB442" s="274"/>
      <c r="CC442" s="274"/>
      <c r="CD442" s="274"/>
      <c r="CE442" s="39"/>
      <c r="CF442" s="39"/>
      <c r="CG442" s="39"/>
      <c r="CH442" s="274"/>
      <c r="CI442" s="274"/>
      <c r="CJ442" s="274"/>
      <c r="CK442" s="39"/>
      <c r="CL442" s="39"/>
      <c r="CM442" s="39"/>
      <c r="CN442" s="39"/>
      <c r="CO442" s="39"/>
      <c r="CP442" s="11"/>
      <c r="CQ442" s="11"/>
      <c r="CR442" s="11"/>
      <c r="CS442" s="11"/>
      <c r="CT442" s="11"/>
      <c r="CU442" s="11"/>
      <c r="CV442" s="11"/>
      <c r="CW442" s="11"/>
      <c r="CX442" s="11"/>
      <c r="CY442" s="11"/>
      <c r="CZ442" s="11"/>
      <c r="DA442" s="11"/>
      <c r="DB442" s="11"/>
      <c r="DC442" s="11"/>
      <c r="DD442" s="11"/>
      <c r="DE442" s="11"/>
      <c r="DF442" s="11"/>
      <c r="DG442" s="11"/>
      <c r="DH442" s="11"/>
      <c r="DI442" s="11"/>
      <c r="DJ442" s="11"/>
      <c r="DK442" s="11"/>
      <c r="DL442" s="274"/>
      <c r="DM442" s="274"/>
      <c r="DN442" s="274"/>
      <c r="DO442" s="274"/>
      <c r="DP442" s="274"/>
      <c r="DQ442" s="274"/>
      <c r="DR442" s="274"/>
      <c r="DS442" s="274"/>
      <c r="DT442" s="274"/>
      <c r="DU442" s="274"/>
      <c r="DV442" s="274"/>
      <c r="DW442" s="274"/>
      <c r="DX442" s="274"/>
      <c r="DY442" s="274"/>
      <c r="DZ442" s="274"/>
      <c r="EA442" s="274"/>
      <c r="EB442" s="274"/>
      <c r="EC442" s="274"/>
      <c r="ED442" s="39">
        <f t="shared" si="127"/>
        <v>15502460.743840002</v>
      </c>
      <c r="EE442" s="30">
        <f t="shared" si="128"/>
        <v>2</v>
      </c>
      <c r="EF442" s="39">
        <f t="shared" si="129"/>
        <v>7751230.3719200008</v>
      </c>
    </row>
    <row r="443" spans="1:136" ht="76.5" x14ac:dyDescent="0.25">
      <c r="A443" s="25" t="e">
        <f>#REF!</f>
        <v>#REF!</v>
      </c>
      <c r="B443" s="50" t="e">
        <f>#REF!</f>
        <v>#REF!</v>
      </c>
      <c r="C443" s="5" t="e">
        <f>#REF!</f>
        <v>#REF!</v>
      </c>
      <c r="D443" s="5" t="e">
        <f>#REF!</f>
        <v>#REF!</v>
      </c>
      <c r="E443" s="252">
        <v>1</v>
      </c>
      <c r="F443" s="249">
        <v>3077935</v>
      </c>
      <c r="G443" s="249">
        <v>0</v>
      </c>
      <c r="H443" s="249">
        <v>4121803</v>
      </c>
      <c r="I443" s="249">
        <v>4121684</v>
      </c>
      <c r="J443" s="249">
        <v>6694412.6977777779</v>
      </c>
      <c r="K443" s="249">
        <v>6693750</v>
      </c>
      <c r="L443" s="274">
        <f>AVERAGE(F443,H443,J443)</f>
        <v>4631383.565925926</v>
      </c>
      <c r="M443" s="274">
        <f>AVERAGE(I443,K443)*E1</f>
        <v>5569948.5099999998</v>
      </c>
      <c r="N443" s="255"/>
      <c r="O443" s="135"/>
      <c r="P443" s="135"/>
      <c r="Q443" s="131"/>
      <c r="R443" s="131"/>
      <c r="S443" s="11"/>
      <c r="T443" s="274"/>
      <c r="U443" s="274"/>
      <c r="V443" s="274"/>
      <c r="W443" s="39"/>
      <c r="X443" s="11"/>
      <c r="Y443" s="11"/>
      <c r="Z443" s="274"/>
      <c r="AA443" s="274"/>
      <c r="AB443" s="274"/>
      <c r="AC443" s="55"/>
      <c r="AD443" s="53"/>
      <c r="AE443" s="39"/>
      <c r="AF443" s="274"/>
      <c r="AG443" s="274"/>
      <c r="AH443" s="173"/>
      <c r="AI443" s="55"/>
      <c r="AJ443" s="39"/>
      <c r="AK443" s="39"/>
      <c r="AL443" s="118"/>
      <c r="AM443" s="152"/>
      <c r="AN443" s="181"/>
      <c r="AO443" s="131"/>
      <c r="AP443" s="131"/>
      <c r="AQ443" s="39"/>
      <c r="AR443" s="274"/>
      <c r="AS443" s="274"/>
      <c r="AT443" s="274"/>
      <c r="AU443" s="39"/>
      <c r="AV443" s="39"/>
      <c r="AW443" s="39"/>
      <c r="AX443" s="274"/>
      <c r="AY443" s="274"/>
      <c r="AZ443" s="274"/>
      <c r="BA443" s="39"/>
      <c r="BB443" s="62"/>
      <c r="BC443" s="39"/>
      <c r="BD443" s="118">
        <v>2982985</v>
      </c>
      <c r="BE443" s="274">
        <f>+BD443*0.19</f>
        <v>566767.15</v>
      </c>
      <c r="BF443" s="274">
        <f>+BD443+BE443</f>
        <v>3549752.15</v>
      </c>
      <c r="BG443" s="25" t="s">
        <v>445</v>
      </c>
      <c r="BH443" s="5" t="s">
        <v>4884</v>
      </c>
      <c r="BI443" s="5" t="s">
        <v>4885</v>
      </c>
      <c r="BJ443" s="274">
        <v>5977000</v>
      </c>
      <c r="BK443" s="274">
        <f t="shared" si="130"/>
        <v>1135630</v>
      </c>
      <c r="BL443" s="274">
        <f t="shared" si="131"/>
        <v>7112630</v>
      </c>
      <c r="BM443" s="214" t="s">
        <v>445</v>
      </c>
      <c r="BN443" s="213" t="s">
        <v>2925</v>
      </c>
      <c r="BO443" s="39"/>
      <c r="BP443" s="274"/>
      <c r="BQ443" s="274"/>
      <c r="BR443" s="274"/>
      <c r="BS443" s="39"/>
      <c r="BT443" s="39"/>
      <c r="BU443" s="39"/>
      <c r="BV443" s="219">
        <v>6592152.8399999999</v>
      </c>
      <c r="BW443" s="219">
        <f t="shared" si="132"/>
        <v>1252509.0396</v>
      </c>
      <c r="BX443" s="273">
        <f t="shared" si="133"/>
        <v>7844661.8795999996</v>
      </c>
      <c r="BY443" s="214" t="s">
        <v>445</v>
      </c>
      <c r="BZ443" s="213" t="s">
        <v>2925</v>
      </c>
      <c r="CA443" s="213"/>
      <c r="CB443" s="274"/>
      <c r="CC443" s="274"/>
      <c r="CD443" s="274"/>
      <c r="CE443" s="39"/>
      <c r="CF443" s="39"/>
      <c r="CG443" s="39"/>
      <c r="CH443" s="274"/>
      <c r="CI443" s="274"/>
      <c r="CJ443" s="274"/>
      <c r="CK443" s="39"/>
      <c r="CL443" s="39"/>
      <c r="CM443" s="39"/>
      <c r="CN443" s="39"/>
      <c r="CO443" s="39"/>
      <c r="CP443" s="11"/>
      <c r="CQ443" s="11"/>
      <c r="CR443" s="11"/>
      <c r="CS443" s="11"/>
      <c r="CT443" s="11"/>
      <c r="CU443" s="11"/>
      <c r="CV443" s="11"/>
      <c r="CW443" s="11"/>
      <c r="CX443" s="11"/>
      <c r="CY443" s="11"/>
      <c r="CZ443" s="11"/>
      <c r="DA443" s="11"/>
      <c r="DB443" s="11"/>
      <c r="DC443" s="11"/>
      <c r="DD443" s="11"/>
      <c r="DE443" s="11"/>
      <c r="DF443" s="11"/>
      <c r="DG443" s="11"/>
      <c r="DH443" s="11"/>
      <c r="DI443" s="11"/>
      <c r="DJ443" s="11"/>
      <c r="DK443" s="11"/>
      <c r="DL443" s="274"/>
      <c r="DM443" s="274"/>
      <c r="DN443" s="274"/>
      <c r="DO443" s="274"/>
      <c r="DP443" s="274"/>
      <c r="DQ443" s="274"/>
      <c r="DR443" s="274"/>
      <c r="DS443" s="274"/>
      <c r="DT443" s="274"/>
      <c r="DU443" s="274"/>
      <c r="DV443" s="274"/>
      <c r="DW443" s="274"/>
      <c r="DX443" s="274"/>
      <c r="DY443" s="274"/>
      <c r="DZ443" s="274"/>
      <c r="EA443" s="274"/>
      <c r="EB443" s="274"/>
      <c r="EC443" s="274"/>
      <c r="ED443" s="39">
        <f t="shared" si="127"/>
        <v>24076992.5396</v>
      </c>
      <c r="EE443" s="30">
        <f t="shared" si="128"/>
        <v>4</v>
      </c>
      <c r="EF443" s="39">
        <f t="shared" si="129"/>
        <v>6019248.1348999999</v>
      </c>
    </row>
    <row r="444" spans="1:136" ht="76.5" x14ac:dyDescent="0.25">
      <c r="A444" s="25" t="e">
        <f>#REF!</f>
        <v>#REF!</v>
      </c>
      <c r="B444" s="50" t="e">
        <f>#REF!</f>
        <v>#REF!</v>
      </c>
      <c r="C444" s="5" t="e">
        <f>#REF!</f>
        <v>#REF!</v>
      </c>
      <c r="D444" s="5" t="e">
        <f>#REF!</f>
        <v>#REF!</v>
      </c>
      <c r="E444" s="252">
        <v>1</v>
      </c>
      <c r="F444" s="249">
        <v>3077935</v>
      </c>
      <c r="G444" s="249">
        <v>0</v>
      </c>
      <c r="H444" s="249">
        <v>0</v>
      </c>
      <c r="I444" s="249">
        <v>0</v>
      </c>
      <c r="J444" s="249">
        <v>6694412.6977777779</v>
      </c>
      <c r="K444" s="249">
        <v>6693750</v>
      </c>
      <c r="L444" s="274">
        <f>AVERAGE(F444,J444)</f>
        <v>4886173.848888889</v>
      </c>
      <c r="M444" s="274">
        <f>K444*E1</f>
        <v>6894562.5</v>
      </c>
      <c r="N444" s="255"/>
      <c r="O444" s="135"/>
      <c r="P444" s="135"/>
      <c r="Q444" s="131"/>
      <c r="R444" s="131"/>
      <c r="S444" s="11"/>
      <c r="T444" s="274"/>
      <c r="U444" s="274"/>
      <c r="V444" s="274"/>
      <c r="W444" s="39"/>
      <c r="X444" s="11"/>
      <c r="Y444" s="11"/>
      <c r="Z444" s="274"/>
      <c r="AA444" s="274"/>
      <c r="AB444" s="274"/>
      <c r="AC444" s="52"/>
      <c r="AD444" s="22"/>
      <c r="AE444" s="39"/>
      <c r="AF444" s="274"/>
      <c r="AG444" s="274"/>
      <c r="AH444" s="171"/>
      <c r="AI444" s="4"/>
      <c r="AJ444" s="39"/>
      <c r="AK444" s="39"/>
      <c r="AL444" s="118"/>
      <c r="AM444" s="152"/>
      <c r="AN444" s="152"/>
      <c r="AO444" s="131"/>
      <c r="AP444" s="131"/>
      <c r="AQ444" s="39"/>
      <c r="AR444" s="274"/>
      <c r="AS444" s="274"/>
      <c r="AT444" s="274"/>
      <c r="AU444" s="39"/>
      <c r="AV444" s="39"/>
      <c r="AW444" s="39"/>
      <c r="AX444" s="274"/>
      <c r="AY444" s="274"/>
      <c r="AZ444" s="274"/>
      <c r="BA444" s="39"/>
      <c r="BB444" s="62"/>
      <c r="BC444" s="39"/>
      <c r="BD444" s="118">
        <v>2982985</v>
      </c>
      <c r="BE444" s="274">
        <f>+BD444*0.19</f>
        <v>566767.15</v>
      </c>
      <c r="BF444" s="274">
        <f>+BD444+BE444</f>
        <v>3549752.15</v>
      </c>
      <c r="BG444" s="25" t="s">
        <v>445</v>
      </c>
      <c r="BH444" s="5" t="s">
        <v>4886</v>
      </c>
      <c r="BI444" s="5" t="s">
        <v>4887</v>
      </c>
      <c r="BJ444" s="274">
        <v>5977000</v>
      </c>
      <c r="BK444" s="274">
        <f t="shared" si="130"/>
        <v>1135630</v>
      </c>
      <c r="BL444" s="274">
        <f t="shared" si="131"/>
        <v>7112630</v>
      </c>
      <c r="BM444" s="214" t="s">
        <v>445</v>
      </c>
      <c r="BN444" s="213" t="s">
        <v>2925</v>
      </c>
      <c r="BO444" s="39"/>
      <c r="BP444" s="274"/>
      <c r="BQ444" s="274"/>
      <c r="BR444" s="274"/>
      <c r="BS444" s="39"/>
      <c r="BT444" s="39"/>
      <c r="BU444" s="39"/>
      <c r="BV444" s="219">
        <v>6655538.9249999998</v>
      </c>
      <c r="BW444" s="219">
        <f t="shared" si="132"/>
        <v>1264552.3957499999</v>
      </c>
      <c r="BX444" s="273">
        <f t="shared" si="133"/>
        <v>7920091.32075</v>
      </c>
      <c r="BY444" s="214" t="s">
        <v>445</v>
      </c>
      <c r="BZ444" s="213" t="s">
        <v>2925</v>
      </c>
      <c r="CA444" s="213"/>
      <c r="CB444" s="274"/>
      <c r="CC444" s="274"/>
      <c r="CD444" s="274"/>
      <c r="CE444" s="39"/>
      <c r="CF444" s="39"/>
      <c r="CG444" s="39"/>
      <c r="CH444" s="274"/>
      <c r="CI444" s="274"/>
      <c r="CJ444" s="274"/>
      <c r="CK444" s="39"/>
      <c r="CL444" s="39"/>
      <c r="CM444" s="39"/>
      <c r="CN444" s="39"/>
      <c r="CO444" s="39"/>
      <c r="CP444" s="11"/>
      <c r="CQ444" s="11"/>
      <c r="CR444" s="11"/>
      <c r="CS444" s="11"/>
      <c r="CT444" s="11"/>
      <c r="CU444" s="11"/>
      <c r="CV444" s="11"/>
      <c r="CW444" s="11"/>
      <c r="CX444" s="11"/>
      <c r="CY444" s="11"/>
      <c r="CZ444" s="11"/>
      <c r="DA444" s="11"/>
      <c r="DB444" s="11"/>
      <c r="DC444" s="11"/>
      <c r="DD444" s="11"/>
      <c r="DE444" s="11"/>
      <c r="DF444" s="11"/>
      <c r="DG444" s="11"/>
      <c r="DH444" s="11"/>
      <c r="DI444" s="11"/>
      <c r="DJ444" s="11"/>
      <c r="DK444" s="11"/>
      <c r="DL444" s="274"/>
      <c r="DM444" s="274"/>
      <c r="DN444" s="274"/>
      <c r="DO444" s="274"/>
      <c r="DP444" s="274"/>
      <c r="DQ444" s="274"/>
      <c r="DR444" s="274"/>
      <c r="DS444" s="274"/>
      <c r="DT444" s="274"/>
      <c r="DU444" s="274"/>
      <c r="DV444" s="274"/>
      <c r="DW444" s="274"/>
      <c r="DX444" s="274"/>
      <c r="DY444" s="274"/>
      <c r="DZ444" s="274"/>
      <c r="EA444" s="274"/>
      <c r="EB444" s="274"/>
      <c r="EC444" s="274"/>
      <c r="ED444" s="39">
        <f t="shared" si="127"/>
        <v>25477035.970749997</v>
      </c>
      <c r="EE444" s="30">
        <f t="shared" si="128"/>
        <v>4</v>
      </c>
      <c r="EF444" s="39">
        <f t="shared" si="129"/>
        <v>6369258.9926874992</v>
      </c>
    </row>
    <row r="445" spans="1:136" x14ac:dyDescent="0.25">
      <c r="A445" s="25" t="e">
        <f>#REF!</f>
        <v>#REF!</v>
      </c>
      <c r="B445" s="50" t="e">
        <f>#REF!</f>
        <v>#REF!</v>
      </c>
      <c r="C445" s="5" t="e">
        <f>#REF!</f>
        <v>#REF!</v>
      </c>
      <c r="D445" s="5" t="e">
        <f>#REF!</f>
        <v>#REF!</v>
      </c>
      <c r="E445" s="252">
        <v>1</v>
      </c>
      <c r="F445" s="249">
        <v>0</v>
      </c>
      <c r="G445" s="249">
        <v>0</v>
      </c>
      <c r="H445" s="249">
        <v>0</v>
      </c>
      <c r="I445" s="249">
        <v>0</v>
      </c>
      <c r="J445" s="249">
        <v>0</v>
      </c>
      <c r="K445" s="249">
        <v>0</v>
      </c>
      <c r="L445" s="274"/>
      <c r="M445" s="274"/>
      <c r="N445" s="255">
        <v>1350000</v>
      </c>
      <c r="O445" s="135">
        <f>+N445*0.19</f>
        <v>256500</v>
      </c>
      <c r="P445" s="135">
        <f>+N445+O445</f>
        <v>1606500</v>
      </c>
      <c r="Q445" s="11"/>
      <c r="R445" s="11"/>
      <c r="S445" s="25"/>
      <c r="T445" s="274"/>
      <c r="U445" s="274"/>
      <c r="V445" s="274"/>
      <c r="W445" s="39"/>
      <c r="X445" s="11"/>
      <c r="Y445" s="11"/>
      <c r="Z445" s="274"/>
      <c r="AA445" s="274"/>
      <c r="AB445" s="274"/>
      <c r="AC445" s="11"/>
      <c r="AD445" s="11"/>
      <c r="AE445" s="11"/>
      <c r="AF445" s="274"/>
      <c r="AG445" s="274"/>
      <c r="AH445" s="274"/>
      <c r="AI445" s="11"/>
      <c r="AJ445" s="11"/>
      <c r="AK445" s="11"/>
      <c r="AL445" s="118"/>
      <c r="AM445" s="118"/>
      <c r="AN445" s="118"/>
      <c r="AO445" s="52"/>
      <c r="AP445" s="52"/>
      <c r="AQ445" s="11"/>
      <c r="AR445" s="274"/>
      <c r="AS445" s="274"/>
      <c r="AT445" s="274"/>
      <c r="AU445" s="11"/>
      <c r="AV445" s="11"/>
      <c r="AW445" s="11"/>
      <c r="AX445" s="274"/>
      <c r="AY445" s="274"/>
      <c r="AZ445" s="274"/>
      <c r="BA445" s="11"/>
      <c r="BB445" s="62"/>
      <c r="BC445" s="39"/>
      <c r="BD445" s="274"/>
      <c r="BE445" s="274"/>
      <c r="BF445" s="274"/>
      <c r="BG445" s="11"/>
      <c r="BH445" s="11"/>
      <c r="BI445" s="11"/>
      <c r="BJ445" s="274">
        <v>2037800</v>
      </c>
      <c r="BK445" s="274">
        <f t="shared" si="130"/>
        <v>387182</v>
      </c>
      <c r="BL445" s="274">
        <f t="shared" si="131"/>
        <v>2424982</v>
      </c>
      <c r="BM445" s="214" t="s">
        <v>445</v>
      </c>
      <c r="BN445" s="213" t="s">
        <v>2925</v>
      </c>
      <c r="BO445" s="11"/>
      <c r="BP445" s="274"/>
      <c r="BQ445" s="274"/>
      <c r="BR445" s="274"/>
      <c r="BS445" s="11"/>
      <c r="BT445" s="11"/>
      <c r="BU445" s="11"/>
      <c r="BV445" s="219">
        <v>2357522.6688000001</v>
      </c>
      <c r="BW445" s="219">
        <f t="shared" si="132"/>
        <v>447929.307072</v>
      </c>
      <c r="BX445" s="273">
        <f t="shared" si="133"/>
        <v>2805451.9758720002</v>
      </c>
      <c r="BY445" s="214" t="s">
        <v>445</v>
      </c>
      <c r="BZ445" s="213" t="s">
        <v>2925</v>
      </c>
      <c r="CA445" s="213"/>
      <c r="CB445" s="274"/>
      <c r="CC445" s="274"/>
      <c r="CD445" s="274"/>
      <c r="CE445" s="11"/>
      <c r="CF445" s="11"/>
      <c r="CG445" s="11"/>
      <c r="CH445" s="274"/>
      <c r="CI445" s="274"/>
      <c r="CJ445" s="274"/>
      <c r="CK445" s="11"/>
      <c r="CL445" s="11"/>
      <c r="CM445" s="11"/>
      <c r="CN445" s="11"/>
      <c r="CO445" s="11"/>
      <c r="CP445" s="11"/>
      <c r="CQ445" s="11"/>
      <c r="CR445" s="11"/>
      <c r="CS445" s="11"/>
      <c r="CT445" s="11"/>
      <c r="CU445" s="11"/>
      <c r="CV445" s="11"/>
      <c r="CW445" s="11"/>
      <c r="CX445" s="11"/>
      <c r="CY445" s="11"/>
      <c r="CZ445" s="11"/>
      <c r="DA445" s="11"/>
      <c r="DB445" s="11"/>
      <c r="DC445" s="11"/>
      <c r="DD445" s="11"/>
      <c r="DE445" s="11"/>
      <c r="DF445" s="11"/>
      <c r="DG445" s="11"/>
      <c r="DH445" s="11"/>
      <c r="DI445" s="11"/>
      <c r="DJ445" s="11"/>
      <c r="DK445" s="11"/>
      <c r="DL445" s="274"/>
      <c r="DM445" s="274"/>
      <c r="DN445" s="274"/>
      <c r="DO445" s="274"/>
      <c r="DP445" s="274"/>
      <c r="DQ445" s="274"/>
      <c r="DR445" s="274"/>
      <c r="DS445" s="274"/>
      <c r="DT445" s="274"/>
      <c r="DU445" s="274"/>
      <c r="DV445" s="274"/>
      <c r="DW445" s="274"/>
      <c r="DX445" s="274"/>
      <c r="DY445" s="274"/>
      <c r="DZ445" s="274"/>
      <c r="EA445" s="274"/>
      <c r="EB445" s="274"/>
      <c r="EC445" s="274"/>
      <c r="ED445" s="39">
        <f t="shared" si="127"/>
        <v>6836933.9758720007</v>
      </c>
      <c r="EE445" s="30">
        <f t="shared" si="128"/>
        <v>3</v>
      </c>
      <c r="EF445" s="39">
        <f t="shared" si="129"/>
        <v>2278977.9919573334</v>
      </c>
    </row>
    <row r="446" spans="1:136" x14ac:dyDescent="0.25">
      <c r="A446" s="25" t="e">
        <f>#REF!</f>
        <v>#REF!</v>
      </c>
      <c r="B446" s="50" t="e">
        <f>#REF!</f>
        <v>#REF!</v>
      </c>
      <c r="C446" s="5" t="e">
        <f>#REF!</f>
        <v>#REF!</v>
      </c>
      <c r="D446" s="5" t="e">
        <f>#REF!</f>
        <v>#REF!</v>
      </c>
      <c r="E446" s="252">
        <v>1</v>
      </c>
      <c r="F446" s="249">
        <v>0</v>
      </c>
      <c r="G446" s="249">
        <v>0</v>
      </c>
      <c r="H446" s="249">
        <v>0</v>
      </c>
      <c r="I446" s="249">
        <v>0</v>
      </c>
      <c r="J446" s="249">
        <v>0</v>
      </c>
      <c r="K446" s="249">
        <v>0</v>
      </c>
      <c r="L446" s="274"/>
      <c r="M446" s="274"/>
      <c r="N446" s="255">
        <v>1350000</v>
      </c>
      <c r="O446" s="135">
        <f>+N446*0.19</f>
        <v>256500</v>
      </c>
      <c r="P446" s="135">
        <f>+N446+O446</f>
        <v>1606500</v>
      </c>
      <c r="Q446" s="131"/>
      <c r="R446" s="131"/>
      <c r="S446" s="11"/>
      <c r="T446" s="274"/>
      <c r="U446" s="274"/>
      <c r="V446" s="274"/>
      <c r="W446" s="39"/>
      <c r="X446" s="11"/>
      <c r="Y446" s="11"/>
      <c r="Z446" s="274"/>
      <c r="AA446" s="274"/>
      <c r="AB446" s="274"/>
      <c r="AC446" s="52"/>
      <c r="AD446" s="22"/>
      <c r="AE446" s="39"/>
      <c r="AF446" s="274"/>
      <c r="AG446" s="274"/>
      <c r="AH446" s="171"/>
      <c r="AI446" s="4"/>
      <c r="AJ446" s="39"/>
      <c r="AK446" s="39"/>
      <c r="AL446" s="118"/>
      <c r="AM446" s="152"/>
      <c r="AN446" s="181"/>
      <c r="AO446" s="131"/>
      <c r="AP446" s="131"/>
      <c r="AQ446" s="39"/>
      <c r="AR446" s="274"/>
      <c r="AS446" s="274"/>
      <c r="AT446" s="274"/>
      <c r="AU446" s="39"/>
      <c r="AV446" s="39"/>
      <c r="AW446" s="39"/>
      <c r="AX446" s="274"/>
      <c r="AY446" s="274"/>
      <c r="AZ446" s="274"/>
      <c r="BA446" s="39"/>
      <c r="BB446" s="62"/>
      <c r="BC446" s="39"/>
      <c r="BD446" s="274"/>
      <c r="BE446" s="274"/>
      <c r="BF446" s="274"/>
      <c r="BG446" s="39"/>
      <c r="BH446" s="39"/>
      <c r="BI446" s="39"/>
      <c r="BJ446" s="274">
        <v>2037800</v>
      </c>
      <c r="BK446" s="274">
        <f t="shared" si="130"/>
        <v>387182</v>
      </c>
      <c r="BL446" s="274">
        <f t="shared" si="131"/>
        <v>2424982</v>
      </c>
      <c r="BM446" s="214" t="s">
        <v>445</v>
      </c>
      <c r="BN446" s="213" t="s">
        <v>2925</v>
      </c>
      <c r="BO446" s="39"/>
      <c r="BP446" s="274"/>
      <c r="BQ446" s="274"/>
      <c r="BR446" s="274"/>
      <c r="BS446" s="39"/>
      <c r="BT446" s="39"/>
      <c r="BU446" s="39"/>
      <c r="BV446" s="219">
        <v>2336113.5420000004</v>
      </c>
      <c r="BW446" s="219">
        <f t="shared" si="132"/>
        <v>443861.57298000006</v>
      </c>
      <c r="BX446" s="273">
        <f t="shared" si="133"/>
        <v>2779975.1149800005</v>
      </c>
      <c r="BY446" s="214" t="s">
        <v>445</v>
      </c>
      <c r="BZ446" s="213" t="s">
        <v>2925</v>
      </c>
      <c r="CA446" s="213"/>
      <c r="CB446" s="274"/>
      <c r="CC446" s="274"/>
      <c r="CD446" s="274"/>
      <c r="CE446" s="39"/>
      <c r="CF446" s="39"/>
      <c r="CG446" s="39"/>
      <c r="CH446" s="274"/>
      <c r="CI446" s="274"/>
      <c r="CJ446" s="274"/>
      <c r="CK446" s="39"/>
      <c r="CL446" s="39"/>
      <c r="CM446" s="39"/>
      <c r="CN446" s="39"/>
      <c r="CO446" s="39"/>
      <c r="CP446" s="11"/>
      <c r="CQ446" s="11"/>
      <c r="CR446" s="11"/>
      <c r="CS446" s="11"/>
      <c r="CT446" s="11"/>
      <c r="CU446" s="11"/>
      <c r="CV446" s="11"/>
      <c r="CW446" s="11"/>
      <c r="CX446" s="11"/>
      <c r="CY446" s="11"/>
      <c r="CZ446" s="11"/>
      <c r="DA446" s="11"/>
      <c r="DB446" s="11"/>
      <c r="DC446" s="11"/>
      <c r="DD446" s="11"/>
      <c r="DE446" s="11"/>
      <c r="DF446" s="11"/>
      <c r="DG446" s="11"/>
      <c r="DH446" s="11"/>
      <c r="DI446" s="11"/>
      <c r="DJ446" s="11"/>
      <c r="DK446" s="11"/>
      <c r="DL446" s="274"/>
      <c r="DM446" s="274"/>
      <c r="DN446" s="274"/>
      <c r="DO446" s="274"/>
      <c r="DP446" s="274"/>
      <c r="DQ446" s="274"/>
      <c r="DR446" s="274"/>
      <c r="DS446" s="274"/>
      <c r="DT446" s="274"/>
      <c r="DU446" s="274"/>
      <c r="DV446" s="274"/>
      <c r="DW446" s="274"/>
      <c r="DX446" s="274"/>
      <c r="DY446" s="274"/>
      <c r="DZ446" s="274"/>
      <c r="EA446" s="274"/>
      <c r="EB446" s="274"/>
      <c r="EC446" s="274"/>
      <c r="ED446" s="39">
        <f t="shared" si="127"/>
        <v>6811457.114980001</v>
      </c>
      <c r="EE446" s="30">
        <f t="shared" si="128"/>
        <v>3</v>
      </c>
      <c r="EF446" s="39">
        <f t="shared" si="129"/>
        <v>2270485.7049933337</v>
      </c>
    </row>
    <row r="447" spans="1:136" x14ac:dyDescent="0.25">
      <c r="A447" s="25" t="e">
        <f>#REF!</f>
        <v>#REF!</v>
      </c>
      <c r="B447" s="50" t="e">
        <f>#REF!</f>
        <v>#REF!</v>
      </c>
      <c r="C447" s="5" t="e">
        <f>#REF!</f>
        <v>#REF!</v>
      </c>
      <c r="D447" s="5" t="e">
        <f>#REF!</f>
        <v>#REF!</v>
      </c>
      <c r="E447" s="252">
        <v>1</v>
      </c>
      <c r="F447" s="249">
        <v>3193484</v>
      </c>
      <c r="G447" s="249">
        <v>3094000</v>
      </c>
      <c r="H447" s="249">
        <v>2135562.1000000006</v>
      </c>
      <c r="I447" s="249">
        <v>2135455</v>
      </c>
      <c r="J447" s="249">
        <v>3011394.1666666665</v>
      </c>
      <c r="K447" s="249">
        <v>1320781</v>
      </c>
      <c r="L447" s="274">
        <f>AVERAGE(F447,H447,J447)</f>
        <v>2780146.7555555557</v>
      </c>
      <c r="M447" s="274">
        <f>AVERAGE(G447,I447,K447)*E1</f>
        <v>2248914.36</v>
      </c>
      <c r="N447" s="255"/>
      <c r="O447" s="135"/>
      <c r="P447" s="135"/>
      <c r="Q447" s="131"/>
      <c r="R447" s="131"/>
      <c r="S447" s="11"/>
      <c r="T447" s="274"/>
      <c r="U447" s="274"/>
      <c r="V447" s="274"/>
      <c r="W447" s="39"/>
      <c r="X447" s="11"/>
      <c r="Y447" s="11"/>
      <c r="Z447" s="274"/>
      <c r="AA447" s="274"/>
      <c r="AB447" s="274"/>
      <c r="AC447" s="55"/>
      <c r="AD447" s="22"/>
      <c r="AE447" s="39"/>
      <c r="AF447" s="274"/>
      <c r="AG447" s="274"/>
      <c r="AH447" s="173"/>
      <c r="AI447" s="4"/>
      <c r="AJ447" s="39"/>
      <c r="AK447" s="39"/>
      <c r="AL447" s="118"/>
      <c r="AM447" s="152"/>
      <c r="AN447" s="181"/>
      <c r="AO447" s="131"/>
      <c r="AP447" s="131"/>
      <c r="AQ447" s="39"/>
      <c r="AR447" s="274"/>
      <c r="AS447" s="274"/>
      <c r="AT447" s="274"/>
      <c r="AU447" s="39"/>
      <c r="AV447" s="39"/>
      <c r="AW447" s="39"/>
      <c r="AX447" s="274"/>
      <c r="AY447" s="274"/>
      <c r="AZ447" s="274"/>
      <c r="BA447" s="39"/>
      <c r="BB447" s="62"/>
      <c r="BC447" s="39"/>
      <c r="BD447" s="274"/>
      <c r="BE447" s="274"/>
      <c r="BF447" s="274"/>
      <c r="BG447" s="39"/>
      <c r="BH447" s="39"/>
      <c r="BI447" s="39"/>
      <c r="BJ447" s="274">
        <f>1807400/2</f>
        <v>903700</v>
      </c>
      <c r="BK447" s="274">
        <f t="shared" si="130"/>
        <v>171703</v>
      </c>
      <c r="BL447" s="274">
        <f t="shared" si="131"/>
        <v>1075403</v>
      </c>
      <c r="BM447" s="214" t="s">
        <v>554</v>
      </c>
      <c r="BN447" s="213" t="s">
        <v>2925</v>
      </c>
      <c r="BO447" s="39"/>
      <c r="BP447" s="274"/>
      <c r="BQ447" s="274"/>
      <c r="BR447" s="274"/>
      <c r="BS447" s="39"/>
      <c r="BT447" s="39"/>
      <c r="BU447" s="39"/>
      <c r="BV447" s="212">
        <f>2089254.993/2</f>
        <v>1044627.4965</v>
      </c>
      <c r="BW447" s="219">
        <f t="shared" si="132"/>
        <v>198479.22433500001</v>
      </c>
      <c r="BX447" s="273">
        <f t="shared" si="133"/>
        <v>1243106.720835</v>
      </c>
      <c r="BY447" s="214" t="s">
        <v>554</v>
      </c>
      <c r="BZ447" s="213" t="s">
        <v>2925</v>
      </c>
      <c r="CA447" s="213"/>
      <c r="CB447" s="274"/>
      <c r="CC447" s="274"/>
      <c r="CD447" s="274"/>
      <c r="CE447" s="39"/>
      <c r="CF447" s="39"/>
      <c r="CG447" s="39"/>
      <c r="CH447" s="274"/>
      <c r="CI447" s="274"/>
      <c r="CJ447" s="274"/>
      <c r="CK447" s="39"/>
      <c r="CL447" s="39"/>
      <c r="CM447" s="39"/>
      <c r="CN447" s="39"/>
      <c r="CO447" s="39"/>
      <c r="CP447" s="11"/>
      <c r="CQ447" s="11"/>
      <c r="CR447" s="11"/>
      <c r="CS447" s="11"/>
      <c r="CT447" s="11"/>
      <c r="CU447" s="11"/>
      <c r="CV447" s="11"/>
      <c r="CW447" s="11"/>
      <c r="CX447" s="11"/>
      <c r="CY447" s="11"/>
      <c r="CZ447" s="11"/>
      <c r="DA447" s="11"/>
      <c r="DB447" s="11"/>
      <c r="DC447" s="11"/>
      <c r="DD447" s="11"/>
      <c r="DE447" s="11"/>
      <c r="DF447" s="11"/>
      <c r="DG447" s="11"/>
      <c r="DH447" s="11"/>
      <c r="DI447" s="11"/>
      <c r="DJ447" s="11"/>
      <c r="DK447" s="11"/>
      <c r="DL447" s="274"/>
      <c r="DM447" s="274"/>
      <c r="DN447" s="274"/>
      <c r="DO447" s="274"/>
      <c r="DP447" s="274"/>
      <c r="DQ447" s="274"/>
      <c r="DR447" s="274"/>
      <c r="DS447" s="274"/>
      <c r="DT447" s="274"/>
      <c r="DU447" s="274"/>
      <c r="DV447" s="274"/>
      <c r="DW447" s="274"/>
      <c r="DX447" s="274"/>
      <c r="DY447" s="274"/>
      <c r="DZ447" s="274"/>
      <c r="EA447" s="274"/>
      <c r="EB447" s="274"/>
      <c r="EC447" s="274"/>
      <c r="ED447" s="39">
        <f t="shared" si="127"/>
        <v>4567424.0808349997</v>
      </c>
      <c r="EE447" s="30">
        <f t="shared" si="128"/>
        <v>3</v>
      </c>
      <c r="EF447" s="39">
        <f t="shared" si="129"/>
        <v>1522474.6936116666</v>
      </c>
    </row>
    <row r="448" spans="1:136" ht="25.5" x14ac:dyDescent="0.25">
      <c r="A448" s="25" t="e">
        <f>#REF!</f>
        <v>#REF!</v>
      </c>
      <c r="B448" s="50" t="e">
        <f>#REF!</f>
        <v>#REF!</v>
      </c>
      <c r="C448" s="5" t="e">
        <f>#REF!</f>
        <v>#REF!</v>
      </c>
      <c r="D448" s="5" t="e">
        <f>#REF!</f>
        <v>#REF!</v>
      </c>
      <c r="E448" s="252">
        <v>1</v>
      </c>
      <c r="F448" s="249">
        <v>1372427</v>
      </c>
      <c r="G448" s="249">
        <v>1331253</v>
      </c>
      <c r="H448" s="249">
        <v>0</v>
      </c>
      <c r="I448" s="249">
        <v>0</v>
      </c>
      <c r="J448" s="249">
        <v>983128.91250000009</v>
      </c>
      <c r="K448" s="249">
        <v>949620</v>
      </c>
      <c r="L448" s="274">
        <f>AVERAGE(F448,J448)</f>
        <v>1177777.95625</v>
      </c>
      <c r="M448" s="274">
        <f>AVERAGE(G448,K448)*E1</f>
        <v>1174649.595</v>
      </c>
      <c r="N448" s="255">
        <v>1300000</v>
      </c>
      <c r="O448" s="135">
        <f>+N448*0.19</f>
        <v>247000</v>
      </c>
      <c r="P448" s="135">
        <f>+N448+O448</f>
        <v>1547000</v>
      </c>
      <c r="Q448" s="131"/>
      <c r="R448" s="131"/>
      <c r="S448" s="11"/>
      <c r="T448" s="274"/>
      <c r="U448" s="274"/>
      <c r="V448" s="274"/>
      <c r="W448" s="39"/>
      <c r="X448" s="11"/>
      <c r="Y448" s="11"/>
      <c r="Z448" s="274">
        <v>450000</v>
      </c>
      <c r="AA448" s="274">
        <f>+Z448*0.19</f>
        <v>85500</v>
      </c>
      <c r="AB448" s="274">
        <f>+Z448+AA448</f>
        <v>535500</v>
      </c>
      <c r="AC448" s="5" t="s">
        <v>3431</v>
      </c>
      <c r="AD448" s="22" t="s">
        <v>4795</v>
      </c>
      <c r="AE448" s="39"/>
      <c r="AF448" s="274"/>
      <c r="AG448" s="274"/>
      <c r="AH448" s="169"/>
      <c r="AI448" s="4"/>
      <c r="AJ448" s="39"/>
      <c r="AK448" s="39"/>
      <c r="AL448" s="118"/>
      <c r="AM448" s="152"/>
      <c r="AN448" s="181"/>
      <c r="AO448" s="131"/>
      <c r="AP448" s="131"/>
      <c r="AQ448" s="39"/>
      <c r="AR448" s="274"/>
      <c r="AS448" s="274"/>
      <c r="AT448" s="274"/>
      <c r="AU448" s="39"/>
      <c r="AV448" s="39"/>
      <c r="AW448" s="39"/>
      <c r="AX448" s="274"/>
      <c r="AY448" s="274"/>
      <c r="AZ448" s="274"/>
      <c r="BA448" s="39"/>
      <c r="BB448" s="62"/>
      <c r="BC448" s="39"/>
      <c r="BD448" s="274"/>
      <c r="BE448" s="274"/>
      <c r="BF448" s="274"/>
      <c r="BG448" s="39"/>
      <c r="BH448" s="39"/>
      <c r="BI448" s="39"/>
      <c r="BJ448" s="274">
        <f>+(1915300/100)*75</f>
        <v>1436475</v>
      </c>
      <c r="BK448" s="274">
        <f t="shared" ref="BK448:BK470" si="141">+BJ448*0.19</f>
        <v>272930.25</v>
      </c>
      <c r="BL448" s="274">
        <f t="shared" ref="BL448:BL470" si="142">+BJ448+BK448</f>
        <v>1709405.25</v>
      </c>
      <c r="BM448" s="214" t="s">
        <v>554</v>
      </c>
      <c r="BN448" s="213" t="s">
        <v>3166</v>
      </c>
      <c r="BO448" s="39"/>
      <c r="BP448" s="274"/>
      <c r="BQ448" s="274"/>
      <c r="BR448" s="274"/>
      <c r="BS448" s="39"/>
      <c r="BT448" s="39"/>
      <c r="BU448" s="39"/>
      <c r="BV448" s="212">
        <f>+(2051487.4065/100)*75</f>
        <v>1538615.5548749999</v>
      </c>
      <c r="BW448" s="219">
        <f t="shared" si="132"/>
        <v>292336.95542625</v>
      </c>
      <c r="BX448" s="273">
        <f t="shared" si="133"/>
        <v>1830952.51030125</v>
      </c>
      <c r="BY448" s="214" t="s">
        <v>554</v>
      </c>
      <c r="BZ448" s="213" t="s">
        <v>3166</v>
      </c>
      <c r="CA448" s="213"/>
      <c r="CB448" s="274"/>
      <c r="CC448" s="274"/>
      <c r="CD448" s="274"/>
      <c r="CE448" s="39"/>
      <c r="CF448" s="39"/>
      <c r="CG448" s="39"/>
      <c r="CH448" s="274"/>
      <c r="CI448" s="274"/>
      <c r="CJ448" s="274"/>
      <c r="CK448" s="39"/>
      <c r="CL448" s="39"/>
      <c r="CM448" s="39"/>
      <c r="CN448" s="39"/>
      <c r="CO448" s="39"/>
      <c r="CP448" s="11"/>
      <c r="CQ448" s="11"/>
      <c r="CR448" s="11"/>
      <c r="CS448" s="11"/>
      <c r="CT448" s="11"/>
      <c r="CU448" s="11"/>
      <c r="CV448" s="11"/>
      <c r="CW448" s="11"/>
      <c r="CX448" s="11"/>
      <c r="CY448" s="11"/>
      <c r="CZ448" s="11"/>
      <c r="DA448" s="11"/>
      <c r="DB448" s="11"/>
      <c r="DC448" s="11"/>
      <c r="DD448" s="11"/>
      <c r="DE448" s="11"/>
      <c r="DF448" s="11"/>
      <c r="DG448" s="11"/>
      <c r="DH448" s="11"/>
      <c r="DI448" s="11"/>
      <c r="DJ448" s="11"/>
      <c r="DK448" s="11"/>
      <c r="DL448" s="274"/>
      <c r="DM448" s="274"/>
      <c r="DN448" s="274"/>
      <c r="DO448" s="274"/>
      <c r="DP448" s="274"/>
      <c r="DQ448" s="274"/>
      <c r="DR448" s="274"/>
      <c r="DS448" s="274"/>
      <c r="DT448" s="274"/>
      <c r="DU448" s="274"/>
      <c r="DV448" s="274"/>
      <c r="DW448" s="274"/>
      <c r="DX448" s="274"/>
      <c r="DY448" s="274"/>
      <c r="DZ448" s="274"/>
      <c r="EA448" s="274"/>
      <c r="EB448" s="274"/>
      <c r="EC448" s="274"/>
      <c r="ED448" s="39">
        <f t="shared" si="127"/>
        <v>6797507.3553012498</v>
      </c>
      <c r="EE448" s="30">
        <f t="shared" si="128"/>
        <v>5</v>
      </c>
      <c r="EF448" s="39">
        <f t="shared" si="129"/>
        <v>1359501.47106025</v>
      </c>
    </row>
    <row r="449" spans="1:136" x14ac:dyDescent="0.25">
      <c r="A449" s="25" t="e">
        <f>#REF!</f>
        <v>#REF!</v>
      </c>
      <c r="B449" s="50" t="e">
        <f>#REF!</f>
        <v>#REF!</v>
      </c>
      <c r="C449" s="5" t="e">
        <f>#REF!</f>
        <v>#REF!</v>
      </c>
      <c r="D449" s="5" t="e">
        <f>#REF!</f>
        <v>#REF!</v>
      </c>
      <c r="E449" s="252">
        <v>1</v>
      </c>
      <c r="F449" s="249">
        <v>0</v>
      </c>
      <c r="G449" s="249">
        <v>0</v>
      </c>
      <c r="H449" s="249">
        <v>0</v>
      </c>
      <c r="I449" s="249">
        <v>0</v>
      </c>
      <c r="J449" s="249">
        <v>4577020.1231439998</v>
      </c>
      <c r="K449" s="249">
        <v>3332000</v>
      </c>
      <c r="L449" s="274">
        <f>J449</f>
        <v>4577020.1231439998</v>
      </c>
      <c r="M449" s="274">
        <f>K449*E1</f>
        <v>3431960</v>
      </c>
      <c r="N449" s="255"/>
      <c r="O449" s="135"/>
      <c r="P449" s="135"/>
      <c r="Q449" s="131"/>
      <c r="R449" s="131"/>
      <c r="S449" s="11"/>
      <c r="T449" s="274"/>
      <c r="U449" s="274"/>
      <c r="V449" s="274"/>
      <c r="W449" s="39"/>
      <c r="X449" s="11"/>
      <c r="Y449" s="11"/>
      <c r="Z449" s="274"/>
      <c r="AA449" s="274"/>
      <c r="AB449" s="274"/>
      <c r="AC449" s="52"/>
      <c r="AD449" s="22"/>
      <c r="AE449" s="39"/>
      <c r="AF449" s="274"/>
      <c r="AG449" s="274"/>
      <c r="AH449" s="171"/>
      <c r="AI449" s="4"/>
      <c r="AJ449" s="39"/>
      <c r="AK449" s="39"/>
      <c r="AL449" s="118"/>
      <c r="AM449" s="152"/>
      <c r="AN449" s="181"/>
      <c r="AO449" s="131"/>
      <c r="AP449" s="131"/>
      <c r="AQ449" s="39"/>
      <c r="AR449" s="274"/>
      <c r="AS449" s="274"/>
      <c r="AT449" s="274"/>
      <c r="AU449" s="39"/>
      <c r="AV449" s="39"/>
      <c r="AW449" s="39"/>
      <c r="AX449" s="274"/>
      <c r="AY449" s="274"/>
      <c r="AZ449" s="274"/>
      <c r="BA449" s="39"/>
      <c r="BB449" s="62"/>
      <c r="BC449" s="39"/>
      <c r="BD449" s="274"/>
      <c r="BE449" s="274"/>
      <c r="BF449" s="274"/>
      <c r="BG449" s="39"/>
      <c r="BH449" s="39"/>
      <c r="BI449" s="39"/>
      <c r="BJ449" s="274">
        <v>1787400</v>
      </c>
      <c r="BK449" s="274">
        <f t="shared" si="141"/>
        <v>339606</v>
      </c>
      <c r="BL449" s="274">
        <f t="shared" si="142"/>
        <v>2127006</v>
      </c>
      <c r="BM449" s="214" t="s">
        <v>554</v>
      </c>
      <c r="BN449" s="213" t="s">
        <v>3166</v>
      </c>
      <c r="BO449" s="39"/>
      <c r="BP449" s="274">
        <v>1850000</v>
      </c>
      <c r="BQ449" s="274">
        <f t="shared" ref="BQ449:BQ456" si="143">+BP449*19%</f>
        <v>351500</v>
      </c>
      <c r="BR449" s="274">
        <f t="shared" ref="BR449:BR456" si="144">+BQ449+BP449</f>
        <v>2201500</v>
      </c>
      <c r="BS449" s="39"/>
      <c r="BT449" s="39"/>
      <c r="BU449" s="39"/>
      <c r="BV449" s="212">
        <v>1969192.8792000001</v>
      </c>
      <c r="BW449" s="219">
        <f t="shared" si="132"/>
        <v>374146.64704800001</v>
      </c>
      <c r="BX449" s="273">
        <f t="shared" si="133"/>
        <v>2343339.5262480001</v>
      </c>
      <c r="BY449" s="214" t="s">
        <v>554</v>
      </c>
      <c r="BZ449" s="213" t="s">
        <v>3166</v>
      </c>
      <c r="CA449" s="213"/>
      <c r="CB449" s="274"/>
      <c r="CC449" s="274"/>
      <c r="CD449" s="274"/>
      <c r="CE449" s="39"/>
      <c r="CF449" s="39"/>
      <c r="CG449" s="39"/>
      <c r="CH449" s="274"/>
      <c r="CI449" s="274"/>
      <c r="CJ449" s="274"/>
      <c r="CK449" s="39"/>
      <c r="CL449" s="39"/>
      <c r="CM449" s="39"/>
      <c r="CN449" s="39"/>
      <c r="CO449" s="39"/>
      <c r="CP449" s="11"/>
      <c r="CQ449" s="11"/>
      <c r="CR449" s="11"/>
      <c r="CS449" s="11"/>
      <c r="CT449" s="11"/>
      <c r="CU449" s="11"/>
      <c r="CV449" s="11"/>
      <c r="CW449" s="11"/>
      <c r="CX449" s="11"/>
      <c r="CY449" s="11"/>
      <c r="CZ449" s="11"/>
      <c r="DA449" s="11"/>
      <c r="DB449" s="11"/>
      <c r="DC449" s="11"/>
      <c r="DD449" s="11"/>
      <c r="DE449" s="11"/>
      <c r="DF449" s="11"/>
      <c r="DG449" s="11"/>
      <c r="DH449" s="11"/>
      <c r="DI449" s="11"/>
      <c r="DJ449" s="11"/>
      <c r="DK449" s="11"/>
      <c r="DL449" s="274"/>
      <c r="DM449" s="274"/>
      <c r="DN449" s="274"/>
      <c r="DO449" s="274"/>
      <c r="DP449" s="274"/>
      <c r="DQ449" s="274"/>
      <c r="DR449" s="274"/>
      <c r="DS449" s="274"/>
      <c r="DT449" s="274"/>
      <c r="DU449" s="274"/>
      <c r="DV449" s="274"/>
      <c r="DW449" s="274"/>
      <c r="DX449" s="274"/>
      <c r="DY449" s="274"/>
      <c r="DZ449" s="274"/>
      <c r="EA449" s="274"/>
      <c r="EB449" s="274"/>
      <c r="EC449" s="274"/>
      <c r="ED449" s="39">
        <f t="shared" si="127"/>
        <v>10103805.526248001</v>
      </c>
      <c r="EE449" s="30">
        <f t="shared" si="128"/>
        <v>4</v>
      </c>
      <c r="EF449" s="39">
        <f t="shared" si="129"/>
        <v>2525951.3815620001</v>
      </c>
    </row>
    <row r="450" spans="1:136" ht="24" x14ac:dyDescent="0.25">
      <c r="A450" s="25" t="e">
        <f>#REF!</f>
        <v>#REF!</v>
      </c>
      <c r="B450" s="50" t="e">
        <f>#REF!</f>
        <v>#REF!</v>
      </c>
      <c r="C450" s="5" t="e">
        <f>#REF!</f>
        <v>#REF!</v>
      </c>
      <c r="D450" s="5" t="e">
        <f>#REF!</f>
        <v>#REF!</v>
      </c>
      <c r="E450" s="252">
        <v>1</v>
      </c>
      <c r="F450" s="249">
        <v>842044</v>
      </c>
      <c r="G450" s="249">
        <v>842044</v>
      </c>
      <c r="H450" s="249">
        <v>1279793.7030666666</v>
      </c>
      <c r="I450" s="249">
        <v>1279726</v>
      </c>
      <c r="J450" s="249">
        <v>0</v>
      </c>
      <c r="K450" s="249">
        <v>0</v>
      </c>
      <c r="L450" s="274">
        <f>AVERAGE(F450,H450)</f>
        <v>1060918.8515333333</v>
      </c>
      <c r="M450" s="274">
        <f>AVERAGE(G450,I450)*E1</f>
        <v>1092711.55</v>
      </c>
      <c r="N450" s="255"/>
      <c r="O450" s="135"/>
      <c r="P450" s="135"/>
      <c r="Q450" s="131"/>
      <c r="R450" s="131"/>
      <c r="S450" s="11"/>
      <c r="T450" s="274">
        <v>253000.00000000003</v>
      </c>
      <c r="U450" s="274">
        <f>+T450*0.19</f>
        <v>48070.000000000007</v>
      </c>
      <c r="V450" s="274">
        <f>+T450+U450</f>
        <v>301070.00000000006</v>
      </c>
      <c r="W450" s="39" t="s">
        <v>3431</v>
      </c>
      <c r="X450" s="11" t="s">
        <v>4842</v>
      </c>
      <c r="Y450" s="11"/>
      <c r="Z450" s="274"/>
      <c r="AA450" s="274"/>
      <c r="AB450" s="274"/>
      <c r="AC450" s="5"/>
      <c r="AD450" s="22"/>
      <c r="AE450" s="39"/>
      <c r="AF450" s="274"/>
      <c r="AG450" s="274"/>
      <c r="AH450" s="169"/>
      <c r="AI450" s="4"/>
      <c r="AJ450" s="39"/>
      <c r="AK450" s="39"/>
      <c r="AL450" s="118"/>
      <c r="AM450" s="152"/>
      <c r="AN450" s="181"/>
      <c r="AO450" s="131"/>
      <c r="AP450" s="131"/>
      <c r="AQ450" s="39"/>
      <c r="AR450" s="274"/>
      <c r="AS450" s="274"/>
      <c r="AT450" s="274"/>
      <c r="AU450" s="39"/>
      <c r="AV450" s="39"/>
      <c r="AW450" s="39"/>
      <c r="AX450" s="274"/>
      <c r="AY450" s="274"/>
      <c r="AZ450" s="274"/>
      <c r="BA450" s="39"/>
      <c r="BB450" s="62"/>
      <c r="BC450" s="39"/>
      <c r="BD450" s="274"/>
      <c r="BE450" s="274"/>
      <c r="BF450" s="274"/>
      <c r="BG450" s="39"/>
      <c r="BH450" s="39"/>
      <c r="BI450" s="39"/>
      <c r="BJ450" s="274">
        <v>2298600</v>
      </c>
      <c r="BK450" s="274">
        <f t="shared" si="141"/>
        <v>436734</v>
      </c>
      <c r="BL450" s="274">
        <f t="shared" si="142"/>
        <v>2735334</v>
      </c>
      <c r="BM450" s="213" t="s">
        <v>4831</v>
      </c>
      <c r="BN450" s="213" t="s">
        <v>424</v>
      </c>
      <c r="BO450" s="39"/>
      <c r="BP450" s="274">
        <v>1785000</v>
      </c>
      <c r="BQ450" s="274">
        <f t="shared" si="143"/>
        <v>339150</v>
      </c>
      <c r="BR450" s="274">
        <f t="shared" si="144"/>
        <v>2124150</v>
      </c>
      <c r="BS450" s="39"/>
      <c r="BT450" s="39"/>
      <c r="BU450" s="39"/>
      <c r="BV450" s="219">
        <v>2535171.9120000005</v>
      </c>
      <c r="BW450" s="219">
        <f t="shared" si="132"/>
        <v>481682.6632800001</v>
      </c>
      <c r="BX450" s="273">
        <f t="shared" si="133"/>
        <v>3016854.5752800005</v>
      </c>
      <c r="BY450" s="213" t="s">
        <v>4831</v>
      </c>
      <c r="BZ450" s="213" t="s">
        <v>424</v>
      </c>
      <c r="CA450" s="213"/>
      <c r="CB450" s="274"/>
      <c r="CC450" s="274"/>
      <c r="CD450" s="274"/>
      <c r="CE450" s="39"/>
      <c r="CF450" s="39"/>
      <c r="CG450" s="39"/>
      <c r="CH450" s="274"/>
      <c r="CI450" s="274"/>
      <c r="CJ450" s="274"/>
      <c r="CK450" s="39"/>
      <c r="CL450" s="39"/>
      <c r="CM450" s="39"/>
      <c r="CN450" s="39"/>
      <c r="CO450" s="39"/>
      <c r="CP450" s="11"/>
      <c r="CQ450" s="11"/>
      <c r="CR450" s="11"/>
      <c r="CS450" s="11"/>
      <c r="CT450" s="11"/>
      <c r="CU450" s="11"/>
      <c r="CV450" s="11"/>
      <c r="CW450" s="11"/>
      <c r="CX450" s="11"/>
      <c r="CY450" s="11"/>
      <c r="CZ450" s="11"/>
      <c r="DA450" s="11"/>
      <c r="DB450" s="11"/>
      <c r="DC450" s="11"/>
      <c r="DD450" s="11"/>
      <c r="DE450" s="11"/>
      <c r="DF450" s="11"/>
      <c r="DG450" s="11"/>
      <c r="DH450" s="11"/>
      <c r="DI450" s="11"/>
      <c r="DJ450" s="11"/>
      <c r="DK450" s="11"/>
      <c r="DL450" s="274"/>
      <c r="DM450" s="274"/>
      <c r="DN450" s="274"/>
      <c r="DO450" s="274"/>
      <c r="DP450" s="274"/>
      <c r="DQ450" s="274"/>
      <c r="DR450" s="274"/>
      <c r="DS450" s="274"/>
      <c r="DT450" s="274"/>
      <c r="DU450" s="274"/>
      <c r="DV450" s="274"/>
      <c r="DW450" s="274"/>
      <c r="DX450" s="274"/>
      <c r="DY450" s="274"/>
      <c r="DZ450" s="274"/>
      <c r="EA450" s="274"/>
      <c r="EB450" s="274"/>
      <c r="EC450" s="274"/>
      <c r="ED450" s="39">
        <f t="shared" si="127"/>
        <v>9270120.1252800003</v>
      </c>
      <c r="EE450" s="30">
        <f t="shared" si="128"/>
        <v>5</v>
      </c>
      <c r="EF450" s="39">
        <f t="shared" si="129"/>
        <v>1854024.0250560001</v>
      </c>
    </row>
    <row r="451" spans="1:136" x14ac:dyDescent="0.25">
      <c r="A451" s="25" t="e">
        <f>#REF!</f>
        <v>#REF!</v>
      </c>
      <c r="B451" s="50" t="e">
        <f>#REF!</f>
        <v>#REF!</v>
      </c>
      <c r="C451" s="5" t="e">
        <f>#REF!</f>
        <v>#REF!</v>
      </c>
      <c r="D451" s="5" t="e">
        <f>#REF!</f>
        <v>#REF!</v>
      </c>
      <c r="E451" s="252">
        <v>1</v>
      </c>
      <c r="F451" s="249">
        <v>821040.5</v>
      </c>
      <c r="G451" s="249">
        <v>808724</v>
      </c>
      <c r="H451" s="249">
        <v>539827.74440000008</v>
      </c>
      <c r="I451" s="249">
        <v>386750</v>
      </c>
      <c r="J451" s="249">
        <v>960080.10000000009</v>
      </c>
      <c r="K451" s="249">
        <v>773500</v>
      </c>
      <c r="L451" s="274">
        <f>AVERAGE(F451,H451,J451)</f>
        <v>773649.44813333347</v>
      </c>
      <c r="M451" s="274">
        <f>AVERAGE(G451,I451,K451)*E1</f>
        <v>676014.40666666662</v>
      </c>
      <c r="N451" s="255">
        <v>900000</v>
      </c>
      <c r="O451" s="135">
        <f>+N451*0.19</f>
        <v>171000</v>
      </c>
      <c r="P451" s="135">
        <f>+N451+O451</f>
        <v>1071000</v>
      </c>
      <c r="Q451" s="131"/>
      <c r="R451" s="131"/>
      <c r="S451" s="11"/>
      <c r="T451" s="274"/>
      <c r="U451" s="274"/>
      <c r="V451" s="274"/>
      <c r="W451" s="39"/>
      <c r="X451" s="11"/>
      <c r="Y451" s="11"/>
      <c r="Z451" s="274"/>
      <c r="AA451" s="274"/>
      <c r="AB451" s="274"/>
      <c r="AC451" s="54"/>
      <c r="AD451" s="23"/>
      <c r="AE451" s="39"/>
      <c r="AF451" s="274"/>
      <c r="AG451" s="274"/>
      <c r="AH451" s="172"/>
      <c r="AI451" s="24"/>
      <c r="AJ451" s="39"/>
      <c r="AK451" s="39"/>
      <c r="AL451" s="118"/>
      <c r="AM451" s="152"/>
      <c r="AN451" s="152"/>
      <c r="AO451" s="131"/>
      <c r="AP451" s="131"/>
      <c r="AQ451" s="39"/>
      <c r="AR451" s="274"/>
      <c r="AS451" s="274"/>
      <c r="AT451" s="274"/>
      <c r="AU451" s="39"/>
      <c r="AV451" s="39"/>
      <c r="AW451" s="39"/>
      <c r="AX451" s="274"/>
      <c r="AY451" s="274"/>
      <c r="AZ451" s="274"/>
      <c r="BA451" s="39"/>
      <c r="BB451" s="62"/>
      <c r="BC451" s="39"/>
      <c r="BD451" s="274"/>
      <c r="BE451" s="274"/>
      <c r="BF451" s="274"/>
      <c r="BG451" s="39"/>
      <c r="BH451" s="39"/>
      <c r="BI451" s="39"/>
      <c r="BJ451" s="274">
        <f>1262000/2</f>
        <v>631000</v>
      </c>
      <c r="BK451" s="274">
        <f t="shared" si="141"/>
        <v>119890</v>
      </c>
      <c r="BL451" s="274">
        <f t="shared" si="142"/>
        <v>750890</v>
      </c>
      <c r="BM451" s="213" t="s">
        <v>4738</v>
      </c>
      <c r="BN451" s="213" t="s">
        <v>3166</v>
      </c>
      <c r="BO451" s="39"/>
      <c r="BP451" s="274">
        <v>1750000</v>
      </c>
      <c r="BQ451" s="274">
        <f t="shared" si="143"/>
        <v>332500</v>
      </c>
      <c r="BR451" s="274">
        <f t="shared" si="144"/>
        <v>2082500</v>
      </c>
      <c r="BS451" s="39"/>
      <c r="BT451" s="39"/>
      <c r="BU451" s="39"/>
      <c r="BV451" s="219">
        <v>1446877.952</v>
      </c>
      <c r="BW451" s="219">
        <f t="shared" si="132"/>
        <v>274906.81088</v>
      </c>
      <c r="BX451" s="273">
        <f t="shared" si="133"/>
        <v>1721784.7628800001</v>
      </c>
      <c r="BY451" s="213" t="s">
        <v>4738</v>
      </c>
      <c r="BZ451" s="213" t="s">
        <v>3166</v>
      </c>
      <c r="CA451" s="213"/>
      <c r="CB451" s="274"/>
      <c r="CC451" s="274"/>
      <c r="CD451" s="274"/>
      <c r="CE451" s="39"/>
      <c r="CF451" s="39"/>
      <c r="CG451" s="39"/>
      <c r="CH451" s="274"/>
      <c r="CI451" s="274"/>
      <c r="CJ451" s="274"/>
      <c r="CK451" s="39"/>
      <c r="CL451" s="39"/>
      <c r="CM451" s="39"/>
      <c r="CN451" s="39"/>
      <c r="CO451" s="39"/>
      <c r="CP451" s="11"/>
      <c r="CQ451" s="11"/>
      <c r="CR451" s="11"/>
      <c r="CS451" s="11"/>
      <c r="CT451" s="11"/>
      <c r="CU451" s="11"/>
      <c r="CV451" s="11"/>
      <c r="CW451" s="11"/>
      <c r="CX451" s="11"/>
      <c r="CY451" s="11"/>
      <c r="CZ451" s="11"/>
      <c r="DA451" s="11"/>
      <c r="DB451" s="11"/>
      <c r="DC451" s="11"/>
      <c r="DD451" s="11"/>
      <c r="DE451" s="11"/>
      <c r="DF451" s="11"/>
      <c r="DG451" s="11"/>
      <c r="DH451" s="11"/>
      <c r="DI451" s="11"/>
      <c r="DJ451" s="11"/>
      <c r="DK451" s="11"/>
      <c r="DL451" s="274"/>
      <c r="DM451" s="274"/>
      <c r="DN451" s="274"/>
      <c r="DO451" s="274"/>
      <c r="DP451" s="274"/>
      <c r="DQ451" s="274"/>
      <c r="DR451" s="274"/>
      <c r="DS451" s="274"/>
      <c r="DT451" s="274"/>
      <c r="DU451" s="274"/>
      <c r="DV451" s="274"/>
      <c r="DW451" s="274"/>
      <c r="DX451" s="274"/>
      <c r="DY451" s="274"/>
      <c r="DZ451" s="274"/>
      <c r="EA451" s="274"/>
      <c r="EB451" s="274"/>
      <c r="EC451" s="274"/>
      <c r="ED451" s="39">
        <f t="shared" ref="ED451:ED514" si="145">SUM(M451,P451,V451,AB451,AH451,AN451,AT451,AZ451,BF451,BL451,BR451,BX451,CD451,CJ451,CP451,CV451,DB451,DH451,DN451,DT451,DZ451)</f>
        <v>6302189.1695466666</v>
      </c>
      <c r="EE451" s="30">
        <f t="shared" ref="EE451:EE514" si="146">COUNTA(M451,N451,T451,Z451,AF451,AL451,AR451,AX451,BD451,BJ451,BP451,BV451,CB451,CH451,CN451,CT451,CZ451,DF451,DL451,DR451,DX451)</f>
        <v>5</v>
      </c>
      <c r="EF451" s="39">
        <f t="shared" ref="EF451:EF514" si="147">IFERROR(ED451/EE451," ")</f>
        <v>1260437.8339093332</v>
      </c>
    </row>
    <row r="452" spans="1:136" x14ac:dyDescent="0.25">
      <c r="A452" s="25" t="e">
        <f>#REF!</f>
        <v>#REF!</v>
      </c>
      <c r="B452" s="50" t="e">
        <f>#REF!</f>
        <v>#REF!</v>
      </c>
      <c r="C452" s="5" t="e">
        <f>#REF!</f>
        <v>#REF!</v>
      </c>
      <c r="D452" s="5" t="e">
        <f>#REF!</f>
        <v>#REF!</v>
      </c>
      <c r="E452" s="252">
        <v>1</v>
      </c>
      <c r="F452" s="249">
        <v>1296743</v>
      </c>
      <c r="G452" s="249">
        <v>1264256</v>
      </c>
      <c r="H452" s="249">
        <v>1671965.9935999999</v>
      </c>
      <c r="I452" s="249">
        <v>1671831</v>
      </c>
      <c r="J452" s="249">
        <v>1414322.9333333333</v>
      </c>
      <c r="K452" s="249">
        <v>1190000</v>
      </c>
      <c r="L452" s="274">
        <f>AVERAGE(F452,H452,J452)</f>
        <v>1461010.6423111111</v>
      </c>
      <c r="M452" s="274">
        <f>AVERAGE(G452,I452,K452)*E1</f>
        <v>1416623.2033333334</v>
      </c>
      <c r="N452" s="255">
        <v>1550000</v>
      </c>
      <c r="O452" s="135">
        <f>+N452*0.19</f>
        <v>294500</v>
      </c>
      <c r="P452" s="135">
        <f>+N452+O452</f>
        <v>1844500</v>
      </c>
      <c r="Q452" s="131"/>
      <c r="R452" s="131"/>
      <c r="S452" s="11"/>
      <c r="T452" s="274">
        <f>253000*2</f>
        <v>506000</v>
      </c>
      <c r="U452" s="274">
        <f>+T452*0.19</f>
        <v>96140</v>
      </c>
      <c r="V452" s="274">
        <f>+T452+U452</f>
        <v>602140</v>
      </c>
      <c r="W452" s="39" t="s">
        <v>3431</v>
      </c>
      <c r="X452" s="11" t="s">
        <v>4842</v>
      </c>
      <c r="Y452" s="11" t="s">
        <v>4888</v>
      </c>
      <c r="Z452" s="274"/>
      <c r="AA452" s="274"/>
      <c r="AB452" s="274"/>
      <c r="AC452" s="54"/>
      <c r="AD452" s="22"/>
      <c r="AE452" s="39"/>
      <c r="AF452" s="274"/>
      <c r="AG452" s="274"/>
      <c r="AH452" s="177"/>
      <c r="AI452" s="4"/>
      <c r="AJ452" s="39"/>
      <c r="AK452" s="39"/>
      <c r="AL452" s="118"/>
      <c r="AM452" s="152"/>
      <c r="AN452" s="152"/>
      <c r="AO452" s="131"/>
      <c r="AP452" s="131"/>
      <c r="AQ452" s="39"/>
      <c r="AR452" s="274"/>
      <c r="AS452" s="274"/>
      <c r="AT452" s="274"/>
      <c r="AU452" s="39"/>
      <c r="AV452" s="39"/>
      <c r="AW452" s="39"/>
      <c r="AX452" s="274"/>
      <c r="AY452" s="274"/>
      <c r="AZ452" s="274"/>
      <c r="BA452" s="39"/>
      <c r="BB452" s="62"/>
      <c r="BC452" s="39"/>
      <c r="BD452" s="274"/>
      <c r="BE452" s="274"/>
      <c r="BF452" s="274"/>
      <c r="BG452" s="39"/>
      <c r="BH452" s="39"/>
      <c r="BI452" s="39"/>
      <c r="BJ452" s="274">
        <v>2553200</v>
      </c>
      <c r="BK452" s="274">
        <f t="shared" si="141"/>
        <v>485108</v>
      </c>
      <c r="BL452" s="274">
        <f t="shared" si="142"/>
        <v>3038308</v>
      </c>
      <c r="BM452" s="213" t="s">
        <v>4738</v>
      </c>
      <c r="BN452" s="213" t="s">
        <v>3166</v>
      </c>
      <c r="BO452" s="39"/>
      <c r="BP452" s="274">
        <v>1450000</v>
      </c>
      <c r="BQ452" s="274">
        <f t="shared" si="143"/>
        <v>275500</v>
      </c>
      <c r="BR452" s="274">
        <f t="shared" si="144"/>
        <v>1725500</v>
      </c>
      <c r="BS452" s="39"/>
      <c r="BT452" s="39"/>
      <c r="BU452" s="39"/>
      <c r="BV452" s="219">
        <v>2897205.4020000002</v>
      </c>
      <c r="BW452" s="219">
        <f t="shared" si="132"/>
        <v>550469.02638000005</v>
      </c>
      <c r="BX452" s="273">
        <f t="shared" si="133"/>
        <v>3447674.4283800004</v>
      </c>
      <c r="BY452" s="213" t="s">
        <v>4738</v>
      </c>
      <c r="BZ452" s="213" t="s">
        <v>3166</v>
      </c>
      <c r="CA452" s="213"/>
      <c r="CB452" s="275"/>
      <c r="CC452" s="274"/>
      <c r="CD452" s="274"/>
      <c r="CE452" s="39"/>
      <c r="CF452" s="39"/>
      <c r="CG452" s="39"/>
      <c r="CH452" s="274"/>
      <c r="CI452" s="274"/>
      <c r="CJ452" s="274"/>
      <c r="CK452" s="39"/>
      <c r="CL452" s="39"/>
      <c r="CM452" s="39"/>
      <c r="CN452" s="39"/>
      <c r="CO452" s="39"/>
      <c r="CP452" s="11"/>
      <c r="CQ452" s="11"/>
      <c r="CR452" s="11"/>
      <c r="CS452" s="11"/>
      <c r="CT452" s="11"/>
      <c r="CU452" s="11"/>
      <c r="CV452" s="11"/>
      <c r="CW452" s="11"/>
      <c r="CX452" s="11"/>
      <c r="CY452" s="11"/>
      <c r="CZ452" s="11"/>
      <c r="DA452" s="11"/>
      <c r="DB452" s="11"/>
      <c r="DC452" s="11"/>
      <c r="DD452" s="11"/>
      <c r="DE452" s="11"/>
      <c r="DF452" s="11"/>
      <c r="DG452" s="11"/>
      <c r="DH452" s="11"/>
      <c r="DI452" s="11"/>
      <c r="DJ452" s="11"/>
      <c r="DK452" s="11"/>
      <c r="DL452" s="274"/>
      <c r="DM452" s="274"/>
      <c r="DN452" s="274"/>
      <c r="DO452" s="274"/>
      <c r="DP452" s="274"/>
      <c r="DQ452" s="274"/>
      <c r="DR452" s="274"/>
      <c r="DS452" s="274"/>
      <c r="DT452" s="274"/>
      <c r="DU452" s="274"/>
      <c r="DV452" s="274"/>
      <c r="DW452" s="274"/>
      <c r="DX452" s="274"/>
      <c r="DY452" s="274"/>
      <c r="DZ452" s="274"/>
      <c r="EA452" s="274"/>
      <c r="EB452" s="274"/>
      <c r="EC452" s="274"/>
      <c r="ED452" s="39">
        <f t="shared" si="145"/>
        <v>12074745.631713334</v>
      </c>
      <c r="EE452" s="30">
        <f t="shared" si="146"/>
        <v>6</v>
      </c>
      <c r="EF452" s="39">
        <f t="shared" si="147"/>
        <v>2012457.6052855558</v>
      </c>
    </row>
    <row r="453" spans="1:136" x14ac:dyDescent="0.25">
      <c r="A453" s="25" t="e">
        <f>#REF!</f>
        <v>#REF!</v>
      </c>
      <c r="B453" s="50" t="e">
        <f>#REF!</f>
        <v>#REF!</v>
      </c>
      <c r="C453" s="5" t="e">
        <f>#REF!</f>
        <v>#REF!</v>
      </c>
      <c r="D453" s="5" t="e">
        <f>#REF!</f>
        <v>#REF!</v>
      </c>
      <c r="E453" s="252">
        <v>1</v>
      </c>
      <c r="F453" s="249">
        <v>920762.5</v>
      </c>
      <c r="G453" s="249">
        <v>883932</v>
      </c>
      <c r="H453" s="249">
        <v>561957.66666666663</v>
      </c>
      <c r="I453" s="249">
        <v>561799</v>
      </c>
      <c r="J453" s="249">
        <v>0</v>
      </c>
      <c r="K453" s="249">
        <v>0</v>
      </c>
      <c r="L453" s="274">
        <f>AVERAGE(F453,H453)</f>
        <v>741360.08333333326</v>
      </c>
      <c r="M453" s="274">
        <f>AVERAGE(G453,I453)*E1</f>
        <v>744551.46499999997</v>
      </c>
      <c r="N453" s="256"/>
      <c r="O453" s="135"/>
      <c r="P453" s="135"/>
      <c r="Q453" s="131"/>
      <c r="R453" s="131"/>
      <c r="S453" s="11"/>
      <c r="T453" s="274"/>
      <c r="U453" s="274"/>
      <c r="V453" s="274"/>
      <c r="W453" s="39"/>
      <c r="X453" s="11"/>
      <c r="Y453" s="11"/>
      <c r="Z453" s="274"/>
      <c r="AA453" s="274"/>
      <c r="AB453" s="274"/>
      <c r="AC453" s="46"/>
      <c r="AD453" s="48"/>
      <c r="AE453" s="39"/>
      <c r="AF453" s="274"/>
      <c r="AG453" s="274"/>
      <c r="AH453" s="175"/>
      <c r="AI453" s="11"/>
      <c r="AJ453" s="39"/>
      <c r="AK453" s="39"/>
      <c r="AL453" s="118"/>
      <c r="AM453" s="152"/>
      <c r="AN453" s="181"/>
      <c r="AO453" s="131"/>
      <c r="AP453" s="131"/>
      <c r="AQ453" s="39"/>
      <c r="AR453" s="274"/>
      <c r="AS453" s="274"/>
      <c r="AT453" s="274"/>
      <c r="AU453" s="39"/>
      <c r="AV453" s="39"/>
      <c r="AW453" s="39"/>
      <c r="AX453" s="275"/>
      <c r="AY453" s="274"/>
      <c r="AZ453" s="274"/>
      <c r="BA453" s="39"/>
      <c r="BB453" s="62"/>
      <c r="BC453" s="39"/>
      <c r="BD453" s="274"/>
      <c r="BE453" s="274"/>
      <c r="BF453" s="274"/>
      <c r="BG453" s="39"/>
      <c r="BH453" s="39"/>
      <c r="BI453" s="39"/>
      <c r="BJ453" s="274">
        <f>673600/2</f>
        <v>336800</v>
      </c>
      <c r="BK453" s="274">
        <f t="shared" si="141"/>
        <v>63992</v>
      </c>
      <c r="BL453" s="274">
        <f t="shared" si="142"/>
        <v>400792</v>
      </c>
      <c r="BM453" s="213" t="s">
        <v>4738</v>
      </c>
      <c r="BN453" s="213" t="s">
        <v>2925</v>
      </c>
      <c r="BO453" s="39"/>
      <c r="BP453" s="274">
        <v>1650000</v>
      </c>
      <c r="BQ453" s="274">
        <f t="shared" si="143"/>
        <v>313500</v>
      </c>
      <c r="BR453" s="274">
        <f t="shared" si="144"/>
        <v>1963500</v>
      </c>
      <c r="BS453" s="39"/>
      <c r="BT453" s="39"/>
      <c r="BU453" s="39"/>
      <c r="BV453" s="212">
        <v>728775.92319999996</v>
      </c>
      <c r="BW453" s="219">
        <f t="shared" si="132"/>
        <v>138467.42540799998</v>
      </c>
      <c r="BX453" s="273">
        <f t="shared" si="133"/>
        <v>867243.34860799997</v>
      </c>
      <c r="BY453" s="213" t="s">
        <v>4738</v>
      </c>
      <c r="BZ453" s="213" t="s">
        <v>2925</v>
      </c>
      <c r="CA453" s="213"/>
      <c r="CB453" s="274"/>
      <c r="CC453" s="274"/>
      <c r="CD453" s="274"/>
      <c r="CE453" s="39"/>
      <c r="CF453" s="39"/>
      <c r="CG453" s="39"/>
      <c r="CH453" s="275"/>
      <c r="CI453" s="275"/>
      <c r="CJ453" s="275"/>
      <c r="CK453" s="39"/>
      <c r="CL453" s="39"/>
      <c r="CM453" s="39"/>
      <c r="CN453" s="39"/>
      <c r="CO453" s="39"/>
      <c r="CP453" s="11"/>
      <c r="CQ453" s="11"/>
      <c r="CR453" s="11"/>
      <c r="CS453" s="11"/>
      <c r="CT453" s="11"/>
      <c r="CU453" s="11"/>
      <c r="CV453" s="11"/>
      <c r="CW453" s="11"/>
      <c r="CX453" s="11"/>
      <c r="CY453" s="11"/>
      <c r="CZ453" s="11"/>
      <c r="DA453" s="11"/>
      <c r="DB453" s="11"/>
      <c r="DC453" s="11"/>
      <c r="DD453" s="11"/>
      <c r="DE453" s="11"/>
      <c r="DF453" s="11"/>
      <c r="DG453" s="11"/>
      <c r="DH453" s="11"/>
      <c r="DI453" s="11"/>
      <c r="DJ453" s="11"/>
      <c r="DK453" s="11"/>
      <c r="DL453" s="274"/>
      <c r="DM453" s="274"/>
      <c r="DN453" s="274"/>
      <c r="DO453" s="274"/>
      <c r="DP453" s="274"/>
      <c r="DQ453" s="274"/>
      <c r="DR453" s="274"/>
      <c r="DS453" s="274"/>
      <c r="DT453" s="274"/>
      <c r="DU453" s="274"/>
      <c r="DV453" s="274"/>
      <c r="DW453" s="274"/>
      <c r="DX453" s="274"/>
      <c r="DY453" s="274"/>
      <c r="DZ453" s="274"/>
      <c r="EA453" s="274"/>
      <c r="EB453" s="274"/>
      <c r="EC453" s="274"/>
      <c r="ED453" s="39">
        <f t="shared" si="145"/>
        <v>3976086.8136080001</v>
      </c>
      <c r="EE453" s="30">
        <f t="shared" si="146"/>
        <v>4</v>
      </c>
      <c r="EF453" s="39">
        <f t="shared" si="147"/>
        <v>994021.70340200001</v>
      </c>
    </row>
    <row r="454" spans="1:136" x14ac:dyDescent="0.25">
      <c r="A454" s="25" t="e">
        <f>#REF!</f>
        <v>#REF!</v>
      </c>
      <c r="B454" s="50" t="e">
        <f>#REF!</f>
        <v>#REF!</v>
      </c>
      <c r="C454" s="5" t="e">
        <f>#REF!</f>
        <v>#REF!</v>
      </c>
      <c r="D454" s="5" t="e">
        <f>#REF!</f>
        <v>#REF!</v>
      </c>
      <c r="E454" s="252">
        <v>1</v>
      </c>
      <c r="F454" s="249">
        <v>2048823</v>
      </c>
      <c r="G454" s="249">
        <v>1997534</v>
      </c>
      <c r="H454" s="249">
        <v>1311053.1387333334</v>
      </c>
      <c r="I454" s="249">
        <v>1310904</v>
      </c>
      <c r="J454" s="249">
        <v>2097410.7000000002</v>
      </c>
      <c r="K454" s="249">
        <v>2096780</v>
      </c>
      <c r="L454" s="274">
        <f>AVERAGE(F454,H454,J454)</f>
        <v>1819095.6129111114</v>
      </c>
      <c r="M454" s="274">
        <f>AVERAGE(G454,I454,K454)*E1</f>
        <v>1855791.5133333332</v>
      </c>
      <c r="N454" s="255"/>
      <c r="O454" s="135"/>
      <c r="P454" s="135"/>
      <c r="Q454" s="131"/>
      <c r="R454" s="131"/>
      <c r="S454" s="11"/>
      <c r="T454" s="274"/>
      <c r="U454" s="274"/>
      <c r="V454" s="274"/>
      <c r="W454" s="39"/>
      <c r="X454" s="11"/>
      <c r="Y454" s="11"/>
      <c r="Z454" s="274"/>
      <c r="AA454" s="274"/>
      <c r="AB454" s="274"/>
      <c r="AC454" s="52"/>
      <c r="AD454" s="22"/>
      <c r="AE454" s="39"/>
      <c r="AF454" s="274"/>
      <c r="AG454" s="274"/>
      <c r="AH454" s="113"/>
      <c r="AI454" s="4"/>
      <c r="AJ454" s="39"/>
      <c r="AK454" s="39"/>
      <c r="AL454" s="118"/>
      <c r="AM454" s="152"/>
      <c r="AN454" s="181"/>
      <c r="AO454" s="131"/>
      <c r="AP454" s="131"/>
      <c r="AQ454" s="39"/>
      <c r="AR454" s="274"/>
      <c r="AS454" s="274"/>
      <c r="AT454" s="274"/>
      <c r="AU454" s="39"/>
      <c r="AV454" s="39"/>
      <c r="AW454" s="39"/>
      <c r="AX454" s="274"/>
      <c r="AY454" s="274"/>
      <c r="AZ454" s="274"/>
      <c r="BA454" s="39"/>
      <c r="BB454" s="62"/>
      <c r="BC454" s="39"/>
      <c r="BD454" s="274"/>
      <c r="BE454" s="274"/>
      <c r="BF454" s="274"/>
      <c r="BG454" s="39"/>
      <c r="BH454" s="39"/>
      <c r="BI454" s="39"/>
      <c r="BJ454" s="274">
        <v>3819300</v>
      </c>
      <c r="BK454" s="274">
        <f t="shared" si="141"/>
        <v>725667</v>
      </c>
      <c r="BL454" s="274">
        <f t="shared" si="142"/>
        <v>4544967</v>
      </c>
      <c r="BM454" s="213" t="s">
        <v>4889</v>
      </c>
      <c r="BN454" s="213" t="s">
        <v>4890</v>
      </c>
      <c r="BO454" s="39"/>
      <c r="BP454" s="274">
        <v>1850000</v>
      </c>
      <c r="BQ454" s="274">
        <f t="shared" si="143"/>
        <v>351500</v>
      </c>
      <c r="BR454" s="274">
        <f t="shared" si="144"/>
        <v>2201500</v>
      </c>
      <c r="BS454" s="39"/>
      <c r="BT454" s="39"/>
      <c r="BU454" s="39"/>
      <c r="BV454" s="219"/>
      <c r="BW454" s="219"/>
      <c r="BX454" s="273"/>
      <c r="BY454" s="213"/>
      <c r="BZ454" s="213"/>
      <c r="CA454" s="213"/>
      <c r="CB454" s="275"/>
      <c r="CC454" s="274"/>
      <c r="CD454" s="274"/>
      <c r="CE454" s="39"/>
      <c r="CF454" s="39"/>
      <c r="CG454" s="39"/>
      <c r="CH454" s="274"/>
      <c r="CI454" s="274"/>
      <c r="CJ454" s="274"/>
      <c r="CK454" s="39"/>
      <c r="CL454" s="39"/>
      <c r="CM454" s="39"/>
      <c r="CN454" s="39"/>
      <c r="CO454" s="39"/>
      <c r="CP454" s="11"/>
      <c r="CQ454" s="11"/>
      <c r="CR454" s="11"/>
      <c r="CS454" s="11"/>
      <c r="CT454" s="11"/>
      <c r="CU454" s="11"/>
      <c r="CV454" s="11"/>
      <c r="CW454" s="11"/>
      <c r="CX454" s="11"/>
      <c r="CY454" s="11"/>
      <c r="CZ454" s="11"/>
      <c r="DA454" s="11"/>
      <c r="DB454" s="11"/>
      <c r="DC454" s="11"/>
      <c r="DD454" s="11"/>
      <c r="DE454" s="11"/>
      <c r="DF454" s="11"/>
      <c r="DG454" s="11"/>
      <c r="DH454" s="11"/>
      <c r="DI454" s="11"/>
      <c r="DJ454" s="11"/>
      <c r="DK454" s="11"/>
      <c r="DL454" s="274"/>
      <c r="DM454" s="274"/>
      <c r="DN454" s="274"/>
      <c r="DO454" s="274"/>
      <c r="DP454" s="274"/>
      <c r="DQ454" s="274"/>
      <c r="DR454" s="274"/>
      <c r="DS454" s="274"/>
      <c r="DT454" s="274"/>
      <c r="DU454" s="274"/>
      <c r="DV454" s="274"/>
      <c r="DW454" s="274"/>
      <c r="DX454" s="274"/>
      <c r="DY454" s="274"/>
      <c r="DZ454" s="274"/>
      <c r="EA454" s="274"/>
      <c r="EB454" s="274"/>
      <c r="EC454" s="274"/>
      <c r="ED454" s="39">
        <f t="shared" si="145"/>
        <v>8602258.5133333337</v>
      </c>
      <c r="EE454" s="30">
        <f t="shared" si="146"/>
        <v>3</v>
      </c>
      <c r="EF454" s="39">
        <f t="shared" si="147"/>
        <v>2867419.5044444446</v>
      </c>
    </row>
    <row r="455" spans="1:136" ht="25.5" x14ac:dyDescent="0.25">
      <c r="A455" s="25" t="e">
        <f>#REF!</f>
        <v>#REF!</v>
      </c>
      <c r="B455" s="50" t="e">
        <f>#REF!</f>
        <v>#REF!</v>
      </c>
      <c r="C455" s="5" t="e">
        <f>#REF!</f>
        <v>#REF!</v>
      </c>
      <c r="D455" s="5" t="e">
        <f>#REF!</f>
        <v>#REF!</v>
      </c>
      <c r="E455" s="252">
        <v>1</v>
      </c>
      <c r="F455" s="249">
        <v>0</v>
      </c>
      <c r="G455" s="249">
        <v>0</v>
      </c>
      <c r="H455" s="249">
        <v>612879.75</v>
      </c>
      <c r="I455" s="249">
        <v>0</v>
      </c>
      <c r="J455" s="249">
        <v>755650</v>
      </c>
      <c r="K455" s="249">
        <v>749700</v>
      </c>
      <c r="L455" s="274">
        <f>AVERAGE(H455,J455)</f>
        <v>684264.875</v>
      </c>
      <c r="M455" s="274">
        <f>K455*E1</f>
        <v>772191</v>
      </c>
      <c r="N455" s="256">
        <v>600000</v>
      </c>
      <c r="O455" s="135">
        <f>+N455*0.19</f>
        <v>114000</v>
      </c>
      <c r="P455" s="135">
        <f>+N455+O455</f>
        <v>714000</v>
      </c>
      <c r="Q455" s="131"/>
      <c r="R455" s="131"/>
      <c r="S455" s="11"/>
      <c r="T455" s="274"/>
      <c r="U455" s="274"/>
      <c r="V455" s="274"/>
      <c r="W455" s="39"/>
      <c r="X455" s="11"/>
      <c r="Y455" s="11"/>
      <c r="Z455" s="274">
        <v>820000</v>
      </c>
      <c r="AA455" s="274">
        <f>+Z455*0.19</f>
        <v>155800</v>
      </c>
      <c r="AB455" s="274">
        <f>+Z455+AA455</f>
        <v>975800</v>
      </c>
      <c r="AC455" s="52" t="s">
        <v>3431</v>
      </c>
      <c r="AD455" s="22" t="s">
        <v>4795</v>
      </c>
      <c r="AE455" s="39"/>
      <c r="AF455" s="274"/>
      <c r="AG455" s="274"/>
      <c r="AH455" s="171"/>
      <c r="AI455" s="22"/>
      <c r="AJ455" s="39"/>
      <c r="AK455" s="39"/>
      <c r="AL455" s="118"/>
      <c r="AM455" s="152"/>
      <c r="AN455" s="181"/>
      <c r="AO455" s="131"/>
      <c r="AP455" s="131"/>
      <c r="AQ455" s="39"/>
      <c r="AR455" s="274"/>
      <c r="AS455" s="274"/>
      <c r="AT455" s="274"/>
      <c r="AU455" s="39"/>
      <c r="AV455" s="39"/>
      <c r="AW455" s="39"/>
      <c r="AX455" s="275"/>
      <c r="AY455" s="274"/>
      <c r="AZ455" s="274"/>
      <c r="BA455" s="39"/>
      <c r="BB455" s="62"/>
      <c r="BC455" s="39"/>
      <c r="BD455" s="274"/>
      <c r="BE455" s="274"/>
      <c r="BF455" s="274"/>
      <c r="BG455" s="39"/>
      <c r="BH455" s="39"/>
      <c r="BI455" s="39"/>
      <c r="BJ455" s="274">
        <v>3139000</v>
      </c>
      <c r="BK455" s="274">
        <f t="shared" si="141"/>
        <v>596410</v>
      </c>
      <c r="BL455" s="274">
        <f t="shared" si="142"/>
        <v>3735410</v>
      </c>
      <c r="BM455" s="213" t="s">
        <v>4831</v>
      </c>
      <c r="BN455" s="213" t="s">
        <v>3166</v>
      </c>
      <c r="BO455" s="39"/>
      <c r="BP455" s="274">
        <v>1800000</v>
      </c>
      <c r="BQ455" s="274">
        <f t="shared" si="143"/>
        <v>342000</v>
      </c>
      <c r="BR455" s="274">
        <f t="shared" si="144"/>
        <v>2142000</v>
      </c>
      <c r="BS455" s="39"/>
      <c r="BT455" s="39"/>
      <c r="BU455" s="39"/>
      <c r="BV455" s="212">
        <v>3632802.3680000002</v>
      </c>
      <c r="BW455" s="219">
        <f t="shared" ref="BW455:BW470" si="148">+BV455*0.19</f>
        <v>690232.44992000004</v>
      </c>
      <c r="BX455" s="273">
        <f t="shared" ref="BX455:BX470" si="149">+BV455+BW455</f>
        <v>4323034.8179200003</v>
      </c>
      <c r="BY455" s="213" t="s">
        <v>4831</v>
      </c>
      <c r="BZ455" s="213" t="s">
        <v>3166</v>
      </c>
      <c r="CA455" s="213"/>
      <c r="CB455" s="274"/>
      <c r="CC455" s="274"/>
      <c r="CD455" s="274"/>
      <c r="CE455" s="39"/>
      <c r="CF455" s="39"/>
      <c r="CG455" s="39"/>
      <c r="CH455" s="275"/>
      <c r="CI455" s="275"/>
      <c r="CJ455" s="275"/>
      <c r="CK455" s="39"/>
      <c r="CL455" s="39"/>
      <c r="CM455" s="39"/>
      <c r="CN455" s="39"/>
      <c r="CO455" s="39"/>
      <c r="CP455" s="11"/>
      <c r="CQ455" s="11"/>
      <c r="CR455" s="11"/>
      <c r="CS455" s="11"/>
      <c r="CT455" s="11"/>
      <c r="CU455" s="11"/>
      <c r="CV455" s="11"/>
      <c r="CW455" s="11"/>
      <c r="CX455" s="11"/>
      <c r="CY455" s="11"/>
      <c r="CZ455" s="11"/>
      <c r="DA455" s="11"/>
      <c r="DB455" s="11"/>
      <c r="DC455" s="11"/>
      <c r="DD455" s="11"/>
      <c r="DE455" s="11"/>
      <c r="DF455" s="11"/>
      <c r="DG455" s="11"/>
      <c r="DH455" s="11"/>
      <c r="DI455" s="11"/>
      <c r="DJ455" s="11"/>
      <c r="DK455" s="11"/>
      <c r="DL455" s="274"/>
      <c r="DM455" s="274"/>
      <c r="DN455" s="274"/>
      <c r="DO455" s="274"/>
      <c r="DP455" s="274"/>
      <c r="DQ455" s="274"/>
      <c r="DR455" s="274"/>
      <c r="DS455" s="274"/>
      <c r="DT455" s="274"/>
      <c r="DU455" s="274"/>
      <c r="DV455" s="274"/>
      <c r="DW455" s="274"/>
      <c r="DX455" s="274"/>
      <c r="DY455" s="274"/>
      <c r="DZ455" s="274"/>
      <c r="EA455" s="274"/>
      <c r="EB455" s="274"/>
      <c r="EC455" s="274"/>
      <c r="ED455" s="39">
        <f t="shared" si="145"/>
        <v>12662435.817919999</v>
      </c>
      <c r="EE455" s="30">
        <f t="shared" si="146"/>
        <v>6</v>
      </c>
      <c r="EF455" s="39">
        <f t="shared" si="147"/>
        <v>2110405.9696533331</v>
      </c>
    </row>
    <row r="456" spans="1:136" ht="25.5" x14ac:dyDescent="0.25">
      <c r="A456" s="25" t="e">
        <f>#REF!</f>
        <v>#REF!</v>
      </c>
      <c r="B456" s="50" t="e">
        <f>#REF!</f>
        <v>#REF!</v>
      </c>
      <c r="C456" s="5" t="e">
        <f>#REF!</f>
        <v>#REF!</v>
      </c>
      <c r="D456" s="5" t="e">
        <f>#REF!</f>
        <v>#REF!</v>
      </c>
      <c r="E456" s="252">
        <v>1</v>
      </c>
      <c r="F456" s="249">
        <v>0</v>
      </c>
      <c r="G456" s="249">
        <v>0</v>
      </c>
      <c r="H456" s="249">
        <v>1130619</v>
      </c>
      <c r="I456" s="249">
        <v>1130500</v>
      </c>
      <c r="J456" s="249">
        <v>687750</v>
      </c>
      <c r="K456" s="249">
        <v>686630</v>
      </c>
      <c r="L456" s="274">
        <f>AVERAGE(H456,J456)</f>
        <v>909184.5</v>
      </c>
      <c r="M456" s="274">
        <f>AVERAGE(I456,K456)*E1</f>
        <v>935821.95000000007</v>
      </c>
      <c r="N456" s="255"/>
      <c r="O456" s="135"/>
      <c r="P456" s="135"/>
      <c r="Q456" s="131"/>
      <c r="R456" s="131"/>
      <c r="S456" s="11"/>
      <c r="T456" s="274"/>
      <c r="U456" s="274"/>
      <c r="V456" s="274"/>
      <c r="W456" s="39"/>
      <c r="X456" s="11"/>
      <c r="Y456" s="11"/>
      <c r="Z456" s="274">
        <v>182000</v>
      </c>
      <c r="AA456" s="274">
        <f>+Z456*0.19</f>
        <v>34580</v>
      </c>
      <c r="AB456" s="274">
        <f>+Z456+AA456</f>
        <v>216580</v>
      </c>
      <c r="AC456" s="54" t="s">
        <v>930</v>
      </c>
      <c r="AD456" s="22" t="s">
        <v>4795</v>
      </c>
      <c r="AE456" s="39"/>
      <c r="AF456" s="274"/>
      <c r="AG456" s="274"/>
      <c r="AH456" s="172"/>
      <c r="AI456" s="24"/>
      <c r="AJ456" s="39"/>
      <c r="AK456" s="39"/>
      <c r="AL456" s="118"/>
      <c r="AM456" s="152"/>
      <c r="AN456" s="181"/>
      <c r="AO456" s="131"/>
      <c r="AP456" s="131"/>
      <c r="AQ456" s="39"/>
      <c r="AR456" s="274"/>
      <c r="AS456" s="274"/>
      <c r="AT456" s="274"/>
      <c r="AU456" s="39"/>
      <c r="AV456" s="39"/>
      <c r="AW456" s="39"/>
      <c r="AX456" s="274">
        <v>807000</v>
      </c>
      <c r="AY456" s="274">
        <f>+AX456*0.19</f>
        <v>153330</v>
      </c>
      <c r="AZ456" s="274">
        <f>+AX456+AY456</f>
        <v>960330</v>
      </c>
      <c r="BA456" s="39" t="s">
        <v>4891</v>
      </c>
      <c r="BB456" s="62" t="s">
        <v>4735</v>
      </c>
      <c r="BC456" s="39"/>
      <c r="BD456" s="274"/>
      <c r="BE456" s="274"/>
      <c r="BF456" s="274"/>
      <c r="BG456" s="39"/>
      <c r="BH456" s="39"/>
      <c r="BI456" s="39"/>
      <c r="BJ456" s="274">
        <f>1125200/2</f>
        <v>562600</v>
      </c>
      <c r="BK456" s="274">
        <f t="shared" si="141"/>
        <v>106894</v>
      </c>
      <c r="BL456" s="274">
        <f t="shared" si="142"/>
        <v>669494</v>
      </c>
      <c r="BM456" s="213" t="s">
        <v>4831</v>
      </c>
      <c r="BN456" s="213" t="s">
        <v>2925</v>
      </c>
      <c r="BO456" s="39"/>
      <c r="BP456" s="274">
        <v>1450000</v>
      </c>
      <c r="BQ456" s="274">
        <f t="shared" si="143"/>
        <v>275500</v>
      </c>
      <c r="BR456" s="274">
        <f t="shared" si="144"/>
        <v>1725500</v>
      </c>
      <c r="BS456" s="39"/>
      <c r="BT456" s="39"/>
      <c r="BU456" s="39"/>
      <c r="BV456" s="219">
        <v>1314845.7088000001</v>
      </c>
      <c r="BW456" s="219">
        <f t="shared" si="148"/>
        <v>249820.68467200003</v>
      </c>
      <c r="BX456" s="273">
        <f t="shared" si="149"/>
        <v>1564666.3934720003</v>
      </c>
      <c r="BY456" s="213" t="s">
        <v>4831</v>
      </c>
      <c r="BZ456" s="213" t="s">
        <v>2925</v>
      </c>
      <c r="CA456" s="213"/>
      <c r="CB456" s="274"/>
      <c r="CC456" s="274"/>
      <c r="CD456" s="274"/>
      <c r="CE456" s="39"/>
      <c r="CF456" s="39"/>
      <c r="CG456" s="39"/>
      <c r="CH456" s="274"/>
      <c r="CI456" s="274"/>
      <c r="CJ456" s="274"/>
      <c r="CK456" s="39"/>
      <c r="CL456" s="39"/>
      <c r="CM456" s="39"/>
      <c r="CN456" s="39"/>
      <c r="CO456" s="39"/>
      <c r="CP456" s="11"/>
      <c r="CQ456" s="11"/>
      <c r="CR456" s="11"/>
      <c r="CS456" s="11"/>
      <c r="CT456" s="11"/>
      <c r="CU456" s="11"/>
      <c r="CV456" s="11"/>
      <c r="CW456" s="11"/>
      <c r="CX456" s="11"/>
      <c r="CY456" s="11"/>
      <c r="CZ456" s="11"/>
      <c r="DA456" s="11"/>
      <c r="DB456" s="11"/>
      <c r="DC456" s="11"/>
      <c r="DD456" s="11"/>
      <c r="DE456" s="11"/>
      <c r="DF456" s="11"/>
      <c r="DG456" s="11"/>
      <c r="DH456" s="11"/>
      <c r="DI456" s="11"/>
      <c r="DJ456" s="11"/>
      <c r="DK456" s="11"/>
      <c r="DL456" s="274"/>
      <c r="DM456" s="274"/>
      <c r="DN456" s="274"/>
      <c r="DO456" s="274"/>
      <c r="DP456" s="274"/>
      <c r="DQ456" s="274"/>
      <c r="DR456" s="274"/>
      <c r="DS456" s="274"/>
      <c r="DT456" s="274"/>
      <c r="DU456" s="274"/>
      <c r="DV456" s="274"/>
      <c r="DW456" s="274"/>
      <c r="DX456" s="274"/>
      <c r="DY456" s="274"/>
      <c r="DZ456" s="274"/>
      <c r="EA456" s="274"/>
      <c r="EB456" s="274"/>
      <c r="EC456" s="274"/>
      <c r="ED456" s="39">
        <f t="shared" si="145"/>
        <v>6072392.3434720002</v>
      </c>
      <c r="EE456" s="30">
        <f t="shared" si="146"/>
        <v>6</v>
      </c>
      <c r="EF456" s="39">
        <f t="shared" si="147"/>
        <v>1012065.3905786667</v>
      </c>
    </row>
    <row r="457" spans="1:136" x14ac:dyDescent="0.25">
      <c r="A457" s="25" t="e">
        <f>#REF!</f>
        <v>#REF!</v>
      </c>
      <c r="B457" s="50" t="e">
        <f>#REF!</f>
        <v>#REF!</v>
      </c>
      <c r="C457" s="5" t="e">
        <f>#REF!</f>
        <v>#REF!</v>
      </c>
      <c r="D457" s="5" t="e">
        <f>#REF!</f>
        <v>#REF!</v>
      </c>
      <c r="E457" s="252">
        <v>1</v>
      </c>
      <c r="F457" s="249">
        <v>0</v>
      </c>
      <c r="G457" s="249">
        <v>0</v>
      </c>
      <c r="H457" s="249">
        <v>0</v>
      </c>
      <c r="I457" s="249">
        <v>0</v>
      </c>
      <c r="J457" s="249">
        <v>0</v>
      </c>
      <c r="K457" s="249">
        <v>0</v>
      </c>
      <c r="L457" s="274"/>
      <c r="M457" s="274"/>
      <c r="N457" s="255"/>
      <c r="O457" s="135"/>
      <c r="P457" s="135"/>
      <c r="Q457" s="131"/>
      <c r="R457" s="131"/>
      <c r="S457" s="11"/>
      <c r="T457" s="274"/>
      <c r="U457" s="274"/>
      <c r="V457" s="274"/>
      <c r="W457" s="39"/>
      <c r="X457" s="11"/>
      <c r="Y457" s="11"/>
      <c r="Z457" s="274"/>
      <c r="AA457" s="274"/>
      <c r="AB457" s="274"/>
      <c r="AC457" s="54"/>
      <c r="AD457" s="23"/>
      <c r="AE457" s="39"/>
      <c r="AF457" s="274"/>
      <c r="AG457" s="274"/>
      <c r="AH457" s="172"/>
      <c r="AI457" s="24"/>
      <c r="AJ457" s="39"/>
      <c r="AK457" s="39"/>
      <c r="AL457" s="118"/>
      <c r="AM457" s="152"/>
      <c r="AN457" s="181"/>
      <c r="AO457" s="131"/>
      <c r="AP457" s="131"/>
      <c r="AQ457" s="39"/>
      <c r="AR457" s="274"/>
      <c r="AS457" s="274"/>
      <c r="AT457" s="274"/>
      <c r="AU457" s="39"/>
      <c r="AV457" s="39"/>
      <c r="AW457" s="39"/>
      <c r="AX457" s="274"/>
      <c r="AY457" s="274"/>
      <c r="AZ457" s="274"/>
      <c r="BA457" s="39"/>
      <c r="BB457" s="62"/>
      <c r="BC457" s="39"/>
      <c r="BD457" s="274"/>
      <c r="BE457" s="274"/>
      <c r="BF457" s="274"/>
      <c r="BG457" s="39"/>
      <c r="BH457" s="39"/>
      <c r="BI457" s="39"/>
      <c r="BJ457" s="274">
        <v>2216000</v>
      </c>
      <c r="BK457" s="274">
        <f t="shared" si="141"/>
        <v>421040</v>
      </c>
      <c r="BL457" s="274">
        <f t="shared" si="142"/>
        <v>2637040</v>
      </c>
      <c r="BM457" s="213" t="s">
        <v>4738</v>
      </c>
      <c r="BN457" s="213" t="s">
        <v>4892</v>
      </c>
      <c r="BO457" s="39"/>
      <c r="BP457" s="274"/>
      <c r="BQ457" s="274"/>
      <c r="BR457" s="274"/>
      <c r="BS457" s="39"/>
      <c r="BT457" s="39"/>
      <c r="BU457" s="39"/>
      <c r="BV457" s="219">
        <v>2374240.1280000005</v>
      </c>
      <c r="BW457" s="219">
        <f t="shared" si="148"/>
        <v>451105.62432000012</v>
      </c>
      <c r="BX457" s="273">
        <f t="shared" si="149"/>
        <v>2825345.7523200004</v>
      </c>
      <c r="BY457" s="213" t="s">
        <v>4738</v>
      </c>
      <c r="BZ457" s="213" t="s">
        <v>4892</v>
      </c>
      <c r="CA457" s="213"/>
      <c r="CB457" s="274"/>
      <c r="CC457" s="274"/>
      <c r="CD457" s="274"/>
      <c r="CE457" s="39"/>
      <c r="CF457" s="39"/>
      <c r="CG457" s="39"/>
      <c r="CH457" s="274"/>
      <c r="CI457" s="274"/>
      <c r="CJ457" s="274"/>
      <c r="CK457" s="39"/>
      <c r="CL457" s="39"/>
      <c r="CM457" s="39"/>
      <c r="CN457" s="39"/>
      <c r="CO457" s="39"/>
      <c r="CP457" s="11"/>
      <c r="CQ457" s="11"/>
      <c r="CR457" s="11"/>
      <c r="CS457" s="11"/>
      <c r="CT457" s="11"/>
      <c r="CU457" s="11"/>
      <c r="CV457" s="11"/>
      <c r="CW457" s="11"/>
      <c r="CX457" s="11"/>
      <c r="CY457" s="11"/>
      <c r="CZ457" s="11"/>
      <c r="DA457" s="11"/>
      <c r="DB457" s="11"/>
      <c r="DC457" s="11"/>
      <c r="DD457" s="11"/>
      <c r="DE457" s="11"/>
      <c r="DF457" s="11"/>
      <c r="DG457" s="11"/>
      <c r="DH457" s="11"/>
      <c r="DI457" s="11"/>
      <c r="DJ457" s="11"/>
      <c r="DK457" s="11"/>
      <c r="DL457" s="274"/>
      <c r="DM457" s="274"/>
      <c r="DN457" s="274"/>
      <c r="DO457" s="274"/>
      <c r="DP457" s="274"/>
      <c r="DQ457" s="274"/>
      <c r="DR457" s="274"/>
      <c r="DS457" s="274"/>
      <c r="DT457" s="274"/>
      <c r="DU457" s="274"/>
      <c r="DV457" s="274"/>
      <c r="DW457" s="274"/>
      <c r="DX457" s="274"/>
      <c r="DY457" s="274"/>
      <c r="DZ457" s="274"/>
      <c r="EA457" s="274"/>
      <c r="EB457" s="274"/>
      <c r="EC457" s="274"/>
      <c r="ED457" s="39">
        <f t="shared" si="145"/>
        <v>5462385.7523200009</v>
      </c>
      <c r="EE457" s="30">
        <f t="shared" si="146"/>
        <v>2</v>
      </c>
      <c r="EF457" s="39">
        <f t="shared" si="147"/>
        <v>2731192.8761600005</v>
      </c>
    </row>
    <row r="458" spans="1:136" x14ac:dyDescent="0.25">
      <c r="A458" s="25" t="e">
        <f>#REF!</f>
        <v>#REF!</v>
      </c>
      <c r="B458" s="50" t="e">
        <f>#REF!</f>
        <v>#REF!</v>
      </c>
      <c r="C458" s="5" t="e">
        <f>#REF!</f>
        <v>#REF!</v>
      </c>
      <c r="D458" s="5" t="e">
        <f>#REF!</f>
        <v>#REF!</v>
      </c>
      <c r="E458" s="252">
        <v>1</v>
      </c>
      <c r="F458" s="249">
        <v>0</v>
      </c>
      <c r="G458" s="249">
        <v>0</v>
      </c>
      <c r="H458" s="249">
        <v>214200</v>
      </c>
      <c r="I458" s="249">
        <v>214081</v>
      </c>
      <c r="J458" s="249">
        <v>192017.66111111114</v>
      </c>
      <c r="K458" s="249">
        <v>0</v>
      </c>
      <c r="L458" s="274">
        <f>AVERAGE(H458,J458)</f>
        <v>203108.83055555559</v>
      </c>
      <c r="M458" s="274">
        <f>I458*E1</f>
        <v>220503.43</v>
      </c>
      <c r="N458" s="255">
        <v>80000</v>
      </c>
      <c r="O458" s="135">
        <f>+N458*0.19</f>
        <v>15200</v>
      </c>
      <c r="P458" s="135">
        <f>+N458+O458</f>
        <v>95200</v>
      </c>
      <c r="Q458" s="131"/>
      <c r="R458" s="131"/>
      <c r="S458" s="11"/>
      <c r="T458" s="274"/>
      <c r="U458" s="274"/>
      <c r="V458" s="274"/>
      <c r="W458" s="39"/>
      <c r="X458" s="11"/>
      <c r="Y458" s="11"/>
      <c r="Z458" s="274"/>
      <c r="AA458" s="274"/>
      <c r="AB458" s="274"/>
      <c r="AC458" s="54"/>
      <c r="AD458" s="23"/>
      <c r="AE458" s="39"/>
      <c r="AF458" s="274"/>
      <c r="AG458" s="274"/>
      <c r="AH458" s="172"/>
      <c r="AI458" s="24"/>
      <c r="AJ458" s="39"/>
      <c r="AK458" s="39"/>
      <c r="AL458" s="118"/>
      <c r="AM458" s="152"/>
      <c r="AN458" s="181"/>
      <c r="AO458" s="131"/>
      <c r="AP458" s="131"/>
      <c r="AQ458" s="39"/>
      <c r="AR458" s="274"/>
      <c r="AS458" s="274"/>
      <c r="AT458" s="274"/>
      <c r="AU458" s="39"/>
      <c r="AV458" s="39"/>
      <c r="AW458" s="39"/>
      <c r="AX458" s="274"/>
      <c r="AY458" s="274"/>
      <c r="AZ458" s="274"/>
      <c r="BA458" s="39"/>
      <c r="BB458" s="62"/>
      <c r="BC458" s="39"/>
      <c r="BD458" s="274"/>
      <c r="BE458" s="274"/>
      <c r="BF458" s="274"/>
      <c r="BG458" s="39"/>
      <c r="BH458" s="39"/>
      <c r="BI458" s="39"/>
      <c r="BJ458" s="274">
        <v>289700</v>
      </c>
      <c r="BK458" s="274">
        <f t="shared" si="141"/>
        <v>55043</v>
      </c>
      <c r="BL458" s="274">
        <f t="shared" si="142"/>
        <v>344743</v>
      </c>
      <c r="BM458" s="213" t="s">
        <v>4754</v>
      </c>
      <c r="BN458" s="213" t="s">
        <v>4893</v>
      </c>
      <c r="BO458" s="39"/>
      <c r="BP458" s="274"/>
      <c r="BQ458" s="274"/>
      <c r="BR458" s="274"/>
      <c r="BS458" s="39"/>
      <c r="BT458" s="39"/>
      <c r="BU458" s="39"/>
      <c r="BV458" s="219">
        <v>328644.95040000003</v>
      </c>
      <c r="BW458" s="219">
        <f t="shared" si="148"/>
        <v>62442.540576000007</v>
      </c>
      <c r="BX458" s="273">
        <f t="shared" si="149"/>
        <v>391087.49097600003</v>
      </c>
      <c r="BY458" s="213" t="s">
        <v>4754</v>
      </c>
      <c r="BZ458" s="213" t="s">
        <v>4893</v>
      </c>
      <c r="CA458" s="213"/>
      <c r="CB458" s="274"/>
      <c r="CC458" s="274"/>
      <c r="CD458" s="274"/>
      <c r="CE458" s="39"/>
      <c r="CF458" s="39"/>
      <c r="CG458" s="39"/>
      <c r="CH458" s="274"/>
      <c r="CI458" s="274"/>
      <c r="CJ458" s="274"/>
      <c r="CK458" s="39"/>
      <c r="CL458" s="39"/>
      <c r="CM458" s="39"/>
      <c r="CN458" s="39"/>
      <c r="CO458" s="39"/>
      <c r="CP458" s="11"/>
      <c r="CQ458" s="11"/>
      <c r="CR458" s="11"/>
      <c r="CS458" s="11"/>
      <c r="CT458" s="11"/>
      <c r="CU458" s="11"/>
      <c r="CV458" s="11"/>
      <c r="CW458" s="11"/>
      <c r="CX458" s="11"/>
      <c r="CY458" s="11"/>
      <c r="CZ458" s="11"/>
      <c r="DA458" s="11"/>
      <c r="DB458" s="11"/>
      <c r="DC458" s="11"/>
      <c r="DD458" s="11"/>
      <c r="DE458" s="11"/>
      <c r="DF458" s="11"/>
      <c r="DG458" s="11"/>
      <c r="DH458" s="11"/>
      <c r="DI458" s="11"/>
      <c r="DJ458" s="11"/>
      <c r="DK458" s="11"/>
      <c r="DL458" s="274"/>
      <c r="DM458" s="274"/>
      <c r="DN458" s="274"/>
      <c r="DO458" s="274"/>
      <c r="DP458" s="274"/>
      <c r="DQ458" s="274"/>
      <c r="DR458" s="274"/>
      <c r="DS458" s="274"/>
      <c r="DT458" s="274"/>
      <c r="DU458" s="274"/>
      <c r="DV458" s="274"/>
      <c r="DW458" s="274"/>
      <c r="DX458" s="274"/>
      <c r="DY458" s="274"/>
      <c r="DZ458" s="274"/>
      <c r="EA458" s="274"/>
      <c r="EB458" s="274"/>
      <c r="EC458" s="274"/>
      <c r="ED458" s="39">
        <f t="shared" si="145"/>
        <v>1051533.9209759999</v>
      </c>
      <c r="EE458" s="30">
        <f t="shared" si="146"/>
        <v>4</v>
      </c>
      <c r="EF458" s="39">
        <f t="shared" si="147"/>
        <v>262883.48024399998</v>
      </c>
    </row>
    <row r="459" spans="1:136" x14ac:dyDescent="0.25">
      <c r="A459" s="25" t="e">
        <f>#REF!</f>
        <v>#REF!</v>
      </c>
      <c r="B459" s="50" t="e">
        <f>#REF!</f>
        <v>#REF!</v>
      </c>
      <c r="C459" s="5" t="e">
        <f>#REF!</f>
        <v>#REF!</v>
      </c>
      <c r="D459" s="5" t="e">
        <f>#REF!</f>
        <v>#REF!</v>
      </c>
      <c r="E459" s="252">
        <v>1</v>
      </c>
      <c r="F459" s="249">
        <v>0</v>
      </c>
      <c r="G459" s="249">
        <v>0</v>
      </c>
      <c r="H459" s="249">
        <v>1428000</v>
      </c>
      <c r="I459" s="249">
        <v>0</v>
      </c>
      <c r="J459" s="249">
        <v>0</v>
      </c>
      <c r="K459" s="249">
        <v>0</v>
      </c>
      <c r="L459" s="274">
        <f>H459</f>
        <v>1428000</v>
      </c>
      <c r="M459" s="274"/>
      <c r="N459" s="255"/>
      <c r="O459" s="135"/>
      <c r="P459" s="135"/>
      <c r="Q459" s="131"/>
      <c r="R459" s="131"/>
      <c r="S459" s="11"/>
      <c r="T459" s="274"/>
      <c r="U459" s="274"/>
      <c r="V459" s="274"/>
      <c r="W459" s="39"/>
      <c r="X459" s="11"/>
      <c r="Y459" s="11"/>
      <c r="Z459" s="274"/>
      <c r="AA459" s="274"/>
      <c r="AB459" s="274"/>
      <c r="AC459" s="54"/>
      <c r="AD459" s="23"/>
      <c r="AE459" s="39"/>
      <c r="AF459" s="274"/>
      <c r="AG459" s="274"/>
      <c r="AH459" s="172"/>
      <c r="AI459" s="24"/>
      <c r="AJ459" s="39"/>
      <c r="AK459" s="39"/>
      <c r="AL459" s="118"/>
      <c r="AM459" s="152"/>
      <c r="AN459" s="181"/>
      <c r="AO459" s="131"/>
      <c r="AP459" s="131"/>
      <c r="AQ459" s="39"/>
      <c r="AR459" s="274"/>
      <c r="AS459" s="274"/>
      <c r="AT459" s="274"/>
      <c r="AU459" s="39"/>
      <c r="AV459" s="39"/>
      <c r="AW459" s="39"/>
      <c r="AX459" s="274"/>
      <c r="AY459" s="274"/>
      <c r="AZ459" s="274"/>
      <c r="BA459" s="39"/>
      <c r="BB459" s="62"/>
      <c r="BC459" s="39"/>
      <c r="BD459" s="274"/>
      <c r="BE459" s="274"/>
      <c r="BF459" s="274"/>
      <c r="BG459" s="39"/>
      <c r="BH459" s="39"/>
      <c r="BI459" s="39"/>
      <c r="BJ459" s="275">
        <v>6000000</v>
      </c>
      <c r="BK459" s="274">
        <f t="shared" si="141"/>
        <v>1140000</v>
      </c>
      <c r="BL459" s="274">
        <f t="shared" si="142"/>
        <v>7140000</v>
      </c>
      <c r="BM459" s="214" t="s">
        <v>445</v>
      </c>
      <c r="BN459" s="213" t="s">
        <v>338</v>
      </c>
      <c r="BO459" s="39"/>
      <c r="BP459" s="274"/>
      <c r="BQ459" s="274"/>
      <c r="BR459" s="274"/>
      <c r="BS459" s="39"/>
      <c r="BT459" s="39"/>
      <c r="BU459" s="39"/>
      <c r="BV459" s="219">
        <v>9264679.2576000001</v>
      </c>
      <c r="BW459" s="219">
        <f t="shared" si="148"/>
        <v>1760289.0589439999</v>
      </c>
      <c r="BX459" s="273">
        <f t="shared" si="149"/>
        <v>11024968.316544</v>
      </c>
      <c r="BY459" s="214" t="s">
        <v>445</v>
      </c>
      <c r="BZ459" s="213" t="s">
        <v>338</v>
      </c>
      <c r="CA459" s="213"/>
      <c r="CB459" s="274"/>
      <c r="CC459" s="274"/>
      <c r="CD459" s="274"/>
      <c r="CE459" s="39"/>
      <c r="CF459" s="39"/>
      <c r="CG459" s="39"/>
      <c r="CH459" s="274"/>
      <c r="CI459" s="274"/>
      <c r="CJ459" s="274"/>
      <c r="CK459" s="39"/>
      <c r="CL459" s="39"/>
      <c r="CM459" s="39"/>
      <c r="CN459" s="39"/>
      <c r="CO459" s="39"/>
      <c r="CP459" s="11"/>
      <c r="CQ459" s="11"/>
      <c r="CR459" s="11"/>
      <c r="CS459" s="11"/>
      <c r="CT459" s="11"/>
      <c r="CU459" s="11"/>
      <c r="CV459" s="11"/>
      <c r="CW459" s="11"/>
      <c r="CX459" s="11"/>
      <c r="CY459" s="11"/>
      <c r="CZ459" s="11"/>
      <c r="DA459" s="11"/>
      <c r="DB459" s="11"/>
      <c r="DC459" s="11"/>
      <c r="DD459" s="11"/>
      <c r="DE459" s="11"/>
      <c r="DF459" s="11"/>
      <c r="DG459" s="11"/>
      <c r="DH459" s="11"/>
      <c r="DI459" s="11"/>
      <c r="DJ459" s="11"/>
      <c r="DK459" s="11"/>
      <c r="DL459" s="274"/>
      <c r="DM459" s="274"/>
      <c r="DN459" s="274"/>
      <c r="DO459" s="274"/>
      <c r="DP459" s="274"/>
      <c r="DQ459" s="274"/>
      <c r="DR459" s="274"/>
      <c r="DS459" s="274"/>
      <c r="DT459" s="274"/>
      <c r="DU459" s="274"/>
      <c r="DV459" s="274"/>
      <c r="DW459" s="274"/>
      <c r="DX459" s="274"/>
      <c r="DY459" s="274"/>
      <c r="DZ459" s="274"/>
      <c r="EA459" s="274"/>
      <c r="EB459" s="274"/>
      <c r="EC459" s="274"/>
      <c r="ED459" s="39">
        <f t="shared" si="145"/>
        <v>18164968.316544</v>
      </c>
      <c r="EE459" s="30">
        <f t="shared" si="146"/>
        <v>2</v>
      </c>
      <c r="EF459" s="39">
        <f t="shared" si="147"/>
        <v>9082484.158272</v>
      </c>
    </row>
    <row r="460" spans="1:136" ht="25.5" x14ac:dyDescent="0.25">
      <c r="A460" s="25" t="e">
        <f>#REF!</f>
        <v>#REF!</v>
      </c>
      <c r="B460" s="50" t="e">
        <f>#REF!</f>
        <v>#REF!</v>
      </c>
      <c r="C460" s="5" t="e">
        <f>#REF!</f>
        <v>#REF!</v>
      </c>
      <c r="D460" s="5" t="e">
        <f>#REF!</f>
        <v>#REF!</v>
      </c>
      <c r="E460" s="252">
        <v>1</v>
      </c>
      <c r="F460" s="249">
        <v>0</v>
      </c>
      <c r="G460" s="249">
        <v>0</v>
      </c>
      <c r="H460" s="249">
        <v>0</v>
      </c>
      <c r="I460" s="249">
        <v>0</v>
      </c>
      <c r="J460" s="249">
        <v>865748.79999999993</v>
      </c>
      <c r="K460" s="249">
        <v>855610</v>
      </c>
      <c r="L460" s="274">
        <f>J460</f>
        <v>865748.79999999993</v>
      </c>
      <c r="M460" s="274">
        <f>K460*E1</f>
        <v>881278.3</v>
      </c>
      <c r="N460" s="255"/>
      <c r="O460" s="135"/>
      <c r="P460" s="135"/>
      <c r="Q460" s="131"/>
      <c r="R460" s="131"/>
      <c r="S460" s="11"/>
      <c r="T460" s="274"/>
      <c r="U460" s="274"/>
      <c r="V460" s="274"/>
      <c r="W460" s="39"/>
      <c r="X460" s="11"/>
      <c r="Y460" s="11"/>
      <c r="Z460" s="274"/>
      <c r="AA460" s="274"/>
      <c r="AB460" s="274"/>
      <c r="AC460" s="52"/>
      <c r="AD460" s="22"/>
      <c r="AE460" s="39"/>
      <c r="AF460" s="274"/>
      <c r="AG460" s="274"/>
      <c r="AH460" s="171"/>
      <c r="AI460" s="4"/>
      <c r="AJ460" s="39"/>
      <c r="AK460" s="39"/>
      <c r="AL460" s="118"/>
      <c r="AM460" s="152"/>
      <c r="AN460" s="181"/>
      <c r="AO460" s="131"/>
      <c r="AP460" s="131"/>
      <c r="AQ460" s="39"/>
      <c r="AR460" s="274"/>
      <c r="AS460" s="274"/>
      <c r="AT460" s="274"/>
      <c r="AU460" s="39"/>
      <c r="AV460" s="39"/>
      <c r="AW460" s="39"/>
      <c r="AX460" s="274"/>
      <c r="AY460" s="274"/>
      <c r="AZ460" s="274"/>
      <c r="BA460" s="39"/>
      <c r="BB460" s="62"/>
      <c r="BC460" s="39"/>
      <c r="BD460" s="118">
        <v>580000</v>
      </c>
      <c r="BE460" s="274">
        <f>+BD460*0.19</f>
        <v>110200</v>
      </c>
      <c r="BF460" s="274">
        <f>+BD460+BE460</f>
        <v>690200</v>
      </c>
      <c r="BG460" s="25" t="s">
        <v>4894</v>
      </c>
      <c r="BH460" s="5" t="s">
        <v>4895</v>
      </c>
      <c r="BI460" s="5" t="s">
        <v>4896</v>
      </c>
      <c r="BJ460" s="274">
        <v>1261300</v>
      </c>
      <c r="BK460" s="274">
        <f t="shared" si="141"/>
        <v>239647</v>
      </c>
      <c r="BL460" s="274">
        <f t="shared" si="142"/>
        <v>1500947</v>
      </c>
      <c r="BM460" s="213" t="s">
        <v>4897</v>
      </c>
      <c r="BN460" s="213" t="s">
        <v>4748</v>
      </c>
      <c r="BO460" s="39"/>
      <c r="BP460" s="274"/>
      <c r="BQ460" s="274"/>
      <c r="BR460" s="274"/>
      <c r="BS460" s="39"/>
      <c r="BT460" s="39"/>
      <c r="BU460" s="39"/>
      <c r="BV460" s="219">
        <v>1432300.7475000001</v>
      </c>
      <c r="BW460" s="219">
        <f t="shared" si="148"/>
        <v>272137.14202500001</v>
      </c>
      <c r="BX460" s="273">
        <f t="shared" si="149"/>
        <v>1704437.889525</v>
      </c>
      <c r="BY460" s="213" t="s">
        <v>4897</v>
      </c>
      <c r="BZ460" s="213" t="s">
        <v>4748</v>
      </c>
      <c r="CA460" s="213"/>
      <c r="CB460" s="274"/>
      <c r="CC460" s="274"/>
      <c r="CD460" s="274"/>
      <c r="CE460" s="39"/>
      <c r="CF460" s="39"/>
      <c r="CG460" s="39"/>
      <c r="CH460" s="274"/>
      <c r="CI460" s="274"/>
      <c r="CJ460" s="274"/>
      <c r="CK460" s="39"/>
      <c r="CL460" s="39"/>
      <c r="CM460" s="39"/>
      <c r="CN460" s="39"/>
      <c r="CO460" s="39"/>
      <c r="CP460" s="11"/>
      <c r="CQ460" s="11"/>
      <c r="CR460" s="11"/>
      <c r="CS460" s="11"/>
      <c r="CT460" s="11"/>
      <c r="CU460" s="11"/>
      <c r="CV460" s="11"/>
      <c r="CW460" s="11"/>
      <c r="CX460" s="11"/>
      <c r="CY460" s="11"/>
      <c r="CZ460" s="11"/>
      <c r="DA460" s="11"/>
      <c r="DB460" s="11"/>
      <c r="DC460" s="11"/>
      <c r="DD460" s="11"/>
      <c r="DE460" s="11"/>
      <c r="DF460" s="11"/>
      <c r="DG460" s="11"/>
      <c r="DH460" s="11"/>
      <c r="DI460" s="11"/>
      <c r="DJ460" s="11"/>
      <c r="DK460" s="11"/>
      <c r="DL460" s="274"/>
      <c r="DM460" s="274"/>
      <c r="DN460" s="274"/>
      <c r="DO460" s="274"/>
      <c r="DP460" s="274"/>
      <c r="DQ460" s="274"/>
      <c r="DR460" s="274"/>
      <c r="DS460" s="274"/>
      <c r="DT460" s="274"/>
      <c r="DU460" s="274"/>
      <c r="DV460" s="274"/>
      <c r="DW460" s="274"/>
      <c r="DX460" s="274"/>
      <c r="DY460" s="274"/>
      <c r="DZ460" s="274"/>
      <c r="EA460" s="274"/>
      <c r="EB460" s="274"/>
      <c r="EC460" s="274"/>
      <c r="ED460" s="39">
        <f t="shared" si="145"/>
        <v>4776863.1895249998</v>
      </c>
      <c r="EE460" s="30">
        <f t="shared" si="146"/>
        <v>4</v>
      </c>
      <c r="EF460" s="39">
        <f t="shared" si="147"/>
        <v>1194215.79738125</v>
      </c>
    </row>
    <row r="461" spans="1:136" ht="25.5" x14ac:dyDescent="0.25">
      <c r="A461" s="25" t="e">
        <f>#REF!</f>
        <v>#REF!</v>
      </c>
      <c r="B461" s="50" t="e">
        <f>#REF!</f>
        <v>#REF!</v>
      </c>
      <c r="C461" s="5" t="e">
        <f>#REF!</f>
        <v>#REF!</v>
      </c>
      <c r="D461" s="5" t="e">
        <f>#REF!</f>
        <v>#REF!</v>
      </c>
      <c r="E461" s="252">
        <v>1</v>
      </c>
      <c r="F461" s="249">
        <v>0</v>
      </c>
      <c r="G461" s="249">
        <v>0</v>
      </c>
      <c r="H461" s="249">
        <v>0</v>
      </c>
      <c r="I461" s="249">
        <v>0</v>
      </c>
      <c r="J461" s="249">
        <v>865748.79999999993</v>
      </c>
      <c r="K461" s="249">
        <v>855610</v>
      </c>
      <c r="L461" s="274">
        <f>J461</f>
        <v>865748.79999999993</v>
      </c>
      <c r="M461" s="274">
        <f>K461*E1</f>
        <v>881278.3</v>
      </c>
      <c r="N461" s="255"/>
      <c r="O461" s="135"/>
      <c r="P461" s="135"/>
      <c r="Q461" s="11"/>
      <c r="R461" s="11"/>
      <c r="S461" s="11"/>
      <c r="T461" s="274"/>
      <c r="U461" s="274"/>
      <c r="V461" s="274"/>
      <c r="W461" s="11"/>
      <c r="X461" s="11"/>
      <c r="Y461" s="11"/>
      <c r="Z461" s="274"/>
      <c r="AA461" s="274"/>
      <c r="AB461" s="274"/>
      <c r="AC461" s="11"/>
      <c r="AD461" s="11"/>
      <c r="AE461" s="11"/>
      <c r="AF461" s="274"/>
      <c r="AG461" s="274"/>
      <c r="AH461" s="274"/>
      <c r="AI461" s="11"/>
      <c r="AJ461" s="11"/>
      <c r="AK461" s="11"/>
      <c r="AL461" s="118"/>
      <c r="AM461" s="118"/>
      <c r="AN461" s="118"/>
      <c r="AO461" s="52"/>
      <c r="AP461" s="52"/>
      <c r="AQ461" s="11"/>
      <c r="AR461" s="274"/>
      <c r="AS461" s="274"/>
      <c r="AT461" s="274"/>
      <c r="AU461" s="11"/>
      <c r="AV461" s="11"/>
      <c r="AW461" s="11"/>
      <c r="AX461" s="274"/>
      <c r="AY461" s="274"/>
      <c r="AZ461" s="274"/>
      <c r="BA461" s="11"/>
      <c r="BB461" s="11"/>
      <c r="BC461" s="11"/>
      <c r="BD461" s="118">
        <v>580000</v>
      </c>
      <c r="BE461" s="274">
        <f>+BD461*0.19</f>
        <v>110200</v>
      </c>
      <c r="BF461" s="274">
        <f>+BD461+BE461</f>
        <v>690200</v>
      </c>
      <c r="BG461" s="25" t="s">
        <v>4894</v>
      </c>
      <c r="BH461" s="5" t="s">
        <v>4895</v>
      </c>
      <c r="BI461" s="5" t="s">
        <v>4898</v>
      </c>
      <c r="BJ461" s="274">
        <v>1261300</v>
      </c>
      <c r="BK461" s="274">
        <f t="shared" si="141"/>
        <v>239647</v>
      </c>
      <c r="BL461" s="274">
        <f t="shared" si="142"/>
        <v>1500947</v>
      </c>
      <c r="BM461" s="213" t="s">
        <v>4897</v>
      </c>
      <c r="BN461" s="213" t="s">
        <v>4748</v>
      </c>
      <c r="BO461" s="11"/>
      <c r="BP461" s="274"/>
      <c r="BQ461" s="274"/>
      <c r="BR461" s="274"/>
      <c r="BS461" s="11"/>
      <c r="BT461" s="11"/>
      <c r="BU461" s="11"/>
      <c r="BV461" s="219">
        <v>1351366.9104000002</v>
      </c>
      <c r="BW461" s="219">
        <f t="shared" si="148"/>
        <v>256759.71297600004</v>
      </c>
      <c r="BX461" s="273">
        <f t="shared" si="149"/>
        <v>1608126.6233760002</v>
      </c>
      <c r="BY461" s="213" t="s">
        <v>4897</v>
      </c>
      <c r="BZ461" s="213" t="s">
        <v>4748</v>
      </c>
      <c r="CA461" s="213"/>
      <c r="CB461" s="274"/>
      <c r="CC461" s="274"/>
      <c r="CD461" s="274"/>
      <c r="CE461" s="40"/>
      <c r="CF461" s="40"/>
      <c r="CG461" s="40"/>
      <c r="CH461" s="274"/>
      <c r="CI461" s="274"/>
      <c r="CJ461" s="274"/>
      <c r="CK461" s="11"/>
      <c r="CL461" s="11"/>
      <c r="CM461" s="11"/>
      <c r="CN461" s="11"/>
      <c r="CO461" s="11"/>
      <c r="CP461" s="11"/>
      <c r="CQ461" s="11"/>
      <c r="CR461" s="11"/>
      <c r="CS461" s="11"/>
      <c r="CT461" s="11"/>
      <c r="CU461" s="11"/>
      <c r="CV461" s="11"/>
      <c r="CW461" s="11"/>
      <c r="CX461" s="11"/>
      <c r="CY461" s="11"/>
      <c r="CZ461" s="11"/>
      <c r="DA461" s="11"/>
      <c r="DB461" s="11"/>
      <c r="DC461" s="11"/>
      <c r="DD461" s="11"/>
      <c r="DE461" s="11"/>
      <c r="DF461" s="11"/>
      <c r="DG461" s="11"/>
      <c r="DH461" s="11"/>
      <c r="DI461" s="11"/>
      <c r="DJ461" s="11"/>
      <c r="DK461" s="11"/>
      <c r="DL461" s="274"/>
      <c r="DM461" s="274"/>
      <c r="DN461" s="274"/>
      <c r="DO461" s="274"/>
      <c r="DP461" s="274"/>
      <c r="DQ461" s="274"/>
      <c r="DR461" s="274"/>
      <c r="DS461" s="274"/>
      <c r="DT461" s="274"/>
      <c r="DU461" s="274"/>
      <c r="DV461" s="274"/>
      <c r="DW461" s="274"/>
      <c r="DX461" s="274"/>
      <c r="DY461" s="274"/>
      <c r="DZ461" s="274"/>
      <c r="EA461" s="274"/>
      <c r="EB461" s="274"/>
      <c r="EC461" s="274"/>
      <c r="ED461" s="39">
        <f t="shared" si="145"/>
        <v>4680551.9233759996</v>
      </c>
      <c r="EE461" s="30">
        <f t="shared" si="146"/>
        <v>4</v>
      </c>
      <c r="EF461" s="39">
        <f t="shared" si="147"/>
        <v>1170137.9808439999</v>
      </c>
    </row>
    <row r="462" spans="1:136" ht="25.5" x14ac:dyDescent="0.25">
      <c r="A462" s="25" t="e">
        <f>#REF!</f>
        <v>#REF!</v>
      </c>
      <c r="B462" s="50" t="e">
        <f>#REF!</f>
        <v>#REF!</v>
      </c>
      <c r="C462" s="5" t="e">
        <f>#REF!</f>
        <v>#REF!</v>
      </c>
      <c r="D462" s="5" t="e">
        <f>#REF!</f>
        <v>#REF!</v>
      </c>
      <c r="E462" s="252">
        <v>1</v>
      </c>
      <c r="F462" s="249">
        <v>0</v>
      </c>
      <c r="G462" s="249">
        <v>0</v>
      </c>
      <c r="H462" s="249">
        <v>0</v>
      </c>
      <c r="I462" s="249">
        <v>0</v>
      </c>
      <c r="J462" s="249">
        <v>865748.79999999993</v>
      </c>
      <c r="K462" s="249">
        <v>855610</v>
      </c>
      <c r="L462" s="274">
        <f>J462</f>
        <v>865748.79999999993</v>
      </c>
      <c r="M462" s="274">
        <f>K462*E1</f>
        <v>881278.3</v>
      </c>
      <c r="N462" s="255"/>
      <c r="O462" s="135"/>
      <c r="P462" s="135"/>
      <c r="Q462" s="131"/>
      <c r="R462" s="131"/>
      <c r="S462" s="11"/>
      <c r="T462" s="274"/>
      <c r="U462" s="274"/>
      <c r="V462" s="274"/>
      <c r="W462" s="39"/>
      <c r="X462" s="11"/>
      <c r="Y462" s="11"/>
      <c r="Z462" s="274"/>
      <c r="AA462" s="274"/>
      <c r="AB462" s="274"/>
      <c r="AC462" s="46"/>
      <c r="AD462" s="48"/>
      <c r="AE462" s="39"/>
      <c r="AF462" s="274"/>
      <c r="AG462" s="274"/>
      <c r="AH462" s="175"/>
      <c r="AI462" s="11"/>
      <c r="AJ462" s="39"/>
      <c r="AK462" s="39"/>
      <c r="AL462" s="118"/>
      <c r="AM462" s="152"/>
      <c r="AN462" s="181"/>
      <c r="AO462" s="131"/>
      <c r="AP462" s="131"/>
      <c r="AQ462" s="39"/>
      <c r="AR462" s="274"/>
      <c r="AS462" s="274"/>
      <c r="AT462" s="274"/>
      <c r="AU462" s="39"/>
      <c r="AV462" s="39"/>
      <c r="AW462" s="39"/>
      <c r="AX462" s="274"/>
      <c r="AY462" s="274"/>
      <c r="AZ462" s="274"/>
      <c r="BA462" s="39"/>
      <c r="BB462" s="62"/>
      <c r="BC462" s="39"/>
      <c r="BD462" s="118">
        <v>580000</v>
      </c>
      <c r="BE462" s="274">
        <f>+BD462*0.19</f>
        <v>110200</v>
      </c>
      <c r="BF462" s="274">
        <f>+BD462+BE462</f>
        <v>690200</v>
      </c>
      <c r="BG462" s="25" t="s">
        <v>4894</v>
      </c>
      <c r="BH462" s="5" t="s">
        <v>4895</v>
      </c>
      <c r="BI462" s="5" t="s">
        <v>4899</v>
      </c>
      <c r="BJ462" s="274">
        <v>1261300</v>
      </c>
      <c r="BK462" s="274">
        <f t="shared" si="141"/>
        <v>239647</v>
      </c>
      <c r="BL462" s="274">
        <f t="shared" si="142"/>
        <v>1500947</v>
      </c>
      <c r="BM462" s="213" t="s">
        <v>4897</v>
      </c>
      <c r="BN462" s="213" t="s">
        <v>4748</v>
      </c>
      <c r="BO462" s="39"/>
      <c r="BP462" s="274"/>
      <c r="BQ462" s="274"/>
      <c r="BR462" s="274"/>
      <c r="BS462" s="39"/>
      <c r="BT462" s="39"/>
      <c r="BU462" s="39"/>
      <c r="BV462" s="219">
        <v>1459177.7892000002</v>
      </c>
      <c r="BW462" s="219">
        <f t="shared" si="148"/>
        <v>277243.77994800004</v>
      </c>
      <c r="BX462" s="273">
        <f t="shared" si="149"/>
        <v>1736421.5691480003</v>
      </c>
      <c r="BY462" s="213" t="s">
        <v>4897</v>
      </c>
      <c r="BZ462" s="213" t="s">
        <v>4748</v>
      </c>
      <c r="CA462" s="213"/>
      <c r="CB462" s="275"/>
      <c r="CC462" s="274"/>
      <c r="CD462" s="274"/>
      <c r="CE462" s="39"/>
      <c r="CF462" s="39"/>
      <c r="CG462" s="39"/>
      <c r="CH462" s="274"/>
      <c r="CI462" s="274"/>
      <c r="CJ462" s="274"/>
      <c r="CK462" s="39"/>
      <c r="CL462" s="39"/>
      <c r="CM462" s="39"/>
      <c r="CN462" s="39"/>
      <c r="CO462" s="39"/>
      <c r="CP462" s="11"/>
      <c r="CQ462" s="11"/>
      <c r="CR462" s="11"/>
      <c r="CS462" s="11"/>
      <c r="CT462" s="11"/>
      <c r="CU462" s="11"/>
      <c r="CV462" s="11"/>
      <c r="CW462" s="11"/>
      <c r="CX462" s="11"/>
      <c r="CY462" s="11"/>
      <c r="CZ462" s="11"/>
      <c r="DA462" s="11"/>
      <c r="DB462" s="11"/>
      <c r="DC462" s="11"/>
      <c r="DD462" s="11"/>
      <c r="DE462" s="11"/>
      <c r="DF462" s="11"/>
      <c r="DG462" s="11"/>
      <c r="DH462" s="11"/>
      <c r="DI462" s="11"/>
      <c r="DJ462" s="11"/>
      <c r="DK462" s="11"/>
      <c r="DL462" s="274"/>
      <c r="DM462" s="274"/>
      <c r="DN462" s="274"/>
      <c r="DO462" s="274"/>
      <c r="DP462" s="274"/>
      <c r="DQ462" s="274"/>
      <c r="DR462" s="274"/>
      <c r="DS462" s="274"/>
      <c r="DT462" s="274"/>
      <c r="DU462" s="274"/>
      <c r="DV462" s="274"/>
      <c r="DW462" s="274"/>
      <c r="DX462" s="274"/>
      <c r="DY462" s="274"/>
      <c r="DZ462" s="274"/>
      <c r="EA462" s="274"/>
      <c r="EB462" s="274"/>
      <c r="EC462" s="274"/>
      <c r="ED462" s="39">
        <f t="shared" si="145"/>
        <v>4808846.8691480001</v>
      </c>
      <c r="EE462" s="30">
        <f t="shared" si="146"/>
        <v>4</v>
      </c>
      <c r="EF462" s="39">
        <f t="shared" si="147"/>
        <v>1202211.717287</v>
      </c>
    </row>
    <row r="463" spans="1:136" ht="25.5" x14ac:dyDescent="0.25">
      <c r="A463" s="25" t="e">
        <f>#REF!</f>
        <v>#REF!</v>
      </c>
      <c r="B463" s="50" t="e">
        <f>#REF!</f>
        <v>#REF!</v>
      </c>
      <c r="C463" s="5" t="e">
        <f>#REF!</f>
        <v>#REF!</v>
      </c>
      <c r="D463" s="5" t="e">
        <f>#REF!</f>
        <v>#REF!</v>
      </c>
      <c r="E463" s="252">
        <v>1</v>
      </c>
      <c r="F463" s="249">
        <v>0</v>
      </c>
      <c r="G463" s="249">
        <v>0</v>
      </c>
      <c r="H463" s="249">
        <v>0</v>
      </c>
      <c r="I463" s="249">
        <v>0</v>
      </c>
      <c r="J463" s="249">
        <v>362355</v>
      </c>
      <c r="K463" s="249">
        <v>0</v>
      </c>
      <c r="L463" s="274">
        <f>J463</f>
        <v>362355</v>
      </c>
      <c r="M463" s="274"/>
      <c r="N463" s="256"/>
      <c r="O463" s="135"/>
      <c r="P463" s="135"/>
      <c r="Q463" s="131"/>
      <c r="R463" s="131"/>
      <c r="S463" s="11"/>
      <c r="T463" s="274"/>
      <c r="U463" s="274"/>
      <c r="V463" s="274"/>
      <c r="W463" s="39"/>
      <c r="X463" s="11"/>
      <c r="Y463" s="11"/>
      <c r="Z463" s="274"/>
      <c r="AA463" s="274"/>
      <c r="AB463" s="274"/>
      <c r="AC463" s="46"/>
      <c r="AD463" s="48"/>
      <c r="AE463" s="39"/>
      <c r="AF463" s="274"/>
      <c r="AG463" s="274"/>
      <c r="AH463" s="175"/>
      <c r="AI463" s="11"/>
      <c r="AJ463" s="39"/>
      <c r="AK463" s="39"/>
      <c r="AL463" s="118"/>
      <c r="AM463" s="152"/>
      <c r="AN463" s="181"/>
      <c r="AO463" s="131"/>
      <c r="AP463" s="131"/>
      <c r="AQ463" s="39"/>
      <c r="AR463" s="274"/>
      <c r="AS463" s="274"/>
      <c r="AT463" s="274"/>
      <c r="AU463" s="39"/>
      <c r="AV463" s="39"/>
      <c r="AW463" s="39"/>
      <c r="AX463" s="274"/>
      <c r="AY463" s="274"/>
      <c r="AZ463" s="274"/>
      <c r="BA463" s="39"/>
      <c r="BB463" s="62"/>
      <c r="BC463" s="39"/>
      <c r="BD463" s="113">
        <v>580000</v>
      </c>
      <c r="BE463" s="274">
        <f>+BD463*0.19</f>
        <v>110200</v>
      </c>
      <c r="BF463" s="274">
        <f>+BD463+BE463</f>
        <v>690200</v>
      </c>
      <c r="BG463" s="25" t="s">
        <v>4894</v>
      </c>
      <c r="BH463" s="5" t="s">
        <v>4895</v>
      </c>
      <c r="BI463" s="5" t="s">
        <v>4900</v>
      </c>
      <c r="BJ463" s="274">
        <v>1243700</v>
      </c>
      <c r="BK463" s="274">
        <f t="shared" si="141"/>
        <v>236303</v>
      </c>
      <c r="BL463" s="274">
        <f t="shared" si="142"/>
        <v>1480003</v>
      </c>
      <c r="BM463" s="213" t="s">
        <v>4897</v>
      </c>
      <c r="BN463" s="213" t="s">
        <v>4748</v>
      </c>
      <c r="BO463" s="39"/>
      <c r="BP463" s="274"/>
      <c r="BQ463" s="274"/>
      <c r="BR463" s="274"/>
      <c r="BS463" s="39"/>
      <c r="BT463" s="39"/>
      <c r="BU463" s="39"/>
      <c r="BV463" s="212">
        <v>1358512.1655000001</v>
      </c>
      <c r="BW463" s="219">
        <f t="shared" si="148"/>
        <v>258117.31144500003</v>
      </c>
      <c r="BX463" s="273">
        <f t="shared" si="149"/>
        <v>1616629.4769450002</v>
      </c>
      <c r="BY463" s="213" t="s">
        <v>4897</v>
      </c>
      <c r="BZ463" s="213" t="s">
        <v>4748</v>
      </c>
      <c r="CA463" s="213"/>
      <c r="CB463" s="274"/>
      <c r="CC463" s="274"/>
      <c r="CD463" s="274"/>
      <c r="CE463" s="39"/>
      <c r="CF463" s="39"/>
      <c r="CG463" s="39"/>
      <c r="CH463" s="275"/>
      <c r="CI463" s="275"/>
      <c r="CJ463" s="275"/>
      <c r="CK463" s="39"/>
      <c r="CL463" s="39"/>
      <c r="CM463" s="39"/>
      <c r="CN463" s="39"/>
      <c r="CO463" s="39"/>
      <c r="CP463" s="11"/>
      <c r="CQ463" s="11"/>
      <c r="CR463" s="11"/>
      <c r="CS463" s="11"/>
      <c r="CT463" s="11"/>
      <c r="CU463" s="11"/>
      <c r="CV463" s="11"/>
      <c r="CW463" s="11"/>
      <c r="CX463" s="11"/>
      <c r="CY463" s="11"/>
      <c r="CZ463" s="11"/>
      <c r="DA463" s="11"/>
      <c r="DB463" s="11"/>
      <c r="DC463" s="11"/>
      <c r="DD463" s="11"/>
      <c r="DE463" s="11"/>
      <c r="DF463" s="11"/>
      <c r="DG463" s="11"/>
      <c r="DH463" s="11"/>
      <c r="DI463" s="11"/>
      <c r="DJ463" s="11"/>
      <c r="DK463" s="11"/>
      <c r="DL463" s="274"/>
      <c r="DM463" s="274"/>
      <c r="DN463" s="274"/>
      <c r="DO463" s="274"/>
      <c r="DP463" s="274"/>
      <c r="DQ463" s="274"/>
      <c r="DR463" s="274"/>
      <c r="DS463" s="274"/>
      <c r="DT463" s="274"/>
      <c r="DU463" s="274"/>
      <c r="DV463" s="274"/>
      <c r="DW463" s="274"/>
      <c r="DX463" s="274"/>
      <c r="DY463" s="274"/>
      <c r="DZ463" s="274"/>
      <c r="EA463" s="274"/>
      <c r="EB463" s="274"/>
      <c r="EC463" s="274"/>
      <c r="ED463" s="39">
        <f t="shared" si="145"/>
        <v>3786832.4769450002</v>
      </c>
      <c r="EE463" s="30">
        <f t="shared" si="146"/>
        <v>3</v>
      </c>
      <c r="EF463" s="39">
        <f t="shared" si="147"/>
        <v>1262277.4923150002</v>
      </c>
    </row>
    <row r="464" spans="1:136" x14ac:dyDescent="0.25">
      <c r="A464" s="25" t="e">
        <f>#REF!</f>
        <v>#REF!</v>
      </c>
      <c r="B464" s="50" t="e">
        <f>#REF!</f>
        <v>#REF!</v>
      </c>
      <c r="C464" s="5" t="e">
        <f>#REF!</f>
        <v>#REF!</v>
      </c>
      <c r="D464" s="5" t="e">
        <f>#REF!</f>
        <v>#REF!</v>
      </c>
      <c r="E464" s="252">
        <v>1</v>
      </c>
      <c r="F464" s="249">
        <v>0</v>
      </c>
      <c r="G464" s="249">
        <v>0</v>
      </c>
      <c r="H464" s="249">
        <v>0</v>
      </c>
      <c r="I464" s="249">
        <v>0</v>
      </c>
      <c r="J464" s="249">
        <v>0</v>
      </c>
      <c r="K464" s="249">
        <v>0</v>
      </c>
      <c r="L464" s="274"/>
      <c r="M464" s="274"/>
      <c r="N464" s="255">
        <v>55000</v>
      </c>
      <c r="O464" s="135">
        <f>+N464*0.19</f>
        <v>10450</v>
      </c>
      <c r="P464" s="135">
        <f>+N464+O464</f>
        <v>65450</v>
      </c>
      <c r="Q464" s="131"/>
      <c r="R464" s="131"/>
      <c r="S464" s="11"/>
      <c r="T464" s="274"/>
      <c r="U464" s="274"/>
      <c r="V464" s="274"/>
      <c r="W464" s="39"/>
      <c r="X464" s="11"/>
      <c r="Y464" s="11"/>
      <c r="Z464" s="274"/>
      <c r="AA464" s="274"/>
      <c r="AB464" s="274"/>
      <c r="AC464" s="52"/>
      <c r="AD464" s="22"/>
      <c r="AE464" s="39"/>
      <c r="AF464" s="274"/>
      <c r="AG464" s="274"/>
      <c r="AH464" s="171"/>
      <c r="AI464" s="4"/>
      <c r="AJ464" s="39"/>
      <c r="AK464" s="39"/>
      <c r="AL464" s="118"/>
      <c r="AM464" s="152"/>
      <c r="AN464" s="181"/>
      <c r="AO464" s="131"/>
      <c r="AP464" s="131"/>
      <c r="AQ464" s="39"/>
      <c r="AR464" s="274"/>
      <c r="AS464" s="274"/>
      <c r="AT464" s="274"/>
      <c r="AU464" s="39"/>
      <c r="AV464" s="39"/>
      <c r="AW464" s="39"/>
      <c r="AX464" s="274"/>
      <c r="AY464" s="274"/>
      <c r="AZ464" s="274"/>
      <c r="BA464" s="39"/>
      <c r="BB464" s="62"/>
      <c r="BC464" s="39"/>
      <c r="BD464" s="274"/>
      <c r="BE464" s="274"/>
      <c r="BF464" s="274"/>
      <c r="BG464" s="39"/>
      <c r="BH464" s="39"/>
      <c r="BI464" s="39"/>
      <c r="BJ464" s="274">
        <v>183500</v>
      </c>
      <c r="BK464" s="274">
        <f t="shared" si="141"/>
        <v>34865</v>
      </c>
      <c r="BL464" s="274">
        <f t="shared" si="142"/>
        <v>218365</v>
      </c>
      <c r="BM464" s="214" t="s">
        <v>445</v>
      </c>
      <c r="BN464" s="213" t="s">
        <v>338</v>
      </c>
      <c r="BO464" s="39"/>
      <c r="BP464" s="274">
        <v>35200</v>
      </c>
      <c r="BQ464" s="274">
        <f>+BP464*19%</f>
        <v>6688</v>
      </c>
      <c r="BR464" s="274">
        <f>+BQ464+BP464</f>
        <v>41888</v>
      </c>
      <c r="BS464" s="39"/>
      <c r="BT464" s="39"/>
      <c r="BU464" s="39"/>
      <c r="BV464" s="219">
        <v>216256.21800000005</v>
      </c>
      <c r="BW464" s="219">
        <f t="shared" si="148"/>
        <v>41088.681420000008</v>
      </c>
      <c r="BX464" s="273">
        <f t="shared" si="149"/>
        <v>257344.89942000006</v>
      </c>
      <c r="BY464" s="214" t="s">
        <v>445</v>
      </c>
      <c r="BZ464" s="213" t="s">
        <v>338</v>
      </c>
      <c r="CA464" s="213"/>
      <c r="CB464" s="274"/>
      <c r="CC464" s="274"/>
      <c r="CD464" s="274"/>
      <c r="CE464" s="39"/>
      <c r="CF464" s="39"/>
      <c r="CG464" s="39"/>
      <c r="CH464" s="274"/>
      <c r="CI464" s="274"/>
      <c r="CJ464" s="274"/>
      <c r="CK464" s="39"/>
      <c r="CL464" s="39"/>
      <c r="CM464" s="39"/>
      <c r="CN464" s="39"/>
      <c r="CO464" s="39"/>
      <c r="CP464" s="11"/>
      <c r="CQ464" s="11"/>
      <c r="CR464" s="11"/>
      <c r="CS464" s="11"/>
      <c r="CT464" s="11"/>
      <c r="CU464" s="11"/>
      <c r="CV464" s="11"/>
      <c r="CW464" s="11"/>
      <c r="CX464" s="11"/>
      <c r="CY464" s="11"/>
      <c r="CZ464" s="11"/>
      <c r="DA464" s="11"/>
      <c r="DB464" s="11"/>
      <c r="DC464" s="11"/>
      <c r="DD464" s="11"/>
      <c r="DE464" s="11"/>
      <c r="DF464" s="11"/>
      <c r="DG464" s="11"/>
      <c r="DH464" s="11"/>
      <c r="DI464" s="11"/>
      <c r="DJ464" s="11"/>
      <c r="DK464" s="11"/>
      <c r="DL464" s="274"/>
      <c r="DM464" s="274"/>
      <c r="DN464" s="274"/>
      <c r="DO464" s="274"/>
      <c r="DP464" s="274"/>
      <c r="DQ464" s="274"/>
      <c r="DR464" s="274"/>
      <c r="DS464" s="274"/>
      <c r="DT464" s="274"/>
      <c r="DU464" s="274"/>
      <c r="DV464" s="274"/>
      <c r="DW464" s="274"/>
      <c r="DX464" s="274"/>
      <c r="DY464" s="274"/>
      <c r="DZ464" s="274"/>
      <c r="EA464" s="274"/>
      <c r="EB464" s="274"/>
      <c r="EC464" s="274"/>
      <c r="ED464" s="39">
        <f t="shared" si="145"/>
        <v>583047.89942000003</v>
      </c>
      <c r="EE464" s="30">
        <f t="shared" si="146"/>
        <v>4</v>
      </c>
      <c r="EF464" s="39">
        <f t="shared" si="147"/>
        <v>145761.97485500001</v>
      </c>
    </row>
    <row r="465" spans="1:136" x14ac:dyDescent="0.25">
      <c r="A465" s="25" t="e">
        <f>#REF!</f>
        <v>#REF!</v>
      </c>
      <c r="B465" s="50" t="e">
        <f>#REF!</f>
        <v>#REF!</v>
      </c>
      <c r="C465" s="5" t="e">
        <f>#REF!</f>
        <v>#REF!</v>
      </c>
      <c r="D465" s="5" t="e">
        <f>#REF!</f>
        <v>#REF!</v>
      </c>
      <c r="E465" s="252">
        <v>1</v>
      </c>
      <c r="F465" s="249">
        <v>0</v>
      </c>
      <c r="G465" s="249">
        <v>0</v>
      </c>
      <c r="H465" s="249">
        <v>0</v>
      </c>
      <c r="I465" s="249">
        <v>0</v>
      </c>
      <c r="J465" s="249">
        <v>74910.5</v>
      </c>
      <c r="K465" s="249">
        <v>74851</v>
      </c>
      <c r="L465" s="274">
        <f>J465</f>
        <v>74910.5</v>
      </c>
      <c r="M465" s="274">
        <f>K465*E1</f>
        <v>77096.53</v>
      </c>
      <c r="N465" s="255"/>
      <c r="O465" s="135"/>
      <c r="P465" s="135"/>
      <c r="Q465" s="131"/>
      <c r="R465" s="131"/>
      <c r="S465" s="11"/>
      <c r="T465" s="274">
        <v>143000</v>
      </c>
      <c r="U465" s="274">
        <f>+T465*0.19</f>
        <v>27170</v>
      </c>
      <c r="V465" s="274">
        <f>+T465+U465</f>
        <v>170170</v>
      </c>
      <c r="W465" s="39" t="s">
        <v>445</v>
      </c>
      <c r="X465" s="11" t="s">
        <v>3408</v>
      </c>
      <c r="Y465" s="11"/>
      <c r="Z465" s="274"/>
      <c r="AA465" s="274"/>
      <c r="AB465" s="274"/>
      <c r="AC465" s="55"/>
      <c r="AD465" s="53"/>
      <c r="AE465" s="39"/>
      <c r="AF465" s="274"/>
      <c r="AG465" s="274"/>
      <c r="AH465" s="173"/>
      <c r="AI465" s="53"/>
      <c r="AJ465" s="39"/>
      <c r="AK465" s="39"/>
      <c r="AL465" s="118"/>
      <c r="AM465" s="152"/>
      <c r="AN465" s="181"/>
      <c r="AO465" s="131"/>
      <c r="AP465" s="131"/>
      <c r="AQ465" s="39"/>
      <c r="AR465" s="274"/>
      <c r="AS465" s="274"/>
      <c r="AT465" s="274"/>
      <c r="AU465" s="39"/>
      <c r="AV465" s="39"/>
      <c r="AW465" s="39"/>
      <c r="AX465" s="274"/>
      <c r="AY465" s="274"/>
      <c r="AZ465" s="274"/>
      <c r="BA465" s="39"/>
      <c r="BB465" s="62"/>
      <c r="BC465" s="39"/>
      <c r="BD465" s="274"/>
      <c r="BE465" s="274"/>
      <c r="BF465" s="274"/>
      <c r="BG465" s="39"/>
      <c r="BH465" s="39"/>
      <c r="BI465" s="39"/>
      <c r="BJ465" s="274">
        <v>464300</v>
      </c>
      <c r="BK465" s="274">
        <f t="shared" si="141"/>
        <v>88217</v>
      </c>
      <c r="BL465" s="274">
        <f t="shared" si="142"/>
        <v>552517</v>
      </c>
      <c r="BM465" s="214" t="s">
        <v>445</v>
      </c>
      <c r="BN465" s="213" t="s">
        <v>4901</v>
      </c>
      <c r="BO465" s="39"/>
      <c r="BP465" s="274">
        <v>135000</v>
      </c>
      <c r="BQ465" s="274">
        <f>+BP465*19%</f>
        <v>25650</v>
      </c>
      <c r="BR465" s="274">
        <f>+BQ465+BP465</f>
        <v>160650</v>
      </c>
      <c r="BS465" s="39"/>
      <c r="BT465" s="39"/>
      <c r="BU465" s="39"/>
      <c r="BV465" s="219">
        <v>532073.87100000004</v>
      </c>
      <c r="BW465" s="219">
        <f t="shared" si="148"/>
        <v>101094.03549000001</v>
      </c>
      <c r="BX465" s="273">
        <f t="shared" si="149"/>
        <v>633167.90649000008</v>
      </c>
      <c r="BY465" s="214" t="s">
        <v>445</v>
      </c>
      <c r="BZ465" s="213" t="s">
        <v>4901</v>
      </c>
      <c r="CA465" s="213"/>
      <c r="CB465" s="274"/>
      <c r="CC465" s="274"/>
      <c r="CD465" s="274"/>
      <c r="CE465" s="39"/>
      <c r="CF465" s="39"/>
      <c r="CG465" s="39"/>
      <c r="CH465" s="274"/>
      <c r="CI465" s="274"/>
      <c r="CJ465" s="274"/>
      <c r="CK465" s="39"/>
      <c r="CL465" s="39"/>
      <c r="CM465" s="39"/>
      <c r="CN465" s="39"/>
      <c r="CO465" s="39"/>
      <c r="CP465" s="11"/>
      <c r="CQ465" s="11"/>
      <c r="CR465" s="11"/>
      <c r="CS465" s="11"/>
      <c r="CT465" s="11"/>
      <c r="CU465" s="11"/>
      <c r="CV465" s="11"/>
      <c r="CW465" s="11"/>
      <c r="CX465" s="11"/>
      <c r="CY465" s="11"/>
      <c r="CZ465" s="11"/>
      <c r="DA465" s="11"/>
      <c r="DB465" s="11"/>
      <c r="DC465" s="11"/>
      <c r="DD465" s="11"/>
      <c r="DE465" s="11"/>
      <c r="DF465" s="11"/>
      <c r="DG465" s="11"/>
      <c r="DH465" s="11"/>
      <c r="DI465" s="11"/>
      <c r="DJ465" s="11"/>
      <c r="DK465" s="11"/>
      <c r="DL465" s="274"/>
      <c r="DM465" s="274"/>
      <c r="DN465" s="274"/>
      <c r="DO465" s="274"/>
      <c r="DP465" s="274"/>
      <c r="DQ465" s="274"/>
      <c r="DR465" s="274"/>
      <c r="DS465" s="274"/>
      <c r="DT465" s="274"/>
      <c r="DU465" s="274"/>
      <c r="DV465" s="274"/>
      <c r="DW465" s="274"/>
      <c r="DX465" s="274"/>
      <c r="DY465" s="274"/>
      <c r="DZ465" s="274"/>
      <c r="EA465" s="274"/>
      <c r="EB465" s="274"/>
      <c r="EC465" s="274"/>
      <c r="ED465" s="39">
        <f t="shared" si="145"/>
        <v>1593601.4364900002</v>
      </c>
      <c r="EE465" s="30">
        <f t="shared" si="146"/>
        <v>5</v>
      </c>
      <c r="EF465" s="39">
        <f t="shared" si="147"/>
        <v>318720.28729800007</v>
      </c>
    </row>
    <row r="466" spans="1:136" x14ac:dyDescent="0.25">
      <c r="A466" s="25" t="e">
        <f>#REF!</f>
        <v>#REF!</v>
      </c>
      <c r="B466" s="50" t="e">
        <f>#REF!</f>
        <v>#REF!</v>
      </c>
      <c r="C466" s="5" t="e">
        <f>#REF!</f>
        <v>#REF!</v>
      </c>
      <c r="D466" s="5" t="e">
        <f>#REF!</f>
        <v>#REF!</v>
      </c>
      <c r="E466" s="252">
        <v>1</v>
      </c>
      <c r="F466" s="249">
        <v>0</v>
      </c>
      <c r="G466" s="249">
        <v>0</v>
      </c>
      <c r="H466" s="249">
        <v>0</v>
      </c>
      <c r="I466" s="249">
        <v>0</v>
      </c>
      <c r="J466" s="249">
        <v>0</v>
      </c>
      <c r="K466" s="249">
        <v>0</v>
      </c>
      <c r="L466" s="274"/>
      <c r="M466" s="274"/>
      <c r="N466" s="255">
        <v>200000</v>
      </c>
      <c r="O466" s="135">
        <f>+N466*0.19</f>
        <v>38000</v>
      </c>
      <c r="P466" s="135">
        <f>+N466+O466</f>
        <v>238000</v>
      </c>
      <c r="Q466" s="131"/>
      <c r="R466" s="131"/>
      <c r="S466" s="11"/>
      <c r="T466" s="274"/>
      <c r="U466" s="274"/>
      <c r="V466" s="274"/>
      <c r="W466" s="39"/>
      <c r="X466" s="11"/>
      <c r="Y466" s="11"/>
      <c r="Z466" s="274"/>
      <c r="AA466" s="274"/>
      <c r="AB466" s="274"/>
      <c r="AC466" s="55"/>
      <c r="AD466" s="53"/>
      <c r="AE466" s="39"/>
      <c r="AF466" s="274"/>
      <c r="AG466" s="274"/>
      <c r="AH466" s="173"/>
      <c r="AI466" s="53"/>
      <c r="AJ466" s="39"/>
      <c r="AK466" s="39"/>
      <c r="AL466" s="118"/>
      <c r="AM466" s="152"/>
      <c r="AN466" s="181"/>
      <c r="AO466" s="131"/>
      <c r="AP466" s="131"/>
      <c r="AQ466" s="39"/>
      <c r="AR466" s="274"/>
      <c r="AS466" s="274"/>
      <c r="AT466" s="274"/>
      <c r="AU466" s="39"/>
      <c r="AV466" s="39"/>
      <c r="AW466" s="39"/>
      <c r="AX466" s="274"/>
      <c r="AY466" s="274"/>
      <c r="AZ466" s="274"/>
      <c r="BA466" s="39"/>
      <c r="BB466" s="62"/>
      <c r="BC466" s="39"/>
      <c r="BD466" s="274"/>
      <c r="BE466" s="274"/>
      <c r="BF466" s="274"/>
      <c r="BG466" s="39"/>
      <c r="BH466" s="39"/>
      <c r="BI466" s="39"/>
      <c r="BJ466" s="274">
        <v>756000</v>
      </c>
      <c r="BK466" s="274">
        <f t="shared" si="141"/>
        <v>143640</v>
      </c>
      <c r="BL466" s="274">
        <f t="shared" si="142"/>
        <v>899640</v>
      </c>
      <c r="BM466" s="213" t="s">
        <v>4902</v>
      </c>
      <c r="BN466" s="213" t="s">
        <v>4892</v>
      </c>
      <c r="BO466" s="39"/>
      <c r="BP466" s="274"/>
      <c r="BQ466" s="274"/>
      <c r="BR466" s="274"/>
      <c r="BS466" s="39"/>
      <c r="BT466" s="39"/>
      <c r="BU466" s="39"/>
      <c r="BV466" s="219">
        <v>794331.46800000011</v>
      </c>
      <c r="BW466" s="219">
        <f t="shared" si="148"/>
        <v>150922.97892000002</v>
      </c>
      <c r="BX466" s="273">
        <f t="shared" si="149"/>
        <v>945254.44692000013</v>
      </c>
      <c r="BY466" s="213" t="s">
        <v>4902</v>
      </c>
      <c r="BZ466" s="213" t="s">
        <v>4892</v>
      </c>
      <c r="CA466" s="213"/>
      <c r="CB466" s="275"/>
      <c r="CC466" s="274"/>
      <c r="CD466" s="274"/>
      <c r="CE466" s="39"/>
      <c r="CF466" s="39"/>
      <c r="CG466" s="39"/>
      <c r="CH466" s="274"/>
      <c r="CI466" s="274"/>
      <c r="CJ466" s="274"/>
      <c r="CK466" s="39"/>
      <c r="CL466" s="39"/>
      <c r="CM466" s="39"/>
      <c r="CN466" s="39"/>
      <c r="CO466" s="39"/>
      <c r="CP466" s="11"/>
      <c r="CQ466" s="11"/>
      <c r="CR466" s="11"/>
      <c r="CS466" s="11"/>
      <c r="CT466" s="11"/>
      <c r="CU466" s="11"/>
      <c r="CV466" s="11"/>
      <c r="CW466" s="11"/>
      <c r="CX466" s="11"/>
      <c r="CY466" s="11"/>
      <c r="CZ466" s="11"/>
      <c r="DA466" s="11"/>
      <c r="DB466" s="11"/>
      <c r="DC466" s="11"/>
      <c r="DD466" s="11"/>
      <c r="DE466" s="11"/>
      <c r="DF466" s="11"/>
      <c r="DG466" s="11"/>
      <c r="DH466" s="11"/>
      <c r="DI466" s="11"/>
      <c r="DJ466" s="11"/>
      <c r="DK466" s="11"/>
      <c r="DL466" s="274"/>
      <c r="DM466" s="274"/>
      <c r="DN466" s="274"/>
      <c r="DO466" s="274"/>
      <c r="DP466" s="274"/>
      <c r="DQ466" s="274"/>
      <c r="DR466" s="274"/>
      <c r="DS466" s="274"/>
      <c r="DT466" s="274"/>
      <c r="DU466" s="274"/>
      <c r="DV466" s="274"/>
      <c r="DW466" s="274"/>
      <c r="DX466" s="274"/>
      <c r="DY466" s="274"/>
      <c r="DZ466" s="274"/>
      <c r="EA466" s="274"/>
      <c r="EB466" s="274"/>
      <c r="EC466" s="274"/>
      <c r="ED466" s="39">
        <f t="shared" si="145"/>
        <v>2082894.44692</v>
      </c>
      <c r="EE466" s="30">
        <f t="shared" si="146"/>
        <v>3</v>
      </c>
      <c r="EF466" s="39">
        <f t="shared" si="147"/>
        <v>694298.1489733333</v>
      </c>
    </row>
    <row r="467" spans="1:136" x14ac:dyDescent="0.25">
      <c r="A467" s="25" t="e">
        <f>#REF!</f>
        <v>#REF!</v>
      </c>
      <c r="B467" s="50" t="e">
        <f>#REF!</f>
        <v>#REF!</v>
      </c>
      <c r="C467" s="5" t="e">
        <f>#REF!</f>
        <v>#REF!</v>
      </c>
      <c r="D467" s="5" t="e">
        <f>#REF!</f>
        <v>#REF!</v>
      </c>
      <c r="E467" s="252">
        <v>1</v>
      </c>
      <c r="F467" s="249">
        <v>0</v>
      </c>
      <c r="G467" s="249">
        <v>0</v>
      </c>
      <c r="H467" s="249">
        <v>178500</v>
      </c>
      <c r="I467" s="249">
        <v>178381</v>
      </c>
      <c r="J467" s="249">
        <v>214182.5</v>
      </c>
      <c r="K467" s="249">
        <v>0</v>
      </c>
      <c r="L467" s="274">
        <f>AVERAGE(H467,J467)</f>
        <v>196341.25</v>
      </c>
      <c r="M467" s="274">
        <f>I467*E1</f>
        <v>183732.43</v>
      </c>
      <c r="N467" s="256">
        <v>150000</v>
      </c>
      <c r="O467" s="135">
        <f>+N467*0.19</f>
        <v>28500</v>
      </c>
      <c r="P467" s="135">
        <f>+N467+O467</f>
        <v>178500</v>
      </c>
      <c r="Q467" s="131"/>
      <c r="R467" s="131"/>
      <c r="S467" s="11"/>
      <c r="T467" s="274"/>
      <c r="U467" s="274"/>
      <c r="V467" s="274"/>
      <c r="W467" s="39"/>
      <c r="X467" s="11"/>
      <c r="Y467" s="11"/>
      <c r="Z467" s="274"/>
      <c r="AA467" s="274"/>
      <c r="AB467" s="274"/>
      <c r="AC467" s="4"/>
      <c r="AD467" s="22"/>
      <c r="AE467" s="39"/>
      <c r="AF467" s="274"/>
      <c r="AG467" s="274"/>
      <c r="AH467" s="121"/>
      <c r="AI467" s="4"/>
      <c r="AJ467" s="39"/>
      <c r="AK467" s="39"/>
      <c r="AL467" s="118"/>
      <c r="AM467" s="152"/>
      <c r="AN467" s="181"/>
      <c r="AO467" s="131"/>
      <c r="AP467" s="131"/>
      <c r="AQ467" s="39"/>
      <c r="AR467" s="274"/>
      <c r="AS467" s="274"/>
      <c r="AT467" s="274"/>
      <c r="AU467" s="39"/>
      <c r="AV467" s="39"/>
      <c r="AW467" s="39"/>
      <c r="AX467" s="274"/>
      <c r="AY467" s="274"/>
      <c r="AZ467" s="274"/>
      <c r="BA467" s="39"/>
      <c r="BB467" s="62"/>
      <c r="BC467" s="39"/>
      <c r="BD467" s="274"/>
      <c r="BE467" s="274"/>
      <c r="BF467" s="274"/>
      <c r="BG467" s="39"/>
      <c r="BH467" s="39"/>
      <c r="BI467" s="39"/>
      <c r="BJ467" s="274">
        <v>432500</v>
      </c>
      <c r="BK467" s="274">
        <f t="shared" si="141"/>
        <v>82175</v>
      </c>
      <c r="BL467" s="274">
        <f t="shared" si="142"/>
        <v>514675</v>
      </c>
      <c r="BM467" s="214" t="s">
        <v>445</v>
      </c>
      <c r="BN467" s="213" t="s">
        <v>4903</v>
      </c>
      <c r="BO467" s="39"/>
      <c r="BP467" s="274"/>
      <c r="BQ467" s="274"/>
      <c r="BR467" s="274"/>
      <c r="BS467" s="39"/>
      <c r="BT467" s="39"/>
      <c r="BU467" s="39"/>
      <c r="BV467" s="212">
        <v>481555.88</v>
      </c>
      <c r="BW467" s="219">
        <f t="shared" si="148"/>
        <v>91495.617200000008</v>
      </c>
      <c r="BX467" s="273">
        <f t="shared" si="149"/>
        <v>573051.49719999998</v>
      </c>
      <c r="BY467" s="214" t="s">
        <v>445</v>
      </c>
      <c r="BZ467" s="213" t="s">
        <v>4903</v>
      </c>
      <c r="CA467" s="213"/>
      <c r="CB467" s="274"/>
      <c r="CC467" s="274"/>
      <c r="CD467" s="274"/>
      <c r="CE467" s="39"/>
      <c r="CF467" s="39"/>
      <c r="CG467" s="39"/>
      <c r="CH467" s="275"/>
      <c r="CI467" s="275"/>
      <c r="CJ467" s="275"/>
      <c r="CK467" s="39"/>
      <c r="CL467" s="39"/>
      <c r="CM467" s="39"/>
      <c r="CN467" s="39"/>
      <c r="CO467" s="39"/>
      <c r="CP467" s="11"/>
      <c r="CQ467" s="11"/>
      <c r="CR467" s="11"/>
      <c r="CS467" s="11"/>
      <c r="CT467" s="11"/>
      <c r="CU467" s="11"/>
      <c r="CV467" s="11"/>
      <c r="CW467" s="11"/>
      <c r="CX467" s="11"/>
      <c r="CY467" s="11"/>
      <c r="CZ467" s="11"/>
      <c r="DA467" s="11"/>
      <c r="DB467" s="11"/>
      <c r="DC467" s="11"/>
      <c r="DD467" s="11"/>
      <c r="DE467" s="11"/>
      <c r="DF467" s="11"/>
      <c r="DG467" s="11"/>
      <c r="DH467" s="11"/>
      <c r="DI467" s="11"/>
      <c r="DJ467" s="11"/>
      <c r="DK467" s="11"/>
      <c r="DL467" s="274"/>
      <c r="DM467" s="274"/>
      <c r="DN467" s="274"/>
      <c r="DO467" s="274"/>
      <c r="DP467" s="274"/>
      <c r="DQ467" s="274"/>
      <c r="DR467" s="274"/>
      <c r="DS467" s="274"/>
      <c r="DT467" s="274"/>
      <c r="DU467" s="274"/>
      <c r="DV467" s="274"/>
      <c r="DW467" s="274"/>
      <c r="DX467" s="274"/>
      <c r="DY467" s="274"/>
      <c r="DZ467" s="274"/>
      <c r="EA467" s="274"/>
      <c r="EB467" s="274"/>
      <c r="EC467" s="274"/>
      <c r="ED467" s="39">
        <f t="shared" si="145"/>
        <v>1449958.9271999998</v>
      </c>
      <c r="EE467" s="30">
        <f t="shared" si="146"/>
        <v>4</v>
      </c>
      <c r="EF467" s="39">
        <f t="shared" si="147"/>
        <v>362489.73179999995</v>
      </c>
    </row>
    <row r="468" spans="1:136" x14ac:dyDescent="0.25">
      <c r="A468" s="25" t="e">
        <f>#REF!</f>
        <v>#REF!</v>
      </c>
      <c r="B468" s="50" t="e">
        <f>#REF!</f>
        <v>#REF!</v>
      </c>
      <c r="C468" s="5" t="e">
        <f>#REF!</f>
        <v>#REF!</v>
      </c>
      <c r="D468" s="5" t="e">
        <f>#REF!</f>
        <v>#REF!</v>
      </c>
      <c r="E468" s="252">
        <v>1</v>
      </c>
      <c r="F468" s="249">
        <v>0</v>
      </c>
      <c r="G468" s="249">
        <v>0</v>
      </c>
      <c r="H468" s="249">
        <v>0</v>
      </c>
      <c r="I468" s="249">
        <v>0</v>
      </c>
      <c r="J468" s="249">
        <v>39982.775000000001</v>
      </c>
      <c r="K468" s="249">
        <v>0</v>
      </c>
      <c r="L468" s="274">
        <f>J468</f>
        <v>39982.775000000001</v>
      </c>
      <c r="M468" s="274"/>
      <c r="N468" s="255">
        <v>40000</v>
      </c>
      <c r="O468" s="135">
        <f>+N468*0.19</f>
        <v>7600</v>
      </c>
      <c r="P468" s="135">
        <f>+N468+O468</f>
        <v>47600</v>
      </c>
      <c r="Q468" s="131"/>
      <c r="R468" s="131"/>
      <c r="S468" s="11"/>
      <c r="T468" s="274"/>
      <c r="U468" s="274"/>
      <c r="V468" s="274"/>
      <c r="W468" s="39"/>
      <c r="X468" s="11"/>
      <c r="Y468" s="11"/>
      <c r="Z468" s="274"/>
      <c r="AA468" s="274"/>
      <c r="AB468" s="274"/>
      <c r="AC468" s="52"/>
      <c r="AD468" s="22"/>
      <c r="AE468" s="39"/>
      <c r="AF468" s="274"/>
      <c r="AG468" s="274"/>
      <c r="AH468" s="171"/>
      <c r="AI468" s="4"/>
      <c r="AJ468" s="39"/>
      <c r="AK468" s="39"/>
      <c r="AL468" s="118"/>
      <c r="AM468" s="152"/>
      <c r="AN468" s="181"/>
      <c r="AO468" s="131"/>
      <c r="AP468" s="131"/>
      <c r="AQ468" s="39"/>
      <c r="AR468" s="274"/>
      <c r="AS468" s="274"/>
      <c r="AT468" s="274"/>
      <c r="AU468" s="39"/>
      <c r="AV468" s="39"/>
      <c r="AW468" s="39"/>
      <c r="AX468" s="274"/>
      <c r="AY468" s="274"/>
      <c r="AZ468" s="274"/>
      <c r="BA468" s="39"/>
      <c r="BB468" s="62"/>
      <c r="BC468" s="39"/>
      <c r="BD468" s="274"/>
      <c r="BE468" s="274"/>
      <c r="BF468" s="274"/>
      <c r="BG468" s="39"/>
      <c r="BH468" s="39"/>
      <c r="BI468" s="39"/>
      <c r="BJ468" s="274">
        <v>100000</v>
      </c>
      <c r="BK468" s="274">
        <f t="shared" si="141"/>
        <v>19000</v>
      </c>
      <c r="BL468" s="274">
        <f t="shared" si="142"/>
        <v>119000</v>
      </c>
      <c r="BM468" s="214" t="s">
        <v>445</v>
      </c>
      <c r="BN468" s="213" t="s">
        <v>164</v>
      </c>
      <c r="BO468" s="39"/>
      <c r="BP468" s="274">
        <v>65200</v>
      </c>
      <c r="BQ468" s="274">
        <f>+BP468*19%</f>
        <v>12388</v>
      </c>
      <c r="BR468" s="274">
        <f>+BQ468+BP468</f>
        <v>77588</v>
      </c>
      <c r="BS468" s="39"/>
      <c r="BT468" s="39"/>
      <c r="BU468" s="39"/>
      <c r="BV468" s="219">
        <v>112486.40000000001</v>
      </c>
      <c r="BW468" s="219">
        <f t="shared" si="148"/>
        <v>21372.416000000001</v>
      </c>
      <c r="BX468" s="273">
        <f t="shared" si="149"/>
        <v>133858.81600000002</v>
      </c>
      <c r="BY468" s="214" t="s">
        <v>445</v>
      </c>
      <c r="BZ468" s="213" t="s">
        <v>164</v>
      </c>
      <c r="CA468" s="213"/>
      <c r="CB468" s="274"/>
      <c r="CC468" s="274"/>
      <c r="CD468" s="274"/>
      <c r="CE468" s="39"/>
      <c r="CF468" s="39"/>
      <c r="CG468" s="39"/>
      <c r="CH468" s="274"/>
      <c r="CI468" s="274"/>
      <c r="CJ468" s="274"/>
      <c r="CK468" s="39"/>
      <c r="CL468" s="39"/>
      <c r="CM468" s="39"/>
      <c r="CN468" s="39"/>
      <c r="CO468" s="39"/>
      <c r="CP468" s="11"/>
      <c r="CQ468" s="11"/>
      <c r="CR468" s="11"/>
      <c r="CS468" s="11"/>
      <c r="CT468" s="11"/>
      <c r="CU468" s="11"/>
      <c r="CV468" s="11"/>
      <c r="CW468" s="11"/>
      <c r="CX468" s="11"/>
      <c r="CY468" s="11"/>
      <c r="CZ468" s="11"/>
      <c r="DA468" s="11"/>
      <c r="DB468" s="11"/>
      <c r="DC468" s="11"/>
      <c r="DD468" s="11"/>
      <c r="DE468" s="11"/>
      <c r="DF468" s="11"/>
      <c r="DG468" s="11"/>
      <c r="DH468" s="11"/>
      <c r="DI468" s="11"/>
      <c r="DJ468" s="11"/>
      <c r="DK468" s="11"/>
      <c r="DL468" s="274"/>
      <c r="DM468" s="274"/>
      <c r="DN468" s="274"/>
      <c r="DO468" s="274"/>
      <c r="DP468" s="274"/>
      <c r="DQ468" s="274"/>
      <c r="DR468" s="274"/>
      <c r="DS468" s="274"/>
      <c r="DT468" s="274"/>
      <c r="DU468" s="274"/>
      <c r="DV468" s="274"/>
      <c r="DW468" s="274"/>
      <c r="DX468" s="274"/>
      <c r="DY468" s="274"/>
      <c r="DZ468" s="274"/>
      <c r="EA468" s="274"/>
      <c r="EB468" s="274"/>
      <c r="EC468" s="274"/>
      <c r="ED468" s="39">
        <f t="shared" si="145"/>
        <v>378046.81599999999</v>
      </c>
      <c r="EE468" s="30">
        <f t="shared" si="146"/>
        <v>4</v>
      </c>
      <c r="EF468" s="39">
        <f t="shared" si="147"/>
        <v>94511.703999999998</v>
      </c>
    </row>
    <row r="469" spans="1:136" x14ac:dyDescent="0.25">
      <c r="A469" s="25" t="e">
        <f>#REF!</f>
        <v>#REF!</v>
      </c>
      <c r="B469" s="50" t="e">
        <f>#REF!</f>
        <v>#REF!</v>
      </c>
      <c r="C469" s="5" t="e">
        <f>#REF!</f>
        <v>#REF!</v>
      </c>
      <c r="D469" s="5" t="e">
        <f>#REF!</f>
        <v>#REF!</v>
      </c>
      <c r="E469" s="252">
        <v>1</v>
      </c>
      <c r="F469" s="249">
        <v>0</v>
      </c>
      <c r="G469" s="249">
        <v>0</v>
      </c>
      <c r="H469" s="249">
        <v>0</v>
      </c>
      <c r="I469" s="249">
        <v>0</v>
      </c>
      <c r="J469" s="249">
        <v>39982.775000000001</v>
      </c>
      <c r="K469" s="249">
        <v>0</v>
      </c>
      <c r="L469" s="274">
        <f>J469</f>
        <v>39982.775000000001</v>
      </c>
      <c r="M469" s="274"/>
      <c r="N469" s="255">
        <v>40000</v>
      </c>
      <c r="O469" s="135">
        <f>+N469*0.19</f>
        <v>7600</v>
      </c>
      <c r="P469" s="135">
        <f>+N469+O469</f>
        <v>47600</v>
      </c>
      <c r="Q469" s="131"/>
      <c r="R469" s="131"/>
      <c r="S469" s="11"/>
      <c r="T469" s="274"/>
      <c r="U469" s="274"/>
      <c r="V469" s="274"/>
      <c r="W469" s="39"/>
      <c r="X469" s="11"/>
      <c r="Y469" s="11"/>
      <c r="Z469" s="274"/>
      <c r="AA469" s="274"/>
      <c r="AB469" s="274"/>
      <c r="AC469" s="54"/>
      <c r="AD469" s="23"/>
      <c r="AE469" s="39"/>
      <c r="AF469" s="274"/>
      <c r="AG469" s="274"/>
      <c r="AH469" s="172"/>
      <c r="AI469" s="24"/>
      <c r="AJ469" s="39"/>
      <c r="AK469" s="39"/>
      <c r="AL469" s="118"/>
      <c r="AM469" s="152"/>
      <c r="AN469" s="181"/>
      <c r="AO469" s="131"/>
      <c r="AP469" s="131"/>
      <c r="AQ469" s="39"/>
      <c r="AR469" s="274"/>
      <c r="AS469" s="274"/>
      <c r="AT469" s="274"/>
      <c r="AU469" s="39"/>
      <c r="AV469" s="39"/>
      <c r="AW469" s="39"/>
      <c r="AX469" s="274"/>
      <c r="AY469" s="274"/>
      <c r="AZ469" s="274"/>
      <c r="BA469" s="39"/>
      <c r="BB469" s="62"/>
      <c r="BC469" s="39"/>
      <c r="BD469" s="274"/>
      <c r="BE469" s="274"/>
      <c r="BF469" s="274"/>
      <c r="BG469" s="39"/>
      <c r="BH469" s="39"/>
      <c r="BI469" s="39"/>
      <c r="BJ469" s="274">
        <v>100000</v>
      </c>
      <c r="BK469" s="274">
        <f t="shared" si="141"/>
        <v>19000</v>
      </c>
      <c r="BL469" s="274">
        <f t="shared" si="142"/>
        <v>119000</v>
      </c>
      <c r="BM469" s="214" t="s">
        <v>445</v>
      </c>
      <c r="BN469" s="213" t="s">
        <v>164</v>
      </c>
      <c r="BO469" s="39"/>
      <c r="BP469" s="274">
        <v>65200</v>
      </c>
      <c r="BQ469" s="274">
        <f>+BP469*19%</f>
        <v>12388</v>
      </c>
      <c r="BR469" s="274">
        <f>+BQ469+BP469</f>
        <v>77588</v>
      </c>
      <c r="BS469" s="39"/>
      <c r="BT469" s="39"/>
      <c r="BU469" s="39"/>
      <c r="BV469" s="219">
        <v>106110.6</v>
      </c>
      <c r="BW469" s="219">
        <f t="shared" si="148"/>
        <v>20161.014000000003</v>
      </c>
      <c r="BX469" s="273">
        <f t="shared" si="149"/>
        <v>126271.614</v>
      </c>
      <c r="BY469" s="214" t="s">
        <v>445</v>
      </c>
      <c r="BZ469" s="213" t="s">
        <v>164</v>
      </c>
      <c r="CA469" s="213"/>
      <c r="CB469" s="274"/>
      <c r="CC469" s="274"/>
      <c r="CD469" s="274"/>
      <c r="CE469" s="39"/>
      <c r="CF469" s="39"/>
      <c r="CG469" s="39"/>
      <c r="CH469" s="274"/>
      <c r="CI469" s="274"/>
      <c r="CJ469" s="274"/>
      <c r="CK469" s="39"/>
      <c r="CL469" s="39"/>
      <c r="CM469" s="39"/>
      <c r="CN469" s="39"/>
      <c r="CO469" s="39"/>
      <c r="CP469" s="11"/>
      <c r="CQ469" s="11"/>
      <c r="CR469" s="11"/>
      <c r="CS469" s="11"/>
      <c r="CT469" s="11"/>
      <c r="CU469" s="11"/>
      <c r="CV469" s="11"/>
      <c r="CW469" s="11"/>
      <c r="CX469" s="11"/>
      <c r="CY469" s="11"/>
      <c r="CZ469" s="11"/>
      <c r="DA469" s="11"/>
      <c r="DB469" s="11"/>
      <c r="DC469" s="11"/>
      <c r="DD469" s="11"/>
      <c r="DE469" s="11"/>
      <c r="DF469" s="11"/>
      <c r="DG469" s="11"/>
      <c r="DH469" s="11"/>
      <c r="DI469" s="11"/>
      <c r="DJ469" s="11"/>
      <c r="DK469" s="11"/>
      <c r="DL469" s="274"/>
      <c r="DM469" s="274"/>
      <c r="DN469" s="274"/>
      <c r="DO469" s="274"/>
      <c r="DP469" s="274"/>
      <c r="DQ469" s="274"/>
      <c r="DR469" s="274"/>
      <c r="DS469" s="274"/>
      <c r="DT469" s="274"/>
      <c r="DU469" s="274"/>
      <c r="DV469" s="274"/>
      <c r="DW469" s="274"/>
      <c r="DX469" s="274"/>
      <c r="DY469" s="274"/>
      <c r="DZ469" s="274"/>
      <c r="EA469" s="274"/>
      <c r="EB469" s="274"/>
      <c r="EC469" s="274"/>
      <c r="ED469" s="39">
        <f t="shared" si="145"/>
        <v>370459.614</v>
      </c>
      <c r="EE469" s="30">
        <f t="shared" si="146"/>
        <v>4</v>
      </c>
      <c r="EF469" s="39">
        <f t="shared" si="147"/>
        <v>92614.9035</v>
      </c>
    </row>
    <row r="470" spans="1:136" ht="24" x14ac:dyDescent="0.25">
      <c r="A470" s="25" t="e">
        <f>#REF!</f>
        <v>#REF!</v>
      </c>
      <c r="B470" s="50" t="e">
        <f>#REF!</f>
        <v>#REF!</v>
      </c>
      <c r="C470" s="5" t="e">
        <f>#REF!</f>
        <v>#REF!</v>
      </c>
      <c r="D470" s="5" t="e">
        <f>#REF!</f>
        <v>#REF!</v>
      </c>
      <c r="E470" s="252">
        <v>1</v>
      </c>
      <c r="F470" s="249">
        <v>0</v>
      </c>
      <c r="G470" s="249">
        <v>0</v>
      </c>
      <c r="H470" s="249">
        <v>565000</v>
      </c>
      <c r="I470" s="249">
        <v>0</v>
      </c>
      <c r="J470" s="249">
        <v>0</v>
      </c>
      <c r="K470" s="249">
        <v>0</v>
      </c>
      <c r="L470" s="274">
        <f>H470</f>
        <v>565000</v>
      </c>
      <c r="M470" s="274"/>
      <c r="N470" s="255"/>
      <c r="O470" s="135"/>
      <c r="P470" s="135"/>
      <c r="Q470" s="131"/>
      <c r="R470" s="131"/>
      <c r="S470" s="11"/>
      <c r="T470" s="274"/>
      <c r="U470" s="274"/>
      <c r="V470" s="274"/>
      <c r="W470" s="39"/>
      <c r="X470" s="11"/>
      <c r="Y470" s="11"/>
      <c r="Z470" s="274"/>
      <c r="AA470" s="274"/>
      <c r="AB470" s="274"/>
      <c r="AC470" s="52"/>
      <c r="AD470" s="22"/>
      <c r="AE470" s="39"/>
      <c r="AF470" s="274"/>
      <c r="AG470" s="274"/>
      <c r="AH470" s="171"/>
      <c r="AI470" s="4"/>
      <c r="AJ470" s="39"/>
      <c r="AK470" s="39"/>
      <c r="AL470" s="118"/>
      <c r="AM470" s="152"/>
      <c r="AN470" s="181"/>
      <c r="AO470" s="131"/>
      <c r="AP470" s="131"/>
      <c r="AQ470" s="39"/>
      <c r="AR470" s="274"/>
      <c r="AS470" s="274"/>
      <c r="AT470" s="274"/>
      <c r="AU470" s="39"/>
      <c r="AV470" s="39"/>
      <c r="AW470" s="39"/>
      <c r="AX470" s="274"/>
      <c r="AY470" s="274"/>
      <c r="AZ470" s="274"/>
      <c r="BA470" s="39"/>
      <c r="BB470" s="62"/>
      <c r="BC470" s="39"/>
      <c r="BD470" s="274"/>
      <c r="BE470" s="274"/>
      <c r="BF470" s="274"/>
      <c r="BG470" s="39"/>
      <c r="BH470" s="39"/>
      <c r="BI470" s="39"/>
      <c r="BJ470" s="274">
        <v>395000</v>
      </c>
      <c r="BK470" s="274">
        <f t="shared" si="141"/>
        <v>75050</v>
      </c>
      <c r="BL470" s="274">
        <f t="shared" si="142"/>
        <v>470050</v>
      </c>
      <c r="BM470" s="214" t="s">
        <v>445</v>
      </c>
      <c r="BN470" s="213" t="s">
        <v>4904</v>
      </c>
      <c r="BO470" s="39"/>
      <c r="BP470" s="274"/>
      <c r="BQ470" s="274"/>
      <c r="BR470" s="274"/>
      <c r="BS470" s="39"/>
      <c r="BT470" s="39"/>
      <c r="BU470" s="39"/>
      <c r="BV470" s="219">
        <v>448389.38500000001</v>
      </c>
      <c r="BW470" s="219">
        <f t="shared" si="148"/>
        <v>85193.98315</v>
      </c>
      <c r="BX470" s="273">
        <f t="shared" si="149"/>
        <v>533583.36814999999</v>
      </c>
      <c r="BY470" s="214" t="s">
        <v>445</v>
      </c>
      <c r="BZ470" s="213" t="s">
        <v>4904</v>
      </c>
      <c r="CA470" s="213"/>
      <c r="CB470" s="274"/>
      <c r="CC470" s="274"/>
      <c r="CD470" s="274"/>
      <c r="CE470" s="39"/>
      <c r="CF470" s="39"/>
      <c r="CG470" s="39"/>
      <c r="CH470" s="274"/>
      <c r="CI470" s="274"/>
      <c r="CJ470" s="274"/>
      <c r="CK470" s="39"/>
      <c r="CL470" s="39"/>
      <c r="CM470" s="39"/>
      <c r="CN470" s="39"/>
      <c r="CO470" s="39"/>
      <c r="CP470" s="11"/>
      <c r="CQ470" s="11"/>
      <c r="CR470" s="11"/>
      <c r="CS470" s="11"/>
      <c r="CT470" s="11"/>
      <c r="CU470" s="11"/>
      <c r="CV470" s="11"/>
      <c r="CW470" s="11"/>
      <c r="CX470" s="11"/>
      <c r="CY470" s="11"/>
      <c r="CZ470" s="11"/>
      <c r="DA470" s="11"/>
      <c r="DB470" s="11"/>
      <c r="DC470" s="11"/>
      <c r="DD470" s="11"/>
      <c r="DE470" s="11"/>
      <c r="DF470" s="11"/>
      <c r="DG470" s="11"/>
      <c r="DH470" s="11"/>
      <c r="DI470" s="11"/>
      <c r="DJ470" s="11"/>
      <c r="DK470" s="11"/>
      <c r="DL470" s="274"/>
      <c r="DM470" s="274"/>
      <c r="DN470" s="274"/>
      <c r="DO470" s="274"/>
      <c r="DP470" s="274"/>
      <c r="DQ470" s="274"/>
      <c r="DR470" s="274"/>
      <c r="DS470" s="274"/>
      <c r="DT470" s="274"/>
      <c r="DU470" s="274"/>
      <c r="DV470" s="274"/>
      <c r="DW470" s="274"/>
      <c r="DX470" s="274"/>
      <c r="DY470" s="274"/>
      <c r="DZ470" s="274"/>
      <c r="EA470" s="274"/>
      <c r="EB470" s="274"/>
      <c r="EC470" s="274"/>
      <c r="ED470" s="39">
        <f t="shared" si="145"/>
        <v>1003633.36815</v>
      </c>
      <c r="EE470" s="30">
        <f t="shared" si="146"/>
        <v>2</v>
      </c>
      <c r="EF470" s="39">
        <f t="shared" si="147"/>
        <v>501816.684075</v>
      </c>
    </row>
    <row r="471" spans="1:136" x14ac:dyDescent="0.25">
      <c r="A471" s="25" t="e">
        <f>#REF!</f>
        <v>#REF!</v>
      </c>
      <c r="B471" s="50" t="e">
        <f>#REF!</f>
        <v>#REF!</v>
      </c>
      <c r="C471" s="5" t="e">
        <f>#REF!</f>
        <v>#REF!</v>
      </c>
      <c r="D471" s="5" t="e">
        <f>#REF!</f>
        <v>#REF!</v>
      </c>
      <c r="E471" s="252">
        <v>1</v>
      </c>
      <c r="F471" s="249">
        <v>5950</v>
      </c>
      <c r="G471" s="249">
        <v>0</v>
      </c>
      <c r="H471" s="249">
        <v>10115</v>
      </c>
      <c r="I471" s="249">
        <v>0</v>
      </c>
      <c r="J471" s="249">
        <v>13923</v>
      </c>
      <c r="K471" s="249">
        <v>0</v>
      </c>
      <c r="L471" s="274">
        <f>AVERAGE(F471,H471,J471)</f>
        <v>9996</v>
      </c>
      <c r="M471" s="274"/>
      <c r="N471" s="255">
        <v>25000</v>
      </c>
      <c r="O471" s="135">
        <f>+N471*0.19</f>
        <v>4750</v>
      </c>
      <c r="P471" s="135">
        <f>+N471+O471</f>
        <v>29750</v>
      </c>
      <c r="Q471" s="131"/>
      <c r="R471" s="131"/>
      <c r="S471" s="11"/>
      <c r="T471" s="274"/>
      <c r="U471" s="274"/>
      <c r="V471" s="274"/>
      <c r="W471" s="39"/>
      <c r="X471" s="11"/>
      <c r="Y471" s="11"/>
      <c r="Z471" s="274"/>
      <c r="AA471" s="274"/>
      <c r="AB471" s="274"/>
      <c r="AC471" s="52"/>
      <c r="AD471" s="22"/>
      <c r="AE471" s="39"/>
      <c r="AF471" s="274"/>
      <c r="AG471" s="274"/>
      <c r="AH471" s="171"/>
      <c r="AI471" s="22"/>
      <c r="AJ471" s="39"/>
      <c r="AK471" s="39"/>
      <c r="AL471" s="118"/>
      <c r="AM471" s="152"/>
      <c r="AN471" s="181"/>
      <c r="AO471" s="131"/>
      <c r="AP471" s="131"/>
      <c r="AQ471" s="39"/>
      <c r="AR471" s="274"/>
      <c r="AS471" s="274"/>
      <c r="AT471" s="274"/>
      <c r="AU471" s="39"/>
      <c r="AV471" s="39"/>
      <c r="AW471" s="39"/>
      <c r="AX471" s="274"/>
      <c r="AY471" s="274"/>
      <c r="AZ471" s="274"/>
      <c r="BA471" s="39"/>
      <c r="BB471" s="62"/>
      <c r="BC471" s="39"/>
      <c r="BD471" s="274"/>
      <c r="BE471" s="274"/>
      <c r="BF471" s="274"/>
      <c r="BG471" s="39"/>
      <c r="BH471" s="39"/>
      <c r="BI471" s="39"/>
      <c r="BJ471" s="274"/>
      <c r="BK471" s="274"/>
      <c r="BL471" s="274"/>
      <c r="BM471" s="213"/>
      <c r="BN471" s="213"/>
      <c r="BO471" s="39"/>
      <c r="BP471" s="274">
        <v>12000</v>
      </c>
      <c r="BQ471" s="274">
        <f>+BP471*19%</f>
        <v>2280</v>
      </c>
      <c r="BR471" s="274">
        <f>+BQ471+BP471</f>
        <v>14280</v>
      </c>
      <c r="BS471" s="39"/>
      <c r="BT471" s="39"/>
      <c r="BU471" s="39"/>
      <c r="BV471" s="212"/>
      <c r="BW471" s="220"/>
      <c r="BX471" s="273"/>
      <c r="BY471" s="213"/>
      <c r="BZ471" s="213"/>
      <c r="CA471" s="213"/>
      <c r="CB471" s="275"/>
      <c r="CC471" s="274"/>
      <c r="CD471" s="274"/>
      <c r="CE471" s="39"/>
      <c r="CF471" s="39"/>
      <c r="CG471" s="39"/>
      <c r="CH471" s="274"/>
      <c r="CI471" s="274"/>
      <c r="CJ471" s="274"/>
      <c r="CK471" s="39"/>
      <c r="CL471" s="39"/>
      <c r="CM471" s="39"/>
      <c r="CN471" s="39"/>
      <c r="CO471" s="39"/>
      <c r="CP471" s="11"/>
      <c r="CQ471" s="11"/>
      <c r="CR471" s="11"/>
      <c r="CS471" s="11"/>
      <c r="CT471" s="11"/>
      <c r="CU471" s="11"/>
      <c r="CV471" s="11"/>
      <c r="CW471" s="11"/>
      <c r="CX471" s="11"/>
      <c r="CY471" s="11"/>
      <c r="CZ471" s="11"/>
      <c r="DA471" s="11"/>
      <c r="DB471" s="11"/>
      <c r="DC471" s="11"/>
      <c r="DD471" s="11"/>
      <c r="DE471" s="11"/>
      <c r="DF471" s="11"/>
      <c r="DG471" s="11"/>
      <c r="DH471" s="11"/>
      <c r="DI471" s="11"/>
      <c r="DJ471" s="11"/>
      <c r="DK471" s="11"/>
      <c r="DL471" s="274"/>
      <c r="DM471" s="274"/>
      <c r="DN471" s="274"/>
      <c r="DO471" s="274"/>
      <c r="DP471" s="274"/>
      <c r="DQ471" s="274"/>
      <c r="DR471" s="274"/>
      <c r="DS471" s="274"/>
      <c r="DT471" s="274"/>
      <c r="DU471" s="274"/>
      <c r="DV471" s="274"/>
      <c r="DW471" s="274"/>
      <c r="DX471" s="274"/>
      <c r="DY471" s="274"/>
      <c r="DZ471" s="274"/>
      <c r="EA471" s="274"/>
      <c r="EB471" s="274"/>
      <c r="EC471" s="274"/>
      <c r="ED471" s="39">
        <f t="shared" si="145"/>
        <v>44030</v>
      </c>
      <c r="EE471" s="30">
        <f t="shared" si="146"/>
        <v>2</v>
      </c>
      <c r="EF471" s="39">
        <f t="shared" si="147"/>
        <v>22015</v>
      </c>
    </row>
    <row r="472" spans="1:136" x14ac:dyDescent="0.25">
      <c r="A472" s="25" t="e">
        <f>#REF!</f>
        <v>#REF!</v>
      </c>
      <c r="B472" s="50" t="e">
        <f>#REF!</f>
        <v>#REF!</v>
      </c>
      <c r="C472" s="5" t="e">
        <f>#REF!</f>
        <v>#REF!</v>
      </c>
      <c r="D472" s="5" t="e">
        <f>#REF!</f>
        <v>#REF!</v>
      </c>
      <c r="E472" s="252">
        <v>1</v>
      </c>
      <c r="F472" s="249">
        <v>0</v>
      </c>
      <c r="G472" s="249">
        <v>0</v>
      </c>
      <c r="H472" s="249">
        <v>0</v>
      </c>
      <c r="I472" s="249">
        <v>0</v>
      </c>
      <c r="J472" s="249">
        <v>0</v>
      </c>
      <c r="K472" s="249">
        <v>0</v>
      </c>
      <c r="L472" s="274"/>
      <c r="M472" s="274"/>
      <c r="N472" s="256"/>
      <c r="O472" s="135"/>
      <c r="P472" s="135"/>
      <c r="Q472" s="131"/>
      <c r="R472" s="131"/>
      <c r="S472" s="11"/>
      <c r="T472" s="274"/>
      <c r="U472" s="274"/>
      <c r="V472" s="274"/>
      <c r="W472" s="39"/>
      <c r="X472" s="11"/>
      <c r="Y472" s="11"/>
      <c r="Z472" s="274"/>
      <c r="AA472" s="274"/>
      <c r="AB472" s="274"/>
      <c r="AC472" s="52"/>
      <c r="AD472" s="22"/>
      <c r="AE472" s="39"/>
      <c r="AF472" s="274"/>
      <c r="AG472" s="274"/>
      <c r="AH472" s="171"/>
      <c r="AI472" s="4"/>
      <c r="AJ472" s="39"/>
      <c r="AK472" s="39"/>
      <c r="AL472" s="118"/>
      <c r="AM472" s="152"/>
      <c r="AN472" s="181"/>
      <c r="AO472" s="131"/>
      <c r="AP472" s="131"/>
      <c r="AQ472" s="39"/>
      <c r="AR472" s="274"/>
      <c r="AS472" s="274"/>
      <c r="AT472" s="274"/>
      <c r="AU472" s="39"/>
      <c r="AV472" s="39"/>
      <c r="AW472" s="39"/>
      <c r="AX472" s="274"/>
      <c r="AY472" s="274"/>
      <c r="AZ472" s="274"/>
      <c r="BA472" s="39"/>
      <c r="BB472" s="62"/>
      <c r="BC472" s="39"/>
      <c r="BD472" s="274"/>
      <c r="BE472" s="274"/>
      <c r="BF472" s="274"/>
      <c r="BG472" s="39"/>
      <c r="BH472" s="39"/>
      <c r="BI472" s="39"/>
      <c r="BJ472" s="274">
        <v>3260600</v>
      </c>
      <c r="BK472" s="274">
        <f>+BJ472*0.19</f>
        <v>619514</v>
      </c>
      <c r="BL472" s="274">
        <f>+BJ472+BK472</f>
        <v>3880114</v>
      </c>
      <c r="BM472" s="213" t="s">
        <v>4905</v>
      </c>
      <c r="BN472" s="213" t="s">
        <v>3759</v>
      </c>
      <c r="BO472" s="39"/>
      <c r="BP472" s="274">
        <v>3850000</v>
      </c>
      <c r="BQ472" s="274">
        <f>+BP472*19%</f>
        <v>731500</v>
      </c>
      <c r="BR472" s="274">
        <f>+BQ472+BP472</f>
        <v>4581500</v>
      </c>
      <c r="BS472" s="39"/>
      <c r="BT472" s="39"/>
      <c r="BU472" s="39"/>
      <c r="BV472" s="212">
        <v>3702998.2080000001</v>
      </c>
      <c r="BW472" s="219">
        <f>+BV472*0.19</f>
        <v>703569.65951999999</v>
      </c>
      <c r="BX472" s="273">
        <f>+BV472+BW472</f>
        <v>4406567.8675199999</v>
      </c>
      <c r="BY472" s="213" t="s">
        <v>4905</v>
      </c>
      <c r="BZ472" s="213" t="s">
        <v>3759</v>
      </c>
      <c r="CA472" s="213"/>
      <c r="CB472" s="274"/>
      <c r="CC472" s="274"/>
      <c r="CD472" s="274"/>
      <c r="CE472" s="39"/>
      <c r="CF472" s="39"/>
      <c r="CG472" s="39"/>
      <c r="CH472" s="275"/>
      <c r="CI472" s="275"/>
      <c r="CJ472" s="275"/>
      <c r="CK472" s="39"/>
      <c r="CL472" s="39"/>
      <c r="CM472" s="39"/>
      <c r="CN472" s="39"/>
      <c r="CO472" s="39"/>
      <c r="CP472" s="11"/>
      <c r="CQ472" s="11"/>
      <c r="CR472" s="11"/>
      <c r="CS472" s="11"/>
      <c r="CT472" s="11"/>
      <c r="CU472" s="11"/>
      <c r="CV472" s="11"/>
      <c r="CW472" s="11"/>
      <c r="CX472" s="11"/>
      <c r="CY472" s="11"/>
      <c r="CZ472" s="11"/>
      <c r="DA472" s="11"/>
      <c r="DB472" s="11"/>
      <c r="DC472" s="11"/>
      <c r="DD472" s="11"/>
      <c r="DE472" s="11"/>
      <c r="DF472" s="11"/>
      <c r="DG472" s="11"/>
      <c r="DH472" s="11"/>
      <c r="DI472" s="11"/>
      <c r="DJ472" s="11"/>
      <c r="DK472" s="11"/>
      <c r="DL472" s="274"/>
      <c r="DM472" s="274"/>
      <c r="DN472" s="274"/>
      <c r="DO472" s="274"/>
      <c r="DP472" s="274"/>
      <c r="DQ472" s="274"/>
      <c r="DR472" s="274"/>
      <c r="DS472" s="274"/>
      <c r="DT472" s="274"/>
      <c r="DU472" s="274"/>
      <c r="DV472" s="274"/>
      <c r="DW472" s="274"/>
      <c r="DX472" s="274"/>
      <c r="DY472" s="274"/>
      <c r="DZ472" s="274"/>
      <c r="EA472" s="274"/>
      <c r="EB472" s="274"/>
      <c r="EC472" s="274"/>
      <c r="ED472" s="39">
        <f t="shared" si="145"/>
        <v>12868181.867520001</v>
      </c>
      <c r="EE472" s="30">
        <f t="shared" si="146"/>
        <v>3</v>
      </c>
      <c r="EF472" s="39">
        <f t="shared" si="147"/>
        <v>4289393.95584</v>
      </c>
    </row>
    <row r="473" spans="1:136" x14ac:dyDescent="0.25">
      <c r="A473" s="25" t="e">
        <f>#REF!</f>
        <v>#REF!</v>
      </c>
      <c r="B473" s="50" t="e">
        <f>#REF!</f>
        <v>#REF!</v>
      </c>
      <c r="C473" s="5" t="e">
        <f>#REF!</f>
        <v>#REF!</v>
      </c>
      <c r="D473" s="5" t="e">
        <f>#REF!</f>
        <v>#REF!</v>
      </c>
      <c r="E473" s="252">
        <v>1</v>
      </c>
      <c r="F473" s="249">
        <v>1172054.8</v>
      </c>
      <c r="G473" s="249">
        <v>1166200</v>
      </c>
      <c r="H473" s="249">
        <v>1206200.6599999999</v>
      </c>
      <c r="I473" s="249">
        <v>0</v>
      </c>
      <c r="J473" s="249">
        <v>749796.25777777785</v>
      </c>
      <c r="K473" s="249">
        <v>0</v>
      </c>
      <c r="L473" s="274">
        <f>AVERAGE(F473,H473,J473)</f>
        <v>1042683.9059259259</v>
      </c>
      <c r="M473" s="274">
        <f>G473*E1</f>
        <v>1201186</v>
      </c>
      <c r="N473" s="255">
        <v>850000</v>
      </c>
      <c r="O473" s="135">
        <f>+N473*0.19</f>
        <v>161500</v>
      </c>
      <c r="P473" s="135">
        <f>+N473+O473</f>
        <v>1011500</v>
      </c>
      <c r="Q473" s="131"/>
      <c r="R473" s="131"/>
      <c r="S473" s="11"/>
      <c r="T473" s="274"/>
      <c r="U473" s="274"/>
      <c r="V473" s="274"/>
      <c r="W473" s="39"/>
      <c r="X473" s="11"/>
      <c r="Y473" s="11"/>
      <c r="Z473" s="274"/>
      <c r="AA473" s="274"/>
      <c r="AB473" s="274"/>
      <c r="AC473" s="52"/>
      <c r="AD473" s="22"/>
      <c r="AE473" s="39"/>
      <c r="AF473" s="274"/>
      <c r="AG473" s="274"/>
      <c r="AH473" s="171"/>
      <c r="AI473" s="4"/>
      <c r="AJ473" s="39"/>
      <c r="AK473" s="39"/>
      <c r="AL473" s="118"/>
      <c r="AM473" s="152"/>
      <c r="AN473" s="181"/>
      <c r="AO473" s="131"/>
      <c r="AP473" s="131"/>
      <c r="AQ473" s="39"/>
      <c r="AR473" s="274"/>
      <c r="AS473" s="274"/>
      <c r="AT473" s="274"/>
      <c r="AU473" s="39"/>
      <c r="AV473" s="39"/>
      <c r="AW473" s="39"/>
      <c r="AX473" s="274"/>
      <c r="AY473" s="274"/>
      <c r="AZ473" s="274"/>
      <c r="BA473" s="39"/>
      <c r="BB473" s="62"/>
      <c r="BC473" s="39"/>
      <c r="BD473" s="274"/>
      <c r="BE473" s="274"/>
      <c r="BF473" s="274"/>
      <c r="BG473" s="39"/>
      <c r="BH473" s="39"/>
      <c r="BI473" s="39"/>
      <c r="BJ473" s="275">
        <v>1507600</v>
      </c>
      <c r="BK473" s="274">
        <f>+BJ473*0.19</f>
        <v>286444</v>
      </c>
      <c r="BL473" s="274">
        <f>+BJ473+BK473</f>
        <v>1794044</v>
      </c>
      <c r="BM473" s="213" t="s">
        <v>4906</v>
      </c>
      <c r="BN473" s="213" t="s">
        <v>3759</v>
      </c>
      <c r="BO473" s="39"/>
      <c r="BP473" s="274"/>
      <c r="BQ473" s="274"/>
      <c r="BR473" s="274"/>
      <c r="BS473" s="39"/>
      <c r="BT473" s="39"/>
      <c r="BU473" s="39"/>
      <c r="BV473" s="224"/>
      <c r="BW473" s="219"/>
      <c r="BX473" s="273"/>
      <c r="BY473" s="213"/>
      <c r="BZ473" s="213"/>
      <c r="CA473" s="213"/>
      <c r="CB473" s="274"/>
      <c r="CC473" s="274"/>
      <c r="CD473" s="274"/>
      <c r="CE473" s="39"/>
      <c r="CF473" s="39"/>
      <c r="CG473" s="39"/>
      <c r="CH473" s="274"/>
      <c r="CI473" s="274"/>
      <c r="CJ473" s="274"/>
      <c r="CK473" s="39"/>
      <c r="CL473" s="39"/>
      <c r="CM473" s="39"/>
      <c r="CN473" s="39"/>
      <c r="CO473" s="39"/>
      <c r="CP473" s="11"/>
      <c r="CQ473" s="11"/>
      <c r="CR473" s="11"/>
      <c r="CS473" s="11"/>
      <c r="CT473" s="11"/>
      <c r="CU473" s="11"/>
      <c r="CV473" s="11"/>
      <c r="CW473" s="11"/>
      <c r="CX473" s="11"/>
      <c r="CY473" s="11"/>
      <c r="CZ473" s="11"/>
      <c r="DA473" s="11"/>
      <c r="DB473" s="11"/>
      <c r="DC473" s="11"/>
      <c r="DD473" s="11"/>
      <c r="DE473" s="11"/>
      <c r="DF473" s="11"/>
      <c r="DG473" s="11"/>
      <c r="DH473" s="11"/>
      <c r="DI473" s="11"/>
      <c r="DJ473" s="11"/>
      <c r="DK473" s="11"/>
      <c r="DL473" s="274"/>
      <c r="DM473" s="274"/>
      <c r="DN473" s="274"/>
      <c r="DO473" s="274"/>
      <c r="DP473" s="274"/>
      <c r="DQ473" s="274"/>
      <c r="DR473" s="274"/>
      <c r="DS473" s="274"/>
      <c r="DT473" s="274"/>
      <c r="DU473" s="274"/>
      <c r="DV473" s="274"/>
      <c r="DW473" s="274"/>
      <c r="DX473" s="274"/>
      <c r="DY473" s="274"/>
      <c r="DZ473" s="274"/>
      <c r="EA473" s="274"/>
      <c r="EB473" s="274"/>
      <c r="EC473" s="274"/>
      <c r="ED473" s="39">
        <f t="shared" si="145"/>
        <v>4006730</v>
      </c>
      <c r="EE473" s="30">
        <f t="shared" si="146"/>
        <v>3</v>
      </c>
      <c r="EF473" s="39">
        <f t="shared" si="147"/>
        <v>1335576.6666666667</v>
      </c>
    </row>
    <row r="474" spans="1:136" ht="24" x14ac:dyDescent="0.25">
      <c r="A474" s="25" t="e">
        <f>#REF!</f>
        <v>#REF!</v>
      </c>
      <c r="B474" s="50" t="e">
        <f>#REF!</f>
        <v>#REF!</v>
      </c>
      <c r="C474" s="5" t="e">
        <f>#REF!</f>
        <v>#REF!</v>
      </c>
      <c r="D474" s="5" t="e">
        <f>#REF!</f>
        <v>#REF!</v>
      </c>
      <c r="E474" s="252">
        <v>1</v>
      </c>
      <c r="F474" s="249">
        <v>95489.17</v>
      </c>
      <c r="G474" s="249">
        <v>94010</v>
      </c>
      <c r="H474" s="249">
        <v>85085</v>
      </c>
      <c r="I474" s="249">
        <v>84966</v>
      </c>
      <c r="J474" s="249">
        <v>155209.05555555556</v>
      </c>
      <c r="K474" s="249">
        <v>0</v>
      </c>
      <c r="L474" s="274">
        <f>AVERAGE(F474,H474,J474)</f>
        <v>111927.74185185185</v>
      </c>
      <c r="M474" s="274">
        <f>AVERAGE(G474,I474)*E1</f>
        <v>92172.64</v>
      </c>
      <c r="N474" s="255">
        <v>70000</v>
      </c>
      <c r="O474" s="135">
        <f>+N474*0.19</f>
        <v>13300</v>
      </c>
      <c r="P474" s="135">
        <f>+N474+O474</f>
        <v>83300</v>
      </c>
      <c r="Q474" s="131"/>
      <c r="R474" s="131"/>
      <c r="S474" s="11"/>
      <c r="T474" s="274"/>
      <c r="U474" s="274"/>
      <c r="V474" s="274"/>
      <c r="W474" s="39"/>
      <c r="X474" s="11"/>
      <c r="Y474" s="11"/>
      <c r="Z474" s="274"/>
      <c r="AA474" s="274"/>
      <c r="AB474" s="274"/>
      <c r="AC474" s="52"/>
      <c r="AD474" s="22"/>
      <c r="AE474" s="39"/>
      <c r="AF474" s="274"/>
      <c r="AG474" s="274"/>
      <c r="AH474" s="171"/>
      <c r="AI474" s="4"/>
      <c r="AJ474" s="39"/>
      <c r="AK474" s="39"/>
      <c r="AL474" s="228">
        <v>2470350</v>
      </c>
      <c r="AM474" s="152">
        <f>+AL474*0.19</f>
        <v>469366.5</v>
      </c>
      <c r="AN474" s="152">
        <f>+AL474+AM474</f>
        <v>2939716.5</v>
      </c>
      <c r="AO474" s="131" t="s">
        <v>179</v>
      </c>
      <c r="AP474" s="131" t="s">
        <v>2030</v>
      </c>
      <c r="AQ474" s="39"/>
      <c r="AR474" s="274"/>
      <c r="AS474" s="274"/>
      <c r="AT474" s="274"/>
      <c r="AU474" s="39"/>
      <c r="AV474" s="39"/>
      <c r="AW474" s="39"/>
      <c r="AX474" s="274"/>
      <c r="AY474" s="274"/>
      <c r="AZ474" s="274"/>
      <c r="BA474" s="39"/>
      <c r="BB474" s="62"/>
      <c r="BC474" s="39"/>
      <c r="BD474" s="274"/>
      <c r="BE474" s="274"/>
      <c r="BF474" s="274"/>
      <c r="BG474" s="39"/>
      <c r="BH474" s="39"/>
      <c r="BI474" s="39"/>
      <c r="BJ474" s="274">
        <v>81500</v>
      </c>
      <c r="BK474" s="274">
        <f>+BJ474*0.19</f>
        <v>15485</v>
      </c>
      <c r="BL474" s="274">
        <f>+BJ474+BK474</f>
        <v>96985</v>
      </c>
      <c r="BM474" s="213" t="s">
        <v>4907</v>
      </c>
      <c r="BN474" s="213" t="s">
        <v>4908</v>
      </c>
      <c r="BO474" s="39"/>
      <c r="BP474" s="274">
        <v>125000</v>
      </c>
      <c r="BQ474" s="274">
        <f>+BP474*19%</f>
        <v>23750</v>
      </c>
      <c r="BR474" s="274">
        <f>+BQ474+BP474</f>
        <v>148750</v>
      </c>
      <c r="BS474" s="39"/>
      <c r="BT474" s="39"/>
      <c r="BU474" s="39"/>
      <c r="BV474" s="219">
        <v>88998.978000000003</v>
      </c>
      <c r="BW474" s="219">
        <f>+BV474*0.19</f>
        <v>16909.805820000001</v>
      </c>
      <c r="BX474" s="273">
        <f>+BV474+BW474</f>
        <v>105908.78382000001</v>
      </c>
      <c r="BY474" s="213" t="s">
        <v>4907</v>
      </c>
      <c r="BZ474" s="213" t="s">
        <v>4908</v>
      </c>
      <c r="CA474" s="213"/>
      <c r="CB474" s="274"/>
      <c r="CC474" s="274"/>
      <c r="CD474" s="274"/>
      <c r="CE474" s="39"/>
      <c r="CF474" s="39"/>
      <c r="CG474" s="39"/>
      <c r="CH474" s="274"/>
      <c r="CI474" s="274"/>
      <c r="CJ474" s="274"/>
      <c r="CK474" s="39"/>
      <c r="CL474" s="39"/>
      <c r="CM474" s="39"/>
      <c r="CN474" s="39"/>
      <c r="CO474" s="39"/>
      <c r="CP474" s="11"/>
      <c r="CQ474" s="11"/>
      <c r="CR474" s="11"/>
      <c r="CS474" s="11"/>
      <c r="CT474" s="11"/>
      <c r="CU474" s="11"/>
      <c r="CV474" s="11"/>
      <c r="CW474" s="11"/>
      <c r="CX474" s="11"/>
      <c r="CY474" s="11"/>
      <c r="CZ474" s="11"/>
      <c r="DA474" s="11"/>
      <c r="DB474" s="11"/>
      <c r="DC474" s="11"/>
      <c r="DD474" s="11"/>
      <c r="DE474" s="11"/>
      <c r="DF474" s="11"/>
      <c r="DG474" s="11"/>
      <c r="DH474" s="11"/>
      <c r="DI474" s="11"/>
      <c r="DJ474" s="11"/>
      <c r="DK474" s="11"/>
      <c r="DL474" s="274"/>
      <c r="DM474" s="274"/>
      <c r="DN474" s="274"/>
      <c r="DO474" s="274"/>
      <c r="DP474" s="274"/>
      <c r="DQ474" s="274"/>
      <c r="DR474" s="274"/>
      <c r="DS474" s="274"/>
      <c r="DT474" s="274"/>
      <c r="DU474" s="274"/>
      <c r="DV474" s="274"/>
      <c r="DW474" s="274"/>
      <c r="DX474" s="274"/>
      <c r="DY474" s="274"/>
      <c r="DZ474" s="274"/>
      <c r="EA474" s="274"/>
      <c r="EB474" s="274"/>
      <c r="EC474" s="274"/>
      <c r="ED474" s="39">
        <f t="shared" si="145"/>
        <v>3466832.9238200001</v>
      </c>
      <c r="EE474" s="30">
        <f t="shared" si="146"/>
        <v>6</v>
      </c>
      <c r="EF474" s="39">
        <f t="shared" si="147"/>
        <v>577805.48730333336</v>
      </c>
    </row>
    <row r="475" spans="1:136" x14ac:dyDescent="0.25">
      <c r="A475" s="25" t="e">
        <f>#REF!</f>
        <v>#REF!</v>
      </c>
      <c r="B475" s="50" t="e">
        <f>#REF!</f>
        <v>#REF!</v>
      </c>
      <c r="C475" s="5" t="e">
        <f>#REF!</f>
        <v>#REF!</v>
      </c>
      <c r="D475" s="5" t="e">
        <f>#REF!</f>
        <v>#REF!</v>
      </c>
      <c r="E475" s="252">
        <v>1</v>
      </c>
      <c r="F475" s="249">
        <v>0</v>
      </c>
      <c r="G475" s="249">
        <v>0</v>
      </c>
      <c r="H475" s="249">
        <v>0</v>
      </c>
      <c r="I475" s="249">
        <v>0</v>
      </c>
      <c r="J475" s="249">
        <v>0</v>
      </c>
      <c r="K475" s="249">
        <v>0</v>
      </c>
      <c r="L475" s="274"/>
      <c r="M475" s="274"/>
      <c r="N475" s="255"/>
      <c r="O475" s="135"/>
      <c r="P475" s="135"/>
      <c r="Q475" s="131"/>
      <c r="R475" s="131"/>
      <c r="S475" s="11"/>
      <c r="T475" s="274"/>
      <c r="U475" s="274"/>
      <c r="V475" s="274"/>
      <c r="W475" s="39"/>
      <c r="X475" s="11"/>
      <c r="Y475" s="11"/>
      <c r="Z475" s="274"/>
      <c r="AA475" s="274"/>
      <c r="AB475" s="274"/>
      <c r="AC475" s="52"/>
      <c r="AD475" s="22"/>
      <c r="AE475" s="39"/>
      <c r="AF475" s="274"/>
      <c r="AG475" s="274"/>
      <c r="AH475" s="171"/>
      <c r="AI475" s="22"/>
      <c r="AJ475" s="39"/>
      <c r="AK475" s="39"/>
      <c r="AL475" s="228">
        <v>883650</v>
      </c>
      <c r="AM475" s="152">
        <f>+AL475*0.19</f>
        <v>167893.5</v>
      </c>
      <c r="AN475" s="152">
        <f>+AL475+AM475</f>
        <v>1051543.5</v>
      </c>
      <c r="AO475" s="131" t="s">
        <v>4909</v>
      </c>
      <c r="AP475" s="131" t="s">
        <v>2030</v>
      </c>
      <c r="AQ475" s="39"/>
      <c r="AR475" s="274"/>
      <c r="AS475" s="274"/>
      <c r="AT475" s="274"/>
      <c r="AU475" s="39"/>
      <c r="AV475" s="39"/>
      <c r="AW475" s="39"/>
      <c r="AX475" s="274"/>
      <c r="AY475" s="274"/>
      <c r="AZ475" s="274"/>
      <c r="BA475" s="39"/>
      <c r="BB475" s="62"/>
      <c r="BC475" s="39"/>
      <c r="BD475" s="274"/>
      <c r="BE475" s="274"/>
      <c r="BF475" s="274"/>
      <c r="BG475" s="39"/>
      <c r="BH475" s="39"/>
      <c r="BI475" s="39"/>
      <c r="BJ475" s="274"/>
      <c r="BK475" s="274"/>
      <c r="BL475" s="274"/>
      <c r="BM475" s="213"/>
      <c r="BN475" s="213"/>
      <c r="BO475" s="39"/>
      <c r="BP475" s="274"/>
      <c r="BQ475" s="274"/>
      <c r="BR475" s="274"/>
      <c r="BS475" s="39"/>
      <c r="BT475" s="39"/>
      <c r="BU475" s="39"/>
      <c r="BV475" s="212"/>
      <c r="BW475" s="220"/>
      <c r="BX475" s="273"/>
      <c r="BY475" s="213"/>
      <c r="BZ475" s="213"/>
      <c r="CA475" s="213"/>
      <c r="CB475" s="274"/>
      <c r="CC475" s="274"/>
      <c r="CD475" s="274"/>
      <c r="CE475" s="39"/>
      <c r="CF475" s="39"/>
      <c r="CG475" s="39"/>
      <c r="CH475" s="274"/>
      <c r="CI475" s="274"/>
      <c r="CJ475" s="274"/>
      <c r="CK475" s="39"/>
      <c r="CL475" s="39"/>
      <c r="CM475" s="39"/>
      <c r="CN475" s="39"/>
      <c r="CO475" s="39"/>
      <c r="CP475" s="11"/>
      <c r="CQ475" s="11"/>
      <c r="CR475" s="11"/>
      <c r="CS475" s="11"/>
      <c r="CT475" s="11"/>
      <c r="CU475" s="11"/>
      <c r="CV475" s="11"/>
      <c r="CW475" s="11"/>
      <c r="CX475" s="11"/>
      <c r="CY475" s="11"/>
      <c r="CZ475" s="11"/>
      <c r="DA475" s="11"/>
      <c r="DB475" s="11"/>
      <c r="DC475" s="11"/>
      <c r="DD475" s="11"/>
      <c r="DE475" s="11"/>
      <c r="DF475" s="11"/>
      <c r="DG475" s="11"/>
      <c r="DH475" s="11"/>
      <c r="DI475" s="11"/>
      <c r="DJ475" s="11"/>
      <c r="DK475" s="11"/>
      <c r="DL475" s="274"/>
      <c r="DM475" s="274"/>
      <c r="DN475" s="274"/>
      <c r="DO475" s="274"/>
      <c r="DP475" s="274"/>
      <c r="DQ475" s="274"/>
      <c r="DR475" s="274"/>
      <c r="DS475" s="274"/>
      <c r="DT475" s="274"/>
      <c r="DU475" s="274"/>
      <c r="DV475" s="274"/>
      <c r="DW475" s="274"/>
      <c r="DX475" s="274"/>
      <c r="DY475" s="274"/>
      <c r="DZ475" s="274"/>
      <c r="EA475" s="274"/>
      <c r="EB475" s="274"/>
      <c r="EC475" s="274"/>
      <c r="ED475" s="39">
        <f t="shared" si="145"/>
        <v>1051543.5</v>
      </c>
      <c r="EE475" s="30">
        <f t="shared" si="146"/>
        <v>1</v>
      </c>
      <c r="EF475" s="39">
        <f t="shared" si="147"/>
        <v>1051543.5</v>
      </c>
    </row>
    <row r="476" spans="1:136" x14ac:dyDescent="0.25">
      <c r="A476" s="25" t="e">
        <f>#REF!</f>
        <v>#REF!</v>
      </c>
      <c r="B476" s="50" t="e">
        <f>#REF!</f>
        <v>#REF!</v>
      </c>
      <c r="C476" s="5" t="e">
        <f>#REF!</f>
        <v>#REF!</v>
      </c>
      <c r="D476" s="5" t="e">
        <f>#REF!</f>
        <v>#REF!</v>
      </c>
      <c r="E476" s="252">
        <v>1</v>
      </c>
      <c r="F476" s="249">
        <v>23926.14</v>
      </c>
      <c r="G476" s="249">
        <v>23562</v>
      </c>
      <c r="H476" s="249">
        <v>53502.058866666666</v>
      </c>
      <c r="I476" s="249">
        <v>53431</v>
      </c>
      <c r="J476" s="249">
        <v>41632.811111111114</v>
      </c>
      <c r="K476" s="249">
        <v>23800</v>
      </c>
      <c r="L476" s="274">
        <f t="shared" ref="L476:L482" si="150">AVERAGE(F476,H476,J476)</f>
        <v>39687.003325925929</v>
      </c>
      <c r="M476" s="274">
        <f>AVERAGE(G476,I476,K476)*E1</f>
        <v>34605.596666666665</v>
      </c>
      <c r="N476" s="255">
        <v>17500</v>
      </c>
      <c r="O476" s="135">
        <f t="shared" ref="O476:O483" si="151">+N476*0.19</f>
        <v>3325</v>
      </c>
      <c r="P476" s="135">
        <f t="shared" ref="P476:P483" si="152">+N476+O476</f>
        <v>20825</v>
      </c>
      <c r="Q476" s="131"/>
      <c r="R476" s="131"/>
      <c r="S476" s="11"/>
      <c r="T476" s="274"/>
      <c r="U476" s="274"/>
      <c r="V476" s="274"/>
      <c r="W476" s="39"/>
      <c r="X476" s="11"/>
      <c r="Y476" s="11"/>
      <c r="Z476" s="274"/>
      <c r="AA476" s="274"/>
      <c r="AB476" s="274"/>
      <c r="AC476" s="52"/>
      <c r="AD476" s="22"/>
      <c r="AE476" s="39"/>
      <c r="AF476" s="274"/>
      <c r="AG476" s="274"/>
      <c r="AH476" s="171"/>
      <c r="AI476" s="4"/>
      <c r="AJ476" s="39"/>
      <c r="AK476" s="39"/>
      <c r="AL476" s="228">
        <f>664350/25</f>
        <v>26574</v>
      </c>
      <c r="AM476" s="152">
        <f>+AL476*0.19</f>
        <v>5049.0600000000004</v>
      </c>
      <c r="AN476" s="152">
        <f>+AL476+AM476</f>
        <v>31623.06</v>
      </c>
      <c r="AO476" s="131" t="s">
        <v>4909</v>
      </c>
      <c r="AP476" s="131" t="s">
        <v>2030</v>
      </c>
      <c r="AQ476" s="39"/>
      <c r="AR476" s="274"/>
      <c r="AS476" s="274"/>
      <c r="AT476" s="274"/>
      <c r="AU476" s="39"/>
      <c r="AV476" s="39"/>
      <c r="AW476" s="39"/>
      <c r="AX476" s="274"/>
      <c r="AY476" s="274"/>
      <c r="AZ476" s="274"/>
      <c r="BA476" s="39"/>
      <c r="BB476" s="62"/>
      <c r="BC476" s="39"/>
      <c r="BD476" s="274"/>
      <c r="BE476" s="274"/>
      <c r="BF476" s="274"/>
      <c r="BG476" s="39"/>
      <c r="BH476" s="39"/>
      <c r="BI476" s="39"/>
      <c r="BJ476" s="274">
        <v>38800</v>
      </c>
      <c r="BK476" s="274">
        <f t="shared" ref="BK476:BK484" si="153">+BJ476*0.19</f>
        <v>7372</v>
      </c>
      <c r="BL476" s="274">
        <f t="shared" ref="BL476:BL484" si="154">+BJ476+BK476</f>
        <v>46172</v>
      </c>
      <c r="BM476" s="213" t="s">
        <v>4906</v>
      </c>
      <c r="BN476" s="213" t="s">
        <v>164</v>
      </c>
      <c r="BO476" s="39"/>
      <c r="BP476" s="274">
        <v>28500</v>
      </c>
      <c r="BQ476" s="274">
        <f t="shared" ref="BQ476:BQ483" si="155">+BP476*19%</f>
        <v>5415</v>
      </c>
      <c r="BR476" s="274">
        <f t="shared" ref="BR476:BR483" si="156">+BQ476+BP476</f>
        <v>33915</v>
      </c>
      <c r="BS476" s="39"/>
      <c r="BT476" s="39"/>
      <c r="BU476" s="39"/>
      <c r="BV476" s="219">
        <v>43189.094799999999</v>
      </c>
      <c r="BW476" s="219">
        <f t="shared" ref="BW476:BW483" si="157">+BV476*0.19</f>
        <v>8205.9280120000003</v>
      </c>
      <c r="BX476" s="273">
        <f t="shared" ref="BX476:BX483" si="158">+BV476+BW476</f>
        <v>51395.022811999996</v>
      </c>
      <c r="BY476" s="213" t="s">
        <v>4906</v>
      </c>
      <c r="BZ476" s="213" t="s">
        <v>164</v>
      </c>
      <c r="CA476" s="213"/>
      <c r="CB476" s="274"/>
      <c r="CC476" s="274"/>
      <c r="CD476" s="274"/>
      <c r="CE476" s="39"/>
      <c r="CF476" s="39"/>
      <c r="CG476" s="39"/>
      <c r="CH476" s="274"/>
      <c r="CI476" s="274"/>
      <c r="CJ476" s="274"/>
      <c r="CK476" s="39"/>
      <c r="CL476" s="39"/>
      <c r="CM476" s="39"/>
      <c r="CN476" s="39"/>
      <c r="CO476" s="39"/>
      <c r="CP476" s="11"/>
      <c r="CQ476" s="11"/>
      <c r="CR476" s="11"/>
      <c r="CS476" s="11"/>
      <c r="CT476" s="11"/>
      <c r="CU476" s="11"/>
      <c r="CV476" s="11"/>
      <c r="CW476" s="11"/>
      <c r="CX476" s="11"/>
      <c r="CY476" s="11"/>
      <c r="CZ476" s="11"/>
      <c r="DA476" s="11"/>
      <c r="DB476" s="11"/>
      <c r="DC476" s="11"/>
      <c r="DD476" s="11"/>
      <c r="DE476" s="11"/>
      <c r="DF476" s="11"/>
      <c r="DG476" s="11"/>
      <c r="DH476" s="11"/>
      <c r="DI476" s="11"/>
      <c r="DJ476" s="11"/>
      <c r="DK476" s="11"/>
      <c r="DL476" s="274"/>
      <c r="DM476" s="274"/>
      <c r="DN476" s="274"/>
      <c r="DO476" s="274"/>
      <c r="DP476" s="274"/>
      <c r="DQ476" s="274"/>
      <c r="DR476" s="274"/>
      <c r="DS476" s="274"/>
      <c r="DT476" s="274"/>
      <c r="DU476" s="274"/>
      <c r="DV476" s="274"/>
      <c r="DW476" s="274"/>
      <c r="DX476" s="274"/>
      <c r="DY476" s="274"/>
      <c r="DZ476" s="274"/>
      <c r="EA476" s="274"/>
      <c r="EB476" s="274"/>
      <c r="EC476" s="274"/>
      <c r="ED476" s="39">
        <f t="shared" si="145"/>
        <v>218535.67947866669</v>
      </c>
      <c r="EE476" s="30">
        <f t="shared" si="146"/>
        <v>6</v>
      </c>
      <c r="EF476" s="39">
        <f t="shared" si="147"/>
        <v>36422.613246444445</v>
      </c>
    </row>
    <row r="477" spans="1:136" x14ac:dyDescent="0.25">
      <c r="A477" s="25" t="e">
        <f>#REF!</f>
        <v>#REF!</v>
      </c>
      <c r="B477" s="50" t="e">
        <f>#REF!</f>
        <v>#REF!</v>
      </c>
      <c r="C477" s="5" t="e">
        <f>#REF!</f>
        <v>#REF!</v>
      </c>
      <c r="D477" s="5" t="e">
        <f>#REF!</f>
        <v>#REF!</v>
      </c>
      <c r="E477" s="252">
        <v>1</v>
      </c>
      <c r="F477" s="249">
        <v>137960.66666666666</v>
      </c>
      <c r="G477" s="249">
        <v>133042</v>
      </c>
      <c r="H477" s="249">
        <v>146344.11353333332</v>
      </c>
      <c r="I477" s="249">
        <v>0</v>
      </c>
      <c r="J477" s="249">
        <v>192118.88888888891</v>
      </c>
      <c r="K477" s="249">
        <v>178500</v>
      </c>
      <c r="L477" s="274">
        <f t="shared" si="150"/>
        <v>158807.8896962963</v>
      </c>
      <c r="M477" s="274">
        <f>AVERAGE(G477,K477)*E1</f>
        <v>160444.13</v>
      </c>
      <c r="N477" s="255">
        <v>125000</v>
      </c>
      <c r="O477" s="135">
        <f t="shared" si="151"/>
        <v>23750</v>
      </c>
      <c r="P477" s="135">
        <f t="shared" si="152"/>
        <v>148750</v>
      </c>
      <c r="Q477" s="131"/>
      <c r="R477" s="131"/>
      <c r="S477" s="11"/>
      <c r="T477" s="274"/>
      <c r="U477" s="274"/>
      <c r="V477" s="274"/>
      <c r="W477" s="39"/>
      <c r="X477" s="11"/>
      <c r="Y477" s="11"/>
      <c r="Z477" s="274"/>
      <c r="AA477" s="274"/>
      <c r="AB477" s="274"/>
      <c r="AC477" s="52"/>
      <c r="AD477" s="22"/>
      <c r="AE477" s="39"/>
      <c r="AF477" s="274"/>
      <c r="AG477" s="274"/>
      <c r="AH477" s="171"/>
      <c r="AI477" s="4"/>
      <c r="AJ477" s="39"/>
      <c r="AK477" s="39"/>
      <c r="AL477" s="118"/>
      <c r="AM477" s="152"/>
      <c r="AN477" s="181"/>
      <c r="AO477" s="131"/>
      <c r="AP477" s="131"/>
      <c r="AQ477" s="39"/>
      <c r="AR477" s="274"/>
      <c r="AS477" s="274"/>
      <c r="AT477" s="274"/>
      <c r="AU477" s="39"/>
      <c r="AV477" s="39"/>
      <c r="AW477" s="39"/>
      <c r="AX477" s="274"/>
      <c r="AY477" s="274"/>
      <c r="AZ477" s="274"/>
      <c r="BA477" s="39"/>
      <c r="BB477" s="62"/>
      <c r="BC477" s="39"/>
      <c r="BD477" s="274"/>
      <c r="BE477" s="274"/>
      <c r="BF477" s="274"/>
      <c r="BG477" s="39"/>
      <c r="BH477" s="39"/>
      <c r="BI477" s="39"/>
      <c r="BJ477" s="274">
        <v>254400</v>
      </c>
      <c r="BK477" s="274">
        <f t="shared" si="153"/>
        <v>48336</v>
      </c>
      <c r="BL477" s="274">
        <f t="shared" si="154"/>
        <v>302736</v>
      </c>
      <c r="BM477" s="213" t="s">
        <v>4906</v>
      </c>
      <c r="BN477" s="213" t="s">
        <v>4910</v>
      </c>
      <c r="BO477" s="39"/>
      <c r="BP477" s="274">
        <v>135000</v>
      </c>
      <c r="BQ477" s="274">
        <f t="shared" si="155"/>
        <v>25650</v>
      </c>
      <c r="BR477" s="274">
        <f t="shared" si="156"/>
        <v>160650</v>
      </c>
      <c r="BS477" s="39"/>
      <c r="BT477" s="39"/>
      <c r="BU477" s="39"/>
      <c r="BV477" s="219">
        <v>294420.1728</v>
      </c>
      <c r="BW477" s="219">
        <f t="shared" si="157"/>
        <v>55939.832832</v>
      </c>
      <c r="BX477" s="273">
        <f t="shared" si="158"/>
        <v>350360.00563199999</v>
      </c>
      <c r="BY477" s="213" t="s">
        <v>4906</v>
      </c>
      <c r="BZ477" s="213" t="s">
        <v>4910</v>
      </c>
      <c r="CA477" s="213"/>
      <c r="CB477" s="274"/>
      <c r="CC477" s="274"/>
      <c r="CD477" s="274"/>
      <c r="CE477" s="39"/>
      <c r="CF477" s="39"/>
      <c r="CG477" s="39"/>
      <c r="CH477" s="274"/>
      <c r="CI477" s="274"/>
      <c r="CJ477" s="274"/>
      <c r="CK477" s="39"/>
      <c r="CL477" s="39"/>
      <c r="CM477" s="39"/>
      <c r="CN477" s="39"/>
      <c r="CO477" s="39"/>
      <c r="CP477" s="11"/>
      <c r="CQ477" s="11"/>
      <c r="CR477" s="11"/>
      <c r="CS477" s="11"/>
      <c r="CT477" s="11"/>
      <c r="CU477" s="11"/>
      <c r="CV477" s="11"/>
      <c r="CW477" s="11"/>
      <c r="CX477" s="11"/>
      <c r="CY477" s="11"/>
      <c r="CZ477" s="11"/>
      <c r="DA477" s="11"/>
      <c r="DB477" s="11"/>
      <c r="DC477" s="11"/>
      <c r="DD477" s="11"/>
      <c r="DE477" s="11"/>
      <c r="DF477" s="11"/>
      <c r="DG477" s="11"/>
      <c r="DH477" s="11"/>
      <c r="DI477" s="11"/>
      <c r="DJ477" s="11"/>
      <c r="DK477" s="11"/>
      <c r="DL477" s="274"/>
      <c r="DM477" s="274"/>
      <c r="DN477" s="274"/>
      <c r="DO477" s="274"/>
      <c r="DP477" s="274"/>
      <c r="DQ477" s="274"/>
      <c r="DR477" s="274"/>
      <c r="DS477" s="274"/>
      <c r="DT477" s="274"/>
      <c r="DU477" s="274"/>
      <c r="DV477" s="274"/>
      <c r="DW477" s="274"/>
      <c r="DX477" s="274"/>
      <c r="DY477" s="274"/>
      <c r="DZ477" s="274"/>
      <c r="EA477" s="274"/>
      <c r="EB477" s="274"/>
      <c r="EC477" s="274"/>
      <c r="ED477" s="39">
        <f t="shared" si="145"/>
        <v>1122940.1356319999</v>
      </c>
      <c r="EE477" s="30">
        <f t="shared" si="146"/>
        <v>5</v>
      </c>
      <c r="EF477" s="39">
        <f t="shared" si="147"/>
        <v>224588.02712639997</v>
      </c>
    </row>
    <row r="478" spans="1:136" ht="36" x14ac:dyDescent="0.25">
      <c r="A478" s="25" t="e">
        <f>#REF!</f>
        <v>#REF!</v>
      </c>
      <c r="B478" s="50" t="e">
        <f>#REF!</f>
        <v>#REF!</v>
      </c>
      <c r="C478" s="5" t="e">
        <f>#REF!</f>
        <v>#REF!</v>
      </c>
      <c r="D478" s="5" t="e">
        <f>#REF!</f>
        <v>#REF!</v>
      </c>
      <c r="E478" s="252">
        <v>1</v>
      </c>
      <c r="F478" s="249">
        <v>106357.7375</v>
      </c>
      <c r="G478" s="249">
        <v>106267</v>
      </c>
      <c r="H478" s="249">
        <v>99234.989524999997</v>
      </c>
      <c r="I478" s="249">
        <v>0</v>
      </c>
      <c r="J478" s="249">
        <v>125802.83333333333</v>
      </c>
      <c r="K478" s="249">
        <v>124950</v>
      </c>
      <c r="L478" s="274">
        <f t="shared" si="150"/>
        <v>110465.18678611111</v>
      </c>
      <c r="M478" s="274">
        <f>AVERAGE(G478,K478)*E1</f>
        <v>119076.755</v>
      </c>
      <c r="N478" s="255">
        <v>120000</v>
      </c>
      <c r="O478" s="135">
        <f t="shared" si="151"/>
        <v>22800</v>
      </c>
      <c r="P478" s="135">
        <f t="shared" si="152"/>
        <v>142800</v>
      </c>
      <c r="Q478" s="131"/>
      <c r="R478" s="131"/>
      <c r="S478" s="11"/>
      <c r="T478" s="274"/>
      <c r="U478" s="274"/>
      <c r="V478" s="274"/>
      <c r="W478" s="39"/>
      <c r="X478" s="11"/>
      <c r="Y478" s="11"/>
      <c r="Z478" s="274"/>
      <c r="AA478" s="274"/>
      <c r="AB478" s="274"/>
      <c r="AC478" s="52"/>
      <c r="AD478" s="22"/>
      <c r="AE478" s="39"/>
      <c r="AF478" s="274"/>
      <c r="AG478" s="274"/>
      <c r="AH478" s="171"/>
      <c r="AI478" s="4"/>
      <c r="AJ478" s="39"/>
      <c r="AK478" s="39"/>
      <c r="AL478" s="228">
        <v>2470350</v>
      </c>
      <c r="AM478" s="152">
        <f>+AL478*0.19</f>
        <v>469366.5</v>
      </c>
      <c r="AN478" s="152">
        <f>+AL478+AM478</f>
        <v>2939716.5</v>
      </c>
      <c r="AO478" s="131" t="s">
        <v>179</v>
      </c>
      <c r="AP478" s="131" t="s">
        <v>2030</v>
      </c>
      <c r="AQ478" s="39"/>
      <c r="AR478" s="274"/>
      <c r="AS478" s="274"/>
      <c r="AT478" s="274"/>
      <c r="AU478" s="39"/>
      <c r="AV478" s="39"/>
      <c r="AW478" s="39"/>
      <c r="AX478" s="274"/>
      <c r="AY478" s="274"/>
      <c r="AZ478" s="274"/>
      <c r="BA478" s="39"/>
      <c r="BB478" s="62"/>
      <c r="BC478" s="39"/>
      <c r="BD478" s="274"/>
      <c r="BE478" s="274"/>
      <c r="BF478" s="274"/>
      <c r="BG478" s="39"/>
      <c r="BH478" s="39"/>
      <c r="BI478" s="39"/>
      <c r="BJ478" s="274">
        <v>252900</v>
      </c>
      <c r="BK478" s="274">
        <f t="shared" si="153"/>
        <v>48051</v>
      </c>
      <c r="BL478" s="274">
        <f t="shared" si="154"/>
        <v>300951</v>
      </c>
      <c r="BM478" s="214" t="s">
        <v>4014</v>
      </c>
      <c r="BN478" s="213" t="s">
        <v>338</v>
      </c>
      <c r="BO478" s="39"/>
      <c r="BP478" s="274">
        <f>6800*12</f>
        <v>81600</v>
      </c>
      <c r="BQ478" s="274">
        <f t="shared" si="155"/>
        <v>15504</v>
      </c>
      <c r="BR478" s="274">
        <f t="shared" si="156"/>
        <v>97104</v>
      </c>
      <c r="BS478" s="39"/>
      <c r="BT478" s="39"/>
      <c r="BU478" s="39"/>
      <c r="BV478" s="219">
        <v>273615.54479999997</v>
      </c>
      <c r="BW478" s="219">
        <f t="shared" si="157"/>
        <v>51986.953511999993</v>
      </c>
      <c r="BX478" s="273">
        <f t="shared" si="158"/>
        <v>325602.49831199995</v>
      </c>
      <c r="BY478" s="214" t="s">
        <v>4014</v>
      </c>
      <c r="BZ478" s="213" t="s">
        <v>338</v>
      </c>
      <c r="CA478" s="213"/>
      <c r="CB478" s="274"/>
      <c r="CC478" s="274"/>
      <c r="CD478" s="274"/>
      <c r="CE478" s="39"/>
      <c r="CF478" s="39"/>
      <c r="CG478" s="39"/>
      <c r="CH478" s="274"/>
      <c r="CI478" s="274"/>
      <c r="CJ478" s="274"/>
      <c r="CK478" s="39"/>
      <c r="CL478" s="39"/>
      <c r="CM478" s="39"/>
      <c r="CN478" s="39"/>
      <c r="CO478" s="39"/>
      <c r="CP478" s="11"/>
      <c r="CQ478" s="11"/>
      <c r="CR478" s="11"/>
      <c r="CS478" s="11"/>
      <c r="CT478" s="11"/>
      <c r="CU478" s="11"/>
      <c r="CV478" s="11"/>
      <c r="CW478" s="11"/>
      <c r="CX478" s="11"/>
      <c r="CY478" s="11"/>
      <c r="CZ478" s="11"/>
      <c r="DA478" s="11"/>
      <c r="DB478" s="11"/>
      <c r="DC478" s="11"/>
      <c r="DD478" s="11"/>
      <c r="DE478" s="11"/>
      <c r="DF478" s="11"/>
      <c r="DG478" s="11"/>
      <c r="DH478" s="11"/>
      <c r="DI478" s="11"/>
      <c r="DJ478" s="11"/>
      <c r="DK478" s="11"/>
      <c r="DL478" s="274"/>
      <c r="DM478" s="274"/>
      <c r="DN478" s="274"/>
      <c r="DO478" s="274"/>
      <c r="DP478" s="274"/>
      <c r="DQ478" s="274"/>
      <c r="DR478" s="274"/>
      <c r="DS478" s="274"/>
      <c r="DT478" s="274"/>
      <c r="DU478" s="274"/>
      <c r="DV478" s="274"/>
      <c r="DW478" s="274"/>
      <c r="DX478" s="274"/>
      <c r="DY478" s="274"/>
      <c r="DZ478" s="274"/>
      <c r="EA478" s="274"/>
      <c r="EB478" s="274"/>
      <c r="EC478" s="274"/>
      <c r="ED478" s="39">
        <f t="shared" si="145"/>
        <v>3925250.7533120001</v>
      </c>
      <c r="EE478" s="30">
        <f t="shared" si="146"/>
        <v>6</v>
      </c>
      <c r="EF478" s="39">
        <f t="shared" si="147"/>
        <v>654208.45888533338</v>
      </c>
    </row>
    <row r="479" spans="1:136" ht="38.25" x14ac:dyDescent="0.25">
      <c r="A479" s="25" t="e">
        <f>#REF!</f>
        <v>#REF!</v>
      </c>
      <c r="B479" s="50" t="e">
        <f>#REF!</f>
        <v>#REF!</v>
      </c>
      <c r="C479" s="5" t="e">
        <f>#REF!</f>
        <v>#REF!</v>
      </c>
      <c r="D479" s="5" t="e">
        <f>#REF!</f>
        <v>#REF!</v>
      </c>
      <c r="E479" s="252">
        <v>1</v>
      </c>
      <c r="F479" s="249">
        <v>146735.92499999999</v>
      </c>
      <c r="G479" s="249">
        <v>142324</v>
      </c>
      <c r="H479" s="249">
        <v>148109.05115322213</v>
      </c>
      <c r="I479" s="249">
        <v>148036</v>
      </c>
      <c r="J479" s="249">
        <v>193818.47333333333</v>
      </c>
      <c r="K479" s="249">
        <v>192780</v>
      </c>
      <c r="L479" s="274">
        <f t="shared" si="150"/>
        <v>162887.81649551849</v>
      </c>
      <c r="M479" s="274">
        <f>AVERAGE(G479,I479,K479)*E1</f>
        <v>165878.06666666665</v>
      </c>
      <c r="N479" s="255">
        <v>165000</v>
      </c>
      <c r="O479" s="135">
        <f t="shared" si="151"/>
        <v>31350</v>
      </c>
      <c r="P479" s="135">
        <f t="shared" si="152"/>
        <v>196350</v>
      </c>
      <c r="Q479" s="131"/>
      <c r="R479" s="131"/>
      <c r="S479" s="11"/>
      <c r="T479" s="274">
        <v>39600</v>
      </c>
      <c r="U479" s="274">
        <f>+T479*0.19</f>
        <v>7524</v>
      </c>
      <c r="V479" s="274">
        <f>+T479+U479</f>
        <v>47124</v>
      </c>
      <c r="W479" s="39" t="s">
        <v>2005</v>
      </c>
      <c r="X479" s="11" t="s">
        <v>4859</v>
      </c>
      <c r="Y479" s="11"/>
      <c r="Z479" s="274"/>
      <c r="AA479" s="274"/>
      <c r="AB479" s="274"/>
      <c r="AC479" s="52"/>
      <c r="AD479" s="22"/>
      <c r="AE479" s="39"/>
      <c r="AF479" s="274"/>
      <c r="AG479" s="274"/>
      <c r="AH479" s="171"/>
      <c r="AI479" s="4"/>
      <c r="AJ479" s="39"/>
      <c r="AK479" s="39"/>
      <c r="AL479" s="228">
        <v>2470350</v>
      </c>
      <c r="AM479" s="152">
        <f>+AL479*0.19</f>
        <v>469366.5</v>
      </c>
      <c r="AN479" s="152">
        <f>+AL479+AM479</f>
        <v>2939716.5</v>
      </c>
      <c r="AO479" s="153" t="s">
        <v>179</v>
      </c>
      <c r="AP479" s="52" t="s">
        <v>2030</v>
      </c>
      <c r="AQ479" s="39"/>
      <c r="AR479" s="274"/>
      <c r="AS479" s="274"/>
      <c r="AT479" s="274"/>
      <c r="AU479" s="39"/>
      <c r="AV479" s="39"/>
      <c r="AW479" s="39"/>
      <c r="AX479" s="274"/>
      <c r="AY479" s="274"/>
      <c r="AZ479" s="274"/>
      <c r="BA479" s="39"/>
      <c r="BB479" s="62"/>
      <c r="BC479" s="39"/>
      <c r="BD479" s="118">
        <v>170595</v>
      </c>
      <c r="BE479" s="274">
        <f t="shared" ref="BE479:BE488" si="159">+BD479*0.19</f>
        <v>32413.05</v>
      </c>
      <c r="BF479" s="274">
        <f t="shared" ref="BF479:BF488" si="160">+BD479+BE479</f>
        <v>203008.05</v>
      </c>
      <c r="BG479" s="25" t="s">
        <v>2005</v>
      </c>
      <c r="BH479" s="5" t="s">
        <v>4911</v>
      </c>
      <c r="BI479" s="5" t="s">
        <v>4912</v>
      </c>
      <c r="BJ479" s="274">
        <v>145900</v>
      </c>
      <c r="BK479" s="274">
        <f t="shared" si="153"/>
        <v>27721</v>
      </c>
      <c r="BL479" s="274">
        <f t="shared" si="154"/>
        <v>173621</v>
      </c>
      <c r="BM479" s="213" t="s">
        <v>4738</v>
      </c>
      <c r="BN479" s="213" t="s">
        <v>3336</v>
      </c>
      <c r="BO479" s="39"/>
      <c r="BP479" s="274">
        <v>135200</v>
      </c>
      <c r="BQ479" s="274">
        <f t="shared" si="155"/>
        <v>25688</v>
      </c>
      <c r="BR479" s="274">
        <f t="shared" si="156"/>
        <v>160888</v>
      </c>
      <c r="BS479" s="39"/>
      <c r="BT479" s="39"/>
      <c r="BU479" s="39"/>
      <c r="BV479" s="219">
        <v>154785.89360000001</v>
      </c>
      <c r="BW479" s="219">
        <f t="shared" si="157"/>
        <v>29409.319784000003</v>
      </c>
      <c r="BX479" s="273">
        <f t="shared" si="158"/>
        <v>184195.213384</v>
      </c>
      <c r="BY479" s="213" t="s">
        <v>4738</v>
      </c>
      <c r="BZ479" s="213" t="s">
        <v>3336</v>
      </c>
      <c r="CA479" s="213"/>
      <c r="CB479" s="274"/>
      <c r="CC479" s="274"/>
      <c r="CD479" s="274"/>
      <c r="CE479" s="39"/>
      <c r="CF479" s="39"/>
      <c r="CG479" s="39"/>
      <c r="CH479" s="274">
        <v>241000</v>
      </c>
      <c r="CI479" s="274">
        <f t="shared" ref="CI479:CI486" si="161">CH479*19%</f>
        <v>45790</v>
      </c>
      <c r="CJ479" s="274">
        <f t="shared" ref="CJ479:CJ486" si="162">CH479+CI479</f>
        <v>286790</v>
      </c>
      <c r="CK479" s="39"/>
      <c r="CL479" s="39"/>
      <c r="CM479" s="39"/>
      <c r="CN479" s="39"/>
      <c r="CO479" s="39"/>
      <c r="CP479" s="11"/>
      <c r="CQ479" s="11"/>
      <c r="CR479" s="11"/>
      <c r="CS479" s="11"/>
      <c r="CT479" s="11"/>
      <c r="CU479" s="11"/>
      <c r="CV479" s="11"/>
      <c r="CW479" s="11"/>
      <c r="CX479" s="11"/>
      <c r="CY479" s="11"/>
      <c r="CZ479" s="11"/>
      <c r="DA479" s="11"/>
      <c r="DB479" s="11"/>
      <c r="DC479" s="11"/>
      <c r="DD479" s="11"/>
      <c r="DE479" s="11"/>
      <c r="DF479" s="11"/>
      <c r="DG479" s="11"/>
      <c r="DH479" s="11"/>
      <c r="DI479" s="11"/>
      <c r="DJ479" s="11"/>
      <c r="DK479" s="11"/>
      <c r="DL479" s="274"/>
      <c r="DM479" s="274"/>
      <c r="DN479" s="274"/>
      <c r="DO479" s="274"/>
      <c r="DP479" s="274"/>
      <c r="DQ479" s="274"/>
      <c r="DR479" s="274"/>
      <c r="DS479" s="274"/>
      <c r="DT479" s="274"/>
      <c r="DU479" s="274"/>
      <c r="DV479" s="274"/>
      <c r="DW479" s="274"/>
      <c r="DX479" s="274"/>
      <c r="DY479" s="274"/>
      <c r="DZ479" s="274"/>
      <c r="EA479" s="274"/>
      <c r="EB479" s="274"/>
      <c r="EC479" s="274"/>
      <c r="ED479" s="39">
        <f t="shared" si="145"/>
        <v>4357570.8300506659</v>
      </c>
      <c r="EE479" s="30">
        <f t="shared" si="146"/>
        <v>9</v>
      </c>
      <c r="EF479" s="39">
        <f t="shared" si="147"/>
        <v>484174.53667229624</v>
      </c>
    </row>
    <row r="480" spans="1:136" ht="38.25" x14ac:dyDescent="0.25">
      <c r="A480" s="25" t="e">
        <f>#REF!</f>
        <v>#REF!</v>
      </c>
      <c r="B480" s="50" t="e">
        <f>#REF!</f>
        <v>#REF!</v>
      </c>
      <c r="C480" s="5" t="e">
        <f>#REF!</f>
        <v>#REF!</v>
      </c>
      <c r="D480" s="5" t="e">
        <f>#REF!</f>
        <v>#REF!</v>
      </c>
      <c r="E480" s="252">
        <v>1</v>
      </c>
      <c r="F480" s="249">
        <v>62922.202000000005</v>
      </c>
      <c r="G480" s="249">
        <v>61285</v>
      </c>
      <c r="H480" s="249">
        <v>51441.07242394505</v>
      </c>
      <c r="I480" s="249">
        <v>51289</v>
      </c>
      <c r="J480" s="249">
        <v>77754.304810494083</v>
      </c>
      <c r="K480" s="249">
        <v>77350</v>
      </c>
      <c r="L480" s="274">
        <f t="shared" si="150"/>
        <v>64039.193078146374</v>
      </c>
      <c r="M480" s="274">
        <f>AVERAGE(G480,I480,K480)*E1</f>
        <v>65207.240000000005</v>
      </c>
      <c r="N480" s="255">
        <v>60000</v>
      </c>
      <c r="O480" s="135">
        <f t="shared" si="151"/>
        <v>11400</v>
      </c>
      <c r="P480" s="135">
        <f t="shared" si="152"/>
        <v>71400</v>
      </c>
      <c r="Q480" s="131"/>
      <c r="R480" s="131"/>
      <c r="S480" s="11"/>
      <c r="T480" s="274">
        <v>15510.000000000002</v>
      </c>
      <c r="U480" s="274">
        <f>+T480*0.19</f>
        <v>2946.9000000000005</v>
      </c>
      <c r="V480" s="274">
        <f>+T480+U480</f>
        <v>18456.900000000001</v>
      </c>
      <c r="W480" s="39" t="s">
        <v>2005</v>
      </c>
      <c r="X480" s="11" t="s">
        <v>4859</v>
      </c>
      <c r="Y480" s="11"/>
      <c r="Z480" s="274"/>
      <c r="AA480" s="274"/>
      <c r="AB480" s="274"/>
      <c r="AC480" s="52"/>
      <c r="AD480" s="22"/>
      <c r="AE480" s="39"/>
      <c r="AF480" s="274"/>
      <c r="AG480" s="274"/>
      <c r="AH480" s="171"/>
      <c r="AI480" s="22"/>
      <c r="AJ480" s="39"/>
      <c r="AK480" s="39"/>
      <c r="AL480" s="228">
        <v>883650</v>
      </c>
      <c r="AM480" s="152">
        <f>+AL480*0.19</f>
        <v>167893.5</v>
      </c>
      <c r="AN480" s="152">
        <f>+AL480+AM480</f>
        <v>1051543.5</v>
      </c>
      <c r="AO480" s="153" t="s">
        <v>4909</v>
      </c>
      <c r="AP480" s="52" t="s">
        <v>2030</v>
      </c>
      <c r="AQ480" s="39"/>
      <c r="AR480" s="274"/>
      <c r="AS480" s="274"/>
      <c r="AT480" s="274"/>
      <c r="AU480" s="39"/>
      <c r="AV480" s="39"/>
      <c r="AW480" s="39"/>
      <c r="AX480" s="274"/>
      <c r="AY480" s="274"/>
      <c r="AZ480" s="274"/>
      <c r="BA480" s="39"/>
      <c r="BB480" s="62"/>
      <c r="BC480" s="39"/>
      <c r="BD480" s="118">
        <v>68496</v>
      </c>
      <c r="BE480" s="274">
        <f t="shared" si="159"/>
        <v>13014.24</v>
      </c>
      <c r="BF480" s="274">
        <f t="shared" si="160"/>
        <v>81510.240000000005</v>
      </c>
      <c r="BG480" s="25" t="s">
        <v>2005</v>
      </c>
      <c r="BH480" s="5" t="s">
        <v>4913</v>
      </c>
      <c r="BI480" s="5" t="s">
        <v>4914</v>
      </c>
      <c r="BJ480" s="274">
        <v>58700</v>
      </c>
      <c r="BK480" s="274">
        <f t="shared" si="153"/>
        <v>11153</v>
      </c>
      <c r="BL480" s="274">
        <f t="shared" si="154"/>
        <v>69853</v>
      </c>
      <c r="BM480" s="213" t="s">
        <v>4738</v>
      </c>
      <c r="BN480" s="213" t="s">
        <v>3336</v>
      </c>
      <c r="BO480" s="39"/>
      <c r="BP480" s="274">
        <v>155000</v>
      </c>
      <c r="BQ480" s="274">
        <f t="shared" si="155"/>
        <v>29450</v>
      </c>
      <c r="BR480" s="274">
        <f t="shared" si="156"/>
        <v>184450</v>
      </c>
      <c r="BS480" s="39"/>
      <c r="BT480" s="39"/>
      <c r="BU480" s="39"/>
      <c r="BV480" s="219">
        <v>64101.104400000004</v>
      </c>
      <c r="BW480" s="219">
        <f t="shared" si="157"/>
        <v>12179.209836</v>
      </c>
      <c r="BX480" s="273">
        <f t="shared" si="158"/>
        <v>76280.314236000006</v>
      </c>
      <c r="BY480" s="213" t="s">
        <v>4738</v>
      </c>
      <c r="BZ480" s="213" t="s">
        <v>3336</v>
      </c>
      <c r="CA480" s="213"/>
      <c r="CB480" s="274"/>
      <c r="CC480" s="274"/>
      <c r="CD480" s="274"/>
      <c r="CE480" s="39"/>
      <c r="CF480" s="39"/>
      <c r="CG480" s="39"/>
      <c r="CH480" s="274">
        <v>175000</v>
      </c>
      <c r="CI480" s="274">
        <f t="shared" si="161"/>
        <v>33250</v>
      </c>
      <c r="CJ480" s="274">
        <f t="shared" si="162"/>
        <v>208250</v>
      </c>
      <c r="CK480" s="39"/>
      <c r="CL480" s="39"/>
      <c r="CM480" s="39"/>
      <c r="CN480" s="39"/>
      <c r="CO480" s="39"/>
      <c r="CP480" s="11"/>
      <c r="CQ480" s="11"/>
      <c r="CR480" s="11"/>
      <c r="CS480" s="11"/>
      <c r="CT480" s="11"/>
      <c r="CU480" s="11"/>
      <c r="CV480" s="11"/>
      <c r="CW480" s="11"/>
      <c r="CX480" s="11"/>
      <c r="CY480" s="11"/>
      <c r="CZ480" s="11"/>
      <c r="DA480" s="11"/>
      <c r="DB480" s="11"/>
      <c r="DC480" s="11"/>
      <c r="DD480" s="11"/>
      <c r="DE480" s="11"/>
      <c r="DF480" s="11"/>
      <c r="DG480" s="11"/>
      <c r="DH480" s="11"/>
      <c r="DI480" s="11"/>
      <c r="DJ480" s="11"/>
      <c r="DK480" s="11"/>
      <c r="DL480" s="274"/>
      <c r="DM480" s="274"/>
      <c r="DN480" s="274"/>
      <c r="DO480" s="274"/>
      <c r="DP480" s="274"/>
      <c r="DQ480" s="274"/>
      <c r="DR480" s="274"/>
      <c r="DS480" s="274"/>
      <c r="DT480" s="274"/>
      <c r="DU480" s="274"/>
      <c r="DV480" s="274"/>
      <c r="DW480" s="274"/>
      <c r="DX480" s="274"/>
      <c r="DY480" s="274"/>
      <c r="DZ480" s="274"/>
      <c r="EA480" s="274"/>
      <c r="EB480" s="274"/>
      <c r="EC480" s="274"/>
      <c r="ED480" s="39">
        <f t="shared" si="145"/>
        <v>1826951.1942359998</v>
      </c>
      <c r="EE480" s="30">
        <f t="shared" si="146"/>
        <v>9</v>
      </c>
      <c r="EF480" s="39">
        <f t="shared" si="147"/>
        <v>202994.57713733331</v>
      </c>
    </row>
    <row r="481" spans="1:136" ht="38.25" x14ac:dyDescent="0.25">
      <c r="A481" s="25" t="e">
        <f>#REF!</f>
        <v>#REF!</v>
      </c>
      <c r="B481" s="50" t="e">
        <f>#REF!</f>
        <v>#REF!</v>
      </c>
      <c r="C481" s="5" t="e">
        <f>#REF!</f>
        <v>#REF!</v>
      </c>
      <c r="D481" s="5" t="e">
        <f>#REF!</f>
        <v>#REF!</v>
      </c>
      <c r="E481" s="252">
        <v>1</v>
      </c>
      <c r="F481" s="249">
        <v>83281.673999999999</v>
      </c>
      <c r="G481" s="249">
        <v>80682</v>
      </c>
      <c r="H481" s="249">
        <v>63256.359371933271</v>
      </c>
      <c r="I481" s="249">
        <v>63189</v>
      </c>
      <c r="J481" s="249">
        <v>94762.243919951405</v>
      </c>
      <c r="K481" s="249">
        <v>94010</v>
      </c>
      <c r="L481" s="274">
        <f t="shared" si="150"/>
        <v>80433.425763961553</v>
      </c>
      <c r="M481" s="274">
        <f>AVERAGE(G481,I481,K481)*E1</f>
        <v>81672.476666666669</v>
      </c>
      <c r="N481" s="255">
        <v>75000</v>
      </c>
      <c r="O481" s="135">
        <f t="shared" si="151"/>
        <v>14250</v>
      </c>
      <c r="P481" s="135">
        <f t="shared" si="152"/>
        <v>89250</v>
      </c>
      <c r="Q481" s="131"/>
      <c r="R481" s="131"/>
      <c r="S481" s="11"/>
      <c r="T481" s="274"/>
      <c r="U481" s="274"/>
      <c r="V481" s="274"/>
      <c r="W481" s="39"/>
      <c r="X481" s="11"/>
      <c r="Y481" s="11"/>
      <c r="Z481" s="274"/>
      <c r="AA481" s="274"/>
      <c r="AB481" s="274"/>
      <c r="AC481" s="52"/>
      <c r="AD481" s="22"/>
      <c r="AE481" s="39"/>
      <c r="AF481" s="274"/>
      <c r="AG481" s="274"/>
      <c r="AH481" s="171"/>
      <c r="AI481" s="4"/>
      <c r="AJ481" s="39"/>
      <c r="AK481" s="39"/>
      <c r="AL481" s="228">
        <v>664350</v>
      </c>
      <c r="AM481" s="152">
        <f>+AL481*0.19</f>
        <v>126226.5</v>
      </c>
      <c r="AN481" s="152">
        <f>+AL481+AM481</f>
        <v>790576.5</v>
      </c>
      <c r="AO481" s="153" t="s">
        <v>4909</v>
      </c>
      <c r="AP481" s="52" t="s">
        <v>2030</v>
      </c>
      <c r="AQ481" s="39"/>
      <c r="AR481" s="274"/>
      <c r="AS481" s="274"/>
      <c r="AT481" s="274"/>
      <c r="AU481" s="39"/>
      <c r="AV481" s="39"/>
      <c r="AW481" s="39"/>
      <c r="AX481" s="274"/>
      <c r="AY481" s="274"/>
      <c r="AZ481" s="274"/>
      <c r="BA481" s="39"/>
      <c r="BB481" s="62"/>
      <c r="BC481" s="39"/>
      <c r="BD481" s="118">
        <v>89174</v>
      </c>
      <c r="BE481" s="274">
        <f t="shared" si="159"/>
        <v>16943.060000000001</v>
      </c>
      <c r="BF481" s="274">
        <f t="shared" si="160"/>
        <v>106117.06</v>
      </c>
      <c r="BG481" s="25" t="s">
        <v>2005</v>
      </c>
      <c r="BH481" s="5" t="s">
        <v>4915</v>
      </c>
      <c r="BI481" s="5" t="s">
        <v>4916</v>
      </c>
      <c r="BJ481" s="274">
        <v>61400</v>
      </c>
      <c r="BK481" s="274">
        <f t="shared" si="153"/>
        <v>11666</v>
      </c>
      <c r="BL481" s="274">
        <f t="shared" si="154"/>
        <v>73066</v>
      </c>
      <c r="BM481" s="213" t="s">
        <v>4738</v>
      </c>
      <c r="BN481" s="213" t="s">
        <v>3336</v>
      </c>
      <c r="BO481" s="39"/>
      <c r="BP481" s="274">
        <v>185600</v>
      </c>
      <c r="BQ481" s="274">
        <f t="shared" si="155"/>
        <v>35264</v>
      </c>
      <c r="BR481" s="274">
        <f t="shared" si="156"/>
        <v>220864</v>
      </c>
      <c r="BS481" s="39"/>
      <c r="BT481" s="39"/>
      <c r="BU481" s="39"/>
      <c r="BV481" s="219">
        <v>73805.256000000008</v>
      </c>
      <c r="BW481" s="219">
        <f t="shared" si="157"/>
        <v>14022.998640000002</v>
      </c>
      <c r="BX481" s="273">
        <f t="shared" si="158"/>
        <v>87828.254640000014</v>
      </c>
      <c r="BY481" s="213" t="s">
        <v>4738</v>
      </c>
      <c r="BZ481" s="213" t="s">
        <v>3336</v>
      </c>
      <c r="CA481" s="213"/>
      <c r="CB481" s="274"/>
      <c r="CC481" s="274"/>
      <c r="CD481" s="274"/>
      <c r="CE481" s="39"/>
      <c r="CF481" s="39"/>
      <c r="CG481" s="39"/>
      <c r="CH481" s="274">
        <v>186000</v>
      </c>
      <c r="CI481" s="274">
        <f t="shared" si="161"/>
        <v>35340</v>
      </c>
      <c r="CJ481" s="274">
        <f t="shared" si="162"/>
        <v>221340</v>
      </c>
      <c r="CK481" s="39"/>
      <c r="CL481" s="39"/>
      <c r="CM481" s="39"/>
      <c r="CN481" s="39"/>
      <c r="CO481" s="39"/>
      <c r="CP481" s="11"/>
      <c r="CQ481" s="11"/>
      <c r="CR481" s="11"/>
      <c r="CS481" s="11"/>
      <c r="CT481" s="11"/>
      <c r="CU481" s="11"/>
      <c r="CV481" s="11"/>
      <c r="CW481" s="11"/>
      <c r="CX481" s="11"/>
      <c r="CY481" s="11"/>
      <c r="CZ481" s="11"/>
      <c r="DA481" s="11"/>
      <c r="DB481" s="11"/>
      <c r="DC481" s="11"/>
      <c r="DD481" s="11"/>
      <c r="DE481" s="11"/>
      <c r="DF481" s="11"/>
      <c r="DG481" s="11"/>
      <c r="DH481" s="11"/>
      <c r="DI481" s="11"/>
      <c r="DJ481" s="11"/>
      <c r="DK481" s="11"/>
      <c r="DL481" s="274"/>
      <c r="DM481" s="274"/>
      <c r="DN481" s="274"/>
      <c r="DO481" s="274"/>
      <c r="DP481" s="274"/>
      <c r="DQ481" s="274"/>
      <c r="DR481" s="274"/>
      <c r="DS481" s="274"/>
      <c r="DT481" s="274"/>
      <c r="DU481" s="274"/>
      <c r="DV481" s="274"/>
      <c r="DW481" s="274"/>
      <c r="DX481" s="274"/>
      <c r="DY481" s="274"/>
      <c r="DZ481" s="274"/>
      <c r="EA481" s="274"/>
      <c r="EB481" s="274"/>
      <c r="EC481" s="274"/>
      <c r="ED481" s="39">
        <f t="shared" si="145"/>
        <v>1670714.2913066666</v>
      </c>
      <c r="EE481" s="30">
        <f t="shared" si="146"/>
        <v>8</v>
      </c>
      <c r="EF481" s="39">
        <f t="shared" si="147"/>
        <v>208839.28641333332</v>
      </c>
    </row>
    <row r="482" spans="1:136" ht="38.25" x14ac:dyDescent="0.25">
      <c r="A482" s="25" t="e">
        <f>#REF!</f>
        <v>#REF!</v>
      </c>
      <c r="B482" s="50" t="e">
        <f>#REF!</f>
        <v>#REF!</v>
      </c>
      <c r="C482" s="5" t="e">
        <f>#REF!</f>
        <v>#REF!</v>
      </c>
      <c r="D482" s="5" t="e">
        <f>#REF!</f>
        <v>#REF!</v>
      </c>
      <c r="E482" s="252">
        <v>1</v>
      </c>
      <c r="F482" s="249">
        <v>334619.67</v>
      </c>
      <c r="G482" s="249">
        <v>322847</v>
      </c>
      <c r="H482" s="249">
        <v>191685.19999999998</v>
      </c>
      <c r="I482" s="249">
        <v>191590</v>
      </c>
      <c r="J482" s="249">
        <v>310366.34542218572</v>
      </c>
      <c r="K482" s="249">
        <v>309400</v>
      </c>
      <c r="L482" s="274">
        <f t="shared" si="150"/>
        <v>278890.40514072857</v>
      </c>
      <c r="M482" s="274">
        <f>AVERAGE(G482,I482,K482)*E1</f>
        <v>282850.70333333331</v>
      </c>
      <c r="N482" s="255">
        <v>285000</v>
      </c>
      <c r="O482" s="135">
        <f t="shared" si="151"/>
        <v>54150</v>
      </c>
      <c r="P482" s="135">
        <f t="shared" si="152"/>
        <v>339150</v>
      </c>
      <c r="Q482" s="131"/>
      <c r="R482" s="131"/>
      <c r="S482" s="11"/>
      <c r="T482" s="274"/>
      <c r="U482" s="274"/>
      <c r="V482" s="274"/>
      <c r="W482" s="39"/>
      <c r="X482" s="11"/>
      <c r="Y482" s="11"/>
      <c r="Z482" s="274"/>
      <c r="AA482" s="274"/>
      <c r="AB482" s="274"/>
      <c r="AC482" s="52"/>
      <c r="AD482" s="22"/>
      <c r="AE482" s="39"/>
      <c r="AF482" s="274"/>
      <c r="AG482" s="274"/>
      <c r="AH482" s="113"/>
      <c r="AI482" s="4"/>
      <c r="AJ482" s="39"/>
      <c r="AK482" s="39"/>
      <c r="AL482" s="228">
        <v>2470350</v>
      </c>
      <c r="AM482" s="152">
        <f>+AL482*0.19</f>
        <v>469366.5</v>
      </c>
      <c r="AN482" s="152">
        <f>+AL482+AM482</f>
        <v>2939716.5</v>
      </c>
      <c r="AO482" s="153" t="s">
        <v>179</v>
      </c>
      <c r="AP482" s="52" t="s">
        <v>2030</v>
      </c>
      <c r="AQ482" s="39"/>
      <c r="AR482" s="274"/>
      <c r="AS482" s="274"/>
      <c r="AT482" s="274"/>
      <c r="AU482" s="39"/>
      <c r="AV482" s="39"/>
      <c r="AW482" s="39"/>
      <c r="AX482" s="274"/>
      <c r="AY482" s="274"/>
      <c r="AZ482" s="274"/>
      <c r="BA482" s="39"/>
      <c r="BB482" s="62"/>
      <c r="BC482" s="39"/>
      <c r="BD482" s="118">
        <v>261062</v>
      </c>
      <c r="BE482" s="274">
        <f t="shared" si="159"/>
        <v>49601.78</v>
      </c>
      <c r="BF482" s="274">
        <f t="shared" si="160"/>
        <v>310663.78000000003</v>
      </c>
      <c r="BG482" s="25" t="s">
        <v>2005</v>
      </c>
      <c r="BH482" s="5" t="s">
        <v>4917</v>
      </c>
      <c r="BI482" s="5" t="s">
        <v>4918</v>
      </c>
      <c r="BJ482" s="274">
        <v>163600</v>
      </c>
      <c r="BK482" s="274">
        <f t="shared" si="153"/>
        <v>31084</v>
      </c>
      <c r="BL482" s="274">
        <f t="shared" si="154"/>
        <v>194684</v>
      </c>
      <c r="BM482" s="213" t="s">
        <v>4738</v>
      </c>
      <c r="BN482" s="213" t="s">
        <v>3336</v>
      </c>
      <c r="BO482" s="39"/>
      <c r="BP482" s="274">
        <v>385000</v>
      </c>
      <c r="BQ482" s="274">
        <f t="shared" si="155"/>
        <v>73150</v>
      </c>
      <c r="BR482" s="274">
        <f t="shared" si="156"/>
        <v>458150</v>
      </c>
      <c r="BS482" s="39"/>
      <c r="BT482" s="39"/>
      <c r="BU482" s="39"/>
      <c r="BV482" s="219">
        <v>189166.09920000003</v>
      </c>
      <c r="BW482" s="219">
        <f t="shared" si="157"/>
        <v>35941.558848000008</v>
      </c>
      <c r="BX482" s="273">
        <f t="shared" si="158"/>
        <v>225107.65804800004</v>
      </c>
      <c r="BY482" s="213" t="s">
        <v>4738</v>
      </c>
      <c r="BZ482" s="213" t="s">
        <v>3336</v>
      </c>
      <c r="CA482" s="213"/>
      <c r="CB482" s="274"/>
      <c r="CC482" s="274"/>
      <c r="CD482" s="274"/>
      <c r="CE482" s="39"/>
      <c r="CF482" s="39"/>
      <c r="CG482" s="39"/>
      <c r="CH482" s="274">
        <v>252000</v>
      </c>
      <c r="CI482" s="274">
        <f t="shared" si="161"/>
        <v>47880</v>
      </c>
      <c r="CJ482" s="274">
        <f t="shared" si="162"/>
        <v>299880</v>
      </c>
      <c r="CK482" s="39"/>
      <c r="CL482" s="39"/>
      <c r="CM482" s="39"/>
      <c r="CN482" s="39"/>
      <c r="CO482" s="39"/>
      <c r="CP482" s="11"/>
      <c r="CQ482" s="11"/>
      <c r="CR482" s="11"/>
      <c r="CS482" s="11"/>
      <c r="CT482" s="11"/>
      <c r="CU482" s="11"/>
      <c r="CV482" s="11"/>
      <c r="CW482" s="11"/>
      <c r="CX482" s="11"/>
      <c r="CY482" s="11"/>
      <c r="CZ482" s="11"/>
      <c r="DA482" s="11"/>
      <c r="DB482" s="11"/>
      <c r="DC482" s="11"/>
      <c r="DD482" s="11"/>
      <c r="DE482" s="11"/>
      <c r="DF482" s="11"/>
      <c r="DG482" s="11"/>
      <c r="DH482" s="11"/>
      <c r="DI482" s="11"/>
      <c r="DJ482" s="11"/>
      <c r="DK482" s="11"/>
      <c r="DL482" s="274"/>
      <c r="DM482" s="274"/>
      <c r="DN482" s="274"/>
      <c r="DO482" s="274"/>
      <c r="DP482" s="274"/>
      <c r="DQ482" s="274"/>
      <c r="DR482" s="274"/>
      <c r="DS482" s="274"/>
      <c r="DT482" s="274"/>
      <c r="DU482" s="274"/>
      <c r="DV482" s="274"/>
      <c r="DW482" s="274"/>
      <c r="DX482" s="274"/>
      <c r="DY482" s="274"/>
      <c r="DZ482" s="274"/>
      <c r="EA482" s="274"/>
      <c r="EB482" s="274"/>
      <c r="EC482" s="274"/>
      <c r="ED482" s="39">
        <f t="shared" si="145"/>
        <v>5050202.6413813336</v>
      </c>
      <c r="EE482" s="30">
        <f t="shared" si="146"/>
        <v>8</v>
      </c>
      <c r="EF482" s="39">
        <f t="shared" si="147"/>
        <v>631275.3301726667</v>
      </c>
    </row>
    <row r="483" spans="1:136" ht="51" x14ac:dyDescent="0.25">
      <c r="A483" s="25" t="e">
        <f>#REF!</f>
        <v>#REF!</v>
      </c>
      <c r="B483" s="50" t="e">
        <f>#REF!</f>
        <v>#REF!</v>
      </c>
      <c r="C483" s="5" t="e">
        <f>#REF!</f>
        <v>#REF!</v>
      </c>
      <c r="D483" s="5" t="e">
        <f>#REF!</f>
        <v>#REF!</v>
      </c>
      <c r="E483" s="252">
        <v>1</v>
      </c>
      <c r="F483" s="249">
        <v>0</v>
      </c>
      <c r="G483" s="249">
        <v>0</v>
      </c>
      <c r="H483" s="249">
        <v>101745</v>
      </c>
      <c r="I483" s="249">
        <v>101626</v>
      </c>
      <c r="J483" s="249">
        <v>144220.271769315</v>
      </c>
      <c r="K483" s="249">
        <v>142800</v>
      </c>
      <c r="L483" s="274">
        <f>AVERAGE(H483,J483)</f>
        <v>122982.6358846575</v>
      </c>
      <c r="M483" s="274">
        <f>AVERAGE(I483,K483)*E1</f>
        <v>125879.39</v>
      </c>
      <c r="N483" s="255">
        <v>95000</v>
      </c>
      <c r="O483" s="135">
        <f t="shared" si="151"/>
        <v>18050</v>
      </c>
      <c r="P483" s="135">
        <f t="shared" si="152"/>
        <v>113050</v>
      </c>
      <c r="Q483" s="131"/>
      <c r="R483" s="131"/>
      <c r="S483" s="11"/>
      <c r="T483" s="274"/>
      <c r="U483" s="274"/>
      <c r="V483" s="274"/>
      <c r="W483" s="39"/>
      <c r="X483" s="11"/>
      <c r="Y483" s="11"/>
      <c r="Z483" s="274"/>
      <c r="AA483" s="274"/>
      <c r="AB483" s="274"/>
      <c r="AC483" s="52"/>
      <c r="AD483" s="22"/>
      <c r="AE483" s="39"/>
      <c r="AF483" s="274"/>
      <c r="AG483" s="274"/>
      <c r="AH483" s="113"/>
      <c r="AI483" s="4"/>
      <c r="AJ483" s="39"/>
      <c r="AK483" s="39"/>
      <c r="AL483" s="118"/>
      <c r="AM483" s="152"/>
      <c r="AN483" s="181"/>
      <c r="AO483" s="131"/>
      <c r="AP483" s="131"/>
      <c r="AQ483" s="39"/>
      <c r="AR483" s="274"/>
      <c r="AS483" s="274"/>
      <c r="AT483" s="274"/>
      <c r="AU483" s="39"/>
      <c r="AV483" s="39"/>
      <c r="AW483" s="39"/>
      <c r="AX483" s="274"/>
      <c r="AY483" s="274"/>
      <c r="AZ483" s="274"/>
      <c r="BA483" s="39"/>
      <c r="BB483" s="62"/>
      <c r="BC483" s="39"/>
      <c r="BD483" s="118">
        <v>122592</v>
      </c>
      <c r="BE483" s="274">
        <f t="shared" si="159"/>
        <v>23292.48</v>
      </c>
      <c r="BF483" s="274">
        <f t="shared" si="160"/>
        <v>145884.48000000001</v>
      </c>
      <c r="BG483" s="25" t="s">
        <v>2005</v>
      </c>
      <c r="BH483" s="5" t="s">
        <v>4919</v>
      </c>
      <c r="BI483" s="5" t="s">
        <v>4920</v>
      </c>
      <c r="BJ483" s="274">
        <v>107000</v>
      </c>
      <c r="BK483" s="274">
        <f t="shared" si="153"/>
        <v>20330</v>
      </c>
      <c r="BL483" s="274">
        <f t="shared" si="154"/>
        <v>127330</v>
      </c>
      <c r="BM483" s="213" t="s">
        <v>4738</v>
      </c>
      <c r="BN483" s="213" t="s">
        <v>3336</v>
      </c>
      <c r="BO483" s="39"/>
      <c r="BP483" s="274">
        <v>135200</v>
      </c>
      <c r="BQ483" s="274">
        <f t="shared" si="155"/>
        <v>25688</v>
      </c>
      <c r="BR483" s="274">
        <f t="shared" si="156"/>
        <v>160888</v>
      </c>
      <c r="BS483" s="39"/>
      <c r="BT483" s="39"/>
      <c r="BU483" s="39"/>
      <c r="BV483" s="219">
        <v>115764.58400000002</v>
      </c>
      <c r="BW483" s="219">
        <f t="shared" si="157"/>
        <v>21995.270960000005</v>
      </c>
      <c r="BX483" s="273">
        <f t="shared" si="158"/>
        <v>137759.85496000003</v>
      </c>
      <c r="BY483" s="213" t="s">
        <v>4738</v>
      </c>
      <c r="BZ483" s="213" t="s">
        <v>3336</v>
      </c>
      <c r="CA483" s="213"/>
      <c r="CB483" s="274"/>
      <c r="CC483" s="274"/>
      <c r="CD483" s="274"/>
      <c r="CE483" s="39"/>
      <c r="CF483" s="39"/>
      <c r="CG483" s="39"/>
      <c r="CH483" s="274">
        <v>208000</v>
      </c>
      <c r="CI483" s="274">
        <f t="shared" si="161"/>
        <v>39520</v>
      </c>
      <c r="CJ483" s="274">
        <f t="shared" si="162"/>
        <v>247520</v>
      </c>
      <c r="CK483" s="39"/>
      <c r="CL483" s="39"/>
      <c r="CM483" s="39"/>
      <c r="CN483" s="39"/>
      <c r="CO483" s="39"/>
      <c r="CP483" s="11"/>
      <c r="CQ483" s="11"/>
      <c r="CR483" s="11"/>
      <c r="CS483" s="11"/>
      <c r="CT483" s="11"/>
      <c r="CU483" s="11"/>
      <c r="CV483" s="11"/>
      <c r="CW483" s="11"/>
      <c r="CX483" s="11"/>
      <c r="CY483" s="11"/>
      <c r="CZ483" s="11"/>
      <c r="DA483" s="11"/>
      <c r="DB483" s="11"/>
      <c r="DC483" s="11"/>
      <c r="DD483" s="11"/>
      <c r="DE483" s="11"/>
      <c r="DF483" s="11"/>
      <c r="DG483" s="11"/>
      <c r="DH483" s="11"/>
      <c r="DI483" s="11"/>
      <c r="DJ483" s="11"/>
      <c r="DK483" s="11"/>
      <c r="DL483" s="274"/>
      <c r="DM483" s="274"/>
      <c r="DN483" s="274"/>
      <c r="DO483" s="274"/>
      <c r="DP483" s="274"/>
      <c r="DQ483" s="274"/>
      <c r="DR483" s="274"/>
      <c r="DS483" s="274"/>
      <c r="DT483" s="274"/>
      <c r="DU483" s="274"/>
      <c r="DV483" s="274"/>
      <c r="DW483" s="274"/>
      <c r="DX483" s="274"/>
      <c r="DY483" s="274"/>
      <c r="DZ483" s="274"/>
      <c r="EA483" s="274"/>
      <c r="EB483" s="274"/>
      <c r="EC483" s="274"/>
      <c r="ED483" s="39">
        <f t="shared" si="145"/>
        <v>1058311.72496</v>
      </c>
      <c r="EE483" s="30">
        <f t="shared" si="146"/>
        <v>7</v>
      </c>
      <c r="EF483" s="39">
        <f t="shared" si="147"/>
        <v>151187.38928</v>
      </c>
    </row>
    <row r="484" spans="1:136" ht="51" x14ac:dyDescent="0.25">
      <c r="A484" s="25" t="e">
        <f>#REF!</f>
        <v>#REF!</v>
      </c>
      <c r="B484" s="50" t="e">
        <f>#REF!</f>
        <v>#REF!</v>
      </c>
      <c r="C484" s="5" t="e">
        <f>#REF!</f>
        <v>#REF!</v>
      </c>
      <c r="D484" s="5" t="e">
        <f>#REF!</f>
        <v>#REF!</v>
      </c>
      <c r="E484" s="252">
        <v>1</v>
      </c>
      <c r="F484" s="249">
        <v>952000</v>
      </c>
      <c r="G484" s="249">
        <v>923440</v>
      </c>
      <c r="H484" s="249">
        <v>953556.99600000004</v>
      </c>
      <c r="I484" s="249">
        <v>0</v>
      </c>
      <c r="J484" s="249">
        <v>820763.24678197503</v>
      </c>
      <c r="K484" s="249">
        <v>0</v>
      </c>
      <c r="L484" s="274">
        <f>AVERAGE(F484,H484,J484)</f>
        <v>908773.41426065844</v>
      </c>
      <c r="M484" s="274">
        <f>G484*E1</f>
        <v>951143.20000000007</v>
      </c>
      <c r="N484" s="255">
        <v>0</v>
      </c>
      <c r="O484" s="135"/>
      <c r="P484" s="135"/>
      <c r="Q484" s="131"/>
      <c r="R484" s="131"/>
      <c r="S484" s="11"/>
      <c r="T484" s="274"/>
      <c r="U484" s="274"/>
      <c r="V484" s="274"/>
      <c r="W484" s="39"/>
      <c r="X484" s="11"/>
      <c r="Y484" s="11"/>
      <c r="Z484" s="274"/>
      <c r="AA484" s="274"/>
      <c r="AB484" s="274"/>
      <c r="AC484" s="52"/>
      <c r="AD484" s="22"/>
      <c r="AE484" s="39"/>
      <c r="AF484" s="274"/>
      <c r="AG484" s="274"/>
      <c r="AH484" s="171"/>
      <c r="AI484" s="22"/>
      <c r="AJ484" s="39"/>
      <c r="AK484" s="39"/>
      <c r="AL484" s="118"/>
      <c r="AM484" s="152"/>
      <c r="AN484" s="181"/>
      <c r="AO484" s="131"/>
      <c r="AP484" s="131"/>
      <c r="AQ484" s="39"/>
      <c r="AR484" s="274"/>
      <c r="AS484" s="274"/>
      <c r="AT484" s="274"/>
      <c r="AU484" s="39"/>
      <c r="AV484" s="39"/>
      <c r="AW484" s="39"/>
      <c r="AX484" s="274"/>
      <c r="AY484" s="274"/>
      <c r="AZ484" s="274"/>
      <c r="BA484" s="39"/>
      <c r="BB484" s="62"/>
      <c r="BC484" s="39"/>
      <c r="BD484" s="118">
        <f>581573*10</f>
        <v>5815730</v>
      </c>
      <c r="BE484" s="274">
        <f t="shared" si="159"/>
        <v>1104988.7</v>
      </c>
      <c r="BF484" s="274">
        <f t="shared" si="160"/>
        <v>6920718.7000000002</v>
      </c>
      <c r="BG484" s="25" t="s">
        <v>2005</v>
      </c>
      <c r="BH484" s="5" t="s">
        <v>4921</v>
      </c>
      <c r="BI484" s="5" t="s">
        <v>4922</v>
      </c>
      <c r="BJ484" s="275">
        <v>1500000</v>
      </c>
      <c r="BK484" s="274">
        <f t="shared" si="153"/>
        <v>285000</v>
      </c>
      <c r="BL484" s="275">
        <f t="shared" si="154"/>
        <v>1785000</v>
      </c>
      <c r="BM484" s="213" t="s">
        <v>4923</v>
      </c>
      <c r="BN484" s="213" t="s">
        <v>4924</v>
      </c>
      <c r="BO484" s="39"/>
      <c r="BP484" s="275"/>
      <c r="BQ484" s="275"/>
      <c r="BR484" s="275"/>
      <c r="BS484" s="39"/>
      <c r="BT484" s="39"/>
      <c r="BU484" s="39"/>
      <c r="BV484" s="212"/>
      <c r="BW484" s="212"/>
      <c r="BX484" s="273"/>
      <c r="BY484" s="213"/>
      <c r="BZ484" s="213"/>
      <c r="CA484" s="213"/>
      <c r="CB484" s="274"/>
      <c r="CC484" s="274"/>
      <c r="CD484" s="274"/>
      <c r="CE484" s="39"/>
      <c r="CF484" s="39"/>
      <c r="CG484" s="39"/>
      <c r="CH484" s="274"/>
      <c r="CI484" s="274">
        <f t="shared" si="161"/>
        <v>0</v>
      </c>
      <c r="CJ484" s="274">
        <f t="shared" si="162"/>
        <v>0</v>
      </c>
      <c r="CK484" s="39"/>
      <c r="CL484" s="39"/>
      <c r="CM484" s="39"/>
      <c r="CN484" s="39">
        <v>956000</v>
      </c>
      <c r="CO484" s="39">
        <f>+CN484*0.19</f>
        <v>181640</v>
      </c>
      <c r="CP484" s="39">
        <f>+CN484+CO484</f>
        <v>1137640</v>
      </c>
      <c r="CQ484" s="11" t="s">
        <v>3400</v>
      </c>
      <c r="CR484" s="11"/>
      <c r="CS484" s="11"/>
      <c r="CT484" s="11"/>
      <c r="CU484" s="11"/>
      <c r="CV484" s="11"/>
      <c r="CW484" s="11"/>
      <c r="CX484" s="11"/>
      <c r="CY484" s="11"/>
      <c r="CZ484" s="11"/>
      <c r="DA484" s="11"/>
      <c r="DB484" s="11"/>
      <c r="DC484" s="11"/>
      <c r="DD484" s="11"/>
      <c r="DE484" s="11"/>
      <c r="DF484" s="11"/>
      <c r="DG484" s="11"/>
      <c r="DH484" s="11"/>
      <c r="DI484" s="11"/>
      <c r="DJ484" s="11"/>
      <c r="DK484" s="11"/>
      <c r="DL484" s="274"/>
      <c r="DM484" s="274"/>
      <c r="DN484" s="274"/>
      <c r="DO484" s="274"/>
      <c r="DP484" s="274"/>
      <c r="DQ484" s="274"/>
      <c r="DR484" s="274"/>
      <c r="DS484" s="274"/>
      <c r="DT484" s="274"/>
      <c r="DU484" s="274"/>
      <c r="DV484" s="274"/>
      <c r="DW484" s="274"/>
      <c r="DX484" s="274"/>
      <c r="DY484" s="274"/>
      <c r="DZ484" s="274"/>
      <c r="EA484" s="274"/>
      <c r="EB484" s="274"/>
      <c r="EC484" s="274"/>
      <c r="ED484" s="39">
        <f t="shared" si="145"/>
        <v>10794501.9</v>
      </c>
      <c r="EE484" s="30">
        <f t="shared" si="146"/>
        <v>5</v>
      </c>
      <c r="EF484" s="39">
        <f t="shared" si="147"/>
        <v>2158900.38</v>
      </c>
    </row>
    <row r="485" spans="1:136" ht="51" x14ac:dyDescent="0.25">
      <c r="A485" s="25" t="e">
        <f>#REF!</f>
        <v>#REF!</v>
      </c>
      <c r="B485" s="50" t="e">
        <f>#REF!</f>
        <v>#REF!</v>
      </c>
      <c r="C485" s="5" t="e">
        <f>#REF!</f>
        <v>#REF!</v>
      </c>
      <c r="D485" s="5" t="e">
        <f>#REF!</f>
        <v>#REF!</v>
      </c>
      <c r="E485" s="252">
        <v>1</v>
      </c>
      <c r="F485" s="249">
        <v>0</v>
      </c>
      <c r="G485" s="249">
        <v>0</v>
      </c>
      <c r="H485" s="249">
        <v>13534306.333333334</v>
      </c>
      <c r="I485" s="249">
        <v>13534227</v>
      </c>
      <c r="J485" s="249">
        <v>0</v>
      </c>
      <c r="K485" s="249">
        <v>0</v>
      </c>
      <c r="L485" s="274">
        <f>H485</f>
        <v>13534306.333333334</v>
      </c>
      <c r="M485" s="274">
        <f>I485*E1</f>
        <v>13940253.810000001</v>
      </c>
      <c r="N485" s="255">
        <v>0</v>
      </c>
      <c r="O485" s="135"/>
      <c r="P485" s="135"/>
      <c r="Q485" s="131"/>
      <c r="R485" s="131"/>
      <c r="S485" s="11"/>
      <c r="T485" s="274"/>
      <c r="U485" s="274"/>
      <c r="V485" s="274"/>
      <c r="W485" s="39"/>
      <c r="X485" s="11"/>
      <c r="Y485" s="11"/>
      <c r="Z485" s="274"/>
      <c r="AA485" s="274"/>
      <c r="AB485" s="274"/>
      <c r="AC485" s="52"/>
      <c r="AD485" s="22"/>
      <c r="AE485" s="39"/>
      <c r="AF485" s="274"/>
      <c r="AG485" s="274"/>
      <c r="AH485" s="171"/>
      <c r="AI485" s="22"/>
      <c r="AJ485" s="39"/>
      <c r="AK485" s="39"/>
      <c r="AL485" s="118"/>
      <c r="AM485" s="152"/>
      <c r="AN485" s="181"/>
      <c r="AO485" s="131"/>
      <c r="AP485" s="131"/>
      <c r="AQ485" s="39"/>
      <c r="AR485" s="274"/>
      <c r="AS485" s="274"/>
      <c r="AT485" s="274"/>
      <c r="AU485" s="39"/>
      <c r="AV485" s="39"/>
      <c r="AW485" s="39"/>
      <c r="AX485" s="274"/>
      <c r="AY485" s="274"/>
      <c r="AZ485" s="274"/>
      <c r="BA485" s="39"/>
      <c r="BB485" s="62"/>
      <c r="BC485" s="39"/>
      <c r="BD485" s="118">
        <v>8487090</v>
      </c>
      <c r="BE485" s="274">
        <f t="shared" si="159"/>
        <v>1612547.1</v>
      </c>
      <c r="BF485" s="274">
        <f t="shared" si="160"/>
        <v>10099637.1</v>
      </c>
      <c r="BG485" s="25" t="s">
        <v>4925</v>
      </c>
      <c r="BH485" s="5" t="s">
        <v>4926</v>
      </c>
      <c r="BI485" s="5" t="s">
        <v>4927</v>
      </c>
      <c r="BJ485" s="275"/>
      <c r="BK485" s="275"/>
      <c r="BL485" s="275"/>
      <c r="BM485" s="213"/>
      <c r="BN485" s="213"/>
      <c r="BO485" s="39"/>
      <c r="BP485" s="275"/>
      <c r="BQ485" s="275"/>
      <c r="BR485" s="275"/>
      <c r="BS485" s="39"/>
      <c r="BT485" s="39"/>
      <c r="BU485" s="39"/>
      <c r="BV485" s="212"/>
      <c r="BW485" s="212"/>
      <c r="BX485" s="273"/>
      <c r="BY485" s="213"/>
      <c r="BZ485" s="213"/>
      <c r="CA485" s="213"/>
      <c r="CB485" s="274"/>
      <c r="CC485" s="274"/>
      <c r="CD485" s="274"/>
      <c r="CE485" s="39"/>
      <c r="CF485" s="39"/>
      <c r="CG485" s="39"/>
      <c r="CH485" s="274"/>
      <c r="CI485" s="274">
        <f t="shared" si="161"/>
        <v>0</v>
      </c>
      <c r="CJ485" s="274">
        <f t="shared" si="162"/>
        <v>0</v>
      </c>
      <c r="CK485" s="39"/>
      <c r="CL485" s="39"/>
      <c r="CM485" s="39"/>
      <c r="CN485" s="39">
        <v>807000</v>
      </c>
      <c r="CO485" s="39">
        <f>+CN485*0.19</f>
        <v>153330</v>
      </c>
      <c r="CP485" s="39">
        <f>+CN485+CO485</f>
        <v>960330</v>
      </c>
      <c r="CQ485" s="11" t="s">
        <v>3400</v>
      </c>
      <c r="CR485" s="11"/>
      <c r="CS485" s="11"/>
      <c r="CT485" s="11"/>
      <c r="CU485" s="11"/>
      <c r="CV485" s="11"/>
      <c r="CW485" s="11"/>
      <c r="CX485" s="11"/>
      <c r="CY485" s="11"/>
      <c r="CZ485" s="11"/>
      <c r="DA485" s="11"/>
      <c r="DB485" s="11"/>
      <c r="DC485" s="11"/>
      <c r="DD485" s="11"/>
      <c r="DE485" s="11"/>
      <c r="DF485" s="11"/>
      <c r="DG485" s="11"/>
      <c r="DH485" s="11"/>
      <c r="DI485" s="11"/>
      <c r="DJ485" s="11"/>
      <c r="DK485" s="11"/>
      <c r="DL485" s="274"/>
      <c r="DM485" s="274"/>
      <c r="DN485" s="274"/>
      <c r="DO485" s="274"/>
      <c r="DP485" s="274"/>
      <c r="DQ485" s="274"/>
      <c r="DR485" s="274"/>
      <c r="DS485" s="274"/>
      <c r="DT485" s="274"/>
      <c r="DU485" s="274"/>
      <c r="DV485" s="274"/>
      <c r="DW485" s="274"/>
      <c r="DX485" s="274"/>
      <c r="DY485" s="274"/>
      <c r="DZ485" s="274"/>
      <c r="EA485" s="274"/>
      <c r="EB485" s="274"/>
      <c r="EC485" s="274"/>
      <c r="ED485" s="39">
        <f t="shared" si="145"/>
        <v>25000220.91</v>
      </c>
      <c r="EE485" s="30">
        <f t="shared" si="146"/>
        <v>4</v>
      </c>
      <c r="EF485" s="39">
        <f t="shared" si="147"/>
        <v>6250055.2275</v>
      </c>
    </row>
    <row r="486" spans="1:136" ht="38.25" x14ac:dyDescent="0.25">
      <c r="A486" s="25" t="e">
        <f>#REF!</f>
        <v>#REF!</v>
      </c>
      <c r="B486" s="50" t="e">
        <f>#REF!</f>
        <v>#REF!</v>
      </c>
      <c r="C486" s="5" t="e">
        <f>#REF!</f>
        <v>#REF!</v>
      </c>
      <c r="D486" s="5" t="e">
        <f>#REF!</f>
        <v>#REF!</v>
      </c>
      <c r="E486" s="252">
        <v>1</v>
      </c>
      <c r="F486" s="249">
        <v>0</v>
      </c>
      <c r="G486" s="249">
        <v>0</v>
      </c>
      <c r="H486" s="249">
        <v>72907.333333333328</v>
      </c>
      <c r="I486" s="249">
        <v>0</v>
      </c>
      <c r="J486" s="249">
        <v>0</v>
      </c>
      <c r="K486" s="249">
        <v>0</v>
      </c>
      <c r="L486" s="274">
        <f>H486</f>
        <v>72907.333333333328</v>
      </c>
      <c r="M486" s="274"/>
      <c r="N486" s="255">
        <v>65000</v>
      </c>
      <c r="O486" s="135">
        <f>+N486*0.19</f>
        <v>12350</v>
      </c>
      <c r="P486" s="135">
        <f>+N486+O486</f>
        <v>77350</v>
      </c>
      <c r="Q486" s="131"/>
      <c r="R486" s="131"/>
      <c r="S486" s="11"/>
      <c r="T486" s="274"/>
      <c r="U486" s="274"/>
      <c r="V486" s="274"/>
      <c r="W486" s="39"/>
      <c r="X486" s="11"/>
      <c r="Y486" s="11"/>
      <c r="Z486" s="274"/>
      <c r="AA486" s="274"/>
      <c r="AB486" s="274"/>
      <c r="AC486" s="52"/>
      <c r="AD486" s="22"/>
      <c r="AE486" s="39"/>
      <c r="AF486" s="274"/>
      <c r="AG486" s="274"/>
      <c r="AH486" s="171"/>
      <c r="AI486" s="4"/>
      <c r="AJ486" s="39"/>
      <c r="AK486" s="39"/>
      <c r="AL486" s="118"/>
      <c r="AM486" s="152"/>
      <c r="AN486" s="181"/>
      <c r="AO486" s="131"/>
      <c r="AP486" s="131"/>
      <c r="AQ486" s="39"/>
      <c r="AR486" s="274"/>
      <c r="AS486" s="274"/>
      <c r="AT486" s="274"/>
      <c r="AU486" s="39"/>
      <c r="AV486" s="39"/>
      <c r="AW486" s="39"/>
      <c r="AX486" s="274"/>
      <c r="AY486" s="274"/>
      <c r="AZ486" s="274"/>
      <c r="BA486" s="39"/>
      <c r="BB486" s="62"/>
      <c r="BC486" s="39"/>
      <c r="BD486" s="118">
        <v>38771</v>
      </c>
      <c r="BE486" s="274">
        <f t="shared" si="159"/>
        <v>7366.49</v>
      </c>
      <c r="BF486" s="274">
        <f t="shared" si="160"/>
        <v>46137.49</v>
      </c>
      <c r="BG486" s="25" t="s">
        <v>2005</v>
      </c>
      <c r="BH486" s="5" t="s">
        <v>4928</v>
      </c>
      <c r="BI486" s="5" t="s">
        <v>4929</v>
      </c>
      <c r="BJ486" s="274"/>
      <c r="BK486" s="274"/>
      <c r="BL486" s="274"/>
      <c r="BM486" s="213"/>
      <c r="BN486" s="213"/>
      <c r="BO486" s="39"/>
      <c r="BP486" s="274"/>
      <c r="BQ486" s="274"/>
      <c r="BR486" s="274"/>
      <c r="BS486" s="39"/>
      <c r="BT486" s="39"/>
      <c r="BU486" s="39"/>
      <c r="BV486" s="212"/>
      <c r="BW486" s="220"/>
      <c r="BX486" s="273"/>
      <c r="BY486" s="213"/>
      <c r="BZ486" s="213"/>
      <c r="CA486" s="213"/>
      <c r="CB486" s="275"/>
      <c r="CC486" s="274"/>
      <c r="CD486" s="274"/>
      <c r="CE486" s="39"/>
      <c r="CF486" s="39"/>
      <c r="CG486" s="39"/>
      <c r="CH486" s="274">
        <v>197000</v>
      </c>
      <c r="CI486" s="274">
        <f t="shared" si="161"/>
        <v>37430</v>
      </c>
      <c r="CJ486" s="274">
        <f t="shared" si="162"/>
        <v>234430</v>
      </c>
      <c r="CK486" s="39"/>
      <c r="CL486" s="39"/>
      <c r="CM486" s="39"/>
      <c r="CN486" s="39"/>
      <c r="CO486" s="39"/>
      <c r="CP486" s="11"/>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274"/>
      <c r="DM486" s="274"/>
      <c r="DN486" s="274"/>
      <c r="DO486" s="274"/>
      <c r="DP486" s="274"/>
      <c r="DQ486" s="274"/>
      <c r="DR486" s="274"/>
      <c r="DS486" s="274"/>
      <c r="DT486" s="274"/>
      <c r="DU486" s="274"/>
      <c r="DV486" s="274"/>
      <c r="DW486" s="274"/>
      <c r="DX486" s="274"/>
      <c r="DY486" s="274"/>
      <c r="DZ486" s="274"/>
      <c r="EA486" s="274"/>
      <c r="EB486" s="274"/>
      <c r="EC486" s="274"/>
      <c r="ED486" s="39">
        <f t="shared" si="145"/>
        <v>357917.49</v>
      </c>
      <c r="EE486" s="30">
        <f t="shared" si="146"/>
        <v>3</v>
      </c>
      <c r="EF486" s="39">
        <f t="shared" si="147"/>
        <v>119305.83</v>
      </c>
    </row>
    <row r="487" spans="1:136" ht="38.25" x14ac:dyDescent="0.25">
      <c r="A487" s="25" t="e">
        <f>#REF!</f>
        <v>#REF!</v>
      </c>
      <c r="B487" s="50" t="e">
        <f>#REF!</f>
        <v>#REF!</v>
      </c>
      <c r="C487" s="5" t="e">
        <f>#REF!</f>
        <v>#REF!</v>
      </c>
      <c r="D487" s="5" t="e">
        <f>#REF!</f>
        <v>#REF!</v>
      </c>
      <c r="E487" s="252">
        <v>1</v>
      </c>
      <c r="F487" s="249">
        <v>0</v>
      </c>
      <c r="G487" s="249">
        <v>0</v>
      </c>
      <c r="H487" s="249">
        <v>0</v>
      </c>
      <c r="I487" s="249">
        <v>0</v>
      </c>
      <c r="J487" s="249">
        <v>0</v>
      </c>
      <c r="K487" s="249">
        <v>0</v>
      </c>
      <c r="L487" s="274"/>
      <c r="M487" s="274"/>
      <c r="N487" s="256">
        <v>300000</v>
      </c>
      <c r="O487" s="135">
        <f>+N487*0.19</f>
        <v>57000</v>
      </c>
      <c r="P487" s="135">
        <f>+N487+O487</f>
        <v>357000</v>
      </c>
      <c r="Q487" s="131"/>
      <c r="R487" s="131"/>
      <c r="S487" s="11"/>
      <c r="T487" s="274"/>
      <c r="U487" s="274"/>
      <c r="V487" s="274"/>
      <c r="W487" s="39"/>
      <c r="X487" s="11"/>
      <c r="Y487" s="11"/>
      <c r="Z487" s="274"/>
      <c r="AA487" s="274"/>
      <c r="AB487" s="274"/>
      <c r="AC487" s="52"/>
      <c r="AD487" s="22"/>
      <c r="AE487" s="39"/>
      <c r="AF487" s="274"/>
      <c r="AG487" s="274"/>
      <c r="AH487" s="171"/>
      <c r="AI487" s="4"/>
      <c r="AJ487" s="39"/>
      <c r="AK487" s="39"/>
      <c r="AL487" s="118"/>
      <c r="AM487" s="152"/>
      <c r="AN487" s="181"/>
      <c r="AO487" s="131"/>
      <c r="AP487" s="131"/>
      <c r="AQ487" s="39"/>
      <c r="AR487" s="274"/>
      <c r="AS487" s="274"/>
      <c r="AT487" s="274"/>
      <c r="AU487" s="39"/>
      <c r="AV487" s="39"/>
      <c r="AW487" s="39"/>
      <c r="AX487" s="274"/>
      <c r="AY487" s="274"/>
      <c r="AZ487" s="274"/>
      <c r="BA487" s="39"/>
      <c r="BB487" s="62"/>
      <c r="BC487" s="39"/>
      <c r="BD487" s="113">
        <v>272694</v>
      </c>
      <c r="BE487" s="274">
        <f t="shared" si="159"/>
        <v>51811.86</v>
      </c>
      <c r="BF487" s="274">
        <f t="shared" si="160"/>
        <v>324505.86</v>
      </c>
      <c r="BG487" s="25" t="s">
        <v>2005</v>
      </c>
      <c r="BH487" s="5" t="s">
        <v>4930</v>
      </c>
      <c r="BI487" s="5" t="s">
        <v>4931</v>
      </c>
      <c r="BJ487" s="274">
        <v>412500</v>
      </c>
      <c r="BK487" s="274">
        <f t="shared" ref="BK487:BK502" si="163">+BJ487*0.19</f>
        <v>78375</v>
      </c>
      <c r="BL487" s="274">
        <f t="shared" ref="BL487:BL502" si="164">+BJ487+BK487</f>
        <v>490875</v>
      </c>
      <c r="BM487" s="213" t="s">
        <v>4738</v>
      </c>
      <c r="BN487" s="213" t="s">
        <v>3336</v>
      </c>
      <c r="BO487" s="39"/>
      <c r="BP487" s="274"/>
      <c r="BQ487" s="274"/>
      <c r="BR487" s="274"/>
      <c r="BS487" s="39"/>
      <c r="BT487" s="39"/>
      <c r="BU487" s="39"/>
      <c r="BV487" s="212">
        <v>481638.30000000005</v>
      </c>
      <c r="BW487" s="219">
        <f t="shared" ref="BW487:BW502" si="165">+BV487*0.19</f>
        <v>91511.277000000016</v>
      </c>
      <c r="BX487" s="273">
        <f t="shared" ref="BX487:BX502" si="166">+BV487+BW487</f>
        <v>573149.57700000005</v>
      </c>
      <c r="BY487" s="213" t="s">
        <v>4738</v>
      </c>
      <c r="BZ487" s="213" t="s">
        <v>3336</v>
      </c>
      <c r="CA487" s="213"/>
      <c r="CB487" s="274"/>
      <c r="CC487" s="274"/>
      <c r="CD487" s="274"/>
      <c r="CE487" s="39"/>
      <c r="CF487" s="39"/>
      <c r="CG487" s="39"/>
      <c r="CH487" s="275"/>
      <c r="CI487" s="275"/>
      <c r="CJ487" s="275"/>
      <c r="CK487" s="39"/>
      <c r="CL487" s="39"/>
      <c r="CM487" s="39"/>
      <c r="CN487" s="39"/>
      <c r="CO487" s="39"/>
      <c r="CP487" s="11"/>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274"/>
      <c r="DM487" s="274"/>
      <c r="DN487" s="274"/>
      <c r="DO487" s="274"/>
      <c r="DP487" s="274"/>
      <c r="DQ487" s="274"/>
      <c r="DR487" s="274"/>
      <c r="DS487" s="274"/>
      <c r="DT487" s="274"/>
      <c r="DU487" s="274"/>
      <c r="DV487" s="274"/>
      <c r="DW487" s="274"/>
      <c r="DX487" s="274"/>
      <c r="DY487" s="274"/>
      <c r="DZ487" s="274"/>
      <c r="EA487" s="274"/>
      <c r="EB487" s="274"/>
      <c r="EC487" s="274"/>
      <c r="ED487" s="39">
        <f t="shared" si="145"/>
        <v>1745530.4369999999</v>
      </c>
      <c r="EE487" s="30">
        <f t="shared" si="146"/>
        <v>4</v>
      </c>
      <c r="EF487" s="39">
        <f t="shared" si="147"/>
        <v>436382.60924999998</v>
      </c>
    </row>
    <row r="488" spans="1:136" ht="63.75" x14ac:dyDescent="0.25">
      <c r="A488" s="25" t="e">
        <f>#REF!</f>
        <v>#REF!</v>
      </c>
      <c r="B488" s="50" t="e">
        <f>#REF!</f>
        <v>#REF!</v>
      </c>
      <c r="C488" s="5" t="e">
        <f>#REF!</f>
        <v>#REF!</v>
      </c>
      <c r="D488" s="5" t="e">
        <f>#REF!</f>
        <v>#REF!</v>
      </c>
      <c r="E488" s="252">
        <v>1</v>
      </c>
      <c r="F488" s="249">
        <v>368186</v>
      </c>
      <c r="G488" s="249">
        <v>166600</v>
      </c>
      <c r="H488" s="249">
        <v>314811.32666666666</v>
      </c>
      <c r="I488" s="249">
        <v>176120</v>
      </c>
      <c r="J488" s="249">
        <v>267424.40281844931</v>
      </c>
      <c r="K488" s="249">
        <v>266560</v>
      </c>
      <c r="L488" s="274">
        <f>AVERAGE(F488,H488,J488)</f>
        <v>316807.24316170532</v>
      </c>
      <c r="M488" s="274">
        <f>AVERAGE(G488,I488,K488)*E1</f>
        <v>209186.13333333336</v>
      </c>
      <c r="N488" s="255">
        <v>820000</v>
      </c>
      <c r="O488" s="135">
        <f>+N488*0.19</f>
        <v>155800</v>
      </c>
      <c r="P488" s="135">
        <f>+N488+O488</f>
        <v>975800</v>
      </c>
      <c r="Q488" s="131"/>
      <c r="R488" s="131"/>
      <c r="S488" s="11"/>
      <c r="T488" s="274"/>
      <c r="U488" s="274"/>
      <c r="V488" s="274"/>
      <c r="W488" s="39"/>
      <c r="X488" s="11"/>
      <c r="Y488" s="11"/>
      <c r="Z488" s="274"/>
      <c r="AA488" s="274"/>
      <c r="AB488" s="274"/>
      <c r="AC488" s="52"/>
      <c r="AD488" s="22"/>
      <c r="AE488" s="39"/>
      <c r="AF488" s="274"/>
      <c r="AG488" s="274"/>
      <c r="AH488" s="171"/>
      <c r="AI488" s="4"/>
      <c r="AJ488" s="39"/>
      <c r="AK488" s="39"/>
      <c r="AL488" s="118"/>
      <c r="AM488" s="152"/>
      <c r="AN488" s="181"/>
      <c r="AO488" s="131"/>
      <c r="AP488" s="131"/>
      <c r="AQ488" s="39"/>
      <c r="AR488" s="274"/>
      <c r="AS488" s="274"/>
      <c r="AT488" s="274"/>
      <c r="AU488" s="39"/>
      <c r="AV488" s="39"/>
      <c r="AW488" s="39"/>
      <c r="AX488" s="274"/>
      <c r="AY488" s="274"/>
      <c r="AZ488" s="274"/>
      <c r="BA488" s="39"/>
      <c r="BB488" s="62"/>
      <c r="BC488" s="39"/>
      <c r="BD488" s="118">
        <v>186104</v>
      </c>
      <c r="BE488" s="274">
        <f t="shared" si="159"/>
        <v>35359.760000000002</v>
      </c>
      <c r="BF488" s="274">
        <f t="shared" si="160"/>
        <v>221463.76</v>
      </c>
      <c r="BG488" s="25" t="s">
        <v>2005</v>
      </c>
      <c r="BH488" s="5" t="s">
        <v>4932</v>
      </c>
      <c r="BI488" s="5" t="s">
        <v>4933</v>
      </c>
      <c r="BJ488" s="274">
        <v>788400</v>
      </c>
      <c r="BK488" s="274">
        <f t="shared" si="163"/>
        <v>149796</v>
      </c>
      <c r="BL488" s="274">
        <f t="shared" si="164"/>
        <v>938196</v>
      </c>
      <c r="BM488" s="213" t="s">
        <v>4738</v>
      </c>
      <c r="BN488" s="213" t="s">
        <v>3336</v>
      </c>
      <c r="BO488" s="39"/>
      <c r="BP488" s="274"/>
      <c r="BQ488" s="274"/>
      <c r="BR488" s="274"/>
      <c r="BS488" s="39"/>
      <c r="BT488" s="39"/>
      <c r="BU488" s="39"/>
      <c r="BV488" s="219">
        <v>903482.74800000002</v>
      </c>
      <c r="BW488" s="219">
        <f t="shared" si="165"/>
        <v>171661.72212000002</v>
      </c>
      <c r="BX488" s="273">
        <f t="shared" si="166"/>
        <v>1075144.47012</v>
      </c>
      <c r="BY488" s="213" t="s">
        <v>4738</v>
      </c>
      <c r="BZ488" s="213" t="s">
        <v>3336</v>
      </c>
      <c r="CA488" s="213"/>
      <c r="CB488" s="274"/>
      <c r="CC488" s="274"/>
      <c r="CD488" s="274"/>
      <c r="CE488" s="39"/>
      <c r="CF488" s="39"/>
      <c r="CG488" s="39"/>
      <c r="CH488" s="274"/>
      <c r="CI488" s="274"/>
      <c r="CJ488" s="274"/>
      <c r="CK488" s="39"/>
      <c r="CL488" s="39"/>
      <c r="CM488" s="39"/>
      <c r="CN488" s="39"/>
      <c r="CO488" s="39"/>
      <c r="CP488" s="11"/>
      <c r="CQ488" s="11"/>
      <c r="CR488" s="11"/>
      <c r="CS488" s="11"/>
      <c r="CT488" s="11"/>
      <c r="CU488" s="11"/>
      <c r="CV488" s="11"/>
      <c r="CW488" s="11"/>
      <c r="CX488" s="11"/>
      <c r="CY488" s="11"/>
      <c r="CZ488" s="11"/>
      <c r="DA488" s="11"/>
      <c r="DB488" s="11"/>
      <c r="DC488" s="11"/>
      <c r="DD488" s="11"/>
      <c r="DE488" s="11"/>
      <c r="DF488" s="11"/>
      <c r="DG488" s="11"/>
      <c r="DH488" s="11"/>
      <c r="DI488" s="11"/>
      <c r="DJ488" s="11"/>
      <c r="DK488" s="11"/>
      <c r="DL488" s="274"/>
      <c r="DM488" s="274"/>
      <c r="DN488" s="274"/>
      <c r="DO488" s="274"/>
      <c r="DP488" s="274"/>
      <c r="DQ488" s="274"/>
      <c r="DR488" s="274"/>
      <c r="DS488" s="274"/>
      <c r="DT488" s="274"/>
      <c r="DU488" s="274"/>
      <c r="DV488" s="274"/>
      <c r="DW488" s="274"/>
      <c r="DX488" s="274"/>
      <c r="DY488" s="274"/>
      <c r="DZ488" s="274"/>
      <c r="EA488" s="274"/>
      <c r="EB488" s="274"/>
      <c r="EC488" s="274"/>
      <c r="ED488" s="39">
        <f t="shared" si="145"/>
        <v>3419790.3634533333</v>
      </c>
      <c r="EE488" s="30">
        <f t="shared" si="146"/>
        <v>5</v>
      </c>
      <c r="EF488" s="39">
        <f t="shared" si="147"/>
        <v>683958.07269066665</v>
      </c>
    </row>
    <row r="489" spans="1:136" ht="60" x14ac:dyDescent="0.25">
      <c r="A489" s="25" t="e">
        <f>#REF!</f>
        <v>#REF!</v>
      </c>
      <c r="B489" s="50" t="e">
        <f>#REF!</f>
        <v>#REF!</v>
      </c>
      <c r="C489" s="5" t="e">
        <f>#REF!</f>
        <v>#REF!</v>
      </c>
      <c r="D489" s="5" t="e">
        <f>#REF!</f>
        <v>#REF!</v>
      </c>
      <c r="E489" s="252">
        <v>1</v>
      </c>
      <c r="F489" s="249">
        <v>59500</v>
      </c>
      <c r="G489" s="249">
        <v>57120</v>
      </c>
      <c r="H489" s="249">
        <v>99026.405333333343</v>
      </c>
      <c r="I489" s="249">
        <v>98889</v>
      </c>
      <c r="J489" s="249">
        <v>66878</v>
      </c>
      <c r="K489" s="249">
        <v>54740</v>
      </c>
      <c r="L489" s="274">
        <f>AVERAGE(F489,H489,J489)</f>
        <v>75134.801777777786</v>
      </c>
      <c r="M489" s="274">
        <f>AVERAGE(G489,I489,K489)*E1</f>
        <v>72357.156666666677</v>
      </c>
      <c r="N489" s="255">
        <v>65000</v>
      </c>
      <c r="O489" s="135">
        <f>+N489*0.19</f>
        <v>12350</v>
      </c>
      <c r="P489" s="135">
        <f>+N489+O489</f>
        <v>77350</v>
      </c>
      <c r="Q489" s="131"/>
      <c r="R489" s="131"/>
      <c r="S489" s="11"/>
      <c r="T489" s="274"/>
      <c r="U489" s="274"/>
      <c r="V489" s="274"/>
      <c r="W489" s="39"/>
      <c r="X489" s="11"/>
      <c r="Y489" s="11"/>
      <c r="Z489" s="274"/>
      <c r="AA489" s="274"/>
      <c r="AB489" s="274"/>
      <c r="AC489" s="52"/>
      <c r="AD489" s="22"/>
      <c r="AE489" s="39"/>
      <c r="AF489" s="274"/>
      <c r="AG489" s="274"/>
      <c r="AH489" s="113"/>
      <c r="AI489" s="4"/>
      <c r="AJ489" s="39"/>
      <c r="AK489" s="39"/>
      <c r="AL489" s="118"/>
      <c r="AM489" s="152"/>
      <c r="AN489" s="181"/>
      <c r="AO489" s="131"/>
      <c r="AP489" s="131"/>
      <c r="AQ489" s="39"/>
      <c r="AR489" s="274"/>
      <c r="AS489" s="274"/>
      <c r="AT489" s="274"/>
      <c r="AU489" s="39"/>
      <c r="AV489" s="39"/>
      <c r="AW489" s="39"/>
      <c r="AX489" s="274"/>
      <c r="AY489" s="274"/>
      <c r="AZ489" s="274"/>
      <c r="BA489" s="39"/>
      <c r="BB489" s="62"/>
      <c r="BC489" s="39"/>
      <c r="BD489" s="274"/>
      <c r="BE489" s="274"/>
      <c r="BF489" s="274"/>
      <c r="BG489" s="39"/>
      <c r="BH489" s="39"/>
      <c r="BI489" s="39"/>
      <c r="BJ489" s="274">
        <v>96000</v>
      </c>
      <c r="BK489" s="274">
        <f t="shared" si="163"/>
        <v>18240</v>
      </c>
      <c r="BL489" s="274">
        <f t="shared" si="164"/>
        <v>114240</v>
      </c>
      <c r="BM489" s="214" t="s">
        <v>4044</v>
      </c>
      <c r="BN489" s="213" t="s">
        <v>164</v>
      </c>
      <c r="BO489" s="39"/>
      <c r="BP489" s="274">
        <v>45600</v>
      </c>
      <c r="BQ489" s="274">
        <f>+BP489*19%</f>
        <v>8664</v>
      </c>
      <c r="BR489" s="274">
        <f>+BQ489+BP489</f>
        <v>54264</v>
      </c>
      <c r="BS489" s="39"/>
      <c r="BT489" s="39"/>
      <c r="BU489" s="39"/>
      <c r="BV489" s="219">
        <v>116484.48000000001</v>
      </c>
      <c r="BW489" s="219">
        <f t="shared" si="165"/>
        <v>22132.051200000002</v>
      </c>
      <c r="BX489" s="273">
        <f t="shared" si="166"/>
        <v>138616.53120000003</v>
      </c>
      <c r="BY489" s="214" t="s">
        <v>4044</v>
      </c>
      <c r="BZ489" s="213" t="s">
        <v>164</v>
      </c>
      <c r="CA489" s="213"/>
      <c r="CB489" s="274"/>
      <c r="CC489" s="274"/>
      <c r="CD489" s="274"/>
      <c r="CE489" s="39"/>
      <c r="CF489" s="39"/>
      <c r="CG489" s="39"/>
      <c r="CH489" s="274"/>
      <c r="CI489" s="274"/>
      <c r="CJ489" s="274"/>
      <c r="CK489" s="39"/>
      <c r="CL489" s="39"/>
      <c r="CM489" s="39"/>
      <c r="CN489" s="39"/>
      <c r="CO489" s="39"/>
      <c r="CP489" s="11"/>
      <c r="CQ489" s="11"/>
      <c r="CR489" s="11"/>
      <c r="CS489" s="11"/>
      <c r="CT489" s="11"/>
      <c r="CU489" s="11"/>
      <c r="CV489" s="11"/>
      <c r="CW489" s="11"/>
      <c r="CX489" s="11"/>
      <c r="CY489" s="11"/>
      <c r="CZ489" s="11"/>
      <c r="DA489" s="11"/>
      <c r="DB489" s="11"/>
      <c r="DC489" s="11"/>
      <c r="DD489" s="11"/>
      <c r="DE489" s="11"/>
      <c r="DF489" s="11"/>
      <c r="DG489" s="11"/>
      <c r="DH489" s="11"/>
      <c r="DI489" s="11"/>
      <c r="DJ489" s="11"/>
      <c r="DK489" s="11"/>
      <c r="DL489" s="274"/>
      <c r="DM489" s="274"/>
      <c r="DN489" s="274"/>
      <c r="DO489" s="274"/>
      <c r="DP489" s="274"/>
      <c r="DQ489" s="274"/>
      <c r="DR489" s="274"/>
      <c r="DS489" s="274"/>
      <c r="DT489" s="274"/>
      <c r="DU489" s="274"/>
      <c r="DV489" s="274"/>
      <c r="DW489" s="274"/>
      <c r="DX489" s="274"/>
      <c r="DY489" s="274"/>
      <c r="DZ489" s="274"/>
      <c r="EA489" s="274"/>
      <c r="EB489" s="274"/>
      <c r="EC489" s="274"/>
      <c r="ED489" s="39">
        <f t="shared" si="145"/>
        <v>456827.6878666667</v>
      </c>
      <c r="EE489" s="30">
        <f t="shared" si="146"/>
        <v>5</v>
      </c>
      <c r="EF489" s="39">
        <f t="shared" si="147"/>
        <v>91365.537573333335</v>
      </c>
    </row>
    <row r="490" spans="1:136" x14ac:dyDescent="0.25">
      <c r="A490" s="25" t="e">
        <f>#REF!</f>
        <v>#REF!</v>
      </c>
      <c r="B490" s="50" t="e">
        <f>#REF!</f>
        <v>#REF!</v>
      </c>
      <c r="C490" s="5" t="e">
        <f>#REF!</f>
        <v>#REF!</v>
      </c>
      <c r="D490" s="5" t="e">
        <f>#REF!</f>
        <v>#REF!</v>
      </c>
      <c r="E490" s="252">
        <v>1</v>
      </c>
      <c r="F490" s="249">
        <v>0</v>
      </c>
      <c r="G490" s="249">
        <v>0</v>
      </c>
      <c r="H490" s="249">
        <v>0</v>
      </c>
      <c r="I490" s="249">
        <v>0</v>
      </c>
      <c r="J490" s="249">
        <v>0</v>
      </c>
      <c r="K490" s="249">
        <v>0</v>
      </c>
      <c r="L490" s="274"/>
      <c r="M490" s="274"/>
      <c r="N490" s="255"/>
      <c r="O490" s="135"/>
      <c r="P490" s="135"/>
      <c r="Q490" s="131"/>
      <c r="R490" s="131"/>
      <c r="S490" s="11"/>
      <c r="T490" s="274"/>
      <c r="U490" s="274"/>
      <c r="V490" s="274"/>
      <c r="W490" s="39"/>
      <c r="X490" s="11"/>
      <c r="Y490" s="11"/>
      <c r="Z490" s="274"/>
      <c r="AA490" s="274"/>
      <c r="AB490" s="274"/>
      <c r="AC490" s="52"/>
      <c r="AD490" s="22"/>
      <c r="AE490" s="39"/>
      <c r="AF490" s="274"/>
      <c r="AG490" s="274"/>
      <c r="AH490" s="171"/>
      <c r="AI490" s="4"/>
      <c r="AJ490" s="39"/>
      <c r="AK490" s="39"/>
      <c r="AL490" s="118"/>
      <c r="AM490" s="152"/>
      <c r="AN490" s="181"/>
      <c r="AO490" s="131"/>
      <c r="AP490" s="131"/>
      <c r="AQ490" s="39"/>
      <c r="AR490" s="274"/>
      <c r="AS490" s="274"/>
      <c r="AT490" s="274"/>
      <c r="AU490" s="39"/>
      <c r="AV490" s="39"/>
      <c r="AW490" s="39"/>
      <c r="AX490" s="274"/>
      <c r="AY490" s="274"/>
      <c r="AZ490" s="274"/>
      <c r="BA490" s="39"/>
      <c r="BB490" s="62"/>
      <c r="BC490" s="39"/>
      <c r="BD490" s="274"/>
      <c r="BE490" s="274"/>
      <c r="BF490" s="274"/>
      <c r="BG490" s="39"/>
      <c r="BH490" s="39"/>
      <c r="BI490" s="39"/>
      <c r="BJ490" s="274">
        <v>336600</v>
      </c>
      <c r="BK490" s="274">
        <f t="shared" si="163"/>
        <v>63954</v>
      </c>
      <c r="BL490" s="274">
        <f t="shared" si="164"/>
        <v>400554</v>
      </c>
      <c r="BM490" s="213" t="s">
        <v>4831</v>
      </c>
      <c r="BN490" s="213" t="s">
        <v>4893</v>
      </c>
      <c r="BO490" s="39"/>
      <c r="BP490" s="274">
        <v>12500</v>
      </c>
      <c r="BQ490" s="274">
        <f>+BP490*19%</f>
        <v>2375</v>
      </c>
      <c r="BR490" s="274">
        <f>+BQ490+BP490</f>
        <v>14875</v>
      </c>
      <c r="BS490" s="39"/>
      <c r="BT490" s="39"/>
      <c r="BU490" s="39"/>
      <c r="BV490" s="219">
        <v>367777.23840000003</v>
      </c>
      <c r="BW490" s="219">
        <f t="shared" si="165"/>
        <v>69877.675296000001</v>
      </c>
      <c r="BX490" s="273">
        <f t="shared" si="166"/>
        <v>437654.913696</v>
      </c>
      <c r="BY490" s="213" t="s">
        <v>4831</v>
      </c>
      <c r="BZ490" s="213" t="s">
        <v>4893</v>
      </c>
      <c r="CA490" s="213"/>
      <c r="CB490" s="274"/>
      <c r="CC490" s="274"/>
      <c r="CD490" s="274"/>
      <c r="CE490" s="39"/>
      <c r="CF490" s="39"/>
      <c r="CG490" s="39"/>
      <c r="CH490" s="274"/>
      <c r="CI490" s="274"/>
      <c r="CJ490" s="274"/>
      <c r="CK490" s="39"/>
      <c r="CL490" s="39"/>
      <c r="CM490" s="39"/>
      <c r="CN490" s="39"/>
      <c r="CO490" s="39"/>
      <c r="CP490" s="11"/>
      <c r="CQ490" s="11"/>
      <c r="CR490" s="11"/>
      <c r="CS490" s="11"/>
      <c r="CT490" s="11"/>
      <c r="CU490" s="11"/>
      <c r="CV490" s="11"/>
      <c r="CW490" s="11"/>
      <c r="CX490" s="11"/>
      <c r="CY490" s="11"/>
      <c r="CZ490" s="11"/>
      <c r="DA490" s="11"/>
      <c r="DB490" s="11"/>
      <c r="DC490" s="11"/>
      <c r="DD490" s="11"/>
      <c r="DE490" s="11"/>
      <c r="DF490" s="11"/>
      <c r="DG490" s="11"/>
      <c r="DH490" s="11"/>
      <c r="DI490" s="11"/>
      <c r="DJ490" s="11"/>
      <c r="DK490" s="11"/>
      <c r="DL490" s="274"/>
      <c r="DM490" s="274"/>
      <c r="DN490" s="274"/>
      <c r="DO490" s="274"/>
      <c r="DP490" s="274"/>
      <c r="DQ490" s="274"/>
      <c r="DR490" s="274"/>
      <c r="DS490" s="274"/>
      <c r="DT490" s="274"/>
      <c r="DU490" s="274"/>
      <c r="DV490" s="274"/>
      <c r="DW490" s="274"/>
      <c r="DX490" s="274"/>
      <c r="DY490" s="274"/>
      <c r="DZ490" s="274"/>
      <c r="EA490" s="274"/>
      <c r="EB490" s="274"/>
      <c r="EC490" s="274"/>
      <c r="ED490" s="39">
        <f t="shared" si="145"/>
        <v>853083.913696</v>
      </c>
      <c r="EE490" s="30">
        <f t="shared" si="146"/>
        <v>3</v>
      </c>
      <c r="EF490" s="39">
        <f t="shared" si="147"/>
        <v>284361.30456533335</v>
      </c>
    </row>
    <row r="491" spans="1:136" ht="24" x14ac:dyDescent="0.25">
      <c r="A491" s="25" t="e">
        <f>#REF!</f>
        <v>#REF!</v>
      </c>
      <c r="B491" s="50" t="e">
        <f>#REF!</f>
        <v>#REF!</v>
      </c>
      <c r="C491" s="5" t="e">
        <f>#REF!</f>
        <v>#REF!</v>
      </c>
      <c r="D491" s="5" t="e">
        <f>#REF!</f>
        <v>#REF!</v>
      </c>
      <c r="E491" s="252">
        <v>1</v>
      </c>
      <c r="F491" s="249">
        <v>135957.5</v>
      </c>
      <c r="G491" s="249">
        <v>133875</v>
      </c>
      <c r="H491" s="249">
        <v>157476.66666666666</v>
      </c>
      <c r="I491" s="249">
        <v>157318</v>
      </c>
      <c r="J491" s="249">
        <v>202133.69750000001</v>
      </c>
      <c r="K491" s="249">
        <v>165767</v>
      </c>
      <c r="L491" s="274">
        <f>AVERAGE(F491,H491,J491)</f>
        <v>165189.28805555555</v>
      </c>
      <c r="M491" s="274">
        <f>AVERAGE(G491,I491,K491)*E1</f>
        <v>156889.60000000001</v>
      </c>
      <c r="N491" s="255">
        <v>140000</v>
      </c>
      <c r="O491" s="135">
        <f>+N491*0.19</f>
        <v>26600</v>
      </c>
      <c r="P491" s="135">
        <f>+N491+O491</f>
        <v>166600</v>
      </c>
      <c r="Q491" s="131"/>
      <c r="R491" s="131"/>
      <c r="S491" s="11"/>
      <c r="T491" s="274">
        <v>148500</v>
      </c>
      <c r="U491" s="274">
        <f>+T491*0.19</f>
        <v>28215</v>
      </c>
      <c r="V491" s="274">
        <f>+T491+U491</f>
        <v>176715</v>
      </c>
      <c r="W491" s="39" t="s">
        <v>445</v>
      </c>
      <c r="X491" s="11" t="s">
        <v>363</v>
      </c>
      <c r="Y491" s="11"/>
      <c r="Z491" s="274"/>
      <c r="AA491" s="274"/>
      <c r="AB491" s="274"/>
      <c r="AC491" s="52"/>
      <c r="AD491" s="22"/>
      <c r="AE491" s="39"/>
      <c r="AF491" s="274"/>
      <c r="AG491" s="274"/>
      <c r="AH491" s="171"/>
      <c r="AI491" s="4"/>
      <c r="AJ491" s="39"/>
      <c r="AK491" s="39"/>
      <c r="AL491" s="118"/>
      <c r="AM491" s="152"/>
      <c r="AN491" s="181"/>
      <c r="AO491" s="131"/>
      <c r="AP491" s="131"/>
      <c r="AQ491" s="39"/>
      <c r="AR491" s="274"/>
      <c r="AS491" s="274"/>
      <c r="AT491" s="274"/>
      <c r="AU491" s="39"/>
      <c r="AV491" s="39"/>
      <c r="AW491" s="39"/>
      <c r="AX491" s="274"/>
      <c r="AY491" s="274"/>
      <c r="AZ491" s="274"/>
      <c r="BA491" s="39"/>
      <c r="BB491" s="62"/>
      <c r="BC491" s="39"/>
      <c r="BD491" s="274"/>
      <c r="BE491" s="274"/>
      <c r="BF491" s="274"/>
      <c r="BG491" s="39"/>
      <c r="BH491" s="39"/>
      <c r="BI491" s="39"/>
      <c r="BJ491" s="274">
        <v>226900</v>
      </c>
      <c r="BK491" s="274">
        <f t="shared" si="163"/>
        <v>43111</v>
      </c>
      <c r="BL491" s="274">
        <f t="shared" si="164"/>
        <v>270011</v>
      </c>
      <c r="BM491" s="214" t="s">
        <v>4048</v>
      </c>
      <c r="BN491" s="213" t="s">
        <v>2925</v>
      </c>
      <c r="BO491" s="39"/>
      <c r="BP491" s="274">
        <v>135000</v>
      </c>
      <c r="BQ491" s="274">
        <f>+BP491*19%</f>
        <v>25650</v>
      </c>
      <c r="BR491" s="274">
        <f>+BQ491+BP491</f>
        <v>160650</v>
      </c>
      <c r="BS491" s="39"/>
      <c r="BT491" s="39"/>
      <c r="BU491" s="39"/>
      <c r="BV491" s="219">
        <v>247662.93830000001</v>
      </c>
      <c r="BW491" s="219">
        <f t="shared" si="165"/>
        <v>47055.958277000005</v>
      </c>
      <c r="BX491" s="273">
        <f t="shared" si="166"/>
        <v>294718.89657700004</v>
      </c>
      <c r="BY491" s="214" t="s">
        <v>4048</v>
      </c>
      <c r="BZ491" s="213" t="s">
        <v>2925</v>
      </c>
      <c r="CA491" s="213"/>
      <c r="CB491" s="275"/>
      <c r="CC491" s="274"/>
      <c r="CD491" s="274"/>
      <c r="CE491" s="39"/>
      <c r="CF491" s="39"/>
      <c r="CG491" s="39"/>
      <c r="CH491" s="274"/>
      <c r="CI491" s="274"/>
      <c r="CJ491" s="274"/>
      <c r="CK491" s="39"/>
      <c r="CL491" s="39"/>
      <c r="CM491" s="39"/>
      <c r="CN491" s="39"/>
      <c r="CO491" s="39"/>
      <c r="CP491" s="11"/>
      <c r="CQ491" s="11"/>
      <c r="CR491" s="11"/>
      <c r="CS491" s="11"/>
      <c r="CT491" s="11"/>
      <c r="CU491" s="11"/>
      <c r="CV491" s="11"/>
      <c r="CW491" s="11"/>
      <c r="CX491" s="11"/>
      <c r="CY491" s="11"/>
      <c r="CZ491" s="11"/>
      <c r="DA491" s="11"/>
      <c r="DB491" s="11"/>
      <c r="DC491" s="11"/>
      <c r="DD491" s="11"/>
      <c r="DE491" s="11"/>
      <c r="DF491" s="11"/>
      <c r="DG491" s="11"/>
      <c r="DH491" s="11"/>
      <c r="DI491" s="11"/>
      <c r="DJ491" s="11"/>
      <c r="DK491" s="11"/>
      <c r="DL491" s="274"/>
      <c r="DM491" s="274"/>
      <c r="DN491" s="274"/>
      <c r="DO491" s="274"/>
      <c r="DP491" s="274"/>
      <c r="DQ491" s="274"/>
      <c r="DR491" s="274"/>
      <c r="DS491" s="274"/>
      <c r="DT491" s="274"/>
      <c r="DU491" s="274"/>
      <c r="DV491" s="274"/>
      <c r="DW491" s="274"/>
      <c r="DX491" s="274"/>
      <c r="DY491" s="274"/>
      <c r="DZ491" s="274"/>
      <c r="EA491" s="274"/>
      <c r="EB491" s="274"/>
      <c r="EC491" s="274"/>
      <c r="ED491" s="39">
        <f t="shared" si="145"/>
        <v>1225584.496577</v>
      </c>
      <c r="EE491" s="30">
        <f t="shared" si="146"/>
        <v>6</v>
      </c>
      <c r="EF491" s="39">
        <f t="shared" si="147"/>
        <v>204264.08276283334</v>
      </c>
    </row>
    <row r="492" spans="1:136" x14ac:dyDescent="0.25">
      <c r="A492" s="25" t="e">
        <f>#REF!</f>
        <v>#REF!</v>
      </c>
      <c r="B492" s="50" t="e">
        <f>#REF!</f>
        <v>#REF!</v>
      </c>
      <c r="C492" s="5" t="e">
        <f>#REF!</f>
        <v>#REF!</v>
      </c>
      <c r="D492" s="5" t="e">
        <f>#REF!</f>
        <v>#REF!</v>
      </c>
      <c r="E492" s="252">
        <v>1</v>
      </c>
      <c r="F492" s="249">
        <v>0</v>
      </c>
      <c r="G492" s="249">
        <v>0</v>
      </c>
      <c r="H492" s="249">
        <v>1368500</v>
      </c>
      <c r="I492" s="249">
        <v>1368381</v>
      </c>
      <c r="J492" s="249">
        <v>3443067.063333333</v>
      </c>
      <c r="K492" s="249">
        <v>3320100</v>
      </c>
      <c r="L492" s="274">
        <f>AVERAGE(H492,J492)</f>
        <v>2405783.5316666663</v>
      </c>
      <c r="M492" s="274">
        <f>AVERAGE(I492,K492)*E1</f>
        <v>2414567.7149999999</v>
      </c>
      <c r="N492" s="256"/>
      <c r="O492" s="135"/>
      <c r="P492" s="135"/>
      <c r="Q492" s="131"/>
      <c r="R492" s="131"/>
      <c r="S492" s="11"/>
      <c r="T492" s="274"/>
      <c r="U492" s="274"/>
      <c r="V492" s="274"/>
      <c r="W492" s="39"/>
      <c r="X492" s="11"/>
      <c r="Y492" s="11"/>
      <c r="Z492" s="274"/>
      <c r="AA492" s="274"/>
      <c r="AB492" s="274"/>
      <c r="AC492" s="52"/>
      <c r="AD492" s="22"/>
      <c r="AE492" s="39"/>
      <c r="AF492" s="274"/>
      <c r="AG492" s="274"/>
      <c r="AH492" s="171"/>
      <c r="AI492" s="4"/>
      <c r="AJ492" s="39"/>
      <c r="AK492" s="39"/>
      <c r="AL492" s="118"/>
      <c r="AM492" s="152"/>
      <c r="AN492" s="181"/>
      <c r="AO492" s="131"/>
      <c r="AP492" s="131"/>
      <c r="AQ492" s="39"/>
      <c r="AR492" s="274"/>
      <c r="AS492" s="274"/>
      <c r="AT492" s="274"/>
      <c r="AU492" s="39"/>
      <c r="AV492" s="39"/>
      <c r="AW492" s="39"/>
      <c r="AX492" s="274"/>
      <c r="AY492" s="274"/>
      <c r="AZ492" s="274"/>
      <c r="BA492" s="39"/>
      <c r="BB492" s="62"/>
      <c r="BC492" s="39"/>
      <c r="BD492" s="274"/>
      <c r="BE492" s="274"/>
      <c r="BF492" s="274"/>
      <c r="BG492" s="39"/>
      <c r="BH492" s="39"/>
      <c r="BI492" s="39"/>
      <c r="BJ492" s="275">
        <f>8915700/5</f>
        <v>1783140</v>
      </c>
      <c r="BK492" s="274">
        <f t="shared" si="163"/>
        <v>338796.6</v>
      </c>
      <c r="BL492" s="274">
        <f t="shared" si="164"/>
        <v>2121936.6</v>
      </c>
      <c r="BM492" s="213" t="s">
        <v>4754</v>
      </c>
      <c r="BN492" s="213" t="s">
        <v>4934</v>
      </c>
      <c r="BO492" s="39"/>
      <c r="BP492" s="274"/>
      <c r="BQ492" s="274"/>
      <c r="BR492" s="274"/>
      <c r="BS492" s="39"/>
      <c r="BT492" s="39"/>
      <c r="BU492" s="39"/>
      <c r="BV492" s="212">
        <f>9549650.8485/5</f>
        <v>1909930.1697</v>
      </c>
      <c r="BW492" s="219">
        <f t="shared" si="165"/>
        <v>362886.73224300001</v>
      </c>
      <c r="BX492" s="273">
        <f t="shared" si="166"/>
        <v>2272816.901943</v>
      </c>
      <c r="BY492" s="213" t="s">
        <v>4754</v>
      </c>
      <c r="BZ492" s="213" t="s">
        <v>4934</v>
      </c>
      <c r="CA492" s="213"/>
      <c r="CB492" s="274"/>
      <c r="CC492" s="274"/>
      <c r="CD492" s="274"/>
      <c r="CE492" s="39"/>
      <c r="CF492" s="39"/>
      <c r="CG492" s="39"/>
      <c r="CH492" s="275"/>
      <c r="CI492" s="275"/>
      <c r="CJ492" s="275"/>
      <c r="CK492" s="39"/>
      <c r="CL492" s="39"/>
      <c r="CM492" s="39"/>
      <c r="CN492" s="39"/>
      <c r="CO492" s="39"/>
      <c r="CP492" s="11"/>
      <c r="CQ492" s="11"/>
      <c r="CR492" s="11"/>
      <c r="CS492" s="11"/>
      <c r="CT492" s="11"/>
      <c r="CU492" s="11"/>
      <c r="CV492" s="11"/>
      <c r="CW492" s="11"/>
      <c r="CX492" s="11"/>
      <c r="CY492" s="11"/>
      <c r="CZ492" s="11"/>
      <c r="DA492" s="11"/>
      <c r="DB492" s="11"/>
      <c r="DC492" s="11"/>
      <c r="DD492" s="11"/>
      <c r="DE492" s="11"/>
      <c r="DF492" s="11"/>
      <c r="DG492" s="11"/>
      <c r="DH492" s="11"/>
      <c r="DI492" s="11"/>
      <c r="DJ492" s="11"/>
      <c r="DK492" s="11"/>
      <c r="DL492" s="274"/>
      <c r="DM492" s="274"/>
      <c r="DN492" s="274"/>
      <c r="DO492" s="274"/>
      <c r="DP492" s="274"/>
      <c r="DQ492" s="274"/>
      <c r="DR492" s="274"/>
      <c r="DS492" s="274"/>
      <c r="DT492" s="274"/>
      <c r="DU492" s="274"/>
      <c r="DV492" s="274"/>
      <c r="DW492" s="274"/>
      <c r="DX492" s="274"/>
      <c r="DY492" s="274"/>
      <c r="DZ492" s="274"/>
      <c r="EA492" s="274"/>
      <c r="EB492" s="274"/>
      <c r="EC492" s="274"/>
      <c r="ED492" s="39">
        <f t="shared" si="145"/>
        <v>6809321.2169429995</v>
      </c>
      <c r="EE492" s="30">
        <f t="shared" si="146"/>
        <v>3</v>
      </c>
      <c r="EF492" s="39">
        <f t="shared" si="147"/>
        <v>2269773.7389809997</v>
      </c>
    </row>
    <row r="493" spans="1:136" x14ac:dyDescent="0.25">
      <c r="A493" s="25" t="e">
        <f>#REF!</f>
        <v>#REF!</v>
      </c>
      <c r="B493" s="50" t="e">
        <f>#REF!</f>
        <v>#REF!</v>
      </c>
      <c r="C493" s="5" t="e">
        <f>#REF!</f>
        <v>#REF!</v>
      </c>
      <c r="D493" s="5" t="e">
        <f>#REF!</f>
        <v>#REF!</v>
      </c>
      <c r="E493" s="252">
        <v>1</v>
      </c>
      <c r="F493" s="249">
        <v>0</v>
      </c>
      <c r="G493" s="249">
        <v>0</v>
      </c>
      <c r="H493" s="249">
        <v>1190000</v>
      </c>
      <c r="I493" s="249">
        <v>1189881</v>
      </c>
      <c r="J493" s="249">
        <v>0</v>
      </c>
      <c r="K493" s="249">
        <v>0</v>
      </c>
      <c r="L493" s="274">
        <f>H493</f>
        <v>1190000</v>
      </c>
      <c r="M493" s="274">
        <f>I493*E1</f>
        <v>1225577.43</v>
      </c>
      <c r="N493" s="255"/>
      <c r="O493" s="135"/>
      <c r="P493" s="135"/>
      <c r="Q493" s="131"/>
      <c r="R493" s="131"/>
      <c r="S493" s="11"/>
      <c r="T493" s="274"/>
      <c r="U493" s="274"/>
      <c r="V493" s="274"/>
      <c r="W493" s="39"/>
      <c r="X493" s="11"/>
      <c r="Y493" s="11"/>
      <c r="Z493" s="274"/>
      <c r="AA493" s="274"/>
      <c r="AB493" s="274"/>
      <c r="AC493" s="52"/>
      <c r="AD493" s="22"/>
      <c r="AE493" s="39"/>
      <c r="AF493" s="274"/>
      <c r="AG493" s="274"/>
      <c r="AH493" s="171"/>
      <c r="AI493" s="4"/>
      <c r="AJ493" s="39"/>
      <c r="AK493" s="39"/>
      <c r="AL493" s="118"/>
      <c r="AM493" s="152"/>
      <c r="AN493" s="181"/>
      <c r="AO493" s="131"/>
      <c r="AP493" s="131"/>
      <c r="AQ493" s="39"/>
      <c r="AR493" s="274"/>
      <c r="AS493" s="274"/>
      <c r="AT493" s="274"/>
      <c r="AU493" s="39"/>
      <c r="AV493" s="39"/>
      <c r="AW493" s="39"/>
      <c r="AX493" s="274"/>
      <c r="AY493" s="274"/>
      <c r="AZ493" s="274"/>
      <c r="BA493" s="39"/>
      <c r="BB493" s="62"/>
      <c r="BC493" s="39"/>
      <c r="BD493" s="274"/>
      <c r="BE493" s="274"/>
      <c r="BF493" s="274"/>
      <c r="BG493" s="39"/>
      <c r="BH493" s="39"/>
      <c r="BI493" s="39"/>
      <c r="BJ493" s="274">
        <v>1050000</v>
      </c>
      <c r="BK493" s="274">
        <f t="shared" si="163"/>
        <v>199500</v>
      </c>
      <c r="BL493" s="274">
        <f t="shared" si="164"/>
        <v>1249500</v>
      </c>
      <c r="BM493" s="213" t="s">
        <v>196</v>
      </c>
      <c r="BN493" s="213" t="s">
        <v>4893</v>
      </c>
      <c r="BO493" s="39"/>
      <c r="BP493" s="274"/>
      <c r="BQ493" s="274"/>
      <c r="BR493" s="274"/>
      <c r="BS493" s="39"/>
      <c r="BT493" s="39"/>
      <c r="BU493" s="39"/>
      <c r="BV493" s="219">
        <v>1203375.6000000001</v>
      </c>
      <c r="BW493" s="219">
        <f t="shared" si="165"/>
        <v>228641.36400000003</v>
      </c>
      <c r="BX493" s="273">
        <f t="shared" si="166"/>
        <v>1432016.9640000002</v>
      </c>
      <c r="BY493" s="213" t="s">
        <v>196</v>
      </c>
      <c r="BZ493" s="213" t="s">
        <v>4893</v>
      </c>
      <c r="CA493" s="213"/>
      <c r="CB493" s="274"/>
      <c r="CC493" s="274"/>
      <c r="CD493" s="274"/>
      <c r="CE493" s="39"/>
      <c r="CF493" s="39"/>
      <c r="CG493" s="39"/>
      <c r="CH493" s="274"/>
      <c r="CI493" s="274"/>
      <c r="CJ493" s="274"/>
      <c r="CK493" s="39"/>
      <c r="CL493" s="39"/>
      <c r="CM493" s="39"/>
      <c r="CN493" s="39"/>
      <c r="CO493" s="39"/>
      <c r="CP493" s="11"/>
      <c r="CQ493" s="11"/>
      <c r="CR493" s="11"/>
      <c r="CS493" s="11"/>
      <c r="CT493" s="11"/>
      <c r="CU493" s="11"/>
      <c r="CV493" s="11"/>
      <c r="CW493" s="11"/>
      <c r="CX493" s="11"/>
      <c r="CY493" s="11"/>
      <c r="CZ493" s="11"/>
      <c r="DA493" s="11"/>
      <c r="DB493" s="11"/>
      <c r="DC493" s="11"/>
      <c r="DD493" s="11"/>
      <c r="DE493" s="11"/>
      <c r="DF493" s="11"/>
      <c r="DG493" s="11"/>
      <c r="DH493" s="11"/>
      <c r="DI493" s="11"/>
      <c r="DJ493" s="11"/>
      <c r="DK493" s="11"/>
      <c r="DL493" s="274"/>
      <c r="DM493" s="274"/>
      <c r="DN493" s="274"/>
      <c r="DO493" s="274"/>
      <c r="DP493" s="274"/>
      <c r="DQ493" s="274"/>
      <c r="DR493" s="274"/>
      <c r="DS493" s="274"/>
      <c r="DT493" s="274"/>
      <c r="DU493" s="274"/>
      <c r="DV493" s="274"/>
      <c r="DW493" s="274"/>
      <c r="DX493" s="274"/>
      <c r="DY493" s="274"/>
      <c r="DZ493" s="274"/>
      <c r="EA493" s="274"/>
      <c r="EB493" s="274"/>
      <c r="EC493" s="274"/>
      <c r="ED493" s="39">
        <f t="shared" si="145"/>
        <v>3907094.3939999999</v>
      </c>
      <c r="EE493" s="30">
        <f t="shared" si="146"/>
        <v>3</v>
      </c>
      <c r="EF493" s="39">
        <f t="shared" si="147"/>
        <v>1302364.798</v>
      </c>
    </row>
    <row r="494" spans="1:136" ht="24" x14ac:dyDescent="0.25">
      <c r="A494" s="25" t="e">
        <f>#REF!</f>
        <v>#REF!</v>
      </c>
      <c r="B494" s="50" t="e">
        <f>#REF!</f>
        <v>#REF!</v>
      </c>
      <c r="C494" s="5" t="e">
        <f>#REF!</f>
        <v>#REF!</v>
      </c>
      <c r="D494" s="5" t="e">
        <f>#REF!</f>
        <v>#REF!</v>
      </c>
      <c r="E494" s="252">
        <v>1</v>
      </c>
      <c r="F494" s="249">
        <v>126001.16666666666</v>
      </c>
      <c r="G494" s="249">
        <v>74970</v>
      </c>
      <c r="H494" s="249">
        <v>184513.82366666666</v>
      </c>
      <c r="I494" s="249">
        <v>84490</v>
      </c>
      <c r="J494" s="249">
        <v>160006.80499999999</v>
      </c>
      <c r="K494" s="249">
        <v>159460</v>
      </c>
      <c r="L494" s="274">
        <f>AVERAGE(F494,H494,J494)</f>
        <v>156840.59844444445</v>
      </c>
      <c r="M494" s="274">
        <f>AVERAGE(G494,I494,K494)*E1</f>
        <v>109495.86666666667</v>
      </c>
      <c r="N494" s="255">
        <v>130000</v>
      </c>
      <c r="O494" s="135">
        <f>+N494*0.19</f>
        <v>24700</v>
      </c>
      <c r="P494" s="135">
        <f>+N494+O494</f>
        <v>154700</v>
      </c>
      <c r="Q494" s="131"/>
      <c r="R494" s="131"/>
      <c r="S494" s="11"/>
      <c r="T494" s="274">
        <v>78100</v>
      </c>
      <c r="U494" s="274">
        <f>+T494*0.19</f>
        <v>14839</v>
      </c>
      <c r="V494" s="274">
        <f>+T494+U494</f>
        <v>92939</v>
      </c>
      <c r="W494" s="39" t="s">
        <v>95</v>
      </c>
      <c r="X494" s="11" t="s">
        <v>4935</v>
      </c>
      <c r="Y494" s="11"/>
      <c r="Z494" s="274"/>
      <c r="AA494" s="274"/>
      <c r="AB494" s="274"/>
      <c r="AC494" s="22"/>
      <c r="AD494" s="22"/>
      <c r="AE494" s="39"/>
      <c r="AF494" s="274"/>
      <c r="AG494" s="274"/>
      <c r="AH494" s="119"/>
      <c r="AI494" s="4"/>
      <c r="AJ494" s="39"/>
      <c r="AK494" s="39"/>
      <c r="AL494" s="118"/>
      <c r="AM494" s="152"/>
      <c r="AN494" s="181"/>
      <c r="AO494" s="131"/>
      <c r="AP494" s="131"/>
      <c r="AQ494" s="39"/>
      <c r="AR494" s="274"/>
      <c r="AS494" s="274"/>
      <c r="AT494" s="274"/>
      <c r="AU494" s="39"/>
      <c r="AV494" s="39"/>
      <c r="AW494" s="39"/>
      <c r="AX494" s="274"/>
      <c r="AY494" s="274"/>
      <c r="AZ494" s="274"/>
      <c r="BA494" s="39"/>
      <c r="BB494" s="62"/>
      <c r="BC494" s="39"/>
      <c r="BD494" s="274"/>
      <c r="BE494" s="274"/>
      <c r="BF494" s="274"/>
      <c r="BG494" s="39"/>
      <c r="BH494" s="39"/>
      <c r="BI494" s="39"/>
      <c r="BJ494" s="274">
        <f>179500*2</f>
        <v>359000</v>
      </c>
      <c r="BK494" s="274">
        <f t="shared" si="163"/>
        <v>68210</v>
      </c>
      <c r="BL494" s="274">
        <f t="shared" si="164"/>
        <v>427210</v>
      </c>
      <c r="BM494" s="213" t="s">
        <v>4936</v>
      </c>
      <c r="BN494" s="213" t="s">
        <v>4937</v>
      </c>
      <c r="BO494" s="39"/>
      <c r="BP494" s="274">
        <v>85600</v>
      </c>
      <c r="BQ494" s="274">
        <f>+BP494*19%</f>
        <v>16264</v>
      </c>
      <c r="BR494" s="274">
        <f>+BQ494+BP494</f>
        <v>101864</v>
      </c>
      <c r="BS494" s="39"/>
      <c r="BT494" s="39"/>
      <c r="BU494" s="39"/>
      <c r="BV494" s="219">
        <f>209734.98*2</f>
        <v>419469.96</v>
      </c>
      <c r="BW494" s="219">
        <f t="shared" si="165"/>
        <v>79699.292400000006</v>
      </c>
      <c r="BX494" s="273">
        <f t="shared" si="166"/>
        <v>499169.2524</v>
      </c>
      <c r="BY494" s="213" t="s">
        <v>4936</v>
      </c>
      <c r="BZ494" s="213" t="s">
        <v>4937</v>
      </c>
      <c r="CA494" s="213"/>
      <c r="CB494" s="274"/>
      <c r="CC494" s="274"/>
      <c r="CD494" s="274"/>
      <c r="CE494" s="39"/>
      <c r="CF494" s="39"/>
      <c r="CG494" s="39"/>
      <c r="CH494" s="274"/>
      <c r="CI494" s="274"/>
      <c r="CJ494" s="274"/>
      <c r="CK494" s="39"/>
      <c r="CL494" s="39"/>
      <c r="CM494" s="39"/>
      <c r="CN494" s="39"/>
      <c r="CO494" s="39"/>
      <c r="CP494" s="11"/>
      <c r="CQ494" s="11"/>
      <c r="CR494" s="11"/>
      <c r="CS494" s="11"/>
      <c r="CT494" s="11"/>
      <c r="CU494" s="11"/>
      <c r="CV494" s="11"/>
      <c r="CW494" s="11"/>
      <c r="CX494" s="11"/>
      <c r="CY494" s="11"/>
      <c r="CZ494" s="11"/>
      <c r="DA494" s="11"/>
      <c r="DB494" s="11"/>
      <c r="DC494" s="11"/>
      <c r="DD494" s="11"/>
      <c r="DE494" s="11"/>
      <c r="DF494" s="11"/>
      <c r="DG494" s="11"/>
      <c r="DH494" s="11"/>
      <c r="DI494" s="11"/>
      <c r="DJ494" s="11"/>
      <c r="DK494" s="11"/>
      <c r="DL494" s="274"/>
      <c r="DM494" s="274"/>
      <c r="DN494" s="274"/>
      <c r="DO494" s="274"/>
      <c r="DP494" s="274"/>
      <c r="DQ494" s="274"/>
      <c r="DR494" s="274"/>
      <c r="DS494" s="274"/>
      <c r="DT494" s="274"/>
      <c r="DU494" s="274"/>
      <c r="DV494" s="274"/>
      <c r="DW494" s="274"/>
      <c r="DX494" s="274"/>
      <c r="DY494" s="274"/>
      <c r="DZ494" s="274"/>
      <c r="EA494" s="274"/>
      <c r="EB494" s="274"/>
      <c r="EC494" s="274"/>
      <c r="ED494" s="39">
        <f t="shared" si="145"/>
        <v>1385378.1190666668</v>
      </c>
      <c r="EE494" s="30">
        <f t="shared" si="146"/>
        <v>6</v>
      </c>
      <c r="EF494" s="39">
        <f t="shared" si="147"/>
        <v>230896.35317777781</v>
      </c>
    </row>
    <row r="495" spans="1:136" ht="24" x14ac:dyDescent="0.25">
      <c r="A495" s="25" t="e">
        <f>#REF!</f>
        <v>#REF!</v>
      </c>
      <c r="B495" s="50" t="e">
        <f>#REF!</f>
        <v>#REF!</v>
      </c>
      <c r="C495" s="5" t="e">
        <f>#REF!</f>
        <v>#REF!</v>
      </c>
      <c r="D495" s="5" t="e">
        <f>#REF!</f>
        <v>#REF!</v>
      </c>
      <c r="E495" s="252">
        <v>1</v>
      </c>
      <c r="F495" s="249">
        <v>0</v>
      </c>
      <c r="G495" s="249">
        <v>0</v>
      </c>
      <c r="H495" s="249">
        <v>2082500</v>
      </c>
      <c r="I495" s="249">
        <v>0</v>
      </c>
      <c r="J495" s="249">
        <v>0</v>
      </c>
      <c r="K495" s="249">
        <v>0</v>
      </c>
      <c r="L495" s="274">
        <f>H495</f>
        <v>2082500</v>
      </c>
      <c r="M495" s="274"/>
      <c r="N495" s="255"/>
      <c r="O495" s="135"/>
      <c r="P495" s="135"/>
      <c r="Q495" s="131"/>
      <c r="R495" s="131"/>
      <c r="S495" s="11"/>
      <c r="T495" s="274"/>
      <c r="U495" s="274"/>
      <c r="V495" s="274"/>
      <c r="W495" s="39"/>
      <c r="X495" s="11"/>
      <c r="Y495" s="11"/>
      <c r="Z495" s="274"/>
      <c r="AA495" s="274"/>
      <c r="AB495" s="274"/>
      <c r="AC495" s="52"/>
      <c r="AD495" s="22"/>
      <c r="AE495" s="39"/>
      <c r="AF495" s="274"/>
      <c r="AG495" s="274"/>
      <c r="AH495" s="113"/>
      <c r="AI495" s="4"/>
      <c r="AJ495" s="39"/>
      <c r="AK495" s="39"/>
      <c r="AL495" s="118"/>
      <c r="AM495" s="152"/>
      <c r="AN495" s="181"/>
      <c r="AO495" s="131"/>
      <c r="AP495" s="131"/>
      <c r="AQ495" s="39"/>
      <c r="AR495" s="274"/>
      <c r="AS495" s="274"/>
      <c r="AT495" s="274"/>
      <c r="AU495" s="39"/>
      <c r="AV495" s="39"/>
      <c r="AW495" s="39"/>
      <c r="AX495" s="274"/>
      <c r="AY495" s="274"/>
      <c r="AZ495" s="274"/>
      <c r="BA495" s="39"/>
      <c r="BB495" s="62"/>
      <c r="BC495" s="39"/>
      <c r="BD495" s="274"/>
      <c r="BE495" s="274"/>
      <c r="BF495" s="274"/>
      <c r="BG495" s="39"/>
      <c r="BH495" s="39"/>
      <c r="BI495" s="39"/>
      <c r="BJ495" s="274">
        <v>485000</v>
      </c>
      <c r="BK495" s="274">
        <f t="shared" si="163"/>
        <v>92150</v>
      </c>
      <c r="BL495" s="274">
        <f t="shared" si="164"/>
        <v>577150</v>
      </c>
      <c r="BM495" s="214" t="s">
        <v>4055</v>
      </c>
      <c r="BN495" s="213" t="s">
        <v>4938</v>
      </c>
      <c r="BO495" s="39"/>
      <c r="BP495" s="274">
        <v>95000</v>
      </c>
      <c r="BQ495" s="274">
        <f>+BP495*19%</f>
        <v>18050</v>
      </c>
      <c r="BR495" s="274">
        <f>+BQ495+BP495</f>
        <v>113050</v>
      </c>
      <c r="BS495" s="39"/>
      <c r="BT495" s="39"/>
      <c r="BU495" s="39"/>
      <c r="BV495" s="219">
        <v>524629.35</v>
      </c>
      <c r="BW495" s="219">
        <f t="shared" si="165"/>
        <v>99679.576499999996</v>
      </c>
      <c r="BX495" s="273">
        <f t="shared" si="166"/>
        <v>624308.92649999994</v>
      </c>
      <c r="BY495" s="214" t="s">
        <v>4055</v>
      </c>
      <c r="BZ495" s="213" t="s">
        <v>4938</v>
      </c>
      <c r="CA495" s="213"/>
      <c r="CB495" s="274"/>
      <c r="CC495" s="274"/>
      <c r="CD495" s="274"/>
      <c r="CE495" s="39"/>
      <c r="CF495" s="39"/>
      <c r="CG495" s="39"/>
      <c r="CH495" s="274"/>
      <c r="CI495" s="274"/>
      <c r="CJ495" s="274"/>
      <c r="CK495" s="39"/>
      <c r="CL495" s="39"/>
      <c r="CM495" s="39"/>
      <c r="CN495" s="39"/>
      <c r="CO495" s="39"/>
      <c r="CP495" s="11"/>
      <c r="CQ495" s="11"/>
      <c r="CR495" s="11"/>
      <c r="CS495" s="11"/>
      <c r="CT495" s="11"/>
      <c r="CU495" s="11"/>
      <c r="CV495" s="11"/>
      <c r="CW495" s="11"/>
      <c r="CX495" s="11"/>
      <c r="CY495" s="11"/>
      <c r="CZ495" s="11"/>
      <c r="DA495" s="11"/>
      <c r="DB495" s="11"/>
      <c r="DC495" s="11"/>
      <c r="DD495" s="11"/>
      <c r="DE495" s="11"/>
      <c r="DF495" s="11"/>
      <c r="DG495" s="11"/>
      <c r="DH495" s="11"/>
      <c r="DI495" s="11"/>
      <c r="DJ495" s="11"/>
      <c r="DK495" s="11"/>
      <c r="DL495" s="274"/>
      <c r="DM495" s="274"/>
      <c r="DN495" s="274"/>
      <c r="DO495" s="274"/>
      <c r="DP495" s="274"/>
      <c r="DQ495" s="274"/>
      <c r="DR495" s="274"/>
      <c r="DS495" s="274"/>
      <c r="DT495" s="274"/>
      <c r="DU495" s="274"/>
      <c r="DV495" s="274"/>
      <c r="DW495" s="274"/>
      <c r="DX495" s="274"/>
      <c r="DY495" s="274"/>
      <c r="DZ495" s="274"/>
      <c r="EA495" s="274"/>
      <c r="EB495" s="274"/>
      <c r="EC495" s="274"/>
      <c r="ED495" s="39">
        <f t="shared" si="145"/>
        <v>1314508.9265000001</v>
      </c>
      <c r="EE495" s="30">
        <f t="shared" si="146"/>
        <v>3</v>
      </c>
      <c r="EF495" s="39">
        <f t="shared" si="147"/>
        <v>438169.64216666669</v>
      </c>
    </row>
    <row r="496" spans="1:136" x14ac:dyDescent="0.25">
      <c r="A496" s="25" t="e">
        <f>#REF!</f>
        <v>#REF!</v>
      </c>
      <c r="B496" s="50" t="e">
        <f>#REF!</f>
        <v>#REF!</v>
      </c>
      <c r="C496" s="5" t="e">
        <f>#REF!</f>
        <v>#REF!</v>
      </c>
      <c r="D496" s="5" t="e">
        <f>#REF!</f>
        <v>#REF!</v>
      </c>
      <c r="E496" s="252">
        <v>1</v>
      </c>
      <c r="F496" s="249">
        <v>0</v>
      </c>
      <c r="G496" s="249">
        <v>0</v>
      </c>
      <c r="H496" s="249">
        <v>32725</v>
      </c>
      <c r="I496" s="249">
        <v>0</v>
      </c>
      <c r="J496" s="249">
        <v>34093.5</v>
      </c>
      <c r="K496" s="249">
        <v>0</v>
      </c>
      <c r="L496" s="274">
        <f>AVERAGE(H496,J496)</f>
        <v>33409.25</v>
      </c>
      <c r="M496" s="274"/>
      <c r="N496" s="255">
        <v>25000</v>
      </c>
      <c r="O496" s="135">
        <f>+N496*0.19</f>
        <v>4750</v>
      </c>
      <c r="P496" s="135">
        <f>+N496+O496</f>
        <v>29750</v>
      </c>
      <c r="Q496" s="131"/>
      <c r="R496" s="131"/>
      <c r="S496" s="11"/>
      <c r="T496" s="274"/>
      <c r="U496" s="274"/>
      <c r="V496" s="274"/>
      <c r="W496" s="39"/>
      <c r="X496" s="11"/>
      <c r="Y496" s="11"/>
      <c r="Z496" s="274"/>
      <c r="AA496" s="274"/>
      <c r="AB496" s="274"/>
      <c r="AC496" s="52"/>
      <c r="AD496" s="22"/>
      <c r="AE496" s="39"/>
      <c r="AF496" s="274"/>
      <c r="AG496" s="274"/>
      <c r="AH496" s="113"/>
      <c r="AI496" s="4"/>
      <c r="AJ496" s="39"/>
      <c r="AK496" s="39"/>
      <c r="AL496" s="118"/>
      <c r="AM496" s="152"/>
      <c r="AN496" s="181"/>
      <c r="AO496" s="131"/>
      <c r="AP496" s="131"/>
      <c r="AQ496" s="39"/>
      <c r="AR496" s="274"/>
      <c r="AS496" s="274"/>
      <c r="AT496" s="274"/>
      <c r="AU496" s="39"/>
      <c r="AV496" s="39"/>
      <c r="AW496" s="39"/>
      <c r="AX496" s="274"/>
      <c r="AY496" s="274"/>
      <c r="AZ496" s="274"/>
      <c r="BA496" s="39"/>
      <c r="BB496" s="62"/>
      <c r="BC496" s="39"/>
      <c r="BD496" s="274"/>
      <c r="BE496" s="274"/>
      <c r="BF496" s="274"/>
      <c r="BG496" s="39"/>
      <c r="BH496" s="39"/>
      <c r="BI496" s="39"/>
      <c r="BJ496" s="274">
        <v>40000</v>
      </c>
      <c r="BK496" s="274">
        <f t="shared" si="163"/>
        <v>7600</v>
      </c>
      <c r="BL496" s="274">
        <f t="shared" si="164"/>
        <v>47600</v>
      </c>
      <c r="BM496" s="213" t="s">
        <v>196</v>
      </c>
      <c r="BN496" s="213" t="s">
        <v>164</v>
      </c>
      <c r="BO496" s="39"/>
      <c r="BP496" s="274">
        <v>65800</v>
      </c>
      <c r="BQ496" s="274">
        <f>+BP496*19%</f>
        <v>12502</v>
      </c>
      <c r="BR496" s="274">
        <f>+BQ496+BP496</f>
        <v>78302</v>
      </c>
      <c r="BS496" s="39"/>
      <c r="BT496" s="39"/>
      <c r="BU496" s="39"/>
      <c r="BV496" s="219">
        <v>46288.200000000004</v>
      </c>
      <c r="BW496" s="219">
        <f t="shared" si="165"/>
        <v>8794.7580000000016</v>
      </c>
      <c r="BX496" s="273">
        <f t="shared" si="166"/>
        <v>55082.958000000006</v>
      </c>
      <c r="BY496" s="213" t="s">
        <v>196</v>
      </c>
      <c r="BZ496" s="213" t="s">
        <v>164</v>
      </c>
      <c r="CA496" s="213"/>
      <c r="CB496" s="274"/>
      <c r="CC496" s="274"/>
      <c r="CD496" s="274"/>
      <c r="CE496" s="39"/>
      <c r="CF496" s="39"/>
      <c r="CG496" s="39"/>
      <c r="CH496" s="274"/>
      <c r="CI496" s="274"/>
      <c r="CJ496" s="274"/>
      <c r="CK496" s="39"/>
      <c r="CL496" s="39"/>
      <c r="CM496" s="39"/>
      <c r="CN496" s="39"/>
      <c r="CO496" s="39"/>
      <c r="CP496" s="11"/>
      <c r="CQ496" s="11"/>
      <c r="CR496" s="11"/>
      <c r="CS496" s="11"/>
      <c r="CT496" s="11"/>
      <c r="CU496" s="11"/>
      <c r="CV496" s="11"/>
      <c r="CW496" s="11"/>
      <c r="CX496" s="11"/>
      <c r="CY496" s="11"/>
      <c r="CZ496" s="11"/>
      <c r="DA496" s="11"/>
      <c r="DB496" s="11"/>
      <c r="DC496" s="11"/>
      <c r="DD496" s="11"/>
      <c r="DE496" s="11"/>
      <c r="DF496" s="11"/>
      <c r="DG496" s="11"/>
      <c r="DH496" s="11"/>
      <c r="DI496" s="11"/>
      <c r="DJ496" s="11"/>
      <c r="DK496" s="11"/>
      <c r="DL496" s="274"/>
      <c r="DM496" s="274"/>
      <c r="DN496" s="274"/>
      <c r="DO496" s="274"/>
      <c r="DP496" s="274"/>
      <c r="DQ496" s="274"/>
      <c r="DR496" s="274"/>
      <c r="DS496" s="274"/>
      <c r="DT496" s="274"/>
      <c r="DU496" s="274"/>
      <c r="DV496" s="274"/>
      <c r="DW496" s="274"/>
      <c r="DX496" s="274"/>
      <c r="DY496" s="274"/>
      <c r="DZ496" s="274"/>
      <c r="EA496" s="274"/>
      <c r="EB496" s="274"/>
      <c r="EC496" s="274"/>
      <c r="ED496" s="39">
        <f t="shared" si="145"/>
        <v>210734.95800000001</v>
      </c>
      <c r="EE496" s="30">
        <f t="shared" si="146"/>
        <v>4</v>
      </c>
      <c r="EF496" s="39">
        <f t="shared" si="147"/>
        <v>52683.739500000003</v>
      </c>
    </row>
    <row r="497" spans="1:136" x14ac:dyDescent="0.25">
      <c r="A497" s="25" t="e">
        <f>#REF!</f>
        <v>#REF!</v>
      </c>
      <c r="B497" s="50" t="e">
        <f>#REF!</f>
        <v>#REF!</v>
      </c>
      <c r="C497" s="5" t="e">
        <f>#REF!</f>
        <v>#REF!</v>
      </c>
      <c r="D497" s="5" t="e">
        <f>#REF!</f>
        <v>#REF!</v>
      </c>
      <c r="E497" s="252">
        <v>1</v>
      </c>
      <c r="F497" s="249">
        <v>0</v>
      </c>
      <c r="G497" s="249">
        <v>0</v>
      </c>
      <c r="H497" s="249">
        <v>308448</v>
      </c>
      <c r="I497" s="249">
        <v>308329</v>
      </c>
      <c r="J497" s="249">
        <v>0</v>
      </c>
      <c r="K497" s="249">
        <v>0</v>
      </c>
      <c r="L497" s="274">
        <f>H497</f>
        <v>308448</v>
      </c>
      <c r="M497" s="274">
        <f>I497*E1</f>
        <v>317578.87</v>
      </c>
      <c r="N497" s="255"/>
      <c r="O497" s="135"/>
      <c r="P497" s="135"/>
      <c r="Q497" s="131"/>
      <c r="R497" s="131"/>
      <c r="S497" s="11"/>
      <c r="T497" s="274">
        <v>170500</v>
      </c>
      <c r="U497" s="274">
        <f>+T497*0.19</f>
        <v>32395</v>
      </c>
      <c r="V497" s="274">
        <f>+T497+U497</f>
        <v>202895</v>
      </c>
      <c r="W497" s="39" t="s">
        <v>445</v>
      </c>
      <c r="X497" s="11" t="s">
        <v>2976</v>
      </c>
      <c r="Y497" s="11"/>
      <c r="Z497" s="274"/>
      <c r="AA497" s="274"/>
      <c r="AB497" s="274"/>
      <c r="AC497" s="52"/>
      <c r="AD497" s="22"/>
      <c r="AE497" s="39"/>
      <c r="AF497" s="274"/>
      <c r="AG497" s="274"/>
      <c r="AH497" s="113"/>
      <c r="AI497" s="4"/>
      <c r="AJ497" s="39"/>
      <c r="AK497" s="39"/>
      <c r="AL497" s="118"/>
      <c r="AM497" s="152"/>
      <c r="AN497" s="181"/>
      <c r="AO497" s="131"/>
      <c r="AP497" s="131"/>
      <c r="AQ497" s="39"/>
      <c r="AR497" s="274"/>
      <c r="AS497" s="274"/>
      <c r="AT497" s="274"/>
      <c r="AU497" s="39"/>
      <c r="AV497" s="39"/>
      <c r="AW497" s="39"/>
      <c r="AX497" s="274"/>
      <c r="AY497" s="274"/>
      <c r="AZ497" s="274"/>
      <c r="BA497" s="39"/>
      <c r="BB497" s="62"/>
      <c r="BC497" s="39"/>
      <c r="BD497" s="274"/>
      <c r="BE497" s="274"/>
      <c r="BF497" s="274"/>
      <c r="BG497" s="39"/>
      <c r="BH497" s="39"/>
      <c r="BI497" s="39"/>
      <c r="BJ497" s="274">
        <v>338000</v>
      </c>
      <c r="BK497" s="274">
        <f t="shared" si="163"/>
        <v>64220</v>
      </c>
      <c r="BL497" s="274">
        <f t="shared" si="164"/>
        <v>402220</v>
      </c>
      <c r="BM497" s="213" t="s">
        <v>196</v>
      </c>
      <c r="BN497" s="213" t="s">
        <v>2925</v>
      </c>
      <c r="BO497" s="39"/>
      <c r="BP497" s="274"/>
      <c r="BQ497" s="274"/>
      <c r="BR497" s="274"/>
      <c r="BS497" s="39"/>
      <c r="BT497" s="39"/>
      <c r="BU497" s="39"/>
      <c r="BV497" s="219">
        <v>394932.72000000003</v>
      </c>
      <c r="BW497" s="219">
        <f t="shared" si="165"/>
        <v>75037.216800000009</v>
      </c>
      <c r="BX497" s="273">
        <f t="shared" si="166"/>
        <v>469969.93680000002</v>
      </c>
      <c r="BY497" s="213" t="s">
        <v>196</v>
      </c>
      <c r="BZ497" s="213" t="s">
        <v>2925</v>
      </c>
      <c r="CA497" s="213"/>
      <c r="CB497" s="274"/>
      <c r="CC497" s="274"/>
      <c r="CD497" s="274"/>
      <c r="CE497" s="39"/>
      <c r="CF497" s="39"/>
      <c r="CG497" s="39"/>
      <c r="CH497" s="274"/>
      <c r="CI497" s="274"/>
      <c r="CJ497" s="274"/>
      <c r="CK497" s="39"/>
      <c r="CL497" s="39"/>
      <c r="CM497" s="39"/>
      <c r="CN497" s="39"/>
      <c r="CO497" s="39"/>
      <c r="CP497" s="11"/>
      <c r="CQ497" s="11"/>
      <c r="CR497" s="11"/>
      <c r="CS497" s="11"/>
      <c r="CT497" s="11"/>
      <c r="CU497" s="11"/>
      <c r="CV497" s="11"/>
      <c r="CW497" s="11"/>
      <c r="CX497" s="11"/>
      <c r="CY497" s="11"/>
      <c r="CZ497" s="11"/>
      <c r="DA497" s="11"/>
      <c r="DB497" s="11"/>
      <c r="DC497" s="11"/>
      <c r="DD497" s="11"/>
      <c r="DE497" s="11"/>
      <c r="DF497" s="11"/>
      <c r="DG497" s="11"/>
      <c r="DH497" s="11"/>
      <c r="DI497" s="11"/>
      <c r="DJ497" s="11"/>
      <c r="DK497" s="11"/>
      <c r="DL497" s="274"/>
      <c r="DM497" s="274"/>
      <c r="DN497" s="274"/>
      <c r="DO497" s="274"/>
      <c r="DP497" s="274"/>
      <c r="DQ497" s="274"/>
      <c r="DR497" s="274"/>
      <c r="DS497" s="274"/>
      <c r="DT497" s="274"/>
      <c r="DU497" s="274"/>
      <c r="DV497" s="274"/>
      <c r="DW497" s="274"/>
      <c r="DX497" s="274"/>
      <c r="DY497" s="274"/>
      <c r="DZ497" s="274"/>
      <c r="EA497" s="274"/>
      <c r="EB497" s="274"/>
      <c r="EC497" s="274"/>
      <c r="ED497" s="39">
        <f t="shared" si="145"/>
        <v>1392663.8067999999</v>
      </c>
      <c r="EE497" s="30">
        <f t="shared" si="146"/>
        <v>4</v>
      </c>
      <c r="EF497" s="39">
        <f t="shared" si="147"/>
        <v>348165.95169999998</v>
      </c>
    </row>
    <row r="498" spans="1:136" x14ac:dyDescent="0.25">
      <c r="A498" s="25" t="e">
        <f>#REF!</f>
        <v>#REF!</v>
      </c>
      <c r="B498" s="50" t="e">
        <f>#REF!</f>
        <v>#REF!</v>
      </c>
      <c r="C498" s="5" t="e">
        <f>#REF!</f>
        <v>#REF!</v>
      </c>
      <c r="D498" s="5" t="e">
        <f>#REF!</f>
        <v>#REF!</v>
      </c>
      <c r="E498" s="252">
        <v>1</v>
      </c>
      <c r="F498" s="249">
        <v>0</v>
      </c>
      <c r="G498" s="249">
        <v>0</v>
      </c>
      <c r="H498" s="249">
        <v>88893</v>
      </c>
      <c r="I498" s="249">
        <v>88774</v>
      </c>
      <c r="J498" s="249">
        <v>50376.666666666672</v>
      </c>
      <c r="K498" s="249">
        <v>23800</v>
      </c>
      <c r="L498" s="274">
        <f>AVERAGE(H498,J498)</f>
        <v>69634.833333333343</v>
      </c>
      <c r="M498" s="274">
        <f>AVERAGE(I498,K498)*E1</f>
        <v>57975.61</v>
      </c>
      <c r="N498" s="255">
        <v>18000</v>
      </c>
      <c r="O498" s="135">
        <f t="shared" ref="O498:O516" si="167">+N498*0.19</f>
        <v>3420</v>
      </c>
      <c r="P498" s="135">
        <f t="shared" ref="P498:P516" si="168">+N498+O498</f>
        <v>21420</v>
      </c>
      <c r="Q498" s="131"/>
      <c r="R498" s="131"/>
      <c r="S498" s="11"/>
      <c r="T498" s="274"/>
      <c r="U498" s="274"/>
      <c r="V498" s="274"/>
      <c r="W498" s="39"/>
      <c r="X498" s="11"/>
      <c r="Y498" s="11"/>
      <c r="Z498" s="274"/>
      <c r="AA498" s="274"/>
      <c r="AB498" s="274"/>
      <c r="AC498" s="52"/>
      <c r="AD498" s="22"/>
      <c r="AE498" s="39"/>
      <c r="AF498" s="274"/>
      <c r="AG498" s="274"/>
      <c r="AH498" s="171"/>
      <c r="AI498" s="22"/>
      <c r="AJ498" s="39"/>
      <c r="AK498" s="39"/>
      <c r="AL498" s="118"/>
      <c r="AM498" s="152"/>
      <c r="AN498" s="181"/>
      <c r="AO498" s="131"/>
      <c r="AP498" s="131"/>
      <c r="AQ498" s="39"/>
      <c r="AR498" s="274"/>
      <c r="AS498" s="274"/>
      <c r="AT498" s="274"/>
      <c r="AU498" s="39"/>
      <c r="AV498" s="39"/>
      <c r="AW498" s="39"/>
      <c r="AX498" s="274"/>
      <c r="AY498" s="274"/>
      <c r="AZ498" s="274"/>
      <c r="BA498" s="39"/>
      <c r="BB498" s="62"/>
      <c r="BC498" s="39"/>
      <c r="BD498" s="274"/>
      <c r="BE498" s="274"/>
      <c r="BF498" s="274"/>
      <c r="BG498" s="39"/>
      <c r="BH498" s="39"/>
      <c r="BI498" s="39"/>
      <c r="BJ498" s="274">
        <v>57250</v>
      </c>
      <c r="BK498" s="274">
        <f t="shared" si="163"/>
        <v>10877.5</v>
      </c>
      <c r="BL498" s="274">
        <f t="shared" si="164"/>
        <v>68127.5</v>
      </c>
      <c r="BM498" s="213" t="s">
        <v>196</v>
      </c>
      <c r="BN498" s="213" t="s">
        <v>4064</v>
      </c>
      <c r="BO498" s="39"/>
      <c r="BP498" s="274">
        <v>35200</v>
      </c>
      <c r="BQ498" s="274">
        <f t="shared" ref="BQ498:BQ519" si="169">+BP498*19%</f>
        <v>6688</v>
      </c>
      <c r="BR498" s="274">
        <f t="shared" ref="BR498:BR519" si="170">+BQ498+BP498</f>
        <v>41888</v>
      </c>
      <c r="BS498" s="39"/>
      <c r="BT498" s="39"/>
      <c r="BU498" s="39"/>
      <c r="BV498" s="219">
        <v>63755.661000000007</v>
      </c>
      <c r="BW498" s="219">
        <f t="shared" si="165"/>
        <v>12113.575590000002</v>
      </c>
      <c r="BX498" s="273">
        <f t="shared" si="166"/>
        <v>75869.236590000015</v>
      </c>
      <c r="BY498" s="213" t="s">
        <v>196</v>
      </c>
      <c r="BZ498" s="213" t="s">
        <v>4064</v>
      </c>
      <c r="CA498" s="213"/>
      <c r="CB498" s="274"/>
      <c r="CC498" s="274"/>
      <c r="CD498" s="274"/>
      <c r="CE498" s="39"/>
      <c r="CF498" s="39"/>
      <c r="CG498" s="39"/>
      <c r="CH498" s="274"/>
      <c r="CI498" s="274"/>
      <c r="CJ498" s="274"/>
      <c r="CK498" s="39"/>
      <c r="CL498" s="39"/>
      <c r="CM498" s="39"/>
      <c r="CN498" s="39"/>
      <c r="CO498" s="39"/>
      <c r="CP498" s="11"/>
      <c r="CQ498" s="11"/>
      <c r="CR498" s="11"/>
      <c r="CS498" s="11"/>
      <c r="CT498" s="11"/>
      <c r="CU498" s="11"/>
      <c r="CV498" s="11"/>
      <c r="CW498" s="11"/>
      <c r="CX498" s="11"/>
      <c r="CY498" s="11"/>
      <c r="CZ498" s="11"/>
      <c r="DA498" s="11"/>
      <c r="DB498" s="11"/>
      <c r="DC498" s="11"/>
      <c r="DD498" s="11"/>
      <c r="DE498" s="11"/>
      <c r="DF498" s="11"/>
      <c r="DG498" s="11"/>
      <c r="DH498" s="11"/>
      <c r="DI498" s="11"/>
      <c r="DJ498" s="11"/>
      <c r="DK498" s="11"/>
      <c r="DL498" s="274"/>
      <c r="DM498" s="274"/>
      <c r="DN498" s="274"/>
      <c r="DO498" s="274"/>
      <c r="DP498" s="274"/>
      <c r="DQ498" s="274"/>
      <c r="DR498" s="274"/>
      <c r="DS498" s="274"/>
      <c r="DT498" s="274"/>
      <c r="DU498" s="274"/>
      <c r="DV498" s="274"/>
      <c r="DW498" s="274"/>
      <c r="DX498" s="274"/>
      <c r="DY498" s="274"/>
      <c r="DZ498" s="274"/>
      <c r="EA498" s="274"/>
      <c r="EB498" s="274"/>
      <c r="EC498" s="274"/>
      <c r="ED498" s="39">
        <f t="shared" si="145"/>
        <v>265280.34658999997</v>
      </c>
      <c r="EE498" s="30">
        <f t="shared" si="146"/>
        <v>5</v>
      </c>
      <c r="EF498" s="39">
        <f t="shared" si="147"/>
        <v>53056.069317999994</v>
      </c>
    </row>
    <row r="499" spans="1:136" x14ac:dyDescent="0.25">
      <c r="A499" s="25" t="e">
        <f>#REF!</f>
        <v>#REF!</v>
      </c>
      <c r="B499" s="50" t="e">
        <f>#REF!</f>
        <v>#REF!</v>
      </c>
      <c r="C499" s="5" t="e">
        <f>#REF!</f>
        <v>#REF!</v>
      </c>
      <c r="D499" s="5" t="e">
        <f>#REF!</f>
        <v>#REF!</v>
      </c>
      <c r="E499" s="252">
        <v>1</v>
      </c>
      <c r="F499" s="249">
        <v>0</v>
      </c>
      <c r="G499" s="249">
        <v>0</v>
      </c>
      <c r="H499" s="249">
        <v>84490</v>
      </c>
      <c r="I499" s="249">
        <v>84371</v>
      </c>
      <c r="J499" s="249">
        <v>35184.333333333336</v>
      </c>
      <c r="K499" s="249">
        <v>33082</v>
      </c>
      <c r="L499" s="274">
        <f>AVERAGE(H499,J499)</f>
        <v>59837.166666666672</v>
      </c>
      <c r="M499" s="274">
        <f>AVERAGE(I499,K499)*E1</f>
        <v>60488.294999999998</v>
      </c>
      <c r="N499" s="255">
        <v>25000</v>
      </c>
      <c r="O499" s="135">
        <f t="shared" si="167"/>
        <v>4750</v>
      </c>
      <c r="P499" s="135">
        <f t="shared" si="168"/>
        <v>29750</v>
      </c>
      <c r="Q499" s="131"/>
      <c r="R499" s="131"/>
      <c r="S499" s="11"/>
      <c r="T499" s="274"/>
      <c r="U499" s="274"/>
      <c r="V499" s="274"/>
      <c r="W499" s="39"/>
      <c r="X499" s="11"/>
      <c r="Y499" s="11"/>
      <c r="Z499" s="274"/>
      <c r="AA499" s="274"/>
      <c r="AB499" s="274"/>
      <c r="AC499" s="52"/>
      <c r="AD499" s="22"/>
      <c r="AE499" s="39"/>
      <c r="AF499" s="274"/>
      <c r="AG499" s="274"/>
      <c r="AH499" s="171"/>
      <c r="AI499" s="22"/>
      <c r="AJ499" s="39"/>
      <c r="AK499" s="39"/>
      <c r="AL499" s="118"/>
      <c r="AM499" s="152"/>
      <c r="AN499" s="181"/>
      <c r="AO499" s="131"/>
      <c r="AP499" s="131"/>
      <c r="AQ499" s="39"/>
      <c r="AR499" s="274"/>
      <c r="AS499" s="274"/>
      <c r="AT499" s="274"/>
      <c r="AU499" s="39"/>
      <c r="AV499" s="39"/>
      <c r="AW499" s="39"/>
      <c r="AX499" s="274"/>
      <c r="AY499" s="274"/>
      <c r="AZ499" s="274"/>
      <c r="BA499" s="39"/>
      <c r="BB499" s="62"/>
      <c r="BC499" s="39"/>
      <c r="BD499" s="274"/>
      <c r="BE499" s="274"/>
      <c r="BF499" s="274"/>
      <c r="BG499" s="39"/>
      <c r="BH499" s="39"/>
      <c r="BI499" s="39"/>
      <c r="BJ499" s="274">
        <v>34750</v>
      </c>
      <c r="BK499" s="274">
        <f t="shared" si="163"/>
        <v>6602.5</v>
      </c>
      <c r="BL499" s="274">
        <f t="shared" si="164"/>
        <v>41352.5</v>
      </c>
      <c r="BM499" s="213" t="s">
        <v>4939</v>
      </c>
      <c r="BN499" s="213" t="s">
        <v>4064</v>
      </c>
      <c r="BO499" s="39"/>
      <c r="BP499" s="274">
        <v>26000</v>
      </c>
      <c r="BQ499" s="274">
        <f t="shared" si="169"/>
        <v>4940</v>
      </c>
      <c r="BR499" s="274">
        <f t="shared" si="170"/>
        <v>30940</v>
      </c>
      <c r="BS499" s="39"/>
      <c r="BT499" s="39"/>
      <c r="BU499" s="39"/>
      <c r="BV499" s="219">
        <v>40179.618000000002</v>
      </c>
      <c r="BW499" s="219">
        <f t="shared" si="165"/>
        <v>7634.1274200000007</v>
      </c>
      <c r="BX499" s="273">
        <f t="shared" si="166"/>
        <v>47813.745420000007</v>
      </c>
      <c r="BY499" s="213" t="s">
        <v>4939</v>
      </c>
      <c r="BZ499" s="213" t="s">
        <v>4064</v>
      </c>
      <c r="CA499" s="213"/>
      <c r="CB499" s="274"/>
      <c r="CC499" s="274"/>
      <c r="CD499" s="274"/>
      <c r="CE499" s="39"/>
      <c r="CF499" s="39"/>
      <c r="CG499" s="39"/>
      <c r="CH499" s="274"/>
      <c r="CI499" s="274"/>
      <c r="CJ499" s="274"/>
      <c r="CK499" s="39"/>
      <c r="CL499" s="39"/>
      <c r="CM499" s="39"/>
      <c r="CN499" s="39"/>
      <c r="CO499" s="39"/>
      <c r="CP499" s="11"/>
      <c r="CQ499" s="11"/>
      <c r="CR499" s="11"/>
      <c r="CS499" s="11"/>
      <c r="CT499" s="11"/>
      <c r="CU499" s="11"/>
      <c r="CV499" s="11"/>
      <c r="CW499" s="11"/>
      <c r="CX499" s="11"/>
      <c r="CY499" s="11"/>
      <c r="CZ499" s="11"/>
      <c r="DA499" s="11"/>
      <c r="DB499" s="11"/>
      <c r="DC499" s="11"/>
      <c r="DD499" s="11"/>
      <c r="DE499" s="11"/>
      <c r="DF499" s="11"/>
      <c r="DG499" s="11"/>
      <c r="DH499" s="11"/>
      <c r="DI499" s="11"/>
      <c r="DJ499" s="11"/>
      <c r="DK499" s="11"/>
      <c r="DL499" s="274"/>
      <c r="DM499" s="274"/>
      <c r="DN499" s="274"/>
      <c r="DO499" s="274"/>
      <c r="DP499" s="274"/>
      <c r="DQ499" s="274"/>
      <c r="DR499" s="274"/>
      <c r="DS499" s="274"/>
      <c r="DT499" s="274"/>
      <c r="DU499" s="274"/>
      <c r="DV499" s="274"/>
      <c r="DW499" s="274"/>
      <c r="DX499" s="274"/>
      <c r="DY499" s="274"/>
      <c r="DZ499" s="274"/>
      <c r="EA499" s="274"/>
      <c r="EB499" s="274"/>
      <c r="EC499" s="274"/>
      <c r="ED499" s="39">
        <f t="shared" si="145"/>
        <v>210344.54041999998</v>
      </c>
      <c r="EE499" s="30">
        <f t="shared" si="146"/>
        <v>5</v>
      </c>
      <c r="EF499" s="39">
        <f t="shared" si="147"/>
        <v>42068.908083999995</v>
      </c>
    </row>
    <row r="500" spans="1:136" x14ac:dyDescent="0.25">
      <c r="A500" s="25" t="e">
        <f>#REF!</f>
        <v>#REF!</v>
      </c>
      <c r="B500" s="50" t="e">
        <f>#REF!</f>
        <v>#REF!</v>
      </c>
      <c r="C500" s="5" t="e">
        <f>#REF!</f>
        <v>#REF!</v>
      </c>
      <c r="D500" s="5" t="e">
        <f>#REF!</f>
        <v>#REF!</v>
      </c>
      <c r="E500" s="252">
        <v>1</v>
      </c>
      <c r="F500" s="249">
        <v>0</v>
      </c>
      <c r="G500" s="249">
        <v>0</v>
      </c>
      <c r="H500" s="249">
        <v>72193.333333333328</v>
      </c>
      <c r="I500" s="249">
        <v>72114</v>
      </c>
      <c r="J500" s="249">
        <v>28311.42222222222</v>
      </c>
      <c r="K500" s="249">
        <v>19040</v>
      </c>
      <c r="L500" s="274">
        <f>AVERAGE(H500,J500)</f>
        <v>50252.377777777772</v>
      </c>
      <c r="M500" s="274">
        <f>AVERAGE(I500,K500)*E1</f>
        <v>46944.31</v>
      </c>
      <c r="N500" s="255">
        <v>25000</v>
      </c>
      <c r="O500" s="135">
        <f t="shared" si="167"/>
        <v>4750</v>
      </c>
      <c r="P500" s="135">
        <f t="shared" si="168"/>
        <v>29750</v>
      </c>
      <c r="Q500" s="131"/>
      <c r="R500" s="131"/>
      <c r="S500" s="11"/>
      <c r="T500" s="274"/>
      <c r="U500" s="274"/>
      <c r="V500" s="274"/>
      <c r="W500" s="39"/>
      <c r="X500" s="11"/>
      <c r="Y500" s="11"/>
      <c r="Z500" s="274"/>
      <c r="AA500" s="274"/>
      <c r="AB500" s="274"/>
      <c r="AC500" s="52"/>
      <c r="AD500" s="22"/>
      <c r="AE500" s="39"/>
      <c r="AF500" s="274"/>
      <c r="AG500" s="274"/>
      <c r="AH500" s="171"/>
      <c r="AI500" s="22"/>
      <c r="AJ500" s="39"/>
      <c r="AK500" s="39"/>
      <c r="AL500" s="118"/>
      <c r="AM500" s="152"/>
      <c r="AN500" s="181"/>
      <c r="AO500" s="131"/>
      <c r="AP500" s="131"/>
      <c r="AQ500" s="39"/>
      <c r="AR500" s="274"/>
      <c r="AS500" s="274"/>
      <c r="AT500" s="274"/>
      <c r="AU500" s="39"/>
      <c r="AV500" s="39"/>
      <c r="AW500" s="39"/>
      <c r="AX500" s="274"/>
      <c r="AY500" s="274"/>
      <c r="AZ500" s="274"/>
      <c r="BA500" s="39"/>
      <c r="BB500" s="62"/>
      <c r="BC500" s="39"/>
      <c r="BD500" s="274"/>
      <c r="BE500" s="274"/>
      <c r="BF500" s="274"/>
      <c r="BG500" s="39"/>
      <c r="BH500" s="39"/>
      <c r="BI500" s="39"/>
      <c r="BJ500" s="274">
        <v>56750</v>
      </c>
      <c r="BK500" s="274">
        <f t="shared" si="163"/>
        <v>10782.5</v>
      </c>
      <c r="BL500" s="274">
        <f t="shared" si="164"/>
        <v>67532.5</v>
      </c>
      <c r="BM500" s="213" t="s">
        <v>4939</v>
      </c>
      <c r="BN500" s="213" t="s">
        <v>4069</v>
      </c>
      <c r="BO500" s="39"/>
      <c r="BP500" s="274">
        <v>35200</v>
      </c>
      <c r="BQ500" s="274">
        <f t="shared" si="169"/>
        <v>6688</v>
      </c>
      <c r="BR500" s="274">
        <f t="shared" si="170"/>
        <v>41888</v>
      </c>
      <c r="BS500" s="39"/>
      <c r="BT500" s="39"/>
      <c r="BU500" s="39"/>
      <c r="BV500" s="219">
        <v>66940.484000000011</v>
      </c>
      <c r="BW500" s="219">
        <f t="shared" si="165"/>
        <v>12718.691960000002</v>
      </c>
      <c r="BX500" s="273">
        <f t="shared" si="166"/>
        <v>79659.175960000008</v>
      </c>
      <c r="BY500" s="213" t="s">
        <v>4939</v>
      </c>
      <c r="BZ500" s="213" t="s">
        <v>4069</v>
      </c>
      <c r="CA500" s="213"/>
      <c r="CB500" s="274"/>
      <c r="CC500" s="274"/>
      <c r="CD500" s="274"/>
      <c r="CE500" s="39"/>
      <c r="CF500" s="39"/>
      <c r="CG500" s="39"/>
      <c r="CH500" s="274"/>
      <c r="CI500" s="274"/>
      <c r="CJ500" s="274"/>
      <c r="CK500" s="39"/>
      <c r="CL500" s="39"/>
      <c r="CM500" s="39"/>
      <c r="CN500" s="39"/>
      <c r="CO500" s="39"/>
      <c r="CP500" s="11"/>
      <c r="CQ500" s="11"/>
      <c r="CR500" s="11"/>
      <c r="CS500" s="11"/>
      <c r="CT500" s="11"/>
      <c r="CU500" s="11"/>
      <c r="CV500" s="11"/>
      <c r="CW500" s="11"/>
      <c r="CX500" s="11"/>
      <c r="CY500" s="11"/>
      <c r="CZ500" s="11"/>
      <c r="DA500" s="11"/>
      <c r="DB500" s="11"/>
      <c r="DC500" s="11"/>
      <c r="DD500" s="11"/>
      <c r="DE500" s="11"/>
      <c r="DF500" s="11"/>
      <c r="DG500" s="11"/>
      <c r="DH500" s="11"/>
      <c r="DI500" s="11"/>
      <c r="DJ500" s="11"/>
      <c r="DK500" s="11"/>
      <c r="DL500" s="274"/>
      <c r="DM500" s="274"/>
      <c r="DN500" s="274"/>
      <c r="DO500" s="274"/>
      <c r="DP500" s="274"/>
      <c r="DQ500" s="274"/>
      <c r="DR500" s="274"/>
      <c r="DS500" s="274"/>
      <c r="DT500" s="274"/>
      <c r="DU500" s="274"/>
      <c r="DV500" s="274"/>
      <c r="DW500" s="274"/>
      <c r="DX500" s="274"/>
      <c r="DY500" s="274"/>
      <c r="DZ500" s="274"/>
      <c r="EA500" s="274"/>
      <c r="EB500" s="274"/>
      <c r="EC500" s="274"/>
      <c r="ED500" s="39">
        <f t="shared" si="145"/>
        <v>265773.98596000002</v>
      </c>
      <c r="EE500" s="30">
        <f t="shared" si="146"/>
        <v>5</v>
      </c>
      <c r="EF500" s="39">
        <f t="shared" si="147"/>
        <v>53154.797192000005</v>
      </c>
    </row>
    <row r="501" spans="1:136" x14ac:dyDescent="0.25">
      <c r="A501" s="25" t="e">
        <f>#REF!</f>
        <v>#REF!</v>
      </c>
      <c r="B501" s="50" t="e">
        <f>#REF!</f>
        <v>#REF!</v>
      </c>
      <c r="C501" s="5" t="e">
        <f>#REF!</f>
        <v>#REF!</v>
      </c>
      <c r="D501" s="5" t="e">
        <f>#REF!</f>
        <v>#REF!</v>
      </c>
      <c r="E501" s="252">
        <v>1</v>
      </c>
      <c r="F501" s="249">
        <v>11900</v>
      </c>
      <c r="G501" s="249">
        <v>11543</v>
      </c>
      <c r="H501" s="249">
        <v>10722.974966666667</v>
      </c>
      <c r="I501" s="249">
        <v>10591</v>
      </c>
      <c r="J501" s="249">
        <v>12303.938888888888</v>
      </c>
      <c r="K501" s="249">
        <v>9520</v>
      </c>
      <c r="L501" s="274">
        <f>AVERAGE(F501,H501,J501)</f>
        <v>11642.304618518518</v>
      </c>
      <c r="M501" s="274">
        <f>AVERAGE(G501,I501,K501)*E1</f>
        <v>10867.873333333335</v>
      </c>
      <c r="N501" s="255">
        <v>7500</v>
      </c>
      <c r="O501" s="135">
        <f t="shared" si="167"/>
        <v>1425</v>
      </c>
      <c r="P501" s="135">
        <f t="shared" si="168"/>
        <v>8925</v>
      </c>
      <c r="Q501" s="131"/>
      <c r="R501" s="131"/>
      <c r="S501" s="11"/>
      <c r="T501" s="274"/>
      <c r="U501" s="274"/>
      <c r="V501" s="274"/>
      <c r="W501" s="39"/>
      <c r="X501" s="11"/>
      <c r="Y501" s="11"/>
      <c r="Z501" s="274"/>
      <c r="AA501" s="274"/>
      <c r="AB501" s="274"/>
      <c r="AC501" s="52"/>
      <c r="AD501" s="22"/>
      <c r="AE501" s="39"/>
      <c r="AF501" s="274"/>
      <c r="AG501" s="274"/>
      <c r="AH501" s="171"/>
      <c r="AI501" s="22"/>
      <c r="AJ501" s="39"/>
      <c r="AK501" s="39"/>
      <c r="AL501" s="118"/>
      <c r="AM501" s="152"/>
      <c r="AN501" s="181"/>
      <c r="AO501" s="131"/>
      <c r="AP501" s="131"/>
      <c r="AQ501" s="39"/>
      <c r="AR501" s="274"/>
      <c r="AS501" s="274"/>
      <c r="AT501" s="274"/>
      <c r="AU501" s="39"/>
      <c r="AV501" s="39"/>
      <c r="AW501" s="39"/>
      <c r="AX501" s="274"/>
      <c r="AY501" s="274"/>
      <c r="AZ501" s="274"/>
      <c r="BA501" s="39"/>
      <c r="BB501" s="62"/>
      <c r="BC501" s="39"/>
      <c r="BD501" s="274"/>
      <c r="BE501" s="274"/>
      <c r="BF501" s="274"/>
      <c r="BG501" s="39"/>
      <c r="BH501" s="39"/>
      <c r="BI501" s="39"/>
      <c r="BJ501" s="274">
        <v>8200</v>
      </c>
      <c r="BK501" s="274">
        <f t="shared" si="163"/>
        <v>1558</v>
      </c>
      <c r="BL501" s="274">
        <f t="shared" si="164"/>
        <v>9758</v>
      </c>
      <c r="BM501" s="214" t="s">
        <v>3721</v>
      </c>
      <c r="BN501" s="213" t="s">
        <v>4069</v>
      </c>
      <c r="BO501" s="39"/>
      <c r="BP501" s="274">
        <v>12500</v>
      </c>
      <c r="BQ501" s="274">
        <f t="shared" si="169"/>
        <v>2375</v>
      </c>
      <c r="BR501" s="274">
        <f t="shared" si="170"/>
        <v>14875</v>
      </c>
      <c r="BS501" s="39"/>
      <c r="BT501" s="39"/>
      <c r="BU501" s="39"/>
      <c r="BV501" s="219">
        <v>8787.2184000000016</v>
      </c>
      <c r="BW501" s="219">
        <f t="shared" si="165"/>
        <v>1669.5714960000003</v>
      </c>
      <c r="BX501" s="273">
        <f t="shared" si="166"/>
        <v>10456.789896000002</v>
      </c>
      <c r="BY501" s="214" t="s">
        <v>3721</v>
      </c>
      <c r="BZ501" s="213" t="s">
        <v>4069</v>
      </c>
      <c r="CA501" s="213"/>
      <c r="CB501" s="274"/>
      <c r="CC501" s="274"/>
      <c r="CD501" s="274"/>
      <c r="CE501" s="39"/>
      <c r="CF501" s="39"/>
      <c r="CG501" s="39"/>
      <c r="CH501" s="274"/>
      <c r="CI501" s="274"/>
      <c r="CJ501" s="274"/>
      <c r="CK501" s="39"/>
      <c r="CL501" s="39"/>
      <c r="CM501" s="39"/>
      <c r="CN501" s="39"/>
      <c r="CO501" s="39"/>
      <c r="CP501" s="11"/>
      <c r="CQ501" s="11"/>
      <c r="CR501" s="11"/>
      <c r="CS501" s="11"/>
      <c r="CT501" s="11"/>
      <c r="CU501" s="11"/>
      <c r="CV501" s="11"/>
      <c r="CW501" s="11"/>
      <c r="CX501" s="11"/>
      <c r="CY501" s="11"/>
      <c r="CZ501" s="11"/>
      <c r="DA501" s="11"/>
      <c r="DB501" s="11"/>
      <c r="DC501" s="11"/>
      <c r="DD501" s="11"/>
      <c r="DE501" s="11"/>
      <c r="DF501" s="11"/>
      <c r="DG501" s="11"/>
      <c r="DH501" s="11"/>
      <c r="DI501" s="11"/>
      <c r="DJ501" s="11"/>
      <c r="DK501" s="11"/>
      <c r="DL501" s="274"/>
      <c r="DM501" s="274"/>
      <c r="DN501" s="274"/>
      <c r="DO501" s="274"/>
      <c r="DP501" s="274"/>
      <c r="DQ501" s="274"/>
      <c r="DR501" s="274"/>
      <c r="DS501" s="274"/>
      <c r="DT501" s="274"/>
      <c r="DU501" s="274"/>
      <c r="DV501" s="274"/>
      <c r="DW501" s="274"/>
      <c r="DX501" s="274"/>
      <c r="DY501" s="274"/>
      <c r="DZ501" s="274"/>
      <c r="EA501" s="274"/>
      <c r="EB501" s="274"/>
      <c r="EC501" s="274"/>
      <c r="ED501" s="39">
        <f t="shared" si="145"/>
        <v>54882.663229333339</v>
      </c>
      <c r="EE501" s="30">
        <f t="shared" si="146"/>
        <v>5</v>
      </c>
      <c r="EF501" s="39">
        <f t="shared" si="147"/>
        <v>10976.532645866668</v>
      </c>
    </row>
    <row r="502" spans="1:136" x14ac:dyDescent="0.25">
      <c r="A502" s="25" t="e">
        <f>#REF!</f>
        <v>#REF!</v>
      </c>
      <c r="B502" s="50" t="e">
        <f>#REF!</f>
        <v>#REF!</v>
      </c>
      <c r="C502" s="5" t="e">
        <f>#REF!</f>
        <v>#REF!</v>
      </c>
      <c r="D502" s="5" t="e">
        <f>#REF!</f>
        <v>#REF!</v>
      </c>
      <c r="E502" s="252">
        <v>1</v>
      </c>
      <c r="F502" s="249">
        <v>7318.5</v>
      </c>
      <c r="G502" s="249">
        <v>7021</v>
      </c>
      <c r="H502" s="249">
        <v>7878.3640599999999</v>
      </c>
      <c r="I502" s="249">
        <v>0</v>
      </c>
      <c r="J502" s="249">
        <v>0</v>
      </c>
      <c r="K502" s="249">
        <v>0</v>
      </c>
      <c r="L502" s="274">
        <f>AVERAGE(F502,H502)</f>
        <v>7598.4320299999999</v>
      </c>
      <c r="M502" s="274">
        <f>G502*E1</f>
        <v>7231.63</v>
      </c>
      <c r="N502" s="255">
        <v>5000</v>
      </c>
      <c r="O502" s="135">
        <f t="shared" si="167"/>
        <v>950</v>
      </c>
      <c r="P502" s="135">
        <f t="shared" si="168"/>
        <v>5950</v>
      </c>
      <c r="Q502" s="131"/>
      <c r="R502" s="131"/>
      <c r="S502" s="11"/>
      <c r="T502" s="274"/>
      <c r="U502" s="274"/>
      <c r="V502" s="274"/>
      <c r="W502" s="39"/>
      <c r="X502" s="11"/>
      <c r="Y502" s="11"/>
      <c r="Z502" s="274"/>
      <c r="AA502" s="274"/>
      <c r="AB502" s="274"/>
      <c r="AC502" s="5"/>
      <c r="AD502" s="5"/>
      <c r="AE502" s="39"/>
      <c r="AF502" s="274"/>
      <c r="AG502" s="274"/>
      <c r="AH502" s="169"/>
      <c r="AI502" s="5"/>
      <c r="AJ502" s="39"/>
      <c r="AK502" s="39"/>
      <c r="AL502" s="118"/>
      <c r="AM502" s="152"/>
      <c r="AN502" s="181"/>
      <c r="AO502" s="131"/>
      <c r="AP502" s="131"/>
      <c r="AQ502" s="39"/>
      <c r="AR502" s="274"/>
      <c r="AS502" s="274"/>
      <c r="AT502" s="274"/>
      <c r="AU502" s="39"/>
      <c r="AV502" s="39"/>
      <c r="AW502" s="39"/>
      <c r="AX502" s="274"/>
      <c r="AY502" s="274"/>
      <c r="AZ502" s="274"/>
      <c r="BA502" s="39"/>
      <c r="BB502" s="62"/>
      <c r="BC502" s="39"/>
      <c r="BD502" s="274"/>
      <c r="BE502" s="274"/>
      <c r="BF502" s="274"/>
      <c r="BG502" s="39"/>
      <c r="BH502" s="39"/>
      <c r="BI502" s="39"/>
      <c r="BJ502" s="274">
        <v>7250</v>
      </c>
      <c r="BK502" s="274">
        <f t="shared" si="163"/>
        <v>1377.5</v>
      </c>
      <c r="BL502" s="274">
        <f t="shared" si="164"/>
        <v>8627.5</v>
      </c>
      <c r="BM502" s="213" t="s">
        <v>196</v>
      </c>
      <c r="BN502" s="213" t="s">
        <v>4940</v>
      </c>
      <c r="BO502" s="39"/>
      <c r="BP502" s="274">
        <v>16000</v>
      </c>
      <c r="BQ502" s="274">
        <f t="shared" si="169"/>
        <v>3040</v>
      </c>
      <c r="BR502" s="274">
        <f t="shared" si="170"/>
        <v>19040</v>
      </c>
      <c r="BS502" s="39"/>
      <c r="BT502" s="39"/>
      <c r="BU502" s="39"/>
      <c r="BV502" s="219">
        <v>8714.7900000000027</v>
      </c>
      <c r="BW502" s="219">
        <f t="shared" si="165"/>
        <v>1655.8101000000006</v>
      </c>
      <c r="BX502" s="273">
        <f t="shared" si="166"/>
        <v>10370.600100000003</v>
      </c>
      <c r="BY502" s="213" t="s">
        <v>196</v>
      </c>
      <c r="BZ502" s="213" t="s">
        <v>4940</v>
      </c>
      <c r="CA502" s="213"/>
      <c r="CB502" s="274"/>
      <c r="CC502" s="274"/>
      <c r="CD502" s="274"/>
      <c r="CE502" s="39"/>
      <c r="CF502" s="39"/>
      <c r="CG502" s="39"/>
      <c r="CH502" s="274"/>
      <c r="CI502" s="274"/>
      <c r="CJ502" s="274"/>
      <c r="CK502" s="39"/>
      <c r="CL502" s="39"/>
      <c r="CM502" s="39"/>
      <c r="CN502" s="39"/>
      <c r="CO502" s="39"/>
      <c r="CP502" s="11"/>
      <c r="CQ502" s="11"/>
      <c r="CR502" s="11"/>
      <c r="CS502" s="11"/>
      <c r="CT502" s="11"/>
      <c r="CU502" s="11"/>
      <c r="CV502" s="11"/>
      <c r="CW502" s="11"/>
      <c r="CX502" s="11"/>
      <c r="CY502" s="11"/>
      <c r="CZ502" s="11"/>
      <c r="DA502" s="11"/>
      <c r="DB502" s="11"/>
      <c r="DC502" s="11"/>
      <c r="DD502" s="11"/>
      <c r="DE502" s="11"/>
      <c r="DF502" s="11"/>
      <c r="DG502" s="11"/>
      <c r="DH502" s="11"/>
      <c r="DI502" s="11"/>
      <c r="DJ502" s="11"/>
      <c r="DK502" s="11"/>
      <c r="DL502" s="274"/>
      <c r="DM502" s="274"/>
      <c r="DN502" s="274"/>
      <c r="DO502" s="274"/>
      <c r="DP502" s="274"/>
      <c r="DQ502" s="274"/>
      <c r="DR502" s="274"/>
      <c r="DS502" s="274"/>
      <c r="DT502" s="274"/>
      <c r="DU502" s="274"/>
      <c r="DV502" s="274"/>
      <c r="DW502" s="274"/>
      <c r="DX502" s="274"/>
      <c r="DY502" s="274"/>
      <c r="DZ502" s="274"/>
      <c r="EA502" s="274"/>
      <c r="EB502" s="274"/>
      <c r="EC502" s="274"/>
      <c r="ED502" s="39">
        <f t="shared" si="145"/>
        <v>51219.730100000008</v>
      </c>
      <c r="EE502" s="30">
        <f t="shared" si="146"/>
        <v>5</v>
      </c>
      <c r="EF502" s="39">
        <f t="shared" si="147"/>
        <v>10243.946020000001</v>
      </c>
    </row>
    <row r="503" spans="1:136" x14ac:dyDescent="0.25">
      <c r="A503" s="25" t="e">
        <f>#REF!</f>
        <v>#REF!</v>
      </c>
      <c r="B503" s="50" t="e">
        <f>#REF!</f>
        <v>#REF!</v>
      </c>
      <c r="C503" s="5" t="e">
        <f>#REF!</f>
        <v>#REF!</v>
      </c>
      <c r="D503" s="5" t="e">
        <f>#REF!</f>
        <v>#REF!</v>
      </c>
      <c r="E503" s="252">
        <v>1</v>
      </c>
      <c r="F503" s="249">
        <v>5355</v>
      </c>
      <c r="G503" s="249">
        <v>0</v>
      </c>
      <c r="H503" s="249">
        <v>9321.6666666666661</v>
      </c>
      <c r="I503" s="249">
        <v>0</v>
      </c>
      <c r="J503" s="249">
        <v>8633.4500000000007</v>
      </c>
      <c r="K503" s="249">
        <v>0</v>
      </c>
      <c r="L503" s="274">
        <f>AVERAGE(F503,H503,J503)</f>
        <v>7770.0388888888892</v>
      </c>
      <c r="M503" s="274"/>
      <c r="N503" s="255">
        <v>5500</v>
      </c>
      <c r="O503" s="135">
        <f t="shared" si="167"/>
        <v>1045</v>
      </c>
      <c r="P503" s="135">
        <f t="shared" si="168"/>
        <v>6545</v>
      </c>
      <c r="Q503" s="131"/>
      <c r="R503" s="131"/>
      <c r="S503" s="11"/>
      <c r="T503" s="274"/>
      <c r="U503" s="274"/>
      <c r="V503" s="274"/>
      <c r="W503" s="39"/>
      <c r="X503" s="11"/>
      <c r="Y503" s="11"/>
      <c r="Z503" s="274"/>
      <c r="AA503" s="274"/>
      <c r="AB503" s="274"/>
      <c r="AC503" s="52"/>
      <c r="AD503" s="22"/>
      <c r="AE503" s="39"/>
      <c r="AF503" s="274"/>
      <c r="AG503" s="274"/>
      <c r="AH503" s="171"/>
      <c r="AI503" s="22"/>
      <c r="AJ503" s="39"/>
      <c r="AK503" s="39"/>
      <c r="AL503" s="118"/>
      <c r="AM503" s="152"/>
      <c r="AN503" s="181"/>
      <c r="AO503" s="131"/>
      <c r="AP503" s="131"/>
      <c r="AQ503" s="39"/>
      <c r="AR503" s="274"/>
      <c r="AS503" s="274"/>
      <c r="AT503" s="274"/>
      <c r="AU503" s="39"/>
      <c r="AV503" s="39"/>
      <c r="AW503" s="39"/>
      <c r="AX503" s="274"/>
      <c r="AY503" s="274"/>
      <c r="AZ503" s="274"/>
      <c r="BA503" s="39"/>
      <c r="BB503" s="62"/>
      <c r="BC503" s="39"/>
      <c r="BD503" s="274"/>
      <c r="BE503" s="274"/>
      <c r="BF503" s="274"/>
      <c r="BG503" s="39"/>
      <c r="BH503" s="39"/>
      <c r="BI503" s="39"/>
      <c r="BJ503" s="274"/>
      <c r="BK503" s="274"/>
      <c r="BL503" s="274"/>
      <c r="BM503" s="213"/>
      <c r="BN503" s="213"/>
      <c r="BO503" s="39"/>
      <c r="BP503" s="274">
        <v>18000</v>
      </c>
      <c r="BQ503" s="274">
        <f t="shared" si="169"/>
        <v>3420</v>
      </c>
      <c r="BR503" s="274">
        <f t="shared" si="170"/>
        <v>21420</v>
      </c>
      <c r="BS503" s="39"/>
      <c r="BT503" s="39"/>
      <c r="BU503" s="39"/>
      <c r="BV503" s="212"/>
      <c r="BW503" s="220"/>
      <c r="BX503" s="273"/>
      <c r="BY503" s="213"/>
      <c r="BZ503" s="213"/>
      <c r="CA503" s="213"/>
      <c r="CB503" s="274"/>
      <c r="CC503" s="274"/>
      <c r="CD503" s="274"/>
      <c r="CE503" s="39"/>
      <c r="CF503" s="39"/>
      <c r="CG503" s="39"/>
      <c r="CH503" s="274"/>
      <c r="CI503" s="274"/>
      <c r="CJ503" s="274"/>
      <c r="CK503" s="39"/>
      <c r="CL503" s="39"/>
      <c r="CM503" s="39"/>
      <c r="CN503" s="39"/>
      <c r="CO503" s="39"/>
      <c r="CP503" s="11"/>
      <c r="CQ503" s="11"/>
      <c r="CR503" s="11"/>
      <c r="CS503" s="11"/>
      <c r="CT503" s="11"/>
      <c r="CU503" s="11"/>
      <c r="CV503" s="11"/>
      <c r="CW503" s="11"/>
      <c r="CX503" s="11"/>
      <c r="CY503" s="11"/>
      <c r="CZ503" s="11"/>
      <c r="DA503" s="11"/>
      <c r="DB503" s="11"/>
      <c r="DC503" s="11"/>
      <c r="DD503" s="11"/>
      <c r="DE503" s="11"/>
      <c r="DF503" s="11"/>
      <c r="DG503" s="11"/>
      <c r="DH503" s="11"/>
      <c r="DI503" s="11"/>
      <c r="DJ503" s="11"/>
      <c r="DK503" s="11"/>
      <c r="DL503" s="274"/>
      <c r="DM503" s="274"/>
      <c r="DN503" s="274"/>
      <c r="DO503" s="274"/>
      <c r="DP503" s="274"/>
      <c r="DQ503" s="274"/>
      <c r="DR503" s="274"/>
      <c r="DS503" s="274"/>
      <c r="DT503" s="274"/>
      <c r="DU503" s="274"/>
      <c r="DV503" s="274"/>
      <c r="DW503" s="274"/>
      <c r="DX503" s="274"/>
      <c r="DY503" s="274"/>
      <c r="DZ503" s="274"/>
      <c r="EA503" s="274"/>
      <c r="EB503" s="274"/>
      <c r="EC503" s="274"/>
      <c r="ED503" s="39">
        <f t="shared" si="145"/>
        <v>27965</v>
      </c>
      <c r="EE503" s="30">
        <f t="shared" si="146"/>
        <v>2</v>
      </c>
      <c r="EF503" s="39">
        <f t="shared" si="147"/>
        <v>13982.5</v>
      </c>
    </row>
    <row r="504" spans="1:136" x14ac:dyDescent="0.25">
      <c r="A504" s="25" t="e">
        <f>#REF!</f>
        <v>#REF!</v>
      </c>
      <c r="B504" s="50" t="e">
        <f>#REF!</f>
        <v>#REF!</v>
      </c>
      <c r="C504" s="5" t="e">
        <f>#REF!</f>
        <v>#REF!</v>
      </c>
      <c r="D504" s="5" t="e">
        <f>#REF!</f>
        <v>#REF!</v>
      </c>
      <c r="E504" s="252">
        <v>1</v>
      </c>
      <c r="F504" s="249">
        <v>5355</v>
      </c>
      <c r="G504" s="249">
        <v>0</v>
      </c>
      <c r="H504" s="249">
        <v>11305</v>
      </c>
      <c r="I504" s="249">
        <v>0</v>
      </c>
      <c r="J504" s="249">
        <v>10710</v>
      </c>
      <c r="K504" s="249">
        <v>0</v>
      </c>
      <c r="L504" s="274">
        <f>AVERAGE(F504,H504,J504)</f>
        <v>9123.3333333333339</v>
      </c>
      <c r="M504" s="274"/>
      <c r="N504" s="255">
        <v>6500</v>
      </c>
      <c r="O504" s="135">
        <f t="shared" si="167"/>
        <v>1235</v>
      </c>
      <c r="P504" s="135">
        <f t="shared" si="168"/>
        <v>7735</v>
      </c>
      <c r="Q504" s="131"/>
      <c r="R504" s="131"/>
      <c r="S504" s="11"/>
      <c r="T504" s="274"/>
      <c r="U504" s="274"/>
      <c r="V504" s="274"/>
      <c r="W504" s="39"/>
      <c r="X504" s="11"/>
      <c r="Y504" s="11"/>
      <c r="Z504" s="274"/>
      <c r="AA504" s="274"/>
      <c r="AB504" s="274"/>
      <c r="AC504" s="52"/>
      <c r="AD504" s="22"/>
      <c r="AE504" s="39"/>
      <c r="AF504" s="274"/>
      <c r="AG504" s="274"/>
      <c r="AH504" s="171"/>
      <c r="AI504" s="4"/>
      <c r="AJ504" s="39"/>
      <c r="AK504" s="39"/>
      <c r="AL504" s="118"/>
      <c r="AM504" s="152"/>
      <c r="AN504" s="181"/>
      <c r="AO504" s="131"/>
      <c r="AP504" s="131"/>
      <c r="AQ504" s="39"/>
      <c r="AR504" s="274"/>
      <c r="AS504" s="274"/>
      <c r="AT504" s="274"/>
      <c r="AU504" s="39"/>
      <c r="AV504" s="39"/>
      <c r="AW504" s="39"/>
      <c r="AX504" s="274"/>
      <c r="AY504" s="274"/>
      <c r="AZ504" s="274"/>
      <c r="BA504" s="39"/>
      <c r="BB504" s="62"/>
      <c r="BC504" s="39"/>
      <c r="BD504" s="274"/>
      <c r="BE504" s="274"/>
      <c r="BF504" s="274"/>
      <c r="BG504" s="39"/>
      <c r="BH504" s="39"/>
      <c r="BI504" s="39"/>
      <c r="BJ504" s="274"/>
      <c r="BK504" s="274"/>
      <c r="BL504" s="274"/>
      <c r="BM504" s="213"/>
      <c r="BN504" s="213"/>
      <c r="BO504" s="39"/>
      <c r="BP504" s="274">
        <v>26000</v>
      </c>
      <c r="BQ504" s="274">
        <f t="shared" si="169"/>
        <v>4940</v>
      </c>
      <c r="BR504" s="274">
        <f t="shared" si="170"/>
        <v>30940</v>
      </c>
      <c r="BS504" s="39"/>
      <c r="BT504" s="39"/>
      <c r="BU504" s="39"/>
      <c r="BV504" s="212"/>
      <c r="BW504" s="220"/>
      <c r="BX504" s="273"/>
      <c r="BY504" s="213"/>
      <c r="BZ504" s="213"/>
      <c r="CA504" s="213"/>
      <c r="CB504" s="274"/>
      <c r="CC504" s="274"/>
      <c r="CD504" s="274"/>
      <c r="CE504" s="39"/>
      <c r="CF504" s="39"/>
      <c r="CG504" s="39"/>
      <c r="CH504" s="274"/>
      <c r="CI504" s="274"/>
      <c r="CJ504" s="274"/>
      <c r="CK504" s="39"/>
      <c r="CL504" s="39"/>
      <c r="CM504" s="39"/>
      <c r="CN504" s="39"/>
      <c r="CO504" s="39"/>
      <c r="CP504" s="11"/>
      <c r="CQ504" s="11"/>
      <c r="CR504" s="11"/>
      <c r="CS504" s="11"/>
      <c r="CT504" s="11"/>
      <c r="CU504" s="11"/>
      <c r="CV504" s="11"/>
      <c r="CW504" s="11"/>
      <c r="CX504" s="11"/>
      <c r="CY504" s="11"/>
      <c r="CZ504" s="11"/>
      <c r="DA504" s="11"/>
      <c r="DB504" s="11"/>
      <c r="DC504" s="11"/>
      <c r="DD504" s="11"/>
      <c r="DE504" s="11"/>
      <c r="DF504" s="11"/>
      <c r="DG504" s="11"/>
      <c r="DH504" s="11"/>
      <c r="DI504" s="11"/>
      <c r="DJ504" s="11"/>
      <c r="DK504" s="11"/>
      <c r="DL504" s="274"/>
      <c r="DM504" s="274"/>
      <c r="DN504" s="274"/>
      <c r="DO504" s="274"/>
      <c r="DP504" s="274"/>
      <c r="DQ504" s="274"/>
      <c r="DR504" s="274"/>
      <c r="DS504" s="274"/>
      <c r="DT504" s="274"/>
      <c r="DU504" s="274"/>
      <c r="DV504" s="274"/>
      <c r="DW504" s="274"/>
      <c r="DX504" s="274"/>
      <c r="DY504" s="274"/>
      <c r="DZ504" s="274"/>
      <c r="EA504" s="274"/>
      <c r="EB504" s="274"/>
      <c r="EC504" s="274"/>
      <c r="ED504" s="39">
        <f t="shared" si="145"/>
        <v>38675</v>
      </c>
      <c r="EE504" s="30">
        <f t="shared" si="146"/>
        <v>2</v>
      </c>
      <c r="EF504" s="39">
        <f t="shared" si="147"/>
        <v>19337.5</v>
      </c>
    </row>
    <row r="505" spans="1:136" x14ac:dyDescent="0.25">
      <c r="A505" s="25" t="e">
        <f>#REF!</f>
        <v>#REF!</v>
      </c>
      <c r="B505" s="50" t="e">
        <f>#REF!</f>
        <v>#REF!</v>
      </c>
      <c r="C505" s="5" t="e">
        <f>#REF!</f>
        <v>#REF!</v>
      </c>
      <c r="D505" s="5" t="e">
        <f>#REF!</f>
        <v>#REF!</v>
      </c>
      <c r="E505" s="252">
        <v>1</v>
      </c>
      <c r="F505" s="249">
        <v>0</v>
      </c>
      <c r="G505" s="249">
        <v>0</v>
      </c>
      <c r="H505" s="249">
        <v>0</v>
      </c>
      <c r="I505" s="249">
        <v>0</v>
      </c>
      <c r="J505" s="249">
        <v>0</v>
      </c>
      <c r="K505" s="249">
        <v>0</v>
      </c>
      <c r="L505" s="274"/>
      <c r="M505" s="274"/>
      <c r="N505" s="255">
        <v>4000</v>
      </c>
      <c r="O505" s="135">
        <f t="shared" si="167"/>
        <v>760</v>
      </c>
      <c r="P505" s="135">
        <f t="shared" si="168"/>
        <v>4760</v>
      </c>
      <c r="Q505" s="131"/>
      <c r="R505" s="131"/>
      <c r="S505" s="11"/>
      <c r="T505" s="274"/>
      <c r="U505" s="274"/>
      <c r="V505" s="274"/>
      <c r="W505" s="39"/>
      <c r="X505" s="11"/>
      <c r="Y505" s="11"/>
      <c r="Z505" s="274"/>
      <c r="AA505" s="274"/>
      <c r="AB505" s="274"/>
      <c r="AC505" s="52"/>
      <c r="AD505" s="22"/>
      <c r="AE505" s="39"/>
      <c r="AF505" s="274"/>
      <c r="AG505" s="274"/>
      <c r="AH505" s="171"/>
      <c r="AI505" s="4"/>
      <c r="AJ505" s="39"/>
      <c r="AK505" s="39"/>
      <c r="AL505" s="118"/>
      <c r="AM505" s="152"/>
      <c r="AN505" s="181"/>
      <c r="AO505" s="131"/>
      <c r="AP505" s="131"/>
      <c r="AQ505" s="39"/>
      <c r="AR505" s="274"/>
      <c r="AS505" s="274"/>
      <c r="AT505" s="274"/>
      <c r="AU505" s="39"/>
      <c r="AV505" s="39"/>
      <c r="AW505" s="39"/>
      <c r="AX505" s="274"/>
      <c r="AY505" s="274"/>
      <c r="AZ505" s="274"/>
      <c r="BA505" s="39"/>
      <c r="BB505" s="62"/>
      <c r="BC505" s="39"/>
      <c r="BD505" s="274"/>
      <c r="BE505" s="274"/>
      <c r="BF505" s="274"/>
      <c r="BG505" s="39"/>
      <c r="BH505" s="39"/>
      <c r="BI505" s="39"/>
      <c r="BJ505" s="274"/>
      <c r="BK505" s="274"/>
      <c r="BL505" s="274"/>
      <c r="BM505" s="213"/>
      <c r="BN505" s="213"/>
      <c r="BO505" s="39"/>
      <c r="BP505" s="274">
        <v>32000</v>
      </c>
      <c r="BQ505" s="274">
        <f t="shared" si="169"/>
        <v>6080</v>
      </c>
      <c r="BR505" s="274">
        <f t="shared" si="170"/>
        <v>38080</v>
      </c>
      <c r="BS505" s="39"/>
      <c r="BT505" s="39"/>
      <c r="BU505" s="39"/>
      <c r="BV505" s="212"/>
      <c r="BW505" s="220"/>
      <c r="BX505" s="273"/>
      <c r="BY505" s="213"/>
      <c r="BZ505" s="213"/>
      <c r="CA505" s="213"/>
      <c r="CB505" s="274"/>
      <c r="CC505" s="274"/>
      <c r="CD505" s="274"/>
      <c r="CE505" s="39"/>
      <c r="CF505" s="39"/>
      <c r="CG505" s="39"/>
      <c r="CH505" s="274"/>
      <c r="CI505" s="274"/>
      <c r="CJ505" s="274"/>
      <c r="CK505" s="39"/>
      <c r="CL505" s="39"/>
      <c r="CM505" s="39"/>
      <c r="CN505" s="39"/>
      <c r="CO505" s="39"/>
      <c r="CP505" s="11"/>
      <c r="CQ505" s="11"/>
      <c r="CR505" s="11"/>
      <c r="CS505" s="11"/>
      <c r="CT505" s="11"/>
      <c r="CU505" s="11"/>
      <c r="CV505" s="11"/>
      <c r="CW505" s="11"/>
      <c r="CX505" s="11"/>
      <c r="CY505" s="11"/>
      <c r="CZ505" s="11"/>
      <c r="DA505" s="11"/>
      <c r="DB505" s="11"/>
      <c r="DC505" s="11"/>
      <c r="DD505" s="11"/>
      <c r="DE505" s="11"/>
      <c r="DF505" s="11"/>
      <c r="DG505" s="11"/>
      <c r="DH505" s="11"/>
      <c r="DI505" s="11"/>
      <c r="DJ505" s="11"/>
      <c r="DK505" s="11"/>
      <c r="DL505" s="274"/>
      <c r="DM505" s="274"/>
      <c r="DN505" s="274"/>
      <c r="DO505" s="274"/>
      <c r="DP505" s="274"/>
      <c r="DQ505" s="274"/>
      <c r="DR505" s="274"/>
      <c r="DS505" s="274"/>
      <c r="DT505" s="274"/>
      <c r="DU505" s="274"/>
      <c r="DV505" s="274"/>
      <c r="DW505" s="274"/>
      <c r="DX505" s="274"/>
      <c r="DY505" s="274"/>
      <c r="DZ505" s="274"/>
      <c r="EA505" s="274"/>
      <c r="EB505" s="274"/>
      <c r="EC505" s="274"/>
      <c r="ED505" s="39">
        <f t="shared" si="145"/>
        <v>42840</v>
      </c>
      <c r="EE505" s="30">
        <f t="shared" si="146"/>
        <v>2</v>
      </c>
      <c r="EF505" s="39">
        <f t="shared" si="147"/>
        <v>21420</v>
      </c>
    </row>
    <row r="506" spans="1:136" x14ac:dyDescent="0.25">
      <c r="A506" s="25" t="e">
        <f>#REF!</f>
        <v>#REF!</v>
      </c>
      <c r="B506" s="50" t="e">
        <f>#REF!</f>
        <v>#REF!</v>
      </c>
      <c r="C506" s="5" t="e">
        <f>#REF!</f>
        <v>#REF!</v>
      </c>
      <c r="D506" s="5" t="e">
        <f>#REF!</f>
        <v>#REF!</v>
      </c>
      <c r="E506" s="252">
        <v>1</v>
      </c>
      <c r="F506" s="249">
        <v>39032</v>
      </c>
      <c r="G506" s="249">
        <v>37604</v>
      </c>
      <c r="H506" s="249">
        <v>14280</v>
      </c>
      <c r="I506" s="249">
        <v>14161</v>
      </c>
      <c r="J506" s="249">
        <v>32465.844444444447</v>
      </c>
      <c r="K506" s="249">
        <v>28560</v>
      </c>
      <c r="L506" s="274">
        <f>AVERAGE(F506,H506,J506)</f>
        <v>28592.614814814817</v>
      </c>
      <c r="M506" s="274">
        <f>AVERAGE(G506,I506,K506)*E1</f>
        <v>27578.25</v>
      </c>
      <c r="N506" s="255">
        <v>25000</v>
      </c>
      <c r="O506" s="135">
        <f t="shared" si="167"/>
        <v>4750</v>
      </c>
      <c r="P506" s="135">
        <f t="shared" si="168"/>
        <v>29750</v>
      </c>
      <c r="Q506" s="131"/>
      <c r="R506" s="131"/>
      <c r="S506" s="11"/>
      <c r="T506" s="274"/>
      <c r="U506" s="274"/>
      <c r="V506" s="274"/>
      <c r="W506" s="39"/>
      <c r="X506" s="11"/>
      <c r="Y506" s="11"/>
      <c r="Z506" s="274"/>
      <c r="AA506" s="274"/>
      <c r="AB506" s="274"/>
      <c r="AC506" s="52"/>
      <c r="AD506" s="22"/>
      <c r="AE506" s="39"/>
      <c r="AF506" s="274"/>
      <c r="AG506" s="274"/>
      <c r="AH506" s="171"/>
      <c r="AI506" s="4"/>
      <c r="AJ506" s="39"/>
      <c r="AK506" s="39"/>
      <c r="AL506" s="118"/>
      <c r="AM506" s="152"/>
      <c r="AN506" s="181"/>
      <c r="AO506" s="131"/>
      <c r="AP506" s="131"/>
      <c r="AQ506" s="39"/>
      <c r="AR506" s="274">
        <v>6500</v>
      </c>
      <c r="AS506" s="274">
        <f t="shared" ref="AS506:AS519" si="171">+AR506*0.19</f>
        <v>1235</v>
      </c>
      <c r="AT506" s="274">
        <f t="shared" ref="AT506:AT519" si="172">+AR506+AS506</f>
        <v>7735</v>
      </c>
      <c r="AU506" s="39"/>
      <c r="AV506" s="39"/>
      <c r="AW506" s="39"/>
      <c r="AX506" s="274"/>
      <c r="AY506" s="274"/>
      <c r="AZ506" s="274"/>
      <c r="BA506" s="39"/>
      <c r="BB506" s="62"/>
      <c r="BC506" s="39"/>
      <c r="BD506" s="274"/>
      <c r="BE506" s="274"/>
      <c r="BF506" s="274"/>
      <c r="BG506" s="39"/>
      <c r="BH506" s="39"/>
      <c r="BI506" s="39"/>
      <c r="BJ506" s="274">
        <v>19200</v>
      </c>
      <c r="BK506" s="274">
        <f t="shared" ref="BK506:BK520" si="173">+BJ506*0.19</f>
        <v>3648</v>
      </c>
      <c r="BL506" s="274">
        <f t="shared" ref="BL506:BL520" si="174">+BJ506+BK506</f>
        <v>22848</v>
      </c>
      <c r="BM506" s="213" t="s">
        <v>196</v>
      </c>
      <c r="BN506" s="213" t="s">
        <v>4893</v>
      </c>
      <c r="BO506" s="39"/>
      <c r="BP506" s="274">
        <v>25600</v>
      </c>
      <c r="BQ506" s="274">
        <f t="shared" si="169"/>
        <v>4864</v>
      </c>
      <c r="BR506" s="274">
        <f t="shared" si="170"/>
        <v>30464</v>
      </c>
      <c r="BS506" s="39"/>
      <c r="BT506" s="39"/>
      <c r="BU506" s="39"/>
      <c r="BV506" s="219">
        <v>21180.096000000001</v>
      </c>
      <c r="BW506" s="219">
        <f t="shared" ref="BW506:BW520" si="175">+BV506*0.19</f>
        <v>4024.2182400000002</v>
      </c>
      <c r="BX506" s="273">
        <f t="shared" ref="BX506:BX520" si="176">+BV506+BW506</f>
        <v>25204.31424</v>
      </c>
      <c r="BY506" s="213" t="s">
        <v>196</v>
      </c>
      <c r="BZ506" s="213" t="s">
        <v>4893</v>
      </c>
      <c r="CA506" s="213"/>
      <c r="CB506" s="274"/>
      <c r="CC506" s="274"/>
      <c r="CD506" s="274"/>
      <c r="CE506" s="39"/>
      <c r="CF506" s="39"/>
      <c r="CG506" s="39"/>
      <c r="CH506" s="274"/>
      <c r="CI506" s="274"/>
      <c r="CJ506" s="274"/>
      <c r="CK506" s="39"/>
      <c r="CL506" s="39"/>
      <c r="CM506" s="39"/>
      <c r="CN506" s="39"/>
      <c r="CO506" s="39"/>
      <c r="CP506" s="11"/>
      <c r="CQ506" s="11"/>
      <c r="CR506" s="11"/>
      <c r="CS506" s="11"/>
      <c r="CT506" s="11"/>
      <c r="CU506" s="11"/>
      <c r="CV506" s="11"/>
      <c r="CW506" s="11"/>
      <c r="CX506" s="11"/>
      <c r="CY506" s="11"/>
      <c r="CZ506" s="11"/>
      <c r="DA506" s="11"/>
      <c r="DB506" s="11"/>
      <c r="DC506" s="11"/>
      <c r="DD506" s="11"/>
      <c r="DE506" s="11"/>
      <c r="DF506" s="11"/>
      <c r="DG506" s="11"/>
      <c r="DH506" s="11"/>
      <c r="DI506" s="11"/>
      <c r="DJ506" s="11"/>
      <c r="DK506" s="11"/>
      <c r="DL506" s="274"/>
      <c r="DM506" s="274"/>
      <c r="DN506" s="274"/>
      <c r="DO506" s="274"/>
      <c r="DP506" s="274"/>
      <c r="DQ506" s="274"/>
      <c r="DR506" s="274"/>
      <c r="DS506" s="274"/>
      <c r="DT506" s="274"/>
      <c r="DU506" s="274"/>
      <c r="DV506" s="274"/>
      <c r="DW506" s="274"/>
      <c r="DX506" s="274"/>
      <c r="DY506" s="274"/>
      <c r="DZ506" s="274"/>
      <c r="EA506" s="274"/>
      <c r="EB506" s="274"/>
      <c r="EC506" s="274"/>
      <c r="ED506" s="39">
        <f t="shared" si="145"/>
        <v>143579.56424000001</v>
      </c>
      <c r="EE506" s="30">
        <f t="shared" si="146"/>
        <v>6</v>
      </c>
      <c r="EF506" s="39">
        <f t="shared" si="147"/>
        <v>23929.927373333336</v>
      </c>
    </row>
    <row r="507" spans="1:136" x14ac:dyDescent="0.25">
      <c r="A507" s="25" t="e">
        <f>#REF!</f>
        <v>#REF!</v>
      </c>
      <c r="B507" s="50" t="e">
        <f>#REF!</f>
        <v>#REF!</v>
      </c>
      <c r="C507" s="5" t="e">
        <f>#REF!</f>
        <v>#REF!</v>
      </c>
      <c r="D507" s="5" t="e">
        <f>#REF!</f>
        <v>#REF!</v>
      </c>
      <c r="E507" s="252">
        <v>1</v>
      </c>
      <c r="F507" s="249">
        <v>7854</v>
      </c>
      <c r="G507" s="249">
        <v>0</v>
      </c>
      <c r="H507" s="249">
        <v>7169.75</v>
      </c>
      <c r="I507" s="249">
        <v>7021</v>
      </c>
      <c r="J507" s="249">
        <v>10481.255555555557</v>
      </c>
      <c r="K507" s="249">
        <v>7973</v>
      </c>
      <c r="L507" s="274">
        <f>AVERAGE(F507,H507,J507)</f>
        <v>8501.6685185185197</v>
      </c>
      <c r="M507" s="274">
        <f>AVERAGE(I507,K507)*E1</f>
        <v>7721.91</v>
      </c>
      <c r="N507" s="255">
        <v>7500</v>
      </c>
      <c r="O507" s="135">
        <f t="shared" si="167"/>
        <v>1425</v>
      </c>
      <c r="P507" s="135">
        <f t="shared" si="168"/>
        <v>8925</v>
      </c>
      <c r="Q507" s="131"/>
      <c r="R507" s="131"/>
      <c r="S507" s="11"/>
      <c r="T507" s="274"/>
      <c r="U507" s="274"/>
      <c r="V507" s="274"/>
      <c r="W507" s="39"/>
      <c r="X507" s="11"/>
      <c r="Y507" s="11"/>
      <c r="Z507" s="274"/>
      <c r="AA507" s="274"/>
      <c r="AB507" s="274"/>
      <c r="AC507" s="52"/>
      <c r="AD507" s="22"/>
      <c r="AE507" s="39"/>
      <c r="AF507" s="274"/>
      <c r="AG507" s="274"/>
      <c r="AH507" s="171"/>
      <c r="AI507" s="4"/>
      <c r="AJ507" s="39"/>
      <c r="AK507" s="39"/>
      <c r="AL507" s="118"/>
      <c r="AM507" s="152"/>
      <c r="AN507" s="181"/>
      <c r="AO507" s="131"/>
      <c r="AP507" s="131"/>
      <c r="AQ507" s="39"/>
      <c r="AR507" s="274">
        <v>9000</v>
      </c>
      <c r="AS507" s="274">
        <f t="shared" si="171"/>
        <v>1710</v>
      </c>
      <c r="AT507" s="274">
        <f t="shared" si="172"/>
        <v>10710</v>
      </c>
      <c r="AU507" s="39"/>
      <c r="AV507" s="39"/>
      <c r="AW507" s="39"/>
      <c r="AX507" s="274"/>
      <c r="AY507" s="274"/>
      <c r="AZ507" s="274"/>
      <c r="BA507" s="39"/>
      <c r="BB507" s="62"/>
      <c r="BC507" s="39"/>
      <c r="BD507" s="274"/>
      <c r="BE507" s="274"/>
      <c r="BF507" s="274"/>
      <c r="BG507" s="39"/>
      <c r="BH507" s="39"/>
      <c r="BI507" s="39"/>
      <c r="BJ507" s="274">
        <v>9100</v>
      </c>
      <c r="BK507" s="274">
        <f t="shared" si="173"/>
        <v>1729</v>
      </c>
      <c r="BL507" s="274">
        <f t="shared" si="174"/>
        <v>10829</v>
      </c>
      <c r="BM507" s="213" t="s">
        <v>196</v>
      </c>
      <c r="BN507" s="213" t="s">
        <v>4740</v>
      </c>
      <c r="BO507" s="39"/>
      <c r="BP507" s="274">
        <v>26000</v>
      </c>
      <c r="BQ507" s="274">
        <f t="shared" si="169"/>
        <v>4940</v>
      </c>
      <c r="BR507" s="274">
        <f t="shared" si="170"/>
        <v>30940</v>
      </c>
      <c r="BS507" s="39"/>
      <c r="BT507" s="39"/>
      <c r="BU507" s="39"/>
      <c r="BV507" s="219">
        <v>10323.331200000001</v>
      </c>
      <c r="BW507" s="219">
        <f t="shared" si="175"/>
        <v>1961.4329280000002</v>
      </c>
      <c r="BX507" s="273">
        <f t="shared" si="176"/>
        <v>12284.764128000001</v>
      </c>
      <c r="BY507" s="213" t="s">
        <v>196</v>
      </c>
      <c r="BZ507" s="213" t="s">
        <v>4740</v>
      </c>
      <c r="CA507" s="213"/>
      <c r="CB507" s="274"/>
      <c r="CC507" s="274"/>
      <c r="CD507" s="274"/>
      <c r="CE507" s="39"/>
      <c r="CF507" s="39"/>
      <c r="CG507" s="39"/>
      <c r="CH507" s="274"/>
      <c r="CI507" s="274"/>
      <c r="CJ507" s="274"/>
      <c r="CK507" s="39"/>
      <c r="CL507" s="39"/>
      <c r="CM507" s="39"/>
      <c r="CN507" s="39"/>
      <c r="CO507" s="39"/>
      <c r="CP507" s="11"/>
      <c r="CQ507" s="11"/>
      <c r="CR507" s="11"/>
      <c r="CS507" s="11"/>
      <c r="CT507" s="11"/>
      <c r="CU507" s="11"/>
      <c r="CV507" s="11"/>
      <c r="CW507" s="11"/>
      <c r="CX507" s="11"/>
      <c r="CY507" s="11"/>
      <c r="CZ507" s="11"/>
      <c r="DA507" s="11"/>
      <c r="DB507" s="11"/>
      <c r="DC507" s="11"/>
      <c r="DD507" s="11"/>
      <c r="DE507" s="11"/>
      <c r="DF507" s="11"/>
      <c r="DG507" s="11"/>
      <c r="DH507" s="11"/>
      <c r="DI507" s="11"/>
      <c r="DJ507" s="11"/>
      <c r="DK507" s="11"/>
      <c r="DL507" s="274"/>
      <c r="DM507" s="274"/>
      <c r="DN507" s="274"/>
      <c r="DO507" s="274"/>
      <c r="DP507" s="274"/>
      <c r="DQ507" s="274"/>
      <c r="DR507" s="274"/>
      <c r="DS507" s="274"/>
      <c r="DT507" s="274"/>
      <c r="DU507" s="274"/>
      <c r="DV507" s="274"/>
      <c r="DW507" s="274"/>
      <c r="DX507" s="274"/>
      <c r="DY507" s="274"/>
      <c r="DZ507" s="274"/>
      <c r="EA507" s="274"/>
      <c r="EB507" s="274"/>
      <c r="EC507" s="274"/>
      <c r="ED507" s="39">
        <f t="shared" si="145"/>
        <v>81410.674127999999</v>
      </c>
      <c r="EE507" s="30">
        <f t="shared" si="146"/>
        <v>6</v>
      </c>
      <c r="EF507" s="39">
        <f t="shared" si="147"/>
        <v>13568.445688</v>
      </c>
    </row>
    <row r="508" spans="1:136" x14ac:dyDescent="0.25">
      <c r="A508" s="25" t="e">
        <f>#REF!</f>
        <v>#REF!</v>
      </c>
      <c r="B508" s="50" t="e">
        <f>#REF!</f>
        <v>#REF!</v>
      </c>
      <c r="C508" s="5" t="e">
        <f>#REF!</f>
        <v>#REF!</v>
      </c>
      <c r="D508" s="5" t="e">
        <f>#REF!</f>
        <v>#REF!</v>
      </c>
      <c r="E508" s="252">
        <v>1</v>
      </c>
      <c r="F508" s="249">
        <v>23621.5</v>
      </c>
      <c r="G508" s="249">
        <v>0</v>
      </c>
      <c r="H508" s="249">
        <v>7021</v>
      </c>
      <c r="I508" s="249">
        <v>0</v>
      </c>
      <c r="J508" s="249">
        <v>7788.55</v>
      </c>
      <c r="K508" s="249">
        <v>7259</v>
      </c>
      <c r="L508" s="274">
        <f>AVERAGE(F508,H508,J508)</f>
        <v>12810.35</v>
      </c>
      <c r="M508" s="274">
        <f>K508*E1</f>
        <v>7476.77</v>
      </c>
      <c r="N508" s="255">
        <v>7500</v>
      </c>
      <c r="O508" s="135">
        <f t="shared" si="167"/>
        <v>1425</v>
      </c>
      <c r="P508" s="135">
        <f t="shared" si="168"/>
        <v>8925</v>
      </c>
      <c r="Q508" s="131"/>
      <c r="R508" s="131"/>
      <c r="S508" s="11"/>
      <c r="T508" s="274"/>
      <c r="U508" s="274"/>
      <c r="V508" s="274"/>
      <c r="W508" s="39"/>
      <c r="X508" s="11"/>
      <c r="Y508" s="11"/>
      <c r="Z508" s="274"/>
      <c r="AA508" s="274"/>
      <c r="AB508" s="274"/>
      <c r="AC508" s="52"/>
      <c r="AD508" s="22"/>
      <c r="AE508" s="39"/>
      <c r="AF508" s="274"/>
      <c r="AG508" s="274"/>
      <c r="AH508" s="171"/>
      <c r="AI508" s="4"/>
      <c r="AJ508" s="39"/>
      <c r="AK508" s="39"/>
      <c r="AL508" s="118"/>
      <c r="AM508" s="152"/>
      <c r="AN508" s="181"/>
      <c r="AO508" s="131"/>
      <c r="AP508" s="131"/>
      <c r="AQ508" s="39"/>
      <c r="AR508" s="274">
        <v>8500</v>
      </c>
      <c r="AS508" s="274">
        <f t="shared" si="171"/>
        <v>1615</v>
      </c>
      <c r="AT508" s="274">
        <f t="shared" si="172"/>
        <v>10115</v>
      </c>
      <c r="AU508" s="39"/>
      <c r="AV508" s="39"/>
      <c r="AW508" s="39"/>
      <c r="AX508" s="274"/>
      <c r="AY508" s="274"/>
      <c r="AZ508" s="274"/>
      <c r="BA508" s="39"/>
      <c r="BB508" s="62"/>
      <c r="BC508" s="39"/>
      <c r="BD508" s="274"/>
      <c r="BE508" s="274"/>
      <c r="BF508" s="274"/>
      <c r="BG508" s="39"/>
      <c r="BH508" s="39"/>
      <c r="BI508" s="39"/>
      <c r="BJ508" s="274">
        <v>41600</v>
      </c>
      <c r="BK508" s="274">
        <f t="shared" si="173"/>
        <v>7904</v>
      </c>
      <c r="BL508" s="274">
        <f t="shared" si="174"/>
        <v>49504</v>
      </c>
      <c r="BM508" s="213" t="s">
        <v>196</v>
      </c>
      <c r="BN508" s="213" t="s">
        <v>3852</v>
      </c>
      <c r="BO508" s="39"/>
      <c r="BP508" s="274">
        <v>23000</v>
      </c>
      <c r="BQ508" s="274">
        <f t="shared" si="169"/>
        <v>4370</v>
      </c>
      <c r="BR508" s="274">
        <f t="shared" si="170"/>
        <v>27370</v>
      </c>
      <c r="BS508" s="39"/>
      <c r="BT508" s="39"/>
      <c r="BU508" s="39"/>
      <c r="BV508" s="219">
        <v>47218.329600000005</v>
      </c>
      <c r="BW508" s="219">
        <f t="shared" si="175"/>
        <v>8971.4826240000002</v>
      </c>
      <c r="BX508" s="273">
        <f t="shared" si="176"/>
        <v>56189.812224000008</v>
      </c>
      <c r="BY508" s="213" t="s">
        <v>196</v>
      </c>
      <c r="BZ508" s="213" t="s">
        <v>3852</v>
      </c>
      <c r="CA508" s="213"/>
      <c r="CB508" s="274"/>
      <c r="CC508" s="274"/>
      <c r="CD508" s="274"/>
      <c r="CE508" s="39"/>
      <c r="CF508" s="39"/>
      <c r="CG508" s="39"/>
      <c r="CH508" s="274"/>
      <c r="CI508" s="274"/>
      <c r="CJ508" s="274"/>
      <c r="CK508" s="39"/>
      <c r="CL508" s="39"/>
      <c r="CM508" s="39"/>
      <c r="CN508" s="39"/>
      <c r="CO508" s="39"/>
      <c r="CP508" s="11"/>
      <c r="CQ508" s="11"/>
      <c r="CR508" s="11"/>
      <c r="CS508" s="11"/>
      <c r="CT508" s="11"/>
      <c r="CU508" s="11"/>
      <c r="CV508" s="11"/>
      <c r="CW508" s="11"/>
      <c r="CX508" s="11"/>
      <c r="CY508" s="11"/>
      <c r="CZ508" s="11"/>
      <c r="DA508" s="11"/>
      <c r="DB508" s="11"/>
      <c r="DC508" s="11"/>
      <c r="DD508" s="11"/>
      <c r="DE508" s="11"/>
      <c r="DF508" s="11"/>
      <c r="DG508" s="11"/>
      <c r="DH508" s="11"/>
      <c r="DI508" s="11"/>
      <c r="DJ508" s="11"/>
      <c r="DK508" s="11"/>
      <c r="DL508" s="274"/>
      <c r="DM508" s="274"/>
      <c r="DN508" s="274"/>
      <c r="DO508" s="274"/>
      <c r="DP508" s="274"/>
      <c r="DQ508" s="274"/>
      <c r="DR508" s="274"/>
      <c r="DS508" s="274"/>
      <c r="DT508" s="274"/>
      <c r="DU508" s="274"/>
      <c r="DV508" s="274"/>
      <c r="DW508" s="274"/>
      <c r="DX508" s="274"/>
      <c r="DY508" s="274"/>
      <c r="DZ508" s="274"/>
      <c r="EA508" s="274"/>
      <c r="EB508" s="274"/>
      <c r="EC508" s="274"/>
      <c r="ED508" s="39">
        <f t="shared" si="145"/>
        <v>159580.58222400001</v>
      </c>
      <c r="EE508" s="30">
        <f t="shared" si="146"/>
        <v>6</v>
      </c>
      <c r="EF508" s="39">
        <f t="shared" si="147"/>
        <v>26596.763704000001</v>
      </c>
    </row>
    <row r="509" spans="1:136" x14ac:dyDescent="0.25">
      <c r="A509" s="25" t="e">
        <f>#REF!</f>
        <v>#REF!</v>
      </c>
      <c r="B509" s="50" t="e">
        <f>#REF!</f>
        <v>#REF!</v>
      </c>
      <c r="C509" s="5" t="e">
        <f>#REF!</f>
        <v>#REF!</v>
      </c>
      <c r="D509" s="5" t="e">
        <f>#REF!</f>
        <v>#REF!</v>
      </c>
      <c r="E509" s="252">
        <v>1</v>
      </c>
      <c r="F509" s="249">
        <v>31297</v>
      </c>
      <c r="G509" s="249">
        <v>29988</v>
      </c>
      <c r="H509" s="249">
        <v>11275.25</v>
      </c>
      <c r="I509" s="249">
        <v>0</v>
      </c>
      <c r="J509" s="249">
        <v>11102.7</v>
      </c>
      <c r="K509" s="249">
        <v>9520</v>
      </c>
      <c r="L509" s="274">
        <f>AVERAGE(F509,H509,J509)</f>
        <v>17891.649999999998</v>
      </c>
      <c r="M509" s="274">
        <f>AVERAGE(G509,K509)*E1</f>
        <v>20346.62</v>
      </c>
      <c r="N509" s="255">
        <v>9500</v>
      </c>
      <c r="O509" s="135">
        <f t="shared" si="167"/>
        <v>1805</v>
      </c>
      <c r="P509" s="135">
        <f t="shared" si="168"/>
        <v>11305</v>
      </c>
      <c r="Q509" s="131"/>
      <c r="R509" s="131"/>
      <c r="S509" s="11"/>
      <c r="T509" s="274"/>
      <c r="U509" s="274"/>
      <c r="V509" s="274"/>
      <c r="W509" s="39"/>
      <c r="X509" s="11"/>
      <c r="Y509" s="11"/>
      <c r="Z509" s="274"/>
      <c r="AA509" s="274"/>
      <c r="AB509" s="274"/>
      <c r="AC509" s="5"/>
      <c r="AD509" s="5"/>
      <c r="AE509" s="39"/>
      <c r="AF509" s="274"/>
      <c r="AG509" s="274"/>
      <c r="AH509" s="169"/>
      <c r="AI509" s="5"/>
      <c r="AJ509" s="39"/>
      <c r="AK509" s="39"/>
      <c r="AL509" s="118"/>
      <c r="AM509" s="152"/>
      <c r="AN509" s="181"/>
      <c r="AO509" s="131"/>
      <c r="AP509" s="131"/>
      <c r="AQ509" s="39"/>
      <c r="AR509" s="274">
        <v>75000</v>
      </c>
      <c r="AS509" s="274">
        <f t="shared" si="171"/>
        <v>14250</v>
      </c>
      <c r="AT509" s="274">
        <f t="shared" si="172"/>
        <v>89250</v>
      </c>
      <c r="AU509" s="39"/>
      <c r="AV509" s="39"/>
      <c r="AW509" s="39"/>
      <c r="AX509" s="274"/>
      <c r="AY509" s="274"/>
      <c r="AZ509" s="274"/>
      <c r="BA509" s="39"/>
      <c r="BB509" s="62"/>
      <c r="BC509" s="39"/>
      <c r="BD509" s="274"/>
      <c r="BE509" s="274"/>
      <c r="BF509" s="274"/>
      <c r="BG509" s="39"/>
      <c r="BH509" s="39"/>
      <c r="BI509" s="39"/>
      <c r="BJ509" s="274">
        <v>52700</v>
      </c>
      <c r="BK509" s="274">
        <f t="shared" si="173"/>
        <v>10013</v>
      </c>
      <c r="BL509" s="274">
        <f t="shared" si="174"/>
        <v>62713</v>
      </c>
      <c r="BM509" s="213" t="s">
        <v>196</v>
      </c>
      <c r="BN509" s="213" t="s">
        <v>3852</v>
      </c>
      <c r="BO509" s="39"/>
      <c r="BP509" s="274">
        <v>28000</v>
      </c>
      <c r="BQ509" s="274">
        <f t="shared" si="169"/>
        <v>5320</v>
      </c>
      <c r="BR509" s="274">
        <f t="shared" si="170"/>
        <v>33320</v>
      </c>
      <c r="BS509" s="39"/>
      <c r="BT509" s="39"/>
      <c r="BU509" s="39"/>
      <c r="BV509" s="219">
        <v>59839.374400000001</v>
      </c>
      <c r="BW509" s="219">
        <f t="shared" si="175"/>
        <v>11369.481136</v>
      </c>
      <c r="BX509" s="273">
        <f t="shared" si="176"/>
        <v>71208.855536000003</v>
      </c>
      <c r="BY509" s="213" t="s">
        <v>196</v>
      </c>
      <c r="BZ509" s="213" t="s">
        <v>3852</v>
      </c>
      <c r="CA509" s="213"/>
      <c r="CB509" s="274"/>
      <c r="CC509" s="274"/>
      <c r="CD509" s="274"/>
      <c r="CE509" s="39"/>
      <c r="CF509" s="39"/>
      <c r="CG509" s="39"/>
      <c r="CH509" s="274"/>
      <c r="CI509" s="274"/>
      <c r="CJ509" s="274"/>
      <c r="CK509" s="39"/>
      <c r="CL509" s="39"/>
      <c r="CM509" s="39"/>
      <c r="CN509" s="39"/>
      <c r="CO509" s="39"/>
      <c r="CP509" s="11"/>
      <c r="CQ509" s="11"/>
      <c r="CR509" s="11"/>
      <c r="CS509" s="11"/>
      <c r="CT509" s="11"/>
      <c r="CU509" s="11"/>
      <c r="CV509" s="11"/>
      <c r="CW509" s="11"/>
      <c r="CX509" s="11"/>
      <c r="CY509" s="11"/>
      <c r="CZ509" s="11"/>
      <c r="DA509" s="11"/>
      <c r="DB509" s="11"/>
      <c r="DC509" s="11"/>
      <c r="DD509" s="11"/>
      <c r="DE509" s="11"/>
      <c r="DF509" s="11"/>
      <c r="DG509" s="11"/>
      <c r="DH509" s="11"/>
      <c r="DI509" s="11"/>
      <c r="DJ509" s="11"/>
      <c r="DK509" s="11"/>
      <c r="DL509" s="274"/>
      <c r="DM509" s="274"/>
      <c r="DN509" s="274"/>
      <c r="DO509" s="274"/>
      <c r="DP509" s="274"/>
      <c r="DQ509" s="274"/>
      <c r="DR509" s="274"/>
      <c r="DS509" s="274"/>
      <c r="DT509" s="274"/>
      <c r="DU509" s="274"/>
      <c r="DV509" s="274"/>
      <c r="DW509" s="274"/>
      <c r="DX509" s="274"/>
      <c r="DY509" s="274"/>
      <c r="DZ509" s="274"/>
      <c r="EA509" s="274"/>
      <c r="EB509" s="274"/>
      <c r="EC509" s="274"/>
      <c r="ED509" s="39">
        <f t="shared" si="145"/>
        <v>288143.47553599998</v>
      </c>
      <c r="EE509" s="30">
        <f t="shared" si="146"/>
        <v>6</v>
      </c>
      <c r="EF509" s="39">
        <f t="shared" si="147"/>
        <v>48023.912589333333</v>
      </c>
    </row>
    <row r="510" spans="1:136" x14ac:dyDescent="0.25">
      <c r="A510" s="25" t="e">
        <f>#REF!</f>
        <v>#REF!</v>
      </c>
      <c r="B510" s="50" t="e">
        <f>#REF!</f>
        <v>#REF!</v>
      </c>
      <c r="C510" s="5" t="e">
        <f>#REF!</f>
        <v>#REF!</v>
      </c>
      <c r="D510" s="5" t="e">
        <f>#REF!</f>
        <v>#REF!</v>
      </c>
      <c r="E510" s="252">
        <v>1</v>
      </c>
      <c r="F510" s="249">
        <v>29750</v>
      </c>
      <c r="G510" s="249">
        <v>0</v>
      </c>
      <c r="H510" s="249">
        <v>21380.333333333332</v>
      </c>
      <c r="I510" s="249">
        <v>0</v>
      </c>
      <c r="J510" s="249">
        <v>21096.055555555558</v>
      </c>
      <c r="K510" s="249">
        <v>16300</v>
      </c>
      <c r="L510" s="274">
        <f>AVERAGE(F510,H510,J510)</f>
        <v>24075.462962962964</v>
      </c>
      <c r="M510" s="274">
        <f>K510*E1</f>
        <v>16789</v>
      </c>
      <c r="N510" s="255">
        <v>25000</v>
      </c>
      <c r="O510" s="135">
        <f t="shared" si="167"/>
        <v>4750</v>
      </c>
      <c r="P510" s="135">
        <f t="shared" si="168"/>
        <v>29750</v>
      </c>
      <c r="Q510" s="131"/>
      <c r="R510" s="131"/>
      <c r="S510" s="11"/>
      <c r="T510" s="274"/>
      <c r="U510" s="274"/>
      <c r="V510" s="274"/>
      <c r="W510" s="39"/>
      <c r="X510" s="11"/>
      <c r="Y510" s="11"/>
      <c r="Z510" s="274"/>
      <c r="AA510" s="274"/>
      <c r="AB510" s="274"/>
      <c r="AC510" s="52"/>
      <c r="AD510" s="22"/>
      <c r="AE510" s="39"/>
      <c r="AF510" s="274"/>
      <c r="AG510" s="274"/>
      <c r="AH510" s="171"/>
      <c r="AI510" s="4"/>
      <c r="AJ510" s="39"/>
      <c r="AK510" s="39"/>
      <c r="AL510" s="118"/>
      <c r="AM510" s="152"/>
      <c r="AN510" s="181"/>
      <c r="AO510" s="131"/>
      <c r="AP510" s="131"/>
      <c r="AQ510" s="39"/>
      <c r="AR510" s="274">
        <v>8500</v>
      </c>
      <c r="AS510" s="274">
        <f t="shared" si="171"/>
        <v>1615</v>
      </c>
      <c r="AT510" s="274">
        <f t="shared" si="172"/>
        <v>10115</v>
      </c>
      <c r="AU510" s="39"/>
      <c r="AV510" s="39"/>
      <c r="AW510" s="39"/>
      <c r="AX510" s="274"/>
      <c r="AY510" s="274"/>
      <c r="AZ510" s="274"/>
      <c r="BA510" s="39"/>
      <c r="BB510" s="62"/>
      <c r="BC510" s="39"/>
      <c r="BD510" s="274"/>
      <c r="BE510" s="274"/>
      <c r="BF510" s="274"/>
      <c r="BG510" s="39"/>
      <c r="BH510" s="39"/>
      <c r="BI510" s="39"/>
      <c r="BJ510" s="274">
        <v>94700</v>
      </c>
      <c r="BK510" s="274">
        <f t="shared" si="173"/>
        <v>17993</v>
      </c>
      <c r="BL510" s="274">
        <f t="shared" si="174"/>
        <v>112693</v>
      </c>
      <c r="BM510" s="213" t="s">
        <v>196</v>
      </c>
      <c r="BN510" s="213" t="s">
        <v>3852</v>
      </c>
      <c r="BO510" s="39"/>
      <c r="BP510" s="274">
        <v>22000</v>
      </c>
      <c r="BQ510" s="274">
        <f t="shared" si="169"/>
        <v>4180</v>
      </c>
      <c r="BR510" s="274">
        <f t="shared" si="170"/>
        <v>26180</v>
      </c>
      <c r="BS510" s="39"/>
      <c r="BT510" s="39"/>
      <c r="BU510" s="39"/>
      <c r="BV510" s="219">
        <v>107538.9525</v>
      </c>
      <c r="BW510" s="219">
        <f t="shared" si="175"/>
        <v>20432.400975</v>
      </c>
      <c r="BX510" s="273">
        <f t="shared" si="176"/>
        <v>127971.353475</v>
      </c>
      <c r="BY510" s="213" t="s">
        <v>196</v>
      </c>
      <c r="BZ510" s="213" t="s">
        <v>3852</v>
      </c>
      <c r="CA510" s="213"/>
      <c r="CB510" s="274"/>
      <c r="CC510" s="274"/>
      <c r="CD510" s="274"/>
      <c r="CE510" s="39"/>
      <c r="CF510" s="39"/>
      <c r="CG510" s="39"/>
      <c r="CH510" s="274"/>
      <c r="CI510" s="274"/>
      <c r="CJ510" s="274"/>
      <c r="CK510" s="39"/>
      <c r="CL510" s="39"/>
      <c r="CM510" s="39"/>
      <c r="CN510" s="39"/>
      <c r="CO510" s="39"/>
      <c r="CP510" s="11"/>
      <c r="CQ510" s="11"/>
      <c r="CR510" s="11"/>
      <c r="CS510" s="11"/>
      <c r="CT510" s="11"/>
      <c r="CU510" s="11"/>
      <c r="CV510" s="11"/>
      <c r="CW510" s="11"/>
      <c r="CX510" s="11"/>
      <c r="CY510" s="11"/>
      <c r="CZ510" s="11"/>
      <c r="DA510" s="11"/>
      <c r="DB510" s="11"/>
      <c r="DC510" s="11"/>
      <c r="DD510" s="11"/>
      <c r="DE510" s="11"/>
      <c r="DF510" s="11"/>
      <c r="DG510" s="11"/>
      <c r="DH510" s="11"/>
      <c r="DI510" s="11"/>
      <c r="DJ510" s="11"/>
      <c r="DK510" s="11"/>
      <c r="DL510" s="274"/>
      <c r="DM510" s="274"/>
      <c r="DN510" s="274"/>
      <c r="DO510" s="274"/>
      <c r="DP510" s="274"/>
      <c r="DQ510" s="274"/>
      <c r="DR510" s="274"/>
      <c r="DS510" s="274"/>
      <c r="DT510" s="274"/>
      <c r="DU510" s="274"/>
      <c r="DV510" s="274"/>
      <c r="DW510" s="274"/>
      <c r="DX510" s="274"/>
      <c r="DY510" s="274"/>
      <c r="DZ510" s="274"/>
      <c r="EA510" s="274"/>
      <c r="EB510" s="274"/>
      <c r="EC510" s="274"/>
      <c r="ED510" s="39">
        <f t="shared" si="145"/>
        <v>323498.35347500001</v>
      </c>
      <c r="EE510" s="30">
        <f t="shared" si="146"/>
        <v>6</v>
      </c>
      <c r="EF510" s="39">
        <f t="shared" si="147"/>
        <v>53916.392245833333</v>
      </c>
    </row>
    <row r="511" spans="1:136" x14ac:dyDescent="0.25">
      <c r="A511" s="25" t="e">
        <f>#REF!</f>
        <v>#REF!</v>
      </c>
      <c r="B511" s="50" t="e">
        <f>#REF!</f>
        <v>#REF!</v>
      </c>
      <c r="C511" s="5" t="e">
        <f>#REF!</f>
        <v>#REF!</v>
      </c>
      <c r="D511" s="5" t="e">
        <f>#REF!</f>
        <v>#REF!</v>
      </c>
      <c r="E511" s="252">
        <v>1</v>
      </c>
      <c r="F511" s="249">
        <v>0</v>
      </c>
      <c r="G511" s="249">
        <v>0</v>
      </c>
      <c r="H511" s="249">
        <v>19040</v>
      </c>
      <c r="I511" s="249">
        <v>0</v>
      </c>
      <c r="J511" s="249">
        <v>21771.050000000003</v>
      </c>
      <c r="K511" s="249">
        <v>21658</v>
      </c>
      <c r="L511" s="274">
        <f>AVERAGE(H511,J511)</f>
        <v>20405.525000000001</v>
      </c>
      <c r="M511" s="274">
        <f>K511*E1</f>
        <v>22307.74</v>
      </c>
      <c r="N511" s="255">
        <v>20000</v>
      </c>
      <c r="O511" s="135">
        <f t="shared" si="167"/>
        <v>3800</v>
      </c>
      <c r="P511" s="135">
        <f t="shared" si="168"/>
        <v>23800</v>
      </c>
      <c r="Q511" s="131"/>
      <c r="R511" s="131"/>
      <c r="S511" s="11"/>
      <c r="T511" s="274"/>
      <c r="U511" s="274"/>
      <c r="V511" s="274"/>
      <c r="W511" s="39"/>
      <c r="X511" s="11"/>
      <c r="Y511" s="11"/>
      <c r="Z511" s="274"/>
      <c r="AA511" s="274"/>
      <c r="AB511" s="274"/>
      <c r="AC511" s="52"/>
      <c r="AD511" s="22"/>
      <c r="AE511" s="39"/>
      <c r="AF511" s="274"/>
      <c r="AG511" s="274"/>
      <c r="AH511" s="171"/>
      <c r="AI511" s="4"/>
      <c r="AJ511" s="39"/>
      <c r="AK511" s="39"/>
      <c r="AL511" s="118"/>
      <c r="AM511" s="152"/>
      <c r="AN511" s="181"/>
      <c r="AO511" s="131"/>
      <c r="AP511" s="131"/>
      <c r="AQ511" s="39"/>
      <c r="AR511" s="274">
        <v>30000</v>
      </c>
      <c r="AS511" s="274">
        <f t="shared" si="171"/>
        <v>5700</v>
      </c>
      <c r="AT511" s="274">
        <f t="shared" si="172"/>
        <v>35700</v>
      </c>
      <c r="AU511" s="39"/>
      <c r="AV511" s="39"/>
      <c r="AW511" s="39"/>
      <c r="AX511" s="274"/>
      <c r="AY511" s="274"/>
      <c r="AZ511" s="274"/>
      <c r="BA511" s="39"/>
      <c r="BB511" s="62"/>
      <c r="BC511" s="39"/>
      <c r="BD511" s="274"/>
      <c r="BE511" s="274"/>
      <c r="BF511" s="274"/>
      <c r="BG511" s="39"/>
      <c r="BH511" s="39"/>
      <c r="BI511" s="39"/>
      <c r="BJ511" s="274">
        <v>42000</v>
      </c>
      <c r="BK511" s="274">
        <f t="shared" si="173"/>
        <v>7980</v>
      </c>
      <c r="BL511" s="274">
        <f t="shared" si="174"/>
        <v>49980</v>
      </c>
      <c r="BM511" s="213" t="s">
        <v>196</v>
      </c>
      <c r="BN511" s="213" t="s">
        <v>4893</v>
      </c>
      <c r="BO511" s="39"/>
      <c r="BP511" s="274">
        <v>18500</v>
      </c>
      <c r="BQ511" s="274">
        <f t="shared" si="169"/>
        <v>3515</v>
      </c>
      <c r="BR511" s="274">
        <f t="shared" si="170"/>
        <v>22015</v>
      </c>
      <c r="BS511" s="39"/>
      <c r="BT511" s="39"/>
      <c r="BU511" s="39"/>
      <c r="BV511" s="219">
        <v>50961.960000000006</v>
      </c>
      <c r="BW511" s="219">
        <f t="shared" si="175"/>
        <v>9682.7724000000017</v>
      </c>
      <c r="BX511" s="273">
        <f t="shared" si="176"/>
        <v>60644.732400000008</v>
      </c>
      <c r="BY511" s="213" t="s">
        <v>196</v>
      </c>
      <c r="BZ511" s="213" t="s">
        <v>4893</v>
      </c>
      <c r="CA511" s="213"/>
      <c r="CB511" s="274"/>
      <c r="CC511" s="274"/>
      <c r="CD511" s="274"/>
      <c r="CE511" s="39"/>
      <c r="CF511" s="39"/>
      <c r="CG511" s="39"/>
      <c r="CH511" s="274"/>
      <c r="CI511" s="274"/>
      <c r="CJ511" s="274"/>
      <c r="CK511" s="39"/>
      <c r="CL511" s="39"/>
      <c r="CM511" s="39"/>
      <c r="CN511" s="39"/>
      <c r="CO511" s="39"/>
      <c r="CP511" s="11"/>
      <c r="CQ511" s="11"/>
      <c r="CR511" s="11"/>
      <c r="CS511" s="11"/>
      <c r="CT511" s="11"/>
      <c r="CU511" s="11"/>
      <c r="CV511" s="11"/>
      <c r="CW511" s="11"/>
      <c r="CX511" s="11"/>
      <c r="CY511" s="11"/>
      <c r="CZ511" s="11"/>
      <c r="DA511" s="11"/>
      <c r="DB511" s="11"/>
      <c r="DC511" s="11"/>
      <c r="DD511" s="11"/>
      <c r="DE511" s="11"/>
      <c r="DF511" s="11"/>
      <c r="DG511" s="11"/>
      <c r="DH511" s="11"/>
      <c r="DI511" s="11"/>
      <c r="DJ511" s="11"/>
      <c r="DK511" s="11"/>
      <c r="DL511" s="274"/>
      <c r="DM511" s="274"/>
      <c r="DN511" s="274"/>
      <c r="DO511" s="274"/>
      <c r="DP511" s="274"/>
      <c r="DQ511" s="274"/>
      <c r="DR511" s="274"/>
      <c r="DS511" s="274"/>
      <c r="DT511" s="274"/>
      <c r="DU511" s="274"/>
      <c r="DV511" s="274"/>
      <c r="DW511" s="274"/>
      <c r="DX511" s="274"/>
      <c r="DY511" s="274"/>
      <c r="DZ511" s="274"/>
      <c r="EA511" s="274"/>
      <c r="EB511" s="274"/>
      <c r="EC511" s="274"/>
      <c r="ED511" s="39">
        <f t="shared" si="145"/>
        <v>214447.4724</v>
      </c>
      <c r="EE511" s="30">
        <f t="shared" si="146"/>
        <v>6</v>
      </c>
      <c r="EF511" s="39">
        <f t="shared" si="147"/>
        <v>35741.2454</v>
      </c>
    </row>
    <row r="512" spans="1:136" x14ac:dyDescent="0.25">
      <c r="A512" s="25" t="e">
        <f>#REF!</f>
        <v>#REF!</v>
      </c>
      <c r="B512" s="50" t="e">
        <f>#REF!</f>
        <v>#REF!</v>
      </c>
      <c r="C512" s="5" t="e">
        <f>#REF!</f>
        <v>#REF!</v>
      </c>
      <c r="D512" s="5" t="e">
        <f>#REF!</f>
        <v>#REF!</v>
      </c>
      <c r="E512" s="252">
        <v>1</v>
      </c>
      <c r="F512" s="249">
        <v>0</v>
      </c>
      <c r="G512" s="249">
        <v>0</v>
      </c>
      <c r="H512" s="249">
        <v>0</v>
      </c>
      <c r="I512" s="249">
        <v>0</v>
      </c>
      <c r="J512" s="249">
        <v>0</v>
      </c>
      <c r="K512" s="249">
        <v>0</v>
      </c>
      <c r="L512" s="274"/>
      <c r="M512" s="274"/>
      <c r="N512" s="255">
        <v>45000</v>
      </c>
      <c r="O512" s="135">
        <f t="shared" si="167"/>
        <v>8550</v>
      </c>
      <c r="P512" s="135">
        <f t="shared" si="168"/>
        <v>53550</v>
      </c>
      <c r="Q512" s="131"/>
      <c r="R512" s="131"/>
      <c r="S512" s="11"/>
      <c r="T512" s="274"/>
      <c r="U512" s="274"/>
      <c r="V512" s="274"/>
      <c r="W512" s="39"/>
      <c r="X512" s="11"/>
      <c r="Y512" s="11"/>
      <c r="Z512" s="274"/>
      <c r="AA512" s="274"/>
      <c r="AB512" s="274"/>
      <c r="AC512" s="5"/>
      <c r="AD512" s="5"/>
      <c r="AE512" s="39"/>
      <c r="AF512" s="274"/>
      <c r="AG512" s="274"/>
      <c r="AH512" s="169"/>
      <c r="AI512" s="5"/>
      <c r="AJ512" s="39"/>
      <c r="AK512" s="39"/>
      <c r="AL512" s="118"/>
      <c r="AM512" s="152"/>
      <c r="AN512" s="181"/>
      <c r="AO512" s="131"/>
      <c r="AP512" s="131"/>
      <c r="AQ512" s="39"/>
      <c r="AR512" s="274">
        <v>35000</v>
      </c>
      <c r="AS512" s="274">
        <f t="shared" si="171"/>
        <v>6650</v>
      </c>
      <c r="AT512" s="274">
        <f t="shared" si="172"/>
        <v>41650</v>
      </c>
      <c r="AU512" s="39"/>
      <c r="AV512" s="39"/>
      <c r="AW512" s="39"/>
      <c r="AX512" s="274"/>
      <c r="AY512" s="274"/>
      <c r="AZ512" s="274"/>
      <c r="BA512" s="39"/>
      <c r="BB512" s="62"/>
      <c r="BC512" s="39"/>
      <c r="BD512" s="274"/>
      <c r="BE512" s="274"/>
      <c r="BF512" s="274"/>
      <c r="BG512" s="39"/>
      <c r="BH512" s="39"/>
      <c r="BI512" s="39"/>
      <c r="BJ512" s="274">
        <v>74000</v>
      </c>
      <c r="BK512" s="274">
        <f t="shared" si="173"/>
        <v>14060</v>
      </c>
      <c r="BL512" s="274">
        <f t="shared" si="174"/>
        <v>88060</v>
      </c>
      <c r="BM512" s="213" t="s">
        <v>196</v>
      </c>
      <c r="BN512" s="213" t="s">
        <v>4893</v>
      </c>
      <c r="BO512" s="39"/>
      <c r="BP512" s="274">
        <v>18500</v>
      </c>
      <c r="BQ512" s="274">
        <f t="shared" si="169"/>
        <v>3515</v>
      </c>
      <c r="BR512" s="274">
        <f t="shared" si="170"/>
        <v>22015</v>
      </c>
      <c r="BS512" s="39"/>
      <c r="BT512" s="39"/>
      <c r="BU512" s="39"/>
      <c r="BV512" s="219">
        <v>83970.39</v>
      </c>
      <c r="BW512" s="219">
        <f t="shared" si="175"/>
        <v>15954.374100000001</v>
      </c>
      <c r="BX512" s="273">
        <f t="shared" si="176"/>
        <v>99924.7641</v>
      </c>
      <c r="BY512" s="213" t="s">
        <v>196</v>
      </c>
      <c r="BZ512" s="213" t="s">
        <v>4893</v>
      </c>
      <c r="CA512" s="213"/>
      <c r="CB512" s="274"/>
      <c r="CC512" s="274"/>
      <c r="CD512" s="274"/>
      <c r="CE512" s="39"/>
      <c r="CF512" s="39"/>
      <c r="CG512" s="39"/>
      <c r="CH512" s="274"/>
      <c r="CI512" s="274"/>
      <c r="CJ512" s="274"/>
      <c r="CK512" s="39"/>
      <c r="CL512" s="39"/>
      <c r="CM512" s="39"/>
      <c r="CN512" s="39"/>
      <c r="CO512" s="39"/>
      <c r="CP512" s="11"/>
      <c r="CQ512" s="11"/>
      <c r="CR512" s="11"/>
      <c r="CS512" s="11"/>
      <c r="CT512" s="11"/>
      <c r="CU512" s="11"/>
      <c r="CV512" s="11"/>
      <c r="CW512" s="11"/>
      <c r="CX512" s="11"/>
      <c r="CY512" s="11"/>
      <c r="CZ512" s="11"/>
      <c r="DA512" s="11"/>
      <c r="DB512" s="11"/>
      <c r="DC512" s="11"/>
      <c r="DD512" s="11"/>
      <c r="DE512" s="11"/>
      <c r="DF512" s="11"/>
      <c r="DG512" s="11"/>
      <c r="DH512" s="11"/>
      <c r="DI512" s="11"/>
      <c r="DJ512" s="11"/>
      <c r="DK512" s="11"/>
      <c r="DL512" s="274"/>
      <c r="DM512" s="274"/>
      <c r="DN512" s="274"/>
      <c r="DO512" s="274"/>
      <c r="DP512" s="274"/>
      <c r="DQ512" s="274"/>
      <c r="DR512" s="274"/>
      <c r="DS512" s="274"/>
      <c r="DT512" s="274"/>
      <c r="DU512" s="274"/>
      <c r="DV512" s="274"/>
      <c r="DW512" s="274"/>
      <c r="DX512" s="274"/>
      <c r="DY512" s="274"/>
      <c r="DZ512" s="274"/>
      <c r="EA512" s="274"/>
      <c r="EB512" s="274"/>
      <c r="EC512" s="274"/>
      <c r="ED512" s="39">
        <f t="shared" si="145"/>
        <v>305199.76410000003</v>
      </c>
      <c r="EE512" s="30">
        <f t="shared" si="146"/>
        <v>5</v>
      </c>
      <c r="EF512" s="39">
        <f t="shared" si="147"/>
        <v>61039.952820000006</v>
      </c>
    </row>
    <row r="513" spans="1:136" x14ac:dyDescent="0.25">
      <c r="A513" s="25" t="e">
        <f>#REF!</f>
        <v>#REF!</v>
      </c>
      <c r="B513" s="50" t="e">
        <f>#REF!</f>
        <v>#REF!</v>
      </c>
      <c r="C513" s="5" t="e">
        <f>#REF!</f>
        <v>#REF!</v>
      </c>
      <c r="D513" s="5" t="e">
        <f>#REF!</f>
        <v>#REF!</v>
      </c>
      <c r="E513" s="252">
        <v>1</v>
      </c>
      <c r="F513" s="249">
        <v>59341.333333333328</v>
      </c>
      <c r="G513" s="249">
        <v>57834</v>
      </c>
      <c r="H513" s="249">
        <v>56829.235400000005</v>
      </c>
      <c r="I513" s="249">
        <v>56763</v>
      </c>
      <c r="J513" s="249">
        <v>60112.850000000006</v>
      </c>
      <c r="K513" s="249">
        <v>59500</v>
      </c>
      <c r="L513" s="274">
        <f>AVERAGE(F513,H513,J513)</f>
        <v>58761.139577777787</v>
      </c>
      <c r="M513" s="274">
        <f>AVERAGE(G513,I513,K513)*E1</f>
        <v>59773.303333333337</v>
      </c>
      <c r="N513" s="255">
        <v>50000</v>
      </c>
      <c r="O513" s="135">
        <f t="shared" si="167"/>
        <v>9500</v>
      </c>
      <c r="P513" s="135">
        <f t="shared" si="168"/>
        <v>59500</v>
      </c>
      <c r="Q513" s="131"/>
      <c r="R513" s="131"/>
      <c r="S513" s="11"/>
      <c r="T513" s="274"/>
      <c r="U513" s="274"/>
      <c r="V513" s="274"/>
      <c r="W513" s="39"/>
      <c r="X513" s="11"/>
      <c r="Y513" s="11"/>
      <c r="Z513" s="274"/>
      <c r="AA513" s="274"/>
      <c r="AB513" s="274"/>
      <c r="AC513" s="52"/>
      <c r="AD513" s="22"/>
      <c r="AE513" s="39"/>
      <c r="AF513" s="274"/>
      <c r="AG513" s="274"/>
      <c r="AH513" s="171"/>
      <c r="AI513" s="4"/>
      <c r="AJ513" s="39"/>
      <c r="AK513" s="39"/>
      <c r="AL513" s="118"/>
      <c r="AM513" s="152"/>
      <c r="AN513" s="181"/>
      <c r="AO513" s="131"/>
      <c r="AP513" s="131"/>
      <c r="AQ513" s="39"/>
      <c r="AR513" s="274">
        <v>60000</v>
      </c>
      <c r="AS513" s="274">
        <f t="shared" si="171"/>
        <v>11400</v>
      </c>
      <c r="AT513" s="274">
        <f t="shared" si="172"/>
        <v>71400</v>
      </c>
      <c r="AU513" s="39"/>
      <c r="AV513" s="39"/>
      <c r="AW513" s="39"/>
      <c r="AX513" s="274"/>
      <c r="AY513" s="274"/>
      <c r="AZ513" s="274"/>
      <c r="BA513" s="39"/>
      <c r="BB513" s="62"/>
      <c r="BC513" s="39"/>
      <c r="BD513" s="274"/>
      <c r="BE513" s="274"/>
      <c r="BF513" s="274"/>
      <c r="BG513" s="39"/>
      <c r="BH513" s="39"/>
      <c r="BI513" s="39"/>
      <c r="BJ513" s="274">
        <v>74000</v>
      </c>
      <c r="BK513" s="274">
        <f t="shared" si="173"/>
        <v>14060</v>
      </c>
      <c r="BL513" s="274">
        <f t="shared" si="174"/>
        <v>88060</v>
      </c>
      <c r="BM513" s="213" t="s">
        <v>196</v>
      </c>
      <c r="BN513" s="213" t="s">
        <v>4893</v>
      </c>
      <c r="BO513" s="39"/>
      <c r="BP513" s="274">
        <v>22000</v>
      </c>
      <c r="BQ513" s="274">
        <f t="shared" si="169"/>
        <v>4180</v>
      </c>
      <c r="BR513" s="274">
        <f t="shared" si="170"/>
        <v>26180</v>
      </c>
      <c r="BS513" s="39"/>
      <c r="BT513" s="39"/>
      <c r="BU513" s="39"/>
      <c r="BV513" s="219">
        <v>87224.687999999995</v>
      </c>
      <c r="BW513" s="219">
        <f t="shared" si="175"/>
        <v>16572.690719999999</v>
      </c>
      <c r="BX513" s="273">
        <f t="shared" si="176"/>
        <v>103797.37871999999</v>
      </c>
      <c r="BY513" s="213" t="s">
        <v>196</v>
      </c>
      <c r="BZ513" s="213" t="s">
        <v>4893</v>
      </c>
      <c r="CA513" s="213"/>
      <c r="CB513" s="274"/>
      <c r="CC513" s="274"/>
      <c r="CD513" s="274"/>
      <c r="CE513" s="39"/>
      <c r="CF513" s="39"/>
      <c r="CG513" s="39"/>
      <c r="CH513" s="274"/>
      <c r="CI513" s="274"/>
      <c r="CJ513" s="274"/>
      <c r="CK513" s="39"/>
      <c r="CL513" s="39"/>
      <c r="CM513" s="39"/>
      <c r="CN513" s="39"/>
      <c r="CO513" s="39"/>
      <c r="CP513" s="11"/>
      <c r="CQ513" s="11"/>
      <c r="CR513" s="11"/>
      <c r="CS513" s="11"/>
      <c r="CT513" s="11"/>
      <c r="CU513" s="11"/>
      <c r="CV513" s="11"/>
      <c r="CW513" s="11"/>
      <c r="CX513" s="11"/>
      <c r="CY513" s="11"/>
      <c r="CZ513" s="11"/>
      <c r="DA513" s="11"/>
      <c r="DB513" s="11"/>
      <c r="DC513" s="11"/>
      <c r="DD513" s="11"/>
      <c r="DE513" s="11"/>
      <c r="DF513" s="11"/>
      <c r="DG513" s="11"/>
      <c r="DH513" s="11"/>
      <c r="DI513" s="11"/>
      <c r="DJ513" s="11"/>
      <c r="DK513" s="11"/>
      <c r="DL513" s="274"/>
      <c r="DM513" s="274"/>
      <c r="DN513" s="274"/>
      <c r="DO513" s="274"/>
      <c r="DP513" s="274"/>
      <c r="DQ513" s="274"/>
      <c r="DR513" s="274"/>
      <c r="DS513" s="274"/>
      <c r="DT513" s="274"/>
      <c r="DU513" s="274"/>
      <c r="DV513" s="274"/>
      <c r="DW513" s="274"/>
      <c r="DX513" s="274"/>
      <c r="DY513" s="274"/>
      <c r="DZ513" s="274"/>
      <c r="EA513" s="274"/>
      <c r="EB513" s="274"/>
      <c r="EC513" s="274"/>
      <c r="ED513" s="39">
        <f t="shared" si="145"/>
        <v>408710.68205333332</v>
      </c>
      <c r="EE513" s="30">
        <f t="shared" si="146"/>
        <v>6</v>
      </c>
      <c r="EF513" s="39">
        <f t="shared" si="147"/>
        <v>68118.447008888892</v>
      </c>
    </row>
    <row r="514" spans="1:136" x14ac:dyDescent="0.25">
      <c r="A514" s="25" t="e">
        <f>#REF!</f>
        <v>#REF!</v>
      </c>
      <c r="B514" s="50" t="e">
        <f>#REF!</f>
        <v>#REF!</v>
      </c>
      <c r="C514" s="5" t="e">
        <f>#REF!</f>
        <v>#REF!</v>
      </c>
      <c r="D514" s="5" t="e">
        <f>#REF!</f>
        <v>#REF!</v>
      </c>
      <c r="E514" s="252">
        <v>1</v>
      </c>
      <c r="F514" s="249">
        <v>61612.25</v>
      </c>
      <c r="G514" s="249">
        <v>59976</v>
      </c>
      <c r="H514" s="249">
        <v>59551.058933333341</v>
      </c>
      <c r="I514" s="249">
        <v>59381</v>
      </c>
      <c r="J514" s="249">
        <v>73880.488888888896</v>
      </c>
      <c r="K514" s="249">
        <v>73780</v>
      </c>
      <c r="L514" s="274">
        <f>AVERAGE(F514,H514,J514)</f>
        <v>65014.599274074077</v>
      </c>
      <c r="M514" s="274">
        <f>AVERAGE(G514,I514,K514)*E1</f>
        <v>66310.37</v>
      </c>
      <c r="N514" s="255">
        <v>50000</v>
      </c>
      <c r="O514" s="135">
        <f t="shared" si="167"/>
        <v>9500</v>
      </c>
      <c r="P514" s="135">
        <f t="shared" si="168"/>
        <v>59500</v>
      </c>
      <c r="Q514" s="131"/>
      <c r="R514" s="131"/>
      <c r="S514" s="11"/>
      <c r="T514" s="274"/>
      <c r="U514" s="274"/>
      <c r="V514" s="274"/>
      <c r="W514" s="39"/>
      <c r="X514" s="11"/>
      <c r="Y514" s="11"/>
      <c r="Z514" s="274"/>
      <c r="AA514" s="274"/>
      <c r="AB514" s="274"/>
      <c r="AC514" s="52"/>
      <c r="AD514" s="22"/>
      <c r="AE514" s="39"/>
      <c r="AF514" s="274"/>
      <c r="AG514" s="274"/>
      <c r="AH514" s="171"/>
      <c r="AI514" s="4"/>
      <c r="AJ514" s="39"/>
      <c r="AK514" s="39"/>
      <c r="AL514" s="118"/>
      <c r="AM514" s="152"/>
      <c r="AN514" s="181"/>
      <c r="AO514" s="131"/>
      <c r="AP514" s="131"/>
      <c r="AQ514" s="39"/>
      <c r="AR514" s="274">
        <v>54000</v>
      </c>
      <c r="AS514" s="274">
        <f t="shared" si="171"/>
        <v>10260</v>
      </c>
      <c r="AT514" s="274">
        <f t="shared" si="172"/>
        <v>64260</v>
      </c>
      <c r="AU514" s="39"/>
      <c r="AV514" s="39"/>
      <c r="AW514" s="39"/>
      <c r="AX514" s="274"/>
      <c r="AY514" s="274"/>
      <c r="AZ514" s="274"/>
      <c r="BA514" s="39"/>
      <c r="BB514" s="62"/>
      <c r="BC514" s="39"/>
      <c r="BD514" s="274"/>
      <c r="BE514" s="274"/>
      <c r="BF514" s="274"/>
      <c r="BG514" s="39"/>
      <c r="BH514" s="39"/>
      <c r="BI514" s="39"/>
      <c r="BJ514" s="274">
        <v>74000</v>
      </c>
      <c r="BK514" s="274">
        <f t="shared" si="173"/>
        <v>14060</v>
      </c>
      <c r="BL514" s="274">
        <f t="shared" si="174"/>
        <v>88060</v>
      </c>
      <c r="BM514" s="213" t="s">
        <v>196</v>
      </c>
      <c r="BN514" s="213" t="s">
        <v>4893</v>
      </c>
      <c r="BO514" s="39"/>
      <c r="BP514" s="274">
        <v>26000</v>
      </c>
      <c r="BQ514" s="274">
        <f t="shared" si="169"/>
        <v>4940</v>
      </c>
      <c r="BR514" s="274">
        <f t="shared" si="170"/>
        <v>30940</v>
      </c>
      <c r="BS514" s="39"/>
      <c r="BT514" s="39"/>
      <c r="BU514" s="39"/>
      <c r="BV514" s="219">
        <v>79284.191999999995</v>
      </c>
      <c r="BW514" s="219">
        <f t="shared" si="175"/>
        <v>15063.99648</v>
      </c>
      <c r="BX514" s="273">
        <f t="shared" si="176"/>
        <v>94348.188479999997</v>
      </c>
      <c r="BY514" s="213" t="s">
        <v>196</v>
      </c>
      <c r="BZ514" s="213" t="s">
        <v>4893</v>
      </c>
      <c r="CA514" s="213"/>
      <c r="CB514" s="274"/>
      <c r="CC514" s="274"/>
      <c r="CD514" s="274"/>
      <c r="CE514" s="39"/>
      <c r="CF514" s="39"/>
      <c r="CG514" s="39"/>
      <c r="CH514" s="274"/>
      <c r="CI514" s="274"/>
      <c r="CJ514" s="274"/>
      <c r="CK514" s="39"/>
      <c r="CL514" s="39"/>
      <c r="CM514" s="39"/>
      <c r="CN514" s="39"/>
      <c r="CO514" s="39"/>
      <c r="CP514" s="11"/>
      <c r="CQ514" s="11"/>
      <c r="CR514" s="11"/>
      <c r="CS514" s="11"/>
      <c r="CT514" s="11"/>
      <c r="CU514" s="11"/>
      <c r="CV514" s="11"/>
      <c r="CW514" s="11"/>
      <c r="CX514" s="11"/>
      <c r="CY514" s="11"/>
      <c r="CZ514" s="11"/>
      <c r="DA514" s="11"/>
      <c r="DB514" s="11"/>
      <c r="DC514" s="11"/>
      <c r="DD514" s="11"/>
      <c r="DE514" s="11"/>
      <c r="DF514" s="11"/>
      <c r="DG514" s="11"/>
      <c r="DH514" s="11"/>
      <c r="DI514" s="11"/>
      <c r="DJ514" s="11"/>
      <c r="DK514" s="11"/>
      <c r="DL514" s="274"/>
      <c r="DM514" s="274"/>
      <c r="DN514" s="274"/>
      <c r="DO514" s="274"/>
      <c r="DP514" s="274"/>
      <c r="DQ514" s="274"/>
      <c r="DR514" s="274"/>
      <c r="DS514" s="274"/>
      <c r="DT514" s="274"/>
      <c r="DU514" s="274"/>
      <c r="DV514" s="274"/>
      <c r="DW514" s="274"/>
      <c r="DX514" s="274"/>
      <c r="DY514" s="274"/>
      <c r="DZ514" s="274"/>
      <c r="EA514" s="274"/>
      <c r="EB514" s="274"/>
      <c r="EC514" s="274"/>
      <c r="ED514" s="39">
        <f t="shared" si="145"/>
        <v>403418.55848000001</v>
      </c>
      <c r="EE514" s="30">
        <f t="shared" si="146"/>
        <v>6</v>
      </c>
      <c r="EF514" s="39">
        <f t="shared" si="147"/>
        <v>67236.426413333334</v>
      </c>
    </row>
    <row r="515" spans="1:136" x14ac:dyDescent="0.25">
      <c r="A515" s="25" t="e">
        <f>#REF!</f>
        <v>#REF!</v>
      </c>
      <c r="B515" s="50" t="e">
        <f>#REF!</f>
        <v>#REF!</v>
      </c>
      <c r="C515" s="5" t="e">
        <f>#REF!</f>
        <v>#REF!</v>
      </c>
      <c r="D515" s="5" t="e">
        <f>#REF!</f>
        <v>#REF!</v>
      </c>
      <c r="E515" s="252">
        <v>1</v>
      </c>
      <c r="F515" s="249">
        <v>0</v>
      </c>
      <c r="G515" s="249">
        <v>0</v>
      </c>
      <c r="H515" s="249">
        <v>0</v>
      </c>
      <c r="I515" s="249">
        <v>0</v>
      </c>
      <c r="J515" s="249">
        <v>0</v>
      </c>
      <c r="K515" s="249">
        <v>0</v>
      </c>
      <c r="L515" s="274"/>
      <c r="M515" s="274"/>
      <c r="N515" s="255">
        <v>50000</v>
      </c>
      <c r="O515" s="135">
        <f t="shared" si="167"/>
        <v>9500</v>
      </c>
      <c r="P515" s="135">
        <f t="shared" si="168"/>
        <v>59500</v>
      </c>
      <c r="Q515" s="131"/>
      <c r="R515" s="131"/>
      <c r="S515" s="11"/>
      <c r="T515" s="274"/>
      <c r="U515" s="274"/>
      <c r="V515" s="274"/>
      <c r="W515" s="39"/>
      <c r="X515" s="11"/>
      <c r="Y515" s="11"/>
      <c r="Z515" s="274"/>
      <c r="AA515" s="274"/>
      <c r="AB515" s="274"/>
      <c r="AC515" s="52"/>
      <c r="AD515" s="22"/>
      <c r="AE515" s="39"/>
      <c r="AF515" s="274"/>
      <c r="AG515" s="274"/>
      <c r="AH515" s="171"/>
      <c r="AI515" s="4"/>
      <c r="AJ515" s="39"/>
      <c r="AK515" s="39"/>
      <c r="AL515" s="118"/>
      <c r="AM515" s="152"/>
      <c r="AN515" s="181"/>
      <c r="AO515" s="131"/>
      <c r="AP515" s="131"/>
      <c r="AQ515" s="39"/>
      <c r="AR515" s="274">
        <v>60000</v>
      </c>
      <c r="AS515" s="274">
        <f t="shared" si="171"/>
        <v>11400</v>
      </c>
      <c r="AT515" s="274">
        <f t="shared" si="172"/>
        <v>71400</v>
      </c>
      <c r="AU515" s="39"/>
      <c r="AV515" s="39"/>
      <c r="AW515" s="39"/>
      <c r="AX515" s="274"/>
      <c r="AY515" s="274"/>
      <c r="AZ515" s="274"/>
      <c r="BA515" s="39"/>
      <c r="BB515" s="62"/>
      <c r="BC515" s="39"/>
      <c r="BD515" s="274"/>
      <c r="BE515" s="274"/>
      <c r="BF515" s="274"/>
      <c r="BG515" s="39"/>
      <c r="BH515" s="39"/>
      <c r="BI515" s="39"/>
      <c r="BJ515" s="274">
        <v>74000</v>
      </c>
      <c r="BK515" s="274">
        <f t="shared" si="173"/>
        <v>14060</v>
      </c>
      <c r="BL515" s="274">
        <f t="shared" si="174"/>
        <v>88060</v>
      </c>
      <c r="BM515" s="213" t="s">
        <v>196</v>
      </c>
      <c r="BN515" s="213" t="s">
        <v>4893</v>
      </c>
      <c r="BO515" s="39"/>
      <c r="BP515" s="274">
        <v>28000</v>
      </c>
      <c r="BQ515" s="274">
        <f t="shared" si="169"/>
        <v>5320</v>
      </c>
      <c r="BR515" s="274">
        <f t="shared" si="170"/>
        <v>33320</v>
      </c>
      <c r="BS515" s="39"/>
      <c r="BT515" s="39"/>
      <c r="BU515" s="39"/>
      <c r="BV515" s="219">
        <v>78506.895999999993</v>
      </c>
      <c r="BW515" s="219">
        <f t="shared" si="175"/>
        <v>14916.310239999999</v>
      </c>
      <c r="BX515" s="273">
        <f t="shared" si="176"/>
        <v>93423.20624</v>
      </c>
      <c r="BY515" s="213" t="s">
        <v>196</v>
      </c>
      <c r="BZ515" s="213" t="s">
        <v>4893</v>
      </c>
      <c r="CA515" s="213"/>
      <c r="CB515" s="274"/>
      <c r="CC515" s="274"/>
      <c r="CD515" s="274"/>
      <c r="CE515" s="39"/>
      <c r="CF515" s="39"/>
      <c r="CG515" s="39"/>
      <c r="CH515" s="274"/>
      <c r="CI515" s="274"/>
      <c r="CJ515" s="274"/>
      <c r="CK515" s="39"/>
      <c r="CL515" s="39"/>
      <c r="CM515" s="39"/>
      <c r="CN515" s="39"/>
      <c r="CO515" s="39"/>
      <c r="CP515" s="11"/>
      <c r="CQ515" s="11"/>
      <c r="CR515" s="11"/>
      <c r="CS515" s="11"/>
      <c r="CT515" s="11"/>
      <c r="CU515" s="11"/>
      <c r="CV515" s="11"/>
      <c r="CW515" s="11"/>
      <c r="CX515" s="11"/>
      <c r="CY515" s="11"/>
      <c r="CZ515" s="11"/>
      <c r="DA515" s="11"/>
      <c r="DB515" s="11"/>
      <c r="DC515" s="11"/>
      <c r="DD515" s="11"/>
      <c r="DE515" s="11"/>
      <c r="DF515" s="11"/>
      <c r="DG515" s="11"/>
      <c r="DH515" s="11"/>
      <c r="DI515" s="11"/>
      <c r="DJ515" s="11"/>
      <c r="DK515" s="11"/>
      <c r="DL515" s="274"/>
      <c r="DM515" s="274"/>
      <c r="DN515" s="274"/>
      <c r="DO515" s="274"/>
      <c r="DP515" s="274"/>
      <c r="DQ515" s="274"/>
      <c r="DR515" s="274"/>
      <c r="DS515" s="274"/>
      <c r="DT515" s="274"/>
      <c r="DU515" s="274"/>
      <c r="DV515" s="274"/>
      <c r="DW515" s="274"/>
      <c r="DX515" s="274"/>
      <c r="DY515" s="274"/>
      <c r="DZ515" s="274"/>
      <c r="EA515" s="274"/>
      <c r="EB515" s="274"/>
      <c r="EC515" s="274"/>
      <c r="ED515" s="39">
        <f t="shared" ref="ED515:ED578" si="177">SUM(M515,P515,V515,AB515,AH515,AN515,AT515,AZ515,BF515,BL515,BR515,BX515,CD515,CJ515,CP515,CV515,DB515,DH515,DN515,DT515,DZ515)</f>
        <v>345703.20623999997</v>
      </c>
      <c r="EE515" s="30">
        <f t="shared" ref="EE515:EE578" si="178">COUNTA(M515,N515,T515,Z515,AF515,AL515,AR515,AX515,BD515,BJ515,BP515,BV515,CB515,CH515,CN515,CT515,CZ515,DF515,DL515,DR515,DX515)</f>
        <v>5</v>
      </c>
      <c r="EF515" s="39">
        <f t="shared" ref="EF515:EF578" si="179">IFERROR(ED515/EE515," ")</f>
        <v>69140.641248</v>
      </c>
    </row>
    <row r="516" spans="1:136" x14ac:dyDescent="0.25">
      <c r="A516" s="25" t="e">
        <f>#REF!</f>
        <v>#REF!</v>
      </c>
      <c r="B516" s="50" t="e">
        <f>#REF!</f>
        <v>#REF!</v>
      </c>
      <c r="C516" s="5" t="e">
        <f>#REF!</f>
        <v>#REF!</v>
      </c>
      <c r="D516" s="5" t="e">
        <f>#REF!</f>
        <v>#REF!</v>
      </c>
      <c r="E516" s="252">
        <v>1</v>
      </c>
      <c r="F516" s="249">
        <v>87861.666666666657</v>
      </c>
      <c r="G516" s="249">
        <v>84252</v>
      </c>
      <c r="H516" s="249">
        <v>67592</v>
      </c>
      <c r="I516" s="249">
        <v>0</v>
      </c>
      <c r="J516" s="249">
        <v>64111.25</v>
      </c>
      <c r="K516" s="249">
        <v>0</v>
      </c>
      <c r="L516" s="274">
        <f>AVERAGE(F516,H516,J516)</f>
        <v>73188.305555555547</v>
      </c>
      <c r="M516" s="274">
        <f>G516*E1</f>
        <v>86779.56</v>
      </c>
      <c r="N516" s="255">
        <v>50000</v>
      </c>
      <c r="O516" s="135">
        <f t="shared" si="167"/>
        <v>9500</v>
      </c>
      <c r="P516" s="135">
        <f t="shared" si="168"/>
        <v>59500</v>
      </c>
      <c r="Q516" s="131"/>
      <c r="R516" s="131"/>
      <c r="S516" s="11"/>
      <c r="T516" s="274"/>
      <c r="U516" s="274"/>
      <c r="V516" s="274"/>
      <c r="W516" s="39"/>
      <c r="X516" s="11"/>
      <c r="Y516" s="11"/>
      <c r="Z516" s="274"/>
      <c r="AA516" s="274"/>
      <c r="AB516" s="274"/>
      <c r="AC516" s="52"/>
      <c r="AD516" s="22"/>
      <c r="AE516" s="39"/>
      <c r="AF516" s="274"/>
      <c r="AG516" s="274"/>
      <c r="AH516" s="171"/>
      <c r="AI516" s="4"/>
      <c r="AJ516" s="39"/>
      <c r="AK516" s="39"/>
      <c r="AL516" s="118"/>
      <c r="AM516" s="152"/>
      <c r="AN516" s="181"/>
      <c r="AO516" s="131"/>
      <c r="AP516" s="131"/>
      <c r="AQ516" s="39"/>
      <c r="AR516" s="274">
        <v>65000</v>
      </c>
      <c r="AS516" s="274">
        <f t="shared" si="171"/>
        <v>12350</v>
      </c>
      <c r="AT516" s="274">
        <f t="shared" si="172"/>
        <v>77350</v>
      </c>
      <c r="AU516" s="39"/>
      <c r="AV516" s="39"/>
      <c r="AW516" s="39"/>
      <c r="AX516" s="274"/>
      <c r="AY516" s="274"/>
      <c r="AZ516" s="274"/>
      <c r="BA516" s="39"/>
      <c r="BB516" s="62"/>
      <c r="BC516" s="39"/>
      <c r="BD516" s="274"/>
      <c r="BE516" s="274"/>
      <c r="BF516" s="274"/>
      <c r="BG516" s="39"/>
      <c r="BH516" s="39"/>
      <c r="BI516" s="39"/>
      <c r="BJ516" s="274">
        <v>74000</v>
      </c>
      <c r="BK516" s="274">
        <f t="shared" si="173"/>
        <v>14060</v>
      </c>
      <c r="BL516" s="274">
        <f t="shared" si="174"/>
        <v>88060</v>
      </c>
      <c r="BM516" s="213" t="s">
        <v>196</v>
      </c>
      <c r="BN516" s="213" t="s">
        <v>4893</v>
      </c>
      <c r="BO516" s="39"/>
      <c r="BP516" s="274">
        <v>28000</v>
      </c>
      <c r="BQ516" s="274">
        <f t="shared" si="169"/>
        <v>5320</v>
      </c>
      <c r="BR516" s="274">
        <f t="shared" si="170"/>
        <v>33320</v>
      </c>
      <c r="BS516" s="39"/>
      <c r="BT516" s="39"/>
      <c r="BU516" s="39"/>
      <c r="BV516" s="219">
        <v>84009.24</v>
      </c>
      <c r="BW516" s="219">
        <f t="shared" si="175"/>
        <v>15961.7556</v>
      </c>
      <c r="BX516" s="273">
        <f t="shared" si="176"/>
        <v>99970.995600000009</v>
      </c>
      <c r="BY516" s="213" t="s">
        <v>196</v>
      </c>
      <c r="BZ516" s="213" t="s">
        <v>4893</v>
      </c>
      <c r="CA516" s="213"/>
      <c r="CB516" s="274"/>
      <c r="CC516" s="274"/>
      <c r="CD516" s="274"/>
      <c r="CE516" s="39"/>
      <c r="CF516" s="39"/>
      <c r="CG516" s="39"/>
      <c r="CH516" s="274"/>
      <c r="CI516" s="274"/>
      <c r="CJ516" s="274"/>
      <c r="CK516" s="39"/>
      <c r="CL516" s="39"/>
      <c r="CM516" s="39"/>
      <c r="CN516" s="39"/>
      <c r="CO516" s="39"/>
      <c r="CP516" s="11"/>
      <c r="CQ516" s="11"/>
      <c r="CR516" s="11"/>
      <c r="CS516" s="11"/>
      <c r="CT516" s="11"/>
      <c r="CU516" s="11"/>
      <c r="CV516" s="11"/>
      <c r="CW516" s="11"/>
      <c r="CX516" s="11"/>
      <c r="CY516" s="11"/>
      <c r="CZ516" s="11"/>
      <c r="DA516" s="11"/>
      <c r="DB516" s="11"/>
      <c r="DC516" s="11"/>
      <c r="DD516" s="11"/>
      <c r="DE516" s="11"/>
      <c r="DF516" s="11"/>
      <c r="DG516" s="11"/>
      <c r="DH516" s="11"/>
      <c r="DI516" s="11"/>
      <c r="DJ516" s="11"/>
      <c r="DK516" s="11"/>
      <c r="DL516" s="274"/>
      <c r="DM516" s="274"/>
      <c r="DN516" s="274"/>
      <c r="DO516" s="274"/>
      <c r="DP516" s="274"/>
      <c r="DQ516" s="274"/>
      <c r="DR516" s="274"/>
      <c r="DS516" s="274"/>
      <c r="DT516" s="274"/>
      <c r="DU516" s="274"/>
      <c r="DV516" s="274"/>
      <c r="DW516" s="274"/>
      <c r="DX516" s="274"/>
      <c r="DY516" s="274"/>
      <c r="DZ516" s="274"/>
      <c r="EA516" s="274"/>
      <c r="EB516" s="274"/>
      <c r="EC516" s="274"/>
      <c r="ED516" s="39">
        <f t="shared" si="177"/>
        <v>444980.55560000002</v>
      </c>
      <c r="EE516" s="30">
        <f t="shared" si="178"/>
        <v>6</v>
      </c>
      <c r="EF516" s="39">
        <f t="shared" si="179"/>
        <v>74163.425933333332</v>
      </c>
    </row>
    <row r="517" spans="1:136" x14ac:dyDescent="0.25">
      <c r="A517" s="25" t="e">
        <f>#REF!</f>
        <v>#REF!</v>
      </c>
      <c r="B517" s="50" t="e">
        <f>#REF!</f>
        <v>#REF!</v>
      </c>
      <c r="C517" s="5" t="e">
        <f>#REF!</f>
        <v>#REF!</v>
      </c>
      <c r="D517" s="5" t="e">
        <f>#REF!</f>
        <v>#REF!</v>
      </c>
      <c r="E517" s="252">
        <v>1</v>
      </c>
      <c r="F517" s="249">
        <v>0</v>
      </c>
      <c r="G517" s="249">
        <v>0</v>
      </c>
      <c r="H517" s="249">
        <v>0</v>
      </c>
      <c r="I517" s="249">
        <v>0</v>
      </c>
      <c r="J517" s="249">
        <v>0</v>
      </c>
      <c r="K517" s="249">
        <v>0</v>
      </c>
      <c r="L517" s="274"/>
      <c r="M517" s="274"/>
      <c r="N517" s="255"/>
      <c r="O517" s="135"/>
      <c r="P517" s="135"/>
      <c r="Q517" s="131"/>
      <c r="R517" s="131"/>
      <c r="S517" s="11"/>
      <c r="T517" s="274"/>
      <c r="U517" s="274"/>
      <c r="V517" s="274"/>
      <c r="W517" s="39"/>
      <c r="X517" s="11"/>
      <c r="Y517" s="11"/>
      <c r="Z517" s="274"/>
      <c r="AA517" s="274"/>
      <c r="AB517" s="274"/>
      <c r="AC517" s="52"/>
      <c r="AD517" s="23"/>
      <c r="AE517" s="39"/>
      <c r="AF517" s="274"/>
      <c r="AG517" s="274"/>
      <c r="AH517" s="171"/>
      <c r="AI517" s="23"/>
      <c r="AJ517" s="39"/>
      <c r="AK517" s="39"/>
      <c r="AL517" s="118"/>
      <c r="AM517" s="152"/>
      <c r="AN517" s="181"/>
      <c r="AO517" s="131"/>
      <c r="AP517" s="131"/>
      <c r="AQ517" s="39"/>
      <c r="AR517" s="274">
        <v>65000</v>
      </c>
      <c r="AS517" s="274">
        <f t="shared" si="171"/>
        <v>12350</v>
      </c>
      <c r="AT517" s="274">
        <f t="shared" si="172"/>
        <v>77350</v>
      </c>
      <c r="AU517" s="39"/>
      <c r="AV517" s="39"/>
      <c r="AW517" s="39"/>
      <c r="AX517" s="274"/>
      <c r="AY517" s="274"/>
      <c r="AZ517" s="274"/>
      <c r="BA517" s="39"/>
      <c r="BB517" s="62"/>
      <c r="BC517" s="39"/>
      <c r="BD517" s="274"/>
      <c r="BE517" s="274"/>
      <c r="BF517" s="274"/>
      <c r="BG517" s="39"/>
      <c r="BH517" s="39"/>
      <c r="BI517" s="39"/>
      <c r="BJ517" s="274">
        <v>74000</v>
      </c>
      <c r="BK517" s="274">
        <f t="shared" si="173"/>
        <v>14060</v>
      </c>
      <c r="BL517" s="274">
        <f t="shared" si="174"/>
        <v>88060</v>
      </c>
      <c r="BM517" s="213" t="s">
        <v>196</v>
      </c>
      <c r="BN517" s="213" t="s">
        <v>4893</v>
      </c>
      <c r="BO517" s="39"/>
      <c r="BP517" s="274">
        <v>38500</v>
      </c>
      <c r="BQ517" s="274">
        <f t="shared" si="169"/>
        <v>7315</v>
      </c>
      <c r="BR517" s="274">
        <f t="shared" si="170"/>
        <v>45815</v>
      </c>
      <c r="BS517" s="39"/>
      <c r="BT517" s="39"/>
      <c r="BU517" s="39"/>
      <c r="BV517" s="219">
        <v>81601.131999999998</v>
      </c>
      <c r="BW517" s="219">
        <f t="shared" si="175"/>
        <v>15504.21508</v>
      </c>
      <c r="BX517" s="273">
        <f t="shared" si="176"/>
        <v>97105.347079999992</v>
      </c>
      <c r="BY517" s="213" t="s">
        <v>196</v>
      </c>
      <c r="BZ517" s="213" t="s">
        <v>4893</v>
      </c>
      <c r="CA517" s="213"/>
      <c r="CB517" s="274"/>
      <c r="CC517" s="274"/>
      <c r="CD517" s="274"/>
      <c r="CE517" s="39"/>
      <c r="CF517" s="39"/>
      <c r="CG517" s="39"/>
      <c r="CH517" s="274"/>
      <c r="CI517" s="274"/>
      <c r="CJ517" s="274"/>
      <c r="CK517" s="39"/>
      <c r="CL517" s="39"/>
      <c r="CM517" s="39"/>
      <c r="CN517" s="39"/>
      <c r="CO517" s="39"/>
      <c r="CP517" s="11"/>
      <c r="CQ517" s="11"/>
      <c r="CR517" s="11"/>
      <c r="CS517" s="11"/>
      <c r="CT517" s="11"/>
      <c r="CU517" s="11"/>
      <c r="CV517" s="11"/>
      <c r="CW517" s="11"/>
      <c r="CX517" s="11"/>
      <c r="CY517" s="11"/>
      <c r="CZ517" s="11"/>
      <c r="DA517" s="11"/>
      <c r="DB517" s="11"/>
      <c r="DC517" s="11"/>
      <c r="DD517" s="11"/>
      <c r="DE517" s="11"/>
      <c r="DF517" s="11"/>
      <c r="DG517" s="11"/>
      <c r="DH517" s="11"/>
      <c r="DI517" s="11"/>
      <c r="DJ517" s="11"/>
      <c r="DK517" s="11"/>
      <c r="DL517" s="274"/>
      <c r="DM517" s="274"/>
      <c r="DN517" s="274"/>
      <c r="DO517" s="274"/>
      <c r="DP517" s="274"/>
      <c r="DQ517" s="274"/>
      <c r="DR517" s="274"/>
      <c r="DS517" s="274"/>
      <c r="DT517" s="274"/>
      <c r="DU517" s="274"/>
      <c r="DV517" s="274"/>
      <c r="DW517" s="274"/>
      <c r="DX517" s="274"/>
      <c r="DY517" s="274"/>
      <c r="DZ517" s="274"/>
      <c r="EA517" s="274"/>
      <c r="EB517" s="274"/>
      <c r="EC517" s="274"/>
      <c r="ED517" s="39">
        <f t="shared" si="177"/>
        <v>308330.34707999998</v>
      </c>
      <c r="EE517" s="30">
        <f t="shared" si="178"/>
        <v>4</v>
      </c>
      <c r="EF517" s="39">
        <f t="shared" si="179"/>
        <v>77082.586769999994</v>
      </c>
    </row>
    <row r="518" spans="1:136" ht="24" x14ac:dyDescent="0.25">
      <c r="A518" s="25" t="e">
        <f>#REF!</f>
        <v>#REF!</v>
      </c>
      <c r="B518" s="50" t="e">
        <f>#REF!</f>
        <v>#REF!</v>
      </c>
      <c r="C518" s="5" t="e">
        <f>#REF!</f>
        <v>#REF!</v>
      </c>
      <c r="D518" s="5" t="e">
        <f>#REF!</f>
        <v>#REF!</v>
      </c>
      <c r="E518" s="252">
        <v>1</v>
      </c>
      <c r="F518" s="249">
        <v>246092</v>
      </c>
      <c r="G518" s="249">
        <v>237405</v>
      </c>
      <c r="H518" s="249">
        <v>0</v>
      </c>
      <c r="I518" s="249">
        <v>0</v>
      </c>
      <c r="J518" s="249">
        <v>0</v>
      </c>
      <c r="K518" s="249">
        <v>0</v>
      </c>
      <c r="L518" s="274">
        <f>F518</f>
        <v>246092</v>
      </c>
      <c r="M518" s="274">
        <f>G518*E1</f>
        <v>244527.15</v>
      </c>
      <c r="N518" s="255">
        <v>110000</v>
      </c>
      <c r="O518" s="135">
        <f t="shared" ref="O518:O526" si="180">+N518*0.19</f>
        <v>20900</v>
      </c>
      <c r="P518" s="135">
        <f t="shared" ref="P518:P526" si="181">+N518+O518</f>
        <v>130900</v>
      </c>
      <c r="Q518" s="131"/>
      <c r="R518" s="131"/>
      <c r="S518" s="11"/>
      <c r="T518" s="274"/>
      <c r="U518" s="274"/>
      <c r="V518" s="274"/>
      <c r="W518" s="39"/>
      <c r="X518" s="11"/>
      <c r="Y518" s="11"/>
      <c r="Z518" s="274"/>
      <c r="AA518" s="274"/>
      <c r="AB518" s="274"/>
      <c r="AC518" s="5"/>
      <c r="AD518" s="5"/>
      <c r="AE518" s="39"/>
      <c r="AF518" s="274"/>
      <c r="AG518" s="274"/>
      <c r="AH518" s="169"/>
      <c r="AI518" s="5"/>
      <c r="AJ518" s="39"/>
      <c r="AK518" s="39"/>
      <c r="AL518" s="118"/>
      <c r="AM518" s="152"/>
      <c r="AN518" s="181"/>
      <c r="AO518" s="131"/>
      <c r="AP518" s="131"/>
      <c r="AQ518" s="39"/>
      <c r="AR518" s="274">
        <v>310000</v>
      </c>
      <c r="AS518" s="274">
        <f t="shared" si="171"/>
        <v>58900</v>
      </c>
      <c r="AT518" s="274">
        <f t="shared" si="172"/>
        <v>368900</v>
      </c>
      <c r="AU518" s="39"/>
      <c r="AV518" s="39"/>
      <c r="AW518" s="39"/>
      <c r="AX518" s="274"/>
      <c r="AY518" s="274"/>
      <c r="AZ518" s="274"/>
      <c r="BA518" s="39"/>
      <c r="BB518" s="62"/>
      <c r="BC518" s="39"/>
      <c r="BD518" s="274"/>
      <c r="BE518" s="274"/>
      <c r="BF518" s="274"/>
      <c r="BG518" s="39"/>
      <c r="BH518" s="39"/>
      <c r="BI518" s="39"/>
      <c r="BJ518" s="274">
        <v>393100</v>
      </c>
      <c r="BK518" s="274">
        <f t="shared" si="173"/>
        <v>74689</v>
      </c>
      <c r="BL518" s="274">
        <f t="shared" si="174"/>
        <v>467789</v>
      </c>
      <c r="BM518" s="213" t="s">
        <v>196</v>
      </c>
      <c r="BN518" s="213" t="s">
        <v>4937</v>
      </c>
      <c r="BO518" s="39"/>
      <c r="BP518" s="274">
        <v>125000</v>
      </c>
      <c r="BQ518" s="274">
        <f t="shared" si="169"/>
        <v>23750</v>
      </c>
      <c r="BR518" s="274">
        <f t="shared" si="170"/>
        <v>148750</v>
      </c>
      <c r="BS518" s="39"/>
      <c r="BT518" s="39"/>
      <c r="BU518" s="39"/>
      <c r="BV518" s="219">
        <v>446030.12880000001</v>
      </c>
      <c r="BW518" s="219">
        <f t="shared" si="175"/>
        <v>84745.724472000002</v>
      </c>
      <c r="BX518" s="273">
        <f t="shared" si="176"/>
        <v>530775.85327199998</v>
      </c>
      <c r="BY518" s="213" t="s">
        <v>196</v>
      </c>
      <c r="BZ518" s="213" t="s">
        <v>4937</v>
      </c>
      <c r="CA518" s="213"/>
      <c r="CB518" s="274"/>
      <c r="CC518" s="274"/>
      <c r="CD518" s="274"/>
      <c r="CE518" s="39"/>
      <c r="CF518" s="39"/>
      <c r="CG518" s="39"/>
      <c r="CH518" s="274"/>
      <c r="CI518" s="274"/>
      <c r="CJ518" s="274"/>
      <c r="CK518" s="39"/>
      <c r="CL518" s="39"/>
      <c r="CM518" s="39"/>
      <c r="CN518" s="39"/>
      <c r="CO518" s="39"/>
      <c r="CP518" s="11"/>
      <c r="CQ518" s="11"/>
      <c r="CR518" s="11"/>
      <c r="CS518" s="11"/>
      <c r="CT518" s="11"/>
      <c r="CU518" s="11"/>
      <c r="CV518" s="11"/>
      <c r="CW518" s="11"/>
      <c r="CX518" s="11"/>
      <c r="CY518" s="11"/>
      <c r="CZ518" s="11"/>
      <c r="DA518" s="11"/>
      <c r="DB518" s="11"/>
      <c r="DC518" s="11"/>
      <c r="DD518" s="11"/>
      <c r="DE518" s="11"/>
      <c r="DF518" s="11"/>
      <c r="DG518" s="11"/>
      <c r="DH518" s="11"/>
      <c r="DI518" s="11"/>
      <c r="DJ518" s="11"/>
      <c r="DK518" s="11"/>
      <c r="DL518" s="274"/>
      <c r="DM518" s="274"/>
      <c r="DN518" s="274"/>
      <c r="DO518" s="274"/>
      <c r="DP518" s="274"/>
      <c r="DQ518" s="274"/>
      <c r="DR518" s="274"/>
      <c r="DS518" s="274"/>
      <c r="DT518" s="274"/>
      <c r="DU518" s="274"/>
      <c r="DV518" s="274"/>
      <c r="DW518" s="274"/>
      <c r="DX518" s="274"/>
      <c r="DY518" s="274"/>
      <c r="DZ518" s="274"/>
      <c r="EA518" s="274"/>
      <c r="EB518" s="274"/>
      <c r="EC518" s="274"/>
      <c r="ED518" s="39">
        <f t="shared" si="177"/>
        <v>1891642.0032719998</v>
      </c>
      <c r="EE518" s="30">
        <f t="shared" si="178"/>
        <v>6</v>
      </c>
      <c r="EF518" s="39">
        <f t="shared" si="179"/>
        <v>315273.66721199994</v>
      </c>
    </row>
    <row r="519" spans="1:136" x14ac:dyDescent="0.25">
      <c r="A519" s="25" t="e">
        <f>#REF!</f>
        <v>#REF!</v>
      </c>
      <c r="B519" s="50" t="e">
        <f>#REF!</f>
        <v>#REF!</v>
      </c>
      <c r="C519" s="5" t="e">
        <f>#REF!</f>
        <v>#REF!</v>
      </c>
      <c r="D519" s="5" t="e">
        <f>#REF!</f>
        <v>#REF!</v>
      </c>
      <c r="E519" s="252">
        <v>1</v>
      </c>
      <c r="F519" s="249">
        <v>0</v>
      </c>
      <c r="G519" s="249">
        <v>0</v>
      </c>
      <c r="H519" s="249">
        <v>0</v>
      </c>
      <c r="I519" s="249">
        <v>0</v>
      </c>
      <c r="J519" s="249">
        <v>0</v>
      </c>
      <c r="K519" s="249">
        <v>0</v>
      </c>
      <c r="L519" s="274"/>
      <c r="M519" s="274"/>
      <c r="N519" s="255">
        <v>50000</v>
      </c>
      <c r="O519" s="135">
        <f t="shared" si="180"/>
        <v>9500</v>
      </c>
      <c r="P519" s="135">
        <f t="shared" si="181"/>
        <v>59500</v>
      </c>
      <c r="Q519" s="131"/>
      <c r="R519" s="131"/>
      <c r="S519" s="11"/>
      <c r="T519" s="274"/>
      <c r="U519" s="274"/>
      <c r="V519" s="274"/>
      <c r="W519" s="39"/>
      <c r="X519" s="11"/>
      <c r="Y519" s="11"/>
      <c r="Z519" s="274"/>
      <c r="AA519" s="274"/>
      <c r="AB519" s="274"/>
      <c r="AC519" s="5"/>
      <c r="AD519" s="22"/>
      <c r="AE519" s="39"/>
      <c r="AF519" s="274"/>
      <c r="AG519" s="274"/>
      <c r="AH519" s="169"/>
      <c r="AI519" s="4"/>
      <c r="AJ519" s="39"/>
      <c r="AK519" s="39"/>
      <c r="AL519" s="118"/>
      <c r="AM519" s="152"/>
      <c r="AN519" s="181"/>
      <c r="AO519" s="131"/>
      <c r="AP519" s="131"/>
      <c r="AQ519" s="39"/>
      <c r="AR519" s="274">
        <v>65000</v>
      </c>
      <c r="AS519" s="274">
        <f t="shared" si="171"/>
        <v>12350</v>
      </c>
      <c r="AT519" s="274">
        <f t="shared" si="172"/>
        <v>77350</v>
      </c>
      <c r="AU519" s="39"/>
      <c r="AV519" s="39"/>
      <c r="AW519" s="39"/>
      <c r="AX519" s="274"/>
      <c r="AY519" s="274"/>
      <c r="AZ519" s="274"/>
      <c r="BA519" s="39"/>
      <c r="BB519" s="62"/>
      <c r="BC519" s="39"/>
      <c r="BD519" s="274"/>
      <c r="BE519" s="274"/>
      <c r="BF519" s="274"/>
      <c r="BG519" s="39"/>
      <c r="BH519" s="39"/>
      <c r="BI519" s="39"/>
      <c r="BJ519" s="274">
        <v>74000</v>
      </c>
      <c r="BK519" s="274">
        <f t="shared" si="173"/>
        <v>14060</v>
      </c>
      <c r="BL519" s="274">
        <f t="shared" si="174"/>
        <v>88060</v>
      </c>
      <c r="BM519" s="213" t="s">
        <v>196</v>
      </c>
      <c r="BN519" s="213" t="s">
        <v>4893</v>
      </c>
      <c r="BO519" s="39"/>
      <c r="BP519" s="274">
        <v>65000</v>
      </c>
      <c r="BQ519" s="274">
        <f t="shared" si="169"/>
        <v>12350</v>
      </c>
      <c r="BR519" s="274">
        <f t="shared" si="170"/>
        <v>77350</v>
      </c>
      <c r="BS519" s="39"/>
      <c r="BT519" s="39"/>
      <c r="BU519" s="39"/>
      <c r="BV519" s="219">
        <v>88079.832000000009</v>
      </c>
      <c r="BW519" s="219">
        <f t="shared" si="175"/>
        <v>16735.168080000003</v>
      </c>
      <c r="BX519" s="273">
        <f t="shared" si="176"/>
        <v>104815.00008000001</v>
      </c>
      <c r="BY519" s="213" t="s">
        <v>196</v>
      </c>
      <c r="BZ519" s="213" t="s">
        <v>4893</v>
      </c>
      <c r="CA519" s="213"/>
      <c r="CB519" s="274"/>
      <c r="CC519" s="274"/>
      <c r="CD519" s="274"/>
      <c r="CE519" s="39"/>
      <c r="CF519" s="39"/>
      <c r="CG519" s="39"/>
      <c r="CH519" s="274"/>
      <c r="CI519" s="274"/>
      <c r="CJ519" s="274"/>
      <c r="CK519" s="39"/>
      <c r="CL519" s="39"/>
      <c r="CM519" s="39"/>
      <c r="CN519" s="39"/>
      <c r="CO519" s="39"/>
      <c r="CP519" s="11"/>
      <c r="CQ519" s="11"/>
      <c r="CR519" s="11"/>
      <c r="CS519" s="11"/>
      <c r="CT519" s="11"/>
      <c r="CU519" s="11"/>
      <c r="CV519" s="11"/>
      <c r="CW519" s="11"/>
      <c r="CX519" s="11"/>
      <c r="CY519" s="11"/>
      <c r="CZ519" s="11"/>
      <c r="DA519" s="11"/>
      <c r="DB519" s="11"/>
      <c r="DC519" s="11"/>
      <c r="DD519" s="11"/>
      <c r="DE519" s="11"/>
      <c r="DF519" s="11"/>
      <c r="DG519" s="11"/>
      <c r="DH519" s="11"/>
      <c r="DI519" s="11"/>
      <c r="DJ519" s="11"/>
      <c r="DK519" s="11"/>
      <c r="DL519" s="274"/>
      <c r="DM519" s="274"/>
      <c r="DN519" s="274"/>
      <c r="DO519" s="274"/>
      <c r="DP519" s="274"/>
      <c r="DQ519" s="274"/>
      <c r="DR519" s="274"/>
      <c r="DS519" s="274"/>
      <c r="DT519" s="274"/>
      <c r="DU519" s="274"/>
      <c r="DV519" s="274"/>
      <c r="DW519" s="274"/>
      <c r="DX519" s="274"/>
      <c r="DY519" s="274"/>
      <c r="DZ519" s="274"/>
      <c r="EA519" s="274"/>
      <c r="EB519" s="274"/>
      <c r="EC519" s="274"/>
      <c r="ED519" s="39">
        <f t="shared" si="177"/>
        <v>407075.00008000003</v>
      </c>
      <c r="EE519" s="30">
        <f t="shared" si="178"/>
        <v>5</v>
      </c>
      <c r="EF519" s="39">
        <f t="shared" si="179"/>
        <v>81415.000016000005</v>
      </c>
    </row>
    <row r="520" spans="1:136" ht="36" x14ac:dyDescent="0.25">
      <c r="A520" s="25" t="e">
        <f>#REF!</f>
        <v>#REF!</v>
      </c>
      <c r="B520" s="50" t="e">
        <f>#REF!</f>
        <v>#REF!</v>
      </c>
      <c r="C520" s="5" t="e">
        <f>#REF!</f>
        <v>#REF!</v>
      </c>
      <c r="D520" s="5" t="e">
        <f>#REF!</f>
        <v>#REF!</v>
      </c>
      <c r="E520" s="252">
        <v>1</v>
      </c>
      <c r="F520" s="249">
        <v>0</v>
      </c>
      <c r="G520" s="249">
        <v>0</v>
      </c>
      <c r="H520" s="249">
        <v>28897.166666666668</v>
      </c>
      <c r="I520" s="249">
        <v>0</v>
      </c>
      <c r="J520" s="249">
        <v>38169.25</v>
      </c>
      <c r="K520" s="249">
        <v>38080</v>
      </c>
      <c r="L520" s="274">
        <f>AVERAGE(H520,J520)</f>
        <v>33533.208333333336</v>
      </c>
      <c r="M520" s="274">
        <f>K520*E1</f>
        <v>39222.400000000001</v>
      </c>
      <c r="N520" s="255">
        <v>50000</v>
      </c>
      <c r="O520" s="135">
        <f t="shared" si="180"/>
        <v>9500</v>
      </c>
      <c r="P520" s="135">
        <f t="shared" si="181"/>
        <v>59500</v>
      </c>
      <c r="Q520" s="131"/>
      <c r="R520" s="131"/>
      <c r="S520" s="11"/>
      <c r="T520" s="274"/>
      <c r="U520" s="274"/>
      <c r="V520" s="274"/>
      <c r="W520" s="39"/>
      <c r="X520" s="11"/>
      <c r="Y520" s="11"/>
      <c r="Z520" s="274"/>
      <c r="AA520" s="274"/>
      <c r="AB520" s="274"/>
      <c r="AC520" s="5"/>
      <c r="AD520" s="22"/>
      <c r="AE520" s="39"/>
      <c r="AF520" s="274"/>
      <c r="AG520" s="274"/>
      <c r="AH520" s="169"/>
      <c r="AI520" s="4"/>
      <c r="AJ520" s="39"/>
      <c r="AK520" s="39"/>
      <c r="AL520" s="118"/>
      <c r="AM520" s="152"/>
      <c r="AN520" s="181"/>
      <c r="AO520" s="131"/>
      <c r="AP520" s="131"/>
      <c r="AQ520" s="39"/>
      <c r="AR520" s="274"/>
      <c r="AS520" s="274"/>
      <c r="AT520" s="274"/>
      <c r="AU520" s="39"/>
      <c r="AV520" s="39"/>
      <c r="AW520" s="39"/>
      <c r="AX520" s="274"/>
      <c r="AY520" s="274"/>
      <c r="AZ520" s="274"/>
      <c r="BA520" s="39"/>
      <c r="BB520" s="62"/>
      <c r="BC520" s="39"/>
      <c r="BD520" s="274"/>
      <c r="BE520" s="274"/>
      <c r="BF520" s="274"/>
      <c r="BG520" s="39"/>
      <c r="BH520" s="39"/>
      <c r="BI520" s="39"/>
      <c r="BJ520" s="274">
        <v>22000</v>
      </c>
      <c r="BK520" s="274">
        <f t="shared" si="173"/>
        <v>4180</v>
      </c>
      <c r="BL520" s="274">
        <f t="shared" si="174"/>
        <v>26180</v>
      </c>
      <c r="BM520" s="213" t="s">
        <v>196</v>
      </c>
      <c r="BN520" s="213" t="s">
        <v>4941</v>
      </c>
      <c r="BO520" s="39"/>
      <c r="BP520" s="274"/>
      <c r="BQ520" s="274"/>
      <c r="BR520" s="274"/>
      <c r="BS520" s="39"/>
      <c r="BT520" s="39"/>
      <c r="BU520" s="39"/>
      <c r="BV520" s="219">
        <v>25696.440000000002</v>
      </c>
      <c r="BW520" s="219">
        <f t="shared" si="175"/>
        <v>4882.3236000000006</v>
      </c>
      <c r="BX520" s="273">
        <f t="shared" si="176"/>
        <v>30578.763600000002</v>
      </c>
      <c r="BY520" s="213" t="s">
        <v>196</v>
      </c>
      <c r="BZ520" s="213" t="s">
        <v>4941</v>
      </c>
      <c r="CA520" s="213"/>
      <c r="CB520" s="274"/>
      <c r="CC520" s="274"/>
      <c r="CD520" s="274"/>
      <c r="CE520" s="39"/>
      <c r="CF520" s="39"/>
      <c r="CG520" s="39"/>
      <c r="CH520" s="274"/>
      <c r="CI520" s="274"/>
      <c r="CJ520" s="274"/>
      <c r="CK520" s="39"/>
      <c r="CL520" s="39"/>
      <c r="CM520" s="39"/>
      <c r="CN520" s="39"/>
      <c r="CO520" s="39"/>
      <c r="CP520" s="11"/>
      <c r="CQ520" s="11"/>
      <c r="CR520" s="11"/>
      <c r="CS520" s="11"/>
      <c r="CT520" s="11"/>
      <c r="CU520" s="11"/>
      <c r="CV520" s="11"/>
      <c r="CW520" s="11"/>
      <c r="CX520" s="11"/>
      <c r="CY520" s="11"/>
      <c r="CZ520" s="11"/>
      <c r="DA520" s="11"/>
      <c r="DB520" s="11"/>
      <c r="DC520" s="11"/>
      <c r="DD520" s="11"/>
      <c r="DE520" s="11"/>
      <c r="DF520" s="11"/>
      <c r="DG520" s="11"/>
      <c r="DH520" s="11"/>
      <c r="DI520" s="11"/>
      <c r="DJ520" s="11"/>
      <c r="DK520" s="11"/>
      <c r="DL520" s="274"/>
      <c r="DM520" s="274"/>
      <c r="DN520" s="274"/>
      <c r="DO520" s="274"/>
      <c r="DP520" s="274"/>
      <c r="DQ520" s="274"/>
      <c r="DR520" s="274"/>
      <c r="DS520" s="274"/>
      <c r="DT520" s="274"/>
      <c r="DU520" s="274"/>
      <c r="DV520" s="274"/>
      <c r="DW520" s="274"/>
      <c r="DX520" s="274"/>
      <c r="DY520" s="274"/>
      <c r="DZ520" s="274"/>
      <c r="EA520" s="274"/>
      <c r="EB520" s="274"/>
      <c r="EC520" s="274"/>
      <c r="ED520" s="39">
        <f t="shared" si="177"/>
        <v>155481.1636</v>
      </c>
      <c r="EE520" s="30">
        <f t="shared" si="178"/>
        <v>4</v>
      </c>
      <c r="EF520" s="39">
        <f t="shared" si="179"/>
        <v>38870.2909</v>
      </c>
    </row>
    <row r="521" spans="1:136" x14ac:dyDescent="0.25">
      <c r="A521" s="25" t="e">
        <f>#REF!</f>
        <v>#REF!</v>
      </c>
      <c r="B521" s="50" t="e">
        <f>#REF!</f>
        <v>#REF!</v>
      </c>
      <c r="C521" s="5" t="e">
        <f>#REF!</f>
        <v>#REF!</v>
      </c>
      <c r="D521" s="5" t="e">
        <f>#REF!</f>
        <v>#REF!</v>
      </c>
      <c r="E521" s="252">
        <v>1</v>
      </c>
      <c r="F521" s="249">
        <v>0</v>
      </c>
      <c r="G521" s="249">
        <v>0</v>
      </c>
      <c r="H521" s="249">
        <v>0</v>
      </c>
      <c r="I521" s="249">
        <v>0</v>
      </c>
      <c r="J521" s="249">
        <v>0</v>
      </c>
      <c r="K521" s="249">
        <v>0</v>
      </c>
      <c r="L521" s="274"/>
      <c r="M521" s="274"/>
      <c r="N521" s="255">
        <v>50000</v>
      </c>
      <c r="O521" s="135">
        <f t="shared" si="180"/>
        <v>9500</v>
      </c>
      <c r="P521" s="135">
        <f t="shared" si="181"/>
        <v>59500</v>
      </c>
      <c r="Q521" s="131"/>
      <c r="R521" s="131"/>
      <c r="S521" s="11"/>
      <c r="T521" s="274"/>
      <c r="U521" s="274"/>
      <c r="V521" s="274"/>
      <c r="W521" s="39"/>
      <c r="X521" s="11"/>
      <c r="Y521" s="11"/>
      <c r="Z521" s="274"/>
      <c r="AA521" s="274"/>
      <c r="AB521" s="274"/>
      <c r="AC521" s="5"/>
      <c r="AD521" s="22"/>
      <c r="AE521" s="39"/>
      <c r="AF521" s="274"/>
      <c r="AG521" s="274"/>
      <c r="AH521" s="169"/>
      <c r="AI521" s="4"/>
      <c r="AJ521" s="39"/>
      <c r="AK521" s="39"/>
      <c r="AL521" s="118"/>
      <c r="AM521" s="152"/>
      <c r="AN521" s="181"/>
      <c r="AO521" s="131"/>
      <c r="AP521" s="131"/>
      <c r="AQ521" s="39"/>
      <c r="AR521" s="274">
        <v>65000</v>
      </c>
      <c r="AS521" s="274">
        <f>+AR521*0.19</f>
        <v>12350</v>
      </c>
      <c r="AT521" s="274">
        <f>+AR521+AS521</f>
        <v>77350</v>
      </c>
      <c r="AU521" s="39"/>
      <c r="AV521" s="39"/>
      <c r="AW521" s="39"/>
      <c r="AX521" s="274"/>
      <c r="AY521" s="274"/>
      <c r="AZ521" s="274"/>
      <c r="BA521" s="39"/>
      <c r="BB521" s="62"/>
      <c r="BC521" s="39"/>
      <c r="BD521" s="274"/>
      <c r="BE521" s="274"/>
      <c r="BF521" s="274"/>
      <c r="BG521" s="39"/>
      <c r="BH521" s="39"/>
      <c r="BI521" s="39"/>
      <c r="BJ521" s="274"/>
      <c r="BK521" s="274"/>
      <c r="BL521" s="274"/>
      <c r="BM521" s="213"/>
      <c r="BN521" s="213"/>
      <c r="BO521" s="39"/>
      <c r="BP521" s="274">
        <v>28000</v>
      </c>
      <c r="BQ521" s="274">
        <f>+BP521*19%</f>
        <v>5320</v>
      </c>
      <c r="BR521" s="274">
        <f>+BQ521+BP521</f>
        <v>33320</v>
      </c>
      <c r="BS521" s="39"/>
      <c r="BT521" s="39"/>
      <c r="BU521" s="39"/>
      <c r="BV521" s="212"/>
      <c r="BW521" s="220"/>
      <c r="BX521" s="273"/>
      <c r="BY521" s="213"/>
      <c r="BZ521" s="213"/>
      <c r="CA521" s="213"/>
      <c r="CB521" s="274"/>
      <c r="CC521" s="274"/>
      <c r="CD521" s="274"/>
      <c r="CE521" s="39"/>
      <c r="CF521" s="39"/>
      <c r="CG521" s="39"/>
      <c r="CH521" s="274"/>
      <c r="CI521" s="274"/>
      <c r="CJ521" s="274"/>
      <c r="CK521" s="39"/>
      <c r="CL521" s="39"/>
      <c r="CM521" s="39"/>
      <c r="CN521" s="39"/>
      <c r="CO521" s="39"/>
      <c r="CP521" s="11"/>
      <c r="CQ521" s="11"/>
      <c r="CR521" s="11"/>
      <c r="CS521" s="11"/>
      <c r="CT521" s="11"/>
      <c r="CU521" s="11"/>
      <c r="CV521" s="11"/>
      <c r="CW521" s="11"/>
      <c r="CX521" s="11"/>
      <c r="CY521" s="11"/>
      <c r="CZ521" s="11"/>
      <c r="DA521" s="11"/>
      <c r="DB521" s="11"/>
      <c r="DC521" s="11"/>
      <c r="DD521" s="11"/>
      <c r="DE521" s="11"/>
      <c r="DF521" s="11"/>
      <c r="DG521" s="11"/>
      <c r="DH521" s="11"/>
      <c r="DI521" s="11"/>
      <c r="DJ521" s="11"/>
      <c r="DK521" s="11"/>
      <c r="DL521" s="274"/>
      <c r="DM521" s="274"/>
      <c r="DN521" s="274"/>
      <c r="DO521" s="274"/>
      <c r="DP521" s="274"/>
      <c r="DQ521" s="274"/>
      <c r="DR521" s="274"/>
      <c r="DS521" s="274"/>
      <c r="DT521" s="274"/>
      <c r="DU521" s="274"/>
      <c r="DV521" s="274"/>
      <c r="DW521" s="274"/>
      <c r="DX521" s="274"/>
      <c r="DY521" s="274"/>
      <c r="DZ521" s="274"/>
      <c r="EA521" s="274"/>
      <c r="EB521" s="274"/>
      <c r="EC521" s="274"/>
      <c r="ED521" s="39">
        <f t="shared" si="177"/>
        <v>170170</v>
      </c>
      <c r="EE521" s="30">
        <f t="shared" si="178"/>
        <v>3</v>
      </c>
      <c r="EF521" s="39">
        <f t="shared" si="179"/>
        <v>56723.333333333336</v>
      </c>
    </row>
    <row r="522" spans="1:136" x14ac:dyDescent="0.25">
      <c r="A522" s="25" t="e">
        <f>#REF!</f>
        <v>#REF!</v>
      </c>
      <c r="B522" s="50" t="e">
        <f>#REF!</f>
        <v>#REF!</v>
      </c>
      <c r="C522" s="5" t="e">
        <f>#REF!</f>
        <v>#REF!</v>
      </c>
      <c r="D522" s="5" t="e">
        <f>#REF!</f>
        <v>#REF!</v>
      </c>
      <c r="E522" s="252">
        <v>1</v>
      </c>
      <c r="F522" s="249">
        <v>38199</v>
      </c>
      <c r="G522" s="249">
        <v>10674</v>
      </c>
      <c r="H522" s="249">
        <v>17080.595125940465</v>
      </c>
      <c r="I522" s="249">
        <v>11043</v>
      </c>
      <c r="J522" s="249">
        <v>26833.8</v>
      </c>
      <c r="K522" s="249">
        <v>14280</v>
      </c>
      <c r="L522" s="274">
        <f>AVERAGE(F522,H522,J522)</f>
        <v>27371.131708646823</v>
      </c>
      <c r="M522" s="274">
        <f>AVERAGE(G522,I522,K522)*E1</f>
        <v>12358.970000000001</v>
      </c>
      <c r="N522" s="255">
        <v>45000</v>
      </c>
      <c r="O522" s="135">
        <f t="shared" si="180"/>
        <v>8550</v>
      </c>
      <c r="P522" s="135">
        <f t="shared" si="181"/>
        <v>53550</v>
      </c>
      <c r="Q522" s="131"/>
      <c r="R522" s="131"/>
      <c r="S522" s="11"/>
      <c r="T522" s="274">
        <v>10010</v>
      </c>
      <c r="U522" s="274">
        <f>+T522*0.19</f>
        <v>1901.9</v>
      </c>
      <c r="V522" s="274">
        <f>+T522+U522</f>
        <v>11911.9</v>
      </c>
      <c r="W522" s="39" t="s">
        <v>445</v>
      </c>
      <c r="X522" s="11" t="s">
        <v>2976</v>
      </c>
      <c r="Y522" s="11"/>
      <c r="Z522" s="274"/>
      <c r="AA522" s="274"/>
      <c r="AB522" s="274"/>
      <c r="AC522" s="5"/>
      <c r="AD522" s="22"/>
      <c r="AE522" s="39"/>
      <c r="AF522" s="274"/>
      <c r="AG522" s="274"/>
      <c r="AH522" s="169"/>
      <c r="AI522" s="4"/>
      <c r="AJ522" s="39"/>
      <c r="AK522" s="39"/>
      <c r="AL522" s="118"/>
      <c r="AM522" s="152"/>
      <c r="AN522" s="181"/>
      <c r="AO522" s="131"/>
      <c r="AP522" s="131"/>
      <c r="AQ522" s="39"/>
      <c r="AR522" s="274"/>
      <c r="AS522" s="274"/>
      <c r="AT522" s="274"/>
      <c r="AU522" s="39"/>
      <c r="AV522" s="39"/>
      <c r="AW522" s="39"/>
      <c r="AX522" s="274"/>
      <c r="AY522" s="274"/>
      <c r="AZ522" s="274"/>
      <c r="BA522" s="39"/>
      <c r="BB522" s="62"/>
      <c r="BC522" s="39"/>
      <c r="BD522" s="274"/>
      <c r="BE522" s="274"/>
      <c r="BF522" s="274"/>
      <c r="BG522" s="39"/>
      <c r="BH522" s="39"/>
      <c r="BI522" s="39"/>
      <c r="BJ522" s="274">
        <v>27300</v>
      </c>
      <c r="BK522" s="274">
        <f t="shared" ref="BK522:BK540" si="182">+BJ522*0.19</f>
        <v>5187</v>
      </c>
      <c r="BL522" s="274">
        <f t="shared" ref="BL522:BL540" si="183">+BJ522+BK522</f>
        <v>32487</v>
      </c>
      <c r="BM522" s="213" t="s">
        <v>196</v>
      </c>
      <c r="BN522" s="213" t="s">
        <v>2925</v>
      </c>
      <c r="BO522" s="39"/>
      <c r="BP522" s="274"/>
      <c r="BQ522" s="274"/>
      <c r="BR522" s="274"/>
      <c r="BS522" s="39"/>
      <c r="BT522" s="39"/>
      <c r="BU522" s="39"/>
      <c r="BV522" s="219">
        <v>31898.412000000004</v>
      </c>
      <c r="BW522" s="219">
        <f t="shared" ref="BW522:BW539" si="184">+BV522*0.19</f>
        <v>6060.6982800000005</v>
      </c>
      <c r="BX522" s="273">
        <f t="shared" ref="BX522:BX539" si="185">+BV522+BW522</f>
        <v>37959.110280000008</v>
      </c>
      <c r="BY522" s="213" t="s">
        <v>196</v>
      </c>
      <c r="BZ522" s="213" t="s">
        <v>2925</v>
      </c>
      <c r="CA522" s="213"/>
      <c r="CB522" s="274"/>
      <c r="CC522" s="274"/>
      <c r="CD522" s="274"/>
      <c r="CE522" s="39"/>
      <c r="CF522" s="39"/>
      <c r="CG522" s="39"/>
      <c r="CH522" s="274"/>
      <c r="CI522" s="274"/>
      <c r="CJ522" s="274"/>
      <c r="CK522" s="39"/>
      <c r="CL522" s="39"/>
      <c r="CM522" s="39"/>
      <c r="CN522" s="39"/>
      <c r="CO522" s="39"/>
      <c r="CP522" s="11"/>
      <c r="CQ522" s="11"/>
      <c r="CR522" s="11"/>
      <c r="CS522" s="11"/>
      <c r="CT522" s="11"/>
      <c r="CU522" s="11"/>
      <c r="CV522" s="11"/>
      <c r="CW522" s="11"/>
      <c r="CX522" s="11"/>
      <c r="CY522" s="11"/>
      <c r="CZ522" s="11"/>
      <c r="DA522" s="11"/>
      <c r="DB522" s="11"/>
      <c r="DC522" s="11"/>
      <c r="DD522" s="11"/>
      <c r="DE522" s="11"/>
      <c r="DF522" s="11"/>
      <c r="DG522" s="11"/>
      <c r="DH522" s="11"/>
      <c r="DI522" s="11"/>
      <c r="DJ522" s="11"/>
      <c r="DK522" s="11"/>
      <c r="DL522" s="274"/>
      <c r="DM522" s="274"/>
      <c r="DN522" s="274"/>
      <c r="DO522" s="274"/>
      <c r="DP522" s="274"/>
      <c r="DQ522" s="274"/>
      <c r="DR522" s="274"/>
      <c r="DS522" s="274"/>
      <c r="DT522" s="274"/>
      <c r="DU522" s="274"/>
      <c r="DV522" s="274"/>
      <c r="DW522" s="274"/>
      <c r="DX522" s="274"/>
      <c r="DY522" s="274"/>
      <c r="DZ522" s="274"/>
      <c r="EA522" s="274"/>
      <c r="EB522" s="274"/>
      <c r="EC522" s="274"/>
      <c r="ED522" s="39">
        <f t="shared" si="177"/>
        <v>148266.98028000002</v>
      </c>
      <c r="EE522" s="30">
        <f t="shared" si="178"/>
        <v>5</v>
      </c>
      <c r="EF522" s="39">
        <f t="shared" si="179"/>
        <v>29653.396056000005</v>
      </c>
    </row>
    <row r="523" spans="1:136" x14ac:dyDescent="0.25">
      <c r="A523" s="25" t="e">
        <f>#REF!</f>
        <v>#REF!</v>
      </c>
      <c r="B523" s="50" t="e">
        <f>#REF!</f>
        <v>#REF!</v>
      </c>
      <c r="C523" s="5" t="e">
        <f>#REF!</f>
        <v>#REF!</v>
      </c>
      <c r="D523" s="5" t="e">
        <f>#REF!</f>
        <v>#REF!</v>
      </c>
      <c r="E523" s="252">
        <v>1</v>
      </c>
      <c r="F523" s="249">
        <v>52419.5</v>
      </c>
      <c r="G523" s="249">
        <v>51527</v>
      </c>
      <c r="H523" s="249">
        <v>25816.220075237161</v>
      </c>
      <c r="I523" s="249">
        <v>17612</v>
      </c>
      <c r="J523" s="249">
        <v>60864.136666666665</v>
      </c>
      <c r="K523" s="249">
        <v>30821</v>
      </c>
      <c r="L523" s="274">
        <f>AVERAGE(F523,H523,J523)</f>
        <v>46366.618913967941</v>
      </c>
      <c r="M523" s="274">
        <f>AVERAGE(G523,I523,K523)*E1</f>
        <v>34319.599999999999</v>
      </c>
      <c r="N523" s="255">
        <v>85000</v>
      </c>
      <c r="O523" s="135">
        <f t="shared" si="180"/>
        <v>16150</v>
      </c>
      <c r="P523" s="135">
        <f t="shared" si="181"/>
        <v>101150</v>
      </c>
      <c r="Q523" s="131"/>
      <c r="R523" s="131"/>
      <c r="S523" s="11"/>
      <c r="T523" s="274">
        <v>16170.000000000002</v>
      </c>
      <c r="U523" s="274">
        <f>+T523*0.19</f>
        <v>3072.3</v>
      </c>
      <c r="V523" s="274">
        <f>+T523+U523</f>
        <v>19242.300000000003</v>
      </c>
      <c r="W523" s="39" t="s">
        <v>445</v>
      </c>
      <c r="X523" s="11" t="s">
        <v>2976</v>
      </c>
      <c r="Y523" s="11"/>
      <c r="Z523" s="274"/>
      <c r="AA523" s="274"/>
      <c r="AB523" s="274"/>
      <c r="AC523" s="5"/>
      <c r="AD523" s="22"/>
      <c r="AE523" s="39"/>
      <c r="AF523" s="274"/>
      <c r="AG523" s="274"/>
      <c r="AH523" s="169"/>
      <c r="AI523" s="4"/>
      <c r="AJ523" s="39"/>
      <c r="AK523" s="39"/>
      <c r="AL523" s="118"/>
      <c r="AM523" s="152"/>
      <c r="AN523" s="181"/>
      <c r="AO523" s="131"/>
      <c r="AP523" s="131"/>
      <c r="AQ523" s="39"/>
      <c r="AR523" s="274"/>
      <c r="AS523" s="274"/>
      <c r="AT523" s="274"/>
      <c r="AU523" s="39"/>
      <c r="AV523" s="39"/>
      <c r="AW523" s="39"/>
      <c r="AX523" s="274"/>
      <c r="AY523" s="274"/>
      <c r="AZ523" s="274"/>
      <c r="BA523" s="39"/>
      <c r="BB523" s="62"/>
      <c r="BC523" s="39"/>
      <c r="BD523" s="274"/>
      <c r="BE523" s="274"/>
      <c r="BF523" s="274"/>
      <c r="BG523" s="39"/>
      <c r="BH523" s="39"/>
      <c r="BI523" s="39"/>
      <c r="BJ523" s="274">
        <v>46400</v>
      </c>
      <c r="BK523" s="274">
        <f t="shared" si="182"/>
        <v>8816</v>
      </c>
      <c r="BL523" s="274">
        <f t="shared" si="183"/>
        <v>55216</v>
      </c>
      <c r="BM523" s="213" t="s">
        <v>196</v>
      </c>
      <c r="BN523" s="213" t="s">
        <v>2925</v>
      </c>
      <c r="BO523" s="39"/>
      <c r="BP523" s="274"/>
      <c r="BQ523" s="274"/>
      <c r="BR523" s="274"/>
      <c r="BS523" s="39"/>
      <c r="BT523" s="39"/>
      <c r="BU523" s="39"/>
      <c r="BV523" s="219">
        <v>50172.598400000003</v>
      </c>
      <c r="BW523" s="219">
        <f t="shared" si="184"/>
        <v>9532.7936960000006</v>
      </c>
      <c r="BX523" s="273">
        <f t="shared" si="185"/>
        <v>59705.392096000003</v>
      </c>
      <c r="BY523" s="213" t="s">
        <v>196</v>
      </c>
      <c r="BZ523" s="213" t="s">
        <v>2925</v>
      </c>
      <c r="CA523" s="213"/>
      <c r="CB523" s="274"/>
      <c r="CC523" s="274"/>
      <c r="CD523" s="274"/>
      <c r="CE523" s="39"/>
      <c r="CF523" s="39"/>
      <c r="CG523" s="39"/>
      <c r="CH523" s="274"/>
      <c r="CI523" s="274"/>
      <c r="CJ523" s="274"/>
      <c r="CK523" s="39"/>
      <c r="CL523" s="39"/>
      <c r="CM523" s="39"/>
      <c r="CN523" s="39"/>
      <c r="CO523" s="39"/>
      <c r="CP523" s="11"/>
      <c r="CQ523" s="11"/>
      <c r="CR523" s="11"/>
      <c r="CS523" s="11"/>
      <c r="CT523" s="11"/>
      <c r="CU523" s="11"/>
      <c r="CV523" s="11"/>
      <c r="CW523" s="11"/>
      <c r="CX523" s="11"/>
      <c r="CY523" s="11"/>
      <c r="CZ523" s="11"/>
      <c r="DA523" s="11"/>
      <c r="DB523" s="11"/>
      <c r="DC523" s="11"/>
      <c r="DD523" s="11"/>
      <c r="DE523" s="11"/>
      <c r="DF523" s="11"/>
      <c r="DG523" s="11"/>
      <c r="DH523" s="11"/>
      <c r="DI523" s="11"/>
      <c r="DJ523" s="11"/>
      <c r="DK523" s="11"/>
      <c r="DL523" s="274"/>
      <c r="DM523" s="274"/>
      <c r="DN523" s="274"/>
      <c r="DO523" s="274"/>
      <c r="DP523" s="274"/>
      <c r="DQ523" s="274"/>
      <c r="DR523" s="274"/>
      <c r="DS523" s="274"/>
      <c r="DT523" s="274"/>
      <c r="DU523" s="274"/>
      <c r="DV523" s="274"/>
      <c r="DW523" s="274"/>
      <c r="DX523" s="274"/>
      <c r="DY523" s="274"/>
      <c r="DZ523" s="274"/>
      <c r="EA523" s="274"/>
      <c r="EB523" s="274"/>
      <c r="EC523" s="274"/>
      <c r="ED523" s="39">
        <f t="shared" si="177"/>
        <v>269633.29209600005</v>
      </c>
      <c r="EE523" s="30">
        <f t="shared" si="178"/>
        <v>5</v>
      </c>
      <c r="EF523" s="39">
        <f t="shared" si="179"/>
        <v>53926.658419200008</v>
      </c>
    </row>
    <row r="524" spans="1:136" x14ac:dyDescent="0.25">
      <c r="A524" s="25" t="e">
        <f>#REF!</f>
        <v>#REF!</v>
      </c>
      <c r="B524" s="50" t="e">
        <f>#REF!</f>
        <v>#REF!</v>
      </c>
      <c r="C524" s="5" t="e">
        <f>#REF!</f>
        <v>#REF!</v>
      </c>
      <c r="D524" s="5" t="e">
        <f>#REF!</f>
        <v>#REF!</v>
      </c>
      <c r="E524" s="252">
        <v>1</v>
      </c>
      <c r="F524" s="249">
        <v>55692</v>
      </c>
      <c r="G524" s="249">
        <v>24086</v>
      </c>
      <c r="H524" s="249">
        <v>36949.189559911683</v>
      </c>
      <c r="I524" s="249">
        <v>18469</v>
      </c>
      <c r="J524" s="249">
        <v>47776.26</v>
      </c>
      <c r="K524" s="249">
        <v>24633</v>
      </c>
      <c r="L524" s="274">
        <f>AVERAGE(F524,H524,J524)</f>
        <v>46805.816519970562</v>
      </c>
      <c r="M524" s="274">
        <f>AVERAGE(G524,I524,K524)*E1</f>
        <v>23067.88</v>
      </c>
      <c r="N524" s="255">
        <v>75000</v>
      </c>
      <c r="O524" s="135">
        <f t="shared" si="180"/>
        <v>14250</v>
      </c>
      <c r="P524" s="135">
        <f t="shared" si="181"/>
        <v>89250</v>
      </c>
      <c r="Q524" s="131"/>
      <c r="R524" s="131"/>
      <c r="S524" s="11"/>
      <c r="T524" s="274">
        <v>19800</v>
      </c>
      <c r="U524" s="274">
        <f>+T524*0.19</f>
        <v>3762</v>
      </c>
      <c r="V524" s="274">
        <f>+T524+U524</f>
        <v>23562</v>
      </c>
      <c r="W524" s="39" t="s">
        <v>445</v>
      </c>
      <c r="X524" s="11" t="s">
        <v>2976</v>
      </c>
      <c r="Y524" s="11"/>
      <c r="Z524" s="274"/>
      <c r="AA524" s="274"/>
      <c r="AB524" s="274"/>
      <c r="AC524" s="52"/>
      <c r="AD524" s="22"/>
      <c r="AE524" s="39"/>
      <c r="AF524" s="274"/>
      <c r="AG524" s="274"/>
      <c r="AH524" s="171"/>
      <c r="AI524" s="22"/>
      <c r="AJ524" s="39"/>
      <c r="AK524" s="39"/>
      <c r="AL524" s="118"/>
      <c r="AM524" s="152"/>
      <c r="AN524" s="181"/>
      <c r="AO524" s="131"/>
      <c r="AP524" s="131"/>
      <c r="AQ524" s="39"/>
      <c r="AR524" s="274"/>
      <c r="AS524" s="274"/>
      <c r="AT524" s="274"/>
      <c r="AU524" s="39"/>
      <c r="AV524" s="39"/>
      <c r="AW524" s="39"/>
      <c r="AX524" s="274"/>
      <c r="AY524" s="274"/>
      <c r="AZ524" s="274"/>
      <c r="BA524" s="39"/>
      <c r="BB524" s="62"/>
      <c r="BC524" s="39"/>
      <c r="BD524" s="274"/>
      <c r="BE524" s="274"/>
      <c r="BF524" s="274"/>
      <c r="BG524" s="39"/>
      <c r="BH524" s="39"/>
      <c r="BI524" s="39"/>
      <c r="BJ524" s="274">
        <v>47200</v>
      </c>
      <c r="BK524" s="274">
        <f t="shared" si="182"/>
        <v>8968</v>
      </c>
      <c r="BL524" s="274">
        <f t="shared" si="183"/>
        <v>56168</v>
      </c>
      <c r="BM524" s="213" t="s">
        <v>196</v>
      </c>
      <c r="BN524" s="213" t="s">
        <v>2925</v>
      </c>
      <c r="BO524" s="39"/>
      <c r="BP524" s="274"/>
      <c r="BQ524" s="274"/>
      <c r="BR524" s="274"/>
      <c r="BS524" s="39"/>
      <c r="BT524" s="39"/>
      <c r="BU524" s="39"/>
      <c r="BV524" s="219">
        <v>56726.092800000006</v>
      </c>
      <c r="BW524" s="219">
        <f t="shared" si="184"/>
        <v>10777.957632000001</v>
      </c>
      <c r="BX524" s="273">
        <f t="shared" si="185"/>
        <v>67504.050432000004</v>
      </c>
      <c r="BY524" s="213" t="s">
        <v>196</v>
      </c>
      <c r="BZ524" s="213" t="s">
        <v>2925</v>
      </c>
      <c r="CA524" s="213"/>
      <c r="CB524" s="274"/>
      <c r="CC524" s="274"/>
      <c r="CD524" s="274"/>
      <c r="CE524" s="39"/>
      <c r="CF524" s="39"/>
      <c r="CG524" s="39"/>
      <c r="CH524" s="274"/>
      <c r="CI524" s="274"/>
      <c r="CJ524" s="274"/>
      <c r="CK524" s="39"/>
      <c r="CL524" s="39"/>
      <c r="CM524" s="39"/>
      <c r="CN524" s="39"/>
      <c r="CO524" s="39"/>
      <c r="CP524" s="11"/>
      <c r="CQ524" s="11"/>
      <c r="CR524" s="11"/>
      <c r="CS524" s="11"/>
      <c r="CT524" s="11"/>
      <c r="CU524" s="11"/>
      <c r="CV524" s="11"/>
      <c r="CW524" s="11"/>
      <c r="CX524" s="11"/>
      <c r="CY524" s="11"/>
      <c r="CZ524" s="11"/>
      <c r="DA524" s="11"/>
      <c r="DB524" s="11"/>
      <c r="DC524" s="11"/>
      <c r="DD524" s="11"/>
      <c r="DE524" s="11"/>
      <c r="DF524" s="11"/>
      <c r="DG524" s="11"/>
      <c r="DH524" s="11"/>
      <c r="DI524" s="11"/>
      <c r="DJ524" s="11"/>
      <c r="DK524" s="11"/>
      <c r="DL524" s="274"/>
      <c r="DM524" s="274"/>
      <c r="DN524" s="274"/>
      <c r="DO524" s="274"/>
      <c r="DP524" s="274"/>
      <c r="DQ524" s="274"/>
      <c r="DR524" s="274"/>
      <c r="DS524" s="274"/>
      <c r="DT524" s="274"/>
      <c r="DU524" s="274"/>
      <c r="DV524" s="274"/>
      <c r="DW524" s="274"/>
      <c r="DX524" s="274"/>
      <c r="DY524" s="274"/>
      <c r="DZ524" s="274"/>
      <c r="EA524" s="274"/>
      <c r="EB524" s="274"/>
      <c r="EC524" s="274"/>
      <c r="ED524" s="39">
        <f t="shared" si="177"/>
        <v>259551.93043200002</v>
      </c>
      <c r="EE524" s="30">
        <f t="shared" si="178"/>
        <v>5</v>
      </c>
      <c r="EF524" s="39">
        <f t="shared" si="179"/>
        <v>51910.386086400002</v>
      </c>
    </row>
    <row r="525" spans="1:136" x14ac:dyDescent="0.25">
      <c r="A525" s="25" t="e">
        <f>#REF!</f>
        <v>#REF!</v>
      </c>
      <c r="B525" s="50" t="e">
        <f>#REF!</f>
        <v>#REF!</v>
      </c>
      <c r="C525" s="5" t="e">
        <f>#REF!</f>
        <v>#REF!</v>
      </c>
      <c r="D525" s="5" t="e">
        <f>#REF!</f>
        <v>#REF!</v>
      </c>
      <c r="E525" s="252">
        <v>1</v>
      </c>
      <c r="F525" s="249">
        <v>0</v>
      </c>
      <c r="G525" s="249">
        <v>0</v>
      </c>
      <c r="H525" s="249">
        <v>0</v>
      </c>
      <c r="I525" s="249">
        <v>0</v>
      </c>
      <c r="J525" s="249">
        <v>0</v>
      </c>
      <c r="K525" s="249">
        <v>0</v>
      </c>
      <c r="L525" s="274"/>
      <c r="M525" s="274"/>
      <c r="N525" s="255">
        <v>52000</v>
      </c>
      <c r="O525" s="135">
        <f t="shared" si="180"/>
        <v>9880</v>
      </c>
      <c r="P525" s="135">
        <f t="shared" si="181"/>
        <v>61880</v>
      </c>
      <c r="Q525" s="131"/>
      <c r="R525" s="131"/>
      <c r="S525" s="11"/>
      <c r="T525" s="274">
        <v>8250</v>
      </c>
      <c r="U525" s="274">
        <f>+T525*0.19</f>
        <v>1567.5</v>
      </c>
      <c r="V525" s="274">
        <f>+T525+U525</f>
        <v>9817.5</v>
      </c>
      <c r="W525" s="39" t="s">
        <v>445</v>
      </c>
      <c r="X525" s="11" t="s">
        <v>2976</v>
      </c>
      <c r="Y525" s="11"/>
      <c r="Z525" s="274"/>
      <c r="AA525" s="274"/>
      <c r="AB525" s="274"/>
      <c r="AC525" s="4"/>
      <c r="AD525" s="22"/>
      <c r="AE525" s="39"/>
      <c r="AF525" s="274"/>
      <c r="AG525" s="274"/>
      <c r="AH525" s="173"/>
      <c r="AI525" s="4"/>
      <c r="AJ525" s="39"/>
      <c r="AK525" s="39"/>
      <c r="AL525" s="118"/>
      <c r="AM525" s="152"/>
      <c r="AN525" s="181"/>
      <c r="AO525" s="131"/>
      <c r="AP525" s="131"/>
      <c r="AQ525" s="39"/>
      <c r="AR525" s="274"/>
      <c r="AS525" s="274"/>
      <c r="AT525" s="274"/>
      <c r="AU525" s="39"/>
      <c r="AV525" s="39"/>
      <c r="AW525" s="39"/>
      <c r="AX525" s="274"/>
      <c r="AY525" s="274"/>
      <c r="AZ525" s="274"/>
      <c r="BA525" s="39"/>
      <c r="BB525" s="62"/>
      <c r="BC525" s="39"/>
      <c r="BD525" s="274"/>
      <c r="BE525" s="274"/>
      <c r="BF525" s="274"/>
      <c r="BG525" s="39"/>
      <c r="BH525" s="39"/>
      <c r="BI525" s="39"/>
      <c r="BJ525" s="274">
        <v>29000</v>
      </c>
      <c r="BK525" s="274">
        <f t="shared" si="182"/>
        <v>5510</v>
      </c>
      <c r="BL525" s="274">
        <f t="shared" si="183"/>
        <v>34510</v>
      </c>
      <c r="BM525" s="213" t="s">
        <v>196</v>
      </c>
      <c r="BN525" s="213" t="s">
        <v>2925</v>
      </c>
      <c r="BO525" s="39"/>
      <c r="BP525" s="274"/>
      <c r="BQ525" s="274"/>
      <c r="BR525" s="274"/>
      <c r="BS525" s="39"/>
      <c r="BT525" s="39"/>
      <c r="BU525" s="39"/>
      <c r="BV525" s="219">
        <v>31378.464</v>
      </c>
      <c r="BW525" s="219">
        <f t="shared" si="184"/>
        <v>5961.90816</v>
      </c>
      <c r="BX525" s="273">
        <f t="shared" si="185"/>
        <v>37340.372159999999</v>
      </c>
      <c r="BY525" s="213" t="s">
        <v>196</v>
      </c>
      <c r="BZ525" s="213" t="s">
        <v>2925</v>
      </c>
      <c r="CA525" s="213"/>
      <c r="CB525" s="274"/>
      <c r="CC525" s="274"/>
      <c r="CD525" s="274"/>
      <c r="CE525" s="39"/>
      <c r="CF525" s="39"/>
      <c r="CG525" s="39"/>
      <c r="CH525" s="274"/>
      <c r="CI525" s="274"/>
      <c r="CJ525" s="274"/>
      <c r="CK525" s="39"/>
      <c r="CL525" s="39"/>
      <c r="CM525" s="39"/>
      <c r="CN525" s="39"/>
      <c r="CO525" s="39"/>
      <c r="CP525" s="11"/>
      <c r="CQ525" s="11"/>
      <c r="CR525" s="11"/>
      <c r="CS525" s="11"/>
      <c r="CT525" s="11"/>
      <c r="CU525" s="11"/>
      <c r="CV525" s="11"/>
      <c r="CW525" s="11"/>
      <c r="CX525" s="11"/>
      <c r="CY525" s="11"/>
      <c r="CZ525" s="11"/>
      <c r="DA525" s="11"/>
      <c r="DB525" s="11"/>
      <c r="DC525" s="11"/>
      <c r="DD525" s="11"/>
      <c r="DE525" s="11"/>
      <c r="DF525" s="11"/>
      <c r="DG525" s="11"/>
      <c r="DH525" s="11"/>
      <c r="DI525" s="11"/>
      <c r="DJ525" s="11"/>
      <c r="DK525" s="11"/>
      <c r="DL525" s="274"/>
      <c r="DM525" s="274"/>
      <c r="DN525" s="274"/>
      <c r="DO525" s="274"/>
      <c r="DP525" s="274"/>
      <c r="DQ525" s="274"/>
      <c r="DR525" s="274"/>
      <c r="DS525" s="274"/>
      <c r="DT525" s="274"/>
      <c r="DU525" s="274"/>
      <c r="DV525" s="274"/>
      <c r="DW525" s="274"/>
      <c r="DX525" s="274"/>
      <c r="DY525" s="274"/>
      <c r="DZ525" s="274"/>
      <c r="EA525" s="274"/>
      <c r="EB525" s="274"/>
      <c r="EC525" s="274"/>
      <c r="ED525" s="39">
        <f t="shared" si="177"/>
        <v>143547.87216</v>
      </c>
      <c r="EE525" s="30">
        <f t="shared" si="178"/>
        <v>4</v>
      </c>
      <c r="EF525" s="39">
        <f t="shared" si="179"/>
        <v>35886.96804</v>
      </c>
    </row>
    <row r="526" spans="1:136" x14ac:dyDescent="0.25">
      <c r="A526" s="25" t="e">
        <f>#REF!</f>
        <v>#REF!</v>
      </c>
      <c r="B526" s="50" t="e">
        <f>#REF!</f>
        <v>#REF!</v>
      </c>
      <c r="C526" s="5" t="e">
        <f>#REF!</f>
        <v>#REF!</v>
      </c>
      <c r="D526" s="5" t="e">
        <f>#REF!</f>
        <v>#REF!</v>
      </c>
      <c r="E526" s="252">
        <v>1</v>
      </c>
      <c r="F526" s="249">
        <v>0</v>
      </c>
      <c r="G526" s="249">
        <v>0</v>
      </c>
      <c r="H526" s="249">
        <v>79849</v>
      </c>
      <c r="I526" s="249">
        <v>0</v>
      </c>
      <c r="J526" s="249">
        <v>51973.25</v>
      </c>
      <c r="K526" s="249">
        <v>51765</v>
      </c>
      <c r="L526" s="274">
        <f>AVERAGE(H526,J526)</f>
        <v>65911.125</v>
      </c>
      <c r="M526" s="274">
        <f>K526*E1</f>
        <v>53317.950000000004</v>
      </c>
      <c r="N526" s="255">
        <v>17000</v>
      </c>
      <c r="O526" s="135">
        <f t="shared" si="180"/>
        <v>3230</v>
      </c>
      <c r="P526" s="135">
        <f t="shared" si="181"/>
        <v>20230</v>
      </c>
      <c r="Q526" s="131"/>
      <c r="R526" s="131"/>
      <c r="S526" s="11"/>
      <c r="T526" s="274"/>
      <c r="U526" s="274"/>
      <c r="V526" s="274"/>
      <c r="W526" s="39"/>
      <c r="X526" s="11"/>
      <c r="Y526" s="11"/>
      <c r="Z526" s="274"/>
      <c r="AA526" s="274"/>
      <c r="AB526" s="274"/>
      <c r="AC526" s="4"/>
      <c r="AD526" s="22"/>
      <c r="AE526" s="39"/>
      <c r="AF526" s="274"/>
      <c r="AG526" s="274"/>
      <c r="AH526" s="173"/>
      <c r="AI526" s="4"/>
      <c r="AJ526" s="39"/>
      <c r="AK526" s="39"/>
      <c r="AL526" s="118"/>
      <c r="AM526" s="152"/>
      <c r="AN526" s="152"/>
      <c r="AO526" s="131"/>
      <c r="AP526" s="131"/>
      <c r="AQ526" s="39"/>
      <c r="AR526" s="274"/>
      <c r="AS526" s="274"/>
      <c r="AT526" s="274"/>
      <c r="AU526" s="39"/>
      <c r="AV526" s="39"/>
      <c r="AW526" s="39"/>
      <c r="AX526" s="274"/>
      <c r="AY526" s="274"/>
      <c r="AZ526" s="274"/>
      <c r="BA526" s="39"/>
      <c r="BB526" s="62"/>
      <c r="BC526" s="39"/>
      <c r="BD526" s="274"/>
      <c r="BE526" s="274"/>
      <c r="BF526" s="274"/>
      <c r="BG526" s="39"/>
      <c r="BH526" s="39"/>
      <c r="BI526" s="39"/>
      <c r="BJ526" s="274">
        <v>118300</v>
      </c>
      <c r="BK526" s="274">
        <f t="shared" si="182"/>
        <v>22477</v>
      </c>
      <c r="BL526" s="274">
        <f t="shared" si="183"/>
        <v>140777</v>
      </c>
      <c r="BM526" s="213" t="s">
        <v>196</v>
      </c>
      <c r="BN526" s="213" t="s">
        <v>2925</v>
      </c>
      <c r="BO526" s="39"/>
      <c r="BP526" s="274"/>
      <c r="BQ526" s="274"/>
      <c r="BR526" s="274"/>
      <c r="BS526" s="39"/>
      <c r="BT526" s="39"/>
      <c r="BU526" s="39"/>
      <c r="BV526" s="219">
        <v>135445.92880000002</v>
      </c>
      <c r="BW526" s="219">
        <f t="shared" si="184"/>
        <v>25734.726472000006</v>
      </c>
      <c r="BX526" s="273">
        <f t="shared" si="185"/>
        <v>161180.65527200003</v>
      </c>
      <c r="BY526" s="213" t="s">
        <v>196</v>
      </c>
      <c r="BZ526" s="213" t="s">
        <v>2925</v>
      </c>
      <c r="CA526" s="213"/>
      <c r="CB526" s="274"/>
      <c r="CC526" s="274"/>
      <c r="CD526" s="274"/>
      <c r="CE526" s="39"/>
      <c r="CF526" s="39"/>
      <c r="CG526" s="39"/>
      <c r="CH526" s="274"/>
      <c r="CI526" s="274"/>
      <c r="CJ526" s="274"/>
      <c r="CK526" s="39"/>
      <c r="CL526" s="39"/>
      <c r="CM526" s="39"/>
      <c r="CN526" s="39"/>
      <c r="CO526" s="39"/>
      <c r="CP526" s="11"/>
      <c r="CQ526" s="11"/>
      <c r="CR526" s="11"/>
      <c r="CS526" s="11"/>
      <c r="CT526" s="11"/>
      <c r="CU526" s="11"/>
      <c r="CV526" s="11"/>
      <c r="CW526" s="11"/>
      <c r="CX526" s="11"/>
      <c r="CY526" s="11"/>
      <c r="CZ526" s="11"/>
      <c r="DA526" s="11"/>
      <c r="DB526" s="11"/>
      <c r="DC526" s="11"/>
      <c r="DD526" s="11"/>
      <c r="DE526" s="11"/>
      <c r="DF526" s="11"/>
      <c r="DG526" s="11"/>
      <c r="DH526" s="11"/>
      <c r="DI526" s="11"/>
      <c r="DJ526" s="11"/>
      <c r="DK526" s="11"/>
      <c r="DL526" s="274"/>
      <c r="DM526" s="274"/>
      <c r="DN526" s="274"/>
      <c r="DO526" s="274"/>
      <c r="DP526" s="274"/>
      <c r="DQ526" s="274"/>
      <c r="DR526" s="274"/>
      <c r="DS526" s="274"/>
      <c r="DT526" s="274"/>
      <c r="DU526" s="274"/>
      <c r="DV526" s="274"/>
      <c r="DW526" s="274"/>
      <c r="DX526" s="274"/>
      <c r="DY526" s="274"/>
      <c r="DZ526" s="274"/>
      <c r="EA526" s="274"/>
      <c r="EB526" s="274"/>
      <c r="EC526" s="274"/>
      <c r="ED526" s="39">
        <f t="shared" si="177"/>
        <v>375505.60527200007</v>
      </c>
      <c r="EE526" s="30">
        <f t="shared" si="178"/>
        <v>4</v>
      </c>
      <c r="EF526" s="39">
        <f t="shared" si="179"/>
        <v>93876.401318000018</v>
      </c>
    </row>
    <row r="527" spans="1:136" x14ac:dyDescent="0.25">
      <c r="A527" s="25" t="e">
        <f>#REF!</f>
        <v>#REF!</v>
      </c>
      <c r="B527" s="50" t="e">
        <f>#REF!</f>
        <v>#REF!</v>
      </c>
      <c r="C527" s="5" t="e">
        <f>#REF!</f>
        <v>#REF!</v>
      </c>
      <c r="D527" s="5" t="e">
        <f>#REF!</f>
        <v>#REF!</v>
      </c>
      <c r="E527" s="252">
        <v>1</v>
      </c>
      <c r="F527" s="249">
        <v>312018</v>
      </c>
      <c r="G527" s="249">
        <v>307258</v>
      </c>
      <c r="H527" s="249">
        <v>312928.84980000003</v>
      </c>
      <c r="I527" s="249">
        <v>0</v>
      </c>
      <c r="J527" s="249">
        <v>466328.87000000005</v>
      </c>
      <c r="K527" s="249">
        <v>462910</v>
      </c>
      <c r="L527" s="274">
        <f t="shared" ref="L527:L532" si="186">AVERAGE(F527,H527,J527)</f>
        <v>363758.57326666667</v>
      </c>
      <c r="M527" s="274">
        <f>AVERAGE(G527,K527)*E1</f>
        <v>396636.52</v>
      </c>
      <c r="N527" s="255"/>
      <c r="O527" s="135"/>
      <c r="P527" s="135"/>
      <c r="Q527" s="131"/>
      <c r="R527" s="131"/>
      <c r="S527" s="11"/>
      <c r="T527" s="274"/>
      <c r="U527" s="274"/>
      <c r="V527" s="274"/>
      <c r="W527" s="39"/>
      <c r="X527" s="11"/>
      <c r="Y527" s="11"/>
      <c r="Z527" s="274"/>
      <c r="AA527" s="274"/>
      <c r="AB527" s="274"/>
      <c r="AC527" s="4"/>
      <c r="AD527" s="22"/>
      <c r="AE527" s="39"/>
      <c r="AF527" s="274"/>
      <c r="AG527" s="274"/>
      <c r="AH527" s="173"/>
      <c r="AI527" s="4"/>
      <c r="AJ527" s="39"/>
      <c r="AK527" s="39"/>
      <c r="AL527" s="118"/>
      <c r="AM527" s="152"/>
      <c r="AN527" s="181"/>
      <c r="AO527" s="131"/>
      <c r="AP527" s="131"/>
      <c r="AQ527" s="39"/>
      <c r="AR527" s="274"/>
      <c r="AS527" s="274"/>
      <c r="AT527" s="274"/>
      <c r="AU527" s="39"/>
      <c r="AV527" s="39"/>
      <c r="AW527" s="39"/>
      <c r="AX527" s="274"/>
      <c r="AY527" s="274"/>
      <c r="AZ527" s="274"/>
      <c r="BA527" s="39"/>
      <c r="BB527" s="62"/>
      <c r="BC527" s="39"/>
      <c r="BD527" s="274"/>
      <c r="BE527" s="274"/>
      <c r="BF527" s="274"/>
      <c r="BG527" s="39"/>
      <c r="BH527" s="39"/>
      <c r="BI527" s="39"/>
      <c r="BJ527" s="274">
        <v>652700</v>
      </c>
      <c r="BK527" s="274">
        <f t="shared" si="182"/>
        <v>124013</v>
      </c>
      <c r="BL527" s="274">
        <f t="shared" si="183"/>
        <v>776713</v>
      </c>
      <c r="BM527" s="213" t="s">
        <v>4792</v>
      </c>
      <c r="BN527" s="213" t="s">
        <v>338</v>
      </c>
      <c r="BO527" s="39"/>
      <c r="BP527" s="274"/>
      <c r="BQ527" s="274"/>
      <c r="BR527" s="274"/>
      <c r="BS527" s="39"/>
      <c r="BT527" s="39"/>
      <c r="BU527" s="39"/>
      <c r="BV527" s="219">
        <v>762777.85499999998</v>
      </c>
      <c r="BW527" s="219">
        <f t="shared" si="184"/>
        <v>144927.79245000001</v>
      </c>
      <c r="BX527" s="273">
        <f t="shared" si="185"/>
        <v>907705.64745000005</v>
      </c>
      <c r="BY527" s="213" t="s">
        <v>4792</v>
      </c>
      <c r="BZ527" s="213" t="s">
        <v>338</v>
      </c>
      <c r="CA527" s="213"/>
      <c r="CB527" s="274"/>
      <c r="CC527" s="274"/>
      <c r="CD527" s="274"/>
      <c r="CE527" s="39"/>
      <c r="CF527" s="39"/>
      <c r="CG527" s="39"/>
      <c r="CH527" s="274"/>
      <c r="CI527" s="274"/>
      <c r="CJ527" s="274"/>
      <c r="CK527" s="39"/>
      <c r="CL527" s="39"/>
      <c r="CM527" s="39"/>
      <c r="CN527" s="39"/>
      <c r="CO527" s="39"/>
      <c r="CP527" s="11"/>
      <c r="CQ527" s="11"/>
      <c r="CR527" s="11"/>
      <c r="CS527" s="11"/>
      <c r="CT527" s="11"/>
      <c r="CU527" s="11"/>
      <c r="CV527" s="11"/>
      <c r="CW527" s="11"/>
      <c r="CX527" s="11"/>
      <c r="CY527" s="11"/>
      <c r="CZ527" s="11"/>
      <c r="DA527" s="11"/>
      <c r="DB527" s="11"/>
      <c r="DC527" s="11"/>
      <c r="DD527" s="11"/>
      <c r="DE527" s="11"/>
      <c r="DF527" s="11"/>
      <c r="DG527" s="11"/>
      <c r="DH527" s="11"/>
      <c r="DI527" s="11"/>
      <c r="DJ527" s="11"/>
      <c r="DK527" s="11"/>
      <c r="DL527" s="274"/>
      <c r="DM527" s="274"/>
      <c r="DN527" s="274"/>
      <c r="DO527" s="274"/>
      <c r="DP527" s="274"/>
      <c r="DQ527" s="274"/>
      <c r="DR527" s="274"/>
      <c r="DS527" s="274"/>
      <c r="DT527" s="274"/>
      <c r="DU527" s="274"/>
      <c r="DV527" s="274"/>
      <c r="DW527" s="274"/>
      <c r="DX527" s="274"/>
      <c r="DY527" s="274"/>
      <c r="DZ527" s="274"/>
      <c r="EA527" s="274"/>
      <c r="EB527" s="274"/>
      <c r="EC527" s="274"/>
      <c r="ED527" s="39">
        <f t="shared" si="177"/>
        <v>2081055.1674500001</v>
      </c>
      <c r="EE527" s="30">
        <f t="shared" si="178"/>
        <v>3</v>
      </c>
      <c r="EF527" s="39">
        <f t="shared" si="179"/>
        <v>693685.05581666669</v>
      </c>
    </row>
    <row r="528" spans="1:136" x14ac:dyDescent="0.25">
      <c r="A528" s="25" t="e">
        <f>#REF!</f>
        <v>#REF!</v>
      </c>
      <c r="B528" s="50" t="e">
        <f>#REF!</f>
        <v>#REF!</v>
      </c>
      <c r="C528" s="5" t="e">
        <f>#REF!</f>
        <v>#REF!</v>
      </c>
      <c r="D528" s="5" t="e">
        <f>#REF!</f>
        <v>#REF!</v>
      </c>
      <c r="E528" s="252">
        <v>1</v>
      </c>
      <c r="F528" s="249">
        <v>932047.66666666674</v>
      </c>
      <c r="G528" s="249">
        <v>899402</v>
      </c>
      <c r="H528" s="249">
        <v>256358.81316977428</v>
      </c>
      <c r="I528" s="249">
        <v>256207</v>
      </c>
      <c r="J528" s="249">
        <v>745886.05</v>
      </c>
      <c r="K528" s="249">
        <v>0</v>
      </c>
      <c r="L528" s="274">
        <f t="shared" si="186"/>
        <v>644764.17661214701</v>
      </c>
      <c r="M528" s="274">
        <f>AVERAGE(G528,I528)*E1</f>
        <v>595138.63500000001</v>
      </c>
      <c r="N528" s="255">
        <v>0</v>
      </c>
      <c r="O528" s="135"/>
      <c r="P528" s="135"/>
      <c r="Q528" s="131"/>
      <c r="R528" s="131"/>
      <c r="S528" s="11"/>
      <c r="T528" s="274">
        <v>66000</v>
      </c>
      <c r="U528" s="274">
        <f>+T528*0.19</f>
        <v>12540</v>
      </c>
      <c r="V528" s="274">
        <f>+T528+U528</f>
        <v>78540</v>
      </c>
      <c r="W528" s="39" t="s">
        <v>4942</v>
      </c>
      <c r="X528" s="11" t="s">
        <v>4842</v>
      </c>
      <c r="Y528" s="11"/>
      <c r="Z528" s="274"/>
      <c r="AA528" s="274"/>
      <c r="AB528" s="274"/>
      <c r="AC528" s="4"/>
      <c r="AD528" s="22"/>
      <c r="AE528" s="39"/>
      <c r="AF528" s="274"/>
      <c r="AG528" s="274"/>
      <c r="AH528" s="173"/>
      <c r="AI528" s="4"/>
      <c r="AJ528" s="39"/>
      <c r="AK528" s="39"/>
      <c r="AL528" s="118"/>
      <c r="AM528" s="152"/>
      <c r="AN528" s="181"/>
      <c r="AO528" s="131"/>
      <c r="AP528" s="131"/>
      <c r="AQ528" s="39"/>
      <c r="AR528" s="274"/>
      <c r="AS528" s="274"/>
      <c r="AT528" s="274"/>
      <c r="AU528" s="39"/>
      <c r="AV528" s="39"/>
      <c r="AW528" s="39"/>
      <c r="AX528" s="274"/>
      <c r="AY528" s="274"/>
      <c r="AZ528" s="274"/>
      <c r="BA528" s="39"/>
      <c r="BB528" s="62"/>
      <c r="BC528" s="39"/>
      <c r="BD528" s="274"/>
      <c r="BE528" s="274"/>
      <c r="BF528" s="274"/>
      <c r="BG528" s="39"/>
      <c r="BH528" s="39"/>
      <c r="BI528" s="39"/>
      <c r="BJ528" s="274">
        <v>1998500</v>
      </c>
      <c r="BK528" s="274">
        <f t="shared" si="182"/>
        <v>379715</v>
      </c>
      <c r="BL528" s="274">
        <f t="shared" si="183"/>
        <v>2378215</v>
      </c>
      <c r="BM528" s="213" t="s">
        <v>4754</v>
      </c>
      <c r="BN528" s="213" t="s">
        <v>3166</v>
      </c>
      <c r="BO528" s="39"/>
      <c r="BP528" s="274"/>
      <c r="BQ528" s="274"/>
      <c r="BR528" s="274"/>
      <c r="BS528" s="39"/>
      <c r="BT528" s="39"/>
      <c r="BU528" s="39"/>
      <c r="BV528" s="219">
        <v>2247209.3280000002</v>
      </c>
      <c r="BW528" s="219">
        <f t="shared" si="184"/>
        <v>426969.77232000005</v>
      </c>
      <c r="BX528" s="273">
        <f t="shared" si="185"/>
        <v>2674179.1003200002</v>
      </c>
      <c r="BY528" s="213" t="s">
        <v>4754</v>
      </c>
      <c r="BZ528" s="213" t="s">
        <v>3166</v>
      </c>
      <c r="CA528" s="213"/>
      <c r="CB528" s="274"/>
      <c r="CC528" s="274"/>
      <c r="CD528" s="274"/>
      <c r="CE528" s="39"/>
      <c r="CF528" s="39"/>
      <c r="CG528" s="39"/>
      <c r="CH528" s="274"/>
      <c r="CI528" s="274"/>
      <c r="CJ528" s="274"/>
      <c r="CK528" s="39"/>
      <c r="CL528" s="39"/>
      <c r="CM528" s="39"/>
      <c r="CN528" s="39"/>
      <c r="CO528" s="39"/>
      <c r="CP528" s="11"/>
      <c r="CQ528" s="11"/>
      <c r="CR528" s="11"/>
      <c r="CS528" s="11"/>
      <c r="CT528" s="11"/>
      <c r="CU528" s="11"/>
      <c r="CV528" s="11"/>
      <c r="CW528" s="11"/>
      <c r="CX528" s="11"/>
      <c r="CY528" s="11"/>
      <c r="CZ528" s="11"/>
      <c r="DA528" s="11"/>
      <c r="DB528" s="11"/>
      <c r="DC528" s="11"/>
      <c r="DD528" s="11"/>
      <c r="DE528" s="11"/>
      <c r="DF528" s="11"/>
      <c r="DG528" s="11"/>
      <c r="DH528" s="11"/>
      <c r="DI528" s="11"/>
      <c r="DJ528" s="11"/>
      <c r="DK528" s="11"/>
      <c r="DL528" s="274"/>
      <c r="DM528" s="274"/>
      <c r="DN528" s="274"/>
      <c r="DO528" s="274"/>
      <c r="DP528" s="274"/>
      <c r="DQ528" s="274"/>
      <c r="DR528" s="274"/>
      <c r="DS528" s="274"/>
      <c r="DT528" s="274"/>
      <c r="DU528" s="274"/>
      <c r="DV528" s="274"/>
      <c r="DW528" s="274"/>
      <c r="DX528" s="274"/>
      <c r="DY528" s="274"/>
      <c r="DZ528" s="274"/>
      <c r="EA528" s="274"/>
      <c r="EB528" s="274"/>
      <c r="EC528" s="274"/>
      <c r="ED528" s="39">
        <f t="shared" si="177"/>
        <v>5726072.73532</v>
      </c>
      <c r="EE528" s="30">
        <f t="shared" si="178"/>
        <v>5</v>
      </c>
      <c r="EF528" s="39">
        <f t="shared" si="179"/>
        <v>1145214.547064</v>
      </c>
    </row>
    <row r="529" spans="1:136" x14ac:dyDescent="0.25">
      <c r="A529" s="25" t="e">
        <f>#REF!</f>
        <v>#REF!</v>
      </c>
      <c r="B529" s="50" t="e">
        <f>#REF!</f>
        <v>#REF!</v>
      </c>
      <c r="C529" s="5" t="e">
        <f>#REF!</f>
        <v>#REF!</v>
      </c>
      <c r="D529" s="5" t="e">
        <f>#REF!</f>
        <v>#REF!</v>
      </c>
      <c r="E529" s="252">
        <v>1</v>
      </c>
      <c r="F529" s="249">
        <v>89250</v>
      </c>
      <c r="G529" s="249">
        <v>87822</v>
      </c>
      <c r="H529" s="249">
        <v>105898.49666666666</v>
      </c>
      <c r="I529" s="249">
        <v>105791</v>
      </c>
      <c r="J529" s="249">
        <v>113609.93466666667</v>
      </c>
      <c r="K529" s="249">
        <v>0</v>
      </c>
      <c r="L529" s="274">
        <f t="shared" si="186"/>
        <v>102919.4771111111</v>
      </c>
      <c r="M529" s="274">
        <f>AVERAGE(G529,I529)*E1</f>
        <v>99710.695000000007</v>
      </c>
      <c r="N529" s="255">
        <v>65000</v>
      </c>
      <c r="O529" s="135">
        <f>+N529*0.19</f>
        <v>12350</v>
      </c>
      <c r="P529" s="135">
        <f>+N529+O529</f>
        <v>77350</v>
      </c>
      <c r="Q529" s="131"/>
      <c r="R529" s="131"/>
      <c r="S529" s="11"/>
      <c r="T529" s="274">
        <v>66000</v>
      </c>
      <c r="U529" s="274">
        <f>+T529*0.19</f>
        <v>12540</v>
      </c>
      <c r="V529" s="274">
        <f>+T529+U529</f>
        <v>78540</v>
      </c>
      <c r="W529" s="39" t="s">
        <v>4942</v>
      </c>
      <c r="X529" s="11" t="s">
        <v>4842</v>
      </c>
      <c r="Y529" s="11"/>
      <c r="Z529" s="274"/>
      <c r="AA529" s="274"/>
      <c r="AB529" s="274"/>
      <c r="AC529" s="4"/>
      <c r="AD529" s="22"/>
      <c r="AE529" s="39"/>
      <c r="AF529" s="274"/>
      <c r="AG529" s="274"/>
      <c r="AH529" s="173"/>
      <c r="AI529" s="22"/>
      <c r="AJ529" s="39"/>
      <c r="AK529" s="39"/>
      <c r="AL529" s="118"/>
      <c r="AM529" s="152"/>
      <c r="AN529" s="181"/>
      <c r="AO529" s="131"/>
      <c r="AP529" s="131"/>
      <c r="AQ529" s="39"/>
      <c r="AR529" s="274"/>
      <c r="AS529" s="274"/>
      <c r="AT529" s="274"/>
      <c r="AU529" s="39"/>
      <c r="AV529" s="39"/>
      <c r="AW529" s="39"/>
      <c r="AX529" s="274"/>
      <c r="AY529" s="274"/>
      <c r="AZ529" s="274"/>
      <c r="BA529" s="39"/>
      <c r="BB529" s="62"/>
      <c r="BC529" s="39"/>
      <c r="BD529" s="274"/>
      <c r="BE529" s="274"/>
      <c r="BF529" s="274"/>
      <c r="BG529" s="39"/>
      <c r="BH529" s="39"/>
      <c r="BI529" s="39"/>
      <c r="BJ529" s="274">
        <v>206300</v>
      </c>
      <c r="BK529" s="274">
        <f t="shared" si="182"/>
        <v>39197</v>
      </c>
      <c r="BL529" s="274">
        <f t="shared" si="183"/>
        <v>245497</v>
      </c>
      <c r="BM529" s="213" t="s">
        <v>4754</v>
      </c>
      <c r="BN529" s="213" t="s">
        <v>338</v>
      </c>
      <c r="BO529" s="39"/>
      <c r="BP529" s="274"/>
      <c r="BQ529" s="274"/>
      <c r="BR529" s="274"/>
      <c r="BS529" s="39"/>
      <c r="BT529" s="39"/>
      <c r="BU529" s="39"/>
      <c r="BV529" s="219">
        <v>231995.4902</v>
      </c>
      <c r="BW529" s="219">
        <f t="shared" si="184"/>
        <v>44079.143137999999</v>
      </c>
      <c r="BX529" s="273">
        <f t="shared" si="185"/>
        <v>276074.63333799999</v>
      </c>
      <c r="BY529" s="213" t="s">
        <v>4754</v>
      </c>
      <c r="BZ529" s="213" t="s">
        <v>338</v>
      </c>
      <c r="CA529" s="213"/>
      <c r="CB529" s="274"/>
      <c r="CC529" s="274"/>
      <c r="CD529" s="274"/>
      <c r="CE529" s="39"/>
      <c r="CF529" s="39"/>
      <c r="CG529" s="39"/>
      <c r="CH529" s="274"/>
      <c r="CI529" s="274"/>
      <c r="CJ529" s="274"/>
      <c r="CK529" s="39"/>
      <c r="CL529" s="39"/>
      <c r="CM529" s="39"/>
      <c r="CN529" s="39"/>
      <c r="CO529" s="39"/>
      <c r="CP529" s="11"/>
      <c r="CQ529" s="11"/>
      <c r="CR529" s="11"/>
      <c r="CS529" s="11"/>
      <c r="CT529" s="11"/>
      <c r="CU529" s="11"/>
      <c r="CV529" s="11"/>
      <c r="CW529" s="11"/>
      <c r="CX529" s="11"/>
      <c r="CY529" s="11"/>
      <c r="CZ529" s="11"/>
      <c r="DA529" s="11"/>
      <c r="DB529" s="11"/>
      <c r="DC529" s="11"/>
      <c r="DD529" s="11"/>
      <c r="DE529" s="11"/>
      <c r="DF529" s="11"/>
      <c r="DG529" s="11"/>
      <c r="DH529" s="11"/>
      <c r="DI529" s="11"/>
      <c r="DJ529" s="11"/>
      <c r="DK529" s="11"/>
      <c r="DL529" s="274"/>
      <c r="DM529" s="274"/>
      <c r="DN529" s="274"/>
      <c r="DO529" s="274"/>
      <c r="DP529" s="274"/>
      <c r="DQ529" s="274"/>
      <c r="DR529" s="274"/>
      <c r="DS529" s="274"/>
      <c r="DT529" s="274"/>
      <c r="DU529" s="274"/>
      <c r="DV529" s="274"/>
      <c r="DW529" s="274"/>
      <c r="DX529" s="274"/>
      <c r="DY529" s="274"/>
      <c r="DZ529" s="274"/>
      <c r="EA529" s="274"/>
      <c r="EB529" s="274"/>
      <c r="EC529" s="274"/>
      <c r="ED529" s="39">
        <f t="shared" si="177"/>
        <v>777172.32833799999</v>
      </c>
      <c r="EE529" s="30">
        <f t="shared" si="178"/>
        <v>5</v>
      </c>
      <c r="EF529" s="39">
        <f t="shared" si="179"/>
        <v>155434.46566759999</v>
      </c>
    </row>
    <row r="530" spans="1:136" ht="63.75" x14ac:dyDescent="0.25">
      <c r="A530" s="25" t="e">
        <f>#REF!</f>
        <v>#REF!</v>
      </c>
      <c r="B530" s="50" t="e">
        <f>#REF!</f>
        <v>#REF!</v>
      </c>
      <c r="C530" s="5" t="e">
        <f>#REF!</f>
        <v>#REF!</v>
      </c>
      <c r="D530" s="5" t="e">
        <f>#REF!</f>
        <v>#REF!</v>
      </c>
      <c r="E530" s="252">
        <v>1</v>
      </c>
      <c r="F530" s="249">
        <v>399310.45</v>
      </c>
      <c r="G530" s="249">
        <v>393295</v>
      </c>
      <c r="H530" s="249">
        <v>233210.25</v>
      </c>
      <c r="I530" s="249">
        <v>0</v>
      </c>
      <c r="J530" s="249">
        <v>347589.36076653685</v>
      </c>
      <c r="K530" s="249">
        <v>0</v>
      </c>
      <c r="L530" s="274">
        <f t="shared" si="186"/>
        <v>326703.35358884558</v>
      </c>
      <c r="M530" s="274">
        <f>G530*E1</f>
        <v>405093.85000000003</v>
      </c>
      <c r="N530" s="255">
        <v>400000</v>
      </c>
      <c r="O530" s="135">
        <f>+N530*0.19</f>
        <v>76000</v>
      </c>
      <c r="P530" s="135">
        <f>+N530+O530</f>
        <v>476000</v>
      </c>
      <c r="Q530" s="131"/>
      <c r="R530" s="131"/>
      <c r="S530" s="11"/>
      <c r="T530" s="274"/>
      <c r="U530" s="274"/>
      <c r="V530" s="274"/>
      <c r="W530" s="39"/>
      <c r="X530" s="11"/>
      <c r="Y530" s="11"/>
      <c r="Z530" s="274"/>
      <c r="AA530" s="274"/>
      <c r="AB530" s="274"/>
      <c r="AC530" s="4"/>
      <c r="AD530" s="22"/>
      <c r="AE530" s="39"/>
      <c r="AF530" s="274"/>
      <c r="AG530" s="274"/>
      <c r="AH530" s="173"/>
      <c r="AI530" s="4"/>
      <c r="AJ530" s="39"/>
      <c r="AK530" s="39"/>
      <c r="AL530" s="118"/>
      <c r="AM530" s="152"/>
      <c r="AN530" s="181"/>
      <c r="AO530" s="131"/>
      <c r="AP530" s="131"/>
      <c r="AQ530" s="39"/>
      <c r="AR530" s="274"/>
      <c r="AS530" s="274"/>
      <c r="AT530" s="274"/>
      <c r="AU530" s="39"/>
      <c r="AV530" s="39"/>
      <c r="AW530" s="39"/>
      <c r="AX530" s="274"/>
      <c r="AY530" s="274"/>
      <c r="AZ530" s="274"/>
      <c r="BA530" s="39"/>
      <c r="BB530" s="62"/>
      <c r="BC530" s="39"/>
      <c r="BD530" s="118">
        <v>248583</v>
      </c>
      <c r="BE530" s="274">
        <f>+BD530*0.19</f>
        <v>47230.770000000004</v>
      </c>
      <c r="BF530" s="274">
        <f>+BD530+BE530</f>
        <v>295813.77</v>
      </c>
      <c r="BG530" s="25" t="s">
        <v>4943</v>
      </c>
      <c r="BH530" s="5" t="s">
        <v>4944</v>
      </c>
      <c r="BI530" s="5" t="s">
        <v>4945</v>
      </c>
      <c r="BJ530" s="274">
        <v>561800</v>
      </c>
      <c r="BK530" s="274">
        <f t="shared" si="182"/>
        <v>106742</v>
      </c>
      <c r="BL530" s="274">
        <f t="shared" si="183"/>
        <v>668542</v>
      </c>
      <c r="BM530" s="213" t="s">
        <v>4757</v>
      </c>
      <c r="BN530" s="213" t="s">
        <v>338</v>
      </c>
      <c r="BO530" s="39"/>
      <c r="BP530" s="274">
        <v>385000</v>
      </c>
      <c r="BQ530" s="274">
        <f>+BP530*19%</f>
        <v>73150</v>
      </c>
      <c r="BR530" s="274">
        <f>+BQ530+BP530</f>
        <v>458150</v>
      </c>
      <c r="BS530" s="39"/>
      <c r="BT530" s="39"/>
      <c r="BU530" s="39"/>
      <c r="BV530" s="219">
        <v>625411.49040000001</v>
      </c>
      <c r="BW530" s="219">
        <f t="shared" si="184"/>
        <v>118828.18317600001</v>
      </c>
      <c r="BX530" s="273">
        <f t="shared" si="185"/>
        <v>744239.67357600003</v>
      </c>
      <c r="BY530" s="213" t="s">
        <v>4757</v>
      </c>
      <c r="BZ530" s="213" t="s">
        <v>338</v>
      </c>
      <c r="CA530" s="213"/>
      <c r="CB530" s="274"/>
      <c r="CC530" s="274"/>
      <c r="CD530" s="274"/>
      <c r="CE530" s="39"/>
      <c r="CF530" s="39"/>
      <c r="CG530" s="39"/>
      <c r="CH530" s="274"/>
      <c r="CI530" s="274"/>
      <c r="CJ530" s="274"/>
      <c r="CK530" s="39"/>
      <c r="CL530" s="39"/>
      <c r="CM530" s="39"/>
      <c r="CN530" s="39"/>
      <c r="CO530" s="39"/>
      <c r="CP530" s="11"/>
      <c r="CQ530" s="11"/>
      <c r="CR530" s="11"/>
      <c r="CS530" s="11"/>
      <c r="CT530" s="11"/>
      <c r="CU530" s="11"/>
      <c r="CV530" s="11"/>
      <c r="CW530" s="11"/>
      <c r="CX530" s="11"/>
      <c r="CY530" s="11"/>
      <c r="CZ530" s="11"/>
      <c r="DA530" s="11"/>
      <c r="DB530" s="11"/>
      <c r="DC530" s="11"/>
      <c r="DD530" s="11"/>
      <c r="DE530" s="11"/>
      <c r="DF530" s="11"/>
      <c r="DG530" s="11"/>
      <c r="DH530" s="11"/>
      <c r="DI530" s="11"/>
      <c r="DJ530" s="11"/>
      <c r="DK530" s="11"/>
      <c r="DL530" s="274"/>
      <c r="DM530" s="274"/>
      <c r="DN530" s="274"/>
      <c r="DO530" s="274"/>
      <c r="DP530" s="274"/>
      <c r="DQ530" s="274"/>
      <c r="DR530" s="274"/>
      <c r="DS530" s="274"/>
      <c r="DT530" s="274"/>
      <c r="DU530" s="274"/>
      <c r="DV530" s="274"/>
      <c r="DW530" s="274"/>
      <c r="DX530" s="274"/>
      <c r="DY530" s="274"/>
      <c r="DZ530" s="274"/>
      <c r="EA530" s="274"/>
      <c r="EB530" s="274"/>
      <c r="EC530" s="274"/>
      <c r="ED530" s="39">
        <f t="shared" si="177"/>
        <v>3047839.2935760003</v>
      </c>
      <c r="EE530" s="30">
        <f t="shared" si="178"/>
        <v>6</v>
      </c>
      <c r="EF530" s="39">
        <f t="shared" si="179"/>
        <v>507973.21559600002</v>
      </c>
    </row>
    <row r="531" spans="1:136" ht="63.75" x14ac:dyDescent="0.25">
      <c r="A531" s="25" t="e">
        <f>#REF!</f>
        <v>#REF!</v>
      </c>
      <c r="B531" s="50" t="e">
        <f>#REF!</f>
        <v>#REF!</v>
      </c>
      <c r="C531" s="5" t="e">
        <f>#REF!</f>
        <v>#REF!</v>
      </c>
      <c r="D531" s="5" t="e">
        <f>#REF!</f>
        <v>#REF!</v>
      </c>
      <c r="E531" s="252">
        <v>1</v>
      </c>
      <c r="F531" s="249">
        <v>537919.66666666663</v>
      </c>
      <c r="G531" s="249">
        <v>524433</v>
      </c>
      <c r="H531" s="249">
        <v>208607</v>
      </c>
      <c r="I531" s="249">
        <v>0</v>
      </c>
      <c r="J531" s="249">
        <v>380945.07962582051</v>
      </c>
      <c r="K531" s="249">
        <v>0</v>
      </c>
      <c r="L531" s="274">
        <f t="shared" si="186"/>
        <v>375823.9154308291</v>
      </c>
      <c r="M531" s="274">
        <f>G531*E1</f>
        <v>540165.99</v>
      </c>
      <c r="N531" s="255">
        <v>500000</v>
      </c>
      <c r="O531" s="135">
        <f>+N531*0.19</f>
        <v>95000</v>
      </c>
      <c r="P531" s="135">
        <f>+N531+O531</f>
        <v>595000</v>
      </c>
      <c r="Q531" s="131"/>
      <c r="R531" s="131"/>
      <c r="S531" s="11"/>
      <c r="T531" s="274"/>
      <c r="U531" s="274"/>
      <c r="V531" s="274"/>
      <c r="W531" s="39"/>
      <c r="X531" s="11"/>
      <c r="Y531" s="11"/>
      <c r="Z531" s="274"/>
      <c r="AA531" s="274"/>
      <c r="AB531" s="274"/>
      <c r="AC531" s="52"/>
      <c r="AD531" s="22"/>
      <c r="AE531" s="39"/>
      <c r="AF531" s="274"/>
      <c r="AG531" s="274"/>
      <c r="AH531" s="171"/>
      <c r="AI531" s="4"/>
      <c r="AJ531" s="39"/>
      <c r="AK531" s="39"/>
      <c r="AL531" s="118"/>
      <c r="AM531" s="152"/>
      <c r="AN531" s="181"/>
      <c r="AO531" s="131"/>
      <c r="AP531" s="131"/>
      <c r="AQ531" s="39"/>
      <c r="AR531" s="274"/>
      <c r="AS531" s="274"/>
      <c r="AT531" s="274"/>
      <c r="AU531" s="39"/>
      <c r="AV531" s="39"/>
      <c r="AW531" s="39"/>
      <c r="AX531" s="274"/>
      <c r="AY531" s="274"/>
      <c r="AZ531" s="274"/>
      <c r="BA531" s="39"/>
      <c r="BB531" s="62"/>
      <c r="BC531" s="39"/>
      <c r="BD531" s="118">
        <f>+(320318/150)*200</f>
        <v>427090.66666666669</v>
      </c>
      <c r="BE531" s="274">
        <f>+BD531*0.19</f>
        <v>81147.226666666669</v>
      </c>
      <c r="BF531" s="274">
        <f>+BD531+BE531</f>
        <v>508237.89333333337</v>
      </c>
      <c r="BG531" s="25" t="s">
        <v>3876</v>
      </c>
      <c r="BH531" s="5" t="s">
        <v>4946</v>
      </c>
      <c r="BI531" s="5" t="s">
        <v>4947</v>
      </c>
      <c r="BJ531" s="274">
        <v>2875300</v>
      </c>
      <c r="BK531" s="274">
        <f t="shared" si="182"/>
        <v>546307</v>
      </c>
      <c r="BL531" s="274">
        <f t="shared" si="183"/>
        <v>3421607</v>
      </c>
      <c r="BM531" s="213" t="s">
        <v>4757</v>
      </c>
      <c r="BN531" s="213" t="s">
        <v>338</v>
      </c>
      <c r="BO531" s="39"/>
      <c r="BP531" s="274">
        <v>395000</v>
      </c>
      <c r="BQ531" s="274">
        <f>+BP531*19%</f>
        <v>75050</v>
      </c>
      <c r="BR531" s="274">
        <f>+BQ531+BP531</f>
        <v>470050</v>
      </c>
      <c r="BS531" s="39"/>
      <c r="BT531" s="39"/>
      <c r="BU531" s="39"/>
      <c r="BV531" s="219">
        <v>3171829.6890000002</v>
      </c>
      <c r="BW531" s="219">
        <f t="shared" si="184"/>
        <v>602647.64091000007</v>
      </c>
      <c r="BX531" s="273">
        <f t="shared" si="185"/>
        <v>3774477.3299100003</v>
      </c>
      <c r="BY531" s="213" t="s">
        <v>4757</v>
      </c>
      <c r="BZ531" s="213" t="s">
        <v>338</v>
      </c>
      <c r="CA531" s="213"/>
      <c r="CB531" s="274"/>
      <c r="CC531" s="274"/>
      <c r="CD531" s="274"/>
      <c r="CE531" s="39"/>
      <c r="CF531" s="39"/>
      <c r="CG531" s="39"/>
      <c r="CH531" s="274"/>
      <c r="CI531" s="274"/>
      <c r="CJ531" s="274"/>
      <c r="CK531" s="39"/>
      <c r="CL531" s="39"/>
      <c r="CM531" s="39"/>
      <c r="CN531" s="39"/>
      <c r="CO531" s="39"/>
      <c r="CP531" s="11"/>
      <c r="CQ531" s="11"/>
      <c r="CR531" s="11"/>
      <c r="CS531" s="11"/>
      <c r="CT531" s="11"/>
      <c r="CU531" s="11"/>
      <c r="CV531" s="11"/>
      <c r="CW531" s="11"/>
      <c r="CX531" s="11"/>
      <c r="CY531" s="11"/>
      <c r="CZ531" s="11"/>
      <c r="DA531" s="11"/>
      <c r="DB531" s="11"/>
      <c r="DC531" s="11"/>
      <c r="DD531" s="11"/>
      <c r="DE531" s="11"/>
      <c r="DF531" s="11"/>
      <c r="DG531" s="11"/>
      <c r="DH531" s="11"/>
      <c r="DI531" s="11"/>
      <c r="DJ531" s="11"/>
      <c r="DK531" s="11"/>
      <c r="DL531" s="274"/>
      <c r="DM531" s="274"/>
      <c r="DN531" s="274"/>
      <c r="DO531" s="274"/>
      <c r="DP531" s="274"/>
      <c r="DQ531" s="274"/>
      <c r="DR531" s="274"/>
      <c r="DS531" s="274"/>
      <c r="DT531" s="274"/>
      <c r="DU531" s="274"/>
      <c r="DV531" s="274"/>
      <c r="DW531" s="274"/>
      <c r="DX531" s="274"/>
      <c r="DY531" s="274"/>
      <c r="DZ531" s="274"/>
      <c r="EA531" s="274"/>
      <c r="EB531" s="274"/>
      <c r="EC531" s="274"/>
      <c r="ED531" s="39">
        <f t="shared" si="177"/>
        <v>9309538.2132433336</v>
      </c>
      <c r="EE531" s="30">
        <f t="shared" si="178"/>
        <v>6</v>
      </c>
      <c r="EF531" s="39">
        <f t="shared" si="179"/>
        <v>1551589.7022072223</v>
      </c>
    </row>
    <row r="532" spans="1:136" ht="63.75" x14ac:dyDescent="0.25">
      <c r="A532" s="25" t="e">
        <f>#REF!</f>
        <v>#REF!</v>
      </c>
      <c r="B532" s="50" t="e">
        <f>#REF!</f>
        <v>#REF!</v>
      </c>
      <c r="C532" s="5" t="e">
        <f>#REF!</f>
        <v>#REF!</v>
      </c>
      <c r="D532" s="5" t="e">
        <f>#REF!</f>
        <v>#REF!</v>
      </c>
      <c r="E532" s="252">
        <v>1</v>
      </c>
      <c r="F532" s="249">
        <v>341173</v>
      </c>
      <c r="G532" s="249">
        <v>335937</v>
      </c>
      <c r="H532" s="249">
        <v>205156</v>
      </c>
      <c r="I532" s="249">
        <v>0</v>
      </c>
      <c r="J532" s="249">
        <v>389146.03367219388</v>
      </c>
      <c r="K532" s="249">
        <v>0</v>
      </c>
      <c r="L532" s="274">
        <f t="shared" si="186"/>
        <v>311825.01122406463</v>
      </c>
      <c r="M532" s="274">
        <f>G532*E1</f>
        <v>346015.11</v>
      </c>
      <c r="N532" s="255">
        <v>350000</v>
      </c>
      <c r="O532" s="135">
        <f>+N532*0.19</f>
        <v>66500</v>
      </c>
      <c r="P532" s="135">
        <f>+N532+O532</f>
        <v>416500</v>
      </c>
      <c r="Q532" s="131"/>
      <c r="R532" s="131"/>
      <c r="S532" s="11"/>
      <c r="T532" s="274"/>
      <c r="U532" s="274"/>
      <c r="V532" s="274"/>
      <c r="W532" s="39"/>
      <c r="X532" s="11"/>
      <c r="Y532" s="11"/>
      <c r="Z532" s="274"/>
      <c r="AA532" s="274"/>
      <c r="AB532" s="274"/>
      <c r="AC532" s="5"/>
      <c r="AD532" s="22"/>
      <c r="AE532" s="39"/>
      <c r="AF532" s="274"/>
      <c r="AG532" s="274"/>
      <c r="AH532" s="169"/>
      <c r="AI532" s="22"/>
      <c r="AJ532" s="39"/>
      <c r="AK532" s="39"/>
      <c r="AL532" s="118"/>
      <c r="AM532" s="152"/>
      <c r="AN532" s="181"/>
      <c r="AO532" s="131"/>
      <c r="AP532" s="131"/>
      <c r="AQ532" s="39"/>
      <c r="AR532" s="274"/>
      <c r="AS532" s="274"/>
      <c r="AT532" s="274"/>
      <c r="AU532" s="39"/>
      <c r="AV532" s="39"/>
      <c r="AW532" s="39"/>
      <c r="AX532" s="274"/>
      <c r="AY532" s="274"/>
      <c r="AZ532" s="274"/>
      <c r="BA532" s="39"/>
      <c r="BB532" s="62"/>
      <c r="BC532" s="39"/>
      <c r="BD532" s="118">
        <v>217988</v>
      </c>
      <c r="BE532" s="274">
        <f>+BD532*0.19</f>
        <v>41417.72</v>
      </c>
      <c r="BF532" s="274">
        <f>+BD532+BE532</f>
        <v>259405.72</v>
      </c>
      <c r="BG532" s="25" t="s">
        <v>4943</v>
      </c>
      <c r="BH532" s="5" t="s">
        <v>4948</v>
      </c>
      <c r="BI532" s="5" t="s">
        <v>4949</v>
      </c>
      <c r="BJ532" s="274">
        <v>558200</v>
      </c>
      <c r="BK532" s="274">
        <f t="shared" si="182"/>
        <v>106058</v>
      </c>
      <c r="BL532" s="274">
        <f t="shared" si="183"/>
        <v>664258</v>
      </c>
      <c r="BM532" s="213" t="s">
        <v>4757</v>
      </c>
      <c r="BN532" s="213" t="s">
        <v>338</v>
      </c>
      <c r="BO532" s="39"/>
      <c r="BP532" s="274">
        <v>396000</v>
      </c>
      <c r="BQ532" s="274">
        <f>+BP532*19%</f>
        <v>75240</v>
      </c>
      <c r="BR532" s="274">
        <f>+BQ532+BP532</f>
        <v>471240</v>
      </c>
      <c r="BS532" s="39"/>
      <c r="BT532" s="39"/>
      <c r="BU532" s="39"/>
      <c r="BV532" s="219">
        <v>592196.6128</v>
      </c>
      <c r="BW532" s="219">
        <f t="shared" si="184"/>
        <v>112517.356432</v>
      </c>
      <c r="BX532" s="273">
        <f t="shared" si="185"/>
        <v>704713.96923199994</v>
      </c>
      <c r="BY532" s="213" t="s">
        <v>4757</v>
      </c>
      <c r="BZ532" s="213" t="s">
        <v>338</v>
      </c>
      <c r="CA532" s="213"/>
      <c r="CB532" s="274"/>
      <c r="CC532" s="274"/>
      <c r="CD532" s="274"/>
      <c r="CE532" s="39"/>
      <c r="CF532" s="39"/>
      <c r="CG532" s="39"/>
      <c r="CH532" s="274"/>
      <c r="CI532" s="274"/>
      <c r="CJ532" s="274"/>
      <c r="CK532" s="39"/>
      <c r="CL532" s="39"/>
      <c r="CM532" s="39"/>
      <c r="CN532" s="39"/>
      <c r="CO532" s="39"/>
      <c r="CP532" s="11"/>
      <c r="CQ532" s="11"/>
      <c r="CR532" s="11"/>
      <c r="CS532" s="11"/>
      <c r="CT532" s="11"/>
      <c r="CU532" s="11"/>
      <c r="CV532" s="11"/>
      <c r="CW532" s="11"/>
      <c r="CX532" s="11"/>
      <c r="CY532" s="11"/>
      <c r="CZ532" s="11"/>
      <c r="DA532" s="11"/>
      <c r="DB532" s="11"/>
      <c r="DC532" s="11"/>
      <c r="DD532" s="11"/>
      <c r="DE532" s="11"/>
      <c r="DF532" s="11"/>
      <c r="DG532" s="11"/>
      <c r="DH532" s="11"/>
      <c r="DI532" s="11"/>
      <c r="DJ532" s="11"/>
      <c r="DK532" s="11"/>
      <c r="DL532" s="274"/>
      <c r="DM532" s="274"/>
      <c r="DN532" s="274"/>
      <c r="DO532" s="274"/>
      <c r="DP532" s="274"/>
      <c r="DQ532" s="274"/>
      <c r="DR532" s="274"/>
      <c r="DS532" s="274"/>
      <c r="DT532" s="274"/>
      <c r="DU532" s="274"/>
      <c r="DV532" s="274"/>
      <c r="DW532" s="274"/>
      <c r="DX532" s="274"/>
      <c r="DY532" s="274"/>
      <c r="DZ532" s="274"/>
      <c r="EA532" s="274"/>
      <c r="EB532" s="274"/>
      <c r="EC532" s="274"/>
      <c r="ED532" s="39">
        <f t="shared" si="177"/>
        <v>2862132.799232</v>
      </c>
      <c r="EE532" s="30">
        <f t="shared" si="178"/>
        <v>6</v>
      </c>
      <c r="EF532" s="39">
        <f t="shared" si="179"/>
        <v>477022.13320533332</v>
      </c>
    </row>
    <row r="533" spans="1:136" x14ac:dyDescent="0.25">
      <c r="A533" s="25" t="e">
        <f>#REF!</f>
        <v>#REF!</v>
      </c>
      <c r="B533" s="50" t="e">
        <f>#REF!</f>
        <v>#REF!</v>
      </c>
      <c r="C533" s="5" t="e">
        <f>#REF!</f>
        <v>#REF!</v>
      </c>
      <c r="D533" s="5" t="e">
        <f>#REF!</f>
        <v>#REF!</v>
      </c>
      <c r="E533" s="252">
        <v>1</v>
      </c>
      <c r="F533" s="249">
        <v>0</v>
      </c>
      <c r="G533" s="249">
        <v>0</v>
      </c>
      <c r="H533" s="249">
        <v>1511121.5</v>
      </c>
      <c r="I533" s="249">
        <v>1511062</v>
      </c>
      <c r="J533" s="249">
        <v>2536465.96</v>
      </c>
      <c r="K533" s="249">
        <v>1178100</v>
      </c>
      <c r="L533" s="274">
        <f>AVERAGE(H533,J533)</f>
        <v>2023793.73</v>
      </c>
      <c r="M533" s="274">
        <f>AVERAGE(I533,K533)*E1</f>
        <v>1384918.43</v>
      </c>
      <c r="N533" s="255">
        <v>250000</v>
      </c>
      <c r="O533" s="135">
        <f>+N533*0.19</f>
        <v>47500</v>
      </c>
      <c r="P533" s="135">
        <f>+N533+O533</f>
        <v>297500</v>
      </c>
      <c r="Q533" s="131"/>
      <c r="R533" s="131"/>
      <c r="S533" s="11"/>
      <c r="T533" s="274"/>
      <c r="U533" s="274"/>
      <c r="V533" s="274"/>
      <c r="W533" s="39"/>
      <c r="X533" s="11"/>
      <c r="Y533" s="11"/>
      <c r="Z533" s="274"/>
      <c r="AA533" s="274"/>
      <c r="AB533" s="274"/>
      <c r="AC533" s="5"/>
      <c r="AD533" s="22"/>
      <c r="AE533" s="39"/>
      <c r="AF533" s="274"/>
      <c r="AG533" s="274"/>
      <c r="AH533" s="169"/>
      <c r="AI533" s="4"/>
      <c r="AJ533" s="39"/>
      <c r="AK533" s="39"/>
      <c r="AL533" s="118"/>
      <c r="AM533" s="152"/>
      <c r="AN533" s="181"/>
      <c r="AO533" s="131"/>
      <c r="AP533" s="131"/>
      <c r="AQ533" s="39"/>
      <c r="AR533" s="274"/>
      <c r="AS533" s="274"/>
      <c r="AT533" s="274"/>
      <c r="AU533" s="39"/>
      <c r="AV533" s="39"/>
      <c r="AW533" s="39"/>
      <c r="AX533" s="274"/>
      <c r="AY533" s="274"/>
      <c r="AZ533" s="274"/>
      <c r="BA533" s="39"/>
      <c r="BB533" s="62"/>
      <c r="BC533" s="39"/>
      <c r="BD533" s="274"/>
      <c r="BE533" s="274"/>
      <c r="BF533" s="274"/>
      <c r="BG533" s="39"/>
      <c r="BH533" s="39"/>
      <c r="BI533" s="39"/>
      <c r="BJ533" s="274">
        <v>265800</v>
      </c>
      <c r="BK533" s="274">
        <f t="shared" si="182"/>
        <v>50502</v>
      </c>
      <c r="BL533" s="274">
        <f t="shared" si="183"/>
        <v>316302</v>
      </c>
      <c r="BM533" s="213" t="s">
        <v>4754</v>
      </c>
      <c r="BN533" s="213" t="s">
        <v>338</v>
      </c>
      <c r="BO533" s="39"/>
      <c r="BP533" s="274">
        <v>380000</v>
      </c>
      <c r="BQ533" s="274">
        <f>+BP533*19%</f>
        <v>72200</v>
      </c>
      <c r="BR533" s="274">
        <f>+BQ533+BP533</f>
        <v>452200</v>
      </c>
      <c r="BS533" s="39"/>
      <c r="BT533" s="39"/>
      <c r="BU533" s="39"/>
      <c r="BV533" s="219">
        <v>301863.74400000006</v>
      </c>
      <c r="BW533" s="219">
        <f t="shared" si="184"/>
        <v>57354.11136000001</v>
      </c>
      <c r="BX533" s="273">
        <f t="shared" si="185"/>
        <v>359217.85536000005</v>
      </c>
      <c r="BY533" s="213" t="s">
        <v>4754</v>
      </c>
      <c r="BZ533" s="213" t="s">
        <v>338</v>
      </c>
      <c r="CA533" s="213"/>
      <c r="CB533" s="274"/>
      <c r="CC533" s="274"/>
      <c r="CD533" s="274"/>
      <c r="CE533" s="39"/>
      <c r="CF533" s="39"/>
      <c r="CG533" s="39"/>
      <c r="CH533" s="274"/>
      <c r="CI533" s="274"/>
      <c r="CJ533" s="274"/>
      <c r="CK533" s="39"/>
      <c r="CL533" s="39"/>
      <c r="CM533" s="39"/>
      <c r="CN533" s="39"/>
      <c r="CO533" s="39"/>
      <c r="CP533" s="11"/>
      <c r="CQ533" s="11"/>
      <c r="CR533" s="11"/>
      <c r="CS533" s="11"/>
      <c r="CT533" s="11"/>
      <c r="CU533" s="11"/>
      <c r="CV533" s="11"/>
      <c r="CW533" s="11"/>
      <c r="CX533" s="11"/>
      <c r="CY533" s="11"/>
      <c r="CZ533" s="11"/>
      <c r="DA533" s="11"/>
      <c r="DB533" s="11"/>
      <c r="DC533" s="11"/>
      <c r="DD533" s="11"/>
      <c r="DE533" s="11"/>
      <c r="DF533" s="11"/>
      <c r="DG533" s="11"/>
      <c r="DH533" s="11"/>
      <c r="DI533" s="11"/>
      <c r="DJ533" s="11"/>
      <c r="DK533" s="11"/>
      <c r="DL533" s="274"/>
      <c r="DM533" s="274"/>
      <c r="DN533" s="274"/>
      <c r="DO533" s="274"/>
      <c r="DP533" s="274"/>
      <c r="DQ533" s="274"/>
      <c r="DR533" s="274"/>
      <c r="DS533" s="274"/>
      <c r="DT533" s="274"/>
      <c r="DU533" s="274"/>
      <c r="DV533" s="274"/>
      <c r="DW533" s="274"/>
      <c r="DX533" s="274"/>
      <c r="DY533" s="274"/>
      <c r="DZ533" s="274"/>
      <c r="EA533" s="274"/>
      <c r="EB533" s="274"/>
      <c r="EC533" s="274"/>
      <c r="ED533" s="39">
        <f t="shared" si="177"/>
        <v>2810138.2853599996</v>
      </c>
      <c r="EE533" s="30">
        <f t="shared" si="178"/>
        <v>5</v>
      </c>
      <c r="EF533" s="39">
        <f t="shared" si="179"/>
        <v>562027.65707199997</v>
      </c>
    </row>
    <row r="534" spans="1:136" x14ac:dyDescent="0.25">
      <c r="A534" s="25" t="e">
        <f>#REF!</f>
        <v>#REF!</v>
      </c>
      <c r="B534" s="50" t="e">
        <f>#REF!</f>
        <v>#REF!</v>
      </c>
      <c r="C534" s="5" t="e">
        <f>#REF!</f>
        <v>#REF!</v>
      </c>
      <c r="D534" s="5" t="e">
        <f>#REF!</f>
        <v>#REF!</v>
      </c>
      <c r="E534" s="252">
        <v>1</v>
      </c>
      <c r="F534" s="249">
        <v>1931846</v>
      </c>
      <c r="G534" s="249">
        <v>1883532</v>
      </c>
      <c r="H534" s="249">
        <v>1009786.334119856</v>
      </c>
      <c r="I534" s="249">
        <v>0</v>
      </c>
      <c r="J534" s="249">
        <v>1388694.3</v>
      </c>
      <c r="K534" s="249">
        <v>0</v>
      </c>
      <c r="L534" s="274">
        <f>AVERAGE(F534,H534,J534)</f>
        <v>1443442.2113732854</v>
      </c>
      <c r="M534" s="274">
        <f>G534*E1</f>
        <v>1940037.96</v>
      </c>
      <c r="N534" s="255"/>
      <c r="O534" s="135"/>
      <c r="P534" s="135"/>
      <c r="Q534" s="131"/>
      <c r="R534" s="131"/>
      <c r="S534" s="11"/>
      <c r="T534" s="274"/>
      <c r="U534" s="274"/>
      <c r="V534" s="274"/>
      <c r="W534" s="39"/>
      <c r="X534" s="11"/>
      <c r="Y534" s="11"/>
      <c r="Z534" s="274"/>
      <c r="AA534" s="274"/>
      <c r="AB534" s="274"/>
      <c r="AC534" s="52"/>
      <c r="AD534" s="22"/>
      <c r="AE534" s="39"/>
      <c r="AF534" s="274"/>
      <c r="AG534" s="274"/>
      <c r="AH534" s="171"/>
      <c r="AI534" s="4"/>
      <c r="AJ534" s="39"/>
      <c r="AK534" s="39"/>
      <c r="AL534" s="118"/>
      <c r="AM534" s="152"/>
      <c r="AN534" s="181"/>
      <c r="AO534" s="131"/>
      <c r="AP534" s="131"/>
      <c r="AQ534" s="39"/>
      <c r="AR534" s="274"/>
      <c r="AS534" s="274"/>
      <c r="AT534" s="274"/>
      <c r="AU534" s="39"/>
      <c r="AV534" s="39"/>
      <c r="AW534" s="39"/>
      <c r="AX534" s="274"/>
      <c r="AY534" s="274"/>
      <c r="AZ534" s="274"/>
      <c r="BA534" s="39"/>
      <c r="BB534" s="62"/>
      <c r="BC534" s="39"/>
      <c r="BD534" s="274"/>
      <c r="BE534" s="274"/>
      <c r="BF534" s="274"/>
      <c r="BG534" s="39"/>
      <c r="BH534" s="39"/>
      <c r="BI534" s="39"/>
      <c r="BJ534" s="274">
        <v>3610600</v>
      </c>
      <c r="BK534" s="274">
        <f t="shared" si="182"/>
        <v>686014</v>
      </c>
      <c r="BL534" s="274">
        <f t="shared" si="183"/>
        <v>4296614</v>
      </c>
      <c r="BM534" s="213" t="s">
        <v>196</v>
      </c>
      <c r="BN534" s="213" t="s">
        <v>2925</v>
      </c>
      <c r="BO534" s="39"/>
      <c r="BP534" s="274"/>
      <c r="BQ534" s="274"/>
      <c r="BR534" s="274"/>
      <c r="BS534" s="39"/>
      <c r="BT534" s="39"/>
      <c r="BU534" s="39"/>
      <c r="BV534" s="219">
        <v>4058054.4368000003</v>
      </c>
      <c r="BW534" s="219">
        <f t="shared" si="184"/>
        <v>771030.34299200005</v>
      </c>
      <c r="BX534" s="273">
        <f t="shared" si="185"/>
        <v>4829084.7797920005</v>
      </c>
      <c r="BY534" s="213" t="s">
        <v>196</v>
      </c>
      <c r="BZ534" s="213" t="s">
        <v>2925</v>
      </c>
      <c r="CA534" s="213"/>
      <c r="CB534" s="274"/>
      <c r="CC534" s="274"/>
      <c r="CD534" s="274"/>
      <c r="CE534" s="39"/>
      <c r="CF534" s="39"/>
      <c r="CG534" s="39"/>
      <c r="CH534" s="274"/>
      <c r="CI534" s="274"/>
      <c r="CJ534" s="274"/>
      <c r="CK534" s="39"/>
      <c r="CL534" s="39"/>
      <c r="CM534" s="39"/>
      <c r="CN534" s="39"/>
      <c r="CO534" s="39"/>
      <c r="CP534" s="11"/>
      <c r="CQ534" s="11"/>
      <c r="CR534" s="11"/>
      <c r="CS534" s="11"/>
      <c r="CT534" s="11"/>
      <c r="CU534" s="11"/>
      <c r="CV534" s="11"/>
      <c r="CW534" s="11"/>
      <c r="CX534" s="11"/>
      <c r="CY534" s="11"/>
      <c r="CZ534" s="11"/>
      <c r="DA534" s="11"/>
      <c r="DB534" s="11"/>
      <c r="DC534" s="11"/>
      <c r="DD534" s="11"/>
      <c r="DE534" s="11"/>
      <c r="DF534" s="11"/>
      <c r="DG534" s="11"/>
      <c r="DH534" s="11"/>
      <c r="DI534" s="11"/>
      <c r="DJ534" s="11"/>
      <c r="DK534" s="11"/>
      <c r="DL534" s="274"/>
      <c r="DM534" s="274"/>
      <c r="DN534" s="274"/>
      <c r="DO534" s="274"/>
      <c r="DP534" s="274"/>
      <c r="DQ534" s="274"/>
      <c r="DR534" s="274"/>
      <c r="DS534" s="274"/>
      <c r="DT534" s="274"/>
      <c r="DU534" s="274"/>
      <c r="DV534" s="274"/>
      <c r="DW534" s="274"/>
      <c r="DX534" s="274"/>
      <c r="DY534" s="274"/>
      <c r="DZ534" s="274"/>
      <c r="EA534" s="274"/>
      <c r="EB534" s="274"/>
      <c r="EC534" s="274"/>
      <c r="ED534" s="39">
        <f t="shared" si="177"/>
        <v>11065736.739792001</v>
      </c>
      <c r="EE534" s="30">
        <f t="shared" si="178"/>
        <v>3</v>
      </c>
      <c r="EF534" s="39">
        <f t="shared" si="179"/>
        <v>3688578.9132640003</v>
      </c>
    </row>
    <row r="535" spans="1:136" x14ac:dyDescent="0.25">
      <c r="A535" s="25" t="e">
        <f>#REF!</f>
        <v>#REF!</v>
      </c>
      <c r="B535" s="50" t="e">
        <f>#REF!</f>
        <v>#REF!</v>
      </c>
      <c r="C535" s="5" t="e">
        <f>#REF!</f>
        <v>#REF!</v>
      </c>
      <c r="D535" s="5" t="e">
        <f>#REF!</f>
        <v>#REF!</v>
      </c>
      <c r="E535" s="252">
        <v>1</v>
      </c>
      <c r="F535" s="249">
        <v>0</v>
      </c>
      <c r="G535" s="249">
        <v>0</v>
      </c>
      <c r="H535" s="249">
        <v>46199.618743866537</v>
      </c>
      <c r="I535" s="249">
        <v>0</v>
      </c>
      <c r="J535" s="249">
        <v>0</v>
      </c>
      <c r="K535" s="249">
        <v>0</v>
      </c>
      <c r="L535" s="274">
        <f>H535</f>
        <v>46199.618743866537</v>
      </c>
      <c r="M535" s="274"/>
      <c r="N535" s="255"/>
      <c r="O535" s="135"/>
      <c r="P535" s="135"/>
      <c r="Q535" s="131"/>
      <c r="R535" s="131"/>
      <c r="S535" s="11"/>
      <c r="T535" s="274"/>
      <c r="U535" s="274"/>
      <c r="V535" s="274"/>
      <c r="W535" s="39"/>
      <c r="X535" s="11"/>
      <c r="Y535" s="11"/>
      <c r="Z535" s="274"/>
      <c r="AA535" s="274"/>
      <c r="AB535" s="274"/>
      <c r="AC535" s="52"/>
      <c r="AD535" s="22"/>
      <c r="AE535" s="39"/>
      <c r="AF535" s="274"/>
      <c r="AG535" s="274"/>
      <c r="AH535" s="171"/>
      <c r="AI535" s="4"/>
      <c r="AJ535" s="39"/>
      <c r="AK535" s="39"/>
      <c r="AL535" s="118"/>
      <c r="AM535" s="152"/>
      <c r="AN535" s="181"/>
      <c r="AO535" s="131"/>
      <c r="AP535" s="131"/>
      <c r="AQ535" s="39"/>
      <c r="AR535" s="274"/>
      <c r="AS535" s="274"/>
      <c r="AT535" s="274"/>
      <c r="AU535" s="39"/>
      <c r="AV535" s="39"/>
      <c r="AW535" s="39"/>
      <c r="AX535" s="274"/>
      <c r="AY535" s="274"/>
      <c r="AZ535" s="274"/>
      <c r="BA535" s="39"/>
      <c r="BB535" s="62"/>
      <c r="BC535" s="39"/>
      <c r="BD535" s="274"/>
      <c r="BE535" s="274"/>
      <c r="BF535" s="274"/>
      <c r="BG535" s="39"/>
      <c r="BH535" s="39"/>
      <c r="BI535" s="39"/>
      <c r="BJ535" s="274">
        <v>207800</v>
      </c>
      <c r="BK535" s="274">
        <f t="shared" si="182"/>
        <v>39482</v>
      </c>
      <c r="BL535" s="274">
        <f t="shared" si="183"/>
        <v>247282</v>
      </c>
      <c r="BM535" s="213" t="s">
        <v>196</v>
      </c>
      <c r="BN535" s="213" t="s">
        <v>338</v>
      </c>
      <c r="BO535" s="39"/>
      <c r="BP535" s="274"/>
      <c r="BQ535" s="274"/>
      <c r="BR535" s="274"/>
      <c r="BS535" s="39"/>
      <c r="BT535" s="39"/>
      <c r="BU535" s="39"/>
      <c r="BV535" s="219">
        <v>216216.3156</v>
      </c>
      <c r="BW535" s="219">
        <f t="shared" si="184"/>
        <v>41081.099964000001</v>
      </c>
      <c r="BX535" s="273">
        <f t="shared" si="185"/>
        <v>257297.415564</v>
      </c>
      <c r="BY535" s="213" t="s">
        <v>196</v>
      </c>
      <c r="BZ535" s="213" t="s">
        <v>338</v>
      </c>
      <c r="CA535" s="213"/>
      <c r="CB535" s="274"/>
      <c r="CC535" s="274"/>
      <c r="CD535" s="274"/>
      <c r="CE535" s="39"/>
      <c r="CF535" s="39"/>
      <c r="CG535" s="39"/>
      <c r="CH535" s="274"/>
      <c r="CI535" s="274"/>
      <c r="CJ535" s="274"/>
      <c r="CK535" s="39"/>
      <c r="CL535" s="39"/>
      <c r="CM535" s="39"/>
      <c r="CN535" s="39"/>
      <c r="CO535" s="39"/>
      <c r="CP535" s="11"/>
      <c r="CQ535" s="11"/>
      <c r="CR535" s="11"/>
      <c r="CS535" s="11"/>
      <c r="CT535" s="11"/>
      <c r="CU535" s="11"/>
      <c r="CV535" s="11"/>
      <c r="CW535" s="11"/>
      <c r="CX535" s="11"/>
      <c r="CY535" s="11"/>
      <c r="CZ535" s="11"/>
      <c r="DA535" s="11"/>
      <c r="DB535" s="11"/>
      <c r="DC535" s="11"/>
      <c r="DD535" s="11"/>
      <c r="DE535" s="11"/>
      <c r="DF535" s="11"/>
      <c r="DG535" s="11"/>
      <c r="DH535" s="11"/>
      <c r="DI535" s="11"/>
      <c r="DJ535" s="11"/>
      <c r="DK535" s="11"/>
      <c r="DL535" s="274"/>
      <c r="DM535" s="274"/>
      <c r="DN535" s="274"/>
      <c r="DO535" s="274"/>
      <c r="DP535" s="274"/>
      <c r="DQ535" s="274"/>
      <c r="DR535" s="274"/>
      <c r="DS535" s="274"/>
      <c r="DT535" s="274"/>
      <c r="DU535" s="274"/>
      <c r="DV535" s="274"/>
      <c r="DW535" s="274"/>
      <c r="DX535" s="274"/>
      <c r="DY535" s="274"/>
      <c r="DZ535" s="274"/>
      <c r="EA535" s="274"/>
      <c r="EB535" s="274"/>
      <c r="EC535" s="274"/>
      <c r="ED535" s="39">
        <f t="shared" si="177"/>
        <v>504579.41556400002</v>
      </c>
      <c r="EE535" s="30">
        <f t="shared" si="178"/>
        <v>2</v>
      </c>
      <c r="EF535" s="39">
        <f t="shared" si="179"/>
        <v>252289.70778200001</v>
      </c>
    </row>
    <row r="536" spans="1:136" ht="51" x14ac:dyDescent="0.25">
      <c r="A536" s="25" t="e">
        <f>#REF!</f>
        <v>#REF!</v>
      </c>
      <c r="B536" s="50" t="e">
        <f>#REF!</f>
        <v>#REF!</v>
      </c>
      <c r="C536" s="5" t="e">
        <f>#REF!</f>
        <v>#REF!</v>
      </c>
      <c r="D536" s="5" t="e">
        <f>#REF!</f>
        <v>#REF!</v>
      </c>
      <c r="E536" s="252">
        <v>1</v>
      </c>
      <c r="F536" s="249">
        <v>376040</v>
      </c>
      <c r="G536" s="249">
        <v>0</v>
      </c>
      <c r="H536" s="249">
        <v>0</v>
      </c>
      <c r="I536" s="249">
        <v>0</v>
      </c>
      <c r="J536" s="249">
        <v>896187.23114027618</v>
      </c>
      <c r="K536" s="249">
        <v>896070</v>
      </c>
      <c r="L536" s="274">
        <f>AVERAGE(F536,J536)</f>
        <v>636113.61557013809</v>
      </c>
      <c r="M536" s="274">
        <f>K536*E1</f>
        <v>922952.1</v>
      </c>
      <c r="N536" s="255"/>
      <c r="O536" s="135"/>
      <c r="P536" s="135"/>
      <c r="Q536" s="131"/>
      <c r="R536" s="131"/>
      <c r="S536" s="11"/>
      <c r="T536" s="274"/>
      <c r="U536" s="274"/>
      <c r="V536" s="274"/>
      <c r="W536" s="39"/>
      <c r="X536" s="11"/>
      <c r="Y536" s="11"/>
      <c r="Z536" s="274"/>
      <c r="AA536" s="274"/>
      <c r="AB536" s="274"/>
      <c r="AC536" s="55"/>
      <c r="AD536" s="53"/>
      <c r="AE536" s="39"/>
      <c r="AF536" s="274"/>
      <c r="AG536" s="274"/>
      <c r="AH536" s="173"/>
      <c r="AI536" s="55"/>
      <c r="AJ536" s="39"/>
      <c r="AK536" s="39"/>
      <c r="AL536" s="118"/>
      <c r="AM536" s="152"/>
      <c r="AN536" s="181"/>
      <c r="AO536" s="131"/>
      <c r="AP536" s="131"/>
      <c r="AQ536" s="39"/>
      <c r="AR536" s="274"/>
      <c r="AS536" s="274"/>
      <c r="AT536" s="274"/>
      <c r="AU536" s="39"/>
      <c r="AV536" s="39"/>
      <c r="AW536" s="39"/>
      <c r="AX536" s="274"/>
      <c r="AY536" s="274"/>
      <c r="AZ536" s="274"/>
      <c r="BA536" s="39"/>
      <c r="BB536" s="62"/>
      <c r="BC536" s="39"/>
      <c r="BD536" s="118">
        <v>1536114</v>
      </c>
      <c r="BE536" s="274">
        <f>+BD536*0.19</f>
        <v>291861.65999999997</v>
      </c>
      <c r="BF536" s="274">
        <f>+BD536+BE536</f>
        <v>1827975.66</v>
      </c>
      <c r="BG536" s="25" t="s">
        <v>445</v>
      </c>
      <c r="BH536" s="5" t="s">
        <v>4950</v>
      </c>
      <c r="BI536" s="5" t="s">
        <v>4951</v>
      </c>
      <c r="BJ536" s="274">
        <v>1572000</v>
      </c>
      <c r="BK536" s="274">
        <f t="shared" si="182"/>
        <v>298680</v>
      </c>
      <c r="BL536" s="274">
        <f t="shared" si="183"/>
        <v>1870680</v>
      </c>
      <c r="BM536" s="213" t="s">
        <v>196</v>
      </c>
      <c r="BN536" s="213" t="s">
        <v>3112</v>
      </c>
      <c r="BO536" s="39"/>
      <c r="BP536" s="274"/>
      <c r="BQ536" s="274"/>
      <c r="BR536" s="274"/>
      <c r="BS536" s="39"/>
      <c r="BT536" s="39"/>
      <c r="BU536" s="39"/>
      <c r="BV536" s="219">
        <v>1734120.36</v>
      </c>
      <c r="BW536" s="219">
        <f t="shared" si="184"/>
        <v>329482.86840000004</v>
      </c>
      <c r="BX536" s="273">
        <f t="shared" si="185"/>
        <v>2063603.2284000001</v>
      </c>
      <c r="BY536" s="213" t="s">
        <v>196</v>
      </c>
      <c r="BZ536" s="213" t="s">
        <v>3112</v>
      </c>
      <c r="CA536" s="213"/>
      <c r="CB536" s="274"/>
      <c r="CC536" s="274"/>
      <c r="CD536" s="274"/>
      <c r="CE536" s="39"/>
      <c r="CF536" s="39"/>
      <c r="CG536" s="39"/>
      <c r="CH536" s="274"/>
      <c r="CI536" s="274"/>
      <c r="CJ536" s="274"/>
      <c r="CK536" s="39"/>
      <c r="CL536" s="39"/>
      <c r="CM536" s="39"/>
      <c r="CN536" s="39"/>
      <c r="CO536" s="39"/>
      <c r="CP536" s="11"/>
      <c r="CQ536" s="11"/>
      <c r="CR536" s="11"/>
      <c r="CS536" s="11"/>
      <c r="CT536" s="11"/>
      <c r="CU536" s="11"/>
      <c r="CV536" s="11"/>
      <c r="CW536" s="11"/>
      <c r="CX536" s="11"/>
      <c r="CY536" s="11"/>
      <c r="CZ536" s="11"/>
      <c r="DA536" s="11"/>
      <c r="DB536" s="11"/>
      <c r="DC536" s="11"/>
      <c r="DD536" s="11"/>
      <c r="DE536" s="11"/>
      <c r="DF536" s="11"/>
      <c r="DG536" s="11"/>
      <c r="DH536" s="11"/>
      <c r="DI536" s="11"/>
      <c r="DJ536" s="11"/>
      <c r="DK536" s="11"/>
      <c r="DL536" s="274"/>
      <c r="DM536" s="274"/>
      <c r="DN536" s="274"/>
      <c r="DO536" s="274"/>
      <c r="DP536" s="274"/>
      <c r="DQ536" s="274"/>
      <c r="DR536" s="274"/>
      <c r="DS536" s="274"/>
      <c r="DT536" s="274"/>
      <c r="DU536" s="274"/>
      <c r="DV536" s="274"/>
      <c r="DW536" s="274"/>
      <c r="DX536" s="274"/>
      <c r="DY536" s="274"/>
      <c r="DZ536" s="274"/>
      <c r="EA536" s="274"/>
      <c r="EB536" s="274"/>
      <c r="EC536" s="274"/>
      <c r="ED536" s="39">
        <f t="shared" si="177"/>
        <v>6685210.9884000001</v>
      </c>
      <c r="EE536" s="30">
        <f t="shared" si="178"/>
        <v>4</v>
      </c>
      <c r="EF536" s="39">
        <f t="shared" si="179"/>
        <v>1671302.7471</v>
      </c>
    </row>
    <row r="537" spans="1:136" x14ac:dyDescent="0.25">
      <c r="A537" s="25" t="e">
        <f>#REF!</f>
        <v>#REF!</v>
      </c>
      <c r="B537" s="50" t="e">
        <f>#REF!</f>
        <v>#REF!</v>
      </c>
      <c r="C537" s="5" t="e">
        <f>#REF!</f>
        <v>#REF!</v>
      </c>
      <c r="D537" s="5" t="e">
        <f>#REF!</f>
        <v>#REF!</v>
      </c>
      <c r="E537" s="252">
        <v>1</v>
      </c>
      <c r="F537" s="249">
        <v>97371.75</v>
      </c>
      <c r="G537" s="249">
        <v>23800</v>
      </c>
      <c r="H537" s="249">
        <v>33855.5</v>
      </c>
      <c r="I537" s="249">
        <v>26180</v>
      </c>
      <c r="J537" s="249">
        <v>52072.416666666664</v>
      </c>
      <c r="K537" s="249">
        <v>51170</v>
      </c>
      <c r="L537" s="274">
        <f>AVERAGE(F537,H537,J537)</f>
        <v>61099.888888888883</v>
      </c>
      <c r="M537" s="274">
        <f>AVERAGE(G537,I537,K537)*E1</f>
        <v>34728.166666666664</v>
      </c>
      <c r="N537" s="255">
        <v>38000</v>
      </c>
      <c r="O537" s="135">
        <f>+N537*0.19</f>
        <v>7220</v>
      </c>
      <c r="P537" s="135">
        <f>+N537+O537</f>
        <v>45220</v>
      </c>
      <c r="Q537" s="131"/>
      <c r="R537" s="131"/>
      <c r="S537" s="11"/>
      <c r="T537" s="274">
        <v>23100.000000000004</v>
      </c>
      <c r="U537" s="274">
        <f>+T537*0.19</f>
        <v>4389.0000000000009</v>
      </c>
      <c r="V537" s="274">
        <f>+T537+U537</f>
        <v>27489.000000000004</v>
      </c>
      <c r="W537" s="39" t="s">
        <v>445</v>
      </c>
      <c r="X537" s="11" t="s">
        <v>2956</v>
      </c>
      <c r="Y537" s="11"/>
      <c r="Z537" s="274"/>
      <c r="AA537" s="274"/>
      <c r="AB537" s="274"/>
      <c r="AC537" s="52"/>
      <c r="AD537" s="22"/>
      <c r="AE537" s="39"/>
      <c r="AF537" s="274"/>
      <c r="AG537" s="274"/>
      <c r="AH537" s="113"/>
      <c r="AI537" s="4"/>
      <c r="AJ537" s="39"/>
      <c r="AK537" s="39"/>
      <c r="AL537" s="118"/>
      <c r="AM537" s="152"/>
      <c r="AN537" s="181"/>
      <c r="AO537" s="131"/>
      <c r="AP537" s="131"/>
      <c r="AQ537" s="39"/>
      <c r="AR537" s="274"/>
      <c r="AS537" s="274"/>
      <c r="AT537" s="274"/>
      <c r="AU537" s="39"/>
      <c r="AV537" s="39"/>
      <c r="AW537" s="39"/>
      <c r="AX537" s="274"/>
      <c r="AY537" s="274"/>
      <c r="AZ537" s="274"/>
      <c r="BA537" s="39"/>
      <c r="BB537" s="62"/>
      <c r="BC537" s="39"/>
      <c r="BD537" s="274"/>
      <c r="BE537" s="274"/>
      <c r="BF537" s="274"/>
      <c r="BG537" s="39"/>
      <c r="BH537" s="39"/>
      <c r="BI537" s="39"/>
      <c r="BJ537" s="274">
        <v>112300</v>
      </c>
      <c r="BK537" s="274">
        <f t="shared" si="182"/>
        <v>21337</v>
      </c>
      <c r="BL537" s="274">
        <f t="shared" si="183"/>
        <v>133637</v>
      </c>
      <c r="BM537" s="213" t="s">
        <v>196</v>
      </c>
      <c r="BN537" s="213" t="s">
        <v>2944</v>
      </c>
      <c r="BO537" s="39"/>
      <c r="BP537" s="274">
        <v>22500</v>
      </c>
      <c r="BQ537" s="274">
        <f>+BP537*19%</f>
        <v>4275</v>
      </c>
      <c r="BR537" s="274">
        <f>+BQ537+BP537</f>
        <v>26775</v>
      </c>
      <c r="BS537" s="39"/>
      <c r="BT537" s="39"/>
      <c r="BU537" s="39"/>
      <c r="BV537" s="219">
        <v>131215.81200000001</v>
      </c>
      <c r="BW537" s="219">
        <f t="shared" si="184"/>
        <v>24931.004280000001</v>
      </c>
      <c r="BX537" s="273">
        <f t="shared" si="185"/>
        <v>156146.81628</v>
      </c>
      <c r="BY537" s="213" t="s">
        <v>196</v>
      </c>
      <c r="BZ537" s="213" t="s">
        <v>2944</v>
      </c>
      <c r="CA537" s="213"/>
      <c r="CB537" s="274"/>
      <c r="CC537" s="274"/>
      <c r="CD537" s="274"/>
      <c r="CE537" s="39"/>
      <c r="CF537" s="39"/>
      <c r="CG537" s="39"/>
      <c r="CH537" s="274"/>
      <c r="CI537" s="274"/>
      <c r="CJ537" s="274"/>
      <c r="CK537" s="39"/>
      <c r="CL537" s="39"/>
      <c r="CM537" s="39"/>
      <c r="CN537" s="39"/>
      <c r="CO537" s="39"/>
      <c r="CP537" s="11"/>
      <c r="CQ537" s="11"/>
      <c r="CR537" s="11"/>
      <c r="CS537" s="11"/>
      <c r="CT537" s="11"/>
      <c r="CU537" s="11"/>
      <c r="CV537" s="11"/>
      <c r="CW537" s="11"/>
      <c r="CX537" s="11"/>
      <c r="CY537" s="11"/>
      <c r="CZ537" s="11"/>
      <c r="DA537" s="11"/>
      <c r="DB537" s="11"/>
      <c r="DC537" s="11"/>
      <c r="DD537" s="11"/>
      <c r="DE537" s="11"/>
      <c r="DF537" s="11"/>
      <c r="DG537" s="11"/>
      <c r="DH537" s="11"/>
      <c r="DI537" s="11"/>
      <c r="DJ537" s="11"/>
      <c r="DK537" s="11"/>
      <c r="DL537" s="274"/>
      <c r="DM537" s="274"/>
      <c r="DN537" s="274"/>
      <c r="DO537" s="274"/>
      <c r="DP537" s="274"/>
      <c r="DQ537" s="274"/>
      <c r="DR537" s="274"/>
      <c r="DS537" s="274"/>
      <c r="DT537" s="274"/>
      <c r="DU537" s="274"/>
      <c r="DV537" s="274"/>
      <c r="DW537" s="274"/>
      <c r="DX537" s="274"/>
      <c r="DY537" s="274"/>
      <c r="DZ537" s="274"/>
      <c r="EA537" s="274"/>
      <c r="EB537" s="274"/>
      <c r="EC537" s="274"/>
      <c r="ED537" s="39">
        <f t="shared" si="177"/>
        <v>423995.98294666666</v>
      </c>
      <c r="EE537" s="30">
        <f t="shared" si="178"/>
        <v>6</v>
      </c>
      <c r="EF537" s="39">
        <f t="shared" si="179"/>
        <v>70665.997157777776</v>
      </c>
    </row>
    <row r="538" spans="1:136" x14ac:dyDescent="0.25">
      <c r="A538" s="25" t="e">
        <f>#REF!</f>
        <v>#REF!</v>
      </c>
      <c r="B538" s="50" t="e">
        <f>#REF!</f>
        <v>#REF!</v>
      </c>
      <c r="C538" s="5" t="e">
        <f>#REF!</f>
        <v>#REF!</v>
      </c>
      <c r="D538" s="5" t="e">
        <f>#REF!</f>
        <v>#REF!</v>
      </c>
      <c r="E538" s="252">
        <v>1</v>
      </c>
      <c r="F538" s="249">
        <v>0</v>
      </c>
      <c r="G538" s="249">
        <v>0</v>
      </c>
      <c r="H538" s="249">
        <v>759251.53091265948</v>
      </c>
      <c r="I538" s="249">
        <v>0</v>
      </c>
      <c r="J538" s="249">
        <v>139825</v>
      </c>
      <c r="K538" s="249">
        <v>0</v>
      </c>
      <c r="L538" s="274">
        <f>AVERAGE(H538,J538)</f>
        <v>449538.26545632974</v>
      </c>
      <c r="M538" s="274"/>
      <c r="N538" s="255">
        <v>50000</v>
      </c>
      <c r="O538" s="135">
        <f>+N538*0.19</f>
        <v>9500</v>
      </c>
      <c r="P538" s="135">
        <f>+N538+O538</f>
        <v>59500</v>
      </c>
      <c r="Q538" s="131"/>
      <c r="R538" s="131"/>
      <c r="S538" s="11"/>
      <c r="T538" s="274">
        <v>24200.000000000004</v>
      </c>
      <c r="U538" s="274">
        <f>+T538*0.19</f>
        <v>4598.0000000000009</v>
      </c>
      <c r="V538" s="274">
        <f>+T538+U538</f>
        <v>28798.000000000004</v>
      </c>
      <c r="W538" s="39" t="s">
        <v>445</v>
      </c>
      <c r="X538" s="11" t="s">
        <v>3408</v>
      </c>
      <c r="Y538" s="11"/>
      <c r="Z538" s="274"/>
      <c r="AA538" s="274"/>
      <c r="AB538" s="274"/>
      <c r="AC538" s="52"/>
      <c r="AD538" s="22"/>
      <c r="AE538" s="39"/>
      <c r="AF538" s="274"/>
      <c r="AG538" s="274"/>
      <c r="AH538" s="113"/>
      <c r="AI538" s="4"/>
      <c r="AJ538" s="39"/>
      <c r="AK538" s="39"/>
      <c r="AL538" s="118"/>
      <c r="AM538" s="152"/>
      <c r="AN538" s="181"/>
      <c r="AO538" s="131"/>
      <c r="AP538" s="131"/>
      <c r="AQ538" s="39"/>
      <c r="AR538" s="274"/>
      <c r="AS538" s="274"/>
      <c r="AT538" s="274"/>
      <c r="AU538" s="39"/>
      <c r="AV538" s="39"/>
      <c r="AW538" s="39"/>
      <c r="AX538" s="274"/>
      <c r="AY538" s="274"/>
      <c r="AZ538" s="274"/>
      <c r="BA538" s="39"/>
      <c r="BB538" s="62"/>
      <c r="BC538" s="39"/>
      <c r="BD538" s="274"/>
      <c r="BE538" s="274"/>
      <c r="BF538" s="274"/>
      <c r="BG538" s="39"/>
      <c r="BH538" s="39"/>
      <c r="BI538" s="39"/>
      <c r="BJ538" s="274">
        <v>890200</v>
      </c>
      <c r="BK538" s="274">
        <f t="shared" si="182"/>
        <v>169138</v>
      </c>
      <c r="BL538" s="274">
        <f t="shared" si="183"/>
        <v>1059338</v>
      </c>
      <c r="BM538" s="213" t="s">
        <v>196</v>
      </c>
      <c r="BN538" s="213" t="s">
        <v>4952</v>
      </c>
      <c r="BO538" s="39"/>
      <c r="BP538" s="274">
        <v>65000</v>
      </c>
      <c r="BQ538" s="274">
        <f>+BP538*19%</f>
        <v>12350</v>
      </c>
      <c r="BR538" s="274">
        <f>+BQ538+BP538</f>
        <v>77350</v>
      </c>
      <c r="BS538" s="39"/>
      <c r="BT538" s="39"/>
      <c r="BU538" s="39"/>
      <c r="BV538" s="219">
        <v>1049107.8216000001</v>
      </c>
      <c r="BW538" s="219">
        <f t="shared" si="184"/>
        <v>199330.48610400004</v>
      </c>
      <c r="BX538" s="273">
        <f t="shared" si="185"/>
        <v>1248438.3077040003</v>
      </c>
      <c r="BY538" s="213" t="s">
        <v>196</v>
      </c>
      <c r="BZ538" s="213" t="s">
        <v>4952</v>
      </c>
      <c r="CA538" s="213"/>
      <c r="CB538" s="275"/>
      <c r="CC538" s="274"/>
      <c r="CD538" s="274"/>
      <c r="CE538" s="39"/>
      <c r="CF538" s="39"/>
      <c r="CG538" s="39"/>
      <c r="CH538" s="274"/>
      <c r="CI538" s="274"/>
      <c r="CJ538" s="274"/>
      <c r="CK538" s="39"/>
      <c r="CL538" s="39"/>
      <c r="CM538" s="39"/>
      <c r="CN538" s="39"/>
      <c r="CO538" s="39"/>
      <c r="CP538" s="11"/>
      <c r="CQ538" s="11"/>
      <c r="CR538" s="11"/>
      <c r="CS538" s="11"/>
      <c r="CT538" s="11"/>
      <c r="CU538" s="11"/>
      <c r="CV538" s="11"/>
      <c r="CW538" s="11"/>
      <c r="CX538" s="11"/>
      <c r="CY538" s="11"/>
      <c r="CZ538" s="11"/>
      <c r="DA538" s="11"/>
      <c r="DB538" s="11"/>
      <c r="DC538" s="11"/>
      <c r="DD538" s="11"/>
      <c r="DE538" s="11"/>
      <c r="DF538" s="11"/>
      <c r="DG538" s="11"/>
      <c r="DH538" s="11"/>
      <c r="DI538" s="11"/>
      <c r="DJ538" s="11"/>
      <c r="DK538" s="11"/>
      <c r="DL538" s="274"/>
      <c r="DM538" s="274"/>
      <c r="DN538" s="274"/>
      <c r="DO538" s="274"/>
      <c r="DP538" s="274"/>
      <c r="DQ538" s="274"/>
      <c r="DR538" s="274"/>
      <c r="DS538" s="274"/>
      <c r="DT538" s="274"/>
      <c r="DU538" s="274"/>
      <c r="DV538" s="274"/>
      <c r="DW538" s="274"/>
      <c r="DX538" s="274"/>
      <c r="DY538" s="274"/>
      <c r="DZ538" s="274"/>
      <c r="EA538" s="274"/>
      <c r="EB538" s="274"/>
      <c r="EC538" s="274"/>
      <c r="ED538" s="39">
        <f t="shared" si="177"/>
        <v>2473424.3077040003</v>
      </c>
      <c r="EE538" s="30">
        <f t="shared" si="178"/>
        <v>5</v>
      </c>
      <c r="EF538" s="39">
        <f t="shared" si="179"/>
        <v>494684.86154080008</v>
      </c>
    </row>
    <row r="539" spans="1:136" x14ac:dyDescent="0.25">
      <c r="A539" s="25" t="e">
        <f>#REF!</f>
        <v>#REF!</v>
      </c>
      <c r="B539" s="50" t="e">
        <f>#REF!</f>
        <v>#REF!</v>
      </c>
      <c r="C539" s="5" t="e">
        <f>#REF!</f>
        <v>#REF!</v>
      </c>
      <c r="D539" s="5" t="e">
        <f>#REF!</f>
        <v>#REF!</v>
      </c>
      <c r="E539" s="252">
        <v>1</v>
      </c>
      <c r="F539" s="249">
        <v>0</v>
      </c>
      <c r="G539" s="249">
        <v>0</v>
      </c>
      <c r="H539" s="249">
        <v>924233.33333333337</v>
      </c>
      <c r="I539" s="249">
        <v>0</v>
      </c>
      <c r="J539" s="249">
        <v>0</v>
      </c>
      <c r="K539" s="249">
        <v>0</v>
      </c>
      <c r="L539" s="274">
        <f>H539</f>
        <v>924233.33333333337</v>
      </c>
      <c r="M539" s="274"/>
      <c r="N539" s="256">
        <v>600000</v>
      </c>
      <c r="O539" s="135">
        <f>+N539*0.19</f>
        <v>114000</v>
      </c>
      <c r="P539" s="135">
        <f>+N539+O539</f>
        <v>714000</v>
      </c>
      <c r="Q539" s="131"/>
      <c r="R539" s="131"/>
      <c r="S539" s="11"/>
      <c r="T539" s="274"/>
      <c r="U539" s="274"/>
      <c r="V539" s="274"/>
      <c r="W539" s="39"/>
      <c r="X539" s="11"/>
      <c r="Y539" s="11"/>
      <c r="Z539" s="274"/>
      <c r="AA539" s="274"/>
      <c r="AB539" s="274"/>
      <c r="AC539" s="54"/>
      <c r="AD539" s="23"/>
      <c r="AE539" s="39"/>
      <c r="AF539" s="274"/>
      <c r="AG539" s="274"/>
      <c r="AH539" s="172"/>
      <c r="AI539" s="24"/>
      <c r="AJ539" s="39"/>
      <c r="AK539" s="39"/>
      <c r="AL539" s="118"/>
      <c r="AM539" s="152"/>
      <c r="AN539" s="181"/>
      <c r="AO539" s="131"/>
      <c r="AP539" s="131"/>
      <c r="AQ539" s="39"/>
      <c r="AR539" s="274"/>
      <c r="AS539" s="274"/>
      <c r="AT539" s="274"/>
      <c r="AU539" s="39"/>
      <c r="AV539" s="39"/>
      <c r="AW539" s="39"/>
      <c r="AX539" s="274"/>
      <c r="AY539" s="274"/>
      <c r="AZ539" s="274"/>
      <c r="BA539" s="39"/>
      <c r="BB539" s="62"/>
      <c r="BC539" s="39"/>
      <c r="BD539" s="274"/>
      <c r="BE539" s="274"/>
      <c r="BF539" s="274"/>
      <c r="BG539" s="39"/>
      <c r="BH539" s="39"/>
      <c r="BI539" s="39"/>
      <c r="BJ539" s="274">
        <v>882400</v>
      </c>
      <c r="BK539" s="274">
        <f t="shared" si="182"/>
        <v>167656</v>
      </c>
      <c r="BL539" s="274">
        <f t="shared" si="183"/>
        <v>1050056</v>
      </c>
      <c r="BM539" s="213" t="s">
        <v>4738</v>
      </c>
      <c r="BN539" s="213" t="s">
        <v>4776</v>
      </c>
      <c r="BO539" s="39"/>
      <c r="BP539" s="274">
        <v>396000</v>
      </c>
      <c r="BQ539" s="274">
        <f>+BP539*19%</f>
        <v>75240</v>
      </c>
      <c r="BR539" s="274">
        <f>+BQ539+BP539</f>
        <v>471240</v>
      </c>
      <c r="BS539" s="39"/>
      <c r="BT539" s="39"/>
      <c r="BU539" s="39"/>
      <c r="BV539" s="212">
        <v>963947.87840000005</v>
      </c>
      <c r="BW539" s="219">
        <f t="shared" si="184"/>
        <v>183150.096896</v>
      </c>
      <c r="BX539" s="273">
        <f t="shared" si="185"/>
        <v>1147097.975296</v>
      </c>
      <c r="BY539" s="213" t="s">
        <v>4738</v>
      </c>
      <c r="BZ539" s="213" t="s">
        <v>4776</v>
      </c>
      <c r="CA539" s="213"/>
      <c r="CB539" s="274"/>
      <c r="CC539" s="274"/>
      <c r="CD539" s="274"/>
      <c r="CE539" s="39"/>
      <c r="CF539" s="39"/>
      <c r="CG539" s="39"/>
      <c r="CH539" s="275"/>
      <c r="CI539" s="275"/>
      <c r="CJ539" s="275"/>
      <c r="CK539" s="39"/>
      <c r="CL539" s="39"/>
      <c r="CM539" s="39"/>
      <c r="CN539" s="39"/>
      <c r="CO539" s="39"/>
      <c r="CP539" s="11"/>
      <c r="CQ539" s="11"/>
      <c r="CR539" s="11"/>
      <c r="CS539" s="11"/>
      <c r="CT539" s="11"/>
      <c r="CU539" s="11"/>
      <c r="CV539" s="11"/>
      <c r="CW539" s="11"/>
      <c r="CX539" s="11"/>
      <c r="CY539" s="11"/>
      <c r="CZ539" s="11"/>
      <c r="DA539" s="11"/>
      <c r="DB539" s="11"/>
      <c r="DC539" s="11"/>
      <c r="DD539" s="11"/>
      <c r="DE539" s="11"/>
      <c r="DF539" s="11"/>
      <c r="DG539" s="11"/>
      <c r="DH539" s="11"/>
      <c r="DI539" s="11"/>
      <c r="DJ539" s="11"/>
      <c r="DK539" s="11"/>
      <c r="DL539" s="274"/>
      <c r="DM539" s="274"/>
      <c r="DN539" s="274"/>
      <c r="DO539" s="274"/>
      <c r="DP539" s="274"/>
      <c r="DQ539" s="274"/>
      <c r="DR539" s="274"/>
      <c r="DS539" s="274"/>
      <c r="DT539" s="274"/>
      <c r="DU539" s="274"/>
      <c r="DV539" s="274"/>
      <c r="DW539" s="274"/>
      <c r="DX539" s="274"/>
      <c r="DY539" s="274"/>
      <c r="DZ539" s="274"/>
      <c r="EA539" s="274"/>
      <c r="EB539" s="274"/>
      <c r="EC539" s="274"/>
      <c r="ED539" s="39">
        <f t="shared" si="177"/>
        <v>3382393.975296</v>
      </c>
      <c r="EE539" s="30">
        <f t="shared" si="178"/>
        <v>4</v>
      </c>
      <c r="EF539" s="39">
        <f t="shared" si="179"/>
        <v>845598.493824</v>
      </c>
    </row>
    <row r="540" spans="1:136" x14ac:dyDescent="0.25">
      <c r="A540" s="25" t="e">
        <f>#REF!</f>
        <v>#REF!</v>
      </c>
      <c r="B540" s="50" t="e">
        <f>#REF!</f>
        <v>#REF!</v>
      </c>
      <c r="C540" s="5" t="e">
        <f>#REF!</f>
        <v>#REF!</v>
      </c>
      <c r="D540" s="5" t="e">
        <f>#REF!</f>
        <v>#REF!</v>
      </c>
      <c r="E540" s="252">
        <v>1</v>
      </c>
      <c r="F540" s="249">
        <v>0</v>
      </c>
      <c r="G540" s="249">
        <v>0</v>
      </c>
      <c r="H540" s="249">
        <v>758268</v>
      </c>
      <c r="I540" s="249">
        <v>0</v>
      </c>
      <c r="J540" s="249">
        <v>282975.65333333332</v>
      </c>
      <c r="K540" s="249">
        <v>0</v>
      </c>
      <c r="L540" s="274">
        <f>AVERAGE(H540,J540)</f>
        <v>520621.82666666666</v>
      </c>
      <c r="M540" s="274"/>
      <c r="N540" s="255">
        <v>350000</v>
      </c>
      <c r="O540" s="135">
        <f>+N540*0.19</f>
        <v>66500</v>
      </c>
      <c r="P540" s="135">
        <f>+N540+O540</f>
        <v>416500</v>
      </c>
      <c r="Q540" s="131"/>
      <c r="R540" s="131"/>
      <c r="S540" s="11"/>
      <c r="T540" s="274"/>
      <c r="U540" s="274"/>
      <c r="V540" s="274"/>
      <c r="W540" s="39"/>
      <c r="X540" s="11"/>
      <c r="Y540" s="11"/>
      <c r="Z540" s="274"/>
      <c r="AA540" s="274"/>
      <c r="AB540" s="274"/>
      <c r="AC540" s="54"/>
      <c r="AD540" s="22"/>
      <c r="AE540" s="39"/>
      <c r="AF540" s="274"/>
      <c r="AG540" s="274"/>
      <c r="AH540" s="172"/>
      <c r="AI540" s="4"/>
      <c r="AJ540" s="39"/>
      <c r="AK540" s="39"/>
      <c r="AL540" s="118"/>
      <c r="AM540" s="152"/>
      <c r="AN540" s="181"/>
      <c r="AO540" s="131"/>
      <c r="AP540" s="131"/>
      <c r="AQ540" s="39"/>
      <c r="AR540" s="274"/>
      <c r="AS540" s="274"/>
      <c r="AT540" s="274"/>
      <c r="AU540" s="39"/>
      <c r="AV540" s="39"/>
      <c r="AW540" s="39"/>
      <c r="AX540" s="274"/>
      <c r="AY540" s="274"/>
      <c r="AZ540" s="274"/>
      <c r="BA540" s="39"/>
      <c r="BB540" s="62"/>
      <c r="BC540" s="39"/>
      <c r="BD540" s="274"/>
      <c r="BE540" s="274"/>
      <c r="BF540" s="274"/>
      <c r="BG540" s="39"/>
      <c r="BH540" s="39"/>
      <c r="BI540" s="39"/>
      <c r="BJ540" s="274">
        <v>5851200</v>
      </c>
      <c r="BK540" s="274">
        <f t="shared" si="182"/>
        <v>1111728</v>
      </c>
      <c r="BL540" s="274">
        <f t="shared" si="183"/>
        <v>6962928</v>
      </c>
      <c r="BM540" s="214" t="s">
        <v>4953</v>
      </c>
      <c r="BN540" s="213" t="s">
        <v>338</v>
      </c>
      <c r="BO540" s="39"/>
      <c r="BP540" s="274">
        <v>135000</v>
      </c>
      <c r="BQ540" s="274">
        <f>+BP540*19%</f>
        <v>25650</v>
      </c>
      <c r="BR540" s="274">
        <f>+BQ540+BP540</f>
        <v>160650</v>
      </c>
      <c r="BS540" s="39"/>
      <c r="BT540" s="39"/>
      <c r="BU540" s="39"/>
      <c r="BV540" s="212"/>
      <c r="BW540" s="219"/>
      <c r="BX540" s="273"/>
      <c r="BY540" s="214"/>
      <c r="BZ540" s="213"/>
      <c r="CA540" s="213"/>
      <c r="CB540" s="274"/>
      <c r="CC540" s="274"/>
      <c r="CD540" s="274"/>
      <c r="CE540" s="39"/>
      <c r="CF540" s="39"/>
      <c r="CG540" s="39"/>
      <c r="CH540" s="274"/>
      <c r="CI540" s="274"/>
      <c r="CJ540" s="274"/>
      <c r="CK540" s="39"/>
      <c r="CL540" s="39"/>
      <c r="CM540" s="39"/>
      <c r="CN540" s="39"/>
      <c r="CO540" s="39"/>
      <c r="CP540" s="11"/>
      <c r="CQ540" s="11"/>
      <c r="CR540" s="11"/>
      <c r="CS540" s="11"/>
      <c r="CT540" s="11"/>
      <c r="CU540" s="11"/>
      <c r="CV540" s="11"/>
      <c r="CW540" s="11"/>
      <c r="CX540" s="11"/>
      <c r="CY540" s="11"/>
      <c r="CZ540" s="11"/>
      <c r="DA540" s="11"/>
      <c r="DB540" s="11"/>
      <c r="DC540" s="11"/>
      <c r="DD540" s="11"/>
      <c r="DE540" s="11"/>
      <c r="DF540" s="11"/>
      <c r="DG540" s="11"/>
      <c r="DH540" s="11"/>
      <c r="DI540" s="11"/>
      <c r="DJ540" s="11"/>
      <c r="DK540" s="11"/>
      <c r="DL540" s="274"/>
      <c r="DM540" s="274"/>
      <c r="DN540" s="274"/>
      <c r="DO540" s="274"/>
      <c r="DP540" s="274"/>
      <c r="DQ540" s="274"/>
      <c r="DR540" s="274"/>
      <c r="DS540" s="274"/>
      <c r="DT540" s="274"/>
      <c r="DU540" s="274"/>
      <c r="DV540" s="274"/>
      <c r="DW540" s="274"/>
      <c r="DX540" s="274"/>
      <c r="DY540" s="274"/>
      <c r="DZ540" s="274"/>
      <c r="EA540" s="274"/>
      <c r="EB540" s="274"/>
      <c r="EC540" s="274"/>
      <c r="ED540" s="39">
        <f t="shared" si="177"/>
        <v>7540078</v>
      </c>
      <c r="EE540" s="30">
        <f t="shared" si="178"/>
        <v>3</v>
      </c>
      <c r="EF540" s="39">
        <f t="shared" si="179"/>
        <v>2513359.3333333335</v>
      </c>
    </row>
    <row r="541" spans="1:136" x14ac:dyDescent="0.25">
      <c r="A541" s="25" t="e">
        <f>#REF!</f>
        <v>#REF!</v>
      </c>
      <c r="B541" s="50" t="e">
        <f>#REF!</f>
        <v>#REF!</v>
      </c>
      <c r="C541" s="5" t="e">
        <f>#REF!</f>
        <v>#REF!</v>
      </c>
      <c r="D541" s="5" t="e">
        <f>#REF!</f>
        <v>#REF!</v>
      </c>
      <c r="E541" s="252">
        <v>1</v>
      </c>
      <c r="F541" s="249">
        <v>0</v>
      </c>
      <c r="G541" s="249">
        <v>0</v>
      </c>
      <c r="H541" s="249">
        <v>0</v>
      </c>
      <c r="I541" s="249">
        <v>0</v>
      </c>
      <c r="J541" s="249">
        <v>357000</v>
      </c>
      <c r="K541" s="249">
        <v>0</v>
      </c>
      <c r="L541" s="274">
        <f>J541</f>
        <v>357000</v>
      </c>
      <c r="M541" s="274"/>
      <c r="N541" s="255"/>
      <c r="O541" s="135"/>
      <c r="P541" s="135"/>
      <c r="Q541" s="131"/>
      <c r="R541" s="131"/>
      <c r="S541" s="11"/>
      <c r="T541" s="274"/>
      <c r="U541" s="274"/>
      <c r="V541" s="274"/>
      <c r="W541" s="39"/>
      <c r="X541" s="11"/>
      <c r="Y541" s="11"/>
      <c r="Z541" s="274"/>
      <c r="AA541" s="274"/>
      <c r="AB541" s="274"/>
      <c r="AC541" s="54"/>
      <c r="AD541" s="22"/>
      <c r="AE541" s="39"/>
      <c r="AF541" s="274"/>
      <c r="AG541" s="274"/>
      <c r="AH541" s="172"/>
      <c r="AI541" s="4"/>
      <c r="AJ541" s="39"/>
      <c r="AK541" s="39"/>
      <c r="AL541" s="118"/>
      <c r="AM541" s="152"/>
      <c r="AN541" s="181"/>
      <c r="AO541" s="131"/>
      <c r="AP541" s="131"/>
      <c r="AQ541" s="39"/>
      <c r="AR541" s="274"/>
      <c r="AS541" s="274"/>
      <c r="AT541" s="274"/>
      <c r="AU541" s="39"/>
      <c r="AV541" s="39"/>
      <c r="AW541" s="39"/>
      <c r="AX541" s="274"/>
      <c r="AY541" s="274"/>
      <c r="AZ541" s="274"/>
      <c r="BA541" s="39"/>
      <c r="BB541" s="62"/>
      <c r="BC541" s="39"/>
      <c r="BD541" s="274"/>
      <c r="BE541" s="274"/>
      <c r="BF541" s="274"/>
      <c r="BG541" s="39"/>
      <c r="BH541" s="39"/>
      <c r="BI541" s="39"/>
      <c r="BJ541" s="274"/>
      <c r="BK541" s="274"/>
      <c r="BL541" s="274"/>
      <c r="BM541" s="213"/>
      <c r="BN541" s="213"/>
      <c r="BO541" s="39"/>
      <c r="BP541" s="274"/>
      <c r="BQ541" s="274"/>
      <c r="BR541" s="274"/>
      <c r="BS541" s="39"/>
      <c r="BT541" s="39"/>
      <c r="BU541" s="39"/>
      <c r="BV541" s="212"/>
      <c r="BW541" s="220"/>
      <c r="BX541" s="273"/>
      <c r="BY541" s="213"/>
      <c r="BZ541" s="213"/>
      <c r="CA541" s="213"/>
      <c r="CB541" s="275"/>
      <c r="CC541" s="274"/>
      <c r="CD541" s="274"/>
      <c r="CE541" s="39"/>
      <c r="CF541" s="39"/>
      <c r="CG541" s="39"/>
      <c r="CH541" s="274"/>
      <c r="CI541" s="274"/>
      <c r="CJ541" s="274"/>
      <c r="CK541" s="39"/>
      <c r="CL541" s="39"/>
      <c r="CM541" s="39"/>
      <c r="CN541" s="39"/>
      <c r="CO541" s="39"/>
      <c r="CP541" s="11"/>
      <c r="CQ541" s="11"/>
      <c r="CR541" s="11"/>
      <c r="CS541" s="11"/>
      <c r="CT541" s="11"/>
      <c r="CU541" s="11"/>
      <c r="CV541" s="11"/>
      <c r="CW541" s="11"/>
      <c r="CX541" s="11"/>
      <c r="CY541" s="11"/>
      <c r="CZ541" s="11"/>
      <c r="DA541" s="11"/>
      <c r="DB541" s="11"/>
      <c r="DC541" s="11"/>
      <c r="DD541" s="11"/>
      <c r="DE541" s="11"/>
      <c r="DF541" s="11"/>
      <c r="DG541" s="11"/>
      <c r="DH541" s="11"/>
      <c r="DI541" s="11"/>
      <c r="DJ541" s="11"/>
      <c r="DK541" s="11"/>
      <c r="DL541" s="274"/>
      <c r="DM541" s="274"/>
      <c r="DN541" s="274"/>
      <c r="DO541" s="274"/>
      <c r="DP541" s="274"/>
      <c r="DQ541" s="274"/>
      <c r="DR541" s="274"/>
      <c r="DS541" s="274"/>
      <c r="DT541" s="274"/>
      <c r="DU541" s="274"/>
      <c r="DV541" s="274"/>
      <c r="DW541" s="274"/>
      <c r="DX541" s="274"/>
      <c r="DY541" s="274"/>
      <c r="DZ541" s="274"/>
      <c r="EA541" s="274"/>
      <c r="EB541" s="274"/>
      <c r="EC541" s="274"/>
      <c r="ED541" s="39">
        <f t="shared" si="177"/>
        <v>0</v>
      </c>
      <c r="EE541" s="30">
        <f t="shared" si="178"/>
        <v>0</v>
      </c>
      <c r="EF541" s="39" t="str">
        <f t="shared" si="179"/>
        <v xml:space="preserve"> </v>
      </c>
    </row>
    <row r="542" spans="1:136" x14ac:dyDescent="0.25">
      <c r="A542" s="25" t="e">
        <f>#REF!</f>
        <v>#REF!</v>
      </c>
      <c r="B542" s="50" t="e">
        <f>#REF!</f>
        <v>#REF!</v>
      </c>
      <c r="C542" s="5" t="e">
        <f>#REF!</f>
        <v>#REF!</v>
      </c>
      <c r="D542" s="5" t="e">
        <f>#REF!</f>
        <v>#REF!</v>
      </c>
      <c r="E542" s="252">
        <v>1</v>
      </c>
      <c r="F542" s="249">
        <v>0</v>
      </c>
      <c r="G542" s="249">
        <v>0</v>
      </c>
      <c r="H542" s="249">
        <v>0</v>
      </c>
      <c r="I542" s="249">
        <v>0</v>
      </c>
      <c r="J542" s="249">
        <v>0</v>
      </c>
      <c r="K542" s="249">
        <v>0</v>
      </c>
      <c r="L542" s="274"/>
      <c r="M542" s="274"/>
      <c r="N542" s="256"/>
      <c r="O542" s="135"/>
      <c r="P542" s="135"/>
      <c r="Q542" s="131"/>
      <c r="R542" s="131"/>
      <c r="S542" s="11"/>
      <c r="T542" s="274"/>
      <c r="U542" s="274"/>
      <c r="V542" s="274"/>
      <c r="W542" s="39"/>
      <c r="X542" s="11"/>
      <c r="Y542" s="11"/>
      <c r="Z542" s="274"/>
      <c r="AA542" s="274"/>
      <c r="AB542" s="274"/>
      <c r="AC542" s="52"/>
      <c r="AD542" s="22"/>
      <c r="AE542" s="39"/>
      <c r="AF542" s="274"/>
      <c r="AG542" s="274"/>
      <c r="AH542" s="171"/>
      <c r="AI542" s="22"/>
      <c r="AJ542" s="39"/>
      <c r="AK542" s="39"/>
      <c r="AL542" s="118"/>
      <c r="AM542" s="152"/>
      <c r="AN542" s="181"/>
      <c r="AO542" s="131"/>
      <c r="AP542" s="131"/>
      <c r="AQ542" s="39"/>
      <c r="AR542" s="274"/>
      <c r="AS542" s="274"/>
      <c r="AT542" s="274"/>
      <c r="AU542" s="39"/>
      <c r="AV542" s="39"/>
      <c r="AW542" s="39"/>
      <c r="AX542" s="274"/>
      <c r="AY542" s="274"/>
      <c r="AZ542" s="274"/>
      <c r="BA542" s="39"/>
      <c r="BB542" s="62"/>
      <c r="BC542" s="39"/>
      <c r="BD542" s="274"/>
      <c r="BE542" s="274"/>
      <c r="BF542" s="274"/>
      <c r="BG542" s="39"/>
      <c r="BH542" s="39"/>
      <c r="BI542" s="39"/>
      <c r="BJ542" s="274"/>
      <c r="BK542" s="274"/>
      <c r="BL542" s="274"/>
      <c r="BM542" s="213"/>
      <c r="BN542" s="213"/>
      <c r="BO542" s="39"/>
      <c r="BP542" s="274"/>
      <c r="BQ542" s="274"/>
      <c r="BR542" s="274"/>
      <c r="BS542" s="39"/>
      <c r="BT542" s="39"/>
      <c r="BU542" s="39"/>
      <c r="BV542" s="212"/>
      <c r="BW542" s="220"/>
      <c r="BX542" s="273"/>
      <c r="BY542" s="213"/>
      <c r="BZ542" s="213"/>
      <c r="CA542" s="213"/>
      <c r="CB542" s="274"/>
      <c r="CC542" s="274"/>
      <c r="CD542" s="274"/>
      <c r="CE542" s="39"/>
      <c r="CF542" s="39"/>
      <c r="CG542" s="39"/>
      <c r="CH542" s="275"/>
      <c r="CI542" s="275"/>
      <c r="CJ542" s="275"/>
      <c r="CK542" s="39"/>
      <c r="CL542" s="39"/>
      <c r="CM542" s="39"/>
      <c r="CN542" s="39"/>
      <c r="CO542" s="39"/>
      <c r="CP542" s="11"/>
      <c r="CQ542" s="11"/>
      <c r="CR542" s="11"/>
      <c r="CS542" s="11"/>
      <c r="CT542" s="11"/>
      <c r="CU542" s="11"/>
      <c r="CV542" s="11"/>
      <c r="CW542" s="11"/>
      <c r="CX542" s="11"/>
      <c r="CY542" s="11"/>
      <c r="CZ542" s="11"/>
      <c r="DA542" s="11"/>
      <c r="DB542" s="11"/>
      <c r="DC542" s="11"/>
      <c r="DD542" s="11"/>
      <c r="DE542" s="11"/>
      <c r="DF542" s="11"/>
      <c r="DG542" s="11"/>
      <c r="DH542" s="11"/>
      <c r="DI542" s="11"/>
      <c r="DJ542" s="11"/>
      <c r="DK542" s="11"/>
      <c r="DL542" s="274"/>
      <c r="DM542" s="274"/>
      <c r="DN542" s="274"/>
      <c r="DO542" s="274"/>
      <c r="DP542" s="274"/>
      <c r="DQ542" s="274"/>
      <c r="DR542" s="274"/>
      <c r="DS542" s="274"/>
      <c r="DT542" s="274"/>
      <c r="DU542" s="274"/>
      <c r="DV542" s="274"/>
      <c r="DW542" s="274"/>
      <c r="DX542" s="274"/>
      <c r="DY542" s="274"/>
      <c r="DZ542" s="274"/>
      <c r="EA542" s="274"/>
      <c r="EB542" s="274"/>
      <c r="EC542" s="274"/>
      <c r="ED542" s="39">
        <f t="shared" si="177"/>
        <v>0</v>
      </c>
      <c r="EE542" s="30">
        <f t="shared" si="178"/>
        <v>0</v>
      </c>
      <c r="EF542" s="39" t="str">
        <f t="shared" si="179"/>
        <v xml:space="preserve"> </v>
      </c>
    </row>
    <row r="543" spans="1:136" ht="36" x14ac:dyDescent="0.25">
      <c r="A543" s="25" t="e">
        <f>#REF!</f>
        <v>#REF!</v>
      </c>
      <c r="B543" s="50" t="e">
        <f>#REF!</f>
        <v>#REF!</v>
      </c>
      <c r="C543" s="5" t="e">
        <f>#REF!</f>
        <v>#REF!</v>
      </c>
      <c r="D543" s="5" t="e">
        <f>#REF!</f>
        <v>#REF!</v>
      </c>
      <c r="E543" s="252">
        <v>1</v>
      </c>
      <c r="F543" s="249">
        <v>0</v>
      </c>
      <c r="G543" s="249">
        <v>0</v>
      </c>
      <c r="H543" s="249">
        <v>0</v>
      </c>
      <c r="I543" s="249">
        <v>0</v>
      </c>
      <c r="J543" s="249">
        <v>312151.875</v>
      </c>
      <c r="K543" s="249">
        <v>309400</v>
      </c>
      <c r="L543" s="274">
        <f>J543</f>
        <v>312151.875</v>
      </c>
      <c r="M543" s="274">
        <f>K543*E1</f>
        <v>318682</v>
      </c>
      <c r="N543" s="255">
        <v>270000</v>
      </c>
      <c r="O543" s="135">
        <f>+N543*0.19</f>
        <v>51300</v>
      </c>
      <c r="P543" s="135">
        <f>+N543+O543</f>
        <v>321300</v>
      </c>
      <c r="Q543" s="131"/>
      <c r="R543" s="131"/>
      <c r="S543" s="11"/>
      <c r="T543" s="274"/>
      <c r="U543" s="274"/>
      <c r="V543" s="274"/>
      <c r="W543" s="39"/>
      <c r="X543" s="11"/>
      <c r="Y543" s="11"/>
      <c r="Z543" s="274"/>
      <c r="AA543" s="274"/>
      <c r="AB543" s="274"/>
      <c r="AC543" s="54"/>
      <c r="AD543" s="22"/>
      <c r="AE543" s="39"/>
      <c r="AF543" s="274"/>
      <c r="AG543" s="274"/>
      <c r="AH543" s="172"/>
      <c r="AI543" s="4"/>
      <c r="AJ543" s="39"/>
      <c r="AK543" s="39"/>
      <c r="AL543" s="118"/>
      <c r="AM543" s="152"/>
      <c r="AN543" s="181"/>
      <c r="AO543" s="131"/>
      <c r="AP543" s="131"/>
      <c r="AQ543" s="39"/>
      <c r="AR543" s="274"/>
      <c r="AS543" s="274"/>
      <c r="AT543" s="274"/>
      <c r="AU543" s="39"/>
      <c r="AV543" s="39"/>
      <c r="AW543" s="39"/>
      <c r="AX543" s="274"/>
      <c r="AY543" s="274"/>
      <c r="AZ543" s="274"/>
      <c r="BA543" s="39"/>
      <c r="BB543" s="62"/>
      <c r="BC543" s="39"/>
      <c r="BD543" s="274"/>
      <c r="BE543" s="274"/>
      <c r="BF543" s="274"/>
      <c r="BG543" s="39"/>
      <c r="BH543" s="39"/>
      <c r="BI543" s="39"/>
      <c r="BJ543" s="274">
        <v>873100</v>
      </c>
      <c r="BK543" s="274">
        <f>+BJ543*0.19</f>
        <v>165889</v>
      </c>
      <c r="BL543" s="274">
        <f>+BJ543+BK543</f>
        <v>1038989</v>
      </c>
      <c r="BM543" s="213" t="s">
        <v>4754</v>
      </c>
      <c r="BN543" s="213" t="s">
        <v>469</v>
      </c>
      <c r="BO543" s="39"/>
      <c r="BP543" s="274"/>
      <c r="BQ543" s="274"/>
      <c r="BR543" s="274"/>
      <c r="BS543" s="39"/>
      <c r="BT543" s="39"/>
      <c r="BU543" s="39"/>
      <c r="BV543" s="219">
        <v>981488.38020000001</v>
      </c>
      <c r="BW543" s="219">
        <f>+BV543*0.19</f>
        <v>186482.79223799999</v>
      </c>
      <c r="BX543" s="273">
        <f>+BV543+BW543</f>
        <v>1167971.1724380001</v>
      </c>
      <c r="BY543" s="213" t="s">
        <v>4754</v>
      </c>
      <c r="BZ543" s="213" t="s">
        <v>469</v>
      </c>
      <c r="CA543" s="213"/>
      <c r="CB543" s="275"/>
      <c r="CC543" s="274"/>
      <c r="CD543" s="274"/>
      <c r="CE543" s="39"/>
      <c r="CF543" s="39"/>
      <c r="CG543" s="39"/>
      <c r="CH543" s="274"/>
      <c r="CI543" s="274"/>
      <c r="CJ543" s="274"/>
      <c r="CK543" s="39"/>
      <c r="CL543" s="39"/>
      <c r="CM543" s="39"/>
      <c r="CN543" s="39"/>
      <c r="CO543" s="39"/>
      <c r="CP543" s="11"/>
      <c r="CQ543" s="11"/>
      <c r="CR543" s="11"/>
      <c r="CS543" s="11"/>
      <c r="CT543" s="11"/>
      <c r="CU543" s="11"/>
      <c r="CV543" s="11"/>
      <c r="CW543" s="11"/>
      <c r="CX543" s="11"/>
      <c r="CY543" s="11"/>
      <c r="CZ543" s="11"/>
      <c r="DA543" s="11"/>
      <c r="DB543" s="11"/>
      <c r="DC543" s="11"/>
      <c r="DD543" s="11"/>
      <c r="DE543" s="11"/>
      <c r="DF543" s="11"/>
      <c r="DG543" s="11"/>
      <c r="DH543" s="11"/>
      <c r="DI543" s="11"/>
      <c r="DJ543" s="11"/>
      <c r="DK543" s="11"/>
      <c r="DL543" s="274"/>
      <c r="DM543" s="274"/>
      <c r="DN543" s="274"/>
      <c r="DO543" s="274"/>
      <c r="DP543" s="274"/>
      <c r="DQ543" s="274"/>
      <c r="DR543" s="274"/>
      <c r="DS543" s="274"/>
      <c r="DT543" s="274"/>
      <c r="DU543" s="274"/>
      <c r="DV543" s="274"/>
      <c r="DW543" s="274"/>
      <c r="DX543" s="274"/>
      <c r="DY543" s="274"/>
      <c r="DZ543" s="274"/>
      <c r="EA543" s="274"/>
      <c r="EB543" s="274"/>
      <c r="EC543" s="274"/>
      <c r="ED543" s="39">
        <f t="shared" si="177"/>
        <v>2846942.1724380003</v>
      </c>
      <c r="EE543" s="30">
        <f t="shared" si="178"/>
        <v>4</v>
      </c>
      <c r="EF543" s="39">
        <f t="shared" si="179"/>
        <v>711735.54310950008</v>
      </c>
    </row>
    <row r="544" spans="1:136" x14ac:dyDescent="0.25">
      <c r="A544" s="25" t="e">
        <f>#REF!</f>
        <v>#REF!</v>
      </c>
      <c r="B544" s="50" t="e">
        <f>#REF!</f>
        <v>#REF!</v>
      </c>
      <c r="C544" s="5" t="e">
        <f>#REF!</f>
        <v>#REF!</v>
      </c>
      <c r="D544" s="5" t="e">
        <f>#REF!</f>
        <v>#REF!</v>
      </c>
      <c r="E544" s="252">
        <v>1</v>
      </c>
      <c r="F544" s="249">
        <v>170170</v>
      </c>
      <c r="G544" s="249">
        <v>0</v>
      </c>
      <c r="H544" s="249">
        <v>696150</v>
      </c>
      <c r="I544" s="249">
        <v>0</v>
      </c>
      <c r="J544" s="249">
        <v>1107112.5333333332</v>
      </c>
      <c r="K544" s="249">
        <v>1106700</v>
      </c>
      <c r="L544" s="274">
        <f>AVERAGE(F544,H544,J544)</f>
        <v>657810.8444444444</v>
      </c>
      <c r="M544" s="274">
        <f>K544*E1</f>
        <v>1139901</v>
      </c>
      <c r="N544" s="256"/>
      <c r="O544" s="135"/>
      <c r="P544" s="135"/>
      <c r="Q544" s="131"/>
      <c r="R544" s="131"/>
      <c r="S544" s="11"/>
      <c r="T544" s="274"/>
      <c r="U544" s="274"/>
      <c r="V544" s="274"/>
      <c r="W544" s="39"/>
      <c r="X544" s="11"/>
      <c r="Y544" s="11"/>
      <c r="Z544" s="274"/>
      <c r="AA544" s="274"/>
      <c r="AB544" s="274"/>
      <c r="AC544" s="4"/>
      <c r="AD544" s="23"/>
      <c r="AE544" s="39"/>
      <c r="AF544" s="274"/>
      <c r="AG544" s="274"/>
      <c r="AH544" s="121"/>
      <c r="AI544" s="24"/>
      <c r="AJ544" s="39"/>
      <c r="AK544" s="39"/>
      <c r="AL544" s="118"/>
      <c r="AM544" s="152"/>
      <c r="AN544" s="181"/>
      <c r="AO544" s="131"/>
      <c r="AP544" s="131"/>
      <c r="AQ544" s="39"/>
      <c r="AR544" s="274"/>
      <c r="AS544" s="274"/>
      <c r="AT544" s="274"/>
      <c r="AU544" s="39"/>
      <c r="AV544" s="39"/>
      <c r="AW544" s="39"/>
      <c r="AX544" s="274"/>
      <c r="AY544" s="274"/>
      <c r="AZ544" s="274"/>
      <c r="BA544" s="39"/>
      <c r="BB544" s="62"/>
      <c r="BC544" s="39"/>
      <c r="BD544" s="274"/>
      <c r="BE544" s="274"/>
      <c r="BF544" s="274"/>
      <c r="BG544" s="39"/>
      <c r="BH544" s="39"/>
      <c r="BI544" s="39"/>
      <c r="BJ544" s="274">
        <v>1884400</v>
      </c>
      <c r="BK544" s="274">
        <f>+BJ544*0.19</f>
        <v>358036</v>
      </c>
      <c r="BL544" s="274">
        <f>+BJ544+BK544</f>
        <v>2242436</v>
      </c>
      <c r="BM544" s="213" t="s">
        <v>4754</v>
      </c>
      <c r="BN544" s="213" t="s">
        <v>338</v>
      </c>
      <c r="BO544" s="39"/>
      <c r="BP544" s="274"/>
      <c r="BQ544" s="274"/>
      <c r="BR544" s="274"/>
      <c r="BS544" s="39"/>
      <c r="BT544" s="39"/>
      <c r="BU544" s="39"/>
      <c r="BV544" s="212">
        <v>2056835.7908000003</v>
      </c>
      <c r="BW544" s="219">
        <f>+BV544*0.19</f>
        <v>390798.80025200004</v>
      </c>
      <c r="BX544" s="273">
        <f>+BV544+BW544</f>
        <v>2447634.5910520004</v>
      </c>
      <c r="BY544" s="213" t="s">
        <v>4754</v>
      </c>
      <c r="BZ544" s="213" t="s">
        <v>338</v>
      </c>
      <c r="CA544" s="213"/>
      <c r="CB544" s="274"/>
      <c r="CC544" s="274"/>
      <c r="CD544" s="274"/>
      <c r="CE544" s="39"/>
      <c r="CF544" s="39"/>
      <c r="CG544" s="39"/>
      <c r="CH544" s="275"/>
      <c r="CI544" s="275"/>
      <c r="CJ544" s="275"/>
      <c r="CK544" s="39"/>
      <c r="CL544" s="39"/>
      <c r="CM544" s="39"/>
      <c r="CN544" s="39"/>
      <c r="CO544" s="39"/>
      <c r="CP544" s="11"/>
      <c r="CQ544" s="11"/>
      <c r="CR544" s="11"/>
      <c r="CS544" s="11"/>
      <c r="CT544" s="11"/>
      <c r="CU544" s="11"/>
      <c r="CV544" s="11"/>
      <c r="CW544" s="11"/>
      <c r="CX544" s="11"/>
      <c r="CY544" s="11"/>
      <c r="CZ544" s="11"/>
      <c r="DA544" s="11"/>
      <c r="DB544" s="11"/>
      <c r="DC544" s="11"/>
      <c r="DD544" s="11"/>
      <c r="DE544" s="11"/>
      <c r="DF544" s="11"/>
      <c r="DG544" s="11"/>
      <c r="DH544" s="11"/>
      <c r="DI544" s="11"/>
      <c r="DJ544" s="11"/>
      <c r="DK544" s="11"/>
      <c r="DL544" s="274"/>
      <c r="DM544" s="274"/>
      <c r="DN544" s="274"/>
      <c r="DO544" s="274"/>
      <c r="DP544" s="274"/>
      <c r="DQ544" s="274"/>
      <c r="DR544" s="274"/>
      <c r="DS544" s="274"/>
      <c r="DT544" s="274"/>
      <c r="DU544" s="274"/>
      <c r="DV544" s="274"/>
      <c r="DW544" s="274"/>
      <c r="DX544" s="274"/>
      <c r="DY544" s="274"/>
      <c r="DZ544" s="274"/>
      <c r="EA544" s="274"/>
      <c r="EB544" s="274"/>
      <c r="EC544" s="274"/>
      <c r="ED544" s="39">
        <f t="shared" si="177"/>
        <v>5829971.5910520004</v>
      </c>
      <c r="EE544" s="30">
        <f t="shared" si="178"/>
        <v>3</v>
      </c>
      <c r="EF544" s="39">
        <f t="shared" si="179"/>
        <v>1943323.8636840002</v>
      </c>
    </row>
    <row r="545" spans="1:136" x14ac:dyDescent="0.25">
      <c r="A545" s="25" t="e">
        <f>#REF!</f>
        <v>#REF!</v>
      </c>
      <c r="B545" s="50" t="e">
        <f>#REF!</f>
        <v>#REF!</v>
      </c>
      <c r="C545" s="5" t="e">
        <f>#REF!</f>
        <v>#REF!</v>
      </c>
      <c r="D545" s="5" t="e">
        <f>#REF!</f>
        <v>#REF!</v>
      </c>
      <c r="E545" s="252">
        <v>1</v>
      </c>
      <c r="F545" s="249">
        <v>0</v>
      </c>
      <c r="G545" s="249">
        <v>0</v>
      </c>
      <c r="H545" s="249">
        <v>238000</v>
      </c>
      <c r="I545" s="249">
        <v>0</v>
      </c>
      <c r="J545" s="249">
        <v>0</v>
      </c>
      <c r="K545" s="249">
        <v>0</v>
      </c>
      <c r="L545" s="274">
        <f>H545</f>
        <v>238000</v>
      </c>
      <c r="M545" s="274"/>
      <c r="N545" s="255"/>
      <c r="O545" s="135"/>
      <c r="P545" s="135"/>
      <c r="Q545" s="131"/>
      <c r="R545" s="131"/>
      <c r="S545" s="11"/>
      <c r="T545" s="274"/>
      <c r="U545" s="274"/>
      <c r="V545" s="274"/>
      <c r="W545" s="39"/>
      <c r="X545" s="11"/>
      <c r="Y545" s="11"/>
      <c r="Z545" s="274"/>
      <c r="AA545" s="274"/>
      <c r="AB545" s="274"/>
      <c r="AC545" s="5"/>
      <c r="AD545" s="22"/>
      <c r="AE545" s="39"/>
      <c r="AF545" s="274"/>
      <c r="AG545" s="274"/>
      <c r="AH545" s="169"/>
      <c r="AI545" s="4"/>
      <c r="AJ545" s="39"/>
      <c r="AK545" s="39"/>
      <c r="AL545" s="118"/>
      <c r="AM545" s="152"/>
      <c r="AN545" s="181"/>
      <c r="AO545" s="131"/>
      <c r="AP545" s="131"/>
      <c r="AQ545" s="39"/>
      <c r="AR545" s="274"/>
      <c r="AS545" s="274"/>
      <c r="AT545" s="274"/>
      <c r="AU545" s="39"/>
      <c r="AV545" s="39"/>
      <c r="AW545" s="39"/>
      <c r="AX545" s="274"/>
      <c r="AY545" s="274"/>
      <c r="AZ545" s="274"/>
      <c r="BA545" s="39"/>
      <c r="BB545" s="62"/>
      <c r="BC545" s="39"/>
      <c r="BD545" s="274"/>
      <c r="BE545" s="274"/>
      <c r="BF545" s="274"/>
      <c r="BG545" s="39"/>
      <c r="BH545" s="39"/>
      <c r="BI545" s="39"/>
      <c r="BJ545" s="274"/>
      <c r="BK545" s="274"/>
      <c r="BL545" s="274"/>
      <c r="BM545" s="213"/>
      <c r="BN545" s="213"/>
      <c r="BO545" s="39"/>
      <c r="BP545" s="274"/>
      <c r="BQ545" s="274"/>
      <c r="BR545" s="274"/>
      <c r="BS545" s="39"/>
      <c r="BT545" s="39"/>
      <c r="BU545" s="39"/>
      <c r="BV545" s="212"/>
      <c r="BW545" s="220"/>
      <c r="BX545" s="273"/>
      <c r="BY545" s="213"/>
      <c r="BZ545" s="213"/>
      <c r="CA545" s="213"/>
      <c r="CB545" s="274"/>
      <c r="CC545" s="274"/>
      <c r="CD545" s="274"/>
      <c r="CE545" s="39"/>
      <c r="CF545" s="39"/>
      <c r="CG545" s="39"/>
      <c r="CH545" s="274"/>
      <c r="CI545" s="274"/>
      <c r="CJ545" s="274"/>
      <c r="CK545" s="39"/>
      <c r="CL545" s="39"/>
      <c r="CM545" s="39"/>
      <c r="CN545" s="39"/>
      <c r="CO545" s="39"/>
      <c r="CP545" s="11"/>
      <c r="CQ545" s="11"/>
      <c r="CR545" s="11"/>
      <c r="CS545" s="11"/>
      <c r="CT545" s="11"/>
      <c r="CU545" s="11"/>
      <c r="CV545" s="11"/>
      <c r="CW545" s="11"/>
      <c r="CX545" s="11"/>
      <c r="CY545" s="11"/>
      <c r="CZ545" s="11"/>
      <c r="DA545" s="11"/>
      <c r="DB545" s="11"/>
      <c r="DC545" s="11"/>
      <c r="DD545" s="11"/>
      <c r="DE545" s="11"/>
      <c r="DF545" s="11"/>
      <c r="DG545" s="11"/>
      <c r="DH545" s="11"/>
      <c r="DI545" s="11"/>
      <c r="DJ545" s="11"/>
      <c r="DK545" s="11"/>
      <c r="DL545" s="274"/>
      <c r="DM545" s="274"/>
      <c r="DN545" s="274"/>
      <c r="DO545" s="274"/>
      <c r="DP545" s="274"/>
      <c r="DQ545" s="274"/>
      <c r="DR545" s="274"/>
      <c r="DS545" s="274"/>
      <c r="DT545" s="274"/>
      <c r="DU545" s="274"/>
      <c r="DV545" s="274"/>
      <c r="DW545" s="274"/>
      <c r="DX545" s="274"/>
      <c r="DY545" s="274"/>
      <c r="DZ545" s="274"/>
      <c r="EA545" s="274"/>
      <c r="EB545" s="274"/>
      <c r="EC545" s="274"/>
      <c r="ED545" s="39">
        <f t="shared" si="177"/>
        <v>0</v>
      </c>
      <c r="EE545" s="30">
        <f t="shared" si="178"/>
        <v>0</v>
      </c>
      <c r="EF545" s="39" t="str">
        <f t="shared" si="179"/>
        <v xml:space="preserve"> </v>
      </c>
    </row>
    <row r="546" spans="1:136" x14ac:dyDescent="0.25">
      <c r="A546" s="25" t="e">
        <f>#REF!</f>
        <v>#REF!</v>
      </c>
      <c r="B546" s="50" t="e">
        <f>#REF!</f>
        <v>#REF!</v>
      </c>
      <c r="C546" s="5" t="e">
        <f>#REF!</f>
        <v>#REF!</v>
      </c>
      <c r="D546" s="5" t="e">
        <f>#REF!</f>
        <v>#REF!</v>
      </c>
      <c r="E546" s="252">
        <v>1</v>
      </c>
      <c r="F546" s="249">
        <v>0</v>
      </c>
      <c r="G546" s="249">
        <v>0</v>
      </c>
      <c r="H546" s="249">
        <v>297500</v>
      </c>
      <c r="I546" s="249">
        <v>0</v>
      </c>
      <c r="J546" s="249">
        <v>357000</v>
      </c>
      <c r="K546" s="249">
        <v>0</v>
      </c>
      <c r="L546" s="274">
        <f>AVERAGE(H546,J546)</f>
        <v>327250</v>
      </c>
      <c r="M546" s="274"/>
      <c r="N546" s="255">
        <v>400000</v>
      </c>
      <c r="O546" s="135">
        <f>+N546*0.19</f>
        <v>76000</v>
      </c>
      <c r="P546" s="135">
        <f>+N546+O546</f>
        <v>476000</v>
      </c>
      <c r="Q546" s="131"/>
      <c r="R546" s="131"/>
      <c r="S546" s="11"/>
      <c r="T546" s="274"/>
      <c r="U546" s="274"/>
      <c r="V546" s="274"/>
      <c r="W546" s="39"/>
      <c r="X546" s="11"/>
      <c r="Y546" s="11"/>
      <c r="Z546" s="274"/>
      <c r="AA546" s="274"/>
      <c r="AB546" s="274"/>
      <c r="AC546" s="5"/>
      <c r="AD546" s="22"/>
      <c r="AE546" s="39"/>
      <c r="AF546" s="274"/>
      <c r="AG546" s="274"/>
      <c r="AH546" s="169"/>
      <c r="AI546" s="4"/>
      <c r="AJ546" s="39"/>
      <c r="AK546" s="39"/>
      <c r="AL546" s="118"/>
      <c r="AM546" s="152"/>
      <c r="AN546" s="181"/>
      <c r="AO546" s="131"/>
      <c r="AP546" s="131"/>
      <c r="AQ546" s="39"/>
      <c r="AR546" s="274"/>
      <c r="AS546" s="274"/>
      <c r="AT546" s="274"/>
      <c r="AU546" s="39"/>
      <c r="AV546" s="39"/>
      <c r="AW546" s="39"/>
      <c r="AX546" s="274"/>
      <c r="AY546" s="274"/>
      <c r="AZ546" s="274"/>
      <c r="BA546" s="39"/>
      <c r="BB546" s="62"/>
      <c r="BC546" s="39"/>
      <c r="BD546" s="274"/>
      <c r="BE546" s="274"/>
      <c r="BF546" s="274"/>
      <c r="BG546" s="39"/>
      <c r="BH546" s="39"/>
      <c r="BI546" s="39"/>
      <c r="BJ546" s="274">
        <v>400000</v>
      </c>
      <c r="BK546" s="274">
        <f>+BJ546*0.19</f>
        <v>76000</v>
      </c>
      <c r="BL546" s="274">
        <f>+BJ546+BK546</f>
        <v>476000</v>
      </c>
      <c r="BM546" s="213" t="s">
        <v>196</v>
      </c>
      <c r="BN546" s="213" t="s">
        <v>4776</v>
      </c>
      <c r="BO546" s="39"/>
      <c r="BP546" s="274"/>
      <c r="BQ546" s="274"/>
      <c r="BR546" s="274"/>
      <c r="BS546" s="39"/>
      <c r="BT546" s="39"/>
      <c r="BU546" s="39"/>
      <c r="BV546" s="219">
        <v>437049.60000000003</v>
      </c>
      <c r="BW546" s="219">
        <f>+BV546*0.19</f>
        <v>83039.424000000014</v>
      </c>
      <c r="BX546" s="273">
        <f>+BV546+BW546</f>
        <v>520089.02400000003</v>
      </c>
      <c r="BY546" s="213" t="s">
        <v>196</v>
      </c>
      <c r="BZ546" s="213" t="s">
        <v>4776</v>
      </c>
      <c r="CA546" s="213"/>
      <c r="CB546" s="274"/>
      <c r="CC546" s="274"/>
      <c r="CD546" s="274"/>
      <c r="CE546" s="39"/>
      <c r="CF546" s="39"/>
      <c r="CG546" s="39"/>
      <c r="CH546" s="274"/>
      <c r="CI546" s="274"/>
      <c r="CJ546" s="274"/>
      <c r="CK546" s="39"/>
      <c r="CL546" s="39"/>
      <c r="CM546" s="39"/>
      <c r="CN546" s="39"/>
      <c r="CO546" s="39"/>
      <c r="CP546" s="11"/>
      <c r="CQ546" s="11"/>
      <c r="CR546" s="11"/>
      <c r="CS546" s="11"/>
      <c r="CT546" s="11"/>
      <c r="CU546" s="11"/>
      <c r="CV546" s="11"/>
      <c r="CW546" s="11"/>
      <c r="CX546" s="11"/>
      <c r="CY546" s="11"/>
      <c r="CZ546" s="11"/>
      <c r="DA546" s="11"/>
      <c r="DB546" s="11"/>
      <c r="DC546" s="11"/>
      <c r="DD546" s="11"/>
      <c r="DE546" s="11"/>
      <c r="DF546" s="11"/>
      <c r="DG546" s="11"/>
      <c r="DH546" s="11"/>
      <c r="DI546" s="11"/>
      <c r="DJ546" s="11"/>
      <c r="DK546" s="11"/>
      <c r="DL546" s="274"/>
      <c r="DM546" s="274"/>
      <c r="DN546" s="274"/>
      <c r="DO546" s="274"/>
      <c r="DP546" s="274"/>
      <c r="DQ546" s="274"/>
      <c r="DR546" s="274"/>
      <c r="DS546" s="274"/>
      <c r="DT546" s="274"/>
      <c r="DU546" s="274"/>
      <c r="DV546" s="274"/>
      <c r="DW546" s="274"/>
      <c r="DX546" s="274"/>
      <c r="DY546" s="274"/>
      <c r="DZ546" s="274"/>
      <c r="EA546" s="274"/>
      <c r="EB546" s="274"/>
      <c r="EC546" s="274"/>
      <c r="ED546" s="39">
        <f t="shared" si="177"/>
        <v>1472089.024</v>
      </c>
      <c r="EE546" s="30">
        <f t="shared" si="178"/>
        <v>3</v>
      </c>
      <c r="EF546" s="39">
        <f t="shared" si="179"/>
        <v>490696.34133333334</v>
      </c>
    </row>
    <row r="547" spans="1:136" x14ac:dyDescent="0.25">
      <c r="A547" s="25" t="e">
        <f>#REF!</f>
        <v>#REF!</v>
      </c>
      <c r="B547" s="50" t="e">
        <f>#REF!</f>
        <v>#REF!</v>
      </c>
      <c r="C547" s="5" t="e">
        <f>#REF!</f>
        <v>#REF!</v>
      </c>
      <c r="D547" s="5" t="e">
        <f>#REF!</f>
        <v>#REF!</v>
      </c>
      <c r="E547" s="252">
        <v>1</v>
      </c>
      <c r="F547" s="249">
        <v>0</v>
      </c>
      <c r="G547" s="249">
        <v>0</v>
      </c>
      <c r="H547" s="249">
        <v>0</v>
      </c>
      <c r="I547" s="249">
        <v>0</v>
      </c>
      <c r="J547" s="249">
        <v>0</v>
      </c>
      <c r="K547" s="249">
        <v>0</v>
      </c>
      <c r="L547" s="274"/>
      <c r="M547" s="274"/>
      <c r="N547" s="255"/>
      <c r="O547" s="135"/>
      <c r="P547" s="135"/>
      <c r="Q547" s="131"/>
      <c r="R547" s="131"/>
      <c r="S547" s="11"/>
      <c r="T547" s="274"/>
      <c r="U547" s="274"/>
      <c r="V547" s="274"/>
      <c r="W547" s="39"/>
      <c r="X547" s="11"/>
      <c r="Y547" s="11"/>
      <c r="Z547" s="274"/>
      <c r="AA547" s="274"/>
      <c r="AB547" s="274"/>
      <c r="AC547" s="5"/>
      <c r="AD547" s="22"/>
      <c r="AE547" s="39"/>
      <c r="AF547" s="274"/>
      <c r="AG547" s="274"/>
      <c r="AH547" s="169"/>
      <c r="AI547" s="22"/>
      <c r="AJ547" s="39"/>
      <c r="AK547" s="39"/>
      <c r="AL547" s="118"/>
      <c r="AM547" s="152"/>
      <c r="AN547" s="181"/>
      <c r="AO547" s="131"/>
      <c r="AP547" s="131"/>
      <c r="AQ547" s="39"/>
      <c r="AR547" s="274"/>
      <c r="AS547" s="274"/>
      <c r="AT547" s="274"/>
      <c r="AU547" s="39"/>
      <c r="AV547" s="39"/>
      <c r="AW547" s="39"/>
      <c r="AX547" s="274"/>
      <c r="AY547" s="274"/>
      <c r="AZ547" s="274"/>
      <c r="BA547" s="39"/>
      <c r="BB547" s="62"/>
      <c r="BC547" s="39"/>
      <c r="BD547" s="274"/>
      <c r="BE547" s="274"/>
      <c r="BF547" s="274"/>
      <c r="BG547" s="39"/>
      <c r="BH547" s="39"/>
      <c r="BI547" s="39"/>
      <c r="BJ547" s="274"/>
      <c r="BK547" s="274"/>
      <c r="BL547" s="274"/>
      <c r="BM547" s="213"/>
      <c r="BN547" s="213"/>
      <c r="BO547" s="39"/>
      <c r="BP547" s="274"/>
      <c r="BQ547" s="274"/>
      <c r="BR547" s="274"/>
      <c r="BS547" s="39"/>
      <c r="BT547" s="39"/>
      <c r="BU547" s="39"/>
      <c r="BV547" s="212"/>
      <c r="BW547" s="220"/>
      <c r="BX547" s="273"/>
      <c r="BY547" s="213"/>
      <c r="BZ547" s="213"/>
      <c r="CA547" s="213"/>
      <c r="CB547" s="274"/>
      <c r="CC547" s="274"/>
      <c r="CD547" s="274"/>
      <c r="CE547" s="39"/>
      <c r="CF547" s="39"/>
      <c r="CG547" s="39"/>
      <c r="CH547" s="274"/>
      <c r="CI547" s="274"/>
      <c r="CJ547" s="274"/>
      <c r="CK547" s="39"/>
      <c r="CL547" s="39"/>
      <c r="CM547" s="39"/>
      <c r="CN547" s="39"/>
      <c r="CO547" s="39"/>
      <c r="CP547" s="11"/>
      <c r="CQ547" s="11"/>
      <c r="CR547" s="11"/>
      <c r="CS547" s="11"/>
      <c r="CT547" s="11"/>
      <c r="CU547" s="11"/>
      <c r="CV547" s="11"/>
      <c r="CW547" s="11"/>
      <c r="CX547" s="11"/>
      <c r="CY547" s="11"/>
      <c r="CZ547" s="11"/>
      <c r="DA547" s="11"/>
      <c r="DB547" s="11"/>
      <c r="DC547" s="11"/>
      <c r="DD547" s="11"/>
      <c r="DE547" s="11"/>
      <c r="DF547" s="11"/>
      <c r="DG547" s="11"/>
      <c r="DH547" s="11"/>
      <c r="DI547" s="11"/>
      <c r="DJ547" s="11"/>
      <c r="DK547" s="11"/>
      <c r="DL547" s="274"/>
      <c r="DM547" s="274"/>
      <c r="DN547" s="274"/>
      <c r="DO547" s="274"/>
      <c r="DP547" s="274"/>
      <c r="DQ547" s="274"/>
      <c r="DR547" s="274"/>
      <c r="DS547" s="274"/>
      <c r="DT547" s="274"/>
      <c r="DU547" s="274"/>
      <c r="DV547" s="274"/>
      <c r="DW547" s="274"/>
      <c r="DX547" s="274"/>
      <c r="DY547" s="274"/>
      <c r="DZ547" s="274"/>
      <c r="EA547" s="274"/>
      <c r="EB547" s="274"/>
      <c r="EC547" s="274"/>
      <c r="ED547" s="39">
        <f t="shared" si="177"/>
        <v>0</v>
      </c>
      <c r="EE547" s="30">
        <f t="shared" si="178"/>
        <v>0</v>
      </c>
      <c r="EF547" s="39" t="str">
        <f t="shared" si="179"/>
        <v xml:space="preserve"> </v>
      </c>
    </row>
    <row r="548" spans="1:136" x14ac:dyDescent="0.25">
      <c r="A548" s="25" t="e">
        <f>#REF!</f>
        <v>#REF!</v>
      </c>
      <c r="B548" s="50" t="e">
        <f>#REF!</f>
        <v>#REF!</v>
      </c>
      <c r="C548" s="5" t="e">
        <f>#REF!</f>
        <v>#REF!</v>
      </c>
      <c r="D548" s="5" t="e">
        <f>#REF!</f>
        <v>#REF!</v>
      </c>
      <c r="E548" s="252">
        <v>1</v>
      </c>
      <c r="F548" s="249">
        <v>0</v>
      </c>
      <c r="G548" s="249">
        <v>0</v>
      </c>
      <c r="H548" s="249">
        <v>0</v>
      </c>
      <c r="I548" s="249">
        <v>0</v>
      </c>
      <c r="J548" s="249">
        <v>0</v>
      </c>
      <c r="K548" s="249">
        <v>0</v>
      </c>
      <c r="L548" s="274"/>
      <c r="M548" s="274"/>
      <c r="N548" s="255">
        <v>45000</v>
      </c>
      <c r="O548" s="135">
        <f t="shared" ref="O548:O564" si="187">+N548*0.19</f>
        <v>8550</v>
      </c>
      <c r="P548" s="135">
        <f t="shared" ref="P548:P564" si="188">+N548+O548</f>
        <v>53550</v>
      </c>
      <c r="Q548" s="131"/>
      <c r="R548" s="131"/>
      <c r="S548" s="11"/>
      <c r="T548" s="274">
        <v>23650.000000000004</v>
      </c>
      <c r="U548" s="274">
        <f t="shared" ref="U548:U556" si="189">+T548*0.19</f>
        <v>4493.5000000000009</v>
      </c>
      <c r="V548" s="274">
        <f t="shared" ref="V548:V556" si="190">+T548+U548</f>
        <v>28143.500000000004</v>
      </c>
      <c r="W548" s="39" t="s">
        <v>445</v>
      </c>
      <c r="X548" s="11" t="s">
        <v>2976</v>
      </c>
      <c r="Y548" s="11"/>
      <c r="Z548" s="274"/>
      <c r="AA548" s="274"/>
      <c r="AB548" s="274"/>
      <c r="AC548" s="5"/>
      <c r="AD548" s="22"/>
      <c r="AE548" s="39"/>
      <c r="AF548" s="274"/>
      <c r="AG548" s="274"/>
      <c r="AH548" s="169"/>
      <c r="AI548" s="22"/>
      <c r="AJ548" s="39"/>
      <c r="AK548" s="39"/>
      <c r="AL548" s="118"/>
      <c r="AM548" s="152"/>
      <c r="AN548" s="181"/>
      <c r="AO548" s="131"/>
      <c r="AP548" s="131"/>
      <c r="AQ548" s="39"/>
      <c r="AR548" s="274"/>
      <c r="AS548" s="274"/>
      <c r="AT548" s="274"/>
      <c r="AU548" s="39"/>
      <c r="AV548" s="39"/>
      <c r="AW548" s="39"/>
      <c r="AX548" s="274"/>
      <c r="AY548" s="274"/>
      <c r="AZ548" s="274"/>
      <c r="BA548" s="39"/>
      <c r="BB548" s="62"/>
      <c r="BC548" s="39"/>
      <c r="BD548" s="274"/>
      <c r="BE548" s="274"/>
      <c r="BF548" s="274"/>
      <c r="BG548" s="39"/>
      <c r="BH548" s="39"/>
      <c r="BI548" s="39"/>
      <c r="BJ548" s="274">
        <v>57300</v>
      </c>
      <c r="BK548" s="274">
        <f t="shared" ref="BK548:BK579" si="191">+BJ548*0.19</f>
        <v>10887</v>
      </c>
      <c r="BL548" s="274">
        <f t="shared" ref="BL548:BL579" si="192">+BJ548+BK548</f>
        <v>68187</v>
      </c>
      <c r="BM548" s="213" t="s">
        <v>196</v>
      </c>
      <c r="BN548" s="213" t="s">
        <v>2925</v>
      </c>
      <c r="BO548" s="39"/>
      <c r="BP548" s="274"/>
      <c r="BQ548" s="274"/>
      <c r="BR548" s="274"/>
      <c r="BS548" s="39"/>
      <c r="BT548" s="39"/>
      <c r="BU548" s="39"/>
      <c r="BV548" s="219">
        <v>61391.678399999997</v>
      </c>
      <c r="BW548" s="219">
        <f t="shared" ref="BW548:BW565" si="193">+BV548*0.19</f>
        <v>11664.418895999999</v>
      </c>
      <c r="BX548" s="273">
        <f t="shared" ref="BX548:BX565" si="194">+BV548+BW548</f>
        <v>73056.097295999993</v>
      </c>
      <c r="BY548" s="213" t="s">
        <v>196</v>
      </c>
      <c r="BZ548" s="213" t="s">
        <v>2925</v>
      </c>
      <c r="CA548" s="213"/>
      <c r="CB548" s="274"/>
      <c r="CC548" s="274"/>
      <c r="CD548" s="274"/>
      <c r="CE548" s="39"/>
      <c r="CF548" s="39"/>
      <c r="CG548" s="39"/>
      <c r="CH548" s="274"/>
      <c r="CI548" s="274"/>
      <c r="CJ548" s="274"/>
      <c r="CK548" s="39"/>
      <c r="CL548" s="39"/>
      <c r="CM548" s="39"/>
      <c r="CN548" s="39"/>
      <c r="CO548" s="39"/>
      <c r="CP548" s="11"/>
      <c r="CQ548" s="11"/>
      <c r="CR548" s="11"/>
      <c r="CS548" s="11"/>
      <c r="CT548" s="11"/>
      <c r="CU548" s="11"/>
      <c r="CV548" s="11"/>
      <c r="CW548" s="11"/>
      <c r="CX548" s="11"/>
      <c r="CY548" s="11"/>
      <c r="CZ548" s="11"/>
      <c r="DA548" s="11"/>
      <c r="DB548" s="11"/>
      <c r="DC548" s="11"/>
      <c r="DD548" s="11"/>
      <c r="DE548" s="11"/>
      <c r="DF548" s="11"/>
      <c r="DG548" s="11"/>
      <c r="DH548" s="11"/>
      <c r="DI548" s="11"/>
      <c r="DJ548" s="11"/>
      <c r="DK548" s="11"/>
      <c r="DL548" s="274"/>
      <c r="DM548" s="274"/>
      <c r="DN548" s="274"/>
      <c r="DO548" s="274"/>
      <c r="DP548" s="274"/>
      <c r="DQ548" s="274"/>
      <c r="DR548" s="274"/>
      <c r="DS548" s="274"/>
      <c r="DT548" s="274"/>
      <c r="DU548" s="274"/>
      <c r="DV548" s="274"/>
      <c r="DW548" s="274"/>
      <c r="DX548" s="274"/>
      <c r="DY548" s="274"/>
      <c r="DZ548" s="274"/>
      <c r="EA548" s="274"/>
      <c r="EB548" s="274"/>
      <c r="EC548" s="274"/>
      <c r="ED548" s="39">
        <f t="shared" si="177"/>
        <v>222936.59729599999</v>
      </c>
      <c r="EE548" s="30">
        <f t="shared" si="178"/>
        <v>4</v>
      </c>
      <c r="EF548" s="39">
        <f t="shared" si="179"/>
        <v>55734.149323999998</v>
      </c>
    </row>
    <row r="549" spans="1:136" x14ac:dyDescent="0.25">
      <c r="A549" s="25" t="e">
        <f>#REF!</f>
        <v>#REF!</v>
      </c>
      <c r="B549" s="50" t="e">
        <f>#REF!</f>
        <v>#REF!</v>
      </c>
      <c r="C549" s="5" t="e">
        <f>#REF!</f>
        <v>#REF!</v>
      </c>
      <c r="D549" s="5" t="e">
        <f>#REF!</f>
        <v>#REF!</v>
      </c>
      <c r="E549" s="252">
        <v>1</v>
      </c>
      <c r="F549" s="249">
        <v>0</v>
      </c>
      <c r="G549" s="249">
        <v>0</v>
      </c>
      <c r="H549" s="249">
        <v>0</v>
      </c>
      <c r="I549" s="249">
        <v>0</v>
      </c>
      <c r="J549" s="249">
        <v>0</v>
      </c>
      <c r="K549" s="249">
        <v>0</v>
      </c>
      <c r="L549" s="274"/>
      <c r="M549" s="274"/>
      <c r="N549" s="255">
        <v>88000</v>
      </c>
      <c r="O549" s="135">
        <f t="shared" si="187"/>
        <v>16720</v>
      </c>
      <c r="P549" s="135">
        <f t="shared" si="188"/>
        <v>104720</v>
      </c>
      <c r="Q549" s="131"/>
      <c r="R549" s="131"/>
      <c r="S549" s="11"/>
      <c r="T549" s="274">
        <v>67100</v>
      </c>
      <c r="U549" s="274">
        <f t="shared" si="189"/>
        <v>12749</v>
      </c>
      <c r="V549" s="274">
        <f t="shared" si="190"/>
        <v>79849</v>
      </c>
      <c r="W549" s="39" t="s">
        <v>445</v>
      </c>
      <c r="X549" s="11" t="s">
        <v>2976</v>
      </c>
      <c r="Y549" s="11"/>
      <c r="Z549" s="274"/>
      <c r="AA549" s="274"/>
      <c r="AB549" s="274"/>
      <c r="AC549" s="5"/>
      <c r="AD549" s="22"/>
      <c r="AE549" s="39"/>
      <c r="AF549" s="274"/>
      <c r="AG549" s="274"/>
      <c r="AH549" s="169"/>
      <c r="AI549" s="22"/>
      <c r="AJ549" s="39"/>
      <c r="AK549" s="39"/>
      <c r="AL549" s="118"/>
      <c r="AM549" s="152"/>
      <c r="AN549" s="181"/>
      <c r="AO549" s="131"/>
      <c r="AP549" s="131"/>
      <c r="AQ549" s="39"/>
      <c r="AR549" s="274"/>
      <c r="AS549" s="274"/>
      <c r="AT549" s="274"/>
      <c r="AU549" s="39"/>
      <c r="AV549" s="39"/>
      <c r="AW549" s="39"/>
      <c r="AX549" s="274"/>
      <c r="AY549" s="274"/>
      <c r="AZ549" s="274"/>
      <c r="BA549" s="39"/>
      <c r="BB549" s="62"/>
      <c r="BC549" s="39"/>
      <c r="BD549" s="274"/>
      <c r="BE549" s="274"/>
      <c r="BF549" s="274"/>
      <c r="BG549" s="39"/>
      <c r="BH549" s="39"/>
      <c r="BI549" s="39"/>
      <c r="BJ549" s="274">
        <v>168200</v>
      </c>
      <c r="BK549" s="274">
        <f t="shared" si="191"/>
        <v>31958</v>
      </c>
      <c r="BL549" s="274">
        <f t="shared" si="192"/>
        <v>200158</v>
      </c>
      <c r="BM549" s="213" t="s">
        <v>196</v>
      </c>
      <c r="BN549" s="213" t="s">
        <v>2925</v>
      </c>
      <c r="BO549" s="39"/>
      <c r="BP549" s="274"/>
      <c r="BQ549" s="274"/>
      <c r="BR549" s="274"/>
      <c r="BS549" s="39"/>
      <c r="BT549" s="39"/>
      <c r="BU549" s="39"/>
      <c r="BV549" s="219">
        <v>192578.23520000002</v>
      </c>
      <c r="BW549" s="219">
        <f t="shared" si="193"/>
        <v>36589.864688000001</v>
      </c>
      <c r="BX549" s="273">
        <f t="shared" si="194"/>
        <v>229168.09988800003</v>
      </c>
      <c r="BY549" s="213" t="s">
        <v>196</v>
      </c>
      <c r="BZ549" s="213" t="s">
        <v>2925</v>
      </c>
      <c r="CA549" s="213"/>
      <c r="CB549" s="274"/>
      <c r="CC549" s="274"/>
      <c r="CD549" s="274"/>
      <c r="CE549" s="39"/>
      <c r="CF549" s="39"/>
      <c r="CG549" s="39"/>
      <c r="CH549" s="274"/>
      <c r="CI549" s="274"/>
      <c r="CJ549" s="274"/>
      <c r="CK549" s="39"/>
      <c r="CL549" s="39"/>
      <c r="CM549" s="39"/>
      <c r="CN549" s="39"/>
      <c r="CO549" s="39"/>
      <c r="CP549" s="11"/>
      <c r="CQ549" s="11"/>
      <c r="CR549" s="11"/>
      <c r="CS549" s="11"/>
      <c r="CT549" s="11"/>
      <c r="CU549" s="11"/>
      <c r="CV549" s="11"/>
      <c r="CW549" s="11"/>
      <c r="CX549" s="11"/>
      <c r="CY549" s="11"/>
      <c r="CZ549" s="11"/>
      <c r="DA549" s="11"/>
      <c r="DB549" s="11"/>
      <c r="DC549" s="11"/>
      <c r="DD549" s="11"/>
      <c r="DE549" s="11"/>
      <c r="DF549" s="11"/>
      <c r="DG549" s="11"/>
      <c r="DH549" s="11"/>
      <c r="DI549" s="11"/>
      <c r="DJ549" s="11"/>
      <c r="DK549" s="11"/>
      <c r="DL549" s="274"/>
      <c r="DM549" s="274"/>
      <c r="DN549" s="274"/>
      <c r="DO549" s="274"/>
      <c r="DP549" s="274"/>
      <c r="DQ549" s="274"/>
      <c r="DR549" s="274"/>
      <c r="DS549" s="274"/>
      <c r="DT549" s="274"/>
      <c r="DU549" s="274"/>
      <c r="DV549" s="274"/>
      <c r="DW549" s="274"/>
      <c r="DX549" s="274"/>
      <c r="DY549" s="274"/>
      <c r="DZ549" s="274"/>
      <c r="EA549" s="274"/>
      <c r="EB549" s="274"/>
      <c r="EC549" s="274"/>
      <c r="ED549" s="39">
        <f t="shared" si="177"/>
        <v>613895.09988800006</v>
      </c>
      <c r="EE549" s="30">
        <f t="shared" si="178"/>
        <v>4</v>
      </c>
      <c r="EF549" s="39">
        <f t="shared" si="179"/>
        <v>153473.77497200001</v>
      </c>
    </row>
    <row r="550" spans="1:136" x14ac:dyDescent="0.25">
      <c r="A550" s="25" t="e">
        <f>#REF!</f>
        <v>#REF!</v>
      </c>
      <c r="B550" s="50" t="e">
        <f>#REF!</f>
        <v>#REF!</v>
      </c>
      <c r="C550" s="5" t="e">
        <f>#REF!</f>
        <v>#REF!</v>
      </c>
      <c r="D550" s="5" t="e">
        <f>#REF!</f>
        <v>#REF!</v>
      </c>
      <c r="E550" s="252">
        <v>1</v>
      </c>
      <c r="F550" s="249">
        <v>108825.5</v>
      </c>
      <c r="G550" s="249">
        <v>22134</v>
      </c>
      <c r="H550" s="249">
        <v>0</v>
      </c>
      <c r="I550" s="249">
        <v>0</v>
      </c>
      <c r="J550" s="249">
        <v>66998.983333333337</v>
      </c>
      <c r="K550" s="249">
        <v>66640</v>
      </c>
      <c r="L550" s="274">
        <f>AVERAGE(F550,J550)</f>
        <v>87912.241666666669</v>
      </c>
      <c r="M550" s="274">
        <f>AVERAGE(G550,K550)*E1</f>
        <v>45718.61</v>
      </c>
      <c r="N550" s="255">
        <v>38000</v>
      </c>
      <c r="O550" s="135">
        <f t="shared" si="187"/>
        <v>7220</v>
      </c>
      <c r="P550" s="135">
        <f t="shared" si="188"/>
        <v>45220</v>
      </c>
      <c r="Q550" s="131"/>
      <c r="R550" s="131"/>
      <c r="S550" s="11"/>
      <c r="T550" s="274">
        <v>24200.000000000004</v>
      </c>
      <c r="U550" s="274">
        <f t="shared" si="189"/>
        <v>4598.0000000000009</v>
      </c>
      <c r="V550" s="274">
        <f t="shared" si="190"/>
        <v>28798.000000000004</v>
      </c>
      <c r="W550" s="39" t="s">
        <v>445</v>
      </c>
      <c r="X550" s="11" t="s">
        <v>2976</v>
      </c>
      <c r="Y550" s="11"/>
      <c r="Z550" s="274"/>
      <c r="AA550" s="274"/>
      <c r="AB550" s="274"/>
      <c r="AC550" s="5"/>
      <c r="AD550" s="22"/>
      <c r="AE550" s="39"/>
      <c r="AF550" s="274"/>
      <c r="AG550" s="274"/>
      <c r="AH550" s="169"/>
      <c r="AI550" s="22"/>
      <c r="AJ550" s="39"/>
      <c r="AK550" s="39"/>
      <c r="AL550" s="118"/>
      <c r="AM550" s="152"/>
      <c r="AN550" s="181"/>
      <c r="AO550" s="131"/>
      <c r="AP550" s="131"/>
      <c r="AQ550" s="39"/>
      <c r="AR550" s="274"/>
      <c r="AS550" s="274"/>
      <c r="AT550" s="274"/>
      <c r="AU550" s="39"/>
      <c r="AV550" s="39"/>
      <c r="AW550" s="39"/>
      <c r="AX550" s="274"/>
      <c r="AY550" s="274"/>
      <c r="AZ550" s="274"/>
      <c r="BA550" s="39"/>
      <c r="BB550" s="62"/>
      <c r="BC550" s="39"/>
      <c r="BD550" s="274"/>
      <c r="BE550" s="274"/>
      <c r="BF550" s="274"/>
      <c r="BG550" s="39"/>
      <c r="BH550" s="39"/>
      <c r="BI550" s="39"/>
      <c r="BJ550" s="274">
        <v>54300</v>
      </c>
      <c r="BK550" s="274">
        <f t="shared" si="191"/>
        <v>10317</v>
      </c>
      <c r="BL550" s="274">
        <f t="shared" si="192"/>
        <v>64617</v>
      </c>
      <c r="BM550" s="213" t="s">
        <v>196</v>
      </c>
      <c r="BN550" s="213" t="s">
        <v>2925</v>
      </c>
      <c r="BO550" s="39"/>
      <c r="BP550" s="274"/>
      <c r="BQ550" s="274"/>
      <c r="BR550" s="274"/>
      <c r="BS550" s="39"/>
      <c r="BT550" s="39"/>
      <c r="BU550" s="39"/>
      <c r="BV550" s="219">
        <v>60464.407500000001</v>
      </c>
      <c r="BW550" s="219">
        <f t="shared" si="193"/>
        <v>11488.237425000001</v>
      </c>
      <c r="BX550" s="273">
        <f t="shared" si="194"/>
        <v>71952.644925000001</v>
      </c>
      <c r="BY550" s="213" t="s">
        <v>196</v>
      </c>
      <c r="BZ550" s="213" t="s">
        <v>2925</v>
      </c>
      <c r="CA550" s="213"/>
      <c r="CB550" s="274"/>
      <c r="CC550" s="274"/>
      <c r="CD550" s="274"/>
      <c r="CE550" s="39"/>
      <c r="CF550" s="39"/>
      <c r="CG550" s="39"/>
      <c r="CH550" s="274"/>
      <c r="CI550" s="274"/>
      <c r="CJ550" s="274"/>
      <c r="CK550" s="39"/>
      <c r="CL550" s="39"/>
      <c r="CM550" s="39"/>
      <c r="CN550" s="39"/>
      <c r="CO550" s="39"/>
      <c r="CP550" s="11"/>
      <c r="CQ550" s="11"/>
      <c r="CR550" s="11"/>
      <c r="CS550" s="11"/>
      <c r="CT550" s="11"/>
      <c r="CU550" s="11"/>
      <c r="CV550" s="11"/>
      <c r="CW550" s="11"/>
      <c r="CX550" s="11"/>
      <c r="CY550" s="11"/>
      <c r="CZ550" s="11"/>
      <c r="DA550" s="11"/>
      <c r="DB550" s="11"/>
      <c r="DC550" s="11"/>
      <c r="DD550" s="11"/>
      <c r="DE550" s="11"/>
      <c r="DF550" s="11"/>
      <c r="DG550" s="11"/>
      <c r="DH550" s="11"/>
      <c r="DI550" s="11"/>
      <c r="DJ550" s="11"/>
      <c r="DK550" s="11"/>
      <c r="DL550" s="274"/>
      <c r="DM550" s="274"/>
      <c r="DN550" s="274"/>
      <c r="DO550" s="274"/>
      <c r="DP550" s="274"/>
      <c r="DQ550" s="274"/>
      <c r="DR550" s="274"/>
      <c r="DS550" s="274"/>
      <c r="DT550" s="274"/>
      <c r="DU550" s="274"/>
      <c r="DV550" s="274"/>
      <c r="DW550" s="274"/>
      <c r="DX550" s="274"/>
      <c r="DY550" s="274"/>
      <c r="DZ550" s="274"/>
      <c r="EA550" s="274"/>
      <c r="EB550" s="274"/>
      <c r="EC550" s="274"/>
      <c r="ED550" s="39">
        <f t="shared" si="177"/>
        <v>256306.25492499999</v>
      </c>
      <c r="EE550" s="30">
        <f t="shared" si="178"/>
        <v>5</v>
      </c>
      <c r="EF550" s="39">
        <f t="shared" si="179"/>
        <v>51261.250984999999</v>
      </c>
    </row>
    <row r="551" spans="1:136" x14ac:dyDescent="0.25">
      <c r="A551" s="25" t="e">
        <f>#REF!</f>
        <v>#REF!</v>
      </c>
      <c r="B551" s="50" t="e">
        <f>#REF!</f>
        <v>#REF!</v>
      </c>
      <c r="C551" s="5" t="e">
        <f>#REF!</f>
        <v>#REF!</v>
      </c>
      <c r="D551" s="5" t="e">
        <f>#REF!</f>
        <v>#REF!</v>
      </c>
      <c r="E551" s="252">
        <v>1</v>
      </c>
      <c r="F551" s="249">
        <v>28084</v>
      </c>
      <c r="G551" s="249">
        <v>27608</v>
      </c>
      <c r="H551" s="249">
        <v>0</v>
      </c>
      <c r="I551" s="249">
        <v>0</v>
      </c>
      <c r="J551" s="249">
        <v>61036.885000000002</v>
      </c>
      <c r="K551" s="249">
        <v>60690</v>
      </c>
      <c r="L551" s="274">
        <f>AVERAGE(F551,J551)</f>
        <v>44560.442500000005</v>
      </c>
      <c r="M551" s="274">
        <f>AVERAGE(G551,K551)*E1</f>
        <v>45473.47</v>
      </c>
      <c r="N551" s="255">
        <v>35000</v>
      </c>
      <c r="O551" s="135">
        <f t="shared" si="187"/>
        <v>6650</v>
      </c>
      <c r="P551" s="135">
        <f t="shared" si="188"/>
        <v>41650</v>
      </c>
      <c r="Q551" s="131"/>
      <c r="R551" s="131"/>
      <c r="S551" s="11"/>
      <c r="T551" s="274">
        <v>20680</v>
      </c>
      <c r="U551" s="274">
        <f t="shared" si="189"/>
        <v>3929.2000000000003</v>
      </c>
      <c r="V551" s="274">
        <f t="shared" si="190"/>
        <v>24609.200000000001</v>
      </c>
      <c r="W551" s="39" t="s">
        <v>445</v>
      </c>
      <c r="X551" s="11" t="s">
        <v>2976</v>
      </c>
      <c r="Y551" s="11"/>
      <c r="Z551" s="274"/>
      <c r="AA551" s="274"/>
      <c r="AB551" s="274"/>
      <c r="AC551" s="5"/>
      <c r="AD551" s="22"/>
      <c r="AE551" s="39"/>
      <c r="AF551" s="274"/>
      <c r="AG551" s="274"/>
      <c r="AH551" s="169"/>
      <c r="AI551" s="4"/>
      <c r="AJ551" s="39"/>
      <c r="AK551" s="39"/>
      <c r="AL551" s="118"/>
      <c r="AM551" s="152"/>
      <c r="AN551" s="181"/>
      <c r="AO551" s="131"/>
      <c r="AP551" s="131"/>
      <c r="AQ551" s="39"/>
      <c r="AR551" s="274"/>
      <c r="AS551" s="274"/>
      <c r="AT551" s="274"/>
      <c r="AU551" s="39"/>
      <c r="AV551" s="39"/>
      <c r="AW551" s="39"/>
      <c r="AX551" s="274"/>
      <c r="AY551" s="274"/>
      <c r="AZ551" s="274"/>
      <c r="BA551" s="39"/>
      <c r="BB551" s="62"/>
      <c r="BC551" s="39"/>
      <c r="BD551" s="274"/>
      <c r="BE551" s="274"/>
      <c r="BF551" s="274"/>
      <c r="BG551" s="39"/>
      <c r="BH551" s="39"/>
      <c r="BI551" s="39"/>
      <c r="BJ551" s="274">
        <v>46700</v>
      </c>
      <c r="BK551" s="274">
        <f t="shared" si="191"/>
        <v>8873</v>
      </c>
      <c r="BL551" s="274">
        <f t="shared" si="192"/>
        <v>55573</v>
      </c>
      <c r="BM551" s="213" t="s">
        <v>196</v>
      </c>
      <c r="BN551" s="213" t="s">
        <v>2925</v>
      </c>
      <c r="BO551" s="39"/>
      <c r="BP551" s="274"/>
      <c r="BQ551" s="274"/>
      <c r="BR551" s="274"/>
      <c r="BS551" s="39"/>
      <c r="BT551" s="39"/>
      <c r="BU551" s="39"/>
      <c r="BV551" s="219">
        <v>55085.825600000004</v>
      </c>
      <c r="BW551" s="219">
        <f t="shared" si="193"/>
        <v>10466.306864</v>
      </c>
      <c r="BX551" s="273">
        <f t="shared" si="194"/>
        <v>65552.132464000009</v>
      </c>
      <c r="BY551" s="213" t="s">
        <v>196</v>
      </c>
      <c r="BZ551" s="213" t="s">
        <v>2925</v>
      </c>
      <c r="CA551" s="213"/>
      <c r="CB551" s="274"/>
      <c r="CC551" s="274"/>
      <c r="CD551" s="274"/>
      <c r="CE551" s="39"/>
      <c r="CF551" s="39"/>
      <c r="CG551" s="39"/>
      <c r="CH551" s="274"/>
      <c r="CI551" s="274"/>
      <c r="CJ551" s="274"/>
      <c r="CK551" s="39"/>
      <c r="CL551" s="39"/>
      <c r="CM551" s="39"/>
      <c r="CN551" s="39"/>
      <c r="CO551" s="39"/>
      <c r="CP551" s="11"/>
      <c r="CQ551" s="11"/>
      <c r="CR551" s="11"/>
      <c r="CS551" s="11"/>
      <c r="CT551" s="11"/>
      <c r="CU551" s="11"/>
      <c r="CV551" s="11"/>
      <c r="CW551" s="11"/>
      <c r="CX551" s="11"/>
      <c r="CY551" s="11"/>
      <c r="CZ551" s="11"/>
      <c r="DA551" s="11"/>
      <c r="DB551" s="11"/>
      <c r="DC551" s="11"/>
      <c r="DD551" s="11"/>
      <c r="DE551" s="11"/>
      <c r="DF551" s="11"/>
      <c r="DG551" s="11"/>
      <c r="DH551" s="11"/>
      <c r="DI551" s="11"/>
      <c r="DJ551" s="11"/>
      <c r="DK551" s="11"/>
      <c r="DL551" s="274"/>
      <c r="DM551" s="274"/>
      <c r="DN551" s="274"/>
      <c r="DO551" s="274"/>
      <c r="DP551" s="274"/>
      <c r="DQ551" s="274"/>
      <c r="DR551" s="274"/>
      <c r="DS551" s="274"/>
      <c r="DT551" s="274"/>
      <c r="DU551" s="274"/>
      <c r="DV551" s="274"/>
      <c r="DW551" s="274"/>
      <c r="DX551" s="274"/>
      <c r="DY551" s="274"/>
      <c r="DZ551" s="274"/>
      <c r="EA551" s="274"/>
      <c r="EB551" s="274"/>
      <c r="EC551" s="274"/>
      <c r="ED551" s="39">
        <f t="shared" si="177"/>
        <v>232857.80246400001</v>
      </c>
      <c r="EE551" s="30">
        <f t="shared" si="178"/>
        <v>5</v>
      </c>
      <c r="EF551" s="39">
        <f t="shared" si="179"/>
        <v>46571.560492800003</v>
      </c>
    </row>
    <row r="552" spans="1:136" x14ac:dyDescent="0.25">
      <c r="A552" s="25" t="e">
        <f>#REF!</f>
        <v>#REF!</v>
      </c>
      <c r="B552" s="50" t="e">
        <f>#REF!</f>
        <v>#REF!</v>
      </c>
      <c r="C552" s="5" t="e">
        <f>#REF!</f>
        <v>#REF!</v>
      </c>
      <c r="D552" s="5" t="e">
        <f>#REF!</f>
        <v>#REF!</v>
      </c>
      <c r="E552" s="252">
        <v>1</v>
      </c>
      <c r="F552" s="249">
        <v>0</v>
      </c>
      <c r="G552" s="249">
        <v>0</v>
      </c>
      <c r="H552" s="249">
        <v>0</v>
      </c>
      <c r="I552" s="249">
        <v>0</v>
      </c>
      <c r="J552" s="249">
        <v>143368.55555555556</v>
      </c>
      <c r="K552" s="249">
        <v>142800</v>
      </c>
      <c r="L552" s="274">
        <f>J552</f>
        <v>143368.55555555556</v>
      </c>
      <c r="M552" s="274">
        <f>K552*E1</f>
        <v>147084</v>
      </c>
      <c r="N552" s="255">
        <v>55000</v>
      </c>
      <c r="O552" s="135">
        <f t="shared" si="187"/>
        <v>10450</v>
      </c>
      <c r="P552" s="135">
        <f t="shared" si="188"/>
        <v>65450</v>
      </c>
      <c r="Q552" s="131"/>
      <c r="R552" s="131"/>
      <c r="S552" s="11"/>
      <c r="T552" s="274">
        <v>35750</v>
      </c>
      <c r="U552" s="274">
        <f t="shared" si="189"/>
        <v>6792.5</v>
      </c>
      <c r="V552" s="274">
        <f t="shared" si="190"/>
        <v>42542.5</v>
      </c>
      <c r="W552" s="39" t="s">
        <v>445</v>
      </c>
      <c r="X552" s="11" t="s">
        <v>2976</v>
      </c>
      <c r="Y552" s="11"/>
      <c r="Z552" s="274"/>
      <c r="AA552" s="274"/>
      <c r="AB552" s="274"/>
      <c r="AC552" s="5"/>
      <c r="AD552" s="22"/>
      <c r="AE552" s="39"/>
      <c r="AF552" s="274"/>
      <c r="AG552" s="274"/>
      <c r="AH552" s="169"/>
      <c r="AI552" s="4"/>
      <c r="AJ552" s="39"/>
      <c r="AK552" s="39"/>
      <c r="AL552" s="118"/>
      <c r="AM552" s="152"/>
      <c r="AN552" s="181"/>
      <c r="AO552" s="131"/>
      <c r="AP552" s="131"/>
      <c r="AQ552" s="39"/>
      <c r="AR552" s="274"/>
      <c r="AS552" s="274"/>
      <c r="AT552" s="274"/>
      <c r="AU552" s="39"/>
      <c r="AV552" s="39"/>
      <c r="AW552" s="39"/>
      <c r="AX552" s="274"/>
      <c r="AY552" s="274"/>
      <c r="AZ552" s="274"/>
      <c r="BA552" s="39"/>
      <c r="BB552" s="62"/>
      <c r="BC552" s="39"/>
      <c r="BD552" s="274"/>
      <c r="BE552" s="274"/>
      <c r="BF552" s="274"/>
      <c r="BG552" s="39"/>
      <c r="BH552" s="39"/>
      <c r="BI552" s="39"/>
      <c r="BJ552" s="274">
        <v>102800</v>
      </c>
      <c r="BK552" s="274">
        <f t="shared" si="191"/>
        <v>19532</v>
      </c>
      <c r="BL552" s="274">
        <f t="shared" si="192"/>
        <v>122332</v>
      </c>
      <c r="BM552" s="213" t="s">
        <v>196</v>
      </c>
      <c r="BN552" s="213" t="s">
        <v>2925</v>
      </c>
      <c r="BO552" s="39"/>
      <c r="BP552" s="274"/>
      <c r="BQ552" s="274"/>
      <c r="BR552" s="274"/>
      <c r="BS552" s="39"/>
      <c r="BT552" s="39"/>
      <c r="BU552" s="39"/>
      <c r="BV552" s="219">
        <v>122359.55040000002</v>
      </c>
      <c r="BW552" s="219">
        <f t="shared" si="193"/>
        <v>23248.314576000004</v>
      </c>
      <c r="BX552" s="273">
        <f t="shared" si="194"/>
        <v>145607.86497600004</v>
      </c>
      <c r="BY552" s="213" t="s">
        <v>196</v>
      </c>
      <c r="BZ552" s="213" t="s">
        <v>2925</v>
      </c>
      <c r="CA552" s="213"/>
      <c r="CB552" s="274"/>
      <c r="CC552" s="274"/>
      <c r="CD552" s="274"/>
      <c r="CE552" s="40"/>
      <c r="CF552" s="40"/>
      <c r="CG552" s="40"/>
      <c r="CH552" s="274"/>
      <c r="CI552" s="274"/>
      <c r="CJ552" s="274"/>
      <c r="CK552" s="39"/>
      <c r="CL552" s="39"/>
      <c r="CM552" s="39"/>
      <c r="CN552" s="39"/>
      <c r="CO552" s="39"/>
      <c r="CP552" s="11"/>
      <c r="CQ552" s="11"/>
      <c r="CR552" s="11"/>
      <c r="CS552" s="11"/>
      <c r="CT552" s="11"/>
      <c r="CU552" s="11"/>
      <c r="CV552" s="11"/>
      <c r="CW552" s="11"/>
      <c r="CX552" s="11"/>
      <c r="CY552" s="11"/>
      <c r="CZ552" s="11"/>
      <c r="DA552" s="11"/>
      <c r="DB552" s="11"/>
      <c r="DC552" s="11"/>
      <c r="DD552" s="11"/>
      <c r="DE552" s="11"/>
      <c r="DF552" s="11"/>
      <c r="DG552" s="11"/>
      <c r="DH552" s="11"/>
      <c r="DI552" s="11"/>
      <c r="DJ552" s="11"/>
      <c r="DK552" s="11"/>
      <c r="DL552" s="274"/>
      <c r="DM552" s="274"/>
      <c r="DN552" s="274"/>
      <c r="DO552" s="274"/>
      <c r="DP552" s="274"/>
      <c r="DQ552" s="274"/>
      <c r="DR552" s="274"/>
      <c r="DS552" s="274"/>
      <c r="DT552" s="274"/>
      <c r="DU552" s="274"/>
      <c r="DV552" s="274"/>
      <c r="DW552" s="274"/>
      <c r="DX552" s="274"/>
      <c r="DY552" s="274"/>
      <c r="DZ552" s="274"/>
      <c r="EA552" s="274"/>
      <c r="EB552" s="274"/>
      <c r="EC552" s="274"/>
      <c r="ED552" s="39">
        <f t="shared" si="177"/>
        <v>523016.36497600004</v>
      </c>
      <c r="EE552" s="30">
        <f t="shared" si="178"/>
        <v>5</v>
      </c>
      <c r="EF552" s="39">
        <f t="shared" si="179"/>
        <v>104603.27299520001</v>
      </c>
    </row>
    <row r="553" spans="1:136" x14ac:dyDescent="0.25">
      <c r="A553" s="25" t="e">
        <f>#REF!</f>
        <v>#REF!</v>
      </c>
      <c r="B553" s="50" t="e">
        <f>#REF!</f>
        <v>#REF!</v>
      </c>
      <c r="C553" s="5" t="e">
        <f>#REF!</f>
        <v>#REF!</v>
      </c>
      <c r="D553" s="5" t="e">
        <f>#REF!</f>
        <v>#REF!</v>
      </c>
      <c r="E553" s="252">
        <v>1</v>
      </c>
      <c r="F553" s="249">
        <v>29452.5</v>
      </c>
      <c r="G553" s="249">
        <v>29393</v>
      </c>
      <c r="H553" s="249">
        <v>0</v>
      </c>
      <c r="I553" s="249">
        <v>0</v>
      </c>
      <c r="J553" s="249">
        <v>63006.434166666659</v>
      </c>
      <c r="K553" s="249">
        <v>61880</v>
      </c>
      <c r="L553" s="274">
        <f>AVERAGE(F553,J553)</f>
        <v>46229.467083333329</v>
      </c>
      <c r="M553" s="274">
        <f>AVERAGE(G553,K553)*E1</f>
        <v>47005.595000000001</v>
      </c>
      <c r="N553" s="255">
        <v>35000</v>
      </c>
      <c r="O553" s="135">
        <f t="shared" si="187"/>
        <v>6650</v>
      </c>
      <c r="P553" s="135">
        <f t="shared" si="188"/>
        <v>41650</v>
      </c>
      <c r="Q553" s="131"/>
      <c r="R553" s="131"/>
      <c r="S553" s="11"/>
      <c r="T553" s="274">
        <v>21010</v>
      </c>
      <c r="U553" s="274">
        <f t="shared" si="189"/>
        <v>3991.9</v>
      </c>
      <c r="V553" s="274">
        <f t="shared" si="190"/>
        <v>25001.9</v>
      </c>
      <c r="W553" s="39" t="s">
        <v>445</v>
      </c>
      <c r="X553" s="11" t="s">
        <v>2976</v>
      </c>
      <c r="Y553" s="11"/>
      <c r="Z553" s="274"/>
      <c r="AA553" s="274"/>
      <c r="AB553" s="274"/>
      <c r="AC553" s="5"/>
      <c r="AD553" s="22"/>
      <c r="AE553" s="39"/>
      <c r="AF553" s="274"/>
      <c r="AG553" s="274"/>
      <c r="AH553" s="169"/>
      <c r="AI553" s="4"/>
      <c r="AJ553" s="39"/>
      <c r="AK553" s="39"/>
      <c r="AL553" s="118"/>
      <c r="AM553" s="152"/>
      <c r="AN553" s="181"/>
      <c r="AO553" s="131"/>
      <c r="AP553" s="131"/>
      <c r="AQ553" s="39"/>
      <c r="AR553" s="274"/>
      <c r="AS553" s="274"/>
      <c r="AT553" s="274"/>
      <c r="AU553" s="39"/>
      <c r="AV553" s="39"/>
      <c r="AW553" s="39"/>
      <c r="AX553" s="274"/>
      <c r="AY553" s="274"/>
      <c r="AZ553" s="274"/>
      <c r="BA553" s="39"/>
      <c r="BB553" s="62"/>
      <c r="BC553" s="39"/>
      <c r="BD553" s="274"/>
      <c r="BE553" s="274"/>
      <c r="BF553" s="274"/>
      <c r="BG553" s="39"/>
      <c r="BH553" s="39"/>
      <c r="BI553" s="39"/>
      <c r="BJ553" s="274">
        <v>48100</v>
      </c>
      <c r="BK553" s="274">
        <f t="shared" si="191"/>
        <v>9139</v>
      </c>
      <c r="BL553" s="274">
        <f t="shared" si="192"/>
        <v>57239</v>
      </c>
      <c r="BM553" s="213" t="s">
        <v>196</v>
      </c>
      <c r="BN553" s="213" t="s">
        <v>2925</v>
      </c>
      <c r="BO553" s="39"/>
      <c r="BP553" s="274"/>
      <c r="BQ553" s="274"/>
      <c r="BR553" s="274"/>
      <c r="BS553" s="39"/>
      <c r="BT553" s="39"/>
      <c r="BU553" s="39"/>
      <c r="BV553" s="219">
        <v>56660.020300000011</v>
      </c>
      <c r="BW553" s="219">
        <f t="shared" si="193"/>
        <v>10765.403857000003</v>
      </c>
      <c r="BX553" s="273">
        <f t="shared" si="194"/>
        <v>67425.424157000016</v>
      </c>
      <c r="BY553" s="213" t="s">
        <v>196</v>
      </c>
      <c r="BZ553" s="213" t="s">
        <v>2925</v>
      </c>
      <c r="CA553" s="213"/>
      <c r="CB553" s="274"/>
      <c r="CC553" s="274"/>
      <c r="CD553" s="274"/>
      <c r="CE553" s="39"/>
      <c r="CF553" s="39"/>
      <c r="CG553" s="39"/>
      <c r="CH553" s="274"/>
      <c r="CI553" s="274"/>
      <c r="CJ553" s="274"/>
      <c r="CK553" s="39"/>
      <c r="CL553" s="39"/>
      <c r="CM553" s="39"/>
      <c r="CN553" s="39"/>
      <c r="CO553" s="39"/>
      <c r="CP553" s="11"/>
      <c r="CQ553" s="11"/>
      <c r="CR553" s="11"/>
      <c r="CS553" s="11"/>
      <c r="CT553" s="11"/>
      <c r="CU553" s="11"/>
      <c r="CV553" s="11"/>
      <c r="CW553" s="11"/>
      <c r="CX553" s="11"/>
      <c r="CY553" s="11"/>
      <c r="CZ553" s="11"/>
      <c r="DA553" s="11"/>
      <c r="DB553" s="11"/>
      <c r="DC553" s="11"/>
      <c r="DD553" s="11"/>
      <c r="DE553" s="11"/>
      <c r="DF553" s="11"/>
      <c r="DG553" s="11"/>
      <c r="DH553" s="11"/>
      <c r="DI553" s="11"/>
      <c r="DJ553" s="11"/>
      <c r="DK553" s="11"/>
      <c r="DL553" s="274"/>
      <c r="DM553" s="274"/>
      <c r="DN553" s="274"/>
      <c r="DO553" s="274"/>
      <c r="DP553" s="274"/>
      <c r="DQ553" s="274"/>
      <c r="DR553" s="274"/>
      <c r="DS553" s="274"/>
      <c r="DT553" s="274"/>
      <c r="DU553" s="274"/>
      <c r="DV553" s="274"/>
      <c r="DW553" s="274"/>
      <c r="DX553" s="274"/>
      <c r="DY553" s="274"/>
      <c r="DZ553" s="274"/>
      <c r="EA553" s="274"/>
      <c r="EB553" s="274"/>
      <c r="EC553" s="274"/>
      <c r="ED553" s="39">
        <f t="shared" si="177"/>
        <v>238321.91915700003</v>
      </c>
      <c r="EE553" s="30">
        <f t="shared" si="178"/>
        <v>5</v>
      </c>
      <c r="EF553" s="39">
        <f t="shared" si="179"/>
        <v>47664.383831400002</v>
      </c>
    </row>
    <row r="554" spans="1:136" x14ac:dyDescent="0.25">
      <c r="A554" s="25" t="e">
        <f>#REF!</f>
        <v>#REF!</v>
      </c>
      <c r="B554" s="50" t="e">
        <f>#REF!</f>
        <v>#REF!</v>
      </c>
      <c r="C554" s="5" t="e">
        <f>#REF!</f>
        <v>#REF!</v>
      </c>
      <c r="D554" s="5" t="e">
        <f>#REF!</f>
        <v>#REF!</v>
      </c>
      <c r="E554" s="252">
        <v>1</v>
      </c>
      <c r="F554" s="249">
        <v>0</v>
      </c>
      <c r="G554" s="249">
        <v>0</v>
      </c>
      <c r="H554" s="249">
        <v>0</v>
      </c>
      <c r="I554" s="249">
        <v>0</v>
      </c>
      <c r="J554" s="249">
        <v>0</v>
      </c>
      <c r="K554" s="249">
        <v>0</v>
      </c>
      <c r="L554" s="274"/>
      <c r="M554" s="274"/>
      <c r="N554" s="255">
        <v>35000</v>
      </c>
      <c r="O554" s="135">
        <f t="shared" si="187"/>
        <v>6650</v>
      </c>
      <c r="P554" s="135">
        <f t="shared" si="188"/>
        <v>41650</v>
      </c>
      <c r="Q554" s="131"/>
      <c r="R554" s="131"/>
      <c r="S554" s="11"/>
      <c r="T554" s="274">
        <v>22660.000000000004</v>
      </c>
      <c r="U554" s="274">
        <f t="shared" si="189"/>
        <v>4305.4000000000005</v>
      </c>
      <c r="V554" s="274">
        <f t="shared" si="190"/>
        <v>26965.400000000005</v>
      </c>
      <c r="W554" s="39" t="s">
        <v>445</v>
      </c>
      <c r="X554" s="11" t="s">
        <v>2976</v>
      </c>
      <c r="Y554" s="11"/>
      <c r="Z554" s="274"/>
      <c r="AA554" s="274"/>
      <c r="AB554" s="274"/>
      <c r="AC554" s="5"/>
      <c r="AD554" s="22"/>
      <c r="AE554" s="39"/>
      <c r="AF554" s="274"/>
      <c r="AG554" s="274"/>
      <c r="AH554" s="169"/>
      <c r="AI554" s="4"/>
      <c r="AJ554" s="39"/>
      <c r="AK554" s="39"/>
      <c r="AL554" s="118"/>
      <c r="AM554" s="152"/>
      <c r="AN554" s="181"/>
      <c r="AO554" s="131"/>
      <c r="AP554" s="131"/>
      <c r="AQ554" s="39"/>
      <c r="AR554" s="274"/>
      <c r="AS554" s="274"/>
      <c r="AT554" s="274"/>
      <c r="AU554" s="39"/>
      <c r="AV554" s="39"/>
      <c r="AW554" s="39"/>
      <c r="AX554" s="274"/>
      <c r="AY554" s="274"/>
      <c r="AZ554" s="274"/>
      <c r="BA554" s="39"/>
      <c r="BB554" s="62"/>
      <c r="BC554" s="39"/>
      <c r="BD554" s="274"/>
      <c r="BE554" s="274"/>
      <c r="BF554" s="274"/>
      <c r="BG554" s="39"/>
      <c r="BH554" s="39"/>
      <c r="BI554" s="39"/>
      <c r="BJ554" s="274">
        <v>53500</v>
      </c>
      <c r="BK554" s="274">
        <f t="shared" si="191"/>
        <v>10165</v>
      </c>
      <c r="BL554" s="274">
        <f t="shared" si="192"/>
        <v>63665</v>
      </c>
      <c r="BM554" s="213" t="s">
        <v>196</v>
      </c>
      <c r="BN554" s="213" t="s">
        <v>2925</v>
      </c>
      <c r="BO554" s="39"/>
      <c r="BP554" s="274"/>
      <c r="BQ554" s="274"/>
      <c r="BR554" s="274"/>
      <c r="BS554" s="39"/>
      <c r="BT554" s="39"/>
      <c r="BU554" s="39"/>
      <c r="BV554" s="219">
        <v>59590.44</v>
      </c>
      <c r="BW554" s="219">
        <f t="shared" si="193"/>
        <v>11322.1836</v>
      </c>
      <c r="BX554" s="273">
        <f t="shared" si="194"/>
        <v>70912.623600000006</v>
      </c>
      <c r="BY554" s="213" t="s">
        <v>196</v>
      </c>
      <c r="BZ554" s="213" t="s">
        <v>2925</v>
      </c>
      <c r="CA554" s="213"/>
      <c r="CB554" s="274"/>
      <c r="CC554" s="274"/>
      <c r="CD554" s="274"/>
      <c r="CE554" s="39"/>
      <c r="CF554" s="39"/>
      <c r="CG554" s="39"/>
      <c r="CH554" s="274"/>
      <c r="CI554" s="274"/>
      <c r="CJ554" s="274"/>
      <c r="CK554" s="39"/>
      <c r="CL554" s="39"/>
      <c r="CM554" s="39"/>
      <c r="CN554" s="39"/>
      <c r="CO554" s="39"/>
      <c r="CP554" s="11"/>
      <c r="CQ554" s="11"/>
      <c r="CR554" s="11"/>
      <c r="CS554" s="11"/>
      <c r="CT554" s="11"/>
      <c r="CU554" s="11"/>
      <c r="CV554" s="11"/>
      <c r="CW554" s="11"/>
      <c r="CX554" s="11"/>
      <c r="CY554" s="11"/>
      <c r="CZ554" s="11"/>
      <c r="DA554" s="11"/>
      <c r="DB554" s="11"/>
      <c r="DC554" s="11"/>
      <c r="DD554" s="11"/>
      <c r="DE554" s="11"/>
      <c r="DF554" s="11"/>
      <c r="DG554" s="11"/>
      <c r="DH554" s="11"/>
      <c r="DI554" s="11"/>
      <c r="DJ554" s="11"/>
      <c r="DK554" s="11"/>
      <c r="DL554" s="274"/>
      <c r="DM554" s="274"/>
      <c r="DN554" s="274"/>
      <c r="DO554" s="274"/>
      <c r="DP554" s="274"/>
      <c r="DQ554" s="274"/>
      <c r="DR554" s="274"/>
      <c r="DS554" s="274"/>
      <c r="DT554" s="274"/>
      <c r="DU554" s="274"/>
      <c r="DV554" s="274"/>
      <c r="DW554" s="274"/>
      <c r="DX554" s="274"/>
      <c r="DY554" s="274"/>
      <c r="DZ554" s="274"/>
      <c r="EA554" s="274"/>
      <c r="EB554" s="274"/>
      <c r="EC554" s="274"/>
      <c r="ED554" s="39">
        <f t="shared" si="177"/>
        <v>203193.02360000001</v>
      </c>
      <c r="EE554" s="30">
        <f t="shared" si="178"/>
        <v>4</v>
      </c>
      <c r="EF554" s="39">
        <f t="shared" si="179"/>
        <v>50798.255900000004</v>
      </c>
    </row>
    <row r="555" spans="1:136" x14ac:dyDescent="0.25">
      <c r="A555" s="25" t="e">
        <f>#REF!</f>
        <v>#REF!</v>
      </c>
      <c r="B555" s="50" t="e">
        <f>#REF!</f>
        <v>#REF!</v>
      </c>
      <c r="C555" s="5" t="e">
        <f>#REF!</f>
        <v>#REF!</v>
      </c>
      <c r="D555" s="5" t="e">
        <f>#REF!</f>
        <v>#REF!</v>
      </c>
      <c r="E555" s="252">
        <v>1</v>
      </c>
      <c r="F555" s="249">
        <v>0</v>
      </c>
      <c r="G555" s="249">
        <v>0</v>
      </c>
      <c r="H555" s="249">
        <v>0</v>
      </c>
      <c r="I555" s="249">
        <v>0</v>
      </c>
      <c r="J555" s="249">
        <v>0</v>
      </c>
      <c r="K555" s="249">
        <v>0</v>
      </c>
      <c r="L555" s="274"/>
      <c r="M555" s="274"/>
      <c r="N555" s="255">
        <v>39000</v>
      </c>
      <c r="O555" s="135">
        <f t="shared" si="187"/>
        <v>7410</v>
      </c>
      <c r="P555" s="135">
        <f t="shared" si="188"/>
        <v>46410</v>
      </c>
      <c r="Q555" s="131"/>
      <c r="R555" s="131"/>
      <c r="S555" s="11"/>
      <c r="T555" s="274">
        <v>25850.000000000004</v>
      </c>
      <c r="U555" s="274">
        <f t="shared" si="189"/>
        <v>4911.5000000000009</v>
      </c>
      <c r="V555" s="274">
        <f t="shared" si="190"/>
        <v>30761.500000000004</v>
      </c>
      <c r="W555" s="39" t="s">
        <v>445</v>
      </c>
      <c r="X555" s="11" t="s">
        <v>2976</v>
      </c>
      <c r="Y555" s="11"/>
      <c r="Z555" s="274"/>
      <c r="AA555" s="274"/>
      <c r="AB555" s="274"/>
      <c r="AC555" s="5"/>
      <c r="AD555" s="22"/>
      <c r="AE555" s="39"/>
      <c r="AF555" s="274"/>
      <c r="AG555" s="274"/>
      <c r="AH555" s="169"/>
      <c r="AI555" s="4"/>
      <c r="AJ555" s="39"/>
      <c r="AK555" s="39"/>
      <c r="AL555" s="118"/>
      <c r="AM555" s="152"/>
      <c r="AN555" s="181"/>
      <c r="AO555" s="131"/>
      <c r="AP555" s="131"/>
      <c r="AQ555" s="39"/>
      <c r="AR555" s="274"/>
      <c r="AS555" s="274"/>
      <c r="AT555" s="274"/>
      <c r="AU555" s="39"/>
      <c r="AV555" s="39"/>
      <c r="AW555" s="39"/>
      <c r="AX555" s="274"/>
      <c r="AY555" s="274"/>
      <c r="AZ555" s="274"/>
      <c r="BA555" s="39"/>
      <c r="BB555" s="62"/>
      <c r="BC555" s="39"/>
      <c r="BD555" s="274"/>
      <c r="BE555" s="274"/>
      <c r="BF555" s="274"/>
      <c r="BG555" s="39"/>
      <c r="BH555" s="39"/>
      <c r="BI555" s="39"/>
      <c r="BJ555" s="274">
        <v>66000</v>
      </c>
      <c r="BK555" s="274">
        <f t="shared" si="191"/>
        <v>12540</v>
      </c>
      <c r="BL555" s="274">
        <f t="shared" si="192"/>
        <v>78540</v>
      </c>
      <c r="BM555" s="213" t="s">
        <v>196</v>
      </c>
      <c r="BN555" s="213" t="s">
        <v>2925</v>
      </c>
      <c r="BO555" s="39"/>
      <c r="BP555" s="274"/>
      <c r="BQ555" s="274"/>
      <c r="BR555" s="274"/>
      <c r="BS555" s="39"/>
      <c r="BT555" s="39"/>
      <c r="BU555" s="39"/>
      <c r="BV555" s="219">
        <v>78557.688000000009</v>
      </c>
      <c r="BW555" s="219">
        <f t="shared" si="193"/>
        <v>14925.960720000003</v>
      </c>
      <c r="BX555" s="273">
        <f t="shared" si="194"/>
        <v>93483.648720000012</v>
      </c>
      <c r="BY555" s="213" t="s">
        <v>196</v>
      </c>
      <c r="BZ555" s="213" t="s">
        <v>2925</v>
      </c>
      <c r="CA555" s="213"/>
      <c r="CB555" s="274"/>
      <c r="CC555" s="274"/>
      <c r="CD555" s="274"/>
      <c r="CE555" s="39"/>
      <c r="CF555" s="39"/>
      <c r="CG555" s="39"/>
      <c r="CH555" s="274"/>
      <c r="CI555" s="274"/>
      <c r="CJ555" s="274"/>
      <c r="CK555" s="39"/>
      <c r="CL555" s="39"/>
      <c r="CM555" s="39"/>
      <c r="CN555" s="39"/>
      <c r="CO555" s="39"/>
      <c r="CP555" s="11"/>
      <c r="CQ555" s="11"/>
      <c r="CR555" s="11"/>
      <c r="CS555" s="11"/>
      <c r="CT555" s="11"/>
      <c r="CU555" s="11"/>
      <c r="CV555" s="11"/>
      <c r="CW555" s="11"/>
      <c r="CX555" s="11"/>
      <c r="CY555" s="11"/>
      <c r="CZ555" s="11"/>
      <c r="DA555" s="11"/>
      <c r="DB555" s="11"/>
      <c r="DC555" s="11"/>
      <c r="DD555" s="11"/>
      <c r="DE555" s="11"/>
      <c r="DF555" s="11"/>
      <c r="DG555" s="11"/>
      <c r="DH555" s="11"/>
      <c r="DI555" s="11"/>
      <c r="DJ555" s="11"/>
      <c r="DK555" s="11"/>
      <c r="DL555" s="274"/>
      <c r="DM555" s="274"/>
      <c r="DN555" s="274"/>
      <c r="DO555" s="274"/>
      <c r="DP555" s="274"/>
      <c r="DQ555" s="274"/>
      <c r="DR555" s="274"/>
      <c r="DS555" s="274"/>
      <c r="DT555" s="274"/>
      <c r="DU555" s="274"/>
      <c r="DV555" s="274"/>
      <c r="DW555" s="274"/>
      <c r="DX555" s="274"/>
      <c r="DY555" s="274"/>
      <c r="DZ555" s="274"/>
      <c r="EA555" s="274"/>
      <c r="EB555" s="274"/>
      <c r="EC555" s="274"/>
      <c r="ED555" s="39">
        <f t="shared" si="177"/>
        <v>249195.14872</v>
      </c>
      <c r="EE555" s="30">
        <f t="shared" si="178"/>
        <v>4</v>
      </c>
      <c r="EF555" s="39">
        <f t="shared" si="179"/>
        <v>62298.787179999999</v>
      </c>
    </row>
    <row r="556" spans="1:136" x14ac:dyDescent="0.25">
      <c r="A556" s="25" t="e">
        <f>#REF!</f>
        <v>#REF!</v>
      </c>
      <c r="B556" s="50" t="e">
        <f>#REF!</f>
        <v>#REF!</v>
      </c>
      <c r="C556" s="5" t="e">
        <f>#REF!</f>
        <v>#REF!</v>
      </c>
      <c r="D556" s="5" t="e">
        <f>#REF!</f>
        <v>#REF!</v>
      </c>
      <c r="E556" s="252">
        <v>1</v>
      </c>
      <c r="F556" s="249">
        <v>0</v>
      </c>
      <c r="G556" s="249">
        <v>0</v>
      </c>
      <c r="H556" s="249">
        <v>0</v>
      </c>
      <c r="I556" s="249">
        <v>0</v>
      </c>
      <c r="J556" s="249">
        <v>0</v>
      </c>
      <c r="K556" s="249">
        <v>0</v>
      </c>
      <c r="L556" s="274"/>
      <c r="M556" s="274"/>
      <c r="N556" s="255">
        <v>260000</v>
      </c>
      <c r="O556" s="135">
        <f t="shared" si="187"/>
        <v>49400</v>
      </c>
      <c r="P556" s="135">
        <f t="shared" si="188"/>
        <v>309400</v>
      </c>
      <c r="Q556" s="131"/>
      <c r="R556" s="131"/>
      <c r="S556" s="11"/>
      <c r="T556" s="274">
        <v>182600.00000000003</v>
      </c>
      <c r="U556" s="274">
        <f t="shared" si="189"/>
        <v>34694.000000000007</v>
      </c>
      <c r="V556" s="274">
        <f t="shared" si="190"/>
        <v>217294.00000000003</v>
      </c>
      <c r="W556" s="39" t="s">
        <v>445</v>
      </c>
      <c r="X556" s="11" t="s">
        <v>2976</v>
      </c>
      <c r="Y556" s="11"/>
      <c r="Z556" s="274"/>
      <c r="AA556" s="274"/>
      <c r="AB556" s="274"/>
      <c r="AC556" s="5"/>
      <c r="AD556" s="22"/>
      <c r="AE556" s="39"/>
      <c r="AF556" s="274"/>
      <c r="AG556" s="274"/>
      <c r="AH556" s="169"/>
      <c r="AI556" s="4"/>
      <c r="AJ556" s="39"/>
      <c r="AK556" s="39"/>
      <c r="AL556" s="118"/>
      <c r="AM556" s="152"/>
      <c r="AN556" s="181"/>
      <c r="AO556" s="131"/>
      <c r="AP556" s="131"/>
      <c r="AQ556" s="39"/>
      <c r="AR556" s="274"/>
      <c r="AS556" s="274"/>
      <c r="AT556" s="274"/>
      <c r="AU556" s="39"/>
      <c r="AV556" s="39"/>
      <c r="AW556" s="39"/>
      <c r="AX556" s="274"/>
      <c r="AY556" s="274"/>
      <c r="AZ556" s="274"/>
      <c r="BA556" s="39"/>
      <c r="BB556" s="62"/>
      <c r="BC556" s="39"/>
      <c r="BD556" s="274"/>
      <c r="BE556" s="274"/>
      <c r="BF556" s="274"/>
      <c r="BG556" s="39"/>
      <c r="BH556" s="39"/>
      <c r="BI556" s="39"/>
      <c r="BJ556" s="274">
        <v>469100</v>
      </c>
      <c r="BK556" s="274">
        <f t="shared" si="191"/>
        <v>89129</v>
      </c>
      <c r="BL556" s="274">
        <f t="shared" si="192"/>
        <v>558229</v>
      </c>
      <c r="BM556" s="213" t="s">
        <v>196</v>
      </c>
      <c r="BN556" s="213" t="s">
        <v>2925</v>
      </c>
      <c r="BO556" s="39"/>
      <c r="BP556" s="274"/>
      <c r="BQ556" s="274"/>
      <c r="BR556" s="274"/>
      <c r="BS556" s="39"/>
      <c r="BT556" s="39"/>
      <c r="BU556" s="39"/>
      <c r="BV556" s="219">
        <v>517526.1312</v>
      </c>
      <c r="BW556" s="219">
        <f t="shared" si="193"/>
        <v>98329.964928000001</v>
      </c>
      <c r="BX556" s="273">
        <f t="shared" si="194"/>
        <v>615856.09612799995</v>
      </c>
      <c r="BY556" s="213" t="s">
        <v>196</v>
      </c>
      <c r="BZ556" s="213" t="s">
        <v>2925</v>
      </c>
      <c r="CA556" s="213"/>
      <c r="CB556" s="274"/>
      <c r="CC556" s="274"/>
      <c r="CD556" s="274"/>
      <c r="CE556" s="39"/>
      <c r="CF556" s="39"/>
      <c r="CG556" s="39"/>
      <c r="CH556" s="274"/>
      <c r="CI556" s="274"/>
      <c r="CJ556" s="274"/>
      <c r="CK556" s="39"/>
      <c r="CL556" s="39"/>
      <c r="CM556" s="39"/>
      <c r="CN556" s="39"/>
      <c r="CO556" s="39"/>
      <c r="CP556" s="11"/>
      <c r="CQ556" s="11"/>
      <c r="CR556" s="11"/>
      <c r="CS556" s="11"/>
      <c r="CT556" s="11"/>
      <c r="CU556" s="11"/>
      <c r="CV556" s="11"/>
      <c r="CW556" s="11"/>
      <c r="CX556" s="11"/>
      <c r="CY556" s="11"/>
      <c r="CZ556" s="11"/>
      <c r="DA556" s="11"/>
      <c r="DB556" s="11"/>
      <c r="DC556" s="11"/>
      <c r="DD556" s="11"/>
      <c r="DE556" s="11"/>
      <c r="DF556" s="11"/>
      <c r="DG556" s="11"/>
      <c r="DH556" s="11"/>
      <c r="DI556" s="11"/>
      <c r="DJ556" s="11"/>
      <c r="DK556" s="11"/>
      <c r="DL556" s="274"/>
      <c r="DM556" s="274"/>
      <c r="DN556" s="274"/>
      <c r="DO556" s="274"/>
      <c r="DP556" s="274"/>
      <c r="DQ556" s="274"/>
      <c r="DR556" s="274"/>
      <c r="DS556" s="274"/>
      <c r="DT556" s="274"/>
      <c r="DU556" s="274"/>
      <c r="DV556" s="274"/>
      <c r="DW556" s="274"/>
      <c r="DX556" s="274"/>
      <c r="DY556" s="274"/>
      <c r="DZ556" s="274"/>
      <c r="EA556" s="274"/>
      <c r="EB556" s="274"/>
      <c r="EC556" s="274"/>
      <c r="ED556" s="39">
        <f t="shared" si="177"/>
        <v>1700779.0961279999</v>
      </c>
      <c r="EE556" s="30">
        <f t="shared" si="178"/>
        <v>4</v>
      </c>
      <c r="EF556" s="39">
        <f t="shared" si="179"/>
        <v>425194.77403199999</v>
      </c>
    </row>
    <row r="557" spans="1:136" x14ac:dyDescent="0.25">
      <c r="A557" s="25" t="e">
        <f>#REF!</f>
        <v>#REF!</v>
      </c>
      <c r="B557" s="50" t="e">
        <f>#REF!</f>
        <v>#REF!</v>
      </c>
      <c r="C557" s="5" t="e">
        <f>#REF!</f>
        <v>#REF!</v>
      </c>
      <c r="D557" s="5" t="e">
        <f>#REF!</f>
        <v>#REF!</v>
      </c>
      <c r="E557" s="252">
        <v>1</v>
      </c>
      <c r="F557" s="249">
        <v>0</v>
      </c>
      <c r="G557" s="249">
        <v>0</v>
      </c>
      <c r="H557" s="249">
        <v>0</v>
      </c>
      <c r="I557" s="249">
        <v>0</v>
      </c>
      <c r="J557" s="249">
        <v>83911.924444444434</v>
      </c>
      <c r="K557" s="249">
        <v>26061</v>
      </c>
      <c r="L557" s="274">
        <f>J557</f>
        <v>83911.924444444434</v>
      </c>
      <c r="M557" s="274">
        <f>K557*E1</f>
        <v>26842.83</v>
      </c>
      <c r="N557" s="255">
        <v>45000</v>
      </c>
      <c r="O557" s="135">
        <f t="shared" si="187"/>
        <v>8550</v>
      </c>
      <c r="P557" s="135">
        <f t="shared" si="188"/>
        <v>53550</v>
      </c>
      <c r="Q557" s="131"/>
      <c r="R557" s="131"/>
      <c r="S557" s="11"/>
      <c r="T557" s="274"/>
      <c r="U557" s="274"/>
      <c r="V557" s="274"/>
      <c r="W557" s="39"/>
      <c r="X557" s="11"/>
      <c r="Y557" s="11"/>
      <c r="Z557" s="274"/>
      <c r="AA557" s="274"/>
      <c r="AB557" s="274"/>
      <c r="AC557" s="5"/>
      <c r="AD557" s="22"/>
      <c r="AE557" s="39"/>
      <c r="AF557" s="274"/>
      <c r="AG557" s="274"/>
      <c r="AH557" s="169"/>
      <c r="AI557" s="4"/>
      <c r="AJ557" s="39"/>
      <c r="AK557" s="39"/>
      <c r="AL557" s="118"/>
      <c r="AM557" s="152"/>
      <c r="AN557" s="181"/>
      <c r="AO557" s="131"/>
      <c r="AP557" s="131"/>
      <c r="AQ557" s="39"/>
      <c r="AR557" s="274"/>
      <c r="AS557" s="274"/>
      <c r="AT557" s="274"/>
      <c r="AU557" s="39"/>
      <c r="AV557" s="39"/>
      <c r="AW557" s="39"/>
      <c r="AX557" s="274"/>
      <c r="AY557" s="274"/>
      <c r="AZ557" s="274"/>
      <c r="BA557" s="39"/>
      <c r="BB557" s="62"/>
      <c r="BC557" s="39"/>
      <c r="BD557" s="274"/>
      <c r="BE557" s="274"/>
      <c r="BF557" s="274"/>
      <c r="BG557" s="39"/>
      <c r="BH557" s="39"/>
      <c r="BI557" s="39"/>
      <c r="BJ557" s="274">
        <v>53500</v>
      </c>
      <c r="BK557" s="274">
        <f t="shared" si="191"/>
        <v>10165</v>
      </c>
      <c r="BL557" s="274">
        <f t="shared" si="192"/>
        <v>63665</v>
      </c>
      <c r="BM557" s="213" t="s">
        <v>196</v>
      </c>
      <c r="BN557" s="213" t="s">
        <v>2925</v>
      </c>
      <c r="BO557" s="39"/>
      <c r="BP557" s="274"/>
      <c r="BQ557" s="274"/>
      <c r="BR557" s="274"/>
      <c r="BS557" s="39"/>
      <c r="BT557" s="39"/>
      <c r="BU557" s="39"/>
      <c r="BV557" s="219">
        <v>57849.870999999999</v>
      </c>
      <c r="BW557" s="219">
        <f t="shared" si="193"/>
        <v>10991.475490000001</v>
      </c>
      <c r="BX557" s="273">
        <f t="shared" si="194"/>
        <v>68841.346489999996</v>
      </c>
      <c r="BY557" s="213" t="s">
        <v>196</v>
      </c>
      <c r="BZ557" s="213" t="s">
        <v>2925</v>
      </c>
      <c r="CA557" s="213"/>
      <c r="CB557" s="274"/>
      <c r="CC557" s="274"/>
      <c r="CD557" s="274"/>
      <c r="CE557" s="39"/>
      <c r="CF557" s="39"/>
      <c r="CG557" s="39"/>
      <c r="CH557" s="274"/>
      <c r="CI557" s="274"/>
      <c r="CJ557" s="274"/>
      <c r="CK557" s="39"/>
      <c r="CL557" s="39"/>
      <c r="CM557" s="39"/>
      <c r="CN557" s="39"/>
      <c r="CO557" s="39"/>
      <c r="CP557" s="11"/>
      <c r="CQ557" s="11"/>
      <c r="CR557" s="11"/>
      <c r="CS557" s="11"/>
      <c r="CT557" s="11"/>
      <c r="CU557" s="11"/>
      <c r="CV557" s="11"/>
      <c r="CW557" s="11"/>
      <c r="CX557" s="11"/>
      <c r="CY557" s="11"/>
      <c r="CZ557" s="11"/>
      <c r="DA557" s="11"/>
      <c r="DB557" s="11"/>
      <c r="DC557" s="11"/>
      <c r="DD557" s="11"/>
      <c r="DE557" s="11"/>
      <c r="DF557" s="11"/>
      <c r="DG557" s="11"/>
      <c r="DH557" s="11"/>
      <c r="DI557" s="11"/>
      <c r="DJ557" s="11"/>
      <c r="DK557" s="11"/>
      <c r="DL557" s="274"/>
      <c r="DM557" s="274"/>
      <c r="DN557" s="274"/>
      <c r="DO557" s="274"/>
      <c r="DP557" s="274"/>
      <c r="DQ557" s="274"/>
      <c r="DR557" s="274"/>
      <c r="DS557" s="274"/>
      <c r="DT557" s="274"/>
      <c r="DU557" s="274"/>
      <c r="DV557" s="274"/>
      <c r="DW557" s="274"/>
      <c r="DX557" s="274"/>
      <c r="DY557" s="274"/>
      <c r="DZ557" s="274"/>
      <c r="EA557" s="274"/>
      <c r="EB557" s="274"/>
      <c r="EC557" s="274"/>
      <c r="ED557" s="39">
        <f t="shared" si="177"/>
        <v>212899.17649000001</v>
      </c>
      <c r="EE557" s="30">
        <f t="shared" si="178"/>
        <v>4</v>
      </c>
      <c r="EF557" s="39">
        <f t="shared" si="179"/>
        <v>53224.794122500003</v>
      </c>
    </row>
    <row r="558" spans="1:136" x14ac:dyDescent="0.25">
      <c r="A558" s="25" t="e">
        <f>#REF!</f>
        <v>#REF!</v>
      </c>
      <c r="B558" s="50" t="e">
        <f>#REF!</f>
        <v>#REF!</v>
      </c>
      <c r="C558" s="5" t="e">
        <f>#REF!</f>
        <v>#REF!</v>
      </c>
      <c r="D558" s="5" t="e">
        <f>#REF!</f>
        <v>#REF!</v>
      </c>
      <c r="E558" s="252">
        <v>1</v>
      </c>
      <c r="F558" s="249">
        <v>0</v>
      </c>
      <c r="G558" s="249">
        <v>0</v>
      </c>
      <c r="H558" s="249">
        <v>0</v>
      </c>
      <c r="I558" s="249">
        <v>0</v>
      </c>
      <c r="J558" s="249">
        <v>0</v>
      </c>
      <c r="K558" s="249">
        <v>0</v>
      </c>
      <c r="L558" s="274"/>
      <c r="M558" s="274"/>
      <c r="N558" s="255">
        <v>140000</v>
      </c>
      <c r="O558" s="135">
        <f t="shared" si="187"/>
        <v>26600</v>
      </c>
      <c r="P558" s="135">
        <f t="shared" si="188"/>
        <v>166600</v>
      </c>
      <c r="Q558" s="131"/>
      <c r="R558" s="131"/>
      <c r="S558" s="11"/>
      <c r="T558" s="274">
        <v>93500.000000000015</v>
      </c>
      <c r="U558" s="274">
        <f>+T558*0.19</f>
        <v>17765.000000000004</v>
      </c>
      <c r="V558" s="274">
        <f>+T558+U558</f>
        <v>111265.00000000001</v>
      </c>
      <c r="W558" s="39" t="s">
        <v>445</v>
      </c>
      <c r="X558" s="11" t="s">
        <v>2976</v>
      </c>
      <c r="Y558" s="11"/>
      <c r="Z558" s="274"/>
      <c r="AA558" s="274"/>
      <c r="AB558" s="274"/>
      <c r="AC558" s="5"/>
      <c r="AD558" s="22"/>
      <c r="AE558" s="39"/>
      <c r="AF558" s="274"/>
      <c r="AG558" s="274"/>
      <c r="AH558" s="169"/>
      <c r="AI558" s="4"/>
      <c r="AJ558" s="39"/>
      <c r="AK558" s="39"/>
      <c r="AL558" s="118"/>
      <c r="AM558" s="152"/>
      <c r="AN558" s="181"/>
      <c r="AO558" s="131"/>
      <c r="AP558" s="131"/>
      <c r="AQ558" s="39"/>
      <c r="AR558" s="274"/>
      <c r="AS558" s="274"/>
      <c r="AT558" s="274"/>
      <c r="AU558" s="39"/>
      <c r="AV558" s="39"/>
      <c r="AW558" s="39"/>
      <c r="AX558" s="274"/>
      <c r="AY558" s="274"/>
      <c r="AZ558" s="274"/>
      <c r="BA558" s="39"/>
      <c r="BB558" s="62"/>
      <c r="BC558" s="39"/>
      <c r="BD558" s="274"/>
      <c r="BE558" s="274"/>
      <c r="BF558" s="274"/>
      <c r="BG558" s="39"/>
      <c r="BH558" s="39"/>
      <c r="BI558" s="39"/>
      <c r="BJ558" s="274">
        <v>337800</v>
      </c>
      <c r="BK558" s="274">
        <f t="shared" si="191"/>
        <v>64182</v>
      </c>
      <c r="BL558" s="274">
        <f t="shared" si="192"/>
        <v>401982</v>
      </c>
      <c r="BM558" s="213" t="s">
        <v>196</v>
      </c>
      <c r="BN558" s="213" t="s">
        <v>2925</v>
      </c>
      <c r="BO558" s="39"/>
      <c r="BP558" s="274"/>
      <c r="BQ558" s="274"/>
      <c r="BR558" s="274"/>
      <c r="BS558" s="39"/>
      <c r="BT558" s="39"/>
      <c r="BU558" s="39"/>
      <c r="BV558" s="219">
        <v>361955.7402</v>
      </c>
      <c r="BW558" s="219">
        <f t="shared" si="193"/>
        <v>68771.590637999994</v>
      </c>
      <c r="BX558" s="273">
        <f t="shared" si="194"/>
        <v>430727.33083799999</v>
      </c>
      <c r="BY558" s="213" t="s">
        <v>196</v>
      </c>
      <c r="BZ558" s="213" t="s">
        <v>2925</v>
      </c>
      <c r="CA558" s="213"/>
      <c r="CB558" s="274"/>
      <c r="CC558" s="274"/>
      <c r="CD558" s="274"/>
      <c r="CE558" s="39"/>
      <c r="CF558" s="39"/>
      <c r="CG558" s="39"/>
      <c r="CH558" s="274"/>
      <c r="CI558" s="274"/>
      <c r="CJ558" s="274"/>
      <c r="CK558" s="39"/>
      <c r="CL558" s="39"/>
      <c r="CM558" s="39"/>
      <c r="CN558" s="39"/>
      <c r="CO558" s="39"/>
      <c r="CP558" s="11"/>
      <c r="CQ558" s="11"/>
      <c r="CR558" s="11"/>
      <c r="CS558" s="11"/>
      <c r="CT558" s="11"/>
      <c r="CU558" s="11"/>
      <c r="CV558" s="11"/>
      <c r="CW558" s="11"/>
      <c r="CX558" s="11"/>
      <c r="CY558" s="11"/>
      <c r="CZ558" s="11"/>
      <c r="DA558" s="11"/>
      <c r="DB558" s="11"/>
      <c r="DC558" s="11"/>
      <c r="DD558" s="11"/>
      <c r="DE558" s="11"/>
      <c r="DF558" s="11"/>
      <c r="DG558" s="11"/>
      <c r="DH558" s="11"/>
      <c r="DI558" s="11"/>
      <c r="DJ558" s="11"/>
      <c r="DK558" s="11"/>
      <c r="DL558" s="274"/>
      <c r="DM558" s="274"/>
      <c r="DN558" s="274"/>
      <c r="DO558" s="274"/>
      <c r="DP558" s="274"/>
      <c r="DQ558" s="274"/>
      <c r="DR558" s="274"/>
      <c r="DS558" s="274"/>
      <c r="DT558" s="274"/>
      <c r="DU558" s="274"/>
      <c r="DV558" s="274"/>
      <c r="DW558" s="274"/>
      <c r="DX558" s="274"/>
      <c r="DY558" s="274"/>
      <c r="DZ558" s="274"/>
      <c r="EA558" s="274"/>
      <c r="EB558" s="274"/>
      <c r="EC558" s="274"/>
      <c r="ED558" s="39">
        <f t="shared" si="177"/>
        <v>1110574.3308379999</v>
      </c>
      <c r="EE558" s="30">
        <f t="shared" si="178"/>
        <v>4</v>
      </c>
      <c r="EF558" s="39">
        <f t="shared" si="179"/>
        <v>277643.58270949998</v>
      </c>
    </row>
    <row r="559" spans="1:136" x14ac:dyDescent="0.25">
      <c r="A559" s="25" t="e">
        <f>#REF!</f>
        <v>#REF!</v>
      </c>
      <c r="B559" s="50" t="e">
        <f>#REF!</f>
        <v>#REF!</v>
      </c>
      <c r="C559" s="5" t="e">
        <f>#REF!</f>
        <v>#REF!</v>
      </c>
      <c r="D559" s="5" t="e">
        <f>#REF!</f>
        <v>#REF!</v>
      </c>
      <c r="E559" s="252">
        <v>1</v>
      </c>
      <c r="F559" s="249">
        <v>0</v>
      </c>
      <c r="G559" s="249">
        <v>0</v>
      </c>
      <c r="H559" s="249">
        <v>0</v>
      </c>
      <c r="I559" s="249">
        <v>0</v>
      </c>
      <c r="J559" s="249">
        <v>0</v>
      </c>
      <c r="K559" s="249">
        <v>0</v>
      </c>
      <c r="L559" s="274"/>
      <c r="M559" s="274"/>
      <c r="N559" s="255">
        <v>68000</v>
      </c>
      <c r="O559" s="135">
        <f t="shared" si="187"/>
        <v>12920</v>
      </c>
      <c r="P559" s="135">
        <f t="shared" si="188"/>
        <v>80920</v>
      </c>
      <c r="Q559" s="131"/>
      <c r="R559" s="131"/>
      <c r="S559" s="11"/>
      <c r="T559" s="274">
        <v>38500</v>
      </c>
      <c r="U559" s="274">
        <f>+T559*0.19</f>
        <v>7315</v>
      </c>
      <c r="V559" s="274">
        <f>+T559+U559</f>
        <v>45815</v>
      </c>
      <c r="W559" s="39" t="s">
        <v>445</v>
      </c>
      <c r="X559" s="11" t="s">
        <v>2976</v>
      </c>
      <c r="Y559" s="11"/>
      <c r="Z559" s="274"/>
      <c r="AA559" s="274"/>
      <c r="AB559" s="274"/>
      <c r="AC559" s="5"/>
      <c r="AD559" s="22"/>
      <c r="AE559" s="39"/>
      <c r="AF559" s="274"/>
      <c r="AG559" s="274"/>
      <c r="AH559" s="169"/>
      <c r="AI559" s="4"/>
      <c r="AJ559" s="39"/>
      <c r="AK559" s="39"/>
      <c r="AL559" s="118"/>
      <c r="AM559" s="152"/>
      <c r="AN559" s="181"/>
      <c r="AO559" s="131"/>
      <c r="AP559" s="131"/>
      <c r="AQ559" s="39"/>
      <c r="AR559" s="274"/>
      <c r="AS559" s="274"/>
      <c r="AT559" s="274"/>
      <c r="AU559" s="39"/>
      <c r="AV559" s="39"/>
      <c r="AW559" s="39"/>
      <c r="AX559" s="274"/>
      <c r="AY559" s="274"/>
      <c r="AZ559" s="274"/>
      <c r="BA559" s="39"/>
      <c r="BB559" s="62"/>
      <c r="BC559" s="39"/>
      <c r="BD559" s="274"/>
      <c r="BE559" s="274"/>
      <c r="BF559" s="274"/>
      <c r="BG559" s="39"/>
      <c r="BH559" s="39"/>
      <c r="BI559" s="39"/>
      <c r="BJ559" s="274">
        <v>129200</v>
      </c>
      <c r="BK559" s="274">
        <f t="shared" si="191"/>
        <v>24548</v>
      </c>
      <c r="BL559" s="274">
        <f t="shared" si="192"/>
        <v>153748</v>
      </c>
      <c r="BM559" s="213" t="s">
        <v>196</v>
      </c>
      <c r="BN559" s="213" t="s">
        <v>2925</v>
      </c>
      <c r="BO559" s="39"/>
      <c r="BP559" s="274"/>
      <c r="BQ559" s="274"/>
      <c r="BR559" s="274"/>
      <c r="BS559" s="39"/>
      <c r="BT559" s="39"/>
      <c r="BU559" s="39"/>
      <c r="BV559" s="219">
        <v>145292.3768</v>
      </c>
      <c r="BW559" s="219">
        <f t="shared" si="193"/>
        <v>27605.551592</v>
      </c>
      <c r="BX559" s="273">
        <f t="shared" si="194"/>
        <v>172897.928392</v>
      </c>
      <c r="BY559" s="213" t="s">
        <v>196</v>
      </c>
      <c r="BZ559" s="213" t="s">
        <v>2925</v>
      </c>
      <c r="CA559" s="213"/>
      <c r="CB559" s="274"/>
      <c r="CC559" s="274"/>
      <c r="CD559" s="274"/>
      <c r="CE559" s="39"/>
      <c r="CF559" s="39"/>
      <c r="CG559" s="39"/>
      <c r="CH559" s="274"/>
      <c r="CI559" s="274"/>
      <c r="CJ559" s="274"/>
      <c r="CK559" s="39"/>
      <c r="CL559" s="39"/>
      <c r="CM559" s="39"/>
      <c r="CN559" s="39"/>
      <c r="CO559" s="39"/>
      <c r="CP559" s="11"/>
      <c r="CQ559" s="11"/>
      <c r="CR559" s="11"/>
      <c r="CS559" s="11"/>
      <c r="CT559" s="11"/>
      <c r="CU559" s="11"/>
      <c r="CV559" s="11"/>
      <c r="CW559" s="11"/>
      <c r="CX559" s="11"/>
      <c r="CY559" s="11"/>
      <c r="CZ559" s="11"/>
      <c r="DA559" s="11"/>
      <c r="DB559" s="11"/>
      <c r="DC559" s="11"/>
      <c r="DD559" s="11"/>
      <c r="DE559" s="11"/>
      <c r="DF559" s="11"/>
      <c r="DG559" s="11"/>
      <c r="DH559" s="11"/>
      <c r="DI559" s="11"/>
      <c r="DJ559" s="11"/>
      <c r="DK559" s="11"/>
      <c r="DL559" s="274"/>
      <c r="DM559" s="274"/>
      <c r="DN559" s="274"/>
      <c r="DO559" s="274"/>
      <c r="DP559" s="274"/>
      <c r="DQ559" s="274"/>
      <c r="DR559" s="274"/>
      <c r="DS559" s="274"/>
      <c r="DT559" s="274"/>
      <c r="DU559" s="274"/>
      <c r="DV559" s="274"/>
      <c r="DW559" s="274"/>
      <c r="DX559" s="274"/>
      <c r="DY559" s="274"/>
      <c r="DZ559" s="274"/>
      <c r="EA559" s="274"/>
      <c r="EB559" s="274"/>
      <c r="EC559" s="274"/>
      <c r="ED559" s="39">
        <f t="shared" si="177"/>
        <v>453380.92839200003</v>
      </c>
      <c r="EE559" s="30">
        <f t="shared" si="178"/>
        <v>4</v>
      </c>
      <c r="EF559" s="39">
        <f t="shared" si="179"/>
        <v>113345.23209800001</v>
      </c>
    </row>
    <row r="560" spans="1:136" x14ac:dyDescent="0.25">
      <c r="A560" s="25" t="e">
        <f>#REF!</f>
        <v>#REF!</v>
      </c>
      <c r="B560" s="50" t="e">
        <f>#REF!</f>
        <v>#REF!</v>
      </c>
      <c r="C560" s="5" t="e">
        <f>#REF!</f>
        <v>#REF!</v>
      </c>
      <c r="D560" s="5" t="e">
        <f>#REF!</f>
        <v>#REF!</v>
      </c>
      <c r="E560" s="252">
        <v>1</v>
      </c>
      <c r="F560" s="249">
        <v>0</v>
      </c>
      <c r="G560" s="249">
        <v>0</v>
      </c>
      <c r="H560" s="249">
        <v>0</v>
      </c>
      <c r="I560" s="249">
        <v>0</v>
      </c>
      <c r="J560" s="249">
        <v>0</v>
      </c>
      <c r="K560" s="249">
        <v>0</v>
      </c>
      <c r="L560" s="274"/>
      <c r="M560" s="274"/>
      <c r="N560" s="255">
        <v>100000</v>
      </c>
      <c r="O560" s="135">
        <f t="shared" si="187"/>
        <v>19000</v>
      </c>
      <c r="P560" s="135">
        <f t="shared" si="188"/>
        <v>119000</v>
      </c>
      <c r="Q560" s="131"/>
      <c r="R560" s="131"/>
      <c r="S560" s="11"/>
      <c r="T560" s="274">
        <v>67100</v>
      </c>
      <c r="U560" s="274">
        <f>+T560*0.19</f>
        <v>12749</v>
      </c>
      <c r="V560" s="274">
        <f>+T560+U560</f>
        <v>79849</v>
      </c>
      <c r="W560" s="39" t="s">
        <v>445</v>
      </c>
      <c r="X560" s="11" t="s">
        <v>2976</v>
      </c>
      <c r="Y560" s="11"/>
      <c r="Z560" s="274"/>
      <c r="AA560" s="274"/>
      <c r="AB560" s="274"/>
      <c r="AC560" s="52"/>
      <c r="AD560" s="22"/>
      <c r="AE560" s="39"/>
      <c r="AF560" s="274"/>
      <c r="AG560" s="274"/>
      <c r="AH560" s="113"/>
      <c r="AI560" s="4"/>
      <c r="AJ560" s="39"/>
      <c r="AK560" s="39"/>
      <c r="AL560" s="118"/>
      <c r="AM560" s="152"/>
      <c r="AN560" s="181"/>
      <c r="AO560" s="131"/>
      <c r="AP560" s="131"/>
      <c r="AQ560" s="39"/>
      <c r="AR560" s="274"/>
      <c r="AS560" s="274"/>
      <c r="AT560" s="274"/>
      <c r="AU560" s="39"/>
      <c r="AV560" s="39"/>
      <c r="AW560" s="39"/>
      <c r="AX560" s="274"/>
      <c r="AY560" s="274"/>
      <c r="AZ560" s="274"/>
      <c r="BA560" s="39"/>
      <c r="BB560" s="62"/>
      <c r="BC560" s="39"/>
      <c r="BD560" s="274"/>
      <c r="BE560" s="274"/>
      <c r="BF560" s="274"/>
      <c r="BG560" s="39"/>
      <c r="BH560" s="39"/>
      <c r="BI560" s="39"/>
      <c r="BJ560" s="274">
        <v>219600</v>
      </c>
      <c r="BK560" s="274">
        <f t="shared" si="191"/>
        <v>41724</v>
      </c>
      <c r="BL560" s="274">
        <f t="shared" si="192"/>
        <v>261324</v>
      </c>
      <c r="BM560" s="213" t="s">
        <v>196</v>
      </c>
      <c r="BN560" s="213" t="s">
        <v>2925</v>
      </c>
      <c r="BO560" s="39"/>
      <c r="BP560" s="274"/>
      <c r="BQ560" s="274"/>
      <c r="BR560" s="274"/>
      <c r="BS560" s="39"/>
      <c r="BT560" s="39"/>
      <c r="BU560" s="39"/>
      <c r="BV560" s="219">
        <v>239895.432</v>
      </c>
      <c r="BW560" s="219">
        <f t="shared" si="193"/>
        <v>45580.132080000003</v>
      </c>
      <c r="BX560" s="273">
        <f t="shared" si="194"/>
        <v>285475.56407999998</v>
      </c>
      <c r="BY560" s="213" t="s">
        <v>196</v>
      </c>
      <c r="BZ560" s="213" t="s">
        <v>2925</v>
      </c>
      <c r="CA560" s="213"/>
      <c r="CB560" s="274"/>
      <c r="CC560" s="274"/>
      <c r="CD560" s="274"/>
      <c r="CE560" s="39"/>
      <c r="CF560" s="39"/>
      <c r="CG560" s="39"/>
      <c r="CH560" s="274"/>
      <c r="CI560" s="274"/>
      <c r="CJ560" s="274"/>
      <c r="CK560" s="39"/>
      <c r="CL560" s="39"/>
      <c r="CM560" s="39"/>
      <c r="CN560" s="39"/>
      <c r="CO560" s="39"/>
      <c r="CP560" s="11"/>
      <c r="CQ560" s="11"/>
      <c r="CR560" s="11"/>
      <c r="CS560" s="11"/>
      <c r="CT560" s="11"/>
      <c r="CU560" s="11"/>
      <c r="CV560" s="11"/>
      <c r="CW560" s="11"/>
      <c r="CX560" s="11"/>
      <c r="CY560" s="11"/>
      <c r="CZ560" s="11"/>
      <c r="DA560" s="11"/>
      <c r="DB560" s="11"/>
      <c r="DC560" s="11"/>
      <c r="DD560" s="11"/>
      <c r="DE560" s="11"/>
      <c r="DF560" s="11"/>
      <c r="DG560" s="11"/>
      <c r="DH560" s="11"/>
      <c r="DI560" s="11"/>
      <c r="DJ560" s="11"/>
      <c r="DK560" s="11"/>
      <c r="DL560" s="274"/>
      <c r="DM560" s="274"/>
      <c r="DN560" s="274"/>
      <c r="DO560" s="274"/>
      <c r="DP560" s="274"/>
      <c r="DQ560" s="274"/>
      <c r="DR560" s="274"/>
      <c r="DS560" s="274"/>
      <c r="DT560" s="274"/>
      <c r="DU560" s="274"/>
      <c r="DV560" s="274"/>
      <c r="DW560" s="274"/>
      <c r="DX560" s="274"/>
      <c r="DY560" s="274"/>
      <c r="DZ560" s="274"/>
      <c r="EA560" s="274"/>
      <c r="EB560" s="274"/>
      <c r="EC560" s="274"/>
      <c r="ED560" s="39">
        <f t="shared" si="177"/>
        <v>745648.56407999992</v>
      </c>
      <c r="EE560" s="30">
        <f t="shared" si="178"/>
        <v>4</v>
      </c>
      <c r="EF560" s="39">
        <f t="shared" si="179"/>
        <v>186412.14101999998</v>
      </c>
    </row>
    <row r="561" spans="1:136" x14ac:dyDescent="0.25">
      <c r="A561" s="25" t="e">
        <f>#REF!</f>
        <v>#REF!</v>
      </c>
      <c r="B561" s="50" t="e">
        <f>#REF!</f>
        <v>#REF!</v>
      </c>
      <c r="C561" s="5" t="e">
        <f>#REF!</f>
        <v>#REF!</v>
      </c>
      <c r="D561" s="5" t="e">
        <f>#REF!</f>
        <v>#REF!</v>
      </c>
      <c r="E561" s="252">
        <v>1</v>
      </c>
      <c r="F561" s="249">
        <v>0</v>
      </c>
      <c r="G561" s="249">
        <v>0</v>
      </c>
      <c r="H561" s="249">
        <v>0</v>
      </c>
      <c r="I561" s="249">
        <v>0</v>
      </c>
      <c r="J561" s="249">
        <v>0</v>
      </c>
      <c r="K561" s="249">
        <v>0</v>
      </c>
      <c r="L561" s="274"/>
      <c r="M561" s="274"/>
      <c r="N561" s="255">
        <v>38000</v>
      </c>
      <c r="O561" s="135">
        <f t="shared" si="187"/>
        <v>7220</v>
      </c>
      <c r="P561" s="135">
        <f t="shared" si="188"/>
        <v>45220</v>
      </c>
      <c r="Q561" s="131"/>
      <c r="R561" s="131"/>
      <c r="S561" s="11"/>
      <c r="T561" s="274"/>
      <c r="U561" s="274"/>
      <c r="V561" s="274"/>
      <c r="W561" s="39"/>
      <c r="X561" s="11"/>
      <c r="Y561" s="11"/>
      <c r="Z561" s="274"/>
      <c r="AA561" s="274"/>
      <c r="AB561" s="274"/>
      <c r="AC561" s="52"/>
      <c r="AD561" s="22"/>
      <c r="AE561" s="39"/>
      <c r="AF561" s="274"/>
      <c r="AG561" s="274"/>
      <c r="AH561" s="113"/>
      <c r="AI561" s="4"/>
      <c r="AJ561" s="39"/>
      <c r="AK561" s="39"/>
      <c r="AL561" s="118"/>
      <c r="AM561" s="152"/>
      <c r="AN561" s="181"/>
      <c r="AO561" s="131"/>
      <c r="AP561" s="131"/>
      <c r="AQ561" s="39"/>
      <c r="AR561" s="274"/>
      <c r="AS561" s="274"/>
      <c r="AT561" s="274"/>
      <c r="AU561" s="39"/>
      <c r="AV561" s="39"/>
      <c r="AW561" s="39"/>
      <c r="AX561" s="274"/>
      <c r="AY561" s="274"/>
      <c r="AZ561" s="274"/>
      <c r="BA561" s="39"/>
      <c r="BB561" s="62"/>
      <c r="BC561" s="39"/>
      <c r="BD561" s="274"/>
      <c r="BE561" s="274"/>
      <c r="BF561" s="274"/>
      <c r="BG561" s="39"/>
      <c r="BH561" s="39"/>
      <c r="BI561" s="39"/>
      <c r="BJ561" s="274">
        <v>62300</v>
      </c>
      <c r="BK561" s="274">
        <f t="shared" si="191"/>
        <v>11837</v>
      </c>
      <c r="BL561" s="274">
        <f t="shared" si="192"/>
        <v>74137</v>
      </c>
      <c r="BM561" s="213" t="s">
        <v>196</v>
      </c>
      <c r="BN561" s="213" t="s">
        <v>2925</v>
      </c>
      <c r="BO561" s="39"/>
      <c r="BP561" s="274"/>
      <c r="BQ561" s="274"/>
      <c r="BR561" s="274"/>
      <c r="BS561" s="39"/>
      <c r="BT561" s="39"/>
      <c r="BU561" s="39"/>
      <c r="BV561" s="219">
        <v>72806.895000000004</v>
      </c>
      <c r="BW561" s="219">
        <f t="shared" si="193"/>
        <v>13833.31005</v>
      </c>
      <c r="BX561" s="273">
        <f t="shared" si="194"/>
        <v>86640.205050000004</v>
      </c>
      <c r="BY561" s="213" t="s">
        <v>196</v>
      </c>
      <c r="BZ561" s="213" t="s">
        <v>2925</v>
      </c>
      <c r="CA561" s="213"/>
      <c r="CB561" s="274"/>
      <c r="CC561" s="274"/>
      <c r="CD561" s="274"/>
      <c r="CE561" s="39"/>
      <c r="CF561" s="39"/>
      <c r="CG561" s="39"/>
      <c r="CH561" s="274"/>
      <c r="CI561" s="274"/>
      <c r="CJ561" s="274"/>
      <c r="CK561" s="39"/>
      <c r="CL561" s="39"/>
      <c r="CM561" s="39"/>
      <c r="CN561" s="39"/>
      <c r="CO561" s="39"/>
      <c r="CP561" s="11"/>
      <c r="CQ561" s="11"/>
      <c r="CR561" s="11"/>
      <c r="CS561" s="11"/>
      <c r="CT561" s="11"/>
      <c r="CU561" s="11"/>
      <c r="CV561" s="11"/>
      <c r="CW561" s="11"/>
      <c r="CX561" s="11"/>
      <c r="CY561" s="11"/>
      <c r="CZ561" s="11"/>
      <c r="DA561" s="11"/>
      <c r="DB561" s="11"/>
      <c r="DC561" s="11"/>
      <c r="DD561" s="11"/>
      <c r="DE561" s="11"/>
      <c r="DF561" s="11"/>
      <c r="DG561" s="11"/>
      <c r="DH561" s="11"/>
      <c r="DI561" s="11"/>
      <c r="DJ561" s="11"/>
      <c r="DK561" s="11"/>
      <c r="DL561" s="274"/>
      <c r="DM561" s="274"/>
      <c r="DN561" s="274"/>
      <c r="DO561" s="274"/>
      <c r="DP561" s="274"/>
      <c r="DQ561" s="274"/>
      <c r="DR561" s="274"/>
      <c r="DS561" s="274"/>
      <c r="DT561" s="274"/>
      <c r="DU561" s="274"/>
      <c r="DV561" s="274"/>
      <c r="DW561" s="274"/>
      <c r="DX561" s="274"/>
      <c r="DY561" s="274"/>
      <c r="DZ561" s="274"/>
      <c r="EA561" s="274"/>
      <c r="EB561" s="274"/>
      <c r="EC561" s="274"/>
      <c r="ED561" s="39">
        <f t="shared" si="177"/>
        <v>205997.20504999999</v>
      </c>
      <c r="EE561" s="30">
        <f t="shared" si="178"/>
        <v>3</v>
      </c>
      <c r="EF561" s="39">
        <f t="shared" si="179"/>
        <v>68665.735016666658</v>
      </c>
    </row>
    <row r="562" spans="1:136" x14ac:dyDescent="0.25">
      <c r="A562" s="25" t="e">
        <f>#REF!</f>
        <v>#REF!</v>
      </c>
      <c r="B562" s="50" t="e">
        <f>#REF!</f>
        <v>#REF!</v>
      </c>
      <c r="C562" s="5" t="e">
        <f>#REF!</f>
        <v>#REF!</v>
      </c>
      <c r="D562" s="5" t="e">
        <f>#REF!</f>
        <v>#REF!</v>
      </c>
      <c r="E562" s="252">
        <v>1</v>
      </c>
      <c r="F562" s="249">
        <v>58072</v>
      </c>
      <c r="G562" s="249">
        <v>56525</v>
      </c>
      <c r="H562" s="249">
        <v>85390.347138777332</v>
      </c>
      <c r="I562" s="249">
        <v>85323</v>
      </c>
      <c r="J562" s="249">
        <v>311255.30916666664</v>
      </c>
      <c r="K562" s="249">
        <v>41055</v>
      </c>
      <c r="L562" s="274">
        <f>AVERAGE(F562,H562,J562)</f>
        <v>151572.55210181465</v>
      </c>
      <c r="M562" s="274">
        <f>AVERAGE(G562,I562,K562)*E1</f>
        <v>62796.696666666663</v>
      </c>
      <c r="N562" s="255">
        <v>130000</v>
      </c>
      <c r="O562" s="135">
        <f t="shared" si="187"/>
        <v>24700</v>
      </c>
      <c r="P562" s="135">
        <f t="shared" si="188"/>
        <v>154700</v>
      </c>
      <c r="Q562" s="131"/>
      <c r="R562" s="131"/>
      <c r="S562" s="11"/>
      <c r="T562" s="274"/>
      <c r="U562" s="274"/>
      <c r="V562" s="274"/>
      <c r="W562" s="39"/>
      <c r="X562" s="11"/>
      <c r="Y562" s="11"/>
      <c r="Z562" s="274"/>
      <c r="AA562" s="274"/>
      <c r="AB562" s="274"/>
      <c r="AC562" s="52"/>
      <c r="AD562" s="22"/>
      <c r="AE562" s="39"/>
      <c r="AF562" s="274"/>
      <c r="AG562" s="274"/>
      <c r="AH562" s="113"/>
      <c r="AI562" s="4"/>
      <c r="AJ562" s="39"/>
      <c r="AK562" s="39"/>
      <c r="AL562" s="118"/>
      <c r="AM562" s="152"/>
      <c r="AN562" s="181"/>
      <c r="AO562" s="131"/>
      <c r="AP562" s="131"/>
      <c r="AQ562" s="39"/>
      <c r="AR562" s="274"/>
      <c r="AS562" s="274"/>
      <c r="AT562" s="274"/>
      <c r="AU562" s="39"/>
      <c r="AV562" s="39"/>
      <c r="AW562" s="39"/>
      <c r="AX562" s="274"/>
      <c r="AY562" s="274"/>
      <c r="AZ562" s="274"/>
      <c r="BA562" s="39"/>
      <c r="BB562" s="62"/>
      <c r="BC562" s="39"/>
      <c r="BD562" s="274"/>
      <c r="BE562" s="274"/>
      <c r="BF562" s="274"/>
      <c r="BG562" s="39"/>
      <c r="BH562" s="39"/>
      <c r="BI562" s="39"/>
      <c r="BJ562" s="274">
        <v>120100</v>
      </c>
      <c r="BK562" s="274">
        <f t="shared" si="191"/>
        <v>22819</v>
      </c>
      <c r="BL562" s="274">
        <f t="shared" si="192"/>
        <v>142919</v>
      </c>
      <c r="BM562" s="213" t="s">
        <v>196</v>
      </c>
      <c r="BN562" s="213" t="s">
        <v>2925</v>
      </c>
      <c r="BO562" s="39"/>
      <c r="BP562" s="274"/>
      <c r="BQ562" s="274"/>
      <c r="BR562" s="274"/>
      <c r="BS562" s="39"/>
      <c r="BT562" s="39"/>
      <c r="BU562" s="39"/>
      <c r="BV562" s="219">
        <v>137555.33400000003</v>
      </c>
      <c r="BW562" s="219">
        <f t="shared" si="193"/>
        <v>26135.513460000006</v>
      </c>
      <c r="BX562" s="273">
        <f t="shared" si="194"/>
        <v>163690.84746000005</v>
      </c>
      <c r="BY562" s="213" t="s">
        <v>196</v>
      </c>
      <c r="BZ562" s="213" t="s">
        <v>2925</v>
      </c>
      <c r="CA562" s="213"/>
      <c r="CB562" s="274"/>
      <c r="CC562" s="274"/>
      <c r="CD562" s="274"/>
      <c r="CE562" s="39"/>
      <c r="CF562" s="39"/>
      <c r="CG562" s="39"/>
      <c r="CH562" s="274"/>
      <c r="CI562" s="274"/>
      <c r="CJ562" s="274"/>
      <c r="CK562" s="39"/>
      <c r="CL562" s="39"/>
      <c r="CM562" s="39"/>
      <c r="CN562" s="39"/>
      <c r="CO562" s="39"/>
      <c r="CP562" s="11"/>
      <c r="CQ562" s="11"/>
      <c r="CR562" s="11"/>
      <c r="CS562" s="11"/>
      <c r="CT562" s="11"/>
      <c r="CU562" s="11"/>
      <c r="CV562" s="11"/>
      <c r="CW562" s="11"/>
      <c r="CX562" s="11"/>
      <c r="CY562" s="11"/>
      <c r="CZ562" s="11"/>
      <c r="DA562" s="11"/>
      <c r="DB562" s="11"/>
      <c r="DC562" s="11"/>
      <c r="DD562" s="11"/>
      <c r="DE562" s="11"/>
      <c r="DF562" s="11"/>
      <c r="DG562" s="11"/>
      <c r="DH562" s="11"/>
      <c r="DI562" s="11"/>
      <c r="DJ562" s="11"/>
      <c r="DK562" s="11"/>
      <c r="DL562" s="274"/>
      <c r="DM562" s="274"/>
      <c r="DN562" s="274"/>
      <c r="DO562" s="274"/>
      <c r="DP562" s="274"/>
      <c r="DQ562" s="274"/>
      <c r="DR562" s="274"/>
      <c r="DS562" s="274"/>
      <c r="DT562" s="274"/>
      <c r="DU562" s="274"/>
      <c r="DV562" s="274"/>
      <c r="DW562" s="274"/>
      <c r="DX562" s="274"/>
      <c r="DY562" s="274"/>
      <c r="DZ562" s="274"/>
      <c r="EA562" s="274"/>
      <c r="EB562" s="274"/>
      <c r="EC562" s="274"/>
      <c r="ED562" s="39">
        <f t="shared" si="177"/>
        <v>524106.54412666673</v>
      </c>
      <c r="EE562" s="30">
        <f t="shared" si="178"/>
        <v>4</v>
      </c>
      <c r="EF562" s="39">
        <f t="shared" si="179"/>
        <v>131026.63603166668</v>
      </c>
    </row>
    <row r="563" spans="1:136" x14ac:dyDescent="0.25">
      <c r="A563" s="25" t="e">
        <f>#REF!</f>
        <v>#REF!</v>
      </c>
      <c r="B563" s="50" t="e">
        <f>#REF!</f>
        <v>#REF!</v>
      </c>
      <c r="C563" s="5" t="e">
        <f>#REF!</f>
        <v>#REF!</v>
      </c>
      <c r="D563" s="5" t="e">
        <f>#REF!</f>
        <v>#REF!</v>
      </c>
      <c r="E563" s="252">
        <v>1</v>
      </c>
      <c r="F563" s="249">
        <v>0</v>
      </c>
      <c r="G563" s="249">
        <v>0</v>
      </c>
      <c r="H563" s="249">
        <v>13310.599607458293</v>
      </c>
      <c r="I563" s="249">
        <v>10115</v>
      </c>
      <c r="J563" s="249">
        <v>99051.038333333345</v>
      </c>
      <c r="K563" s="249">
        <v>98770</v>
      </c>
      <c r="L563" s="274">
        <f>AVERAGE(H563,J563)</f>
        <v>56180.81897039582</v>
      </c>
      <c r="M563" s="274">
        <f>AVERAGE(I563,K563)*E1</f>
        <v>56075.775000000001</v>
      </c>
      <c r="N563" s="255">
        <v>12500</v>
      </c>
      <c r="O563" s="135">
        <f t="shared" si="187"/>
        <v>2375</v>
      </c>
      <c r="P563" s="135">
        <f t="shared" si="188"/>
        <v>14875</v>
      </c>
      <c r="Q563" s="131"/>
      <c r="R563" s="131"/>
      <c r="S563" s="11"/>
      <c r="T563" s="274">
        <v>9460</v>
      </c>
      <c r="U563" s="274">
        <f>+T563*0.19</f>
        <v>1797.4</v>
      </c>
      <c r="V563" s="274">
        <f>+T563+U563</f>
        <v>11257.4</v>
      </c>
      <c r="W563" s="39" t="s">
        <v>445</v>
      </c>
      <c r="X563" s="11" t="s">
        <v>2948</v>
      </c>
      <c r="Y563" s="11"/>
      <c r="Z563" s="274"/>
      <c r="AA563" s="274"/>
      <c r="AB563" s="274"/>
      <c r="AC563" s="52"/>
      <c r="AD563" s="22"/>
      <c r="AE563" s="39"/>
      <c r="AF563" s="274"/>
      <c r="AG563" s="274"/>
      <c r="AH563" s="171"/>
      <c r="AI563" s="4"/>
      <c r="AJ563" s="39"/>
      <c r="AK563" s="39"/>
      <c r="AL563" s="118"/>
      <c r="AM563" s="152"/>
      <c r="AN563" s="181"/>
      <c r="AO563" s="131"/>
      <c r="AP563" s="131"/>
      <c r="AQ563" s="39"/>
      <c r="AR563" s="274"/>
      <c r="AS563" s="274"/>
      <c r="AT563" s="274"/>
      <c r="AU563" s="39"/>
      <c r="AV563" s="39"/>
      <c r="AW563" s="39"/>
      <c r="AX563" s="274"/>
      <c r="AY563" s="274"/>
      <c r="AZ563" s="274"/>
      <c r="BA563" s="39"/>
      <c r="BB563" s="62"/>
      <c r="BC563" s="39"/>
      <c r="BD563" s="274"/>
      <c r="BE563" s="274"/>
      <c r="BF563" s="274"/>
      <c r="BG563" s="39"/>
      <c r="BH563" s="39"/>
      <c r="BI563" s="39"/>
      <c r="BJ563" s="274">
        <v>15300</v>
      </c>
      <c r="BK563" s="274">
        <f t="shared" si="191"/>
        <v>2907</v>
      </c>
      <c r="BL563" s="274">
        <f t="shared" si="192"/>
        <v>18207</v>
      </c>
      <c r="BM563" s="213" t="s">
        <v>196</v>
      </c>
      <c r="BN563" s="213" t="s">
        <v>2925</v>
      </c>
      <c r="BO563" s="39"/>
      <c r="BP563" s="274"/>
      <c r="BQ563" s="274"/>
      <c r="BR563" s="274"/>
      <c r="BS563" s="39"/>
      <c r="BT563" s="39"/>
      <c r="BU563" s="39"/>
      <c r="BV563" s="219">
        <v>17685.958500000001</v>
      </c>
      <c r="BW563" s="219">
        <f t="shared" si="193"/>
        <v>3360.3321150000002</v>
      </c>
      <c r="BX563" s="273">
        <f t="shared" si="194"/>
        <v>21046.290615000002</v>
      </c>
      <c r="BY563" s="213" t="s">
        <v>196</v>
      </c>
      <c r="BZ563" s="213" t="s">
        <v>2925</v>
      </c>
      <c r="CA563" s="213"/>
      <c r="CB563" s="274"/>
      <c r="CC563" s="274"/>
      <c r="CD563" s="274"/>
      <c r="CE563" s="39"/>
      <c r="CF563" s="39"/>
      <c r="CG563" s="39"/>
      <c r="CH563" s="274"/>
      <c r="CI563" s="274"/>
      <c r="CJ563" s="274"/>
      <c r="CK563" s="39"/>
      <c r="CL563" s="39"/>
      <c r="CM563" s="39"/>
      <c r="CN563" s="39"/>
      <c r="CO563" s="39"/>
      <c r="CP563" s="11"/>
      <c r="CQ563" s="11"/>
      <c r="CR563" s="11"/>
      <c r="CS563" s="11"/>
      <c r="CT563" s="11"/>
      <c r="CU563" s="11"/>
      <c r="CV563" s="11"/>
      <c r="CW563" s="11"/>
      <c r="CX563" s="11"/>
      <c r="CY563" s="11"/>
      <c r="CZ563" s="11"/>
      <c r="DA563" s="11"/>
      <c r="DB563" s="11"/>
      <c r="DC563" s="11"/>
      <c r="DD563" s="11"/>
      <c r="DE563" s="11"/>
      <c r="DF563" s="11"/>
      <c r="DG563" s="11"/>
      <c r="DH563" s="11"/>
      <c r="DI563" s="11"/>
      <c r="DJ563" s="11"/>
      <c r="DK563" s="11"/>
      <c r="DL563" s="274"/>
      <c r="DM563" s="274"/>
      <c r="DN563" s="274"/>
      <c r="DO563" s="274"/>
      <c r="DP563" s="274"/>
      <c r="DQ563" s="274"/>
      <c r="DR563" s="274"/>
      <c r="DS563" s="274"/>
      <c r="DT563" s="274"/>
      <c r="DU563" s="274"/>
      <c r="DV563" s="274"/>
      <c r="DW563" s="274"/>
      <c r="DX563" s="274"/>
      <c r="DY563" s="274"/>
      <c r="DZ563" s="274"/>
      <c r="EA563" s="274"/>
      <c r="EB563" s="274"/>
      <c r="EC563" s="274"/>
      <c r="ED563" s="39">
        <f t="shared" si="177"/>
        <v>121461.46561499999</v>
      </c>
      <c r="EE563" s="30">
        <f t="shared" si="178"/>
        <v>5</v>
      </c>
      <c r="EF563" s="39">
        <f t="shared" si="179"/>
        <v>24292.293122999999</v>
      </c>
    </row>
    <row r="564" spans="1:136" x14ac:dyDescent="0.25">
      <c r="A564" s="25" t="e">
        <f>#REF!</f>
        <v>#REF!</v>
      </c>
      <c r="B564" s="50" t="e">
        <f>#REF!</f>
        <v>#REF!</v>
      </c>
      <c r="C564" s="5" t="e">
        <f>#REF!</f>
        <v>#REF!</v>
      </c>
      <c r="D564" s="5" t="e">
        <f>#REF!</f>
        <v>#REF!</v>
      </c>
      <c r="E564" s="252">
        <v>1</v>
      </c>
      <c r="F564" s="249">
        <v>0</v>
      </c>
      <c r="G564" s="249">
        <v>0</v>
      </c>
      <c r="H564" s="249">
        <v>12344.66372260386</v>
      </c>
      <c r="I564" s="249">
        <v>11424</v>
      </c>
      <c r="J564" s="249">
        <v>0</v>
      </c>
      <c r="K564" s="249">
        <v>0</v>
      </c>
      <c r="L564" s="274">
        <f>H564</f>
        <v>12344.66372260386</v>
      </c>
      <c r="M564" s="274">
        <f>I564*E1</f>
        <v>11766.720000000001</v>
      </c>
      <c r="N564" s="255">
        <v>12500</v>
      </c>
      <c r="O564" s="135">
        <f t="shared" si="187"/>
        <v>2375</v>
      </c>
      <c r="P564" s="135">
        <f t="shared" si="188"/>
        <v>14875</v>
      </c>
      <c r="Q564" s="131"/>
      <c r="R564" s="131"/>
      <c r="S564" s="11"/>
      <c r="T564" s="274">
        <v>10230</v>
      </c>
      <c r="U564" s="274">
        <f>+T564*0.19</f>
        <v>1943.7</v>
      </c>
      <c r="V564" s="274">
        <f>+T564+U564</f>
        <v>12173.7</v>
      </c>
      <c r="W564" s="39" t="s">
        <v>445</v>
      </c>
      <c r="X564" s="11" t="s">
        <v>2948</v>
      </c>
      <c r="Y564" s="11"/>
      <c r="Z564" s="274"/>
      <c r="AA564" s="274"/>
      <c r="AB564" s="274"/>
      <c r="AC564" s="5"/>
      <c r="AD564" s="22"/>
      <c r="AE564" s="39"/>
      <c r="AF564" s="274"/>
      <c r="AG564" s="274"/>
      <c r="AH564" s="169"/>
      <c r="AI564" s="4"/>
      <c r="AJ564" s="39"/>
      <c r="AK564" s="39"/>
      <c r="AL564" s="118"/>
      <c r="AM564" s="152"/>
      <c r="AN564" s="152"/>
      <c r="AO564" s="131"/>
      <c r="AP564" s="131"/>
      <c r="AQ564" s="39"/>
      <c r="AR564" s="274"/>
      <c r="AS564" s="274"/>
      <c r="AT564" s="274"/>
      <c r="AU564" s="39"/>
      <c r="AV564" s="39"/>
      <c r="AW564" s="39"/>
      <c r="AX564" s="274"/>
      <c r="AY564" s="274"/>
      <c r="AZ564" s="274"/>
      <c r="BA564" s="39"/>
      <c r="BB564" s="62"/>
      <c r="BC564" s="39"/>
      <c r="BD564" s="274"/>
      <c r="BE564" s="274"/>
      <c r="BF564" s="274"/>
      <c r="BG564" s="39"/>
      <c r="BH564" s="39"/>
      <c r="BI564" s="39"/>
      <c r="BJ564" s="274">
        <v>18500</v>
      </c>
      <c r="BK564" s="274">
        <f t="shared" si="191"/>
        <v>3515</v>
      </c>
      <c r="BL564" s="274">
        <f t="shared" si="192"/>
        <v>22015</v>
      </c>
      <c r="BM564" s="213" t="s">
        <v>196</v>
      </c>
      <c r="BN564" s="213" t="s">
        <v>2925</v>
      </c>
      <c r="BO564" s="39"/>
      <c r="BP564" s="274"/>
      <c r="BQ564" s="274"/>
      <c r="BR564" s="274"/>
      <c r="BS564" s="39"/>
      <c r="BT564" s="39"/>
      <c r="BU564" s="39"/>
      <c r="BV564" s="219">
        <v>20796.627000000004</v>
      </c>
      <c r="BW564" s="219">
        <f t="shared" si="193"/>
        <v>3951.3591300000007</v>
      </c>
      <c r="BX564" s="273">
        <f t="shared" si="194"/>
        <v>24747.986130000005</v>
      </c>
      <c r="BY564" s="213" t="s">
        <v>196</v>
      </c>
      <c r="BZ564" s="213" t="s">
        <v>2925</v>
      </c>
      <c r="CA564" s="213"/>
      <c r="CB564" s="274"/>
      <c r="CC564" s="274"/>
      <c r="CD564" s="274"/>
      <c r="CE564" s="39"/>
      <c r="CF564" s="39"/>
      <c r="CG564" s="39"/>
      <c r="CH564" s="274"/>
      <c r="CI564" s="274"/>
      <c r="CJ564" s="274"/>
      <c r="CK564" s="39"/>
      <c r="CL564" s="39"/>
      <c r="CM564" s="39"/>
      <c r="CN564" s="39"/>
      <c r="CO564" s="39"/>
      <c r="CP564" s="11"/>
      <c r="CQ564" s="11"/>
      <c r="CR564" s="11"/>
      <c r="CS564" s="11"/>
      <c r="CT564" s="11"/>
      <c r="CU564" s="11"/>
      <c r="CV564" s="11"/>
      <c r="CW564" s="11"/>
      <c r="CX564" s="11"/>
      <c r="CY564" s="11"/>
      <c r="CZ564" s="11"/>
      <c r="DA564" s="11"/>
      <c r="DB564" s="11"/>
      <c r="DC564" s="11"/>
      <c r="DD564" s="11"/>
      <c r="DE564" s="11"/>
      <c r="DF564" s="11"/>
      <c r="DG564" s="11"/>
      <c r="DH564" s="11"/>
      <c r="DI564" s="11"/>
      <c r="DJ564" s="11"/>
      <c r="DK564" s="11"/>
      <c r="DL564" s="274"/>
      <c r="DM564" s="274"/>
      <c r="DN564" s="274"/>
      <c r="DO564" s="274"/>
      <c r="DP564" s="274"/>
      <c r="DQ564" s="274"/>
      <c r="DR564" s="274"/>
      <c r="DS564" s="274"/>
      <c r="DT564" s="274"/>
      <c r="DU564" s="274"/>
      <c r="DV564" s="274"/>
      <c r="DW564" s="274"/>
      <c r="DX564" s="274"/>
      <c r="DY564" s="274"/>
      <c r="DZ564" s="274"/>
      <c r="EA564" s="274"/>
      <c r="EB564" s="274"/>
      <c r="EC564" s="274"/>
      <c r="ED564" s="39">
        <f t="shared" si="177"/>
        <v>85578.406130000003</v>
      </c>
      <c r="EE564" s="30">
        <f t="shared" si="178"/>
        <v>5</v>
      </c>
      <c r="EF564" s="39">
        <f t="shared" si="179"/>
        <v>17115.681226000001</v>
      </c>
    </row>
    <row r="565" spans="1:136" x14ac:dyDescent="0.25">
      <c r="A565" s="25" t="e">
        <f>#REF!</f>
        <v>#REF!</v>
      </c>
      <c r="B565" s="50" t="e">
        <f>#REF!</f>
        <v>#REF!</v>
      </c>
      <c r="C565" s="5" t="e">
        <f>#REF!</f>
        <v>#REF!</v>
      </c>
      <c r="D565" s="5" t="e">
        <f>#REF!</f>
        <v>#REF!</v>
      </c>
      <c r="E565" s="252">
        <v>1</v>
      </c>
      <c r="F565" s="249">
        <v>0</v>
      </c>
      <c r="G565" s="249">
        <v>0</v>
      </c>
      <c r="H565" s="249">
        <v>13887.226038599934</v>
      </c>
      <c r="I565" s="249">
        <v>12138</v>
      </c>
      <c r="J565" s="249">
        <v>138146.505</v>
      </c>
      <c r="K565" s="249">
        <v>17969</v>
      </c>
      <c r="L565" s="274">
        <f>AVERAGE(H565,J565)</f>
        <v>76016.865519299972</v>
      </c>
      <c r="M565" s="274">
        <f>AVERAGE(I565,K565)*E1</f>
        <v>15505.105</v>
      </c>
      <c r="N565" s="255"/>
      <c r="O565" s="137"/>
      <c r="P565" s="135"/>
      <c r="Q565" s="131"/>
      <c r="R565" s="131"/>
      <c r="S565" s="11"/>
      <c r="T565" s="274">
        <v>10450</v>
      </c>
      <c r="U565" s="274">
        <f>+T565*0.19</f>
        <v>1985.5</v>
      </c>
      <c r="V565" s="274">
        <f>+T565+U565</f>
        <v>12435.5</v>
      </c>
      <c r="W565" s="39" t="s">
        <v>445</v>
      </c>
      <c r="X565" s="11" t="s">
        <v>2948</v>
      </c>
      <c r="Y565" s="11"/>
      <c r="Z565" s="274"/>
      <c r="AA565" s="274"/>
      <c r="AB565" s="274"/>
      <c r="AC565" s="5"/>
      <c r="AD565" s="22"/>
      <c r="AE565" s="39"/>
      <c r="AF565" s="274"/>
      <c r="AG565" s="274"/>
      <c r="AH565" s="169"/>
      <c r="AI565" s="4"/>
      <c r="AJ565" s="39"/>
      <c r="AK565" s="39"/>
      <c r="AL565" s="118"/>
      <c r="AM565" s="152"/>
      <c r="AN565" s="152"/>
      <c r="AO565" s="131"/>
      <c r="AP565" s="131"/>
      <c r="AQ565" s="39"/>
      <c r="AR565" s="274"/>
      <c r="AS565" s="274"/>
      <c r="AT565" s="274"/>
      <c r="AU565" s="39"/>
      <c r="AV565" s="39"/>
      <c r="AW565" s="39"/>
      <c r="AX565" s="274"/>
      <c r="AY565" s="274"/>
      <c r="AZ565" s="274"/>
      <c r="BA565" s="39"/>
      <c r="BB565" s="62"/>
      <c r="BC565" s="39"/>
      <c r="BD565" s="274"/>
      <c r="BE565" s="274"/>
      <c r="BF565" s="274"/>
      <c r="BG565" s="39"/>
      <c r="BH565" s="39"/>
      <c r="BI565" s="39"/>
      <c r="BJ565" s="274">
        <v>20500</v>
      </c>
      <c r="BK565" s="274">
        <f t="shared" si="191"/>
        <v>3895</v>
      </c>
      <c r="BL565" s="274">
        <f t="shared" si="192"/>
        <v>24395</v>
      </c>
      <c r="BM565" s="213" t="s">
        <v>196</v>
      </c>
      <c r="BN565" s="213" t="s">
        <v>2925</v>
      </c>
      <c r="BO565" s="39"/>
      <c r="BP565" s="274"/>
      <c r="BQ565" s="274"/>
      <c r="BR565" s="274"/>
      <c r="BS565" s="39"/>
      <c r="BT565" s="39"/>
      <c r="BU565" s="39"/>
      <c r="BV565" s="219">
        <v>23040.524000000001</v>
      </c>
      <c r="BW565" s="219">
        <f t="shared" si="193"/>
        <v>4377.69956</v>
      </c>
      <c r="BX565" s="273">
        <f t="shared" si="194"/>
        <v>27418.223560000002</v>
      </c>
      <c r="BY565" s="213" t="s">
        <v>196</v>
      </c>
      <c r="BZ565" s="213" t="s">
        <v>2925</v>
      </c>
      <c r="CA565" s="213"/>
      <c r="CB565" s="274"/>
      <c r="CC565" s="274"/>
      <c r="CD565" s="274"/>
      <c r="CE565" s="39"/>
      <c r="CF565" s="39"/>
      <c r="CG565" s="39"/>
      <c r="CH565" s="274"/>
      <c r="CI565" s="274"/>
      <c r="CJ565" s="274"/>
      <c r="CK565" s="39"/>
      <c r="CL565" s="39"/>
      <c r="CM565" s="39"/>
      <c r="CN565" s="39"/>
      <c r="CO565" s="39"/>
      <c r="CP565" s="11"/>
      <c r="CQ565" s="11"/>
      <c r="CR565" s="11"/>
      <c r="CS565" s="11"/>
      <c r="CT565" s="11"/>
      <c r="CU565" s="11"/>
      <c r="CV565" s="11"/>
      <c r="CW565" s="11"/>
      <c r="CX565" s="11"/>
      <c r="CY565" s="11"/>
      <c r="CZ565" s="11"/>
      <c r="DA565" s="11"/>
      <c r="DB565" s="11"/>
      <c r="DC565" s="11"/>
      <c r="DD565" s="11"/>
      <c r="DE565" s="11"/>
      <c r="DF565" s="11"/>
      <c r="DG565" s="11"/>
      <c r="DH565" s="11"/>
      <c r="DI565" s="11"/>
      <c r="DJ565" s="11"/>
      <c r="DK565" s="11"/>
      <c r="DL565" s="274"/>
      <c r="DM565" s="274"/>
      <c r="DN565" s="274"/>
      <c r="DO565" s="274"/>
      <c r="DP565" s="274"/>
      <c r="DQ565" s="274"/>
      <c r="DR565" s="274"/>
      <c r="DS565" s="274"/>
      <c r="DT565" s="274"/>
      <c r="DU565" s="274"/>
      <c r="DV565" s="274"/>
      <c r="DW565" s="274"/>
      <c r="DX565" s="274"/>
      <c r="DY565" s="274"/>
      <c r="DZ565" s="274"/>
      <c r="EA565" s="274"/>
      <c r="EB565" s="274"/>
      <c r="EC565" s="274"/>
      <c r="ED565" s="39">
        <f t="shared" si="177"/>
        <v>79753.828559999994</v>
      </c>
      <c r="EE565" s="30">
        <f t="shared" si="178"/>
        <v>4</v>
      </c>
      <c r="EF565" s="39">
        <f t="shared" si="179"/>
        <v>19938.457139999999</v>
      </c>
    </row>
    <row r="566" spans="1:136" x14ac:dyDescent="0.25">
      <c r="A566" s="25" t="e">
        <f>#REF!</f>
        <v>#REF!</v>
      </c>
      <c r="B566" s="50" t="e">
        <f>#REF!</f>
        <v>#REF!</v>
      </c>
      <c r="C566" s="5" t="e">
        <f>#REF!</f>
        <v>#REF!</v>
      </c>
      <c r="D566" s="5" t="e">
        <f>#REF!</f>
        <v>#REF!</v>
      </c>
      <c r="E566" s="252">
        <v>1</v>
      </c>
      <c r="F566" s="249">
        <v>112990.5</v>
      </c>
      <c r="G566" s="249">
        <v>107338</v>
      </c>
      <c r="H566" s="249">
        <v>157791.56446666666</v>
      </c>
      <c r="I566" s="249">
        <v>0</v>
      </c>
      <c r="J566" s="249">
        <v>98002.450000000012</v>
      </c>
      <c r="K566" s="249">
        <v>68187</v>
      </c>
      <c r="L566" s="274">
        <f>AVERAGE(F566,H566,J566)</f>
        <v>122928.1714888889</v>
      </c>
      <c r="M566" s="274">
        <f>AVERAGE(G566,K566)*E1</f>
        <v>90395.375</v>
      </c>
      <c r="N566" s="255"/>
      <c r="O566" s="137"/>
      <c r="P566" s="135"/>
      <c r="Q566" s="131"/>
      <c r="R566" s="131"/>
      <c r="S566" s="11"/>
      <c r="T566" s="274"/>
      <c r="U566" s="274"/>
      <c r="V566" s="274"/>
      <c r="W566" s="39"/>
      <c r="X566" s="11"/>
      <c r="Y566" s="11"/>
      <c r="Z566" s="274"/>
      <c r="AA566" s="274"/>
      <c r="AB566" s="274"/>
      <c r="AC566" s="52"/>
      <c r="AD566" s="22"/>
      <c r="AE566" s="39"/>
      <c r="AF566" s="274"/>
      <c r="AG566" s="274"/>
      <c r="AH566" s="171"/>
      <c r="AI566" s="4"/>
      <c r="AJ566" s="39"/>
      <c r="AK566" s="39"/>
      <c r="AL566" s="118"/>
      <c r="AM566" s="152"/>
      <c r="AN566" s="181"/>
      <c r="AO566" s="131"/>
      <c r="AP566" s="131"/>
      <c r="AQ566" s="39"/>
      <c r="AR566" s="274"/>
      <c r="AS566" s="274"/>
      <c r="AT566" s="274"/>
      <c r="AU566" s="39"/>
      <c r="AV566" s="39"/>
      <c r="AW566" s="39"/>
      <c r="AX566" s="274"/>
      <c r="AY566" s="274"/>
      <c r="AZ566" s="274"/>
      <c r="BA566" s="39"/>
      <c r="BB566" s="62"/>
      <c r="BC566" s="39"/>
      <c r="BD566" s="274"/>
      <c r="BE566" s="274"/>
      <c r="BF566" s="274"/>
      <c r="BG566" s="39"/>
      <c r="BH566" s="39"/>
      <c r="BI566" s="39"/>
      <c r="BJ566" s="274">
        <v>849200</v>
      </c>
      <c r="BK566" s="274">
        <f t="shared" si="191"/>
        <v>161348</v>
      </c>
      <c r="BL566" s="274">
        <f t="shared" si="192"/>
        <v>1010548</v>
      </c>
      <c r="BM566" s="213" t="s">
        <v>196</v>
      </c>
      <c r="BN566" s="213" t="s">
        <v>363</v>
      </c>
      <c r="BO566" s="39"/>
      <c r="BP566" s="274"/>
      <c r="BQ566" s="274"/>
      <c r="BR566" s="274"/>
      <c r="BS566" s="39"/>
      <c r="BT566" s="39"/>
      <c r="BU566" s="39"/>
      <c r="BV566" s="219"/>
      <c r="BW566" s="219"/>
      <c r="BX566" s="273"/>
      <c r="BY566" s="213"/>
      <c r="BZ566" s="213"/>
      <c r="CA566" s="213"/>
      <c r="CB566" s="274"/>
      <c r="CC566" s="274"/>
      <c r="CD566" s="274"/>
      <c r="CE566" s="39"/>
      <c r="CF566" s="39"/>
      <c r="CG566" s="39"/>
      <c r="CH566" s="274"/>
      <c r="CI566" s="274"/>
      <c r="CJ566" s="274"/>
      <c r="CK566" s="39"/>
      <c r="CL566" s="39"/>
      <c r="CM566" s="39"/>
      <c r="CN566" s="39"/>
      <c r="CO566" s="39"/>
      <c r="CP566" s="11"/>
      <c r="CQ566" s="11"/>
      <c r="CR566" s="11"/>
      <c r="CS566" s="11"/>
      <c r="CT566" s="11"/>
      <c r="CU566" s="11"/>
      <c r="CV566" s="11"/>
      <c r="CW566" s="11"/>
      <c r="CX566" s="11"/>
      <c r="CY566" s="11"/>
      <c r="CZ566" s="11"/>
      <c r="DA566" s="11"/>
      <c r="DB566" s="11"/>
      <c r="DC566" s="11"/>
      <c r="DD566" s="11"/>
      <c r="DE566" s="11"/>
      <c r="DF566" s="11"/>
      <c r="DG566" s="11"/>
      <c r="DH566" s="11"/>
      <c r="DI566" s="11"/>
      <c r="DJ566" s="11"/>
      <c r="DK566" s="11"/>
      <c r="DL566" s="274"/>
      <c r="DM566" s="274"/>
      <c r="DN566" s="274"/>
      <c r="DO566" s="274"/>
      <c r="DP566" s="274"/>
      <c r="DQ566" s="274"/>
      <c r="DR566" s="274"/>
      <c r="DS566" s="274"/>
      <c r="DT566" s="274"/>
      <c r="DU566" s="274"/>
      <c r="DV566" s="274"/>
      <c r="DW566" s="274"/>
      <c r="DX566" s="274"/>
      <c r="DY566" s="274"/>
      <c r="DZ566" s="274"/>
      <c r="EA566" s="274"/>
      <c r="EB566" s="274"/>
      <c r="EC566" s="274"/>
      <c r="ED566" s="39">
        <f t="shared" si="177"/>
        <v>1100943.375</v>
      </c>
      <c r="EE566" s="30">
        <f t="shared" si="178"/>
        <v>2</v>
      </c>
      <c r="EF566" s="39">
        <f t="shared" si="179"/>
        <v>550471.6875</v>
      </c>
    </row>
    <row r="567" spans="1:136" ht="51" x14ac:dyDescent="0.25">
      <c r="A567" s="25" t="e">
        <f>#REF!</f>
        <v>#REF!</v>
      </c>
      <c r="B567" s="50" t="e">
        <f>#REF!</f>
        <v>#REF!</v>
      </c>
      <c r="C567" s="5" t="e">
        <f>#REF!</f>
        <v>#REF!</v>
      </c>
      <c r="D567" s="5" t="e">
        <f>#REF!</f>
        <v>#REF!</v>
      </c>
      <c r="E567" s="252">
        <v>1</v>
      </c>
      <c r="F567" s="249">
        <v>915451.1333333333</v>
      </c>
      <c r="G567" s="249">
        <v>915348</v>
      </c>
      <c r="H567" s="249">
        <v>497767.2182</v>
      </c>
      <c r="I567" s="249">
        <v>0</v>
      </c>
      <c r="J567" s="249">
        <v>717962.7</v>
      </c>
      <c r="K567" s="249">
        <v>0</v>
      </c>
      <c r="L567" s="274">
        <f>AVERAGE(F567,H567,J567)</f>
        <v>710393.68384444434</v>
      </c>
      <c r="M567" s="274">
        <f>G567*E1</f>
        <v>942808.44000000006</v>
      </c>
      <c r="N567" s="255">
        <v>850000</v>
      </c>
      <c r="O567" s="135">
        <f>+N567*0.19</f>
        <v>161500</v>
      </c>
      <c r="P567" s="135">
        <f>+N567+O567</f>
        <v>1011500</v>
      </c>
      <c r="Q567" s="131"/>
      <c r="R567" s="131"/>
      <c r="S567" s="11"/>
      <c r="T567" s="274"/>
      <c r="U567" s="274"/>
      <c r="V567" s="274"/>
      <c r="W567" s="39"/>
      <c r="X567" s="11"/>
      <c r="Y567" s="11"/>
      <c r="Z567" s="274">
        <v>399000</v>
      </c>
      <c r="AA567" s="274">
        <f>+Z567*0.19</f>
        <v>75810</v>
      </c>
      <c r="AB567" s="274">
        <f>+Z567+AA567</f>
        <v>474810</v>
      </c>
      <c r="AC567" s="5" t="s">
        <v>4954</v>
      </c>
      <c r="AD567" s="22" t="s">
        <v>4795</v>
      </c>
      <c r="AE567" s="39"/>
      <c r="AF567" s="274"/>
      <c r="AG567" s="274"/>
      <c r="AH567" s="171"/>
      <c r="AI567" s="4"/>
      <c r="AJ567" s="39"/>
      <c r="AK567" s="39"/>
      <c r="AL567" s="118"/>
      <c r="AM567" s="152"/>
      <c r="AN567" s="181"/>
      <c r="AO567" s="131"/>
      <c r="AP567" s="131"/>
      <c r="AQ567" s="39"/>
      <c r="AR567" s="274"/>
      <c r="AS567" s="274"/>
      <c r="AT567" s="274"/>
      <c r="AU567" s="39"/>
      <c r="AV567" s="39"/>
      <c r="AW567" s="39"/>
      <c r="AX567" s="274"/>
      <c r="AY567" s="274"/>
      <c r="AZ567" s="274"/>
      <c r="BA567" s="39"/>
      <c r="BB567" s="62"/>
      <c r="BC567" s="39"/>
      <c r="BD567" s="118">
        <v>260590</v>
      </c>
      <c r="BE567" s="274">
        <f>+BD567*0.19</f>
        <v>49512.1</v>
      </c>
      <c r="BF567" s="274">
        <f>+BD567+BE567</f>
        <v>310102.09999999998</v>
      </c>
      <c r="BG567" s="25" t="s">
        <v>4224</v>
      </c>
      <c r="BH567" s="5" t="s">
        <v>4955</v>
      </c>
      <c r="BI567" s="5" t="s">
        <v>4956</v>
      </c>
      <c r="BJ567" s="274">
        <v>817500</v>
      </c>
      <c r="BK567" s="274">
        <f t="shared" si="191"/>
        <v>155325</v>
      </c>
      <c r="BL567" s="274">
        <f t="shared" si="192"/>
        <v>972825</v>
      </c>
      <c r="BM567" s="214" t="s">
        <v>4957</v>
      </c>
      <c r="BN567" s="213" t="s">
        <v>2925</v>
      </c>
      <c r="BO567" s="39"/>
      <c r="BP567" s="274"/>
      <c r="BQ567" s="274"/>
      <c r="BR567" s="274"/>
      <c r="BS567" s="39"/>
      <c r="BT567" s="39"/>
      <c r="BU567" s="39"/>
      <c r="BV567" s="212">
        <v>858949.70250000001</v>
      </c>
      <c r="BW567" s="219">
        <f t="shared" ref="BW567:BW582" si="195">+BV567*0.19</f>
        <v>163200.44347500001</v>
      </c>
      <c r="BX567" s="273">
        <f t="shared" ref="BX567:BX582" si="196">+BV567+BW567</f>
        <v>1022150.145975</v>
      </c>
      <c r="BY567" s="214" t="s">
        <v>4957</v>
      </c>
      <c r="BZ567" s="213" t="s">
        <v>2925</v>
      </c>
      <c r="CA567" s="213"/>
      <c r="CB567" s="274"/>
      <c r="CC567" s="274"/>
      <c r="CD567" s="274"/>
      <c r="CE567" s="39"/>
      <c r="CF567" s="39"/>
      <c r="CG567" s="39"/>
      <c r="CH567" s="274"/>
      <c r="CI567" s="274"/>
      <c r="CJ567" s="274"/>
      <c r="CK567" s="39"/>
      <c r="CL567" s="39"/>
      <c r="CM567" s="39"/>
      <c r="CN567" s="39"/>
      <c r="CO567" s="39"/>
      <c r="CP567" s="11"/>
      <c r="CQ567" s="11"/>
      <c r="CR567" s="11"/>
      <c r="CS567" s="11"/>
      <c r="CT567" s="11"/>
      <c r="CU567" s="11"/>
      <c r="CV567" s="11"/>
      <c r="CW567" s="11"/>
      <c r="CX567" s="11"/>
      <c r="CY567" s="11"/>
      <c r="CZ567" s="11"/>
      <c r="DA567" s="11"/>
      <c r="DB567" s="11"/>
      <c r="DC567" s="11"/>
      <c r="DD567" s="11"/>
      <c r="DE567" s="11"/>
      <c r="DF567" s="11"/>
      <c r="DG567" s="11"/>
      <c r="DH567" s="11"/>
      <c r="DI567" s="11"/>
      <c r="DJ567" s="11"/>
      <c r="DK567" s="11"/>
      <c r="DL567" s="274"/>
      <c r="DM567" s="274"/>
      <c r="DN567" s="274"/>
      <c r="DO567" s="274"/>
      <c r="DP567" s="274"/>
      <c r="DQ567" s="274"/>
      <c r="DR567" s="274"/>
      <c r="DS567" s="274"/>
      <c r="DT567" s="274"/>
      <c r="DU567" s="274"/>
      <c r="DV567" s="274"/>
      <c r="DW567" s="274"/>
      <c r="DX567" s="274"/>
      <c r="DY567" s="274"/>
      <c r="DZ567" s="274"/>
      <c r="EA567" s="274"/>
      <c r="EB567" s="274"/>
      <c r="EC567" s="274"/>
      <c r="ED567" s="39">
        <f t="shared" si="177"/>
        <v>4734195.6859750003</v>
      </c>
      <c r="EE567" s="30">
        <f t="shared" si="178"/>
        <v>6</v>
      </c>
      <c r="EF567" s="39">
        <f t="shared" si="179"/>
        <v>789032.61432916671</v>
      </c>
    </row>
    <row r="568" spans="1:136" ht="25.5" x14ac:dyDescent="0.25">
      <c r="A568" s="25" t="e">
        <f>#REF!</f>
        <v>#REF!</v>
      </c>
      <c r="B568" s="50" t="e">
        <f>#REF!</f>
        <v>#REF!</v>
      </c>
      <c r="C568" s="5" t="e">
        <f>#REF!</f>
        <v>#REF!</v>
      </c>
      <c r="D568" s="5" t="e">
        <f>#REF!</f>
        <v>#REF!</v>
      </c>
      <c r="E568" s="252">
        <v>1</v>
      </c>
      <c r="F568" s="249">
        <v>319520.95</v>
      </c>
      <c r="G568" s="249">
        <v>319515</v>
      </c>
      <c r="H568" s="249">
        <v>233283.45483333335</v>
      </c>
      <c r="I568" s="249">
        <v>0</v>
      </c>
      <c r="J568" s="249">
        <v>234900.3475</v>
      </c>
      <c r="K568" s="249">
        <v>234430</v>
      </c>
      <c r="L568" s="274">
        <f>AVERAGE(F568,H568,J568)</f>
        <v>262568.25077777781</v>
      </c>
      <c r="M568" s="274">
        <f>AVERAGE(G568,K568)*E1</f>
        <v>285281.67499999999</v>
      </c>
      <c r="N568" s="255"/>
      <c r="O568" s="135"/>
      <c r="P568" s="135"/>
      <c r="Q568" s="131"/>
      <c r="R568" s="131"/>
      <c r="S568" s="11"/>
      <c r="T568" s="274"/>
      <c r="U568" s="274"/>
      <c r="V568" s="274"/>
      <c r="W568" s="39"/>
      <c r="X568" s="11"/>
      <c r="Y568" s="11"/>
      <c r="Z568" s="274">
        <v>190000</v>
      </c>
      <c r="AA568" s="274">
        <f>+Z568*0.19</f>
        <v>36100</v>
      </c>
      <c r="AB568" s="274">
        <f>+Z568+AA568</f>
        <v>226100</v>
      </c>
      <c r="AC568" s="5" t="s">
        <v>4954</v>
      </c>
      <c r="AD568" s="22" t="s">
        <v>4795</v>
      </c>
      <c r="AE568" s="39"/>
      <c r="AF568" s="274"/>
      <c r="AG568" s="274"/>
      <c r="AH568" s="169"/>
      <c r="AI568" s="4"/>
      <c r="AJ568" s="39"/>
      <c r="AK568" s="39"/>
      <c r="AL568" s="118"/>
      <c r="AM568" s="152"/>
      <c r="AN568" s="181"/>
      <c r="AO568" s="131"/>
      <c r="AP568" s="131"/>
      <c r="AQ568" s="39"/>
      <c r="AR568" s="274"/>
      <c r="AS568" s="274"/>
      <c r="AT568" s="274"/>
      <c r="AU568" s="39"/>
      <c r="AV568" s="39"/>
      <c r="AW568" s="39"/>
      <c r="AX568" s="274"/>
      <c r="AY568" s="274"/>
      <c r="AZ568" s="274"/>
      <c r="BA568" s="39"/>
      <c r="BB568" s="62"/>
      <c r="BC568" s="39"/>
      <c r="BD568" s="274"/>
      <c r="BE568" s="274"/>
      <c r="BF568" s="274"/>
      <c r="BG568" s="39"/>
      <c r="BH568" s="39"/>
      <c r="BI568" s="39"/>
      <c r="BJ568" s="274">
        <v>687900</v>
      </c>
      <c r="BK568" s="274">
        <f t="shared" si="191"/>
        <v>130701</v>
      </c>
      <c r="BL568" s="274">
        <f t="shared" si="192"/>
        <v>818601</v>
      </c>
      <c r="BM568" s="214" t="s">
        <v>4957</v>
      </c>
      <c r="BN568" s="213" t="s">
        <v>2925</v>
      </c>
      <c r="BO568" s="39"/>
      <c r="BP568" s="274"/>
      <c r="BQ568" s="274"/>
      <c r="BR568" s="274"/>
      <c r="BS568" s="39"/>
      <c r="BT568" s="39"/>
      <c r="BU568" s="39"/>
      <c r="BV568" s="212">
        <v>751195.05480000004</v>
      </c>
      <c r="BW568" s="219">
        <f t="shared" si="195"/>
        <v>142727.06041200002</v>
      </c>
      <c r="BX568" s="273">
        <f t="shared" si="196"/>
        <v>893922.11521200009</v>
      </c>
      <c r="BY568" s="214" t="s">
        <v>4957</v>
      </c>
      <c r="BZ568" s="213" t="s">
        <v>2925</v>
      </c>
      <c r="CA568" s="213"/>
      <c r="CB568" s="274"/>
      <c r="CC568" s="274"/>
      <c r="CD568" s="274"/>
      <c r="CE568" s="39"/>
      <c r="CF568" s="39"/>
      <c r="CG568" s="39"/>
      <c r="CH568" s="274"/>
      <c r="CI568" s="274"/>
      <c r="CJ568" s="274"/>
      <c r="CK568" s="39"/>
      <c r="CL568" s="39"/>
      <c r="CM568" s="39"/>
      <c r="CN568" s="39"/>
      <c r="CO568" s="39"/>
      <c r="CP568" s="11"/>
      <c r="CQ568" s="11"/>
      <c r="CR568" s="11"/>
      <c r="CS568" s="11"/>
      <c r="CT568" s="11"/>
      <c r="CU568" s="11"/>
      <c r="CV568" s="11"/>
      <c r="CW568" s="11"/>
      <c r="CX568" s="11"/>
      <c r="CY568" s="11"/>
      <c r="CZ568" s="11"/>
      <c r="DA568" s="11"/>
      <c r="DB568" s="11"/>
      <c r="DC568" s="11"/>
      <c r="DD568" s="11"/>
      <c r="DE568" s="11"/>
      <c r="DF568" s="11"/>
      <c r="DG568" s="11"/>
      <c r="DH568" s="11"/>
      <c r="DI568" s="11"/>
      <c r="DJ568" s="11"/>
      <c r="DK568" s="11"/>
      <c r="DL568" s="274"/>
      <c r="DM568" s="274"/>
      <c r="DN568" s="274"/>
      <c r="DO568" s="274"/>
      <c r="DP568" s="274"/>
      <c r="DQ568" s="274"/>
      <c r="DR568" s="274"/>
      <c r="DS568" s="274"/>
      <c r="DT568" s="274"/>
      <c r="DU568" s="274"/>
      <c r="DV568" s="274"/>
      <c r="DW568" s="274"/>
      <c r="DX568" s="274"/>
      <c r="DY568" s="274"/>
      <c r="DZ568" s="274"/>
      <c r="EA568" s="274"/>
      <c r="EB568" s="274"/>
      <c r="EC568" s="274"/>
      <c r="ED568" s="39">
        <f t="shared" si="177"/>
        <v>2223904.7902120003</v>
      </c>
      <c r="EE568" s="30">
        <f t="shared" si="178"/>
        <v>4</v>
      </c>
      <c r="EF568" s="39">
        <f t="shared" si="179"/>
        <v>555976.19755300006</v>
      </c>
    </row>
    <row r="569" spans="1:136" ht="63.75" x14ac:dyDescent="0.25">
      <c r="A569" s="25" t="e">
        <f>#REF!</f>
        <v>#REF!</v>
      </c>
      <c r="B569" s="50" t="e">
        <f>#REF!</f>
        <v>#REF!</v>
      </c>
      <c r="C569" s="5" t="e">
        <f>#REF!</f>
        <v>#REF!</v>
      </c>
      <c r="D569" s="5" t="e">
        <f>#REF!</f>
        <v>#REF!</v>
      </c>
      <c r="E569" s="252">
        <v>1</v>
      </c>
      <c r="F569" s="249">
        <v>249424</v>
      </c>
      <c r="G569" s="249">
        <v>241927</v>
      </c>
      <c r="H569" s="249">
        <v>264818.54804999998</v>
      </c>
      <c r="I569" s="249">
        <v>264656</v>
      </c>
      <c r="J569" s="249">
        <v>0</v>
      </c>
      <c r="K569" s="249">
        <v>0</v>
      </c>
      <c r="L569" s="274">
        <f>AVERAGE(F569,H569)</f>
        <v>257121.27402499999</v>
      </c>
      <c r="M569" s="274">
        <f>AVERAGE(G569,I569)*E1</f>
        <v>260890.245</v>
      </c>
      <c r="N569" s="255"/>
      <c r="O569" s="137"/>
      <c r="P569" s="135"/>
      <c r="Q569" s="131"/>
      <c r="R569" s="131"/>
      <c r="S569" s="11"/>
      <c r="T569" s="274"/>
      <c r="U569" s="274"/>
      <c r="V569" s="274"/>
      <c r="W569" s="39"/>
      <c r="X569" s="11"/>
      <c r="Y569" s="11"/>
      <c r="Z569" s="274"/>
      <c r="AA569" s="274"/>
      <c r="AB569" s="274"/>
      <c r="AC569" s="52"/>
      <c r="AD569" s="22"/>
      <c r="AE569" s="39"/>
      <c r="AF569" s="274"/>
      <c r="AG569" s="274"/>
      <c r="AH569" s="171"/>
      <c r="AI569" s="22"/>
      <c r="AJ569" s="39"/>
      <c r="AK569" s="39"/>
      <c r="AL569" s="118"/>
      <c r="AM569" s="152"/>
      <c r="AN569" s="152"/>
      <c r="AO569" s="131"/>
      <c r="AP569" s="131"/>
      <c r="AQ569" s="39"/>
      <c r="AR569" s="274"/>
      <c r="AS569" s="274"/>
      <c r="AT569" s="274"/>
      <c r="AU569" s="39"/>
      <c r="AV569" s="39"/>
      <c r="AW569" s="39"/>
      <c r="AX569" s="274"/>
      <c r="AY569" s="274"/>
      <c r="AZ569" s="274"/>
      <c r="BA569" s="39"/>
      <c r="BB569" s="62"/>
      <c r="BC569" s="39"/>
      <c r="BD569" s="118">
        <v>260590</v>
      </c>
      <c r="BE569" s="274">
        <f>+BD569*0.19</f>
        <v>49512.1</v>
      </c>
      <c r="BF569" s="274">
        <f>+BD569+BE569</f>
        <v>310102.09999999998</v>
      </c>
      <c r="BG569" s="25" t="s">
        <v>4224</v>
      </c>
      <c r="BH569" s="5" t="s">
        <v>4958</v>
      </c>
      <c r="BI569" s="5" t="s">
        <v>4959</v>
      </c>
      <c r="BJ569" s="274">
        <v>740400</v>
      </c>
      <c r="BK569" s="274">
        <f t="shared" si="191"/>
        <v>140676</v>
      </c>
      <c r="BL569" s="274">
        <f t="shared" si="192"/>
        <v>881076</v>
      </c>
      <c r="BM569" s="214" t="s">
        <v>4957</v>
      </c>
      <c r="BN569" s="213" t="s">
        <v>2925</v>
      </c>
      <c r="BO569" s="39"/>
      <c r="BP569" s="274"/>
      <c r="BQ569" s="274"/>
      <c r="BR569" s="274"/>
      <c r="BS569" s="39"/>
      <c r="BT569" s="39"/>
      <c r="BU569" s="39"/>
      <c r="BV569" s="212">
        <v>816601.96800000011</v>
      </c>
      <c r="BW569" s="219">
        <f t="shared" si="195"/>
        <v>155154.37392000001</v>
      </c>
      <c r="BX569" s="273">
        <f t="shared" si="196"/>
        <v>971756.34192000015</v>
      </c>
      <c r="BY569" s="214" t="s">
        <v>4957</v>
      </c>
      <c r="BZ569" s="213" t="s">
        <v>2925</v>
      </c>
      <c r="CA569" s="213"/>
      <c r="CB569" s="274"/>
      <c r="CC569" s="274"/>
      <c r="CD569" s="274"/>
      <c r="CE569" s="39"/>
      <c r="CF569" s="39"/>
      <c r="CG569" s="39"/>
      <c r="CH569" s="274"/>
      <c r="CI569" s="274"/>
      <c r="CJ569" s="274"/>
      <c r="CK569" s="39"/>
      <c r="CL569" s="39"/>
      <c r="CM569" s="39"/>
      <c r="CN569" s="39"/>
      <c r="CO569" s="39"/>
      <c r="CP569" s="11"/>
      <c r="CQ569" s="11"/>
      <c r="CR569" s="11"/>
      <c r="CS569" s="11"/>
      <c r="CT569" s="11"/>
      <c r="CU569" s="11"/>
      <c r="CV569" s="11"/>
      <c r="CW569" s="11"/>
      <c r="CX569" s="11"/>
      <c r="CY569" s="11"/>
      <c r="CZ569" s="11"/>
      <c r="DA569" s="11"/>
      <c r="DB569" s="11"/>
      <c r="DC569" s="11"/>
      <c r="DD569" s="11"/>
      <c r="DE569" s="11"/>
      <c r="DF569" s="11"/>
      <c r="DG569" s="11"/>
      <c r="DH569" s="11"/>
      <c r="DI569" s="11"/>
      <c r="DJ569" s="11"/>
      <c r="DK569" s="11"/>
      <c r="DL569" s="274"/>
      <c r="DM569" s="274"/>
      <c r="DN569" s="274"/>
      <c r="DO569" s="274"/>
      <c r="DP569" s="274"/>
      <c r="DQ569" s="274"/>
      <c r="DR569" s="274"/>
      <c r="DS569" s="274"/>
      <c r="DT569" s="274"/>
      <c r="DU569" s="274"/>
      <c r="DV569" s="274"/>
      <c r="DW569" s="274"/>
      <c r="DX569" s="274"/>
      <c r="DY569" s="274"/>
      <c r="DZ569" s="274"/>
      <c r="EA569" s="274"/>
      <c r="EB569" s="274"/>
      <c r="EC569" s="274"/>
      <c r="ED569" s="39">
        <f t="shared" si="177"/>
        <v>2423824.6869200002</v>
      </c>
      <c r="EE569" s="30">
        <f t="shared" si="178"/>
        <v>4</v>
      </c>
      <c r="EF569" s="39">
        <f t="shared" si="179"/>
        <v>605956.17173000006</v>
      </c>
    </row>
    <row r="570" spans="1:136" ht="24" x14ac:dyDescent="0.25">
      <c r="A570" s="25" t="e">
        <f>#REF!</f>
        <v>#REF!</v>
      </c>
      <c r="B570" s="50" t="e">
        <f>#REF!</f>
        <v>#REF!</v>
      </c>
      <c r="C570" s="5" t="e">
        <f>#REF!</f>
        <v>#REF!</v>
      </c>
      <c r="D570" s="5" t="e">
        <f>#REF!</f>
        <v>#REF!</v>
      </c>
      <c r="E570" s="252">
        <v>1</v>
      </c>
      <c r="F570" s="249">
        <v>0</v>
      </c>
      <c r="G570" s="249">
        <v>0</v>
      </c>
      <c r="H570" s="249">
        <v>614635</v>
      </c>
      <c r="I570" s="249">
        <v>614516</v>
      </c>
      <c r="J570" s="249">
        <v>539427</v>
      </c>
      <c r="K570" s="249">
        <v>539070</v>
      </c>
      <c r="L570" s="274">
        <f>AVERAGE(H570,J570)</f>
        <v>577031</v>
      </c>
      <c r="M570" s="274">
        <f>AVERAGE(I570,K570)*E1</f>
        <v>594096.79</v>
      </c>
      <c r="N570" s="255">
        <v>130000</v>
      </c>
      <c r="O570" s="135">
        <f>+N570*0.19</f>
        <v>24700</v>
      </c>
      <c r="P570" s="135">
        <f>+N570+O570</f>
        <v>154700</v>
      </c>
      <c r="Q570" s="131"/>
      <c r="R570" s="131"/>
      <c r="S570" s="11"/>
      <c r="T570" s="226">
        <f>+(39600/1000)*200</f>
        <v>7920</v>
      </c>
      <c r="U570" s="274">
        <f>+T570*0.19</f>
        <v>1504.8</v>
      </c>
      <c r="V570" s="274">
        <f>+T570+U570</f>
        <v>9424.7999999999993</v>
      </c>
      <c r="W570" s="39" t="s">
        <v>4960</v>
      </c>
      <c r="X570" s="11" t="s">
        <v>2948</v>
      </c>
      <c r="Y570" s="11"/>
      <c r="Z570" s="274"/>
      <c r="AA570" s="274"/>
      <c r="AB570" s="274"/>
      <c r="AC570" s="5"/>
      <c r="AD570" s="22"/>
      <c r="AE570" s="39"/>
      <c r="AF570" s="274"/>
      <c r="AG570" s="274"/>
      <c r="AH570" s="169"/>
      <c r="AI570" s="4"/>
      <c r="AJ570" s="39"/>
      <c r="AK570" s="39"/>
      <c r="AL570" s="118"/>
      <c r="AM570" s="152"/>
      <c r="AN570" s="181"/>
      <c r="AO570" s="131"/>
      <c r="AP570" s="131"/>
      <c r="AQ570" s="39"/>
      <c r="AR570" s="274"/>
      <c r="AS570" s="274"/>
      <c r="AT570" s="274"/>
      <c r="AU570" s="39"/>
      <c r="AV570" s="39"/>
      <c r="AW570" s="39"/>
      <c r="AX570" s="274"/>
      <c r="AY570" s="274"/>
      <c r="AZ570" s="274"/>
      <c r="BA570" s="39"/>
      <c r="BB570" s="62"/>
      <c r="BC570" s="39"/>
      <c r="BD570" s="274"/>
      <c r="BE570" s="274"/>
      <c r="BF570" s="274"/>
      <c r="BG570" s="39"/>
      <c r="BH570" s="39"/>
      <c r="BI570" s="39"/>
      <c r="BJ570" s="274">
        <v>159800</v>
      </c>
      <c r="BK570" s="274">
        <f t="shared" si="191"/>
        <v>30362</v>
      </c>
      <c r="BL570" s="274">
        <f t="shared" si="192"/>
        <v>190162</v>
      </c>
      <c r="BM570" s="214" t="s">
        <v>4239</v>
      </c>
      <c r="BN570" s="213" t="s">
        <v>2925</v>
      </c>
      <c r="BO570" s="39"/>
      <c r="BP570" s="274"/>
      <c r="BQ570" s="274"/>
      <c r="BR570" s="274"/>
      <c r="BS570" s="39"/>
      <c r="BT570" s="39"/>
      <c r="BU570" s="39"/>
      <c r="BV570" s="212">
        <v>176246.61600000001</v>
      </c>
      <c r="BW570" s="219">
        <f t="shared" si="195"/>
        <v>33486.857040000003</v>
      </c>
      <c r="BX570" s="273">
        <f t="shared" si="196"/>
        <v>209733.47304000001</v>
      </c>
      <c r="BY570" s="214" t="s">
        <v>4239</v>
      </c>
      <c r="BZ570" s="213" t="s">
        <v>2925</v>
      </c>
      <c r="CA570" s="213"/>
      <c r="CB570" s="274"/>
      <c r="CC570" s="274"/>
      <c r="CD570" s="274"/>
      <c r="CE570" s="39"/>
      <c r="CF570" s="39"/>
      <c r="CG570" s="39"/>
      <c r="CH570" s="274"/>
      <c r="CI570" s="274"/>
      <c r="CJ570" s="274"/>
      <c r="CK570" s="39"/>
      <c r="CL570" s="39"/>
      <c r="CM570" s="39"/>
      <c r="CN570" s="39"/>
      <c r="CO570" s="39"/>
      <c r="CP570" s="11"/>
      <c r="CQ570" s="11"/>
      <c r="CR570" s="11"/>
      <c r="CS570" s="11"/>
      <c r="CT570" s="11"/>
      <c r="CU570" s="11"/>
      <c r="CV570" s="11"/>
      <c r="CW570" s="11"/>
      <c r="CX570" s="11"/>
      <c r="CY570" s="11"/>
      <c r="CZ570" s="11"/>
      <c r="DA570" s="11"/>
      <c r="DB570" s="11"/>
      <c r="DC570" s="11"/>
      <c r="DD570" s="11"/>
      <c r="DE570" s="11"/>
      <c r="DF570" s="11"/>
      <c r="DG570" s="11"/>
      <c r="DH570" s="11"/>
      <c r="DI570" s="11"/>
      <c r="DJ570" s="11"/>
      <c r="DK570" s="11"/>
      <c r="DL570" s="274"/>
      <c r="DM570" s="274"/>
      <c r="DN570" s="274"/>
      <c r="DO570" s="274"/>
      <c r="DP570" s="274"/>
      <c r="DQ570" s="274"/>
      <c r="DR570" s="274"/>
      <c r="DS570" s="274"/>
      <c r="DT570" s="274"/>
      <c r="DU570" s="274"/>
      <c r="DV570" s="274"/>
      <c r="DW570" s="274"/>
      <c r="DX570" s="274"/>
      <c r="DY570" s="274"/>
      <c r="DZ570" s="274"/>
      <c r="EA570" s="274"/>
      <c r="EB570" s="274"/>
      <c r="EC570" s="274"/>
      <c r="ED570" s="39">
        <f t="shared" si="177"/>
        <v>1158117.0630400002</v>
      </c>
      <c r="EE570" s="30">
        <f t="shared" si="178"/>
        <v>5</v>
      </c>
      <c r="EF570" s="39">
        <f t="shared" si="179"/>
        <v>231623.41260800004</v>
      </c>
    </row>
    <row r="571" spans="1:136" x14ac:dyDescent="0.25">
      <c r="A571" s="25" t="e">
        <f>#REF!</f>
        <v>#REF!</v>
      </c>
      <c r="B571" s="50" t="e">
        <f>#REF!</f>
        <v>#REF!</v>
      </c>
      <c r="C571" s="5" t="e">
        <f>#REF!</f>
        <v>#REF!</v>
      </c>
      <c r="D571" s="5" t="e">
        <f>#REF!</f>
        <v>#REF!</v>
      </c>
      <c r="E571" s="252">
        <v>1</v>
      </c>
      <c r="F571" s="249">
        <v>850931.51500000001</v>
      </c>
      <c r="G571" s="249">
        <v>829549</v>
      </c>
      <c r="H571" s="249">
        <v>812218.84356666671</v>
      </c>
      <c r="I571" s="249">
        <v>812056</v>
      </c>
      <c r="J571" s="249">
        <v>1754009.425</v>
      </c>
      <c r="K571" s="249">
        <v>1749300</v>
      </c>
      <c r="L571" s="274">
        <f>AVERAGE(F571,H571,J571)</f>
        <v>1139053.2611888889</v>
      </c>
      <c r="M571" s="274">
        <f>AVERAGE(G571,I571,K571)*E1</f>
        <v>1164210.7166666668</v>
      </c>
      <c r="N571" s="255"/>
      <c r="O571" s="137"/>
      <c r="P571" s="135"/>
      <c r="Q571" s="131"/>
      <c r="R571" s="131"/>
      <c r="S571" s="11"/>
      <c r="T571" s="274"/>
      <c r="U571" s="274"/>
      <c r="V571" s="274"/>
      <c r="W571" s="39"/>
      <c r="X571" s="11"/>
      <c r="Y571" s="11"/>
      <c r="Z571" s="274"/>
      <c r="AA571" s="274"/>
      <c r="AB571" s="274"/>
      <c r="AC571" s="52"/>
      <c r="AD571" s="22"/>
      <c r="AE571" s="39"/>
      <c r="AF571" s="274"/>
      <c r="AG571" s="274"/>
      <c r="AH571" s="171"/>
      <c r="AI571" s="22"/>
      <c r="AJ571" s="39"/>
      <c r="AK571" s="39"/>
      <c r="AL571" s="118"/>
      <c r="AM571" s="152"/>
      <c r="AN571" s="181"/>
      <c r="AO571" s="131"/>
      <c r="AP571" s="131"/>
      <c r="AQ571" s="39"/>
      <c r="AR571" s="274"/>
      <c r="AS571" s="274"/>
      <c r="AT571" s="274"/>
      <c r="AU571" s="39"/>
      <c r="AV571" s="39"/>
      <c r="AW571" s="39"/>
      <c r="AX571" s="274"/>
      <c r="AY571" s="274"/>
      <c r="AZ571" s="274"/>
      <c r="BA571" s="39"/>
      <c r="BB571" s="62"/>
      <c r="BC571" s="39"/>
      <c r="BD571" s="274"/>
      <c r="BE571" s="274"/>
      <c r="BF571" s="274"/>
      <c r="BG571" s="39"/>
      <c r="BH571" s="39"/>
      <c r="BI571" s="39"/>
      <c r="BJ571" s="274">
        <v>1674100</v>
      </c>
      <c r="BK571" s="274">
        <f t="shared" si="191"/>
        <v>318079</v>
      </c>
      <c r="BL571" s="274">
        <f t="shared" si="192"/>
        <v>1992179</v>
      </c>
      <c r="BM571" s="214" t="s">
        <v>2005</v>
      </c>
      <c r="BN571" s="213" t="s">
        <v>2925</v>
      </c>
      <c r="BO571" s="39"/>
      <c r="BP571" s="274"/>
      <c r="BQ571" s="274"/>
      <c r="BR571" s="274"/>
      <c r="BS571" s="39"/>
      <c r="BT571" s="39"/>
      <c r="BU571" s="39"/>
      <c r="BV571" s="212">
        <v>1827291.8687000002</v>
      </c>
      <c r="BW571" s="219">
        <f t="shared" si="195"/>
        <v>347185.45505300007</v>
      </c>
      <c r="BX571" s="273">
        <f t="shared" si="196"/>
        <v>2174477.3237530002</v>
      </c>
      <c r="BY571" s="214" t="s">
        <v>2005</v>
      </c>
      <c r="BZ571" s="213" t="s">
        <v>2925</v>
      </c>
      <c r="CA571" s="213"/>
      <c r="CB571" s="274"/>
      <c r="CC571" s="274"/>
      <c r="CD571" s="274"/>
      <c r="CE571" s="39"/>
      <c r="CF571" s="39"/>
      <c r="CG571" s="39"/>
      <c r="CH571" s="274"/>
      <c r="CI571" s="274"/>
      <c r="CJ571" s="274"/>
      <c r="CK571" s="39"/>
      <c r="CL571" s="39"/>
      <c r="CM571" s="39"/>
      <c r="CN571" s="39"/>
      <c r="CO571" s="39"/>
      <c r="CP571" s="11"/>
      <c r="CQ571" s="11"/>
      <c r="CR571" s="11"/>
      <c r="CS571" s="11"/>
      <c r="CT571" s="11"/>
      <c r="CU571" s="11"/>
      <c r="CV571" s="11"/>
      <c r="CW571" s="11"/>
      <c r="CX571" s="11"/>
      <c r="CY571" s="11"/>
      <c r="CZ571" s="11"/>
      <c r="DA571" s="11"/>
      <c r="DB571" s="11"/>
      <c r="DC571" s="11"/>
      <c r="DD571" s="11"/>
      <c r="DE571" s="11"/>
      <c r="DF571" s="11"/>
      <c r="DG571" s="11"/>
      <c r="DH571" s="11"/>
      <c r="DI571" s="11"/>
      <c r="DJ571" s="11"/>
      <c r="DK571" s="11"/>
      <c r="DL571" s="274"/>
      <c r="DM571" s="274"/>
      <c r="DN571" s="274"/>
      <c r="DO571" s="274"/>
      <c r="DP571" s="274"/>
      <c r="DQ571" s="274"/>
      <c r="DR571" s="274"/>
      <c r="DS571" s="274"/>
      <c r="DT571" s="274"/>
      <c r="DU571" s="274"/>
      <c r="DV571" s="274"/>
      <c r="DW571" s="274"/>
      <c r="DX571" s="274"/>
      <c r="DY571" s="274"/>
      <c r="DZ571" s="274"/>
      <c r="EA571" s="274"/>
      <c r="EB571" s="274"/>
      <c r="EC571" s="274"/>
      <c r="ED571" s="39">
        <f t="shared" si="177"/>
        <v>5330867.040419667</v>
      </c>
      <c r="EE571" s="30">
        <f t="shared" si="178"/>
        <v>3</v>
      </c>
      <c r="EF571" s="39">
        <f t="shared" si="179"/>
        <v>1776955.680139889</v>
      </c>
    </row>
    <row r="572" spans="1:136" ht="38.25" x14ac:dyDescent="0.25">
      <c r="A572" s="25" t="e">
        <f>#REF!</f>
        <v>#REF!</v>
      </c>
      <c r="B572" s="50" t="e">
        <f>#REF!</f>
        <v>#REF!</v>
      </c>
      <c r="C572" s="5" t="e">
        <f>#REF!</f>
        <v>#REF!</v>
      </c>
      <c r="D572" s="5" t="e">
        <f>#REF!</f>
        <v>#REF!</v>
      </c>
      <c r="E572" s="252">
        <v>1</v>
      </c>
      <c r="F572" s="249">
        <v>264944.57500000001</v>
      </c>
      <c r="G572" s="249">
        <v>254303</v>
      </c>
      <c r="H572" s="249">
        <v>0</v>
      </c>
      <c r="I572" s="249">
        <v>0</v>
      </c>
      <c r="J572" s="249">
        <v>189694.97682390499</v>
      </c>
      <c r="K572" s="249">
        <v>0</v>
      </c>
      <c r="L572" s="274">
        <f>AVERAGE(F572,J572)</f>
        <v>227319.77591195249</v>
      </c>
      <c r="M572" s="274">
        <f>G572*E1</f>
        <v>261932.09</v>
      </c>
      <c r="N572" s="255"/>
      <c r="O572" s="137"/>
      <c r="P572" s="135"/>
      <c r="Q572" s="131"/>
      <c r="R572" s="131"/>
      <c r="S572" s="11"/>
      <c r="T572" s="274"/>
      <c r="U572" s="274"/>
      <c r="V572" s="274"/>
      <c r="W572" s="39"/>
      <c r="X572" s="11"/>
      <c r="Y572" s="11"/>
      <c r="Z572" s="274">
        <v>210000</v>
      </c>
      <c r="AA572" s="274">
        <f>+Z572*0.19</f>
        <v>39900</v>
      </c>
      <c r="AB572" s="274">
        <f>+Z572+AA572</f>
        <v>249900</v>
      </c>
      <c r="AC572" s="5" t="s">
        <v>4954</v>
      </c>
      <c r="AD572" s="22" t="s">
        <v>4795</v>
      </c>
      <c r="AE572" s="39"/>
      <c r="AF572" s="274"/>
      <c r="AG572" s="274"/>
      <c r="AH572" s="171"/>
      <c r="AI572" s="4"/>
      <c r="AJ572" s="39"/>
      <c r="AK572" s="39"/>
      <c r="AL572" s="118"/>
      <c r="AM572" s="152"/>
      <c r="AN572" s="152"/>
      <c r="AO572" s="131"/>
      <c r="AP572" s="131"/>
      <c r="AQ572" s="39"/>
      <c r="AR572" s="274"/>
      <c r="AS572" s="274"/>
      <c r="AT572" s="274"/>
      <c r="AU572" s="39"/>
      <c r="AV572" s="39"/>
      <c r="AW572" s="39"/>
      <c r="AX572" s="274"/>
      <c r="AY572" s="274"/>
      <c r="AZ572" s="274"/>
      <c r="BA572" s="39"/>
      <c r="BB572" s="62"/>
      <c r="BC572" s="39"/>
      <c r="BD572" s="118">
        <v>51500</v>
      </c>
      <c r="BE572" s="274">
        <f>+BD572*0.19</f>
        <v>9785</v>
      </c>
      <c r="BF572" s="274">
        <f>+BD572+BE572</f>
        <v>61285</v>
      </c>
      <c r="BG572" s="25" t="s">
        <v>4925</v>
      </c>
      <c r="BH572" s="5" t="s">
        <v>4961</v>
      </c>
      <c r="BI572" s="5" t="s">
        <v>4962</v>
      </c>
      <c r="BJ572" s="274">
        <v>305300</v>
      </c>
      <c r="BK572" s="274">
        <f t="shared" si="191"/>
        <v>58007</v>
      </c>
      <c r="BL572" s="274">
        <f t="shared" si="192"/>
        <v>363307</v>
      </c>
      <c r="BM572" s="214" t="s">
        <v>4963</v>
      </c>
      <c r="BN572" s="213" t="s">
        <v>424</v>
      </c>
      <c r="BO572" s="39"/>
      <c r="BP572" s="274"/>
      <c r="BQ572" s="274"/>
      <c r="BR572" s="274"/>
      <c r="BS572" s="39"/>
      <c r="BT572" s="39"/>
      <c r="BU572" s="39"/>
      <c r="BV572" s="212">
        <v>353294.68650000001</v>
      </c>
      <c r="BW572" s="219">
        <f t="shared" si="195"/>
        <v>67125.990435</v>
      </c>
      <c r="BX572" s="273">
        <f t="shared" si="196"/>
        <v>420420.676935</v>
      </c>
      <c r="BY572" s="214" t="s">
        <v>4963</v>
      </c>
      <c r="BZ572" s="213" t="s">
        <v>424</v>
      </c>
      <c r="CA572" s="213"/>
      <c r="CB572" s="274"/>
      <c r="CC572" s="274"/>
      <c r="CD572" s="274"/>
      <c r="CE572" s="39"/>
      <c r="CF572" s="39"/>
      <c r="CG572" s="39"/>
      <c r="CH572" s="274"/>
      <c r="CI572" s="274"/>
      <c r="CJ572" s="274"/>
      <c r="CK572" s="39"/>
      <c r="CL572" s="39"/>
      <c r="CM572" s="39"/>
      <c r="CN572" s="39"/>
      <c r="CO572" s="39"/>
      <c r="CP572" s="11"/>
      <c r="CQ572" s="11"/>
      <c r="CR572" s="11"/>
      <c r="CS572" s="11"/>
      <c r="CT572" s="11"/>
      <c r="CU572" s="11"/>
      <c r="CV572" s="11"/>
      <c r="CW572" s="11"/>
      <c r="CX572" s="11"/>
      <c r="CY572" s="11"/>
      <c r="CZ572" s="11"/>
      <c r="DA572" s="11"/>
      <c r="DB572" s="11"/>
      <c r="DC572" s="11"/>
      <c r="DD572" s="11"/>
      <c r="DE572" s="11"/>
      <c r="DF572" s="11"/>
      <c r="DG572" s="11"/>
      <c r="DH572" s="11"/>
      <c r="DI572" s="11"/>
      <c r="DJ572" s="11"/>
      <c r="DK572" s="11"/>
      <c r="DL572" s="274"/>
      <c r="DM572" s="274"/>
      <c r="DN572" s="274"/>
      <c r="DO572" s="274"/>
      <c r="DP572" s="274"/>
      <c r="DQ572" s="274"/>
      <c r="DR572" s="274"/>
      <c r="DS572" s="274"/>
      <c r="DT572" s="274"/>
      <c r="DU572" s="274"/>
      <c r="DV572" s="274"/>
      <c r="DW572" s="274"/>
      <c r="DX572" s="274"/>
      <c r="DY572" s="274"/>
      <c r="DZ572" s="274"/>
      <c r="EA572" s="274"/>
      <c r="EB572" s="274"/>
      <c r="EC572" s="274"/>
      <c r="ED572" s="39">
        <f t="shared" si="177"/>
        <v>1356844.766935</v>
      </c>
      <c r="EE572" s="30">
        <f t="shared" si="178"/>
        <v>5</v>
      </c>
      <c r="EF572" s="39">
        <f t="shared" si="179"/>
        <v>271368.95338700002</v>
      </c>
    </row>
    <row r="573" spans="1:136" x14ac:dyDescent="0.25">
      <c r="A573" s="25" t="e">
        <f>#REF!</f>
        <v>#REF!</v>
      </c>
      <c r="B573" s="50" t="e">
        <f>#REF!</f>
        <v>#REF!</v>
      </c>
      <c r="C573" s="5" t="e">
        <f>#REF!</f>
        <v>#REF!</v>
      </c>
      <c r="D573" s="5" t="e">
        <f>#REF!</f>
        <v>#REF!</v>
      </c>
      <c r="E573" s="252">
        <v>1</v>
      </c>
      <c r="F573" s="249">
        <v>196272.65</v>
      </c>
      <c r="G573" s="249">
        <v>188377</v>
      </c>
      <c r="H573" s="249">
        <v>138448.4437</v>
      </c>
      <c r="I573" s="249">
        <v>138278</v>
      </c>
      <c r="J573" s="249">
        <v>0</v>
      </c>
      <c r="K573" s="249">
        <v>0</v>
      </c>
      <c r="L573" s="274">
        <f>AVERAGE(F573,H573)</f>
        <v>167360.54684999998</v>
      </c>
      <c r="M573" s="274">
        <f>AVERAGE(G573,I573)*E1</f>
        <v>168227.32500000001</v>
      </c>
      <c r="N573" s="255"/>
      <c r="O573" s="137"/>
      <c r="P573" s="135"/>
      <c r="Q573" s="131"/>
      <c r="R573" s="131"/>
      <c r="S573" s="11"/>
      <c r="T573" s="274"/>
      <c r="U573" s="274"/>
      <c r="V573" s="274"/>
      <c r="W573" s="39"/>
      <c r="X573" s="11"/>
      <c r="Y573" s="11"/>
      <c r="Z573" s="274"/>
      <c r="AA573" s="274"/>
      <c r="AB573" s="274"/>
      <c r="AC573" s="52"/>
      <c r="AD573" s="22"/>
      <c r="AE573" s="39"/>
      <c r="AF573" s="274"/>
      <c r="AG573" s="274"/>
      <c r="AH573" s="171"/>
      <c r="AI573" s="4"/>
      <c r="AJ573" s="39"/>
      <c r="AK573" s="39"/>
      <c r="AL573" s="118"/>
      <c r="AM573" s="152"/>
      <c r="AN573" s="181"/>
      <c r="AO573" s="131"/>
      <c r="AP573" s="131"/>
      <c r="AQ573" s="39"/>
      <c r="AR573" s="274"/>
      <c r="AS573" s="274"/>
      <c r="AT573" s="274"/>
      <c r="AU573" s="39"/>
      <c r="AV573" s="39"/>
      <c r="AW573" s="39"/>
      <c r="AX573" s="274"/>
      <c r="AY573" s="274"/>
      <c r="AZ573" s="274"/>
      <c r="BA573" s="39"/>
      <c r="BB573" s="62"/>
      <c r="BC573" s="39"/>
      <c r="BD573" s="274"/>
      <c r="BE573" s="274"/>
      <c r="BF573" s="274"/>
      <c r="BG573" s="39"/>
      <c r="BH573" s="39"/>
      <c r="BI573" s="39"/>
      <c r="BJ573" s="274">
        <v>193000</v>
      </c>
      <c r="BK573" s="274">
        <f t="shared" si="191"/>
        <v>36670</v>
      </c>
      <c r="BL573" s="274">
        <f t="shared" si="192"/>
        <v>229670</v>
      </c>
      <c r="BM573" s="214" t="s">
        <v>4254</v>
      </c>
      <c r="BN573" s="213" t="s">
        <v>2925</v>
      </c>
      <c r="BO573" s="39"/>
      <c r="BP573" s="274"/>
      <c r="BQ573" s="274"/>
      <c r="BR573" s="274"/>
      <c r="BS573" s="39"/>
      <c r="BT573" s="39"/>
      <c r="BU573" s="39"/>
      <c r="BV573" s="212">
        <v>223340.565</v>
      </c>
      <c r="BW573" s="219">
        <f t="shared" si="195"/>
        <v>42434.707350000004</v>
      </c>
      <c r="BX573" s="273">
        <f t="shared" si="196"/>
        <v>265775.27234999998</v>
      </c>
      <c r="BY573" s="214" t="s">
        <v>4254</v>
      </c>
      <c r="BZ573" s="213" t="s">
        <v>2925</v>
      </c>
      <c r="CA573" s="213"/>
      <c r="CB573" s="274"/>
      <c r="CC573" s="274"/>
      <c r="CD573" s="274"/>
      <c r="CE573" s="39"/>
      <c r="CF573" s="39"/>
      <c r="CG573" s="39"/>
      <c r="CH573" s="274"/>
      <c r="CI573" s="274"/>
      <c r="CJ573" s="274"/>
      <c r="CK573" s="39"/>
      <c r="CL573" s="39"/>
      <c r="CM573" s="39"/>
      <c r="CN573" s="39"/>
      <c r="CO573" s="39"/>
      <c r="CP573" s="11"/>
      <c r="CQ573" s="11"/>
      <c r="CR573" s="11"/>
      <c r="CS573" s="11"/>
      <c r="CT573" s="11"/>
      <c r="CU573" s="11"/>
      <c r="CV573" s="11"/>
      <c r="CW573" s="11"/>
      <c r="CX573" s="11"/>
      <c r="CY573" s="11"/>
      <c r="CZ573" s="11"/>
      <c r="DA573" s="11"/>
      <c r="DB573" s="11"/>
      <c r="DC573" s="11"/>
      <c r="DD573" s="11"/>
      <c r="DE573" s="11"/>
      <c r="DF573" s="11"/>
      <c r="DG573" s="11"/>
      <c r="DH573" s="11"/>
      <c r="DI573" s="11"/>
      <c r="DJ573" s="11"/>
      <c r="DK573" s="11"/>
      <c r="DL573" s="274"/>
      <c r="DM573" s="274"/>
      <c r="DN573" s="274"/>
      <c r="DO573" s="274"/>
      <c r="DP573" s="274"/>
      <c r="DQ573" s="274"/>
      <c r="DR573" s="274"/>
      <c r="DS573" s="274"/>
      <c r="DT573" s="274"/>
      <c r="DU573" s="274"/>
      <c r="DV573" s="274"/>
      <c r="DW573" s="274"/>
      <c r="DX573" s="274"/>
      <c r="DY573" s="274"/>
      <c r="DZ573" s="274"/>
      <c r="EA573" s="274"/>
      <c r="EB573" s="274"/>
      <c r="EC573" s="274"/>
      <c r="ED573" s="39">
        <f t="shared" si="177"/>
        <v>663672.59734999994</v>
      </c>
      <c r="EE573" s="30">
        <f t="shared" si="178"/>
        <v>3</v>
      </c>
      <c r="EF573" s="39">
        <f t="shared" si="179"/>
        <v>221224.19911666666</v>
      </c>
    </row>
    <row r="574" spans="1:136" ht="24" x14ac:dyDescent="0.25">
      <c r="A574" s="25" t="e">
        <f>#REF!</f>
        <v>#REF!</v>
      </c>
      <c r="B574" s="50" t="e">
        <f>#REF!</f>
        <v>#REF!</v>
      </c>
      <c r="C574" s="5" t="e">
        <f>#REF!</f>
        <v>#REF!</v>
      </c>
      <c r="D574" s="5" t="e">
        <f>#REF!</f>
        <v>#REF!</v>
      </c>
      <c r="E574" s="252">
        <v>1</v>
      </c>
      <c r="F574" s="249">
        <v>70686</v>
      </c>
      <c r="G574" s="249">
        <v>0</v>
      </c>
      <c r="H574" s="249">
        <v>108484.36666666665</v>
      </c>
      <c r="I574" s="249">
        <v>71400</v>
      </c>
      <c r="J574" s="249">
        <v>189924</v>
      </c>
      <c r="K574" s="249">
        <v>0</v>
      </c>
      <c r="L574" s="274">
        <f>AVERAGE(F574,H574,J574)</f>
        <v>123031.45555555554</v>
      </c>
      <c r="M574" s="274">
        <f>I574*E1</f>
        <v>73542</v>
      </c>
      <c r="N574" s="255"/>
      <c r="O574" s="135"/>
      <c r="P574" s="135"/>
      <c r="Q574" s="131"/>
      <c r="R574" s="131"/>
      <c r="S574" s="11"/>
      <c r="T574" s="274"/>
      <c r="U574" s="274"/>
      <c r="V574" s="274"/>
      <c r="W574" s="39"/>
      <c r="X574" s="11"/>
      <c r="Y574" s="11"/>
      <c r="Z574" s="274"/>
      <c r="AA574" s="274"/>
      <c r="AB574" s="274"/>
      <c r="AC574" s="52"/>
      <c r="AD574" s="22"/>
      <c r="AE574" s="39"/>
      <c r="AF574" s="274"/>
      <c r="AG574" s="274"/>
      <c r="AH574" s="171"/>
      <c r="AI574" s="22"/>
      <c r="AJ574" s="39"/>
      <c r="AK574" s="39"/>
      <c r="AL574" s="118"/>
      <c r="AM574" s="152"/>
      <c r="AN574" s="181"/>
      <c r="AO574" s="131"/>
      <c r="AP574" s="131"/>
      <c r="AQ574" s="39"/>
      <c r="AR574" s="274"/>
      <c r="AS574" s="274"/>
      <c r="AT574" s="274"/>
      <c r="AU574" s="39"/>
      <c r="AV574" s="39"/>
      <c r="AW574" s="39"/>
      <c r="AX574" s="274"/>
      <c r="AY574" s="274"/>
      <c r="AZ574" s="274"/>
      <c r="BA574" s="39"/>
      <c r="BB574" s="62"/>
      <c r="BC574" s="39"/>
      <c r="BD574" s="274"/>
      <c r="BE574" s="274"/>
      <c r="BF574" s="274"/>
      <c r="BG574" s="39"/>
      <c r="BH574" s="39"/>
      <c r="BI574" s="39"/>
      <c r="BJ574" s="274">
        <v>326900</v>
      </c>
      <c r="BK574" s="274">
        <f t="shared" si="191"/>
        <v>62111</v>
      </c>
      <c r="BL574" s="274">
        <f t="shared" si="192"/>
        <v>389011</v>
      </c>
      <c r="BM574" s="214" t="s">
        <v>4247</v>
      </c>
      <c r="BN574" s="213" t="s">
        <v>424</v>
      </c>
      <c r="BO574" s="39"/>
      <c r="BP574" s="274"/>
      <c r="BQ574" s="274"/>
      <c r="BR574" s="274"/>
      <c r="BS574" s="39"/>
      <c r="BT574" s="39"/>
      <c r="BU574" s="39"/>
      <c r="BV574" s="212">
        <v>388888.73940000002</v>
      </c>
      <c r="BW574" s="219">
        <f t="shared" si="195"/>
        <v>73888.860486000005</v>
      </c>
      <c r="BX574" s="273">
        <f t="shared" si="196"/>
        <v>462777.59988600004</v>
      </c>
      <c r="BY574" s="214" t="s">
        <v>4247</v>
      </c>
      <c r="BZ574" s="213" t="s">
        <v>424</v>
      </c>
      <c r="CA574" s="213"/>
      <c r="CB574" s="274"/>
      <c r="CC574" s="274"/>
      <c r="CD574" s="274"/>
      <c r="CE574" s="39"/>
      <c r="CF574" s="39"/>
      <c r="CG574" s="39"/>
      <c r="CH574" s="274"/>
      <c r="CI574" s="274"/>
      <c r="CJ574" s="274"/>
      <c r="CK574" s="39"/>
      <c r="CL574" s="39"/>
      <c r="CM574" s="39"/>
      <c r="CN574" s="39"/>
      <c r="CO574" s="39"/>
      <c r="CP574" s="11"/>
      <c r="CQ574" s="11"/>
      <c r="CR574" s="11"/>
      <c r="CS574" s="11"/>
      <c r="CT574" s="11"/>
      <c r="CU574" s="11"/>
      <c r="CV574" s="11"/>
      <c r="CW574" s="11"/>
      <c r="CX574" s="11"/>
      <c r="CY574" s="11"/>
      <c r="CZ574" s="11"/>
      <c r="DA574" s="11"/>
      <c r="DB574" s="11"/>
      <c r="DC574" s="11"/>
      <c r="DD574" s="11"/>
      <c r="DE574" s="11"/>
      <c r="DF574" s="11"/>
      <c r="DG574" s="11"/>
      <c r="DH574" s="11"/>
      <c r="DI574" s="11"/>
      <c r="DJ574" s="11"/>
      <c r="DK574" s="11"/>
      <c r="DL574" s="274"/>
      <c r="DM574" s="274"/>
      <c r="DN574" s="274"/>
      <c r="DO574" s="274"/>
      <c r="DP574" s="274"/>
      <c r="DQ574" s="274"/>
      <c r="DR574" s="274"/>
      <c r="DS574" s="274"/>
      <c r="DT574" s="274"/>
      <c r="DU574" s="274"/>
      <c r="DV574" s="274"/>
      <c r="DW574" s="274"/>
      <c r="DX574" s="274"/>
      <c r="DY574" s="274"/>
      <c r="DZ574" s="274"/>
      <c r="EA574" s="274"/>
      <c r="EB574" s="274"/>
      <c r="EC574" s="274"/>
      <c r="ED574" s="39">
        <f t="shared" si="177"/>
        <v>925330.59988600004</v>
      </c>
      <c r="EE574" s="30">
        <f t="shared" si="178"/>
        <v>3</v>
      </c>
      <c r="EF574" s="39">
        <f t="shared" si="179"/>
        <v>308443.53329533333</v>
      </c>
    </row>
    <row r="575" spans="1:136" ht="63.75" x14ac:dyDescent="0.25">
      <c r="A575" s="25" t="e">
        <f>#REF!</f>
        <v>#REF!</v>
      </c>
      <c r="B575" s="50" t="e">
        <f>#REF!</f>
        <v>#REF!</v>
      </c>
      <c r="C575" s="5" t="e">
        <f>#REF!</f>
        <v>#REF!</v>
      </c>
      <c r="D575" s="5" t="e">
        <f>#REF!</f>
        <v>#REF!</v>
      </c>
      <c r="E575" s="252">
        <v>1</v>
      </c>
      <c r="F575" s="249">
        <v>437640.35</v>
      </c>
      <c r="G575" s="249">
        <v>436730</v>
      </c>
      <c r="H575" s="249">
        <v>324540.76666666666</v>
      </c>
      <c r="I575" s="249">
        <v>260000</v>
      </c>
      <c r="J575" s="249">
        <v>395153.5541652778</v>
      </c>
      <c r="K575" s="249">
        <v>0</v>
      </c>
      <c r="L575" s="274">
        <f>AVERAGE(F575,H575,J575)</f>
        <v>385778.22361064819</v>
      </c>
      <c r="M575" s="274">
        <f>AVERAGE(G575,I575)*E1</f>
        <v>358815.95</v>
      </c>
      <c r="N575" s="255"/>
      <c r="O575" s="136"/>
      <c r="P575" s="135"/>
      <c r="Q575" s="131"/>
      <c r="R575" s="131"/>
      <c r="S575" s="11"/>
      <c r="T575" s="226">
        <f>57200*10</f>
        <v>572000</v>
      </c>
      <c r="U575" s="274">
        <f>+T575*0.19</f>
        <v>108680</v>
      </c>
      <c r="V575" s="274">
        <f>+T575+U575</f>
        <v>680680</v>
      </c>
      <c r="W575" s="39" t="s">
        <v>4964</v>
      </c>
      <c r="X575" s="11" t="s">
        <v>2948</v>
      </c>
      <c r="Y575" s="11"/>
      <c r="Z575" s="274">
        <v>520000</v>
      </c>
      <c r="AA575" s="274">
        <f>+Z575*0.19</f>
        <v>98800</v>
      </c>
      <c r="AB575" s="274">
        <f>+Z575+AA575</f>
        <v>618800</v>
      </c>
      <c r="AC575" s="5" t="s">
        <v>4954</v>
      </c>
      <c r="AD575" s="22" t="s">
        <v>4795</v>
      </c>
      <c r="AE575" s="39"/>
      <c r="AF575" s="274"/>
      <c r="AG575" s="274"/>
      <c r="AH575" s="171"/>
      <c r="AI575" s="22"/>
      <c r="AJ575" s="39"/>
      <c r="AK575" s="39"/>
      <c r="AL575" s="118"/>
      <c r="AM575" s="152"/>
      <c r="AN575" s="152"/>
      <c r="AO575" s="131"/>
      <c r="AP575" s="131"/>
      <c r="AQ575" s="39"/>
      <c r="AR575" s="274"/>
      <c r="AS575" s="274"/>
      <c r="AT575" s="274"/>
      <c r="AU575" s="39"/>
      <c r="AV575" s="39"/>
      <c r="AW575" s="39"/>
      <c r="AX575" s="274"/>
      <c r="AY575" s="274"/>
      <c r="AZ575" s="274"/>
      <c r="BA575" s="39"/>
      <c r="BB575" s="62"/>
      <c r="BC575" s="39"/>
      <c r="BD575" s="118">
        <v>260590</v>
      </c>
      <c r="BE575" s="274">
        <f>+BD575*0.19</f>
        <v>49512.1</v>
      </c>
      <c r="BF575" s="274">
        <f>+BD575+BE575</f>
        <v>310102.09999999998</v>
      </c>
      <c r="BG575" s="25" t="s">
        <v>4224</v>
      </c>
      <c r="BH575" s="5" t="s">
        <v>4965</v>
      </c>
      <c r="BI575" s="5" t="s">
        <v>4966</v>
      </c>
      <c r="BJ575" s="274">
        <v>868100</v>
      </c>
      <c r="BK575" s="274">
        <f t="shared" si="191"/>
        <v>164939</v>
      </c>
      <c r="BL575" s="274">
        <f t="shared" si="192"/>
        <v>1033039</v>
      </c>
      <c r="BM575" s="214" t="s">
        <v>4224</v>
      </c>
      <c r="BN575" s="213" t="s">
        <v>2925</v>
      </c>
      <c r="BO575" s="39"/>
      <c r="BP575" s="274"/>
      <c r="BQ575" s="274"/>
      <c r="BR575" s="274"/>
      <c r="BS575" s="39"/>
      <c r="BT575" s="39"/>
      <c r="BU575" s="39"/>
      <c r="BV575" s="212">
        <v>976225.32740000007</v>
      </c>
      <c r="BW575" s="219">
        <f t="shared" si="195"/>
        <v>185482.812206</v>
      </c>
      <c r="BX575" s="273">
        <f t="shared" si="196"/>
        <v>1161708.1396060002</v>
      </c>
      <c r="BY575" s="214" t="s">
        <v>4224</v>
      </c>
      <c r="BZ575" s="213" t="s">
        <v>2925</v>
      </c>
      <c r="CA575" s="213"/>
      <c r="CB575" s="274"/>
      <c r="CC575" s="274"/>
      <c r="CD575" s="274"/>
      <c r="CE575" s="39"/>
      <c r="CF575" s="39"/>
      <c r="CG575" s="39"/>
      <c r="CH575" s="274"/>
      <c r="CI575" s="274"/>
      <c r="CJ575" s="274"/>
      <c r="CK575" s="39"/>
      <c r="CL575" s="39"/>
      <c r="CM575" s="39"/>
      <c r="CN575" s="39"/>
      <c r="CO575" s="39"/>
      <c r="CP575" s="11"/>
      <c r="CQ575" s="11"/>
      <c r="CR575" s="11"/>
      <c r="CS575" s="11"/>
      <c r="CT575" s="11"/>
      <c r="CU575" s="11"/>
      <c r="CV575" s="11"/>
      <c r="CW575" s="11"/>
      <c r="CX575" s="11"/>
      <c r="CY575" s="11"/>
      <c r="CZ575" s="11"/>
      <c r="DA575" s="11"/>
      <c r="DB575" s="11"/>
      <c r="DC575" s="11"/>
      <c r="DD575" s="11"/>
      <c r="DE575" s="11"/>
      <c r="DF575" s="11"/>
      <c r="DG575" s="11"/>
      <c r="DH575" s="11"/>
      <c r="DI575" s="11"/>
      <c r="DJ575" s="11"/>
      <c r="DK575" s="11"/>
      <c r="DL575" s="274"/>
      <c r="DM575" s="274"/>
      <c r="DN575" s="274"/>
      <c r="DO575" s="274"/>
      <c r="DP575" s="274"/>
      <c r="DQ575" s="274"/>
      <c r="DR575" s="274"/>
      <c r="DS575" s="274"/>
      <c r="DT575" s="274"/>
      <c r="DU575" s="274"/>
      <c r="DV575" s="274"/>
      <c r="DW575" s="274"/>
      <c r="DX575" s="274"/>
      <c r="DY575" s="274"/>
      <c r="DZ575" s="274"/>
      <c r="EA575" s="274"/>
      <c r="EB575" s="274"/>
      <c r="EC575" s="274"/>
      <c r="ED575" s="39">
        <f t="shared" si="177"/>
        <v>4163145.1896059997</v>
      </c>
      <c r="EE575" s="30">
        <f t="shared" si="178"/>
        <v>6</v>
      </c>
      <c r="EF575" s="39">
        <f t="shared" si="179"/>
        <v>693857.531601</v>
      </c>
    </row>
    <row r="576" spans="1:136" ht="24" x14ac:dyDescent="0.25">
      <c r="A576" s="25" t="e">
        <f>#REF!</f>
        <v>#REF!</v>
      </c>
      <c r="B576" s="50" t="e">
        <f>#REF!</f>
        <v>#REF!</v>
      </c>
      <c r="C576" s="5" t="e">
        <f>#REF!</f>
        <v>#REF!</v>
      </c>
      <c r="D576" s="5" t="e">
        <f>#REF!</f>
        <v>#REF!</v>
      </c>
      <c r="E576" s="252">
        <v>1</v>
      </c>
      <c r="F576" s="249">
        <v>326131.40000000002</v>
      </c>
      <c r="G576" s="249">
        <v>326060</v>
      </c>
      <c r="H576" s="249">
        <v>349819.61933333334</v>
      </c>
      <c r="I576" s="249">
        <v>0</v>
      </c>
      <c r="J576" s="249">
        <v>593514.68166666676</v>
      </c>
      <c r="K576" s="249">
        <v>592620</v>
      </c>
      <c r="L576" s="274">
        <f>AVERAGE(F576,H576,J576)</f>
        <v>423155.23366666673</v>
      </c>
      <c r="M576" s="274">
        <f>AVERAGE(G576,K576)*E1</f>
        <v>473120.2</v>
      </c>
      <c r="N576" s="255"/>
      <c r="O576" s="135"/>
      <c r="P576" s="135"/>
      <c r="Q576" s="131"/>
      <c r="R576" s="131"/>
      <c r="S576" s="11"/>
      <c r="T576" s="274"/>
      <c r="U576" s="274"/>
      <c r="V576" s="274"/>
      <c r="W576" s="39"/>
      <c r="X576" s="11"/>
      <c r="Y576" s="11"/>
      <c r="Z576" s="274"/>
      <c r="AA576" s="274"/>
      <c r="AB576" s="274"/>
      <c r="AC576" s="52"/>
      <c r="AD576" s="22"/>
      <c r="AE576" s="39"/>
      <c r="AF576" s="274"/>
      <c r="AG576" s="274"/>
      <c r="AH576" s="171"/>
      <c r="AI576" s="4"/>
      <c r="AJ576" s="39"/>
      <c r="AK576" s="39"/>
      <c r="AL576" s="118"/>
      <c r="AM576" s="152"/>
      <c r="AN576" s="181"/>
      <c r="AO576" s="131"/>
      <c r="AP576" s="131"/>
      <c r="AQ576" s="39"/>
      <c r="AR576" s="274"/>
      <c r="AS576" s="274"/>
      <c r="AT576" s="274"/>
      <c r="AU576" s="39"/>
      <c r="AV576" s="39"/>
      <c r="AW576" s="39"/>
      <c r="AX576" s="274"/>
      <c r="AY576" s="274"/>
      <c r="AZ576" s="274"/>
      <c r="BA576" s="39"/>
      <c r="BB576" s="62"/>
      <c r="BC576" s="39"/>
      <c r="BD576" s="274"/>
      <c r="BE576" s="274"/>
      <c r="BF576" s="274"/>
      <c r="BG576" s="39"/>
      <c r="BH576" s="39"/>
      <c r="BI576" s="39"/>
      <c r="BJ576" s="274">
        <v>958900</v>
      </c>
      <c r="BK576" s="274">
        <f t="shared" si="191"/>
        <v>182191</v>
      </c>
      <c r="BL576" s="274">
        <f t="shared" si="192"/>
        <v>1141091</v>
      </c>
      <c r="BM576" s="214" t="s">
        <v>4224</v>
      </c>
      <c r="BN576" s="213" t="s">
        <v>2925</v>
      </c>
      <c r="BO576" s="39"/>
      <c r="BP576" s="274"/>
      <c r="BQ576" s="274"/>
      <c r="BR576" s="274"/>
      <c r="BS576" s="39"/>
      <c r="BT576" s="39"/>
      <c r="BU576" s="39"/>
      <c r="BV576" s="212">
        <v>1057589.9880000001</v>
      </c>
      <c r="BW576" s="219">
        <f t="shared" si="195"/>
        <v>200942.09772000002</v>
      </c>
      <c r="BX576" s="273">
        <f t="shared" si="196"/>
        <v>1258532.0857200001</v>
      </c>
      <c r="BY576" s="214" t="s">
        <v>4224</v>
      </c>
      <c r="BZ576" s="213" t="s">
        <v>2925</v>
      </c>
      <c r="CA576" s="213"/>
      <c r="CB576" s="274"/>
      <c r="CC576" s="274"/>
      <c r="CD576" s="274"/>
      <c r="CE576" s="39"/>
      <c r="CF576" s="39"/>
      <c r="CG576" s="39"/>
      <c r="CH576" s="274"/>
      <c r="CI576" s="274"/>
      <c r="CJ576" s="274"/>
      <c r="CK576" s="39"/>
      <c r="CL576" s="39"/>
      <c r="CM576" s="39"/>
      <c r="CN576" s="39"/>
      <c r="CO576" s="39"/>
      <c r="CP576" s="11"/>
      <c r="CQ576" s="11"/>
      <c r="CR576" s="11"/>
      <c r="CS576" s="11"/>
      <c r="CT576" s="11"/>
      <c r="CU576" s="11"/>
      <c r="CV576" s="11"/>
      <c r="CW576" s="11"/>
      <c r="CX576" s="11"/>
      <c r="CY576" s="11"/>
      <c r="CZ576" s="11"/>
      <c r="DA576" s="11"/>
      <c r="DB576" s="11"/>
      <c r="DC576" s="11"/>
      <c r="DD576" s="11"/>
      <c r="DE576" s="11"/>
      <c r="DF576" s="11"/>
      <c r="DG576" s="11"/>
      <c r="DH576" s="11"/>
      <c r="DI576" s="11"/>
      <c r="DJ576" s="11"/>
      <c r="DK576" s="11"/>
      <c r="DL576" s="274"/>
      <c r="DM576" s="274"/>
      <c r="DN576" s="274"/>
      <c r="DO576" s="274"/>
      <c r="DP576" s="274"/>
      <c r="DQ576" s="274"/>
      <c r="DR576" s="274"/>
      <c r="DS576" s="274"/>
      <c r="DT576" s="274"/>
      <c r="DU576" s="274"/>
      <c r="DV576" s="274"/>
      <c r="DW576" s="274"/>
      <c r="DX576" s="274"/>
      <c r="DY576" s="274"/>
      <c r="DZ576" s="274"/>
      <c r="EA576" s="274"/>
      <c r="EB576" s="274"/>
      <c r="EC576" s="274"/>
      <c r="ED576" s="39">
        <f t="shared" si="177"/>
        <v>2872743.28572</v>
      </c>
      <c r="EE576" s="30">
        <f t="shared" si="178"/>
        <v>3</v>
      </c>
      <c r="EF576" s="39">
        <f t="shared" si="179"/>
        <v>957581.09524000005</v>
      </c>
    </row>
    <row r="577" spans="1:136" ht="24" x14ac:dyDescent="0.25">
      <c r="A577" s="25" t="e">
        <f>#REF!</f>
        <v>#REF!</v>
      </c>
      <c r="B577" s="50" t="e">
        <f>#REF!</f>
        <v>#REF!</v>
      </c>
      <c r="C577" s="5" t="e">
        <f>#REF!</f>
        <v>#REF!</v>
      </c>
      <c r="D577" s="5" t="e">
        <f>#REF!</f>
        <v>#REF!</v>
      </c>
      <c r="E577" s="252">
        <v>1</v>
      </c>
      <c r="F577" s="249">
        <v>265727</v>
      </c>
      <c r="G577" s="249">
        <v>0</v>
      </c>
      <c r="H577" s="249">
        <v>351050</v>
      </c>
      <c r="I577" s="249">
        <v>350931</v>
      </c>
      <c r="J577" s="249">
        <v>155385.44</v>
      </c>
      <c r="K577" s="249">
        <v>155295</v>
      </c>
      <c r="L577" s="274">
        <f>AVERAGE(F577,H577,J577)</f>
        <v>257387.47999999998</v>
      </c>
      <c r="M577" s="274">
        <f>AVERAGE(I577,K577)*E1</f>
        <v>260706.39</v>
      </c>
      <c r="N577" s="255"/>
      <c r="O577" s="136"/>
      <c r="P577" s="135"/>
      <c r="Q577" s="131"/>
      <c r="R577" s="131"/>
      <c r="S577" s="11"/>
      <c r="T577" s="274"/>
      <c r="U577" s="274"/>
      <c r="V577" s="274"/>
      <c r="W577" s="39"/>
      <c r="X577" s="11"/>
      <c r="Y577" s="11"/>
      <c r="Z577" s="274"/>
      <c r="AA577" s="274"/>
      <c r="AB577" s="274"/>
      <c r="AC577" s="52"/>
      <c r="AD577" s="22"/>
      <c r="AE577" s="39"/>
      <c r="AF577" s="274"/>
      <c r="AG577" s="274"/>
      <c r="AH577" s="171"/>
      <c r="AI577" s="22"/>
      <c r="AJ577" s="39"/>
      <c r="AK577" s="39"/>
      <c r="AL577" s="118"/>
      <c r="AM577" s="152"/>
      <c r="AN577" s="152"/>
      <c r="AO577" s="131"/>
      <c r="AP577" s="131"/>
      <c r="AQ577" s="39"/>
      <c r="AR577" s="274"/>
      <c r="AS577" s="274"/>
      <c r="AT577" s="274"/>
      <c r="AU577" s="39"/>
      <c r="AV577" s="39"/>
      <c r="AW577" s="39"/>
      <c r="AX577" s="274"/>
      <c r="AY577" s="274"/>
      <c r="AZ577" s="274"/>
      <c r="BA577" s="39"/>
      <c r="BB577" s="62"/>
      <c r="BC577" s="39"/>
      <c r="BD577" s="274"/>
      <c r="BE577" s="274"/>
      <c r="BF577" s="274"/>
      <c r="BG577" s="39"/>
      <c r="BH577" s="39"/>
      <c r="BI577" s="39"/>
      <c r="BJ577" s="274">
        <v>590800</v>
      </c>
      <c r="BK577" s="274">
        <f t="shared" si="191"/>
        <v>112252</v>
      </c>
      <c r="BL577" s="274">
        <f t="shared" si="192"/>
        <v>703052</v>
      </c>
      <c r="BM577" s="214" t="s">
        <v>4224</v>
      </c>
      <c r="BN577" s="213" t="s">
        <v>424</v>
      </c>
      <c r="BO577" s="39"/>
      <c r="BP577" s="274"/>
      <c r="BQ577" s="274"/>
      <c r="BR577" s="274"/>
      <c r="BS577" s="39"/>
      <c r="BT577" s="39"/>
      <c r="BU577" s="39"/>
      <c r="BV577" s="212">
        <v>696888.77440000011</v>
      </c>
      <c r="BW577" s="219">
        <f t="shared" si="195"/>
        <v>132408.86713600002</v>
      </c>
      <c r="BX577" s="273">
        <f t="shared" si="196"/>
        <v>829297.64153600018</v>
      </c>
      <c r="BY577" s="214" t="s">
        <v>4224</v>
      </c>
      <c r="BZ577" s="213" t="s">
        <v>424</v>
      </c>
      <c r="CA577" s="213"/>
      <c r="CB577" s="274"/>
      <c r="CC577" s="274"/>
      <c r="CD577" s="274"/>
      <c r="CE577" s="39"/>
      <c r="CF577" s="39"/>
      <c r="CG577" s="39"/>
      <c r="CH577" s="274"/>
      <c r="CI577" s="274"/>
      <c r="CJ577" s="274"/>
      <c r="CK577" s="39"/>
      <c r="CL577" s="39"/>
      <c r="CM577" s="39"/>
      <c r="CN577" s="39"/>
      <c r="CO577" s="39"/>
      <c r="CP577" s="11"/>
      <c r="CQ577" s="11"/>
      <c r="CR577" s="11"/>
      <c r="CS577" s="11"/>
      <c r="CT577" s="11"/>
      <c r="CU577" s="11"/>
      <c r="CV577" s="11"/>
      <c r="CW577" s="11"/>
      <c r="CX577" s="11"/>
      <c r="CY577" s="11"/>
      <c r="CZ577" s="11"/>
      <c r="DA577" s="11"/>
      <c r="DB577" s="11"/>
      <c r="DC577" s="11"/>
      <c r="DD577" s="11"/>
      <c r="DE577" s="11"/>
      <c r="DF577" s="11"/>
      <c r="DG577" s="11"/>
      <c r="DH577" s="11"/>
      <c r="DI577" s="11"/>
      <c r="DJ577" s="11"/>
      <c r="DK577" s="11"/>
      <c r="DL577" s="274"/>
      <c r="DM577" s="274"/>
      <c r="DN577" s="274"/>
      <c r="DO577" s="274"/>
      <c r="DP577" s="274"/>
      <c r="DQ577" s="274"/>
      <c r="DR577" s="274"/>
      <c r="DS577" s="274"/>
      <c r="DT577" s="274"/>
      <c r="DU577" s="274"/>
      <c r="DV577" s="274"/>
      <c r="DW577" s="274"/>
      <c r="DX577" s="274"/>
      <c r="DY577" s="274"/>
      <c r="DZ577" s="274"/>
      <c r="EA577" s="274"/>
      <c r="EB577" s="274"/>
      <c r="EC577" s="274"/>
      <c r="ED577" s="39">
        <f t="shared" si="177"/>
        <v>1793056.0315360003</v>
      </c>
      <c r="EE577" s="30">
        <f t="shared" si="178"/>
        <v>3</v>
      </c>
      <c r="EF577" s="39">
        <f t="shared" si="179"/>
        <v>597685.34384533344</v>
      </c>
    </row>
    <row r="578" spans="1:136" ht="51" x14ac:dyDescent="0.25">
      <c r="A578" s="25" t="e">
        <f>#REF!</f>
        <v>#REF!</v>
      </c>
      <c r="B578" s="50" t="e">
        <f>#REF!</f>
        <v>#REF!</v>
      </c>
      <c r="C578" s="5" t="e">
        <f>#REF!</f>
        <v>#REF!</v>
      </c>
      <c r="D578" s="5" t="e">
        <f>#REF!</f>
        <v>#REF!</v>
      </c>
      <c r="E578" s="252">
        <v>1</v>
      </c>
      <c r="F578" s="249">
        <v>409217.2</v>
      </c>
      <c r="G578" s="249">
        <v>409122</v>
      </c>
      <c r="H578" s="249">
        <v>328886.84499999997</v>
      </c>
      <c r="I578" s="249">
        <v>0</v>
      </c>
      <c r="J578" s="249">
        <v>401404.45581256284</v>
      </c>
      <c r="K578" s="249">
        <v>0</v>
      </c>
      <c r="L578" s="274">
        <f>AVERAGE(F578,H578,J578)</f>
        <v>379836.1669375209</v>
      </c>
      <c r="M578" s="274">
        <f>G578*E1</f>
        <v>421395.66000000003</v>
      </c>
      <c r="N578" s="255"/>
      <c r="O578" s="135"/>
      <c r="P578" s="135"/>
      <c r="Q578" s="131"/>
      <c r="R578" s="131"/>
      <c r="S578" s="11"/>
      <c r="T578" s="274"/>
      <c r="U578" s="274"/>
      <c r="V578" s="274"/>
      <c r="W578" s="39"/>
      <c r="X578" s="11"/>
      <c r="Y578" s="11"/>
      <c r="Z578" s="274">
        <v>425000</v>
      </c>
      <c r="AA578" s="274">
        <f>+Z578*0.19</f>
        <v>80750</v>
      </c>
      <c r="AB578" s="274">
        <f>+Z578+AA578</f>
        <v>505750</v>
      </c>
      <c r="AC578" s="5" t="s">
        <v>4954</v>
      </c>
      <c r="AD578" s="22" t="s">
        <v>4795</v>
      </c>
      <c r="AE578" s="39"/>
      <c r="AF578" s="274"/>
      <c r="AG578" s="274"/>
      <c r="AH578" s="171"/>
      <c r="AI578" s="22"/>
      <c r="AJ578" s="39"/>
      <c r="AK578" s="39"/>
      <c r="AL578" s="118"/>
      <c r="AM578" s="152"/>
      <c r="AN578" s="181"/>
      <c r="AO578" s="131"/>
      <c r="AP578" s="131"/>
      <c r="AQ578" s="39"/>
      <c r="AR578" s="274"/>
      <c r="AS578" s="274"/>
      <c r="AT578" s="274"/>
      <c r="AU578" s="39"/>
      <c r="AV578" s="39"/>
      <c r="AW578" s="39"/>
      <c r="AX578" s="274"/>
      <c r="AY578" s="274"/>
      <c r="AZ578" s="274"/>
      <c r="BA578" s="39"/>
      <c r="BB578" s="62"/>
      <c r="BC578" s="39"/>
      <c r="BD578" s="118">
        <v>260590</v>
      </c>
      <c r="BE578" s="274">
        <f>+BD578*0.19</f>
        <v>49512.1</v>
      </c>
      <c r="BF578" s="274">
        <f>+BD578+BE578</f>
        <v>310102.09999999998</v>
      </c>
      <c r="BG578" s="25" t="s">
        <v>4224</v>
      </c>
      <c r="BH578" s="5" t="s">
        <v>4955</v>
      </c>
      <c r="BI578" s="5" t="s">
        <v>4956</v>
      </c>
      <c r="BJ578" s="274">
        <v>817500</v>
      </c>
      <c r="BK578" s="274">
        <f t="shared" si="191"/>
        <v>155325</v>
      </c>
      <c r="BL578" s="274">
        <f t="shared" si="192"/>
        <v>972825</v>
      </c>
      <c r="BM578" s="214" t="s">
        <v>4224</v>
      </c>
      <c r="BN578" s="213" t="s">
        <v>2925</v>
      </c>
      <c r="BO578" s="39"/>
      <c r="BP578" s="274"/>
      <c r="BQ578" s="274"/>
      <c r="BR578" s="274"/>
      <c r="BS578" s="39"/>
      <c r="BT578" s="39"/>
      <c r="BU578" s="39"/>
      <c r="BV578" s="212">
        <v>918986.08500000008</v>
      </c>
      <c r="BW578" s="219">
        <f t="shared" si="195"/>
        <v>174607.35615000001</v>
      </c>
      <c r="BX578" s="273">
        <f t="shared" si="196"/>
        <v>1093593.4411500001</v>
      </c>
      <c r="BY578" s="214" t="s">
        <v>4224</v>
      </c>
      <c r="BZ578" s="213" t="s">
        <v>2925</v>
      </c>
      <c r="CA578" s="213"/>
      <c r="CB578" s="274"/>
      <c r="CC578" s="274"/>
      <c r="CD578" s="274"/>
      <c r="CE578" s="39"/>
      <c r="CF578" s="39"/>
      <c r="CG578" s="39"/>
      <c r="CH578" s="274"/>
      <c r="CI578" s="274"/>
      <c r="CJ578" s="274"/>
      <c r="CK578" s="39"/>
      <c r="CL578" s="39"/>
      <c r="CM578" s="39"/>
      <c r="CN578" s="39"/>
      <c r="CO578" s="39"/>
      <c r="CP578" s="11"/>
      <c r="CQ578" s="11"/>
      <c r="CR578" s="11"/>
      <c r="CS578" s="11"/>
      <c r="CT578" s="11"/>
      <c r="CU578" s="11"/>
      <c r="CV578" s="11"/>
      <c r="CW578" s="11"/>
      <c r="CX578" s="11"/>
      <c r="CY578" s="11"/>
      <c r="CZ578" s="11"/>
      <c r="DA578" s="11"/>
      <c r="DB578" s="11"/>
      <c r="DC578" s="11"/>
      <c r="DD578" s="11"/>
      <c r="DE578" s="11"/>
      <c r="DF578" s="11"/>
      <c r="DG578" s="11"/>
      <c r="DH578" s="11"/>
      <c r="DI578" s="11"/>
      <c r="DJ578" s="11"/>
      <c r="DK578" s="11"/>
      <c r="DL578" s="274"/>
      <c r="DM578" s="274"/>
      <c r="DN578" s="274"/>
      <c r="DO578" s="274"/>
      <c r="DP578" s="274"/>
      <c r="DQ578" s="274"/>
      <c r="DR578" s="274"/>
      <c r="DS578" s="274"/>
      <c r="DT578" s="274"/>
      <c r="DU578" s="274"/>
      <c r="DV578" s="274"/>
      <c r="DW578" s="274"/>
      <c r="DX578" s="274"/>
      <c r="DY578" s="274"/>
      <c r="DZ578" s="274"/>
      <c r="EA578" s="274"/>
      <c r="EB578" s="274"/>
      <c r="EC578" s="274"/>
      <c r="ED578" s="39">
        <f t="shared" si="177"/>
        <v>3303666.2011500001</v>
      </c>
      <c r="EE578" s="30">
        <f t="shared" si="178"/>
        <v>5</v>
      </c>
      <c r="EF578" s="39">
        <f t="shared" si="179"/>
        <v>660733.24023</v>
      </c>
    </row>
    <row r="579" spans="1:136" ht="24" x14ac:dyDescent="0.25">
      <c r="A579" s="25" t="e">
        <f>#REF!</f>
        <v>#REF!</v>
      </c>
      <c r="B579" s="50" t="e">
        <f>#REF!</f>
        <v>#REF!</v>
      </c>
      <c r="C579" s="5" t="e">
        <f>#REF!</f>
        <v>#REF!</v>
      </c>
      <c r="D579" s="5" t="e">
        <f>#REF!</f>
        <v>#REF!</v>
      </c>
      <c r="E579" s="252">
        <v>1</v>
      </c>
      <c r="F579" s="249">
        <v>0</v>
      </c>
      <c r="G579" s="249">
        <v>0</v>
      </c>
      <c r="H579" s="249">
        <v>295992.66666666669</v>
      </c>
      <c r="I579" s="249">
        <v>295834</v>
      </c>
      <c r="J579" s="249">
        <v>833869.4933333334</v>
      </c>
      <c r="K579" s="249">
        <v>833000</v>
      </c>
      <c r="L579" s="274">
        <f>AVERAGE(H579,J579)</f>
        <v>564931.08000000007</v>
      </c>
      <c r="M579" s="274">
        <f>AVERAGE(I579,K579)*E1</f>
        <v>581349.51</v>
      </c>
      <c r="N579" s="255">
        <v>130000</v>
      </c>
      <c r="O579" s="135">
        <f>+N579*0.19</f>
        <v>24700</v>
      </c>
      <c r="P579" s="135">
        <f>+N579+O579</f>
        <v>154700</v>
      </c>
      <c r="Q579" s="131"/>
      <c r="R579" s="131"/>
      <c r="S579" s="11"/>
      <c r="T579" s="274"/>
      <c r="U579" s="274"/>
      <c r="V579" s="274"/>
      <c r="W579" s="39"/>
      <c r="X579" s="11"/>
      <c r="Y579" s="11"/>
      <c r="Z579" s="274"/>
      <c r="AA579" s="274"/>
      <c r="AB579" s="274"/>
      <c r="AC579" s="4"/>
      <c r="AD579" s="22"/>
      <c r="AE579" s="39"/>
      <c r="AF579" s="274"/>
      <c r="AG579" s="274"/>
      <c r="AH579" s="173"/>
      <c r="AI579" s="4"/>
      <c r="AJ579" s="39"/>
      <c r="AK579" s="39"/>
      <c r="AL579" s="118"/>
      <c r="AM579" s="152"/>
      <c r="AN579" s="152"/>
      <c r="AO579" s="131"/>
      <c r="AP579" s="131"/>
      <c r="AQ579" s="39"/>
      <c r="AR579" s="274"/>
      <c r="AS579" s="274"/>
      <c r="AT579" s="274"/>
      <c r="AU579" s="39"/>
      <c r="AV579" s="39"/>
      <c r="AW579" s="39"/>
      <c r="AX579" s="274"/>
      <c r="AY579" s="274"/>
      <c r="AZ579" s="274"/>
      <c r="BA579" s="39"/>
      <c r="BB579" s="62"/>
      <c r="BC579" s="39"/>
      <c r="BD579" s="274"/>
      <c r="BE579" s="274"/>
      <c r="BF579" s="274"/>
      <c r="BG579" s="39"/>
      <c r="BH579" s="39"/>
      <c r="BI579" s="39"/>
      <c r="BJ579" s="274">
        <v>303100</v>
      </c>
      <c r="BK579" s="274">
        <f t="shared" si="191"/>
        <v>57589</v>
      </c>
      <c r="BL579" s="274">
        <f t="shared" si="192"/>
        <v>360689</v>
      </c>
      <c r="BM579" s="214" t="s">
        <v>4239</v>
      </c>
      <c r="BN579" s="213" t="s">
        <v>2925</v>
      </c>
      <c r="BO579" s="39"/>
      <c r="BP579" s="274"/>
      <c r="BQ579" s="274"/>
      <c r="BR579" s="274"/>
      <c r="BS579" s="39"/>
      <c r="BT579" s="39"/>
      <c r="BU579" s="39"/>
      <c r="BV579" s="212">
        <v>347502.9376</v>
      </c>
      <c r="BW579" s="219">
        <f t="shared" si="195"/>
        <v>66025.558143999995</v>
      </c>
      <c r="BX579" s="273">
        <f t="shared" si="196"/>
        <v>413528.49574400001</v>
      </c>
      <c r="BY579" s="214" t="s">
        <v>4239</v>
      </c>
      <c r="BZ579" s="213" t="s">
        <v>2925</v>
      </c>
      <c r="CA579" s="213"/>
      <c r="CB579" s="274"/>
      <c r="CC579" s="274"/>
      <c r="CD579" s="274"/>
      <c r="CE579" s="39"/>
      <c r="CF579" s="39"/>
      <c r="CG579" s="39"/>
      <c r="CH579" s="274"/>
      <c r="CI579" s="274"/>
      <c r="CJ579" s="274"/>
      <c r="CK579" s="39"/>
      <c r="CL579" s="39"/>
      <c r="CM579" s="39"/>
      <c r="CN579" s="39"/>
      <c r="CO579" s="39"/>
      <c r="CP579" s="11"/>
      <c r="CQ579" s="11"/>
      <c r="CR579" s="11"/>
      <c r="CS579" s="11"/>
      <c r="CT579" s="11"/>
      <c r="CU579" s="11"/>
      <c r="CV579" s="11"/>
      <c r="CW579" s="11"/>
      <c r="CX579" s="11"/>
      <c r="CY579" s="11"/>
      <c r="CZ579" s="11"/>
      <c r="DA579" s="11"/>
      <c r="DB579" s="11"/>
      <c r="DC579" s="11"/>
      <c r="DD579" s="11"/>
      <c r="DE579" s="11"/>
      <c r="DF579" s="11"/>
      <c r="DG579" s="11"/>
      <c r="DH579" s="11"/>
      <c r="DI579" s="11"/>
      <c r="DJ579" s="11"/>
      <c r="DK579" s="11"/>
      <c r="DL579" s="274"/>
      <c r="DM579" s="274"/>
      <c r="DN579" s="274"/>
      <c r="DO579" s="274"/>
      <c r="DP579" s="274"/>
      <c r="DQ579" s="274"/>
      <c r="DR579" s="274"/>
      <c r="DS579" s="274"/>
      <c r="DT579" s="274"/>
      <c r="DU579" s="274"/>
      <c r="DV579" s="274"/>
      <c r="DW579" s="274"/>
      <c r="DX579" s="274"/>
      <c r="DY579" s="274"/>
      <c r="DZ579" s="274"/>
      <c r="EA579" s="274"/>
      <c r="EB579" s="274"/>
      <c r="EC579" s="274"/>
      <c r="ED579" s="39">
        <f t="shared" ref="ED579:ED642" si="197">SUM(M579,P579,V579,AB579,AH579,AN579,AT579,AZ579,BF579,BL579,BR579,BX579,CD579,CJ579,CP579,CV579,DB579,DH579,DN579,DT579,DZ579)</f>
        <v>1510267.005744</v>
      </c>
      <c r="EE579" s="30">
        <f t="shared" ref="EE579:EE642" si="198">COUNTA(M579,N579,T579,Z579,AF579,AL579,AR579,AX579,BD579,BJ579,BP579,BV579,CB579,CH579,CN579,CT579,CZ579,DF579,DL579,DR579,DX579)</f>
        <v>4</v>
      </c>
      <c r="EF579" s="39">
        <f t="shared" ref="EF579:EF642" si="199">IFERROR(ED579/EE579," ")</f>
        <v>377566.75143599999</v>
      </c>
    </row>
    <row r="580" spans="1:136" ht="63.75" x14ac:dyDescent="0.25">
      <c r="A580" s="25" t="e">
        <f>#REF!</f>
        <v>#REF!</v>
      </c>
      <c r="B580" s="50" t="e">
        <f>#REF!</f>
        <v>#REF!</v>
      </c>
      <c r="C580" s="5" t="e">
        <f>#REF!</f>
        <v>#REF!</v>
      </c>
      <c r="D580" s="5" t="e">
        <f>#REF!</f>
        <v>#REF!</v>
      </c>
      <c r="E580" s="252">
        <v>1</v>
      </c>
      <c r="F580" s="249">
        <v>412489.7</v>
      </c>
      <c r="G580" s="249">
        <v>412454</v>
      </c>
      <c r="H580" s="249">
        <v>416861.36333333334</v>
      </c>
      <c r="I580" s="249">
        <v>416738</v>
      </c>
      <c r="J580" s="249">
        <v>769609.23921901174</v>
      </c>
      <c r="K580" s="249">
        <v>743750</v>
      </c>
      <c r="L580" s="274">
        <f>AVERAGE(F580,H580,J580)</f>
        <v>532986.7675174484</v>
      </c>
      <c r="M580" s="274">
        <f>AVERAGE(G580,I580,K580)*E1</f>
        <v>540043.42000000004</v>
      </c>
      <c r="N580" s="255"/>
      <c r="O580" s="135"/>
      <c r="P580" s="135"/>
      <c r="Q580" s="131"/>
      <c r="R580" s="131"/>
      <c r="S580" s="11"/>
      <c r="T580" s="274"/>
      <c r="U580" s="274"/>
      <c r="V580" s="274"/>
      <c r="W580" s="39"/>
      <c r="X580" s="11"/>
      <c r="Y580" s="11"/>
      <c r="Z580" s="274">
        <v>425000</v>
      </c>
      <c r="AA580" s="274">
        <f>+Z580*0.19</f>
        <v>80750</v>
      </c>
      <c r="AB580" s="274">
        <f>+Z580+AA580</f>
        <v>505750</v>
      </c>
      <c r="AC580" s="5" t="s">
        <v>4954</v>
      </c>
      <c r="AD580" s="22" t="s">
        <v>4795</v>
      </c>
      <c r="AE580" s="39"/>
      <c r="AF580" s="274"/>
      <c r="AG580" s="274"/>
      <c r="AH580" s="171"/>
      <c r="AI580" s="4"/>
      <c r="AJ580" s="39"/>
      <c r="AK580" s="39"/>
      <c r="AL580" s="118"/>
      <c r="AM580" s="152"/>
      <c r="AN580" s="181"/>
      <c r="AO580" s="131"/>
      <c r="AP580" s="131"/>
      <c r="AQ580" s="39"/>
      <c r="AR580" s="274"/>
      <c r="AS580" s="274"/>
      <c r="AT580" s="274"/>
      <c r="AU580" s="39"/>
      <c r="AV580" s="39"/>
      <c r="AW580" s="39"/>
      <c r="AX580" s="274"/>
      <c r="AY580" s="274"/>
      <c r="AZ580" s="274"/>
      <c r="BA580" s="39"/>
      <c r="BB580" s="62"/>
      <c r="BC580" s="39"/>
      <c r="BD580" s="118">
        <v>260590</v>
      </c>
      <c r="BE580" s="274">
        <f>+BD580*0.19</f>
        <v>49512.1</v>
      </c>
      <c r="BF580" s="274">
        <f>+BD580+BE580</f>
        <v>310102.09999999998</v>
      </c>
      <c r="BG580" s="25" t="s">
        <v>4224</v>
      </c>
      <c r="BH580" s="5" t="s">
        <v>4967</v>
      </c>
      <c r="BI580" s="5" t="s">
        <v>4968</v>
      </c>
      <c r="BJ580" s="274">
        <v>723400</v>
      </c>
      <c r="BK580" s="274">
        <f t="shared" ref="BK580:BK611" si="200">+BJ580*0.19</f>
        <v>137446</v>
      </c>
      <c r="BL580" s="274">
        <f t="shared" ref="BL580:BL611" si="201">+BJ580+BK580</f>
        <v>860846</v>
      </c>
      <c r="BM580" s="214" t="s">
        <v>4224</v>
      </c>
      <c r="BN580" s="213" t="s">
        <v>2925</v>
      </c>
      <c r="BO580" s="39"/>
      <c r="BP580" s="274"/>
      <c r="BQ580" s="274"/>
      <c r="BR580" s="274"/>
      <c r="BS580" s="39"/>
      <c r="BT580" s="39"/>
      <c r="BU580" s="39"/>
      <c r="BV580" s="212">
        <v>813651.38400000008</v>
      </c>
      <c r="BW580" s="219">
        <f t="shared" si="195"/>
        <v>154593.76296000002</v>
      </c>
      <c r="BX580" s="273">
        <f t="shared" si="196"/>
        <v>968245.14696000004</v>
      </c>
      <c r="BY580" s="214" t="s">
        <v>4224</v>
      </c>
      <c r="BZ580" s="213" t="s">
        <v>2925</v>
      </c>
      <c r="CA580" s="213"/>
      <c r="CB580" s="274"/>
      <c r="CC580" s="274"/>
      <c r="CD580" s="274"/>
      <c r="CE580" s="39"/>
      <c r="CF580" s="39"/>
      <c r="CG580" s="39"/>
      <c r="CH580" s="274"/>
      <c r="CI580" s="274"/>
      <c r="CJ580" s="274"/>
      <c r="CK580" s="39"/>
      <c r="CL580" s="39"/>
      <c r="CM580" s="39"/>
      <c r="CN580" s="39"/>
      <c r="CO580" s="39"/>
      <c r="CP580" s="11"/>
      <c r="CQ580" s="11"/>
      <c r="CR580" s="11"/>
      <c r="CS580" s="11"/>
      <c r="CT580" s="11"/>
      <c r="CU580" s="11"/>
      <c r="CV580" s="11"/>
      <c r="CW580" s="11"/>
      <c r="CX580" s="11"/>
      <c r="CY580" s="11"/>
      <c r="CZ580" s="11"/>
      <c r="DA580" s="11"/>
      <c r="DB580" s="11"/>
      <c r="DC580" s="11"/>
      <c r="DD580" s="11"/>
      <c r="DE580" s="11"/>
      <c r="DF580" s="11"/>
      <c r="DG580" s="11"/>
      <c r="DH580" s="11"/>
      <c r="DI580" s="11"/>
      <c r="DJ580" s="11"/>
      <c r="DK580" s="11"/>
      <c r="DL580" s="274"/>
      <c r="DM580" s="274"/>
      <c r="DN580" s="274"/>
      <c r="DO580" s="274"/>
      <c r="DP580" s="274"/>
      <c r="DQ580" s="274"/>
      <c r="DR580" s="274"/>
      <c r="DS580" s="274"/>
      <c r="DT580" s="274"/>
      <c r="DU580" s="274"/>
      <c r="DV580" s="274"/>
      <c r="DW580" s="274"/>
      <c r="DX580" s="274"/>
      <c r="DY580" s="274"/>
      <c r="DZ580" s="274"/>
      <c r="EA580" s="274"/>
      <c r="EB580" s="274"/>
      <c r="EC580" s="274"/>
      <c r="ED580" s="39">
        <f t="shared" si="197"/>
        <v>3184986.6669600001</v>
      </c>
      <c r="EE580" s="30">
        <f t="shared" si="198"/>
        <v>5</v>
      </c>
      <c r="EF580" s="39">
        <f t="shared" si="199"/>
        <v>636997.33339200006</v>
      </c>
    </row>
    <row r="581" spans="1:136" x14ac:dyDescent="0.25">
      <c r="A581" s="25" t="e">
        <f>#REF!</f>
        <v>#REF!</v>
      </c>
      <c r="B581" s="50" t="e">
        <f>#REF!</f>
        <v>#REF!</v>
      </c>
      <c r="C581" s="5" t="e">
        <f>#REF!</f>
        <v>#REF!</v>
      </c>
      <c r="D581" s="5" t="e">
        <f>#REF!</f>
        <v>#REF!</v>
      </c>
      <c r="E581" s="252">
        <v>1</v>
      </c>
      <c r="F581" s="249">
        <v>507535</v>
      </c>
      <c r="G581" s="249">
        <v>492303</v>
      </c>
      <c r="H581" s="249">
        <v>387340.99763333332</v>
      </c>
      <c r="I581" s="249">
        <v>387226</v>
      </c>
      <c r="J581" s="249">
        <v>0</v>
      </c>
      <c r="K581" s="249">
        <v>0</v>
      </c>
      <c r="L581" s="274">
        <f>AVERAGE(F581,H581)</f>
        <v>447437.99881666666</v>
      </c>
      <c r="M581" s="274">
        <f>AVERAGE(G581,I581)*E1</f>
        <v>452957.435</v>
      </c>
      <c r="N581" s="255"/>
      <c r="O581" s="135"/>
      <c r="P581" s="135"/>
      <c r="Q581" s="131"/>
      <c r="R581" s="131"/>
      <c r="S581" s="11"/>
      <c r="T581" s="274"/>
      <c r="U581" s="274"/>
      <c r="V581" s="274"/>
      <c r="W581" s="39"/>
      <c r="X581" s="11"/>
      <c r="Y581" s="11"/>
      <c r="Z581" s="274"/>
      <c r="AA581" s="274"/>
      <c r="AB581" s="274"/>
      <c r="AC581" s="52"/>
      <c r="AD581" s="22"/>
      <c r="AE581" s="39"/>
      <c r="AF581" s="274"/>
      <c r="AG581" s="274"/>
      <c r="AH581" s="171"/>
      <c r="AI581" s="4"/>
      <c r="AJ581" s="39"/>
      <c r="AK581" s="39"/>
      <c r="AL581" s="118"/>
      <c r="AM581" s="152"/>
      <c r="AN581" s="181"/>
      <c r="AO581" s="131"/>
      <c r="AP581" s="131"/>
      <c r="AQ581" s="39"/>
      <c r="AR581" s="274"/>
      <c r="AS581" s="274"/>
      <c r="AT581" s="274"/>
      <c r="AU581" s="39"/>
      <c r="AV581" s="39"/>
      <c r="AW581" s="39"/>
      <c r="AX581" s="274"/>
      <c r="AY581" s="274"/>
      <c r="AZ581" s="274"/>
      <c r="BA581" s="39"/>
      <c r="BB581" s="62"/>
      <c r="BC581" s="39"/>
      <c r="BD581" s="274"/>
      <c r="BE581" s="274"/>
      <c r="BF581" s="274"/>
      <c r="BG581" s="39"/>
      <c r="BH581" s="39"/>
      <c r="BI581" s="39"/>
      <c r="BJ581" s="274">
        <v>842500</v>
      </c>
      <c r="BK581" s="274">
        <f t="shared" si="200"/>
        <v>160075</v>
      </c>
      <c r="BL581" s="274">
        <f t="shared" si="201"/>
        <v>1002575</v>
      </c>
      <c r="BM581" s="214" t="s">
        <v>2882</v>
      </c>
      <c r="BN581" s="213" t="s">
        <v>2925</v>
      </c>
      <c r="BO581" s="39"/>
      <c r="BP581" s="274"/>
      <c r="BQ581" s="274"/>
      <c r="BR581" s="274"/>
      <c r="BS581" s="39"/>
      <c r="BT581" s="39"/>
      <c r="BU581" s="39"/>
      <c r="BV581" s="212">
        <v>956721.9375</v>
      </c>
      <c r="BW581" s="219">
        <f t="shared" si="195"/>
        <v>181777.168125</v>
      </c>
      <c r="BX581" s="273">
        <f t="shared" si="196"/>
        <v>1138499.1056250001</v>
      </c>
      <c r="BY581" s="214" t="s">
        <v>2882</v>
      </c>
      <c r="BZ581" s="213" t="s">
        <v>2925</v>
      </c>
      <c r="CA581" s="213"/>
      <c r="CB581" s="274"/>
      <c r="CC581" s="274"/>
      <c r="CD581" s="274"/>
      <c r="CE581" s="39"/>
      <c r="CF581" s="39"/>
      <c r="CG581" s="39"/>
      <c r="CH581" s="274"/>
      <c r="CI581" s="274"/>
      <c r="CJ581" s="274"/>
      <c r="CK581" s="39"/>
      <c r="CL581" s="39"/>
      <c r="CM581" s="39"/>
      <c r="CN581" s="39"/>
      <c r="CO581" s="39"/>
      <c r="CP581" s="11"/>
      <c r="CQ581" s="11"/>
      <c r="CR581" s="11"/>
      <c r="CS581" s="11"/>
      <c r="CT581" s="11"/>
      <c r="CU581" s="11"/>
      <c r="CV581" s="11"/>
      <c r="CW581" s="11"/>
      <c r="CX581" s="11"/>
      <c r="CY581" s="11"/>
      <c r="CZ581" s="11"/>
      <c r="DA581" s="11"/>
      <c r="DB581" s="11"/>
      <c r="DC581" s="11"/>
      <c r="DD581" s="11"/>
      <c r="DE581" s="11"/>
      <c r="DF581" s="11"/>
      <c r="DG581" s="11"/>
      <c r="DH581" s="11"/>
      <c r="DI581" s="11"/>
      <c r="DJ581" s="11"/>
      <c r="DK581" s="11"/>
      <c r="DL581" s="274"/>
      <c r="DM581" s="274"/>
      <c r="DN581" s="274"/>
      <c r="DO581" s="274"/>
      <c r="DP581" s="274"/>
      <c r="DQ581" s="274"/>
      <c r="DR581" s="274"/>
      <c r="DS581" s="274"/>
      <c r="DT581" s="274"/>
      <c r="DU581" s="274"/>
      <c r="DV581" s="274"/>
      <c r="DW581" s="274"/>
      <c r="DX581" s="274"/>
      <c r="DY581" s="274"/>
      <c r="DZ581" s="274"/>
      <c r="EA581" s="274"/>
      <c r="EB581" s="274"/>
      <c r="EC581" s="274"/>
      <c r="ED581" s="39">
        <f t="shared" si="197"/>
        <v>2594031.5406250004</v>
      </c>
      <c r="EE581" s="30">
        <f t="shared" si="198"/>
        <v>3</v>
      </c>
      <c r="EF581" s="39">
        <f t="shared" si="199"/>
        <v>864677.18020833342</v>
      </c>
    </row>
    <row r="582" spans="1:136" ht="63.75" x14ac:dyDescent="0.25">
      <c r="A582" s="25" t="e">
        <f>#REF!</f>
        <v>#REF!</v>
      </c>
      <c r="B582" s="50" t="e">
        <f>#REF!</f>
        <v>#REF!</v>
      </c>
      <c r="C582" s="5" t="e">
        <f>#REF!</f>
        <v>#REF!</v>
      </c>
      <c r="D582" s="5" t="e">
        <f>#REF!</f>
        <v>#REF!</v>
      </c>
      <c r="E582" s="252">
        <v>1</v>
      </c>
      <c r="F582" s="249">
        <v>395984.4</v>
      </c>
      <c r="G582" s="249">
        <v>395913</v>
      </c>
      <c r="H582" s="249">
        <v>554411.48</v>
      </c>
      <c r="I582" s="249">
        <v>554302</v>
      </c>
      <c r="J582" s="249">
        <v>412143.36088229623</v>
      </c>
      <c r="K582" s="249">
        <v>0</v>
      </c>
      <c r="L582" s="274">
        <f>AVERAGE(F582,H582,J582)</f>
        <v>454179.74696076539</v>
      </c>
      <c r="M582" s="274">
        <f>AVERAGE(G582,I582)*E1</f>
        <v>489360.72500000003</v>
      </c>
      <c r="N582" s="255"/>
      <c r="O582" s="136"/>
      <c r="P582" s="135"/>
      <c r="Q582" s="131"/>
      <c r="R582" s="131"/>
      <c r="S582" s="11"/>
      <c r="T582" s="274"/>
      <c r="U582" s="274"/>
      <c r="V582" s="274"/>
      <c r="W582" s="39"/>
      <c r="X582" s="11"/>
      <c r="Y582" s="11"/>
      <c r="Z582" s="274">
        <v>425000</v>
      </c>
      <c r="AA582" s="274">
        <f>+Z582*0.19</f>
        <v>80750</v>
      </c>
      <c r="AB582" s="274">
        <f>+Z582+AA582</f>
        <v>505750</v>
      </c>
      <c r="AC582" s="5" t="s">
        <v>4954</v>
      </c>
      <c r="AD582" s="22" t="s">
        <v>4795</v>
      </c>
      <c r="AE582" s="39"/>
      <c r="AF582" s="274"/>
      <c r="AG582" s="274"/>
      <c r="AH582" s="113"/>
      <c r="AI582" s="22"/>
      <c r="AJ582" s="39"/>
      <c r="AK582" s="39"/>
      <c r="AL582" s="118"/>
      <c r="AM582" s="152"/>
      <c r="AN582" s="181"/>
      <c r="AO582" s="131"/>
      <c r="AP582" s="131"/>
      <c r="AQ582" s="39"/>
      <c r="AR582" s="274"/>
      <c r="AS582" s="274"/>
      <c r="AT582" s="274"/>
      <c r="AU582" s="39"/>
      <c r="AV582" s="39"/>
      <c r="AW582" s="39"/>
      <c r="AX582" s="274"/>
      <c r="AY582" s="274"/>
      <c r="AZ582" s="274"/>
      <c r="BA582" s="39"/>
      <c r="BB582" s="62"/>
      <c r="BC582" s="39"/>
      <c r="BD582" s="118">
        <v>260590</v>
      </c>
      <c r="BE582" s="274">
        <f>+BD582*0.19</f>
        <v>49512.1</v>
      </c>
      <c r="BF582" s="274">
        <f>+BD582+BE582</f>
        <v>310102.09999999998</v>
      </c>
      <c r="BG582" s="25" t="s">
        <v>4224</v>
      </c>
      <c r="BH582" s="5" t="s">
        <v>4958</v>
      </c>
      <c r="BI582" s="5" t="s">
        <v>4959</v>
      </c>
      <c r="BJ582" s="274">
        <v>817500</v>
      </c>
      <c r="BK582" s="274">
        <f t="shared" si="200"/>
        <v>155325</v>
      </c>
      <c r="BL582" s="274">
        <f t="shared" si="201"/>
        <v>972825</v>
      </c>
      <c r="BM582" s="214" t="s">
        <v>4224</v>
      </c>
      <c r="BN582" s="213" t="s">
        <v>424</v>
      </c>
      <c r="BO582" s="39"/>
      <c r="BP582" s="274"/>
      <c r="BQ582" s="274"/>
      <c r="BR582" s="274"/>
      <c r="BS582" s="39"/>
      <c r="BT582" s="39"/>
      <c r="BU582" s="39"/>
      <c r="BV582" s="212">
        <v>945762.48</v>
      </c>
      <c r="BW582" s="219">
        <f t="shared" si="195"/>
        <v>179694.87119999999</v>
      </c>
      <c r="BX582" s="273">
        <f t="shared" si="196"/>
        <v>1125457.3511999999</v>
      </c>
      <c r="BY582" s="214" t="s">
        <v>4224</v>
      </c>
      <c r="BZ582" s="213" t="s">
        <v>424</v>
      </c>
      <c r="CA582" s="213"/>
      <c r="CB582" s="274"/>
      <c r="CC582" s="274"/>
      <c r="CD582" s="274"/>
      <c r="CE582" s="39"/>
      <c r="CF582" s="39"/>
      <c r="CG582" s="39"/>
      <c r="CH582" s="274"/>
      <c r="CI582" s="274"/>
      <c r="CJ582" s="274"/>
      <c r="CK582" s="39"/>
      <c r="CL582" s="39"/>
      <c r="CM582" s="39"/>
      <c r="CN582" s="39"/>
      <c r="CO582" s="39"/>
      <c r="CP582" s="11"/>
      <c r="CQ582" s="11"/>
      <c r="CR582" s="11"/>
      <c r="CS582" s="11"/>
      <c r="CT582" s="11"/>
      <c r="CU582" s="11"/>
      <c r="CV582" s="11"/>
      <c r="CW582" s="11"/>
      <c r="CX582" s="11"/>
      <c r="CY582" s="11"/>
      <c r="CZ582" s="11"/>
      <c r="DA582" s="11"/>
      <c r="DB582" s="11"/>
      <c r="DC582" s="11"/>
      <c r="DD582" s="11"/>
      <c r="DE582" s="11"/>
      <c r="DF582" s="11"/>
      <c r="DG582" s="11"/>
      <c r="DH582" s="11"/>
      <c r="DI582" s="11"/>
      <c r="DJ582" s="11"/>
      <c r="DK582" s="11"/>
      <c r="DL582" s="274"/>
      <c r="DM582" s="274"/>
      <c r="DN582" s="274"/>
      <c r="DO582" s="274"/>
      <c r="DP582" s="274"/>
      <c r="DQ582" s="274"/>
      <c r="DR582" s="274"/>
      <c r="DS582" s="274"/>
      <c r="DT582" s="274"/>
      <c r="DU582" s="274"/>
      <c r="DV582" s="274"/>
      <c r="DW582" s="274"/>
      <c r="DX582" s="274"/>
      <c r="DY582" s="274"/>
      <c r="DZ582" s="274"/>
      <c r="EA582" s="274"/>
      <c r="EB582" s="274"/>
      <c r="EC582" s="274"/>
      <c r="ED582" s="39">
        <f t="shared" si="197"/>
        <v>3403495.1762000001</v>
      </c>
      <c r="EE582" s="30">
        <f t="shared" si="198"/>
        <v>5</v>
      </c>
      <c r="EF582" s="39">
        <f t="shared" si="199"/>
        <v>680699.03524</v>
      </c>
    </row>
    <row r="583" spans="1:136" ht="24" x14ac:dyDescent="0.25">
      <c r="A583" s="25" t="e">
        <f>#REF!</f>
        <v>#REF!</v>
      </c>
      <c r="B583" s="50" t="e">
        <f>#REF!</f>
        <v>#REF!</v>
      </c>
      <c r="C583" s="5" t="e">
        <f>#REF!</f>
        <v>#REF!</v>
      </c>
      <c r="D583" s="5" t="e">
        <f>#REF!</f>
        <v>#REF!</v>
      </c>
      <c r="E583" s="252">
        <v>1</v>
      </c>
      <c r="F583" s="249">
        <v>2861031.915</v>
      </c>
      <c r="G583" s="249">
        <v>2789479</v>
      </c>
      <c r="H583" s="249">
        <v>2811079.0648499997</v>
      </c>
      <c r="I583" s="249">
        <v>2811018</v>
      </c>
      <c r="J583" s="249">
        <v>2928952.95</v>
      </c>
      <c r="K583" s="249">
        <v>2915500</v>
      </c>
      <c r="L583" s="274">
        <f>AVERAGE(F583,H583,J583)</f>
        <v>2867021.3099500001</v>
      </c>
      <c r="M583" s="274">
        <f>AVERAGE(G583,I583,K583)*E1</f>
        <v>2923825.6366666667</v>
      </c>
      <c r="N583" s="255"/>
      <c r="O583" s="137"/>
      <c r="P583" s="135"/>
      <c r="Q583" s="131"/>
      <c r="R583" s="131"/>
      <c r="S583" s="11"/>
      <c r="T583" s="274"/>
      <c r="U583" s="274"/>
      <c r="V583" s="274"/>
      <c r="W583" s="39"/>
      <c r="X583" s="11"/>
      <c r="Y583" s="11"/>
      <c r="Z583" s="274"/>
      <c r="AA583" s="274"/>
      <c r="AB583" s="274"/>
      <c r="AC583" s="52"/>
      <c r="AD583" s="22"/>
      <c r="AE583" s="39"/>
      <c r="AF583" s="274"/>
      <c r="AG583" s="274"/>
      <c r="AH583" s="171"/>
      <c r="AI583" s="4"/>
      <c r="AJ583" s="39"/>
      <c r="AK583" s="39"/>
      <c r="AL583" s="118"/>
      <c r="AM583" s="152"/>
      <c r="AN583" s="152"/>
      <c r="AO583" s="131"/>
      <c r="AP583" s="131"/>
      <c r="AQ583" s="39"/>
      <c r="AR583" s="274"/>
      <c r="AS583" s="274"/>
      <c r="AT583" s="274"/>
      <c r="AU583" s="39"/>
      <c r="AV583" s="39"/>
      <c r="AW583" s="39"/>
      <c r="AX583" s="274"/>
      <c r="AY583" s="274"/>
      <c r="AZ583" s="274"/>
      <c r="BA583" s="39"/>
      <c r="BB583" s="62"/>
      <c r="BC583" s="39"/>
      <c r="BD583" s="274"/>
      <c r="BE583" s="274"/>
      <c r="BF583" s="274"/>
      <c r="BG583" s="39"/>
      <c r="BH583" s="39"/>
      <c r="BI583" s="39"/>
      <c r="BJ583" s="275">
        <v>4400000</v>
      </c>
      <c r="BK583" s="274">
        <f t="shared" si="200"/>
        <v>836000</v>
      </c>
      <c r="BL583" s="274">
        <f t="shared" si="201"/>
        <v>5236000</v>
      </c>
      <c r="BM583" s="214" t="s">
        <v>4288</v>
      </c>
      <c r="BN583" s="213" t="s">
        <v>2925</v>
      </c>
      <c r="BO583" s="39"/>
      <c r="BP583" s="274"/>
      <c r="BQ583" s="274"/>
      <c r="BR583" s="274"/>
      <c r="BS583" s="39"/>
      <c r="BT583" s="39"/>
      <c r="BU583" s="39"/>
      <c r="BV583" s="212"/>
      <c r="BW583" s="219"/>
      <c r="BX583" s="273"/>
      <c r="BY583" s="214"/>
      <c r="BZ583" s="213"/>
      <c r="CA583" s="213"/>
      <c r="CB583" s="274"/>
      <c r="CC583" s="274"/>
      <c r="CD583" s="274"/>
      <c r="CE583" s="39"/>
      <c r="CF583" s="39"/>
      <c r="CG583" s="39"/>
      <c r="CH583" s="274"/>
      <c r="CI583" s="274"/>
      <c r="CJ583" s="274"/>
      <c r="CK583" s="39"/>
      <c r="CL583" s="39"/>
      <c r="CM583" s="39"/>
      <c r="CN583" s="39"/>
      <c r="CO583" s="39"/>
      <c r="CP583" s="11"/>
      <c r="CQ583" s="11"/>
      <c r="CR583" s="11"/>
      <c r="CS583" s="11"/>
      <c r="CT583" s="11"/>
      <c r="CU583" s="11"/>
      <c r="CV583" s="11"/>
      <c r="CW583" s="11"/>
      <c r="CX583" s="11"/>
      <c r="CY583" s="11"/>
      <c r="CZ583" s="11"/>
      <c r="DA583" s="11"/>
      <c r="DB583" s="11"/>
      <c r="DC583" s="11"/>
      <c r="DD583" s="11"/>
      <c r="DE583" s="11"/>
      <c r="DF583" s="11"/>
      <c r="DG583" s="11"/>
      <c r="DH583" s="11"/>
      <c r="DI583" s="11"/>
      <c r="DJ583" s="11"/>
      <c r="DK583" s="11"/>
      <c r="DL583" s="274"/>
      <c r="DM583" s="274"/>
      <c r="DN583" s="274"/>
      <c r="DO583" s="274"/>
      <c r="DP583" s="274"/>
      <c r="DQ583" s="274"/>
      <c r="DR583" s="274"/>
      <c r="DS583" s="274"/>
      <c r="DT583" s="274"/>
      <c r="DU583" s="274"/>
      <c r="DV583" s="274"/>
      <c r="DW583" s="274"/>
      <c r="DX583" s="274"/>
      <c r="DY583" s="274"/>
      <c r="DZ583" s="274"/>
      <c r="EA583" s="274"/>
      <c r="EB583" s="274"/>
      <c r="EC583" s="274"/>
      <c r="ED583" s="39">
        <f t="shared" si="197"/>
        <v>8159825.6366666667</v>
      </c>
      <c r="EE583" s="30">
        <f t="shared" si="198"/>
        <v>2</v>
      </c>
      <c r="EF583" s="39">
        <f t="shared" si="199"/>
        <v>4079912.8183333334</v>
      </c>
    </row>
    <row r="584" spans="1:136" ht="63.75" x14ac:dyDescent="0.25">
      <c r="A584" s="25" t="e">
        <f>#REF!</f>
        <v>#REF!</v>
      </c>
      <c r="B584" s="50" t="e">
        <f>#REF!</f>
        <v>#REF!</v>
      </c>
      <c r="C584" s="5" t="e">
        <f>#REF!</f>
        <v>#REF!</v>
      </c>
      <c r="D584" s="5" t="e">
        <f>#REF!</f>
        <v>#REF!</v>
      </c>
      <c r="E584" s="252">
        <v>1</v>
      </c>
      <c r="F584" s="249">
        <v>4430203.4000000004</v>
      </c>
      <c r="G584" s="249">
        <v>4430203.4000000004</v>
      </c>
      <c r="H584" s="249">
        <v>5563579.6883100001</v>
      </c>
      <c r="I584" s="249">
        <v>5563488</v>
      </c>
      <c r="J584" s="249">
        <v>4651713.57</v>
      </c>
      <c r="K584" s="249">
        <v>0</v>
      </c>
      <c r="L584" s="274">
        <f>AVERAGE(F584,H584,J584)</f>
        <v>4881832.2194366669</v>
      </c>
      <c r="M584" s="274">
        <f>AVERAGE(G584,I584)*E1</f>
        <v>5146751.0710000005</v>
      </c>
      <c r="N584" s="255"/>
      <c r="O584" s="136"/>
      <c r="P584" s="135"/>
      <c r="Q584" s="131"/>
      <c r="R584" s="131"/>
      <c r="S584" s="11"/>
      <c r="T584" s="274"/>
      <c r="U584" s="274"/>
      <c r="V584" s="274"/>
      <c r="W584" s="39"/>
      <c r="X584" s="11"/>
      <c r="Y584" s="11"/>
      <c r="Z584" s="274"/>
      <c r="AA584" s="274"/>
      <c r="AB584" s="274"/>
      <c r="AC584" s="52"/>
      <c r="AD584" s="22"/>
      <c r="AE584" s="39"/>
      <c r="AF584" s="274"/>
      <c r="AG584" s="274"/>
      <c r="AH584" s="171"/>
      <c r="AI584" s="22"/>
      <c r="AJ584" s="39"/>
      <c r="AK584" s="39"/>
      <c r="AL584" s="118"/>
      <c r="AM584" s="152"/>
      <c r="AN584" s="152"/>
      <c r="AO584" s="131"/>
      <c r="AP584" s="131"/>
      <c r="AQ584" s="39"/>
      <c r="AR584" s="274"/>
      <c r="AS584" s="274"/>
      <c r="AT584" s="274"/>
      <c r="AU584" s="39"/>
      <c r="AV584" s="39"/>
      <c r="AW584" s="39"/>
      <c r="AX584" s="274"/>
      <c r="AY584" s="274"/>
      <c r="AZ584" s="274"/>
      <c r="BA584" s="39"/>
      <c r="BB584" s="62"/>
      <c r="BC584" s="39"/>
      <c r="BD584" s="118">
        <v>260590</v>
      </c>
      <c r="BE584" s="274">
        <f>+BD584*0.19</f>
        <v>49512.1</v>
      </c>
      <c r="BF584" s="274">
        <f>+BD584+BE584</f>
        <v>310102.09999999998</v>
      </c>
      <c r="BG584" s="25" t="s">
        <v>4224</v>
      </c>
      <c r="BH584" s="5" t="s">
        <v>4958</v>
      </c>
      <c r="BI584" s="5" t="s">
        <v>4959</v>
      </c>
      <c r="BJ584" s="275">
        <v>12000000</v>
      </c>
      <c r="BK584" s="274">
        <f t="shared" si="200"/>
        <v>2280000</v>
      </c>
      <c r="BL584" s="274">
        <f t="shared" si="201"/>
        <v>14280000</v>
      </c>
      <c r="BM584" s="214" t="s">
        <v>4288</v>
      </c>
      <c r="BN584" s="213" t="s">
        <v>424</v>
      </c>
      <c r="BO584" s="39"/>
      <c r="BP584" s="274"/>
      <c r="BQ584" s="274"/>
      <c r="BR584" s="274"/>
      <c r="BS584" s="39"/>
      <c r="BT584" s="39"/>
      <c r="BU584" s="39"/>
      <c r="BV584" s="212"/>
      <c r="BW584" s="219"/>
      <c r="BX584" s="273"/>
      <c r="BY584" s="214"/>
      <c r="BZ584" s="213"/>
      <c r="CA584" s="213"/>
      <c r="CB584" s="274"/>
      <c r="CC584" s="274"/>
      <c r="CD584" s="274"/>
      <c r="CE584" s="39"/>
      <c r="CF584" s="39"/>
      <c r="CG584" s="39"/>
      <c r="CH584" s="274"/>
      <c r="CI584" s="274"/>
      <c r="CJ584" s="274"/>
      <c r="CK584" s="39"/>
      <c r="CL584" s="39"/>
      <c r="CM584" s="39"/>
      <c r="CN584" s="39"/>
      <c r="CO584" s="39"/>
      <c r="CP584" s="11"/>
      <c r="CQ584" s="11"/>
      <c r="CR584" s="11"/>
      <c r="CS584" s="11"/>
      <c r="CT584" s="11"/>
      <c r="CU584" s="11"/>
      <c r="CV584" s="11"/>
      <c r="CW584" s="11"/>
      <c r="CX584" s="11"/>
      <c r="CY584" s="11"/>
      <c r="CZ584" s="11"/>
      <c r="DA584" s="11"/>
      <c r="DB584" s="11"/>
      <c r="DC584" s="11"/>
      <c r="DD584" s="11"/>
      <c r="DE584" s="11"/>
      <c r="DF584" s="11"/>
      <c r="DG584" s="11"/>
      <c r="DH584" s="11"/>
      <c r="DI584" s="11"/>
      <c r="DJ584" s="11"/>
      <c r="DK584" s="11"/>
      <c r="DL584" s="274"/>
      <c r="DM584" s="274"/>
      <c r="DN584" s="274"/>
      <c r="DO584" s="274"/>
      <c r="DP584" s="274"/>
      <c r="DQ584" s="274"/>
      <c r="DR584" s="274"/>
      <c r="DS584" s="274"/>
      <c r="DT584" s="274"/>
      <c r="DU584" s="274"/>
      <c r="DV584" s="274"/>
      <c r="DW584" s="274"/>
      <c r="DX584" s="274"/>
      <c r="DY584" s="274"/>
      <c r="DZ584" s="274"/>
      <c r="EA584" s="274"/>
      <c r="EB584" s="274"/>
      <c r="EC584" s="274"/>
      <c r="ED584" s="39">
        <f t="shared" si="197"/>
        <v>19736853.171</v>
      </c>
      <c r="EE584" s="30">
        <f t="shared" si="198"/>
        <v>3</v>
      </c>
      <c r="EF584" s="39">
        <f t="shared" si="199"/>
        <v>6578951.057</v>
      </c>
    </row>
    <row r="585" spans="1:136" ht="76.5" x14ac:dyDescent="0.25">
      <c r="A585" s="25" t="e">
        <f>#REF!</f>
        <v>#REF!</v>
      </c>
      <c r="B585" s="50" t="e">
        <f>#REF!</f>
        <v>#REF!</v>
      </c>
      <c r="C585" s="5" t="e">
        <f>#REF!</f>
        <v>#REF!</v>
      </c>
      <c r="D585" s="5" t="e">
        <f>#REF!</f>
        <v>#REF!</v>
      </c>
      <c r="E585" s="252">
        <v>1</v>
      </c>
      <c r="F585" s="249">
        <v>0</v>
      </c>
      <c r="G585" s="249">
        <v>0</v>
      </c>
      <c r="H585" s="249">
        <v>0</v>
      </c>
      <c r="I585" s="249">
        <v>0</v>
      </c>
      <c r="J585" s="249">
        <v>0</v>
      </c>
      <c r="K585" s="249">
        <v>0</v>
      </c>
      <c r="L585" s="274"/>
      <c r="M585" s="274"/>
      <c r="N585" s="255">
        <v>65000</v>
      </c>
      <c r="O585" s="135">
        <f>+N585*0.19</f>
        <v>12350</v>
      </c>
      <c r="P585" s="135">
        <f>+N585+O585</f>
        <v>77350</v>
      </c>
      <c r="Q585" s="131"/>
      <c r="R585" s="131"/>
      <c r="S585" s="11"/>
      <c r="T585" s="274">
        <v>24970.000000000004</v>
      </c>
      <c r="U585" s="274">
        <f>+T585*0.19</f>
        <v>4744.3000000000011</v>
      </c>
      <c r="V585" s="274">
        <f>+T585+U585</f>
        <v>29714.300000000003</v>
      </c>
      <c r="W585" s="39" t="s">
        <v>4960</v>
      </c>
      <c r="X585" s="11" t="s">
        <v>2948</v>
      </c>
      <c r="Y585" s="11"/>
      <c r="Z585" s="274"/>
      <c r="AA585" s="274"/>
      <c r="AB585" s="274"/>
      <c r="AC585" s="52"/>
      <c r="AD585" s="22"/>
      <c r="AE585" s="39"/>
      <c r="AF585" s="274"/>
      <c r="AG585" s="274"/>
      <c r="AH585" s="171"/>
      <c r="AI585" s="22"/>
      <c r="AJ585" s="39"/>
      <c r="AK585" s="39"/>
      <c r="AL585" s="118"/>
      <c r="AM585" s="152"/>
      <c r="AN585" s="152"/>
      <c r="AO585" s="131"/>
      <c r="AP585" s="131"/>
      <c r="AQ585" s="39"/>
      <c r="AR585" s="274"/>
      <c r="AS585" s="274"/>
      <c r="AT585" s="274"/>
      <c r="AU585" s="39"/>
      <c r="AV585" s="39"/>
      <c r="AW585" s="39"/>
      <c r="AX585" s="274"/>
      <c r="AY585" s="274"/>
      <c r="AZ585" s="274"/>
      <c r="BA585" s="39"/>
      <c r="BB585" s="62"/>
      <c r="BC585" s="39"/>
      <c r="BD585" s="118">
        <v>56650</v>
      </c>
      <c r="BE585" s="274">
        <f>+BD585*0.19</f>
        <v>10763.5</v>
      </c>
      <c r="BF585" s="274">
        <f>+BD585+BE585</f>
        <v>67413.5</v>
      </c>
      <c r="BG585" s="25" t="s">
        <v>4925</v>
      </c>
      <c r="BH585" s="5" t="s">
        <v>4969</v>
      </c>
      <c r="BI585" s="5" t="s">
        <v>4970</v>
      </c>
      <c r="BJ585" s="274">
        <v>100800</v>
      </c>
      <c r="BK585" s="274">
        <f t="shared" si="200"/>
        <v>19152</v>
      </c>
      <c r="BL585" s="274">
        <f t="shared" si="201"/>
        <v>119952</v>
      </c>
      <c r="BM585" s="214" t="s">
        <v>3732</v>
      </c>
      <c r="BN585" s="213" t="s">
        <v>424</v>
      </c>
      <c r="BO585" s="39"/>
      <c r="BP585" s="274"/>
      <c r="BQ585" s="274"/>
      <c r="BR585" s="274"/>
      <c r="BS585" s="39"/>
      <c r="BT585" s="39"/>
      <c r="BU585" s="39"/>
      <c r="BV585" s="212">
        <v>111113.25120000001</v>
      </c>
      <c r="BW585" s="219">
        <f t="shared" ref="BW585:BW614" si="202">+BV585*0.19</f>
        <v>21111.517728000003</v>
      </c>
      <c r="BX585" s="273">
        <f t="shared" ref="BX585:BX614" si="203">+BV585+BW585</f>
        <v>132224.768928</v>
      </c>
      <c r="BY585" s="214" t="s">
        <v>3732</v>
      </c>
      <c r="BZ585" s="213" t="s">
        <v>424</v>
      </c>
      <c r="CA585" s="213"/>
      <c r="CB585" s="274"/>
      <c r="CC585" s="274"/>
      <c r="CD585" s="274"/>
      <c r="CE585" s="39"/>
      <c r="CF585" s="39"/>
      <c r="CG585" s="39"/>
      <c r="CH585" s="274"/>
      <c r="CI585" s="274"/>
      <c r="CJ585" s="274"/>
      <c r="CK585" s="39"/>
      <c r="CL585" s="39"/>
      <c r="CM585" s="39"/>
      <c r="CN585" s="39"/>
      <c r="CO585" s="39"/>
      <c r="CP585" s="11"/>
      <c r="CQ585" s="11"/>
      <c r="CR585" s="11"/>
      <c r="CS585" s="11"/>
      <c r="CT585" s="11"/>
      <c r="CU585" s="11"/>
      <c r="CV585" s="11"/>
      <c r="CW585" s="11"/>
      <c r="CX585" s="11"/>
      <c r="CY585" s="11"/>
      <c r="CZ585" s="11"/>
      <c r="DA585" s="11"/>
      <c r="DB585" s="11"/>
      <c r="DC585" s="11"/>
      <c r="DD585" s="11"/>
      <c r="DE585" s="11"/>
      <c r="DF585" s="11"/>
      <c r="DG585" s="11"/>
      <c r="DH585" s="11"/>
      <c r="DI585" s="11"/>
      <c r="DJ585" s="11"/>
      <c r="DK585" s="11"/>
      <c r="DL585" s="274"/>
      <c r="DM585" s="274"/>
      <c r="DN585" s="274"/>
      <c r="DO585" s="274"/>
      <c r="DP585" s="274"/>
      <c r="DQ585" s="274"/>
      <c r="DR585" s="274"/>
      <c r="DS585" s="274"/>
      <c r="DT585" s="274"/>
      <c r="DU585" s="274"/>
      <c r="DV585" s="274"/>
      <c r="DW585" s="274"/>
      <c r="DX585" s="274"/>
      <c r="DY585" s="274"/>
      <c r="DZ585" s="274"/>
      <c r="EA585" s="274"/>
      <c r="EB585" s="274"/>
      <c r="EC585" s="274"/>
      <c r="ED585" s="39">
        <f t="shared" si="197"/>
        <v>426654.56892799999</v>
      </c>
      <c r="EE585" s="30">
        <f t="shared" si="198"/>
        <v>5</v>
      </c>
      <c r="EF585" s="39">
        <f t="shared" si="199"/>
        <v>85330.913785600002</v>
      </c>
    </row>
    <row r="586" spans="1:136" ht="63.75" x14ac:dyDescent="0.25">
      <c r="A586" s="25" t="e">
        <f>#REF!</f>
        <v>#REF!</v>
      </c>
      <c r="B586" s="50" t="e">
        <f>#REF!</f>
        <v>#REF!</v>
      </c>
      <c r="C586" s="5" t="e">
        <f>#REF!</f>
        <v>#REF!</v>
      </c>
      <c r="D586" s="5" t="e">
        <f>#REF!</f>
        <v>#REF!</v>
      </c>
      <c r="E586" s="252">
        <v>1</v>
      </c>
      <c r="F586" s="249">
        <v>467852.46666666667</v>
      </c>
      <c r="G586" s="249">
        <v>460768</v>
      </c>
      <c r="H586" s="249">
        <v>400994.69666666671</v>
      </c>
      <c r="I586" s="249">
        <v>400911</v>
      </c>
      <c r="J586" s="249">
        <v>412958.4298438023</v>
      </c>
      <c r="K586" s="249">
        <v>0</v>
      </c>
      <c r="L586" s="274">
        <f>AVERAGE(F586,H586,J586)</f>
        <v>427268.53105904517</v>
      </c>
      <c r="M586" s="274">
        <f>AVERAGE(G586,I586)*E1</f>
        <v>443764.685</v>
      </c>
      <c r="N586" s="255"/>
      <c r="O586" s="136"/>
      <c r="P586" s="135"/>
      <c r="Q586" s="131"/>
      <c r="R586" s="131"/>
      <c r="S586" s="11"/>
      <c r="T586" s="274"/>
      <c r="U586" s="274"/>
      <c r="V586" s="274"/>
      <c r="W586" s="39"/>
      <c r="X586" s="11"/>
      <c r="Y586" s="11"/>
      <c r="Z586" s="274">
        <v>425000</v>
      </c>
      <c r="AA586" s="274">
        <f>+Z586*0.19</f>
        <v>80750</v>
      </c>
      <c r="AB586" s="274">
        <f>+Z586+AA586</f>
        <v>505750</v>
      </c>
      <c r="AC586" s="5" t="s">
        <v>4954</v>
      </c>
      <c r="AD586" s="22" t="s">
        <v>4795</v>
      </c>
      <c r="AE586" s="39"/>
      <c r="AF586" s="274"/>
      <c r="AG586" s="274"/>
      <c r="AH586" s="171"/>
      <c r="AI586" s="4"/>
      <c r="AJ586" s="39"/>
      <c r="AK586" s="39"/>
      <c r="AL586" s="118"/>
      <c r="AM586" s="152"/>
      <c r="AN586" s="181"/>
      <c r="AO586" s="131"/>
      <c r="AP586" s="131"/>
      <c r="AQ586" s="39"/>
      <c r="AR586" s="274"/>
      <c r="AS586" s="274"/>
      <c r="AT586" s="274"/>
      <c r="AU586" s="39"/>
      <c r="AV586" s="39"/>
      <c r="AW586" s="39"/>
      <c r="AX586" s="274"/>
      <c r="AY586" s="274"/>
      <c r="AZ586" s="274"/>
      <c r="BA586" s="39"/>
      <c r="BB586" s="62"/>
      <c r="BC586" s="39"/>
      <c r="BD586" s="118">
        <v>260590</v>
      </c>
      <c r="BE586" s="274">
        <f>+BD586*0.19</f>
        <v>49512.1</v>
      </c>
      <c r="BF586" s="274">
        <f>+BD586+BE586</f>
        <v>310102.09999999998</v>
      </c>
      <c r="BG586" s="25" t="s">
        <v>4224</v>
      </c>
      <c r="BH586" s="5" t="s">
        <v>4971</v>
      </c>
      <c r="BI586" s="5" t="s">
        <v>4972</v>
      </c>
      <c r="BJ586" s="274">
        <v>723400</v>
      </c>
      <c r="BK586" s="274">
        <f t="shared" si="200"/>
        <v>137446</v>
      </c>
      <c r="BL586" s="274">
        <f t="shared" si="201"/>
        <v>860846</v>
      </c>
      <c r="BM586" s="214" t="s">
        <v>4224</v>
      </c>
      <c r="BN586" s="213" t="s">
        <v>2925</v>
      </c>
      <c r="BO586" s="39"/>
      <c r="BP586" s="274"/>
      <c r="BQ586" s="274"/>
      <c r="BR586" s="274"/>
      <c r="BS586" s="39"/>
      <c r="BT586" s="39"/>
      <c r="BU586" s="39"/>
      <c r="BV586" s="212">
        <v>813049.51520000002</v>
      </c>
      <c r="BW586" s="219">
        <f t="shared" si="202"/>
        <v>154479.40788800002</v>
      </c>
      <c r="BX586" s="273">
        <f t="shared" si="203"/>
        <v>967528.92308800004</v>
      </c>
      <c r="BY586" s="214" t="s">
        <v>4224</v>
      </c>
      <c r="BZ586" s="213" t="s">
        <v>2925</v>
      </c>
      <c r="CA586" s="213"/>
      <c r="CB586" s="274"/>
      <c r="CC586" s="274"/>
      <c r="CD586" s="274"/>
      <c r="CE586" s="39"/>
      <c r="CF586" s="39"/>
      <c r="CG586" s="39"/>
      <c r="CH586" s="274"/>
      <c r="CI586" s="274"/>
      <c r="CJ586" s="274"/>
      <c r="CK586" s="39"/>
      <c r="CL586" s="39"/>
      <c r="CM586" s="39"/>
      <c r="CN586" s="39"/>
      <c r="CO586" s="39"/>
      <c r="CP586" s="11"/>
      <c r="CQ586" s="11"/>
      <c r="CR586" s="11"/>
      <c r="CS586" s="11"/>
      <c r="CT586" s="11"/>
      <c r="CU586" s="11"/>
      <c r="CV586" s="11"/>
      <c r="CW586" s="11"/>
      <c r="CX586" s="11"/>
      <c r="CY586" s="11"/>
      <c r="CZ586" s="11"/>
      <c r="DA586" s="11"/>
      <c r="DB586" s="11"/>
      <c r="DC586" s="11"/>
      <c r="DD586" s="11"/>
      <c r="DE586" s="11"/>
      <c r="DF586" s="11"/>
      <c r="DG586" s="11"/>
      <c r="DH586" s="11"/>
      <c r="DI586" s="11"/>
      <c r="DJ586" s="11"/>
      <c r="DK586" s="11"/>
      <c r="DL586" s="274"/>
      <c r="DM586" s="274"/>
      <c r="DN586" s="274"/>
      <c r="DO586" s="274"/>
      <c r="DP586" s="274"/>
      <c r="DQ586" s="274"/>
      <c r="DR586" s="274"/>
      <c r="DS586" s="274"/>
      <c r="DT586" s="274"/>
      <c r="DU586" s="274"/>
      <c r="DV586" s="274"/>
      <c r="DW586" s="274"/>
      <c r="DX586" s="274"/>
      <c r="DY586" s="274"/>
      <c r="DZ586" s="274"/>
      <c r="EA586" s="274"/>
      <c r="EB586" s="274"/>
      <c r="EC586" s="274"/>
      <c r="ED586" s="39">
        <f t="shared" si="197"/>
        <v>3087991.7080880003</v>
      </c>
      <c r="EE586" s="30">
        <f t="shared" si="198"/>
        <v>5</v>
      </c>
      <c r="EF586" s="39">
        <f t="shared" si="199"/>
        <v>617598.34161760006</v>
      </c>
    </row>
    <row r="587" spans="1:136" ht="63.75" x14ac:dyDescent="0.25">
      <c r="A587" s="25" t="e">
        <f>#REF!</f>
        <v>#REF!</v>
      </c>
      <c r="B587" s="50" t="e">
        <f>#REF!</f>
        <v>#REF!</v>
      </c>
      <c r="C587" s="5" t="e">
        <f>#REF!</f>
        <v>#REF!</v>
      </c>
      <c r="D587" s="5" t="e">
        <f>#REF!</f>
        <v>#REF!</v>
      </c>
      <c r="E587" s="252">
        <v>1</v>
      </c>
      <c r="F587" s="249">
        <v>454294.4</v>
      </c>
      <c r="G587" s="249">
        <v>0</v>
      </c>
      <c r="H587" s="249">
        <v>499068.94333333336</v>
      </c>
      <c r="I587" s="249">
        <v>0</v>
      </c>
      <c r="J587" s="249">
        <v>552160</v>
      </c>
      <c r="K587" s="249">
        <v>0</v>
      </c>
      <c r="L587" s="274">
        <f>AVERAGE(F587,H587,J587)</f>
        <v>501841.11444444442</v>
      </c>
      <c r="M587" s="274"/>
      <c r="N587" s="255"/>
      <c r="O587" s="137"/>
      <c r="P587" s="135"/>
      <c r="Q587" s="131"/>
      <c r="R587" s="131"/>
      <c r="S587" s="11"/>
      <c r="T587" s="274"/>
      <c r="U587" s="274"/>
      <c r="V587" s="274"/>
      <c r="W587" s="39"/>
      <c r="X587" s="11"/>
      <c r="Y587" s="11"/>
      <c r="Z587" s="274">
        <v>425000</v>
      </c>
      <c r="AA587" s="274">
        <f>+Z587*0.19</f>
        <v>80750</v>
      </c>
      <c r="AB587" s="274">
        <f>+Z587+AA587</f>
        <v>505750</v>
      </c>
      <c r="AC587" s="5" t="s">
        <v>4954</v>
      </c>
      <c r="AD587" s="22" t="s">
        <v>4795</v>
      </c>
      <c r="AE587" s="39"/>
      <c r="AF587" s="274"/>
      <c r="AG587" s="274"/>
      <c r="AH587" s="171"/>
      <c r="AI587" s="4"/>
      <c r="AJ587" s="39"/>
      <c r="AK587" s="39"/>
      <c r="AL587" s="118"/>
      <c r="AM587" s="152"/>
      <c r="AN587" s="181"/>
      <c r="AO587" s="131"/>
      <c r="AP587" s="131"/>
      <c r="AQ587" s="39"/>
      <c r="AR587" s="274"/>
      <c r="AS587" s="274"/>
      <c r="AT587" s="274"/>
      <c r="AU587" s="39"/>
      <c r="AV587" s="39"/>
      <c r="AW587" s="39"/>
      <c r="AX587" s="274"/>
      <c r="AY587" s="274"/>
      <c r="AZ587" s="274"/>
      <c r="BA587" s="39"/>
      <c r="BB587" s="62"/>
      <c r="BC587" s="39"/>
      <c r="BD587" s="118">
        <v>260590</v>
      </c>
      <c r="BE587" s="274">
        <f>+BD587*0.19</f>
        <v>49512.1</v>
      </c>
      <c r="BF587" s="274">
        <f>+BD587+BE587</f>
        <v>310102.09999999998</v>
      </c>
      <c r="BG587" s="25" t="s">
        <v>4224</v>
      </c>
      <c r="BH587" s="5" t="s">
        <v>4967</v>
      </c>
      <c r="BI587" s="5" t="s">
        <v>4968</v>
      </c>
      <c r="BJ587" s="274">
        <v>723400</v>
      </c>
      <c r="BK587" s="274">
        <f t="shared" si="200"/>
        <v>137446</v>
      </c>
      <c r="BL587" s="274">
        <f t="shared" si="201"/>
        <v>860846</v>
      </c>
      <c r="BM587" s="214" t="s">
        <v>4224</v>
      </c>
      <c r="BN587" s="213" t="s">
        <v>2925</v>
      </c>
      <c r="BO587" s="39"/>
      <c r="BP587" s="274"/>
      <c r="BQ587" s="274"/>
      <c r="BR587" s="274"/>
      <c r="BS587" s="39"/>
      <c r="BT587" s="39"/>
      <c r="BU587" s="39"/>
      <c r="BV587" s="212">
        <v>844647.6272000001</v>
      </c>
      <c r="BW587" s="219">
        <f t="shared" si="202"/>
        <v>160483.04916800003</v>
      </c>
      <c r="BX587" s="273">
        <f t="shared" si="203"/>
        <v>1005130.6763680001</v>
      </c>
      <c r="BY587" s="214" t="s">
        <v>4224</v>
      </c>
      <c r="BZ587" s="213" t="s">
        <v>2925</v>
      </c>
      <c r="CA587" s="213"/>
      <c r="CB587" s="274"/>
      <c r="CC587" s="274"/>
      <c r="CD587" s="274"/>
      <c r="CE587" s="39"/>
      <c r="CF587" s="39"/>
      <c r="CG587" s="39"/>
      <c r="CH587" s="274"/>
      <c r="CI587" s="274"/>
      <c r="CJ587" s="274"/>
      <c r="CK587" s="39"/>
      <c r="CL587" s="39"/>
      <c r="CM587" s="39"/>
      <c r="CN587" s="39"/>
      <c r="CO587" s="39"/>
      <c r="CP587" s="11"/>
      <c r="CQ587" s="11"/>
      <c r="CR587" s="11"/>
      <c r="CS587" s="11"/>
      <c r="CT587" s="11"/>
      <c r="CU587" s="11"/>
      <c r="CV587" s="11"/>
      <c r="CW587" s="11"/>
      <c r="CX587" s="11"/>
      <c r="CY587" s="11"/>
      <c r="CZ587" s="11"/>
      <c r="DA587" s="11"/>
      <c r="DB587" s="11"/>
      <c r="DC587" s="11"/>
      <c r="DD587" s="11"/>
      <c r="DE587" s="11"/>
      <c r="DF587" s="11"/>
      <c r="DG587" s="11"/>
      <c r="DH587" s="11"/>
      <c r="DI587" s="11"/>
      <c r="DJ587" s="11"/>
      <c r="DK587" s="11"/>
      <c r="DL587" s="274"/>
      <c r="DM587" s="274"/>
      <c r="DN587" s="274"/>
      <c r="DO587" s="274"/>
      <c r="DP587" s="274"/>
      <c r="DQ587" s="274"/>
      <c r="DR587" s="274"/>
      <c r="DS587" s="274"/>
      <c r="DT587" s="274"/>
      <c r="DU587" s="274"/>
      <c r="DV587" s="274"/>
      <c r="DW587" s="274"/>
      <c r="DX587" s="274"/>
      <c r="DY587" s="274"/>
      <c r="DZ587" s="274"/>
      <c r="EA587" s="274"/>
      <c r="EB587" s="274"/>
      <c r="EC587" s="274"/>
      <c r="ED587" s="39">
        <f t="shared" si="197"/>
        <v>2681828.7763680001</v>
      </c>
      <c r="EE587" s="30">
        <f t="shared" si="198"/>
        <v>4</v>
      </c>
      <c r="EF587" s="39">
        <f t="shared" si="199"/>
        <v>670457.19409200002</v>
      </c>
    </row>
    <row r="588" spans="1:136" ht="63.75" x14ac:dyDescent="0.25">
      <c r="A588" s="25" t="e">
        <f>#REF!</f>
        <v>#REF!</v>
      </c>
      <c r="B588" s="50" t="e">
        <f>#REF!</f>
        <v>#REF!</v>
      </c>
      <c r="C588" s="5" t="e">
        <f>#REF!</f>
        <v>#REF!</v>
      </c>
      <c r="D588" s="5" t="e">
        <f>#REF!</f>
        <v>#REF!</v>
      </c>
      <c r="E588" s="252">
        <v>1</v>
      </c>
      <c r="F588" s="249">
        <v>470894.9</v>
      </c>
      <c r="G588" s="249">
        <v>0</v>
      </c>
      <c r="H588" s="249">
        <v>318735.15333333332</v>
      </c>
      <c r="I588" s="249">
        <v>0</v>
      </c>
      <c r="J588" s="249">
        <v>411430.30305875541</v>
      </c>
      <c r="K588" s="249">
        <v>410500</v>
      </c>
      <c r="L588" s="274">
        <f>AVERAGE(F588,H588,J588)</f>
        <v>400353.45213069627</v>
      </c>
      <c r="M588" s="274">
        <f>K588*E1</f>
        <v>422815</v>
      </c>
      <c r="N588" s="255"/>
      <c r="O588" s="135"/>
      <c r="P588" s="135"/>
      <c r="Q588" s="131"/>
      <c r="R588" s="131"/>
      <c r="S588" s="11"/>
      <c r="T588" s="274"/>
      <c r="U588" s="274"/>
      <c r="V588" s="274"/>
      <c r="W588" s="39"/>
      <c r="X588" s="11"/>
      <c r="Y588" s="11"/>
      <c r="Z588" s="274">
        <v>425000</v>
      </c>
      <c r="AA588" s="274">
        <f>+Z588*0.19</f>
        <v>80750</v>
      </c>
      <c r="AB588" s="274">
        <f>+Z588+AA588</f>
        <v>505750</v>
      </c>
      <c r="AC588" s="5" t="s">
        <v>4954</v>
      </c>
      <c r="AD588" s="22" t="s">
        <v>4795</v>
      </c>
      <c r="AE588" s="39"/>
      <c r="AF588" s="274"/>
      <c r="AG588" s="274"/>
      <c r="AH588" s="171"/>
      <c r="AI588" s="4"/>
      <c r="AJ588" s="39"/>
      <c r="AK588" s="39"/>
      <c r="AL588" s="118"/>
      <c r="AM588" s="152"/>
      <c r="AN588" s="181"/>
      <c r="AO588" s="131"/>
      <c r="AP588" s="131"/>
      <c r="AQ588" s="39"/>
      <c r="AR588" s="274"/>
      <c r="AS588" s="274"/>
      <c r="AT588" s="274"/>
      <c r="AU588" s="39"/>
      <c r="AV588" s="39"/>
      <c r="AW588" s="39"/>
      <c r="AX588" s="274"/>
      <c r="AY588" s="274"/>
      <c r="AZ588" s="274"/>
      <c r="BA588" s="39"/>
      <c r="BB588" s="62"/>
      <c r="BC588" s="39"/>
      <c r="BD588" s="118">
        <v>260590</v>
      </c>
      <c r="BE588" s="274">
        <f>+BD588*0.19</f>
        <v>49512.1</v>
      </c>
      <c r="BF588" s="274">
        <f>+BD588+BE588</f>
        <v>310102.09999999998</v>
      </c>
      <c r="BG588" s="25" t="s">
        <v>4224</v>
      </c>
      <c r="BH588" s="5" t="s">
        <v>4958</v>
      </c>
      <c r="BI588" s="5" t="s">
        <v>4959</v>
      </c>
      <c r="BJ588" s="274">
        <v>704300</v>
      </c>
      <c r="BK588" s="274">
        <f t="shared" si="200"/>
        <v>133817</v>
      </c>
      <c r="BL588" s="274">
        <f t="shared" si="201"/>
        <v>838117</v>
      </c>
      <c r="BM588" s="214" t="s">
        <v>4224</v>
      </c>
      <c r="BN588" s="213" t="s">
        <v>2925</v>
      </c>
      <c r="BO588" s="39"/>
      <c r="BP588" s="274"/>
      <c r="BQ588" s="274"/>
      <c r="BR588" s="274"/>
      <c r="BS588" s="39"/>
      <c r="BT588" s="39"/>
      <c r="BU588" s="39"/>
      <c r="BV588" s="212">
        <v>791582.49040000001</v>
      </c>
      <c r="BW588" s="219">
        <f t="shared" si="202"/>
        <v>150400.67317600001</v>
      </c>
      <c r="BX588" s="273">
        <f t="shared" si="203"/>
        <v>941983.16357600002</v>
      </c>
      <c r="BY588" s="214" t="s">
        <v>4224</v>
      </c>
      <c r="BZ588" s="213" t="s">
        <v>2925</v>
      </c>
      <c r="CA588" s="213"/>
      <c r="CB588" s="274"/>
      <c r="CC588" s="274"/>
      <c r="CD588" s="274"/>
      <c r="CE588" s="39"/>
      <c r="CF588" s="39"/>
      <c r="CG588" s="39"/>
      <c r="CH588" s="274"/>
      <c r="CI588" s="274"/>
      <c r="CJ588" s="274"/>
      <c r="CK588" s="39"/>
      <c r="CL588" s="39"/>
      <c r="CM588" s="39"/>
      <c r="CN588" s="39"/>
      <c r="CO588" s="39"/>
      <c r="CP588" s="11"/>
      <c r="CQ588" s="11"/>
      <c r="CR588" s="11"/>
      <c r="CS588" s="11"/>
      <c r="CT588" s="11"/>
      <c r="CU588" s="11"/>
      <c r="CV588" s="11"/>
      <c r="CW588" s="11"/>
      <c r="CX588" s="11"/>
      <c r="CY588" s="11"/>
      <c r="CZ588" s="11"/>
      <c r="DA588" s="11"/>
      <c r="DB588" s="11"/>
      <c r="DC588" s="11"/>
      <c r="DD588" s="11"/>
      <c r="DE588" s="11"/>
      <c r="DF588" s="11"/>
      <c r="DG588" s="11"/>
      <c r="DH588" s="11"/>
      <c r="DI588" s="11"/>
      <c r="DJ588" s="11"/>
      <c r="DK588" s="11"/>
      <c r="DL588" s="274"/>
      <c r="DM588" s="274"/>
      <c r="DN588" s="274"/>
      <c r="DO588" s="274"/>
      <c r="DP588" s="274"/>
      <c r="DQ588" s="274"/>
      <c r="DR588" s="274"/>
      <c r="DS588" s="274"/>
      <c r="DT588" s="274"/>
      <c r="DU588" s="274"/>
      <c r="DV588" s="274"/>
      <c r="DW588" s="274"/>
      <c r="DX588" s="274"/>
      <c r="DY588" s="274"/>
      <c r="DZ588" s="274"/>
      <c r="EA588" s="274"/>
      <c r="EB588" s="274"/>
      <c r="EC588" s="274"/>
      <c r="ED588" s="39">
        <f t="shared" si="197"/>
        <v>3018767.263576</v>
      </c>
      <c r="EE588" s="30">
        <f t="shared" si="198"/>
        <v>5</v>
      </c>
      <c r="EF588" s="39">
        <f t="shared" si="199"/>
        <v>603753.45271520002</v>
      </c>
    </row>
    <row r="589" spans="1:136" ht="24" x14ac:dyDescent="0.25">
      <c r="A589" s="25" t="e">
        <f>#REF!</f>
        <v>#REF!</v>
      </c>
      <c r="B589" s="50" t="e">
        <f>#REF!</f>
        <v>#REF!</v>
      </c>
      <c r="C589" s="5" t="e">
        <f>#REF!</f>
        <v>#REF!</v>
      </c>
      <c r="D589" s="5" t="e">
        <f>#REF!</f>
        <v>#REF!</v>
      </c>
      <c r="E589" s="252">
        <v>1</v>
      </c>
      <c r="F589" s="249">
        <v>571319</v>
      </c>
      <c r="G589" s="249">
        <v>554064</v>
      </c>
      <c r="H589" s="249">
        <v>527792.79840000009</v>
      </c>
      <c r="I589" s="249">
        <v>527646</v>
      </c>
      <c r="J589" s="249">
        <v>450581.60000000003</v>
      </c>
      <c r="K589" s="249">
        <v>446250</v>
      </c>
      <c r="L589" s="274">
        <f>AVERAGE(F589,H589,J589)</f>
        <v>516564.46613333345</v>
      </c>
      <c r="M589" s="274">
        <f>AVERAGE(G589,I589,K589)*E1</f>
        <v>524599.6</v>
      </c>
      <c r="N589" s="255"/>
      <c r="O589" s="135"/>
      <c r="P589" s="135"/>
      <c r="Q589" s="131"/>
      <c r="R589" s="131"/>
      <c r="S589" s="11"/>
      <c r="T589" s="274"/>
      <c r="U589" s="274"/>
      <c r="V589" s="274"/>
      <c r="W589" s="39"/>
      <c r="X589" s="11"/>
      <c r="Y589" s="11"/>
      <c r="Z589" s="274"/>
      <c r="AA589" s="274"/>
      <c r="AB589" s="274"/>
      <c r="AC589" s="52"/>
      <c r="AD589" s="22"/>
      <c r="AE589" s="39"/>
      <c r="AF589" s="274"/>
      <c r="AG589" s="274"/>
      <c r="AH589" s="171"/>
      <c r="AI589" s="4"/>
      <c r="AJ589" s="39"/>
      <c r="AK589" s="39"/>
      <c r="AL589" s="118"/>
      <c r="AM589" s="152"/>
      <c r="AN589" s="181"/>
      <c r="AO589" s="131"/>
      <c r="AP589" s="131"/>
      <c r="AQ589" s="39"/>
      <c r="AR589" s="274"/>
      <c r="AS589" s="274"/>
      <c r="AT589" s="274"/>
      <c r="AU589" s="39"/>
      <c r="AV589" s="39"/>
      <c r="AW589" s="39"/>
      <c r="AX589" s="274"/>
      <c r="AY589" s="274"/>
      <c r="AZ589" s="274"/>
      <c r="BA589" s="39"/>
      <c r="BB589" s="62"/>
      <c r="BC589" s="39"/>
      <c r="BD589" s="274"/>
      <c r="BE589" s="274"/>
      <c r="BF589" s="274"/>
      <c r="BG589" s="39"/>
      <c r="BH589" s="39"/>
      <c r="BI589" s="39"/>
      <c r="BJ589" s="274">
        <v>303300</v>
      </c>
      <c r="BK589" s="274">
        <f t="shared" si="200"/>
        <v>57627</v>
      </c>
      <c r="BL589" s="274">
        <f t="shared" si="201"/>
        <v>360927</v>
      </c>
      <c r="BM589" s="214" t="s">
        <v>4224</v>
      </c>
      <c r="BN589" s="213" t="s">
        <v>2925</v>
      </c>
      <c r="BO589" s="39"/>
      <c r="BP589" s="274"/>
      <c r="BQ589" s="274"/>
      <c r="BR589" s="274"/>
      <c r="BS589" s="39"/>
      <c r="BT589" s="39"/>
      <c r="BU589" s="39"/>
      <c r="BV589" s="212">
        <v>334610.26560000004</v>
      </c>
      <c r="BW589" s="219">
        <f t="shared" si="202"/>
        <v>63575.950464000009</v>
      </c>
      <c r="BX589" s="273">
        <f t="shared" si="203"/>
        <v>398186.21606400004</v>
      </c>
      <c r="BY589" s="214" t="s">
        <v>4224</v>
      </c>
      <c r="BZ589" s="213" t="s">
        <v>2925</v>
      </c>
      <c r="CA589" s="213"/>
      <c r="CB589" s="274"/>
      <c r="CC589" s="274"/>
      <c r="CD589" s="274"/>
      <c r="CE589" s="39"/>
      <c r="CF589" s="39"/>
      <c r="CG589" s="39"/>
      <c r="CH589" s="274"/>
      <c r="CI589" s="274"/>
      <c r="CJ589" s="274"/>
      <c r="CK589" s="39"/>
      <c r="CL589" s="39"/>
      <c r="CM589" s="39"/>
      <c r="CN589" s="39"/>
      <c r="CO589" s="39"/>
      <c r="CP589" s="11"/>
      <c r="CQ589" s="11"/>
      <c r="CR589" s="11"/>
      <c r="CS589" s="11"/>
      <c r="CT589" s="11"/>
      <c r="CU589" s="11"/>
      <c r="CV589" s="11"/>
      <c r="CW589" s="11"/>
      <c r="CX589" s="11"/>
      <c r="CY589" s="11"/>
      <c r="CZ589" s="11"/>
      <c r="DA589" s="11"/>
      <c r="DB589" s="11"/>
      <c r="DC589" s="11"/>
      <c r="DD589" s="11"/>
      <c r="DE589" s="11"/>
      <c r="DF589" s="11"/>
      <c r="DG589" s="11"/>
      <c r="DH589" s="11"/>
      <c r="DI589" s="11"/>
      <c r="DJ589" s="11"/>
      <c r="DK589" s="11"/>
      <c r="DL589" s="274"/>
      <c r="DM589" s="274"/>
      <c r="DN589" s="274"/>
      <c r="DO589" s="274"/>
      <c r="DP589" s="274"/>
      <c r="DQ589" s="274"/>
      <c r="DR589" s="274"/>
      <c r="DS589" s="274"/>
      <c r="DT589" s="274"/>
      <c r="DU589" s="274"/>
      <c r="DV589" s="274"/>
      <c r="DW589" s="274"/>
      <c r="DX589" s="274"/>
      <c r="DY589" s="274"/>
      <c r="DZ589" s="274"/>
      <c r="EA589" s="274"/>
      <c r="EB589" s="274"/>
      <c r="EC589" s="274"/>
      <c r="ED589" s="39">
        <f t="shared" si="197"/>
        <v>1283712.8160640001</v>
      </c>
      <c r="EE589" s="30">
        <f t="shared" si="198"/>
        <v>3</v>
      </c>
      <c r="EF589" s="39">
        <f t="shared" si="199"/>
        <v>427904.2720213334</v>
      </c>
    </row>
    <row r="590" spans="1:136" ht="24" x14ac:dyDescent="0.25">
      <c r="A590" s="25" t="e">
        <f>#REF!</f>
        <v>#REF!</v>
      </c>
      <c r="B590" s="50" t="e">
        <f>#REF!</f>
        <v>#REF!</v>
      </c>
      <c r="C590" s="5" t="e">
        <f>#REF!</f>
        <v>#REF!</v>
      </c>
      <c r="D590" s="5" t="e">
        <f>#REF!</f>
        <v>#REF!</v>
      </c>
      <c r="E590" s="252">
        <v>1</v>
      </c>
      <c r="F590" s="249">
        <v>282208.5</v>
      </c>
      <c r="G590" s="249">
        <v>282149</v>
      </c>
      <c r="H590" s="249">
        <v>330475.90356666665</v>
      </c>
      <c r="I590" s="249">
        <v>330344</v>
      </c>
      <c r="J590" s="249">
        <v>260702.22500000001</v>
      </c>
      <c r="K590" s="249">
        <v>260610</v>
      </c>
      <c r="L590" s="274">
        <f>AVERAGE(F590,H590,J590)</f>
        <v>291128.87618888885</v>
      </c>
      <c r="M590" s="274">
        <f>AVERAGE(G590,I590,K590)*E1</f>
        <v>299765.36333333334</v>
      </c>
      <c r="N590" s="255"/>
      <c r="O590" s="137"/>
      <c r="P590" s="135"/>
      <c r="Q590" s="131"/>
      <c r="R590" s="131"/>
      <c r="S590" s="11"/>
      <c r="T590" s="274"/>
      <c r="U590" s="274"/>
      <c r="V590" s="274"/>
      <c r="W590" s="39"/>
      <c r="X590" s="11"/>
      <c r="Y590" s="11"/>
      <c r="Z590" s="274"/>
      <c r="AA590" s="274"/>
      <c r="AB590" s="274"/>
      <c r="AC590" s="52"/>
      <c r="AD590" s="22"/>
      <c r="AE590" s="39"/>
      <c r="AF590" s="274"/>
      <c r="AG590" s="274"/>
      <c r="AH590" s="171"/>
      <c r="AI590" s="4"/>
      <c r="AJ590" s="39"/>
      <c r="AK590" s="39"/>
      <c r="AL590" s="118"/>
      <c r="AM590" s="152"/>
      <c r="AN590" s="152"/>
      <c r="AO590" s="131"/>
      <c r="AP590" s="131"/>
      <c r="AQ590" s="39"/>
      <c r="AR590" s="274"/>
      <c r="AS590" s="274"/>
      <c r="AT590" s="274"/>
      <c r="AU590" s="39"/>
      <c r="AV590" s="39"/>
      <c r="AW590" s="39"/>
      <c r="AX590" s="274"/>
      <c r="AY590" s="274"/>
      <c r="AZ590" s="274"/>
      <c r="BA590" s="39"/>
      <c r="BB590" s="62"/>
      <c r="BC590" s="39"/>
      <c r="BD590" s="274"/>
      <c r="BE590" s="274"/>
      <c r="BF590" s="274"/>
      <c r="BG590" s="39"/>
      <c r="BH590" s="39"/>
      <c r="BI590" s="39"/>
      <c r="BJ590" s="274">
        <v>500000</v>
      </c>
      <c r="BK590" s="274">
        <f t="shared" si="200"/>
        <v>95000</v>
      </c>
      <c r="BL590" s="274">
        <f t="shared" si="201"/>
        <v>595000</v>
      </c>
      <c r="BM590" s="214" t="s">
        <v>3732</v>
      </c>
      <c r="BN590" s="213" t="s">
        <v>424</v>
      </c>
      <c r="BO590" s="39"/>
      <c r="BP590" s="274"/>
      <c r="BQ590" s="274"/>
      <c r="BR590" s="274"/>
      <c r="BS590" s="39"/>
      <c r="BT590" s="39"/>
      <c r="BU590" s="39"/>
      <c r="BV590" s="212">
        <v>795218.05080000008</v>
      </c>
      <c r="BW590" s="219">
        <f t="shared" si="202"/>
        <v>151091.42965200002</v>
      </c>
      <c r="BX590" s="273">
        <f t="shared" si="203"/>
        <v>946309.48045200016</v>
      </c>
      <c r="BY590" s="214" t="s">
        <v>3732</v>
      </c>
      <c r="BZ590" s="213" t="s">
        <v>424</v>
      </c>
      <c r="CA590" s="213"/>
      <c r="CB590" s="274"/>
      <c r="CC590" s="274"/>
      <c r="CD590" s="274"/>
      <c r="CE590" s="39"/>
      <c r="CF590" s="39"/>
      <c r="CG590" s="39"/>
      <c r="CH590" s="274"/>
      <c r="CI590" s="274"/>
      <c r="CJ590" s="274"/>
      <c r="CK590" s="39"/>
      <c r="CL590" s="39"/>
      <c r="CM590" s="39"/>
      <c r="CN590" s="39"/>
      <c r="CO590" s="39"/>
      <c r="CP590" s="11"/>
      <c r="CQ590" s="11"/>
      <c r="CR590" s="11"/>
      <c r="CS590" s="11"/>
      <c r="CT590" s="11"/>
      <c r="CU590" s="11"/>
      <c r="CV590" s="11"/>
      <c r="CW590" s="11"/>
      <c r="CX590" s="11"/>
      <c r="CY590" s="11"/>
      <c r="CZ590" s="11"/>
      <c r="DA590" s="11"/>
      <c r="DB590" s="11"/>
      <c r="DC590" s="11"/>
      <c r="DD590" s="11"/>
      <c r="DE590" s="11"/>
      <c r="DF590" s="11"/>
      <c r="DG590" s="11"/>
      <c r="DH590" s="11"/>
      <c r="DI590" s="11"/>
      <c r="DJ590" s="11"/>
      <c r="DK590" s="11"/>
      <c r="DL590" s="274"/>
      <c r="DM590" s="274"/>
      <c r="DN590" s="274"/>
      <c r="DO590" s="274"/>
      <c r="DP590" s="274"/>
      <c r="DQ590" s="274"/>
      <c r="DR590" s="274"/>
      <c r="DS590" s="274"/>
      <c r="DT590" s="274"/>
      <c r="DU590" s="274"/>
      <c r="DV590" s="274"/>
      <c r="DW590" s="274"/>
      <c r="DX590" s="274"/>
      <c r="DY590" s="274"/>
      <c r="DZ590" s="274"/>
      <c r="EA590" s="274"/>
      <c r="EB590" s="274"/>
      <c r="EC590" s="274"/>
      <c r="ED590" s="39">
        <f t="shared" si="197"/>
        <v>1841074.8437853334</v>
      </c>
      <c r="EE590" s="30">
        <f t="shared" si="198"/>
        <v>3</v>
      </c>
      <c r="EF590" s="39">
        <f t="shared" si="199"/>
        <v>613691.61459511111</v>
      </c>
    </row>
    <row r="591" spans="1:136" ht="24" x14ac:dyDescent="0.25">
      <c r="A591" s="25" t="e">
        <f>#REF!</f>
        <v>#REF!</v>
      </c>
      <c r="B591" s="50" t="e">
        <f>#REF!</f>
        <v>#REF!</v>
      </c>
      <c r="C591" s="5" t="e">
        <f>#REF!</f>
        <v>#REF!</v>
      </c>
      <c r="D591" s="5" t="e">
        <f>#REF!</f>
        <v>#REF!</v>
      </c>
      <c r="E591" s="252">
        <v>1</v>
      </c>
      <c r="F591" s="249">
        <v>542322.66666666663</v>
      </c>
      <c r="G591" s="249">
        <v>525980</v>
      </c>
      <c r="H591" s="249">
        <v>0</v>
      </c>
      <c r="I591" s="249">
        <v>0</v>
      </c>
      <c r="J591" s="249">
        <v>552279</v>
      </c>
      <c r="K591" s="249">
        <v>552160</v>
      </c>
      <c r="L591" s="274">
        <f>AVERAGE(F591,J591)</f>
        <v>547300.83333333326</v>
      </c>
      <c r="M591" s="274">
        <f>AVERAGE(G591,K591)*E1</f>
        <v>555242.1</v>
      </c>
      <c r="N591" s="255"/>
      <c r="O591" s="137"/>
      <c r="P591" s="135"/>
      <c r="Q591" s="131"/>
      <c r="R591" s="131"/>
      <c r="S591" s="11"/>
      <c r="T591" s="274"/>
      <c r="U591" s="274"/>
      <c r="V591" s="274"/>
      <c r="W591" s="39"/>
      <c r="X591" s="11"/>
      <c r="Y591" s="11"/>
      <c r="Z591" s="274"/>
      <c r="AA591" s="274"/>
      <c r="AB591" s="274"/>
      <c r="AC591" s="54"/>
      <c r="AD591" s="23"/>
      <c r="AE591" s="39"/>
      <c r="AF591" s="274"/>
      <c r="AG591" s="274"/>
      <c r="AH591" s="172"/>
      <c r="AI591" s="24"/>
      <c r="AJ591" s="39"/>
      <c r="AK591" s="39"/>
      <c r="AL591" s="118"/>
      <c r="AM591" s="152"/>
      <c r="AN591" s="181"/>
      <c r="AO591" s="131"/>
      <c r="AP591" s="131"/>
      <c r="AQ591" s="39"/>
      <c r="AR591" s="274"/>
      <c r="AS591" s="274"/>
      <c r="AT591" s="274"/>
      <c r="AU591" s="39"/>
      <c r="AV591" s="39"/>
      <c r="AW591" s="39"/>
      <c r="AX591" s="274"/>
      <c r="AY591" s="274"/>
      <c r="AZ591" s="274"/>
      <c r="BA591" s="39"/>
      <c r="BB591" s="62"/>
      <c r="BC591" s="39"/>
      <c r="BD591" s="274"/>
      <c r="BE591" s="274"/>
      <c r="BF591" s="274"/>
      <c r="BG591" s="39"/>
      <c r="BH591" s="39"/>
      <c r="BI591" s="39"/>
      <c r="BJ591" s="274">
        <v>770000</v>
      </c>
      <c r="BK591" s="274">
        <f t="shared" si="200"/>
        <v>146300</v>
      </c>
      <c r="BL591" s="274">
        <f t="shared" si="201"/>
        <v>916300</v>
      </c>
      <c r="BM591" s="214" t="s">
        <v>3732</v>
      </c>
      <c r="BN591" s="213" t="s">
        <v>424</v>
      </c>
      <c r="BO591" s="39"/>
      <c r="BP591" s="274"/>
      <c r="BQ591" s="274"/>
      <c r="BR591" s="274"/>
      <c r="BS591" s="39"/>
      <c r="BT591" s="39"/>
      <c r="BU591" s="39"/>
      <c r="BV591" s="212">
        <v>873993.12</v>
      </c>
      <c r="BW591" s="219">
        <f t="shared" si="202"/>
        <v>166058.69279999999</v>
      </c>
      <c r="BX591" s="273">
        <f t="shared" si="203"/>
        <v>1040051.8128</v>
      </c>
      <c r="BY591" s="214" t="s">
        <v>3732</v>
      </c>
      <c r="BZ591" s="213" t="s">
        <v>424</v>
      </c>
      <c r="CA591" s="213"/>
      <c r="CB591" s="274"/>
      <c r="CC591" s="274"/>
      <c r="CD591" s="274"/>
      <c r="CE591" s="39"/>
      <c r="CF591" s="39"/>
      <c r="CG591" s="39"/>
      <c r="CH591" s="274"/>
      <c r="CI591" s="274"/>
      <c r="CJ591" s="274"/>
      <c r="CK591" s="39"/>
      <c r="CL591" s="39"/>
      <c r="CM591" s="39"/>
      <c r="CN591" s="39"/>
      <c r="CO591" s="39"/>
      <c r="CP591" s="11"/>
      <c r="CQ591" s="11"/>
      <c r="CR591" s="11"/>
      <c r="CS591" s="11"/>
      <c r="CT591" s="11"/>
      <c r="CU591" s="11"/>
      <c r="CV591" s="11"/>
      <c r="CW591" s="11"/>
      <c r="CX591" s="11"/>
      <c r="CY591" s="11"/>
      <c r="CZ591" s="11"/>
      <c r="DA591" s="11"/>
      <c r="DB591" s="11"/>
      <c r="DC591" s="11"/>
      <c r="DD591" s="11"/>
      <c r="DE591" s="11"/>
      <c r="DF591" s="11"/>
      <c r="DG591" s="11"/>
      <c r="DH591" s="11"/>
      <c r="DI591" s="11"/>
      <c r="DJ591" s="11"/>
      <c r="DK591" s="11"/>
      <c r="DL591" s="274"/>
      <c r="DM591" s="274"/>
      <c r="DN591" s="274"/>
      <c r="DO591" s="274"/>
      <c r="DP591" s="274"/>
      <c r="DQ591" s="274"/>
      <c r="DR591" s="274"/>
      <c r="DS591" s="274"/>
      <c r="DT591" s="274"/>
      <c r="DU591" s="274"/>
      <c r="DV591" s="274"/>
      <c r="DW591" s="274"/>
      <c r="DX591" s="274"/>
      <c r="DY591" s="274"/>
      <c r="DZ591" s="274"/>
      <c r="EA591" s="274"/>
      <c r="EB591" s="274"/>
      <c r="EC591" s="274"/>
      <c r="ED591" s="39">
        <f t="shared" si="197"/>
        <v>2511593.9128</v>
      </c>
      <c r="EE591" s="30">
        <f t="shared" si="198"/>
        <v>3</v>
      </c>
      <c r="EF591" s="39">
        <f t="shared" si="199"/>
        <v>837197.97093333339</v>
      </c>
    </row>
    <row r="592" spans="1:136" ht="24" x14ac:dyDescent="0.25">
      <c r="A592" s="25" t="e">
        <f>#REF!</f>
        <v>#REF!</v>
      </c>
      <c r="B592" s="50" t="e">
        <f>#REF!</f>
        <v>#REF!</v>
      </c>
      <c r="C592" s="5" t="e">
        <f>#REF!</f>
        <v>#REF!</v>
      </c>
      <c r="D592" s="5" t="e">
        <f>#REF!</f>
        <v>#REF!</v>
      </c>
      <c r="E592" s="252">
        <v>1</v>
      </c>
      <c r="F592" s="249">
        <v>572374.1333333333</v>
      </c>
      <c r="G592" s="249">
        <v>572271</v>
      </c>
      <c r="H592" s="249">
        <v>0</v>
      </c>
      <c r="I592" s="249">
        <v>0</v>
      </c>
      <c r="J592" s="249">
        <v>600884.55000000005</v>
      </c>
      <c r="K592" s="249">
        <v>0</v>
      </c>
      <c r="L592" s="274">
        <f>AVERAGE(F592,J592)</f>
        <v>586629.34166666667</v>
      </c>
      <c r="M592" s="274">
        <f>G592*E1</f>
        <v>589439.13</v>
      </c>
      <c r="N592" s="255"/>
      <c r="O592" s="135"/>
      <c r="P592" s="135"/>
      <c r="Q592" s="131"/>
      <c r="R592" s="131"/>
      <c r="S592" s="11"/>
      <c r="T592" s="274"/>
      <c r="U592" s="274"/>
      <c r="V592" s="274"/>
      <c r="W592" s="39"/>
      <c r="X592" s="11"/>
      <c r="Y592" s="11"/>
      <c r="Z592" s="274"/>
      <c r="AA592" s="274"/>
      <c r="AB592" s="274"/>
      <c r="AC592" s="54"/>
      <c r="AD592" s="23"/>
      <c r="AE592" s="39"/>
      <c r="AF592" s="274"/>
      <c r="AG592" s="274"/>
      <c r="AH592" s="172"/>
      <c r="AI592" s="24"/>
      <c r="AJ592" s="39"/>
      <c r="AK592" s="39"/>
      <c r="AL592" s="118"/>
      <c r="AM592" s="152"/>
      <c r="AN592" s="181"/>
      <c r="AO592" s="131"/>
      <c r="AP592" s="131"/>
      <c r="AQ592" s="39"/>
      <c r="AR592" s="274"/>
      <c r="AS592" s="274"/>
      <c r="AT592" s="274"/>
      <c r="AU592" s="39"/>
      <c r="AV592" s="39"/>
      <c r="AW592" s="39"/>
      <c r="AX592" s="274"/>
      <c r="AY592" s="274"/>
      <c r="AZ592" s="274"/>
      <c r="BA592" s="39"/>
      <c r="BB592" s="62"/>
      <c r="BC592" s="39"/>
      <c r="BD592" s="274"/>
      <c r="BE592" s="274"/>
      <c r="BF592" s="274"/>
      <c r="BG592" s="39"/>
      <c r="BH592" s="39"/>
      <c r="BI592" s="39"/>
      <c r="BJ592" s="274">
        <v>1408500</v>
      </c>
      <c r="BK592" s="274">
        <f t="shared" si="200"/>
        <v>267615</v>
      </c>
      <c r="BL592" s="274">
        <f t="shared" si="201"/>
        <v>1676115</v>
      </c>
      <c r="BM592" s="214" t="s">
        <v>4224</v>
      </c>
      <c r="BN592" s="213" t="s">
        <v>424</v>
      </c>
      <c r="BO592" s="39"/>
      <c r="BP592" s="274"/>
      <c r="BQ592" s="274"/>
      <c r="BR592" s="274"/>
      <c r="BS592" s="39"/>
      <c r="BT592" s="39"/>
      <c r="BU592" s="39"/>
      <c r="BV592" s="212">
        <v>1494567.801</v>
      </c>
      <c r="BW592" s="219">
        <f t="shared" si="202"/>
        <v>283967.88218999997</v>
      </c>
      <c r="BX592" s="273">
        <f t="shared" si="203"/>
        <v>1778535.68319</v>
      </c>
      <c r="BY592" s="214" t="s">
        <v>4224</v>
      </c>
      <c r="BZ592" s="213" t="s">
        <v>424</v>
      </c>
      <c r="CA592" s="213"/>
      <c r="CB592" s="274"/>
      <c r="CC592" s="274"/>
      <c r="CD592" s="274"/>
      <c r="CE592" s="39"/>
      <c r="CF592" s="39"/>
      <c r="CG592" s="39"/>
      <c r="CH592" s="274"/>
      <c r="CI592" s="274"/>
      <c r="CJ592" s="274"/>
      <c r="CK592" s="39"/>
      <c r="CL592" s="39"/>
      <c r="CM592" s="39"/>
      <c r="CN592" s="39"/>
      <c r="CO592" s="39"/>
      <c r="CP592" s="11"/>
      <c r="CQ592" s="11"/>
      <c r="CR592" s="11"/>
      <c r="CS592" s="11"/>
      <c r="CT592" s="11"/>
      <c r="CU592" s="11"/>
      <c r="CV592" s="11"/>
      <c r="CW592" s="11"/>
      <c r="CX592" s="11"/>
      <c r="CY592" s="11"/>
      <c r="CZ592" s="11"/>
      <c r="DA592" s="11"/>
      <c r="DB592" s="11"/>
      <c r="DC592" s="11"/>
      <c r="DD592" s="11"/>
      <c r="DE592" s="11"/>
      <c r="DF592" s="11"/>
      <c r="DG592" s="11"/>
      <c r="DH592" s="11"/>
      <c r="DI592" s="11"/>
      <c r="DJ592" s="11"/>
      <c r="DK592" s="11"/>
      <c r="DL592" s="274"/>
      <c r="DM592" s="274"/>
      <c r="DN592" s="274"/>
      <c r="DO592" s="274"/>
      <c r="DP592" s="274"/>
      <c r="DQ592" s="274"/>
      <c r="DR592" s="274"/>
      <c r="DS592" s="274"/>
      <c r="DT592" s="274"/>
      <c r="DU592" s="274"/>
      <c r="DV592" s="274"/>
      <c r="DW592" s="274"/>
      <c r="DX592" s="274"/>
      <c r="DY592" s="274"/>
      <c r="DZ592" s="274"/>
      <c r="EA592" s="274"/>
      <c r="EB592" s="274"/>
      <c r="EC592" s="274"/>
      <c r="ED592" s="39">
        <f t="shared" si="197"/>
        <v>4044089.8131900001</v>
      </c>
      <c r="EE592" s="30">
        <f t="shared" si="198"/>
        <v>3</v>
      </c>
      <c r="EF592" s="39">
        <f t="shared" si="199"/>
        <v>1348029.9377300001</v>
      </c>
    </row>
    <row r="593" spans="1:138" ht="51" x14ac:dyDescent="0.25">
      <c r="A593" s="25" t="e">
        <f>#REF!</f>
        <v>#REF!</v>
      </c>
      <c r="B593" s="50" t="e">
        <f>#REF!</f>
        <v>#REF!</v>
      </c>
      <c r="C593" s="5" t="e">
        <f>#REF!</f>
        <v>#REF!</v>
      </c>
      <c r="D593" s="5" t="e">
        <f>#REF!</f>
        <v>#REF!</v>
      </c>
      <c r="E593" s="252">
        <v>1</v>
      </c>
      <c r="F593" s="249">
        <v>87935.05</v>
      </c>
      <c r="G593" s="249">
        <v>84847</v>
      </c>
      <c r="H593" s="249">
        <v>95048.274999999994</v>
      </c>
      <c r="I593" s="249">
        <v>94962</v>
      </c>
      <c r="J593" s="249">
        <v>166902.43040530663</v>
      </c>
      <c r="K593" s="249">
        <v>166600</v>
      </c>
      <c r="L593" s="274">
        <f>AVERAGE(F593,H593,J593)</f>
        <v>116628.58513510221</v>
      </c>
      <c r="M593" s="274">
        <f>AVERAGE(G593,I593,K593)*E1</f>
        <v>118933.75666666667</v>
      </c>
      <c r="N593" s="255">
        <v>90000</v>
      </c>
      <c r="O593" s="135">
        <f>+N593*0.19</f>
        <v>17100</v>
      </c>
      <c r="P593" s="135">
        <f>+N593+O593</f>
        <v>107100</v>
      </c>
      <c r="Q593" s="131"/>
      <c r="R593" s="131"/>
      <c r="S593" s="11"/>
      <c r="T593" s="274"/>
      <c r="U593" s="274"/>
      <c r="V593" s="274"/>
      <c r="W593" s="39"/>
      <c r="X593" s="11"/>
      <c r="Y593" s="11"/>
      <c r="Z593" s="274">
        <v>320000</v>
      </c>
      <c r="AA593" s="274">
        <f>+Z593*0.19</f>
        <v>60800</v>
      </c>
      <c r="AB593" s="274">
        <f>+Z593+AA593</f>
        <v>380800</v>
      </c>
      <c r="AC593" s="5" t="s">
        <v>4954</v>
      </c>
      <c r="AD593" s="22" t="s">
        <v>4795</v>
      </c>
      <c r="AE593" s="39"/>
      <c r="AF593" s="274"/>
      <c r="AG593" s="274"/>
      <c r="AH593" s="172"/>
      <c r="AI593" s="24"/>
      <c r="AJ593" s="39"/>
      <c r="AK593" s="39"/>
      <c r="AL593" s="118"/>
      <c r="AM593" s="152"/>
      <c r="AN593" s="181"/>
      <c r="AO593" s="131"/>
      <c r="AP593" s="131"/>
      <c r="AQ593" s="39"/>
      <c r="AR593" s="274"/>
      <c r="AS593" s="274"/>
      <c r="AT593" s="274"/>
      <c r="AU593" s="39"/>
      <c r="AV593" s="39"/>
      <c r="AW593" s="39"/>
      <c r="AX593" s="274"/>
      <c r="AY593" s="274"/>
      <c r="AZ593" s="274"/>
      <c r="BA593" s="39"/>
      <c r="BB593" s="62"/>
      <c r="BC593" s="39"/>
      <c r="BD593" s="118">
        <v>61800</v>
      </c>
      <c r="BE593" s="274">
        <f>+BD593*0.19</f>
        <v>11742</v>
      </c>
      <c r="BF593" s="274">
        <f>+BD593+BE593</f>
        <v>73542</v>
      </c>
      <c r="BG593" s="25" t="s">
        <v>4925</v>
      </c>
      <c r="BH593" s="5" t="s">
        <v>4973</v>
      </c>
      <c r="BI593" s="5" t="s">
        <v>4974</v>
      </c>
      <c r="BJ593" s="274">
        <v>113200</v>
      </c>
      <c r="BK593" s="274">
        <f t="shared" si="200"/>
        <v>21508</v>
      </c>
      <c r="BL593" s="274">
        <f t="shared" si="201"/>
        <v>134708</v>
      </c>
      <c r="BM593" s="214" t="s">
        <v>3732</v>
      </c>
      <c r="BN593" s="213" t="s">
        <v>424</v>
      </c>
      <c r="BO593" s="39"/>
      <c r="BP593" s="274"/>
      <c r="BQ593" s="274"/>
      <c r="BR593" s="274"/>
      <c r="BS593" s="39"/>
      <c r="BT593" s="39"/>
      <c r="BU593" s="39"/>
      <c r="BV593" s="212">
        <v>122403.83920000002</v>
      </c>
      <c r="BW593" s="219">
        <f t="shared" si="202"/>
        <v>23256.729448000002</v>
      </c>
      <c r="BX593" s="273">
        <f t="shared" si="203"/>
        <v>145660.56864800001</v>
      </c>
      <c r="BY593" s="214" t="s">
        <v>3732</v>
      </c>
      <c r="BZ593" s="213" t="s">
        <v>424</v>
      </c>
      <c r="CA593" s="213"/>
      <c r="CB593" s="274"/>
      <c r="CC593" s="274"/>
      <c r="CD593" s="274"/>
      <c r="CE593" s="39"/>
      <c r="CF593" s="39"/>
      <c r="CG593" s="39"/>
      <c r="CH593" s="274"/>
      <c r="CI593" s="274"/>
      <c r="CJ593" s="274"/>
      <c r="CK593" s="39"/>
      <c r="CL593" s="39"/>
      <c r="CM593" s="39"/>
      <c r="CN593" s="39"/>
      <c r="CO593" s="39"/>
      <c r="CP593" s="11"/>
      <c r="CQ593" s="11"/>
      <c r="CR593" s="11"/>
      <c r="CS593" s="11"/>
      <c r="CT593" s="11"/>
      <c r="CU593" s="11"/>
      <c r="CV593" s="11"/>
      <c r="CW593" s="11"/>
      <c r="CX593" s="11"/>
      <c r="CY593" s="11"/>
      <c r="CZ593" s="11"/>
      <c r="DA593" s="11"/>
      <c r="DB593" s="11"/>
      <c r="DC593" s="11"/>
      <c r="DD593" s="11"/>
      <c r="DE593" s="11"/>
      <c r="DF593" s="11"/>
      <c r="DG593" s="11"/>
      <c r="DH593" s="11"/>
      <c r="DI593" s="11"/>
      <c r="DJ593" s="11"/>
      <c r="DK593" s="11"/>
      <c r="DL593" s="274"/>
      <c r="DM593" s="274"/>
      <c r="DN593" s="274"/>
      <c r="DO593" s="274"/>
      <c r="DP593" s="274"/>
      <c r="DQ593" s="274"/>
      <c r="DR593" s="274"/>
      <c r="DS593" s="274"/>
      <c r="DT593" s="274"/>
      <c r="DU593" s="274"/>
      <c r="DV593" s="274"/>
      <c r="DW593" s="274"/>
      <c r="DX593" s="274"/>
      <c r="DY593" s="274"/>
      <c r="DZ593" s="274"/>
      <c r="EA593" s="274"/>
      <c r="EB593" s="274"/>
      <c r="EC593" s="274"/>
      <c r="ED593" s="39">
        <f t="shared" si="197"/>
        <v>960744.32531466661</v>
      </c>
      <c r="EE593" s="30">
        <f t="shared" si="198"/>
        <v>6</v>
      </c>
      <c r="EF593" s="39">
        <f t="shared" si="199"/>
        <v>160124.0542191111</v>
      </c>
    </row>
    <row r="594" spans="1:138" ht="24" x14ac:dyDescent="0.25">
      <c r="A594" s="25" t="e">
        <f>#REF!</f>
        <v>#REF!</v>
      </c>
      <c r="B594" s="50" t="e">
        <f>#REF!</f>
        <v>#REF!</v>
      </c>
      <c r="C594" s="5" t="e">
        <f>#REF!</f>
        <v>#REF!</v>
      </c>
      <c r="D594" s="5" t="e">
        <f>#REF!</f>
        <v>#REF!</v>
      </c>
      <c r="E594" s="252">
        <v>1</v>
      </c>
      <c r="F594" s="249">
        <v>0</v>
      </c>
      <c r="G594" s="249">
        <v>0</v>
      </c>
      <c r="H594" s="249">
        <v>0</v>
      </c>
      <c r="I594" s="249">
        <v>0</v>
      </c>
      <c r="J594" s="249">
        <v>426382.81777777779</v>
      </c>
      <c r="K594" s="249">
        <v>426020</v>
      </c>
      <c r="L594" s="274">
        <f>J594</f>
        <v>426382.81777777779</v>
      </c>
      <c r="M594" s="274">
        <f>K594*E1</f>
        <v>438800.60000000003</v>
      </c>
      <c r="N594" s="255">
        <v>460000</v>
      </c>
      <c r="O594" s="135">
        <f>+N594*0.19</f>
        <v>87400</v>
      </c>
      <c r="P594" s="135">
        <f>+N594+O594</f>
        <v>547400</v>
      </c>
      <c r="Q594" s="131"/>
      <c r="R594" s="131"/>
      <c r="S594" s="11"/>
      <c r="T594" s="274"/>
      <c r="U594" s="274"/>
      <c r="V594" s="274"/>
      <c r="W594" s="39"/>
      <c r="X594" s="11"/>
      <c r="Y594" s="11"/>
      <c r="Z594" s="274"/>
      <c r="AA594" s="274"/>
      <c r="AB594" s="274"/>
      <c r="AC594" s="33"/>
      <c r="AD594" s="22"/>
      <c r="AE594" s="39"/>
      <c r="AF594" s="274"/>
      <c r="AG594" s="274"/>
      <c r="AH594" s="143"/>
      <c r="AI594" s="22"/>
      <c r="AJ594" s="39"/>
      <c r="AK594" s="39"/>
      <c r="AL594" s="118"/>
      <c r="AM594" s="152"/>
      <c r="AN594" s="181"/>
      <c r="AO594" s="131"/>
      <c r="AP594" s="131"/>
      <c r="AQ594" s="39"/>
      <c r="AR594" s="274"/>
      <c r="AS594" s="274"/>
      <c r="AT594" s="274"/>
      <c r="AU594" s="39"/>
      <c r="AV594" s="39"/>
      <c r="AW594" s="39"/>
      <c r="AX594" s="274"/>
      <c r="AY594" s="274"/>
      <c r="AZ594" s="274"/>
      <c r="BA594" s="39"/>
      <c r="BB594" s="62"/>
      <c r="BC594" s="39"/>
      <c r="BD594" s="274"/>
      <c r="BE594" s="274"/>
      <c r="BF594" s="274"/>
      <c r="BG594" s="39"/>
      <c r="BH594" s="39"/>
      <c r="BI594" s="39"/>
      <c r="BJ594" s="274">
        <v>309200</v>
      </c>
      <c r="BK594" s="274">
        <f t="shared" si="200"/>
        <v>58748</v>
      </c>
      <c r="BL594" s="274">
        <f t="shared" si="201"/>
        <v>367948</v>
      </c>
      <c r="BM594" s="215" t="s">
        <v>4324</v>
      </c>
      <c r="BN594" s="213" t="s">
        <v>2925</v>
      </c>
      <c r="BO594" s="39"/>
      <c r="BP594" s="274"/>
      <c r="BQ594" s="274"/>
      <c r="BR594" s="274"/>
      <c r="BS594" s="39"/>
      <c r="BT594" s="39"/>
      <c r="BU594" s="39"/>
      <c r="BV594" s="212">
        <v>354400.09280000004</v>
      </c>
      <c r="BW594" s="219">
        <f t="shared" si="202"/>
        <v>67336.017632000003</v>
      </c>
      <c r="BX594" s="273">
        <f t="shared" si="203"/>
        <v>421736.11043200002</v>
      </c>
      <c r="BY594" s="215" t="s">
        <v>4324</v>
      </c>
      <c r="BZ594" s="213" t="s">
        <v>2925</v>
      </c>
      <c r="CA594" s="213"/>
      <c r="CB594" s="274"/>
      <c r="CC594" s="274"/>
      <c r="CD594" s="274"/>
      <c r="CE594" s="39"/>
      <c r="CF594" s="39"/>
      <c r="CG594" s="39"/>
      <c r="CH594" s="274"/>
      <c r="CI594" s="274"/>
      <c r="CJ594" s="274"/>
      <c r="CK594" s="39"/>
      <c r="CL594" s="39"/>
      <c r="CM594" s="39"/>
      <c r="CN594" s="39"/>
      <c r="CO594" s="39"/>
      <c r="CP594" s="11"/>
      <c r="CQ594" s="11"/>
      <c r="CR594" s="11"/>
      <c r="CS594" s="11"/>
      <c r="CT594" s="11"/>
      <c r="CU594" s="11"/>
      <c r="CV594" s="11"/>
      <c r="CW594" s="11"/>
      <c r="CX594" s="11"/>
      <c r="CY594" s="11"/>
      <c r="CZ594" s="11"/>
      <c r="DA594" s="11"/>
      <c r="DB594" s="11"/>
      <c r="DC594" s="11"/>
      <c r="DD594" s="11"/>
      <c r="DE594" s="11"/>
      <c r="DF594" s="11"/>
      <c r="DG594" s="11"/>
      <c r="DH594" s="11"/>
      <c r="DI594" s="11"/>
      <c r="DJ594" s="11"/>
      <c r="DK594" s="11"/>
      <c r="DL594" s="274"/>
      <c r="DM594" s="274"/>
      <c r="DN594" s="274"/>
      <c r="DO594" s="274"/>
      <c r="DP594" s="274"/>
      <c r="DQ594" s="274"/>
      <c r="DR594" s="274"/>
      <c r="DS594" s="274"/>
      <c r="DT594" s="274"/>
      <c r="DU594" s="274"/>
      <c r="DV594" s="274"/>
      <c r="DW594" s="274"/>
      <c r="DX594" s="274"/>
      <c r="DY594" s="274"/>
      <c r="DZ594" s="274"/>
      <c r="EA594" s="274"/>
      <c r="EB594" s="274"/>
      <c r="EC594" s="274"/>
      <c r="ED594" s="39">
        <f t="shared" si="197"/>
        <v>1775884.710432</v>
      </c>
      <c r="EE594" s="30">
        <f t="shared" si="198"/>
        <v>4</v>
      </c>
      <c r="EF594" s="39">
        <f t="shared" si="199"/>
        <v>443971.177608</v>
      </c>
    </row>
    <row r="595" spans="1:138" ht="24" x14ac:dyDescent="0.25">
      <c r="A595" s="25" t="e">
        <f>#REF!</f>
        <v>#REF!</v>
      </c>
      <c r="B595" s="50" t="e">
        <f>#REF!</f>
        <v>#REF!</v>
      </c>
      <c r="C595" s="5" t="e">
        <f>#REF!</f>
        <v>#REF!</v>
      </c>
      <c r="D595" s="5" t="e">
        <f>#REF!</f>
        <v>#REF!</v>
      </c>
      <c r="E595" s="252">
        <v>1</v>
      </c>
      <c r="F595" s="249">
        <v>0</v>
      </c>
      <c r="G595" s="249">
        <v>0</v>
      </c>
      <c r="H595" s="249">
        <v>340518.5</v>
      </c>
      <c r="I595" s="249">
        <v>340459</v>
      </c>
      <c r="J595" s="249">
        <v>475968.2666666666</v>
      </c>
      <c r="K595" s="249">
        <v>0</v>
      </c>
      <c r="L595" s="274">
        <f>AVERAGE(H595,J595)</f>
        <v>408243.3833333333</v>
      </c>
      <c r="M595" s="274">
        <f>I595*E1</f>
        <v>350672.77</v>
      </c>
      <c r="N595" s="255">
        <v>460000</v>
      </c>
      <c r="O595" s="135">
        <f>+N595*0.19</f>
        <v>87400</v>
      </c>
      <c r="P595" s="135">
        <f>+N595+O595</f>
        <v>547400</v>
      </c>
      <c r="Q595" s="131"/>
      <c r="R595" s="131"/>
      <c r="S595" s="11"/>
      <c r="T595" s="274"/>
      <c r="U595" s="274"/>
      <c r="V595" s="274"/>
      <c r="W595" s="39"/>
      <c r="X595" s="11"/>
      <c r="Y595" s="11"/>
      <c r="Z595" s="274"/>
      <c r="AA595" s="274"/>
      <c r="AB595" s="274"/>
      <c r="AC595" s="52"/>
      <c r="AD595" s="22"/>
      <c r="AE595" s="39"/>
      <c r="AF595" s="274"/>
      <c r="AG595" s="274"/>
      <c r="AH595" s="113"/>
      <c r="AI595" s="4"/>
      <c r="AJ595" s="39"/>
      <c r="AK595" s="39"/>
      <c r="AL595" s="118"/>
      <c r="AM595" s="152"/>
      <c r="AN595" s="152"/>
      <c r="AO595" s="131"/>
      <c r="AP595" s="131"/>
      <c r="AQ595" s="39"/>
      <c r="AR595" s="274"/>
      <c r="AS595" s="274"/>
      <c r="AT595" s="274"/>
      <c r="AU595" s="39"/>
      <c r="AV595" s="39"/>
      <c r="AW595" s="39"/>
      <c r="AX595" s="274"/>
      <c r="AY595" s="274"/>
      <c r="AZ595" s="274"/>
      <c r="BA595" s="39"/>
      <c r="BB595" s="62"/>
      <c r="BC595" s="39"/>
      <c r="BD595" s="274"/>
      <c r="BE595" s="274"/>
      <c r="BF595" s="274"/>
      <c r="BG595" s="39"/>
      <c r="BH595" s="39"/>
      <c r="BI595" s="39"/>
      <c r="BJ595" s="274">
        <v>294600</v>
      </c>
      <c r="BK595" s="274">
        <f t="shared" si="200"/>
        <v>55974</v>
      </c>
      <c r="BL595" s="274">
        <f t="shared" si="201"/>
        <v>350574</v>
      </c>
      <c r="BM595" s="215" t="s">
        <v>4324</v>
      </c>
      <c r="BN595" s="213" t="s">
        <v>2925</v>
      </c>
      <c r="BO595" s="39"/>
      <c r="BP595" s="274"/>
      <c r="BQ595" s="274"/>
      <c r="BR595" s="274"/>
      <c r="BS595" s="39"/>
      <c r="BT595" s="39"/>
      <c r="BU595" s="39"/>
      <c r="BV595" s="212">
        <v>347406.16620000004</v>
      </c>
      <c r="BW595" s="219">
        <f t="shared" si="202"/>
        <v>66007.171578000009</v>
      </c>
      <c r="BX595" s="273">
        <f t="shared" si="203"/>
        <v>413413.33777800004</v>
      </c>
      <c r="BY595" s="215" t="s">
        <v>4324</v>
      </c>
      <c r="BZ595" s="213" t="s">
        <v>2925</v>
      </c>
      <c r="CA595" s="213"/>
      <c r="CB595" s="274"/>
      <c r="CC595" s="274"/>
      <c r="CD595" s="274"/>
      <c r="CE595" s="39"/>
      <c r="CF595" s="39"/>
      <c r="CG595" s="39"/>
      <c r="CH595" s="274"/>
      <c r="CI595" s="274"/>
      <c r="CJ595" s="274"/>
      <c r="CK595" s="39"/>
      <c r="CL595" s="39"/>
      <c r="CM595" s="39"/>
      <c r="CN595" s="39"/>
      <c r="CO595" s="39"/>
      <c r="CP595" s="11"/>
      <c r="CQ595" s="11"/>
      <c r="CR595" s="11"/>
      <c r="CS595" s="11"/>
      <c r="CT595" s="11"/>
      <c r="CU595" s="11"/>
      <c r="CV595" s="11"/>
      <c r="CW595" s="11"/>
      <c r="CX595" s="11"/>
      <c r="CY595" s="11"/>
      <c r="CZ595" s="11"/>
      <c r="DA595" s="11"/>
      <c r="DB595" s="11"/>
      <c r="DC595" s="11"/>
      <c r="DD595" s="11"/>
      <c r="DE595" s="11"/>
      <c r="DF595" s="11"/>
      <c r="DG595" s="11"/>
      <c r="DH595" s="11"/>
      <c r="DI595" s="11"/>
      <c r="DJ595" s="11"/>
      <c r="DK595" s="11"/>
      <c r="DL595" s="274"/>
      <c r="DM595" s="274"/>
      <c r="DN595" s="274"/>
      <c r="DO595" s="274"/>
      <c r="DP595" s="274"/>
      <c r="DQ595" s="274"/>
      <c r="DR595" s="274"/>
      <c r="DS595" s="274"/>
      <c r="DT595" s="274"/>
      <c r="DU595" s="274"/>
      <c r="DV595" s="274"/>
      <c r="DW595" s="274"/>
      <c r="DX595" s="274"/>
      <c r="DY595" s="274"/>
      <c r="DZ595" s="274"/>
      <c r="EA595" s="274"/>
      <c r="EB595" s="274"/>
      <c r="EC595" s="274"/>
      <c r="ED595" s="39">
        <f t="shared" si="197"/>
        <v>1662060.1077780002</v>
      </c>
      <c r="EE595" s="30">
        <f t="shared" si="198"/>
        <v>4</v>
      </c>
      <c r="EF595" s="39">
        <f t="shared" si="199"/>
        <v>415515.02694450004</v>
      </c>
      <c r="EH595" s="39">
        <f>SUM(AB595,AG595,AL595,AQ595,AV595,BA595,BF595,BK595,BP595,CE595,CO595,CT595)</f>
        <v>55974</v>
      </c>
    </row>
    <row r="596" spans="1:138" x14ac:dyDescent="0.25">
      <c r="A596" s="25" t="e">
        <f>#REF!</f>
        <v>#REF!</v>
      </c>
      <c r="B596" s="50" t="e">
        <f>#REF!</f>
        <v>#REF!</v>
      </c>
      <c r="C596" s="5" t="e">
        <f>#REF!</f>
        <v>#REF!</v>
      </c>
      <c r="D596" s="5" t="e">
        <f>#REF!</f>
        <v>#REF!</v>
      </c>
      <c r="E596" s="252">
        <v>1</v>
      </c>
      <c r="F596" s="249">
        <v>0</v>
      </c>
      <c r="G596" s="249">
        <v>0</v>
      </c>
      <c r="H596" s="249">
        <v>353013.5</v>
      </c>
      <c r="I596" s="249">
        <v>352954</v>
      </c>
      <c r="J596" s="249">
        <v>428287.34666666668</v>
      </c>
      <c r="K596" s="249">
        <v>427210</v>
      </c>
      <c r="L596" s="274">
        <f>AVERAGE(H596,J596)</f>
        <v>390650.42333333334</v>
      </c>
      <c r="M596" s="274">
        <f>AVERAGE(I596,K596)*E1</f>
        <v>401784.46</v>
      </c>
      <c r="N596" s="255">
        <v>460000</v>
      </c>
      <c r="O596" s="135">
        <f>+N596*0.19</f>
        <v>87400</v>
      </c>
      <c r="P596" s="135">
        <f>+N596+O596</f>
        <v>547400</v>
      </c>
      <c r="Q596" s="131"/>
      <c r="R596" s="131"/>
      <c r="S596" s="11"/>
      <c r="T596" s="274"/>
      <c r="U596" s="274"/>
      <c r="V596" s="274"/>
      <c r="W596" s="39"/>
      <c r="X596" s="11"/>
      <c r="Y596" s="11"/>
      <c r="Z596" s="274"/>
      <c r="AA596" s="274"/>
      <c r="AB596" s="274"/>
      <c r="AC596" s="33"/>
      <c r="AD596" s="22"/>
      <c r="AE596" s="39"/>
      <c r="AF596" s="274"/>
      <c r="AG596" s="274"/>
      <c r="AH596" s="143"/>
      <c r="AI596" s="22"/>
      <c r="AJ596" s="39"/>
      <c r="AK596" s="39"/>
      <c r="AL596" s="118"/>
      <c r="AM596" s="152"/>
      <c r="AN596" s="181"/>
      <c r="AO596" s="131"/>
      <c r="AP596" s="131"/>
      <c r="AQ596" s="39"/>
      <c r="AR596" s="274"/>
      <c r="AS596" s="274"/>
      <c r="AT596" s="274"/>
      <c r="AU596" s="39"/>
      <c r="AV596" s="39"/>
      <c r="AW596" s="39"/>
      <c r="AX596" s="274"/>
      <c r="AY596" s="274"/>
      <c r="AZ596" s="274"/>
      <c r="BA596" s="39"/>
      <c r="BB596" s="62"/>
      <c r="BC596" s="39"/>
      <c r="BD596" s="274"/>
      <c r="BE596" s="274"/>
      <c r="BF596" s="274"/>
      <c r="BG596" s="39"/>
      <c r="BH596" s="39"/>
      <c r="BI596" s="39"/>
      <c r="BJ596" s="274">
        <v>288000</v>
      </c>
      <c r="BK596" s="274">
        <f t="shared" si="200"/>
        <v>54720</v>
      </c>
      <c r="BL596" s="274">
        <f t="shared" si="201"/>
        <v>342720</v>
      </c>
      <c r="BM596" s="213" t="s">
        <v>4975</v>
      </c>
      <c r="BN596" s="213" t="s">
        <v>2925</v>
      </c>
      <c r="BO596" s="39"/>
      <c r="BP596" s="274"/>
      <c r="BQ596" s="274"/>
      <c r="BR596" s="274"/>
      <c r="BS596" s="39"/>
      <c r="BT596" s="39"/>
      <c r="BU596" s="39"/>
      <c r="BV596" s="219">
        <v>336449.08800000005</v>
      </c>
      <c r="BW596" s="219">
        <f t="shared" si="202"/>
        <v>63925.326720000012</v>
      </c>
      <c r="BX596" s="273">
        <f t="shared" si="203"/>
        <v>400374.41472000006</v>
      </c>
      <c r="BY596" s="213" t="s">
        <v>4975</v>
      </c>
      <c r="BZ596" s="213" t="s">
        <v>2925</v>
      </c>
      <c r="CA596" s="213"/>
      <c r="CB596" s="274"/>
      <c r="CC596" s="274"/>
      <c r="CD596" s="274"/>
      <c r="CE596" s="39"/>
      <c r="CF596" s="39"/>
      <c r="CG596" s="39"/>
      <c r="CH596" s="274"/>
      <c r="CI596" s="274"/>
      <c r="CJ596" s="274"/>
      <c r="CK596" s="39"/>
      <c r="CL596" s="39"/>
      <c r="CM596" s="39"/>
      <c r="CN596" s="39"/>
      <c r="CO596" s="39"/>
      <c r="CP596" s="11"/>
      <c r="CQ596" s="11"/>
      <c r="CR596" s="11"/>
      <c r="CS596" s="11"/>
      <c r="CT596" s="11"/>
      <c r="CU596" s="11"/>
      <c r="CV596" s="11"/>
      <c r="CW596" s="11"/>
      <c r="CX596" s="11"/>
      <c r="CY596" s="11"/>
      <c r="CZ596" s="11"/>
      <c r="DA596" s="11"/>
      <c r="DB596" s="11"/>
      <c r="DC596" s="11"/>
      <c r="DD596" s="11"/>
      <c r="DE596" s="11"/>
      <c r="DF596" s="11"/>
      <c r="DG596" s="11"/>
      <c r="DH596" s="11"/>
      <c r="DI596" s="11"/>
      <c r="DJ596" s="11"/>
      <c r="DK596" s="11"/>
      <c r="DL596" s="274"/>
      <c r="DM596" s="274"/>
      <c r="DN596" s="274"/>
      <c r="DO596" s="274"/>
      <c r="DP596" s="274"/>
      <c r="DQ596" s="274"/>
      <c r="DR596" s="274"/>
      <c r="DS596" s="274"/>
      <c r="DT596" s="274"/>
      <c r="DU596" s="274"/>
      <c r="DV596" s="274"/>
      <c r="DW596" s="274"/>
      <c r="DX596" s="274"/>
      <c r="DY596" s="274"/>
      <c r="DZ596" s="274"/>
      <c r="EA596" s="274"/>
      <c r="EB596" s="274"/>
      <c r="EC596" s="274"/>
      <c r="ED596" s="39">
        <f t="shared" si="197"/>
        <v>1692278.87472</v>
      </c>
      <c r="EE596" s="30">
        <f t="shared" si="198"/>
        <v>4</v>
      </c>
      <c r="EF596" s="39">
        <f t="shared" si="199"/>
        <v>423069.71867999999</v>
      </c>
    </row>
    <row r="597" spans="1:138" x14ac:dyDescent="0.25">
      <c r="A597" s="25" t="e">
        <f>#REF!</f>
        <v>#REF!</v>
      </c>
      <c r="B597" s="50" t="e">
        <f>#REF!</f>
        <v>#REF!</v>
      </c>
      <c r="C597" s="5" t="e">
        <f>#REF!</f>
        <v>#REF!</v>
      </c>
      <c r="D597" s="5" t="e">
        <f>#REF!</f>
        <v>#REF!</v>
      </c>
      <c r="E597" s="252">
        <v>1</v>
      </c>
      <c r="F597" s="249">
        <v>0</v>
      </c>
      <c r="G597" s="249">
        <v>0</v>
      </c>
      <c r="H597" s="249">
        <v>0</v>
      </c>
      <c r="I597" s="249">
        <v>0</v>
      </c>
      <c r="J597" s="249">
        <v>0</v>
      </c>
      <c r="K597" s="249">
        <v>0</v>
      </c>
      <c r="L597" s="274"/>
      <c r="M597" s="274"/>
      <c r="N597" s="255"/>
      <c r="O597" s="135"/>
      <c r="P597" s="135"/>
      <c r="Q597" s="131"/>
      <c r="R597" s="131"/>
      <c r="S597" s="11"/>
      <c r="T597" s="274"/>
      <c r="U597" s="274"/>
      <c r="V597" s="274"/>
      <c r="W597" s="39"/>
      <c r="X597" s="11"/>
      <c r="Y597" s="11"/>
      <c r="Z597" s="274"/>
      <c r="AA597" s="274"/>
      <c r="AB597" s="274"/>
      <c r="AC597" s="52"/>
      <c r="AD597" s="22"/>
      <c r="AE597" s="39"/>
      <c r="AF597" s="274"/>
      <c r="AG597" s="274"/>
      <c r="AH597" s="113"/>
      <c r="AI597" s="4"/>
      <c r="AJ597" s="39"/>
      <c r="AK597" s="39"/>
      <c r="AL597" s="118"/>
      <c r="AM597" s="152"/>
      <c r="AN597" s="181"/>
      <c r="AO597" s="131"/>
      <c r="AP597" s="131"/>
      <c r="AQ597" s="39"/>
      <c r="AR597" s="274"/>
      <c r="AS597" s="274"/>
      <c r="AT597" s="274"/>
      <c r="AU597" s="39"/>
      <c r="AV597" s="39"/>
      <c r="AW597" s="39"/>
      <c r="AX597" s="274"/>
      <c r="AY597" s="274"/>
      <c r="AZ597" s="274"/>
      <c r="BA597" s="39"/>
      <c r="BB597" s="62"/>
      <c r="BC597" s="39"/>
      <c r="BD597" s="274"/>
      <c r="BE597" s="274"/>
      <c r="BF597" s="274"/>
      <c r="BG597" s="39"/>
      <c r="BH597" s="39"/>
      <c r="BI597" s="39"/>
      <c r="BJ597" s="274">
        <v>842500</v>
      </c>
      <c r="BK597" s="274">
        <f t="shared" si="200"/>
        <v>160075</v>
      </c>
      <c r="BL597" s="274">
        <f t="shared" si="201"/>
        <v>1002575</v>
      </c>
      <c r="BM597" s="214" t="s">
        <v>4976</v>
      </c>
      <c r="BN597" s="213" t="s">
        <v>2925</v>
      </c>
      <c r="BO597" s="39"/>
      <c r="BP597" s="274"/>
      <c r="BQ597" s="274"/>
      <c r="BR597" s="274"/>
      <c r="BS597" s="39"/>
      <c r="BT597" s="39"/>
      <c r="BU597" s="39"/>
      <c r="BV597" s="212">
        <v>911000.30500000005</v>
      </c>
      <c r="BW597" s="219">
        <f t="shared" si="202"/>
        <v>173090.05795000002</v>
      </c>
      <c r="BX597" s="273">
        <f t="shared" si="203"/>
        <v>1084090.36295</v>
      </c>
      <c r="BY597" s="214" t="s">
        <v>4976</v>
      </c>
      <c r="BZ597" s="213" t="s">
        <v>2925</v>
      </c>
      <c r="CA597" s="213"/>
      <c r="CB597" s="274"/>
      <c r="CC597" s="274"/>
      <c r="CD597" s="274"/>
      <c r="CE597" s="39"/>
      <c r="CF597" s="39"/>
      <c r="CG597" s="39"/>
      <c r="CH597" s="274"/>
      <c r="CI597" s="274"/>
      <c r="CJ597" s="274"/>
      <c r="CK597" s="39"/>
      <c r="CL597" s="39"/>
      <c r="CM597" s="39"/>
      <c r="CN597" s="39"/>
      <c r="CO597" s="39"/>
      <c r="CP597" s="11"/>
      <c r="CQ597" s="11"/>
      <c r="CR597" s="11"/>
      <c r="CS597" s="11"/>
      <c r="CT597" s="11"/>
      <c r="CU597" s="11"/>
      <c r="CV597" s="11"/>
      <c r="CW597" s="11"/>
      <c r="CX597" s="11"/>
      <c r="CY597" s="11"/>
      <c r="CZ597" s="11"/>
      <c r="DA597" s="11"/>
      <c r="DB597" s="11"/>
      <c r="DC597" s="11"/>
      <c r="DD597" s="11"/>
      <c r="DE597" s="11"/>
      <c r="DF597" s="11"/>
      <c r="DG597" s="11"/>
      <c r="DH597" s="11"/>
      <c r="DI597" s="11"/>
      <c r="DJ597" s="11"/>
      <c r="DK597" s="11"/>
      <c r="DL597" s="274"/>
      <c r="DM597" s="274"/>
      <c r="DN597" s="274"/>
      <c r="DO597" s="274"/>
      <c r="DP597" s="274"/>
      <c r="DQ597" s="274"/>
      <c r="DR597" s="274"/>
      <c r="DS597" s="274"/>
      <c r="DT597" s="274"/>
      <c r="DU597" s="274"/>
      <c r="DV597" s="274"/>
      <c r="DW597" s="274"/>
      <c r="DX597" s="274"/>
      <c r="DY597" s="274"/>
      <c r="DZ597" s="274"/>
      <c r="EA597" s="274"/>
      <c r="EB597" s="274"/>
      <c r="EC597" s="274"/>
      <c r="ED597" s="39">
        <f t="shared" si="197"/>
        <v>2086665.36295</v>
      </c>
      <c r="EE597" s="30">
        <f t="shared" si="198"/>
        <v>2</v>
      </c>
      <c r="EF597" s="39">
        <f t="shared" si="199"/>
        <v>1043332.681475</v>
      </c>
    </row>
    <row r="598" spans="1:138" ht="76.5" x14ac:dyDescent="0.25">
      <c r="A598" s="25" t="e">
        <f>#REF!</f>
        <v>#REF!</v>
      </c>
      <c r="B598" s="50" t="e">
        <f>#REF!</f>
        <v>#REF!</v>
      </c>
      <c r="C598" s="5" t="e">
        <f>#REF!</f>
        <v>#REF!</v>
      </c>
      <c r="D598" s="5" t="e">
        <f>#REF!</f>
        <v>#REF!</v>
      </c>
      <c r="E598" s="252">
        <v>1</v>
      </c>
      <c r="F598" s="249">
        <v>0</v>
      </c>
      <c r="G598" s="249">
        <v>0</v>
      </c>
      <c r="H598" s="249">
        <v>73644.736666666679</v>
      </c>
      <c r="I598" s="249">
        <v>73542</v>
      </c>
      <c r="J598" s="249">
        <v>133426.11568658749</v>
      </c>
      <c r="K598" s="249">
        <v>133280</v>
      </c>
      <c r="L598" s="274">
        <f>AVERAGE(H598,J598)</f>
        <v>103535.42617662708</v>
      </c>
      <c r="M598" s="274">
        <f>AVERAGE(I598,K598)*E1</f>
        <v>106513.33</v>
      </c>
      <c r="N598" s="255">
        <v>75000</v>
      </c>
      <c r="O598" s="135">
        <f>+N598*0.19</f>
        <v>14250</v>
      </c>
      <c r="P598" s="135">
        <f>+N598+O598</f>
        <v>89250</v>
      </c>
      <c r="Q598" s="131"/>
      <c r="R598" s="131"/>
      <c r="S598" s="11"/>
      <c r="T598" s="274">
        <v>24970.000000000004</v>
      </c>
      <c r="U598" s="274">
        <f>+T598*0.19</f>
        <v>4744.3000000000011</v>
      </c>
      <c r="V598" s="274">
        <f>+T598+U598</f>
        <v>29714.300000000003</v>
      </c>
      <c r="W598" s="39" t="s">
        <v>4960</v>
      </c>
      <c r="X598" s="11" t="s">
        <v>2948</v>
      </c>
      <c r="Y598" s="11"/>
      <c r="Z598" s="274">
        <v>230000</v>
      </c>
      <c r="AA598" s="274">
        <f>+Z598*0.19</f>
        <v>43700</v>
      </c>
      <c r="AB598" s="274">
        <f>+Z598+AA598</f>
        <v>273700</v>
      </c>
      <c r="AC598" s="5" t="s">
        <v>4954</v>
      </c>
      <c r="AD598" s="22" t="s">
        <v>4795</v>
      </c>
      <c r="AE598" s="39"/>
      <c r="AF598" s="274"/>
      <c r="AG598" s="274"/>
      <c r="AH598" s="171"/>
      <c r="AI598" s="22"/>
      <c r="AJ598" s="39"/>
      <c r="AK598" s="39"/>
      <c r="AL598" s="118"/>
      <c r="AM598" s="152"/>
      <c r="AN598" s="181"/>
      <c r="AO598" s="131"/>
      <c r="AP598" s="131"/>
      <c r="AQ598" s="39"/>
      <c r="AR598" s="274"/>
      <c r="AS598" s="274"/>
      <c r="AT598" s="274"/>
      <c r="AU598" s="39"/>
      <c r="AV598" s="39"/>
      <c r="AW598" s="39"/>
      <c r="AX598" s="274"/>
      <c r="AY598" s="274"/>
      <c r="AZ598" s="274"/>
      <c r="BA598" s="39"/>
      <c r="BB598" s="62"/>
      <c r="BC598" s="39"/>
      <c r="BD598" s="118">
        <v>56650</v>
      </c>
      <c r="BE598" s="274">
        <f>+BD598*0.19</f>
        <v>10763.5</v>
      </c>
      <c r="BF598" s="274">
        <f>+BD598+BE598</f>
        <v>67413.5</v>
      </c>
      <c r="BG598" s="25" t="s">
        <v>4925</v>
      </c>
      <c r="BH598" s="5" t="s">
        <v>4969</v>
      </c>
      <c r="BI598" s="5" t="s">
        <v>4970</v>
      </c>
      <c r="BJ598" s="274">
        <v>121800</v>
      </c>
      <c r="BK598" s="274">
        <f t="shared" si="200"/>
        <v>23142</v>
      </c>
      <c r="BL598" s="274">
        <f t="shared" si="201"/>
        <v>144942</v>
      </c>
      <c r="BM598" s="214" t="s">
        <v>4336</v>
      </c>
      <c r="BN598" s="213" t="s">
        <v>424</v>
      </c>
      <c r="BO598" s="39"/>
      <c r="BP598" s="274"/>
      <c r="BQ598" s="274"/>
      <c r="BR598" s="274"/>
      <c r="BS598" s="39"/>
      <c r="BT598" s="39"/>
      <c r="BU598" s="39"/>
      <c r="BV598" s="212">
        <v>145052.83799999999</v>
      </c>
      <c r="BW598" s="219">
        <f t="shared" si="202"/>
        <v>27560.039219999999</v>
      </c>
      <c r="BX598" s="273">
        <f t="shared" si="203"/>
        <v>172612.87721999999</v>
      </c>
      <c r="BY598" s="214" t="s">
        <v>4336</v>
      </c>
      <c r="BZ598" s="213" t="s">
        <v>424</v>
      </c>
      <c r="CA598" s="213"/>
      <c r="CB598" s="274"/>
      <c r="CC598" s="274"/>
      <c r="CD598" s="274"/>
      <c r="CE598" s="39"/>
      <c r="CF598" s="39"/>
      <c r="CG598" s="39"/>
      <c r="CH598" s="274"/>
      <c r="CI598" s="274"/>
      <c r="CJ598" s="274"/>
      <c r="CK598" s="39"/>
      <c r="CL598" s="39"/>
      <c r="CM598" s="39"/>
      <c r="CN598" s="39"/>
      <c r="CO598" s="39"/>
      <c r="CP598" s="11"/>
      <c r="CQ598" s="11"/>
      <c r="CR598" s="11"/>
      <c r="CS598" s="11"/>
      <c r="CT598" s="11"/>
      <c r="CU598" s="11"/>
      <c r="CV598" s="11"/>
      <c r="CW598" s="11"/>
      <c r="CX598" s="11"/>
      <c r="CY598" s="11"/>
      <c r="CZ598" s="11"/>
      <c r="DA598" s="11"/>
      <c r="DB598" s="11"/>
      <c r="DC598" s="11"/>
      <c r="DD598" s="11"/>
      <c r="DE598" s="11"/>
      <c r="DF598" s="11"/>
      <c r="DG598" s="11"/>
      <c r="DH598" s="11"/>
      <c r="DI598" s="11"/>
      <c r="DJ598" s="11"/>
      <c r="DK598" s="11"/>
      <c r="DL598" s="274"/>
      <c r="DM598" s="274"/>
      <c r="DN598" s="274"/>
      <c r="DO598" s="274"/>
      <c r="DP598" s="274"/>
      <c r="DQ598" s="274"/>
      <c r="DR598" s="274"/>
      <c r="DS598" s="274"/>
      <c r="DT598" s="274"/>
      <c r="DU598" s="274"/>
      <c r="DV598" s="274"/>
      <c r="DW598" s="274"/>
      <c r="DX598" s="274"/>
      <c r="DY598" s="274"/>
      <c r="DZ598" s="274"/>
      <c r="EA598" s="274"/>
      <c r="EB598" s="274"/>
      <c r="EC598" s="274"/>
      <c r="ED598" s="39">
        <f t="shared" si="197"/>
        <v>884146.00722000003</v>
      </c>
      <c r="EE598" s="30">
        <f t="shared" si="198"/>
        <v>7</v>
      </c>
      <c r="EF598" s="39">
        <f t="shared" si="199"/>
        <v>126306.57246000001</v>
      </c>
    </row>
    <row r="599" spans="1:138" x14ac:dyDescent="0.25">
      <c r="A599" s="25" t="e">
        <f>#REF!</f>
        <v>#REF!</v>
      </c>
      <c r="B599" s="50" t="e">
        <f>#REF!</f>
        <v>#REF!</v>
      </c>
      <c r="C599" s="5" t="e">
        <f>#REF!</f>
        <v>#REF!</v>
      </c>
      <c r="D599" s="5" t="e">
        <f>#REF!</f>
        <v>#REF!</v>
      </c>
      <c r="E599" s="252">
        <v>1</v>
      </c>
      <c r="F599" s="249">
        <v>0</v>
      </c>
      <c r="G599" s="249">
        <v>0</v>
      </c>
      <c r="H599" s="249">
        <v>202387.26666666669</v>
      </c>
      <c r="I599" s="249">
        <v>202300</v>
      </c>
      <c r="J599" s="249">
        <v>305067.07</v>
      </c>
      <c r="K599" s="249">
        <v>297500</v>
      </c>
      <c r="L599" s="274">
        <f>AVERAGE(H599,J599)</f>
        <v>253727.16833333333</v>
      </c>
      <c r="M599" s="274">
        <f>AVERAGE(I599,K599)*E1</f>
        <v>257397</v>
      </c>
      <c r="N599" s="255"/>
      <c r="O599" s="135"/>
      <c r="P599" s="135"/>
      <c r="Q599" s="131"/>
      <c r="R599" s="131"/>
      <c r="S599" s="11"/>
      <c r="T599" s="274"/>
      <c r="U599" s="274"/>
      <c r="V599" s="274"/>
      <c r="W599" s="39"/>
      <c r="X599" s="11"/>
      <c r="Y599" s="11"/>
      <c r="Z599" s="274"/>
      <c r="AA599" s="274"/>
      <c r="AB599" s="274"/>
      <c r="AC599" s="52"/>
      <c r="AD599" s="22"/>
      <c r="AE599" s="39"/>
      <c r="AF599" s="274"/>
      <c r="AG599" s="274"/>
      <c r="AH599" s="171"/>
      <c r="AI599" s="22"/>
      <c r="AJ599" s="39"/>
      <c r="AK599" s="39"/>
      <c r="AL599" s="118"/>
      <c r="AM599" s="152"/>
      <c r="AN599" s="181"/>
      <c r="AO599" s="131"/>
      <c r="AP599" s="131"/>
      <c r="AQ599" s="39"/>
      <c r="AR599" s="274"/>
      <c r="AS599" s="274"/>
      <c r="AT599" s="274"/>
      <c r="AU599" s="39"/>
      <c r="AV599" s="39"/>
      <c r="AW599" s="39"/>
      <c r="AX599" s="274"/>
      <c r="AY599" s="274"/>
      <c r="AZ599" s="274"/>
      <c r="BA599" s="39"/>
      <c r="BB599" s="62"/>
      <c r="BC599" s="39"/>
      <c r="BD599" s="274"/>
      <c r="BE599" s="274"/>
      <c r="BF599" s="274"/>
      <c r="BG599" s="39"/>
      <c r="BH599" s="39"/>
      <c r="BI599" s="39"/>
      <c r="BJ599" s="274">
        <v>260600</v>
      </c>
      <c r="BK599" s="274">
        <f t="shared" si="200"/>
        <v>49514</v>
      </c>
      <c r="BL599" s="274">
        <f t="shared" si="201"/>
        <v>310114</v>
      </c>
      <c r="BM599" s="214" t="s">
        <v>4820</v>
      </c>
      <c r="BN599" s="213" t="s">
        <v>2925</v>
      </c>
      <c r="BO599" s="39"/>
      <c r="BP599" s="274"/>
      <c r="BQ599" s="274"/>
      <c r="BR599" s="274"/>
      <c r="BS599" s="39"/>
      <c r="BT599" s="39"/>
      <c r="BU599" s="39"/>
      <c r="BV599" s="212">
        <v>279235.24540000001</v>
      </c>
      <c r="BW599" s="219">
        <f t="shared" si="202"/>
        <v>53054.696626000004</v>
      </c>
      <c r="BX599" s="273">
        <f t="shared" si="203"/>
        <v>332289.942026</v>
      </c>
      <c r="BY599" s="214" t="s">
        <v>4820</v>
      </c>
      <c r="BZ599" s="213" t="s">
        <v>2925</v>
      </c>
      <c r="CA599" s="213"/>
      <c r="CB599" s="274"/>
      <c r="CC599" s="274"/>
      <c r="CD599" s="274"/>
      <c r="CE599" s="39"/>
      <c r="CF599" s="39"/>
      <c r="CG599" s="39"/>
      <c r="CH599" s="274"/>
      <c r="CI599" s="274"/>
      <c r="CJ599" s="274"/>
      <c r="CK599" s="39"/>
      <c r="CL599" s="39"/>
      <c r="CM599" s="39"/>
      <c r="CN599" s="39"/>
      <c r="CO599" s="39"/>
      <c r="CP599" s="11"/>
      <c r="CQ599" s="11"/>
      <c r="CR599" s="11"/>
      <c r="CS599" s="11"/>
      <c r="CT599" s="11"/>
      <c r="CU599" s="11"/>
      <c r="CV599" s="11"/>
      <c r="CW599" s="11"/>
      <c r="CX599" s="11"/>
      <c r="CY599" s="11"/>
      <c r="CZ599" s="11"/>
      <c r="DA599" s="11"/>
      <c r="DB599" s="11"/>
      <c r="DC599" s="11"/>
      <c r="DD599" s="11"/>
      <c r="DE599" s="11"/>
      <c r="DF599" s="11"/>
      <c r="DG599" s="11"/>
      <c r="DH599" s="11"/>
      <c r="DI599" s="11"/>
      <c r="DJ599" s="11"/>
      <c r="DK599" s="11"/>
      <c r="DL599" s="274"/>
      <c r="DM599" s="274"/>
      <c r="DN599" s="274"/>
      <c r="DO599" s="274"/>
      <c r="DP599" s="274"/>
      <c r="DQ599" s="274"/>
      <c r="DR599" s="274"/>
      <c r="DS599" s="274"/>
      <c r="DT599" s="274"/>
      <c r="DU599" s="274"/>
      <c r="DV599" s="274"/>
      <c r="DW599" s="274"/>
      <c r="DX599" s="274"/>
      <c r="DY599" s="274"/>
      <c r="DZ599" s="274"/>
      <c r="EA599" s="274"/>
      <c r="EB599" s="274"/>
      <c r="EC599" s="274"/>
      <c r="ED599" s="39">
        <f t="shared" si="197"/>
        <v>899800.942026</v>
      </c>
      <c r="EE599" s="30">
        <f t="shared" si="198"/>
        <v>3</v>
      </c>
      <c r="EF599" s="39">
        <f t="shared" si="199"/>
        <v>299933.64734199998</v>
      </c>
    </row>
    <row r="600" spans="1:138" ht="24" x14ac:dyDescent="0.25">
      <c r="A600" s="25" t="e">
        <f>#REF!</f>
        <v>#REF!</v>
      </c>
      <c r="B600" s="50" t="e">
        <f>#REF!</f>
        <v>#REF!</v>
      </c>
      <c r="C600" s="5" t="e">
        <f>#REF!</f>
        <v>#REF!</v>
      </c>
      <c r="D600" s="5" t="e">
        <f>#REF!</f>
        <v>#REF!</v>
      </c>
      <c r="E600" s="252">
        <v>1</v>
      </c>
      <c r="F600" s="249">
        <v>0</v>
      </c>
      <c r="G600" s="249">
        <v>0</v>
      </c>
      <c r="H600" s="249">
        <v>523600</v>
      </c>
      <c r="I600" s="249">
        <v>523481</v>
      </c>
      <c r="J600" s="249">
        <v>0</v>
      </c>
      <c r="K600" s="249">
        <v>0</v>
      </c>
      <c r="L600" s="274">
        <f>H600</f>
        <v>523600</v>
      </c>
      <c r="M600" s="274">
        <f>I600*E1</f>
        <v>539185.43000000005</v>
      </c>
      <c r="N600" s="255"/>
      <c r="O600" s="138"/>
      <c r="P600" s="135"/>
      <c r="Q600" s="131"/>
      <c r="R600" s="131"/>
      <c r="S600" s="11"/>
      <c r="T600" s="274"/>
      <c r="U600" s="274"/>
      <c r="V600" s="274"/>
      <c r="W600" s="39"/>
      <c r="X600" s="11"/>
      <c r="Y600" s="11"/>
      <c r="Z600" s="274"/>
      <c r="AA600" s="274"/>
      <c r="AB600" s="274"/>
      <c r="AC600" s="52"/>
      <c r="AD600" s="23"/>
      <c r="AE600" s="39"/>
      <c r="AF600" s="274"/>
      <c r="AG600" s="274"/>
      <c r="AH600" s="113"/>
      <c r="AI600" s="23"/>
      <c r="AJ600" s="39"/>
      <c r="AK600" s="39"/>
      <c r="AL600" s="118"/>
      <c r="AM600" s="152"/>
      <c r="AN600" s="152"/>
      <c r="AO600" s="131"/>
      <c r="AP600" s="131"/>
      <c r="AQ600" s="39"/>
      <c r="AR600" s="274"/>
      <c r="AS600" s="274"/>
      <c r="AT600" s="274"/>
      <c r="AU600" s="39"/>
      <c r="AV600" s="39"/>
      <c r="AW600" s="39"/>
      <c r="AX600" s="274"/>
      <c r="AY600" s="274"/>
      <c r="AZ600" s="274"/>
      <c r="BA600" s="39"/>
      <c r="BB600" s="62"/>
      <c r="BC600" s="39"/>
      <c r="BD600" s="274"/>
      <c r="BE600" s="274"/>
      <c r="BF600" s="274"/>
      <c r="BG600" s="39"/>
      <c r="BH600" s="39"/>
      <c r="BI600" s="39"/>
      <c r="BJ600" s="274">
        <v>159800</v>
      </c>
      <c r="BK600" s="274">
        <f t="shared" si="200"/>
        <v>30362</v>
      </c>
      <c r="BL600" s="274">
        <f t="shared" si="201"/>
        <v>190162</v>
      </c>
      <c r="BM600" s="214" t="s">
        <v>4977</v>
      </c>
      <c r="BN600" s="213" t="s">
        <v>424</v>
      </c>
      <c r="BO600" s="39"/>
      <c r="BP600" s="274"/>
      <c r="BQ600" s="274"/>
      <c r="BR600" s="274"/>
      <c r="BS600" s="39"/>
      <c r="BT600" s="39"/>
      <c r="BU600" s="39"/>
      <c r="BV600" s="212">
        <v>174503.51760000002</v>
      </c>
      <c r="BW600" s="219">
        <f t="shared" si="202"/>
        <v>33155.668344000005</v>
      </c>
      <c r="BX600" s="273">
        <f t="shared" si="203"/>
        <v>207659.18594400003</v>
      </c>
      <c r="BY600" s="214" t="s">
        <v>4977</v>
      </c>
      <c r="BZ600" s="213" t="s">
        <v>424</v>
      </c>
      <c r="CA600" s="213"/>
      <c r="CB600" s="274"/>
      <c r="CC600" s="274"/>
      <c r="CD600" s="274"/>
      <c r="CE600" s="39"/>
      <c r="CF600" s="39"/>
      <c r="CG600" s="39"/>
      <c r="CH600" s="274"/>
      <c r="CI600" s="274"/>
      <c r="CJ600" s="274"/>
      <c r="CK600" s="39"/>
      <c r="CL600" s="39"/>
      <c r="CM600" s="39"/>
      <c r="CN600" s="39"/>
      <c r="CO600" s="39"/>
      <c r="CP600" s="11"/>
      <c r="CQ600" s="11"/>
      <c r="CR600" s="11"/>
      <c r="CS600" s="11"/>
      <c r="CT600" s="11"/>
      <c r="CU600" s="11"/>
      <c r="CV600" s="11"/>
      <c r="CW600" s="11"/>
      <c r="CX600" s="11"/>
      <c r="CY600" s="11"/>
      <c r="CZ600" s="11"/>
      <c r="DA600" s="11"/>
      <c r="DB600" s="11"/>
      <c r="DC600" s="11"/>
      <c r="DD600" s="11"/>
      <c r="DE600" s="11"/>
      <c r="DF600" s="11"/>
      <c r="DG600" s="11"/>
      <c r="DH600" s="11"/>
      <c r="DI600" s="11"/>
      <c r="DJ600" s="11"/>
      <c r="DK600" s="11"/>
      <c r="DL600" s="274"/>
      <c r="DM600" s="274"/>
      <c r="DN600" s="274"/>
      <c r="DO600" s="274"/>
      <c r="DP600" s="274"/>
      <c r="DQ600" s="274"/>
      <c r="DR600" s="274"/>
      <c r="DS600" s="274"/>
      <c r="DT600" s="274"/>
      <c r="DU600" s="274"/>
      <c r="DV600" s="274"/>
      <c r="DW600" s="274"/>
      <c r="DX600" s="274"/>
      <c r="DY600" s="274"/>
      <c r="DZ600" s="274"/>
      <c r="EA600" s="274"/>
      <c r="EB600" s="274"/>
      <c r="EC600" s="274"/>
      <c r="ED600" s="39">
        <f t="shared" si="197"/>
        <v>937006.61594400008</v>
      </c>
      <c r="EE600" s="30">
        <f t="shared" si="198"/>
        <v>3</v>
      </c>
      <c r="EF600" s="39">
        <f t="shared" si="199"/>
        <v>312335.53864800005</v>
      </c>
    </row>
    <row r="601" spans="1:138" x14ac:dyDescent="0.25">
      <c r="A601" s="25" t="e">
        <f>#REF!</f>
        <v>#REF!</v>
      </c>
      <c r="B601" s="50" t="e">
        <f>#REF!</f>
        <v>#REF!</v>
      </c>
      <c r="C601" s="5" t="e">
        <f>#REF!</f>
        <v>#REF!</v>
      </c>
      <c r="D601" s="5" t="e">
        <f>#REF!</f>
        <v>#REF!</v>
      </c>
      <c r="E601" s="252">
        <v>1</v>
      </c>
      <c r="F601" s="249">
        <v>0</v>
      </c>
      <c r="G601" s="249">
        <v>0</v>
      </c>
      <c r="H601" s="249">
        <v>265516.76666666666</v>
      </c>
      <c r="I601" s="249">
        <v>265370</v>
      </c>
      <c r="J601" s="249">
        <v>0</v>
      </c>
      <c r="K601" s="249">
        <v>0</v>
      </c>
      <c r="L601" s="274">
        <f>H601</f>
        <v>265516.76666666666</v>
      </c>
      <c r="M601" s="274">
        <f>I601*E1</f>
        <v>273331.10000000003</v>
      </c>
      <c r="N601" s="255"/>
      <c r="O601" s="135"/>
      <c r="P601" s="135"/>
      <c r="Q601" s="131"/>
      <c r="R601" s="131"/>
      <c r="S601" s="11"/>
      <c r="T601" s="274"/>
      <c r="U601" s="274"/>
      <c r="V601" s="274"/>
      <c r="W601" s="39"/>
      <c r="X601" s="11"/>
      <c r="Y601" s="11"/>
      <c r="Z601" s="274"/>
      <c r="AA601" s="274"/>
      <c r="AB601" s="274"/>
      <c r="AC601" s="52"/>
      <c r="AD601" s="22"/>
      <c r="AE601" s="39"/>
      <c r="AF601" s="274"/>
      <c r="AG601" s="274"/>
      <c r="AH601" s="113"/>
      <c r="AI601" s="4"/>
      <c r="AJ601" s="39"/>
      <c r="AK601" s="39"/>
      <c r="AL601" s="118"/>
      <c r="AM601" s="152"/>
      <c r="AN601" s="181"/>
      <c r="AO601" s="131"/>
      <c r="AP601" s="131"/>
      <c r="AQ601" s="39"/>
      <c r="AR601" s="274"/>
      <c r="AS601" s="274"/>
      <c r="AT601" s="274"/>
      <c r="AU601" s="39"/>
      <c r="AV601" s="39"/>
      <c r="AW601" s="39"/>
      <c r="AX601" s="274"/>
      <c r="AY601" s="274"/>
      <c r="AZ601" s="274"/>
      <c r="BA601" s="39"/>
      <c r="BB601" s="62"/>
      <c r="BC601" s="39"/>
      <c r="BD601" s="274"/>
      <c r="BE601" s="274"/>
      <c r="BF601" s="274"/>
      <c r="BG601" s="39"/>
      <c r="BH601" s="39"/>
      <c r="BI601" s="39"/>
      <c r="BJ601" s="274">
        <v>285300</v>
      </c>
      <c r="BK601" s="274">
        <f t="shared" si="200"/>
        <v>54207</v>
      </c>
      <c r="BL601" s="274">
        <f t="shared" si="201"/>
        <v>339507</v>
      </c>
      <c r="BM601" s="214" t="s">
        <v>2882</v>
      </c>
      <c r="BN601" s="213" t="s">
        <v>2925</v>
      </c>
      <c r="BO601" s="39"/>
      <c r="BP601" s="274"/>
      <c r="BQ601" s="274"/>
      <c r="BR601" s="274"/>
      <c r="BS601" s="39"/>
      <c r="BT601" s="39"/>
      <c r="BU601" s="39"/>
      <c r="BV601" s="212">
        <v>336286.53360000002</v>
      </c>
      <c r="BW601" s="219">
        <f t="shared" si="202"/>
        <v>63894.441384000005</v>
      </c>
      <c r="BX601" s="273">
        <f t="shared" si="203"/>
        <v>400180.97498400003</v>
      </c>
      <c r="BY601" s="214" t="s">
        <v>2882</v>
      </c>
      <c r="BZ601" s="213" t="s">
        <v>2925</v>
      </c>
      <c r="CA601" s="213"/>
      <c r="CB601" s="274"/>
      <c r="CC601" s="274"/>
      <c r="CD601" s="274"/>
      <c r="CE601" s="39"/>
      <c r="CF601" s="39"/>
      <c r="CG601" s="39"/>
      <c r="CH601" s="274"/>
      <c r="CI601" s="274"/>
      <c r="CJ601" s="274"/>
      <c r="CK601" s="39"/>
      <c r="CL601" s="39"/>
      <c r="CM601" s="39"/>
      <c r="CN601" s="39"/>
      <c r="CO601" s="39"/>
      <c r="CP601" s="11"/>
      <c r="CQ601" s="11"/>
      <c r="CR601" s="11"/>
      <c r="CS601" s="11"/>
      <c r="CT601" s="11"/>
      <c r="CU601" s="11"/>
      <c r="CV601" s="11"/>
      <c r="CW601" s="11"/>
      <c r="CX601" s="11"/>
      <c r="CY601" s="11"/>
      <c r="CZ601" s="11"/>
      <c r="DA601" s="11"/>
      <c r="DB601" s="11"/>
      <c r="DC601" s="11"/>
      <c r="DD601" s="11"/>
      <c r="DE601" s="11"/>
      <c r="DF601" s="11"/>
      <c r="DG601" s="11"/>
      <c r="DH601" s="11"/>
      <c r="DI601" s="11"/>
      <c r="DJ601" s="11"/>
      <c r="DK601" s="11"/>
      <c r="DL601" s="274"/>
      <c r="DM601" s="274"/>
      <c r="DN601" s="274"/>
      <c r="DO601" s="274"/>
      <c r="DP601" s="274"/>
      <c r="DQ601" s="274"/>
      <c r="DR601" s="274"/>
      <c r="DS601" s="274"/>
      <c r="DT601" s="274"/>
      <c r="DU601" s="274"/>
      <c r="DV601" s="274"/>
      <c r="DW601" s="274"/>
      <c r="DX601" s="274"/>
      <c r="DY601" s="274"/>
      <c r="DZ601" s="274"/>
      <c r="EA601" s="274"/>
      <c r="EB601" s="274"/>
      <c r="EC601" s="274"/>
      <c r="ED601" s="39">
        <f t="shared" si="197"/>
        <v>1013019.0749840001</v>
      </c>
      <c r="EE601" s="30">
        <f t="shared" si="198"/>
        <v>3</v>
      </c>
      <c r="EF601" s="39">
        <f t="shared" si="199"/>
        <v>337673.02499466669</v>
      </c>
    </row>
    <row r="602" spans="1:138" x14ac:dyDescent="0.25">
      <c r="A602" s="25" t="e">
        <f>#REF!</f>
        <v>#REF!</v>
      </c>
      <c r="B602" s="50" t="e">
        <f>#REF!</f>
        <v>#REF!</v>
      </c>
      <c r="C602" s="5" t="e">
        <f>#REF!</f>
        <v>#REF!</v>
      </c>
      <c r="D602" s="5" t="e">
        <f>#REF!</f>
        <v>#REF!</v>
      </c>
      <c r="E602" s="252">
        <v>1</v>
      </c>
      <c r="F602" s="249">
        <v>0</v>
      </c>
      <c r="G602" s="249">
        <v>0</v>
      </c>
      <c r="H602" s="249">
        <v>181594</v>
      </c>
      <c r="I602" s="249">
        <v>181475</v>
      </c>
      <c r="J602" s="249">
        <v>0</v>
      </c>
      <c r="K602" s="249">
        <v>0</v>
      </c>
      <c r="L602" s="274">
        <f>H602</f>
        <v>181594</v>
      </c>
      <c r="M602" s="274">
        <f>I602*E1</f>
        <v>186919.25</v>
      </c>
      <c r="N602" s="255"/>
      <c r="O602" s="138"/>
      <c r="P602" s="135"/>
      <c r="Q602" s="131"/>
      <c r="R602" s="131"/>
      <c r="S602" s="11"/>
      <c r="T602" s="274"/>
      <c r="U602" s="274"/>
      <c r="V602" s="274"/>
      <c r="W602" s="39"/>
      <c r="X602" s="11"/>
      <c r="Y602" s="11"/>
      <c r="Z602" s="274"/>
      <c r="AA602" s="274"/>
      <c r="AB602" s="274"/>
      <c r="AC602" s="52"/>
      <c r="AD602" s="22"/>
      <c r="AE602" s="39"/>
      <c r="AF602" s="274"/>
      <c r="AG602" s="274"/>
      <c r="AH602" s="113"/>
      <c r="AI602" s="4"/>
      <c r="AJ602" s="39"/>
      <c r="AK602" s="39"/>
      <c r="AL602" s="118"/>
      <c r="AM602" s="152"/>
      <c r="AN602" s="152"/>
      <c r="AO602" s="131"/>
      <c r="AP602" s="131"/>
      <c r="AQ602" s="39"/>
      <c r="AR602" s="274"/>
      <c r="AS602" s="274"/>
      <c r="AT602" s="274"/>
      <c r="AU602" s="39"/>
      <c r="AV602" s="39"/>
      <c r="AW602" s="39"/>
      <c r="AX602" s="274"/>
      <c r="AY602" s="274"/>
      <c r="AZ602" s="274"/>
      <c r="BA602" s="39"/>
      <c r="BB602" s="62"/>
      <c r="BC602" s="39"/>
      <c r="BD602" s="274"/>
      <c r="BE602" s="274"/>
      <c r="BF602" s="274"/>
      <c r="BG602" s="39"/>
      <c r="BH602" s="39"/>
      <c r="BI602" s="39"/>
      <c r="BJ602" s="274">
        <v>153900</v>
      </c>
      <c r="BK602" s="274">
        <f t="shared" si="200"/>
        <v>29241</v>
      </c>
      <c r="BL602" s="274">
        <f t="shared" si="201"/>
        <v>183141</v>
      </c>
      <c r="BM602" s="214" t="s">
        <v>3564</v>
      </c>
      <c r="BN602" s="213" t="s">
        <v>2925</v>
      </c>
      <c r="BO602" s="39"/>
      <c r="BP602" s="274"/>
      <c r="BQ602" s="274"/>
      <c r="BR602" s="274"/>
      <c r="BS602" s="39"/>
      <c r="BT602" s="39"/>
      <c r="BU602" s="39"/>
      <c r="BV602" s="212">
        <v>161718.73559999999</v>
      </c>
      <c r="BW602" s="219">
        <f t="shared" si="202"/>
        <v>30726.559763999998</v>
      </c>
      <c r="BX602" s="273">
        <f t="shared" si="203"/>
        <v>192445.29536399999</v>
      </c>
      <c r="BY602" s="214" t="s">
        <v>3564</v>
      </c>
      <c r="BZ602" s="213" t="s">
        <v>2925</v>
      </c>
      <c r="CA602" s="213"/>
      <c r="CB602" s="275"/>
      <c r="CC602" s="274"/>
      <c r="CD602" s="274"/>
      <c r="CE602" s="39"/>
      <c r="CF602" s="39"/>
      <c r="CG602" s="39"/>
      <c r="CH602" s="274"/>
      <c r="CI602" s="274"/>
      <c r="CJ602" s="274"/>
      <c r="CK602" s="39"/>
      <c r="CL602" s="39"/>
      <c r="CM602" s="39"/>
      <c r="CN602" s="39"/>
      <c r="CO602" s="39"/>
      <c r="CP602" s="11"/>
      <c r="CQ602" s="11"/>
      <c r="CR602" s="11"/>
      <c r="CS602" s="11"/>
      <c r="CT602" s="11"/>
      <c r="CU602" s="11"/>
      <c r="CV602" s="11"/>
      <c r="CW602" s="11"/>
      <c r="CX602" s="11"/>
      <c r="CY602" s="11"/>
      <c r="CZ602" s="11"/>
      <c r="DA602" s="11"/>
      <c r="DB602" s="11"/>
      <c r="DC602" s="11"/>
      <c r="DD602" s="11"/>
      <c r="DE602" s="11"/>
      <c r="DF602" s="11"/>
      <c r="DG602" s="11"/>
      <c r="DH602" s="11"/>
      <c r="DI602" s="11"/>
      <c r="DJ602" s="11"/>
      <c r="DK602" s="11"/>
      <c r="DL602" s="274"/>
      <c r="DM602" s="274"/>
      <c r="DN602" s="274"/>
      <c r="DO602" s="274"/>
      <c r="DP602" s="274"/>
      <c r="DQ602" s="274"/>
      <c r="DR602" s="274"/>
      <c r="DS602" s="274"/>
      <c r="DT602" s="274"/>
      <c r="DU602" s="274"/>
      <c r="DV602" s="274"/>
      <c r="DW602" s="274"/>
      <c r="DX602" s="274"/>
      <c r="DY602" s="274"/>
      <c r="DZ602" s="274"/>
      <c r="EA602" s="274"/>
      <c r="EB602" s="274"/>
      <c r="EC602" s="274"/>
      <c r="ED602" s="39">
        <f t="shared" si="197"/>
        <v>562505.54536400002</v>
      </c>
      <c r="EE602" s="30">
        <f t="shared" si="198"/>
        <v>3</v>
      </c>
      <c r="EF602" s="39">
        <f t="shared" si="199"/>
        <v>187501.84845466667</v>
      </c>
    </row>
    <row r="603" spans="1:138" ht="51" x14ac:dyDescent="0.25">
      <c r="A603" s="25" t="e">
        <f>#REF!</f>
        <v>#REF!</v>
      </c>
      <c r="B603" s="50" t="e">
        <f>#REF!</f>
        <v>#REF!</v>
      </c>
      <c r="C603" s="5" t="e">
        <f>#REF!</f>
        <v>#REF!</v>
      </c>
      <c r="D603" s="5" t="e">
        <f>#REF!</f>
        <v>#REF!</v>
      </c>
      <c r="E603" s="252">
        <v>1</v>
      </c>
      <c r="F603" s="249">
        <v>0</v>
      </c>
      <c r="G603" s="249">
        <v>0</v>
      </c>
      <c r="H603" s="249">
        <v>232234.44999999998</v>
      </c>
      <c r="I603" s="249">
        <v>0</v>
      </c>
      <c r="J603" s="249">
        <v>406106.01317713573</v>
      </c>
      <c r="K603" s="249">
        <v>0</v>
      </c>
      <c r="L603" s="274">
        <f>AVERAGE(H603,J603)</f>
        <v>319170.23158856784</v>
      </c>
      <c r="M603" s="274"/>
      <c r="N603" s="256">
        <v>700000</v>
      </c>
      <c r="O603" s="135">
        <f>+N603*0.19</f>
        <v>133000</v>
      </c>
      <c r="P603" s="135">
        <f>+N603+O603</f>
        <v>833000</v>
      </c>
      <c r="Q603" s="131"/>
      <c r="R603" s="131"/>
      <c r="S603" s="11"/>
      <c r="T603" s="274"/>
      <c r="U603" s="274"/>
      <c r="V603" s="274"/>
      <c r="W603" s="39"/>
      <c r="X603" s="11"/>
      <c r="Y603" s="11"/>
      <c r="Z603" s="274">
        <v>430000</v>
      </c>
      <c r="AA603" s="274">
        <f>+Z603*0.19</f>
        <v>81700</v>
      </c>
      <c r="AB603" s="274">
        <f>+Z603+AA603</f>
        <v>511700</v>
      </c>
      <c r="AC603" s="5" t="s">
        <v>4954</v>
      </c>
      <c r="AD603" s="22" t="s">
        <v>4795</v>
      </c>
      <c r="AE603" s="39"/>
      <c r="AF603" s="274"/>
      <c r="AG603" s="274"/>
      <c r="AH603" s="113"/>
      <c r="AI603" s="4"/>
      <c r="AJ603" s="39"/>
      <c r="AK603" s="39"/>
      <c r="AL603" s="118"/>
      <c r="AM603" s="152"/>
      <c r="AN603" s="181"/>
      <c r="AO603" s="131"/>
      <c r="AP603" s="131"/>
      <c r="AQ603" s="39"/>
      <c r="AR603" s="274"/>
      <c r="AS603" s="274"/>
      <c r="AT603" s="274"/>
      <c r="AU603" s="39"/>
      <c r="AV603" s="39"/>
      <c r="AW603" s="39"/>
      <c r="AX603" s="274"/>
      <c r="AY603" s="274"/>
      <c r="AZ603" s="274"/>
      <c r="BA603" s="39"/>
      <c r="BB603" s="62"/>
      <c r="BC603" s="39"/>
      <c r="BD603" s="118">
        <v>260590</v>
      </c>
      <c r="BE603" s="274">
        <f>+BD603*0.19</f>
        <v>49512.1</v>
      </c>
      <c r="BF603" s="274">
        <f>+BD603+BE603</f>
        <v>310102.09999999998</v>
      </c>
      <c r="BG603" s="25" t="s">
        <v>4224</v>
      </c>
      <c r="BH603" s="5" t="s">
        <v>4955</v>
      </c>
      <c r="BI603" s="5" t="s">
        <v>4956</v>
      </c>
      <c r="BJ603" s="274">
        <v>817500</v>
      </c>
      <c r="BK603" s="274">
        <f t="shared" si="200"/>
        <v>155325</v>
      </c>
      <c r="BL603" s="274">
        <f t="shared" si="201"/>
        <v>972825</v>
      </c>
      <c r="BM603" s="215" t="s">
        <v>4346</v>
      </c>
      <c r="BN603" s="213" t="s">
        <v>2925</v>
      </c>
      <c r="BO603" s="39"/>
      <c r="BP603" s="274"/>
      <c r="BQ603" s="274"/>
      <c r="BR603" s="274"/>
      <c r="BS603" s="39"/>
      <c r="BT603" s="39"/>
      <c r="BU603" s="39"/>
      <c r="BV603" s="212">
        <v>919322.89500000002</v>
      </c>
      <c r="BW603" s="219">
        <f t="shared" si="202"/>
        <v>174671.35005000001</v>
      </c>
      <c r="BX603" s="273">
        <f t="shared" si="203"/>
        <v>1093994.24505</v>
      </c>
      <c r="BY603" s="215" t="s">
        <v>4346</v>
      </c>
      <c r="BZ603" s="213" t="s">
        <v>2925</v>
      </c>
      <c r="CA603" s="213"/>
      <c r="CB603" s="274"/>
      <c r="CC603" s="274"/>
      <c r="CD603" s="274"/>
      <c r="CE603" s="39"/>
      <c r="CF603" s="39"/>
      <c r="CG603" s="39"/>
      <c r="CH603" s="275"/>
      <c r="CI603" s="275"/>
      <c r="CJ603" s="275"/>
      <c r="CK603" s="39"/>
      <c r="CL603" s="39"/>
      <c r="CM603" s="39"/>
      <c r="CN603" s="39"/>
      <c r="CO603" s="39"/>
      <c r="CP603" s="11"/>
      <c r="CQ603" s="11"/>
      <c r="CR603" s="11"/>
      <c r="CS603" s="11"/>
      <c r="CT603" s="11"/>
      <c r="CU603" s="11"/>
      <c r="CV603" s="11"/>
      <c r="CW603" s="11"/>
      <c r="CX603" s="11"/>
      <c r="CY603" s="11"/>
      <c r="CZ603" s="11"/>
      <c r="DA603" s="11"/>
      <c r="DB603" s="11"/>
      <c r="DC603" s="11"/>
      <c r="DD603" s="11"/>
      <c r="DE603" s="11"/>
      <c r="DF603" s="11"/>
      <c r="DG603" s="11"/>
      <c r="DH603" s="11"/>
      <c r="DI603" s="11"/>
      <c r="DJ603" s="11"/>
      <c r="DK603" s="11"/>
      <c r="DL603" s="274"/>
      <c r="DM603" s="274"/>
      <c r="DN603" s="274"/>
      <c r="DO603" s="274"/>
      <c r="DP603" s="274"/>
      <c r="DQ603" s="274"/>
      <c r="DR603" s="274"/>
      <c r="DS603" s="274"/>
      <c r="DT603" s="274"/>
      <c r="DU603" s="274"/>
      <c r="DV603" s="274"/>
      <c r="DW603" s="274"/>
      <c r="DX603" s="274"/>
      <c r="DY603" s="274"/>
      <c r="DZ603" s="274"/>
      <c r="EA603" s="274"/>
      <c r="EB603" s="274"/>
      <c r="EC603" s="274"/>
      <c r="ED603" s="39">
        <f t="shared" si="197"/>
        <v>3721621.3450500001</v>
      </c>
      <c r="EE603" s="30">
        <f t="shared" si="198"/>
        <v>5</v>
      </c>
      <c r="EF603" s="39">
        <f t="shared" si="199"/>
        <v>744324.26901000005</v>
      </c>
    </row>
    <row r="604" spans="1:138" ht="36" x14ac:dyDescent="0.25">
      <c r="A604" s="25" t="e">
        <f>#REF!</f>
        <v>#REF!</v>
      </c>
      <c r="B604" s="50" t="e">
        <f>#REF!</f>
        <v>#REF!</v>
      </c>
      <c r="C604" s="5" t="e">
        <f>#REF!</f>
        <v>#REF!</v>
      </c>
      <c r="D604" s="5" t="e">
        <f>#REF!</f>
        <v>#REF!</v>
      </c>
      <c r="E604" s="252">
        <v>1</v>
      </c>
      <c r="F604" s="249">
        <v>0</v>
      </c>
      <c r="G604" s="249">
        <v>0</v>
      </c>
      <c r="H604" s="249">
        <v>235966.29</v>
      </c>
      <c r="I604" s="249">
        <v>0</v>
      </c>
      <c r="J604" s="249">
        <v>0</v>
      </c>
      <c r="K604" s="249">
        <v>0</v>
      </c>
      <c r="L604" s="274">
        <f>H604</f>
        <v>235966.29</v>
      </c>
      <c r="M604" s="274"/>
      <c r="N604" s="255"/>
      <c r="O604" s="136"/>
      <c r="P604" s="135"/>
      <c r="Q604" s="131"/>
      <c r="R604" s="131"/>
      <c r="S604" s="11"/>
      <c r="T604" s="274"/>
      <c r="U604" s="274"/>
      <c r="V604" s="274"/>
      <c r="W604" s="39"/>
      <c r="X604" s="11"/>
      <c r="Y604" s="11"/>
      <c r="Z604" s="274"/>
      <c r="AA604" s="274"/>
      <c r="AB604" s="274"/>
      <c r="AC604" s="52"/>
      <c r="AD604" s="22"/>
      <c r="AE604" s="39"/>
      <c r="AF604" s="274"/>
      <c r="AG604" s="274"/>
      <c r="AH604" s="113"/>
      <c r="AI604" s="22"/>
      <c r="AJ604" s="39"/>
      <c r="AK604" s="39"/>
      <c r="AL604" s="118"/>
      <c r="AM604" s="152"/>
      <c r="AN604" s="152"/>
      <c r="AO604" s="131"/>
      <c r="AP604" s="131"/>
      <c r="AQ604" s="39"/>
      <c r="AR604" s="274"/>
      <c r="AS604" s="274"/>
      <c r="AT604" s="274"/>
      <c r="AU604" s="39"/>
      <c r="AV604" s="39"/>
      <c r="AW604" s="39"/>
      <c r="AX604" s="274"/>
      <c r="AY604" s="274"/>
      <c r="AZ604" s="274"/>
      <c r="BA604" s="39"/>
      <c r="BB604" s="62"/>
      <c r="BC604" s="39"/>
      <c r="BD604" s="274"/>
      <c r="BE604" s="274"/>
      <c r="BF604" s="274"/>
      <c r="BG604" s="39"/>
      <c r="BH604" s="39"/>
      <c r="BI604" s="39"/>
      <c r="BJ604" s="274">
        <f>817500/10</f>
        <v>81750</v>
      </c>
      <c r="BK604" s="274">
        <f t="shared" si="200"/>
        <v>15532.5</v>
      </c>
      <c r="BL604" s="274">
        <f t="shared" si="201"/>
        <v>97282.5</v>
      </c>
      <c r="BM604" s="215" t="s">
        <v>4346</v>
      </c>
      <c r="BN604" s="213" t="s">
        <v>2925</v>
      </c>
      <c r="BO604" s="39"/>
      <c r="BP604" s="274"/>
      <c r="BQ604" s="274"/>
      <c r="BR604" s="274"/>
      <c r="BS604" s="39"/>
      <c r="BT604" s="39"/>
      <c r="BU604" s="39"/>
      <c r="BV604" s="212">
        <f>901892.16/10</f>
        <v>90189.216</v>
      </c>
      <c r="BW604" s="219">
        <f t="shared" si="202"/>
        <v>17135.95104</v>
      </c>
      <c r="BX604" s="273">
        <f t="shared" si="203"/>
        <v>107325.16704</v>
      </c>
      <c r="BY604" s="215" t="s">
        <v>4346</v>
      </c>
      <c r="BZ604" s="213" t="s">
        <v>2925</v>
      </c>
      <c r="CA604" s="213"/>
      <c r="CB604" s="274"/>
      <c r="CC604" s="274"/>
      <c r="CD604" s="274"/>
      <c r="CE604" s="39"/>
      <c r="CF604" s="39"/>
      <c r="CG604" s="39"/>
      <c r="CH604" s="274"/>
      <c r="CI604" s="274"/>
      <c r="CJ604" s="274"/>
      <c r="CK604" s="39"/>
      <c r="CL604" s="39"/>
      <c r="CM604" s="39"/>
      <c r="CN604" s="39"/>
      <c r="CO604" s="39"/>
      <c r="CP604" s="11"/>
      <c r="CQ604" s="11"/>
      <c r="CR604" s="11"/>
      <c r="CS604" s="11"/>
      <c r="CT604" s="11"/>
      <c r="CU604" s="11"/>
      <c r="CV604" s="11"/>
      <c r="CW604" s="11"/>
      <c r="CX604" s="11"/>
      <c r="CY604" s="11"/>
      <c r="CZ604" s="11"/>
      <c r="DA604" s="11"/>
      <c r="DB604" s="11"/>
      <c r="DC604" s="11"/>
      <c r="DD604" s="11"/>
      <c r="DE604" s="11"/>
      <c r="DF604" s="11"/>
      <c r="DG604" s="11"/>
      <c r="DH604" s="11"/>
      <c r="DI604" s="11"/>
      <c r="DJ604" s="11"/>
      <c r="DK604" s="11"/>
      <c r="DL604" s="274"/>
      <c r="DM604" s="274"/>
      <c r="DN604" s="274"/>
      <c r="DO604" s="274"/>
      <c r="DP604" s="274"/>
      <c r="DQ604" s="274"/>
      <c r="DR604" s="274"/>
      <c r="DS604" s="274"/>
      <c r="DT604" s="274"/>
      <c r="DU604" s="274"/>
      <c r="DV604" s="274"/>
      <c r="DW604" s="274"/>
      <c r="DX604" s="274"/>
      <c r="DY604" s="274"/>
      <c r="DZ604" s="274"/>
      <c r="EA604" s="274"/>
      <c r="EB604" s="274"/>
      <c r="EC604" s="274"/>
      <c r="ED604" s="39">
        <f t="shared" si="197"/>
        <v>204607.66704</v>
      </c>
      <c r="EE604" s="30">
        <f t="shared" si="198"/>
        <v>2</v>
      </c>
      <c r="EF604" s="39">
        <f t="shared" si="199"/>
        <v>102303.83352</v>
      </c>
    </row>
    <row r="605" spans="1:138" ht="38.25" x14ac:dyDescent="0.25">
      <c r="A605" s="25" t="e">
        <f>#REF!</f>
        <v>#REF!</v>
      </c>
      <c r="B605" s="50" t="e">
        <f>#REF!</f>
        <v>#REF!</v>
      </c>
      <c r="C605" s="5" t="e">
        <f>#REF!</f>
        <v>#REF!</v>
      </c>
      <c r="D605" s="5" t="e">
        <f>#REF!</f>
        <v>#REF!</v>
      </c>
      <c r="E605" s="252">
        <v>1</v>
      </c>
      <c r="F605" s="249">
        <v>0</v>
      </c>
      <c r="G605" s="249">
        <v>0</v>
      </c>
      <c r="H605" s="249">
        <v>179267.94666666666</v>
      </c>
      <c r="I605" s="249">
        <v>0</v>
      </c>
      <c r="J605" s="249">
        <v>152688.9</v>
      </c>
      <c r="K605" s="249">
        <v>0</v>
      </c>
      <c r="L605" s="274">
        <f>AVERAGE(H605,J605)</f>
        <v>165978.42333333334</v>
      </c>
      <c r="M605" s="274"/>
      <c r="N605" s="255">
        <v>130000</v>
      </c>
      <c r="O605" s="135">
        <f>+N605*0.19</f>
        <v>24700</v>
      </c>
      <c r="P605" s="135">
        <f>+N605+O605</f>
        <v>154700</v>
      </c>
      <c r="Q605" s="131"/>
      <c r="R605" s="131"/>
      <c r="S605" s="11"/>
      <c r="T605" s="274"/>
      <c r="U605" s="274"/>
      <c r="V605" s="274"/>
      <c r="W605" s="39"/>
      <c r="X605" s="11"/>
      <c r="Y605" s="11"/>
      <c r="Z605" s="274">
        <v>230000</v>
      </c>
      <c r="AA605" s="274">
        <f>+Z605*0.19</f>
        <v>43700</v>
      </c>
      <c r="AB605" s="274">
        <f>+Z605+AA605</f>
        <v>273700</v>
      </c>
      <c r="AC605" s="5" t="s">
        <v>4954</v>
      </c>
      <c r="AD605" s="22" t="s">
        <v>4795</v>
      </c>
      <c r="AE605" s="39"/>
      <c r="AF605" s="274"/>
      <c r="AG605" s="274"/>
      <c r="AH605" s="113"/>
      <c r="AI605" s="22"/>
      <c r="AJ605" s="39"/>
      <c r="AK605" s="39"/>
      <c r="AL605" s="118"/>
      <c r="AM605" s="152"/>
      <c r="AN605" s="152"/>
      <c r="AO605" s="131"/>
      <c r="AP605" s="131"/>
      <c r="AQ605" s="39"/>
      <c r="AR605" s="274"/>
      <c r="AS605" s="274"/>
      <c r="AT605" s="274"/>
      <c r="AU605" s="39"/>
      <c r="AV605" s="39"/>
      <c r="AW605" s="39"/>
      <c r="AX605" s="274"/>
      <c r="AY605" s="274"/>
      <c r="AZ605" s="274"/>
      <c r="BA605" s="39"/>
      <c r="BB605" s="62"/>
      <c r="BC605" s="39"/>
      <c r="BD605" s="118">
        <v>51500</v>
      </c>
      <c r="BE605" s="274">
        <f>+BD605*0.19</f>
        <v>9785</v>
      </c>
      <c r="BF605" s="274">
        <f>+BD605+BE605</f>
        <v>61285</v>
      </c>
      <c r="BG605" s="25" t="s">
        <v>4925</v>
      </c>
      <c r="BH605" s="5" t="s">
        <v>4961</v>
      </c>
      <c r="BI605" s="5" t="s">
        <v>4962</v>
      </c>
      <c r="BJ605" s="274">
        <f>305300/2</f>
        <v>152650</v>
      </c>
      <c r="BK605" s="274">
        <f t="shared" si="200"/>
        <v>29003.5</v>
      </c>
      <c r="BL605" s="274">
        <f t="shared" si="201"/>
        <v>181653.5</v>
      </c>
      <c r="BM605" s="214" t="s">
        <v>4978</v>
      </c>
      <c r="BN605" s="213" t="s">
        <v>2925</v>
      </c>
      <c r="BO605" s="39"/>
      <c r="BP605" s="274"/>
      <c r="BQ605" s="274"/>
      <c r="BR605" s="274"/>
      <c r="BS605" s="39"/>
      <c r="BT605" s="39"/>
      <c r="BU605" s="39"/>
      <c r="BV605" s="212">
        <f>336816.7296/2</f>
        <v>168408.36480000001</v>
      </c>
      <c r="BW605" s="219">
        <f t="shared" si="202"/>
        <v>31997.589312000004</v>
      </c>
      <c r="BX605" s="273">
        <f t="shared" si="203"/>
        <v>200405.95411200001</v>
      </c>
      <c r="BY605" s="214" t="s">
        <v>4978</v>
      </c>
      <c r="BZ605" s="213" t="s">
        <v>2925</v>
      </c>
      <c r="CA605" s="213"/>
      <c r="CB605" s="274"/>
      <c r="CC605" s="274"/>
      <c r="CD605" s="274"/>
      <c r="CE605" s="39"/>
      <c r="CF605" s="39"/>
      <c r="CG605" s="39"/>
      <c r="CH605" s="274"/>
      <c r="CI605" s="274"/>
      <c r="CJ605" s="274"/>
      <c r="CK605" s="39"/>
      <c r="CL605" s="39"/>
      <c r="CM605" s="39"/>
      <c r="CN605" s="39"/>
      <c r="CO605" s="39"/>
      <c r="CP605" s="11"/>
      <c r="CQ605" s="11"/>
      <c r="CR605" s="11"/>
      <c r="CS605" s="11"/>
      <c r="CT605" s="11"/>
      <c r="CU605" s="11"/>
      <c r="CV605" s="11"/>
      <c r="CW605" s="11"/>
      <c r="CX605" s="11"/>
      <c r="CY605" s="11"/>
      <c r="CZ605" s="11"/>
      <c r="DA605" s="11"/>
      <c r="DB605" s="11"/>
      <c r="DC605" s="11"/>
      <c r="DD605" s="11"/>
      <c r="DE605" s="11"/>
      <c r="DF605" s="11"/>
      <c r="DG605" s="11"/>
      <c r="DH605" s="11"/>
      <c r="DI605" s="11"/>
      <c r="DJ605" s="11"/>
      <c r="DK605" s="11"/>
      <c r="DL605" s="274"/>
      <c r="DM605" s="274"/>
      <c r="DN605" s="274"/>
      <c r="DO605" s="274"/>
      <c r="DP605" s="274"/>
      <c r="DQ605" s="274"/>
      <c r="DR605" s="274"/>
      <c r="DS605" s="274"/>
      <c r="DT605" s="274"/>
      <c r="DU605" s="274"/>
      <c r="DV605" s="274"/>
      <c r="DW605" s="274"/>
      <c r="DX605" s="274"/>
      <c r="DY605" s="274"/>
      <c r="DZ605" s="274"/>
      <c r="EA605" s="274"/>
      <c r="EB605" s="274"/>
      <c r="EC605" s="274"/>
      <c r="ED605" s="39">
        <f t="shared" si="197"/>
        <v>871744.45411200006</v>
      </c>
      <c r="EE605" s="30">
        <f t="shared" si="198"/>
        <v>5</v>
      </c>
      <c r="EF605" s="39">
        <f t="shared" si="199"/>
        <v>174348.89082240002</v>
      </c>
    </row>
    <row r="606" spans="1:138" x14ac:dyDescent="0.25">
      <c r="A606" s="25" t="e">
        <f>#REF!</f>
        <v>#REF!</v>
      </c>
      <c r="B606" s="50" t="e">
        <f>#REF!</f>
        <v>#REF!</v>
      </c>
      <c r="C606" s="5" t="e">
        <f>#REF!</f>
        <v>#REF!</v>
      </c>
      <c r="D606" s="5" t="e">
        <f>#REF!</f>
        <v>#REF!</v>
      </c>
      <c r="E606" s="252">
        <v>1</v>
      </c>
      <c r="F606" s="249">
        <v>0</v>
      </c>
      <c r="G606" s="249">
        <v>0</v>
      </c>
      <c r="H606" s="249">
        <v>0</v>
      </c>
      <c r="I606" s="249">
        <v>0</v>
      </c>
      <c r="J606" s="249">
        <v>0</v>
      </c>
      <c r="K606" s="249">
        <v>0</v>
      </c>
      <c r="L606" s="274"/>
      <c r="M606" s="274"/>
      <c r="N606" s="255"/>
      <c r="O606" s="136"/>
      <c r="P606" s="135"/>
      <c r="Q606" s="131"/>
      <c r="R606" s="131"/>
      <c r="S606" s="11"/>
      <c r="T606" s="274"/>
      <c r="U606" s="274"/>
      <c r="V606" s="274"/>
      <c r="W606" s="39"/>
      <c r="X606" s="11"/>
      <c r="Y606" s="11"/>
      <c r="Z606" s="274"/>
      <c r="AA606" s="274"/>
      <c r="AB606" s="274"/>
      <c r="AC606" s="52"/>
      <c r="AD606" s="22"/>
      <c r="AE606" s="39"/>
      <c r="AF606" s="274"/>
      <c r="AG606" s="274"/>
      <c r="AH606" s="113"/>
      <c r="AI606" s="4"/>
      <c r="AJ606" s="39"/>
      <c r="AK606" s="39"/>
      <c r="AL606" s="118"/>
      <c r="AM606" s="152"/>
      <c r="AN606" s="152"/>
      <c r="AO606" s="131"/>
      <c r="AP606" s="131"/>
      <c r="AQ606" s="39"/>
      <c r="AR606" s="274"/>
      <c r="AS606" s="274"/>
      <c r="AT606" s="274"/>
      <c r="AU606" s="39"/>
      <c r="AV606" s="39"/>
      <c r="AW606" s="39"/>
      <c r="AX606" s="274"/>
      <c r="AY606" s="274"/>
      <c r="AZ606" s="274"/>
      <c r="BA606" s="39"/>
      <c r="BB606" s="62"/>
      <c r="BC606" s="39"/>
      <c r="BD606" s="274"/>
      <c r="BE606" s="274"/>
      <c r="BF606" s="274"/>
      <c r="BG606" s="39"/>
      <c r="BH606" s="39"/>
      <c r="BI606" s="39"/>
      <c r="BJ606" s="274">
        <v>741700</v>
      </c>
      <c r="BK606" s="274">
        <f t="shared" si="200"/>
        <v>140923</v>
      </c>
      <c r="BL606" s="274">
        <f t="shared" si="201"/>
        <v>882623</v>
      </c>
      <c r="BM606" s="214" t="s">
        <v>4979</v>
      </c>
      <c r="BN606" s="213" t="s">
        <v>2925</v>
      </c>
      <c r="BO606" s="39"/>
      <c r="BP606" s="274"/>
      <c r="BQ606" s="274"/>
      <c r="BR606" s="274"/>
      <c r="BS606" s="39"/>
      <c r="BT606" s="39"/>
      <c r="BU606" s="39"/>
      <c r="BV606" s="212">
        <v>849965.94900000002</v>
      </c>
      <c r="BW606" s="219">
        <f t="shared" si="202"/>
        <v>161493.53031</v>
      </c>
      <c r="BX606" s="273">
        <f t="shared" si="203"/>
        <v>1011459.4793100001</v>
      </c>
      <c r="BY606" s="214" t="s">
        <v>4979</v>
      </c>
      <c r="BZ606" s="213" t="s">
        <v>2925</v>
      </c>
      <c r="CA606" s="213"/>
      <c r="CB606" s="274"/>
      <c r="CC606" s="274"/>
      <c r="CD606" s="274"/>
      <c r="CE606" s="39"/>
      <c r="CF606" s="39"/>
      <c r="CG606" s="39"/>
      <c r="CH606" s="274"/>
      <c r="CI606" s="274"/>
      <c r="CJ606" s="274"/>
      <c r="CK606" s="39"/>
      <c r="CL606" s="39"/>
      <c r="CM606" s="39"/>
      <c r="CN606" s="39"/>
      <c r="CO606" s="39"/>
      <c r="CP606" s="11"/>
      <c r="CQ606" s="11"/>
      <c r="CR606" s="11"/>
      <c r="CS606" s="11"/>
      <c r="CT606" s="11"/>
      <c r="CU606" s="11"/>
      <c r="CV606" s="11"/>
      <c r="CW606" s="11"/>
      <c r="CX606" s="11"/>
      <c r="CY606" s="11"/>
      <c r="CZ606" s="11"/>
      <c r="DA606" s="11"/>
      <c r="DB606" s="11"/>
      <c r="DC606" s="11"/>
      <c r="DD606" s="11"/>
      <c r="DE606" s="11"/>
      <c r="DF606" s="11"/>
      <c r="DG606" s="11"/>
      <c r="DH606" s="11"/>
      <c r="DI606" s="11"/>
      <c r="DJ606" s="11"/>
      <c r="DK606" s="11"/>
      <c r="DL606" s="274"/>
      <c r="DM606" s="274"/>
      <c r="DN606" s="274"/>
      <c r="DO606" s="274"/>
      <c r="DP606" s="274"/>
      <c r="DQ606" s="274"/>
      <c r="DR606" s="274"/>
      <c r="DS606" s="274"/>
      <c r="DT606" s="274"/>
      <c r="DU606" s="274"/>
      <c r="DV606" s="274"/>
      <c r="DW606" s="274"/>
      <c r="DX606" s="274"/>
      <c r="DY606" s="274"/>
      <c r="DZ606" s="274"/>
      <c r="EA606" s="274"/>
      <c r="EB606" s="274"/>
      <c r="EC606" s="274"/>
      <c r="ED606" s="39">
        <f t="shared" si="197"/>
        <v>1894082.4793100001</v>
      </c>
      <c r="EE606" s="30">
        <f t="shared" si="198"/>
        <v>2</v>
      </c>
      <c r="EF606" s="39">
        <f t="shared" si="199"/>
        <v>947041.23965500004</v>
      </c>
    </row>
    <row r="607" spans="1:138" ht="76.5" x14ac:dyDescent="0.25">
      <c r="A607" s="25" t="e">
        <f>#REF!</f>
        <v>#REF!</v>
      </c>
      <c r="B607" s="50" t="e">
        <f>#REF!</f>
        <v>#REF!</v>
      </c>
      <c r="C607" s="5" t="e">
        <f>#REF!</f>
        <v>#REF!</v>
      </c>
      <c r="D607" s="5" t="e">
        <f>#REF!</f>
        <v>#REF!</v>
      </c>
      <c r="E607" s="252">
        <v>1</v>
      </c>
      <c r="F607" s="249">
        <v>0</v>
      </c>
      <c r="G607" s="249">
        <v>0</v>
      </c>
      <c r="H607" s="249">
        <v>95461.403333333335</v>
      </c>
      <c r="I607" s="249">
        <v>95319</v>
      </c>
      <c r="J607" s="249">
        <v>171306.68799999999</v>
      </c>
      <c r="K607" s="249">
        <v>0</v>
      </c>
      <c r="L607" s="274">
        <f>AVERAGE(H607,J607)</f>
        <v>133384.04566666667</v>
      </c>
      <c r="M607" s="274">
        <f>I607*E1</f>
        <v>98178.57</v>
      </c>
      <c r="N607" s="255">
        <v>120000</v>
      </c>
      <c r="O607" s="135">
        <f>+N607*0.19</f>
        <v>22800</v>
      </c>
      <c r="P607" s="135">
        <f>+N607+O607</f>
        <v>142800</v>
      </c>
      <c r="Q607" s="131"/>
      <c r="R607" s="131"/>
      <c r="S607" s="11"/>
      <c r="T607" s="274"/>
      <c r="U607" s="274"/>
      <c r="V607" s="274"/>
      <c r="W607" s="39"/>
      <c r="X607" s="11"/>
      <c r="Y607" s="11"/>
      <c r="Z607" s="274">
        <v>230000</v>
      </c>
      <c r="AA607" s="274">
        <f>+Z607*0.19</f>
        <v>43700</v>
      </c>
      <c r="AB607" s="274">
        <f>+Z607+AA607</f>
        <v>273700</v>
      </c>
      <c r="AC607" s="5" t="s">
        <v>4954</v>
      </c>
      <c r="AD607" s="22" t="s">
        <v>4795</v>
      </c>
      <c r="AE607" s="39"/>
      <c r="AF607" s="274"/>
      <c r="AG607" s="274"/>
      <c r="AH607" s="178"/>
      <c r="AI607" s="81"/>
      <c r="AJ607" s="39"/>
      <c r="AK607" s="39"/>
      <c r="AL607" s="118"/>
      <c r="AM607" s="152"/>
      <c r="AN607" s="181"/>
      <c r="AO607" s="131"/>
      <c r="AP607" s="131"/>
      <c r="AQ607" s="39"/>
      <c r="AR607" s="274"/>
      <c r="AS607" s="274"/>
      <c r="AT607" s="274"/>
      <c r="AU607" s="39"/>
      <c r="AV607" s="39"/>
      <c r="AW607" s="39"/>
      <c r="AX607" s="274"/>
      <c r="AY607" s="274"/>
      <c r="AZ607" s="274"/>
      <c r="BA607" s="39"/>
      <c r="BB607" s="62"/>
      <c r="BC607" s="39"/>
      <c r="BD607" s="118">
        <v>56650</v>
      </c>
      <c r="BE607" s="274">
        <f>+BD607*0.19</f>
        <v>10763.5</v>
      </c>
      <c r="BF607" s="274">
        <f>+BD607+BE607</f>
        <v>67413.5</v>
      </c>
      <c r="BG607" s="25" t="s">
        <v>4925</v>
      </c>
      <c r="BH607" s="5" t="s">
        <v>4969</v>
      </c>
      <c r="BI607" s="5" t="s">
        <v>4970</v>
      </c>
      <c r="BJ607" s="274">
        <v>100800</v>
      </c>
      <c r="BK607" s="274">
        <f t="shared" si="200"/>
        <v>19152</v>
      </c>
      <c r="BL607" s="274">
        <f t="shared" si="201"/>
        <v>119952</v>
      </c>
      <c r="BM607" s="214" t="s">
        <v>4979</v>
      </c>
      <c r="BN607" s="213" t="s">
        <v>2925</v>
      </c>
      <c r="BO607" s="39"/>
      <c r="BP607" s="274"/>
      <c r="BQ607" s="274"/>
      <c r="BR607" s="274"/>
      <c r="BS607" s="39"/>
      <c r="BT607" s="39"/>
      <c r="BU607" s="39"/>
      <c r="BV607" s="212">
        <v>120011.67360000001</v>
      </c>
      <c r="BW607" s="219">
        <f t="shared" si="202"/>
        <v>22802.217984000003</v>
      </c>
      <c r="BX607" s="273">
        <f t="shared" si="203"/>
        <v>142813.89158400003</v>
      </c>
      <c r="BY607" s="214" t="s">
        <v>4979</v>
      </c>
      <c r="BZ607" s="213" t="s">
        <v>2925</v>
      </c>
      <c r="CA607" s="213"/>
      <c r="CB607" s="274"/>
      <c r="CC607" s="274"/>
      <c r="CD607" s="274"/>
      <c r="CE607" s="39"/>
      <c r="CF607" s="39"/>
      <c r="CG607" s="39"/>
      <c r="CH607" s="274"/>
      <c r="CI607" s="274"/>
      <c r="CJ607" s="274"/>
      <c r="CK607" s="39"/>
      <c r="CL607" s="39"/>
      <c r="CM607" s="39"/>
      <c r="CN607" s="39"/>
      <c r="CO607" s="39"/>
      <c r="CP607" s="11"/>
      <c r="CQ607" s="11"/>
      <c r="CR607" s="11"/>
      <c r="CS607" s="11"/>
      <c r="CT607" s="11"/>
      <c r="CU607" s="11"/>
      <c r="CV607" s="11"/>
      <c r="CW607" s="11"/>
      <c r="CX607" s="11"/>
      <c r="CY607" s="11"/>
      <c r="CZ607" s="11"/>
      <c r="DA607" s="11"/>
      <c r="DB607" s="11"/>
      <c r="DC607" s="11"/>
      <c r="DD607" s="11"/>
      <c r="DE607" s="11"/>
      <c r="DF607" s="11"/>
      <c r="DG607" s="11"/>
      <c r="DH607" s="11"/>
      <c r="DI607" s="11"/>
      <c r="DJ607" s="11"/>
      <c r="DK607" s="11"/>
      <c r="DL607" s="274"/>
      <c r="DM607" s="274"/>
      <c r="DN607" s="274"/>
      <c r="DO607" s="274"/>
      <c r="DP607" s="274"/>
      <c r="DQ607" s="274"/>
      <c r="DR607" s="274"/>
      <c r="DS607" s="274"/>
      <c r="DT607" s="274"/>
      <c r="DU607" s="274"/>
      <c r="DV607" s="274"/>
      <c r="DW607" s="274"/>
      <c r="DX607" s="274"/>
      <c r="DY607" s="274"/>
      <c r="DZ607" s="274"/>
      <c r="EA607" s="274"/>
      <c r="EB607" s="274"/>
      <c r="EC607" s="274"/>
      <c r="ED607" s="39">
        <f t="shared" si="197"/>
        <v>844857.96158400015</v>
      </c>
      <c r="EE607" s="30">
        <f t="shared" si="198"/>
        <v>6</v>
      </c>
      <c r="EF607" s="39">
        <f t="shared" si="199"/>
        <v>140809.66026400003</v>
      </c>
    </row>
    <row r="608" spans="1:138" ht="25.5" x14ac:dyDescent="0.25">
      <c r="A608" s="25" t="e">
        <f>#REF!</f>
        <v>#REF!</v>
      </c>
      <c r="B608" s="50" t="e">
        <f>#REF!</f>
        <v>#REF!</v>
      </c>
      <c r="C608" s="5" t="e">
        <f>#REF!</f>
        <v>#REF!</v>
      </c>
      <c r="D608" s="5" t="e">
        <f>#REF!</f>
        <v>#REF!</v>
      </c>
      <c r="E608" s="252">
        <v>1</v>
      </c>
      <c r="F608" s="249">
        <v>0</v>
      </c>
      <c r="G608" s="249">
        <v>0</v>
      </c>
      <c r="H608" s="249">
        <v>175244.55666666664</v>
      </c>
      <c r="I608" s="249">
        <v>0</v>
      </c>
      <c r="J608" s="249">
        <v>0</v>
      </c>
      <c r="K608" s="249">
        <v>0</v>
      </c>
      <c r="L608" s="274">
        <f>H608</f>
        <v>175244.55666666664</v>
      </c>
      <c r="M608" s="274"/>
      <c r="N608" s="255"/>
      <c r="O608" s="135"/>
      <c r="P608" s="135"/>
      <c r="Q608" s="131"/>
      <c r="R608" s="131"/>
      <c r="S608" s="11"/>
      <c r="T608" s="274"/>
      <c r="U608" s="274"/>
      <c r="V608" s="274"/>
      <c r="W608" s="39"/>
      <c r="X608" s="11"/>
      <c r="Y608" s="11"/>
      <c r="Z608" s="274">
        <v>230000</v>
      </c>
      <c r="AA608" s="274">
        <f>+Z608*0.19</f>
        <v>43700</v>
      </c>
      <c r="AB608" s="274">
        <f>+Z608+AA608</f>
        <v>273700</v>
      </c>
      <c r="AC608" s="5" t="s">
        <v>4954</v>
      </c>
      <c r="AD608" s="22" t="s">
        <v>4795</v>
      </c>
      <c r="AE608" s="39"/>
      <c r="AF608" s="274"/>
      <c r="AG608" s="274"/>
      <c r="AH608" s="113"/>
      <c r="AI608" s="4"/>
      <c r="AJ608" s="39"/>
      <c r="AK608" s="39"/>
      <c r="AL608" s="118"/>
      <c r="AM608" s="152"/>
      <c r="AN608" s="181"/>
      <c r="AO608" s="131"/>
      <c r="AP608" s="131"/>
      <c r="AQ608" s="39"/>
      <c r="AR608" s="274"/>
      <c r="AS608" s="274"/>
      <c r="AT608" s="274"/>
      <c r="AU608" s="39"/>
      <c r="AV608" s="39"/>
      <c r="AW608" s="39"/>
      <c r="AX608" s="274"/>
      <c r="AY608" s="274"/>
      <c r="AZ608" s="274"/>
      <c r="BA608" s="39"/>
      <c r="BB608" s="62"/>
      <c r="BC608" s="39"/>
      <c r="BD608" s="274"/>
      <c r="BE608" s="274"/>
      <c r="BF608" s="274"/>
      <c r="BG608" s="39"/>
      <c r="BH608" s="39"/>
      <c r="BI608" s="39"/>
      <c r="BJ608" s="274">
        <v>100800</v>
      </c>
      <c r="BK608" s="274">
        <f t="shared" si="200"/>
        <v>19152</v>
      </c>
      <c r="BL608" s="274">
        <f t="shared" si="201"/>
        <v>119952</v>
      </c>
      <c r="BM608" s="214" t="s">
        <v>4979</v>
      </c>
      <c r="BN608" s="213" t="s">
        <v>2925</v>
      </c>
      <c r="BO608" s="39"/>
      <c r="BP608" s="274"/>
      <c r="BQ608" s="274"/>
      <c r="BR608" s="274"/>
      <c r="BS608" s="39"/>
      <c r="BT608" s="39"/>
      <c r="BU608" s="39"/>
      <c r="BV608" s="212">
        <v>116615.1168</v>
      </c>
      <c r="BW608" s="219">
        <f t="shared" si="202"/>
        <v>22156.872192000003</v>
      </c>
      <c r="BX608" s="273">
        <f t="shared" si="203"/>
        <v>138771.988992</v>
      </c>
      <c r="BY608" s="214" t="s">
        <v>4979</v>
      </c>
      <c r="BZ608" s="213" t="s">
        <v>2925</v>
      </c>
      <c r="CA608" s="213"/>
      <c r="CB608" s="274"/>
      <c r="CC608" s="274"/>
      <c r="CD608" s="274"/>
      <c r="CE608" s="39"/>
      <c r="CF608" s="39"/>
      <c r="CG608" s="39"/>
      <c r="CH608" s="274"/>
      <c r="CI608" s="274"/>
      <c r="CJ608" s="274"/>
      <c r="CK608" s="39"/>
      <c r="CL608" s="39"/>
      <c r="CM608" s="39"/>
      <c r="CN608" s="39"/>
      <c r="CO608" s="39"/>
      <c r="CP608" s="11"/>
      <c r="CQ608" s="11"/>
      <c r="CR608" s="11"/>
      <c r="CS608" s="11"/>
      <c r="CT608" s="11"/>
      <c r="CU608" s="11"/>
      <c r="CV608" s="11"/>
      <c r="CW608" s="11"/>
      <c r="CX608" s="11"/>
      <c r="CY608" s="11"/>
      <c r="CZ608" s="11"/>
      <c r="DA608" s="11"/>
      <c r="DB608" s="11"/>
      <c r="DC608" s="11"/>
      <c r="DD608" s="11"/>
      <c r="DE608" s="11"/>
      <c r="DF608" s="11"/>
      <c r="DG608" s="11"/>
      <c r="DH608" s="11"/>
      <c r="DI608" s="11"/>
      <c r="DJ608" s="11"/>
      <c r="DK608" s="11"/>
      <c r="DL608" s="274"/>
      <c r="DM608" s="274"/>
      <c r="DN608" s="274"/>
      <c r="DO608" s="274"/>
      <c r="DP608" s="274"/>
      <c r="DQ608" s="274"/>
      <c r="DR608" s="274"/>
      <c r="DS608" s="274"/>
      <c r="DT608" s="274"/>
      <c r="DU608" s="274"/>
      <c r="DV608" s="274"/>
      <c r="DW608" s="274"/>
      <c r="DX608" s="274"/>
      <c r="DY608" s="274"/>
      <c r="DZ608" s="274"/>
      <c r="EA608" s="274"/>
      <c r="EB608" s="274"/>
      <c r="EC608" s="274"/>
      <c r="ED608" s="39">
        <f t="shared" si="197"/>
        <v>532423.988992</v>
      </c>
      <c r="EE608" s="30">
        <f t="shared" si="198"/>
        <v>3</v>
      </c>
      <c r="EF608" s="39">
        <f t="shared" si="199"/>
        <v>177474.66299733333</v>
      </c>
    </row>
    <row r="609" spans="1:136" ht="76.5" x14ac:dyDescent="0.25">
      <c r="A609" s="25" t="e">
        <f>#REF!</f>
        <v>#REF!</v>
      </c>
      <c r="B609" s="50" t="e">
        <f>#REF!</f>
        <v>#REF!</v>
      </c>
      <c r="C609" s="5" t="e">
        <f>#REF!</f>
        <v>#REF!</v>
      </c>
      <c r="D609" s="5" t="e">
        <f>#REF!</f>
        <v>#REF!</v>
      </c>
      <c r="E609" s="252">
        <v>1</v>
      </c>
      <c r="F609" s="249">
        <v>0</v>
      </c>
      <c r="G609" s="249">
        <v>0</v>
      </c>
      <c r="H609" s="249">
        <v>0</v>
      </c>
      <c r="I609" s="249">
        <v>0</v>
      </c>
      <c r="J609" s="249">
        <v>145508.97901992084</v>
      </c>
      <c r="K609" s="249">
        <v>74018</v>
      </c>
      <c r="L609" s="274">
        <f>J609</f>
        <v>145508.97901992084</v>
      </c>
      <c r="M609" s="274">
        <f>K609*E1</f>
        <v>76238.540000000008</v>
      </c>
      <c r="N609" s="255">
        <v>70000</v>
      </c>
      <c r="O609" s="135">
        <f>+N609*0.19</f>
        <v>13300</v>
      </c>
      <c r="P609" s="135">
        <f>+N609+O609</f>
        <v>83300</v>
      </c>
      <c r="Q609" s="11"/>
      <c r="R609" s="11"/>
      <c r="S609" s="25"/>
      <c r="T609" s="148">
        <v>24970.000000000004</v>
      </c>
      <c r="U609" s="274">
        <f>+T609*0.19</f>
        <v>4744.3000000000011</v>
      </c>
      <c r="V609" s="274">
        <f>+T609+U609</f>
        <v>29714.300000000003</v>
      </c>
      <c r="W609" s="39" t="s">
        <v>4960</v>
      </c>
      <c r="X609" s="11" t="s">
        <v>2948</v>
      </c>
      <c r="Y609" s="11"/>
      <c r="Z609" s="274">
        <v>230000</v>
      </c>
      <c r="AA609" s="274">
        <f>+Z609*0.19</f>
        <v>43700</v>
      </c>
      <c r="AB609" s="274">
        <f>+Z609+AA609</f>
        <v>273700</v>
      </c>
      <c r="AC609" s="5" t="s">
        <v>4954</v>
      </c>
      <c r="AD609" s="22" t="s">
        <v>4795</v>
      </c>
      <c r="AE609" s="11"/>
      <c r="AF609" s="274"/>
      <c r="AG609" s="274"/>
      <c r="AH609" s="274"/>
      <c r="AI609" s="11"/>
      <c r="AJ609" s="11"/>
      <c r="AK609" s="11"/>
      <c r="AL609" s="118"/>
      <c r="AM609" s="118"/>
      <c r="AN609" s="118"/>
      <c r="AO609" s="52"/>
      <c r="AP609" s="52"/>
      <c r="AQ609" s="11"/>
      <c r="AR609" s="274"/>
      <c r="AS609" s="274"/>
      <c r="AT609" s="274"/>
      <c r="AU609" s="11"/>
      <c r="AV609" s="11"/>
      <c r="AW609" s="11"/>
      <c r="AX609" s="274"/>
      <c r="AY609" s="274"/>
      <c r="AZ609" s="274"/>
      <c r="BA609" s="11"/>
      <c r="BB609" s="62"/>
      <c r="BC609" s="39"/>
      <c r="BD609" s="118">
        <v>56650</v>
      </c>
      <c r="BE609" s="274">
        <f>+BD609*0.19</f>
        <v>10763.5</v>
      </c>
      <c r="BF609" s="274">
        <f>+BD609+BE609</f>
        <v>67413.5</v>
      </c>
      <c r="BG609" s="25" t="s">
        <v>4925</v>
      </c>
      <c r="BH609" s="5" t="s">
        <v>4969</v>
      </c>
      <c r="BI609" s="5" t="s">
        <v>4970</v>
      </c>
      <c r="BJ609" s="274">
        <v>100800</v>
      </c>
      <c r="BK609" s="274">
        <f t="shared" si="200"/>
        <v>19152</v>
      </c>
      <c r="BL609" s="274">
        <f t="shared" si="201"/>
        <v>119952</v>
      </c>
      <c r="BM609" s="214" t="s">
        <v>4979</v>
      </c>
      <c r="BN609" s="213" t="s">
        <v>2925</v>
      </c>
      <c r="BO609" s="17"/>
      <c r="BP609" s="274"/>
      <c r="BQ609" s="274"/>
      <c r="BR609" s="274"/>
      <c r="BS609" s="17"/>
      <c r="BT609" s="17"/>
      <c r="BU609" s="17"/>
      <c r="BV609" s="212">
        <v>113291.9424</v>
      </c>
      <c r="BW609" s="219">
        <f t="shared" si="202"/>
        <v>21525.469056000002</v>
      </c>
      <c r="BX609" s="273">
        <f t="shared" si="203"/>
        <v>134817.411456</v>
      </c>
      <c r="BY609" s="214" t="s">
        <v>4979</v>
      </c>
      <c r="BZ609" s="213" t="s">
        <v>2925</v>
      </c>
      <c r="CA609" s="213"/>
      <c r="CB609" s="274"/>
      <c r="CC609" s="274"/>
      <c r="CD609" s="274"/>
      <c r="CE609" s="11"/>
      <c r="CF609" s="11"/>
      <c r="CG609" s="11"/>
      <c r="CH609" s="274"/>
      <c r="CI609" s="274"/>
      <c r="CJ609" s="274"/>
      <c r="CK609" s="11"/>
      <c r="CL609" s="11"/>
      <c r="CM609" s="11"/>
      <c r="CN609" s="11"/>
      <c r="CO609" s="274"/>
      <c r="CP609" s="274"/>
      <c r="CQ609" s="274"/>
      <c r="CR609" s="274"/>
      <c r="CS609" s="274"/>
      <c r="CT609" s="274"/>
      <c r="CU609" s="274"/>
      <c r="CV609" s="274"/>
      <c r="CW609" s="274"/>
      <c r="CX609" s="274"/>
      <c r="CY609" s="274"/>
      <c r="CZ609" s="274"/>
      <c r="DA609" s="274"/>
      <c r="DB609" s="274"/>
      <c r="DC609" s="274"/>
      <c r="DD609" s="274"/>
      <c r="DE609" s="274"/>
      <c r="DF609" s="274"/>
      <c r="DG609" s="274"/>
      <c r="DH609" s="274"/>
      <c r="DI609" s="274"/>
      <c r="DJ609" s="274"/>
      <c r="DK609" s="274"/>
      <c r="DL609" s="274"/>
      <c r="DM609" s="274"/>
      <c r="DN609" s="274"/>
      <c r="DO609" s="274"/>
      <c r="DP609" s="274"/>
      <c r="DQ609" s="274"/>
      <c r="DR609" s="274"/>
      <c r="DS609" s="274"/>
      <c r="DT609" s="274"/>
      <c r="DU609" s="274"/>
      <c r="DV609" s="274"/>
      <c r="DW609" s="274"/>
      <c r="DX609" s="274"/>
      <c r="DY609" s="274"/>
      <c r="DZ609" s="274"/>
      <c r="EA609" s="274"/>
      <c r="EB609" s="274"/>
      <c r="EC609" s="274"/>
      <c r="ED609" s="39">
        <f t="shared" si="197"/>
        <v>785135.75145600014</v>
      </c>
      <c r="EE609" s="30">
        <f t="shared" si="198"/>
        <v>7</v>
      </c>
      <c r="EF609" s="39">
        <f t="shared" si="199"/>
        <v>112162.25020800003</v>
      </c>
    </row>
    <row r="610" spans="1:136" ht="76.5" x14ac:dyDescent="0.25">
      <c r="A610" s="25" t="e">
        <f>#REF!</f>
        <v>#REF!</v>
      </c>
      <c r="B610" s="50" t="e">
        <f>#REF!</f>
        <v>#REF!</v>
      </c>
      <c r="C610" s="5" t="e">
        <f>#REF!</f>
        <v>#REF!</v>
      </c>
      <c r="D610" s="5" t="e">
        <f>#REF!</f>
        <v>#REF!</v>
      </c>
      <c r="E610" s="252">
        <v>1</v>
      </c>
      <c r="F610" s="249">
        <v>0</v>
      </c>
      <c r="G610" s="249">
        <v>0</v>
      </c>
      <c r="H610" s="249">
        <v>0</v>
      </c>
      <c r="I610" s="249">
        <v>0</v>
      </c>
      <c r="J610" s="249">
        <v>0</v>
      </c>
      <c r="K610" s="249">
        <v>0</v>
      </c>
      <c r="L610" s="274"/>
      <c r="M610" s="274"/>
      <c r="N610" s="255"/>
      <c r="O610" s="135"/>
      <c r="P610" s="135"/>
      <c r="Q610" s="11"/>
      <c r="R610" s="11"/>
      <c r="S610" s="25"/>
      <c r="T610" s="148"/>
      <c r="U610" s="274"/>
      <c r="V610" s="274"/>
      <c r="W610" s="39"/>
      <c r="X610" s="11"/>
      <c r="Y610" s="11"/>
      <c r="Z610" s="274"/>
      <c r="AA610" s="274"/>
      <c r="AB610" s="274"/>
      <c r="AC610" s="11"/>
      <c r="AD610" s="11"/>
      <c r="AE610" s="11"/>
      <c r="AF610" s="274"/>
      <c r="AG610" s="274"/>
      <c r="AH610" s="274"/>
      <c r="AI610" s="11"/>
      <c r="AJ610" s="11"/>
      <c r="AK610" s="11"/>
      <c r="AL610" s="118"/>
      <c r="AM610" s="118"/>
      <c r="AN610" s="118"/>
      <c r="AO610" s="52"/>
      <c r="AP610" s="52"/>
      <c r="AQ610" s="11"/>
      <c r="AR610" s="274"/>
      <c r="AS610" s="274"/>
      <c r="AT610" s="274"/>
      <c r="AU610" s="11"/>
      <c r="AV610" s="11"/>
      <c r="AW610" s="11"/>
      <c r="AX610" s="274"/>
      <c r="AY610" s="274"/>
      <c r="AZ610" s="274"/>
      <c r="BA610" s="11"/>
      <c r="BB610" s="62"/>
      <c r="BC610" s="39"/>
      <c r="BD610" s="118">
        <v>791640</v>
      </c>
      <c r="BE610" s="274">
        <f>+BD610*0.19</f>
        <v>150411.6</v>
      </c>
      <c r="BF610" s="274">
        <f>+BD610+BE610</f>
        <v>942051.6</v>
      </c>
      <c r="BG610" s="25" t="s">
        <v>4980</v>
      </c>
      <c r="BH610" s="5" t="s">
        <v>4981</v>
      </c>
      <c r="BI610" s="5" t="s">
        <v>4982</v>
      </c>
      <c r="BJ610" s="275">
        <f>+(319600/400)*250</f>
        <v>199750</v>
      </c>
      <c r="BK610" s="274">
        <f t="shared" si="200"/>
        <v>37952.5</v>
      </c>
      <c r="BL610" s="274">
        <f t="shared" si="201"/>
        <v>237702.5</v>
      </c>
      <c r="BM610" s="214" t="s">
        <v>4983</v>
      </c>
      <c r="BN610" s="213" t="s">
        <v>2925</v>
      </c>
      <c r="BO610" s="17"/>
      <c r="BP610" s="274"/>
      <c r="BQ610" s="274"/>
      <c r="BR610" s="274"/>
      <c r="BS610" s="17"/>
      <c r="BT610" s="17"/>
      <c r="BU610" s="17"/>
      <c r="BV610" s="212">
        <f>+(380204.4696/400)*250</f>
        <v>237627.7935</v>
      </c>
      <c r="BW610" s="219">
        <f t="shared" si="202"/>
        <v>45149.280765000003</v>
      </c>
      <c r="BX610" s="273">
        <f t="shared" si="203"/>
        <v>282777.074265</v>
      </c>
      <c r="BY610" s="214" t="s">
        <v>4983</v>
      </c>
      <c r="BZ610" s="213" t="s">
        <v>2925</v>
      </c>
      <c r="CA610" s="213"/>
      <c r="CB610" s="275"/>
      <c r="CC610" s="274"/>
      <c r="CD610" s="274"/>
      <c r="CE610" s="11"/>
      <c r="CF610" s="11"/>
      <c r="CG610" s="11"/>
      <c r="CH610" s="274"/>
      <c r="CI610" s="274"/>
      <c r="CJ610" s="274"/>
      <c r="CK610" s="11"/>
      <c r="CL610" s="11"/>
      <c r="CM610" s="11"/>
      <c r="CN610" s="11"/>
      <c r="CO610" s="11"/>
      <c r="CP610" s="11"/>
      <c r="CQ610" s="11"/>
      <c r="CR610" s="11"/>
      <c r="CS610" s="11"/>
      <c r="CT610" s="11"/>
      <c r="CU610" s="11"/>
      <c r="CV610" s="11"/>
      <c r="CW610" s="11"/>
      <c r="CX610" s="11"/>
      <c r="CY610" s="11"/>
      <c r="CZ610" s="11"/>
      <c r="DA610" s="11"/>
      <c r="DB610" s="11"/>
      <c r="DC610" s="11"/>
      <c r="DD610" s="11"/>
      <c r="DE610" s="11"/>
      <c r="DF610" s="11"/>
      <c r="DG610" s="11"/>
      <c r="DH610" s="11"/>
      <c r="DI610" s="11"/>
      <c r="DJ610" s="11"/>
      <c r="DK610" s="11"/>
      <c r="DL610" s="274"/>
      <c r="DM610" s="274"/>
      <c r="DN610" s="274"/>
      <c r="DO610" s="274"/>
      <c r="DP610" s="274"/>
      <c r="DQ610" s="274"/>
      <c r="DR610" s="274"/>
      <c r="DS610" s="274"/>
      <c r="DT610" s="274"/>
      <c r="DU610" s="274"/>
      <c r="DV610" s="274"/>
      <c r="DW610" s="274"/>
      <c r="DX610" s="274"/>
      <c r="DY610" s="274"/>
      <c r="DZ610" s="274"/>
      <c r="EA610" s="274"/>
      <c r="EB610" s="274"/>
      <c r="EC610" s="274"/>
      <c r="ED610" s="39">
        <f t="shared" si="197"/>
        <v>1462531.174265</v>
      </c>
      <c r="EE610" s="30">
        <f t="shared" si="198"/>
        <v>3</v>
      </c>
      <c r="EF610" s="39">
        <f t="shared" si="199"/>
        <v>487510.39142166666</v>
      </c>
    </row>
    <row r="611" spans="1:136" x14ac:dyDescent="0.25">
      <c r="A611" s="25" t="e">
        <f>#REF!</f>
        <v>#REF!</v>
      </c>
      <c r="B611" s="50" t="e">
        <f>#REF!</f>
        <v>#REF!</v>
      </c>
      <c r="C611" s="5" t="e">
        <f>#REF!</f>
        <v>#REF!</v>
      </c>
      <c r="D611" s="5" t="e">
        <f>#REF!</f>
        <v>#REF!</v>
      </c>
      <c r="E611" s="252">
        <v>1</v>
      </c>
      <c r="F611" s="249">
        <v>0</v>
      </c>
      <c r="G611" s="249">
        <v>0</v>
      </c>
      <c r="H611" s="249">
        <v>315798.63</v>
      </c>
      <c r="I611" s="249">
        <v>315707</v>
      </c>
      <c r="J611" s="249">
        <v>0</v>
      </c>
      <c r="K611" s="249">
        <v>0</v>
      </c>
      <c r="L611" s="274">
        <f>H611</f>
        <v>315798.63</v>
      </c>
      <c r="M611" s="274">
        <f>I611*E1</f>
        <v>325178.21000000002</v>
      </c>
      <c r="N611" s="256"/>
      <c r="O611" s="135"/>
      <c r="P611" s="135"/>
      <c r="Q611" s="131"/>
      <c r="R611" s="131"/>
      <c r="S611" s="11"/>
      <c r="T611" s="274"/>
      <c r="U611" s="274"/>
      <c r="V611" s="274"/>
      <c r="W611" s="39"/>
      <c r="X611" s="11"/>
      <c r="Y611" s="11"/>
      <c r="Z611" s="274"/>
      <c r="AA611" s="274"/>
      <c r="AB611" s="274"/>
      <c r="AC611" s="52"/>
      <c r="AD611" s="22"/>
      <c r="AE611" s="39"/>
      <c r="AF611" s="274"/>
      <c r="AG611" s="274"/>
      <c r="AH611" s="113"/>
      <c r="AI611" s="4"/>
      <c r="AJ611" s="39"/>
      <c r="AK611" s="39"/>
      <c r="AL611" s="118"/>
      <c r="AM611" s="152"/>
      <c r="AN611" s="181"/>
      <c r="AO611" s="131"/>
      <c r="AP611" s="131"/>
      <c r="AQ611" s="39"/>
      <c r="AR611" s="274"/>
      <c r="AS611" s="274"/>
      <c r="AT611" s="274"/>
      <c r="AU611" s="39"/>
      <c r="AV611" s="39"/>
      <c r="AW611" s="39"/>
      <c r="AX611" s="274"/>
      <c r="AY611" s="274"/>
      <c r="AZ611" s="274"/>
      <c r="BA611" s="39"/>
      <c r="BB611" s="62"/>
      <c r="BC611" s="39"/>
      <c r="BD611" s="274"/>
      <c r="BE611" s="274"/>
      <c r="BF611" s="274"/>
      <c r="BG611" s="39"/>
      <c r="BH611" s="39"/>
      <c r="BI611" s="39"/>
      <c r="BJ611" s="275">
        <f>303100/2</f>
        <v>151550</v>
      </c>
      <c r="BK611" s="274">
        <f t="shared" si="200"/>
        <v>28794.5</v>
      </c>
      <c r="BL611" s="274">
        <f t="shared" si="201"/>
        <v>180344.5</v>
      </c>
      <c r="BM611" s="213" t="s">
        <v>4757</v>
      </c>
      <c r="BN611" s="213" t="s">
        <v>2925</v>
      </c>
      <c r="BO611" s="39"/>
      <c r="BP611" s="274"/>
      <c r="BQ611" s="274"/>
      <c r="BR611" s="274"/>
      <c r="BS611" s="39"/>
      <c r="BT611" s="39"/>
      <c r="BU611" s="39"/>
      <c r="BV611" s="212">
        <f>330988.8372/2</f>
        <v>165494.4186</v>
      </c>
      <c r="BW611" s="219">
        <f t="shared" si="202"/>
        <v>31443.939534000001</v>
      </c>
      <c r="BX611" s="273">
        <f t="shared" si="203"/>
        <v>196938.35813400001</v>
      </c>
      <c r="BY611" s="213" t="s">
        <v>4757</v>
      </c>
      <c r="BZ611" s="213" t="s">
        <v>2925</v>
      </c>
      <c r="CA611" s="213"/>
      <c r="CB611" s="275"/>
      <c r="CC611" s="274"/>
      <c r="CD611" s="274"/>
      <c r="CE611" s="39"/>
      <c r="CF611" s="39"/>
      <c r="CG611" s="39"/>
      <c r="CH611" s="275"/>
      <c r="CI611" s="275"/>
      <c r="CJ611" s="275"/>
      <c r="CK611" s="39"/>
      <c r="CL611" s="39"/>
      <c r="CM611" s="39"/>
      <c r="CN611" s="39"/>
      <c r="CO611" s="39"/>
      <c r="CP611" s="11"/>
      <c r="CQ611" s="11"/>
      <c r="CR611" s="11"/>
      <c r="CS611" s="11"/>
      <c r="CT611" s="11"/>
      <c r="CU611" s="11"/>
      <c r="CV611" s="11"/>
      <c r="CW611" s="11"/>
      <c r="CX611" s="11"/>
      <c r="CY611" s="11"/>
      <c r="CZ611" s="11"/>
      <c r="DA611" s="11"/>
      <c r="DB611" s="11"/>
      <c r="DC611" s="11"/>
      <c r="DD611" s="11"/>
      <c r="DE611" s="11"/>
      <c r="DF611" s="11"/>
      <c r="DG611" s="11"/>
      <c r="DH611" s="11"/>
      <c r="DI611" s="11"/>
      <c r="DJ611" s="11"/>
      <c r="DK611" s="11"/>
      <c r="DL611" s="274"/>
      <c r="DM611" s="274"/>
      <c r="DN611" s="274"/>
      <c r="DO611" s="274"/>
      <c r="DP611" s="274"/>
      <c r="DQ611" s="274"/>
      <c r="DR611" s="274"/>
      <c r="DS611" s="274"/>
      <c r="DT611" s="274"/>
      <c r="DU611" s="274"/>
      <c r="DV611" s="274"/>
      <c r="DW611" s="274"/>
      <c r="DX611" s="274"/>
      <c r="DY611" s="274"/>
      <c r="DZ611" s="274"/>
      <c r="EA611" s="274"/>
      <c r="EB611" s="274"/>
      <c r="EC611" s="274"/>
      <c r="ED611" s="39">
        <f t="shared" si="197"/>
        <v>702461.06813400006</v>
      </c>
      <c r="EE611" s="30">
        <f t="shared" si="198"/>
        <v>3</v>
      </c>
      <c r="EF611" s="39">
        <f t="shared" si="199"/>
        <v>234153.68937800001</v>
      </c>
    </row>
    <row r="612" spans="1:136" x14ac:dyDescent="0.25">
      <c r="A612" s="25" t="e">
        <f>#REF!</f>
        <v>#REF!</v>
      </c>
      <c r="B612" s="50" t="e">
        <f>#REF!</f>
        <v>#REF!</v>
      </c>
      <c r="C612" s="5" t="e">
        <f>#REF!</f>
        <v>#REF!</v>
      </c>
      <c r="D612" s="5" t="e">
        <f>#REF!</f>
        <v>#REF!</v>
      </c>
      <c r="E612" s="252">
        <v>1</v>
      </c>
      <c r="F612" s="249">
        <v>0</v>
      </c>
      <c r="G612" s="249">
        <v>0</v>
      </c>
      <c r="H612" s="249">
        <v>0</v>
      </c>
      <c r="I612" s="249">
        <v>0</v>
      </c>
      <c r="J612" s="249">
        <v>0</v>
      </c>
      <c r="K612" s="249">
        <v>0</v>
      </c>
      <c r="L612" s="274"/>
      <c r="M612" s="274"/>
      <c r="N612" s="256"/>
      <c r="O612" s="135"/>
      <c r="P612" s="135"/>
      <c r="Q612" s="131"/>
      <c r="R612" s="131"/>
      <c r="S612" s="11"/>
      <c r="T612" s="274"/>
      <c r="U612" s="274"/>
      <c r="V612" s="274"/>
      <c r="W612" s="39"/>
      <c r="X612" s="11"/>
      <c r="Y612" s="11"/>
      <c r="Z612" s="274"/>
      <c r="AA612" s="274"/>
      <c r="AB612" s="274"/>
      <c r="AC612" s="5"/>
      <c r="AD612" s="22"/>
      <c r="AE612" s="39"/>
      <c r="AF612" s="274"/>
      <c r="AG612" s="274"/>
      <c r="AH612" s="125"/>
      <c r="AI612" s="22"/>
      <c r="AJ612" s="39"/>
      <c r="AK612" s="39"/>
      <c r="AL612" s="118"/>
      <c r="AM612" s="152"/>
      <c r="AN612" s="181"/>
      <c r="AO612" s="131"/>
      <c r="AP612" s="131"/>
      <c r="AQ612" s="39"/>
      <c r="AR612" s="274"/>
      <c r="AS612" s="274"/>
      <c r="AT612" s="274"/>
      <c r="AU612" s="39"/>
      <c r="AV612" s="39"/>
      <c r="AW612" s="39"/>
      <c r="AX612" s="274"/>
      <c r="AY612" s="274"/>
      <c r="AZ612" s="274"/>
      <c r="BA612" s="39"/>
      <c r="BB612" s="62"/>
      <c r="BC612" s="39"/>
      <c r="BD612" s="274"/>
      <c r="BE612" s="274"/>
      <c r="BF612" s="274"/>
      <c r="BG612" s="39"/>
      <c r="BH612" s="39"/>
      <c r="BI612" s="39"/>
      <c r="BJ612" s="274">
        <v>977700</v>
      </c>
      <c r="BK612" s="274">
        <f t="shared" ref="BK612:BK614" si="204">+BJ612*0.19</f>
        <v>185763</v>
      </c>
      <c r="BL612" s="274">
        <f t="shared" ref="BL612:BL614" si="205">+BJ612+BK612</f>
        <v>1163463</v>
      </c>
      <c r="BM612" s="213" t="s">
        <v>4738</v>
      </c>
      <c r="BN612" s="213" t="s">
        <v>2925</v>
      </c>
      <c r="BO612" s="39"/>
      <c r="BP612" s="274"/>
      <c r="BQ612" s="274"/>
      <c r="BR612" s="274"/>
      <c r="BS612" s="39"/>
      <c r="BT612" s="39"/>
      <c r="BU612" s="39"/>
      <c r="BV612" s="212">
        <v>1108746.9972000001</v>
      </c>
      <c r="BW612" s="219">
        <f t="shared" si="202"/>
        <v>210661.92946800002</v>
      </c>
      <c r="BX612" s="273">
        <f t="shared" si="203"/>
        <v>1319408.9266680002</v>
      </c>
      <c r="BY612" s="213" t="s">
        <v>4738</v>
      </c>
      <c r="BZ612" s="213" t="s">
        <v>2925</v>
      </c>
      <c r="CA612" s="213"/>
      <c r="CB612" s="274"/>
      <c r="CC612" s="274"/>
      <c r="CD612" s="274"/>
      <c r="CE612" s="39"/>
      <c r="CF612" s="39"/>
      <c r="CG612" s="39"/>
      <c r="CH612" s="275"/>
      <c r="CI612" s="275"/>
      <c r="CJ612" s="275"/>
      <c r="CK612" s="39"/>
      <c r="CL612" s="39"/>
      <c r="CM612" s="39"/>
      <c r="CN612" s="39"/>
      <c r="CO612" s="39"/>
      <c r="CP612" s="11"/>
      <c r="CQ612" s="11"/>
      <c r="CR612" s="11"/>
      <c r="CS612" s="11"/>
      <c r="CT612" s="11"/>
      <c r="CU612" s="11"/>
      <c r="CV612" s="11"/>
      <c r="CW612" s="11"/>
      <c r="CX612" s="11"/>
      <c r="CY612" s="11"/>
      <c r="CZ612" s="11"/>
      <c r="DA612" s="11"/>
      <c r="DB612" s="11"/>
      <c r="DC612" s="11"/>
      <c r="DD612" s="11"/>
      <c r="DE612" s="11"/>
      <c r="DF612" s="11"/>
      <c r="DG612" s="11"/>
      <c r="DH612" s="11"/>
      <c r="DI612" s="11"/>
      <c r="DJ612" s="11"/>
      <c r="DK612" s="11"/>
      <c r="DL612" s="274"/>
      <c r="DM612" s="274"/>
      <c r="DN612" s="274"/>
      <c r="DO612" s="274"/>
      <c r="DP612" s="274"/>
      <c r="DQ612" s="274"/>
      <c r="DR612" s="274"/>
      <c r="DS612" s="274"/>
      <c r="DT612" s="274"/>
      <c r="DU612" s="274"/>
      <c r="DV612" s="274"/>
      <c r="DW612" s="274"/>
      <c r="DX612" s="274"/>
      <c r="DY612" s="274"/>
      <c r="DZ612" s="274"/>
      <c r="EA612" s="274"/>
      <c r="EB612" s="274"/>
      <c r="EC612" s="274"/>
      <c r="ED612" s="39">
        <f t="shared" si="197"/>
        <v>2482871.9266680004</v>
      </c>
      <c r="EE612" s="30">
        <f t="shared" si="198"/>
        <v>2</v>
      </c>
      <c r="EF612" s="39">
        <f t="shared" si="199"/>
        <v>1241435.9633340002</v>
      </c>
    </row>
    <row r="613" spans="1:136" x14ac:dyDescent="0.25">
      <c r="A613" s="25" t="e">
        <f>#REF!</f>
        <v>#REF!</v>
      </c>
      <c r="B613" s="50" t="e">
        <f>#REF!</f>
        <v>#REF!</v>
      </c>
      <c r="C613" s="5" t="e">
        <f>#REF!</f>
        <v>#REF!</v>
      </c>
      <c r="D613" s="5" t="e">
        <f>#REF!</f>
        <v>#REF!</v>
      </c>
      <c r="E613" s="252">
        <v>1</v>
      </c>
      <c r="F613" s="249">
        <v>0</v>
      </c>
      <c r="G613" s="249">
        <v>0</v>
      </c>
      <c r="H613" s="249">
        <v>0</v>
      </c>
      <c r="I613" s="249">
        <v>0</v>
      </c>
      <c r="J613" s="249">
        <v>0</v>
      </c>
      <c r="K613" s="249">
        <v>0</v>
      </c>
      <c r="L613" s="274"/>
      <c r="M613" s="274"/>
      <c r="N613" s="255"/>
      <c r="O613" s="135"/>
      <c r="P613" s="135"/>
      <c r="Q613" s="131"/>
      <c r="R613" s="131"/>
      <c r="S613" s="11"/>
      <c r="T613" s="274"/>
      <c r="U613" s="274"/>
      <c r="V613" s="274"/>
      <c r="W613" s="39"/>
      <c r="X613" s="11"/>
      <c r="Y613" s="11"/>
      <c r="Z613" s="274"/>
      <c r="AA613" s="274"/>
      <c r="AB613" s="274"/>
      <c r="AC613" s="52"/>
      <c r="AD613" s="22"/>
      <c r="AE613" s="39"/>
      <c r="AF613" s="274"/>
      <c r="AG613" s="274"/>
      <c r="AH613" s="113"/>
      <c r="AI613" s="22"/>
      <c r="AJ613" s="39"/>
      <c r="AK613" s="39"/>
      <c r="AL613" s="118"/>
      <c r="AM613" s="152"/>
      <c r="AN613" s="152"/>
      <c r="AO613" s="131"/>
      <c r="AP613" s="131"/>
      <c r="AQ613" s="39"/>
      <c r="AR613" s="274"/>
      <c r="AS613" s="274"/>
      <c r="AT613" s="274"/>
      <c r="AU613" s="39"/>
      <c r="AV613" s="39"/>
      <c r="AW613" s="39"/>
      <c r="AX613" s="274"/>
      <c r="AY613" s="274"/>
      <c r="AZ613" s="274"/>
      <c r="BA613" s="39"/>
      <c r="BB613" s="62"/>
      <c r="BC613" s="39"/>
      <c r="BD613" s="274"/>
      <c r="BE613" s="274"/>
      <c r="BF613" s="274"/>
      <c r="BG613" s="39"/>
      <c r="BH613" s="39"/>
      <c r="BI613" s="39"/>
      <c r="BJ613" s="274">
        <v>501700</v>
      </c>
      <c r="BK613" s="274">
        <f t="shared" si="204"/>
        <v>95323</v>
      </c>
      <c r="BL613" s="274">
        <f t="shared" si="205"/>
        <v>597023</v>
      </c>
      <c r="BM613" s="213" t="s">
        <v>4738</v>
      </c>
      <c r="BN613" s="213" t="s">
        <v>2925</v>
      </c>
      <c r="BO613" s="39"/>
      <c r="BP613" s="274"/>
      <c r="BQ613" s="274"/>
      <c r="BR613" s="274"/>
      <c r="BS613" s="39"/>
      <c r="BT613" s="39"/>
      <c r="BU613" s="39"/>
      <c r="BV613" s="212">
        <v>569559.94200000004</v>
      </c>
      <c r="BW613" s="219">
        <f t="shared" si="202"/>
        <v>108216.38898</v>
      </c>
      <c r="BX613" s="273">
        <f t="shared" si="203"/>
        <v>677776.33098000009</v>
      </c>
      <c r="BY613" s="213" t="s">
        <v>4738</v>
      </c>
      <c r="BZ613" s="213" t="s">
        <v>2925</v>
      </c>
      <c r="CA613" s="213"/>
      <c r="CB613" s="274"/>
      <c r="CC613" s="274"/>
      <c r="CD613" s="274"/>
      <c r="CE613" s="39"/>
      <c r="CF613" s="39"/>
      <c r="CG613" s="39"/>
      <c r="CH613" s="274"/>
      <c r="CI613" s="274"/>
      <c r="CJ613" s="274"/>
      <c r="CK613" s="39"/>
      <c r="CL613" s="39"/>
      <c r="CM613" s="39"/>
      <c r="CN613" s="39"/>
      <c r="CO613" s="39"/>
      <c r="CP613" s="11"/>
      <c r="CQ613" s="11"/>
      <c r="CR613" s="11"/>
      <c r="CS613" s="11"/>
      <c r="CT613" s="11"/>
      <c r="CU613" s="11"/>
      <c r="CV613" s="11"/>
      <c r="CW613" s="11"/>
      <c r="CX613" s="11"/>
      <c r="CY613" s="11"/>
      <c r="CZ613" s="11"/>
      <c r="DA613" s="11"/>
      <c r="DB613" s="11"/>
      <c r="DC613" s="11"/>
      <c r="DD613" s="11"/>
      <c r="DE613" s="11"/>
      <c r="DF613" s="11"/>
      <c r="DG613" s="11"/>
      <c r="DH613" s="11"/>
      <c r="DI613" s="11"/>
      <c r="DJ613" s="11"/>
      <c r="DK613" s="11"/>
      <c r="DL613" s="274"/>
      <c r="DM613" s="274"/>
      <c r="DN613" s="274"/>
      <c r="DO613" s="274"/>
      <c r="DP613" s="274"/>
      <c r="DQ613" s="274"/>
      <c r="DR613" s="274"/>
      <c r="DS613" s="274"/>
      <c r="DT613" s="274"/>
      <c r="DU613" s="274"/>
      <c r="DV613" s="274"/>
      <c r="DW613" s="274"/>
      <c r="DX613" s="274"/>
      <c r="DY613" s="274"/>
      <c r="DZ613" s="274"/>
      <c r="EA613" s="274"/>
      <c r="EB613" s="274"/>
      <c r="EC613" s="274"/>
      <c r="ED613" s="39">
        <f t="shared" si="197"/>
        <v>1274799.3309800001</v>
      </c>
      <c r="EE613" s="30">
        <f t="shared" si="198"/>
        <v>2</v>
      </c>
      <c r="EF613" s="39">
        <f t="shared" si="199"/>
        <v>637399.66549000004</v>
      </c>
    </row>
    <row r="614" spans="1:136" x14ac:dyDescent="0.25">
      <c r="A614" s="25" t="e">
        <f>#REF!</f>
        <v>#REF!</v>
      </c>
      <c r="B614" s="50" t="e">
        <f>#REF!</f>
        <v>#REF!</v>
      </c>
      <c r="C614" s="5" t="e">
        <f>#REF!</f>
        <v>#REF!</v>
      </c>
      <c r="D614" s="5" t="e">
        <f>#REF!</f>
        <v>#REF!</v>
      </c>
      <c r="E614" s="252">
        <v>1</v>
      </c>
      <c r="F614" s="249">
        <v>0</v>
      </c>
      <c r="G614" s="249">
        <v>0</v>
      </c>
      <c r="H614" s="249">
        <v>95200</v>
      </c>
      <c r="I614" s="249">
        <v>0</v>
      </c>
      <c r="J614" s="249">
        <v>0</v>
      </c>
      <c r="K614" s="249">
        <v>0</v>
      </c>
      <c r="L614" s="274">
        <f>H614</f>
        <v>95200</v>
      </c>
      <c r="M614" s="274"/>
      <c r="N614" s="255"/>
      <c r="O614" s="135"/>
      <c r="P614" s="135"/>
      <c r="Q614" s="131"/>
      <c r="R614" s="131"/>
      <c r="S614" s="11"/>
      <c r="T614" s="274"/>
      <c r="U614" s="274"/>
      <c r="V614" s="274"/>
      <c r="W614" s="39"/>
      <c r="X614" s="11"/>
      <c r="Y614" s="11"/>
      <c r="Z614" s="274"/>
      <c r="AA614" s="274"/>
      <c r="AB614" s="274"/>
      <c r="AC614" s="52"/>
      <c r="AD614" s="22"/>
      <c r="AE614" s="39"/>
      <c r="AF614" s="274"/>
      <c r="AG614" s="274"/>
      <c r="AH614" s="171"/>
      <c r="AI614" s="4"/>
      <c r="AJ614" s="39"/>
      <c r="AK614" s="39"/>
      <c r="AL614" s="118"/>
      <c r="AM614" s="152"/>
      <c r="AN614" s="181"/>
      <c r="AO614" s="131"/>
      <c r="AP614" s="131"/>
      <c r="AQ614" s="39"/>
      <c r="AR614" s="274"/>
      <c r="AS614" s="274"/>
      <c r="AT614" s="274"/>
      <c r="AU614" s="39"/>
      <c r="AV614" s="39"/>
      <c r="AW614" s="39"/>
      <c r="AX614" s="274"/>
      <c r="AY614" s="274"/>
      <c r="AZ614" s="274"/>
      <c r="BA614" s="39"/>
      <c r="BB614" s="62"/>
      <c r="BC614" s="39"/>
      <c r="BD614" s="274"/>
      <c r="BE614" s="274"/>
      <c r="BF614" s="274"/>
      <c r="BG614" s="39"/>
      <c r="BH614" s="39"/>
      <c r="BI614" s="39"/>
      <c r="BJ614" s="274">
        <v>37300</v>
      </c>
      <c r="BK614" s="274">
        <f t="shared" si="204"/>
        <v>7087</v>
      </c>
      <c r="BL614" s="274">
        <f t="shared" si="205"/>
        <v>44387</v>
      </c>
      <c r="BM614" s="213" t="s">
        <v>196</v>
      </c>
      <c r="BN614" s="213" t="s">
        <v>2925</v>
      </c>
      <c r="BO614" s="39"/>
      <c r="BP614" s="274"/>
      <c r="BQ614" s="274"/>
      <c r="BR614" s="274"/>
      <c r="BS614" s="39"/>
      <c r="BT614" s="39"/>
      <c r="BU614" s="39"/>
      <c r="BV614" s="219">
        <v>42345.198000000004</v>
      </c>
      <c r="BW614" s="219">
        <f t="shared" si="202"/>
        <v>8045.5876200000012</v>
      </c>
      <c r="BX614" s="273">
        <f t="shared" si="203"/>
        <v>50390.785620000002</v>
      </c>
      <c r="BY614" s="213" t="s">
        <v>196</v>
      </c>
      <c r="BZ614" s="213" t="s">
        <v>2925</v>
      </c>
      <c r="CA614" s="213"/>
      <c r="CB614" s="274"/>
      <c r="CC614" s="274"/>
      <c r="CD614" s="274"/>
      <c r="CE614" s="39"/>
      <c r="CF614" s="39"/>
      <c r="CG614" s="39"/>
      <c r="CH614" s="274"/>
      <c r="CI614" s="274"/>
      <c r="CJ614" s="274"/>
      <c r="CK614" s="39"/>
      <c r="CL614" s="39"/>
      <c r="CM614" s="39"/>
      <c r="CN614" s="39"/>
      <c r="CO614" s="39"/>
      <c r="CP614" s="11"/>
      <c r="CQ614" s="11"/>
      <c r="CR614" s="11"/>
      <c r="CS614" s="11"/>
      <c r="CT614" s="11"/>
      <c r="CU614" s="11"/>
      <c r="CV614" s="11"/>
      <c r="CW614" s="11"/>
      <c r="CX614" s="11"/>
      <c r="CY614" s="11"/>
      <c r="CZ614" s="11"/>
      <c r="DA614" s="11"/>
      <c r="DB614" s="11"/>
      <c r="DC614" s="11"/>
      <c r="DD614" s="11"/>
      <c r="DE614" s="11"/>
      <c r="DF614" s="11"/>
      <c r="DG614" s="11"/>
      <c r="DH614" s="11"/>
      <c r="DI614" s="11"/>
      <c r="DJ614" s="11"/>
      <c r="DK614" s="11"/>
      <c r="DL614" s="274"/>
      <c r="DM614" s="274"/>
      <c r="DN614" s="274"/>
      <c r="DO614" s="274"/>
      <c r="DP614" s="274"/>
      <c r="DQ614" s="274"/>
      <c r="DR614" s="274"/>
      <c r="DS614" s="274"/>
      <c r="DT614" s="274"/>
      <c r="DU614" s="274"/>
      <c r="DV614" s="274"/>
      <c r="DW614" s="274"/>
      <c r="DX614" s="274"/>
      <c r="DY614" s="274"/>
      <c r="DZ614" s="274"/>
      <c r="EA614" s="274"/>
      <c r="EB614" s="274"/>
      <c r="EC614" s="274"/>
      <c r="ED614" s="39">
        <f t="shared" si="197"/>
        <v>94777.78562000001</v>
      </c>
      <c r="EE614" s="30">
        <f t="shared" si="198"/>
        <v>2</v>
      </c>
      <c r="EF614" s="39">
        <f t="shared" si="199"/>
        <v>47388.892810000005</v>
      </c>
    </row>
    <row r="615" spans="1:136" x14ac:dyDescent="0.25">
      <c r="A615" s="25" t="e">
        <f>#REF!</f>
        <v>#REF!</v>
      </c>
      <c r="B615" s="50" t="e">
        <f>#REF!</f>
        <v>#REF!</v>
      </c>
      <c r="C615" s="5" t="e">
        <f>#REF!</f>
        <v>#REF!</v>
      </c>
      <c r="D615" s="5" t="e">
        <f>#REF!</f>
        <v>#REF!</v>
      </c>
      <c r="E615" s="252">
        <v>1</v>
      </c>
      <c r="F615" s="249">
        <v>0</v>
      </c>
      <c r="G615" s="249">
        <v>0</v>
      </c>
      <c r="H615" s="249">
        <v>0</v>
      </c>
      <c r="I615" s="249">
        <v>0</v>
      </c>
      <c r="J615" s="249">
        <v>0</v>
      </c>
      <c r="K615" s="249">
        <v>0</v>
      </c>
      <c r="L615" s="274"/>
      <c r="M615" s="274"/>
      <c r="N615" s="255"/>
      <c r="O615" s="135"/>
      <c r="P615" s="135"/>
      <c r="Q615" s="131"/>
      <c r="R615" s="131"/>
      <c r="S615" s="11"/>
      <c r="T615" s="274"/>
      <c r="U615" s="274"/>
      <c r="V615" s="274"/>
      <c r="W615" s="39"/>
      <c r="X615" s="11"/>
      <c r="Y615" s="11"/>
      <c r="Z615" s="274"/>
      <c r="AA615" s="274"/>
      <c r="AB615" s="274"/>
      <c r="AC615" s="52"/>
      <c r="AD615" s="22"/>
      <c r="AE615" s="39"/>
      <c r="AF615" s="274"/>
      <c r="AG615" s="274"/>
      <c r="AH615" s="171"/>
      <c r="AI615" s="22"/>
      <c r="AJ615" s="39"/>
      <c r="AK615" s="39"/>
      <c r="AL615" s="118"/>
      <c r="AM615" s="152"/>
      <c r="AN615" s="181"/>
      <c r="AO615" s="131"/>
      <c r="AP615" s="131"/>
      <c r="AQ615" s="39"/>
      <c r="AR615" s="274"/>
      <c r="AS615" s="274"/>
      <c r="AT615" s="274"/>
      <c r="AU615" s="39"/>
      <c r="AV615" s="39"/>
      <c r="AW615" s="39"/>
      <c r="AX615" s="274"/>
      <c r="AY615" s="274"/>
      <c r="AZ615" s="274"/>
      <c r="BA615" s="39"/>
      <c r="BB615" s="62"/>
      <c r="BC615" s="39"/>
      <c r="BD615" s="274"/>
      <c r="BE615" s="274"/>
      <c r="BF615" s="274"/>
      <c r="BG615" s="39"/>
      <c r="BH615" s="39"/>
      <c r="BI615" s="39"/>
      <c r="BJ615" s="274"/>
      <c r="BK615" s="274"/>
      <c r="BL615" s="274"/>
      <c r="BM615" s="213"/>
      <c r="BN615" s="213"/>
      <c r="BO615" s="39"/>
      <c r="BP615" s="274"/>
      <c r="BQ615" s="274"/>
      <c r="BR615" s="274"/>
      <c r="BS615" s="39"/>
      <c r="BT615" s="39"/>
      <c r="BU615" s="39"/>
      <c r="BV615" s="212"/>
      <c r="BW615" s="220"/>
      <c r="BX615" s="273"/>
      <c r="BY615" s="213"/>
      <c r="BZ615" s="213"/>
      <c r="CA615" s="213"/>
      <c r="CB615" s="274"/>
      <c r="CC615" s="274"/>
      <c r="CD615" s="274"/>
      <c r="CE615" s="39"/>
      <c r="CF615" s="39"/>
      <c r="CG615" s="39"/>
      <c r="CH615" s="274"/>
      <c r="CI615" s="274"/>
      <c r="CJ615" s="274"/>
      <c r="CK615" s="39"/>
      <c r="CL615" s="39"/>
      <c r="CM615" s="39"/>
      <c r="CN615" s="39"/>
      <c r="CO615" s="39"/>
      <c r="CP615" s="11"/>
      <c r="CQ615" s="11"/>
      <c r="CR615" s="11"/>
      <c r="CS615" s="11"/>
      <c r="CT615" s="11"/>
      <c r="CU615" s="11"/>
      <c r="CV615" s="11"/>
      <c r="CW615" s="11"/>
      <c r="CX615" s="11"/>
      <c r="CY615" s="11"/>
      <c r="CZ615" s="11"/>
      <c r="DA615" s="11"/>
      <c r="DB615" s="11"/>
      <c r="DC615" s="11"/>
      <c r="DD615" s="11"/>
      <c r="DE615" s="11"/>
      <c r="DF615" s="11"/>
      <c r="DG615" s="11"/>
      <c r="DH615" s="11"/>
      <c r="DI615" s="11"/>
      <c r="DJ615" s="11"/>
      <c r="DK615" s="11"/>
      <c r="DL615" s="274"/>
      <c r="DM615" s="274"/>
      <c r="DN615" s="274"/>
      <c r="DO615" s="274"/>
      <c r="DP615" s="274"/>
      <c r="DQ615" s="274"/>
      <c r="DR615" s="274"/>
      <c r="DS615" s="274"/>
      <c r="DT615" s="274"/>
      <c r="DU615" s="274"/>
      <c r="DV615" s="274"/>
      <c r="DW615" s="274"/>
      <c r="DX615" s="274"/>
      <c r="DY615" s="274"/>
      <c r="DZ615" s="274"/>
      <c r="EA615" s="274"/>
      <c r="EB615" s="274"/>
      <c r="EC615" s="274"/>
      <c r="ED615" s="39">
        <f t="shared" si="197"/>
        <v>0</v>
      </c>
      <c r="EE615" s="30">
        <f t="shared" si="198"/>
        <v>0</v>
      </c>
      <c r="EF615" s="39" t="str">
        <f t="shared" si="199"/>
        <v xml:space="preserve"> </v>
      </c>
    </row>
    <row r="616" spans="1:136" ht="25.5" x14ac:dyDescent="0.25">
      <c r="A616" s="25" t="e">
        <f>#REF!</f>
        <v>#REF!</v>
      </c>
      <c r="B616" s="50" t="e">
        <f>#REF!</f>
        <v>#REF!</v>
      </c>
      <c r="C616" s="5" t="e">
        <f>#REF!</f>
        <v>#REF!</v>
      </c>
      <c r="D616" s="5" t="e">
        <f>#REF!</f>
        <v>#REF!</v>
      </c>
      <c r="E616" s="252">
        <v>1</v>
      </c>
      <c r="F616" s="249">
        <v>0</v>
      </c>
      <c r="G616" s="249">
        <v>0</v>
      </c>
      <c r="H616" s="249">
        <v>0</v>
      </c>
      <c r="I616" s="249">
        <v>0</v>
      </c>
      <c r="J616" s="249">
        <v>351718.78</v>
      </c>
      <c r="K616" s="249">
        <v>0</v>
      </c>
      <c r="L616" s="274">
        <f>J616</f>
        <v>351718.78</v>
      </c>
      <c r="M616" s="274"/>
      <c r="N616" s="255"/>
      <c r="O616" s="135"/>
      <c r="P616" s="135"/>
      <c r="Q616" s="131"/>
      <c r="R616" s="131"/>
      <c r="S616" s="11"/>
      <c r="T616" s="274"/>
      <c r="U616" s="274"/>
      <c r="V616" s="274"/>
      <c r="W616" s="39"/>
      <c r="X616" s="11"/>
      <c r="Y616" s="11"/>
      <c r="Z616" s="274">
        <v>256000</v>
      </c>
      <c r="AA616" s="274">
        <f>+Z616*0.19</f>
        <v>48640</v>
      </c>
      <c r="AB616" s="274">
        <f>+Z616+AA616</f>
        <v>304640</v>
      </c>
      <c r="AC616" s="52" t="s">
        <v>4841</v>
      </c>
      <c r="AD616" s="22" t="s">
        <v>4795</v>
      </c>
      <c r="AE616" s="39"/>
      <c r="AF616" s="274"/>
      <c r="AG616" s="274"/>
      <c r="AH616" s="171"/>
      <c r="AI616" s="4"/>
      <c r="AJ616" s="39"/>
      <c r="AK616" s="39"/>
      <c r="AL616" s="118"/>
      <c r="AM616" s="152"/>
      <c r="AN616" s="181"/>
      <c r="AO616" s="131"/>
      <c r="AP616" s="131"/>
      <c r="AQ616" s="39"/>
      <c r="AR616" s="274"/>
      <c r="AS616" s="274"/>
      <c r="AT616" s="274"/>
      <c r="AU616" s="39"/>
      <c r="AV616" s="39"/>
      <c r="AW616" s="39"/>
      <c r="AX616" s="274"/>
      <c r="AY616" s="274"/>
      <c r="AZ616" s="274"/>
      <c r="BA616" s="39"/>
      <c r="BB616" s="62"/>
      <c r="BC616" s="39"/>
      <c r="BD616" s="274"/>
      <c r="BE616" s="274"/>
      <c r="BF616" s="274"/>
      <c r="BG616" s="39"/>
      <c r="BH616" s="39"/>
      <c r="BI616" s="39"/>
      <c r="BJ616" s="274">
        <f>1068200</f>
        <v>1068200</v>
      </c>
      <c r="BK616" s="274">
        <f t="shared" ref="BK616:BK627" si="206">+BJ616*0.19</f>
        <v>202958</v>
      </c>
      <c r="BL616" s="274">
        <f t="shared" ref="BL616:BL630" si="207">+BJ616+BK616</f>
        <v>1271158</v>
      </c>
      <c r="BM616" s="213" t="s">
        <v>4843</v>
      </c>
      <c r="BN616" s="213" t="s">
        <v>2925</v>
      </c>
      <c r="BO616" s="39"/>
      <c r="BP616" s="274"/>
      <c r="BQ616" s="274"/>
      <c r="BR616" s="274"/>
      <c r="BS616" s="39"/>
      <c r="BT616" s="39"/>
      <c r="BU616" s="39"/>
      <c r="BV616" s="212"/>
      <c r="BW616" s="219"/>
      <c r="BX616" s="273"/>
      <c r="BY616" s="213"/>
      <c r="BZ616" s="213"/>
      <c r="CA616" s="213"/>
      <c r="CB616" s="274"/>
      <c r="CC616" s="274"/>
      <c r="CD616" s="274"/>
      <c r="CE616" s="39"/>
      <c r="CF616" s="39"/>
      <c r="CG616" s="39"/>
      <c r="CH616" s="274"/>
      <c r="CI616" s="274"/>
      <c r="CJ616" s="274"/>
      <c r="CK616" s="39"/>
      <c r="CL616" s="39"/>
      <c r="CM616" s="39"/>
      <c r="CN616" s="39"/>
      <c r="CO616" s="39"/>
      <c r="CP616" s="11"/>
      <c r="CQ616" s="11"/>
      <c r="CR616" s="11"/>
      <c r="CS616" s="11"/>
      <c r="CT616" s="11"/>
      <c r="CU616" s="11"/>
      <c r="CV616" s="11"/>
      <c r="CW616" s="11"/>
      <c r="CX616" s="11"/>
      <c r="CY616" s="11"/>
      <c r="CZ616" s="11"/>
      <c r="DA616" s="11"/>
      <c r="DB616" s="11"/>
      <c r="DC616" s="11"/>
      <c r="DD616" s="11"/>
      <c r="DE616" s="11"/>
      <c r="DF616" s="11"/>
      <c r="DG616" s="11"/>
      <c r="DH616" s="11"/>
      <c r="DI616" s="11"/>
      <c r="DJ616" s="11"/>
      <c r="DK616" s="11"/>
      <c r="DL616" s="274"/>
      <c r="DM616" s="274"/>
      <c r="DN616" s="274"/>
      <c r="DO616" s="274"/>
      <c r="DP616" s="274"/>
      <c r="DQ616" s="274"/>
      <c r="DR616" s="274"/>
      <c r="DS616" s="274"/>
      <c r="DT616" s="274"/>
      <c r="DU616" s="274"/>
      <c r="DV616" s="274"/>
      <c r="DW616" s="274"/>
      <c r="DX616" s="274"/>
      <c r="DY616" s="274"/>
      <c r="DZ616" s="274"/>
      <c r="EA616" s="274"/>
      <c r="EB616" s="274"/>
      <c r="EC616" s="274"/>
      <c r="ED616" s="39">
        <f t="shared" si="197"/>
        <v>1575798</v>
      </c>
      <c r="EE616" s="30">
        <f t="shared" si="198"/>
        <v>2</v>
      </c>
      <c r="EF616" s="39">
        <f t="shared" si="199"/>
        <v>787899</v>
      </c>
    </row>
    <row r="617" spans="1:136" x14ac:dyDescent="0.25">
      <c r="A617" s="25" t="e">
        <f>#REF!</f>
        <v>#REF!</v>
      </c>
      <c r="B617" s="50" t="e">
        <f>#REF!</f>
        <v>#REF!</v>
      </c>
      <c r="C617" s="5" t="e">
        <f>#REF!</f>
        <v>#REF!</v>
      </c>
      <c r="D617" s="5" t="e">
        <f>#REF!</f>
        <v>#REF!</v>
      </c>
      <c r="E617" s="252">
        <v>1</v>
      </c>
      <c r="F617" s="249">
        <v>95200</v>
      </c>
      <c r="G617" s="249">
        <v>90440</v>
      </c>
      <c r="H617" s="249">
        <v>197936.66666666666</v>
      </c>
      <c r="I617" s="249">
        <v>197778</v>
      </c>
      <c r="J617" s="249">
        <v>38813.833333333336</v>
      </c>
      <c r="K617" s="249">
        <v>35700</v>
      </c>
      <c r="L617" s="274">
        <f>AVERAGE(F617,H617,J617)</f>
        <v>110650.16666666664</v>
      </c>
      <c r="M617" s="274">
        <f>AVERAGE(G617,I617,K617)*E1</f>
        <v>111211.84666666668</v>
      </c>
      <c r="N617" s="255">
        <v>11000</v>
      </c>
      <c r="O617" s="135">
        <f t="shared" ref="O617:O624" si="208">+N617*0.19</f>
        <v>2090</v>
      </c>
      <c r="P617" s="135">
        <f t="shared" ref="P617:P624" si="209">+N617+O617</f>
        <v>13090</v>
      </c>
      <c r="Q617" s="131"/>
      <c r="R617" s="131"/>
      <c r="S617" s="11"/>
      <c r="T617" s="274"/>
      <c r="U617" s="274"/>
      <c r="V617" s="274"/>
      <c r="W617" s="39"/>
      <c r="X617" s="11"/>
      <c r="Y617" s="11"/>
      <c r="Z617" s="274"/>
      <c r="AA617" s="274"/>
      <c r="AB617" s="274"/>
      <c r="AC617" s="52"/>
      <c r="AD617" s="22"/>
      <c r="AE617" s="39"/>
      <c r="AF617" s="274"/>
      <c r="AG617" s="274"/>
      <c r="AH617" s="171"/>
      <c r="AI617" s="4"/>
      <c r="AJ617" s="39"/>
      <c r="AK617" s="39"/>
      <c r="AL617" s="118"/>
      <c r="AM617" s="152"/>
      <c r="AN617" s="181"/>
      <c r="AO617" s="131"/>
      <c r="AP617" s="131"/>
      <c r="AQ617" s="39"/>
      <c r="AR617" s="274"/>
      <c r="AS617" s="274"/>
      <c r="AT617" s="274"/>
      <c r="AU617" s="39"/>
      <c r="AV617" s="39"/>
      <c r="AW617" s="39"/>
      <c r="AX617" s="274"/>
      <c r="AY617" s="274"/>
      <c r="AZ617" s="274"/>
      <c r="BA617" s="39"/>
      <c r="BB617" s="62"/>
      <c r="BC617" s="39"/>
      <c r="BD617" s="274"/>
      <c r="BE617" s="274"/>
      <c r="BF617" s="274"/>
      <c r="BG617" s="39"/>
      <c r="BH617" s="39"/>
      <c r="BI617" s="39"/>
      <c r="BJ617" s="274">
        <f>1341500/10</f>
        <v>134150</v>
      </c>
      <c r="BK617" s="274">
        <f t="shared" si="206"/>
        <v>25488.5</v>
      </c>
      <c r="BL617" s="274">
        <f t="shared" si="207"/>
        <v>159638.5</v>
      </c>
      <c r="BM617" s="213" t="s">
        <v>4984</v>
      </c>
      <c r="BN617" s="213" t="s">
        <v>4776</v>
      </c>
      <c r="BO617" s="39"/>
      <c r="BP617" s="274"/>
      <c r="BQ617" s="274"/>
      <c r="BR617" s="274"/>
      <c r="BS617" s="39"/>
      <c r="BT617" s="39"/>
      <c r="BU617" s="39"/>
      <c r="BV617" s="219"/>
      <c r="BW617" s="219"/>
      <c r="BX617" s="273"/>
      <c r="BY617" s="213"/>
      <c r="BZ617" s="213"/>
      <c r="CA617" s="213"/>
      <c r="CB617" s="274"/>
      <c r="CC617" s="274"/>
      <c r="CD617" s="274"/>
      <c r="CE617" s="39"/>
      <c r="CF617" s="39"/>
      <c r="CG617" s="39"/>
      <c r="CH617" s="274"/>
      <c r="CI617" s="274"/>
      <c r="CJ617" s="274"/>
      <c r="CK617" s="39"/>
      <c r="CL617" s="39"/>
      <c r="CM617" s="39"/>
      <c r="CN617" s="39"/>
      <c r="CO617" s="39"/>
      <c r="CP617" s="11"/>
      <c r="CQ617" s="11"/>
      <c r="CR617" s="11"/>
      <c r="CS617" s="11"/>
      <c r="CT617" s="11"/>
      <c r="CU617" s="11"/>
      <c r="CV617" s="11"/>
      <c r="CW617" s="11"/>
      <c r="CX617" s="11"/>
      <c r="CY617" s="11"/>
      <c r="CZ617" s="11"/>
      <c r="DA617" s="11"/>
      <c r="DB617" s="11"/>
      <c r="DC617" s="11"/>
      <c r="DD617" s="11"/>
      <c r="DE617" s="11"/>
      <c r="DF617" s="11"/>
      <c r="DG617" s="11"/>
      <c r="DH617" s="11"/>
      <c r="DI617" s="11"/>
      <c r="DJ617" s="11"/>
      <c r="DK617" s="11"/>
      <c r="DL617" s="274"/>
      <c r="DM617" s="274"/>
      <c r="DN617" s="274"/>
      <c r="DO617" s="274"/>
      <c r="DP617" s="274"/>
      <c r="DQ617" s="274"/>
      <c r="DR617" s="274"/>
      <c r="DS617" s="274"/>
      <c r="DT617" s="274"/>
      <c r="DU617" s="274"/>
      <c r="DV617" s="274"/>
      <c r="DW617" s="274"/>
      <c r="DX617" s="274"/>
      <c r="DY617" s="274"/>
      <c r="DZ617" s="274"/>
      <c r="EA617" s="274"/>
      <c r="EB617" s="274"/>
      <c r="EC617" s="274"/>
      <c r="ED617" s="39">
        <f t="shared" si="197"/>
        <v>283940.34666666668</v>
      </c>
      <c r="EE617" s="30">
        <f t="shared" si="198"/>
        <v>3</v>
      </c>
      <c r="EF617" s="39">
        <f t="shared" si="199"/>
        <v>94646.782222222231</v>
      </c>
    </row>
    <row r="618" spans="1:136" x14ac:dyDescent="0.25">
      <c r="A618" s="25" t="e">
        <f>#REF!</f>
        <v>#REF!</v>
      </c>
      <c r="B618" s="50" t="e">
        <f>#REF!</f>
        <v>#REF!</v>
      </c>
      <c r="C618" s="5" t="e">
        <f>#REF!</f>
        <v>#REF!</v>
      </c>
      <c r="D618" s="5" t="e">
        <f>#REF!</f>
        <v>#REF!</v>
      </c>
      <c r="E618" s="252">
        <v>1</v>
      </c>
      <c r="F618" s="249">
        <v>35700</v>
      </c>
      <c r="G618" s="249">
        <v>0</v>
      </c>
      <c r="H618" s="249">
        <v>41650</v>
      </c>
      <c r="I618" s="249">
        <v>0</v>
      </c>
      <c r="J618" s="249">
        <v>56095.277777777781</v>
      </c>
      <c r="K618" s="249">
        <v>0</v>
      </c>
      <c r="L618" s="274">
        <f>AVERAGE(F618,H618,J618)</f>
        <v>44481.759259259263</v>
      </c>
      <c r="M618" s="274"/>
      <c r="N618" s="255">
        <v>40000</v>
      </c>
      <c r="O618" s="135">
        <f t="shared" si="208"/>
        <v>7600</v>
      </c>
      <c r="P618" s="135">
        <f t="shared" si="209"/>
        <v>47600</v>
      </c>
      <c r="Q618" s="131"/>
      <c r="R618" s="131"/>
      <c r="S618" s="11"/>
      <c r="T618" s="274"/>
      <c r="U618" s="274"/>
      <c r="V618" s="274"/>
      <c r="W618" s="39"/>
      <c r="X618" s="11"/>
      <c r="Y618" s="11"/>
      <c r="Z618" s="274"/>
      <c r="AA618" s="274"/>
      <c r="AB618" s="274"/>
      <c r="AC618" s="52"/>
      <c r="AD618" s="22"/>
      <c r="AE618" s="39"/>
      <c r="AF618" s="274"/>
      <c r="AG618" s="274"/>
      <c r="AH618" s="171"/>
      <c r="AI618" s="4"/>
      <c r="AJ618" s="39"/>
      <c r="AK618" s="39"/>
      <c r="AL618" s="118"/>
      <c r="AM618" s="152"/>
      <c r="AN618" s="181"/>
      <c r="AO618" s="131"/>
      <c r="AP618" s="131"/>
      <c r="AQ618" s="39"/>
      <c r="AR618" s="274"/>
      <c r="AS618" s="274"/>
      <c r="AT618" s="274"/>
      <c r="AU618" s="39"/>
      <c r="AV618" s="39"/>
      <c r="AW618" s="39"/>
      <c r="AX618" s="274"/>
      <c r="AY618" s="274"/>
      <c r="AZ618" s="274"/>
      <c r="BA618" s="39"/>
      <c r="BB618" s="62"/>
      <c r="BC618" s="39"/>
      <c r="BD618" s="274"/>
      <c r="BE618" s="274"/>
      <c r="BF618" s="274"/>
      <c r="BG618" s="39"/>
      <c r="BH618" s="39"/>
      <c r="BI618" s="39"/>
      <c r="BJ618" s="274">
        <v>332500</v>
      </c>
      <c r="BK618" s="274">
        <f t="shared" si="206"/>
        <v>63175</v>
      </c>
      <c r="BL618" s="274">
        <f t="shared" si="207"/>
        <v>395675</v>
      </c>
      <c r="BM618" s="213" t="s">
        <v>196</v>
      </c>
      <c r="BN618" s="213" t="s">
        <v>4985</v>
      </c>
      <c r="BO618" s="39"/>
      <c r="BP618" s="274"/>
      <c r="BQ618" s="274"/>
      <c r="BR618" s="274"/>
      <c r="BS618" s="39"/>
      <c r="BT618" s="39"/>
      <c r="BU618" s="39"/>
      <c r="BV618" s="219">
        <v>370112.73249999998</v>
      </c>
      <c r="BW618" s="219">
        <f t="shared" ref="BW618:BW626" si="210">+BV618*0.19</f>
        <v>70321.419175000003</v>
      </c>
      <c r="BX618" s="273">
        <f t="shared" ref="BX618:BX626" si="211">+BV618+BW618</f>
        <v>440434.15167499997</v>
      </c>
      <c r="BY618" s="213" t="s">
        <v>196</v>
      </c>
      <c r="BZ618" s="213" t="s">
        <v>4985</v>
      </c>
      <c r="CA618" s="213"/>
      <c r="CB618" s="274"/>
      <c r="CC618" s="274"/>
      <c r="CD618" s="274"/>
      <c r="CE618" s="39"/>
      <c r="CF618" s="39"/>
      <c r="CG618" s="39"/>
      <c r="CH618" s="274"/>
      <c r="CI618" s="274"/>
      <c r="CJ618" s="274"/>
      <c r="CK618" s="39"/>
      <c r="CL618" s="39"/>
      <c r="CM618" s="39"/>
      <c r="CN618" s="39"/>
      <c r="CO618" s="39"/>
      <c r="CP618" s="11"/>
      <c r="CQ618" s="11"/>
      <c r="CR618" s="11"/>
      <c r="CS618" s="11"/>
      <c r="CT618" s="11"/>
      <c r="CU618" s="11"/>
      <c r="CV618" s="11"/>
      <c r="CW618" s="11"/>
      <c r="CX618" s="11"/>
      <c r="CY618" s="11"/>
      <c r="CZ618" s="11"/>
      <c r="DA618" s="11"/>
      <c r="DB618" s="11"/>
      <c r="DC618" s="11"/>
      <c r="DD618" s="11"/>
      <c r="DE618" s="11"/>
      <c r="DF618" s="11"/>
      <c r="DG618" s="11"/>
      <c r="DH618" s="11"/>
      <c r="DI618" s="11"/>
      <c r="DJ618" s="11"/>
      <c r="DK618" s="11"/>
      <c r="DL618" s="274"/>
      <c r="DM618" s="274"/>
      <c r="DN618" s="274"/>
      <c r="DO618" s="274"/>
      <c r="DP618" s="274"/>
      <c r="DQ618" s="274"/>
      <c r="DR618" s="274"/>
      <c r="DS618" s="274"/>
      <c r="DT618" s="274"/>
      <c r="DU618" s="274"/>
      <c r="DV618" s="274"/>
      <c r="DW618" s="274"/>
      <c r="DX618" s="274"/>
      <c r="DY618" s="274"/>
      <c r="DZ618" s="274"/>
      <c r="EA618" s="274"/>
      <c r="EB618" s="274"/>
      <c r="EC618" s="274"/>
      <c r="ED618" s="39">
        <f t="shared" si="197"/>
        <v>883709.15167499997</v>
      </c>
      <c r="EE618" s="30">
        <f t="shared" si="198"/>
        <v>3</v>
      </c>
      <c r="EF618" s="39">
        <f t="shared" si="199"/>
        <v>294569.71722499997</v>
      </c>
    </row>
    <row r="619" spans="1:136" x14ac:dyDescent="0.25">
      <c r="A619" s="25" t="e">
        <f>#REF!</f>
        <v>#REF!</v>
      </c>
      <c r="B619" s="50" t="e">
        <f>#REF!</f>
        <v>#REF!</v>
      </c>
      <c r="C619" s="5" t="e">
        <f>#REF!</f>
        <v>#REF!</v>
      </c>
      <c r="D619" s="5" t="e">
        <f>#REF!</f>
        <v>#REF!</v>
      </c>
      <c r="E619" s="252">
        <v>1</v>
      </c>
      <c r="F619" s="249">
        <v>0</v>
      </c>
      <c r="G619" s="249">
        <v>0</v>
      </c>
      <c r="H619" s="249">
        <v>29750</v>
      </c>
      <c r="I619" s="249">
        <v>0</v>
      </c>
      <c r="J619" s="249">
        <v>119495.83333333333</v>
      </c>
      <c r="K619" s="249">
        <v>15232</v>
      </c>
      <c r="L619" s="274">
        <f>AVERAGE(H619,J619)</f>
        <v>74622.916666666657</v>
      </c>
      <c r="M619" s="274">
        <f>K619*E1</f>
        <v>15688.960000000001</v>
      </c>
      <c r="N619" s="255">
        <v>30000</v>
      </c>
      <c r="O619" s="135">
        <f t="shared" si="208"/>
        <v>5700</v>
      </c>
      <c r="P619" s="135">
        <f t="shared" si="209"/>
        <v>35700</v>
      </c>
      <c r="Q619" s="131"/>
      <c r="R619" s="131"/>
      <c r="S619" s="11"/>
      <c r="T619" s="274"/>
      <c r="U619" s="274"/>
      <c r="V619" s="274"/>
      <c r="W619" s="39"/>
      <c r="X619" s="11"/>
      <c r="Y619" s="11"/>
      <c r="Z619" s="274"/>
      <c r="AA619" s="274"/>
      <c r="AB619" s="274"/>
      <c r="AC619" s="52"/>
      <c r="AD619" s="22"/>
      <c r="AE619" s="39"/>
      <c r="AF619" s="274"/>
      <c r="AG619" s="274"/>
      <c r="AH619" s="171"/>
      <c r="AI619" s="22"/>
      <c r="AJ619" s="39"/>
      <c r="AK619" s="39"/>
      <c r="AL619" s="118"/>
      <c r="AM619" s="152"/>
      <c r="AN619" s="181"/>
      <c r="AO619" s="131"/>
      <c r="AP619" s="131"/>
      <c r="AQ619" s="39"/>
      <c r="AR619" s="274"/>
      <c r="AS619" s="274"/>
      <c r="AT619" s="274"/>
      <c r="AU619" s="39"/>
      <c r="AV619" s="39"/>
      <c r="AW619" s="39"/>
      <c r="AX619" s="274"/>
      <c r="AY619" s="274"/>
      <c r="AZ619" s="274"/>
      <c r="BA619" s="39"/>
      <c r="BB619" s="62"/>
      <c r="BC619" s="39"/>
      <c r="BD619" s="274"/>
      <c r="BE619" s="274"/>
      <c r="BF619" s="274"/>
      <c r="BG619" s="39"/>
      <c r="BH619" s="39"/>
      <c r="BI619" s="39"/>
      <c r="BJ619" s="274">
        <v>28400</v>
      </c>
      <c r="BK619" s="274">
        <f t="shared" si="206"/>
        <v>5396</v>
      </c>
      <c r="BL619" s="274">
        <f t="shared" si="207"/>
        <v>33796</v>
      </c>
      <c r="BM619" s="213" t="s">
        <v>196</v>
      </c>
      <c r="BN619" s="213" t="s">
        <v>164</v>
      </c>
      <c r="BO619" s="39"/>
      <c r="BP619" s="274"/>
      <c r="BQ619" s="274"/>
      <c r="BR619" s="274"/>
      <c r="BS619" s="39"/>
      <c r="BT619" s="39"/>
      <c r="BU619" s="39"/>
      <c r="BV619" s="219">
        <v>31322.928000000004</v>
      </c>
      <c r="BW619" s="219">
        <f t="shared" si="210"/>
        <v>5951.3563200000008</v>
      </c>
      <c r="BX619" s="273">
        <f t="shared" si="211"/>
        <v>37274.284320000006</v>
      </c>
      <c r="BY619" s="213" t="s">
        <v>196</v>
      </c>
      <c r="BZ619" s="213" t="s">
        <v>164</v>
      </c>
      <c r="CA619" s="213"/>
      <c r="CB619" s="274"/>
      <c r="CC619" s="274"/>
      <c r="CD619" s="274"/>
      <c r="CE619" s="39"/>
      <c r="CF619" s="39"/>
      <c r="CG619" s="39"/>
      <c r="CH619" s="274"/>
      <c r="CI619" s="274"/>
      <c r="CJ619" s="274"/>
      <c r="CK619" s="39"/>
      <c r="CL619" s="39"/>
      <c r="CM619" s="39"/>
      <c r="CN619" s="39"/>
      <c r="CO619" s="39"/>
      <c r="CP619" s="11"/>
      <c r="CQ619" s="11"/>
      <c r="CR619" s="11"/>
      <c r="CS619" s="11"/>
      <c r="CT619" s="11"/>
      <c r="CU619" s="11"/>
      <c r="CV619" s="11"/>
      <c r="CW619" s="11"/>
      <c r="CX619" s="11"/>
      <c r="CY619" s="11"/>
      <c r="CZ619" s="11"/>
      <c r="DA619" s="11"/>
      <c r="DB619" s="11"/>
      <c r="DC619" s="11"/>
      <c r="DD619" s="11"/>
      <c r="DE619" s="11"/>
      <c r="DF619" s="11"/>
      <c r="DG619" s="11"/>
      <c r="DH619" s="11"/>
      <c r="DI619" s="11"/>
      <c r="DJ619" s="11"/>
      <c r="DK619" s="11"/>
      <c r="DL619" s="274"/>
      <c r="DM619" s="274"/>
      <c r="DN619" s="274"/>
      <c r="DO619" s="274"/>
      <c r="DP619" s="274"/>
      <c r="DQ619" s="274"/>
      <c r="DR619" s="274"/>
      <c r="DS619" s="274"/>
      <c r="DT619" s="274"/>
      <c r="DU619" s="274"/>
      <c r="DV619" s="274"/>
      <c r="DW619" s="274"/>
      <c r="DX619" s="274"/>
      <c r="DY619" s="274"/>
      <c r="DZ619" s="274"/>
      <c r="EA619" s="274"/>
      <c r="EB619" s="274"/>
      <c r="EC619" s="274"/>
      <c r="ED619" s="39">
        <f t="shared" si="197"/>
        <v>122459.24432</v>
      </c>
      <c r="EE619" s="30">
        <f t="shared" si="198"/>
        <v>4</v>
      </c>
      <c r="EF619" s="39">
        <f t="shared" si="199"/>
        <v>30614.811079999999</v>
      </c>
    </row>
    <row r="620" spans="1:136" x14ac:dyDescent="0.25">
      <c r="A620" s="25" t="e">
        <f>#REF!</f>
        <v>#REF!</v>
      </c>
      <c r="B620" s="50" t="e">
        <f>#REF!</f>
        <v>#REF!</v>
      </c>
      <c r="C620" s="5" t="e">
        <f>#REF!</f>
        <v>#REF!</v>
      </c>
      <c r="D620" s="5" t="e">
        <f>#REF!</f>
        <v>#REF!</v>
      </c>
      <c r="E620" s="252">
        <v>1</v>
      </c>
      <c r="F620" s="249">
        <v>0</v>
      </c>
      <c r="G620" s="249">
        <v>0</v>
      </c>
      <c r="H620" s="249">
        <v>53550</v>
      </c>
      <c r="I620" s="249">
        <v>0</v>
      </c>
      <c r="J620" s="249">
        <v>56078.75</v>
      </c>
      <c r="K620" s="249">
        <v>22610</v>
      </c>
      <c r="L620" s="274">
        <f>AVERAGE(H620,J620)</f>
        <v>54814.375</v>
      </c>
      <c r="M620" s="274">
        <f>K620*E1</f>
        <v>23288.3</v>
      </c>
      <c r="N620" s="255">
        <v>50000</v>
      </c>
      <c r="O620" s="135">
        <f t="shared" si="208"/>
        <v>9500</v>
      </c>
      <c r="P620" s="135">
        <f t="shared" si="209"/>
        <v>59500</v>
      </c>
      <c r="Q620" s="131"/>
      <c r="R620" s="131"/>
      <c r="S620" s="11"/>
      <c r="T620" s="274"/>
      <c r="U620" s="274"/>
      <c r="V620" s="274"/>
      <c r="W620" s="39"/>
      <c r="X620" s="11"/>
      <c r="Y620" s="11"/>
      <c r="Z620" s="274"/>
      <c r="AA620" s="274"/>
      <c r="AB620" s="274"/>
      <c r="AC620" s="52"/>
      <c r="AD620" s="22"/>
      <c r="AE620" s="39"/>
      <c r="AF620" s="274"/>
      <c r="AG620" s="274"/>
      <c r="AH620" s="171"/>
      <c r="AI620" s="4"/>
      <c r="AJ620" s="39"/>
      <c r="AK620" s="39"/>
      <c r="AL620" s="118"/>
      <c r="AM620" s="152"/>
      <c r="AN620" s="181"/>
      <c r="AO620" s="131"/>
      <c r="AP620" s="131"/>
      <c r="AQ620" s="39"/>
      <c r="AR620" s="274"/>
      <c r="AS620" s="274"/>
      <c r="AT620" s="274"/>
      <c r="AU620" s="39"/>
      <c r="AV620" s="39"/>
      <c r="AW620" s="39"/>
      <c r="AX620" s="274"/>
      <c r="AY620" s="274"/>
      <c r="AZ620" s="274"/>
      <c r="BA620" s="39"/>
      <c r="BB620" s="62"/>
      <c r="BC620" s="39"/>
      <c r="BD620" s="274"/>
      <c r="BE620" s="274"/>
      <c r="BF620" s="274"/>
      <c r="BG620" s="39"/>
      <c r="BH620" s="39"/>
      <c r="BI620" s="39"/>
      <c r="BJ620" s="274">
        <v>38000</v>
      </c>
      <c r="BK620" s="274">
        <f t="shared" si="206"/>
        <v>7220</v>
      </c>
      <c r="BL620" s="274">
        <f t="shared" si="207"/>
        <v>45220</v>
      </c>
      <c r="BM620" s="213" t="s">
        <v>196</v>
      </c>
      <c r="BN620" s="213" t="s">
        <v>3188</v>
      </c>
      <c r="BO620" s="39"/>
      <c r="BP620" s="274"/>
      <c r="BQ620" s="274"/>
      <c r="BR620" s="274"/>
      <c r="BS620" s="39"/>
      <c r="BT620" s="39"/>
      <c r="BU620" s="39"/>
      <c r="BV620" s="219">
        <v>41910.959999999999</v>
      </c>
      <c r="BW620" s="219">
        <f t="shared" si="210"/>
        <v>7963.0824000000002</v>
      </c>
      <c r="BX620" s="273">
        <f t="shared" si="211"/>
        <v>49874.042399999998</v>
      </c>
      <c r="BY620" s="213" t="s">
        <v>196</v>
      </c>
      <c r="BZ620" s="213" t="s">
        <v>3188</v>
      </c>
      <c r="CA620" s="213"/>
      <c r="CB620" s="274"/>
      <c r="CC620" s="274"/>
      <c r="CD620" s="274"/>
      <c r="CE620" s="39"/>
      <c r="CF620" s="39"/>
      <c r="CG620" s="39"/>
      <c r="CH620" s="274"/>
      <c r="CI620" s="274"/>
      <c r="CJ620" s="274"/>
      <c r="CK620" s="39"/>
      <c r="CL620" s="39"/>
      <c r="CM620" s="39"/>
      <c r="CN620" s="39"/>
      <c r="CO620" s="39"/>
      <c r="CP620" s="11"/>
      <c r="CQ620" s="11"/>
      <c r="CR620" s="11"/>
      <c r="CS620" s="11"/>
      <c r="CT620" s="11"/>
      <c r="CU620" s="11"/>
      <c r="CV620" s="11"/>
      <c r="CW620" s="11"/>
      <c r="CX620" s="11"/>
      <c r="CY620" s="11"/>
      <c r="CZ620" s="11"/>
      <c r="DA620" s="11"/>
      <c r="DB620" s="11"/>
      <c r="DC620" s="11"/>
      <c r="DD620" s="11"/>
      <c r="DE620" s="11"/>
      <c r="DF620" s="11"/>
      <c r="DG620" s="11"/>
      <c r="DH620" s="11"/>
      <c r="DI620" s="11"/>
      <c r="DJ620" s="11"/>
      <c r="DK620" s="11"/>
      <c r="DL620" s="274"/>
      <c r="DM620" s="274"/>
      <c r="DN620" s="274"/>
      <c r="DO620" s="274"/>
      <c r="DP620" s="274"/>
      <c r="DQ620" s="274"/>
      <c r="DR620" s="274"/>
      <c r="DS620" s="274"/>
      <c r="DT620" s="274"/>
      <c r="DU620" s="274"/>
      <c r="DV620" s="274"/>
      <c r="DW620" s="274"/>
      <c r="DX620" s="274"/>
      <c r="DY620" s="274"/>
      <c r="DZ620" s="274"/>
      <c r="EA620" s="274"/>
      <c r="EB620" s="274"/>
      <c r="EC620" s="274"/>
      <c r="ED620" s="39">
        <f t="shared" si="197"/>
        <v>177882.34239999999</v>
      </c>
      <c r="EE620" s="30">
        <f t="shared" si="198"/>
        <v>4</v>
      </c>
      <c r="EF620" s="39">
        <f t="shared" si="199"/>
        <v>44470.585599999999</v>
      </c>
    </row>
    <row r="621" spans="1:136" x14ac:dyDescent="0.25">
      <c r="A621" s="25" t="e">
        <f>#REF!</f>
        <v>#REF!</v>
      </c>
      <c r="B621" s="50" t="e">
        <f>#REF!</f>
        <v>#REF!</v>
      </c>
      <c r="C621" s="5" t="e">
        <f>#REF!</f>
        <v>#REF!</v>
      </c>
      <c r="D621" s="5" t="e">
        <f>#REF!</f>
        <v>#REF!</v>
      </c>
      <c r="E621" s="252">
        <v>1</v>
      </c>
      <c r="F621" s="249">
        <v>5831</v>
      </c>
      <c r="G621" s="249">
        <v>5593</v>
      </c>
      <c r="H621" s="249">
        <v>5220.6133</v>
      </c>
      <c r="I621" s="249">
        <v>5117</v>
      </c>
      <c r="J621" s="249">
        <v>27873.105555555554</v>
      </c>
      <c r="K621" s="249">
        <v>6307</v>
      </c>
      <c r="L621" s="274">
        <f>AVERAGE(F621,H621,J621)</f>
        <v>12974.906285185185</v>
      </c>
      <c r="M621" s="274">
        <f>AVERAGE(G621,I621,K621)*E1</f>
        <v>5842.5033333333331</v>
      </c>
      <c r="N621" s="255">
        <v>4500</v>
      </c>
      <c r="O621" s="135">
        <f t="shared" si="208"/>
        <v>855</v>
      </c>
      <c r="P621" s="135">
        <f t="shared" si="209"/>
        <v>5355</v>
      </c>
      <c r="Q621" s="131"/>
      <c r="R621" s="131"/>
      <c r="S621" s="11"/>
      <c r="T621" s="274"/>
      <c r="U621" s="274"/>
      <c r="V621" s="274"/>
      <c r="W621" s="39"/>
      <c r="X621" s="11"/>
      <c r="Y621" s="11"/>
      <c r="Z621" s="274"/>
      <c r="AA621" s="274"/>
      <c r="AB621" s="274"/>
      <c r="AC621" s="52"/>
      <c r="AD621" s="22"/>
      <c r="AE621" s="39"/>
      <c r="AF621" s="274"/>
      <c r="AG621" s="274"/>
      <c r="AH621" s="171"/>
      <c r="AI621" s="4"/>
      <c r="AJ621" s="39"/>
      <c r="AK621" s="39"/>
      <c r="AL621" s="118"/>
      <c r="AM621" s="152"/>
      <c r="AN621" s="181"/>
      <c r="AO621" s="131"/>
      <c r="AP621" s="131"/>
      <c r="AQ621" s="39"/>
      <c r="AR621" s="274"/>
      <c r="AS621" s="274"/>
      <c r="AT621" s="274"/>
      <c r="AU621" s="39"/>
      <c r="AV621" s="39"/>
      <c r="AW621" s="39"/>
      <c r="AX621" s="274"/>
      <c r="AY621" s="274"/>
      <c r="AZ621" s="274"/>
      <c r="BA621" s="39"/>
      <c r="BB621" s="62"/>
      <c r="BC621" s="39"/>
      <c r="BD621" s="274"/>
      <c r="BE621" s="274"/>
      <c r="BF621" s="274"/>
      <c r="BG621" s="39"/>
      <c r="BH621" s="39"/>
      <c r="BI621" s="39"/>
      <c r="BJ621" s="274">
        <v>6000</v>
      </c>
      <c r="BK621" s="274">
        <f t="shared" si="206"/>
        <v>1140</v>
      </c>
      <c r="BL621" s="274">
        <f t="shared" si="207"/>
        <v>7140</v>
      </c>
      <c r="BM621" s="213" t="s">
        <v>196</v>
      </c>
      <c r="BN621" s="213" t="s">
        <v>3188</v>
      </c>
      <c r="BO621" s="39"/>
      <c r="BP621" s="274">
        <v>6800</v>
      </c>
      <c r="BQ621" s="274">
        <f>+BP621*19%</f>
        <v>1292</v>
      </c>
      <c r="BR621" s="274">
        <f>+BQ621+BP621</f>
        <v>8092</v>
      </c>
      <c r="BS621" s="39"/>
      <c r="BT621" s="39"/>
      <c r="BU621" s="39"/>
      <c r="BV621" s="219">
        <v>6747.3</v>
      </c>
      <c r="BW621" s="219">
        <f t="shared" si="210"/>
        <v>1281.9870000000001</v>
      </c>
      <c r="BX621" s="273">
        <f t="shared" si="211"/>
        <v>8029.2870000000003</v>
      </c>
      <c r="BY621" s="213" t="s">
        <v>196</v>
      </c>
      <c r="BZ621" s="213" t="s">
        <v>3188</v>
      </c>
      <c r="CA621" s="213"/>
      <c r="CB621" s="274"/>
      <c r="CC621" s="274"/>
      <c r="CD621" s="274"/>
      <c r="CE621" s="39"/>
      <c r="CF621" s="39"/>
      <c r="CG621" s="39"/>
      <c r="CH621" s="274"/>
      <c r="CI621" s="274"/>
      <c r="CJ621" s="274"/>
      <c r="CK621" s="39"/>
      <c r="CL621" s="39"/>
      <c r="CM621" s="39"/>
      <c r="CN621" s="39"/>
      <c r="CO621" s="39"/>
      <c r="CP621" s="11"/>
      <c r="CQ621" s="11"/>
      <c r="CR621" s="11"/>
      <c r="CS621" s="11"/>
      <c r="CT621" s="11"/>
      <c r="CU621" s="11"/>
      <c r="CV621" s="11"/>
      <c r="CW621" s="11"/>
      <c r="CX621" s="11"/>
      <c r="CY621" s="11"/>
      <c r="CZ621" s="11"/>
      <c r="DA621" s="11"/>
      <c r="DB621" s="11"/>
      <c r="DC621" s="11"/>
      <c r="DD621" s="11"/>
      <c r="DE621" s="11"/>
      <c r="DF621" s="11"/>
      <c r="DG621" s="11"/>
      <c r="DH621" s="11"/>
      <c r="DI621" s="11"/>
      <c r="DJ621" s="11"/>
      <c r="DK621" s="11"/>
      <c r="DL621" s="274"/>
      <c r="DM621" s="274"/>
      <c r="DN621" s="274"/>
      <c r="DO621" s="274"/>
      <c r="DP621" s="274"/>
      <c r="DQ621" s="274"/>
      <c r="DR621" s="274"/>
      <c r="DS621" s="274"/>
      <c r="DT621" s="274"/>
      <c r="DU621" s="274"/>
      <c r="DV621" s="274"/>
      <c r="DW621" s="274"/>
      <c r="DX621" s="274"/>
      <c r="DY621" s="274"/>
      <c r="DZ621" s="274"/>
      <c r="EA621" s="274"/>
      <c r="EB621" s="274"/>
      <c r="EC621" s="274"/>
      <c r="ED621" s="39">
        <f t="shared" si="197"/>
        <v>34458.790333333338</v>
      </c>
      <c r="EE621" s="30">
        <f t="shared" si="198"/>
        <v>5</v>
      </c>
      <c r="EF621" s="39">
        <f t="shared" si="199"/>
        <v>6891.7580666666672</v>
      </c>
    </row>
    <row r="622" spans="1:136" x14ac:dyDescent="0.25">
      <c r="A622" s="25" t="e">
        <f>#REF!</f>
        <v>#REF!</v>
      </c>
      <c r="B622" s="50" t="e">
        <f>#REF!</f>
        <v>#REF!</v>
      </c>
      <c r="C622" s="5" t="e">
        <f>#REF!</f>
        <v>#REF!</v>
      </c>
      <c r="D622" s="5" t="e">
        <f>#REF!</f>
        <v>#REF!</v>
      </c>
      <c r="E622" s="252">
        <v>1</v>
      </c>
      <c r="F622" s="249">
        <v>0</v>
      </c>
      <c r="G622" s="249">
        <v>0</v>
      </c>
      <c r="H622" s="249">
        <v>0</v>
      </c>
      <c r="I622" s="249">
        <v>0</v>
      </c>
      <c r="J622" s="249">
        <v>6976.3244444444454</v>
      </c>
      <c r="K622" s="249">
        <v>6069</v>
      </c>
      <c r="L622" s="274">
        <f>J622</f>
        <v>6976.3244444444454</v>
      </c>
      <c r="M622" s="274">
        <f>K622*E1</f>
        <v>6251.07</v>
      </c>
      <c r="N622" s="255">
        <v>4500</v>
      </c>
      <c r="O622" s="135">
        <f t="shared" si="208"/>
        <v>855</v>
      </c>
      <c r="P622" s="135">
        <f t="shared" si="209"/>
        <v>5355</v>
      </c>
      <c r="Q622" s="131"/>
      <c r="R622" s="131"/>
      <c r="S622" s="11"/>
      <c r="T622" s="274"/>
      <c r="U622" s="274"/>
      <c r="V622" s="274"/>
      <c r="W622" s="39"/>
      <c r="X622" s="11"/>
      <c r="Y622" s="11"/>
      <c r="Z622" s="274"/>
      <c r="AA622" s="274"/>
      <c r="AB622" s="274"/>
      <c r="AC622" s="52"/>
      <c r="AD622" s="22"/>
      <c r="AE622" s="39"/>
      <c r="AF622" s="274"/>
      <c r="AG622" s="274"/>
      <c r="AH622" s="171"/>
      <c r="AI622" s="4"/>
      <c r="AJ622" s="39"/>
      <c r="AK622" s="39"/>
      <c r="AL622" s="118"/>
      <c r="AM622" s="152"/>
      <c r="AN622" s="181"/>
      <c r="AO622" s="131"/>
      <c r="AP622" s="131"/>
      <c r="AQ622" s="39"/>
      <c r="AR622" s="274"/>
      <c r="AS622" s="274"/>
      <c r="AT622" s="274"/>
      <c r="AU622" s="39"/>
      <c r="AV622" s="39"/>
      <c r="AW622" s="39"/>
      <c r="AX622" s="274"/>
      <c r="AY622" s="274"/>
      <c r="AZ622" s="274"/>
      <c r="BA622" s="39"/>
      <c r="BB622" s="62"/>
      <c r="BC622" s="39"/>
      <c r="BD622" s="274"/>
      <c r="BE622" s="274"/>
      <c r="BF622" s="274"/>
      <c r="BG622" s="39"/>
      <c r="BH622" s="39"/>
      <c r="BI622" s="39"/>
      <c r="BJ622" s="274">
        <v>5300</v>
      </c>
      <c r="BK622" s="274">
        <f t="shared" si="206"/>
        <v>1007</v>
      </c>
      <c r="BL622" s="274">
        <f t="shared" si="207"/>
        <v>6307</v>
      </c>
      <c r="BM622" s="213" t="s">
        <v>196</v>
      </c>
      <c r="BN622" s="213" t="s">
        <v>4837</v>
      </c>
      <c r="BO622" s="39"/>
      <c r="BP622" s="274">
        <v>5500</v>
      </c>
      <c r="BQ622" s="274">
        <f>+BP622*19%</f>
        <v>1045</v>
      </c>
      <c r="BR622" s="274">
        <f>+BQ622+BP622</f>
        <v>6545</v>
      </c>
      <c r="BS622" s="39"/>
      <c r="BT622" s="39"/>
      <c r="BU622" s="39"/>
      <c r="BV622" s="219">
        <v>6010.3908000000001</v>
      </c>
      <c r="BW622" s="219">
        <f t="shared" si="210"/>
        <v>1141.974252</v>
      </c>
      <c r="BX622" s="273">
        <f t="shared" si="211"/>
        <v>7152.3650520000001</v>
      </c>
      <c r="BY622" s="213" t="s">
        <v>196</v>
      </c>
      <c r="BZ622" s="213" t="s">
        <v>4837</v>
      </c>
      <c r="CA622" s="213"/>
      <c r="CB622" s="274"/>
      <c r="CC622" s="274"/>
      <c r="CD622" s="274"/>
      <c r="CE622" s="39"/>
      <c r="CF622" s="39"/>
      <c r="CG622" s="39"/>
      <c r="CH622" s="274"/>
      <c r="CI622" s="274"/>
      <c r="CJ622" s="274"/>
      <c r="CK622" s="39"/>
      <c r="CL622" s="39"/>
      <c r="CM622" s="39"/>
      <c r="CN622" s="39"/>
      <c r="CO622" s="39"/>
      <c r="CP622" s="11"/>
      <c r="CQ622" s="11"/>
      <c r="CR622" s="11"/>
      <c r="CS622" s="11"/>
      <c r="CT622" s="11"/>
      <c r="CU622" s="11"/>
      <c r="CV622" s="11"/>
      <c r="CW622" s="11"/>
      <c r="CX622" s="11"/>
      <c r="CY622" s="11"/>
      <c r="CZ622" s="11"/>
      <c r="DA622" s="11"/>
      <c r="DB622" s="11"/>
      <c r="DC622" s="11"/>
      <c r="DD622" s="11"/>
      <c r="DE622" s="11"/>
      <c r="DF622" s="11"/>
      <c r="DG622" s="11"/>
      <c r="DH622" s="11"/>
      <c r="DI622" s="11"/>
      <c r="DJ622" s="11"/>
      <c r="DK622" s="11"/>
      <c r="DL622" s="274"/>
      <c r="DM622" s="274"/>
      <c r="DN622" s="274"/>
      <c r="DO622" s="274"/>
      <c r="DP622" s="274"/>
      <c r="DQ622" s="274"/>
      <c r="DR622" s="274"/>
      <c r="DS622" s="274"/>
      <c r="DT622" s="274"/>
      <c r="DU622" s="274"/>
      <c r="DV622" s="274"/>
      <c r="DW622" s="274"/>
      <c r="DX622" s="274"/>
      <c r="DY622" s="274"/>
      <c r="DZ622" s="274"/>
      <c r="EA622" s="274"/>
      <c r="EB622" s="274"/>
      <c r="EC622" s="274"/>
      <c r="ED622" s="39">
        <f t="shared" si="197"/>
        <v>31610.435052000001</v>
      </c>
      <c r="EE622" s="30">
        <f t="shared" si="198"/>
        <v>5</v>
      </c>
      <c r="EF622" s="39">
        <f t="shared" si="199"/>
        <v>6322.0870104000005</v>
      </c>
    </row>
    <row r="623" spans="1:136" ht="24" x14ac:dyDescent="0.25">
      <c r="A623" s="25" t="e">
        <f>#REF!</f>
        <v>#REF!</v>
      </c>
      <c r="B623" s="50" t="e">
        <f>#REF!</f>
        <v>#REF!</v>
      </c>
      <c r="C623" s="5" t="e">
        <f>#REF!</f>
        <v>#REF!</v>
      </c>
      <c r="D623" s="5" t="e">
        <f>#REF!</f>
        <v>#REF!</v>
      </c>
      <c r="E623" s="252">
        <v>1</v>
      </c>
      <c r="F623" s="249">
        <v>0</v>
      </c>
      <c r="G623" s="249">
        <v>0</v>
      </c>
      <c r="H623" s="249">
        <v>5972.9193999999998</v>
      </c>
      <c r="I623" s="249">
        <v>5831</v>
      </c>
      <c r="J623" s="249">
        <v>20020.758333333335</v>
      </c>
      <c r="K623" s="249">
        <v>7735</v>
      </c>
      <c r="L623" s="274">
        <f>AVERAGE(H623,J623)</f>
        <v>12996.838866666667</v>
      </c>
      <c r="M623" s="274">
        <f>AVERAGE(I623,K623)*E1</f>
        <v>6986.49</v>
      </c>
      <c r="N623" s="255">
        <v>4800</v>
      </c>
      <c r="O623" s="135">
        <f t="shared" si="208"/>
        <v>912</v>
      </c>
      <c r="P623" s="135">
        <f t="shared" si="209"/>
        <v>5712</v>
      </c>
      <c r="Q623" s="11"/>
      <c r="R623" s="11"/>
      <c r="S623" s="33"/>
      <c r="T623" s="150"/>
      <c r="U623" s="274"/>
      <c r="V623" s="274"/>
      <c r="W623" s="39"/>
      <c r="X623" s="11"/>
      <c r="Y623" s="11"/>
      <c r="Z623" s="274"/>
      <c r="AA623" s="274"/>
      <c r="AB623" s="274"/>
      <c r="AC623" s="11"/>
      <c r="AD623" s="11"/>
      <c r="AE623" s="11"/>
      <c r="AF623" s="274"/>
      <c r="AG623" s="274"/>
      <c r="AH623" s="274"/>
      <c r="AI623" s="11"/>
      <c r="AJ623" s="11"/>
      <c r="AK623" s="11"/>
      <c r="AL623" s="118"/>
      <c r="AM623" s="118"/>
      <c r="AN623" s="118"/>
      <c r="AO623" s="52"/>
      <c r="AP623" s="52"/>
      <c r="AQ623" s="11"/>
      <c r="AR623" s="274"/>
      <c r="AS623" s="274"/>
      <c r="AT623" s="274"/>
      <c r="AU623" s="11"/>
      <c r="AV623" s="11"/>
      <c r="AW623" s="11"/>
      <c r="AX623" s="274"/>
      <c r="AY623" s="274"/>
      <c r="AZ623" s="274"/>
      <c r="BA623" s="6"/>
      <c r="BB623" s="62"/>
      <c r="BC623" s="39"/>
      <c r="BD623" s="274"/>
      <c r="BE623" s="274"/>
      <c r="BF623" s="274"/>
      <c r="BG623" s="11"/>
      <c r="BH623" s="11"/>
      <c r="BI623" s="11"/>
      <c r="BJ623" s="274">
        <v>17200</v>
      </c>
      <c r="BK623" s="274">
        <f t="shared" si="206"/>
        <v>3268</v>
      </c>
      <c r="BL623" s="274">
        <f t="shared" si="207"/>
        <v>20468</v>
      </c>
      <c r="BM623" s="213" t="s">
        <v>196</v>
      </c>
      <c r="BN623" s="213" t="s">
        <v>4986</v>
      </c>
      <c r="BO623" s="11"/>
      <c r="BP623" s="274">
        <v>6800</v>
      </c>
      <c r="BQ623" s="274">
        <f>+BP623*19%</f>
        <v>1292</v>
      </c>
      <c r="BR623" s="274">
        <f>+BQ623+BP623</f>
        <v>8092</v>
      </c>
      <c r="BS623" s="11"/>
      <c r="BT623" s="11"/>
      <c r="BU623" s="11"/>
      <c r="BV623" s="219">
        <v>19699.847999999998</v>
      </c>
      <c r="BW623" s="219">
        <f t="shared" si="210"/>
        <v>3742.9711199999997</v>
      </c>
      <c r="BX623" s="273">
        <f t="shared" si="211"/>
        <v>23442.819119999996</v>
      </c>
      <c r="BY623" s="213" t="s">
        <v>196</v>
      </c>
      <c r="BZ623" s="213" t="s">
        <v>4986</v>
      </c>
      <c r="CA623" s="213"/>
      <c r="CB623" s="274"/>
      <c r="CC623" s="274"/>
      <c r="CD623" s="274"/>
      <c r="CE623" s="11"/>
      <c r="CF623" s="11"/>
      <c r="CG623" s="11"/>
      <c r="CH623" s="274"/>
      <c r="CI623" s="274"/>
      <c r="CJ623" s="274"/>
      <c r="CK623" s="11"/>
      <c r="CL623" s="11"/>
      <c r="CM623" s="11"/>
      <c r="CN623" s="11"/>
      <c r="CO623" s="11"/>
      <c r="CP623" s="11"/>
      <c r="CQ623" s="11"/>
      <c r="CR623" s="11"/>
      <c r="CS623" s="11"/>
      <c r="CT623" s="11"/>
      <c r="CU623" s="11"/>
      <c r="CV623" s="11"/>
      <c r="CW623" s="11"/>
      <c r="CX623" s="11"/>
      <c r="CY623" s="11"/>
      <c r="CZ623" s="11"/>
      <c r="DA623" s="11"/>
      <c r="DB623" s="11"/>
      <c r="DC623" s="11"/>
      <c r="DD623" s="11"/>
      <c r="DE623" s="11"/>
      <c r="DF623" s="11"/>
      <c r="DG623" s="11"/>
      <c r="DH623" s="11"/>
      <c r="DI623" s="11"/>
      <c r="DJ623" s="11"/>
      <c r="DK623" s="11"/>
      <c r="DL623" s="274"/>
      <c r="DM623" s="274"/>
      <c r="DN623" s="274"/>
      <c r="DO623" s="274"/>
      <c r="DP623" s="274"/>
      <c r="DQ623" s="274"/>
      <c r="DR623" s="274"/>
      <c r="DS623" s="274"/>
      <c r="DT623" s="274"/>
      <c r="DU623" s="274"/>
      <c r="DV623" s="274"/>
      <c r="DW623" s="274"/>
      <c r="DX623" s="274"/>
      <c r="DY623" s="274"/>
      <c r="DZ623" s="274"/>
      <c r="EA623" s="274"/>
      <c r="EB623" s="274"/>
      <c r="EC623" s="274"/>
      <c r="ED623" s="39">
        <f t="shared" si="197"/>
        <v>64701.309119999991</v>
      </c>
      <c r="EE623" s="30">
        <f t="shared" si="198"/>
        <v>5</v>
      </c>
      <c r="EF623" s="39">
        <f t="shared" si="199"/>
        <v>12940.261823999997</v>
      </c>
    </row>
    <row r="624" spans="1:136" x14ac:dyDescent="0.25">
      <c r="A624" s="25" t="e">
        <f>#REF!</f>
        <v>#REF!</v>
      </c>
      <c r="B624" s="50" t="e">
        <f>#REF!</f>
        <v>#REF!</v>
      </c>
      <c r="C624" s="5" t="e">
        <f>#REF!</f>
        <v>#REF!</v>
      </c>
      <c r="D624" s="5" t="e">
        <f>#REF!</f>
        <v>#REF!</v>
      </c>
      <c r="E624" s="252">
        <v>1</v>
      </c>
      <c r="F624" s="249">
        <v>0</v>
      </c>
      <c r="G624" s="249">
        <v>0</v>
      </c>
      <c r="H624" s="249">
        <v>8766.3333333333339</v>
      </c>
      <c r="I624" s="249">
        <v>8687</v>
      </c>
      <c r="J624" s="249">
        <v>12561.111111111111</v>
      </c>
      <c r="K624" s="249">
        <v>10710</v>
      </c>
      <c r="L624" s="274">
        <f>AVERAGE(H624,J624)</f>
        <v>10663.722222222223</v>
      </c>
      <c r="M624" s="274">
        <f>AVERAGE(I624,K624)*E1</f>
        <v>9989.4549999999999</v>
      </c>
      <c r="N624" s="255">
        <v>5000</v>
      </c>
      <c r="O624" s="135">
        <f t="shared" si="208"/>
        <v>950</v>
      </c>
      <c r="P624" s="135">
        <f t="shared" si="209"/>
        <v>5950</v>
      </c>
      <c r="Q624" s="11"/>
      <c r="R624" s="11"/>
      <c r="S624" s="33"/>
      <c r="T624" s="150"/>
      <c r="U624" s="274"/>
      <c r="V624" s="274"/>
      <c r="W624" s="39"/>
      <c r="X624" s="7"/>
      <c r="Y624" s="8"/>
      <c r="Z624" s="152"/>
      <c r="AA624" s="274"/>
      <c r="AB624" s="274"/>
      <c r="AC624" s="11"/>
      <c r="AD624" s="11"/>
      <c r="AE624" s="11"/>
      <c r="AF624" s="274"/>
      <c r="AG624" s="274"/>
      <c r="AH624" s="274"/>
      <c r="AI624" s="11"/>
      <c r="AJ624" s="11"/>
      <c r="AK624" s="11"/>
      <c r="AL624" s="118"/>
      <c r="AM624" s="118"/>
      <c r="AN624" s="118"/>
      <c r="AO624" s="52"/>
      <c r="AP624" s="52"/>
      <c r="AQ624" s="11"/>
      <c r="AR624" s="274"/>
      <c r="AS624" s="274"/>
      <c r="AT624" s="274"/>
      <c r="AU624" s="11"/>
      <c r="AV624" s="11"/>
      <c r="AW624" s="11"/>
      <c r="AX624" s="274"/>
      <c r="AY624" s="274"/>
      <c r="AZ624" s="274"/>
      <c r="BA624" s="11"/>
      <c r="BB624" s="62"/>
      <c r="BC624" s="39"/>
      <c r="BD624" s="274"/>
      <c r="BE624" s="274"/>
      <c r="BF624" s="274"/>
      <c r="BG624" s="11"/>
      <c r="BH624" s="11"/>
      <c r="BI624" s="11"/>
      <c r="BJ624" s="274">
        <v>8300</v>
      </c>
      <c r="BK624" s="274">
        <f t="shared" si="206"/>
        <v>1577</v>
      </c>
      <c r="BL624" s="274">
        <f t="shared" si="207"/>
        <v>9877</v>
      </c>
      <c r="BM624" s="213" t="s">
        <v>196</v>
      </c>
      <c r="BN624" s="213" t="s">
        <v>131</v>
      </c>
      <c r="BO624" s="11"/>
      <c r="BP624" s="274">
        <v>8500</v>
      </c>
      <c r="BQ624" s="274">
        <f>+BP624*19%</f>
        <v>1615</v>
      </c>
      <c r="BR624" s="274">
        <f>+BQ624+BP624</f>
        <v>10115</v>
      </c>
      <c r="BS624" s="11"/>
      <c r="BT624" s="11"/>
      <c r="BU624" s="11"/>
      <c r="BV624" s="219">
        <v>9515.0370000000021</v>
      </c>
      <c r="BW624" s="219">
        <f t="shared" si="210"/>
        <v>1807.8570300000003</v>
      </c>
      <c r="BX624" s="273">
        <f t="shared" si="211"/>
        <v>11322.894030000003</v>
      </c>
      <c r="BY624" s="213" t="s">
        <v>196</v>
      </c>
      <c r="BZ624" s="213" t="s">
        <v>131</v>
      </c>
      <c r="CA624" s="213"/>
      <c r="CB624" s="274"/>
      <c r="CC624" s="274"/>
      <c r="CD624" s="274"/>
      <c r="CE624" s="11"/>
      <c r="CF624" s="11"/>
      <c r="CG624" s="11"/>
      <c r="CH624" s="274"/>
      <c r="CI624" s="274"/>
      <c r="CJ624" s="274"/>
      <c r="CK624" s="11"/>
      <c r="CL624" s="11"/>
      <c r="CM624" s="11"/>
      <c r="CN624" s="11"/>
      <c r="CO624" s="11"/>
      <c r="CP624" s="11"/>
      <c r="CQ624" s="11"/>
      <c r="CR624" s="11"/>
      <c r="CS624" s="11"/>
      <c r="CT624" s="11"/>
      <c r="CU624" s="11"/>
      <c r="CV624" s="11"/>
      <c r="CW624" s="11"/>
      <c r="CX624" s="11"/>
      <c r="CY624" s="11"/>
      <c r="CZ624" s="11"/>
      <c r="DA624" s="11"/>
      <c r="DB624" s="11"/>
      <c r="DC624" s="11"/>
      <c r="DD624" s="11"/>
      <c r="DE624" s="11"/>
      <c r="DF624" s="11"/>
      <c r="DG624" s="11"/>
      <c r="DH624" s="11"/>
      <c r="DI624" s="11"/>
      <c r="DJ624" s="11"/>
      <c r="DK624" s="11"/>
      <c r="DL624" s="274"/>
      <c r="DM624" s="274"/>
      <c r="DN624" s="274"/>
      <c r="DO624" s="274"/>
      <c r="DP624" s="274"/>
      <c r="DQ624" s="274"/>
      <c r="DR624" s="274"/>
      <c r="DS624" s="274"/>
      <c r="DT624" s="274"/>
      <c r="DU624" s="274"/>
      <c r="DV624" s="274"/>
      <c r="DW624" s="274"/>
      <c r="DX624" s="274"/>
      <c r="DY624" s="274"/>
      <c r="DZ624" s="274"/>
      <c r="EA624" s="274"/>
      <c r="EB624" s="274"/>
      <c r="EC624" s="274"/>
      <c r="ED624" s="39">
        <f t="shared" si="197"/>
        <v>47254.349030000005</v>
      </c>
      <c r="EE624" s="30">
        <f t="shared" si="198"/>
        <v>5</v>
      </c>
      <c r="EF624" s="39">
        <f t="shared" si="199"/>
        <v>9450.8698060000006</v>
      </c>
    </row>
    <row r="625" spans="1:136" x14ac:dyDescent="0.25">
      <c r="A625" s="25" t="e">
        <f>#REF!</f>
        <v>#REF!</v>
      </c>
      <c r="B625" s="50" t="e">
        <f>#REF!</f>
        <v>#REF!</v>
      </c>
      <c r="C625" s="5" t="e">
        <f>#REF!</f>
        <v>#REF!</v>
      </c>
      <c r="D625" s="5" t="e">
        <f>#REF!</f>
        <v>#REF!</v>
      </c>
      <c r="E625" s="252">
        <v>1</v>
      </c>
      <c r="F625" s="249">
        <v>0</v>
      </c>
      <c r="G625" s="249">
        <v>0</v>
      </c>
      <c r="H625" s="249">
        <v>107100</v>
      </c>
      <c r="I625" s="249">
        <v>0</v>
      </c>
      <c r="J625" s="249">
        <v>0</v>
      </c>
      <c r="K625" s="249">
        <v>0</v>
      </c>
      <c r="L625" s="274">
        <f>H625</f>
        <v>107100</v>
      </c>
      <c r="M625" s="274"/>
      <c r="N625" s="255"/>
      <c r="O625" s="135"/>
      <c r="P625" s="135"/>
      <c r="Q625" s="131"/>
      <c r="R625" s="131"/>
      <c r="S625" s="11"/>
      <c r="T625" s="274"/>
      <c r="U625" s="274"/>
      <c r="V625" s="274"/>
      <c r="W625" s="39"/>
      <c r="X625" s="11"/>
      <c r="Y625" s="11"/>
      <c r="Z625" s="274"/>
      <c r="AA625" s="274"/>
      <c r="AB625" s="274"/>
      <c r="AC625" s="5"/>
      <c r="AD625" s="22"/>
      <c r="AE625" s="39"/>
      <c r="AF625" s="274"/>
      <c r="AG625" s="274"/>
      <c r="AH625" s="169"/>
      <c r="AI625" s="22"/>
      <c r="AJ625" s="39"/>
      <c r="AK625" s="39"/>
      <c r="AL625" s="118"/>
      <c r="AM625" s="152"/>
      <c r="AN625" s="181"/>
      <c r="AO625" s="131"/>
      <c r="AP625" s="131"/>
      <c r="AQ625" s="39"/>
      <c r="AR625" s="274"/>
      <c r="AS625" s="274"/>
      <c r="AT625" s="274"/>
      <c r="AU625" s="39"/>
      <c r="AV625" s="39"/>
      <c r="AW625" s="39"/>
      <c r="AX625" s="274"/>
      <c r="AY625" s="274"/>
      <c r="AZ625" s="274"/>
      <c r="BA625" s="39"/>
      <c r="BB625" s="62"/>
      <c r="BC625" s="39"/>
      <c r="BD625" s="274"/>
      <c r="BE625" s="274"/>
      <c r="BF625" s="274"/>
      <c r="BG625" s="39"/>
      <c r="BH625" s="39"/>
      <c r="BI625" s="39"/>
      <c r="BJ625" s="274">
        <v>101200</v>
      </c>
      <c r="BK625" s="274">
        <f t="shared" si="206"/>
        <v>19228</v>
      </c>
      <c r="BL625" s="274">
        <f t="shared" si="207"/>
        <v>120428</v>
      </c>
      <c r="BM625" s="213" t="s">
        <v>196</v>
      </c>
      <c r="BN625" s="213" t="s">
        <v>4987</v>
      </c>
      <c r="BO625" s="39"/>
      <c r="BP625" s="274">
        <v>65200</v>
      </c>
      <c r="BQ625" s="274">
        <f>+BP625*19%</f>
        <v>12388</v>
      </c>
      <c r="BR625" s="274">
        <f>+BQ625+BP625</f>
        <v>77588</v>
      </c>
      <c r="BS625" s="39"/>
      <c r="BT625" s="39"/>
      <c r="BU625" s="39"/>
      <c r="BV625" s="219">
        <v>121614.57000000004</v>
      </c>
      <c r="BW625" s="219">
        <f t="shared" si="210"/>
        <v>23106.768300000007</v>
      </c>
      <c r="BX625" s="273">
        <f t="shared" si="211"/>
        <v>144721.33830000003</v>
      </c>
      <c r="BY625" s="213" t="s">
        <v>196</v>
      </c>
      <c r="BZ625" s="213" t="s">
        <v>4987</v>
      </c>
      <c r="CA625" s="213"/>
      <c r="CB625" s="274"/>
      <c r="CC625" s="274"/>
      <c r="CD625" s="274"/>
      <c r="CE625" s="39"/>
      <c r="CF625" s="39"/>
      <c r="CG625" s="39"/>
      <c r="CH625" s="274"/>
      <c r="CI625" s="274"/>
      <c r="CJ625" s="274"/>
      <c r="CK625" s="39"/>
      <c r="CL625" s="39"/>
      <c r="CM625" s="39"/>
      <c r="CN625" s="39"/>
      <c r="CO625" s="39"/>
      <c r="CP625" s="11"/>
      <c r="CQ625" s="11"/>
      <c r="CR625" s="11"/>
      <c r="CS625" s="11"/>
      <c r="CT625" s="11"/>
      <c r="CU625" s="11"/>
      <c r="CV625" s="11"/>
      <c r="CW625" s="11"/>
      <c r="CX625" s="11"/>
      <c r="CY625" s="11"/>
      <c r="CZ625" s="11"/>
      <c r="DA625" s="11"/>
      <c r="DB625" s="11"/>
      <c r="DC625" s="11"/>
      <c r="DD625" s="11"/>
      <c r="DE625" s="11"/>
      <c r="DF625" s="11"/>
      <c r="DG625" s="11"/>
      <c r="DH625" s="11"/>
      <c r="DI625" s="11"/>
      <c r="DJ625" s="11"/>
      <c r="DK625" s="11"/>
      <c r="DL625" s="274"/>
      <c r="DM625" s="274"/>
      <c r="DN625" s="274"/>
      <c r="DO625" s="274"/>
      <c r="DP625" s="274"/>
      <c r="DQ625" s="274"/>
      <c r="DR625" s="274"/>
      <c r="DS625" s="274"/>
      <c r="DT625" s="274"/>
      <c r="DU625" s="274"/>
      <c r="DV625" s="274"/>
      <c r="DW625" s="274"/>
      <c r="DX625" s="274"/>
      <c r="DY625" s="274"/>
      <c r="DZ625" s="274"/>
      <c r="EA625" s="274"/>
      <c r="EB625" s="274"/>
      <c r="EC625" s="274"/>
      <c r="ED625" s="39">
        <f t="shared" si="197"/>
        <v>342737.33830000006</v>
      </c>
      <c r="EE625" s="30">
        <f t="shared" si="198"/>
        <v>3</v>
      </c>
      <c r="EF625" s="39">
        <f t="shared" si="199"/>
        <v>114245.77943333336</v>
      </c>
    </row>
    <row r="626" spans="1:136" x14ac:dyDescent="0.25">
      <c r="A626" s="25" t="e">
        <f>#REF!</f>
        <v>#REF!</v>
      </c>
      <c r="B626" s="50" t="e">
        <f>#REF!</f>
        <v>#REF!</v>
      </c>
      <c r="C626" s="5" t="e">
        <f>#REF!</f>
        <v>#REF!</v>
      </c>
      <c r="D626" s="5" t="e">
        <f>#REF!</f>
        <v>#REF!</v>
      </c>
      <c r="E626" s="252">
        <v>1</v>
      </c>
      <c r="F626" s="249">
        <v>0</v>
      </c>
      <c r="G626" s="249">
        <v>0</v>
      </c>
      <c r="H626" s="249">
        <v>0</v>
      </c>
      <c r="I626" s="249">
        <v>0</v>
      </c>
      <c r="J626" s="249">
        <v>181951</v>
      </c>
      <c r="K626" s="249">
        <v>0</v>
      </c>
      <c r="L626" s="274">
        <f>J626</f>
        <v>181951</v>
      </c>
      <c r="M626" s="274"/>
      <c r="N626" s="255"/>
      <c r="O626" s="135"/>
      <c r="P626" s="135"/>
      <c r="Q626" s="131"/>
      <c r="R626" s="131"/>
      <c r="S626" s="11"/>
      <c r="T626" s="274"/>
      <c r="U626" s="274"/>
      <c r="V626" s="274"/>
      <c r="W626" s="39"/>
      <c r="X626" s="11"/>
      <c r="Y626" s="11"/>
      <c r="Z626" s="274"/>
      <c r="AA626" s="274"/>
      <c r="AB626" s="274"/>
      <c r="AC626" s="5"/>
      <c r="AD626" s="22"/>
      <c r="AE626" s="39"/>
      <c r="AF626" s="274"/>
      <c r="AG626" s="274"/>
      <c r="AH626" s="169"/>
      <c r="AI626" s="4"/>
      <c r="AJ626" s="39"/>
      <c r="AK626" s="39"/>
      <c r="AL626" s="118"/>
      <c r="AM626" s="152"/>
      <c r="AN626" s="181"/>
      <c r="AO626" s="131"/>
      <c r="AP626" s="131"/>
      <c r="AQ626" s="39"/>
      <c r="AR626" s="274"/>
      <c r="AS626" s="274"/>
      <c r="AT626" s="274"/>
      <c r="AU626" s="39"/>
      <c r="AV626" s="39"/>
      <c r="AW626" s="39"/>
      <c r="AX626" s="274"/>
      <c r="AY626" s="274"/>
      <c r="AZ626" s="274"/>
      <c r="BA626" s="39"/>
      <c r="BB626" s="62"/>
      <c r="BC626" s="39"/>
      <c r="BD626" s="274"/>
      <c r="BE626" s="274"/>
      <c r="BF626" s="274"/>
      <c r="BG626" s="39"/>
      <c r="BH626" s="39"/>
      <c r="BI626" s="39"/>
      <c r="BJ626" s="275">
        <f>1282900/10</f>
        <v>128290</v>
      </c>
      <c r="BK626" s="274">
        <f t="shared" si="206"/>
        <v>24375.1</v>
      </c>
      <c r="BL626" s="274">
        <f t="shared" si="207"/>
        <v>152665.1</v>
      </c>
      <c r="BM626" s="213" t="s">
        <v>4738</v>
      </c>
      <c r="BN626" s="213" t="s">
        <v>2925</v>
      </c>
      <c r="BO626" s="39"/>
      <c r="BP626" s="274"/>
      <c r="BQ626" s="274"/>
      <c r="BR626" s="274"/>
      <c r="BS626" s="39"/>
      <c r="BT626" s="39"/>
      <c r="BU626" s="39"/>
      <c r="BV626" s="212">
        <f>1428945.336/10</f>
        <v>142894.5336</v>
      </c>
      <c r="BW626" s="219">
        <f t="shared" si="210"/>
        <v>27149.961383999998</v>
      </c>
      <c r="BX626" s="273">
        <f t="shared" si="211"/>
        <v>170044.49498399999</v>
      </c>
      <c r="BY626" s="213" t="s">
        <v>4738</v>
      </c>
      <c r="BZ626" s="213" t="s">
        <v>2925</v>
      </c>
      <c r="CA626" s="213"/>
      <c r="CB626" s="275"/>
      <c r="CC626" s="274"/>
      <c r="CD626" s="274"/>
      <c r="CE626" s="39"/>
      <c r="CF626" s="39"/>
      <c r="CG626" s="39"/>
      <c r="CH626" s="274"/>
      <c r="CI626" s="274"/>
      <c r="CJ626" s="274"/>
      <c r="CK626" s="39"/>
      <c r="CL626" s="39"/>
      <c r="CM626" s="39"/>
      <c r="CN626" s="39"/>
      <c r="CO626" s="39"/>
      <c r="CP626" s="11"/>
      <c r="CQ626" s="11"/>
      <c r="CR626" s="11"/>
      <c r="CS626" s="11"/>
      <c r="CT626" s="11"/>
      <c r="CU626" s="11"/>
      <c r="CV626" s="11"/>
      <c r="CW626" s="11"/>
      <c r="CX626" s="11"/>
      <c r="CY626" s="11"/>
      <c r="CZ626" s="11"/>
      <c r="DA626" s="11"/>
      <c r="DB626" s="11"/>
      <c r="DC626" s="11"/>
      <c r="DD626" s="11"/>
      <c r="DE626" s="11"/>
      <c r="DF626" s="11"/>
      <c r="DG626" s="11"/>
      <c r="DH626" s="11"/>
      <c r="DI626" s="11"/>
      <c r="DJ626" s="11"/>
      <c r="DK626" s="11"/>
      <c r="DL626" s="274"/>
      <c r="DM626" s="274"/>
      <c r="DN626" s="274"/>
      <c r="DO626" s="274"/>
      <c r="DP626" s="274"/>
      <c r="DQ626" s="274"/>
      <c r="DR626" s="274"/>
      <c r="DS626" s="274"/>
      <c r="DT626" s="274"/>
      <c r="DU626" s="274"/>
      <c r="DV626" s="274"/>
      <c r="DW626" s="274"/>
      <c r="DX626" s="274"/>
      <c r="DY626" s="274"/>
      <c r="DZ626" s="274"/>
      <c r="EA626" s="274"/>
      <c r="EB626" s="274"/>
      <c r="EC626" s="274"/>
      <c r="ED626" s="39">
        <f t="shared" si="197"/>
        <v>322709.59498399997</v>
      </c>
      <c r="EE626" s="30">
        <f t="shared" si="198"/>
        <v>2</v>
      </c>
      <c r="EF626" s="39">
        <f t="shared" si="199"/>
        <v>161354.79749199998</v>
      </c>
    </row>
    <row r="627" spans="1:136" ht="27" customHeight="1" x14ac:dyDescent="0.25">
      <c r="A627" s="25" t="e">
        <f>#REF!</f>
        <v>#REF!</v>
      </c>
      <c r="B627" s="50" t="e">
        <f>#REF!</f>
        <v>#REF!</v>
      </c>
      <c r="C627" s="5" t="e">
        <f>#REF!</f>
        <v>#REF!</v>
      </c>
      <c r="D627" s="5" t="e">
        <f>#REF!</f>
        <v>#REF!</v>
      </c>
      <c r="E627" s="252">
        <v>1</v>
      </c>
      <c r="F627" s="249">
        <v>0</v>
      </c>
      <c r="G627" s="249">
        <v>0</v>
      </c>
      <c r="H627" s="249">
        <v>0</v>
      </c>
      <c r="I627" s="249">
        <v>0</v>
      </c>
      <c r="J627" s="249">
        <v>235620</v>
      </c>
      <c r="K627" s="249">
        <v>235620</v>
      </c>
      <c r="L627" s="274">
        <f>J627</f>
        <v>235620</v>
      </c>
      <c r="M627" s="274">
        <f>K627*E1</f>
        <v>242688.6</v>
      </c>
      <c r="N627" s="256"/>
      <c r="O627" s="135"/>
      <c r="P627" s="135"/>
      <c r="Q627" s="131"/>
      <c r="R627" s="131"/>
      <c r="S627" s="11"/>
      <c r="T627" s="274"/>
      <c r="U627" s="274"/>
      <c r="V627" s="274"/>
      <c r="W627" s="39"/>
      <c r="X627" s="11"/>
      <c r="Y627" s="11"/>
      <c r="Z627" s="274">
        <v>230000</v>
      </c>
      <c r="AA627" s="274">
        <f>+Z627*0.19</f>
        <v>43700</v>
      </c>
      <c r="AB627" s="274">
        <f>+Z627+AA627</f>
        <v>273700</v>
      </c>
      <c r="AC627" s="52" t="s">
        <v>4988</v>
      </c>
      <c r="AD627" s="22" t="s">
        <v>4795</v>
      </c>
      <c r="AE627" s="39"/>
      <c r="AF627" s="274"/>
      <c r="AG627" s="274"/>
      <c r="AH627" s="113"/>
      <c r="AI627" s="4"/>
      <c r="AJ627" s="39"/>
      <c r="AK627" s="39"/>
      <c r="AL627" s="118"/>
      <c r="AM627" s="152"/>
      <c r="AN627" s="181"/>
      <c r="AO627" s="131"/>
      <c r="AP627" s="131"/>
      <c r="AQ627" s="39"/>
      <c r="AR627" s="274"/>
      <c r="AS627" s="274"/>
      <c r="AT627" s="274"/>
      <c r="AU627" s="39"/>
      <c r="AV627" s="39"/>
      <c r="AW627" s="39"/>
      <c r="AX627" s="274"/>
      <c r="AY627" s="274"/>
      <c r="AZ627" s="274"/>
      <c r="BA627" s="39"/>
      <c r="BB627" s="62"/>
      <c r="BC627" s="39"/>
      <c r="BD627" s="274"/>
      <c r="BE627" s="274"/>
      <c r="BF627" s="274"/>
      <c r="BG627" s="39"/>
      <c r="BH627" s="39"/>
      <c r="BI627" s="39"/>
      <c r="BJ627" s="275">
        <f>1282900/2</f>
        <v>641450</v>
      </c>
      <c r="BK627" s="274">
        <f t="shared" si="206"/>
        <v>121875.5</v>
      </c>
      <c r="BL627" s="274">
        <f t="shared" si="207"/>
        <v>763325.5</v>
      </c>
      <c r="BM627" s="213" t="s">
        <v>4738</v>
      </c>
      <c r="BN627" s="213" t="s">
        <v>338</v>
      </c>
      <c r="BO627" s="39"/>
      <c r="BP627" s="274"/>
      <c r="BQ627" s="274"/>
      <c r="BR627" s="274"/>
      <c r="BS627" s="39"/>
      <c r="BT627" s="39"/>
      <c r="BU627" s="39"/>
      <c r="BV627" s="212"/>
      <c r="BW627" s="219"/>
      <c r="BX627" s="273"/>
      <c r="BY627" s="213"/>
      <c r="BZ627" s="213"/>
      <c r="CA627" s="213"/>
      <c r="CB627" s="275"/>
      <c r="CC627" s="274"/>
      <c r="CD627" s="274"/>
      <c r="CE627" s="39"/>
      <c r="CF627" s="39"/>
      <c r="CG627" s="39"/>
      <c r="CH627" s="275"/>
      <c r="CI627" s="275"/>
      <c r="CJ627" s="275"/>
      <c r="CK627" s="39"/>
      <c r="CL627" s="39"/>
      <c r="CM627" s="39"/>
      <c r="CN627" s="39"/>
      <c r="CO627" s="39"/>
      <c r="CP627" s="11"/>
      <c r="CQ627" s="11"/>
      <c r="CR627" s="11"/>
      <c r="CS627" s="11"/>
      <c r="CT627" s="11"/>
      <c r="CU627" s="11"/>
      <c r="CV627" s="11"/>
      <c r="CW627" s="11"/>
      <c r="CX627" s="11"/>
      <c r="CY627" s="11"/>
      <c r="CZ627" s="11"/>
      <c r="DA627" s="11"/>
      <c r="DB627" s="11"/>
      <c r="DC627" s="11"/>
      <c r="DD627" s="11"/>
      <c r="DE627" s="11"/>
      <c r="DF627" s="11"/>
      <c r="DG627" s="11"/>
      <c r="DH627" s="11"/>
      <c r="DI627" s="11"/>
      <c r="DJ627" s="11"/>
      <c r="DK627" s="11"/>
      <c r="DL627" s="274"/>
      <c r="DM627" s="274"/>
      <c r="DN627" s="274"/>
      <c r="DO627" s="274"/>
      <c r="DP627" s="274"/>
      <c r="DQ627" s="274"/>
      <c r="DR627" s="274"/>
      <c r="DS627" s="274"/>
      <c r="DT627" s="274"/>
      <c r="DU627" s="274"/>
      <c r="DV627" s="274"/>
      <c r="DW627" s="274"/>
      <c r="DX627" s="274"/>
      <c r="DY627" s="274"/>
      <c r="DZ627" s="274"/>
      <c r="EA627" s="274"/>
      <c r="EB627" s="274"/>
      <c r="EC627" s="274"/>
      <c r="ED627" s="39">
        <f t="shared" si="197"/>
        <v>1279714.1000000001</v>
      </c>
      <c r="EE627" s="30">
        <f t="shared" si="198"/>
        <v>3</v>
      </c>
      <c r="EF627" s="39">
        <f t="shared" si="199"/>
        <v>426571.3666666667</v>
      </c>
    </row>
    <row r="628" spans="1:136" x14ac:dyDescent="0.25">
      <c r="A628" s="25" t="e">
        <f>#REF!</f>
        <v>#REF!</v>
      </c>
      <c r="B628" s="50" t="e">
        <f>#REF!</f>
        <v>#REF!</v>
      </c>
      <c r="C628" s="5" t="e">
        <f>#REF!</f>
        <v>#REF!</v>
      </c>
      <c r="D628" s="5" t="e">
        <f>#REF!</f>
        <v>#REF!</v>
      </c>
      <c r="E628" s="252">
        <v>1</v>
      </c>
      <c r="F628" s="249">
        <v>0</v>
      </c>
      <c r="G628" s="249">
        <v>0</v>
      </c>
      <c r="H628" s="249">
        <v>0</v>
      </c>
      <c r="I628" s="249">
        <v>0</v>
      </c>
      <c r="J628" s="249">
        <v>0</v>
      </c>
      <c r="K628" s="249">
        <v>0</v>
      </c>
      <c r="L628" s="274"/>
      <c r="M628" s="274"/>
      <c r="N628" s="256"/>
      <c r="O628" s="135"/>
      <c r="P628" s="135"/>
      <c r="Q628" s="131"/>
      <c r="R628" s="131"/>
      <c r="S628" s="11"/>
      <c r="T628" s="274"/>
      <c r="U628" s="274"/>
      <c r="V628" s="274"/>
      <c r="W628" s="39"/>
      <c r="X628" s="11"/>
      <c r="Y628" s="11"/>
      <c r="Z628" s="274"/>
      <c r="AA628" s="274"/>
      <c r="AB628" s="274"/>
      <c r="AC628" s="52"/>
      <c r="AD628" s="23"/>
      <c r="AE628" s="39"/>
      <c r="AF628" s="274"/>
      <c r="AG628" s="274"/>
      <c r="AH628" s="113"/>
      <c r="AI628" s="24"/>
      <c r="AJ628" s="39"/>
      <c r="AK628" s="39"/>
      <c r="AL628" s="118"/>
      <c r="AM628" s="152"/>
      <c r="AN628" s="181"/>
      <c r="AO628" s="131"/>
      <c r="AP628" s="131"/>
      <c r="AQ628" s="39"/>
      <c r="AR628" s="274"/>
      <c r="AS628" s="274"/>
      <c r="AT628" s="274"/>
      <c r="AU628" s="39"/>
      <c r="AV628" s="39"/>
      <c r="AW628" s="39"/>
      <c r="AX628" s="274"/>
      <c r="AY628" s="274"/>
      <c r="AZ628" s="274"/>
      <c r="BA628" s="39"/>
      <c r="BB628" s="62"/>
      <c r="BC628" s="39"/>
      <c r="BD628" s="274"/>
      <c r="BE628" s="274"/>
      <c r="BF628" s="274"/>
      <c r="BG628" s="39"/>
      <c r="BH628" s="39"/>
      <c r="BI628" s="39"/>
      <c r="BJ628" s="274">
        <v>270800</v>
      </c>
      <c r="BK628" s="274">
        <f>+BJ628*0</f>
        <v>0</v>
      </c>
      <c r="BL628" s="274">
        <f t="shared" si="207"/>
        <v>270800</v>
      </c>
      <c r="BM628" s="213" t="s">
        <v>196</v>
      </c>
      <c r="BN628" s="213" t="s">
        <v>338</v>
      </c>
      <c r="BO628" s="39"/>
      <c r="BP628" s="274"/>
      <c r="BQ628" s="274"/>
      <c r="BR628" s="274"/>
      <c r="BS628" s="39"/>
      <c r="BT628" s="39"/>
      <c r="BU628" s="39"/>
      <c r="BV628" s="212">
        <v>290137.28640000004</v>
      </c>
      <c r="BW628" s="222">
        <f>+BV628*0</f>
        <v>0</v>
      </c>
      <c r="BX628" s="273">
        <f>+BV628+BW628</f>
        <v>290137.28640000004</v>
      </c>
      <c r="BY628" s="213" t="s">
        <v>196</v>
      </c>
      <c r="BZ628" s="213" t="s">
        <v>338</v>
      </c>
      <c r="CA628" s="213"/>
      <c r="CB628" s="275"/>
      <c r="CC628" s="274"/>
      <c r="CD628" s="274"/>
      <c r="CE628" s="39"/>
      <c r="CF628" s="39"/>
      <c r="CG628" s="39"/>
      <c r="CH628" s="275"/>
      <c r="CI628" s="275"/>
      <c r="CJ628" s="275"/>
      <c r="CK628" s="39"/>
      <c r="CL628" s="39"/>
      <c r="CM628" s="39"/>
      <c r="CN628" s="39"/>
      <c r="CO628" s="39"/>
      <c r="CP628" s="11"/>
      <c r="CQ628" s="11"/>
      <c r="CR628" s="11"/>
      <c r="CS628" s="11"/>
      <c r="CT628" s="11"/>
      <c r="CU628" s="11"/>
      <c r="CV628" s="11"/>
      <c r="CW628" s="11"/>
      <c r="CX628" s="11"/>
      <c r="CY628" s="11"/>
      <c r="CZ628" s="11"/>
      <c r="DA628" s="11"/>
      <c r="DB628" s="11"/>
      <c r="DC628" s="11"/>
      <c r="DD628" s="11"/>
      <c r="DE628" s="11"/>
      <c r="DF628" s="11"/>
      <c r="DG628" s="11"/>
      <c r="DH628" s="11"/>
      <c r="DI628" s="11"/>
      <c r="DJ628" s="11"/>
      <c r="DK628" s="11"/>
      <c r="DL628" s="274"/>
      <c r="DM628" s="274"/>
      <c r="DN628" s="274"/>
      <c r="DO628" s="274"/>
      <c r="DP628" s="274"/>
      <c r="DQ628" s="274"/>
      <c r="DR628" s="274"/>
      <c r="DS628" s="274"/>
      <c r="DT628" s="274"/>
      <c r="DU628" s="274"/>
      <c r="DV628" s="274"/>
      <c r="DW628" s="274"/>
      <c r="DX628" s="274"/>
      <c r="DY628" s="274"/>
      <c r="DZ628" s="274"/>
      <c r="EA628" s="274"/>
      <c r="EB628" s="274"/>
      <c r="EC628" s="274"/>
      <c r="ED628" s="39">
        <f t="shared" si="197"/>
        <v>560937.2864000001</v>
      </c>
      <c r="EE628" s="30">
        <f t="shared" si="198"/>
        <v>2</v>
      </c>
      <c r="EF628" s="39">
        <f t="shared" si="199"/>
        <v>280468.64320000005</v>
      </c>
    </row>
    <row r="629" spans="1:136" x14ac:dyDescent="0.25">
      <c r="A629" s="25" t="e">
        <f>#REF!</f>
        <v>#REF!</v>
      </c>
      <c r="B629" s="50" t="e">
        <f>#REF!</f>
        <v>#REF!</v>
      </c>
      <c r="C629" s="5" t="e">
        <f>#REF!</f>
        <v>#REF!</v>
      </c>
      <c r="D629" s="5" t="e">
        <f>#REF!</f>
        <v>#REF!</v>
      </c>
      <c r="E629" s="252">
        <v>1</v>
      </c>
      <c r="F629" s="249">
        <v>0</v>
      </c>
      <c r="G629" s="249">
        <v>0</v>
      </c>
      <c r="H629" s="249">
        <v>0</v>
      </c>
      <c r="I629" s="249">
        <v>0</v>
      </c>
      <c r="J629" s="249">
        <v>0</v>
      </c>
      <c r="K629" s="249">
        <v>0</v>
      </c>
      <c r="L629" s="274"/>
      <c r="M629" s="274"/>
      <c r="N629" s="256">
        <v>250000</v>
      </c>
      <c r="O629" s="135">
        <f>+N629*0.19</f>
        <v>47500</v>
      </c>
      <c r="P629" s="135">
        <f>+N629+O629</f>
        <v>297500</v>
      </c>
      <c r="Q629" s="131"/>
      <c r="R629" s="131"/>
      <c r="S629" s="11"/>
      <c r="T629" s="274"/>
      <c r="U629" s="274"/>
      <c r="V629" s="274"/>
      <c r="W629" s="39"/>
      <c r="X629" s="11"/>
      <c r="Y629" s="11"/>
      <c r="Z629" s="274"/>
      <c r="AA629" s="274"/>
      <c r="AB629" s="274"/>
      <c r="AC629" s="52"/>
      <c r="AD629" s="22"/>
      <c r="AE629" s="39"/>
      <c r="AF629" s="274"/>
      <c r="AG629" s="274"/>
      <c r="AH629" s="113"/>
      <c r="AI629" s="22"/>
      <c r="AJ629" s="39"/>
      <c r="AK629" s="39"/>
      <c r="AL629" s="118"/>
      <c r="AM629" s="152"/>
      <c r="AN629" s="181"/>
      <c r="AO629" s="131"/>
      <c r="AP629" s="131"/>
      <c r="AQ629" s="39"/>
      <c r="AR629" s="274"/>
      <c r="AS629" s="274"/>
      <c r="AT629" s="274"/>
      <c r="AU629" s="39"/>
      <c r="AV629" s="39"/>
      <c r="AW629" s="39"/>
      <c r="AX629" s="274"/>
      <c r="AY629" s="274"/>
      <c r="AZ629" s="274"/>
      <c r="BA629" s="39"/>
      <c r="BB629" s="62"/>
      <c r="BC629" s="39"/>
      <c r="BD629" s="274"/>
      <c r="BE629" s="274"/>
      <c r="BF629" s="274"/>
      <c r="BG629" s="39"/>
      <c r="BH629" s="39"/>
      <c r="BI629" s="39"/>
      <c r="BJ629" s="274">
        <v>210000</v>
      </c>
      <c r="BK629" s="274">
        <f>+BJ629*0</f>
        <v>0</v>
      </c>
      <c r="BL629" s="274">
        <f t="shared" si="207"/>
        <v>210000</v>
      </c>
      <c r="BM629" s="214" t="s">
        <v>930</v>
      </c>
      <c r="BN629" s="213" t="s">
        <v>3253</v>
      </c>
      <c r="BO629" s="39"/>
      <c r="BP629" s="274"/>
      <c r="BQ629" s="274"/>
      <c r="BR629" s="274"/>
      <c r="BS629" s="39"/>
      <c r="BT629" s="39"/>
      <c r="BU629" s="39"/>
      <c r="BV629" s="212">
        <v>240675.12000000002</v>
      </c>
      <c r="BW629" s="222">
        <f>+BV629*0</f>
        <v>0</v>
      </c>
      <c r="BX629" s="273">
        <f>+BV629+BW629</f>
        <v>240675.12000000002</v>
      </c>
      <c r="BY629" s="214" t="s">
        <v>930</v>
      </c>
      <c r="BZ629" s="213" t="s">
        <v>3253</v>
      </c>
      <c r="CA629" s="213"/>
      <c r="CB629" s="275"/>
      <c r="CC629" s="274"/>
      <c r="CD629" s="274"/>
      <c r="CE629" s="39"/>
      <c r="CF629" s="39"/>
      <c r="CG629" s="39"/>
      <c r="CH629" s="275"/>
      <c r="CI629" s="275"/>
      <c r="CJ629" s="275"/>
      <c r="CK629" s="39"/>
      <c r="CL629" s="39"/>
      <c r="CM629" s="39"/>
      <c r="CN629" s="39"/>
      <c r="CO629" s="39"/>
      <c r="CP629" s="11"/>
      <c r="CQ629" s="11"/>
      <c r="CR629" s="11"/>
      <c r="CS629" s="11"/>
      <c r="CT629" s="11"/>
      <c r="CU629" s="11"/>
      <c r="CV629" s="11"/>
      <c r="CW629" s="11"/>
      <c r="CX629" s="11"/>
      <c r="CY629" s="11"/>
      <c r="CZ629" s="11"/>
      <c r="DA629" s="11"/>
      <c r="DB629" s="11"/>
      <c r="DC629" s="11"/>
      <c r="DD629" s="11"/>
      <c r="DE629" s="11"/>
      <c r="DF629" s="11"/>
      <c r="DG629" s="11"/>
      <c r="DH629" s="11"/>
      <c r="DI629" s="11"/>
      <c r="DJ629" s="11"/>
      <c r="DK629" s="11"/>
      <c r="DL629" s="274"/>
      <c r="DM629" s="274"/>
      <c r="DN629" s="274"/>
      <c r="DO629" s="274"/>
      <c r="DP629" s="274"/>
      <c r="DQ629" s="274"/>
      <c r="DR629" s="274"/>
      <c r="DS629" s="274"/>
      <c r="DT629" s="274"/>
      <c r="DU629" s="274"/>
      <c r="DV629" s="274"/>
      <c r="DW629" s="274"/>
      <c r="DX629" s="274"/>
      <c r="DY629" s="274"/>
      <c r="DZ629" s="274"/>
      <c r="EA629" s="274"/>
      <c r="EB629" s="274"/>
      <c r="EC629" s="274"/>
      <c r="ED629" s="39">
        <f t="shared" si="197"/>
        <v>748175.12</v>
      </c>
      <c r="EE629" s="30">
        <f t="shared" si="198"/>
        <v>3</v>
      </c>
      <c r="EF629" s="39">
        <f t="shared" si="199"/>
        <v>249391.70666666667</v>
      </c>
    </row>
    <row r="630" spans="1:136" x14ac:dyDescent="0.25">
      <c r="A630" s="25" t="e">
        <f>#REF!</f>
        <v>#REF!</v>
      </c>
      <c r="B630" s="50" t="e">
        <f>#REF!</f>
        <v>#REF!</v>
      </c>
      <c r="C630" s="5" t="e">
        <f>#REF!</f>
        <v>#REF!</v>
      </c>
      <c r="D630" s="5" t="e">
        <f>#REF!</f>
        <v>#REF!</v>
      </c>
      <c r="E630" s="252">
        <v>1</v>
      </c>
      <c r="F630" s="249">
        <v>0</v>
      </c>
      <c r="G630" s="249">
        <v>0</v>
      </c>
      <c r="H630" s="249">
        <v>0</v>
      </c>
      <c r="I630" s="249">
        <v>0</v>
      </c>
      <c r="J630" s="249">
        <v>0</v>
      </c>
      <c r="K630" s="249">
        <v>0</v>
      </c>
      <c r="L630" s="274"/>
      <c r="M630" s="274"/>
      <c r="N630" s="256"/>
      <c r="O630" s="135"/>
      <c r="P630" s="135"/>
      <c r="Q630" s="131"/>
      <c r="R630" s="131"/>
      <c r="S630" s="11"/>
      <c r="T630" s="274"/>
      <c r="U630" s="274"/>
      <c r="V630" s="274"/>
      <c r="W630" s="39"/>
      <c r="X630" s="11"/>
      <c r="Y630" s="11"/>
      <c r="Z630" s="274"/>
      <c r="AA630" s="274"/>
      <c r="AB630" s="274"/>
      <c r="AC630" s="52"/>
      <c r="AD630" s="22"/>
      <c r="AE630" s="39"/>
      <c r="AF630" s="274"/>
      <c r="AG630" s="274"/>
      <c r="AH630" s="113"/>
      <c r="AI630" s="22"/>
      <c r="AJ630" s="39"/>
      <c r="AK630" s="39"/>
      <c r="AL630" s="118"/>
      <c r="AM630" s="152"/>
      <c r="AN630" s="181"/>
      <c r="AO630" s="131"/>
      <c r="AP630" s="131"/>
      <c r="AQ630" s="39"/>
      <c r="AR630" s="274"/>
      <c r="AS630" s="274"/>
      <c r="AT630" s="274"/>
      <c r="AU630" s="39"/>
      <c r="AV630" s="39"/>
      <c r="AW630" s="39"/>
      <c r="AX630" s="274"/>
      <c r="AY630" s="274"/>
      <c r="AZ630" s="274"/>
      <c r="BA630" s="39"/>
      <c r="BB630" s="62"/>
      <c r="BC630" s="39"/>
      <c r="BD630" s="274"/>
      <c r="BE630" s="274"/>
      <c r="BF630" s="274"/>
      <c r="BG630" s="39"/>
      <c r="BH630" s="39"/>
      <c r="BI630" s="39"/>
      <c r="BJ630" s="274">
        <v>151300</v>
      </c>
      <c r="BK630" s="274">
        <f>+BJ630*0.19</f>
        <v>28747</v>
      </c>
      <c r="BL630" s="274">
        <f t="shared" si="207"/>
        <v>180047</v>
      </c>
      <c r="BM630" s="213" t="s">
        <v>196</v>
      </c>
      <c r="BN630" s="213" t="s">
        <v>164</v>
      </c>
      <c r="BO630" s="39"/>
      <c r="BP630" s="274"/>
      <c r="BQ630" s="274"/>
      <c r="BR630" s="274"/>
      <c r="BS630" s="39"/>
      <c r="BT630" s="39"/>
      <c r="BU630" s="39"/>
      <c r="BV630" s="212">
        <v>169989.18119999999</v>
      </c>
      <c r="BW630" s="219">
        <f>+BV630*0.19</f>
        <v>32297.944427999999</v>
      </c>
      <c r="BX630" s="273">
        <f>+BV630+BW630</f>
        <v>202287.12562799998</v>
      </c>
      <c r="BY630" s="213" t="s">
        <v>196</v>
      </c>
      <c r="BZ630" s="213" t="s">
        <v>164</v>
      </c>
      <c r="CA630" s="213"/>
      <c r="CB630" s="274"/>
      <c r="CC630" s="274"/>
      <c r="CD630" s="274"/>
      <c r="CE630" s="39"/>
      <c r="CF630" s="39"/>
      <c r="CG630" s="39"/>
      <c r="CH630" s="275"/>
      <c r="CI630" s="275"/>
      <c r="CJ630" s="275"/>
      <c r="CK630" s="39"/>
      <c r="CL630" s="39"/>
      <c r="CM630" s="39"/>
      <c r="CN630" s="39"/>
      <c r="CO630" s="39"/>
      <c r="CP630" s="11"/>
      <c r="CQ630" s="11"/>
      <c r="CR630" s="11"/>
      <c r="CS630" s="11"/>
      <c r="CT630" s="11"/>
      <c r="CU630" s="11"/>
      <c r="CV630" s="11"/>
      <c r="CW630" s="11"/>
      <c r="CX630" s="11"/>
      <c r="CY630" s="11"/>
      <c r="CZ630" s="11"/>
      <c r="DA630" s="11"/>
      <c r="DB630" s="11"/>
      <c r="DC630" s="11"/>
      <c r="DD630" s="11"/>
      <c r="DE630" s="11"/>
      <c r="DF630" s="11"/>
      <c r="DG630" s="11"/>
      <c r="DH630" s="11"/>
      <c r="DI630" s="11"/>
      <c r="DJ630" s="11"/>
      <c r="DK630" s="11"/>
      <c r="DL630" s="274"/>
      <c r="DM630" s="274"/>
      <c r="DN630" s="274"/>
      <c r="DO630" s="274"/>
      <c r="DP630" s="274"/>
      <c r="DQ630" s="274"/>
      <c r="DR630" s="274"/>
      <c r="DS630" s="274"/>
      <c r="DT630" s="274"/>
      <c r="DU630" s="274"/>
      <c r="DV630" s="274"/>
      <c r="DW630" s="274"/>
      <c r="DX630" s="274"/>
      <c r="DY630" s="274"/>
      <c r="DZ630" s="274"/>
      <c r="EA630" s="274"/>
      <c r="EB630" s="274"/>
      <c r="EC630" s="274"/>
      <c r="ED630" s="39">
        <f t="shared" si="197"/>
        <v>382334.12562800001</v>
      </c>
      <c r="EE630" s="30">
        <f t="shared" si="198"/>
        <v>2</v>
      </c>
      <c r="EF630" s="39">
        <f t="shared" si="199"/>
        <v>191167.062814</v>
      </c>
    </row>
    <row r="631" spans="1:136" x14ac:dyDescent="0.25">
      <c r="A631" s="25" t="e">
        <f>#REF!</f>
        <v>#REF!</v>
      </c>
      <c r="B631" s="50" t="e">
        <f>#REF!</f>
        <v>#REF!</v>
      </c>
      <c r="C631" s="5" t="e">
        <f>#REF!</f>
        <v>#REF!</v>
      </c>
      <c r="D631" s="5" t="e">
        <f>#REF!</f>
        <v>#REF!</v>
      </c>
      <c r="E631" s="252">
        <v>1</v>
      </c>
      <c r="F631" s="249">
        <v>0</v>
      </c>
      <c r="G631" s="249">
        <v>0</v>
      </c>
      <c r="H631" s="249">
        <v>0</v>
      </c>
      <c r="I631" s="249">
        <v>0</v>
      </c>
      <c r="J631" s="249">
        <v>0</v>
      </c>
      <c r="K631" s="249">
        <v>0</v>
      </c>
      <c r="L631" s="274"/>
      <c r="M631" s="274"/>
      <c r="N631" s="255"/>
      <c r="O631" s="135"/>
      <c r="P631" s="135"/>
      <c r="Q631" s="131"/>
      <c r="R631" s="131"/>
      <c r="S631" s="11"/>
      <c r="T631" s="274"/>
      <c r="U631" s="274"/>
      <c r="V631" s="274"/>
      <c r="W631" s="39"/>
      <c r="X631" s="11"/>
      <c r="Y631" s="11"/>
      <c r="Z631" s="274"/>
      <c r="AA631" s="274"/>
      <c r="AB631" s="274"/>
      <c r="AC631" s="52"/>
      <c r="AD631" s="22"/>
      <c r="AE631" s="39"/>
      <c r="AF631" s="274"/>
      <c r="AG631" s="274"/>
      <c r="AH631" s="171"/>
      <c r="AI631" s="22"/>
      <c r="AJ631" s="39"/>
      <c r="AK631" s="39"/>
      <c r="AL631" s="118"/>
      <c r="AM631" s="152"/>
      <c r="AN631" s="181"/>
      <c r="AO631" s="131"/>
      <c r="AP631" s="131"/>
      <c r="AQ631" s="39"/>
      <c r="AR631" s="274"/>
      <c r="AS631" s="274"/>
      <c r="AT631" s="274"/>
      <c r="AU631" s="39"/>
      <c r="AV631" s="39"/>
      <c r="AW631" s="39"/>
      <c r="AX631" s="274"/>
      <c r="AY631" s="274"/>
      <c r="AZ631" s="274"/>
      <c r="BA631" s="39"/>
      <c r="BB631" s="62"/>
      <c r="BC631" s="39"/>
      <c r="BD631" s="274"/>
      <c r="BE631" s="274"/>
      <c r="BF631" s="274"/>
      <c r="BG631" s="39"/>
      <c r="BH631" s="39"/>
      <c r="BI631" s="39"/>
      <c r="BJ631" s="274"/>
      <c r="BK631" s="274"/>
      <c r="BL631" s="274"/>
      <c r="BM631" s="213"/>
      <c r="BN631" s="213"/>
      <c r="BO631" s="39"/>
      <c r="BP631" s="274"/>
      <c r="BQ631" s="274"/>
      <c r="BR631" s="274"/>
      <c r="BS631" s="39"/>
      <c r="BT631" s="39"/>
      <c r="BU631" s="39"/>
      <c r="BV631" s="212"/>
      <c r="BW631" s="220"/>
      <c r="BX631" s="273"/>
      <c r="BY631" s="213"/>
      <c r="BZ631" s="213"/>
      <c r="CA631" s="213"/>
      <c r="CB631" s="274"/>
      <c r="CC631" s="274"/>
      <c r="CD631" s="274"/>
      <c r="CE631" s="39"/>
      <c r="CF631" s="39"/>
      <c r="CG631" s="39"/>
      <c r="CH631" s="274"/>
      <c r="CI631" s="274"/>
      <c r="CJ631" s="274"/>
      <c r="CK631" s="39"/>
      <c r="CL631" s="39"/>
      <c r="CM631" s="39"/>
      <c r="CN631" s="39"/>
      <c r="CO631" s="39"/>
      <c r="CP631" s="11"/>
      <c r="CQ631" s="11"/>
      <c r="CR631" s="11"/>
      <c r="CS631" s="11"/>
      <c r="CT631" s="11"/>
      <c r="CU631" s="11"/>
      <c r="CV631" s="11"/>
      <c r="CW631" s="11"/>
      <c r="CX631" s="11"/>
      <c r="CY631" s="11"/>
      <c r="CZ631" s="11"/>
      <c r="DA631" s="43"/>
      <c r="DB631" s="67"/>
      <c r="DC631" s="67"/>
      <c r="DD631" s="65"/>
      <c r="DE631" s="65"/>
      <c r="DF631" s="65"/>
      <c r="DG631" s="65"/>
      <c r="DH631" s="65"/>
      <c r="DI631" s="65"/>
      <c r="DJ631" s="65"/>
      <c r="DK631" s="65"/>
      <c r="DL631" s="61"/>
      <c r="DM631" s="61"/>
      <c r="DN631" s="61"/>
      <c r="DO631" s="61"/>
      <c r="DP631" s="61"/>
      <c r="DQ631" s="61"/>
      <c r="DR631" s="61"/>
      <c r="DS631" s="61"/>
      <c r="DT631" s="61"/>
      <c r="DU631" s="61"/>
      <c r="DV631" s="61"/>
      <c r="DW631" s="61"/>
      <c r="DX631" s="61"/>
      <c r="DY631" s="61"/>
      <c r="DZ631" s="61"/>
      <c r="EA631" s="61"/>
      <c r="EB631" s="61"/>
      <c r="EC631" s="61"/>
      <c r="ED631" s="39">
        <f t="shared" si="197"/>
        <v>0</v>
      </c>
      <c r="EE631" s="30">
        <f t="shared" si="198"/>
        <v>0</v>
      </c>
      <c r="EF631" s="39" t="str">
        <f t="shared" si="199"/>
        <v xml:space="preserve"> </v>
      </c>
    </row>
    <row r="632" spans="1:136" x14ac:dyDescent="0.25">
      <c r="A632" s="25" t="e">
        <f>#REF!</f>
        <v>#REF!</v>
      </c>
      <c r="B632" s="50" t="e">
        <f>#REF!</f>
        <v>#REF!</v>
      </c>
      <c r="C632" s="5" t="e">
        <f>#REF!</f>
        <v>#REF!</v>
      </c>
      <c r="D632" s="5" t="e">
        <f>#REF!</f>
        <v>#REF!</v>
      </c>
      <c r="E632" s="252">
        <v>1</v>
      </c>
      <c r="F632" s="249">
        <v>0</v>
      </c>
      <c r="G632" s="249">
        <v>0</v>
      </c>
      <c r="H632" s="249">
        <v>0</v>
      </c>
      <c r="I632" s="249">
        <v>0</v>
      </c>
      <c r="J632" s="249">
        <v>0</v>
      </c>
      <c r="K632" s="249">
        <v>0</v>
      </c>
      <c r="L632" s="274"/>
      <c r="M632" s="274"/>
      <c r="N632" s="255"/>
      <c r="O632" s="135"/>
      <c r="P632" s="135"/>
      <c r="Q632" s="131"/>
      <c r="R632" s="131"/>
      <c r="S632" s="11"/>
      <c r="T632" s="274"/>
      <c r="U632" s="274"/>
      <c r="V632" s="274"/>
      <c r="W632" s="39"/>
      <c r="X632" s="11"/>
      <c r="Y632" s="11"/>
      <c r="Z632" s="274"/>
      <c r="AA632" s="274"/>
      <c r="AB632" s="274"/>
      <c r="AC632" s="52"/>
      <c r="AD632" s="22"/>
      <c r="AE632" s="39"/>
      <c r="AF632" s="274"/>
      <c r="AG632" s="274"/>
      <c r="AH632" s="113"/>
      <c r="AI632" s="4"/>
      <c r="AJ632" s="39"/>
      <c r="AK632" s="39"/>
      <c r="AL632" s="118"/>
      <c r="AM632" s="152"/>
      <c r="AN632" s="181"/>
      <c r="AO632" s="131"/>
      <c r="AP632" s="131"/>
      <c r="AQ632" s="39"/>
      <c r="AR632" s="274"/>
      <c r="AS632" s="274"/>
      <c r="AT632" s="274"/>
      <c r="AU632" s="39"/>
      <c r="AV632" s="39"/>
      <c r="AW632" s="39"/>
      <c r="AX632" s="274"/>
      <c r="AY632" s="274"/>
      <c r="AZ632" s="274"/>
      <c r="BA632" s="39"/>
      <c r="BB632" s="62"/>
      <c r="BC632" s="39"/>
      <c r="BD632" s="274"/>
      <c r="BE632" s="274"/>
      <c r="BF632" s="274"/>
      <c r="BG632" s="39"/>
      <c r="BH632" s="39"/>
      <c r="BI632" s="39"/>
      <c r="BJ632" s="275">
        <f>246700/9</f>
        <v>27411.111111111109</v>
      </c>
      <c r="BK632" s="274">
        <f>+BJ632*0.19</f>
        <v>5208.1111111111113</v>
      </c>
      <c r="BL632" s="274">
        <f>+BJ632+BK632</f>
        <v>32619.222222222219</v>
      </c>
      <c r="BM632" s="213" t="s">
        <v>4989</v>
      </c>
      <c r="BN632" s="213"/>
      <c r="BO632" s="39"/>
      <c r="BP632" s="274"/>
      <c r="BQ632" s="274"/>
      <c r="BR632" s="274"/>
      <c r="BS632" s="39"/>
      <c r="BT632" s="39"/>
      <c r="BU632" s="39"/>
      <c r="BV632" s="212">
        <f>274784.328/9</f>
        <v>30531.591999999997</v>
      </c>
      <c r="BW632" s="219">
        <f>+BV632*0.19</f>
        <v>5801.0024799999992</v>
      </c>
      <c r="BX632" s="273">
        <f>+BV632+BW632</f>
        <v>36332.59448</v>
      </c>
      <c r="BY632" s="213" t="s">
        <v>4989</v>
      </c>
      <c r="BZ632" s="213"/>
      <c r="CA632" s="213"/>
      <c r="CB632" s="274"/>
      <c r="CC632" s="274"/>
      <c r="CD632" s="274"/>
      <c r="CE632" s="39"/>
      <c r="CF632" s="39"/>
      <c r="CG632" s="39"/>
      <c r="CH632" s="274"/>
      <c r="CI632" s="274"/>
      <c r="CJ632" s="274"/>
      <c r="CK632" s="39"/>
      <c r="CL632" s="39"/>
      <c r="CM632" s="39"/>
      <c r="CN632" s="39"/>
      <c r="CO632" s="39"/>
      <c r="CP632" s="11"/>
      <c r="CQ632" s="11"/>
      <c r="CR632" s="11"/>
      <c r="CS632" s="11"/>
      <c r="CT632" s="11"/>
      <c r="CU632" s="11"/>
      <c r="CV632" s="11"/>
      <c r="CW632" s="11"/>
      <c r="CX632" s="11"/>
      <c r="CY632" s="11"/>
      <c r="CZ632" s="11"/>
      <c r="DA632" s="11"/>
      <c r="DB632" s="11"/>
      <c r="DC632" s="11"/>
      <c r="DD632" s="11"/>
      <c r="DE632" s="11"/>
      <c r="DF632" s="11"/>
      <c r="DG632" s="11"/>
      <c r="DH632" s="11"/>
      <c r="DI632" s="11"/>
      <c r="DJ632" s="11"/>
      <c r="DK632" s="11"/>
      <c r="DL632" s="274"/>
      <c r="DM632" s="274"/>
      <c r="DN632" s="274"/>
      <c r="DO632" s="274"/>
      <c r="DP632" s="274"/>
      <c r="DQ632" s="274"/>
      <c r="DR632" s="274"/>
      <c r="DS632" s="274"/>
      <c r="DT632" s="274"/>
      <c r="DU632" s="274"/>
      <c r="DV632" s="274"/>
      <c r="DW632" s="274"/>
      <c r="DX632" s="274"/>
      <c r="DY632" s="274"/>
      <c r="DZ632" s="274"/>
      <c r="EA632" s="274"/>
      <c r="EB632" s="274"/>
      <c r="EC632" s="274"/>
      <c r="ED632" s="39">
        <f t="shared" si="197"/>
        <v>68951.816702222219</v>
      </c>
      <c r="EE632" s="30">
        <f t="shared" si="198"/>
        <v>2</v>
      </c>
      <c r="EF632" s="39">
        <f t="shared" si="199"/>
        <v>34475.908351111109</v>
      </c>
    </row>
    <row r="633" spans="1:136" x14ac:dyDescent="0.25">
      <c r="A633" s="25" t="e">
        <f>#REF!</f>
        <v>#REF!</v>
      </c>
      <c r="B633" s="50" t="e">
        <f>#REF!</f>
        <v>#REF!</v>
      </c>
      <c r="C633" s="5" t="e">
        <f>#REF!</f>
        <v>#REF!</v>
      </c>
      <c r="D633" s="5" t="e">
        <f>#REF!</f>
        <v>#REF!</v>
      </c>
      <c r="E633" s="252">
        <v>1</v>
      </c>
      <c r="F633" s="249">
        <v>0</v>
      </c>
      <c r="G633" s="249">
        <v>0</v>
      </c>
      <c r="H633" s="249">
        <v>0</v>
      </c>
      <c r="I633" s="249">
        <v>0</v>
      </c>
      <c r="J633" s="249">
        <v>0</v>
      </c>
      <c r="K633" s="249">
        <v>0</v>
      </c>
      <c r="L633" s="274"/>
      <c r="M633" s="274"/>
      <c r="N633" s="255"/>
      <c r="O633" s="135"/>
      <c r="P633" s="135"/>
      <c r="Q633" s="131"/>
      <c r="R633" s="131"/>
      <c r="S633" s="11"/>
      <c r="T633" s="274"/>
      <c r="U633" s="274"/>
      <c r="V633" s="274"/>
      <c r="W633" s="39"/>
      <c r="X633" s="11"/>
      <c r="Y633" s="11"/>
      <c r="Z633" s="274"/>
      <c r="AA633" s="274"/>
      <c r="AB633" s="274"/>
      <c r="AC633" s="52"/>
      <c r="AD633" s="23"/>
      <c r="AE633" s="39"/>
      <c r="AF633" s="274"/>
      <c r="AG633" s="274"/>
      <c r="AH633" s="113"/>
      <c r="AI633" s="24"/>
      <c r="AJ633" s="39"/>
      <c r="AK633" s="39"/>
      <c r="AL633" s="118"/>
      <c r="AM633" s="152"/>
      <c r="AN633" s="181"/>
      <c r="AO633" s="131"/>
      <c r="AP633" s="131"/>
      <c r="AQ633" s="39"/>
      <c r="AR633" s="274"/>
      <c r="AS633" s="274"/>
      <c r="AT633" s="274"/>
      <c r="AU633" s="39"/>
      <c r="AV633" s="39"/>
      <c r="AW633" s="39"/>
      <c r="AX633" s="274"/>
      <c r="AY633" s="274"/>
      <c r="AZ633" s="274"/>
      <c r="BA633" s="39"/>
      <c r="BB633" s="62"/>
      <c r="BC633" s="39"/>
      <c r="BD633" s="274"/>
      <c r="BE633" s="274"/>
      <c r="BF633" s="274"/>
      <c r="BG633" s="39"/>
      <c r="BH633" s="39"/>
      <c r="BI633" s="39"/>
      <c r="BJ633" s="274"/>
      <c r="BK633" s="274"/>
      <c r="BL633" s="274"/>
      <c r="BM633" s="213"/>
      <c r="BN633" s="213"/>
      <c r="BO633" s="39"/>
      <c r="BP633" s="274"/>
      <c r="BQ633" s="274"/>
      <c r="BR633" s="274"/>
      <c r="BS633" s="39"/>
      <c r="BT633" s="39"/>
      <c r="BU633" s="39"/>
      <c r="BV633" s="212"/>
      <c r="BW633" s="220"/>
      <c r="BX633" s="273"/>
      <c r="BY633" s="213"/>
      <c r="BZ633" s="213"/>
      <c r="CA633" s="213"/>
      <c r="CB633" s="275"/>
      <c r="CC633" s="274"/>
      <c r="CD633" s="274"/>
      <c r="CE633" s="39"/>
      <c r="CF633" s="39"/>
      <c r="CG633" s="39"/>
      <c r="CH633" s="274"/>
      <c r="CI633" s="274"/>
      <c r="CJ633" s="274"/>
      <c r="CK633" s="39"/>
      <c r="CL633" s="39"/>
      <c r="CM633" s="39"/>
      <c r="CN633" s="39"/>
      <c r="CO633" s="39"/>
      <c r="CP633" s="11"/>
      <c r="CQ633" s="11"/>
      <c r="CR633" s="11"/>
      <c r="CS633" s="11"/>
      <c r="CT633" s="11"/>
      <c r="CU633" s="11"/>
      <c r="CV633" s="11"/>
      <c r="CW633" s="11"/>
      <c r="CX633" s="11"/>
      <c r="CY633" s="11"/>
      <c r="CZ633" s="11"/>
      <c r="DA633" s="11"/>
      <c r="DB633" s="11"/>
      <c r="DC633" s="11"/>
      <c r="DD633" s="11"/>
      <c r="DE633" s="11"/>
      <c r="DF633" s="11"/>
      <c r="DG633" s="11"/>
      <c r="DH633" s="11"/>
      <c r="DI633" s="11"/>
      <c r="DJ633" s="11"/>
      <c r="DK633" s="11"/>
      <c r="DL633" s="274"/>
      <c r="DM633" s="274"/>
      <c r="DN633" s="274"/>
      <c r="DO633" s="274"/>
      <c r="DP633" s="274"/>
      <c r="DQ633" s="274"/>
      <c r="DR633" s="274"/>
      <c r="DS633" s="274"/>
      <c r="DT633" s="274"/>
      <c r="DU633" s="274"/>
      <c r="DV633" s="274"/>
      <c r="DW633" s="274"/>
      <c r="DX633" s="274"/>
      <c r="DY633" s="274"/>
      <c r="DZ633" s="274"/>
      <c r="EA633" s="274"/>
      <c r="EB633" s="274"/>
      <c r="EC633" s="274"/>
      <c r="ED633" s="39">
        <f t="shared" si="197"/>
        <v>0</v>
      </c>
      <c r="EE633" s="30">
        <f t="shared" si="198"/>
        <v>0</v>
      </c>
      <c r="EF633" s="39" t="str">
        <f t="shared" si="199"/>
        <v xml:space="preserve"> </v>
      </c>
    </row>
    <row r="634" spans="1:136" x14ac:dyDescent="0.25">
      <c r="A634" s="25" t="e">
        <f>#REF!</f>
        <v>#REF!</v>
      </c>
      <c r="B634" s="50" t="e">
        <f>#REF!</f>
        <v>#REF!</v>
      </c>
      <c r="C634" s="5" t="e">
        <f>#REF!</f>
        <v>#REF!</v>
      </c>
      <c r="D634" s="5" t="e">
        <f>#REF!</f>
        <v>#REF!</v>
      </c>
      <c r="E634" s="252">
        <v>1</v>
      </c>
      <c r="F634" s="249">
        <v>0</v>
      </c>
      <c r="G634" s="249">
        <v>0</v>
      </c>
      <c r="H634" s="249">
        <v>0</v>
      </c>
      <c r="I634" s="249">
        <v>0</v>
      </c>
      <c r="J634" s="249">
        <v>234335.43</v>
      </c>
      <c r="K634" s="249">
        <v>0</v>
      </c>
      <c r="L634" s="274">
        <f>J634</f>
        <v>234335.43</v>
      </c>
      <c r="M634" s="274"/>
      <c r="N634" s="256"/>
      <c r="O634" s="135"/>
      <c r="P634" s="135"/>
      <c r="Q634" s="131"/>
      <c r="R634" s="131"/>
      <c r="S634" s="11"/>
      <c r="T634" s="274"/>
      <c r="U634" s="274"/>
      <c r="V634" s="274"/>
      <c r="W634" s="39"/>
      <c r="X634" s="11"/>
      <c r="Y634" s="11"/>
      <c r="Z634" s="274"/>
      <c r="AA634" s="274"/>
      <c r="AB634" s="274"/>
      <c r="AC634" s="52"/>
      <c r="AD634" s="22"/>
      <c r="AE634" s="39"/>
      <c r="AF634" s="274"/>
      <c r="AG634" s="274"/>
      <c r="AH634" s="113"/>
      <c r="AI634" s="4"/>
      <c r="AJ634" s="39"/>
      <c r="AK634" s="39"/>
      <c r="AL634" s="118"/>
      <c r="AM634" s="152"/>
      <c r="AN634" s="181"/>
      <c r="AO634" s="131"/>
      <c r="AP634" s="131"/>
      <c r="AQ634" s="39"/>
      <c r="AR634" s="274"/>
      <c r="AS634" s="274"/>
      <c r="AT634" s="274"/>
      <c r="AU634" s="39"/>
      <c r="AV634" s="39"/>
      <c r="AW634" s="39"/>
      <c r="AX634" s="274"/>
      <c r="AY634" s="274"/>
      <c r="AZ634" s="274"/>
      <c r="BA634" s="39"/>
      <c r="BB634" s="62"/>
      <c r="BC634" s="39"/>
      <c r="BD634" s="274"/>
      <c r="BE634" s="274"/>
      <c r="BF634" s="274"/>
      <c r="BG634" s="39"/>
      <c r="BH634" s="39"/>
      <c r="BI634" s="39"/>
      <c r="BJ634" s="274">
        <v>808200</v>
      </c>
      <c r="BK634" s="274">
        <f>+BJ634*0.19</f>
        <v>153558</v>
      </c>
      <c r="BL634" s="274">
        <f>+BJ634+BK634</f>
        <v>961758</v>
      </c>
      <c r="BM634" s="213" t="s">
        <v>196</v>
      </c>
      <c r="BN634" s="213" t="s">
        <v>3897</v>
      </c>
      <c r="BO634" s="39"/>
      <c r="BP634" s="274"/>
      <c r="BQ634" s="274"/>
      <c r="BR634" s="274"/>
      <c r="BS634" s="39"/>
      <c r="BT634" s="39"/>
      <c r="BU634" s="39"/>
      <c r="BV634" s="212">
        <v>874485.33120000002</v>
      </c>
      <c r="BW634" s="219">
        <f>+BV634*0.19</f>
        <v>166152.21292799999</v>
      </c>
      <c r="BX634" s="273">
        <f>+BV634+BW634</f>
        <v>1040637.544128</v>
      </c>
      <c r="BY634" s="213" t="s">
        <v>196</v>
      </c>
      <c r="BZ634" s="213" t="s">
        <v>3897</v>
      </c>
      <c r="CA634" s="213"/>
      <c r="CB634" s="274"/>
      <c r="CC634" s="274"/>
      <c r="CD634" s="274"/>
      <c r="CE634" s="39"/>
      <c r="CF634" s="39"/>
      <c r="CG634" s="39"/>
      <c r="CH634" s="275"/>
      <c r="CI634" s="275"/>
      <c r="CJ634" s="275"/>
      <c r="CK634" s="39"/>
      <c r="CL634" s="39"/>
      <c r="CM634" s="39"/>
      <c r="CN634" s="39"/>
      <c r="CO634" s="39"/>
      <c r="CP634" s="11"/>
      <c r="CQ634" s="11"/>
      <c r="CR634" s="11"/>
      <c r="CS634" s="11"/>
      <c r="CT634" s="11"/>
      <c r="CU634" s="11"/>
      <c r="CV634" s="11"/>
      <c r="CW634" s="11"/>
      <c r="CX634" s="11"/>
      <c r="CY634" s="11"/>
      <c r="CZ634" s="11"/>
      <c r="DA634" s="11"/>
      <c r="DB634" s="11"/>
      <c r="DC634" s="11"/>
      <c r="DD634" s="11"/>
      <c r="DE634" s="11"/>
      <c r="DF634" s="11"/>
      <c r="DG634" s="11"/>
      <c r="DH634" s="11"/>
      <c r="DI634" s="11"/>
      <c r="DJ634" s="11"/>
      <c r="DK634" s="11"/>
      <c r="DL634" s="274"/>
      <c r="DM634" s="274"/>
      <c r="DN634" s="274"/>
      <c r="DO634" s="274"/>
      <c r="DP634" s="274"/>
      <c r="DQ634" s="274"/>
      <c r="DR634" s="274"/>
      <c r="DS634" s="274"/>
      <c r="DT634" s="274"/>
      <c r="DU634" s="274"/>
      <c r="DV634" s="274"/>
      <c r="DW634" s="274"/>
      <c r="DX634" s="274"/>
      <c r="DY634" s="274"/>
      <c r="DZ634" s="274"/>
      <c r="EA634" s="274"/>
      <c r="EB634" s="274"/>
      <c r="EC634" s="274"/>
      <c r="ED634" s="39">
        <f t="shared" si="197"/>
        <v>2002395.544128</v>
      </c>
      <c r="EE634" s="30">
        <f t="shared" si="198"/>
        <v>2</v>
      </c>
      <c r="EF634" s="39">
        <f t="shared" si="199"/>
        <v>1001197.772064</v>
      </c>
    </row>
    <row r="635" spans="1:136" x14ac:dyDescent="0.25">
      <c r="A635" s="25" t="e">
        <f>#REF!</f>
        <v>#REF!</v>
      </c>
      <c r="B635" s="50" t="e">
        <f>#REF!</f>
        <v>#REF!</v>
      </c>
      <c r="C635" s="5" t="e">
        <f>#REF!</f>
        <v>#REF!</v>
      </c>
      <c r="D635" s="5" t="e">
        <f>#REF!</f>
        <v>#REF!</v>
      </c>
      <c r="E635" s="252">
        <v>1</v>
      </c>
      <c r="F635" s="249">
        <v>0</v>
      </c>
      <c r="G635" s="249">
        <v>0</v>
      </c>
      <c r="H635" s="249">
        <v>0</v>
      </c>
      <c r="I635" s="249">
        <v>0</v>
      </c>
      <c r="J635" s="249">
        <v>357000</v>
      </c>
      <c r="K635" s="249">
        <v>0</v>
      </c>
      <c r="L635" s="274">
        <f>J635</f>
        <v>357000</v>
      </c>
      <c r="M635" s="274"/>
      <c r="N635" s="255">
        <v>240000</v>
      </c>
      <c r="O635" s="135">
        <f>+N635*0.19</f>
        <v>45600</v>
      </c>
      <c r="P635" s="135">
        <f>+N635+O635</f>
        <v>285600</v>
      </c>
      <c r="Q635" s="131"/>
      <c r="R635" s="131"/>
      <c r="S635" s="11"/>
      <c r="T635" s="274"/>
      <c r="U635" s="274"/>
      <c r="V635" s="274"/>
      <c r="W635" s="39"/>
      <c r="X635" s="11"/>
      <c r="Y635" s="11"/>
      <c r="Z635" s="274"/>
      <c r="AA635" s="274"/>
      <c r="AB635" s="274"/>
      <c r="AC635" s="52"/>
      <c r="AD635" s="22"/>
      <c r="AE635" s="39"/>
      <c r="AF635" s="274"/>
      <c r="AG635" s="274"/>
      <c r="AH635" s="171"/>
      <c r="AI635" s="22"/>
      <c r="AJ635" s="39"/>
      <c r="AK635" s="39"/>
      <c r="AL635" s="118"/>
      <c r="AM635" s="152"/>
      <c r="AN635" s="181"/>
      <c r="AO635" s="131"/>
      <c r="AP635" s="131"/>
      <c r="AQ635" s="39"/>
      <c r="AR635" s="274"/>
      <c r="AS635" s="274"/>
      <c r="AT635" s="274"/>
      <c r="AU635" s="39"/>
      <c r="AV635" s="39"/>
      <c r="AW635" s="39"/>
      <c r="AX635" s="274"/>
      <c r="AY635" s="274"/>
      <c r="AZ635" s="274"/>
      <c r="BA635" s="39"/>
      <c r="BB635" s="62"/>
      <c r="BC635" s="39"/>
      <c r="BD635" s="274"/>
      <c r="BE635" s="274"/>
      <c r="BF635" s="274"/>
      <c r="BG635" s="39"/>
      <c r="BH635" s="39"/>
      <c r="BI635" s="39"/>
      <c r="BJ635" s="274"/>
      <c r="BK635" s="274"/>
      <c r="BL635" s="274"/>
      <c r="BM635" s="213"/>
      <c r="BN635" s="213"/>
      <c r="BO635" s="39"/>
      <c r="BP635" s="274"/>
      <c r="BQ635" s="274"/>
      <c r="BR635" s="274"/>
      <c r="BS635" s="39"/>
      <c r="BT635" s="39"/>
      <c r="BU635" s="39"/>
      <c r="BV635" s="212"/>
      <c r="BW635" s="220"/>
      <c r="BX635" s="273"/>
      <c r="BY635" s="213"/>
      <c r="BZ635" s="213"/>
      <c r="CA635" s="213"/>
      <c r="CB635" s="274"/>
      <c r="CC635" s="274"/>
      <c r="CD635" s="274"/>
      <c r="CE635" s="39"/>
      <c r="CF635" s="39"/>
      <c r="CG635" s="39"/>
      <c r="CH635" s="274"/>
      <c r="CI635" s="274"/>
      <c r="CJ635" s="274"/>
      <c r="CK635" s="39"/>
      <c r="CL635" s="39"/>
      <c r="CM635" s="39"/>
      <c r="CN635" s="39"/>
      <c r="CO635" s="39"/>
      <c r="CP635" s="11"/>
      <c r="CQ635" s="11"/>
      <c r="CR635" s="11"/>
      <c r="CS635" s="11"/>
      <c r="CT635" s="11"/>
      <c r="CU635" s="11"/>
      <c r="CV635" s="11"/>
      <c r="CW635" s="11"/>
      <c r="CX635" s="11"/>
      <c r="CY635" s="11"/>
      <c r="CZ635" s="11"/>
      <c r="DA635" s="43"/>
      <c r="DB635" s="67"/>
      <c r="DC635" s="67"/>
      <c r="DD635" s="65"/>
      <c r="DE635" s="65"/>
      <c r="DF635" s="65"/>
      <c r="DG635" s="65"/>
      <c r="DH635" s="65"/>
      <c r="DI635" s="65"/>
      <c r="DJ635" s="65"/>
      <c r="DK635" s="65"/>
      <c r="DL635" s="61"/>
      <c r="DM635" s="61"/>
      <c r="DN635" s="61"/>
      <c r="DO635" s="61"/>
      <c r="DP635" s="61"/>
      <c r="DQ635" s="61"/>
      <c r="DR635" s="61"/>
      <c r="DS635" s="61"/>
      <c r="DT635" s="61"/>
      <c r="DU635" s="61"/>
      <c r="DV635" s="61"/>
      <c r="DW635" s="61"/>
      <c r="DX635" s="61"/>
      <c r="DY635" s="61"/>
      <c r="DZ635" s="61"/>
      <c r="EA635" s="61"/>
      <c r="EB635" s="61"/>
      <c r="EC635" s="61"/>
      <c r="ED635" s="39">
        <f t="shared" si="197"/>
        <v>285600</v>
      </c>
      <c r="EE635" s="30">
        <f t="shared" si="198"/>
        <v>1</v>
      </c>
      <c r="EF635" s="39">
        <f t="shared" si="199"/>
        <v>285600</v>
      </c>
    </row>
    <row r="636" spans="1:136" x14ac:dyDescent="0.25">
      <c r="A636" s="25" t="e">
        <f>#REF!</f>
        <v>#REF!</v>
      </c>
      <c r="B636" s="50" t="e">
        <f>#REF!</f>
        <v>#REF!</v>
      </c>
      <c r="C636" s="5" t="e">
        <f>#REF!</f>
        <v>#REF!</v>
      </c>
      <c r="D636" s="5" t="e">
        <f>#REF!</f>
        <v>#REF!</v>
      </c>
      <c r="E636" s="252">
        <v>1</v>
      </c>
      <c r="F636" s="249">
        <v>123998</v>
      </c>
      <c r="G636" s="249">
        <v>49980</v>
      </c>
      <c r="H636" s="249">
        <v>0</v>
      </c>
      <c r="I636" s="249">
        <v>0</v>
      </c>
      <c r="J636" s="249">
        <v>145239.5</v>
      </c>
      <c r="K636" s="249">
        <v>145180</v>
      </c>
      <c r="L636" s="274">
        <f>AVERAGE(F636,J636)</f>
        <v>134618.75</v>
      </c>
      <c r="M636" s="274">
        <f>AVERAGE(G636,K636)*E1</f>
        <v>100507.40000000001</v>
      </c>
      <c r="N636" s="255">
        <v>200000</v>
      </c>
      <c r="O636" s="135">
        <f>+N636*0.19</f>
        <v>38000</v>
      </c>
      <c r="P636" s="135">
        <f>+N636+O636</f>
        <v>238000</v>
      </c>
      <c r="Q636" s="131"/>
      <c r="R636" s="131"/>
      <c r="S636" s="11"/>
      <c r="T636" s="274">
        <v>79200</v>
      </c>
      <c r="U636" s="274">
        <f>+T636*0.19</f>
        <v>15048</v>
      </c>
      <c r="V636" s="274">
        <f>+T636+U636</f>
        <v>94248</v>
      </c>
      <c r="W636" s="39" t="s">
        <v>95</v>
      </c>
      <c r="X636" s="11" t="s">
        <v>50</v>
      </c>
      <c r="Y636" s="11"/>
      <c r="Z636" s="274"/>
      <c r="AA636" s="274"/>
      <c r="AB636" s="274"/>
      <c r="AC636" s="52"/>
      <c r="AD636" s="22"/>
      <c r="AE636" s="39"/>
      <c r="AF636" s="274"/>
      <c r="AG636" s="274"/>
      <c r="AH636" s="171"/>
      <c r="AI636" s="22"/>
      <c r="AJ636" s="39"/>
      <c r="AK636" s="39"/>
      <c r="AL636" s="118"/>
      <c r="AM636" s="152"/>
      <c r="AN636" s="181"/>
      <c r="AO636" s="131"/>
      <c r="AP636" s="131"/>
      <c r="AQ636" s="39"/>
      <c r="AR636" s="274"/>
      <c r="AS636" s="274"/>
      <c r="AT636" s="274"/>
      <c r="AU636" s="39"/>
      <c r="AV636" s="39"/>
      <c r="AW636" s="39"/>
      <c r="AX636" s="274"/>
      <c r="AY636" s="274"/>
      <c r="AZ636" s="274"/>
      <c r="BA636" s="39"/>
      <c r="BB636" s="62"/>
      <c r="BC636" s="39"/>
      <c r="BD636" s="274"/>
      <c r="BE636" s="274"/>
      <c r="BF636" s="274"/>
      <c r="BG636" s="39"/>
      <c r="BH636" s="39"/>
      <c r="BI636" s="39"/>
      <c r="BJ636" s="274">
        <v>686000</v>
      </c>
      <c r="BK636" s="274">
        <f>+BJ636*0.19</f>
        <v>130340</v>
      </c>
      <c r="BL636" s="274">
        <f>+BJ636+BK636</f>
        <v>816340</v>
      </c>
      <c r="BM636" s="213" t="s">
        <v>196</v>
      </c>
      <c r="BN636" s="213" t="s">
        <v>45</v>
      </c>
      <c r="BO636" s="39"/>
      <c r="BP636" s="274"/>
      <c r="BQ636" s="274"/>
      <c r="BR636" s="274"/>
      <c r="BS636" s="39"/>
      <c r="BT636" s="39"/>
      <c r="BU636" s="39"/>
      <c r="BV636" s="212">
        <v>749328.09</v>
      </c>
      <c r="BW636" s="219">
        <f>+BV636*0.19</f>
        <v>142372.3371</v>
      </c>
      <c r="BX636" s="273">
        <f>+BV636+BW636</f>
        <v>891700.42709999997</v>
      </c>
      <c r="BY636" s="213" t="s">
        <v>196</v>
      </c>
      <c r="BZ636" s="213" t="s">
        <v>45</v>
      </c>
      <c r="CA636" s="213"/>
      <c r="CB636" s="274"/>
      <c r="CC636" s="274"/>
      <c r="CD636" s="274"/>
      <c r="CE636" s="39"/>
      <c r="CF636" s="39"/>
      <c r="CG636" s="39"/>
      <c r="CH636" s="274"/>
      <c r="CI636" s="274"/>
      <c r="CJ636" s="274"/>
      <c r="CK636" s="39"/>
      <c r="CL636" s="39"/>
      <c r="CM636" s="39"/>
      <c r="CN636" s="39"/>
      <c r="CO636" s="39"/>
      <c r="CP636" s="11"/>
      <c r="CQ636" s="11"/>
      <c r="CR636" s="11"/>
      <c r="CS636" s="11"/>
      <c r="CT636" s="11"/>
      <c r="CU636" s="11"/>
      <c r="CV636" s="11"/>
      <c r="CW636" s="11"/>
      <c r="CX636" s="11"/>
      <c r="CY636" s="11"/>
      <c r="CZ636" s="11"/>
      <c r="DA636" s="43"/>
      <c r="DB636" s="67"/>
      <c r="DC636" s="67"/>
      <c r="DD636" s="65"/>
      <c r="DE636" s="65"/>
      <c r="DF636" s="65"/>
      <c r="DG636" s="65"/>
      <c r="DH636" s="65"/>
      <c r="DI636" s="65"/>
      <c r="DJ636" s="65"/>
      <c r="DK636" s="65"/>
      <c r="DL636" s="61"/>
      <c r="DM636" s="61"/>
      <c r="DN636" s="61"/>
      <c r="DO636" s="61"/>
      <c r="DP636" s="61"/>
      <c r="DQ636" s="61"/>
      <c r="DR636" s="61"/>
      <c r="DS636" s="61"/>
      <c r="DT636" s="61"/>
      <c r="DU636" s="61"/>
      <c r="DV636" s="61"/>
      <c r="DW636" s="61"/>
      <c r="DX636" s="61"/>
      <c r="DY636" s="61"/>
      <c r="DZ636" s="61"/>
      <c r="EA636" s="61"/>
      <c r="EB636" s="61"/>
      <c r="EC636" s="61"/>
      <c r="ED636" s="39">
        <f t="shared" si="197"/>
        <v>2140795.8270999999</v>
      </c>
      <c r="EE636" s="30">
        <f t="shared" si="198"/>
        <v>5</v>
      </c>
      <c r="EF636" s="39">
        <f t="shared" si="199"/>
        <v>428159.16541999998</v>
      </c>
    </row>
    <row r="637" spans="1:136" x14ac:dyDescent="0.25">
      <c r="A637" s="25" t="e">
        <f>#REF!</f>
        <v>#REF!</v>
      </c>
      <c r="B637" s="50" t="e">
        <f>#REF!</f>
        <v>#REF!</v>
      </c>
      <c r="C637" s="5" t="e">
        <f>#REF!</f>
        <v>#REF!</v>
      </c>
      <c r="D637" s="5" t="e">
        <f>#REF!</f>
        <v>#REF!</v>
      </c>
      <c r="E637" s="252">
        <v>1</v>
      </c>
      <c r="F637" s="249">
        <v>0</v>
      </c>
      <c r="G637" s="249">
        <v>0</v>
      </c>
      <c r="H637" s="249">
        <v>0</v>
      </c>
      <c r="I637" s="249">
        <v>0</v>
      </c>
      <c r="J637" s="249">
        <v>238000</v>
      </c>
      <c r="K637" s="249">
        <v>0</v>
      </c>
      <c r="L637" s="274">
        <f>J637</f>
        <v>238000</v>
      </c>
      <c r="M637" s="274"/>
      <c r="N637" s="255">
        <v>200000</v>
      </c>
      <c r="O637" s="135">
        <f>+N637*0.19</f>
        <v>38000</v>
      </c>
      <c r="P637" s="135">
        <f>+N637+O637</f>
        <v>238000</v>
      </c>
      <c r="Q637" s="131"/>
      <c r="R637" s="131"/>
      <c r="S637" s="11"/>
      <c r="T637" s="274"/>
      <c r="U637" s="274"/>
      <c r="V637" s="274"/>
      <c r="W637" s="39"/>
      <c r="X637" s="11"/>
      <c r="Y637" s="11"/>
      <c r="Z637" s="274"/>
      <c r="AA637" s="274"/>
      <c r="AB637" s="274"/>
      <c r="AC637" s="52"/>
      <c r="AD637" s="22"/>
      <c r="AE637" s="39"/>
      <c r="AF637" s="274"/>
      <c r="AG637" s="274"/>
      <c r="AH637" s="171"/>
      <c r="AI637" s="22"/>
      <c r="AJ637" s="39"/>
      <c r="AK637" s="39"/>
      <c r="AL637" s="118"/>
      <c r="AM637" s="152"/>
      <c r="AN637" s="181"/>
      <c r="AO637" s="131"/>
      <c r="AP637" s="131"/>
      <c r="AQ637" s="39"/>
      <c r="AR637" s="274"/>
      <c r="AS637" s="274"/>
      <c r="AT637" s="274"/>
      <c r="AU637" s="39"/>
      <c r="AV637" s="39"/>
      <c r="AW637" s="39"/>
      <c r="AX637" s="274"/>
      <c r="AY637" s="274"/>
      <c r="AZ637" s="274"/>
      <c r="BA637" s="39"/>
      <c r="BB637" s="62"/>
      <c r="BC637" s="39"/>
      <c r="BD637" s="274"/>
      <c r="BE637" s="274"/>
      <c r="BF637" s="274"/>
      <c r="BG637" s="39"/>
      <c r="BH637" s="39"/>
      <c r="BI637" s="39"/>
      <c r="BJ637" s="274">
        <v>686000</v>
      </c>
      <c r="BK637" s="274">
        <f>+BJ637*0.19</f>
        <v>130340</v>
      </c>
      <c r="BL637" s="274">
        <f>+BJ637+BK637</f>
        <v>816340</v>
      </c>
      <c r="BM637" s="213" t="s">
        <v>196</v>
      </c>
      <c r="BN637" s="213" t="s">
        <v>45</v>
      </c>
      <c r="BO637" s="39"/>
      <c r="BP637" s="274"/>
      <c r="BQ637" s="274"/>
      <c r="BR637" s="274"/>
      <c r="BS637" s="39"/>
      <c r="BT637" s="39"/>
      <c r="BU637" s="39"/>
      <c r="BV637" s="219">
        <v>727780.14400000009</v>
      </c>
      <c r="BW637" s="219">
        <f>+BV637*0.19</f>
        <v>138278.22736000002</v>
      </c>
      <c r="BX637" s="273">
        <f>+BV637+BW637</f>
        <v>866058.37136000011</v>
      </c>
      <c r="BY637" s="213" t="s">
        <v>196</v>
      </c>
      <c r="BZ637" s="213" t="s">
        <v>45</v>
      </c>
      <c r="CA637" s="213"/>
      <c r="CB637" s="274"/>
      <c r="CC637" s="274"/>
      <c r="CD637" s="274"/>
      <c r="CE637" s="39"/>
      <c r="CF637" s="39"/>
      <c r="CG637" s="39"/>
      <c r="CH637" s="274"/>
      <c r="CI637" s="274"/>
      <c r="CJ637" s="274"/>
      <c r="CK637" s="39"/>
      <c r="CL637" s="39"/>
      <c r="CM637" s="39"/>
      <c r="CN637" s="39"/>
      <c r="CO637" s="39"/>
      <c r="CP637" s="11"/>
      <c r="CQ637" s="11"/>
      <c r="CR637" s="11"/>
      <c r="CS637" s="11"/>
      <c r="CT637" s="11"/>
      <c r="CU637" s="11"/>
      <c r="CV637" s="11"/>
      <c r="CW637" s="11"/>
      <c r="CX637" s="11"/>
      <c r="CY637" s="11"/>
      <c r="CZ637" s="11"/>
      <c r="DA637" s="43"/>
      <c r="DB637" s="67"/>
      <c r="DC637" s="67"/>
      <c r="DD637" s="65"/>
      <c r="DE637" s="65"/>
      <c r="DF637" s="65"/>
      <c r="DG637" s="65"/>
      <c r="DH637" s="65"/>
      <c r="DI637" s="65"/>
      <c r="DJ637" s="65"/>
      <c r="DK637" s="65"/>
      <c r="DL637" s="61"/>
      <c r="DM637" s="61"/>
      <c r="DN637" s="61"/>
      <c r="DO637" s="61"/>
      <c r="DP637" s="61"/>
      <c r="DQ637" s="61"/>
      <c r="DR637" s="61"/>
      <c r="DS637" s="61"/>
      <c r="DT637" s="61"/>
      <c r="DU637" s="61"/>
      <c r="DV637" s="61"/>
      <c r="DW637" s="61"/>
      <c r="DX637" s="61"/>
      <c r="DY637" s="61"/>
      <c r="DZ637" s="61"/>
      <c r="EA637" s="61"/>
      <c r="EB637" s="61"/>
      <c r="EC637" s="61"/>
      <c r="ED637" s="39">
        <f t="shared" si="197"/>
        <v>1920398.3713600002</v>
      </c>
      <c r="EE637" s="30">
        <f t="shared" si="198"/>
        <v>3</v>
      </c>
      <c r="EF637" s="39">
        <f t="shared" si="199"/>
        <v>640132.79045333341</v>
      </c>
    </row>
    <row r="638" spans="1:136" x14ac:dyDescent="0.25">
      <c r="A638" s="25" t="e">
        <f>#REF!</f>
        <v>#REF!</v>
      </c>
      <c r="B638" s="50" t="e">
        <f>#REF!</f>
        <v>#REF!</v>
      </c>
      <c r="C638" s="5" t="e">
        <f>#REF!</f>
        <v>#REF!</v>
      </c>
      <c r="D638" s="5" t="e">
        <f>#REF!</f>
        <v>#REF!</v>
      </c>
      <c r="E638" s="252">
        <v>1</v>
      </c>
      <c r="F638" s="249">
        <v>0</v>
      </c>
      <c r="G638" s="249">
        <v>0</v>
      </c>
      <c r="H638" s="249">
        <v>0</v>
      </c>
      <c r="I638" s="249">
        <v>0</v>
      </c>
      <c r="J638" s="249">
        <v>0</v>
      </c>
      <c r="K638" s="249">
        <v>0</v>
      </c>
      <c r="L638" s="274"/>
      <c r="M638" s="274"/>
      <c r="N638" s="255"/>
      <c r="O638" s="135"/>
      <c r="P638" s="135"/>
      <c r="Q638" s="6"/>
      <c r="R638" s="6"/>
      <c r="S638" s="25"/>
      <c r="T638" s="150"/>
      <c r="U638" s="274"/>
      <c r="V638" s="274"/>
      <c r="W638" s="39"/>
      <c r="X638" s="11"/>
      <c r="Y638" s="11"/>
      <c r="Z638" s="274"/>
      <c r="AA638" s="274"/>
      <c r="AB638" s="274"/>
      <c r="AC638" s="11"/>
      <c r="AD638" s="11"/>
      <c r="AE638" s="11"/>
      <c r="AF638" s="274"/>
      <c r="AG638" s="274"/>
      <c r="AH638" s="274"/>
      <c r="AI638" s="11"/>
      <c r="AJ638" s="11"/>
      <c r="AK638" s="11"/>
      <c r="AL638" s="118"/>
      <c r="AM638" s="118"/>
      <c r="AN638" s="118"/>
      <c r="AO638" s="52"/>
      <c r="AP638" s="52"/>
      <c r="AQ638" s="11"/>
      <c r="AR638" s="274"/>
      <c r="AS638" s="274"/>
      <c r="AT638" s="274"/>
      <c r="AU638" s="11"/>
      <c r="AV638" s="11"/>
      <c r="AW638" s="11"/>
      <c r="AX638" s="274"/>
      <c r="AY638" s="274"/>
      <c r="AZ638" s="274"/>
      <c r="BA638" s="11"/>
      <c r="BB638" s="62"/>
      <c r="BC638" s="39"/>
      <c r="BD638" s="274"/>
      <c r="BE638" s="274"/>
      <c r="BF638" s="274"/>
      <c r="BG638" s="11"/>
      <c r="BH638" s="11"/>
      <c r="BI638" s="17"/>
      <c r="BJ638" s="274">
        <v>140800</v>
      </c>
      <c r="BK638" s="274">
        <f>+BJ638*0.19</f>
        <v>26752</v>
      </c>
      <c r="BL638" s="274">
        <f>+BJ638+BK638</f>
        <v>167552</v>
      </c>
      <c r="BM638" s="213" t="s">
        <v>196</v>
      </c>
      <c r="BN638" s="213" t="s">
        <v>45</v>
      </c>
      <c r="BO638" s="11"/>
      <c r="BP638" s="274"/>
      <c r="BQ638" s="274"/>
      <c r="BR638" s="274"/>
      <c r="BS638" s="11"/>
      <c r="BT638" s="11"/>
      <c r="BU638" s="11"/>
      <c r="BV638" s="219">
        <v>158366.20800000001</v>
      </c>
      <c r="BW638" s="219">
        <f>+BV638*0.19</f>
        <v>30089.579520000003</v>
      </c>
      <c r="BX638" s="273">
        <f>+BV638+BW638</f>
        <v>188455.78752000001</v>
      </c>
      <c r="BY638" s="213" t="s">
        <v>196</v>
      </c>
      <c r="BZ638" s="213" t="s">
        <v>45</v>
      </c>
      <c r="CA638" s="213"/>
      <c r="CB638" s="274"/>
      <c r="CC638" s="274"/>
      <c r="CD638" s="274"/>
      <c r="CE638" s="11"/>
      <c r="CF638" s="11"/>
      <c r="CG638" s="11"/>
      <c r="CH638" s="274"/>
      <c r="CI638" s="274"/>
      <c r="CJ638" s="274"/>
      <c r="CK638" s="11"/>
      <c r="CL638" s="11"/>
      <c r="CM638" s="11"/>
      <c r="CN638" s="11"/>
      <c r="CO638" s="11"/>
      <c r="CP638" s="11"/>
      <c r="CQ638" s="11"/>
      <c r="CR638" s="11"/>
      <c r="CS638" s="11"/>
      <c r="CT638" s="11"/>
      <c r="CU638" s="11"/>
      <c r="CV638" s="11"/>
      <c r="CW638" s="11"/>
      <c r="CX638" s="11"/>
      <c r="CY638" s="11"/>
      <c r="CZ638" s="11"/>
      <c r="DA638" s="11"/>
      <c r="DB638" s="11"/>
      <c r="DC638" s="11"/>
      <c r="DD638" s="11"/>
      <c r="DE638" s="11"/>
      <c r="DF638" s="11"/>
      <c r="DG638" s="11"/>
      <c r="DH638" s="11"/>
      <c r="DI638" s="11"/>
      <c r="DJ638" s="11"/>
      <c r="DK638" s="11"/>
      <c r="DL638" s="274"/>
      <c r="DM638" s="274"/>
      <c r="DN638" s="274"/>
      <c r="DO638" s="274"/>
      <c r="DP638" s="274"/>
      <c r="DQ638" s="274"/>
      <c r="DR638" s="274"/>
      <c r="DS638" s="274"/>
      <c r="DT638" s="274"/>
      <c r="DU638" s="274"/>
      <c r="DV638" s="274"/>
      <c r="DW638" s="274"/>
      <c r="DX638" s="274"/>
      <c r="DY638" s="274"/>
      <c r="DZ638" s="274"/>
      <c r="EA638" s="274"/>
      <c r="EB638" s="274"/>
      <c r="EC638" s="274"/>
      <c r="ED638" s="39">
        <f t="shared" si="197"/>
        <v>356007.78752000001</v>
      </c>
      <c r="EE638" s="30">
        <f t="shared" si="198"/>
        <v>2</v>
      </c>
      <c r="EF638" s="39">
        <f t="shared" si="199"/>
        <v>178003.89376000001</v>
      </c>
    </row>
    <row r="639" spans="1:136" x14ac:dyDescent="0.25">
      <c r="A639" s="25" t="e">
        <f>#REF!</f>
        <v>#REF!</v>
      </c>
      <c r="B639" s="50" t="e">
        <f>#REF!</f>
        <v>#REF!</v>
      </c>
      <c r="C639" s="5" t="e">
        <f>#REF!</f>
        <v>#REF!</v>
      </c>
      <c r="D639" s="5" t="e">
        <f>#REF!</f>
        <v>#REF!</v>
      </c>
      <c r="E639" s="252">
        <v>1</v>
      </c>
      <c r="F639" s="249">
        <v>0</v>
      </c>
      <c r="G639" s="249">
        <v>0</v>
      </c>
      <c r="H639" s="249">
        <v>0</v>
      </c>
      <c r="I639" s="249">
        <v>0</v>
      </c>
      <c r="J639" s="249">
        <v>0</v>
      </c>
      <c r="K639" s="249">
        <v>0</v>
      </c>
      <c r="L639" s="274"/>
      <c r="M639" s="274"/>
      <c r="N639" s="255"/>
      <c r="O639" s="135"/>
      <c r="P639" s="135"/>
      <c r="Q639" s="131"/>
      <c r="R639" s="131"/>
      <c r="S639" s="11"/>
      <c r="T639" s="274"/>
      <c r="U639" s="274"/>
      <c r="V639" s="274"/>
      <c r="W639" s="39"/>
      <c r="X639" s="11"/>
      <c r="Y639" s="11"/>
      <c r="Z639" s="274"/>
      <c r="AA639" s="274"/>
      <c r="AB639" s="274"/>
      <c r="AC639" s="5"/>
      <c r="AD639" s="5"/>
      <c r="AE639" s="39"/>
      <c r="AF639" s="274"/>
      <c r="AG639" s="274"/>
      <c r="AH639" s="169"/>
      <c r="AI639" s="5"/>
      <c r="AJ639" s="39"/>
      <c r="AK639" s="39"/>
      <c r="AL639" s="118"/>
      <c r="AM639" s="152"/>
      <c r="AN639" s="181"/>
      <c r="AO639" s="131"/>
      <c r="AP639" s="131"/>
      <c r="AQ639" s="39"/>
      <c r="AR639" s="274"/>
      <c r="AS639" s="274"/>
      <c r="AT639" s="274"/>
      <c r="AU639" s="39"/>
      <c r="AV639" s="39"/>
      <c r="AW639" s="39"/>
      <c r="AX639" s="274"/>
      <c r="AY639" s="274"/>
      <c r="AZ639" s="274"/>
      <c r="BA639" s="39"/>
      <c r="BB639" s="62"/>
      <c r="BC639" s="39"/>
      <c r="BD639" s="274"/>
      <c r="BE639" s="274"/>
      <c r="BF639" s="274"/>
      <c r="BG639" s="39"/>
      <c r="BH639" s="39"/>
      <c r="BI639" s="39"/>
      <c r="BJ639" s="274"/>
      <c r="BK639" s="274"/>
      <c r="BL639" s="274"/>
      <c r="BM639" s="213"/>
      <c r="BN639" s="213"/>
      <c r="BO639" s="39"/>
      <c r="BP639" s="274">
        <v>26500</v>
      </c>
      <c r="BQ639" s="274">
        <f>+BP639*19%</f>
        <v>5035</v>
      </c>
      <c r="BR639" s="274">
        <f>+BQ639+BP639</f>
        <v>31535</v>
      </c>
      <c r="BS639" s="39"/>
      <c r="BT639" s="39"/>
      <c r="BU639" s="39"/>
      <c r="BV639" s="212"/>
      <c r="BW639" s="220"/>
      <c r="BX639" s="273"/>
      <c r="BY639" s="213"/>
      <c r="BZ639" s="213"/>
      <c r="CA639" s="213"/>
      <c r="CB639" s="274"/>
      <c r="CC639" s="274"/>
      <c r="CD639" s="274"/>
      <c r="CE639" s="39"/>
      <c r="CF639" s="39"/>
      <c r="CG639" s="39"/>
      <c r="CH639" s="274"/>
      <c r="CI639" s="274"/>
      <c r="CJ639" s="274"/>
      <c r="CK639" s="39"/>
      <c r="CL639" s="39"/>
      <c r="CM639" s="39"/>
      <c r="CN639" s="39"/>
      <c r="CO639" s="39"/>
      <c r="CP639" s="11"/>
      <c r="CQ639" s="11"/>
      <c r="CR639" s="11"/>
      <c r="CS639" s="11"/>
      <c r="CT639" s="11"/>
      <c r="CU639" s="11"/>
      <c r="CV639" s="11"/>
      <c r="CW639" s="11"/>
      <c r="CX639" s="11"/>
      <c r="CY639" s="11"/>
      <c r="CZ639" s="11"/>
      <c r="DA639" s="11"/>
      <c r="DB639" s="11"/>
      <c r="DC639" s="11"/>
      <c r="DD639" s="11"/>
      <c r="DE639" s="11"/>
      <c r="DF639" s="11"/>
      <c r="DG639" s="11"/>
      <c r="DH639" s="11"/>
      <c r="DI639" s="11"/>
      <c r="DJ639" s="11"/>
      <c r="DK639" s="11"/>
      <c r="DL639" s="274"/>
      <c r="DM639" s="274"/>
      <c r="DN639" s="274"/>
      <c r="DO639" s="274"/>
      <c r="DP639" s="274"/>
      <c r="DQ639" s="274"/>
      <c r="DR639" s="274"/>
      <c r="DS639" s="274"/>
      <c r="DT639" s="274"/>
      <c r="DU639" s="274"/>
      <c r="DV639" s="274"/>
      <c r="DW639" s="274"/>
      <c r="DX639" s="274"/>
      <c r="DY639" s="274"/>
      <c r="DZ639" s="274"/>
      <c r="EA639" s="274"/>
      <c r="EB639" s="274"/>
      <c r="EC639" s="274"/>
      <c r="ED639" s="39">
        <f t="shared" si="197"/>
        <v>31535</v>
      </c>
      <c r="EE639" s="30">
        <f t="shared" si="198"/>
        <v>1</v>
      </c>
      <c r="EF639" s="39">
        <f t="shared" si="199"/>
        <v>31535</v>
      </c>
    </row>
    <row r="640" spans="1:136" x14ac:dyDescent="0.25">
      <c r="A640" s="25" t="e">
        <f>#REF!</f>
        <v>#REF!</v>
      </c>
      <c r="B640" s="50" t="e">
        <f>#REF!</f>
        <v>#REF!</v>
      </c>
      <c r="C640" s="5" t="e">
        <f>#REF!</f>
        <v>#REF!</v>
      </c>
      <c r="D640" s="5" t="e">
        <f>#REF!</f>
        <v>#REF!</v>
      </c>
      <c r="E640" s="252">
        <v>1</v>
      </c>
      <c r="F640" s="249">
        <v>0</v>
      </c>
      <c r="G640" s="249">
        <v>0</v>
      </c>
      <c r="H640" s="249">
        <v>0</v>
      </c>
      <c r="I640" s="249">
        <v>0</v>
      </c>
      <c r="J640" s="249">
        <v>0</v>
      </c>
      <c r="K640" s="249">
        <v>0</v>
      </c>
      <c r="L640" s="274"/>
      <c r="M640" s="274"/>
      <c r="N640" s="255"/>
      <c r="O640" s="137"/>
      <c r="P640" s="135"/>
      <c r="Q640" s="131"/>
      <c r="R640" s="131"/>
      <c r="S640" s="11"/>
      <c r="T640" s="274"/>
      <c r="U640" s="274"/>
      <c r="V640" s="274"/>
      <c r="W640" s="39"/>
      <c r="X640" s="11"/>
      <c r="Y640" s="11"/>
      <c r="Z640" s="274"/>
      <c r="AA640" s="274"/>
      <c r="AB640" s="274"/>
      <c r="AC640" s="52"/>
      <c r="AD640" s="22"/>
      <c r="AE640" s="39"/>
      <c r="AF640" s="274"/>
      <c r="AG640" s="274"/>
      <c r="AH640" s="171"/>
      <c r="AI640" s="4"/>
      <c r="AJ640" s="39"/>
      <c r="AK640" s="39"/>
      <c r="AL640" s="118"/>
      <c r="AM640" s="152"/>
      <c r="AN640" s="152"/>
      <c r="AO640" s="131"/>
      <c r="AP640" s="131"/>
      <c r="AQ640" s="39"/>
      <c r="AR640" s="274"/>
      <c r="AS640" s="274"/>
      <c r="AT640" s="274"/>
      <c r="AU640" s="39"/>
      <c r="AV640" s="39"/>
      <c r="AW640" s="39"/>
      <c r="AX640" s="274"/>
      <c r="AY640" s="274"/>
      <c r="AZ640" s="274"/>
      <c r="BA640" s="39"/>
      <c r="BB640" s="62"/>
      <c r="BC640" s="39"/>
      <c r="BD640" s="274"/>
      <c r="BE640" s="274"/>
      <c r="BF640" s="274"/>
      <c r="BG640" s="39"/>
      <c r="BH640" s="39"/>
      <c r="BI640" s="39"/>
      <c r="BJ640" s="274"/>
      <c r="BK640" s="274"/>
      <c r="BL640" s="274"/>
      <c r="BM640" s="213"/>
      <c r="BN640" s="213"/>
      <c r="BO640" s="39"/>
      <c r="BP640" s="274">
        <v>26500</v>
      </c>
      <c r="BQ640" s="274">
        <f>+BP640*19%</f>
        <v>5035</v>
      </c>
      <c r="BR640" s="274">
        <f>+BQ640+BP640</f>
        <v>31535</v>
      </c>
      <c r="BS640" s="39"/>
      <c r="BT640" s="39"/>
      <c r="BU640" s="39"/>
      <c r="BV640" s="212"/>
      <c r="BW640" s="220"/>
      <c r="BX640" s="273"/>
      <c r="BY640" s="213"/>
      <c r="BZ640" s="213"/>
      <c r="CA640" s="213"/>
      <c r="CB640" s="274"/>
      <c r="CC640" s="274"/>
      <c r="CD640" s="274"/>
      <c r="CE640" s="39"/>
      <c r="CF640" s="39"/>
      <c r="CG640" s="39"/>
      <c r="CH640" s="274"/>
      <c r="CI640" s="274"/>
      <c r="CJ640" s="274"/>
      <c r="CK640" s="39"/>
      <c r="CL640" s="39"/>
      <c r="CM640" s="39"/>
      <c r="CN640" s="39"/>
      <c r="CO640" s="39"/>
      <c r="CP640" s="11"/>
      <c r="CQ640" s="11"/>
      <c r="CR640" s="11"/>
      <c r="CS640" s="11"/>
      <c r="CT640" s="11"/>
      <c r="CU640" s="11"/>
      <c r="CV640" s="11"/>
      <c r="CW640" s="11"/>
      <c r="CX640" s="11"/>
      <c r="CY640" s="11"/>
      <c r="CZ640" s="11"/>
      <c r="DA640" s="11"/>
      <c r="DB640" s="11"/>
      <c r="DC640" s="11"/>
      <c r="DD640" s="11"/>
      <c r="DE640" s="11"/>
      <c r="DF640" s="11"/>
      <c r="DG640" s="11"/>
      <c r="DH640" s="11"/>
      <c r="DI640" s="11"/>
      <c r="DJ640" s="11"/>
      <c r="DK640" s="11"/>
      <c r="DL640" s="274"/>
      <c r="DM640" s="274"/>
      <c r="DN640" s="274"/>
      <c r="DO640" s="274"/>
      <c r="DP640" s="274"/>
      <c r="DQ640" s="274"/>
      <c r="DR640" s="274"/>
      <c r="DS640" s="274"/>
      <c r="DT640" s="274"/>
      <c r="DU640" s="274"/>
      <c r="DV640" s="274"/>
      <c r="DW640" s="274"/>
      <c r="DX640" s="274"/>
      <c r="DY640" s="274"/>
      <c r="DZ640" s="274"/>
      <c r="EA640" s="274"/>
      <c r="EB640" s="274"/>
      <c r="EC640" s="274"/>
      <c r="ED640" s="39">
        <f t="shared" si="197"/>
        <v>31535</v>
      </c>
      <c r="EE640" s="30">
        <f t="shared" si="198"/>
        <v>1</v>
      </c>
      <c r="EF640" s="39">
        <f t="shared" si="199"/>
        <v>31535</v>
      </c>
    </row>
    <row r="641" spans="1:136" x14ac:dyDescent="0.25">
      <c r="A641" s="25" t="e">
        <f>#REF!</f>
        <v>#REF!</v>
      </c>
      <c r="B641" s="50" t="e">
        <f>#REF!</f>
        <v>#REF!</v>
      </c>
      <c r="C641" s="5" t="e">
        <f>#REF!</f>
        <v>#REF!</v>
      </c>
      <c r="D641" s="5" t="e">
        <f>#REF!</f>
        <v>#REF!</v>
      </c>
      <c r="E641" s="252">
        <v>1</v>
      </c>
      <c r="F641" s="249">
        <v>0</v>
      </c>
      <c r="G641" s="249">
        <v>0</v>
      </c>
      <c r="H641" s="249">
        <v>0</v>
      </c>
      <c r="I641" s="249">
        <v>0</v>
      </c>
      <c r="J641" s="249">
        <v>0</v>
      </c>
      <c r="K641" s="249">
        <v>0</v>
      </c>
      <c r="L641" s="274"/>
      <c r="M641" s="274"/>
      <c r="N641" s="255"/>
      <c r="O641" s="137"/>
      <c r="P641" s="135"/>
      <c r="Q641" s="131"/>
      <c r="R641" s="131"/>
      <c r="S641" s="11"/>
      <c r="T641" s="274"/>
      <c r="U641" s="274"/>
      <c r="V641" s="274"/>
      <c r="W641" s="39"/>
      <c r="X641" s="11"/>
      <c r="Y641" s="11"/>
      <c r="Z641" s="274"/>
      <c r="AA641" s="274"/>
      <c r="AB641" s="274"/>
      <c r="AC641" s="52"/>
      <c r="AD641" s="22"/>
      <c r="AE641" s="39"/>
      <c r="AF641" s="274"/>
      <c r="AG641" s="274"/>
      <c r="AH641" s="171"/>
      <c r="AI641" s="22"/>
      <c r="AJ641" s="39"/>
      <c r="AK641" s="39"/>
      <c r="AL641" s="118"/>
      <c r="AM641" s="152"/>
      <c r="AN641" s="181"/>
      <c r="AO641" s="131"/>
      <c r="AP641" s="131"/>
      <c r="AQ641" s="39"/>
      <c r="AR641" s="274"/>
      <c r="AS641" s="274"/>
      <c r="AT641" s="274"/>
      <c r="AU641" s="39"/>
      <c r="AV641" s="39"/>
      <c r="AW641" s="39"/>
      <c r="AX641" s="274"/>
      <c r="AY641" s="274"/>
      <c r="AZ641" s="274"/>
      <c r="BA641" s="39"/>
      <c r="BB641" s="62"/>
      <c r="BC641" s="39"/>
      <c r="BD641" s="274"/>
      <c r="BE641" s="274"/>
      <c r="BF641" s="274"/>
      <c r="BG641" s="39"/>
      <c r="BH641" s="39"/>
      <c r="BI641" s="39"/>
      <c r="BJ641" s="274"/>
      <c r="BK641" s="274"/>
      <c r="BL641" s="274"/>
      <c r="BM641" s="213"/>
      <c r="BN641" s="213"/>
      <c r="BO641" s="39"/>
      <c r="BP641" s="274">
        <v>26500</v>
      </c>
      <c r="BQ641" s="274">
        <f>+BP641*19%</f>
        <v>5035</v>
      </c>
      <c r="BR641" s="274">
        <f>+BQ641+BP641</f>
        <v>31535</v>
      </c>
      <c r="BS641" s="39"/>
      <c r="BT641" s="39"/>
      <c r="BU641" s="39"/>
      <c r="BV641" s="212"/>
      <c r="BW641" s="220"/>
      <c r="BX641" s="273"/>
      <c r="BY641" s="213"/>
      <c r="BZ641" s="213"/>
      <c r="CA641" s="213"/>
      <c r="CB641" s="274"/>
      <c r="CC641" s="274"/>
      <c r="CD641" s="274"/>
      <c r="CE641" s="39"/>
      <c r="CF641" s="39"/>
      <c r="CG641" s="39"/>
      <c r="CH641" s="274"/>
      <c r="CI641" s="274"/>
      <c r="CJ641" s="274"/>
      <c r="CK641" s="39"/>
      <c r="CL641" s="39"/>
      <c r="CM641" s="39"/>
      <c r="CN641" s="39"/>
      <c r="CO641" s="39"/>
      <c r="CP641" s="11"/>
      <c r="CQ641" s="11"/>
      <c r="CR641" s="11"/>
      <c r="CS641" s="11"/>
      <c r="CT641" s="11"/>
      <c r="CU641" s="11"/>
      <c r="CV641" s="11"/>
      <c r="CW641" s="11"/>
      <c r="CX641" s="11"/>
      <c r="CY641" s="11"/>
      <c r="CZ641" s="11"/>
      <c r="DA641" s="11"/>
      <c r="DB641" s="11"/>
      <c r="DC641" s="11"/>
      <c r="DD641" s="11"/>
      <c r="DE641" s="11"/>
      <c r="DF641" s="11"/>
      <c r="DG641" s="11"/>
      <c r="DH641" s="11"/>
      <c r="DI641" s="11"/>
      <c r="DJ641" s="11"/>
      <c r="DK641" s="11"/>
      <c r="DL641" s="274"/>
      <c r="DM641" s="274"/>
      <c r="DN641" s="274"/>
      <c r="DO641" s="274"/>
      <c r="DP641" s="274"/>
      <c r="DQ641" s="274"/>
      <c r="DR641" s="274"/>
      <c r="DS641" s="274"/>
      <c r="DT641" s="274"/>
      <c r="DU641" s="274"/>
      <c r="DV641" s="274"/>
      <c r="DW641" s="274"/>
      <c r="DX641" s="274"/>
      <c r="DY641" s="274"/>
      <c r="DZ641" s="274"/>
      <c r="EA641" s="274"/>
      <c r="EB641" s="274"/>
      <c r="EC641" s="274"/>
      <c r="ED641" s="39">
        <f t="shared" si="197"/>
        <v>31535</v>
      </c>
      <c r="EE641" s="30">
        <f t="shared" si="198"/>
        <v>1</v>
      </c>
      <c r="EF641" s="39">
        <f t="shared" si="199"/>
        <v>31535</v>
      </c>
    </row>
    <row r="642" spans="1:136" x14ac:dyDescent="0.25">
      <c r="A642" s="25" t="e">
        <f>#REF!</f>
        <v>#REF!</v>
      </c>
      <c r="B642" s="50" t="e">
        <f>#REF!</f>
        <v>#REF!</v>
      </c>
      <c r="C642" s="5" t="e">
        <f>#REF!</f>
        <v>#REF!</v>
      </c>
      <c r="D642" s="5" t="e">
        <f>#REF!</f>
        <v>#REF!</v>
      </c>
      <c r="E642" s="252">
        <v>1</v>
      </c>
      <c r="F642" s="249">
        <v>0</v>
      </c>
      <c r="G642" s="249">
        <v>0</v>
      </c>
      <c r="H642" s="249">
        <v>0</v>
      </c>
      <c r="I642" s="249">
        <v>0</v>
      </c>
      <c r="J642" s="249">
        <v>5000142</v>
      </c>
      <c r="K642" s="249">
        <v>0</v>
      </c>
      <c r="L642" s="274">
        <f>J642</f>
        <v>5000142</v>
      </c>
      <c r="M642" s="274"/>
      <c r="N642" s="255"/>
      <c r="O642" s="137"/>
      <c r="P642" s="135"/>
      <c r="Q642" s="131"/>
      <c r="R642" s="131"/>
      <c r="S642" s="11"/>
      <c r="T642" s="274"/>
      <c r="U642" s="274"/>
      <c r="V642" s="274"/>
      <c r="W642" s="39"/>
      <c r="X642" s="11"/>
      <c r="Y642" s="11"/>
      <c r="Z642" s="274"/>
      <c r="AA642" s="274"/>
      <c r="AB642" s="274"/>
      <c r="AC642" s="52"/>
      <c r="AD642" s="22"/>
      <c r="AE642" s="39"/>
      <c r="AF642" s="274"/>
      <c r="AG642" s="274"/>
      <c r="AH642" s="171"/>
      <c r="AI642" s="4"/>
      <c r="AJ642" s="39"/>
      <c r="AK642" s="39"/>
      <c r="AL642" s="118"/>
      <c r="AM642" s="152"/>
      <c r="AN642" s="152"/>
      <c r="AO642" s="131"/>
      <c r="AP642" s="131"/>
      <c r="AQ642" s="39"/>
      <c r="AR642" s="274"/>
      <c r="AS642" s="274"/>
      <c r="AT642" s="274"/>
      <c r="AU642" s="39"/>
      <c r="AV642" s="39"/>
      <c r="AW642" s="39"/>
      <c r="AX642" s="274"/>
      <c r="AY642" s="274"/>
      <c r="AZ642" s="274"/>
      <c r="BA642" s="39"/>
      <c r="BB642" s="62"/>
      <c r="BC642" s="39"/>
      <c r="BD642" s="274"/>
      <c r="BE642" s="274"/>
      <c r="BF642" s="274"/>
      <c r="BG642" s="39"/>
      <c r="BH642" s="39"/>
      <c r="BI642" s="39"/>
      <c r="BJ642" s="274"/>
      <c r="BK642" s="274"/>
      <c r="BL642" s="274"/>
      <c r="BM642" s="213"/>
      <c r="BN642" s="213"/>
      <c r="BO642" s="39"/>
      <c r="BP642" s="274"/>
      <c r="BQ642" s="274"/>
      <c r="BR642" s="274"/>
      <c r="BS642" s="39"/>
      <c r="BT642" s="39"/>
      <c r="BU642" s="39"/>
      <c r="BV642" s="212"/>
      <c r="BW642" s="220"/>
      <c r="BX642" s="273"/>
      <c r="BY642" s="213"/>
      <c r="BZ642" s="213"/>
      <c r="CA642" s="213"/>
      <c r="CB642" s="274"/>
      <c r="CC642" s="274"/>
      <c r="CD642" s="274"/>
      <c r="CE642" s="39"/>
      <c r="CF642" s="39"/>
      <c r="CG642" s="39"/>
      <c r="CH642" s="274"/>
      <c r="CI642" s="274"/>
      <c r="CJ642" s="274"/>
      <c r="CK642" s="39"/>
      <c r="CL642" s="39"/>
      <c r="CM642" s="39"/>
      <c r="CN642" s="39"/>
      <c r="CO642" s="39"/>
      <c r="CP642" s="11"/>
      <c r="CQ642" s="11"/>
      <c r="CR642" s="11"/>
      <c r="CS642" s="11"/>
      <c r="CT642" s="11"/>
      <c r="CU642" s="11"/>
      <c r="CV642" s="11"/>
      <c r="CW642" s="11"/>
      <c r="CX642" s="11"/>
      <c r="CY642" s="11"/>
      <c r="CZ642" s="11"/>
      <c r="DA642" s="11"/>
      <c r="DB642" s="11"/>
      <c r="DC642" s="11"/>
      <c r="DD642" s="11"/>
      <c r="DE642" s="11"/>
      <c r="DF642" s="11"/>
      <c r="DG642" s="11"/>
      <c r="DH642" s="11"/>
      <c r="DI642" s="11"/>
      <c r="DJ642" s="11"/>
      <c r="DK642" s="11"/>
      <c r="DL642" s="274"/>
      <c r="DM642" s="274"/>
      <c r="DN642" s="274"/>
      <c r="DO642" s="274"/>
      <c r="DP642" s="274"/>
      <c r="DQ642" s="274"/>
      <c r="DR642" s="274"/>
      <c r="DS642" s="274"/>
      <c r="DT642" s="274"/>
      <c r="DU642" s="274"/>
      <c r="DV642" s="274"/>
      <c r="DW642" s="274"/>
      <c r="DX642" s="274"/>
      <c r="DY642" s="274"/>
      <c r="DZ642" s="274"/>
      <c r="EA642" s="274"/>
      <c r="EB642" s="274"/>
      <c r="EC642" s="274"/>
      <c r="ED642" s="39">
        <f t="shared" si="197"/>
        <v>0</v>
      </c>
      <c r="EE642" s="30">
        <f t="shared" si="198"/>
        <v>0</v>
      </c>
      <c r="EF642" s="39" t="str">
        <f t="shared" si="199"/>
        <v xml:space="preserve"> </v>
      </c>
    </row>
    <row r="643" spans="1:136" ht="24" x14ac:dyDescent="0.25">
      <c r="A643" s="25" t="e">
        <f>#REF!</f>
        <v>#REF!</v>
      </c>
      <c r="B643" s="50" t="e">
        <f>#REF!</f>
        <v>#REF!</v>
      </c>
      <c r="C643" s="5" t="e">
        <f>#REF!</f>
        <v>#REF!</v>
      </c>
      <c r="D643" s="5" t="e">
        <f>#REF!</f>
        <v>#REF!</v>
      </c>
      <c r="E643" s="252">
        <v>1</v>
      </c>
      <c r="F643" s="249">
        <v>0</v>
      </c>
      <c r="G643" s="249">
        <v>0</v>
      </c>
      <c r="H643" s="249">
        <v>0</v>
      </c>
      <c r="I643" s="249">
        <v>0</v>
      </c>
      <c r="J643" s="249">
        <v>0</v>
      </c>
      <c r="K643" s="249">
        <v>0</v>
      </c>
      <c r="L643" s="274"/>
      <c r="M643" s="274"/>
      <c r="N643" s="255">
        <v>50000</v>
      </c>
      <c r="O643" s="135">
        <f t="shared" ref="O643:O648" si="212">+N643*0.19</f>
        <v>9500</v>
      </c>
      <c r="P643" s="135">
        <f t="shared" ref="P643:P648" si="213">+N643+O643</f>
        <v>59500</v>
      </c>
      <c r="Q643" s="131"/>
      <c r="R643" s="131"/>
      <c r="S643" s="11"/>
      <c r="T643" s="274"/>
      <c r="U643" s="274"/>
      <c r="V643" s="274"/>
      <c r="W643" s="39"/>
      <c r="X643" s="11"/>
      <c r="Y643" s="11"/>
      <c r="Z643" s="274"/>
      <c r="AA643" s="274"/>
      <c r="AB643" s="274"/>
      <c r="AC643" s="52"/>
      <c r="AD643" s="22"/>
      <c r="AE643" s="39"/>
      <c r="AF643" s="274"/>
      <c r="AG643" s="274"/>
      <c r="AH643" s="171"/>
      <c r="AI643" s="4"/>
      <c r="AJ643" s="39"/>
      <c r="AK643" s="39"/>
      <c r="AL643" s="118"/>
      <c r="AM643" s="152"/>
      <c r="AN643" s="181"/>
      <c r="AO643" s="131"/>
      <c r="AP643" s="131"/>
      <c r="AQ643" s="39"/>
      <c r="AR643" s="274"/>
      <c r="AS643" s="274"/>
      <c r="AT643" s="274"/>
      <c r="AU643" s="39"/>
      <c r="AV643" s="39"/>
      <c r="AW643" s="39"/>
      <c r="AX643" s="274"/>
      <c r="AY643" s="274"/>
      <c r="AZ643" s="274"/>
      <c r="BA643" s="39"/>
      <c r="BB643" s="62"/>
      <c r="BC643" s="39"/>
      <c r="BD643" s="274"/>
      <c r="BE643" s="274"/>
      <c r="BF643" s="274"/>
      <c r="BG643" s="39"/>
      <c r="BH643" s="39"/>
      <c r="BI643" s="39"/>
      <c r="BJ643" s="274">
        <v>69300</v>
      </c>
      <c r="BK643" s="274">
        <f t="shared" ref="BK643:BK649" si="214">+BJ643*0.19</f>
        <v>13167</v>
      </c>
      <c r="BL643" s="274">
        <f t="shared" ref="BL643:BL649" si="215">+BJ643+BK643</f>
        <v>82467</v>
      </c>
      <c r="BM643" s="214" t="s">
        <v>4990</v>
      </c>
      <c r="BN643" s="213" t="s">
        <v>4991</v>
      </c>
      <c r="BO643" s="39"/>
      <c r="BP643" s="274"/>
      <c r="BQ643" s="274"/>
      <c r="BR643" s="274"/>
      <c r="BS643" s="39"/>
      <c r="BT643" s="39"/>
      <c r="BU643" s="39"/>
      <c r="BV643" s="212">
        <v>74248.574399999998</v>
      </c>
      <c r="BW643" s="219">
        <f t="shared" ref="BW643:BW649" si="216">+BV643*0.19</f>
        <v>14107.229136</v>
      </c>
      <c r="BX643" s="273">
        <f t="shared" ref="BX643:BX649" si="217">+BV643+BW643</f>
        <v>88355.803535999992</v>
      </c>
      <c r="BY643" s="214" t="s">
        <v>4990</v>
      </c>
      <c r="BZ643" s="213" t="s">
        <v>4991</v>
      </c>
      <c r="CA643" s="213"/>
      <c r="CB643" s="274"/>
      <c r="CC643" s="274"/>
      <c r="CD643" s="274"/>
      <c r="CE643" s="39"/>
      <c r="CF643" s="39"/>
      <c r="CG643" s="39"/>
      <c r="CH643" s="274"/>
      <c r="CI643" s="274"/>
      <c r="CJ643" s="274"/>
      <c r="CK643" s="39"/>
      <c r="CL643" s="39"/>
      <c r="CM643" s="39"/>
      <c r="CN643" s="39"/>
      <c r="CO643" s="39"/>
      <c r="CP643" s="11"/>
      <c r="CQ643" s="11"/>
      <c r="CR643" s="11"/>
      <c r="CS643" s="11"/>
      <c r="CT643" s="11"/>
      <c r="CU643" s="11"/>
      <c r="CV643" s="11"/>
      <c r="CW643" s="11"/>
      <c r="CX643" s="11"/>
      <c r="CY643" s="11"/>
      <c r="CZ643" s="11"/>
      <c r="DA643" s="11"/>
      <c r="DB643" s="11"/>
      <c r="DC643" s="11"/>
      <c r="DD643" s="11"/>
      <c r="DE643" s="11"/>
      <c r="DF643" s="11"/>
      <c r="DG643" s="11"/>
      <c r="DH643" s="11"/>
      <c r="DI643" s="11"/>
      <c r="DJ643" s="11"/>
      <c r="DK643" s="11"/>
      <c r="DL643" s="274"/>
      <c r="DM643" s="274"/>
      <c r="DN643" s="274"/>
      <c r="DO643" s="274"/>
      <c r="DP643" s="274"/>
      <c r="DQ643" s="274"/>
      <c r="DR643" s="274"/>
      <c r="DS643" s="274"/>
      <c r="DT643" s="274"/>
      <c r="DU643" s="274"/>
      <c r="DV643" s="274"/>
      <c r="DW643" s="274"/>
      <c r="DX643" s="274"/>
      <c r="DY643" s="274"/>
      <c r="DZ643" s="274"/>
      <c r="EA643" s="274"/>
      <c r="EB643" s="274"/>
      <c r="EC643" s="274"/>
      <c r="ED643" s="39">
        <f t="shared" ref="ED643:ED706" si="218">SUM(M643,P643,V643,AB643,AH643,AN643,AT643,AZ643,BF643,BL643,BR643,BX643,CD643,CJ643,CP643,CV643,DB643,DH643,DN643,DT643,DZ643)</f>
        <v>230322.80353599999</v>
      </c>
      <c r="EE643" s="30">
        <f t="shared" ref="EE643:EE706" si="219">COUNTA(M643,N643,T643,Z643,AF643,AL643,AR643,AX643,BD643,BJ643,BP643,BV643,CB643,CH643,CN643,CT643,CZ643,DF643,DL643,DR643,DX643)</f>
        <v>3</v>
      </c>
      <c r="EF643" s="39">
        <f t="shared" ref="EF643:EF706" si="220">IFERROR(ED643/EE643," ")</f>
        <v>76774.267845333336</v>
      </c>
    </row>
    <row r="644" spans="1:136" ht="25.5" x14ac:dyDescent="0.25">
      <c r="A644" s="25" t="e">
        <f>#REF!</f>
        <v>#REF!</v>
      </c>
      <c r="B644" s="50" t="e">
        <f>#REF!</f>
        <v>#REF!</v>
      </c>
      <c r="C644" s="5" t="e">
        <f>#REF!</f>
        <v>#REF!</v>
      </c>
      <c r="D644" s="5" t="e">
        <f>#REF!</f>
        <v>#REF!</v>
      </c>
      <c r="E644" s="252">
        <v>1</v>
      </c>
      <c r="F644" s="249">
        <v>409558.33333333337</v>
      </c>
      <c r="G644" s="249">
        <v>397222</v>
      </c>
      <c r="H644" s="249">
        <v>410728.23820000002</v>
      </c>
      <c r="I644" s="249">
        <v>410550</v>
      </c>
      <c r="J644" s="249">
        <v>649541.1906666666</v>
      </c>
      <c r="K644" s="249">
        <v>648550</v>
      </c>
      <c r="L644" s="274">
        <f>AVERAGE(F644,H644,J644)</f>
        <v>489942.58740000002</v>
      </c>
      <c r="M644" s="274">
        <f>AVERAGE(G644,I644,K644)*E1</f>
        <v>500003.88666666672</v>
      </c>
      <c r="N644" s="255">
        <v>350000</v>
      </c>
      <c r="O644" s="135">
        <f t="shared" si="212"/>
        <v>66500</v>
      </c>
      <c r="P644" s="135">
        <f t="shared" si="213"/>
        <v>416500</v>
      </c>
      <c r="Q644" s="131"/>
      <c r="R644" s="131"/>
      <c r="S644" s="11"/>
      <c r="T644" s="274"/>
      <c r="U644" s="274"/>
      <c r="V644" s="274"/>
      <c r="W644" s="39"/>
      <c r="X644" s="11"/>
      <c r="Y644" s="11"/>
      <c r="Z644" s="274">
        <v>910000</v>
      </c>
      <c r="AA644" s="274">
        <f>+Z644*0.19</f>
        <v>172900</v>
      </c>
      <c r="AB644" s="274">
        <f>+Z644+AA644</f>
        <v>1082900</v>
      </c>
      <c r="AC644" s="52" t="s">
        <v>445</v>
      </c>
      <c r="AD644" s="22" t="s">
        <v>4795</v>
      </c>
      <c r="AE644" s="39"/>
      <c r="AF644" s="274"/>
      <c r="AG644" s="274"/>
      <c r="AH644" s="171"/>
      <c r="AI644" s="4"/>
      <c r="AJ644" s="39"/>
      <c r="AK644" s="39"/>
      <c r="AL644" s="118"/>
      <c r="AM644" s="152"/>
      <c r="AN644" s="181"/>
      <c r="AO644" s="131"/>
      <c r="AP644" s="131"/>
      <c r="AQ644" s="39"/>
      <c r="AR644" s="274"/>
      <c r="AS644" s="274"/>
      <c r="AT644" s="274"/>
      <c r="AU644" s="39"/>
      <c r="AV644" s="39"/>
      <c r="AW644" s="39"/>
      <c r="AX644" s="274"/>
      <c r="AY644" s="274"/>
      <c r="AZ644" s="274"/>
      <c r="BA644" s="39"/>
      <c r="BB644" s="62"/>
      <c r="BC644" s="39"/>
      <c r="BD644" s="274"/>
      <c r="BE644" s="274"/>
      <c r="BF644" s="274"/>
      <c r="BG644" s="39"/>
      <c r="BH644" s="39"/>
      <c r="BI644" s="39"/>
      <c r="BJ644" s="274">
        <v>499100</v>
      </c>
      <c r="BK644" s="274">
        <f t="shared" si="214"/>
        <v>94829</v>
      </c>
      <c r="BL644" s="274">
        <f t="shared" si="215"/>
        <v>593929</v>
      </c>
      <c r="BM644" s="213" t="s">
        <v>196</v>
      </c>
      <c r="BN644" s="213" t="s">
        <v>4991</v>
      </c>
      <c r="BO644" s="39"/>
      <c r="BP644" s="274">
        <v>496000</v>
      </c>
      <c r="BQ644" s="274">
        <f t="shared" ref="BQ644:BQ649" si="221">+BP644*19%</f>
        <v>94240</v>
      </c>
      <c r="BR644" s="274">
        <f t="shared" ref="BR644:BR649" si="222">+BQ644+BP644</f>
        <v>590240</v>
      </c>
      <c r="BS644" s="39"/>
      <c r="BT644" s="39"/>
      <c r="BU644" s="39"/>
      <c r="BV644" s="219">
        <v>588722.38879999996</v>
      </c>
      <c r="BW644" s="219">
        <f t="shared" si="216"/>
        <v>111857.25387199999</v>
      </c>
      <c r="BX644" s="273">
        <f t="shared" si="217"/>
        <v>700579.64267199999</v>
      </c>
      <c r="BY644" s="213" t="s">
        <v>196</v>
      </c>
      <c r="BZ644" s="213" t="s">
        <v>4991</v>
      </c>
      <c r="CA644" s="213"/>
      <c r="CB644" s="274"/>
      <c r="CC644" s="274"/>
      <c r="CD644" s="274"/>
      <c r="CE644" s="39"/>
      <c r="CF644" s="39"/>
      <c r="CG644" s="39"/>
      <c r="CH644" s="274"/>
      <c r="CI644" s="274"/>
      <c r="CJ644" s="274"/>
      <c r="CK644" s="39"/>
      <c r="CL644" s="39"/>
      <c r="CM644" s="39"/>
      <c r="CN644" s="39"/>
      <c r="CO644" s="39"/>
      <c r="CP644" s="11"/>
      <c r="CQ644" s="11"/>
      <c r="CR644" s="11"/>
      <c r="CS644" s="11"/>
      <c r="CT644" s="11"/>
      <c r="CU644" s="11"/>
      <c r="CV644" s="11"/>
      <c r="CW644" s="11"/>
      <c r="CX644" s="11"/>
      <c r="CY644" s="11"/>
      <c r="CZ644" s="11"/>
      <c r="DA644" s="11"/>
      <c r="DB644" s="11"/>
      <c r="DC644" s="11"/>
      <c r="DD644" s="11"/>
      <c r="DE644" s="11"/>
      <c r="DF644" s="11"/>
      <c r="DG644" s="11"/>
      <c r="DH644" s="11"/>
      <c r="DI644" s="11"/>
      <c r="DJ644" s="11"/>
      <c r="DK644" s="11"/>
      <c r="DL644" s="274"/>
      <c r="DM644" s="274"/>
      <c r="DN644" s="274"/>
      <c r="DO644" s="274"/>
      <c r="DP644" s="274"/>
      <c r="DQ644" s="274"/>
      <c r="DR644" s="274"/>
      <c r="DS644" s="274"/>
      <c r="DT644" s="274"/>
      <c r="DU644" s="274"/>
      <c r="DV644" s="274"/>
      <c r="DW644" s="274"/>
      <c r="DX644" s="274"/>
      <c r="DY644" s="274"/>
      <c r="DZ644" s="274"/>
      <c r="EA644" s="274"/>
      <c r="EB644" s="274"/>
      <c r="EC644" s="274"/>
      <c r="ED644" s="39">
        <f t="shared" si="218"/>
        <v>3884152.5293386667</v>
      </c>
      <c r="EE644" s="30">
        <f t="shared" si="219"/>
        <v>6</v>
      </c>
      <c r="EF644" s="39">
        <f t="shared" si="220"/>
        <v>647358.75488977775</v>
      </c>
    </row>
    <row r="645" spans="1:136" x14ac:dyDescent="0.25">
      <c r="A645" s="25" t="e">
        <f>#REF!</f>
        <v>#REF!</v>
      </c>
      <c r="B645" s="50" t="e">
        <f>#REF!</f>
        <v>#REF!</v>
      </c>
      <c r="C645" s="5" t="e">
        <f>#REF!</f>
        <v>#REF!</v>
      </c>
      <c r="D645" s="5" t="e">
        <f>#REF!</f>
        <v>#REF!</v>
      </c>
      <c r="E645" s="252">
        <v>1</v>
      </c>
      <c r="F645" s="249">
        <v>562870</v>
      </c>
      <c r="G645" s="249">
        <v>543116</v>
      </c>
      <c r="H645" s="249">
        <v>488772.66666666669</v>
      </c>
      <c r="I645" s="249">
        <v>488614</v>
      </c>
      <c r="J645" s="249">
        <v>578011.16333333333</v>
      </c>
      <c r="K645" s="249">
        <v>369971</v>
      </c>
      <c r="L645" s="274">
        <f>AVERAGE(F645,H645,J645)</f>
        <v>543217.94333333336</v>
      </c>
      <c r="M645" s="274">
        <f>AVERAGE(G645,I645,K645)*E1</f>
        <v>481250.6766666667</v>
      </c>
      <c r="N645" s="255">
        <v>200000</v>
      </c>
      <c r="O645" s="135">
        <f t="shared" si="212"/>
        <v>38000</v>
      </c>
      <c r="P645" s="135">
        <f t="shared" si="213"/>
        <v>238000</v>
      </c>
      <c r="Q645" s="131"/>
      <c r="R645" s="131"/>
      <c r="S645" s="11"/>
      <c r="T645" s="274"/>
      <c r="U645" s="274"/>
      <c r="V645" s="274"/>
      <c r="W645" s="39"/>
      <c r="X645" s="11"/>
      <c r="Y645" s="11"/>
      <c r="Z645" s="274"/>
      <c r="AA645" s="274"/>
      <c r="AB645" s="274"/>
      <c r="AC645" s="52"/>
      <c r="AD645" s="23"/>
      <c r="AE645" s="39"/>
      <c r="AF645" s="274"/>
      <c r="AG645" s="274"/>
      <c r="AH645" s="171"/>
      <c r="AI645" s="24"/>
      <c r="AJ645" s="39"/>
      <c r="AK645" s="39"/>
      <c r="AL645" s="118"/>
      <c r="AM645" s="152"/>
      <c r="AN645" s="181"/>
      <c r="AO645" s="131"/>
      <c r="AP645" s="131"/>
      <c r="AQ645" s="39"/>
      <c r="AR645" s="274"/>
      <c r="AS645" s="274"/>
      <c r="AT645" s="274"/>
      <c r="AU645" s="39"/>
      <c r="AV645" s="39"/>
      <c r="AW645" s="39"/>
      <c r="AX645" s="274"/>
      <c r="AY645" s="274"/>
      <c r="AZ645" s="274"/>
      <c r="BA645" s="39"/>
      <c r="BB645" s="62"/>
      <c r="BC645" s="39"/>
      <c r="BD645" s="274"/>
      <c r="BE645" s="274"/>
      <c r="BF645" s="274"/>
      <c r="BG645" s="39"/>
      <c r="BH645" s="39"/>
      <c r="BI645" s="39"/>
      <c r="BJ645" s="274">
        <v>499100</v>
      </c>
      <c r="BK645" s="274">
        <f t="shared" si="214"/>
        <v>94829</v>
      </c>
      <c r="BL645" s="274">
        <f t="shared" si="215"/>
        <v>593929</v>
      </c>
      <c r="BM645" s="213" t="s">
        <v>196</v>
      </c>
      <c r="BN645" s="213" t="s">
        <v>2925</v>
      </c>
      <c r="BO645" s="39"/>
      <c r="BP645" s="274">
        <v>852000</v>
      </c>
      <c r="BQ645" s="274">
        <f t="shared" si="221"/>
        <v>161880</v>
      </c>
      <c r="BR645" s="274">
        <f t="shared" si="222"/>
        <v>1013880</v>
      </c>
      <c r="BS645" s="39"/>
      <c r="BT645" s="39"/>
      <c r="BU645" s="39"/>
      <c r="BV645" s="219">
        <v>550467.37200000009</v>
      </c>
      <c r="BW645" s="219">
        <f t="shared" si="216"/>
        <v>104588.80068000001</v>
      </c>
      <c r="BX645" s="273">
        <f t="shared" si="217"/>
        <v>655056.17268000008</v>
      </c>
      <c r="BY645" s="213" t="s">
        <v>196</v>
      </c>
      <c r="BZ645" s="213" t="s">
        <v>2925</v>
      </c>
      <c r="CA645" s="213"/>
      <c r="CB645" s="275"/>
      <c r="CC645" s="274"/>
      <c r="CD645" s="274"/>
      <c r="CE645" s="39"/>
      <c r="CF645" s="39"/>
      <c r="CG645" s="39"/>
      <c r="CH645" s="274"/>
      <c r="CI645" s="274"/>
      <c r="CJ645" s="274"/>
      <c r="CK645" s="39"/>
      <c r="CL645" s="39"/>
      <c r="CM645" s="39"/>
      <c r="CN645" s="39"/>
      <c r="CO645" s="39"/>
      <c r="CP645" s="11"/>
      <c r="CQ645" s="11"/>
      <c r="CR645" s="11"/>
      <c r="CS645" s="11"/>
      <c r="CT645" s="11"/>
      <c r="CU645" s="11"/>
      <c r="CV645" s="11"/>
      <c r="CW645" s="11"/>
      <c r="CX645" s="11"/>
      <c r="CY645" s="11"/>
      <c r="CZ645" s="11"/>
      <c r="DA645" s="11"/>
      <c r="DB645" s="11"/>
      <c r="DC645" s="11"/>
      <c r="DD645" s="11"/>
      <c r="DE645" s="11"/>
      <c r="DF645" s="11"/>
      <c r="DG645" s="11"/>
      <c r="DH645" s="11"/>
      <c r="DI645" s="11"/>
      <c r="DJ645" s="11"/>
      <c r="DK645" s="11"/>
      <c r="DL645" s="274"/>
      <c r="DM645" s="274"/>
      <c r="DN645" s="274"/>
      <c r="DO645" s="274"/>
      <c r="DP645" s="274"/>
      <c r="DQ645" s="274"/>
      <c r="DR645" s="274"/>
      <c r="DS645" s="274"/>
      <c r="DT645" s="274"/>
      <c r="DU645" s="274"/>
      <c r="DV645" s="274"/>
      <c r="DW645" s="274"/>
      <c r="DX645" s="274"/>
      <c r="DY645" s="274"/>
      <c r="DZ645" s="274"/>
      <c r="EA645" s="274"/>
      <c r="EB645" s="274"/>
      <c r="EC645" s="274"/>
      <c r="ED645" s="39">
        <f t="shared" si="218"/>
        <v>2982115.8493466666</v>
      </c>
      <c r="EE645" s="30">
        <f t="shared" si="219"/>
        <v>5</v>
      </c>
      <c r="EF645" s="39">
        <f t="shared" si="220"/>
        <v>596423.16986933327</v>
      </c>
    </row>
    <row r="646" spans="1:136" ht="25.5" x14ac:dyDescent="0.25">
      <c r="A646" s="25" t="e">
        <f>#REF!</f>
        <v>#REF!</v>
      </c>
      <c r="B646" s="50" t="e">
        <f>#REF!</f>
        <v>#REF!</v>
      </c>
      <c r="C646" s="5" t="e">
        <f>#REF!</f>
        <v>#REF!</v>
      </c>
      <c r="D646" s="5" t="e">
        <f>#REF!</f>
        <v>#REF!</v>
      </c>
      <c r="E646" s="252">
        <v>1</v>
      </c>
      <c r="F646" s="249">
        <v>192423</v>
      </c>
      <c r="G646" s="249">
        <v>189448</v>
      </c>
      <c r="H646" s="249">
        <v>167909</v>
      </c>
      <c r="I646" s="249">
        <v>117810</v>
      </c>
      <c r="J646" s="249">
        <v>426129.48</v>
      </c>
      <c r="K646" s="249">
        <v>264061</v>
      </c>
      <c r="L646" s="274">
        <f>AVERAGE(F646,H646,J646)</f>
        <v>262153.82666666666</v>
      </c>
      <c r="M646" s="274">
        <f>AVERAGE(G646,I646,K646)*E1</f>
        <v>196152.85666666666</v>
      </c>
      <c r="N646" s="256">
        <v>120000</v>
      </c>
      <c r="O646" s="135">
        <f t="shared" si="212"/>
        <v>22800</v>
      </c>
      <c r="P646" s="135">
        <f t="shared" si="213"/>
        <v>142800</v>
      </c>
      <c r="Q646" s="131"/>
      <c r="R646" s="131"/>
      <c r="S646" s="11"/>
      <c r="T646" s="274">
        <v>118800.00000000001</v>
      </c>
      <c r="U646" s="274">
        <f>+T646*0.19</f>
        <v>22572.000000000004</v>
      </c>
      <c r="V646" s="274">
        <f>+T646+U646</f>
        <v>141372.00000000003</v>
      </c>
      <c r="W646" s="39" t="s">
        <v>445</v>
      </c>
      <c r="X646" s="11" t="s">
        <v>4411</v>
      </c>
      <c r="Y646" s="11"/>
      <c r="Z646" s="274">
        <v>910000</v>
      </c>
      <c r="AA646" s="274">
        <f>+Z646*0.19</f>
        <v>172900</v>
      </c>
      <c r="AB646" s="274">
        <f>+Z646+AA646</f>
        <v>1082900</v>
      </c>
      <c r="AC646" s="52" t="s">
        <v>445</v>
      </c>
      <c r="AD646" s="22" t="s">
        <v>4795</v>
      </c>
      <c r="AE646" s="39"/>
      <c r="AF646" s="274"/>
      <c r="AG646" s="274"/>
      <c r="AH646" s="143"/>
      <c r="AI646" s="4"/>
      <c r="AJ646" s="39"/>
      <c r="AK646" s="39"/>
      <c r="AL646" s="118"/>
      <c r="AM646" s="152"/>
      <c r="AN646" s="181"/>
      <c r="AO646" s="131"/>
      <c r="AP646" s="131"/>
      <c r="AQ646" s="39"/>
      <c r="AR646" s="274"/>
      <c r="AS646" s="274"/>
      <c r="AT646" s="274"/>
      <c r="AU646" s="39"/>
      <c r="AV646" s="39"/>
      <c r="AW646" s="39"/>
      <c r="AX646" s="274"/>
      <c r="AY646" s="274"/>
      <c r="AZ646" s="274"/>
      <c r="BA646" s="39"/>
      <c r="BB646" s="62"/>
      <c r="BC646" s="39"/>
      <c r="BD646" s="274"/>
      <c r="BE646" s="274"/>
      <c r="BF646" s="274"/>
      <c r="BG646" s="39"/>
      <c r="BH646" s="39"/>
      <c r="BI646" s="39"/>
      <c r="BJ646" s="274">
        <v>451000</v>
      </c>
      <c r="BK646" s="274">
        <f t="shared" si="214"/>
        <v>85690</v>
      </c>
      <c r="BL646" s="274">
        <f t="shared" si="215"/>
        <v>536690</v>
      </c>
      <c r="BM646" s="213" t="s">
        <v>196</v>
      </c>
      <c r="BN646" s="213" t="s">
        <v>2925</v>
      </c>
      <c r="BO646" s="39"/>
      <c r="BP646" s="274">
        <v>465000</v>
      </c>
      <c r="BQ646" s="274">
        <f t="shared" si="221"/>
        <v>88350</v>
      </c>
      <c r="BR646" s="274">
        <f t="shared" si="222"/>
        <v>553350</v>
      </c>
      <c r="BS646" s="39"/>
      <c r="BT646" s="39"/>
      <c r="BU646" s="39"/>
      <c r="BV646" s="212">
        <v>502154.22400000005</v>
      </c>
      <c r="BW646" s="219">
        <f t="shared" si="216"/>
        <v>95409.302560000011</v>
      </c>
      <c r="BX646" s="273">
        <f t="shared" si="217"/>
        <v>597563.52656000003</v>
      </c>
      <c r="BY646" s="213" t="s">
        <v>196</v>
      </c>
      <c r="BZ646" s="213" t="s">
        <v>2925</v>
      </c>
      <c r="CA646" s="213"/>
      <c r="CB646" s="274"/>
      <c r="CC646" s="274"/>
      <c r="CD646" s="274"/>
      <c r="CE646" s="39"/>
      <c r="CF646" s="39"/>
      <c r="CG646" s="39"/>
      <c r="CH646" s="275"/>
      <c r="CI646" s="275"/>
      <c r="CJ646" s="275"/>
      <c r="CK646" s="39"/>
      <c r="CL646" s="39"/>
      <c r="CM646" s="39"/>
      <c r="CN646" s="39"/>
      <c r="CO646" s="39"/>
      <c r="CP646" s="11"/>
      <c r="CQ646" s="11"/>
      <c r="CR646" s="11"/>
      <c r="CS646" s="11"/>
      <c r="CT646" s="11"/>
      <c r="CU646" s="11"/>
      <c r="CV646" s="11"/>
      <c r="CW646" s="11"/>
      <c r="CX646" s="11"/>
      <c r="CY646" s="11"/>
      <c r="CZ646" s="11"/>
      <c r="DA646" s="11"/>
      <c r="DB646" s="11"/>
      <c r="DC646" s="11"/>
      <c r="DD646" s="11"/>
      <c r="DE646" s="11"/>
      <c r="DF646" s="11"/>
      <c r="DG646" s="11"/>
      <c r="DH646" s="11"/>
      <c r="DI646" s="11"/>
      <c r="DJ646" s="11"/>
      <c r="DK646" s="11"/>
      <c r="DL646" s="274"/>
      <c r="DM646" s="274"/>
      <c r="DN646" s="274"/>
      <c r="DO646" s="274"/>
      <c r="DP646" s="274"/>
      <c r="DQ646" s="274"/>
      <c r="DR646" s="274"/>
      <c r="DS646" s="274"/>
      <c r="DT646" s="274"/>
      <c r="DU646" s="274"/>
      <c r="DV646" s="274"/>
      <c r="DW646" s="274"/>
      <c r="DX646" s="274"/>
      <c r="DY646" s="274"/>
      <c r="DZ646" s="274"/>
      <c r="EA646" s="274"/>
      <c r="EB646" s="274"/>
      <c r="EC646" s="274"/>
      <c r="ED646" s="39">
        <f t="shared" si="218"/>
        <v>3250828.3832266666</v>
      </c>
      <c r="EE646" s="30">
        <f t="shared" si="219"/>
        <v>7</v>
      </c>
      <c r="EF646" s="39">
        <f t="shared" si="220"/>
        <v>464404.05474666663</v>
      </c>
    </row>
    <row r="647" spans="1:136" x14ac:dyDescent="0.25">
      <c r="A647" s="25" t="e">
        <f>#REF!</f>
        <v>#REF!</v>
      </c>
      <c r="B647" s="50" t="e">
        <f>#REF!</f>
        <v>#REF!</v>
      </c>
      <c r="C647" s="5" t="e">
        <f>#REF!</f>
        <v>#REF!</v>
      </c>
      <c r="D647" s="5" t="e">
        <f>#REF!</f>
        <v>#REF!</v>
      </c>
      <c r="E647" s="252">
        <v>1</v>
      </c>
      <c r="F647" s="249">
        <v>0</v>
      </c>
      <c r="G647" s="249">
        <v>0</v>
      </c>
      <c r="H647" s="249">
        <v>0</v>
      </c>
      <c r="I647" s="249">
        <v>0</v>
      </c>
      <c r="J647" s="249">
        <v>87879.026666666672</v>
      </c>
      <c r="K647" s="249">
        <v>86870</v>
      </c>
      <c r="L647" s="274">
        <f>J647</f>
        <v>87879.026666666672</v>
      </c>
      <c r="M647" s="274">
        <f>K647*E1</f>
        <v>89476.1</v>
      </c>
      <c r="N647" s="255">
        <v>70000</v>
      </c>
      <c r="O647" s="135">
        <f t="shared" si="212"/>
        <v>13300</v>
      </c>
      <c r="P647" s="135">
        <f t="shared" si="213"/>
        <v>83300</v>
      </c>
      <c r="Q647" s="131"/>
      <c r="R647" s="131"/>
      <c r="S647" s="11"/>
      <c r="T647" s="274"/>
      <c r="U647" s="274"/>
      <c r="V647" s="274"/>
      <c r="W647" s="39"/>
      <c r="X647" s="11"/>
      <c r="Y647" s="11"/>
      <c r="Z647" s="274"/>
      <c r="AA647" s="274"/>
      <c r="AB647" s="274"/>
      <c r="AC647" s="52"/>
      <c r="AD647" s="22"/>
      <c r="AE647" s="39"/>
      <c r="AF647" s="274"/>
      <c r="AG647" s="274"/>
      <c r="AH647" s="113"/>
      <c r="AI647" s="22"/>
      <c r="AJ647" s="39"/>
      <c r="AK647" s="39"/>
      <c r="AL647" s="118"/>
      <c r="AM647" s="152"/>
      <c r="AN647" s="181"/>
      <c r="AO647" s="131"/>
      <c r="AP647" s="131"/>
      <c r="AQ647" s="39"/>
      <c r="AR647" s="274"/>
      <c r="AS647" s="274"/>
      <c r="AT647" s="274"/>
      <c r="AU647" s="39"/>
      <c r="AV647" s="39"/>
      <c r="AW647" s="39"/>
      <c r="AX647" s="274"/>
      <c r="AY647" s="274"/>
      <c r="AZ647" s="274"/>
      <c r="BA647" s="39"/>
      <c r="BB647" s="62"/>
      <c r="BC647" s="39"/>
      <c r="BD647" s="274"/>
      <c r="BE647" s="274"/>
      <c r="BF647" s="274"/>
      <c r="BG647" s="39"/>
      <c r="BH647" s="39"/>
      <c r="BI647" s="39"/>
      <c r="BJ647" s="274">
        <v>78300</v>
      </c>
      <c r="BK647" s="274">
        <f t="shared" si="214"/>
        <v>14877</v>
      </c>
      <c r="BL647" s="274">
        <f t="shared" si="215"/>
        <v>93177</v>
      </c>
      <c r="BM647" s="213" t="s">
        <v>196</v>
      </c>
      <c r="BN647" s="213" t="s">
        <v>338</v>
      </c>
      <c r="BO647" s="39"/>
      <c r="BP647" s="274">
        <v>152000</v>
      </c>
      <c r="BQ647" s="274">
        <f t="shared" si="221"/>
        <v>28880</v>
      </c>
      <c r="BR647" s="274">
        <f t="shared" si="222"/>
        <v>180880</v>
      </c>
      <c r="BS647" s="39"/>
      <c r="BT647" s="39"/>
      <c r="BU647" s="39"/>
      <c r="BV647" s="219">
        <v>86375.078999999998</v>
      </c>
      <c r="BW647" s="219">
        <f t="shared" si="216"/>
        <v>16411.265009999999</v>
      </c>
      <c r="BX647" s="273">
        <f t="shared" si="217"/>
        <v>102786.34401</v>
      </c>
      <c r="BY647" s="213" t="s">
        <v>196</v>
      </c>
      <c r="BZ647" s="213" t="s">
        <v>338</v>
      </c>
      <c r="CA647" s="213"/>
      <c r="CB647" s="274"/>
      <c r="CC647" s="274"/>
      <c r="CD647" s="274"/>
      <c r="CE647" s="39"/>
      <c r="CF647" s="39"/>
      <c r="CG647" s="39"/>
      <c r="CH647" s="274"/>
      <c r="CI647" s="274"/>
      <c r="CJ647" s="274"/>
      <c r="CK647" s="39"/>
      <c r="CL647" s="39"/>
      <c r="CM647" s="39"/>
      <c r="CN647" s="39"/>
      <c r="CO647" s="39"/>
      <c r="CP647" s="11"/>
      <c r="CQ647" s="11"/>
      <c r="CR647" s="11"/>
      <c r="CS647" s="11"/>
      <c r="CT647" s="11"/>
      <c r="CU647" s="11"/>
      <c r="CV647" s="11"/>
      <c r="CW647" s="11"/>
      <c r="CX647" s="11"/>
      <c r="CY647" s="11"/>
      <c r="CZ647" s="11"/>
      <c r="DA647" s="11"/>
      <c r="DB647" s="11"/>
      <c r="DC647" s="11"/>
      <c r="DD647" s="11"/>
      <c r="DE647" s="11"/>
      <c r="DF647" s="11"/>
      <c r="DG647" s="11"/>
      <c r="DH647" s="11"/>
      <c r="DI647" s="11"/>
      <c r="DJ647" s="11"/>
      <c r="DK647" s="11"/>
      <c r="DL647" s="274"/>
      <c r="DM647" s="274"/>
      <c r="DN647" s="274"/>
      <c r="DO647" s="274"/>
      <c r="DP647" s="274"/>
      <c r="DQ647" s="274"/>
      <c r="DR647" s="274"/>
      <c r="DS647" s="274"/>
      <c r="DT647" s="274"/>
      <c r="DU647" s="274"/>
      <c r="DV647" s="274"/>
      <c r="DW647" s="274"/>
      <c r="DX647" s="274"/>
      <c r="DY647" s="274"/>
      <c r="DZ647" s="274"/>
      <c r="EA647" s="274"/>
      <c r="EB647" s="274"/>
      <c r="EC647" s="274"/>
      <c r="ED647" s="39">
        <f t="shared" si="218"/>
        <v>549619.44400999998</v>
      </c>
      <c r="EE647" s="30">
        <f t="shared" si="219"/>
        <v>5</v>
      </c>
      <c r="EF647" s="39">
        <f t="shared" si="220"/>
        <v>109923.888802</v>
      </c>
    </row>
    <row r="648" spans="1:136" x14ac:dyDescent="0.25">
      <c r="A648" s="25" t="e">
        <f>#REF!</f>
        <v>#REF!</v>
      </c>
      <c r="B648" s="50" t="e">
        <f>#REF!</f>
        <v>#REF!</v>
      </c>
      <c r="C648" s="5" t="e">
        <f>#REF!</f>
        <v>#REF!</v>
      </c>
      <c r="D648" s="5" t="e">
        <f>#REF!</f>
        <v>#REF!</v>
      </c>
      <c r="E648" s="252">
        <v>1</v>
      </c>
      <c r="F648" s="249">
        <v>59500</v>
      </c>
      <c r="G648" s="249">
        <v>57953</v>
      </c>
      <c r="H648" s="249">
        <v>0</v>
      </c>
      <c r="I648" s="249">
        <v>0</v>
      </c>
      <c r="J648" s="249">
        <v>0</v>
      </c>
      <c r="K648" s="249">
        <v>0</v>
      </c>
      <c r="L648" s="274">
        <f>F648</f>
        <v>59500</v>
      </c>
      <c r="M648" s="274">
        <f>G648*E1</f>
        <v>59691.590000000004</v>
      </c>
      <c r="N648" s="255">
        <v>60000</v>
      </c>
      <c r="O648" s="135">
        <f t="shared" si="212"/>
        <v>11400</v>
      </c>
      <c r="P648" s="135">
        <f t="shared" si="213"/>
        <v>71400</v>
      </c>
      <c r="Q648" s="131"/>
      <c r="R648" s="131"/>
      <c r="S648" s="11"/>
      <c r="T648" s="274">
        <v>49500.000000000007</v>
      </c>
      <c r="U648" s="274">
        <f>+T648*0.19</f>
        <v>9405.0000000000018</v>
      </c>
      <c r="V648" s="274">
        <f>+T648+U648</f>
        <v>58905.000000000007</v>
      </c>
      <c r="W648" s="39" t="s">
        <v>445</v>
      </c>
      <c r="X648" s="11" t="s">
        <v>4411</v>
      </c>
      <c r="Y648" s="11"/>
      <c r="Z648" s="274"/>
      <c r="AA648" s="274"/>
      <c r="AB648" s="274"/>
      <c r="AC648" s="54"/>
      <c r="AD648" s="23"/>
      <c r="AE648" s="39"/>
      <c r="AF648" s="274"/>
      <c r="AG648" s="274"/>
      <c r="AH648" s="172"/>
      <c r="AI648" s="24"/>
      <c r="AJ648" s="39"/>
      <c r="AK648" s="39"/>
      <c r="AL648" s="118"/>
      <c r="AM648" s="152"/>
      <c r="AN648" s="181"/>
      <c r="AO648" s="131"/>
      <c r="AP648" s="131"/>
      <c r="AQ648" s="39"/>
      <c r="AR648" s="274"/>
      <c r="AS648" s="274"/>
      <c r="AT648" s="274"/>
      <c r="AU648" s="39"/>
      <c r="AV648" s="39"/>
      <c r="AW648" s="39"/>
      <c r="AX648" s="274"/>
      <c r="AY648" s="274"/>
      <c r="AZ648" s="274"/>
      <c r="BA648" s="39"/>
      <c r="BB648" s="62"/>
      <c r="BC648" s="39"/>
      <c r="BD648" s="274"/>
      <c r="BE648" s="274"/>
      <c r="BF648" s="274"/>
      <c r="BG648" s="39"/>
      <c r="BH648" s="39"/>
      <c r="BI648" s="39"/>
      <c r="BJ648" s="274">
        <v>708900</v>
      </c>
      <c r="BK648" s="274">
        <f t="shared" si="214"/>
        <v>134691</v>
      </c>
      <c r="BL648" s="274">
        <f t="shared" si="215"/>
        <v>843591</v>
      </c>
      <c r="BM648" s="213" t="s">
        <v>196</v>
      </c>
      <c r="BN648" s="213" t="s">
        <v>2925</v>
      </c>
      <c r="BO648" s="39"/>
      <c r="BP648" s="274">
        <v>85000</v>
      </c>
      <c r="BQ648" s="274">
        <f t="shared" si="221"/>
        <v>16150</v>
      </c>
      <c r="BR648" s="274">
        <f t="shared" si="222"/>
        <v>101150</v>
      </c>
      <c r="BS648" s="39"/>
      <c r="BT648" s="39"/>
      <c r="BU648" s="39"/>
      <c r="BV648" s="219">
        <v>788733.48239999998</v>
      </c>
      <c r="BW648" s="219">
        <f t="shared" si="216"/>
        <v>149859.36165599999</v>
      </c>
      <c r="BX648" s="273">
        <f t="shared" si="217"/>
        <v>938592.844056</v>
      </c>
      <c r="BY648" s="213" t="s">
        <v>196</v>
      </c>
      <c r="BZ648" s="213" t="s">
        <v>2925</v>
      </c>
      <c r="CA648" s="213"/>
      <c r="CB648" s="274"/>
      <c r="CC648" s="274"/>
      <c r="CD648" s="274"/>
      <c r="CE648" s="39"/>
      <c r="CF648" s="39"/>
      <c r="CG648" s="39"/>
      <c r="CH648" s="274"/>
      <c r="CI648" s="274"/>
      <c r="CJ648" s="274"/>
      <c r="CK648" s="39"/>
      <c r="CL648" s="39"/>
      <c r="CM648" s="39"/>
      <c r="CN648" s="39"/>
      <c r="CO648" s="39"/>
      <c r="CP648" s="11"/>
      <c r="CQ648" s="11"/>
      <c r="CR648" s="11"/>
      <c r="CS648" s="11"/>
      <c r="CT648" s="11"/>
      <c r="CU648" s="11"/>
      <c r="CV648" s="11"/>
      <c r="CW648" s="11"/>
      <c r="CX648" s="11"/>
      <c r="CY648" s="11"/>
      <c r="CZ648" s="11"/>
      <c r="DA648" s="11"/>
      <c r="DB648" s="11"/>
      <c r="DC648" s="11"/>
      <c r="DD648" s="11"/>
      <c r="DE648" s="11"/>
      <c r="DF648" s="11"/>
      <c r="DG648" s="11"/>
      <c r="DH648" s="11"/>
      <c r="DI648" s="11"/>
      <c r="DJ648" s="11"/>
      <c r="DK648" s="11"/>
      <c r="DL648" s="274"/>
      <c r="DM648" s="274"/>
      <c r="DN648" s="274"/>
      <c r="DO648" s="274"/>
      <c r="DP648" s="274"/>
      <c r="DQ648" s="274"/>
      <c r="DR648" s="274"/>
      <c r="DS648" s="274"/>
      <c r="DT648" s="274"/>
      <c r="DU648" s="274"/>
      <c r="DV648" s="274"/>
      <c r="DW648" s="274"/>
      <c r="DX648" s="274"/>
      <c r="DY648" s="274"/>
      <c r="DZ648" s="274"/>
      <c r="EA648" s="274"/>
      <c r="EB648" s="274"/>
      <c r="EC648" s="274"/>
      <c r="ED648" s="39">
        <f t="shared" si="218"/>
        <v>2073330.4340559999</v>
      </c>
      <c r="EE648" s="30">
        <f t="shared" si="219"/>
        <v>6</v>
      </c>
      <c r="EF648" s="39">
        <f t="shared" si="220"/>
        <v>345555.07234266662</v>
      </c>
    </row>
    <row r="649" spans="1:136" x14ac:dyDescent="0.25">
      <c r="A649" s="25" t="e">
        <f>#REF!</f>
        <v>#REF!</v>
      </c>
      <c r="B649" s="50" t="e">
        <f>#REF!</f>
        <v>#REF!</v>
      </c>
      <c r="C649" s="5" t="e">
        <f>#REF!</f>
        <v>#REF!</v>
      </c>
      <c r="D649" s="5" t="e">
        <f>#REF!</f>
        <v>#REF!</v>
      </c>
      <c r="E649" s="252">
        <v>1</v>
      </c>
      <c r="F649" s="249">
        <v>0</v>
      </c>
      <c r="G649" s="249">
        <v>0</v>
      </c>
      <c r="H649" s="249">
        <v>0</v>
      </c>
      <c r="I649" s="249">
        <v>0</v>
      </c>
      <c r="J649" s="249">
        <v>509128.01333333337</v>
      </c>
      <c r="K649" s="249">
        <v>505750</v>
      </c>
      <c r="L649" s="274">
        <f>J649</f>
        <v>509128.01333333337</v>
      </c>
      <c r="M649" s="274">
        <f>K649*E1</f>
        <v>520922.5</v>
      </c>
      <c r="N649" s="255"/>
      <c r="O649" s="135"/>
      <c r="P649" s="135"/>
      <c r="Q649" s="131"/>
      <c r="R649" s="131"/>
      <c r="S649" s="11"/>
      <c r="T649" s="274"/>
      <c r="U649" s="274"/>
      <c r="V649" s="274"/>
      <c r="W649" s="39"/>
      <c r="X649" s="11"/>
      <c r="Y649" s="11"/>
      <c r="Z649" s="274"/>
      <c r="AA649" s="274"/>
      <c r="AB649" s="274"/>
      <c r="AC649" s="52"/>
      <c r="AD649" s="22"/>
      <c r="AE649" s="39"/>
      <c r="AF649" s="274"/>
      <c r="AG649" s="274"/>
      <c r="AH649" s="113"/>
      <c r="AI649" s="4"/>
      <c r="AJ649" s="39"/>
      <c r="AK649" s="39"/>
      <c r="AL649" s="118"/>
      <c r="AM649" s="152"/>
      <c r="AN649" s="181"/>
      <c r="AO649" s="131"/>
      <c r="AP649" s="131"/>
      <c r="AQ649" s="39"/>
      <c r="AR649" s="274"/>
      <c r="AS649" s="274"/>
      <c r="AT649" s="274"/>
      <c r="AU649" s="39"/>
      <c r="AV649" s="39"/>
      <c r="AW649" s="39"/>
      <c r="AX649" s="274"/>
      <c r="AY649" s="274"/>
      <c r="AZ649" s="274"/>
      <c r="BA649" s="39"/>
      <c r="BB649" s="62"/>
      <c r="BC649" s="39"/>
      <c r="BD649" s="274"/>
      <c r="BE649" s="274"/>
      <c r="BF649" s="274"/>
      <c r="BG649" s="39"/>
      <c r="BH649" s="39"/>
      <c r="BI649" s="39"/>
      <c r="BJ649" s="274">
        <v>909900</v>
      </c>
      <c r="BK649" s="274">
        <f t="shared" si="214"/>
        <v>172881</v>
      </c>
      <c r="BL649" s="274">
        <f t="shared" si="215"/>
        <v>1082781</v>
      </c>
      <c r="BM649" s="213" t="s">
        <v>196</v>
      </c>
      <c r="BN649" s="213" t="s">
        <v>2925</v>
      </c>
      <c r="BO649" s="39"/>
      <c r="BP649" s="274">
        <v>96000</v>
      </c>
      <c r="BQ649" s="274">
        <f t="shared" si="221"/>
        <v>18240</v>
      </c>
      <c r="BR649" s="274">
        <f t="shared" si="222"/>
        <v>114240</v>
      </c>
      <c r="BS649" s="39"/>
      <c r="BT649" s="39"/>
      <c r="BU649" s="39"/>
      <c r="BV649" s="219">
        <v>1032219.6768000002</v>
      </c>
      <c r="BW649" s="219">
        <f t="shared" si="216"/>
        <v>196121.73859200004</v>
      </c>
      <c r="BX649" s="273">
        <f t="shared" si="217"/>
        <v>1228341.4153920002</v>
      </c>
      <c r="BY649" s="213" t="s">
        <v>196</v>
      </c>
      <c r="BZ649" s="213" t="s">
        <v>2925</v>
      </c>
      <c r="CA649" s="213"/>
      <c r="CB649" s="274">
        <v>1068757</v>
      </c>
      <c r="CC649" s="274">
        <f>+CB649*0.19</f>
        <v>203063.83000000002</v>
      </c>
      <c r="CD649" s="274">
        <f>+CB649+CC649</f>
        <v>1271820.83</v>
      </c>
      <c r="CE649" s="39"/>
      <c r="CF649" s="39"/>
      <c r="CG649" s="39"/>
      <c r="CH649" s="274"/>
      <c r="CI649" s="274"/>
      <c r="CJ649" s="274"/>
      <c r="CK649" s="39"/>
      <c r="CL649" s="39"/>
      <c r="CM649" s="39"/>
      <c r="CN649" s="39"/>
      <c r="CO649" s="39"/>
      <c r="CP649" s="11"/>
      <c r="CQ649" s="11"/>
      <c r="CR649" s="11"/>
      <c r="CS649" s="11"/>
      <c r="CT649" s="11"/>
      <c r="CU649" s="11"/>
      <c r="CV649" s="11"/>
      <c r="CW649" s="11"/>
      <c r="CX649" s="11"/>
      <c r="CY649" s="11"/>
      <c r="CZ649" s="11"/>
      <c r="DA649" s="32"/>
      <c r="DB649" s="67"/>
      <c r="DC649" s="67"/>
      <c r="DD649" s="65"/>
      <c r="DE649" s="65"/>
      <c r="DF649" s="65"/>
      <c r="DG649" s="65"/>
      <c r="DH649" s="67"/>
      <c r="DI649" s="65"/>
      <c r="DJ649" s="65"/>
      <c r="DK649" s="65"/>
      <c r="DL649" s="61"/>
      <c r="DM649" s="61"/>
      <c r="DN649" s="61"/>
      <c r="DO649" s="61"/>
      <c r="DP649" s="61"/>
      <c r="DQ649" s="61"/>
      <c r="DR649" s="61"/>
      <c r="DS649" s="61"/>
      <c r="DT649" s="61"/>
      <c r="DU649" s="61"/>
      <c r="DV649" s="61"/>
      <c r="DW649" s="61"/>
      <c r="DX649" s="61"/>
      <c r="DY649" s="61"/>
      <c r="DZ649" s="61"/>
      <c r="EA649" s="61"/>
      <c r="EB649" s="61"/>
      <c r="EC649" s="61"/>
      <c r="ED649" s="39">
        <f t="shared" si="218"/>
        <v>4218105.7453920003</v>
      </c>
      <c r="EE649" s="30">
        <f t="shared" si="219"/>
        <v>5</v>
      </c>
      <c r="EF649" s="39">
        <f t="shared" si="220"/>
        <v>843621.14907840011</v>
      </c>
    </row>
    <row r="650" spans="1:136" x14ac:dyDescent="0.25">
      <c r="A650" s="25" t="e">
        <f>#REF!</f>
        <v>#REF!</v>
      </c>
      <c r="B650" s="50" t="e">
        <f>#REF!</f>
        <v>#REF!</v>
      </c>
      <c r="C650" s="5" t="e">
        <f>#REF!</f>
        <v>#REF!</v>
      </c>
      <c r="D650" s="5" t="e">
        <f>#REF!</f>
        <v>#REF!</v>
      </c>
      <c r="E650" s="252">
        <v>1</v>
      </c>
      <c r="F650" s="249">
        <v>0</v>
      </c>
      <c r="G650" s="249">
        <v>0</v>
      </c>
      <c r="H650" s="249">
        <v>0</v>
      </c>
      <c r="I650" s="249">
        <v>0</v>
      </c>
      <c r="J650" s="249">
        <v>0</v>
      </c>
      <c r="K650" s="249">
        <v>0</v>
      </c>
      <c r="L650" s="274"/>
      <c r="M650" s="274"/>
      <c r="N650" s="255"/>
      <c r="O650" s="135"/>
      <c r="P650" s="135"/>
      <c r="Q650" s="131"/>
      <c r="R650" s="131"/>
      <c r="S650" s="11"/>
      <c r="T650" s="274"/>
      <c r="U650" s="274"/>
      <c r="V650" s="274"/>
      <c r="W650" s="39"/>
      <c r="X650" s="11"/>
      <c r="Y650" s="11"/>
      <c r="Z650" s="274"/>
      <c r="AA650" s="274"/>
      <c r="AB650" s="274"/>
      <c r="AC650" s="52"/>
      <c r="AD650" s="22"/>
      <c r="AE650" s="39"/>
      <c r="AF650" s="274"/>
      <c r="AG650" s="274"/>
      <c r="AH650" s="113"/>
      <c r="AI650" s="4"/>
      <c r="AJ650" s="39"/>
      <c r="AK650" s="39"/>
      <c r="AL650" s="118"/>
      <c r="AM650" s="152"/>
      <c r="AN650" s="181"/>
      <c r="AO650" s="131"/>
      <c r="AP650" s="131"/>
      <c r="AQ650" s="39"/>
      <c r="AR650" s="274"/>
      <c r="AS650" s="274"/>
      <c r="AT650" s="274"/>
      <c r="AU650" s="39"/>
      <c r="AV650" s="39"/>
      <c r="AW650" s="39"/>
      <c r="AX650" s="274"/>
      <c r="AY650" s="274"/>
      <c r="AZ650" s="274"/>
      <c r="BA650" s="39"/>
      <c r="BB650" s="62"/>
      <c r="BC650" s="39"/>
      <c r="BD650" s="274"/>
      <c r="BE650" s="274"/>
      <c r="BF650" s="274"/>
      <c r="BG650" s="39"/>
      <c r="BH650" s="39"/>
      <c r="BI650" s="39"/>
      <c r="BJ650" s="274"/>
      <c r="BK650" s="274"/>
      <c r="BL650" s="274"/>
      <c r="BM650" s="213"/>
      <c r="BN650" s="213"/>
      <c r="BO650" s="39"/>
      <c r="BP650" s="274"/>
      <c r="BQ650" s="274"/>
      <c r="BR650" s="274"/>
      <c r="BS650" s="39"/>
      <c r="BT650" s="39"/>
      <c r="BU650" s="39"/>
      <c r="BV650" s="212"/>
      <c r="BW650" s="220"/>
      <c r="BX650" s="273"/>
      <c r="BY650" s="213"/>
      <c r="BZ650" s="213"/>
      <c r="CA650" s="213"/>
      <c r="CB650" s="274"/>
      <c r="CC650" s="274">
        <f>+CB650*0.19</f>
        <v>0</v>
      </c>
      <c r="CD650" s="274">
        <f>+CB650+CC650</f>
        <v>0</v>
      </c>
      <c r="CE650" s="39"/>
      <c r="CF650" s="39"/>
      <c r="CG650" s="39"/>
      <c r="CH650" s="274"/>
      <c r="CI650" s="274"/>
      <c r="CJ650" s="274"/>
      <c r="CK650" s="39"/>
      <c r="CL650" s="39"/>
      <c r="CM650" s="39"/>
      <c r="CN650" s="39"/>
      <c r="CO650" s="39"/>
      <c r="CP650" s="11"/>
      <c r="CQ650" s="11"/>
      <c r="CR650" s="11"/>
      <c r="CS650" s="11"/>
      <c r="CT650" s="11"/>
      <c r="CU650" s="11"/>
      <c r="CV650" s="11"/>
      <c r="CW650" s="11"/>
      <c r="CX650" s="11"/>
      <c r="CY650" s="11"/>
      <c r="CZ650" s="11"/>
      <c r="DA650" s="11"/>
      <c r="DB650" s="11"/>
      <c r="DC650" s="11"/>
      <c r="DD650" s="11"/>
      <c r="DE650" s="11"/>
      <c r="DF650" s="11"/>
      <c r="DG650" s="11"/>
      <c r="DH650" s="11"/>
      <c r="DI650" s="11"/>
      <c r="DJ650" s="11"/>
      <c r="DK650" s="11"/>
      <c r="DL650" s="274"/>
      <c r="DM650" s="274"/>
      <c r="DN650" s="274"/>
      <c r="DO650" s="274"/>
      <c r="DP650" s="274"/>
      <c r="DQ650" s="274"/>
      <c r="DR650" s="274"/>
      <c r="DS650" s="274"/>
      <c r="DT650" s="274"/>
      <c r="DU650" s="274"/>
      <c r="DV650" s="274"/>
      <c r="DW650" s="274"/>
      <c r="DX650" s="274"/>
      <c r="DY650" s="274"/>
      <c r="DZ650" s="274"/>
      <c r="EA650" s="274"/>
      <c r="EB650" s="274"/>
      <c r="EC650" s="274"/>
      <c r="ED650" s="39">
        <f t="shared" si="218"/>
        <v>0</v>
      </c>
      <c r="EE650" s="30">
        <f t="shared" si="219"/>
        <v>0</v>
      </c>
      <c r="EF650" s="39" t="str">
        <f t="shared" si="220"/>
        <v xml:space="preserve"> </v>
      </c>
    </row>
    <row r="651" spans="1:136" ht="24" x14ac:dyDescent="0.25">
      <c r="A651" s="25" t="e">
        <f>#REF!</f>
        <v>#REF!</v>
      </c>
      <c r="B651" s="50" t="e">
        <f>#REF!</f>
        <v>#REF!</v>
      </c>
      <c r="C651" s="5" t="e">
        <f>#REF!</f>
        <v>#REF!</v>
      </c>
      <c r="D651" s="5" t="e">
        <f>#REF!</f>
        <v>#REF!</v>
      </c>
      <c r="E651" s="252">
        <v>1</v>
      </c>
      <c r="F651" s="249">
        <v>0</v>
      </c>
      <c r="G651" s="249">
        <v>0</v>
      </c>
      <c r="H651" s="249">
        <v>689319.4</v>
      </c>
      <c r="I651" s="249">
        <v>689248</v>
      </c>
      <c r="J651" s="249">
        <v>1623745.62</v>
      </c>
      <c r="K651" s="249">
        <v>1623160</v>
      </c>
      <c r="L651" s="274">
        <f>AVERAGE(H651,J651)</f>
        <v>1156532.51</v>
      </c>
      <c r="M651" s="274">
        <f>AVERAGE(I651,K651)*E1</f>
        <v>1190890.1200000001</v>
      </c>
      <c r="N651" s="255"/>
      <c r="O651" s="135"/>
      <c r="P651" s="135"/>
      <c r="Q651" s="131"/>
      <c r="R651" s="131"/>
      <c r="S651" s="11"/>
      <c r="T651" s="274"/>
      <c r="U651" s="274"/>
      <c r="V651" s="274"/>
      <c r="W651" s="39"/>
      <c r="X651" s="11"/>
      <c r="Y651" s="11"/>
      <c r="Z651" s="274"/>
      <c r="AA651" s="274"/>
      <c r="AB651" s="274"/>
      <c r="AC651" s="52"/>
      <c r="AD651" s="22"/>
      <c r="AE651" s="39"/>
      <c r="AF651" s="274"/>
      <c r="AG651" s="274"/>
      <c r="AH651" s="113"/>
      <c r="AI651" s="4"/>
      <c r="AJ651" s="39"/>
      <c r="AK651" s="39"/>
      <c r="AL651" s="118"/>
      <c r="AM651" s="152"/>
      <c r="AN651" s="181"/>
      <c r="AO651" s="131"/>
      <c r="AP651" s="131"/>
      <c r="AQ651" s="39"/>
      <c r="AR651" s="274"/>
      <c r="AS651" s="274"/>
      <c r="AT651" s="274"/>
      <c r="AU651" s="39"/>
      <c r="AV651" s="39"/>
      <c r="AW651" s="39"/>
      <c r="AX651" s="274"/>
      <c r="AY651" s="274"/>
      <c r="AZ651" s="274"/>
      <c r="BA651" s="39"/>
      <c r="BB651" s="62"/>
      <c r="BC651" s="39"/>
      <c r="BD651" s="274"/>
      <c r="BE651" s="274"/>
      <c r="BF651" s="274"/>
      <c r="BG651" s="39"/>
      <c r="BH651" s="39"/>
      <c r="BI651" s="39"/>
      <c r="BJ651" s="274">
        <v>1788700</v>
      </c>
      <c r="BK651" s="274">
        <f>+BJ651*0.19</f>
        <v>339853</v>
      </c>
      <c r="BL651" s="274">
        <f>+BJ651+BK651</f>
        <v>2128553</v>
      </c>
      <c r="BM651" s="214" t="s">
        <v>4992</v>
      </c>
      <c r="BN651" s="213" t="s">
        <v>3754</v>
      </c>
      <c r="BO651" s="39"/>
      <c r="BP651" s="274"/>
      <c r="BQ651" s="274"/>
      <c r="BR651" s="274"/>
      <c r="BS651" s="39"/>
      <c r="BT651" s="39"/>
      <c r="BU651" s="39"/>
      <c r="BV651" s="219">
        <v>1879392.4561000001</v>
      </c>
      <c r="BW651" s="219">
        <f>+BV651*0.19</f>
        <v>357084.566659</v>
      </c>
      <c r="BX651" s="273">
        <f>+BV651+BW651</f>
        <v>2236477.0227589998</v>
      </c>
      <c r="BY651" s="214" t="s">
        <v>4992</v>
      </c>
      <c r="BZ651" s="213" t="s">
        <v>3754</v>
      </c>
      <c r="CA651" s="213"/>
      <c r="CB651" s="274"/>
      <c r="CC651" s="274"/>
      <c r="CD651" s="274"/>
      <c r="CE651" s="39"/>
      <c r="CF651" s="39"/>
      <c r="CG651" s="39"/>
      <c r="CH651" s="274"/>
      <c r="CI651" s="274"/>
      <c r="CJ651" s="274"/>
      <c r="CK651" s="39"/>
      <c r="CL651" s="39"/>
      <c r="CM651" s="39"/>
      <c r="CN651" s="39"/>
      <c r="CO651" s="39"/>
      <c r="CP651" s="11"/>
      <c r="CQ651" s="11"/>
      <c r="CR651" s="11"/>
      <c r="CS651" s="11"/>
      <c r="CT651" s="11"/>
      <c r="CU651" s="11"/>
      <c r="CV651" s="11"/>
      <c r="CW651" s="11"/>
      <c r="CX651" s="11"/>
      <c r="CY651" s="11"/>
      <c r="CZ651" s="11"/>
      <c r="DA651" s="11"/>
      <c r="DB651" s="11"/>
      <c r="DC651" s="11"/>
      <c r="DD651" s="11"/>
      <c r="DE651" s="11"/>
      <c r="DF651" s="11"/>
      <c r="DG651" s="11"/>
      <c r="DH651" s="11"/>
      <c r="DI651" s="11"/>
      <c r="DJ651" s="11"/>
      <c r="DK651" s="11"/>
      <c r="DL651" s="274"/>
      <c r="DM651" s="274"/>
      <c r="DN651" s="274"/>
      <c r="DO651" s="274"/>
      <c r="DP651" s="274"/>
      <c r="DQ651" s="274"/>
      <c r="DR651" s="274"/>
      <c r="DS651" s="274"/>
      <c r="DT651" s="274"/>
      <c r="DU651" s="274"/>
      <c r="DV651" s="274"/>
      <c r="DW651" s="274"/>
      <c r="DX651" s="274"/>
      <c r="DY651" s="274"/>
      <c r="DZ651" s="274"/>
      <c r="EA651" s="274"/>
      <c r="EB651" s="274"/>
      <c r="EC651" s="274"/>
      <c r="ED651" s="39">
        <f t="shared" si="218"/>
        <v>5555920.142759</v>
      </c>
      <c r="EE651" s="30">
        <f t="shared" si="219"/>
        <v>3</v>
      </c>
      <c r="EF651" s="39">
        <f t="shared" si="220"/>
        <v>1851973.3809196667</v>
      </c>
    </row>
    <row r="652" spans="1:136" ht="36" x14ac:dyDescent="0.25">
      <c r="A652" s="25" t="e">
        <f>#REF!</f>
        <v>#REF!</v>
      </c>
      <c r="B652" s="50" t="e">
        <f>#REF!</f>
        <v>#REF!</v>
      </c>
      <c r="C652" s="5" t="e">
        <f>#REF!</f>
        <v>#REF!</v>
      </c>
      <c r="D652" s="5" t="e">
        <f>#REF!</f>
        <v>#REF!</v>
      </c>
      <c r="E652" s="252">
        <v>1</v>
      </c>
      <c r="F652" s="249">
        <v>0</v>
      </c>
      <c r="G652" s="249">
        <v>0</v>
      </c>
      <c r="H652" s="249">
        <v>0</v>
      </c>
      <c r="I652" s="249">
        <v>0</v>
      </c>
      <c r="J652" s="249">
        <v>1317158.6400000001</v>
      </c>
      <c r="K652" s="249">
        <v>892500</v>
      </c>
      <c r="L652" s="274">
        <f>J652</f>
        <v>1317158.6400000001</v>
      </c>
      <c r="M652" s="274">
        <f>K652*E1</f>
        <v>919275</v>
      </c>
      <c r="N652" s="255"/>
      <c r="O652" s="135"/>
      <c r="P652" s="135"/>
      <c r="Q652" s="131"/>
      <c r="R652" s="131"/>
      <c r="S652" s="11"/>
      <c r="T652" s="274"/>
      <c r="U652" s="274"/>
      <c r="V652" s="274"/>
      <c r="W652" s="39"/>
      <c r="X652" s="11"/>
      <c r="Y652" s="11"/>
      <c r="Z652" s="274"/>
      <c r="AA652" s="274"/>
      <c r="AB652" s="274"/>
      <c r="AC652" s="54"/>
      <c r="AD652" s="5"/>
      <c r="AE652" s="39"/>
      <c r="AF652" s="274"/>
      <c r="AG652" s="274"/>
      <c r="AH652" s="177"/>
      <c r="AI652" s="5"/>
      <c r="AJ652" s="39"/>
      <c r="AK652" s="39"/>
      <c r="AL652" s="118"/>
      <c r="AM652" s="152"/>
      <c r="AN652" s="181"/>
      <c r="AO652" s="131"/>
      <c r="AP652" s="131"/>
      <c r="AQ652" s="39"/>
      <c r="AR652" s="274"/>
      <c r="AS652" s="274"/>
      <c r="AT652" s="274"/>
      <c r="AU652" s="39"/>
      <c r="AV652" s="39"/>
      <c r="AW652" s="39"/>
      <c r="AX652" s="274"/>
      <c r="AY652" s="274"/>
      <c r="AZ652" s="274"/>
      <c r="BA652" s="39"/>
      <c r="BB652" s="62"/>
      <c r="BC652" s="39"/>
      <c r="BD652" s="274"/>
      <c r="BE652" s="274"/>
      <c r="BF652" s="274"/>
      <c r="BG652" s="39"/>
      <c r="BH652" s="39"/>
      <c r="BI652" s="39"/>
      <c r="BJ652" s="274">
        <v>1152900</v>
      </c>
      <c r="BK652" s="274">
        <f>+BJ652*0.19</f>
        <v>219051</v>
      </c>
      <c r="BL652" s="274">
        <f>+BJ652+BK652</f>
        <v>1371951</v>
      </c>
      <c r="BM652" s="213" t="s">
        <v>196</v>
      </c>
      <c r="BN652" s="213" t="s">
        <v>4993</v>
      </c>
      <c r="BO652" s="39"/>
      <c r="BP652" s="274"/>
      <c r="BQ652" s="274"/>
      <c r="BR652" s="274"/>
      <c r="BS652" s="39"/>
      <c r="BT652" s="39"/>
      <c r="BU652" s="39"/>
      <c r="BV652" s="219">
        <v>1223466.7031999999</v>
      </c>
      <c r="BW652" s="219">
        <f>+BV652*0.19</f>
        <v>232458.67360799998</v>
      </c>
      <c r="BX652" s="273">
        <f>+BV652+BW652</f>
        <v>1455925.3768079998</v>
      </c>
      <c r="BY652" s="213" t="s">
        <v>196</v>
      </c>
      <c r="BZ652" s="213" t="s">
        <v>4993</v>
      </c>
      <c r="CA652" s="213"/>
      <c r="CB652" s="274"/>
      <c r="CC652" s="274"/>
      <c r="CD652" s="274"/>
      <c r="CE652" s="39"/>
      <c r="CF652" s="39"/>
      <c r="CG652" s="39"/>
      <c r="CH652" s="274"/>
      <c r="CI652" s="274"/>
      <c r="CJ652" s="274"/>
      <c r="CK652" s="39"/>
      <c r="CL652" s="39"/>
      <c r="CM652" s="39"/>
      <c r="CN652" s="39"/>
      <c r="CO652" s="39"/>
      <c r="CP652" s="11"/>
      <c r="CQ652" s="11"/>
      <c r="CR652" s="11"/>
      <c r="CS652" s="11"/>
      <c r="CT652" s="11"/>
      <c r="CU652" s="11"/>
      <c r="CV652" s="11"/>
      <c r="CW652" s="11"/>
      <c r="CX652" s="11"/>
      <c r="CY652" s="11"/>
      <c r="CZ652" s="11"/>
      <c r="DA652" s="11"/>
      <c r="DB652" s="11"/>
      <c r="DC652" s="11"/>
      <c r="DD652" s="11"/>
      <c r="DE652" s="11"/>
      <c r="DF652" s="11"/>
      <c r="DG652" s="11"/>
      <c r="DH652" s="11"/>
      <c r="DI652" s="11"/>
      <c r="DJ652" s="11"/>
      <c r="DK652" s="11"/>
      <c r="DL652" s="274"/>
      <c r="DM652" s="274"/>
      <c r="DN652" s="274"/>
      <c r="DO652" s="274"/>
      <c r="DP652" s="274"/>
      <c r="DQ652" s="274"/>
      <c r="DR652" s="274"/>
      <c r="DS652" s="274"/>
      <c r="DT652" s="274"/>
      <c r="DU652" s="274"/>
      <c r="DV652" s="274"/>
      <c r="DW652" s="274"/>
      <c r="DX652" s="274"/>
      <c r="DY652" s="274"/>
      <c r="DZ652" s="274"/>
      <c r="EA652" s="274"/>
      <c r="EB652" s="274"/>
      <c r="EC652" s="274"/>
      <c r="ED652" s="39">
        <f t="shared" si="218"/>
        <v>3747151.3768079998</v>
      </c>
      <c r="EE652" s="30">
        <f t="shared" si="219"/>
        <v>3</v>
      </c>
      <c r="EF652" s="39">
        <f t="shared" si="220"/>
        <v>1249050.458936</v>
      </c>
    </row>
    <row r="653" spans="1:136" x14ac:dyDescent="0.25">
      <c r="A653" s="25" t="e">
        <f>#REF!</f>
        <v>#REF!</v>
      </c>
      <c r="B653" s="50" t="e">
        <f>#REF!</f>
        <v>#REF!</v>
      </c>
      <c r="C653" s="5" t="e">
        <f>#REF!</f>
        <v>#REF!</v>
      </c>
      <c r="D653" s="5" t="e">
        <f>#REF!</f>
        <v>#REF!</v>
      </c>
      <c r="E653" s="252">
        <v>1</v>
      </c>
      <c r="F653" s="249">
        <v>0</v>
      </c>
      <c r="G653" s="249">
        <v>0</v>
      </c>
      <c r="H653" s="249">
        <v>535500</v>
      </c>
      <c r="I653" s="249">
        <v>0</v>
      </c>
      <c r="J653" s="249">
        <v>1482145</v>
      </c>
      <c r="K653" s="249">
        <v>0</v>
      </c>
      <c r="L653" s="274">
        <f>AVERAGE(H653,J653)</f>
        <v>1008822.5</v>
      </c>
      <c r="M653" s="274"/>
      <c r="N653" s="255"/>
      <c r="O653" s="135"/>
      <c r="P653" s="135"/>
      <c r="Q653" s="131"/>
      <c r="R653" s="131"/>
      <c r="S653" s="11"/>
      <c r="T653" s="274"/>
      <c r="U653" s="274"/>
      <c r="V653" s="274"/>
      <c r="W653" s="39"/>
      <c r="X653" s="11"/>
      <c r="Y653" s="11"/>
      <c r="Z653" s="274"/>
      <c r="AA653" s="274"/>
      <c r="AB653" s="274"/>
      <c r="AC653" s="54"/>
      <c r="AD653" s="22"/>
      <c r="AE653" s="39"/>
      <c r="AF653" s="274"/>
      <c r="AG653" s="274"/>
      <c r="AH653" s="172"/>
      <c r="AI653" s="22"/>
      <c r="AJ653" s="39"/>
      <c r="AK653" s="39"/>
      <c r="AL653" s="118"/>
      <c r="AM653" s="152"/>
      <c r="AN653" s="181"/>
      <c r="AO653" s="131"/>
      <c r="AP653" s="131"/>
      <c r="AQ653" s="39"/>
      <c r="AR653" s="274">
        <v>1645000</v>
      </c>
      <c r="AS653" s="274">
        <f>+AR653*0.19</f>
        <v>312550</v>
      </c>
      <c r="AT653" s="274">
        <f>+AR653+AS653</f>
        <v>1957550</v>
      </c>
      <c r="AU653" s="39"/>
      <c r="AV653" s="39"/>
      <c r="AW653" s="39"/>
      <c r="AX653" s="274"/>
      <c r="AY653" s="274"/>
      <c r="AZ653" s="274"/>
      <c r="BA653" s="39"/>
      <c r="BB653" s="62"/>
      <c r="BC653" s="39"/>
      <c r="BD653" s="274"/>
      <c r="BE653" s="274"/>
      <c r="BF653" s="274"/>
      <c r="BG653" s="39"/>
      <c r="BH653" s="39"/>
      <c r="BI653" s="39"/>
      <c r="BJ653" s="274"/>
      <c r="BK653" s="274"/>
      <c r="BL653" s="274"/>
      <c r="BM653" s="213"/>
      <c r="BN653" s="213"/>
      <c r="BO653" s="39"/>
      <c r="BP653" s="274">
        <f>260000*6</f>
        <v>1560000</v>
      </c>
      <c r="BQ653" s="274">
        <f>+BP653*19%</f>
        <v>296400</v>
      </c>
      <c r="BR653" s="274">
        <f>+BQ653+BP653</f>
        <v>1856400</v>
      </c>
      <c r="BS653" s="39"/>
      <c r="BT653" s="39"/>
      <c r="BU653" s="39"/>
      <c r="BV653" s="212"/>
      <c r="BW653" s="220"/>
      <c r="BX653" s="273"/>
      <c r="BY653" s="213"/>
      <c r="BZ653" s="213"/>
      <c r="CA653" s="213"/>
      <c r="CB653" s="274"/>
      <c r="CC653" s="274"/>
      <c r="CD653" s="274"/>
      <c r="CE653" s="39"/>
      <c r="CF653" s="39"/>
      <c r="CG653" s="39"/>
      <c r="CH653" s="274"/>
      <c r="CI653" s="274"/>
      <c r="CJ653" s="274"/>
      <c r="CK653" s="39"/>
      <c r="CL653" s="39"/>
      <c r="CM653" s="39"/>
      <c r="CN653" s="39"/>
      <c r="CO653" s="39"/>
      <c r="CP653" s="11"/>
      <c r="CQ653" s="11"/>
      <c r="CR653" s="11"/>
      <c r="CS653" s="11"/>
      <c r="CT653" s="11"/>
      <c r="CU653" s="11"/>
      <c r="CV653" s="11"/>
      <c r="CW653" s="11"/>
      <c r="CX653" s="11"/>
      <c r="CY653" s="11"/>
      <c r="CZ653" s="11"/>
      <c r="DA653" s="11"/>
      <c r="DB653" s="11"/>
      <c r="DC653" s="11"/>
      <c r="DD653" s="11"/>
      <c r="DE653" s="11"/>
      <c r="DF653" s="11"/>
      <c r="DG653" s="11"/>
      <c r="DH653" s="11"/>
      <c r="DI653" s="11"/>
      <c r="DJ653" s="11"/>
      <c r="DK653" s="11"/>
      <c r="DL653" s="274"/>
      <c r="DM653" s="274"/>
      <c r="DN653" s="274"/>
      <c r="DO653" s="274"/>
      <c r="DP653" s="274"/>
      <c r="DQ653" s="274"/>
      <c r="DR653" s="274"/>
      <c r="DS653" s="274"/>
      <c r="DT653" s="274"/>
      <c r="DU653" s="274"/>
      <c r="DV653" s="274"/>
      <c r="DW653" s="274"/>
      <c r="DX653" s="274"/>
      <c r="DY653" s="274"/>
      <c r="DZ653" s="274"/>
      <c r="EA653" s="274"/>
      <c r="EB653" s="274"/>
      <c r="EC653" s="274"/>
      <c r="ED653" s="39">
        <f t="shared" si="218"/>
        <v>3813950</v>
      </c>
      <c r="EE653" s="30">
        <f t="shared" si="219"/>
        <v>2</v>
      </c>
      <c r="EF653" s="39">
        <f t="shared" si="220"/>
        <v>1906975</v>
      </c>
    </row>
    <row r="654" spans="1:136" x14ac:dyDescent="0.25">
      <c r="A654" s="25" t="e">
        <f>#REF!</f>
        <v>#REF!</v>
      </c>
      <c r="B654" s="50" t="e">
        <f>#REF!</f>
        <v>#REF!</v>
      </c>
      <c r="C654" s="5" t="e">
        <f>#REF!</f>
        <v>#REF!</v>
      </c>
      <c r="D654" s="5" t="e">
        <f>#REF!</f>
        <v>#REF!</v>
      </c>
      <c r="E654" s="252">
        <v>1</v>
      </c>
      <c r="F654" s="249">
        <v>0</v>
      </c>
      <c r="G654" s="249">
        <v>0</v>
      </c>
      <c r="H654" s="249">
        <v>535500</v>
      </c>
      <c r="I654" s="249">
        <v>0</v>
      </c>
      <c r="J654" s="249">
        <v>0</v>
      </c>
      <c r="K654" s="249">
        <v>0</v>
      </c>
      <c r="L654" s="274">
        <f>H654</f>
        <v>535500</v>
      </c>
      <c r="M654" s="274"/>
      <c r="N654" s="255"/>
      <c r="O654" s="135"/>
      <c r="P654" s="135"/>
      <c r="Q654" s="131"/>
      <c r="R654" s="131"/>
      <c r="S654" s="11"/>
      <c r="T654" s="274"/>
      <c r="U654" s="274"/>
      <c r="V654" s="274"/>
      <c r="W654" s="39"/>
      <c r="X654" s="11"/>
      <c r="Y654" s="11"/>
      <c r="Z654" s="274"/>
      <c r="AA654" s="274"/>
      <c r="AB654" s="274"/>
      <c r="AC654" s="52"/>
      <c r="AD654" s="22"/>
      <c r="AE654" s="39"/>
      <c r="AF654" s="274"/>
      <c r="AG654" s="274"/>
      <c r="AH654" s="171"/>
      <c r="AI654" s="22"/>
      <c r="AJ654" s="39"/>
      <c r="AK654" s="39"/>
      <c r="AL654" s="118"/>
      <c r="AM654" s="152"/>
      <c r="AN654" s="181"/>
      <c r="AO654" s="131"/>
      <c r="AP654" s="131"/>
      <c r="AQ654" s="39"/>
      <c r="AR654" s="274">
        <v>370000</v>
      </c>
      <c r="AS654" s="274">
        <f>+AR654*0.19</f>
        <v>70300</v>
      </c>
      <c r="AT654" s="274">
        <f>+AR654+AS654</f>
        <v>440300</v>
      </c>
      <c r="AU654" s="39"/>
      <c r="AV654" s="39"/>
      <c r="AW654" s="39"/>
      <c r="AX654" s="274"/>
      <c r="AY654" s="274"/>
      <c r="AZ654" s="274"/>
      <c r="BA654" s="39"/>
      <c r="BB654" s="62"/>
      <c r="BC654" s="39"/>
      <c r="BD654" s="274"/>
      <c r="BE654" s="274"/>
      <c r="BF654" s="274"/>
      <c r="BG654" s="39"/>
      <c r="BH654" s="39"/>
      <c r="BI654" s="39"/>
      <c r="BJ654" s="274">
        <v>1065600</v>
      </c>
      <c r="BK654" s="274">
        <f>+BJ654*0.19</f>
        <v>202464</v>
      </c>
      <c r="BL654" s="274">
        <f>+BJ654+BK654</f>
        <v>1268064</v>
      </c>
      <c r="BM654" s="213" t="s">
        <v>196</v>
      </c>
      <c r="BN654" s="213" t="s">
        <v>4994</v>
      </c>
      <c r="BO654" s="39"/>
      <c r="BP654" s="274">
        <v>285200</v>
      </c>
      <c r="BQ654" s="274">
        <f>+BP654*19%</f>
        <v>54188</v>
      </c>
      <c r="BR654" s="274">
        <f>+BQ654+BP654</f>
        <v>339388</v>
      </c>
      <c r="BS654" s="39"/>
      <c r="BT654" s="39"/>
      <c r="BU654" s="39"/>
      <c r="BV654" s="219">
        <v>1152885.4272</v>
      </c>
      <c r="BW654" s="219">
        <f>+BV654*0.19</f>
        <v>219048.231168</v>
      </c>
      <c r="BX654" s="273">
        <f>+BV654+BW654</f>
        <v>1371933.6583680001</v>
      </c>
      <c r="BY654" s="213" t="s">
        <v>196</v>
      </c>
      <c r="BZ654" s="213" t="s">
        <v>4994</v>
      </c>
      <c r="CA654" s="213"/>
      <c r="CB654" s="275"/>
      <c r="CC654" s="274"/>
      <c r="CD654" s="274"/>
      <c r="CE654" s="39"/>
      <c r="CF654" s="39"/>
      <c r="CG654" s="39"/>
      <c r="CH654" s="274"/>
      <c r="CI654" s="274"/>
      <c r="CJ654" s="274"/>
      <c r="CK654" s="39"/>
      <c r="CL654" s="39"/>
      <c r="CM654" s="39"/>
      <c r="CN654" s="39"/>
      <c r="CO654" s="39"/>
      <c r="CP654" s="11"/>
      <c r="CQ654" s="11"/>
      <c r="CR654" s="11"/>
      <c r="CS654" s="11"/>
      <c r="CT654" s="11"/>
      <c r="CU654" s="11"/>
      <c r="CV654" s="11"/>
      <c r="CW654" s="11"/>
      <c r="CX654" s="11"/>
      <c r="CY654" s="11"/>
      <c r="CZ654" s="11"/>
      <c r="DA654" s="11"/>
      <c r="DB654" s="11"/>
      <c r="DC654" s="11"/>
      <c r="DD654" s="11"/>
      <c r="DE654" s="11"/>
      <c r="DF654" s="11"/>
      <c r="DG654" s="11"/>
      <c r="DH654" s="11"/>
      <c r="DI654" s="11"/>
      <c r="DJ654" s="11"/>
      <c r="DK654" s="11"/>
      <c r="DL654" s="274"/>
      <c r="DM654" s="274"/>
      <c r="DN654" s="274"/>
      <c r="DO654" s="274"/>
      <c r="DP654" s="274"/>
      <c r="DQ654" s="274"/>
      <c r="DR654" s="274"/>
      <c r="DS654" s="274"/>
      <c r="DT654" s="274"/>
      <c r="DU654" s="274"/>
      <c r="DV654" s="274"/>
      <c r="DW654" s="274"/>
      <c r="DX654" s="274"/>
      <c r="DY654" s="274"/>
      <c r="DZ654" s="274"/>
      <c r="EA654" s="274"/>
      <c r="EB654" s="274"/>
      <c r="EC654" s="274"/>
      <c r="ED654" s="39">
        <f t="shared" si="218"/>
        <v>3419685.6583679998</v>
      </c>
      <c r="EE654" s="30">
        <f t="shared" si="219"/>
        <v>4</v>
      </c>
      <c r="EF654" s="39">
        <f t="shared" si="220"/>
        <v>854921.41459199996</v>
      </c>
    </row>
    <row r="655" spans="1:136" x14ac:dyDescent="0.25">
      <c r="A655" s="25" t="e">
        <f>#REF!</f>
        <v>#REF!</v>
      </c>
      <c r="B655" s="50" t="e">
        <f>#REF!</f>
        <v>#REF!</v>
      </c>
      <c r="C655" s="5" t="e">
        <f>#REF!</f>
        <v>#REF!</v>
      </c>
      <c r="D655" s="5" t="e">
        <f>#REF!</f>
        <v>#REF!</v>
      </c>
      <c r="E655" s="252">
        <v>1</v>
      </c>
      <c r="F655" s="249">
        <v>0</v>
      </c>
      <c r="G655" s="249">
        <v>0</v>
      </c>
      <c r="H655" s="249">
        <v>434163.15014720318</v>
      </c>
      <c r="I655" s="249">
        <v>0</v>
      </c>
      <c r="J655" s="249">
        <v>0</v>
      </c>
      <c r="K655" s="249">
        <v>0</v>
      </c>
      <c r="L655" s="274">
        <f>H655</f>
        <v>434163.15014720318</v>
      </c>
      <c r="M655" s="274"/>
      <c r="N655" s="256"/>
      <c r="O655" s="135"/>
      <c r="P655" s="135"/>
      <c r="Q655" s="131"/>
      <c r="R655" s="131"/>
      <c r="S655" s="11"/>
      <c r="T655" s="274"/>
      <c r="U655" s="274"/>
      <c r="V655" s="274"/>
      <c r="W655" s="39"/>
      <c r="X655" s="11"/>
      <c r="Y655" s="11"/>
      <c r="Z655" s="274"/>
      <c r="AA655" s="274"/>
      <c r="AB655" s="274"/>
      <c r="AC655" s="52"/>
      <c r="AD655" s="22"/>
      <c r="AE655" s="39"/>
      <c r="AF655" s="274"/>
      <c r="AG655" s="274"/>
      <c r="AH655" s="113"/>
      <c r="AI655" s="4"/>
      <c r="AJ655" s="39"/>
      <c r="AK655" s="39"/>
      <c r="AL655" s="118"/>
      <c r="AM655" s="152"/>
      <c r="AN655" s="181"/>
      <c r="AO655" s="131"/>
      <c r="AP655" s="131"/>
      <c r="AQ655" s="39"/>
      <c r="AR655" s="274">
        <v>248000</v>
      </c>
      <c r="AS655" s="274">
        <f>+AR655*0.19</f>
        <v>47120</v>
      </c>
      <c r="AT655" s="274">
        <f>+AR655+AS655</f>
        <v>295120</v>
      </c>
      <c r="AU655" s="39"/>
      <c r="AV655" s="39"/>
      <c r="AW655" s="39"/>
      <c r="AX655" s="274"/>
      <c r="AY655" s="274"/>
      <c r="AZ655" s="274"/>
      <c r="BA655" s="39"/>
      <c r="BB655" s="62"/>
      <c r="BC655" s="39"/>
      <c r="BD655" s="274"/>
      <c r="BE655" s="274"/>
      <c r="BF655" s="274"/>
      <c r="BG655" s="39"/>
      <c r="BH655" s="39"/>
      <c r="BI655" s="39"/>
      <c r="BJ655" s="274">
        <v>1099400</v>
      </c>
      <c r="BK655" s="274">
        <f>+BJ655*0.19</f>
        <v>208886</v>
      </c>
      <c r="BL655" s="274">
        <f>+BJ655+BK655</f>
        <v>1308286</v>
      </c>
      <c r="BM655" s="213" t="s">
        <v>196</v>
      </c>
      <c r="BN655" s="213" t="s">
        <v>4994</v>
      </c>
      <c r="BO655" s="39"/>
      <c r="BP655" s="274">
        <v>285200</v>
      </c>
      <c r="BQ655" s="274">
        <f>+BP655*19%</f>
        <v>54188</v>
      </c>
      <c r="BR655" s="274">
        <f>+BQ655+BP655</f>
        <v>339388</v>
      </c>
      <c r="BS655" s="39"/>
      <c r="BT655" s="39"/>
      <c r="BU655" s="39"/>
      <c r="BV655" s="212">
        <v>1308593.8320000002</v>
      </c>
      <c r="BW655" s="219">
        <f>+BV655*0.19</f>
        <v>248632.82808000004</v>
      </c>
      <c r="BX655" s="273">
        <f>+BV655+BW655</f>
        <v>1557226.6600800003</v>
      </c>
      <c r="BY655" s="213" t="s">
        <v>196</v>
      </c>
      <c r="BZ655" s="213" t="s">
        <v>4994</v>
      </c>
      <c r="CA655" s="213"/>
      <c r="CB655" s="274"/>
      <c r="CC655" s="274"/>
      <c r="CD655" s="274"/>
      <c r="CE655" s="39"/>
      <c r="CF655" s="39"/>
      <c r="CG655" s="39"/>
      <c r="CH655" s="275"/>
      <c r="CI655" s="275"/>
      <c r="CJ655" s="275"/>
      <c r="CK655" s="39"/>
      <c r="CL655" s="39"/>
      <c r="CM655" s="39"/>
      <c r="CN655" s="39"/>
      <c r="CO655" s="39"/>
      <c r="CP655" s="11"/>
      <c r="CQ655" s="11"/>
      <c r="CR655" s="11"/>
      <c r="CS655" s="11"/>
      <c r="CT655" s="11"/>
      <c r="CU655" s="11"/>
      <c r="CV655" s="11"/>
      <c r="CW655" s="11"/>
      <c r="CX655" s="11"/>
      <c r="CY655" s="11"/>
      <c r="CZ655" s="11"/>
      <c r="DA655" s="11"/>
      <c r="DB655" s="11"/>
      <c r="DC655" s="11"/>
      <c r="DD655" s="11"/>
      <c r="DE655" s="11"/>
      <c r="DF655" s="11"/>
      <c r="DG655" s="11"/>
      <c r="DH655" s="11"/>
      <c r="DI655" s="11"/>
      <c r="DJ655" s="11"/>
      <c r="DK655" s="11"/>
      <c r="DL655" s="274"/>
      <c r="DM655" s="274"/>
      <c r="DN655" s="274"/>
      <c r="DO655" s="274"/>
      <c r="DP655" s="274"/>
      <c r="DQ655" s="274"/>
      <c r="DR655" s="274"/>
      <c r="DS655" s="274"/>
      <c r="DT655" s="274"/>
      <c r="DU655" s="274"/>
      <c r="DV655" s="274"/>
      <c r="DW655" s="274"/>
      <c r="DX655" s="274"/>
      <c r="DY655" s="274"/>
      <c r="DZ655" s="274"/>
      <c r="EA655" s="274"/>
      <c r="EB655" s="274"/>
      <c r="EC655" s="274"/>
      <c r="ED655" s="39">
        <f t="shared" si="218"/>
        <v>3500020.6600800003</v>
      </c>
      <c r="EE655" s="30">
        <f t="shared" si="219"/>
        <v>4</v>
      </c>
      <c r="EF655" s="39">
        <f t="shared" si="220"/>
        <v>875005.16502000007</v>
      </c>
    </row>
    <row r="656" spans="1:136" x14ac:dyDescent="0.25">
      <c r="A656" s="25" t="e">
        <f>#REF!</f>
        <v>#REF!</v>
      </c>
      <c r="B656" s="50" t="e">
        <f>#REF!</f>
        <v>#REF!</v>
      </c>
      <c r="C656" s="5" t="e">
        <f>#REF!</f>
        <v>#REF!</v>
      </c>
      <c r="D656" s="5" t="e">
        <f>#REF!</f>
        <v>#REF!</v>
      </c>
      <c r="E656" s="252">
        <v>1</v>
      </c>
      <c r="F656" s="249">
        <v>0</v>
      </c>
      <c r="G656" s="249">
        <v>0</v>
      </c>
      <c r="H656" s="249">
        <v>0</v>
      </c>
      <c r="I656" s="249">
        <v>0</v>
      </c>
      <c r="J656" s="249">
        <v>6551184.8465</v>
      </c>
      <c r="K656" s="249">
        <v>6545000</v>
      </c>
      <c r="L656" s="274">
        <f>J656</f>
        <v>6551184.8465</v>
      </c>
      <c r="M656" s="274">
        <f>K656*E1</f>
        <v>6741350</v>
      </c>
      <c r="N656" s="255"/>
      <c r="O656" s="135"/>
      <c r="P656" s="135"/>
      <c r="Q656" s="131"/>
      <c r="R656" s="131"/>
      <c r="S656" s="11"/>
      <c r="T656" s="274"/>
      <c r="U656" s="274"/>
      <c r="V656" s="274"/>
      <c r="W656" s="39"/>
      <c r="X656" s="11"/>
      <c r="Y656" s="11"/>
      <c r="Z656" s="274"/>
      <c r="AA656" s="274"/>
      <c r="AB656" s="274"/>
      <c r="AC656" s="52"/>
      <c r="AD656" s="22"/>
      <c r="AE656" s="39"/>
      <c r="AF656" s="274"/>
      <c r="AG656" s="274"/>
      <c r="AH656" s="113"/>
      <c r="AI656" s="4"/>
      <c r="AJ656" s="39"/>
      <c r="AK656" s="39"/>
      <c r="AL656" s="118"/>
      <c r="AM656" s="152"/>
      <c r="AN656" s="181"/>
      <c r="AO656" s="131"/>
      <c r="AP656" s="131"/>
      <c r="AQ656" s="39"/>
      <c r="AR656" s="274"/>
      <c r="AS656" s="274"/>
      <c r="AT656" s="274"/>
      <c r="AU656" s="39"/>
      <c r="AV656" s="39"/>
      <c r="AW656" s="39"/>
      <c r="AX656" s="274"/>
      <c r="AY656" s="274"/>
      <c r="AZ656" s="274"/>
      <c r="BA656" s="39"/>
      <c r="BB656" s="62"/>
      <c r="BC656" s="39"/>
      <c r="BD656" s="274"/>
      <c r="BE656" s="274"/>
      <c r="BF656" s="274"/>
      <c r="BG656" s="39"/>
      <c r="BH656" s="39"/>
      <c r="BI656" s="39"/>
      <c r="BJ656" s="274">
        <v>8610600</v>
      </c>
      <c r="BK656" s="274">
        <f>+BJ656*0.19</f>
        <v>1636014</v>
      </c>
      <c r="BL656" s="274">
        <f>+BJ656+BK656</f>
        <v>10246614</v>
      </c>
      <c r="BM656" s="213" t="s">
        <v>196</v>
      </c>
      <c r="BN656" s="213" t="s">
        <v>338</v>
      </c>
      <c r="BO656" s="39"/>
      <c r="BP656" s="274"/>
      <c r="BQ656" s="274"/>
      <c r="BR656" s="274"/>
      <c r="BS656" s="39"/>
      <c r="BT656" s="39"/>
      <c r="BU656" s="39"/>
      <c r="BV656" s="219">
        <v>9047183.2518000007</v>
      </c>
      <c r="BW656" s="219">
        <f>+BV656*0.19</f>
        <v>1718964.8178420002</v>
      </c>
      <c r="BX656" s="273">
        <f>+BV656+BW656</f>
        <v>10766148.069642</v>
      </c>
      <c r="BY656" s="213" t="s">
        <v>196</v>
      </c>
      <c r="BZ656" s="213" t="s">
        <v>338</v>
      </c>
      <c r="CA656" s="213"/>
      <c r="CB656" s="274"/>
      <c r="CC656" s="274"/>
      <c r="CD656" s="274"/>
      <c r="CE656" s="39"/>
      <c r="CF656" s="39"/>
      <c r="CG656" s="39"/>
      <c r="CH656" s="274"/>
      <c r="CI656" s="274"/>
      <c r="CJ656" s="274"/>
      <c r="CK656" s="39"/>
      <c r="CL656" s="39"/>
      <c r="CM656" s="39"/>
      <c r="CN656" s="39"/>
      <c r="CO656" s="39"/>
      <c r="CP656" s="11"/>
      <c r="CQ656" s="11"/>
      <c r="CR656" s="11"/>
      <c r="CS656" s="11"/>
      <c r="CT656" s="11"/>
      <c r="CU656" s="11"/>
      <c r="CV656" s="11"/>
      <c r="CW656" s="11"/>
      <c r="CX656" s="11"/>
      <c r="CY656" s="11"/>
      <c r="CZ656" s="11"/>
      <c r="DA656" s="11"/>
      <c r="DB656" s="11"/>
      <c r="DC656" s="11"/>
      <c r="DD656" s="11"/>
      <c r="DE656" s="11"/>
      <c r="DF656" s="11"/>
      <c r="DG656" s="11"/>
      <c r="DH656" s="11"/>
      <c r="DI656" s="11"/>
      <c r="DJ656" s="11"/>
      <c r="DK656" s="11"/>
      <c r="DL656" s="274"/>
      <c r="DM656" s="274"/>
      <c r="DN656" s="274"/>
      <c r="DO656" s="274"/>
      <c r="DP656" s="274"/>
      <c r="DQ656" s="274"/>
      <c r="DR656" s="274"/>
      <c r="DS656" s="274"/>
      <c r="DT656" s="274"/>
      <c r="DU656" s="274"/>
      <c r="DV656" s="274"/>
      <c r="DW656" s="274"/>
      <c r="DX656" s="274"/>
      <c r="DY656" s="274"/>
      <c r="DZ656" s="274"/>
      <c r="EA656" s="274"/>
      <c r="EB656" s="274"/>
      <c r="EC656" s="274"/>
      <c r="ED656" s="39">
        <f t="shared" si="218"/>
        <v>27754112.069642</v>
      </c>
      <c r="EE656" s="30">
        <f t="shared" si="219"/>
        <v>3</v>
      </c>
      <c r="EF656" s="39">
        <f t="shared" si="220"/>
        <v>9251370.6898806673</v>
      </c>
    </row>
    <row r="657" spans="1:136" x14ac:dyDescent="0.25">
      <c r="A657" s="25" t="e">
        <f>#REF!</f>
        <v>#REF!</v>
      </c>
      <c r="B657" s="50" t="e">
        <f>#REF!</f>
        <v>#REF!</v>
      </c>
      <c r="C657" s="5" t="e">
        <f>#REF!</f>
        <v>#REF!</v>
      </c>
      <c r="D657" s="5" t="e">
        <f>#REF!</f>
        <v>#REF!</v>
      </c>
      <c r="E657" s="252">
        <v>1</v>
      </c>
      <c r="F657" s="249">
        <v>0</v>
      </c>
      <c r="G657" s="249">
        <v>0</v>
      </c>
      <c r="H657" s="249">
        <v>0</v>
      </c>
      <c r="I657" s="249">
        <v>0</v>
      </c>
      <c r="J657" s="249">
        <v>0</v>
      </c>
      <c r="K657" s="249">
        <v>0</v>
      </c>
      <c r="L657" s="274"/>
      <c r="M657" s="274"/>
      <c r="N657" s="255"/>
      <c r="O657" s="135"/>
      <c r="P657" s="135"/>
      <c r="Q657" s="131"/>
      <c r="R657" s="131"/>
      <c r="S657" s="11"/>
      <c r="T657" s="274"/>
      <c r="U657" s="274"/>
      <c r="V657" s="274"/>
      <c r="W657" s="39"/>
      <c r="X657" s="11"/>
      <c r="Y657" s="11"/>
      <c r="Z657" s="274"/>
      <c r="AA657" s="274"/>
      <c r="AB657" s="274"/>
      <c r="AC657" s="52"/>
      <c r="AD657" s="22"/>
      <c r="AE657" s="39"/>
      <c r="AF657" s="274"/>
      <c r="AG657" s="274"/>
      <c r="AH657" s="171"/>
      <c r="AI657" s="4"/>
      <c r="AJ657" s="39"/>
      <c r="AK657" s="39"/>
      <c r="AL657" s="118"/>
      <c r="AM657" s="152"/>
      <c r="AN657" s="181"/>
      <c r="AO657" s="131"/>
      <c r="AP657" s="131"/>
      <c r="AQ657" s="39"/>
      <c r="AR657" s="274"/>
      <c r="AS657" s="274"/>
      <c r="AT657" s="274"/>
      <c r="AU657" s="39"/>
      <c r="AV657" s="39"/>
      <c r="AW657" s="39"/>
      <c r="AX657" s="274"/>
      <c r="AY657" s="274"/>
      <c r="AZ657" s="274"/>
      <c r="BA657" s="39"/>
      <c r="BB657" s="62"/>
      <c r="BC657" s="39"/>
      <c r="BD657" s="274"/>
      <c r="BE657" s="274"/>
      <c r="BF657" s="274"/>
      <c r="BG657" s="39"/>
      <c r="BH657" s="39"/>
      <c r="BI657" s="39"/>
      <c r="BJ657" s="274">
        <v>9646700</v>
      </c>
      <c r="BK657" s="274">
        <f>+BJ657*0.19</f>
        <v>1832873</v>
      </c>
      <c r="BL657" s="274">
        <f>+BJ657+BK657</f>
        <v>11479573</v>
      </c>
      <c r="BM657" s="213" t="s">
        <v>196</v>
      </c>
      <c r="BN657" s="213" t="s">
        <v>338</v>
      </c>
      <c r="BO657" s="39"/>
      <c r="BP657" s="274"/>
      <c r="BQ657" s="274"/>
      <c r="BR657" s="274"/>
      <c r="BS657" s="39"/>
      <c r="BT657" s="39"/>
      <c r="BU657" s="39"/>
      <c r="BV657" s="219">
        <v>10637589.730599999</v>
      </c>
      <c r="BW657" s="219">
        <f>+BV657*0.19</f>
        <v>2021142.0488139999</v>
      </c>
      <c r="BX657" s="273">
        <f>+BV657+BW657</f>
        <v>12658731.779414</v>
      </c>
      <c r="BY657" s="213" t="s">
        <v>196</v>
      </c>
      <c r="BZ657" s="213" t="s">
        <v>338</v>
      </c>
      <c r="CA657" s="213"/>
      <c r="CB657" s="275">
        <v>2560834</v>
      </c>
      <c r="CC657" s="274">
        <f>+CB657*0.19</f>
        <v>486558.46</v>
      </c>
      <c r="CD657" s="274">
        <f>+CB657+CC657</f>
        <v>3047392.46</v>
      </c>
      <c r="CE657" s="39"/>
      <c r="CF657" s="39"/>
      <c r="CG657" s="39"/>
      <c r="CH657" s="274"/>
      <c r="CI657" s="274"/>
      <c r="CJ657" s="274"/>
      <c r="CK657" s="39"/>
      <c r="CL657" s="39"/>
      <c r="CM657" s="39"/>
      <c r="CN657" s="39"/>
      <c r="CO657" s="39"/>
      <c r="CP657" s="11"/>
      <c r="CQ657" s="11"/>
      <c r="CR657" s="11"/>
      <c r="CS657" s="11"/>
      <c r="CT657" s="11"/>
      <c r="CU657" s="11"/>
      <c r="CV657" s="11"/>
      <c r="CW657" s="11"/>
      <c r="CX657" s="11"/>
      <c r="CY657" s="11"/>
      <c r="CZ657" s="11"/>
      <c r="DA657" s="11"/>
      <c r="DB657" s="11"/>
      <c r="DC657" s="11"/>
      <c r="DD657" s="11"/>
      <c r="DE657" s="11"/>
      <c r="DF657" s="11"/>
      <c r="DG657" s="11"/>
      <c r="DH657" s="11"/>
      <c r="DI657" s="11"/>
      <c r="DJ657" s="11"/>
      <c r="DK657" s="11"/>
      <c r="DL657" s="274"/>
      <c r="DM657" s="274"/>
      <c r="DN657" s="274"/>
      <c r="DO657" s="274"/>
      <c r="DP657" s="274"/>
      <c r="DQ657" s="274"/>
      <c r="DR657" s="274"/>
      <c r="DS657" s="274"/>
      <c r="DT657" s="274"/>
      <c r="DU657" s="274"/>
      <c r="DV657" s="274"/>
      <c r="DW657" s="274"/>
      <c r="DX657" s="274"/>
      <c r="DY657" s="274"/>
      <c r="DZ657" s="274"/>
      <c r="EA657" s="274"/>
      <c r="EB657" s="274"/>
      <c r="EC657" s="274"/>
      <c r="ED657" s="39">
        <f t="shared" si="218"/>
        <v>27185697.239413999</v>
      </c>
      <c r="EE657" s="30">
        <f t="shared" si="219"/>
        <v>3</v>
      </c>
      <c r="EF657" s="39">
        <f t="shared" si="220"/>
        <v>9061899.0798046663</v>
      </c>
    </row>
    <row r="658" spans="1:136" x14ac:dyDescent="0.25">
      <c r="A658" s="25" t="e">
        <f>#REF!</f>
        <v>#REF!</v>
      </c>
      <c r="B658" s="50" t="e">
        <f>#REF!</f>
        <v>#REF!</v>
      </c>
      <c r="C658" s="5" t="e">
        <f>#REF!</f>
        <v>#REF!</v>
      </c>
      <c r="D658" s="5" t="e">
        <f>#REF!</f>
        <v>#REF!</v>
      </c>
      <c r="E658" s="252">
        <v>1</v>
      </c>
      <c r="F658" s="249">
        <v>1190000</v>
      </c>
      <c r="G658" s="249">
        <v>0</v>
      </c>
      <c r="H658" s="249">
        <v>0</v>
      </c>
      <c r="I658" s="249">
        <v>0</v>
      </c>
      <c r="J658" s="249">
        <v>595000</v>
      </c>
      <c r="K658" s="249">
        <v>0</v>
      </c>
      <c r="L658" s="274">
        <f>AVERAGE(F658,J658)</f>
        <v>892500</v>
      </c>
      <c r="M658" s="274"/>
      <c r="N658" s="256">
        <v>500000</v>
      </c>
      <c r="O658" s="135">
        <f>+N658*0.19</f>
        <v>95000</v>
      </c>
      <c r="P658" s="135">
        <f>+N658+O658</f>
        <v>595000</v>
      </c>
      <c r="Q658" s="131"/>
      <c r="R658" s="131"/>
      <c r="S658" s="11"/>
      <c r="T658" s="274"/>
      <c r="U658" s="274"/>
      <c r="V658" s="274"/>
      <c r="W658" s="39"/>
      <c r="X658" s="11"/>
      <c r="Y658" s="11"/>
      <c r="Z658" s="274"/>
      <c r="AA658" s="274"/>
      <c r="AB658" s="274"/>
      <c r="AC658" s="52"/>
      <c r="AD658" s="22"/>
      <c r="AE658" s="39"/>
      <c r="AF658" s="274"/>
      <c r="AG658" s="274"/>
      <c r="AH658" s="171"/>
      <c r="AI658" s="4"/>
      <c r="AJ658" s="39"/>
      <c r="AK658" s="39"/>
      <c r="AL658" s="118"/>
      <c r="AM658" s="152"/>
      <c r="AN658" s="181"/>
      <c r="AO658" s="131"/>
      <c r="AP658" s="131"/>
      <c r="AQ658" s="39"/>
      <c r="AR658" s="274"/>
      <c r="AS658" s="274"/>
      <c r="AT658" s="274"/>
      <c r="AU658" s="39"/>
      <c r="AV658" s="39"/>
      <c r="AW658" s="39"/>
      <c r="AX658" s="274"/>
      <c r="AY658" s="274"/>
      <c r="AZ658" s="274"/>
      <c r="BA658" s="39"/>
      <c r="BB658" s="62"/>
      <c r="BC658" s="39"/>
      <c r="BD658" s="274"/>
      <c r="BE658" s="274"/>
      <c r="BF658" s="274"/>
      <c r="BG658" s="39"/>
      <c r="BH658" s="39"/>
      <c r="BI658" s="39"/>
      <c r="BJ658" s="274">
        <v>1136700</v>
      </c>
      <c r="BK658" s="274">
        <f>+BJ658*0.19</f>
        <v>215973</v>
      </c>
      <c r="BL658" s="274">
        <f>+BJ658+BK658</f>
        <v>1352673</v>
      </c>
      <c r="BM658" s="214" t="s">
        <v>3400</v>
      </c>
      <c r="BN658" s="213" t="s">
        <v>4995</v>
      </c>
      <c r="BO658" s="39"/>
      <c r="BP658" s="274">
        <v>165000</v>
      </c>
      <c r="BQ658" s="274">
        <f>+BP658*19%</f>
        <v>31350</v>
      </c>
      <c r="BR658" s="274">
        <f>+BQ658+BP658</f>
        <v>196350</v>
      </c>
      <c r="BS658" s="39"/>
      <c r="BT658" s="39"/>
      <c r="BU658" s="39"/>
      <c r="BV658" s="212">
        <v>1352991.2760000003</v>
      </c>
      <c r="BW658" s="219">
        <f>+BV658*0.19</f>
        <v>257068.34244000007</v>
      </c>
      <c r="BX658" s="273">
        <f>+BV658+BW658</f>
        <v>1610059.6184400003</v>
      </c>
      <c r="BY658" s="214" t="s">
        <v>3400</v>
      </c>
      <c r="BZ658" s="213" t="s">
        <v>4995</v>
      </c>
      <c r="CA658" s="213"/>
      <c r="CB658" s="274">
        <v>114914</v>
      </c>
      <c r="CC658" s="274">
        <f>+CB658*0.19</f>
        <v>21833.66</v>
      </c>
      <c r="CD658" s="274">
        <f>+CB658+CC658</f>
        <v>136747.66</v>
      </c>
      <c r="CE658" s="39"/>
      <c r="CF658" s="39"/>
      <c r="CG658" s="39"/>
      <c r="CH658" s="275"/>
      <c r="CI658" s="275"/>
      <c r="CJ658" s="275"/>
      <c r="CK658" s="39"/>
      <c r="CL658" s="39"/>
      <c r="CM658" s="39"/>
      <c r="CN658" s="39"/>
      <c r="CO658" s="39"/>
      <c r="CP658" s="11"/>
      <c r="CQ658" s="11"/>
      <c r="CR658" s="11"/>
      <c r="CS658" s="11"/>
      <c r="CT658" s="11"/>
      <c r="CU658" s="11"/>
      <c r="CV658" s="11"/>
      <c r="CW658" s="11"/>
      <c r="CX658" s="11"/>
      <c r="CY658" s="11"/>
      <c r="CZ658" s="11"/>
      <c r="DA658" s="11"/>
      <c r="DB658" s="11"/>
      <c r="DC658" s="11"/>
      <c r="DD658" s="11"/>
      <c r="DE658" s="11"/>
      <c r="DF658" s="11"/>
      <c r="DG658" s="11"/>
      <c r="DH658" s="11"/>
      <c r="DI658" s="11"/>
      <c r="DJ658" s="11"/>
      <c r="DK658" s="11"/>
      <c r="DL658" s="274"/>
      <c r="DM658" s="274"/>
      <c r="DN658" s="274"/>
      <c r="DO658" s="274"/>
      <c r="DP658" s="274"/>
      <c r="DQ658" s="274"/>
      <c r="DR658" s="274"/>
      <c r="DS658" s="274"/>
      <c r="DT658" s="274"/>
      <c r="DU658" s="274"/>
      <c r="DV658" s="274"/>
      <c r="DW658" s="274"/>
      <c r="DX658" s="274"/>
      <c r="DY658" s="274"/>
      <c r="DZ658" s="274"/>
      <c r="EA658" s="274"/>
      <c r="EB658" s="274"/>
      <c r="EC658" s="274"/>
      <c r="ED658" s="39">
        <f t="shared" si="218"/>
        <v>3890830.2784400005</v>
      </c>
      <c r="EE658" s="30">
        <f t="shared" si="219"/>
        <v>5</v>
      </c>
      <c r="EF658" s="39">
        <f t="shared" si="220"/>
        <v>778166.05568800005</v>
      </c>
    </row>
    <row r="659" spans="1:136" x14ac:dyDescent="0.25">
      <c r="A659" s="25" t="e">
        <f>#REF!</f>
        <v>#REF!</v>
      </c>
      <c r="B659" s="50" t="e">
        <f>#REF!</f>
        <v>#REF!</v>
      </c>
      <c r="C659" s="5" t="e">
        <f>#REF!</f>
        <v>#REF!</v>
      </c>
      <c r="D659" s="5" t="e">
        <f>#REF!</f>
        <v>#REF!</v>
      </c>
      <c r="E659" s="252">
        <v>1</v>
      </c>
      <c r="F659" s="249">
        <v>0</v>
      </c>
      <c r="G659" s="249">
        <v>0</v>
      </c>
      <c r="H659" s="249">
        <v>1543011</v>
      </c>
      <c r="I659" s="249">
        <v>0</v>
      </c>
      <c r="J659" s="249">
        <v>0</v>
      </c>
      <c r="K659" s="249">
        <v>0</v>
      </c>
      <c r="L659" s="274">
        <f>H659</f>
        <v>1543011</v>
      </c>
      <c r="M659" s="274"/>
      <c r="N659" s="255"/>
      <c r="O659" s="135"/>
      <c r="P659" s="135"/>
      <c r="Q659" s="131"/>
      <c r="R659" s="131"/>
      <c r="S659" s="11"/>
      <c r="T659" s="274"/>
      <c r="U659" s="274"/>
      <c r="V659" s="274"/>
      <c r="W659" s="39"/>
      <c r="X659" s="11"/>
      <c r="Y659" s="11"/>
      <c r="Z659" s="274"/>
      <c r="AA659" s="274"/>
      <c r="AB659" s="274"/>
      <c r="AC659" s="52"/>
      <c r="AD659" s="22"/>
      <c r="AE659" s="39"/>
      <c r="AF659" s="274"/>
      <c r="AG659" s="274"/>
      <c r="AH659" s="171"/>
      <c r="AI659" s="4"/>
      <c r="AJ659" s="39"/>
      <c r="AK659" s="39"/>
      <c r="AL659" s="118"/>
      <c r="AM659" s="152"/>
      <c r="AN659" s="181"/>
      <c r="AO659" s="131"/>
      <c r="AP659" s="131"/>
      <c r="AQ659" s="39"/>
      <c r="AR659" s="274"/>
      <c r="AS659" s="274"/>
      <c r="AT659" s="274"/>
      <c r="AU659" s="39"/>
      <c r="AV659" s="39"/>
      <c r="AW659" s="39"/>
      <c r="AX659" s="274"/>
      <c r="AY659" s="274"/>
      <c r="AZ659" s="274"/>
      <c r="BA659" s="39"/>
      <c r="BB659" s="62"/>
      <c r="BC659" s="39"/>
      <c r="BD659" s="274"/>
      <c r="BE659" s="274"/>
      <c r="BF659" s="274"/>
      <c r="BG659" s="39"/>
      <c r="BH659" s="39"/>
      <c r="BI659" s="39"/>
      <c r="BJ659" s="274"/>
      <c r="BK659" s="274"/>
      <c r="BL659" s="274"/>
      <c r="BM659" s="213"/>
      <c r="BN659" s="213"/>
      <c r="BO659" s="39"/>
      <c r="BP659" s="274">
        <v>265000</v>
      </c>
      <c r="BQ659" s="274">
        <f>+BP659*19%</f>
        <v>50350</v>
      </c>
      <c r="BR659" s="274">
        <f>+BQ659+BP659</f>
        <v>315350</v>
      </c>
      <c r="BS659" s="39"/>
      <c r="BT659" s="39"/>
      <c r="BU659" s="39"/>
      <c r="BV659" s="212"/>
      <c r="BW659" s="220"/>
      <c r="BX659" s="273"/>
      <c r="BY659" s="213"/>
      <c r="BZ659" s="213"/>
      <c r="CA659" s="213"/>
      <c r="CB659" s="275">
        <v>121535</v>
      </c>
      <c r="CC659" s="274">
        <f>+CB659*0.19</f>
        <v>23091.65</v>
      </c>
      <c r="CD659" s="274">
        <f>+CB659+CC659</f>
        <v>144626.65</v>
      </c>
      <c r="CE659" s="39"/>
      <c r="CF659" s="39"/>
      <c r="CG659" s="39"/>
      <c r="CH659" s="274"/>
      <c r="CI659" s="274"/>
      <c r="CJ659" s="274"/>
      <c r="CK659" s="39"/>
      <c r="CL659" s="39"/>
      <c r="CM659" s="39"/>
      <c r="CN659" s="39"/>
      <c r="CO659" s="39"/>
      <c r="CP659" s="11"/>
      <c r="CQ659" s="11"/>
      <c r="CR659" s="11"/>
      <c r="CS659" s="11"/>
      <c r="CT659" s="11"/>
      <c r="CU659" s="11"/>
      <c r="CV659" s="11"/>
      <c r="CW659" s="11"/>
      <c r="CX659" s="11"/>
      <c r="CY659" s="11"/>
      <c r="CZ659" s="11"/>
      <c r="DA659" s="11"/>
      <c r="DB659" s="11"/>
      <c r="DC659" s="11"/>
      <c r="DD659" s="11"/>
      <c r="DE659" s="11"/>
      <c r="DF659" s="11"/>
      <c r="DG659" s="11"/>
      <c r="DH659" s="11"/>
      <c r="DI659" s="11"/>
      <c r="DJ659" s="11"/>
      <c r="DK659" s="11"/>
      <c r="DL659" s="274"/>
      <c r="DM659" s="274"/>
      <c r="DN659" s="274"/>
      <c r="DO659" s="274"/>
      <c r="DP659" s="274"/>
      <c r="DQ659" s="274"/>
      <c r="DR659" s="274"/>
      <c r="DS659" s="274"/>
      <c r="DT659" s="274"/>
      <c r="DU659" s="274"/>
      <c r="DV659" s="274"/>
      <c r="DW659" s="274"/>
      <c r="DX659" s="274"/>
      <c r="DY659" s="274"/>
      <c r="DZ659" s="274"/>
      <c r="EA659" s="274"/>
      <c r="EB659" s="274"/>
      <c r="EC659" s="274"/>
      <c r="ED659" s="39">
        <f t="shared" si="218"/>
        <v>459976.65</v>
      </c>
      <c r="EE659" s="30">
        <f t="shared" si="219"/>
        <v>2</v>
      </c>
      <c r="EF659" s="39">
        <f t="shared" si="220"/>
        <v>229988.32500000001</v>
      </c>
    </row>
    <row r="660" spans="1:136" ht="36" x14ac:dyDescent="0.25">
      <c r="A660" s="25" t="e">
        <f>#REF!</f>
        <v>#REF!</v>
      </c>
      <c r="B660" s="50" t="e">
        <f>#REF!</f>
        <v>#REF!</v>
      </c>
      <c r="C660" s="5" t="e">
        <f>#REF!</f>
        <v>#REF!</v>
      </c>
      <c r="D660" s="5" t="e">
        <f>#REF!</f>
        <v>#REF!</v>
      </c>
      <c r="E660" s="252">
        <v>1</v>
      </c>
      <c r="F660" s="249">
        <v>0</v>
      </c>
      <c r="G660" s="249">
        <v>0</v>
      </c>
      <c r="H660" s="249">
        <v>0</v>
      </c>
      <c r="I660" s="249">
        <v>0</v>
      </c>
      <c r="J660" s="249">
        <v>90440</v>
      </c>
      <c r="K660" s="249">
        <v>90440</v>
      </c>
      <c r="L660" s="274">
        <f>J660</f>
        <v>90440</v>
      </c>
      <c r="M660" s="274">
        <f>K660*E1</f>
        <v>93153.2</v>
      </c>
      <c r="N660" s="256"/>
      <c r="O660" s="135"/>
      <c r="P660" s="135"/>
      <c r="Q660" s="131"/>
      <c r="R660" s="131"/>
      <c r="S660" s="11"/>
      <c r="T660" s="274"/>
      <c r="U660" s="274"/>
      <c r="V660" s="274"/>
      <c r="W660" s="39"/>
      <c r="X660" s="11"/>
      <c r="Y660" s="11"/>
      <c r="Z660" s="274"/>
      <c r="AA660" s="274"/>
      <c r="AB660" s="274"/>
      <c r="AC660" s="52"/>
      <c r="AD660" s="22"/>
      <c r="AE660" s="39"/>
      <c r="AF660" s="274"/>
      <c r="AG660" s="274"/>
      <c r="AH660" s="171"/>
      <c r="AI660" s="4"/>
      <c r="AJ660" s="39"/>
      <c r="AK660" s="39"/>
      <c r="AL660" s="118"/>
      <c r="AM660" s="152"/>
      <c r="AN660" s="181"/>
      <c r="AO660" s="131"/>
      <c r="AP660" s="131"/>
      <c r="AQ660" s="39"/>
      <c r="AR660" s="274"/>
      <c r="AS660" s="274"/>
      <c r="AT660" s="274"/>
      <c r="AU660" s="39"/>
      <c r="AV660" s="39"/>
      <c r="AW660" s="39"/>
      <c r="AX660" s="274"/>
      <c r="AY660" s="274"/>
      <c r="AZ660" s="274"/>
      <c r="BA660" s="39"/>
      <c r="BB660" s="62"/>
      <c r="BC660" s="39"/>
      <c r="BD660" s="274"/>
      <c r="BE660" s="274"/>
      <c r="BF660" s="274"/>
      <c r="BG660" s="39"/>
      <c r="BH660" s="39"/>
      <c r="BI660" s="39"/>
      <c r="BJ660" s="274">
        <v>424100</v>
      </c>
      <c r="BK660" s="274">
        <f>+BJ660*0.19</f>
        <v>80579</v>
      </c>
      <c r="BL660" s="274">
        <f>+BJ660+BK660</f>
        <v>504679</v>
      </c>
      <c r="BM660" s="214" t="s">
        <v>4423</v>
      </c>
      <c r="BN660" s="213" t="s">
        <v>469</v>
      </c>
      <c r="BO660" s="39"/>
      <c r="BP660" s="274">
        <v>165000</v>
      </c>
      <c r="BQ660" s="274">
        <f>+BP660*19%</f>
        <v>31350</v>
      </c>
      <c r="BR660" s="274">
        <f>+BQ660+BP660</f>
        <v>196350</v>
      </c>
      <c r="BS660" s="39"/>
      <c r="BT660" s="39"/>
      <c r="BU660" s="39"/>
      <c r="BV660" s="212">
        <v>477010.71600000001</v>
      </c>
      <c r="BW660" s="219">
        <f>+BV660*0.19</f>
        <v>90632.036040000006</v>
      </c>
      <c r="BX660" s="273">
        <f>+BV660+BW660</f>
        <v>567642.75204000005</v>
      </c>
      <c r="BY660" s="214" t="s">
        <v>4423</v>
      </c>
      <c r="BZ660" s="213" t="s">
        <v>469</v>
      </c>
      <c r="CA660" s="213"/>
      <c r="CB660" s="274"/>
      <c r="CC660" s="274"/>
      <c r="CD660" s="274"/>
      <c r="CE660" s="39"/>
      <c r="CF660" s="39"/>
      <c r="CG660" s="39"/>
      <c r="CH660" s="275"/>
      <c r="CI660" s="275"/>
      <c r="CJ660" s="275"/>
      <c r="CK660" s="39"/>
      <c r="CL660" s="39"/>
      <c r="CM660" s="39"/>
      <c r="CN660" s="39"/>
      <c r="CO660" s="39"/>
      <c r="CP660" s="11"/>
      <c r="CQ660" s="11"/>
      <c r="CR660" s="11"/>
      <c r="CS660" s="11"/>
      <c r="CT660" s="11"/>
      <c r="CU660" s="11"/>
      <c r="CV660" s="11"/>
      <c r="CW660" s="11"/>
      <c r="CX660" s="11"/>
      <c r="CY660" s="11"/>
      <c r="CZ660" s="11"/>
      <c r="DA660" s="11"/>
      <c r="DB660" s="11"/>
      <c r="DC660" s="11"/>
      <c r="DD660" s="11"/>
      <c r="DE660" s="11"/>
      <c r="DF660" s="11"/>
      <c r="DG660" s="11"/>
      <c r="DH660" s="11"/>
      <c r="DI660" s="11"/>
      <c r="DJ660" s="11"/>
      <c r="DK660" s="11"/>
      <c r="DL660" s="274"/>
      <c r="DM660" s="274"/>
      <c r="DN660" s="274"/>
      <c r="DO660" s="274"/>
      <c r="DP660" s="274"/>
      <c r="DQ660" s="274"/>
      <c r="DR660" s="274"/>
      <c r="DS660" s="274"/>
      <c r="DT660" s="274"/>
      <c r="DU660" s="274"/>
      <c r="DV660" s="274"/>
      <c r="DW660" s="274"/>
      <c r="DX660" s="274"/>
      <c r="DY660" s="274"/>
      <c r="DZ660" s="274"/>
      <c r="EA660" s="274"/>
      <c r="EB660" s="274"/>
      <c r="EC660" s="274"/>
      <c r="ED660" s="39">
        <f t="shared" si="218"/>
        <v>1361824.9520399999</v>
      </c>
      <c r="EE660" s="30">
        <f t="shared" si="219"/>
        <v>4</v>
      </c>
      <c r="EF660" s="39">
        <f t="shared" si="220"/>
        <v>340456.23800999997</v>
      </c>
    </row>
    <row r="661" spans="1:136" x14ac:dyDescent="0.25">
      <c r="A661" s="25" t="e">
        <f>#REF!</f>
        <v>#REF!</v>
      </c>
      <c r="B661" s="50" t="e">
        <f>#REF!</f>
        <v>#REF!</v>
      </c>
      <c r="C661" s="5" t="e">
        <f>#REF!</f>
        <v>#REF!</v>
      </c>
      <c r="D661" s="5" t="e">
        <f>#REF!</f>
        <v>#REF!</v>
      </c>
      <c r="E661" s="252">
        <v>1</v>
      </c>
      <c r="F661" s="249">
        <v>15127.875</v>
      </c>
      <c r="G661" s="249">
        <v>14637</v>
      </c>
      <c r="H661" s="249">
        <v>13574.683033333335</v>
      </c>
      <c r="I661" s="249">
        <v>0</v>
      </c>
      <c r="J661" s="249">
        <v>20630.633333333331</v>
      </c>
      <c r="K661" s="249">
        <v>0</v>
      </c>
      <c r="L661" s="274">
        <f>AVERAGE(F661,H661,J661)</f>
        <v>16444.397122222221</v>
      </c>
      <c r="M661" s="274">
        <f>G661*E1</f>
        <v>15076.11</v>
      </c>
      <c r="N661" s="255">
        <v>20000</v>
      </c>
      <c r="O661" s="135">
        <f>+N661*0.19</f>
        <v>3800</v>
      </c>
      <c r="P661" s="135">
        <f>+N661+O661</f>
        <v>23800</v>
      </c>
      <c r="Q661" s="131"/>
      <c r="R661" s="131"/>
      <c r="S661" s="11"/>
      <c r="T661" s="274"/>
      <c r="U661" s="274"/>
      <c r="V661" s="274"/>
      <c r="W661" s="39"/>
      <c r="X661" s="11"/>
      <c r="Y661" s="11"/>
      <c r="Z661" s="274"/>
      <c r="AA661" s="274"/>
      <c r="AB661" s="274"/>
      <c r="AC661" s="52"/>
      <c r="AD661" s="22"/>
      <c r="AE661" s="39"/>
      <c r="AF661" s="274"/>
      <c r="AG661" s="274"/>
      <c r="AH661" s="171"/>
      <c r="AI661" s="22"/>
      <c r="AJ661" s="39"/>
      <c r="AK661" s="39"/>
      <c r="AL661" s="118"/>
      <c r="AM661" s="152"/>
      <c r="AN661" s="181"/>
      <c r="AO661" s="131"/>
      <c r="AP661" s="131"/>
      <c r="AQ661" s="39"/>
      <c r="AR661" s="274"/>
      <c r="AS661" s="274"/>
      <c r="AT661" s="274"/>
      <c r="AU661" s="39"/>
      <c r="AV661" s="39"/>
      <c r="AW661" s="39"/>
      <c r="AX661" s="274"/>
      <c r="AY661" s="274"/>
      <c r="AZ661" s="274"/>
      <c r="BA661" s="39"/>
      <c r="BB661" s="62"/>
      <c r="BC661" s="39"/>
      <c r="BD661" s="274"/>
      <c r="BE661" s="274"/>
      <c r="BF661" s="274"/>
      <c r="BG661" s="39"/>
      <c r="BH661" s="39"/>
      <c r="BI661" s="39"/>
      <c r="BJ661" s="274">
        <v>60000</v>
      </c>
      <c r="BK661" s="274">
        <f>+BJ661*0</f>
        <v>0</v>
      </c>
      <c r="BL661" s="274">
        <f>+BJ661+BK661</f>
        <v>60000</v>
      </c>
      <c r="BM661" s="214" t="s">
        <v>3739</v>
      </c>
      <c r="BN661" s="213" t="s">
        <v>4427</v>
      </c>
      <c r="BO661" s="39"/>
      <c r="BP661" s="274">
        <v>15500</v>
      </c>
      <c r="BQ661" s="274">
        <f>+BP661*19%</f>
        <v>2945</v>
      </c>
      <c r="BR661" s="274">
        <f>+BQ661+BP661</f>
        <v>18445</v>
      </c>
      <c r="BS661" s="39"/>
      <c r="BT661" s="39"/>
      <c r="BU661" s="39"/>
      <c r="BV661" s="219">
        <v>73476.900000000023</v>
      </c>
      <c r="BW661" s="222">
        <f>+BV661*0</f>
        <v>0</v>
      </c>
      <c r="BX661" s="273">
        <f>+BV661+BW661</f>
        <v>73476.900000000023</v>
      </c>
      <c r="BY661" s="214" t="s">
        <v>3739</v>
      </c>
      <c r="BZ661" s="213" t="s">
        <v>4427</v>
      </c>
      <c r="CA661" s="213"/>
      <c r="CB661" s="274"/>
      <c r="CC661" s="274"/>
      <c r="CD661" s="274"/>
      <c r="CE661" s="39"/>
      <c r="CF661" s="39"/>
      <c r="CG661" s="39"/>
      <c r="CH661" s="274"/>
      <c r="CI661" s="274"/>
      <c r="CJ661" s="274"/>
      <c r="CK661" s="39"/>
      <c r="CL661" s="39"/>
      <c r="CM661" s="39"/>
      <c r="CN661" s="39"/>
      <c r="CO661" s="39"/>
      <c r="CP661" s="11"/>
      <c r="CQ661" s="11"/>
      <c r="CR661" s="11"/>
      <c r="CS661" s="11"/>
      <c r="CT661" s="11"/>
      <c r="CU661" s="11"/>
      <c r="CV661" s="11"/>
      <c r="CW661" s="11"/>
      <c r="CX661" s="11"/>
      <c r="CY661" s="11"/>
      <c r="CZ661" s="11"/>
      <c r="DA661" s="11"/>
      <c r="DB661" s="11"/>
      <c r="DC661" s="11"/>
      <c r="DD661" s="11"/>
      <c r="DE661" s="11"/>
      <c r="DF661" s="11"/>
      <c r="DG661" s="11"/>
      <c r="DH661" s="11"/>
      <c r="DI661" s="11"/>
      <c r="DJ661" s="11"/>
      <c r="DK661" s="11"/>
      <c r="DL661" s="274"/>
      <c r="DM661" s="274"/>
      <c r="DN661" s="274"/>
      <c r="DO661" s="274"/>
      <c r="DP661" s="274"/>
      <c r="DQ661" s="274"/>
      <c r="DR661" s="274"/>
      <c r="DS661" s="274"/>
      <c r="DT661" s="274"/>
      <c r="DU661" s="274"/>
      <c r="DV661" s="274"/>
      <c r="DW661" s="274"/>
      <c r="DX661" s="274"/>
      <c r="DY661" s="274"/>
      <c r="DZ661" s="274"/>
      <c r="EA661" s="274"/>
      <c r="EB661" s="274"/>
      <c r="EC661" s="274"/>
      <c r="ED661" s="39">
        <f t="shared" si="218"/>
        <v>190798.01</v>
      </c>
      <c r="EE661" s="30">
        <f t="shared" si="219"/>
        <v>5</v>
      </c>
      <c r="EF661" s="39">
        <f t="shared" si="220"/>
        <v>38159.601999999999</v>
      </c>
    </row>
    <row r="662" spans="1:136" x14ac:dyDescent="0.25">
      <c r="A662" s="25" t="e">
        <f>#REF!</f>
        <v>#REF!</v>
      </c>
      <c r="B662" s="50" t="e">
        <f>#REF!</f>
        <v>#REF!</v>
      </c>
      <c r="C662" s="5" t="e">
        <f>#REF!</f>
        <v>#REF!</v>
      </c>
      <c r="D662" s="5" t="e">
        <f>#REF!</f>
        <v>#REF!</v>
      </c>
      <c r="E662" s="252">
        <v>1</v>
      </c>
      <c r="F662" s="249">
        <v>0</v>
      </c>
      <c r="G662" s="249">
        <v>0</v>
      </c>
      <c r="H662" s="249">
        <v>0</v>
      </c>
      <c r="I662" s="249">
        <v>0</v>
      </c>
      <c r="J662" s="249">
        <v>0</v>
      </c>
      <c r="K662" s="249">
        <v>0</v>
      </c>
      <c r="L662" s="274"/>
      <c r="M662" s="274"/>
      <c r="N662" s="255"/>
      <c r="O662" s="135"/>
      <c r="P662" s="135"/>
      <c r="Q662" s="131"/>
      <c r="R662" s="131"/>
      <c r="S662" s="11"/>
      <c r="T662" s="274"/>
      <c r="U662" s="274"/>
      <c r="V662" s="274"/>
      <c r="W662" s="39"/>
      <c r="X662" s="11"/>
      <c r="Y662" s="11"/>
      <c r="Z662" s="274"/>
      <c r="AA662" s="274"/>
      <c r="AB662" s="274"/>
      <c r="AC662" s="52"/>
      <c r="AD662" s="26"/>
      <c r="AE662" s="39"/>
      <c r="AF662" s="274"/>
      <c r="AG662" s="274"/>
      <c r="AH662" s="171"/>
      <c r="AI662" s="59"/>
      <c r="AJ662" s="39"/>
      <c r="AK662" s="39"/>
      <c r="AL662" s="118"/>
      <c r="AM662" s="152"/>
      <c r="AN662" s="181"/>
      <c r="AO662" s="131"/>
      <c r="AP662" s="131"/>
      <c r="AQ662" s="39"/>
      <c r="AR662" s="274"/>
      <c r="AS662" s="274"/>
      <c r="AT662" s="274"/>
      <c r="AU662" s="39"/>
      <c r="AV662" s="39"/>
      <c r="AW662" s="39"/>
      <c r="AX662" s="274"/>
      <c r="AY662" s="274"/>
      <c r="AZ662" s="274"/>
      <c r="BA662" s="39"/>
      <c r="BB662" s="62"/>
      <c r="BC662" s="39"/>
      <c r="BD662" s="274"/>
      <c r="BE662" s="274"/>
      <c r="BF662" s="274"/>
      <c r="BG662" s="39"/>
      <c r="BH662" s="39"/>
      <c r="BI662" s="39"/>
      <c r="BJ662" s="274"/>
      <c r="BK662" s="274"/>
      <c r="BL662" s="274"/>
      <c r="BM662" s="213"/>
      <c r="BN662" s="213"/>
      <c r="BO662" s="39"/>
      <c r="BP662" s="274">
        <v>3800</v>
      </c>
      <c r="BQ662" s="274">
        <f>+BP662*19%</f>
        <v>722</v>
      </c>
      <c r="BR662" s="274">
        <f>+BQ662+BP662</f>
        <v>4522</v>
      </c>
      <c r="BS662" s="39"/>
      <c r="BT662" s="39"/>
      <c r="BU662" s="39"/>
      <c r="BV662" s="212"/>
      <c r="BW662" s="220"/>
      <c r="BX662" s="273"/>
      <c r="BY662" s="213"/>
      <c r="BZ662" s="213"/>
      <c r="CA662" s="213"/>
      <c r="CB662" s="274"/>
      <c r="CC662" s="274"/>
      <c r="CD662" s="274"/>
      <c r="CE662" s="39"/>
      <c r="CF662" s="39"/>
      <c r="CG662" s="39"/>
      <c r="CH662" s="274"/>
      <c r="CI662" s="274"/>
      <c r="CJ662" s="274"/>
      <c r="CK662" s="39"/>
      <c r="CL662" s="39"/>
      <c r="CM662" s="39"/>
      <c r="CN662" s="39"/>
      <c r="CO662" s="39"/>
      <c r="CP662" s="11"/>
      <c r="CQ662" s="11"/>
      <c r="CR662" s="11"/>
      <c r="CS662" s="11"/>
      <c r="CT662" s="11"/>
      <c r="CU662" s="11"/>
      <c r="CV662" s="11"/>
      <c r="CW662" s="11"/>
      <c r="CX662" s="11"/>
      <c r="CY662" s="11"/>
      <c r="CZ662" s="11"/>
      <c r="DA662" s="11"/>
      <c r="DB662" s="11"/>
      <c r="DC662" s="11"/>
      <c r="DD662" s="11"/>
      <c r="DE662" s="11"/>
      <c r="DF662" s="11"/>
      <c r="DG662" s="11"/>
      <c r="DH662" s="11"/>
      <c r="DI662" s="11"/>
      <c r="DJ662" s="11"/>
      <c r="DK662" s="11"/>
      <c r="DL662" s="274"/>
      <c r="DM662" s="274"/>
      <c r="DN662" s="274"/>
      <c r="DO662" s="274"/>
      <c r="DP662" s="274"/>
      <c r="DQ662" s="274"/>
      <c r="DR662" s="274"/>
      <c r="DS662" s="274"/>
      <c r="DT662" s="274"/>
      <c r="DU662" s="274"/>
      <c r="DV662" s="274"/>
      <c r="DW662" s="274"/>
      <c r="DX662" s="274"/>
      <c r="DY662" s="274"/>
      <c r="DZ662" s="274"/>
      <c r="EA662" s="274"/>
      <c r="EB662" s="274"/>
      <c r="EC662" s="274"/>
      <c r="ED662" s="39">
        <f t="shared" si="218"/>
        <v>4522</v>
      </c>
      <c r="EE662" s="30">
        <f t="shared" si="219"/>
        <v>1</v>
      </c>
      <c r="EF662" s="39">
        <f t="shared" si="220"/>
        <v>4522</v>
      </c>
    </row>
    <row r="663" spans="1:136" x14ac:dyDescent="0.25">
      <c r="A663" s="25" t="e">
        <f>#REF!</f>
        <v>#REF!</v>
      </c>
      <c r="B663" s="50" t="e">
        <f>#REF!</f>
        <v>#REF!</v>
      </c>
      <c r="C663" s="5" t="e">
        <f>#REF!</f>
        <v>#REF!</v>
      </c>
      <c r="D663" s="5" t="e">
        <f>#REF!</f>
        <v>#REF!</v>
      </c>
      <c r="E663" s="252">
        <v>1</v>
      </c>
      <c r="F663" s="249">
        <v>0</v>
      </c>
      <c r="G663" s="249">
        <v>0</v>
      </c>
      <c r="H663" s="249">
        <v>0</v>
      </c>
      <c r="I663" s="249">
        <v>0</v>
      </c>
      <c r="J663" s="249">
        <v>0</v>
      </c>
      <c r="K663" s="249">
        <v>0</v>
      </c>
      <c r="L663" s="274"/>
      <c r="M663" s="274"/>
      <c r="N663" s="255"/>
      <c r="O663" s="135"/>
      <c r="P663" s="135"/>
      <c r="Q663" s="131"/>
      <c r="R663" s="131"/>
      <c r="S663" s="11"/>
      <c r="T663" s="274"/>
      <c r="U663" s="274"/>
      <c r="V663" s="274"/>
      <c r="W663" s="39"/>
      <c r="X663" s="11"/>
      <c r="Y663" s="11"/>
      <c r="Z663" s="274"/>
      <c r="AA663" s="274"/>
      <c r="AB663" s="274"/>
      <c r="AC663" s="52"/>
      <c r="AD663" s="23"/>
      <c r="AE663" s="39"/>
      <c r="AF663" s="274"/>
      <c r="AG663" s="274"/>
      <c r="AH663" s="171"/>
      <c r="AI663" s="24"/>
      <c r="AJ663" s="39"/>
      <c r="AK663" s="39"/>
      <c r="AL663" s="118"/>
      <c r="AM663" s="152"/>
      <c r="AN663" s="181"/>
      <c r="AO663" s="131"/>
      <c r="AP663" s="131"/>
      <c r="AQ663" s="39"/>
      <c r="AR663" s="274"/>
      <c r="AS663" s="274"/>
      <c r="AT663" s="274"/>
      <c r="AU663" s="39"/>
      <c r="AV663" s="39"/>
      <c r="AW663" s="39"/>
      <c r="AX663" s="274"/>
      <c r="AY663" s="274"/>
      <c r="AZ663" s="274"/>
      <c r="BA663" s="39"/>
      <c r="BB663" s="62"/>
      <c r="BC663" s="39"/>
      <c r="BD663" s="274"/>
      <c r="BE663" s="274"/>
      <c r="BF663" s="274"/>
      <c r="BG663" s="39"/>
      <c r="BH663" s="39"/>
      <c r="BI663" s="39"/>
      <c r="BJ663" s="274">
        <v>248100</v>
      </c>
      <c r="BK663" s="274">
        <f>+BJ663*0.19</f>
        <v>47139</v>
      </c>
      <c r="BL663" s="274">
        <f>+BJ663+BK663</f>
        <v>295239</v>
      </c>
      <c r="BM663" s="213" t="s">
        <v>196</v>
      </c>
      <c r="BN663" s="213" t="s">
        <v>2925</v>
      </c>
      <c r="BO663" s="39"/>
      <c r="BP663" s="274"/>
      <c r="BQ663" s="274"/>
      <c r="BR663" s="274"/>
      <c r="BS663" s="39"/>
      <c r="BT663" s="39"/>
      <c r="BU663" s="39"/>
      <c r="BV663" s="219">
        <v>287102.56050000002</v>
      </c>
      <c r="BW663" s="219">
        <f>+BV663*0.19</f>
        <v>54549.486495000005</v>
      </c>
      <c r="BX663" s="273">
        <f>+BV663+BW663</f>
        <v>341652.04699500004</v>
      </c>
      <c r="BY663" s="213" t="s">
        <v>196</v>
      </c>
      <c r="BZ663" s="213" t="s">
        <v>2925</v>
      </c>
      <c r="CA663" s="213"/>
      <c r="CB663" s="274"/>
      <c r="CC663" s="274"/>
      <c r="CD663" s="274"/>
      <c r="CE663" s="39"/>
      <c r="CF663" s="39"/>
      <c r="CG663" s="39"/>
      <c r="CH663" s="274"/>
      <c r="CI663" s="274"/>
      <c r="CJ663" s="274"/>
      <c r="CK663" s="39"/>
      <c r="CL663" s="39"/>
      <c r="CM663" s="39"/>
      <c r="CN663" s="39"/>
      <c r="CO663" s="39"/>
      <c r="CP663" s="11"/>
      <c r="CQ663" s="11"/>
      <c r="CR663" s="11"/>
      <c r="CS663" s="11"/>
      <c r="CT663" s="11"/>
      <c r="CU663" s="11"/>
      <c r="CV663" s="11"/>
      <c r="CW663" s="11"/>
      <c r="CX663" s="11"/>
      <c r="CY663" s="11"/>
      <c r="CZ663" s="11"/>
      <c r="DA663" s="11"/>
      <c r="DB663" s="11"/>
      <c r="DC663" s="11"/>
      <c r="DD663" s="11"/>
      <c r="DE663" s="11"/>
      <c r="DF663" s="11"/>
      <c r="DG663" s="11"/>
      <c r="DH663" s="11"/>
      <c r="DI663" s="11"/>
      <c r="DJ663" s="11"/>
      <c r="DK663" s="11"/>
      <c r="DL663" s="274"/>
      <c r="DM663" s="274"/>
      <c r="DN663" s="274"/>
      <c r="DO663" s="274"/>
      <c r="DP663" s="274"/>
      <c r="DQ663" s="274"/>
      <c r="DR663" s="274"/>
      <c r="DS663" s="274"/>
      <c r="DT663" s="274"/>
      <c r="DU663" s="274"/>
      <c r="DV663" s="274"/>
      <c r="DW663" s="274"/>
      <c r="DX663" s="274"/>
      <c r="DY663" s="274"/>
      <c r="DZ663" s="274"/>
      <c r="EA663" s="274"/>
      <c r="EB663" s="274"/>
      <c r="EC663" s="274"/>
      <c r="ED663" s="39">
        <f t="shared" si="218"/>
        <v>636891.04699499998</v>
      </c>
      <c r="EE663" s="30">
        <f t="shared" si="219"/>
        <v>2</v>
      </c>
      <c r="EF663" s="39">
        <f t="shared" si="220"/>
        <v>318445.52349749999</v>
      </c>
    </row>
    <row r="664" spans="1:136" x14ac:dyDescent="0.25">
      <c r="A664" s="25" t="e">
        <f>#REF!</f>
        <v>#REF!</v>
      </c>
      <c r="B664" s="50" t="e">
        <f>#REF!</f>
        <v>#REF!</v>
      </c>
      <c r="C664" s="5" t="e">
        <f>#REF!</f>
        <v>#REF!</v>
      </c>
      <c r="D664" s="5" t="e">
        <f>#REF!</f>
        <v>#REF!</v>
      </c>
      <c r="E664" s="252">
        <v>1</v>
      </c>
      <c r="F664" s="249">
        <v>0</v>
      </c>
      <c r="G664" s="249">
        <v>0</v>
      </c>
      <c r="H664" s="249">
        <v>0</v>
      </c>
      <c r="I664" s="249">
        <v>0</v>
      </c>
      <c r="J664" s="249">
        <v>0</v>
      </c>
      <c r="K664" s="249">
        <v>0</v>
      </c>
      <c r="L664" s="274"/>
      <c r="M664" s="274"/>
      <c r="N664" s="255"/>
      <c r="O664" s="135"/>
      <c r="P664" s="135"/>
      <c r="Q664" s="131"/>
      <c r="R664" s="131"/>
      <c r="S664" s="11"/>
      <c r="T664" s="274"/>
      <c r="U664" s="274"/>
      <c r="V664" s="274"/>
      <c r="W664" s="39"/>
      <c r="X664" s="11"/>
      <c r="Y664" s="11"/>
      <c r="Z664" s="274"/>
      <c r="AA664" s="274"/>
      <c r="AB664" s="274"/>
      <c r="AC664" s="52"/>
      <c r="AD664" s="22"/>
      <c r="AE664" s="39"/>
      <c r="AF664" s="274"/>
      <c r="AG664" s="274"/>
      <c r="AH664" s="171"/>
      <c r="AI664" s="4"/>
      <c r="AJ664" s="39"/>
      <c r="AK664" s="39"/>
      <c r="AL664" s="118"/>
      <c r="AM664" s="152"/>
      <c r="AN664" s="181"/>
      <c r="AO664" s="131"/>
      <c r="AP664" s="131"/>
      <c r="AQ664" s="39"/>
      <c r="AR664" s="274"/>
      <c r="AS664" s="274"/>
      <c r="AT664" s="274"/>
      <c r="AU664" s="39"/>
      <c r="AV664" s="39"/>
      <c r="AW664" s="39"/>
      <c r="AX664" s="274"/>
      <c r="AY664" s="274"/>
      <c r="AZ664" s="274"/>
      <c r="BA664" s="39"/>
      <c r="BB664" s="62"/>
      <c r="BC664" s="39"/>
      <c r="BD664" s="274"/>
      <c r="BE664" s="274"/>
      <c r="BF664" s="274"/>
      <c r="BG664" s="39"/>
      <c r="BH664" s="39"/>
      <c r="BI664" s="39"/>
      <c r="BJ664" s="274"/>
      <c r="BK664" s="274"/>
      <c r="BL664" s="274"/>
      <c r="BM664" s="213"/>
      <c r="BN664" s="213"/>
      <c r="BO664" s="39"/>
      <c r="BP664" s="274">
        <v>3800</v>
      </c>
      <c r="BQ664" s="274">
        <f t="shared" ref="BQ664:BQ670" si="223">+BP664*19%</f>
        <v>722</v>
      </c>
      <c r="BR664" s="274">
        <f t="shared" ref="BR664:BR670" si="224">+BQ664+BP664</f>
        <v>4522</v>
      </c>
      <c r="BS664" s="39"/>
      <c r="BT664" s="39"/>
      <c r="BU664" s="39"/>
      <c r="BV664" s="212"/>
      <c r="BW664" s="220"/>
      <c r="BX664" s="273"/>
      <c r="BY664" s="213"/>
      <c r="BZ664" s="213"/>
      <c r="CA664" s="213"/>
      <c r="CB664" s="274"/>
      <c r="CC664" s="274"/>
      <c r="CD664" s="274"/>
      <c r="CE664" s="39"/>
      <c r="CF664" s="39"/>
      <c r="CG664" s="39"/>
      <c r="CH664" s="274"/>
      <c r="CI664" s="274"/>
      <c r="CJ664" s="274"/>
      <c r="CK664" s="39"/>
      <c r="CL664" s="39"/>
      <c r="CM664" s="39"/>
      <c r="CN664" s="39"/>
      <c r="CO664" s="39"/>
      <c r="CP664" s="11"/>
      <c r="CQ664" s="11"/>
      <c r="CR664" s="11"/>
      <c r="CS664" s="11"/>
      <c r="CT664" s="11"/>
      <c r="CU664" s="11"/>
      <c r="CV664" s="11"/>
      <c r="CW664" s="11"/>
      <c r="CX664" s="11"/>
      <c r="CY664" s="11"/>
      <c r="CZ664" s="11"/>
      <c r="DA664" s="11"/>
      <c r="DB664" s="11"/>
      <c r="DC664" s="11"/>
      <c r="DD664" s="11"/>
      <c r="DE664" s="11"/>
      <c r="DF664" s="11"/>
      <c r="DG664" s="11"/>
      <c r="DH664" s="11"/>
      <c r="DI664" s="11"/>
      <c r="DJ664" s="11"/>
      <c r="DK664" s="11"/>
      <c r="DL664" s="274"/>
      <c r="DM664" s="274"/>
      <c r="DN664" s="274"/>
      <c r="DO664" s="274"/>
      <c r="DP664" s="274"/>
      <c r="DQ664" s="274"/>
      <c r="DR664" s="274"/>
      <c r="DS664" s="274"/>
      <c r="DT664" s="274"/>
      <c r="DU664" s="274"/>
      <c r="DV664" s="274"/>
      <c r="DW664" s="274"/>
      <c r="DX664" s="274"/>
      <c r="DY664" s="274"/>
      <c r="DZ664" s="274"/>
      <c r="EA664" s="274"/>
      <c r="EB664" s="274"/>
      <c r="EC664" s="274"/>
      <c r="ED664" s="39">
        <f t="shared" si="218"/>
        <v>4522</v>
      </c>
      <c r="EE664" s="30">
        <f t="shared" si="219"/>
        <v>1</v>
      </c>
      <c r="EF664" s="39">
        <f t="shared" si="220"/>
        <v>4522</v>
      </c>
    </row>
    <row r="665" spans="1:136" x14ac:dyDescent="0.25">
      <c r="A665" s="25" t="e">
        <f>#REF!</f>
        <v>#REF!</v>
      </c>
      <c r="B665" s="50" t="e">
        <f>#REF!</f>
        <v>#REF!</v>
      </c>
      <c r="C665" s="5" t="e">
        <f>#REF!</f>
        <v>#REF!</v>
      </c>
      <c r="D665" s="5" t="e">
        <f>#REF!</f>
        <v>#REF!</v>
      </c>
      <c r="E665" s="252">
        <v>1</v>
      </c>
      <c r="F665" s="249">
        <v>1428000</v>
      </c>
      <c r="G665" s="249">
        <v>1406580</v>
      </c>
      <c r="H665" s="249">
        <v>595000</v>
      </c>
      <c r="I665" s="249">
        <v>0</v>
      </c>
      <c r="J665" s="249">
        <v>602378</v>
      </c>
      <c r="K665" s="249">
        <v>988057</v>
      </c>
      <c r="L665" s="274">
        <f>AVERAGE(F665,H665,J665)</f>
        <v>875126</v>
      </c>
      <c r="M665" s="274">
        <f>AVERAGE(G665,K665)*E1</f>
        <v>1233238.0549999999</v>
      </c>
      <c r="N665" s="255"/>
      <c r="O665" s="135"/>
      <c r="P665" s="135"/>
      <c r="Q665" s="131"/>
      <c r="R665" s="131"/>
      <c r="S665" s="11"/>
      <c r="T665" s="274"/>
      <c r="U665" s="274"/>
      <c r="V665" s="274"/>
      <c r="W665" s="39"/>
      <c r="X665" s="11"/>
      <c r="Y665" s="11"/>
      <c r="Z665" s="274"/>
      <c r="AA665" s="274"/>
      <c r="AB665" s="274"/>
      <c r="AC665" s="52"/>
      <c r="AD665" s="22"/>
      <c r="AE665" s="39"/>
      <c r="AF665" s="274"/>
      <c r="AG665" s="274"/>
      <c r="AH665" s="171"/>
      <c r="AI665" s="4"/>
      <c r="AJ665" s="39"/>
      <c r="AK665" s="39"/>
      <c r="AL665" s="118"/>
      <c r="AM665" s="152"/>
      <c r="AN665" s="181"/>
      <c r="AO665" s="131"/>
      <c r="AP665" s="131"/>
      <c r="AQ665" s="39"/>
      <c r="AR665" s="274"/>
      <c r="AS665" s="274"/>
      <c r="AT665" s="274"/>
      <c r="AU665" s="39"/>
      <c r="AV665" s="39"/>
      <c r="AW665" s="39"/>
      <c r="AX665" s="274"/>
      <c r="AY665" s="274"/>
      <c r="AZ665" s="274"/>
      <c r="BA665" s="39"/>
      <c r="BB665" s="62"/>
      <c r="BC665" s="39"/>
      <c r="BD665" s="274"/>
      <c r="BE665" s="274"/>
      <c r="BF665" s="274"/>
      <c r="BG665" s="39"/>
      <c r="BH665" s="39"/>
      <c r="BI665" s="39"/>
      <c r="BJ665" s="275">
        <v>1000000</v>
      </c>
      <c r="BK665" s="274">
        <f t="shared" ref="BK665:BK674" si="225">+BJ665*0.19</f>
        <v>190000</v>
      </c>
      <c r="BL665" s="274">
        <f t="shared" ref="BL665:BL683" si="226">+BJ665+BK665</f>
        <v>1190000</v>
      </c>
      <c r="BM665" s="214" t="s">
        <v>3400</v>
      </c>
      <c r="BN665" s="213" t="s">
        <v>4995</v>
      </c>
      <c r="BO665" s="39"/>
      <c r="BP665" s="274">
        <v>85000</v>
      </c>
      <c r="BQ665" s="274">
        <f t="shared" si="223"/>
        <v>16150</v>
      </c>
      <c r="BR665" s="274">
        <f t="shared" si="224"/>
        <v>101150</v>
      </c>
      <c r="BS665" s="39"/>
      <c r="BT665" s="39"/>
      <c r="BU665" s="39"/>
      <c r="BV665" s="219"/>
      <c r="BW665" s="219"/>
      <c r="BX665" s="273"/>
      <c r="BY665" s="214"/>
      <c r="BZ665" s="213"/>
      <c r="CA665" s="213"/>
      <c r="CB665" s="274"/>
      <c r="CC665" s="274"/>
      <c r="CD665" s="274"/>
      <c r="CE665" s="39"/>
      <c r="CF665" s="39"/>
      <c r="CG665" s="39"/>
      <c r="CH665" s="274"/>
      <c r="CI665" s="274"/>
      <c r="CJ665" s="274"/>
      <c r="CK665" s="39"/>
      <c r="CL665" s="39"/>
      <c r="CM665" s="39"/>
      <c r="CN665" s="39"/>
      <c r="CO665" s="39"/>
      <c r="CP665" s="11"/>
      <c r="CQ665" s="11"/>
      <c r="CR665" s="11"/>
      <c r="CS665" s="11"/>
      <c r="CT665" s="11"/>
      <c r="CU665" s="11"/>
      <c r="CV665" s="11"/>
      <c r="CW665" s="11"/>
      <c r="CX665" s="11"/>
      <c r="CY665" s="11"/>
      <c r="CZ665" s="11"/>
      <c r="DA665" s="11"/>
      <c r="DB665" s="11"/>
      <c r="DC665" s="11"/>
      <c r="DD665" s="11"/>
      <c r="DE665" s="11"/>
      <c r="DF665" s="11"/>
      <c r="DG665" s="11"/>
      <c r="DH665" s="11"/>
      <c r="DI665" s="11"/>
      <c r="DJ665" s="11"/>
      <c r="DK665" s="11"/>
      <c r="DL665" s="274"/>
      <c r="DM665" s="274"/>
      <c r="DN665" s="274"/>
      <c r="DO665" s="274"/>
      <c r="DP665" s="274"/>
      <c r="DQ665" s="274"/>
      <c r="DR665" s="274"/>
      <c r="DS665" s="274"/>
      <c r="DT665" s="274"/>
      <c r="DU665" s="274"/>
      <c r="DV665" s="274"/>
      <c r="DW665" s="274"/>
      <c r="DX665" s="274"/>
      <c r="DY665" s="274"/>
      <c r="DZ665" s="274"/>
      <c r="EA665" s="274"/>
      <c r="EB665" s="274"/>
      <c r="EC665" s="274"/>
      <c r="ED665" s="39">
        <f t="shared" si="218"/>
        <v>2524388.0549999997</v>
      </c>
      <c r="EE665" s="30">
        <f t="shared" si="219"/>
        <v>3</v>
      </c>
      <c r="EF665" s="39">
        <f t="shared" si="220"/>
        <v>841462.68499999994</v>
      </c>
    </row>
    <row r="666" spans="1:136" ht="24" x14ac:dyDescent="0.25">
      <c r="A666" s="25" t="e">
        <f>#REF!</f>
        <v>#REF!</v>
      </c>
      <c r="B666" s="50" t="e">
        <f>#REF!</f>
        <v>#REF!</v>
      </c>
      <c r="C666" s="5" t="e">
        <f>#REF!</f>
        <v>#REF!</v>
      </c>
      <c r="D666" s="5" t="e">
        <f>#REF!</f>
        <v>#REF!</v>
      </c>
      <c r="E666" s="252">
        <v>1</v>
      </c>
      <c r="F666" s="249">
        <v>0</v>
      </c>
      <c r="G666" s="249">
        <v>0</v>
      </c>
      <c r="H666" s="249">
        <v>303747.5</v>
      </c>
      <c r="I666" s="249">
        <v>0</v>
      </c>
      <c r="J666" s="249">
        <v>0</v>
      </c>
      <c r="K666" s="249">
        <v>0</v>
      </c>
      <c r="L666" s="274">
        <f>H666</f>
        <v>303747.5</v>
      </c>
      <c r="M666" s="274"/>
      <c r="N666" s="255">
        <v>500000</v>
      </c>
      <c r="O666" s="135">
        <f>+N666*0.19</f>
        <v>95000</v>
      </c>
      <c r="P666" s="135">
        <f>+N666+O666</f>
        <v>595000</v>
      </c>
      <c r="Q666" s="131"/>
      <c r="R666" s="131"/>
      <c r="S666" s="11"/>
      <c r="T666" s="274"/>
      <c r="U666" s="274"/>
      <c r="V666" s="274"/>
      <c r="W666" s="39"/>
      <c r="X666" s="11"/>
      <c r="Y666" s="11"/>
      <c r="Z666" s="274"/>
      <c r="AA666" s="274"/>
      <c r="AB666" s="274"/>
      <c r="AC666" s="52"/>
      <c r="AD666" s="22"/>
      <c r="AE666" s="39"/>
      <c r="AF666" s="274"/>
      <c r="AG666" s="274"/>
      <c r="AH666" s="171"/>
      <c r="AI666" s="4"/>
      <c r="AJ666" s="39"/>
      <c r="AK666" s="39"/>
      <c r="AL666" s="118"/>
      <c r="AM666" s="152"/>
      <c r="AN666" s="181"/>
      <c r="AO666" s="131"/>
      <c r="AP666" s="131"/>
      <c r="AQ666" s="39"/>
      <c r="AR666" s="274"/>
      <c r="AS666" s="274"/>
      <c r="AT666" s="274"/>
      <c r="AU666" s="39"/>
      <c r="AV666" s="39"/>
      <c r="AW666" s="39"/>
      <c r="AX666" s="274"/>
      <c r="AY666" s="274"/>
      <c r="AZ666" s="274"/>
      <c r="BA666" s="39"/>
      <c r="BB666" s="62"/>
      <c r="BC666" s="39"/>
      <c r="BD666" s="274"/>
      <c r="BE666" s="274"/>
      <c r="BF666" s="274"/>
      <c r="BG666" s="39"/>
      <c r="BH666" s="39"/>
      <c r="BI666" s="39"/>
      <c r="BJ666" s="275">
        <v>1600000</v>
      </c>
      <c r="BK666" s="274">
        <f t="shared" si="225"/>
        <v>304000</v>
      </c>
      <c r="BL666" s="274">
        <f t="shared" si="226"/>
        <v>1904000</v>
      </c>
      <c r="BM666" s="216" t="s">
        <v>3102</v>
      </c>
      <c r="BN666" s="213" t="s">
        <v>4995</v>
      </c>
      <c r="BO666" s="39"/>
      <c r="BP666" s="274">
        <v>125000</v>
      </c>
      <c r="BQ666" s="274">
        <f t="shared" si="223"/>
        <v>23750</v>
      </c>
      <c r="BR666" s="274">
        <f t="shared" si="224"/>
        <v>148750</v>
      </c>
      <c r="BS666" s="39"/>
      <c r="BT666" s="39"/>
      <c r="BU666" s="39"/>
      <c r="BV666" s="219"/>
      <c r="BW666" s="219"/>
      <c r="BX666" s="273"/>
      <c r="BY666" s="216"/>
      <c r="BZ666" s="213"/>
      <c r="CA666" s="213"/>
      <c r="CB666" s="275"/>
      <c r="CC666" s="274"/>
      <c r="CD666" s="274"/>
      <c r="CE666" s="39"/>
      <c r="CF666" s="39"/>
      <c r="CG666" s="39"/>
      <c r="CH666" s="274"/>
      <c r="CI666" s="274"/>
      <c r="CJ666" s="274"/>
      <c r="CK666" s="39"/>
      <c r="CL666" s="39"/>
      <c r="CM666" s="39"/>
      <c r="CN666" s="39"/>
      <c r="CO666" s="39"/>
      <c r="CP666" s="11"/>
      <c r="CQ666" s="11"/>
      <c r="CR666" s="11"/>
      <c r="CS666" s="11"/>
      <c r="CT666" s="11"/>
      <c r="CU666" s="11"/>
      <c r="CV666" s="11"/>
      <c r="CW666" s="11"/>
      <c r="CX666" s="11"/>
      <c r="CY666" s="11"/>
      <c r="CZ666" s="11"/>
      <c r="DA666" s="11"/>
      <c r="DB666" s="11"/>
      <c r="DC666" s="11"/>
      <c r="DD666" s="11"/>
      <c r="DE666" s="11"/>
      <c r="DF666" s="11"/>
      <c r="DG666" s="11"/>
      <c r="DH666" s="11"/>
      <c r="DI666" s="11"/>
      <c r="DJ666" s="11"/>
      <c r="DK666" s="11"/>
      <c r="DL666" s="274"/>
      <c r="DM666" s="274"/>
      <c r="DN666" s="274"/>
      <c r="DO666" s="274"/>
      <c r="DP666" s="274"/>
      <c r="DQ666" s="274"/>
      <c r="DR666" s="274"/>
      <c r="DS666" s="274"/>
      <c r="DT666" s="274"/>
      <c r="DU666" s="274"/>
      <c r="DV666" s="274"/>
      <c r="DW666" s="274"/>
      <c r="DX666" s="274"/>
      <c r="DY666" s="274"/>
      <c r="DZ666" s="274"/>
      <c r="EA666" s="274"/>
      <c r="EB666" s="274"/>
      <c r="EC666" s="274"/>
      <c r="ED666" s="39">
        <f t="shared" si="218"/>
        <v>2647750</v>
      </c>
      <c r="EE666" s="30">
        <f t="shared" si="219"/>
        <v>3</v>
      </c>
      <c r="EF666" s="39">
        <f t="shared" si="220"/>
        <v>882583.33333333337</v>
      </c>
    </row>
    <row r="667" spans="1:136" ht="36" x14ac:dyDescent="0.25">
      <c r="A667" s="25" t="e">
        <f>#REF!</f>
        <v>#REF!</v>
      </c>
      <c r="B667" s="50" t="e">
        <f>#REF!</f>
        <v>#REF!</v>
      </c>
      <c r="C667" s="5" t="e">
        <f>#REF!</f>
        <v>#REF!</v>
      </c>
      <c r="D667" s="5" t="e">
        <f>#REF!</f>
        <v>#REF!</v>
      </c>
      <c r="E667" s="252">
        <v>1</v>
      </c>
      <c r="F667" s="249">
        <v>0</v>
      </c>
      <c r="G667" s="249">
        <v>0</v>
      </c>
      <c r="H667" s="249">
        <v>0</v>
      </c>
      <c r="I667" s="249">
        <v>0</v>
      </c>
      <c r="J667" s="249">
        <v>0</v>
      </c>
      <c r="K667" s="249">
        <v>0</v>
      </c>
      <c r="L667" s="274"/>
      <c r="M667" s="274"/>
      <c r="N667" s="256"/>
      <c r="O667" s="135"/>
      <c r="P667" s="135"/>
      <c r="Q667" s="131"/>
      <c r="R667" s="131"/>
      <c r="S667" s="11"/>
      <c r="T667" s="274"/>
      <c r="U667" s="274"/>
      <c r="V667" s="274"/>
      <c r="W667" s="39"/>
      <c r="X667" s="11"/>
      <c r="Y667" s="11"/>
      <c r="Z667" s="274"/>
      <c r="AA667" s="274"/>
      <c r="AB667" s="274"/>
      <c r="AC667" s="52"/>
      <c r="AD667" s="22"/>
      <c r="AE667" s="39"/>
      <c r="AF667" s="274"/>
      <c r="AG667" s="274"/>
      <c r="AH667" s="171"/>
      <c r="AI667" s="4"/>
      <c r="AJ667" s="39"/>
      <c r="AK667" s="39"/>
      <c r="AL667" s="118"/>
      <c r="AM667" s="152"/>
      <c r="AN667" s="181"/>
      <c r="AO667" s="131"/>
      <c r="AP667" s="131"/>
      <c r="AQ667" s="39"/>
      <c r="AR667" s="274"/>
      <c r="AS667" s="274"/>
      <c r="AT667" s="274"/>
      <c r="AU667" s="39"/>
      <c r="AV667" s="39"/>
      <c r="AW667" s="39"/>
      <c r="AX667" s="274"/>
      <c r="AY667" s="274"/>
      <c r="AZ667" s="274"/>
      <c r="BA667" s="39"/>
      <c r="BB667" s="62"/>
      <c r="BC667" s="39"/>
      <c r="BD667" s="274"/>
      <c r="BE667" s="274"/>
      <c r="BF667" s="274"/>
      <c r="BG667" s="39"/>
      <c r="BH667" s="39"/>
      <c r="BI667" s="39"/>
      <c r="BJ667" s="274">
        <v>3042000</v>
      </c>
      <c r="BK667" s="274">
        <f t="shared" si="225"/>
        <v>577980</v>
      </c>
      <c r="BL667" s="274">
        <f t="shared" si="226"/>
        <v>3619980</v>
      </c>
      <c r="BM667" s="215" t="s">
        <v>445</v>
      </c>
      <c r="BN667" s="213" t="s">
        <v>469</v>
      </c>
      <c r="BO667" s="39"/>
      <c r="BP667" s="274">
        <v>465000</v>
      </c>
      <c r="BQ667" s="274">
        <f t="shared" si="223"/>
        <v>88350</v>
      </c>
      <c r="BR667" s="274">
        <f t="shared" si="224"/>
        <v>553350</v>
      </c>
      <c r="BS667" s="39"/>
      <c r="BT667" s="39"/>
      <c r="BU667" s="39"/>
      <c r="BV667" s="212">
        <v>3227884.452</v>
      </c>
      <c r="BW667" s="219">
        <f t="shared" ref="BW667:BW674" si="227">+BV667*0.19</f>
        <v>613298.04587999999</v>
      </c>
      <c r="BX667" s="273">
        <f t="shared" ref="BX667:BX683" si="228">+BV667+BW667</f>
        <v>3841182.4978800002</v>
      </c>
      <c r="BY667" s="215" t="s">
        <v>445</v>
      </c>
      <c r="BZ667" s="213" t="s">
        <v>469</v>
      </c>
      <c r="CA667" s="213"/>
      <c r="CB667" s="275"/>
      <c r="CC667" s="274"/>
      <c r="CD667" s="274"/>
      <c r="CE667" s="39"/>
      <c r="CF667" s="39"/>
      <c r="CG667" s="39"/>
      <c r="CH667" s="275"/>
      <c r="CI667" s="275"/>
      <c r="CJ667" s="275"/>
      <c r="CK667" s="39"/>
      <c r="CL667" s="39"/>
      <c r="CM667" s="39"/>
      <c r="CN667" s="39"/>
      <c r="CO667" s="39"/>
      <c r="CP667" s="11"/>
      <c r="CQ667" s="11"/>
      <c r="CR667" s="11"/>
      <c r="CS667" s="11"/>
      <c r="CT667" s="11"/>
      <c r="CU667" s="11"/>
      <c r="CV667" s="11"/>
      <c r="CW667" s="11"/>
      <c r="CX667" s="11"/>
      <c r="CY667" s="11"/>
      <c r="CZ667" s="11"/>
      <c r="DA667" s="11"/>
      <c r="DB667" s="11"/>
      <c r="DC667" s="11"/>
      <c r="DD667" s="11"/>
      <c r="DE667" s="11"/>
      <c r="DF667" s="11"/>
      <c r="DG667" s="11"/>
      <c r="DH667" s="11"/>
      <c r="DI667" s="11"/>
      <c r="DJ667" s="11"/>
      <c r="DK667" s="11"/>
      <c r="DL667" s="274"/>
      <c r="DM667" s="274"/>
      <c r="DN667" s="274"/>
      <c r="DO667" s="274"/>
      <c r="DP667" s="274"/>
      <c r="DQ667" s="274"/>
      <c r="DR667" s="274"/>
      <c r="DS667" s="274"/>
      <c r="DT667" s="274"/>
      <c r="DU667" s="274"/>
      <c r="DV667" s="274"/>
      <c r="DW667" s="274"/>
      <c r="DX667" s="274"/>
      <c r="DY667" s="274"/>
      <c r="DZ667" s="274"/>
      <c r="EA667" s="274"/>
      <c r="EB667" s="274"/>
      <c r="EC667" s="274"/>
      <c r="ED667" s="39">
        <f t="shared" si="218"/>
        <v>8014512.4978800006</v>
      </c>
      <c r="EE667" s="30">
        <f t="shared" si="219"/>
        <v>3</v>
      </c>
      <c r="EF667" s="39">
        <f t="shared" si="220"/>
        <v>2671504.1659600004</v>
      </c>
    </row>
    <row r="668" spans="1:136" ht="36" x14ac:dyDescent="0.25">
      <c r="A668" s="25" t="e">
        <f>#REF!</f>
        <v>#REF!</v>
      </c>
      <c r="B668" s="50" t="e">
        <f>#REF!</f>
        <v>#REF!</v>
      </c>
      <c r="C668" s="5" t="e">
        <f>#REF!</f>
        <v>#REF!</v>
      </c>
      <c r="D668" s="5" t="e">
        <f>#REF!</f>
        <v>#REF!</v>
      </c>
      <c r="E668" s="252">
        <v>1</v>
      </c>
      <c r="F668" s="249">
        <v>0</v>
      </c>
      <c r="G668" s="249">
        <v>0</v>
      </c>
      <c r="H668" s="249">
        <v>0</v>
      </c>
      <c r="I668" s="249">
        <v>0</v>
      </c>
      <c r="J668" s="249">
        <v>0</v>
      </c>
      <c r="K668" s="249">
        <v>0</v>
      </c>
      <c r="L668" s="274"/>
      <c r="M668" s="274"/>
      <c r="N668" s="256"/>
      <c r="O668" s="135"/>
      <c r="P668" s="135"/>
      <c r="Q668" s="131"/>
      <c r="R668" s="131"/>
      <c r="S668" s="11"/>
      <c r="T668" s="274"/>
      <c r="U668" s="274"/>
      <c r="V668" s="274"/>
      <c r="W668" s="39"/>
      <c r="X668" s="11"/>
      <c r="Y668" s="11"/>
      <c r="Z668" s="274"/>
      <c r="AA668" s="274"/>
      <c r="AB668" s="274"/>
      <c r="AC668" s="52"/>
      <c r="AD668" s="22"/>
      <c r="AE668" s="39"/>
      <c r="AF668" s="274"/>
      <c r="AG668" s="274"/>
      <c r="AH668" s="171"/>
      <c r="AI668" s="4"/>
      <c r="AJ668" s="39"/>
      <c r="AK668" s="39"/>
      <c r="AL668" s="118"/>
      <c r="AM668" s="152"/>
      <c r="AN668" s="181"/>
      <c r="AO668" s="131"/>
      <c r="AP668" s="131"/>
      <c r="AQ668" s="39"/>
      <c r="AR668" s="274"/>
      <c r="AS668" s="274"/>
      <c r="AT668" s="274"/>
      <c r="AU668" s="39"/>
      <c r="AV668" s="39"/>
      <c r="AW668" s="39"/>
      <c r="AX668" s="274"/>
      <c r="AY668" s="274"/>
      <c r="AZ668" s="274"/>
      <c r="BA668" s="39"/>
      <c r="BB668" s="62"/>
      <c r="BC668" s="39"/>
      <c r="BD668" s="274"/>
      <c r="BE668" s="274"/>
      <c r="BF668" s="274"/>
      <c r="BG668" s="39"/>
      <c r="BH668" s="39"/>
      <c r="BI668" s="39"/>
      <c r="BJ668" s="274">
        <v>2197800</v>
      </c>
      <c r="BK668" s="274">
        <f t="shared" si="225"/>
        <v>417582</v>
      </c>
      <c r="BL668" s="274">
        <f t="shared" si="226"/>
        <v>2615382</v>
      </c>
      <c r="BM668" s="215" t="s">
        <v>445</v>
      </c>
      <c r="BN668" s="213" t="s">
        <v>469</v>
      </c>
      <c r="BO668" s="39"/>
      <c r="BP668" s="274">
        <v>490000</v>
      </c>
      <c r="BQ668" s="274">
        <f t="shared" si="223"/>
        <v>93100</v>
      </c>
      <c r="BR668" s="274">
        <f t="shared" si="224"/>
        <v>583100</v>
      </c>
      <c r="BS668" s="39"/>
      <c r="BT668" s="39"/>
      <c r="BU668" s="39"/>
      <c r="BV668" s="212">
        <v>2495997.5040000002</v>
      </c>
      <c r="BW668" s="219">
        <f t="shared" si="227"/>
        <v>474239.52576000005</v>
      </c>
      <c r="BX668" s="273">
        <f t="shared" si="228"/>
        <v>2970237.0297600003</v>
      </c>
      <c r="BY668" s="215" t="s">
        <v>445</v>
      </c>
      <c r="BZ668" s="213" t="s">
        <v>469</v>
      </c>
      <c r="CA668" s="213"/>
      <c r="CB668" s="274"/>
      <c r="CC668" s="274"/>
      <c r="CD668" s="274"/>
      <c r="CE668" s="39"/>
      <c r="CF668" s="39"/>
      <c r="CG668" s="39"/>
      <c r="CH668" s="275"/>
      <c r="CI668" s="275"/>
      <c r="CJ668" s="275"/>
      <c r="CK668" s="39"/>
      <c r="CL668" s="39"/>
      <c r="CM668" s="39"/>
      <c r="CN668" s="39"/>
      <c r="CO668" s="39"/>
      <c r="CP668" s="11"/>
      <c r="CQ668" s="11"/>
      <c r="CR668" s="11"/>
      <c r="CS668" s="11"/>
      <c r="CT668" s="11"/>
      <c r="CU668" s="11"/>
      <c r="CV668" s="11"/>
      <c r="CW668" s="11"/>
      <c r="CX668" s="11"/>
      <c r="CY668" s="11"/>
      <c r="CZ668" s="11"/>
      <c r="DA668" s="11"/>
      <c r="DB668" s="11"/>
      <c r="DC668" s="11"/>
      <c r="DD668" s="11"/>
      <c r="DE668" s="11"/>
      <c r="DF668" s="11"/>
      <c r="DG668" s="11"/>
      <c r="DH668" s="11"/>
      <c r="DI668" s="11"/>
      <c r="DJ668" s="11"/>
      <c r="DK668" s="11"/>
      <c r="DL668" s="274"/>
      <c r="DM668" s="274"/>
      <c r="DN668" s="274"/>
      <c r="DO668" s="274"/>
      <c r="DP668" s="274"/>
      <c r="DQ668" s="274"/>
      <c r="DR668" s="274"/>
      <c r="DS668" s="274"/>
      <c r="DT668" s="274"/>
      <c r="DU668" s="274"/>
      <c r="DV668" s="274"/>
      <c r="DW668" s="274"/>
      <c r="DX668" s="274"/>
      <c r="DY668" s="274"/>
      <c r="DZ668" s="274"/>
      <c r="EA668" s="274"/>
      <c r="EB668" s="274"/>
      <c r="EC668" s="274"/>
      <c r="ED668" s="39">
        <f t="shared" si="218"/>
        <v>6168719.0297600003</v>
      </c>
      <c r="EE668" s="30">
        <f t="shared" si="219"/>
        <v>3</v>
      </c>
      <c r="EF668" s="39">
        <f t="shared" si="220"/>
        <v>2056239.6765866668</v>
      </c>
    </row>
    <row r="669" spans="1:136" x14ac:dyDescent="0.25">
      <c r="A669" s="25" t="e">
        <f>#REF!</f>
        <v>#REF!</v>
      </c>
      <c r="B669" s="50" t="e">
        <f>#REF!</f>
        <v>#REF!</v>
      </c>
      <c r="C669" s="5" t="e">
        <f>#REF!</f>
        <v>#REF!</v>
      </c>
      <c r="D669" s="5" t="e">
        <f>#REF!</f>
        <v>#REF!</v>
      </c>
      <c r="E669" s="252">
        <v>1</v>
      </c>
      <c r="F669" s="249">
        <v>0</v>
      </c>
      <c r="G669" s="249">
        <v>0</v>
      </c>
      <c r="H669" s="249">
        <v>0</v>
      </c>
      <c r="I669" s="249">
        <v>0</v>
      </c>
      <c r="J669" s="249">
        <v>1368500</v>
      </c>
      <c r="K669" s="249">
        <v>1368500</v>
      </c>
      <c r="L669" s="274">
        <f>J669</f>
        <v>1368500</v>
      </c>
      <c r="M669" s="274">
        <f>K669*E1</f>
        <v>1409555</v>
      </c>
      <c r="N669" s="255"/>
      <c r="O669" s="135"/>
      <c r="P669" s="135"/>
      <c r="Q669" s="131"/>
      <c r="R669" s="131"/>
      <c r="S669" s="11"/>
      <c r="T669" s="274"/>
      <c r="U669" s="274"/>
      <c r="V669" s="274"/>
      <c r="W669" s="39"/>
      <c r="X669" s="11"/>
      <c r="Y669" s="11"/>
      <c r="Z669" s="274"/>
      <c r="AA669" s="274"/>
      <c r="AB669" s="274"/>
      <c r="AC669" s="52"/>
      <c r="AD669" s="22"/>
      <c r="AE669" s="39"/>
      <c r="AF669" s="274"/>
      <c r="AG669" s="274"/>
      <c r="AH669" s="171"/>
      <c r="AI669" s="4"/>
      <c r="AJ669" s="39"/>
      <c r="AK669" s="39"/>
      <c r="AL669" s="118"/>
      <c r="AM669" s="152"/>
      <c r="AN669" s="181"/>
      <c r="AO669" s="131"/>
      <c r="AP669" s="131"/>
      <c r="AQ669" s="39"/>
      <c r="AR669" s="274"/>
      <c r="AS669" s="274"/>
      <c r="AT669" s="274"/>
      <c r="AU669" s="39"/>
      <c r="AV669" s="39"/>
      <c r="AW669" s="39"/>
      <c r="AX669" s="274"/>
      <c r="AY669" s="274"/>
      <c r="AZ669" s="274"/>
      <c r="BA669" s="39"/>
      <c r="BB669" s="62"/>
      <c r="BC669" s="39"/>
      <c r="BD669" s="274"/>
      <c r="BE669" s="274"/>
      <c r="BF669" s="274"/>
      <c r="BG669" s="39"/>
      <c r="BH669" s="39"/>
      <c r="BI669" s="39"/>
      <c r="BJ669" s="274">
        <v>677500</v>
      </c>
      <c r="BK669" s="274">
        <f t="shared" si="225"/>
        <v>128725</v>
      </c>
      <c r="BL669" s="274">
        <f t="shared" si="226"/>
        <v>806225</v>
      </c>
      <c r="BM669" s="215" t="s">
        <v>445</v>
      </c>
      <c r="BN669" s="213" t="s">
        <v>338</v>
      </c>
      <c r="BO669" s="39"/>
      <c r="BP669" s="274">
        <v>498000</v>
      </c>
      <c r="BQ669" s="274">
        <f t="shared" si="223"/>
        <v>94620</v>
      </c>
      <c r="BR669" s="274">
        <f t="shared" si="224"/>
        <v>592620</v>
      </c>
      <c r="BS669" s="39"/>
      <c r="BT669" s="39"/>
      <c r="BU669" s="39"/>
      <c r="BV669" s="219">
        <v>761813.52</v>
      </c>
      <c r="BW669" s="219">
        <f t="shared" si="227"/>
        <v>144744.56880000001</v>
      </c>
      <c r="BX669" s="273">
        <f t="shared" si="228"/>
        <v>906558.08880000003</v>
      </c>
      <c r="BY669" s="215" t="s">
        <v>445</v>
      </c>
      <c r="BZ669" s="213" t="s">
        <v>338</v>
      </c>
      <c r="CA669" s="213"/>
      <c r="CB669" s="274"/>
      <c r="CC669" s="274"/>
      <c r="CD669" s="274"/>
      <c r="CE669" s="39"/>
      <c r="CF669" s="39"/>
      <c r="CG669" s="39"/>
      <c r="CH669" s="274"/>
      <c r="CI669" s="274"/>
      <c r="CJ669" s="274"/>
      <c r="CK669" s="39"/>
      <c r="CL669" s="39"/>
      <c r="CM669" s="39"/>
      <c r="CN669" s="39"/>
      <c r="CO669" s="39"/>
      <c r="CP669" s="11"/>
      <c r="CQ669" s="11"/>
      <c r="CR669" s="11"/>
      <c r="CS669" s="11"/>
      <c r="CT669" s="11"/>
      <c r="CU669" s="11"/>
      <c r="CV669" s="11"/>
      <c r="CW669" s="11"/>
      <c r="CX669" s="11"/>
      <c r="CY669" s="11"/>
      <c r="CZ669" s="11"/>
      <c r="DA669" s="11"/>
      <c r="DB669" s="11"/>
      <c r="DC669" s="11"/>
      <c r="DD669" s="11"/>
      <c r="DE669" s="11"/>
      <c r="DF669" s="11"/>
      <c r="DG669" s="11"/>
      <c r="DH669" s="11"/>
      <c r="DI669" s="11"/>
      <c r="DJ669" s="11"/>
      <c r="DK669" s="11"/>
      <c r="DL669" s="274"/>
      <c r="DM669" s="274"/>
      <c r="DN669" s="274"/>
      <c r="DO669" s="274"/>
      <c r="DP669" s="274"/>
      <c r="DQ669" s="274"/>
      <c r="DR669" s="274"/>
      <c r="DS669" s="274"/>
      <c r="DT669" s="274"/>
      <c r="DU669" s="274"/>
      <c r="DV669" s="274"/>
      <c r="DW669" s="274"/>
      <c r="DX669" s="274"/>
      <c r="DY669" s="274"/>
      <c r="DZ669" s="274"/>
      <c r="EA669" s="274"/>
      <c r="EB669" s="274"/>
      <c r="EC669" s="274"/>
      <c r="ED669" s="39">
        <f t="shared" si="218"/>
        <v>3714958.0888</v>
      </c>
      <c r="EE669" s="30">
        <f t="shared" si="219"/>
        <v>4</v>
      </c>
      <c r="EF669" s="39">
        <f t="shared" si="220"/>
        <v>928739.52220000001</v>
      </c>
    </row>
    <row r="670" spans="1:136" x14ac:dyDescent="0.25">
      <c r="A670" s="25" t="e">
        <f>#REF!</f>
        <v>#REF!</v>
      </c>
      <c r="B670" s="50" t="e">
        <f>#REF!</f>
        <v>#REF!</v>
      </c>
      <c r="C670" s="5" t="e">
        <f>#REF!</f>
        <v>#REF!</v>
      </c>
      <c r="D670" s="5" t="e">
        <f>#REF!</f>
        <v>#REF!</v>
      </c>
      <c r="E670" s="252">
        <v>1</v>
      </c>
      <c r="F670" s="249">
        <v>0</v>
      </c>
      <c r="G670" s="249">
        <v>0</v>
      </c>
      <c r="H670" s="249">
        <v>0</v>
      </c>
      <c r="I670" s="249">
        <v>0</v>
      </c>
      <c r="J670" s="249">
        <v>0</v>
      </c>
      <c r="K670" s="249">
        <v>0</v>
      </c>
      <c r="L670" s="274"/>
      <c r="M670" s="274"/>
      <c r="N670" s="255"/>
      <c r="O670" s="135"/>
      <c r="P670" s="135"/>
      <c r="Q670" s="131"/>
      <c r="R670" s="131"/>
      <c r="S670" s="11"/>
      <c r="T670" s="274"/>
      <c r="U670" s="118"/>
      <c r="V670" s="118"/>
      <c r="W670" s="131"/>
      <c r="X670" s="11"/>
      <c r="Y670" s="11"/>
      <c r="Z670" s="274"/>
      <c r="AA670" s="274"/>
      <c r="AB670" s="274"/>
      <c r="AC670" s="52"/>
      <c r="AD670" s="22"/>
      <c r="AE670" s="39"/>
      <c r="AF670" s="274"/>
      <c r="AG670" s="274"/>
      <c r="AH670" s="171"/>
      <c r="AI670" s="4"/>
      <c r="AJ670" s="39"/>
      <c r="AK670" s="39"/>
      <c r="AL670" s="118"/>
      <c r="AM670" s="152"/>
      <c r="AN670" s="181"/>
      <c r="AO670" s="131"/>
      <c r="AP670" s="131"/>
      <c r="AQ670" s="39"/>
      <c r="AR670" s="274"/>
      <c r="AS670" s="274"/>
      <c r="AT670" s="274"/>
      <c r="AU670" s="39"/>
      <c r="AV670" s="39"/>
      <c r="AW670" s="39"/>
      <c r="AX670" s="274"/>
      <c r="AY670" s="274"/>
      <c r="AZ670" s="274"/>
      <c r="BA670" s="39"/>
      <c r="BB670" s="62"/>
      <c r="BC670" s="39"/>
      <c r="BD670" s="274"/>
      <c r="BE670" s="274"/>
      <c r="BF670" s="274"/>
      <c r="BG670" s="39"/>
      <c r="BH670" s="39"/>
      <c r="BI670" s="39"/>
      <c r="BJ670" s="274">
        <v>677500</v>
      </c>
      <c r="BK670" s="274">
        <f t="shared" si="225"/>
        <v>128725</v>
      </c>
      <c r="BL670" s="274">
        <f t="shared" si="226"/>
        <v>806225</v>
      </c>
      <c r="BM670" s="215" t="s">
        <v>445</v>
      </c>
      <c r="BN670" s="213" t="s">
        <v>338</v>
      </c>
      <c r="BO670" s="39"/>
      <c r="BP670" s="274">
        <v>586000</v>
      </c>
      <c r="BQ670" s="274">
        <f t="shared" si="223"/>
        <v>111340</v>
      </c>
      <c r="BR670" s="274">
        <f t="shared" si="224"/>
        <v>697340</v>
      </c>
      <c r="BS670" s="39"/>
      <c r="BT670" s="39"/>
      <c r="BU670" s="39"/>
      <c r="BV670" s="219">
        <v>740252.76</v>
      </c>
      <c r="BW670" s="219">
        <f t="shared" si="227"/>
        <v>140648.02439999999</v>
      </c>
      <c r="BX670" s="273">
        <f t="shared" si="228"/>
        <v>880900.7844</v>
      </c>
      <c r="BY670" s="215" t="s">
        <v>445</v>
      </c>
      <c r="BZ670" s="213" t="s">
        <v>338</v>
      </c>
      <c r="CA670" s="213"/>
      <c r="CB670" s="274"/>
      <c r="CC670" s="274"/>
      <c r="CD670" s="274"/>
      <c r="CE670" s="39"/>
      <c r="CF670" s="39"/>
      <c r="CG670" s="39"/>
      <c r="CH670" s="274"/>
      <c r="CI670" s="274"/>
      <c r="CJ670" s="274"/>
      <c r="CK670" s="39"/>
      <c r="CL670" s="39"/>
      <c r="CM670" s="39"/>
      <c r="CN670" s="39"/>
      <c r="CO670" s="39"/>
      <c r="CP670" s="11"/>
      <c r="CQ670" s="11"/>
      <c r="CR670" s="11"/>
      <c r="CS670" s="11"/>
      <c r="CT670" s="11"/>
      <c r="CU670" s="11"/>
      <c r="CV670" s="11"/>
      <c r="CW670" s="11"/>
      <c r="CX670" s="11"/>
      <c r="CY670" s="11"/>
      <c r="CZ670" s="11"/>
      <c r="DA670" s="11"/>
      <c r="DB670" s="11"/>
      <c r="DC670" s="11"/>
      <c r="DD670" s="11"/>
      <c r="DE670" s="11"/>
      <c r="DF670" s="11"/>
      <c r="DG670" s="11"/>
      <c r="DH670" s="11"/>
      <c r="DI670" s="11"/>
      <c r="DJ670" s="11"/>
      <c r="DK670" s="11"/>
      <c r="DL670" s="274"/>
      <c r="DM670" s="274"/>
      <c r="DN670" s="274"/>
      <c r="DO670" s="274"/>
      <c r="DP670" s="274"/>
      <c r="DQ670" s="274"/>
      <c r="DR670" s="274"/>
      <c r="DS670" s="274"/>
      <c r="DT670" s="274"/>
      <c r="DU670" s="274"/>
      <c r="DV670" s="274"/>
      <c r="DW670" s="274"/>
      <c r="DX670" s="274"/>
      <c r="DY670" s="274"/>
      <c r="DZ670" s="274"/>
      <c r="EA670" s="274"/>
      <c r="EB670" s="274"/>
      <c r="EC670" s="274"/>
      <c r="ED670" s="39">
        <f t="shared" si="218"/>
        <v>2384465.7844000002</v>
      </c>
      <c r="EE670" s="30">
        <f t="shared" si="219"/>
        <v>3</v>
      </c>
      <c r="EF670" s="39">
        <f t="shared" si="220"/>
        <v>794821.92813333345</v>
      </c>
    </row>
    <row r="671" spans="1:136" x14ac:dyDescent="0.25">
      <c r="A671" s="25" t="e">
        <f>#REF!</f>
        <v>#REF!</v>
      </c>
      <c r="B671" s="50" t="e">
        <f>#REF!</f>
        <v>#REF!</v>
      </c>
      <c r="C671" s="5" t="e">
        <f>#REF!</f>
        <v>#REF!</v>
      </c>
      <c r="D671" s="5" t="e">
        <f>#REF!</f>
        <v>#REF!</v>
      </c>
      <c r="E671" s="252">
        <v>1</v>
      </c>
      <c r="F671" s="249">
        <v>0</v>
      </c>
      <c r="G671" s="249">
        <v>0</v>
      </c>
      <c r="H671" s="249">
        <v>0</v>
      </c>
      <c r="I671" s="249">
        <v>0</v>
      </c>
      <c r="J671" s="249">
        <v>0</v>
      </c>
      <c r="K671" s="249">
        <v>0</v>
      </c>
      <c r="L671" s="274"/>
      <c r="M671" s="274"/>
      <c r="N671" s="255"/>
      <c r="O671" s="135"/>
      <c r="P671" s="135"/>
      <c r="Q671" s="131"/>
      <c r="R671" s="131"/>
      <c r="S671" s="11"/>
      <c r="T671" s="274"/>
      <c r="U671" s="274"/>
      <c r="V671" s="274"/>
      <c r="W671" s="39"/>
      <c r="X671" s="11"/>
      <c r="Y671" s="11"/>
      <c r="Z671" s="274"/>
      <c r="AA671" s="274"/>
      <c r="AB671" s="274"/>
      <c r="AC671" s="52"/>
      <c r="AD671" s="22"/>
      <c r="AE671" s="39"/>
      <c r="AF671" s="274"/>
      <c r="AG671" s="274"/>
      <c r="AH671" s="171"/>
      <c r="AI671" s="4"/>
      <c r="AJ671" s="39"/>
      <c r="AK671" s="39"/>
      <c r="AL671" s="118"/>
      <c r="AM671" s="152"/>
      <c r="AN671" s="181"/>
      <c r="AO671" s="131"/>
      <c r="AP671" s="131"/>
      <c r="AQ671" s="39"/>
      <c r="AR671" s="274"/>
      <c r="AS671" s="274"/>
      <c r="AT671" s="274"/>
      <c r="AU671" s="39"/>
      <c r="AV671" s="39"/>
      <c r="AW671" s="39"/>
      <c r="AX671" s="274"/>
      <c r="AY671" s="274"/>
      <c r="AZ671" s="274"/>
      <c r="BA671" s="39"/>
      <c r="BB671" s="62"/>
      <c r="BC671" s="39"/>
      <c r="BD671" s="274"/>
      <c r="BE671" s="274"/>
      <c r="BF671" s="274"/>
      <c r="BG671" s="39"/>
      <c r="BH671" s="39"/>
      <c r="BI671" s="39"/>
      <c r="BJ671" s="274">
        <v>1698900</v>
      </c>
      <c r="BK671" s="274">
        <f t="shared" si="225"/>
        <v>322791</v>
      </c>
      <c r="BL671" s="274">
        <f t="shared" si="226"/>
        <v>2021691</v>
      </c>
      <c r="BM671" s="215" t="s">
        <v>445</v>
      </c>
      <c r="BN671" s="213" t="s">
        <v>338</v>
      </c>
      <c r="BO671" s="39"/>
      <c r="BP671" s="274"/>
      <c r="BQ671" s="274"/>
      <c r="BR671" s="274"/>
      <c r="BS671" s="39"/>
      <c r="BT671" s="39"/>
      <c r="BU671" s="39"/>
      <c r="BV671" s="219">
        <v>1928346.6384000003</v>
      </c>
      <c r="BW671" s="219">
        <f t="shared" si="227"/>
        <v>366385.86129600008</v>
      </c>
      <c r="BX671" s="273">
        <f t="shared" si="228"/>
        <v>2294732.4996960005</v>
      </c>
      <c r="BY671" s="215" t="s">
        <v>445</v>
      </c>
      <c r="BZ671" s="213" t="s">
        <v>338</v>
      </c>
      <c r="CA671" s="213"/>
      <c r="CB671" s="274"/>
      <c r="CC671" s="274"/>
      <c r="CD671" s="274"/>
      <c r="CE671" s="39"/>
      <c r="CF671" s="39"/>
      <c r="CG671" s="39"/>
      <c r="CH671" s="274"/>
      <c r="CI671" s="274"/>
      <c r="CJ671" s="274"/>
      <c r="CK671" s="39"/>
      <c r="CL671" s="39"/>
      <c r="CM671" s="39"/>
      <c r="CN671" s="39"/>
      <c r="CO671" s="39"/>
      <c r="CP671" s="11"/>
      <c r="CQ671" s="11"/>
      <c r="CR671" s="11"/>
      <c r="CS671" s="11"/>
      <c r="CT671" s="11"/>
      <c r="CU671" s="11"/>
      <c r="CV671" s="11"/>
      <c r="CW671" s="11"/>
      <c r="CX671" s="11"/>
      <c r="CY671" s="11"/>
      <c r="CZ671" s="11"/>
      <c r="DA671" s="11"/>
      <c r="DB671" s="11"/>
      <c r="DC671" s="11"/>
      <c r="DD671" s="11"/>
      <c r="DE671" s="11"/>
      <c r="DF671" s="11"/>
      <c r="DG671" s="11"/>
      <c r="DH671" s="11"/>
      <c r="DI671" s="11"/>
      <c r="DJ671" s="11"/>
      <c r="DK671" s="11"/>
      <c r="DL671" s="274"/>
      <c r="DM671" s="274"/>
      <c r="DN671" s="274"/>
      <c r="DO671" s="274"/>
      <c r="DP671" s="274"/>
      <c r="DQ671" s="274"/>
      <c r="DR671" s="274"/>
      <c r="DS671" s="274"/>
      <c r="DT671" s="274"/>
      <c r="DU671" s="274"/>
      <c r="DV671" s="274"/>
      <c r="DW671" s="274"/>
      <c r="DX671" s="274"/>
      <c r="DY671" s="274"/>
      <c r="DZ671" s="274"/>
      <c r="EA671" s="274"/>
      <c r="EB671" s="274"/>
      <c r="EC671" s="274"/>
      <c r="ED671" s="39">
        <f t="shared" si="218"/>
        <v>4316423.4996960005</v>
      </c>
      <c r="EE671" s="30">
        <f t="shared" si="219"/>
        <v>2</v>
      </c>
      <c r="EF671" s="39">
        <f t="shared" si="220"/>
        <v>2158211.7498480002</v>
      </c>
    </row>
    <row r="672" spans="1:136" x14ac:dyDescent="0.25">
      <c r="A672" s="25" t="e">
        <f>#REF!</f>
        <v>#REF!</v>
      </c>
      <c r="B672" s="50" t="e">
        <f>#REF!</f>
        <v>#REF!</v>
      </c>
      <c r="C672" s="5" t="e">
        <f>#REF!</f>
        <v>#REF!</v>
      </c>
      <c r="D672" s="5" t="e">
        <f>#REF!</f>
        <v>#REF!</v>
      </c>
      <c r="E672" s="252">
        <v>1</v>
      </c>
      <c r="F672" s="249">
        <v>0</v>
      </c>
      <c r="G672" s="249">
        <v>0</v>
      </c>
      <c r="H672" s="249">
        <v>0</v>
      </c>
      <c r="I672" s="249">
        <v>0</v>
      </c>
      <c r="J672" s="249">
        <v>0</v>
      </c>
      <c r="K672" s="249">
        <v>0</v>
      </c>
      <c r="L672" s="274"/>
      <c r="M672" s="274"/>
      <c r="N672" s="255"/>
      <c r="O672" s="135"/>
      <c r="P672" s="135"/>
      <c r="Q672" s="11"/>
      <c r="R672" s="11"/>
      <c r="S672" s="11"/>
      <c r="T672" s="274"/>
      <c r="U672" s="274"/>
      <c r="V672" s="274"/>
      <c r="W672" s="39"/>
      <c r="X672" s="11"/>
      <c r="Y672" s="11"/>
      <c r="Z672" s="274"/>
      <c r="AA672" s="274"/>
      <c r="AB672" s="274"/>
      <c r="AC672" s="11"/>
      <c r="AD672" s="11"/>
      <c r="AE672" s="11"/>
      <c r="AF672" s="274"/>
      <c r="AG672" s="274"/>
      <c r="AH672" s="274"/>
      <c r="AI672" s="11"/>
      <c r="AJ672" s="11"/>
      <c r="AK672" s="11"/>
      <c r="AL672" s="118"/>
      <c r="AM672" s="118"/>
      <c r="AN672" s="118"/>
      <c r="AO672" s="52"/>
      <c r="AP672" s="52"/>
      <c r="AQ672" s="11"/>
      <c r="AR672" s="274"/>
      <c r="AS672" s="274"/>
      <c r="AT672" s="274"/>
      <c r="AU672" s="11"/>
      <c r="AV672" s="11"/>
      <c r="AW672" s="11"/>
      <c r="AX672" s="274"/>
      <c r="AY672" s="274"/>
      <c r="AZ672" s="274"/>
      <c r="BA672" s="11"/>
      <c r="BB672" s="11"/>
      <c r="BC672" s="11"/>
      <c r="BD672" s="274"/>
      <c r="BE672" s="274"/>
      <c r="BF672" s="274"/>
      <c r="BG672" s="11"/>
      <c r="BH672" s="11"/>
      <c r="BI672" s="11"/>
      <c r="BJ672" s="275">
        <v>13730000</v>
      </c>
      <c r="BK672" s="274">
        <f t="shared" si="225"/>
        <v>2608700</v>
      </c>
      <c r="BL672" s="274">
        <f t="shared" si="226"/>
        <v>16338700</v>
      </c>
      <c r="BM672" s="215" t="s">
        <v>4738</v>
      </c>
      <c r="BN672" s="213" t="s">
        <v>3309</v>
      </c>
      <c r="BO672" s="11"/>
      <c r="BP672" s="274">
        <v>563000</v>
      </c>
      <c r="BQ672" s="274">
        <f>+BP672*19%</f>
        <v>106970</v>
      </c>
      <c r="BR672" s="274">
        <f>+BQ672+BP672</f>
        <v>669970</v>
      </c>
      <c r="BS672" s="11"/>
      <c r="BT672" s="11"/>
      <c r="BU672" s="11"/>
      <c r="BV672" s="212">
        <v>15283151.33</v>
      </c>
      <c r="BW672" s="219">
        <f t="shared" si="227"/>
        <v>2903798.7527000001</v>
      </c>
      <c r="BX672" s="273">
        <f t="shared" si="228"/>
        <v>18186950.082699999</v>
      </c>
      <c r="BY672" s="215" t="s">
        <v>4738</v>
      </c>
      <c r="BZ672" s="213" t="s">
        <v>3309</v>
      </c>
      <c r="CA672" s="213"/>
      <c r="CB672" s="274"/>
      <c r="CC672" s="274"/>
      <c r="CD672" s="274"/>
      <c r="CE672" s="11"/>
      <c r="CF672" s="11"/>
      <c r="CG672" s="11"/>
      <c r="CH672" s="274"/>
      <c r="CI672" s="274"/>
      <c r="CJ672" s="274"/>
      <c r="CK672" s="11"/>
      <c r="CL672" s="11"/>
      <c r="CM672" s="11"/>
      <c r="CN672" s="11"/>
      <c r="CO672" s="11"/>
      <c r="CP672" s="11"/>
      <c r="CQ672" s="11"/>
      <c r="CR672" s="11"/>
      <c r="CS672" s="11"/>
      <c r="CT672" s="11"/>
      <c r="CU672" s="11"/>
      <c r="CV672" s="11"/>
      <c r="CW672" s="11"/>
      <c r="CX672" s="11"/>
      <c r="CY672" s="11"/>
      <c r="CZ672" s="11"/>
      <c r="DA672" s="11"/>
      <c r="DB672" s="11"/>
      <c r="DC672" s="11"/>
      <c r="DD672" s="11"/>
      <c r="DE672" s="11"/>
      <c r="DF672" s="11"/>
      <c r="DG672" s="11"/>
      <c r="DH672" s="11"/>
      <c r="DI672" s="11"/>
      <c r="DJ672" s="11"/>
      <c r="DK672" s="11"/>
      <c r="DL672" s="274"/>
      <c r="DM672" s="274"/>
      <c r="DN672" s="274"/>
      <c r="DO672" s="274"/>
      <c r="DP672" s="274"/>
      <c r="DQ672" s="274"/>
      <c r="DR672" s="274"/>
      <c r="DS672" s="274"/>
      <c r="DT672" s="274"/>
      <c r="DU672" s="274"/>
      <c r="DV672" s="274"/>
      <c r="DW672" s="274"/>
      <c r="DX672" s="274"/>
      <c r="DY672" s="274"/>
      <c r="DZ672" s="274"/>
      <c r="EA672" s="274"/>
      <c r="EB672" s="274"/>
      <c r="EC672" s="274"/>
      <c r="ED672" s="39">
        <f t="shared" si="218"/>
        <v>35195620.082699999</v>
      </c>
      <c r="EE672" s="30">
        <f t="shared" si="219"/>
        <v>3</v>
      </c>
      <c r="EF672" s="39">
        <f t="shared" si="220"/>
        <v>11731873.3609</v>
      </c>
    </row>
    <row r="673" spans="1:136" x14ac:dyDescent="0.25">
      <c r="A673" s="25" t="e">
        <f>#REF!</f>
        <v>#REF!</v>
      </c>
      <c r="B673" s="50" t="e">
        <f>#REF!</f>
        <v>#REF!</v>
      </c>
      <c r="C673" s="5" t="e">
        <f>#REF!</f>
        <v>#REF!</v>
      </c>
      <c r="D673" s="5" t="e">
        <f>#REF!</f>
        <v>#REF!</v>
      </c>
      <c r="E673" s="252">
        <v>1</v>
      </c>
      <c r="F673" s="249">
        <v>0</v>
      </c>
      <c r="G673" s="249">
        <v>0</v>
      </c>
      <c r="H673" s="249">
        <v>0</v>
      </c>
      <c r="I673" s="249">
        <v>0</v>
      </c>
      <c r="J673" s="249">
        <v>1785000</v>
      </c>
      <c r="K673" s="249">
        <v>1773100</v>
      </c>
      <c r="L673" s="274">
        <f>J673</f>
        <v>1785000</v>
      </c>
      <c r="M673" s="274">
        <f>K673*E1</f>
        <v>1826293</v>
      </c>
      <c r="N673" s="255"/>
      <c r="O673" s="135"/>
      <c r="P673" s="135"/>
      <c r="Q673" s="11"/>
      <c r="R673" s="11"/>
      <c r="S673" s="11"/>
      <c r="T673" s="274"/>
      <c r="U673" s="274"/>
      <c r="V673" s="274"/>
      <c r="W673" s="39"/>
      <c r="X673" s="11"/>
      <c r="Y673" s="11"/>
      <c r="Z673" s="274"/>
      <c r="AA673" s="274"/>
      <c r="AB673" s="274"/>
      <c r="AC673" s="11"/>
      <c r="AD673" s="11"/>
      <c r="AE673" s="11"/>
      <c r="AF673" s="274"/>
      <c r="AG673" s="274"/>
      <c r="AH673" s="274"/>
      <c r="AI673" s="11"/>
      <c r="AJ673" s="11"/>
      <c r="AK673" s="11"/>
      <c r="AL673" s="118"/>
      <c r="AM673" s="118"/>
      <c r="AN673" s="118"/>
      <c r="AO673" s="52"/>
      <c r="AP673" s="52"/>
      <c r="AQ673" s="11"/>
      <c r="AR673" s="274"/>
      <c r="AS673" s="274"/>
      <c r="AT673" s="274"/>
      <c r="AU673" s="11"/>
      <c r="AV673" s="11"/>
      <c r="AW673" s="11"/>
      <c r="AX673" s="274"/>
      <c r="AY673" s="274"/>
      <c r="AZ673" s="274"/>
      <c r="BA673" s="11"/>
      <c r="BB673" s="11"/>
      <c r="BC673" s="11"/>
      <c r="BD673" s="274"/>
      <c r="BE673" s="274"/>
      <c r="BF673" s="274"/>
      <c r="BG673" s="11"/>
      <c r="BH673" s="11"/>
      <c r="BI673" s="11"/>
      <c r="BJ673" s="274">
        <v>677500</v>
      </c>
      <c r="BK673" s="274">
        <f t="shared" si="225"/>
        <v>128725</v>
      </c>
      <c r="BL673" s="274">
        <f t="shared" si="226"/>
        <v>806225</v>
      </c>
      <c r="BM673" s="215" t="s">
        <v>445</v>
      </c>
      <c r="BN673" s="213" t="s">
        <v>338</v>
      </c>
      <c r="BO673" s="11"/>
      <c r="BP673" s="274">
        <v>495000</v>
      </c>
      <c r="BQ673" s="274">
        <f>+BP673*19%</f>
        <v>94050</v>
      </c>
      <c r="BR673" s="274">
        <f>+BQ673+BP673</f>
        <v>589050</v>
      </c>
      <c r="BS673" s="11"/>
      <c r="BT673" s="11"/>
      <c r="BU673" s="11"/>
      <c r="BV673" s="219">
        <v>784219.8</v>
      </c>
      <c r="BW673" s="219">
        <f t="shared" si="227"/>
        <v>149001.76200000002</v>
      </c>
      <c r="BX673" s="273">
        <f t="shared" si="228"/>
        <v>933221.56200000003</v>
      </c>
      <c r="BY673" s="215" t="s">
        <v>445</v>
      </c>
      <c r="BZ673" s="213" t="s">
        <v>338</v>
      </c>
      <c r="CA673" s="213"/>
      <c r="CB673" s="275"/>
      <c r="CC673" s="274"/>
      <c r="CD673" s="274"/>
      <c r="CE673" s="11"/>
      <c r="CF673" s="11"/>
      <c r="CG673" s="11"/>
      <c r="CH673" s="274"/>
      <c r="CI673" s="274"/>
      <c r="CJ673" s="274"/>
      <c r="CK673" s="11"/>
      <c r="CL673" s="11"/>
      <c r="CM673" s="11"/>
      <c r="CN673" s="11"/>
      <c r="CO673" s="11"/>
      <c r="CP673" s="11"/>
      <c r="CQ673" s="11"/>
      <c r="CR673" s="11"/>
      <c r="CS673" s="11"/>
      <c r="CT673" s="11"/>
      <c r="CU673" s="11"/>
      <c r="CV673" s="11"/>
      <c r="CW673" s="11"/>
      <c r="CX673" s="11"/>
      <c r="CY673" s="11"/>
      <c r="CZ673" s="11"/>
      <c r="DA673" s="11"/>
      <c r="DB673" s="11"/>
      <c r="DC673" s="11"/>
      <c r="DD673" s="11"/>
      <c r="DE673" s="11"/>
      <c r="DF673" s="11"/>
      <c r="DG673" s="11"/>
      <c r="DH673" s="11"/>
      <c r="DI673" s="11"/>
      <c r="DJ673" s="11"/>
      <c r="DK673" s="11"/>
      <c r="DL673" s="274"/>
      <c r="DM673" s="274"/>
      <c r="DN673" s="274"/>
      <c r="DO673" s="274"/>
      <c r="DP673" s="274"/>
      <c r="DQ673" s="274"/>
      <c r="DR673" s="274"/>
      <c r="DS673" s="274"/>
      <c r="DT673" s="274"/>
      <c r="DU673" s="274"/>
      <c r="DV673" s="274"/>
      <c r="DW673" s="274"/>
      <c r="DX673" s="274"/>
      <c r="DY673" s="274"/>
      <c r="DZ673" s="274"/>
      <c r="EA673" s="274"/>
      <c r="EB673" s="274"/>
      <c r="EC673" s="274"/>
      <c r="ED673" s="39">
        <f t="shared" si="218"/>
        <v>4154789.5619999999</v>
      </c>
      <c r="EE673" s="30">
        <f t="shared" si="219"/>
        <v>4</v>
      </c>
      <c r="EF673" s="39">
        <f t="shared" si="220"/>
        <v>1038697.3905</v>
      </c>
    </row>
    <row r="674" spans="1:136" x14ac:dyDescent="0.25">
      <c r="A674" s="25" t="e">
        <f>#REF!</f>
        <v>#REF!</v>
      </c>
      <c r="B674" s="50" t="e">
        <f>#REF!</f>
        <v>#REF!</v>
      </c>
      <c r="C674" s="5" t="e">
        <f>#REF!</f>
        <v>#REF!</v>
      </c>
      <c r="D674" s="5" t="e">
        <f>#REF!</f>
        <v>#REF!</v>
      </c>
      <c r="E674" s="252">
        <v>1</v>
      </c>
      <c r="F674" s="249">
        <v>0</v>
      </c>
      <c r="G674" s="249">
        <v>0</v>
      </c>
      <c r="H674" s="249">
        <v>0</v>
      </c>
      <c r="I674" s="249">
        <v>0</v>
      </c>
      <c r="J674" s="249">
        <v>0</v>
      </c>
      <c r="K674" s="249">
        <v>0</v>
      </c>
      <c r="L674" s="274"/>
      <c r="M674" s="274"/>
      <c r="N674" s="256"/>
      <c r="O674" s="135"/>
      <c r="P674" s="135"/>
      <c r="Q674" s="131"/>
      <c r="R674" s="131"/>
      <c r="S674" s="11"/>
      <c r="T674" s="274"/>
      <c r="U674" s="274"/>
      <c r="V674" s="274"/>
      <c r="W674" s="39"/>
      <c r="X674" s="11"/>
      <c r="Y674" s="11"/>
      <c r="Z674" s="274"/>
      <c r="AA674" s="274"/>
      <c r="AB674" s="274"/>
      <c r="AC674" s="52"/>
      <c r="AD674" s="22"/>
      <c r="AE674" s="39"/>
      <c r="AF674" s="274"/>
      <c r="AG674" s="274"/>
      <c r="AH674" s="171"/>
      <c r="AI674" s="4"/>
      <c r="AJ674" s="39"/>
      <c r="AK674" s="39"/>
      <c r="AL674" s="118"/>
      <c r="AM674" s="152"/>
      <c r="AN674" s="181"/>
      <c r="AO674" s="131"/>
      <c r="AP674" s="131"/>
      <c r="AQ674" s="39"/>
      <c r="AR674" s="274"/>
      <c r="AS674" s="274"/>
      <c r="AT674" s="274"/>
      <c r="AU674" s="39"/>
      <c r="AV674" s="39"/>
      <c r="AW674" s="39"/>
      <c r="AX674" s="274"/>
      <c r="AY674" s="274"/>
      <c r="AZ674" s="274"/>
      <c r="BA674" s="39"/>
      <c r="BB674" s="62"/>
      <c r="BC674" s="39"/>
      <c r="BD674" s="274"/>
      <c r="BE674" s="274"/>
      <c r="BF674" s="274"/>
      <c r="BG674" s="39"/>
      <c r="BH674" s="39"/>
      <c r="BI674" s="39"/>
      <c r="BJ674" s="274">
        <v>3344800</v>
      </c>
      <c r="BK674" s="274">
        <f t="shared" si="225"/>
        <v>635512</v>
      </c>
      <c r="BL674" s="274">
        <f t="shared" si="226"/>
        <v>3980312</v>
      </c>
      <c r="BM674" s="215" t="s">
        <v>445</v>
      </c>
      <c r="BN674" s="213" t="s">
        <v>338</v>
      </c>
      <c r="BO674" s="39"/>
      <c r="BP674" s="274"/>
      <c r="BQ674" s="274"/>
      <c r="BR674" s="274"/>
      <c r="BS674" s="39"/>
      <c r="BT674" s="39"/>
      <c r="BU674" s="39"/>
      <c r="BV674" s="212">
        <v>3908545.9712</v>
      </c>
      <c r="BW674" s="219">
        <f t="shared" si="227"/>
        <v>742623.734528</v>
      </c>
      <c r="BX674" s="273">
        <f t="shared" si="228"/>
        <v>4651169.705728</v>
      </c>
      <c r="BY674" s="215" t="s">
        <v>445</v>
      </c>
      <c r="BZ674" s="213" t="s">
        <v>338</v>
      </c>
      <c r="CA674" s="213"/>
      <c r="CB674" s="275"/>
      <c r="CC674" s="274"/>
      <c r="CD674" s="274"/>
      <c r="CE674" s="39"/>
      <c r="CF674" s="39"/>
      <c r="CG674" s="39"/>
      <c r="CH674" s="275"/>
      <c r="CI674" s="275"/>
      <c r="CJ674" s="275"/>
      <c r="CK674" s="39"/>
      <c r="CL674" s="39"/>
      <c r="CM674" s="39"/>
      <c r="CN674" s="39"/>
      <c r="CO674" s="39"/>
      <c r="CP674" s="11"/>
      <c r="CQ674" s="11"/>
      <c r="CR674" s="11"/>
      <c r="CS674" s="11"/>
      <c r="CT674" s="11"/>
      <c r="CU674" s="11"/>
      <c r="CV674" s="11"/>
      <c r="CW674" s="11"/>
      <c r="CX674" s="11"/>
      <c r="CY674" s="11"/>
      <c r="CZ674" s="11"/>
      <c r="DA674" s="11"/>
      <c r="DB674" s="11"/>
      <c r="DC674" s="11"/>
      <c r="DD674" s="11"/>
      <c r="DE674" s="11"/>
      <c r="DF674" s="11"/>
      <c r="DG674" s="11"/>
      <c r="DH674" s="11"/>
      <c r="DI674" s="11"/>
      <c r="DJ674" s="11"/>
      <c r="DK674" s="11"/>
      <c r="DL674" s="274"/>
      <c r="DM674" s="274"/>
      <c r="DN674" s="274"/>
      <c r="DO674" s="274"/>
      <c r="DP674" s="274"/>
      <c r="DQ674" s="274"/>
      <c r="DR674" s="274"/>
      <c r="DS674" s="274"/>
      <c r="DT674" s="274"/>
      <c r="DU674" s="274"/>
      <c r="DV674" s="274"/>
      <c r="DW674" s="274"/>
      <c r="DX674" s="274"/>
      <c r="DY674" s="274"/>
      <c r="DZ674" s="274"/>
      <c r="EA674" s="274"/>
      <c r="EB674" s="274"/>
      <c r="EC674" s="274"/>
      <c r="ED674" s="39">
        <f t="shared" si="218"/>
        <v>8631481.705728</v>
      </c>
      <c r="EE674" s="30">
        <f t="shared" si="219"/>
        <v>2</v>
      </c>
      <c r="EF674" s="39">
        <f t="shared" si="220"/>
        <v>4315740.852864</v>
      </c>
    </row>
    <row r="675" spans="1:136" x14ac:dyDescent="0.25">
      <c r="A675" s="25" t="e">
        <f>#REF!</f>
        <v>#REF!</v>
      </c>
      <c r="B675" s="50" t="e">
        <f>#REF!</f>
        <v>#REF!</v>
      </c>
      <c r="C675" s="5" t="e">
        <f>#REF!</f>
        <v>#REF!</v>
      </c>
      <c r="D675" s="5" t="e">
        <f>#REF!</f>
        <v>#REF!</v>
      </c>
      <c r="E675" s="252">
        <v>1</v>
      </c>
      <c r="F675" s="249">
        <v>0</v>
      </c>
      <c r="G675" s="249">
        <v>0</v>
      </c>
      <c r="H675" s="249">
        <v>0</v>
      </c>
      <c r="I675" s="249">
        <v>0</v>
      </c>
      <c r="J675" s="249">
        <v>1130500</v>
      </c>
      <c r="K675" s="249">
        <v>1130500</v>
      </c>
      <c r="L675" s="274">
        <f>J675</f>
        <v>1130500</v>
      </c>
      <c r="M675" s="274">
        <f>K675*E1</f>
        <v>1164415</v>
      </c>
      <c r="N675" s="256"/>
      <c r="O675" s="135"/>
      <c r="P675" s="135"/>
      <c r="Q675" s="131"/>
      <c r="R675" s="131"/>
      <c r="S675" s="11"/>
      <c r="T675" s="274"/>
      <c r="U675" s="274"/>
      <c r="V675" s="274"/>
      <c r="W675" s="39"/>
      <c r="X675" s="11"/>
      <c r="Y675" s="11"/>
      <c r="Z675" s="274"/>
      <c r="AA675" s="274"/>
      <c r="AB675" s="274"/>
      <c r="AC675" s="52"/>
      <c r="AD675" s="23"/>
      <c r="AE675" s="39"/>
      <c r="AF675" s="274"/>
      <c r="AG675" s="274"/>
      <c r="AH675" s="171"/>
      <c r="AI675" s="24"/>
      <c r="AJ675" s="39"/>
      <c r="AK675" s="39"/>
      <c r="AL675" s="118"/>
      <c r="AM675" s="152"/>
      <c r="AN675" s="181"/>
      <c r="AO675" s="131"/>
      <c r="AP675" s="131"/>
      <c r="AQ675" s="39"/>
      <c r="AR675" s="274"/>
      <c r="AS675" s="274"/>
      <c r="AT675" s="274"/>
      <c r="AU675" s="39"/>
      <c r="AV675" s="39"/>
      <c r="AW675" s="39"/>
      <c r="AX675" s="274"/>
      <c r="AY675" s="274"/>
      <c r="AZ675" s="274"/>
      <c r="BA675" s="39"/>
      <c r="BB675" s="62"/>
      <c r="BC675" s="39"/>
      <c r="BD675" s="274"/>
      <c r="BE675" s="274"/>
      <c r="BF675" s="274"/>
      <c r="BG675" s="39"/>
      <c r="BH675" s="39"/>
      <c r="BI675" s="39"/>
      <c r="BJ675" s="274">
        <v>668500</v>
      </c>
      <c r="BK675" s="274">
        <f>+BJ675*0</f>
        <v>0</v>
      </c>
      <c r="BL675" s="274">
        <f t="shared" si="226"/>
        <v>668500</v>
      </c>
      <c r="BM675" s="215" t="s">
        <v>445</v>
      </c>
      <c r="BN675" s="213" t="s">
        <v>338</v>
      </c>
      <c r="BO675" s="39"/>
      <c r="BP675" s="274">
        <v>569000</v>
      </c>
      <c r="BQ675" s="274">
        <f>+BP675*19%</f>
        <v>108110</v>
      </c>
      <c r="BR675" s="274">
        <f>+BQ675+BP675</f>
        <v>677110</v>
      </c>
      <c r="BS675" s="39"/>
      <c r="BT675" s="39"/>
      <c r="BU675" s="39"/>
      <c r="BV675" s="212">
        <v>723123.13500000001</v>
      </c>
      <c r="BW675" s="222">
        <f>+BV675*0</f>
        <v>0</v>
      </c>
      <c r="BX675" s="273">
        <f t="shared" si="228"/>
        <v>723123.13500000001</v>
      </c>
      <c r="BY675" s="215" t="s">
        <v>445</v>
      </c>
      <c r="BZ675" s="213" t="s">
        <v>338</v>
      </c>
      <c r="CA675" s="213"/>
      <c r="CB675" s="274"/>
      <c r="CC675" s="274"/>
      <c r="CD675" s="274"/>
      <c r="CE675" s="39"/>
      <c r="CF675" s="39"/>
      <c r="CG675" s="39"/>
      <c r="CH675" s="275"/>
      <c r="CI675" s="275"/>
      <c r="CJ675" s="275"/>
      <c r="CK675" s="39"/>
      <c r="CL675" s="39"/>
      <c r="CM675" s="39"/>
      <c r="CN675" s="39"/>
      <c r="CO675" s="39"/>
      <c r="CP675" s="11"/>
      <c r="CQ675" s="11"/>
      <c r="CR675" s="11"/>
      <c r="CS675" s="11"/>
      <c r="CT675" s="11"/>
      <c r="CU675" s="11"/>
      <c r="CV675" s="11"/>
      <c r="CW675" s="11"/>
      <c r="CX675" s="11"/>
      <c r="CY675" s="11"/>
      <c r="CZ675" s="11"/>
      <c r="DA675" s="11"/>
      <c r="DB675" s="11"/>
      <c r="DC675" s="11"/>
      <c r="DD675" s="11"/>
      <c r="DE675" s="11"/>
      <c r="DF675" s="11"/>
      <c r="DG675" s="11"/>
      <c r="DH675" s="11"/>
      <c r="DI675" s="11"/>
      <c r="DJ675" s="11"/>
      <c r="DK675" s="11"/>
      <c r="DL675" s="274"/>
      <c r="DM675" s="274"/>
      <c r="DN675" s="274"/>
      <c r="DO675" s="274"/>
      <c r="DP675" s="274"/>
      <c r="DQ675" s="274"/>
      <c r="DR675" s="274"/>
      <c r="DS675" s="274"/>
      <c r="DT675" s="274"/>
      <c r="DU675" s="274"/>
      <c r="DV675" s="274"/>
      <c r="DW675" s="274"/>
      <c r="DX675" s="274"/>
      <c r="DY675" s="274"/>
      <c r="DZ675" s="274"/>
      <c r="EA675" s="274"/>
      <c r="EB675" s="274"/>
      <c r="EC675" s="274"/>
      <c r="ED675" s="39">
        <f t="shared" si="218"/>
        <v>3233148.1349999998</v>
      </c>
      <c r="EE675" s="30">
        <f t="shared" si="219"/>
        <v>4</v>
      </c>
      <c r="EF675" s="39">
        <f t="shared" si="220"/>
        <v>808287.03374999994</v>
      </c>
    </row>
    <row r="676" spans="1:136" x14ac:dyDescent="0.25">
      <c r="A676" s="25" t="e">
        <f>#REF!</f>
        <v>#REF!</v>
      </c>
      <c r="B676" s="50" t="e">
        <f>#REF!</f>
        <v>#REF!</v>
      </c>
      <c r="C676" s="5" t="e">
        <f>#REF!</f>
        <v>#REF!</v>
      </c>
      <c r="D676" s="5" t="e">
        <f>#REF!</f>
        <v>#REF!</v>
      </c>
      <c r="E676" s="252">
        <v>1</v>
      </c>
      <c r="F676" s="249">
        <v>0</v>
      </c>
      <c r="G676" s="249">
        <v>0</v>
      </c>
      <c r="H676" s="249">
        <v>0</v>
      </c>
      <c r="I676" s="249">
        <v>0</v>
      </c>
      <c r="J676" s="249">
        <v>1605500</v>
      </c>
      <c r="K676" s="249">
        <v>1535100</v>
      </c>
      <c r="L676" s="274">
        <f>J676</f>
        <v>1605500</v>
      </c>
      <c r="M676" s="274">
        <f>K676*E1</f>
        <v>1581153</v>
      </c>
      <c r="N676" s="255"/>
      <c r="O676" s="135"/>
      <c r="P676" s="135"/>
      <c r="Q676" s="131"/>
      <c r="R676" s="131"/>
      <c r="S676" s="11"/>
      <c r="T676" s="274"/>
      <c r="U676" s="274"/>
      <c r="V676" s="274"/>
      <c r="W676" s="39"/>
      <c r="X676" s="11"/>
      <c r="Y676" s="11"/>
      <c r="Z676" s="274"/>
      <c r="AA676" s="274"/>
      <c r="AB676" s="274"/>
      <c r="AC676" s="52"/>
      <c r="AD676" s="23"/>
      <c r="AE676" s="39"/>
      <c r="AF676" s="274"/>
      <c r="AG676" s="274"/>
      <c r="AH676" s="171"/>
      <c r="AI676" s="24"/>
      <c r="AJ676" s="39"/>
      <c r="AK676" s="39"/>
      <c r="AL676" s="118"/>
      <c r="AM676" s="152"/>
      <c r="AN676" s="181"/>
      <c r="AO676" s="131"/>
      <c r="AP676" s="131"/>
      <c r="AQ676" s="39"/>
      <c r="AR676" s="274"/>
      <c r="AS676" s="274"/>
      <c r="AT676" s="274"/>
      <c r="AU676" s="39"/>
      <c r="AV676" s="39"/>
      <c r="AW676" s="39"/>
      <c r="AX676" s="274"/>
      <c r="AY676" s="274"/>
      <c r="AZ676" s="274"/>
      <c r="BA676" s="39"/>
      <c r="BB676" s="62"/>
      <c r="BC676" s="39"/>
      <c r="BD676" s="274"/>
      <c r="BE676" s="274"/>
      <c r="BF676" s="274"/>
      <c r="BG676" s="39"/>
      <c r="BH676" s="39"/>
      <c r="BI676" s="39"/>
      <c r="BJ676" s="274">
        <v>845000</v>
      </c>
      <c r="BK676" s="274">
        <f>+BJ676*0</f>
        <v>0</v>
      </c>
      <c r="BL676" s="274">
        <f t="shared" si="226"/>
        <v>845000</v>
      </c>
      <c r="BM676" s="215" t="s">
        <v>445</v>
      </c>
      <c r="BN676" s="213" t="s">
        <v>338</v>
      </c>
      <c r="BO676" s="39"/>
      <c r="BP676" s="274"/>
      <c r="BQ676" s="274"/>
      <c r="BR676" s="274"/>
      <c r="BS676" s="39"/>
      <c r="BT676" s="39"/>
      <c r="BU676" s="39"/>
      <c r="BV676" s="219">
        <v>959649.6</v>
      </c>
      <c r="BW676" s="222">
        <f>+BV676*0</f>
        <v>0</v>
      </c>
      <c r="BX676" s="273">
        <f t="shared" si="228"/>
        <v>959649.6</v>
      </c>
      <c r="BY676" s="215" t="s">
        <v>445</v>
      </c>
      <c r="BZ676" s="213" t="s">
        <v>338</v>
      </c>
      <c r="CA676" s="213"/>
      <c r="CB676" s="274"/>
      <c r="CC676" s="274"/>
      <c r="CD676" s="274"/>
      <c r="CE676" s="39"/>
      <c r="CF676" s="39"/>
      <c r="CG676" s="39"/>
      <c r="CH676" s="274"/>
      <c r="CI676" s="274"/>
      <c r="CJ676" s="274"/>
      <c r="CK676" s="39"/>
      <c r="CL676" s="39"/>
      <c r="CM676" s="39"/>
      <c r="CN676" s="39"/>
      <c r="CO676" s="39"/>
      <c r="CP676" s="11"/>
      <c r="CQ676" s="11"/>
      <c r="CR676" s="11"/>
      <c r="CS676" s="11"/>
      <c r="CT676" s="11"/>
      <c r="CU676" s="11"/>
      <c r="CV676" s="11"/>
      <c r="CW676" s="11"/>
      <c r="CX676" s="11"/>
      <c r="CY676" s="11"/>
      <c r="CZ676" s="11"/>
      <c r="DA676" s="11"/>
      <c r="DB676" s="11"/>
      <c r="DC676" s="11"/>
      <c r="DD676" s="11"/>
      <c r="DE676" s="11"/>
      <c r="DF676" s="11"/>
      <c r="DG676" s="11"/>
      <c r="DH676" s="11"/>
      <c r="DI676" s="11"/>
      <c r="DJ676" s="11"/>
      <c r="DK676" s="11"/>
      <c r="DL676" s="274"/>
      <c r="DM676" s="274"/>
      <c r="DN676" s="274"/>
      <c r="DO676" s="274"/>
      <c r="DP676" s="274"/>
      <c r="DQ676" s="274"/>
      <c r="DR676" s="274"/>
      <c r="DS676" s="274"/>
      <c r="DT676" s="274"/>
      <c r="DU676" s="274"/>
      <c r="DV676" s="274"/>
      <c r="DW676" s="274"/>
      <c r="DX676" s="274"/>
      <c r="DY676" s="274"/>
      <c r="DZ676" s="274"/>
      <c r="EA676" s="274"/>
      <c r="EB676" s="274"/>
      <c r="EC676" s="274"/>
      <c r="ED676" s="39">
        <f t="shared" si="218"/>
        <v>3385802.6</v>
      </c>
      <c r="EE676" s="30">
        <f t="shared" si="219"/>
        <v>3</v>
      </c>
      <c r="EF676" s="39">
        <f t="shared" si="220"/>
        <v>1128600.8666666667</v>
      </c>
    </row>
    <row r="677" spans="1:136" x14ac:dyDescent="0.25">
      <c r="A677" s="25" t="e">
        <f>#REF!</f>
        <v>#REF!</v>
      </c>
      <c r="B677" s="50" t="e">
        <f>#REF!</f>
        <v>#REF!</v>
      </c>
      <c r="C677" s="5" t="e">
        <f>#REF!</f>
        <v>#REF!</v>
      </c>
      <c r="D677" s="5" t="e">
        <f>#REF!</f>
        <v>#REF!</v>
      </c>
      <c r="E677" s="252">
        <v>1</v>
      </c>
      <c r="F677" s="249">
        <v>0</v>
      </c>
      <c r="G677" s="249">
        <v>0</v>
      </c>
      <c r="H677" s="249">
        <v>0</v>
      </c>
      <c r="I677" s="249">
        <v>0</v>
      </c>
      <c r="J677" s="249">
        <v>0</v>
      </c>
      <c r="K677" s="249">
        <v>0</v>
      </c>
      <c r="L677" s="274"/>
      <c r="M677" s="274"/>
      <c r="N677" s="255"/>
      <c r="O677" s="135"/>
      <c r="P677" s="135"/>
      <c r="Q677" s="131"/>
      <c r="R677" s="131"/>
      <c r="S677" s="11"/>
      <c r="T677" s="274"/>
      <c r="U677" s="274"/>
      <c r="V677" s="274"/>
      <c r="W677" s="39"/>
      <c r="X677" s="11"/>
      <c r="Y677" s="11"/>
      <c r="Z677" s="274"/>
      <c r="AA677" s="274"/>
      <c r="AB677" s="274"/>
      <c r="AC677" s="52"/>
      <c r="AD677" s="23"/>
      <c r="AE677" s="39"/>
      <c r="AF677" s="274"/>
      <c r="AG677" s="274"/>
      <c r="AH677" s="171"/>
      <c r="AI677" s="24"/>
      <c r="AJ677" s="39"/>
      <c r="AK677" s="39"/>
      <c r="AL677" s="118"/>
      <c r="AM677" s="152"/>
      <c r="AN677" s="181"/>
      <c r="AO677" s="131"/>
      <c r="AP677" s="131"/>
      <c r="AQ677" s="39"/>
      <c r="AR677" s="274"/>
      <c r="AS677" s="274"/>
      <c r="AT677" s="274"/>
      <c r="AU677" s="39"/>
      <c r="AV677" s="39"/>
      <c r="AW677" s="39"/>
      <c r="AX677" s="274"/>
      <c r="AY677" s="274"/>
      <c r="AZ677" s="274"/>
      <c r="BA677" s="39"/>
      <c r="BB677" s="62"/>
      <c r="BC677" s="39"/>
      <c r="BD677" s="274"/>
      <c r="BE677" s="274"/>
      <c r="BF677" s="274"/>
      <c r="BG677" s="39"/>
      <c r="BH677" s="39"/>
      <c r="BI677" s="39"/>
      <c r="BJ677" s="274">
        <v>845000</v>
      </c>
      <c r="BK677" s="274">
        <f>+BJ677*0</f>
        <v>0</v>
      </c>
      <c r="BL677" s="274">
        <f t="shared" si="226"/>
        <v>845000</v>
      </c>
      <c r="BM677" s="215" t="s">
        <v>445</v>
      </c>
      <c r="BN677" s="213" t="s">
        <v>338</v>
      </c>
      <c r="BO677" s="39"/>
      <c r="BP677" s="274"/>
      <c r="BQ677" s="274"/>
      <c r="BR677" s="274"/>
      <c r="BS677" s="39"/>
      <c r="BT677" s="39"/>
      <c r="BU677" s="39"/>
      <c r="BV677" s="219">
        <v>931455.33</v>
      </c>
      <c r="BW677" s="222">
        <f>+BV677*0</f>
        <v>0</v>
      </c>
      <c r="BX677" s="273">
        <f t="shared" si="228"/>
        <v>931455.33</v>
      </c>
      <c r="BY677" s="215" t="s">
        <v>445</v>
      </c>
      <c r="BZ677" s="213" t="s">
        <v>338</v>
      </c>
      <c r="CA677" s="213"/>
      <c r="CB677" s="275"/>
      <c r="CC677" s="274"/>
      <c r="CD677" s="274"/>
      <c r="CE677" s="39"/>
      <c r="CF677" s="39"/>
      <c r="CG677" s="39"/>
      <c r="CH677" s="274"/>
      <c r="CI677" s="274"/>
      <c r="CJ677" s="274"/>
      <c r="CK677" s="39"/>
      <c r="CL677" s="39"/>
      <c r="CM677" s="39"/>
      <c r="CN677" s="39"/>
      <c r="CO677" s="39"/>
      <c r="CP677" s="11"/>
      <c r="CQ677" s="11"/>
      <c r="CR677" s="11"/>
      <c r="CS677" s="11"/>
      <c r="CT677" s="11"/>
      <c r="CU677" s="11"/>
      <c r="CV677" s="11"/>
      <c r="CW677" s="11"/>
      <c r="CX677" s="11"/>
      <c r="CY677" s="11"/>
      <c r="CZ677" s="11"/>
      <c r="DA677" s="11"/>
      <c r="DB677" s="11"/>
      <c r="DC677" s="11"/>
      <c r="DD677" s="11"/>
      <c r="DE677" s="11"/>
      <c r="DF677" s="11"/>
      <c r="DG677" s="11"/>
      <c r="DH677" s="11"/>
      <c r="DI677" s="11"/>
      <c r="DJ677" s="11"/>
      <c r="DK677" s="11"/>
      <c r="DL677" s="274"/>
      <c r="DM677" s="274"/>
      <c r="DN677" s="274"/>
      <c r="DO677" s="274"/>
      <c r="DP677" s="274"/>
      <c r="DQ677" s="274"/>
      <c r="DR677" s="274"/>
      <c r="DS677" s="274"/>
      <c r="DT677" s="274"/>
      <c r="DU677" s="274"/>
      <c r="DV677" s="274"/>
      <c r="DW677" s="274"/>
      <c r="DX677" s="274"/>
      <c r="DY677" s="274"/>
      <c r="DZ677" s="274"/>
      <c r="EA677" s="274"/>
      <c r="EB677" s="274"/>
      <c r="EC677" s="274"/>
      <c r="ED677" s="39">
        <f t="shared" si="218"/>
        <v>1776455.33</v>
      </c>
      <c r="EE677" s="30">
        <f t="shared" si="219"/>
        <v>2</v>
      </c>
      <c r="EF677" s="39">
        <f t="shared" si="220"/>
        <v>888227.66500000004</v>
      </c>
    </row>
    <row r="678" spans="1:136" x14ac:dyDescent="0.25">
      <c r="A678" s="25" t="e">
        <f>#REF!</f>
        <v>#REF!</v>
      </c>
      <c r="B678" s="50" t="e">
        <f>#REF!</f>
        <v>#REF!</v>
      </c>
      <c r="C678" s="5" t="e">
        <f>#REF!</f>
        <v>#REF!</v>
      </c>
      <c r="D678" s="5" t="e">
        <f>#REF!</f>
        <v>#REF!</v>
      </c>
      <c r="E678" s="252">
        <v>1</v>
      </c>
      <c r="F678" s="249">
        <v>0</v>
      </c>
      <c r="G678" s="249">
        <v>0</v>
      </c>
      <c r="H678" s="249">
        <v>0</v>
      </c>
      <c r="I678" s="249">
        <v>0</v>
      </c>
      <c r="J678" s="249">
        <v>0</v>
      </c>
      <c r="K678" s="249">
        <v>0</v>
      </c>
      <c r="L678" s="274"/>
      <c r="M678" s="274"/>
      <c r="N678" s="256"/>
      <c r="O678" s="135"/>
      <c r="P678" s="135"/>
      <c r="Q678" s="131"/>
      <c r="R678" s="131"/>
      <c r="S678" s="11"/>
      <c r="T678" s="274"/>
      <c r="U678" s="274"/>
      <c r="V678" s="274"/>
      <c r="W678" s="39"/>
      <c r="X678" s="11"/>
      <c r="Y678" s="11"/>
      <c r="Z678" s="274"/>
      <c r="AA678" s="274"/>
      <c r="AB678" s="274"/>
      <c r="AC678" s="52"/>
      <c r="AD678" s="22"/>
      <c r="AE678" s="39"/>
      <c r="AF678" s="274"/>
      <c r="AG678" s="274"/>
      <c r="AH678" s="171"/>
      <c r="AI678" s="4"/>
      <c r="AJ678" s="39"/>
      <c r="AK678" s="39"/>
      <c r="AL678" s="118"/>
      <c r="AM678" s="152"/>
      <c r="AN678" s="181"/>
      <c r="AO678" s="131"/>
      <c r="AP678" s="131"/>
      <c r="AQ678" s="39"/>
      <c r="AR678" s="274"/>
      <c r="AS678" s="274"/>
      <c r="AT678" s="274"/>
      <c r="AU678" s="39"/>
      <c r="AV678" s="39"/>
      <c r="AW678" s="39"/>
      <c r="AX678" s="274"/>
      <c r="AY678" s="274"/>
      <c r="AZ678" s="274"/>
      <c r="BA678" s="39"/>
      <c r="BB678" s="62"/>
      <c r="BC678" s="39"/>
      <c r="BD678" s="274"/>
      <c r="BE678" s="274"/>
      <c r="BF678" s="274"/>
      <c r="BG678" s="39"/>
      <c r="BH678" s="39"/>
      <c r="BI678" s="39"/>
      <c r="BJ678" s="274">
        <v>7507800</v>
      </c>
      <c r="BK678" s="274">
        <f>+BJ678*0</f>
        <v>0</v>
      </c>
      <c r="BL678" s="274">
        <f t="shared" si="226"/>
        <v>7507800</v>
      </c>
      <c r="BM678" s="215" t="s">
        <v>445</v>
      </c>
      <c r="BN678" s="213" t="s">
        <v>3440</v>
      </c>
      <c r="BO678" s="39"/>
      <c r="BP678" s="274"/>
      <c r="BQ678" s="274"/>
      <c r="BR678" s="274"/>
      <c r="BS678" s="39"/>
      <c r="BT678" s="39"/>
      <c r="BU678" s="39"/>
      <c r="BV678" s="212">
        <v>8439743.2139999997</v>
      </c>
      <c r="BW678" s="222">
        <f>+BV678*0</f>
        <v>0</v>
      </c>
      <c r="BX678" s="273">
        <f t="shared" si="228"/>
        <v>8439743.2139999997</v>
      </c>
      <c r="BY678" s="215" t="s">
        <v>445</v>
      </c>
      <c r="BZ678" s="213" t="s">
        <v>3440</v>
      </c>
      <c r="CA678" s="213"/>
      <c r="CB678" s="274"/>
      <c r="CC678" s="274"/>
      <c r="CD678" s="274"/>
      <c r="CE678" s="39"/>
      <c r="CF678" s="39"/>
      <c r="CG678" s="39"/>
      <c r="CH678" s="275"/>
      <c r="CI678" s="275"/>
      <c r="CJ678" s="275"/>
      <c r="CK678" s="39"/>
      <c r="CL678" s="39"/>
      <c r="CM678" s="39"/>
      <c r="CN678" s="39"/>
      <c r="CO678" s="39"/>
      <c r="CP678" s="11"/>
      <c r="CQ678" s="11"/>
      <c r="CR678" s="11"/>
      <c r="CS678" s="11"/>
      <c r="CT678" s="11"/>
      <c r="CU678" s="11"/>
      <c r="CV678" s="11"/>
      <c r="CW678" s="11"/>
      <c r="CX678" s="11"/>
      <c r="CY678" s="11"/>
      <c r="CZ678" s="11"/>
      <c r="DA678" s="11"/>
      <c r="DB678" s="11"/>
      <c r="DC678" s="11"/>
      <c r="DD678" s="11"/>
      <c r="DE678" s="11"/>
      <c r="DF678" s="11"/>
      <c r="DG678" s="11"/>
      <c r="DH678" s="11"/>
      <c r="DI678" s="11"/>
      <c r="DJ678" s="11"/>
      <c r="DK678" s="11"/>
      <c r="DL678" s="274"/>
      <c r="DM678" s="274"/>
      <c r="DN678" s="274"/>
      <c r="DO678" s="274"/>
      <c r="DP678" s="274"/>
      <c r="DQ678" s="274"/>
      <c r="DR678" s="274"/>
      <c r="DS678" s="274"/>
      <c r="DT678" s="274"/>
      <c r="DU678" s="274"/>
      <c r="DV678" s="274"/>
      <c r="DW678" s="274"/>
      <c r="DX678" s="274"/>
      <c r="DY678" s="274"/>
      <c r="DZ678" s="274"/>
      <c r="EA678" s="274"/>
      <c r="EB678" s="274"/>
      <c r="EC678" s="274"/>
      <c r="ED678" s="39">
        <f t="shared" si="218"/>
        <v>15947543.214</v>
      </c>
      <c r="EE678" s="30">
        <f t="shared" si="219"/>
        <v>2</v>
      </c>
      <c r="EF678" s="39">
        <f t="shared" si="220"/>
        <v>7973771.6069999998</v>
      </c>
    </row>
    <row r="679" spans="1:136" x14ac:dyDescent="0.25">
      <c r="A679" s="25" t="e">
        <f>#REF!</f>
        <v>#REF!</v>
      </c>
      <c r="B679" s="50" t="e">
        <f>#REF!</f>
        <v>#REF!</v>
      </c>
      <c r="C679" s="5" t="e">
        <f>#REF!</f>
        <v>#REF!</v>
      </c>
      <c r="D679" s="5" t="e">
        <f>#REF!</f>
        <v>#REF!</v>
      </c>
      <c r="E679" s="252">
        <v>1</v>
      </c>
      <c r="F679" s="249">
        <v>0</v>
      </c>
      <c r="G679" s="249">
        <v>0</v>
      </c>
      <c r="H679" s="249">
        <v>0</v>
      </c>
      <c r="I679" s="249">
        <v>0</v>
      </c>
      <c r="J679" s="249">
        <v>0</v>
      </c>
      <c r="K679" s="249">
        <v>0</v>
      </c>
      <c r="L679" s="274"/>
      <c r="M679" s="274"/>
      <c r="N679" s="255"/>
      <c r="O679" s="135"/>
      <c r="P679" s="135"/>
      <c r="Q679" s="11"/>
      <c r="R679" s="11"/>
      <c r="S679" s="11"/>
      <c r="T679" s="274"/>
      <c r="U679" s="274"/>
      <c r="V679" s="274"/>
      <c r="W679" s="39"/>
      <c r="X679" s="11"/>
      <c r="Y679" s="11"/>
      <c r="Z679" s="274"/>
      <c r="AA679" s="274"/>
      <c r="AB679" s="274"/>
      <c r="AC679" s="11"/>
      <c r="AD679" s="11"/>
      <c r="AE679" s="11"/>
      <c r="AF679" s="274"/>
      <c r="AG679" s="274"/>
      <c r="AH679" s="274"/>
      <c r="AI679" s="11"/>
      <c r="AJ679" s="11"/>
      <c r="AK679" s="11"/>
      <c r="AL679" s="118"/>
      <c r="AM679" s="118"/>
      <c r="AN679" s="118"/>
      <c r="AO679" s="52"/>
      <c r="AP679" s="52"/>
      <c r="AQ679" s="11"/>
      <c r="AR679" s="274"/>
      <c r="AS679" s="274"/>
      <c r="AT679" s="274"/>
      <c r="AU679" s="11"/>
      <c r="AV679" s="11"/>
      <c r="AW679" s="11"/>
      <c r="AX679" s="274"/>
      <c r="AY679" s="274"/>
      <c r="AZ679" s="274"/>
      <c r="BA679" s="11"/>
      <c r="BB679" s="11"/>
      <c r="BC679" s="11"/>
      <c r="BD679" s="274"/>
      <c r="BE679" s="274"/>
      <c r="BF679" s="274"/>
      <c r="BG679" s="11"/>
      <c r="BH679" s="11"/>
      <c r="BI679" s="11"/>
      <c r="BJ679" s="274">
        <v>845000</v>
      </c>
      <c r="BK679" s="274">
        <f>+BJ679*0</f>
        <v>0</v>
      </c>
      <c r="BL679" s="274">
        <f t="shared" si="226"/>
        <v>845000</v>
      </c>
      <c r="BM679" s="215" t="s">
        <v>445</v>
      </c>
      <c r="BN679" s="213" t="s">
        <v>338</v>
      </c>
      <c r="BO679" s="11"/>
      <c r="BP679" s="274">
        <v>596000</v>
      </c>
      <c r="BQ679" s="274">
        <f>+BP679*19%</f>
        <v>113240</v>
      </c>
      <c r="BR679" s="274">
        <f>+BQ679+BP679</f>
        <v>709240</v>
      </c>
      <c r="BS679" s="11"/>
      <c r="BT679" s="11"/>
      <c r="BU679" s="11"/>
      <c r="BV679" s="219">
        <v>986246.82000000018</v>
      </c>
      <c r="BW679" s="222">
        <f>+BV679*0</f>
        <v>0</v>
      </c>
      <c r="BX679" s="273">
        <f t="shared" si="228"/>
        <v>986246.82000000018</v>
      </c>
      <c r="BY679" s="215" t="s">
        <v>445</v>
      </c>
      <c r="BZ679" s="213" t="s">
        <v>338</v>
      </c>
      <c r="CA679" s="213"/>
      <c r="CB679" s="274"/>
      <c r="CC679" s="274"/>
      <c r="CD679" s="274"/>
      <c r="CE679" s="11"/>
      <c r="CF679" s="11"/>
      <c r="CG679" s="11"/>
      <c r="CH679" s="274"/>
      <c r="CI679" s="274"/>
      <c r="CJ679" s="274"/>
      <c r="CK679" s="11"/>
      <c r="CL679" s="11"/>
      <c r="CM679" s="11"/>
      <c r="CN679" s="11"/>
      <c r="CO679" s="11"/>
      <c r="CP679" s="11"/>
      <c r="CQ679" s="11"/>
      <c r="CR679" s="11"/>
      <c r="CS679" s="11"/>
      <c r="CT679" s="11"/>
      <c r="CU679" s="11"/>
      <c r="CV679" s="11"/>
      <c r="CW679" s="11"/>
      <c r="CX679" s="11"/>
      <c r="CY679" s="11"/>
      <c r="CZ679" s="11"/>
      <c r="DA679" s="11"/>
      <c r="DB679" s="11"/>
      <c r="DC679" s="11"/>
      <c r="DD679" s="11"/>
      <c r="DE679" s="11"/>
      <c r="DF679" s="11"/>
      <c r="DG679" s="11"/>
      <c r="DH679" s="11"/>
      <c r="DI679" s="11"/>
      <c r="DJ679" s="11"/>
      <c r="DK679" s="11"/>
      <c r="DL679" s="274"/>
      <c r="DM679" s="274"/>
      <c r="DN679" s="274"/>
      <c r="DO679" s="274"/>
      <c r="DP679" s="274"/>
      <c r="DQ679" s="274"/>
      <c r="DR679" s="274"/>
      <c r="DS679" s="274"/>
      <c r="DT679" s="274"/>
      <c r="DU679" s="274"/>
      <c r="DV679" s="274"/>
      <c r="DW679" s="274"/>
      <c r="DX679" s="274"/>
      <c r="DY679" s="274"/>
      <c r="DZ679" s="274"/>
      <c r="EA679" s="274"/>
      <c r="EB679" s="274"/>
      <c r="EC679" s="274"/>
      <c r="ED679" s="39">
        <f t="shared" si="218"/>
        <v>2540486.8200000003</v>
      </c>
      <c r="EE679" s="30">
        <f t="shared" si="219"/>
        <v>3</v>
      </c>
      <c r="EF679" s="39">
        <f t="shared" si="220"/>
        <v>846828.94000000006</v>
      </c>
    </row>
    <row r="680" spans="1:136" x14ac:dyDescent="0.25">
      <c r="A680" s="25" t="e">
        <f>#REF!</f>
        <v>#REF!</v>
      </c>
      <c r="B680" s="50" t="e">
        <f>#REF!</f>
        <v>#REF!</v>
      </c>
      <c r="C680" s="5" t="e">
        <f>#REF!</f>
        <v>#REF!</v>
      </c>
      <c r="D680" s="5" t="e">
        <f>#REF!</f>
        <v>#REF!</v>
      </c>
      <c r="E680" s="252">
        <v>1</v>
      </c>
      <c r="F680" s="249">
        <v>0</v>
      </c>
      <c r="G680" s="249">
        <v>0</v>
      </c>
      <c r="H680" s="249">
        <v>23800</v>
      </c>
      <c r="I680" s="249">
        <v>0</v>
      </c>
      <c r="J680" s="249">
        <v>2497860.773333333</v>
      </c>
      <c r="K680" s="249">
        <v>2380000</v>
      </c>
      <c r="L680" s="274">
        <f>AVERAGE(H680,J680)</f>
        <v>1260830.3866666665</v>
      </c>
      <c r="M680" s="274">
        <f>K680*E1</f>
        <v>2451400</v>
      </c>
      <c r="N680" s="255"/>
      <c r="O680" s="135"/>
      <c r="P680" s="135"/>
      <c r="Q680" s="131"/>
      <c r="R680" s="131"/>
      <c r="S680" s="11"/>
      <c r="T680" s="274"/>
      <c r="U680" s="274"/>
      <c r="V680" s="274"/>
      <c r="W680" s="39"/>
      <c r="X680" s="11"/>
      <c r="Y680" s="11"/>
      <c r="Z680" s="274"/>
      <c r="AA680" s="274"/>
      <c r="AB680" s="274"/>
      <c r="AC680" s="52"/>
      <c r="AD680" s="23"/>
      <c r="AE680" s="39"/>
      <c r="AF680" s="274"/>
      <c r="AG680" s="274"/>
      <c r="AH680" s="171"/>
      <c r="AI680" s="24"/>
      <c r="AJ680" s="39"/>
      <c r="AK680" s="39"/>
      <c r="AL680" s="118"/>
      <c r="AM680" s="152"/>
      <c r="AN680" s="181"/>
      <c r="AO680" s="131"/>
      <c r="AP680" s="131"/>
      <c r="AQ680" s="39"/>
      <c r="AR680" s="274"/>
      <c r="AS680" s="274"/>
      <c r="AT680" s="274"/>
      <c r="AU680" s="39"/>
      <c r="AV680" s="39"/>
      <c r="AW680" s="39"/>
      <c r="AX680" s="274"/>
      <c r="AY680" s="274"/>
      <c r="AZ680" s="274"/>
      <c r="BA680" s="39"/>
      <c r="BB680" s="62"/>
      <c r="BC680" s="39"/>
      <c r="BD680" s="274"/>
      <c r="BE680" s="274"/>
      <c r="BF680" s="274"/>
      <c r="BG680" s="39"/>
      <c r="BH680" s="39"/>
      <c r="BI680" s="39"/>
      <c r="BJ680" s="274">
        <v>958000</v>
      </c>
      <c r="BK680" s="274">
        <f>+BJ680*0.19</f>
        <v>182020</v>
      </c>
      <c r="BL680" s="274">
        <f t="shared" si="226"/>
        <v>1140020</v>
      </c>
      <c r="BM680" s="215" t="s">
        <v>445</v>
      </c>
      <c r="BN680" s="213" t="s">
        <v>164</v>
      </c>
      <c r="BO680" s="39"/>
      <c r="BP680" s="274"/>
      <c r="BQ680" s="274"/>
      <c r="BR680" s="274"/>
      <c r="BS680" s="39"/>
      <c r="BT680" s="39"/>
      <c r="BU680" s="39"/>
      <c r="BV680" s="219">
        <v>1087383.6480000003</v>
      </c>
      <c r="BW680" s="219">
        <f>+BV680*0.19</f>
        <v>206602.89312000005</v>
      </c>
      <c r="BX680" s="273">
        <f t="shared" si="228"/>
        <v>1293986.5411200004</v>
      </c>
      <c r="BY680" s="215" t="s">
        <v>445</v>
      </c>
      <c r="BZ680" s="213" t="s">
        <v>164</v>
      </c>
      <c r="CA680" s="213"/>
      <c r="CB680" s="274"/>
      <c r="CC680" s="274"/>
      <c r="CD680" s="274"/>
      <c r="CE680" s="39"/>
      <c r="CF680" s="39"/>
      <c r="CG680" s="39"/>
      <c r="CH680" s="274"/>
      <c r="CI680" s="274"/>
      <c r="CJ680" s="274"/>
      <c r="CK680" s="39"/>
      <c r="CL680" s="39"/>
      <c r="CM680" s="39"/>
      <c r="CN680" s="39"/>
      <c r="CO680" s="39"/>
      <c r="CP680" s="11"/>
      <c r="CQ680" s="11"/>
      <c r="CR680" s="11"/>
      <c r="CS680" s="11"/>
      <c r="CT680" s="11"/>
      <c r="CU680" s="11"/>
      <c r="CV680" s="11"/>
      <c r="CW680" s="11"/>
      <c r="CX680" s="11"/>
      <c r="CY680" s="11"/>
      <c r="CZ680" s="11"/>
      <c r="DA680" s="11"/>
      <c r="DB680" s="11"/>
      <c r="DC680" s="11"/>
      <c r="DD680" s="11"/>
      <c r="DE680" s="11"/>
      <c r="DF680" s="11"/>
      <c r="DG680" s="11"/>
      <c r="DH680" s="11"/>
      <c r="DI680" s="11"/>
      <c r="DJ680" s="11"/>
      <c r="DK680" s="11"/>
      <c r="DL680" s="274"/>
      <c r="DM680" s="274"/>
      <c r="DN680" s="274"/>
      <c r="DO680" s="274"/>
      <c r="DP680" s="274"/>
      <c r="DQ680" s="274"/>
      <c r="DR680" s="274"/>
      <c r="DS680" s="274"/>
      <c r="DT680" s="274"/>
      <c r="DU680" s="274"/>
      <c r="DV680" s="274"/>
      <c r="DW680" s="274"/>
      <c r="DX680" s="274"/>
      <c r="DY680" s="274"/>
      <c r="DZ680" s="274"/>
      <c r="EA680" s="274"/>
      <c r="EB680" s="274"/>
      <c r="EC680" s="274"/>
      <c r="ED680" s="39">
        <f t="shared" si="218"/>
        <v>4885406.5411200002</v>
      </c>
      <c r="EE680" s="30">
        <f t="shared" si="219"/>
        <v>3</v>
      </c>
      <c r="EF680" s="39">
        <f t="shared" si="220"/>
        <v>1628468.8470400001</v>
      </c>
    </row>
    <row r="681" spans="1:136" x14ac:dyDescent="0.25">
      <c r="A681" s="25" t="e">
        <f>#REF!</f>
        <v>#REF!</v>
      </c>
      <c r="B681" s="50" t="e">
        <f>#REF!</f>
        <v>#REF!</v>
      </c>
      <c r="C681" s="5" t="e">
        <f>#REF!</f>
        <v>#REF!</v>
      </c>
      <c r="D681" s="5" t="e">
        <f>#REF!</f>
        <v>#REF!</v>
      </c>
      <c r="E681" s="252">
        <v>1</v>
      </c>
      <c r="F681" s="249">
        <v>0</v>
      </c>
      <c r="G681" s="249">
        <v>0</v>
      </c>
      <c r="H681" s="249">
        <v>0</v>
      </c>
      <c r="I681" s="249">
        <v>0</v>
      </c>
      <c r="J681" s="249">
        <v>0</v>
      </c>
      <c r="K681" s="249">
        <v>0</v>
      </c>
      <c r="L681" s="274"/>
      <c r="M681" s="274"/>
      <c r="N681" s="255"/>
      <c r="O681" s="135"/>
      <c r="P681" s="135"/>
      <c r="Q681" s="131"/>
      <c r="R681" s="131"/>
      <c r="S681" s="11"/>
      <c r="T681" s="274"/>
      <c r="U681" s="274"/>
      <c r="V681" s="274"/>
      <c r="W681" s="39"/>
      <c r="X681" s="11"/>
      <c r="Y681" s="11"/>
      <c r="Z681" s="274"/>
      <c r="AA681" s="274"/>
      <c r="AB681" s="274"/>
      <c r="AC681" s="52"/>
      <c r="AD681" s="22"/>
      <c r="AE681" s="39"/>
      <c r="AF681" s="274"/>
      <c r="AG681" s="274"/>
      <c r="AH681" s="171"/>
      <c r="AI681" s="4"/>
      <c r="AJ681" s="39"/>
      <c r="AK681" s="39"/>
      <c r="AL681" s="118"/>
      <c r="AM681" s="152"/>
      <c r="AN681" s="181"/>
      <c r="AO681" s="131"/>
      <c r="AP681" s="131"/>
      <c r="AQ681" s="39"/>
      <c r="AR681" s="274"/>
      <c r="AS681" s="274"/>
      <c r="AT681" s="274"/>
      <c r="AU681" s="39"/>
      <c r="AV681" s="39"/>
      <c r="AW681" s="39"/>
      <c r="AX681" s="274"/>
      <c r="AY681" s="274"/>
      <c r="AZ681" s="274"/>
      <c r="BA681" s="39"/>
      <c r="BB681" s="62"/>
      <c r="BC681" s="39"/>
      <c r="BD681" s="274"/>
      <c r="BE681" s="274"/>
      <c r="BF681" s="274"/>
      <c r="BG681" s="39"/>
      <c r="BH681" s="39"/>
      <c r="BI681" s="39"/>
      <c r="BJ681" s="274">
        <v>361800</v>
      </c>
      <c r="BK681" s="274">
        <f>+BJ681*0</f>
        <v>0</v>
      </c>
      <c r="BL681" s="274">
        <f t="shared" si="226"/>
        <v>361800</v>
      </c>
      <c r="BM681" s="215" t="s">
        <v>445</v>
      </c>
      <c r="BN681" s="213" t="s">
        <v>338</v>
      </c>
      <c r="BO681" s="39"/>
      <c r="BP681" s="274"/>
      <c r="BQ681" s="274"/>
      <c r="BR681" s="274"/>
      <c r="BS681" s="39"/>
      <c r="BT681" s="39"/>
      <c r="BU681" s="39"/>
      <c r="BV681" s="219">
        <v>426651.56460000004</v>
      </c>
      <c r="BW681" s="222">
        <f>+BV681*0</f>
        <v>0</v>
      </c>
      <c r="BX681" s="273">
        <f t="shared" si="228"/>
        <v>426651.56460000004</v>
      </c>
      <c r="BY681" s="215" t="s">
        <v>445</v>
      </c>
      <c r="BZ681" s="213" t="s">
        <v>338</v>
      </c>
      <c r="CA681" s="213"/>
      <c r="CB681" s="274"/>
      <c r="CC681" s="274"/>
      <c r="CD681" s="274"/>
      <c r="CE681" s="39"/>
      <c r="CF681" s="39"/>
      <c r="CG681" s="39"/>
      <c r="CH681" s="274"/>
      <c r="CI681" s="274"/>
      <c r="CJ681" s="274"/>
      <c r="CK681" s="39"/>
      <c r="CL681" s="39"/>
      <c r="CM681" s="39"/>
      <c r="CN681" s="39"/>
      <c r="CO681" s="39"/>
      <c r="CP681" s="11"/>
      <c r="CQ681" s="11"/>
      <c r="CR681" s="11"/>
      <c r="CS681" s="11"/>
      <c r="CT681" s="11"/>
      <c r="CU681" s="11"/>
      <c r="CV681" s="11"/>
      <c r="CW681" s="11"/>
      <c r="CX681" s="11"/>
      <c r="CY681" s="11"/>
      <c r="CZ681" s="11"/>
      <c r="DA681" s="11"/>
      <c r="DB681" s="11"/>
      <c r="DC681" s="11"/>
      <c r="DD681" s="11"/>
      <c r="DE681" s="11"/>
      <c r="DF681" s="11"/>
      <c r="DG681" s="11"/>
      <c r="DH681" s="11"/>
      <c r="DI681" s="11"/>
      <c r="DJ681" s="11"/>
      <c r="DK681" s="11"/>
      <c r="DL681" s="274"/>
      <c r="DM681" s="274"/>
      <c r="DN681" s="274"/>
      <c r="DO681" s="274"/>
      <c r="DP681" s="274"/>
      <c r="DQ681" s="274"/>
      <c r="DR681" s="274"/>
      <c r="DS681" s="274"/>
      <c r="DT681" s="274"/>
      <c r="DU681" s="274"/>
      <c r="DV681" s="274"/>
      <c r="DW681" s="274"/>
      <c r="DX681" s="274"/>
      <c r="DY681" s="274"/>
      <c r="DZ681" s="274"/>
      <c r="EA681" s="274"/>
      <c r="EB681" s="274"/>
      <c r="EC681" s="274"/>
      <c r="ED681" s="39">
        <f t="shared" si="218"/>
        <v>788451.56460000004</v>
      </c>
      <c r="EE681" s="30">
        <f t="shared" si="219"/>
        <v>2</v>
      </c>
      <c r="EF681" s="39">
        <f t="shared" si="220"/>
        <v>394225.78230000002</v>
      </c>
    </row>
    <row r="682" spans="1:136" x14ac:dyDescent="0.25">
      <c r="A682" s="25" t="e">
        <f>#REF!</f>
        <v>#REF!</v>
      </c>
      <c r="B682" s="50" t="e">
        <f>#REF!</f>
        <v>#REF!</v>
      </c>
      <c r="C682" s="5" t="e">
        <f>#REF!</f>
        <v>#REF!</v>
      </c>
      <c r="D682" s="5" t="e">
        <f>#REF!</f>
        <v>#REF!</v>
      </c>
      <c r="E682" s="252">
        <v>1</v>
      </c>
      <c r="F682" s="249">
        <v>0</v>
      </c>
      <c r="G682" s="249">
        <v>0</v>
      </c>
      <c r="H682" s="249">
        <v>0</v>
      </c>
      <c r="I682" s="249">
        <v>0</v>
      </c>
      <c r="J682" s="249">
        <v>0</v>
      </c>
      <c r="K682" s="249">
        <v>0</v>
      </c>
      <c r="L682" s="274"/>
      <c r="M682" s="274"/>
      <c r="N682" s="255"/>
      <c r="O682" s="135"/>
      <c r="P682" s="135"/>
      <c r="Q682" s="131"/>
      <c r="R682" s="131"/>
      <c r="S682" s="11"/>
      <c r="T682" s="274"/>
      <c r="U682" s="274"/>
      <c r="V682" s="274"/>
      <c r="W682" s="39"/>
      <c r="X682" s="11"/>
      <c r="Y682" s="11"/>
      <c r="Z682" s="274"/>
      <c r="AA682" s="274"/>
      <c r="AB682" s="274"/>
      <c r="AC682" s="52"/>
      <c r="AD682" s="22"/>
      <c r="AE682" s="39"/>
      <c r="AF682" s="274"/>
      <c r="AG682" s="274"/>
      <c r="AH682" s="171"/>
      <c r="AI682" s="4"/>
      <c r="AJ682" s="39"/>
      <c r="AK682" s="39"/>
      <c r="AL682" s="118"/>
      <c r="AM682" s="152"/>
      <c r="AN682" s="181"/>
      <c r="AO682" s="131"/>
      <c r="AP682" s="131"/>
      <c r="AQ682" s="39"/>
      <c r="AR682" s="274"/>
      <c r="AS682" s="274"/>
      <c r="AT682" s="274"/>
      <c r="AU682" s="39"/>
      <c r="AV682" s="39"/>
      <c r="AW682" s="39"/>
      <c r="AX682" s="274"/>
      <c r="AY682" s="274"/>
      <c r="AZ682" s="274"/>
      <c r="BA682" s="39"/>
      <c r="BB682" s="62"/>
      <c r="BC682" s="39"/>
      <c r="BD682" s="274"/>
      <c r="BE682" s="274"/>
      <c r="BF682" s="274"/>
      <c r="BG682" s="39"/>
      <c r="BH682" s="39"/>
      <c r="BI682" s="39"/>
      <c r="BJ682" s="274">
        <v>795500</v>
      </c>
      <c r="BK682" s="274">
        <f>+BJ682*0</f>
        <v>0</v>
      </c>
      <c r="BL682" s="274">
        <f t="shared" si="226"/>
        <v>795500</v>
      </c>
      <c r="BM682" s="215" t="s">
        <v>445</v>
      </c>
      <c r="BN682" s="213" t="s">
        <v>338</v>
      </c>
      <c r="BO682" s="39"/>
      <c r="BP682" s="274"/>
      <c r="BQ682" s="274"/>
      <c r="BR682" s="274"/>
      <c r="BS682" s="39"/>
      <c r="BT682" s="39"/>
      <c r="BU682" s="39"/>
      <c r="BV682" s="219">
        <v>852467.34600000014</v>
      </c>
      <c r="BW682" s="222">
        <f>+BV682*0</f>
        <v>0</v>
      </c>
      <c r="BX682" s="273">
        <f t="shared" si="228"/>
        <v>852467.34600000014</v>
      </c>
      <c r="BY682" s="215" t="s">
        <v>445</v>
      </c>
      <c r="BZ682" s="213" t="s">
        <v>338</v>
      </c>
      <c r="CA682" s="213"/>
      <c r="CB682" s="274"/>
      <c r="CC682" s="274"/>
      <c r="CD682" s="274"/>
      <c r="CE682" s="39"/>
      <c r="CF682" s="39"/>
      <c r="CG682" s="39"/>
      <c r="CH682" s="274"/>
      <c r="CI682" s="274"/>
      <c r="CJ682" s="274"/>
      <c r="CK682" s="39"/>
      <c r="CL682" s="39"/>
      <c r="CM682" s="39"/>
      <c r="CN682" s="39"/>
      <c r="CO682" s="39"/>
      <c r="CP682" s="11"/>
      <c r="CQ682" s="11"/>
      <c r="CR682" s="11"/>
      <c r="CS682" s="11"/>
      <c r="CT682" s="11"/>
      <c r="CU682" s="11"/>
      <c r="CV682" s="11"/>
      <c r="CW682" s="11"/>
      <c r="CX682" s="11"/>
      <c r="CY682" s="11"/>
      <c r="CZ682" s="11"/>
      <c r="DA682" s="11"/>
      <c r="DB682" s="11"/>
      <c r="DC682" s="11"/>
      <c r="DD682" s="11"/>
      <c r="DE682" s="11"/>
      <c r="DF682" s="11"/>
      <c r="DG682" s="11"/>
      <c r="DH682" s="11"/>
      <c r="DI682" s="11"/>
      <c r="DJ682" s="11"/>
      <c r="DK682" s="11"/>
      <c r="DL682" s="274"/>
      <c r="DM682" s="274"/>
      <c r="DN682" s="274"/>
      <c r="DO682" s="274"/>
      <c r="DP682" s="274"/>
      <c r="DQ682" s="274"/>
      <c r="DR682" s="274"/>
      <c r="DS682" s="274"/>
      <c r="DT682" s="274"/>
      <c r="DU682" s="274"/>
      <c r="DV682" s="274"/>
      <c r="DW682" s="274"/>
      <c r="DX682" s="274"/>
      <c r="DY682" s="274"/>
      <c r="DZ682" s="274"/>
      <c r="EA682" s="274"/>
      <c r="EB682" s="274"/>
      <c r="EC682" s="274"/>
      <c r="ED682" s="39">
        <f t="shared" si="218"/>
        <v>1647967.3460000001</v>
      </c>
      <c r="EE682" s="30">
        <f t="shared" si="219"/>
        <v>2</v>
      </c>
      <c r="EF682" s="39">
        <f t="shared" si="220"/>
        <v>823983.67300000007</v>
      </c>
    </row>
    <row r="683" spans="1:136" x14ac:dyDescent="0.25">
      <c r="A683" s="25" t="e">
        <f>#REF!</f>
        <v>#REF!</v>
      </c>
      <c r="B683" s="50" t="e">
        <f>#REF!</f>
        <v>#REF!</v>
      </c>
      <c r="C683" s="5" t="e">
        <f>#REF!</f>
        <v>#REF!</v>
      </c>
      <c r="D683" s="5" t="e">
        <f>#REF!</f>
        <v>#REF!</v>
      </c>
      <c r="E683" s="252">
        <v>1</v>
      </c>
      <c r="F683" s="249">
        <v>0</v>
      </c>
      <c r="G683" s="249">
        <v>0</v>
      </c>
      <c r="H683" s="249">
        <v>0</v>
      </c>
      <c r="I683" s="249">
        <v>0</v>
      </c>
      <c r="J683" s="249">
        <v>0</v>
      </c>
      <c r="K683" s="249">
        <v>0</v>
      </c>
      <c r="L683" s="274"/>
      <c r="M683" s="274"/>
      <c r="N683" s="255"/>
      <c r="O683" s="135"/>
      <c r="P683" s="135"/>
      <c r="Q683" s="131"/>
      <c r="R683" s="131"/>
      <c r="S683" s="11"/>
      <c r="T683" s="274"/>
      <c r="U683" s="274"/>
      <c r="V683" s="274"/>
      <c r="W683" s="39"/>
      <c r="X683" s="11"/>
      <c r="Y683" s="11"/>
      <c r="Z683" s="274"/>
      <c r="AA683" s="274"/>
      <c r="AB683" s="274"/>
      <c r="AC683" s="52"/>
      <c r="AD683" s="22"/>
      <c r="AE683" s="39"/>
      <c r="AF683" s="274"/>
      <c r="AG683" s="274"/>
      <c r="AH683" s="171"/>
      <c r="AI683" s="4"/>
      <c r="AJ683" s="39"/>
      <c r="AK683" s="39"/>
      <c r="AL683" s="118"/>
      <c r="AM683" s="152"/>
      <c r="AN683" s="181"/>
      <c r="AO683" s="131"/>
      <c r="AP683" s="131"/>
      <c r="AQ683" s="39"/>
      <c r="AR683" s="274"/>
      <c r="AS683" s="274"/>
      <c r="AT683" s="274"/>
      <c r="AU683" s="39"/>
      <c r="AV683" s="39"/>
      <c r="AW683" s="39"/>
      <c r="AX683" s="274"/>
      <c r="AY683" s="274"/>
      <c r="AZ683" s="274"/>
      <c r="BA683" s="39"/>
      <c r="BB683" s="62"/>
      <c r="BC683" s="39"/>
      <c r="BD683" s="274"/>
      <c r="BE683" s="274"/>
      <c r="BF683" s="274"/>
      <c r="BG683" s="39"/>
      <c r="BH683" s="39"/>
      <c r="BI683" s="39"/>
      <c r="BJ683" s="274">
        <v>3490100</v>
      </c>
      <c r="BK683" s="274">
        <f>+BJ683*0</f>
        <v>0</v>
      </c>
      <c r="BL683" s="274">
        <f t="shared" si="226"/>
        <v>3490100</v>
      </c>
      <c r="BM683" s="215" t="s">
        <v>445</v>
      </c>
      <c r="BN683" s="213" t="s">
        <v>338</v>
      </c>
      <c r="BO683" s="39"/>
      <c r="BP683" s="274"/>
      <c r="BQ683" s="274"/>
      <c r="BR683" s="274"/>
      <c r="BS683" s="39"/>
      <c r="BT683" s="39"/>
      <c r="BU683" s="39"/>
      <c r="BV683" s="219">
        <v>3957899.0436000009</v>
      </c>
      <c r="BW683" s="222">
        <f>+BV683*0</f>
        <v>0</v>
      </c>
      <c r="BX683" s="273">
        <f t="shared" si="228"/>
        <v>3957899.0436000009</v>
      </c>
      <c r="BY683" s="215" t="s">
        <v>445</v>
      </c>
      <c r="BZ683" s="213" t="s">
        <v>338</v>
      </c>
      <c r="CA683" s="213"/>
      <c r="CB683" s="274"/>
      <c r="CC683" s="274"/>
      <c r="CD683" s="274"/>
      <c r="CE683" s="39"/>
      <c r="CF683" s="39"/>
      <c r="CG683" s="39"/>
      <c r="CH683" s="274"/>
      <c r="CI683" s="274"/>
      <c r="CJ683" s="274"/>
      <c r="CK683" s="39"/>
      <c r="CL683" s="39"/>
      <c r="CM683" s="39"/>
      <c r="CN683" s="39"/>
      <c r="CO683" s="39"/>
      <c r="CP683" s="11"/>
      <c r="CQ683" s="11"/>
      <c r="CR683" s="11"/>
      <c r="CS683" s="11"/>
      <c r="CT683" s="11"/>
      <c r="CU683" s="11"/>
      <c r="CV683" s="11"/>
      <c r="CW683" s="11"/>
      <c r="CX683" s="11"/>
      <c r="CY683" s="11"/>
      <c r="CZ683" s="11"/>
      <c r="DA683" s="11"/>
      <c r="DB683" s="11"/>
      <c r="DC683" s="11"/>
      <c r="DD683" s="11"/>
      <c r="DE683" s="11"/>
      <c r="DF683" s="11"/>
      <c r="DG683" s="11"/>
      <c r="DH683" s="11"/>
      <c r="DI683" s="11"/>
      <c r="DJ683" s="11"/>
      <c r="DK683" s="11"/>
      <c r="DL683" s="274"/>
      <c r="DM683" s="274"/>
      <c r="DN683" s="274"/>
      <c r="DO683" s="274"/>
      <c r="DP683" s="274"/>
      <c r="DQ683" s="274"/>
      <c r="DR683" s="274"/>
      <c r="DS683" s="274"/>
      <c r="DT683" s="274"/>
      <c r="DU683" s="274"/>
      <c r="DV683" s="274"/>
      <c r="DW683" s="274"/>
      <c r="DX683" s="274"/>
      <c r="DY683" s="274"/>
      <c r="DZ683" s="274"/>
      <c r="EA683" s="274"/>
      <c r="EB683" s="274"/>
      <c r="EC683" s="274"/>
      <c r="ED683" s="39">
        <f t="shared" si="218"/>
        <v>7447999.0436000004</v>
      </c>
      <c r="EE683" s="30">
        <f t="shared" si="219"/>
        <v>2</v>
      </c>
      <c r="EF683" s="39">
        <f t="shared" si="220"/>
        <v>3723999.5218000002</v>
      </c>
    </row>
    <row r="684" spans="1:136" x14ac:dyDescent="0.25">
      <c r="A684" s="25" t="e">
        <f>#REF!</f>
        <v>#REF!</v>
      </c>
      <c r="B684" s="50" t="e">
        <f>#REF!</f>
        <v>#REF!</v>
      </c>
      <c r="C684" s="5" t="e">
        <f>#REF!</f>
        <v>#REF!</v>
      </c>
      <c r="D684" s="5" t="e">
        <f>#REF!</f>
        <v>#REF!</v>
      </c>
      <c r="E684" s="252">
        <v>1</v>
      </c>
      <c r="F684" s="249">
        <v>0</v>
      </c>
      <c r="G684" s="249">
        <v>0</v>
      </c>
      <c r="H684" s="249">
        <v>0</v>
      </c>
      <c r="I684" s="249">
        <v>0</v>
      </c>
      <c r="J684" s="249">
        <v>0</v>
      </c>
      <c r="K684" s="249">
        <v>0</v>
      </c>
      <c r="L684" s="274"/>
      <c r="M684" s="274"/>
      <c r="N684" s="255"/>
      <c r="O684" s="135"/>
      <c r="P684" s="135"/>
      <c r="Q684" s="131"/>
      <c r="R684" s="131"/>
      <c r="S684" s="11"/>
      <c r="T684" s="274"/>
      <c r="U684" s="274"/>
      <c r="V684" s="274"/>
      <c r="W684" s="39"/>
      <c r="X684" s="11"/>
      <c r="Y684" s="11"/>
      <c r="Z684" s="274"/>
      <c r="AA684" s="274"/>
      <c r="AB684" s="274"/>
      <c r="AC684" s="52"/>
      <c r="AD684" s="22"/>
      <c r="AE684" s="39"/>
      <c r="AF684" s="274"/>
      <c r="AG684" s="274"/>
      <c r="AH684" s="171"/>
      <c r="AI684" s="4"/>
      <c r="AJ684" s="39"/>
      <c r="AK684" s="39"/>
      <c r="AL684" s="118"/>
      <c r="AM684" s="152"/>
      <c r="AN684" s="181"/>
      <c r="AO684" s="131"/>
      <c r="AP684" s="131"/>
      <c r="AQ684" s="39"/>
      <c r="AR684" s="274"/>
      <c r="AS684" s="274"/>
      <c r="AT684" s="274"/>
      <c r="AU684" s="39"/>
      <c r="AV684" s="39"/>
      <c r="AW684" s="39"/>
      <c r="AX684" s="274"/>
      <c r="AY684" s="274"/>
      <c r="AZ684" s="274"/>
      <c r="BA684" s="39"/>
      <c r="BB684" s="62"/>
      <c r="BC684" s="39"/>
      <c r="BD684" s="274"/>
      <c r="BE684" s="274"/>
      <c r="BF684" s="274"/>
      <c r="BG684" s="39"/>
      <c r="BH684" s="39"/>
      <c r="BI684" s="39"/>
      <c r="BJ684" s="274"/>
      <c r="BK684" s="274"/>
      <c r="BL684" s="274"/>
      <c r="BM684" s="213"/>
      <c r="BN684" s="213"/>
      <c r="BO684" s="39"/>
      <c r="BP684" s="274"/>
      <c r="BQ684" s="274"/>
      <c r="BR684" s="274"/>
      <c r="BS684" s="39"/>
      <c r="BT684" s="39"/>
      <c r="BU684" s="39"/>
      <c r="BV684" s="212"/>
      <c r="BW684" s="220"/>
      <c r="BX684" s="273"/>
      <c r="BY684" s="213"/>
      <c r="BZ684" s="213"/>
      <c r="CA684" s="213"/>
      <c r="CB684" s="274"/>
      <c r="CC684" s="274"/>
      <c r="CD684" s="274"/>
      <c r="CE684" s="39"/>
      <c r="CF684" s="39"/>
      <c r="CG684" s="39"/>
      <c r="CH684" s="274"/>
      <c r="CI684" s="274"/>
      <c r="CJ684" s="274"/>
      <c r="CK684" s="39"/>
      <c r="CL684" s="39"/>
      <c r="CM684" s="39"/>
      <c r="CN684" s="39"/>
      <c r="CO684" s="39"/>
      <c r="CP684" s="11"/>
      <c r="CQ684" s="11"/>
      <c r="CR684" s="11"/>
      <c r="CS684" s="11"/>
      <c r="CT684" s="11"/>
      <c r="CU684" s="11"/>
      <c r="CV684" s="11"/>
      <c r="CW684" s="11"/>
      <c r="CX684" s="11"/>
      <c r="CY684" s="11"/>
      <c r="CZ684" s="11"/>
      <c r="DA684" s="11"/>
      <c r="DB684" s="11"/>
      <c r="DC684" s="11"/>
      <c r="DD684" s="11"/>
      <c r="DE684" s="11"/>
      <c r="DF684" s="11"/>
      <c r="DG684" s="11"/>
      <c r="DH684" s="11"/>
      <c r="DI684" s="11"/>
      <c r="DJ684" s="11"/>
      <c r="DK684" s="11"/>
      <c r="DL684" s="274"/>
      <c r="DM684" s="274"/>
      <c r="DN684" s="274"/>
      <c r="DO684" s="274"/>
      <c r="DP684" s="274"/>
      <c r="DQ684" s="274"/>
      <c r="DR684" s="274"/>
      <c r="DS684" s="274"/>
      <c r="DT684" s="274"/>
      <c r="DU684" s="274"/>
      <c r="DV684" s="274"/>
      <c r="DW684" s="274"/>
      <c r="DX684" s="274"/>
      <c r="DY684" s="274"/>
      <c r="DZ684" s="274"/>
      <c r="EA684" s="274"/>
      <c r="EB684" s="274"/>
      <c r="EC684" s="274"/>
      <c r="ED684" s="39">
        <f t="shared" si="218"/>
        <v>0</v>
      </c>
      <c r="EE684" s="30">
        <f t="shared" si="219"/>
        <v>0</v>
      </c>
      <c r="EF684" s="39" t="str">
        <f t="shared" si="220"/>
        <v xml:space="preserve"> </v>
      </c>
    </row>
    <row r="685" spans="1:136" x14ac:dyDescent="0.25">
      <c r="A685" s="25" t="e">
        <f>#REF!</f>
        <v>#REF!</v>
      </c>
      <c r="B685" s="50" t="e">
        <f>#REF!</f>
        <v>#REF!</v>
      </c>
      <c r="C685" s="5" t="e">
        <f>#REF!</f>
        <v>#REF!</v>
      </c>
      <c r="D685" s="5" t="e">
        <f>#REF!</f>
        <v>#REF!</v>
      </c>
      <c r="E685" s="252">
        <v>1</v>
      </c>
      <c r="F685" s="249">
        <v>0</v>
      </c>
      <c r="G685" s="249">
        <v>0</v>
      </c>
      <c r="H685" s="249">
        <v>0</v>
      </c>
      <c r="I685" s="249">
        <v>0</v>
      </c>
      <c r="J685" s="249">
        <v>474161.68799999997</v>
      </c>
      <c r="K685" s="249">
        <v>0</v>
      </c>
      <c r="L685" s="274">
        <f>J685</f>
        <v>474161.68799999997</v>
      </c>
      <c r="M685" s="274"/>
      <c r="N685" s="255"/>
      <c r="O685" s="135"/>
      <c r="P685" s="135"/>
      <c r="Q685" s="131"/>
      <c r="R685" s="131"/>
      <c r="S685" s="11"/>
      <c r="T685" s="274"/>
      <c r="U685" s="274"/>
      <c r="V685" s="274"/>
      <c r="W685" s="39"/>
      <c r="X685" s="11"/>
      <c r="Y685" s="11"/>
      <c r="Z685" s="274"/>
      <c r="AA685" s="274"/>
      <c r="AB685" s="274"/>
      <c r="AC685" s="52"/>
      <c r="AD685" s="22"/>
      <c r="AE685" s="39"/>
      <c r="AF685" s="274"/>
      <c r="AG685" s="274"/>
      <c r="AH685" s="171"/>
      <c r="AI685" s="4"/>
      <c r="AJ685" s="39"/>
      <c r="AK685" s="39"/>
      <c r="AL685" s="118"/>
      <c r="AM685" s="152"/>
      <c r="AN685" s="181"/>
      <c r="AO685" s="131"/>
      <c r="AP685" s="131"/>
      <c r="AQ685" s="39"/>
      <c r="AR685" s="274"/>
      <c r="AS685" s="274"/>
      <c r="AT685" s="274"/>
      <c r="AU685" s="39"/>
      <c r="AV685" s="39"/>
      <c r="AW685" s="39"/>
      <c r="AX685" s="274"/>
      <c r="AY685" s="274"/>
      <c r="AZ685" s="274"/>
      <c r="BA685" s="39"/>
      <c r="BB685" s="62"/>
      <c r="BC685" s="39"/>
      <c r="BD685" s="274"/>
      <c r="BE685" s="274"/>
      <c r="BF685" s="274"/>
      <c r="BG685" s="39"/>
      <c r="BH685" s="39"/>
      <c r="BI685" s="39"/>
      <c r="BJ685" s="274"/>
      <c r="BK685" s="274"/>
      <c r="BL685" s="274"/>
      <c r="BM685" s="213"/>
      <c r="BN685" s="213"/>
      <c r="BO685" s="39"/>
      <c r="BP685" s="274">
        <v>468000</v>
      </c>
      <c r="BQ685" s="274">
        <f t="shared" ref="BQ685:BQ690" si="229">+BP685*19%</f>
        <v>88920</v>
      </c>
      <c r="BR685" s="274">
        <f t="shared" ref="BR685:BR690" si="230">+BQ685+BP685</f>
        <v>556920</v>
      </c>
      <c r="BS685" s="39"/>
      <c r="BT685" s="39"/>
      <c r="BU685" s="39"/>
      <c r="BV685" s="212"/>
      <c r="BW685" s="220"/>
      <c r="BX685" s="273"/>
      <c r="BY685" s="213"/>
      <c r="BZ685" s="213"/>
      <c r="CA685" s="213"/>
      <c r="CB685" s="274"/>
      <c r="CC685" s="274"/>
      <c r="CD685" s="274"/>
      <c r="CE685" s="39"/>
      <c r="CF685" s="39"/>
      <c r="CG685" s="39"/>
      <c r="CH685" s="274"/>
      <c r="CI685" s="274"/>
      <c r="CJ685" s="274"/>
      <c r="CK685" s="39"/>
      <c r="CL685" s="39"/>
      <c r="CM685" s="39"/>
      <c r="CN685" s="39"/>
      <c r="CO685" s="39"/>
      <c r="CP685" s="11"/>
      <c r="CQ685" s="11"/>
      <c r="CR685" s="11"/>
      <c r="CS685" s="11"/>
      <c r="CT685" s="11"/>
      <c r="CU685" s="11"/>
      <c r="CV685" s="11"/>
      <c r="CW685" s="11"/>
      <c r="CX685" s="11"/>
      <c r="CY685" s="11"/>
      <c r="CZ685" s="11"/>
      <c r="DA685" s="11"/>
      <c r="DB685" s="11"/>
      <c r="DC685" s="11"/>
      <c r="DD685" s="11"/>
      <c r="DE685" s="11"/>
      <c r="DF685" s="11"/>
      <c r="DG685" s="11"/>
      <c r="DH685" s="11"/>
      <c r="DI685" s="11"/>
      <c r="DJ685" s="11"/>
      <c r="DK685" s="11"/>
      <c r="DL685" s="274"/>
      <c r="DM685" s="274"/>
      <c r="DN685" s="274"/>
      <c r="DO685" s="274"/>
      <c r="DP685" s="274"/>
      <c r="DQ685" s="274"/>
      <c r="DR685" s="274"/>
      <c r="DS685" s="274"/>
      <c r="DT685" s="274"/>
      <c r="DU685" s="274"/>
      <c r="DV685" s="274"/>
      <c r="DW685" s="274"/>
      <c r="DX685" s="274"/>
      <c r="DY685" s="274"/>
      <c r="DZ685" s="274"/>
      <c r="EA685" s="274"/>
      <c r="EB685" s="274"/>
      <c r="EC685" s="274"/>
      <c r="ED685" s="39">
        <f t="shared" si="218"/>
        <v>556920</v>
      </c>
      <c r="EE685" s="30">
        <f t="shared" si="219"/>
        <v>1</v>
      </c>
      <c r="EF685" s="39">
        <f t="shared" si="220"/>
        <v>556920</v>
      </c>
    </row>
    <row r="686" spans="1:136" x14ac:dyDescent="0.25">
      <c r="A686" s="25" t="e">
        <f>#REF!</f>
        <v>#REF!</v>
      </c>
      <c r="B686" s="50" t="e">
        <f>#REF!</f>
        <v>#REF!</v>
      </c>
      <c r="C686" s="5" t="e">
        <f>#REF!</f>
        <v>#REF!</v>
      </c>
      <c r="D686" s="5" t="e">
        <f>#REF!</f>
        <v>#REF!</v>
      </c>
      <c r="E686" s="252">
        <v>1</v>
      </c>
      <c r="F686" s="249">
        <v>0</v>
      </c>
      <c r="G686" s="249">
        <v>0</v>
      </c>
      <c r="H686" s="249">
        <v>0</v>
      </c>
      <c r="I686" s="249">
        <v>0</v>
      </c>
      <c r="J686" s="249">
        <v>0</v>
      </c>
      <c r="K686" s="249">
        <v>0</v>
      </c>
      <c r="L686" s="274"/>
      <c r="M686" s="274"/>
      <c r="N686" s="255"/>
      <c r="O686" s="135"/>
      <c r="P686" s="135"/>
      <c r="Q686" s="131"/>
      <c r="R686" s="131"/>
      <c r="S686" s="11"/>
      <c r="T686" s="274"/>
      <c r="U686" s="274"/>
      <c r="V686" s="274"/>
      <c r="W686" s="39"/>
      <c r="X686" s="11"/>
      <c r="Y686" s="11"/>
      <c r="Z686" s="274"/>
      <c r="AA686" s="274"/>
      <c r="AB686" s="274"/>
      <c r="AC686" s="52"/>
      <c r="AD686" s="22"/>
      <c r="AE686" s="39"/>
      <c r="AF686" s="274"/>
      <c r="AG686" s="274"/>
      <c r="AH686" s="171"/>
      <c r="AI686" s="4"/>
      <c r="AJ686" s="39"/>
      <c r="AK686" s="39"/>
      <c r="AL686" s="118"/>
      <c r="AM686" s="152"/>
      <c r="AN686" s="181"/>
      <c r="AO686" s="131"/>
      <c r="AP686" s="131"/>
      <c r="AQ686" s="39"/>
      <c r="AR686" s="274"/>
      <c r="AS686" s="274"/>
      <c r="AT686" s="274"/>
      <c r="AU686" s="39"/>
      <c r="AV686" s="39"/>
      <c r="AW686" s="39"/>
      <c r="AX686" s="274"/>
      <c r="AY686" s="274"/>
      <c r="AZ686" s="274"/>
      <c r="BA686" s="39"/>
      <c r="BB686" s="62"/>
      <c r="BC686" s="39"/>
      <c r="BD686" s="274"/>
      <c r="BE686" s="274"/>
      <c r="BF686" s="274"/>
      <c r="BG686" s="39"/>
      <c r="BH686" s="39"/>
      <c r="BI686" s="39"/>
      <c r="BJ686" s="274"/>
      <c r="BK686" s="274"/>
      <c r="BL686" s="274"/>
      <c r="BM686" s="213"/>
      <c r="BN686" s="213"/>
      <c r="BO686" s="39"/>
      <c r="BP686" s="274">
        <v>785000</v>
      </c>
      <c r="BQ686" s="274">
        <f t="shared" si="229"/>
        <v>149150</v>
      </c>
      <c r="BR686" s="274">
        <f t="shared" si="230"/>
        <v>934150</v>
      </c>
      <c r="BS686" s="39"/>
      <c r="BT686" s="39"/>
      <c r="BU686" s="39"/>
      <c r="BV686" s="212"/>
      <c r="BW686" s="220"/>
      <c r="BX686" s="273"/>
      <c r="BY686" s="213"/>
      <c r="BZ686" s="213"/>
      <c r="CA686" s="213"/>
      <c r="CB686" s="274"/>
      <c r="CC686" s="274"/>
      <c r="CD686" s="274"/>
      <c r="CE686" s="39"/>
      <c r="CF686" s="39"/>
      <c r="CG686" s="39"/>
      <c r="CH686" s="274"/>
      <c r="CI686" s="274"/>
      <c r="CJ686" s="274"/>
      <c r="CK686" s="39"/>
      <c r="CL686" s="39"/>
      <c r="CM686" s="39"/>
      <c r="CN686" s="39"/>
      <c r="CO686" s="39"/>
      <c r="CP686" s="11"/>
      <c r="CQ686" s="11"/>
      <c r="CR686" s="11"/>
      <c r="CS686" s="11"/>
      <c r="CT686" s="11"/>
      <c r="CU686" s="11"/>
      <c r="CV686" s="11"/>
      <c r="CW686" s="11"/>
      <c r="CX686" s="11"/>
      <c r="CY686" s="11"/>
      <c r="CZ686" s="11"/>
      <c r="DA686" s="11"/>
      <c r="DB686" s="11"/>
      <c r="DC686" s="11"/>
      <c r="DD686" s="11"/>
      <c r="DE686" s="11"/>
      <c r="DF686" s="11"/>
      <c r="DG686" s="11"/>
      <c r="DH686" s="11"/>
      <c r="DI686" s="11"/>
      <c r="DJ686" s="11"/>
      <c r="DK686" s="11"/>
      <c r="DL686" s="274"/>
      <c r="DM686" s="274"/>
      <c r="DN686" s="274"/>
      <c r="DO686" s="274"/>
      <c r="DP686" s="274"/>
      <c r="DQ686" s="274"/>
      <c r="DR686" s="274"/>
      <c r="DS686" s="274"/>
      <c r="DT686" s="274"/>
      <c r="DU686" s="274"/>
      <c r="DV686" s="274"/>
      <c r="DW686" s="274"/>
      <c r="DX686" s="274"/>
      <c r="DY686" s="274"/>
      <c r="DZ686" s="274"/>
      <c r="EA686" s="274"/>
      <c r="EB686" s="274"/>
      <c r="EC686" s="274"/>
      <c r="ED686" s="39">
        <f t="shared" si="218"/>
        <v>934150</v>
      </c>
      <c r="EE686" s="30">
        <f t="shared" si="219"/>
        <v>1</v>
      </c>
      <c r="EF686" s="39">
        <f t="shared" si="220"/>
        <v>934150</v>
      </c>
    </row>
    <row r="687" spans="1:136" x14ac:dyDescent="0.25">
      <c r="A687" s="25" t="e">
        <f>#REF!</f>
        <v>#REF!</v>
      </c>
      <c r="B687" s="50" t="e">
        <f>#REF!</f>
        <v>#REF!</v>
      </c>
      <c r="C687" s="5" t="e">
        <f>#REF!</f>
        <v>#REF!</v>
      </c>
      <c r="D687" s="5" t="e">
        <f>#REF!</f>
        <v>#REF!</v>
      </c>
      <c r="E687" s="252">
        <v>1</v>
      </c>
      <c r="F687" s="249">
        <v>0</v>
      </c>
      <c r="G687" s="249">
        <v>0</v>
      </c>
      <c r="H687" s="249">
        <v>0</v>
      </c>
      <c r="I687" s="249">
        <v>0</v>
      </c>
      <c r="J687" s="249">
        <v>223023</v>
      </c>
      <c r="K687" s="249">
        <v>0</v>
      </c>
      <c r="L687" s="274">
        <f>J687</f>
        <v>223023</v>
      </c>
      <c r="M687" s="274"/>
      <c r="N687" s="255"/>
      <c r="O687" s="135"/>
      <c r="P687" s="135"/>
      <c r="Q687" s="131"/>
      <c r="R687" s="131"/>
      <c r="S687" s="11"/>
      <c r="T687" s="274"/>
      <c r="U687" s="274"/>
      <c r="V687" s="274"/>
      <c r="W687" s="39"/>
      <c r="X687" s="11"/>
      <c r="Y687" s="11"/>
      <c r="Z687" s="274"/>
      <c r="AA687" s="274"/>
      <c r="AB687" s="274"/>
      <c r="AC687" s="52"/>
      <c r="AD687" s="22"/>
      <c r="AE687" s="39"/>
      <c r="AF687" s="274"/>
      <c r="AG687" s="274"/>
      <c r="AH687" s="171"/>
      <c r="AI687" s="4"/>
      <c r="AJ687" s="39"/>
      <c r="AK687" s="39"/>
      <c r="AL687" s="118"/>
      <c r="AM687" s="152"/>
      <c r="AN687" s="181"/>
      <c r="AO687" s="131"/>
      <c r="AP687" s="131"/>
      <c r="AQ687" s="39"/>
      <c r="AR687" s="274"/>
      <c r="AS687" s="274"/>
      <c r="AT687" s="274"/>
      <c r="AU687" s="39"/>
      <c r="AV687" s="39"/>
      <c r="AW687" s="39"/>
      <c r="AX687" s="274"/>
      <c r="AY687" s="274"/>
      <c r="AZ687" s="274"/>
      <c r="BA687" s="39"/>
      <c r="BB687" s="62"/>
      <c r="BC687" s="39"/>
      <c r="BD687" s="274"/>
      <c r="BE687" s="274"/>
      <c r="BF687" s="274"/>
      <c r="BG687" s="39"/>
      <c r="BH687" s="39"/>
      <c r="BI687" s="39"/>
      <c r="BJ687" s="274"/>
      <c r="BK687" s="274"/>
      <c r="BL687" s="274"/>
      <c r="BM687" s="213"/>
      <c r="BN687" s="213"/>
      <c r="BO687" s="39"/>
      <c r="BP687" s="274">
        <v>652000</v>
      </c>
      <c r="BQ687" s="274">
        <f t="shared" si="229"/>
        <v>123880</v>
      </c>
      <c r="BR687" s="274">
        <f t="shared" si="230"/>
        <v>775880</v>
      </c>
      <c r="BS687" s="39"/>
      <c r="BT687" s="39"/>
      <c r="BU687" s="39"/>
      <c r="BV687" s="212"/>
      <c r="BW687" s="220"/>
      <c r="BX687" s="273"/>
      <c r="BY687" s="213"/>
      <c r="BZ687" s="213"/>
      <c r="CA687" s="213"/>
      <c r="CB687" s="274"/>
      <c r="CC687" s="274"/>
      <c r="CD687" s="274"/>
      <c r="CE687" s="39"/>
      <c r="CF687" s="39"/>
      <c r="CG687" s="39"/>
      <c r="CH687" s="274"/>
      <c r="CI687" s="274"/>
      <c r="CJ687" s="274"/>
      <c r="CK687" s="39"/>
      <c r="CL687" s="39"/>
      <c r="CM687" s="39"/>
      <c r="CN687" s="39"/>
      <c r="CO687" s="39"/>
      <c r="CP687" s="11"/>
      <c r="CQ687" s="11"/>
      <c r="CR687" s="11"/>
      <c r="CS687" s="11"/>
      <c r="CT687" s="11"/>
      <c r="CU687" s="11"/>
      <c r="CV687" s="11"/>
      <c r="CW687" s="11"/>
      <c r="CX687" s="11"/>
      <c r="CY687" s="11"/>
      <c r="CZ687" s="11"/>
      <c r="DA687" s="11"/>
      <c r="DB687" s="11"/>
      <c r="DC687" s="11"/>
      <c r="DD687" s="11"/>
      <c r="DE687" s="11"/>
      <c r="DF687" s="11"/>
      <c r="DG687" s="11"/>
      <c r="DH687" s="11"/>
      <c r="DI687" s="11"/>
      <c r="DJ687" s="11"/>
      <c r="DK687" s="11"/>
      <c r="DL687" s="274"/>
      <c r="DM687" s="274"/>
      <c r="DN687" s="274"/>
      <c r="DO687" s="274"/>
      <c r="DP687" s="274"/>
      <c r="DQ687" s="274"/>
      <c r="DR687" s="274"/>
      <c r="DS687" s="274"/>
      <c r="DT687" s="274"/>
      <c r="DU687" s="274"/>
      <c r="DV687" s="274"/>
      <c r="DW687" s="274"/>
      <c r="DX687" s="274"/>
      <c r="DY687" s="274"/>
      <c r="DZ687" s="274"/>
      <c r="EA687" s="274"/>
      <c r="EB687" s="274"/>
      <c r="EC687" s="274"/>
      <c r="ED687" s="39">
        <f t="shared" si="218"/>
        <v>775880</v>
      </c>
      <c r="EE687" s="30">
        <f t="shared" si="219"/>
        <v>1</v>
      </c>
      <c r="EF687" s="39">
        <f t="shared" si="220"/>
        <v>775880</v>
      </c>
    </row>
    <row r="688" spans="1:136" x14ac:dyDescent="0.25">
      <c r="A688" s="25" t="e">
        <f>#REF!</f>
        <v>#REF!</v>
      </c>
      <c r="B688" s="50" t="e">
        <f>#REF!</f>
        <v>#REF!</v>
      </c>
      <c r="C688" s="5" t="e">
        <f>#REF!</f>
        <v>#REF!</v>
      </c>
      <c r="D688" s="5" t="e">
        <f>#REF!</f>
        <v>#REF!</v>
      </c>
      <c r="E688" s="252">
        <v>1</v>
      </c>
      <c r="F688" s="249">
        <v>9520</v>
      </c>
      <c r="G688" s="249">
        <v>0</v>
      </c>
      <c r="H688" s="249">
        <v>0</v>
      </c>
      <c r="I688" s="249">
        <v>0</v>
      </c>
      <c r="J688" s="249">
        <v>16957.5</v>
      </c>
      <c r="K688" s="249">
        <v>13804</v>
      </c>
      <c r="L688" s="274">
        <f>AVERAGE(F688,J688)</f>
        <v>13238.75</v>
      </c>
      <c r="M688" s="274">
        <f>K688*E1</f>
        <v>14218.12</v>
      </c>
      <c r="N688" s="255">
        <v>9000</v>
      </c>
      <c r="O688" s="135">
        <f t="shared" ref="O688:O697" si="231">+N688*0.19</f>
        <v>1710</v>
      </c>
      <c r="P688" s="135">
        <f t="shared" ref="P688:P697" si="232">+N688+O688</f>
        <v>10710</v>
      </c>
      <c r="Q688" s="131"/>
      <c r="R688" s="131"/>
      <c r="S688" s="11"/>
      <c r="T688" s="274"/>
      <c r="U688" s="274"/>
      <c r="V688" s="274"/>
      <c r="W688" s="39"/>
      <c r="X688" s="11"/>
      <c r="Y688" s="11"/>
      <c r="Z688" s="274"/>
      <c r="AA688" s="274"/>
      <c r="AB688" s="274"/>
      <c r="AC688" s="52"/>
      <c r="AD688" s="22"/>
      <c r="AE688" s="39"/>
      <c r="AF688" s="274"/>
      <c r="AG688" s="274"/>
      <c r="AH688" s="171"/>
      <c r="AI688" s="4"/>
      <c r="AJ688" s="39"/>
      <c r="AK688" s="39"/>
      <c r="AL688" s="118"/>
      <c r="AM688" s="152"/>
      <c r="AN688" s="181"/>
      <c r="AO688" s="131"/>
      <c r="AP688" s="131"/>
      <c r="AQ688" s="39"/>
      <c r="AR688" s="274">
        <v>11800</v>
      </c>
      <c r="AS688" s="274">
        <f>+AR688*0.19</f>
        <v>2242</v>
      </c>
      <c r="AT688" s="274">
        <f>+AR688+AS688</f>
        <v>14042</v>
      </c>
      <c r="AU688" s="39"/>
      <c r="AV688" s="39"/>
      <c r="AW688" s="39"/>
      <c r="AX688" s="274"/>
      <c r="AY688" s="274"/>
      <c r="AZ688" s="274"/>
      <c r="BA688" s="39"/>
      <c r="BB688" s="62"/>
      <c r="BC688" s="39"/>
      <c r="BD688" s="274"/>
      <c r="BE688" s="274"/>
      <c r="BF688" s="274"/>
      <c r="BG688" s="39"/>
      <c r="BH688" s="39"/>
      <c r="BI688" s="39"/>
      <c r="BJ688" s="274"/>
      <c r="BK688" s="274"/>
      <c r="BL688" s="274"/>
      <c r="BM688" s="213"/>
      <c r="BN688" s="213"/>
      <c r="BO688" s="39"/>
      <c r="BP688" s="274">
        <v>38500</v>
      </c>
      <c r="BQ688" s="274">
        <f t="shared" si="229"/>
        <v>7315</v>
      </c>
      <c r="BR688" s="274">
        <f t="shared" si="230"/>
        <v>45815</v>
      </c>
      <c r="BS688" s="39"/>
      <c r="BT688" s="39"/>
      <c r="BU688" s="39"/>
      <c r="BV688" s="212"/>
      <c r="BW688" s="220"/>
      <c r="BX688" s="273"/>
      <c r="BY688" s="213"/>
      <c r="BZ688" s="213"/>
      <c r="CA688" s="213"/>
      <c r="CB688" s="274"/>
      <c r="CC688" s="274"/>
      <c r="CD688" s="274"/>
      <c r="CE688" s="39"/>
      <c r="CF688" s="39"/>
      <c r="CG688" s="39"/>
      <c r="CH688" s="274"/>
      <c r="CI688" s="274"/>
      <c r="CJ688" s="274"/>
      <c r="CK688" s="39"/>
      <c r="CL688" s="39"/>
      <c r="CM688" s="39"/>
      <c r="CN688" s="39"/>
      <c r="CO688" s="39"/>
      <c r="CP688" s="11"/>
      <c r="CQ688" s="11"/>
      <c r="CR688" s="11"/>
      <c r="CS688" s="11"/>
      <c r="CT688" s="11"/>
      <c r="CU688" s="11"/>
      <c r="CV688" s="11"/>
      <c r="CW688" s="11"/>
      <c r="CX688" s="11"/>
      <c r="CY688" s="11"/>
      <c r="CZ688" s="11"/>
      <c r="DA688" s="11"/>
      <c r="DB688" s="11"/>
      <c r="DC688" s="11"/>
      <c r="DD688" s="11"/>
      <c r="DE688" s="11"/>
      <c r="DF688" s="11"/>
      <c r="DG688" s="11"/>
      <c r="DH688" s="11"/>
      <c r="DI688" s="11"/>
      <c r="DJ688" s="11"/>
      <c r="DK688" s="11"/>
      <c r="DL688" s="274"/>
      <c r="DM688" s="274"/>
      <c r="DN688" s="274"/>
      <c r="DO688" s="274"/>
      <c r="DP688" s="274"/>
      <c r="DQ688" s="274"/>
      <c r="DR688" s="274"/>
      <c r="DS688" s="274"/>
      <c r="DT688" s="274"/>
      <c r="DU688" s="274"/>
      <c r="DV688" s="274"/>
      <c r="DW688" s="274"/>
      <c r="DX688" s="274"/>
      <c r="DY688" s="274"/>
      <c r="DZ688" s="274"/>
      <c r="EA688" s="274"/>
      <c r="EB688" s="274"/>
      <c r="EC688" s="274"/>
      <c r="ED688" s="39">
        <f t="shared" si="218"/>
        <v>84785.12</v>
      </c>
      <c r="EE688" s="30">
        <f t="shared" si="219"/>
        <v>4</v>
      </c>
      <c r="EF688" s="39">
        <f t="shared" si="220"/>
        <v>21196.28</v>
      </c>
    </row>
    <row r="689" spans="1:136" x14ac:dyDescent="0.25">
      <c r="A689" s="25" t="e">
        <f>#REF!</f>
        <v>#REF!</v>
      </c>
      <c r="B689" s="50" t="e">
        <f>#REF!</f>
        <v>#REF!</v>
      </c>
      <c r="C689" s="5" t="e">
        <f>#REF!</f>
        <v>#REF!</v>
      </c>
      <c r="D689" s="5" t="e">
        <f>#REF!</f>
        <v>#REF!</v>
      </c>
      <c r="E689" s="252">
        <v>1</v>
      </c>
      <c r="F689" s="249">
        <v>9520</v>
      </c>
      <c r="G689" s="249">
        <v>9282</v>
      </c>
      <c r="H689" s="249">
        <v>11503.593150000001</v>
      </c>
      <c r="I689" s="249">
        <v>11424</v>
      </c>
      <c r="J689" s="249">
        <v>14553.699999999999</v>
      </c>
      <c r="K689" s="249">
        <v>13804</v>
      </c>
      <c r="L689" s="274">
        <f>AVERAGE(F689,H689,J689)</f>
        <v>11859.097716666665</v>
      </c>
      <c r="M689" s="274">
        <f>AVERAGE(G689,I689,K689)*E1</f>
        <v>11848.433333333334</v>
      </c>
      <c r="N689" s="255">
        <v>9000</v>
      </c>
      <c r="O689" s="135">
        <f t="shared" si="231"/>
        <v>1710</v>
      </c>
      <c r="P689" s="135">
        <f t="shared" si="232"/>
        <v>10710</v>
      </c>
      <c r="Q689" s="131"/>
      <c r="R689" s="131"/>
      <c r="S689" s="11"/>
      <c r="T689" s="274"/>
      <c r="U689" s="274"/>
      <c r="V689" s="274"/>
      <c r="W689" s="39"/>
      <c r="X689" s="11"/>
      <c r="Y689" s="11"/>
      <c r="Z689" s="274"/>
      <c r="AA689" s="274"/>
      <c r="AB689" s="274"/>
      <c r="AC689" s="52"/>
      <c r="AD689" s="22"/>
      <c r="AE689" s="39"/>
      <c r="AF689" s="274"/>
      <c r="AG689" s="274"/>
      <c r="AH689" s="171"/>
      <c r="AI689" s="22"/>
      <c r="AJ689" s="39"/>
      <c r="AK689" s="39"/>
      <c r="AL689" s="118"/>
      <c r="AM689" s="152"/>
      <c r="AN689" s="181"/>
      <c r="AO689" s="131"/>
      <c r="AP689" s="131"/>
      <c r="AQ689" s="39"/>
      <c r="AR689" s="274">
        <v>11800</v>
      </c>
      <c r="AS689" s="274">
        <f>+AR689*0.19</f>
        <v>2242</v>
      </c>
      <c r="AT689" s="274">
        <f>+AR689+AS689</f>
        <v>14042</v>
      </c>
      <c r="AU689" s="39"/>
      <c r="AV689" s="39"/>
      <c r="AW689" s="39"/>
      <c r="AX689" s="274"/>
      <c r="AY689" s="274"/>
      <c r="AZ689" s="274"/>
      <c r="BA689" s="39"/>
      <c r="BB689" s="62"/>
      <c r="BC689" s="39"/>
      <c r="BD689" s="274"/>
      <c r="BE689" s="274"/>
      <c r="BF689" s="274"/>
      <c r="BG689" s="39"/>
      <c r="BH689" s="39"/>
      <c r="BI689" s="39"/>
      <c r="BJ689" s="274"/>
      <c r="BK689" s="274"/>
      <c r="BL689" s="274"/>
      <c r="BM689" s="213"/>
      <c r="BN689" s="213"/>
      <c r="BO689" s="39"/>
      <c r="BP689" s="274">
        <v>36500</v>
      </c>
      <c r="BQ689" s="274">
        <f t="shared" si="229"/>
        <v>6935</v>
      </c>
      <c r="BR689" s="274">
        <f t="shared" si="230"/>
        <v>43435</v>
      </c>
      <c r="BS689" s="39"/>
      <c r="BT689" s="39"/>
      <c r="BU689" s="39"/>
      <c r="BV689" s="212"/>
      <c r="BW689" s="220"/>
      <c r="BX689" s="273"/>
      <c r="BY689" s="213"/>
      <c r="BZ689" s="213"/>
      <c r="CA689" s="213"/>
      <c r="CB689" s="274"/>
      <c r="CC689" s="274"/>
      <c r="CD689" s="274"/>
      <c r="CE689" s="39"/>
      <c r="CF689" s="39"/>
      <c r="CG689" s="39"/>
      <c r="CH689" s="274"/>
      <c r="CI689" s="274"/>
      <c r="CJ689" s="274"/>
      <c r="CK689" s="39"/>
      <c r="CL689" s="39"/>
      <c r="CM689" s="39"/>
      <c r="CN689" s="39"/>
      <c r="CO689" s="39"/>
      <c r="CP689" s="11"/>
      <c r="CQ689" s="11"/>
      <c r="CR689" s="11"/>
      <c r="CS689" s="11"/>
      <c r="CT689" s="11"/>
      <c r="CU689" s="11"/>
      <c r="CV689" s="11"/>
      <c r="CW689" s="11"/>
      <c r="CX689" s="11"/>
      <c r="CY689" s="11"/>
      <c r="CZ689" s="11"/>
      <c r="DA689" s="11"/>
      <c r="DB689" s="11"/>
      <c r="DC689" s="11"/>
      <c r="DD689" s="11"/>
      <c r="DE689" s="11"/>
      <c r="DF689" s="11"/>
      <c r="DG689" s="11"/>
      <c r="DH689" s="11"/>
      <c r="DI689" s="11"/>
      <c r="DJ689" s="11"/>
      <c r="DK689" s="11"/>
      <c r="DL689" s="274"/>
      <c r="DM689" s="274"/>
      <c r="DN689" s="274"/>
      <c r="DO689" s="274"/>
      <c r="DP689" s="274"/>
      <c r="DQ689" s="274"/>
      <c r="DR689" s="274"/>
      <c r="DS689" s="274"/>
      <c r="DT689" s="274"/>
      <c r="DU689" s="274"/>
      <c r="DV689" s="274"/>
      <c r="DW689" s="274"/>
      <c r="DX689" s="274"/>
      <c r="DY689" s="274"/>
      <c r="DZ689" s="274"/>
      <c r="EA689" s="274"/>
      <c r="EB689" s="274"/>
      <c r="EC689" s="274"/>
      <c r="ED689" s="39">
        <f t="shared" si="218"/>
        <v>80035.433333333334</v>
      </c>
      <c r="EE689" s="30">
        <f t="shared" si="219"/>
        <v>4</v>
      </c>
      <c r="EF689" s="39">
        <f t="shared" si="220"/>
        <v>20008.858333333334</v>
      </c>
    </row>
    <row r="690" spans="1:136" x14ac:dyDescent="0.25">
      <c r="A690" s="25" t="e">
        <f>#REF!</f>
        <v>#REF!</v>
      </c>
      <c r="B690" s="50" t="e">
        <f>#REF!</f>
        <v>#REF!</v>
      </c>
      <c r="C690" s="5" t="e">
        <f>#REF!</f>
        <v>#REF!</v>
      </c>
      <c r="D690" s="5" t="e">
        <f>#REF!</f>
        <v>#REF!</v>
      </c>
      <c r="E690" s="252">
        <v>1</v>
      </c>
      <c r="F690" s="249">
        <v>0</v>
      </c>
      <c r="G690" s="249">
        <v>0</v>
      </c>
      <c r="H690" s="249">
        <v>182466.66666666666</v>
      </c>
      <c r="I690" s="249">
        <v>0</v>
      </c>
      <c r="J690" s="249">
        <v>65450</v>
      </c>
      <c r="K690" s="249">
        <v>0</v>
      </c>
      <c r="L690" s="274">
        <f>AVERAGE(H690,J690)</f>
        <v>123958.33333333333</v>
      </c>
      <c r="M690" s="274"/>
      <c r="N690" s="255">
        <v>55000</v>
      </c>
      <c r="O690" s="135">
        <f t="shared" si="231"/>
        <v>10450</v>
      </c>
      <c r="P690" s="135">
        <f t="shared" si="232"/>
        <v>65450</v>
      </c>
      <c r="Q690" s="131"/>
      <c r="R690" s="131"/>
      <c r="S690" s="11"/>
      <c r="T690" s="274"/>
      <c r="U690" s="274"/>
      <c r="V690" s="274"/>
      <c r="W690" s="39"/>
      <c r="X690" s="11"/>
      <c r="Y690" s="11"/>
      <c r="Z690" s="274"/>
      <c r="AA690" s="274"/>
      <c r="AB690" s="274"/>
      <c r="AC690" s="52"/>
      <c r="AD690" s="22"/>
      <c r="AE690" s="39"/>
      <c r="AF690" s="274"/>
      <c r="AG690" s="274"/>
      <c r="AH690" s="171"/>
      <c r="AI690" s="4"/>
      <c r="AJ690" s="39"/>
      <c r="AK690" s="39"/>
      <c r="AL690" s="118"/>
      <c r="AM690" s="152"/>
      <c r="AN690" s="181"/>
      <c r="AO690" s="131"/>
      <c r="AP690" s="131"/>
      <c r="AQ690" s="39"/>
      <c r="AR690" s="274">
        <v>18000</v>
      </c>
      <c r="AS690" s="274">
        <f>+AR690*0.19</f>
        <v>3420</v>
      </c>
      <c r="AT690" s="274">
        <f>+AR690+AS690</f>
        <v>21420</v>
      </c>
      <c r="AU690" s="39"/>
      <c r="AV690" s="39"/>
      <c r="AW690" s="39"/>
      <c r="AX690" s="274"/>
      <c r="AY690" s="274"/>
      <c r="AZ690" s="274"/>
      <c r="BA690" s="39"/>
      <c r="BB690" s="62"/>
      <c r="BC690" s="39"/>
      <c r="BD690" s="274"/>
      <c r="BE690" s="274"/>
      <c r="BF690" s="274"/>
      <c r="BG690" s="39"/>
      <c r="BH690" s="39"/>
      <c r="BI690" s="39"/>
      <c r="BJ690" s="274"/>
      <c r="BK690" s="274"/>
      <c r="BL690" s="274"/>
      <c r="BM690" s="213"/>
      <c r="BN690" s="213"/>
      <c r="BO690" s="39"/>
      <c r="BP690" s="274">
        <v>38500</v>
      </c>
      <c r="BQ690" s="274">
        <f t="shared" si="229"/>
        <v>7315</v>
      </c>
      <c r="BR690" s="274">
        <f t="shared" si="230"/>
        <v>45815</v>
      </c>
      <c r="BS690" s="39"/>
      <c r="BT690" s="39"/>
      <c r="BU690" s="39"/>
      <c r="BV690" s="212"/>
      <c r="BW690" s="220"/>
      <c r="BX690" s="273"/>
      <c r="BY690" s="213"/>
      <c r="BZ690" s="213"/>
      <c r="CA690" s="213"/>
      <c r="CB690" s="274"/>
      <c r="CC690" s="274"/>
      <c r="CD690" s="274"/>
      <c r="CE690" s="39"/>
      <c r="CF690" s="39"/>
      <c r="CG690" s="39"/>
      <c r="CH690" s="274"/>
      <c r="CI690" s="274"/>
      <c r="CJ690" s="274"/>
      <c r="CK690" s="39"/>
      <c r="CL690" s="39"/>
      <c r="CM690" s="39"/>
      <c r="CN690" s="39"/>
      <c r="CO690" s="39"/>
      <c r="CP690" s="11"/>
      <c r="CQ690" s="11"/>
      <c r="CR690" s="11"/>
      <c r="CS690" s="11"/>
      <c r="CT690" s="11"/>
      <c r="CU690" s="11"/>
      <c r="CV690" s="11"/>
      <c r="CW690" s="11"/>
      <c r="CX690" s="11"/>
      <c r="CY690" s="11"/>
      <c r="CZ690" s="11"/>
      <c r="DA690" s="11"/>
      <c r="DB690" s="11"/>
      <c r="DC690" s="11"/>
      <c r="DD690" s="11"/>
      <c r="DE690" s="11"/>
      <c r="DF690" s="11"/>
      <c r="DG690" s="11"/>
      <c r="DH690" s="11"/>
      <c r="DI690" s="11"/>
      <c r="DJ690" s="11"/>
      <c r="DK690" s="11"/>
      <c r="DL690" s="274"/>
      <c r="DM690" s="274"/>
      <c r="DN690" s="274"/>
      <c r="DO690" s="274"/>
      <c r="DP690" s="274"/>
      <c r="DQ690" s="274"/>
      <c r="DR690" s="274"/>
      <c r="DS690" s="274"/>
      <c r="DT690" s="274"/>
      <c r="DU690" s="274"/>
      <c r="DV690" s="274"/>
      <c r="DW690" s="274"/>
      <c r="DX690" s="274"/>
      <c r="DY690" s="274"/>
      <c r="DZ690" s="274"/>
      <c r="EA690" s="274"/>
      <c r="EB690" s="274"/>
      <c r="EC690" s="274"/>
      <c r="ED690" s="39">
        <f t="shared" si="218"/>
        <v>132685</v>
      </c>
      <c r="EE690" s="30">
        <f t="shared" si="219"/>
        <v>3</v>
      </c>
      <c r="EF690" s="39">
        <f t="shared" si="220"/>
        <v>44228.333333333336</v>
      </c>
    </row>
    <row r="691" spans="1:136" x14ac:dyDescent="0.25">
      <c r="A691" s="25" t="e">
        <f>#REF!</f>
        <v>#REF!</v>
      </c>
      <c r="B691" s="50" t="e">
        <f>#REF!</f>
        <v>#REF!</v>
      </c>
      <c r="C691" s="5" t="e">
        <f>#REF!</f>
        <v>#REF!</v>
      </c>
      <c r="D691" s="5" t="e">
        <f>#REF!</f>
        <v>#REF!</v>
      </c>
      <c r="E691" s="252">
        <v>1</v>
      </c>
      <c r="F691" s="249">
        <v>0</v>
      </c>
      <c r="G691" s="249">
        <v>0</v>
      </c>
      <c r="H691" s="249">
        <v>39190.666666666664</v>
      </c>
      <c r="I691" s="249">
        <v>39032</v>
      </c>
      <c r="J691" s="249">
        <v>29750</v>
      </c>
      <c r="K691" s="249">
        <v>10353</v>
      </c>
      <c r="L691" s="274">
        <f>AVERAGE(H691,J691)</f>
        <v>34470.333333333328</v>
      </c>
      <c r="M691" s="274">
        <f>AVERAGE(I691,K691)*E1</f>
        <v>25433.275000000001</v>
      </c>
      <c r="N691" s="255">
        <v>30000</v>
      </c>
      <c r="O691" s="135">
        <f t="shared" si="231"/>
        <v>5700</v>
      </c>
      <c r="P691" s="135">
        <f t="shared" si="232"/>
        <v>35700</v>
      </c>
      <c r="Q691" s="131"/>
      <c r="R691" s="131"/>
      <c r="S691" s="11"/>
      <c r="T691" s="274"/>
      <c r="U691" s="274"/>
      <c r="V691" s="274"/>
      <c r="W691" s="39"/>
      <c r="X691" s="11"/>
      <c r="Y691" s="11"/>
      <c r="Z691" s="274"/>
      <c r="AA691" s="274"/>
      <c r="AB691" s="274"/>
      <c r="AC691" s="52"/>
      <c r="AD691" s="22"/>
      <c r="AE691" s="39"/>
      <c r="AF691" s="274"/>
      <c r="AG691" s="274"/>
      <c r="AH691" s="171"/>
      <c r="AI691" s="4"/>
      <c r="AJ691" s="39"/>
      <c r="AK691" s="39"/>
      <c r="AL691" s="118"/>
      <c r="AM691" s="152"/>
      <c r="AN691" s="181"/>
      <c r="AO691" s="131"/>
      <c r="AP691" s="131"/>
      <c r="AQ691" s="39"/>
      <c r="AR691" s="274"/>
      <c r="AS691" s="274"/>
      <c r="AT691" s="274"/>
      <c r="AU691" s="39"/>
      <c r="AV691" s="39"/>
      <c r="AW691" s="39"/>
      <c r="AX691" s="274"/>
      <c r="AY691" s="274"/>
      <c r="AZ691" s="274"/>
      <c r="BA691" s="39"/>
      <c r="BB691" s="62"/>
      <c r="BC691" s="39"/>
      <c r="BD691" s="274"/>
      <c r="BE691" s="274"/>
      <c r="BF691" s="274"/>
      <c r="BG691" s="39"/>
      <c r="BH691" s="39"/>
      <c r="BI691" s="39"/>
      <c r="BJ691" s="274"/>
      <c r="BK691" s="274"/>
      <c r="BL691" s="274"/>
      <c r="BM691" s="213"/>
      <c r="BN691" s="213"/>
      <c r="BO691" s="39"/>
      <c r="BP691" s="274"/>
      <c r="BQ691" s="274"/>
      <c r="BR691" s="274"/>
      <c r="BS691" s="39"/>
      <c r="BT691" s="39"/>
      <c r="BU691" s="39"/>
      <c r="BV691" s="212"/>
      <c r="BW691" s="220"/>
      <c r="BX691" s="273"/>
      <c r="BY691" s="213"/>
      <c r="BZ691" s="213"/>
      <c r="CA691" s="213"/>
      <c r="CB691" s="274"/>
      <c r="CC691" s="274"/>
      <c r="CD691" s="274"/>
      <c r="CE691" s="39"/>
      <c r="CF691" s="39"/>
      <c r="CG691" s="39"/>
      <c r="CH691" s="274"/>
      <c r="CI691" s="274"/>
      <c r="CJ691" s="274"/>
      <c r="CK691" s="39"/>
      <c r="CL691" s="39"/>
      <c r="CM691" s="39"/>
      <c r="CN691" s="39"/>
      <c r="CO691" s="39"/>
      <c r="CP691" s="11"/>
      <c r="CQ691" s="11"/>
      <c r="CR691" s="11"/>
      <c r="CS691" s="11"/>
      <c r="CT691" s="11"/>
      <c r="CU691" s="11"/>
      <c r="CV691" s="11"/>
      <c r="CW691" s="11"/>
      <c r="CX691" s="11"/>
      <c r="CY691" s="11"/>
      <c r="CZ691" s="11"/>
      <c r="DA691" s="11"/>
      <c r="DB691" s="11"/>
      <c r="DC691" s="11"/>
      <c r="DD691" s="11"/>
      <c r="DE691" s="11"/>
      <c r="DF691" s="11"/>
      <c r="DG691" s="11"/>
      <c r="DH691" s="11"/>
      <c r="DI691" s="11"/>
      <c r="DJ691" s="11"/>
      <c r="DK691" s="11"/>
      <c r="DL691" s="274"/>
      <c r="DM691" s="274"/>
      <c r="DN691" s="274"/>
      <c r="DO691" s="274"/>
      <c r="DP691" s="274"/>
      <c r="DQ691" s="274"/>
      <c r="DR691" s="274"/>
      <c r="DS691" s="274"/>
      <c r="DT691" s="274"/>
      <c r="DU691" s="274"/>
      <c r="DV691" s="274"/>
      <c r="DW691" s="274"/>
      <c r="DX691" s="274"/>
      <c r="DY691" s="274"/>
      <c r="DZ691" s="274"/>
      <c r="EA691" s="274"/>
      <c r="EB691" s="274"/>
      <c r="EC691" s="274"/>
      <c r="ED691" s="39">
        <f t="shared" si="218"/>
        <v>61133.275000000001</v>
      </c>
      <c r="EE691" s="30">
        <f t="shared" si="219"/>
        <v>2</v>
      </c>
      <c r="EF691" s="39">
        <f t="shared" si="220"/>
        <v>30566.637500000001</v>
      </c>
    </row>
    <row r="692" spans="1:136" x14ac:dyDescent="0.25">
      <c r="A692" s="25" t="e">
        <f>#REF!</f>
        <v>#REF!</v>
      </c>
      <c r="B692" s="50" t="e">
        <f>#REF!</f>
        <v>#REF!</v>
      </c>
      <c r="C692" s="5" t="e">
        <f>#REF!</f>
        <v>#REF!</v>
      </c>
      <c r="D692" s="5" t="e">
        <f>#REF!</f>
        <v>#REF!</v>
      </c>
      <c r="E692" s="252">
        <v>1</v>
      </c>
      <c r="F692" s="249">
        <v>0</v>
      </c>
      <c r="G692" s="249">
        <v>0</v>
      </c>
      <c r="H692" s="249">
        <v>0</v>
      </c>
      <c r="I692" s="249">
        <v>0</v>
      </c>
      <c r="J692" s="249">
        <v>0</v>
      </c>
      <c r="K692" s="249">
        <v>0</v>
      </c>
      <c r="L692" s="274"/>
      <c r="M692" s="274"/>
      <c r="N692" s="255">
        <v>12000</v>
      </c>
      <c r="O692" s="135">
        <f t="shared" si="231"/>
        <v>2280</v>
      </c>
      <c r="P692" s="135">
        <f t="shared" si="232"/>
        <v>14280</v>
      </c>
      <c r="Q692" s="131"/>
      <c r="R692" s="131"/>
      <c r="S692" s="11"/>
      <c r="T692" s="274"/>
      <c r="U692" s="274"/>
      <c r="V692" s="274"/>
      <c r="W692" s="39"/>
      <c r="X692" s="11"/>
      <c r="Y692" s="11"/>
      <c r="Z692" s="274"/>
      <c r="AA692" s="274"/>
      <c r="AB692" s="274"/>
      <c r="AC692" s="60"/>
      <c r="AD692" s="23"/>
      <c r="AE692" s="39"/>
      <c r="AF692" s="274"/>
      <c r="AG692" s="274"/>
      <c r="AH692" s="179"/>
      <c r="AI692" s="24"/>
      <c r="AJ692" s="39"/>
      <c r="AK692" s="39"/>
      <c r="AL692" s="118"/>
      <c r="AM692" s="152"/>
      <c r="AN692" s="181"/>
      <c r="AO692" s="131"/>
      <c r="AP692" s="131"/>
      <c r="AQ692" s="39"/>
      <c r="AR692" s="274">
        <v>18000</v>
      </c>
      <c r="AS692" s="274">
        <f>+AR692*0.19</f>
        <v>3420</v>
      </c>
      <c r="AT692" s="274">
        <f>+AR692+AS692</f>
        <v>21420</v>
      </c>
      <c r="AU692" s="39"/>
      <c r="AV692" s="39"/>
      <c r="AW692" s="39"/>
      <c r="AX692" s="274"/>
      <c r="AY692" s="274"/>
      <c r="AZ692" s="274"/>
      <c r="BA692" s="39"/>
      <c r="BB692" s="62"/>
      <c r="BC692" s="39"/>
      <c r="BD692" s="274"/>
      <c r="BE692" s="274"/>
      <c r="BF692" s="274"/>
      <c r="BG692" s="39"/>
      <c r="BH692" s="39"/>
      <c r="BI692" s="39"/>
      <c r="BJ692" s="274">
        <v>13100</v>
      </c>
      <c r="BK692" s="274">
        <f>+BJ692*0.19</f>
        <v>2489</v>
      </c>
      <c r="BL692" s="274">
        <f>+BJ692+BK692</f>
        <v>15589</v>
      </c>
      <c r="BM692" s="213" t="s">
        <v>196</v>
      </c>
      <c r="BN692" s="213" t="s">
        <v>3852</v>
      </c>
      <c r="BO692" s="39"/>
      <c r="BP692" s="274">
        <v>52500</v>
      </c>
      <c r="BQ692" s="274">
        <f>+BP692*19%</f>
        <v>9975</v>
      </c>
      <c r="BR692" s="274">
        <f>+BQ692+BP692</f>
        <v>62475</v>
      </c>
      <c r="BS692" s="39"/>
      <c r="BT692" s="39"/>
      <c r="BU692" s="39"/>
      <c r="BV692" s="219">
        <v>15155.180399999999</v>
      </c>
      <c r="BW692" s="219">
        <f>+BV692*0.19</f>
        <v>2879.4842759999997</v>
      </c>
      <c r="BX692" s="273">
        <f>+BV692+BW692</f>
        <v>18034.664676</v>
      </c>
      <c r="BY692" s="213" t="s">
        <v>196</v>
      </c>
      <c r="BZ692" s="213" t="s">
        <v>3852</v>
      </c>
      <c r="CA692" s="213"/>
      <c r="CB692" s="274"/>
      <c r="CC692" s="274"/>
      <c r="CD692" s="274"/>
      <c r="CE692" s="39"/>
      <c r="CF692" s="39"/>
      <c r="CG692" s="39"/>
      <c r="CH692" s="274"/>
      <c r="CI692" s="274"/>
      <c r="CJ692" s="274"/>
      <c r="CK692" s="39"/>
      <c r="CL692" s="39"/>
      <c r="CM692" s="39"/>
      <c r="CN692" s="39"/>
      <c r="CO692" s="39"/>
      <c r="CP692" s="11"/>
      <c r="CQ692" s="11"/>
      <c r="CR692" s="11"/>
      <c r="CS692" s="11"/>
      <c r="CT692" s="11"/>
      <c r="CU692" s="11"/>
      <c r="CV692" s="11"/>
      <c r="CW692" s="11"/>
      <c r="CX692" s="11"/>
      <c r="CY692" s="11"/>
      <c r="CZ692" s="11"/>
      <c r="DA692" s="11"/>
      <c r="DB692" s="11"/>
      <c r="DC692" s="11"/>
      <c r="DD692" s="11"/>
      <c r="DE692" s="11"/>
      <c r="DF692" s="11"/>
      <c r="DG692" s="11"/>
      <c r="DH692" s="11"/>
      <c r="DI692" s="11"/>
      <c r="DJ692" s="11"/>
      <c r="DK692" s="11"/>
      <c r="DL692" s="274"/>
      <c r="DM692" s="274"/>
      <c r="DN692" s="274"/>
      <c r="DO692" s="274"/>
      <c r="DP692" s="274"/>
      <c r="DQ692" s="274"/>
      <c r="DR692" s="274"/>
      <c r="DS692" s="274"/>
      <c r="DT692" s="274"/>
      <c r="DU692" s="274"/>
      <c r="DV692" s="274"/>
      <c r="DW692" s="274"/>
      <c r="DX692" s="274"/>
      <c r="DY692" s="274"/>
      <c r="DZ692" s="274"/>
      <c r="EA692" s="274"/>
      <c r="EB692" s="274"/>
      <c r="EC692" s="274"/>
      <c r="ED692" s="39">
        <f t="shared" si="218"/>
        <v>131798.66467600001</v>
      </c>
      <c r="EE692" s="30">
        <f t="shared" si="219"/>
        <v>5</v>
      </c>
      <c r="EF692" s="39">
        <f t="shared" si="220"/>
        <v>26359.732935200002</v>
      </c>
    </row>
    <row r="693" spans="1:136" x14ac:dyDescent="0.25">
      <c r="A693" s="25" t="e">
        <f>#REF!</f>
        <v>#REF!</v>
      </c>
      <c r="B693" s="50" t="e">
        <f>#REF!</f>
        <v>#REF!</v>
      </c>
      <c r="C693" s="5" t="e">
        <f>#REF!</f>
        <v>#REF!</v>
      </c>
      <c r="D693" s="5" t="e">
        <f>#REF!</f>
        <v>#REF!</v>
      </c>
      <c r="E693" s="252">
        <v>1</v>
      </c>
      <c r="F693" s="249">
        <v>59500</v>
      </c>
      <c r="G693" s="249">
        <v>0</v>
      </c>
      <c r="H693" s="249">
        <v>0</v>
      </c>
      <c r="I693" s="249">
        <v>0</v>
      </c>
      <c r="J693" s="249">
        <v>137841.66666666666</v>
      </c>
      <c r="K693" s="249">
        <v>57120</v>
      </c>
      <c r="L693" s="274">
        <f>AVERAGE(F693,J693)</f>
        <v>98670.833333333328</v>
      </c>
      <c r="M693" s="274">
        <f>K693*E1</f>
        <v>58833.599999999999</v>
      </c>
      <c r="N693" s="255">
        <v>65000</v>
      </c>
      <c r="O693" s="135">
        <f t="shared" si="231"/>
        <v>12350</v>
      </c>
      <c r="P693" s="135">
        <f t="shared" si="232"/>
        <v>77350</v>
      </c>
      <c r="Q693" s="131"/>
      <c r="R693" s="131"/>
      <c r="S693" s="11"/>
      <c r="T693" s="274"/>
      <c r="U693" s="274"/>
      <c r="V693" s="274"/>
      <c r="W693" s="39"/>
      <c r="X693" s="11"/>
      <c r="Y693" s="11"/>
      <c r="Z693" s="274"/>
      <c r="AA693" s="274"/>
      <c r="AB693" s="274"/>
      <c r="AC693" s="52"/>
      <c r="AD693" s="22"/>
      <c r="AE693" s="39"/>
      <c r="AF693" s="274"/>
      <c r="AG693" s="274"/>
      <c r="AH693" s="171"/>
      <c r="AI693" s="4"/>
      <c r="AJ693" s="39"/>
      <c r="AK693" s="39"/>
      <c r="AL693" s="118"/>
      <c r="AM693" s="152"/>
      <c r="AN693" s="181"/>
      <c r="AO693" s="131"/>
      <c r="AP693" s="131"/>
      <c r="AQ693" s="39"/>
      <c r="AR693" s="274">
        <v>48000</v>
      </c>
      <c r="AS693" s="274">
        <f>+AR693*0.19</f>
        <v>9120</v>
      </c>
      <c r="AT693" s="274">
        <f>+AR693+AS693</f>
        <v>57120</v>
      </c>
      <c r="AU693" s="39"/>
      <c r="AV693" s="39"/>
      <c r="AW693" s="39"/>
      <c r="AX693" s="274"/>
      <c r="AY693" s="274"/>
      <c r="AZ693" s="274"/>
      <c r="BA693" s="39"/>
      <c r="BB693" s="62"/>
      <c r="BC693" s="39"/>
      <c r="BD693" s="274"/>
      <c r="BE693" s="274"/>
      <c r="BF693" s="274"/>
      <c r="BG693" s="39"/>
      <c r="BH693" s="39"/>
      <c r="BI693" s="39"/>
      <c r="BJ693" s="274">
        <v>103500</v>
      </c>
      <c r="BK693" s="274">
        <f>+BJ693*0.19</f>
        <v>19665</v>
      </c>
      <c r="BL693" s="274">
        <f>+BJ693+BK693</f>
        <v>123165</v>
      </c>
      <c r="BM693" s="213" t="s">
        <v>196</v>
      </c>
      <c r="BN693" s="213" t="s">
        <v>3852</v>
      </c>
      <c r="BO693" s="39"/>
      <c r="BP693" s="274"/>
      <c r="BQ693" s="274"/>
      <c r="BR693" s="274"/>
      <c r="BS693" s="39"/>
      <c r="BT693" s="39"/>
      <c r="BU693" s="39"/>
      <c r="BV693" s="219">
        <v>124367.25600000002</v>
      </c>
      <c r="BW693" s="219">
        <f>+BV693*0.19</f>
        <v>23629.778640000004</v>
      </c>
      <c r="BX693" s="273">
        <f>+BV693+BW693</f>
        <v>147997.03464000003</v>
      </c>
      <c r="BY693" s="213" t="s">
        <v>196</v>
      </c>
      <c r="BZ693" s="213" t="s">
        <v>3852</v>
      </c>
      <c r="CA693" s="213"/>
      <c r="CB693" s="274"/>
      <c r="CC693" s="274"/>
      <c r="CD693" s="274"/>
      <c r="CE693" s="39"/>
      <c r="CF693" s="39"/>
      <c r="CG693" s="39"/>
      <c r="CH693" s="274"/>
      <c r="CI693" s="274"/>
      <c r="CJ693" s="274"/>
      <c r="CK693" s="39"/>
      <c r="CL693" s="39"/>
      <c r="CM693" s="39"/>
      <c r="CN693" s="39"/>
      <c r="CO693" s="39"/>
      <c r="CP693" s="11"/>
      <c r="CQ693" s="11"/>
      <c r="CR693" s="11"/>
      <c r="CS693" s="11"/>
      <c r="CT693" s="11"/>
      <c r="CU693" s="11"/>
      <c r="CV693" s="11"/>
      <c r="CW693" s="11"/>
      <c r="CX693" s="11"/>
      <c r="CY693" s="11"/>
      <c r="CZ693" s="11"/>
      <c r="DA693" s="11"/>
      <c r="DB693" s="11"/>
      <c r="DC693" s="11"/>
      <c r="DD693" s="11"/>
      <c r="DE693" s="11"/>
      <c r="DF693" s="11"/>
      <c r="DG693" s="11"/>
      <c r="DH693" s="11"/>
      <c r="DI693" s="11"/>
      <c r="DJ693" s="11"/>
      <c r="DK693" s="11"/>
      <c r="DL693" s="274"/>
      <c r="DM693" s="274"/>
      <c r="DN693" s="274"/>
      <c r="DO693" s="274"/>
      <c r="DP693" s="274"/>
      <c r="DQ693" s="274"/>
      <c r="DR693" s="274"/>
      <c r="DS693" s="274"/>
      <c r="DT693" s="274"/>
      <c r="DU693" s="274"/>
      <c r="DV693" s="274"/>
      <c r="DW693" s="274"/>
      <c r="DX693" s="274"/>
      <c r="DY693" s="274"/>
      <c r="DZ693" s="274"/>
      <c r="EA693" s="274"/>
      <c r="EB693" s="274"/>
      <c r="EC693" s="274"/>
      <c r="ED693" s="39">
        <f t="shared" si="218"/>
        <v>464465.63464</v>
      </c>
      <c r="EE693" s="30">
        <f t="shared" si="219"/>
        <v>5</v>
      </c>
      <c r="EF693" s="39">
        <f t="shared" si="220"/>
        <v>92893.126927999998</v>
      </c>
    </row>
    <row r="694" spans="1:136" ht="24" x14ac:dyDescent="0.25">
      <c r="A694" s="25" t="e">
        <f>#REF!</f>
        <v>#REF!</v>
      </c>
      <c r="B694" s="50" t="e">
        <f>#REF!</f>
        <v>#REF!</v>
      </c>
      <c r="C694" s="5" t="e">
        <f>#REF!</f>
        <v>#REF!</v>
      </c>
      <c r="D694" s="5" t="e">
        <f>#REF!</f>
        <v>#REF!</v>
      </c>
      <c r="E694" s="252">
        <v>1</v>
      </c>
      <c r="F694" s="249">
        <v>0</v>
      </c>
      <c r="G694" s="249">
        <v>0</v>
      </c>
      <c r="H694" s="249">
        <v>65450</v>
      </c>
      <c r="I694" s="249">
        <v>65331</v>
      </c>
      <c r="J694" s="249">
        <v>84292.425000000003</v>
      </c>
      <c r="K694" s="249">
        <v>59262</v>
      </c>
      <c r="L694" s="274">
        <f>AVERAGE(H694,J694)</f>
        <v>74871.212499999994</v>
      </c>
      <c r="M694" s="274">
        <f>AVERAGE(I694,K694)*E1</f>
        <v>64165.395000000004</v>
      </c>
      <c r="N694" s="255">
        <v>75000</v>
      </c>
      <c r="O694" s="135">
        <f t="shared" si="231"/>
        <v>14250</v>
      </c>
      <c r="P694" s="135">
        <f t="shared" si="232"/>
        <v>89250</v>
      </c>
      <c r="Q694" s="131"/>
      <c r="R694" s="131"/>
      <c r="S694" s="11"/>
      <c r="T694" s="274"/>
      <c r="U694" s="274"/>
      <c r="V694" s="274"/>
      <c r="W694" s="39"/>
      <c r="X694" s="11"/>
      <c r="Y694" s="11"/>
      <c r="Z694" s="274"/>
      <c r="AA694" s="274"/>
      <c r="AB694" s="274"/>
      <c r="AC694" s="52"/>
      <c r="AD694" s="22"/>
      <c r="AE694" s="39"/>
      <c r="AF694" s="274"/>
      <c r="AG694" s="274"/>
      <c r="AH694" s="171"/>
      <c r="AI694" s="4"/>
      <c r="AJ694" s="39"/>
      <c r="AK694" s="39"/>
      <c r="AL694" s="118"/>
      <c r="AM694" s="152"/>
      <c r="AN694" s="181"/>
      <c r="AO694" s="131"/>
      <c r="AP694" s="131"/>
      <c r="AQ694" s="39"/>
      <c r="AR694" s="274">
        <v>35000</v>
      </c>
      <c r="AS694" s="274">
        <f>+AR694*0.19</f>
        <v>6650</v>
      </c>
      <c r="AT694" s="274">
        <f>+AR694+AS694</f>
        <v>41650</v>
      </c>
      <c r="AU694" s="39"/>
      <c r="AV694" s="39"/>
      <c r="AW694" s="39"/>
      <c r="AX694" s="274"/>
      <c r="AY694" s="274"/>
      <c r="AZ694" s="274"/>
      <c r="BA694" s="39"/>
      <c r="BB694" s="62"/>
      <c r="BC694" s="39"/>
      <c r="BD694" s="274"/>
      <c r="BE694" s="274"/>
      <c r="BF694" s="274"/>
      <c r="BG694" s="39"/>
      <c r="BH694" s="39"/>
      <c r="BI694" s="39"/>
      <c r="BJ694" s="274">
        <v>106900</v>
      </c>
      <c r="BK694" s="274">
        <f>+BJ694*0.19</f>
        <v>20311</v>
      </c>
      <c r="BL694" s="274">
        <f>+BJ694+BK694</f>
        <v>127211</v>
      </c>
      <c r="BM694" s="213" t="s">
        <v>196</v>
      </c>
      <c r="BN694" s="213" t="s">
        <v>4996</v>
      </c>
      <c r="BO694" s="39"/>
      <c r="BP694" s="274">
        <v>65200</v>
      </c>
      <c r="BQ694" s="274">
        <f>+BP694*19%</f>
        <v>12388</v>
      </c>
      <c r="BR694" s="274">
        <f>+BQ694+BP694</f>
        <v>77588</v>
      </c>
      <c r="BS694" s="39"/>
      <c r="BT694" s="39"/>
      <c r="BU694" s="39"/>
      <c r="BV694" s="219">
        <v>122471.48160000001</v>
      </c>
      <c r="BW694" s="219">
        <f>+BV694*0.19</f>
        <v>23269.581504000002</v>
      </c>
      <c r="BX694" s="273">
        <f>+BV694+BW694</f>
        <v>145741.063104</v>
      </c>
      <c r="BY694" s="213" t="s">
        <v>196</v>
      </c>
      <c r="BZ694" s="213" t="s">
        <v>4996</v>
      </c>
      <c r="CA694" s="213"/>
      <c r="CB694" s="274"/>
      <c r="CC694" s="274"/>
      <c r="CD694" s="274"/>
      <c r="CE694" s="39"/>
      <c r="CF694" s="39"/>
      <c r="CG694" s="39"/>
      <c r="CH694" s="274"/>
      <c r="CI694" s="274"/>
      <c r="CJ694" s="274"/>
      <c r="CK694" s="39"/>
      <c r="CL694" s="39"/>
      <c r="CM694" s="39"/>
      <c r="CN694" s="39"/>
      <c r="CO694" s="39"/>
      <c r="CP694" s="11"/>
      <c r="CQ694" s="11"/>
      <c r="CR694" s="11"/>
      <c r="CS694" s="11"/>
      <c r="CT694" s="11"/>
      <c r="CU694" s="11"/>
      <c r="CV694" s="11"/>
      <c r="CW694" s="11"/>
      <c r="CX694" s="11"/>
      <c r="CY694" s="11"/>
      <c r="CZ694" s="11"/>
      <c r="DA694" s="11"/>
      <c r="DB694" s="11"/>
      <c r="DC694" s="11"/>
      <c r="DD694" s="11"/>
      <c r="DE694" s="11"/>
      <c r="DF694" s="11"/>
      <c r="DG694" s="11"/>
      <c r="DH694" s="11"/>
      <c r="DI694" s="11"/>
      <c r="DJ694" s="11"/>
      <c r="DK694" s="11"/>
      <c r="DL694" s="274"/>
      <c r="DM694" s="274"/>
      <c r="DN694" s="274"/>
      <c r="DO694" s="274"/>
      <c r="DP694" s="274"/>
      <c r="DQ694" s="274"/>
      <c r="DR694" s="274"/>
      <c r="DS694" s="274"/>
      <c r="DT694" s="274"/>
      <c r="DU694" s="274"/>
      <c r="DV694" s="274"/>
      <c r="DW694" s="274"/>
      <c r="DX694" s="274"/>
      <c r="DY694" s="274"/>
      <c r="DZ694" s="274"/>
      <c r="EA694" s="274"/>
      <c r="EB694" s="274"/>
      <c r="EC694" s="274"/>
      <c r="ED694" s="39">
        <f t="shared" si="218"/>
        <v>545605.45810399996</v>
      </c>
      <c r="EE694" s="30">
        <f t="shared" si="219"/>
        <v>6</v>
      </c>
      <c r="EF694" s="39">
        <f t="shared" si="220"/>
        <v>90934.243017333327</v>
      </c>
    </row>
    <row r="695" spans="1:136" x14ac:dyDescent="0.25">
      <c r="A695" s="25" t="e">
        <f>#REF!</f>
        <v>#REF!</v>
      </c>
      <c r="B695" s="50" t="e">
        <f>#REF!</f>
        <v>#REF!</v>
      </c>
      <c r="C695" s="5" t="e">
        <f>#REF!</f>
        <v>#REF!</v>
      </c>
      <c r="D695" s="5" t="e">
        <f>#REF!</f>
        <v>#REF!</v>
      </c>
      <c r="E695" s="252">
        <v>1</v>
      </c>
      <c r="F695" s="249">
        <v>47600</v>
      </c>
      <c r="G695" s="249">
        <v>0</v>
      </c>
      <c r="H695" s="249">
        <v>223208.3</v>
      </c>
      <c r="I695" s="249">
        <v>0</v>
      </c>
      <c r="J695" s="249">
        <v>212481.11111111112</v>
      </c>
      <c r="K695" s="249">
        <v>208250</v>
      </c>
      <c r="L695" s="274">
        <f>AVERAGE(F695,H695,J695)</f>
        <v>161096.47037037037</v>
      </c>
      <c r="M695" s="274">
        <f>K695*E1</f>
        <v>214497.5</v>
      </c>
      <c r="N695" s="255">
        <v>80000</v>
      </c>
      <c r="O695" s="135">
        <f t="shared" si="231"/>
        <v>15200</v>
      </c>
      <c r="P695" s="135">
        <f t="shared" si="232"/>
        <v>95200</v>
      </c>
      <c r="Q695" s="131"/>
      <c r="R695" s="131"/>
      <c r="S695" s="11"/>
      <c r="T695" s="274"/>
      <c r="U695" s="274"/>
      <c r="V695" s="274"/>
      <c r="W695" s="39"/>
      <c r="X695" s="11"/>
      <c r="Y695" s="11"/>
      <c r="Z695" s="274"/>
      <c r="AA695" s="274"/>
      <c r="AB695" s="274"/>
      <c r="AC695" s="52"/>
      <c r="AD695" s="22"/>
      <c r="AE695" s="39"/>
      <c r="AF695" s="274"/>
      <c r="AG695" s="274"/>
      <c r="AH695" s="171"/>
      <c r="AI695" s="22"/>
      <c r="AJ695" s="39"/>
      <c r="AK695" s="39"/>
      <c r="AL695" s="118"/>
      <c r="AM695" s="152"/>
      <c r="AN695" s="181"/>
      <c r="AO695" s="131"/>
      <c r="AP695" s="131"/>
      <c r="AQ695" s="39"/>
      <c r="AR695" s="274">
        <v>190000</v>
      </c>
      <c r="AS695" s="274">
        <f>+AR695*0.19</f>
        <v>36100</v>
      </c>
      <c r="AT695" s="274">
        <f>+AR695+AS695</f>
        <v>226100</v>
      </c>
      <c r="AU695" s="39"/>
      <c r="AV695" s="39"/>
      <c r="AW695" s="39"/>
      <c r="AX695" s="274"/>
      <c r="AY695" s="274"/>
      <c r="AZ695" s="274"/>
      <c r="BA695" s="39"/>
      <c r="BB695" s="62"/>
      <c r="BC695" s="39"/>
      <c r="BD695" s="274"/>
      <c r="BE695" s="274"/>
      <c r="BF695" s="274"/>
      <c r="BG695" s="39"/>
      <c r="BH695" s="39"/>
      <c r="BI695" s="39"/>
      <c r="BJ695" s="274">
        <v>641700</v>
      </c>
      <c r="BK695" s="274">
        <f>+BJ695*0.19</f>
        <v>121923</v>
      </c>
      <c r="BL695" s="274">
        <f>+BJ695+BK695</f>
        <v>763623</v>
      </c>
      <c r="BM695" s="213" t="s">
        <v>196</v>
      </c>
      <c r="BN695" s="213" t="s">
        <v>4997</v>
      </c>
      <c r="BO695" s="39"/>
      <c r="BP695" s="274">
        <v>125000</v>
      </c>
      <c r="BQ695" s="274">
        <f>+BP695*19%</f>
        <v>23750</v>
      </c>
      <c r="BR695" s="274">
        <f>+BQ695+BP695</f>
        <v>148750</v>
      </c>
      <c r="BS695" s="39"/>
      <c r="BT695" s="39"/>
      <c r="BU695" s="39"/>
      <c r="BV695" s="219">
        <v>742780.58400000003</v>
      </c>
      <c r="BW695" s="219">
        <f>+BV695*0.19</f>
        <v>141128.31096</v>
      </c>
      <c r="BX695" s="273">
        <f>+BV695+BW695</f>
        <v>883908.89496000006</v>
      </c>
      <c r="BY695" s="213" t="s">
        <v>196</v>
      </c>
      <c r="BZ695" s="213" t="s">
        <v>4997</v>
      </c>
      <c r="CA695" s="213"/>
      <c r="CB695" s="274"/>
      <c r="CC695" s="274"/>
      <c r="CD695" s="274"/>
      <c r="CE695" s="39"/>
      <c r="CF695" s="39"/>
      <c r="CG695" s="39"/>
      <c r="CH695" s="274"/>
      <c r="CI695" s="274"/>
      <c r="CJ695" s="274"/>
      <c r="CK695" s="39"/>
      <c r="CL695" s="39"/>
      <c r="CM695" s="39"/>
      <c r="CN695" s="39"/>
      <c r="CO695" s="39"/>
      <c r="CP695" s="11"/>
      <c r="CQ695" s="11"/>
      <c r="CR695" s="11"/>
      <c r="CS695" s="11"/>
      <c r="CT695" s="11"/>
      <c r="CU695" s="11"/>
      <c r="CV695" s="11"/>
      <c r="CW695" s="11"/>
      <c r="CX695" s="11"/>
      <c r="CY695" s="11"/>
      <c r="CZ695" s="11"/>
      <c r="DA695" s="11"/>
      <c r="DB695" s="11"/>
      <c r="DC695" s="11"/>
      <c r="DD695" s="11"/>
      <c r="DE695" s="11"/>
      <c r="DF695" s="11"/>
      <c r="DG695" s="11"/>
      <c r="DH695" s="11"/>
      <c r="DI695" s="11"/>
      <c r="DJ695" s="11"/>
      <c r="DK695" s="11"/>
      <c r="DL695" s="274"/>
      <c r="DM695" s="274"/>
      <c r="DN695" s="274"/>
      <c r="DO695" s="274"/>
      <c r="DP695" s="274"/>
      <c r="DQ695" s="274"/>
      <c r="DR695" s="274"/>
      <c r="DS695" s="274"/>
      <c r="DT695" s="274"/>
      <c r="DU695" s="274"/>
      <c r="DV695" s="274"/>
      <c r="DW695" s="274"/>
      <c r="DX695" s="274"/>
      <c r="DY695" s="274"/>
      <c r="DZ695" s="274"/>
      <c r="EA695" s="274"/>
      <c r="EB695" s="274"/>
      <c r="EC695" s="274"/>
      <c r="ED695" s="39">
        <f t="shared" si="218"/>
        <v>2332079.3949600002</v>
      </c>
      <c r="EE695" s="30">
        <f t="shared" si="219"/>
        <v>6</v>
      </c>
      <c r="EF695" s="39">
        <f t="shared" si="220"/>
        <v>388679.89916000003</v>
      </c>
    </row>
    <row r="696" spans="1:136" x14ac:dyDescent="0.25">
      <c r="A696" s="25" t="e">
        <f>#REF!</f>
        <v>#REF!</v>
      </c>
      <c r="B696" s="50" t="e">
        <f>#REF!</f>
        <v>#REF!</v>
      </c>
      <c r="C696" s="5" t="e">
        <f>#REF!</f>
        <v>#REF!</v>
      </c>
      <c r="D696" s="5" t="e">
        <f>#REF!</f>
        <v>#REF!</v>
      </c>
      <c r="E696" s="252">
        <v>1</v>
      </c>
      <c r="F696" s="249">
        <v>0</v>
      </c>
      <c r="G696" s="249">
        <v>0</v>
      </c>
      <c r="H696" s="249">
        <v>119000</v>
      </c>
      <c r="I696" s="249">
        <v>0</v>
      </c>
      <c r="J696" s="249">
        <v>130900</v>
      </c>
      <c r="K696" s="249">
        <v>130900</v>
      </c>
      <c r="L696" s="274">
        <f>AVERAGE(H696,J696)</f>
        <v>124950</v>
      </c>
      <c r="M696" s="274">
        <f>K696*E1</f>
        <v>134827</v>
      </c>
      <c r="N696" s="255">
        <v>110000</v>
      </c>
      <c r="O696" s="135">
        <f t="shared" si="231"/>
        <v>20900</v>
      </c>
      <c r="P696" s="135">
        <f t="shared" si="232"/>
        <v>130900</v>
      </c>
      <c r="Q696" s="131"/>
      <c r="R696" s="131"/>
      <c r="S696" s="11"/>
      <c r="T696" s="274"/>
      <c r="U696" s="274"/>
      <c r="V696" s="274"/>
      <c r="W696" s="39"/>
      <c r="X696" s="11"/>
      <c r="Y696" s="11"/>
      <c r="Z696" s="274"/>
      <c r="AA696" s="274"/>
      <c r="AB696" s="274"/>
      <c r="AC696" s="52"/>
      <c r="AD696" s="22"/>
      <c r="AE696" s="39"/>
      <c r="AF696" s="274"/>
      <c r="AG696" s="274"/>
      <c r="AH696" s="171"/>
      <c r="AI696" s="4"/>
      <c r="AJ696" s="39"/>
      <c r="AK696" s="39"/>
      <c r="AL696" s="118"/>
      <c r="AM696" s="152"/>
      <c r="AN696" s="181"/>
      <c r="AO696" s="131"/>
      <c r="AP696" s="131"/>
      <c r="AQ696" s="39"/>
      <c r="AR696" s="274"/>
      <c r="AS696" s="274"/>
      <c r="AT696" s="274"/>
      <c r="AU696" s="39"/>
      <c r="AV696" s="39"/>
      <c r="AW696" s="39"/>
      <c r="AX696" s="274"/>
      <c r="AY696" s="274"/>
      <c r="AZ696" s="274"/>
      <c r="BA696" s="39"/>
      <c r="BB696" s="62"/>
      <c r="BC696" s="39"/>
      <c r="BD696" s="274"/>
      <c r="BE696" s="274"/>
      <c r="BF696" s="274"/>
      <c r="BG696" s="39"/>
      <c r="BH696" s="39"/>
      <c r="BI696" s="39"/>
      <c r="BJ696" s="274"/>
      <c r="BK696" s="274"/>
      <c r="BL696" s="274"/>
      <c r="BM696" s="213"/>
      <c r="BN696" s="213"/>
      <c r="BO696" s="39"/>
      <c r="BP696" s="274"/>
      <c r="BQ696" s="274"/>
      <c r="BR696" s="274"/>
      <c r="BS696" s="39"/>
      <c r="BT696" s="39"/>
      <c r="BU696" s="39"/>
      <c r="BV696" s="212"/>
      <c r="BW696" s="220"/>
      <c r="BX696" s="273"/>
      <c r="BY696" s="213"/>
      <c r="BZ696" s="213"/>
      <c r="CA696" s="213"/>
      <c r="CB696" s="274"/>
      <c r="CC696" s="274"/>
      <c r="CD696" s="274"/>
      <c r="CE696" s="39"/>
      <c r="CF696" s="39"/>
      <c r="CG696" s="39"/>
      <c r="CH696" s="274"/>
      <c r="CI696" s="274"/>
      <c r="CJ696" s="274"/>
      <c r="CK696" s="39"/>
      <c r="CL696" s="39"/>
      <c r="CM696" s="39"/>
      <c r="CN696" s="39"/>
      <c r="CO696" s="39"/>
      <c r="CP696" s="11"/>
      <c r="CQ696" s="11"/>
      <c r="CR696" s="11"/>
      <c r="CS696" s="11"/>
      <c r="CT696" s="11"/>
      <c r="CU696" s="11"/>
      <c r="CV696" s="11"/>
      <c r="CW696" s="11"/>
      <c r="CX696" s="11"/>
      <c r="CY696" s="11"/>
      <c r="CZ696" s="11"/>
      <c r="DA696" s="11"/>
      <c r="DB696" s="11"/>
      <c r="DC696" s="11"/>
      <c r="DD696" s="11"/>
      <c r="DE696" s="11"/>
      <c r="DF696" s="11"/>
      <c r="DG696" s="11"/>
      <c r="DH696" s="11"/>
      <c r="DI696" s="11"/>
      <c r="DJ696" s="11"/>
      <c r="DK696" s="11"/>
      <c r="DL696" s="274"/>
      <c r="DM696" s="274"/>
      <c r="DN696" s="274"/>
      <c r="DO696" s="274"/>
      <c r="DP696" s="274"/>
      <c r="DQ696" s="274"/>
      <c r="DR696" s="274"/>
      <c r="DS696" s="274"/>
      <c r="DT696" s="274"/>
      <c r="DU696" s="274"/>
      <c r="DV696" s="274"/>
      <c r="DW696" s="274"/>
      <c r="DX696" s="274"/>
      <c r="DY696" s="274"/>
      <c r="DZ696" s="274"/>
      <c r="EA696" s="274"/>
      <c r="EB696" s="274"/>
      <c r="EC696" s="274"/>
      <c r="ED696" s="39">
        <f t="shared" si="218"/>
        <v>265727</v>
      </c>
      <c r="EE696" s="30">
        <f t="shared" si="219"/>
        <v>2</v>
      </c>
      <c r="EF696" s="39">
        <f t="shared" si="220"/>
        <v>132863.5</v>
      </c>
    </row>
    <row r="697" spans="1:136" x14ac:dyDescent="0.25">
      <c r="A697" s="25" t="e">
        <f>#REF!</f>
        <v>#REF!</v>
      </c>
      <c r="B697" s="50" t="e">
        <f>#REF!</f>
        <v>#REF!</v>
      </c>
      <c r="C697" s="5" t="e">
        <f>#REF!</f>
        <v>#REF!</v>
      </c>
      <c r="D697" s="5" t="e">
        <f>#REF!</f>
        <v>#REF!</v>
      </c>
      <c r="E697" s="252">
        <v>1</v>
      </c>
      <c r="F697" s="249">
        <v>113050</v>
      </c>
      <c r="G697" s="249">
        <v>111265</v>
      </c>
      <c r="H697" s="249">
        <v>239904</v>
      </c>
      <c r="I697" s="249">
        <v>239785</v>
      </c>
      <c r="J697" s="249">
        <v>235549.88916666669</v>
      </c>
      <c r="K697" s="249">
        <v>220150</v>
      </c>
      <c r="L697" s="274">
        <f>AVERAGE(F697,H697,J697)</f>
        <v>196167.96305555556</v>
      </c>
      <c r="M697" s="274">
        <f>AVERAGE(G697,I697,K697)*E1</f>
        <v>196112</v>
      </c>
      <c r="N697" s="255">
        <v>190000</v>
      </c>
      <c r="O697" s="135">
        <f t="shared" si="231"/>
        <v>36100</v>
      </c>
      <c r="P697" s="135">
        <f t="shared" si="232"/>
        <v>226100</v>
      </c>
      <c r="Q697" s="11"/>
      <c r="R697" s="11"/>
      <c r="S697" s="25"/>
      <c r="T697" s="148"/>
      <c r="U697" s="274"/>
      <c r="V697" s="274"/>
      <c r="W697" s="39"/>
      <c r="X697" s="11"/>
      <c r="Y697" s="11"/>
      <c r="Z697" s="274"/>
      <c r="AA697" s="274"/>
      <c r="AB697" s="274"/>
      <c r="AC697" s="11"/>
      <c r="AD697" s="11"/>
      <c r="AE697" s="11"/>
      <c r="AF697" s="274"/>
      <c r="AG697" s="274"/>
      <c r="AH697" s="274"/>
      <c r="AI697" s="11"/>
      <c r="AJ697" s="11"/>
      <c r="AK697" s="11"/>
      <c r="AL697" s="118"/>
      <c r="AM697" s="118"/>
      <c r="AN697" s="118"/>
      <c r="AO697" s="52"/>
      <c r="AP697" s="52"/>
      <c r="AQ697" s="11"/>
      <c r="AR697" s="274"/>
      <c r="AS697" s="274"/>
      <c r="AT697" s="274"/>
      <c r="AU697" s="11"/>
      <c r="AV697" s="11"/>
      <c r="AW697" s="11"/>
      <c r="AX697" s="274"/>
      <c r="AY697" s="274"/>
      <c r="AZ697" s="274"/>
      <c r="BA697" s="17"/>
      <c r="BB697" s="62"/>
      <c r="BC697" s="39"/>
      <c r="BD697" s="274"/>
      <c r="BE697" s="274"/>
      <c r="BF697" s="274"/>
      <c r="BG697" s="11"/>
      <c r="BH697" s="11"/>
      <c r="BI697" s="11"/>
      <c r="BJ697" s="274">
        <v>293200</v>
      </c>
      <c r="BK697" s="274">
        <f t="shared" ref="BK697:BK702" si="233">+BJ697*0.19</f>
        <v>55708</v>
      </c>
      <c r="BL697" s="274">
        <f t="shared" ref="BL697:BL702" si="234">+BJ697+BK697</f>
        <v>348908</v>
      </c>
      <c r="BM697" s="213" t="s">
        <v>196</v>
      </c>
      <c r="BN697" s="213" t="s">
        <v>338</v>
      </c>
      <c r="BO697" s="6"/>
      <c r="BP697" s="274">
        <v>165000</v>
      </c>
      <c r="BQ697" s="274">
        <f>+BP697*19%</f>
        <v>31350</v>
      </c>
      <c r="BR697" s="274">
        <f>+BQ697+BP697</f>
        <v>196350</v>
      </c>
      <c r="BS697" s="6"/>
      <c r="BT697" s="6"/>
      <c r="BU697" s="6"/>
      <c r="BV697" s="219">
        <v>355701.44400000002</v>
      </c>
      <c r="BW697" s="219">
        <f t="shared" ref="BW697:BW702" si="235">+BV697*0.19</f>
        <v>67583.27436000001</v>
      </c>
      <c r="BX697" s="273">
        <f t="shared" ref="BX697:BX702" si="236">+BV697+BW697</f>
        <v>423284.71836000006</v>
      </c>
      <c r="BY697" s="213" t="s">
        <v>196</v>
      </c>
      <c r="BZ697" s="213" t="s">
        <v>338</v>
      </c>
      <c r="CA697" s="213"/>
      <c r="CB697" s="274"/>
      <c r="CC697" s="274"/>
      <c r="CD697" s="274"/>
      <c r="CE697" s="11"/>
      <c r="CF697" s="11"/>
      <c r="CG697" s="11"/>
      <c r="CH697" s="274"/>
      <c r="CI697" s="274"/>
      <c r="CJ697" s="274"/>
      <c r="CK697" s="11"/>
      <c r="CL697" s="11"/>
      <c r="CM697" s="11"/>
      <c r="CN697" s="11"/>
      <c r="CO697" s="11"/>
      <c r="CP697" s="11"/>
      <c r="CQ697" s="11"/>
      <c r="CR697" s="11"/>
      <c r="CS697" s="11"/>
      <c r="CT697" s="11"/>
      <c r="CU697" s="11"/>
      <c r="CV697" s="11"/>
      <c r="CW697" s="11"/>
      <c r="CX697" s="11"/>
      <c r="CY697" s="11"/>
      <c r="CZ697" s="11"/>
      <c r="DA697" s="11"/>
      <c r="DB697" s="11"/>
      <c r="DC697" s="11"/>
      <c r="DD697" s="11"/>
      <c r="DE697" s="11"/>
      <c r="DF697" s="11"/>
      <c r="DG697" s="11"/>
      <c r="DH697" s="11"/>
      <c r="DI697" s="11"/>
      <c r="DJ697" s="11"/>
      <c r="DK697" s="11"/>
      <c r="DL697" s="274"/>
      <c r="DM697" s="274"/>
      <c r="DN697" s="274"/>
      <c r="DO697" s="274"/>
      <c r="DP697" s="274"/>
      <c r="DQ697" s="274"/>
      <c r="DR697" s="274"/>
      <c r="DS697" s="274"/>
      <c r="DT697" s="274"/>
      <c r="DU697" s="274"/>
      <c r="DV697" s="274"/>
      <c r="DW697" s="274"/>
      <c r="DX697" s="274"/>
      <c r="DY697" s="274"/>
      <c r="DZ697" s="274"/>
      <c r="EA697" s="274"/>
      <c r="EB697" s="274"/>
      <c r="EC697" s="274"/>
      <c r="ED697" s="39">
        <f t="shared" si="218"/>
        <v>1390754.7183600001</v>
      </c>
      <c r="EE697" s="30">
        <f t="shared" si="219"/>
        <v>5</v>
      </c>
      <c r="EF697" s="39">
        <f t="shared" si="220"/>
        <v>278150.94367200002</v>
      </c>
    </row>
    <row r="698" spans="1:136" x14ac:dyDescent="0.25">
      <c r="A698" s="25" t="e">
        <f>#REF!</f>
        <v>#REF!</v>
      </c>
      <c r="B698" s="50" t="e">
        <f>#REF!</f>
        <v>#REF!</v>
      </c>
      <c r="C698" s="5" t="e">
        <f>#REF!</f>
        <v>#REF!</v>
      </c>
      <c r="D698" s="5" t="e">
        <f>#REF!</f>
        <v>#REF!</v>
      </c>
      <c r="E698" s="252">
        <v>1</v>
      </c>
      <c r="F698" s="249">
        <v>225345.54</v>
      </c>
      <c r="G698" s="249">
        <v>221935</v>
      </c>
      <c r="H698" s="249">
        <v>0</v>
      </c>
      <c r="I698" s="249">
        <v>0</v>
      </c>
      <c r="J698" s="249">
        <v>612349.20833333337</v>
      </c>
      <c r="K698" s="249">
        <v>583100</v>
      </c>
      <c r="L698" s="274">
        <f>AVERAGE(F698,J698)</f>
        <v>418847.3741666667</v>
      </c>
      <c r="M698" s="274">
        <f>AVERAGE(G698,K698)*E1</f>
        <v>414593.02500000002</v>
      </c>
      <c r="N698" s="255"/>
      <c r="O698" s="135"/>
      <c r="P698" s="135"/>
      <c r="Q698" s="131"/>
      <c r="R698" s="131"/>
      <c r="S698" s="11"/>
      <c r="T698" s="274"/>
      <c r="U698" s="274"/>
      <c r="V698" s="274"/>
      <c r="W698" s="39"/>
      <c r="X698" s="11"/>
      <c r="Y698" s="11"/>
      <c r="Z698" s="274"/>
      <c r="AA698" s="274"/>
      <c r="AB698" s="274"/>
      <c r="AC698" s="52"/>
      <c r="AD698" s="22"/>
      <c r="AE698" s="39"/>
      <c r="AF698" s="274"/>
      <c r="AG698" s="274"/>
      <c r="AH698" s="171"/>
      <c r="AI698" s="22"/>
      <c r="AJ698" s="39"/>
      <c r="AK698" s="39"/>
      <c r="AL698" s="118"/>
      <c r="AM698" s="152"/>
      <c r="AN698" s="181"/>
      <c r="AO698" s="131"/>
      <c r="AP698" s="131"/>
      <c r="AQ698" s="39"/>
      <c r="AR698" s="274"/>
      <c r="AS698" s="274"/>
      <c r="AT698" s="274"/>
      <c r="AU698" s="39"/>
      <c r="AV698" s="39"/>
      <c r="AW698" s="39"/>
      <c r="AX698" s="274"/>
      <c r="AY698" s="274"/>
      <c r="AZ698" s="274"/>
      <c r="BA698" s="39"/>
      <c r="BB698" s="62"/>
      <c r="BC698" s="39"/>
      <c r="BD698" s="274"/>
      <c r="BE698" s="274"/>
      <c r="BF698" s="274"/>
      <c r="BG698" s="39"/>
      <c r="BH698" s="39"/>
      <c r="BI698" s="39"/>
      <c r="BJ698" s="274">
        <v>486600</v>
      </c>
      <c r="BK698" s="274">
        <f t="shared" si="233"/>
        <v>92454</v>
      </c>
      <c r="BL698" s="274">
        <f t="shared" si="234"/>
        <v>579054</v>
      </c>
      <c r="BM698" s="213" t="s">
        <v>196</v>
      </c>
      <c r="BN698" s="213" t="s">
        <v>3535</v>
      </c>
      <c r="BO698" s="39"/>
      <c r="BP698" s="274"/>
      <c r="BQ698" s="274"/>
      <c r="BR698" s="274"/>
      <c r="BS698" s="39"/>
      <c r="BT698" s="39"/>
      <c r="BU698" s="39"/>
      <c r="BV698" s="219">
        <v>573561.25920000009</v>
      </c>
      <c r="BW698" s="219">
        <f t="shared" si="235"/>
        <v>108976.63924800002</v>
      </c>
      <c r="BX698" s="273">
        <f t="shared" si="236"/>
        <v>682537.89844800008</v>
      </c>
      <c r="BY698" s="213" t="s">
        <v>196</v>
      </c>
      <c r="BZ698" s="213" t="s">
        <v>3535</v>
      </c>
      <c r="CA698" s="213"/>
      <c r="CB698" s="275"/>
      <c r="CC698" s="274"/>
      <c r="CD698" s="274"/>
      <c r="CE698" s="39"/>
      <c r="CF698" s="39"/>
      <c r="CG698" s="39"/>
      <c r="CH698" s="274"/>
      <c r="CI698" s="274"/>
      <c r="CJ698" s="274"/>
      <c r="CK698" s="39"/>
      <c r="CL698" s="39"/>
      <c r="CM698" s="39"/>
      <c r="CN698" s="39"/>
      <c r="CO698" s="39"/>
      <c r="CP698" s="11"/>
      <c r="CQ698" s="11"/>
      <c r="CR698" s="11"/>
      <c r="CS698" s="11"/>
      <c r="CT698" s="11"/>
      <c r="CU698" s="11"/>
      <c r="CV698" s="11"/>
      <c r="CW698" s="11"/>
      <c r="CX698" s="11"/>
      <c r="CY698" s="11"/>
      <c r="CZ698" s="11"/>
      <c r="DA698" s="11"/>
      <c r="DB698" s="11"/>
      <c r="DC698" s="11"/>
      <c r="DD698" s="11"/>
      <c r="DE698" s="11"/>
      <c r="DF698" s="11"/>
      <c r="DG698" s="11"/>
      <c r="DH698" s="11"/>
      <c r="DI698" s="11"/>
      <c r="DJ698" s="11"/>
      <c r="DK698" s="11"/>
      <c r="DL698" s="274"/>
      <c r="DM698" s="274"/>
      <c r="DN698" s="274"/>
      <c r="DO698" s="274"/>
      <c r="DP698" s="274"/>
      <c r="DQ698" s="274"/>
      <c r="DR698" s="274"/>
      <c r="DS698" s="274"/>
      <c r="DT698" s="274"/>
      <c r="DU698" s="274"/>
      <c r="DV698" s="274"/>
      <c r="DW698" s="274"/>
      <c r="DX698" s="274"/>
      <c r="DY698" s="274"/>
      <c r="DZ698" s="274"/>
      <c r="EA698" s="274"/>
      <c r="EB698" s="274"/>
      <c r="EC698" s="274"/>
      <c r="ED698" s="39">
        <f t="shared" si="218"/>
        <v>1676184.9234480001</v>
      </c>
      <c r="EE698" s="30">
        <f t="shared" si="219"/>
        <v>3</v>
      </c>
      <c r="EF698" s="39">
        <f t="shared" si="220"/>
        <v>558728.30781600007</v>
      </c>
    </row>
    <row r="699" spans="1:136" ht="24" x14ac:dyDescent="0.25">
      <c r="A699" s="25" t="e">
        <f>#REF!</f>
        <v>#REF!</v>
      </c>
      <c r="B699" s="50" t="e">
        <f>#REF!</f>
        <v>#REF!</v>
      </c>
      <c r="C699" s="5" t="e">
        <f>#REF!</f>
        <v>#REF!</v>
      </c>
      <c r="D699" s="5" t="e">
        <f>#REF!</f>
        <v>#REF!</v>
      </c>
      <c r="E699" s="252">
        <v>1</v>
      </c>
      <c r="F699" s="249">
        <v>0</v>
      </c>
      <c r="G699" s="249">
        <v>0</v>
      </c>
      <c r="H699" s="249">
        <v>0</v>
      </c>
      <c r="I699" s="249">
        <v>0</v>
      </c>
      <c r="J699" s="249">
        <v>10341.6</v>
      </c>
      <c r="K699" s="249">
        <v>10234</v>
      </c>
      <c r="L699" s="274">
        <f>J699</f>
        <v>10341.6</v>
      </c>
      <c r="M699" s="274">
        <f>K699*E1</f>
        <v>10541.02</v>
      </c>
      <c r="N699" s="256">
        <v>10000</v>
      </c>
      <c r="O699" s="135">
        <f>+N699*0.19</f>
        <v>1900</v>
      </c>
      <c r="P699" s="135">
        <f>+N699+O699</f>
        <v>11900</v>
      </c>
      <c r="Q699" s="131"/>
      <c r="R699" s="131"/>
      <c r="S699" s="11"/>
      <c r="T699" s="274"/>
      <c r="U699" s="274"/>
      <c r="V699" s="274"/>
      <c r="W699" s="39"/>
      <c r="X699" s="11"/>
      <c r="Y699" s="11"/>
      <c r="Z699" s="274"/>
      <c r="AA699" s="274"/>
      <c r="AB699" s="274"/>
      <c r="AC699" s="54"/>
      <c r="AD699" s="23"/>
      <c r="AE699" s="39"/>
      <c r="AF699" s="274"/>
      <c r="AG699" s="274"/>
      <c r="AH699" s="172"/>
      <c r="AI699" s="24"/>
      <c r="AJ699" s="39"/>
      <c r="AK699" s="39"/>
      <c r="AL699" s="118"/>
      <c r="AM699" s="152"/>
      <c r="AN699" s="181"/>
      <c r="AO699" s="131"/>
      <c r="AP699" s="131"/>
      <c r="AQ699" s="39"/>
      <c r="AR699" s="274"/>
      <c r="AS699" s="274"/>
      <c r="AT699" s="274"/>
      <c r="AU699" s="39"/>
      <c r="AV699" s="39"/>
      <c r="AW699" s="39"/>
      <c r="AX699" s="274"/>
      <c r="AY699" s="274"/>
      <c r="AZ699" s="274"/>
      <c r="BA699" s="39"/>
      <c r="BB699" s="62"/>
      <c r="BC699" s="39"/>
      <c r="BD699" s="274"/>
      <c r="BE699" s="274"/>
      <c r="BF699" s="274"/>
      <c r="BG699" s="39"/>
      <c r="BH699" s="39"/>
      <c r="BI699" s="39"/>
      <c r="BJ699" s="274">
        <v>71500</v>
      </c>
      <c r="BK699" s="274">
        <f t="shared" si="233"/>
        <v>13585</v>
      </c>
      <c r="BL699" s="274">
        <f t="shared" si="234"/>
        <v>85085</v>
      </c>
      <c r="BM699" s="213" t="s">
        <v>4998</v>
      </c>
      <c r="BN699" s="213" t="s">
        <v>4474</v>
      </c>
      <c r="BO699" s="39"/>
      <c r="BP699" s="274">
        <v>8600</v>
      </c>
      <c r="BQ699" s="274">
        <f>+BP699*19%</f>
        <v>1634</v>
      </c>
      <c r="BR699" s="274">
        <f>+BQ699+BP699</f>
        <v>10234</v>
      </c>
      <c r="BS699" s="39"/>
      <c r="BT699" s="39"/>
      <c r="BU699" s="39"/>
      <c r="BV699" s="212">
        <v>75869.078999999998</v>
      </c>
      <c r="BW699" s="219">
        <f t="shared" si="235"/>
        <v>14415.12501</v>
      </c>
      <c r="BX699" s="273">
        <f t="shared" si="236"/>
        <v>90284.204010000001</v>
      </c>
      <c r="BY699" s="213" t="s">
        <v>4998</v>
      </c>
      <c r="BZ699" s="213" t="s">
        <v>4474</v>
      </c>
      <c r="CA699" s="213"/>
      <c r="CB699" s="274"/>
      <c r="CC699" s="274"/>
      <c r="CD699" s="274"/>
      <c r="CE699" s="39"/>
      <c r="CF699" s="39"/>
      <c r="CG699" s="39"/>
      <c r="CH699" s="275"/>
      <c r="CI699" s="275"/>
      <c r="CJ699" s="275"/>
      <c r="CK699" s="39"/>
      <c r="CL699" s="39"/>
      <c r="CM699" s="39"/>
      <c r="CN699" s="39"/>
      <c r="CO699" s="39"/>
      <c r="CP699" s="11"/>
      <c r="CQ699" s="11"/>
      <c r="CR699" s="11"/>
      <c r="CS699" s="11"/>
      <c r="CT699" s="11"/>
      <c r="CU699" s="11"/>
      <c r="CV699" s="11"/>
      <c r="CW699" s="11"/>
      <c r="CX699" s="11"/>
      <c r="CY699" s="11"/>
      <c r="CZ699" s="11"/>
      <c r="DA699" s="11"/>
      <c r="DB699" s="11"/>
      <c r="DC699" s="11"/>
      <c r="DD699" s="11"/>
      <c r="DE699" s="11"/>
      <c r="DF699" s="11"/>
      <c r="DG699" s="11"/>
      <c r="DH699" s="11"/>
      <c r="DI699" s="11"/>
      <c r="DJ699" s="11"/>
      <c r="DK699" s="11"/>
      <c r="DL699" s="274"/>
      <c r="DM699" s="274"/>
      <c r="DN699" s="274"/>
      <c r="DO699" s="274"/>
      <c r="DP699" s="274"/>
      <c r="DQ699" s="274"/>
      <c r="DR699" s="274"/>
      <c r="DS699" s="274"/>
      <c r="DT699" s="274"/>
      <c r="DU699" s="274"/>
      <c r="DV699" s="274"/>
      <c r="DW699" s="274"/>
      <c r="DX699" s="274"/>
      <c r="DY699" s="274"/>
      <c r="DZ699" s="274"/>
      <c r="EA699" s="274"/>
      <c r="EB699" s="274"/>
      <c r="EC699" s="274"/>
      <c r="ED699" s="39">
        <f t="shared" si="218"/>
        <v>208044.22401000001</v>
      </c>
      <c r="EE699" s="30">
        <f t="shared" si="219"/>
        <v>5</v>
      </c>
      <c r="EF699" s="39">
        <f t="shared" si="220"/>
        <v>41608.844802</v>
      </c>
    </row>
    <row r="700" spans="1:136" ht="24" x14ac:dyDescent="0.25">
      <c r="A700" s="25" t="e">
        <f>#REF!</f>
        <v>#REF!</v>
      </c>
      <c r="B700" s="50" t="e">
        <f>#REF!</f>
        <v>#REF!</v>
      </c>
      <c r="C700" s="5" t="e">
        <f>#REF!</f>
        <v>#REF!</v>
      </c>
      <c r="D700" s="5" t="e">
        <f>#REF!</f>
        <v>#REF!</v>
      </c>
      <c r="E700" s="252">
        <v>1</v>
      </c>
      <c r="F700" s="249">
        <v>99960</v>
      </c>
      <c r="G700" s="249">
        <v>97461</v>
      </c>
      <c r="H700" s="249">
        <v>271601.30410000001</v>
      </c>
      <c r="I700" s="249">
        <v>271439</v>
      </c>
      <c r="J700" s="249">
        <v>158267.02499999999</v>
      </c>
      <c r="K700" s="249">
        <v>158000</v>
      </c>
      <c r="L700" s="274">
        <f>AVERAGE(F700,H700,J700)</f>
        <v>176609.44303333331</v>
      </c>
      <c r="M700" s="274">
        <f>AVERAGE(G700,I700,K700)*E1</f>
        <v>180902.33333333334</v>
      </c>
      <c r="N700" s="255">
        <v>200000</v>
      </c>
      <c r="O700" s="135">
        <f>+N700*0.19</f>
        <v>38000</v>
      </c>
      <c r="P700" s="135">
        <f>+N700+O700</f>
        <v>238000</v>
      </c>
      <c r="Q700" s="11"/>
      <c r="R700" s="11"/>
      <c r="S700" s="11"/>
      <c r="T700" s="274"/>
      <c r="U700" s="274"/>
      <c r="V700" s="274"/>
      <c r="W700" s="11"/>
      <c r="X700" s="11"/>
      <c r="Y700" s="11"/>
      <c r="Z700" s="274"/>
      <c r="AA700" s="274"/>
      <c r="AB700" s="274"/>
      <c r="AC700" s="11"/>
      <c r="AD700" s="11"/>
      <c r="AE700" s="11"/>
      <c r="AF700" s="274"/>
      <c r="AG700" s="274"/>
      <c r="AH700" s="274"/>
      <c r="AI700" s="11"/>
      <c r="AJ700" s="11"/>
      <c r="AK700" s="11"/>
      <c r="AL700" s="118"/>
      <c r="AM700" s="118"/>
      <c r="AN700" s="118"/>
      <c r="AO700" s="52"/>
      <c r="AP700" s="52"/>
      <c r="AQ700" s="11"/>
      <c r="AR700" s="274"/>
      <c r="AS700" s="274"/>
      <c r="AT700" s="274"/>
      <c r="AU700" s="11"/>
      <c r="AV700" s="11"/>
      <c r="AW700" s="11"/>
      <c r="AX700" s="274"/>
      <c r="AY700" s="274"/>
      <c r="AZ700" s="274"/>
      <c r="BA700" s="11"/>
      <c r="BB700" s="11"/>
      <c r="BC700" s="11"/>
      <c r="BD700" s="274"/>
      <c r="BE700" s="274"/>
      <c r="BF700" s="274"/>
      <c r="BG700" s="11"/>
      <c r="BH700" s="11"/>
      <c r="BI700" s="11"/>
      <c r="BJ700" s="274">
        <v>418000</v>
      </c>
      <c r="BK700" s="274">
        <f t="shared" si="233"/>
        <v>79420</v>
      </c>
      <c r="BL700" s="274">
        <f t="shared" si="234"/>
        <v>497420</v>
      </c>
      <c r="BM700" s="214" t="s">
        <v>4473</v>
      </c>
      <c r="BN700" s="213" t="s">
        <v>4474</v>
      </c>
      <c r="BO700" s="11"/>
      <c r="BP700" s="274">
        <v>165000</v>
      </c>
      <c r="BQ700" s="274">
        <f>+BP700*19%</f>
        <v>31350</v>
      </c>
      <c r="BR700" s="274">
        <f>+BQ700+BP700</f>
        <v>196350</v>
      </c>
      <c r="BS700" s="11"/>
      <c r="BT700" s="11"/>
      <c r="BU700" s="11"/>
      <c r="BV700" s="219">
        <v>465585.12</v>
      </c>
      <c r="BW700" s="219">
        <f t="shared" si="235"/>
        <v>88461.1728</v>
      </c>
      <c r="BX700" s="273">
        <f t="shared" si="236"/>
        <v>554046.29279999994</v>
      </c>
      <c r="BY700" s="214" t="s">
        <v>4473</v>
      </c>
      <c r="BZ700" s="213" t="s">
        <v>4474</v>
      </c>
      <c r="CA700" s="213"/>
      <c r="CB700" s="274"/>
      <c r="CC700" s="274"/>
      <c r="CD700" s="274"/>
      <c r="CE700" s="11"/>
      <c r="CF700" s="11"/>
      <c r="CG700" s="11"/>
      <c r="CH700" s="274"/>
      <c r="CI700" s="274"/>
      <c r="CJ700" s="274"/>
      <c r="CK700" s="11"/>
      <c r="CL700" s="11"/>
      <c r="CM700" s="11"/>
      <c r="CN700" s="11"/>
      <c r="CO700" s="11"/>
      <c r="CP700" s="11"/>
      <c r="CQ700" s="11"/>
      <c r="CR700" s="11"/>
      <c r="CS700" s="11"/>
      <c r="CT700" s="11"/>
      <c r="CU700" s="11"/>
      <c r="CV700" s="11"/>
      <c r="CW700" s="11"/>
      <c r="CX700" s="11"/>
      <c r="CY700" s="11"/>
      <c r="CZ700" s="11"/>
      <c r="DA700" s="11"/>
      <c r="DB700" s="11"/>
      <c r="DC700" s="11"/>
      <c r="DD700" s="11"/>
      <c r="DE700" s="11"/>
      <c r="DF700" s="11"/>
      <c r="DG700" s="11"/>
      <c r="DH700" s="11"/>
      <c r="DI700" s="11"/>
      <c r="DJ700" s="11"/>
      <c r="DK700" s="11"/>
      <c r="DL700" s="274"/>
      <c r="DM700" s="274"/>
      <c r="DN700" s="274"/>
      <c r="DO700" s="274"/>
      <c r="DP700" s="274"/>
      <c r="DQ700" s="274"/>
      <c r="DR700" s="274"/>
      <c r="DS700" s="274"/>
      <c r="DT700" s="274"/>
      <c r="DU700" s="274"/>
      <c r="DV700" s="274"/>
      <c r="DW700" s="274"/>
      <c r="DX700" s="274"/>
      <c r="DY700" s="274"/>
      <c r="DZ700" s="274"/>
      <c r="EA700" s="274"/>
      <c r="EB700" s="274"/>
      <c r="EC700" s="274"/>
      <c r="ED700" s="39">
        <f t="shared" si="218"/>
        <v>1666718.6261333334</v>
      </c>
      <c r="EE700" s="30">
        <f t="shared" si="219"/>
        <v>5</v>
      </c>
      <c r="EF700" s="39">
        <f t="shared" si="220"/>
        <v>333343.72522666666</v>
      </c>
    </row>
    <row r="701" spans="1:136" x14ac:dyDescent="0.25">
      <c r="A701" s="25" t="e">
        <f>#REF!</f>
        <v>#REF!</v>
      </c>
      <c r="B701" s="50" t="e">
        <f>#REF!</f>
        <v>#REF!</v>
      </c>
      <c r="C701" s="5" t="e">
        <f>#REF!</f>
        <v>#REF!</v>
      </c>
      <c r="D701" s="5" t="e">
        <f>#REF!</f>
        <v>#REF!</v>
      </c>
      <c r="E701" s="252">
        <v>1</v>
      </c>
      <c r="F701" s="249">
        <v>0</v>
      </c>
      <c r="G701" s="249">
        <v>0</v>
      </c>
      <c r="H701" s="249">
        <v>0</v>
      </c>
      <c r="I701" s="249">
        <v>0</v>
      </c>
      <c r="J701" s="249">
        <v>0</v>
      </c>
      <c r="K701" s="249">
        <v>0</v>
      </c>
      <c r="L701" s="274"/>
      <c r="M701" s="274"/>
      <c r="N701" s="255"/>
      <c r="O701" s="135"/>
      <c r="P701" s="135"/>
      <c r="Q701" s="131"/>
      <c r="R701" s="131"/>
      <c r="S701" s="11"/>
      <c r="T701" s="274"/>
      <c r="U701" s="274"/>
      <c r="V701" s="274"/>
      <c r="W701" s="39"/>
      <c r="X701" s="11"/>
      <c r="Y701" s="11"/>
      <c r="Z701" s="274"/>
      <c r="AA701" s="274"/>
      <c r="AB701" s="274"/>
      <c r="AC701" s="52"/>
      <c r="AD701" s="22"/>
      <c r="AE701" s="39"/>
      <c r="AF701" s="274"/>
      <c r="AG701" s="274"/>
      <c r="AH701" s="171"/>
      <c r="AI701" s="22"/>
      <c r="AJ701" s="39"/>
      <c r="AK701" s="39"/>
      <c r="AL701" s="118"/>
      <c r="AM701" s="152"/>
      <c r="AN701" s="181"/>
      <c r="AO701" s="131"/>
      <c r="AP701" s="131"/>
      <c r="AQ701" s="39"/>
      <c r="AR701" s="274"/>
      <c r="AS701" s="274"/>
      <c r="AT701" s="274"/>
      <c r="AU701" s="39"/>
      <c r="AV701" s="39"/>
      <c r="AW701" s="39"/>
      <c r="AX701" s="274"/>
      <c r="AY701" s="274"/>
      <c r="AZ701" s="274"/>
      <c r="BA701" s="39"/>
      <c r="BB701" s="62"/>
      <c r="BC701" s="39"/>
      <c r="BD701" s="274"/>
      <c r="BE701" s="274"/>
      <c r="BF701" s="274"/>
      <c r="BG701" s="39"/>
      <c r="BH701" s="39"/>
      <c r="BI701" s="39"/>
      <c r="BJ701" s="274">
        <v>6497000</v>
      </c>
      <c r="BK701" s="274">
        <f t="shared" si="233"/>
        <v>1234430</v>
      </c>
      <c r="BL701" s="274">
        <f t="shared" si="234"/>
        <v>7731430</v>
      </c>
      <c r="BM701" s="213" t="s">
        <v>196</v>
      </c>
      <c r="BN701" s="213" t="s">
        <v>2925</v>
      </c>
      <c r="BO701" s="39"/>
      <c r="BP701" s="274"/>
      <c r="BQ701" s="274"/>
      <c r="BR701" s="274"/>
      <c r="BS701" s="39"/>
      <c r="BT701" s="39"/>
      <c r="BU701" s="39"/>
      <c r="BV701" s="219">
        <v>7445367.0900000008</v>
      </c>
      <c r="BW701" s="219">
        <f t="shared" si="235"/>
        <v>1414619.7471000003</v>
      </c>
      <c r="BX701" s="273">
        <f t="shared" si="236"/>
        <v>8859986.8371000011</v>
      </c>
      <c r="BY701" s="213" t="s">
        <v>196</v>
      </c>
      <c r="BZ701" s="213" t="s">
        <v>2925</v>
      </c>
      <c r="CA701" s="213"/>
      <c r="CB701" s="274"/>
      <c r="CC701" s="274"/>
      <c r="CD701" s="274"/>
      <c r="CE701" s="39"/>
      <c r="CF701" s="39"/>
      <c r="CG701" s="39"/>
      <c r="CH701" s="274"/>
      <c r="CI701" s="274"/>
      <c r="CJ701" s="274"/>
      <c r="CK701" s="39"/>
      <c r="CL701" s="39"/>
      <c r="CM701" s="39"/>
      <c r="CN701" s="39"/>
      <c r="CO701" s="39"/>
      <c r="CP701" s="11"/>
      <c r="CQ701" s="11"/>
      <c r="CR701" s="11"/>
      <c r="CS701" s="11"/>
      <c r="CT701" s="11"/>
      <c r="CU701" s="11"/>
      <c r="CV701" s="11"/>
      <c r="CW701" s="11"/>
      <c r="CX701" s="11"/>
      <c r="CY701" s="11"/>
      <c r="CZ701" s="11"/>
      <c r="DA701" s="11"/>
      <c r="DB701" s="11"/>
      <c r="DC701" s="11"/>
      <c r="DD701" s="11"/>
      <c r="DE701" s="11"/>
      <c r="DF701" s="11"/>
      <c r="DG701" s="11"/>
      <c r="DH701" s="11"/>
      <c r="DI701" s="11"/>
      <c r="DJ701" s="11"/>
      <c r="DK701" s="11"/>
      <c r="DL701" s="274"/>
      <c r="DM701" s="274"/>
      <c r="DN701" s="274"/>
      <c r="DO701" s="274"/>
      <c r="DP701" s="274"/>
      <c r="DQ701" s="274"/>
      <c r="DR701" s="274"/>
      <c r="DS701" s="274"/>
      <c r="DT701" s="274"/>
      <c r="DU701" s="274"/>
      <c r="DV701" s="274"/>
      <c r="DW701" s="274"/>
      <c r="DX701" s="274"/>
      <c r="DY701" s="274"/>
      <c r="DZ701" s="274"/>
      <c r="EA701" s="274"/>
      <c r="EB701" s="274"/>
      <c r="EC701" s="274"/>
      <c r="ED701" s="39">
        <f t="shared" si="218"/>
        <v>16591416.837100001</v>
      </c>
      <c r="EE701" s="30">
        <f t="shared" si="219"/>
        <v>2</v>
      </c>
      <c r="EF701" s="39">
        <f t="shared" si="220"/>
        <v>8295708.4185500005</v>
      </c>
    </row>
    <row r="702" spans="1:136" x14ac:dyDescent="0.25">
      <c r="A702" s="25" t="e">
        <f>#REF!</f>
        <v>#REF!</v>
      </c>
      <c r="B702" s="50" t="e">
        <f>#REF!</f>
        <v>#REF!</v>
      </c>
      <c r="C702" s="5" t="e">
        <f>#REF!</f>
        <v>#REF!</v>
      </c>
      <c r="D702" s="5" t="e">
        <f>#REF!</f>
        <v>#REF!</v>
      </c>
      <c r="E702" s="252">
        <v>1</v>
      </c>
      <c r="F702" s="249">
        <v>0</v>
      </c>
      <c r="G702" s="249">
        <v>0</v>
      </c>
      <c r="H702" s="249">
        <v>29750</v>
      </c>
      <c r="I702" s="249">
        <v>0</v>
      </c>
      <c r="J702" s="249">
        <v>0</v>
      </c>
      <c r="K702" s="249">
        <v>0</v>
      </c>
      <c r="L702" s="274">
        <f>H702</f>
        <v>29750</v>
      </c>
      <c r="M702" s="274"/>
      <c r="N702" s="255">
        <v>30000</v>
      </c>
      <c r="O702" s="135">
        <f>+N702*0.19</f>
        <v>5700</v>
      </c>
      <c r="P702" s="135">
        <f>+N702+O702</f>
        <v>35700</v>
      </c>
      <c r="Q702" s="131"/>
      <c r="R702" s="131"/>
      <c r="S702" s="11"/>
      <c r="T702" s="274"/>
      <c r="U702" s="274"/>
      <c r="V702" s="274"/>
      <c r="W702" s="39"/>
      <c r="X702" s="11"/>
      <c r="Y702" s="11"/>
      <c r="Z702" s="274"/>
      <c r="AA702" s="274"/>
      <c r="AB702" s="274"/>
      <c r="AC702" s="52"/>
      <c r="AD702" s="22"/>
      <c r="AE702" s="39"/>
      <c r="AF702" s="274"/>
      <c r="AG702" s="274"/>
      <c r="AH702" s="171"/>
      <c r="AI702" s="4"/>
      <c r="AJ702" s="39"/>
      <c r="AK702" s="39"/>
      <c r="AL702" s="118"/>
      <c r="AM702" s="152"/>
      <c r="AN702" s="181"/>
      <c r="AO702" s="131"/>
      <c r="AP702" s="131"/>
      <c r="AQ702" s="39"/>
      <c r="AR702" s="274"/>
      <c r="AS702" s="274"/>
      <c r="AT702" s="274"/>
      <c r="AU702" s="39"/>
      <c r="AV702" s="39"/>
      <c r="AW702" s="39"/>
      <c r="AX702" s="274"/>
      <c r="AY702" s="274"/>
      <c r="AZ702" s="274"/>
      <c r="BA702" s="39"/>
      <c r="BB702" s="62"/>
      <c r="BC702" s="39"/>
      <c r="BD702" s="274"/>
      <c r="BE702" s="274"/>
      <c r="BF702" s="274"/>
      <c r="BG702" s="39"/>
      <c r="BH702" s="39"/>
      <c r="BI702" s="39"/>
      <c r="BJ702" s="274">
        <v>79600</v>
      </c>
      <c r="BK702" s="274">
        <f t="shared" si="233"/>
        <v>15124</v>
      </c>
      <c r="BL702" s="274">
        <f t="shared" si="234"/>
        <v>94724</v>
      </c>
      <c r="BM702" s="213" t="s">
        <v>196</v>
      </c>
      <c r="BN702" s="213" t="s">
        <v>164</v>
      </c>
      <c r="BO702" s="39"/>
      <c r="BP702" s="274">
        <v>85600</v>
      </c>
      <c r="BQ702" s="274">
        <f>+BP702*19%</f>
        <v>16264</v>
      </c>
      <c r="BR702" s="274">
        <f>+BQ702+BP702</f>
        <v>101864</v>
      </c>
      <c r="BS702" s="39"/>
      <c r="BT702" s="39"/>
      <c r="BU702" s="39"/>
      <c r="BV702" s="212">
        <v>86972.870400000014</v>
      </c>
      <c r="BW702" s="219">
        <f t="shared" si="235"/>
        <v>16524.845376000001</v>
      </c>
      <c r="BX702" s="273">
        <f t="shared" si="236"/>
        <v>103497.71577600001</v>
      </c>
      <c r="BY702" s="213" t="s">
        <v>196</v>
      </c>
      <c r="BZ702" s="213" t="s">
        <v>164</v>
      </c>
      <c r="CA702" s="213"/>
      <c r="CB702" s="274"/>
      <c r="CC702" s="274"/>
      <c r="CD702" s="274"/>
      <c r="CE702" s="39"/>
      <c r="CF702" s="39"/>
      <c r="CG702" s="39"/>
      <c r="CH702" s="274"/>
      <c r="CI702" s="274"/>
      <c r="CJ702" s="274"/>
      <c r="CK702" s="39"/>
      <c r="CL702" s="39"/>
      <c r="CM702" s="39"/>
      <c r="CN702" s="39"/>
      <c r="CO702" s="39"/>
      <c r="CP702" s="11"/>
      <c r="CQ702" s="11"/>
      <c r="CR702" s="11"/>
      <c r="CS702" s="11"/>
      <c r="CT702" s="11"/>
      <c r="CU702" s="11"/>
      <c r="CV702" s="11"/>
      <c r="CW702" s="274"/>
      <c r="CX702" s="274"/>
      <c r="CY702" s="274"/>
      <c r="CZ702" s="274"/>
      <c r="DA702" s="274"/>
      <c r="DB702" s="274"/>
      <c r="DC702" s="274"/>
      <c r="DD702" s="274"/>
      <c r="DE702" s="274"/>
      <c r="DF702" s="274"/>
      <c r="DG702" s="274"/>
      <c r="DH702" s="274"/>
      <c r="DI702" s="274"/>
      <c r="DJ702" s="274"/>
      <c r="DK702" s="274"/>
      <c r="DL702" s="274"/>
      <c r="DM702" s="274"/>
      <c r="DN702" s="274"/>
      <c r="DO702" s="274"/>
      <c r="DP702" s="274"/>
      <c r="DQ702" s="274"/>
      <c r="DR702" s="274"/>
      <c r="DS702" s="274"/>
      <c r="DT702" s="274"/>
      <c r="DU702" s="274"/>
      <c r="DV702" s="274"/>
      <c r="DW702" s="274"/>
      <c r="DX702" s="274"/>
      <c r="DY702" s="274"/>
      <c r="DZ702" s="274"/>
      <c r="EA702" s="274"/>
      <c r="EB702" s="274"/>
      <c r="EC702" s="274"/>
      <c r="ED702" s="39">
        <f t="shared" si="218"/>
        <v>335785.715776</v>
      </c>
      <c r="EE702" s="30">
        <f t="shared" si="219"/>
        <v>4</v>
      </c>
      <c r="EF702" s="39">
        <f t="shared" si="220"/>
        <v>83946.428943999999</v>
      </c>
    </row>
    <row r="703" spans="1:136" x14ac:dyDescent="0.25">
      <c r="A703" s="25" t="e">
        <f>#REF!</f>
        <v>#REF!</v>
      </c>
      <c r="B703" s="50" t="e">
        <f>#REF!</f>
        <v>#REF!</v>
      </c>
      <c r="C703" s="5" t="e">
        <f>#REF!</f>
        <v>#REF!</v>
      </c>
      <c r="D703" s="5" t="e">
        <f>#REF!</f>
        <v>#REF!</v>
      </c>
      <c r="E703" s="252">
        <v>1</v>
      </c>
      <c r="F703" s="249">
        <v>0</v>
      </c>
      <c r="G703" s="249">
        <v>0</v>
      </c>
      <c r="H703" s="249">
        <v>623899.745</v>
      </c>
      <c r="I703" s="249">
        <v>0</v>
      </c>
      <c r="J703" s="249">
        <v>0</v>
      </c>
      <c r="K703" s="249">
        <v>0</v>
      </c>
      <c r="L703" s="274">
        <f>H703</f>
        <v>623899.745</v>
      </c>
      <c r="M703" s="274"/>
      <c r="N703" s="255"/>
      <c r="O703" s="135"/>
      <c r="P703" s="135"/>
      <c r="Q703" s="131"/>
      <c r="R703" s="131"/>
      <c r="S703" s="11"/>
      <c r="T703" s="274"/>
      <c r="U703" s="274"/>
      <c r="V703" s="274"/>
      <c r="W703" s="39"/>
      <c r="X703" s="11"/>
      <c r="Y703" s="11"/>
      <c r="Z703" s="274"/>
      <c r="AA703" s="274"/>
      <c r="AB703" s="274"/>
      <c r="AC703" s="54"/>
      <c r="AD703" s="22"/>
      <c r="AE703" s="39"/>
      <c r="AF703" s="274"/>
      <c r="AG703" s="274"/>
      <c r="AH703" s="172"/>
      <c r="AI703" s="4"/>
      <c r="AJ703" s="39"/>
      <c r="AK703" s="39"/>
      <c r="AL703" s="118"/>
      <c r="AM703" s="152"/>
      <c r="AN703" s="181"/>
      <c r="AO703" s="131"/>
      <c r="AP703" s="131"/>
      <c r="AQ703" s="39"/>
      <c r="AR703" s="274"/>
      <c r="AS703" s="274"/>
      <c r="AT703" s="274"/>
      <c r="AU703" s="39"/>
      <c r="AV703" s="39"/>
      <c r="AW703" s="39"/>
      <c r="AX703" s="274"/>
      <c r="AY703" s="274"/>
      <c r="AZ703" s="274"/>
      <c r="BA703" s="39"/>
      <c r="BB703" s="62"/>
      <c r="BC703" s="39"/>
      <c r="BD703" s="274"/>
      <c r="BE703" s="274"/>
      <c r="BF703" s="274"/>
      <c r="BG703" s="39"/>
      <c r="BH703" s="39"/>
      <c r="BI703" s="39"/>
      <c r="BJ703" s="274"/>
      <c r="BK703" s="274"/>
      <c r="BL703" s="274"/>
      <c r="BM703" s="213"/>
      <c r="BN703" s="213"/>
      <c r="BO703" s="39"/>
      <c r="BP703" s="274">
        <v>785000</v>
      </c>
      <c r="BQ703" s="274">
        <f>+BP703*19%</f>
        <v>149150</v>
      </c>
      <c r="BR703" s="274">
        <f>+BQ703+BP703</f>
        <v>934150</v>
      </c>
      <c r="BS703" s="39"/>
      <c r="BT703" s="39"/>
      <c r="BU703" s="39"/>
      <c r="BV703" s="212"/>
      <c r="BW703" s="220"/>
      <c r="BX703" s="273"/>
      <c r="BY703" s="213"/>
      <c r="BZ703" s="213"/>
      <c r="CA703" s="213"/>
      <c r="CB703" s="274"/>
      <c r="CC703" s="274"/>
      <c r="CD703" s="274"/>
      <c r="CE703" s="39"/>
      <c r="CF703" s="39"/>
      <c r="CG703" s="39"/>
      <c r="CH703" s="274"/>
      <c r="CI703" s="274"/>
      <c r="CJ703" s="274"/>
      <c r="CK703" s="39"/>
      <c r="CL703" s="39"/>
      <c r="CM703" s="39"/>
      <c r="CN703" s="39"/>
      <c r="CO703" s="39"/>
      <c r="CP703" s="11"/>
      <c r="CQ703" s="11"/>
      <c r="CR703" s="11"/>
      <c r="CS703" s="11"/>
      <c r="CT703" s="11"/>
      <c r="CU703" s="11"/>
      <c r="CV703" s="11"/>
      <c r="CW703" s="11"/>
      <c r="CX703" s="11"/>
      <c r="CY703" s="11"/>
      <c r="CZ703" s="11"/>
      <c r="DA703" s="11"/>
      <c r="DB703" s="11"/>
      <c r="DC703" s="11"/>
      <c r="DD703" s="11"/>
      <c r="DE703" s="11"/>
      <c r="DF703" s="11"/>
      <c r="DG703" s="11"/>
      <c r="DH703" s="11"/>
      <c r="DI703" s="11"/>
      <c r="DJ703" s="11"/>
      <c r="DK703" s="11"/>
      <c r="DL703" s="274"/>
      <c r="DM703" s="274"/>
      <c r="DN703" s="274"/>
      <c r="DO703" s="274"/>
      <c r="DP703" s="274"/>
      <c r="DQ703" s="274"/>
      <c r="DR703" s="274"/>
      <c r="DS703" s="274"/>
      <c r="DT703" s="274"/>
      <c r="DU703" s="274"/>
      <c r="DV703" s="274"/>
      <c r="DW703" s="274"/>
      <c r="DX703" s="274"/>
      <c r="DY703" s="274"/>
      <c r="DZ703" s="274"/>
      <c r="EA703" s="274"/>
      <c r="EB703" s="274"/>
      <c r="EC703" s="274"/>
      <c r="ED703" s="39">
        <f t="shared" si="218"/>
        <v>934150</v>
      </c>
      <c r="EE703" s="30">
        <f t="shared" si="219"/>
        <v>1</v>
      </c>
      <c r="EF703" s="39">
        <f t="shared" si="220"/>
        <v>934150</v>
      </c>
    </row>
    <row r="704" spans="1:136" x14ac:dyDescent="0.25">
      <c r="A704" s="25" t="e">
        <f>#REF!</f>
        <v>#REF!</v>
      </c>
      <c r="B704" s="50" t="e">
        <f>#REF!</f>
        <v>#REF!</v>
      </c>
      <c r="C704" s="5" t="e">
        <f>#REF!</f>
        <v>#REF!</v>
      </c>
      <c r="D704" s="5" t="e">
        <f>#REF!</f>
        <v>#REF!</v>
      </c>
      <c r="E704" s="252">
        <v>1</v>
      </c>
      <c r="F704" s="249">
        <v>0</v>
      </c>
      <c r="G704" s="249">
        <v>0</v>
      </c>
      <c r="H704" s="249">
        <v>0</v>
      </c>
      <c r="I704" s="249">
        <v>0</v>
      </c>
      <c r="J704" s="249">
        <v>0</v>
      </c>
      <c r="K704" s="249">
        <v>0</v>
      </c>
      <c r="L704" s="274"/>
      <c r="M704" s="274"/>
      <c r="N704" s="255"/>
      <c r="O704" s="135"/>
      <c r="P704" s="135"/>
      <c r="Q704" s="131"/>
      <c r="R704" s="131"/>
      <c r="S704" s="11"/>
      <c r="T704" s="274"/>
      <c r="U704" s="274"/>
      <c r="V704" s="274"/>
      <c r="W704" s="39"/>
      <c r="X704" s="11"/>
      <c r="Y704" s="11"/>
      <c r="Z704" s="274"/>
      <c r="AA704" s="274"/>
      <c r="AB704" s="274"/>
      <c r="AC704" s="52"/>
      <c r="AD704" s="22"/>
      <c r="AE704" s="39"/>
      <c r="AF704" s="274"/>
      <c r="AG704" s="274"/>
      <c r="AH704" s="171"/>
      <c r="AI704" s="4"/>
      <c r="AJ704" s="39"/>
      <c r="AK704" s="39"/>
      <c r="AL704" s="118"/>
      <c r="AM704" s="152"/>
      <c r="AN704" s="152"/>
      <c r="AO704" s="131"/>
      <c r="AP704" s="131"/>
      <c r="AQ704" s="39"/>
      <c r="AR704" s="274"/>
      <c r="AS704" s="274"/>
      <c r="AT704" s="274"/>
      <c r="AU704" s="39"/>
      <c r="AV704" s="39"/>
      <c r="AW704" s="39"/>
      <c r="AX704" s="274"/>
      <c r="AY704" s="274"/>
      <c r="AZ704" s="274"/>
      <c r="BA704" s="39"/>
      <c r="BB704" s="62"/>
      <c r="BC704" s="39"/>
      <c r="BD704" s="274"/>
      <c r="BE704" s="274"/>
      <c r="BF704" s="274"/>
      <c r="BG704" s="39"/>
      <c r="BH704" s="39"/>
      <c r="BI704" s="39"/>
      <c r="BJ704" s="274"/>
      <c r="BK704" s="274"/>
      <c r="BL704" s="274"/>
      <c r="BM704" s="213"/>
      <c r="BN704" s="213"/>
      <c r="BO704" s="39"/>
      <c r="BP704" s="274"/>
      <c r="BQ704" s="274"/>
      <c r="BR704" s="274"/>
      <c r="BS704" s="39"/>
      <c r="BT704" s="39"/>
      <c r="BU704" s="39"/>
      <c r="BV704" s="212"/>
      <c r="BW704" s="220"/>
      <c r="BX704" s="273"/>
      <c r="BY704" s="213"/>
      <c r="BZ704" s="213"/>
      <c r="CA704" s="213"/>
      <c r="CB704" s="274"/>
      <c r="CC704" s="274"/>
      <c r="CD704" s="274"/>
      <c r="CE704" s="39"/>
      <c r="CF704" s="39"/>
      <c r="CG704" s="39"/>
      <c r="CH704" s="274"/>
      <c r="CI704" s="274"/>
      <c r="CJ704" s="274"/>
      <c r="CK704" s="39"/>
      <c r="CL704" s="39"/>
      <c r="CM704" s="39"/>
      <c r="CN704" s="39"/>
      <c r="CO704" s="39"/>
      <c r="CP704" s="11"/>
      <c r="CQ704" s="11"/>
      <c r="CR704" s="11"/>
      <c r="CS704" s="11"/>
      <c r="CT704" s="11"/>
      <c r="CU704" s="11"/>
      <c r="CV704" s="11"/>
      <c r="CW704" s="11"/>
      <c r="CX704" s="11"/>
      <c r="CY704" s="11"/>
      <c r="CZ704" s="11"/>
      <c r="DA704" s="11"/>
      <c r="DB704" s="11"/>
      <c r="DC704" s="11"/>
      <c r="DD704" s="11"/>
      <c r="DE704" s="11"/>
      <c r="DF704" s="11"/>
      <c r="DG704" s="11"/>
      <c r="DH704" s="11"/>
      <c r="DI704" s="11"/>
      <c r="DJ704" s="11"/>
      <c r="DK704" s="11"/>
      <c r="DL704" s="274"/>
      <c r="DM704" s="274"/>
      <c r="DN704" s="274"/>
      <c r="DO704" s="274"/>
      <c r="DP704" s="274"/>
      <c r="DQ704" s="274"/>
      <c r="DR704" s="274"/>
      <c r="DS704" s="274"/>
      <c r="DT704" s="274"/>
      <c r="DU704" s="274"/>
      <c r="DV704" s="274"/>
      <c r="DW704" s="274"/>
      <c r="DX704" s="274"/>
      <c r="DY704" s="274"/>
      <c r="DZ704" s="274"/>
      <c r="EA704" s="274"/>
      <c r="EB704" s="274"/>
      <c r="EC704" s="274"/>
      <c r="ED704" s="39">
        <f t="shared" si="218"/>
        <v>0</v>
      </c>
      <c r="EE704" s="30">
        <f t="shared" si="219"/>
        <v>0</v>
      </c>
      <c r="EF704" s="39" t="str">
        <f t="shared" si="220"/>
        <v xml:space="preserve"> </v>
      </c>
    </row>
    <row r="705" spans="1:136" ht="51" x14ac:dyDescent="0.25">
      <c r="A705" s="25" t="e">
        <f>#REF!</f>
        <v>#REF!</v>
      </c>
      <c r="B705" s="50" t="e">
        <f>#REF!</f>
        <v>#REF!</v>
      </c>
      <c r="C705" s="5" t="e">
        <f>#REF!</f>
        <v>#REF!</v>
      </c>
      <c r="D705" s="5" t="e">
        <f>#REF!</f>
        <v>#REF!</v>
      </c>
      <c r="E705" s="252">
        <v>1</v>
      </c>
      <c r="F705" s="249">
        <v>108986.15</v>
      </c>
      <c r="G705" s="249">
        <v>105672</v>
      </c>
      <c r="H705" s="249">
        <v>98074.944799999997</v>
      </c>
      <c r="I705" s="249">
        <v>73185</v>
      </c>
      <c r="J705" s="249">
        <v>208773.60156531306</v>
      </c>
      <c r="K705" s="249">
        <v>190162</v>
      </c>
      <c r="L705" s="274">
        <f>AVERAGE(F705,H705,J705)</f>
        <v>138611.56545510434</v>
      </c>
      <c r="M705" s="274">
        <f>AVERAGE(G705,I705,K705)*E1</f>
        <v>126696.52333333333</v>
      </c>
      <c r="N705" s="255"/>
      <c r="O705" s="135"/>
      <c r="P705" s="135"/>
      <c r="Q705" s="131"/>
      <c r="R705" s="131"/>
      <c r="S705" s="11"/>
      <c r="T705" s="274">
        <f>76780/2</f>
        <v>38390</v>
      </c>
      <c r="U705" s="274">
        <f>+T705*0.19</f>
        <v>7294.1</v>
      </c>
      <c r="V705" s="274">
        <f>+T705+U705</f>
        <v>45684.1</v>
      </c>
      <c r="W705" s="39" t="s">
        <v>4999</v>
      </c>
      <c r="X705" s="11" t="s">
        <v>4859</v>
      </c>
      <c r="Y705" s="11"/>
      <c r="Z705" s="274"/>
      <c r="AA705" s="274"/>
      <c r="AB705" s="274"/>
      <c r="AC705" s="52"/>
      <c r="AD705" s="22"/>
      <c r="AE705" s="39"/>
      <c r="AF705" s="274"/>
      <c r="AG705" s="274"/>
      <c r="AH705" s="171"/>
      <c r="AI705" s="4"/>
      <c r="AJ705" s="39"/>
      <c r="AK705" s="39"/>
      <c r="AL705" s="118"/>
      <c r="AM705" s="152"/>
      <c r="AN705" s="181"/>
      <c r="AO705" s="131"/>
      <c r="AP705" s="131"/>
      <c r="AQ705" s="39"/>
      <c r="AR705" s="274"/>
      <c r="AS705" s="274"/>
      <c r="AT705" s="274"/>
      <c r="AU705" s="39"/>
      <c r="AV705" s="39"/>
      <c r="AW705" s="39"/>
      <c r="AX705" s="274"/>
      <c r="AY705" s="274"/>
      <c r="AZ705" s="274"/>
      <c r="BA705" s="39"/>
      <c r="BB705" s="62"/>
      <c r="BC705" s="39"/>
      <c r="BD705" s="118">
        <v>67980</v>
      </c>
      <c r="BE705" s="274">
        <f>+BD705*0.19</f>
        <v>12916.2</v>
      </c>
      <c r="BF705" s="274">
        <f>+BD705+BE705</f>
        <v>80896.2</v>
      </c>
      <c r="BG705" s="25" t="s">
        <v>2966</v>
      </c>
      <c r="BH705" s="5" t="s">
        <v>5000</v>
      </c>
      <c r="BI705" s="5" t="s">
        <v>5001</v>
      </c>
      <c r="BJ705" s="274">
        <v>379900</v>
      </c>
      <c r="BK705" s="274">
        <f>+BJ705*0.19</f>
        <v>72181</v>
      </c>
      <c r="BL705" s="274">
        <f>+BJ705+BK705</f>
        <v>452081</v>
      </c>
      <c r="BM705" s="214" t="s">
        <v>4477</v>
      </c>
      <c r="BN705" s="213" t="s">
        <v>4934</v>
      </c>
      <c r="BO705" s="39"/>
      <c r="BP705" s="274">
        <v>395000</v>
      </c>
      <c r="BQ705" s="274">
        <f>+BP705*19%</f>
        <v>75050</v>
      </c>
      <c r="BR705" s="274">
        <f>+BQ705+BP705</f>
        <v>470050</v>
      </c>
      <c r="BS705" s="39"/>
      <c r="BT705" s="39"/>
      <c r="BU705" s="39"/>
      <c r="BV705" s="212">
        <v>435553.83040000004</v>
      </c>
      <c r="BW705" s="219">
        <f>+BV705*0.19</f>
        <v>82755.227776000014</v>
      </c>
      <c r="BX705" s="273">
        <f>+BV705+BW705</f>
        <v>518309.05817600002</v>
      </c>
      <c r="BY705" s="214" t="s">
        <v>4477</v>
      </c>
      <c r="BZ705" s="213" t="s">
        <v>4934</v>
      </c>
      <c r="CA705" s="213"/>
      <c r="CB705" s="274"/>
      <c r="CC705" s="274"/>
      <c r="CD705" s="274"/>
      <c r="CE705" s="39"/>
      <c r="CF705" s="39"/>
      <c r="CG705" s="39"/>
      <c r="CH705" s="274"/>
      <c r="CI705" s="274"/>
      <c r="CJ705" s="274"/>
      <c r="CK705" s="39"/>
      <c r="CL705" s="39"/>
      <c r="CM705" s="39"/>
      <c r="CN705" s="39"/>
      <c r="CO705" s="39"/>
      <c r="CP705" s="11"/>
      <c r="CQ705" s="11"/>
      <c r="CR705" s="11"/>
      <c r="CS705" s="11"/>
      <c r="CT705" s="11"/>
      <c r="CU705" s="11"/>
      <c r="CV705" s="11"/>
      <c r="CW705" s="11"/>
      <c r="CX705" s="11"/>
      <c r="CY705" s="11"/>
      <c r="CZ705" s="11"/>
      <c r="DA705" s="11"/>
      <c r="DB705" s="11"/>
      <c r="DC705" s="11"/>
      <c r="DD705" s="11"/>
      <c r="DE705" s="11"/>
      <c r="DF705" s="11"/>
      <c r="DG705" s="11"/>
      <c r="DH705" s="11"/>
      <c r="DI705" s="11"/>
      <c r="DJ705" s="11"/>
      <c r="DK705" s="11"/>
      <c r="DL705" s="274"/>
      <c r="DM705" s="274"/>
      <c r="DN705" s="274"/>
      <c r="DO705" s="274"/>
      <c r="DP705" s="274"/>
      <c r="DQ705" s="274"/>
      <c r="DR705" s="274"/>
      <c r="DS705" s="274"/>
      <c r="DT705" s="274"/>
      <c r="DU705" s="274"/>
      <c r="DV705" s="274"/>
      <c r="DW705" s="274"/>
      <c r="DX705" s="274"/>
      <c r="DY705" s="274"/>
      <c r="DZ705" s="274"/>
      <c r="EA705" s="274"/>
      <c r="EB705" s="274"/>
      <c r="EC705" s="274"/>
      <c r="ED705" s="39">
        <f t="shared" si="218"/>
        <v>1693716.8815093334</v>
      </c>
      <c r="EE705" s="30">
        <f t="shared" si="219"/>
        <v>6</v>
      </c>
      <c r="EF705" s="39">
        <f t="shared" si="220"/>
        <v>282286.14691822225</v>
      </c>
    </row>
    <row r="706" spans="1:136" x14ac:dyDescent="0.25">
      <c r="A706" s="25" t="e">
        <f>#REF!</f>
        <v>#REF!</v>
      </c>
      <c r="B706" s="50" t="e">
        <f>#REF!</f>
        <v>#REF!</v>
      </c>
      <c r="C706" s="5" t="e">
        <f>#REF!</f>
        <v>#REF!</v>
      </c>
      <c r="D706" s="5" t="e">
        <f>#REF!</f>
        <v>#REF!</v>
      </c>
      <c r="E706" s="252">
        <v>1</v>
      </c>
      <c r="F706" s="249">
        <v>1847475</v>
      </c>
      <c r="G706" s="249">
        <v>0</v>
      </c>
      <c r="H706" s="249">
        <v>780000</v>
      </c>
      <c r="I706" s="249">
        <v>0</v>
      </c>
      <c r="J706" s="249">
        <v>1190000</v>
      </c>
      <c r="K706" s="249">
        <v>0</v>
      </c>
      <c r="L706" s="274">
        <f>AVERAGE(F706,H706,J706)</f>
        <v>1272491.6666666667</v>
      </c>
      <c r="M706" s="274"/>
      <c r="N706" s="255"/>
      <c r="O706" s="135"/>
      <c r="P706" s="135"/>
      <c r="Q706" s="131"/>
      <c r="R706" s="131"/>
      <c r="S706" s="11"/>
      <c r="T706" s="274"/>
      <c r="U706" s="274"/>
      <c r="V706" s="274"/>
      <c r="W706" s="39"/>
      <c r="X706" s="11"/>
      <c r="Y706" s="11"/>
      <c r="Z706" s="274"/>
      <c r="AA706" s="274"/>
      <c r="AB706" s="274"/>
      <c r="AC706" s="4"/>
      <c r="AD706" s="22"/>
      <c r="AE706" s="39"/>
      <c r="AF706" s="274"/>
      <c r="AG706" s="274"/>
      <c r="AH706" s="173"/>
      <c r="AI706" s="4"/>
      <c r="AJ706" s="39"/>
      <c r="AK706" s="39"/>
      <c r="AL706" s="118"/>
      <c r="AM706" s="152"/>
      <c r="AN706" s="152"/>
      <c r="AO706" s="131"/>
      <c r="AP706" s="131"/>
      <c r="AQ706" s="39"/>
      <c r="AR706" s="274"/>
      <c r="AS706" s="274"/>
      <c r="AT706" s="274"/>
      <c r="AU706" s="39"/>
      <c r="AV706" s="39"/>
      <c r="AW706" s="39"/>
      <c r="AX706" s="274"/>
      <c r="AY706" s="274"/>
      <c r="AZ706" s="274"/>
      <c r="BA706" s="39"/>
      <c r="BB706" s="62"/>
      <c r="BC706" s="39"/>
      <c r="BD706" s="274"/>
      <c r="BE706" s="274"/>
      <c r="BF706" s="274"/>
      <c r="BG706" s="39"/>
      <c r="BH706" s="39"/>
      <c r="BI706" s="39"/>
      <c r="BJ706" s="274"/>
      <c r="BK706" s="274"/>
      <c r="BL706" s="274"/>
      <c r="BM706" s="213"/>
      <c r="BN706" s="213"/>
      <c r="BO706" s="39"/>
      <c r="BP706" s="274"/>
      <c r="BQ706" s="274"/>
      <c r="BR706" s="274"/>
      <c r="BS706" s="39"/>
      <c r="BT706" s="39"/>
      <c r="BU706" s="39"/>
      <c r="BV706" s="212"/>
      <c r="BW706" s="220"/>
      <c r="BX706" s="273"/>
      <c r="BY706" s="213"/>
      <c r="BZ706" s="213"/>
      <c r="CA706" s="213"/>
      <c r="CB706" s="274"/>
      <c r="CC706" s="274"/>
      <c r="CD706" s="274"/>
      <c r="CE706" s="39"/>
      <c r="CF706" s="39"/>
      <c r="CG706" s="39"/>
      <c r="CH706" s="274"/>
      <c r="CI706" s="274"/>
      <c r="CJ706" s="274"/>
      <c r="CK706" s="39"/>
      <c r="CL706" s="39"/>
      <c r="CM706" s="39"/>
      <c r="CN706" s="39"/>
      <c r="CO706" s="39"/>
      <c r="CP706" s="11"/>
      <c r="CQ706" s="11"/>
      <c r="CR706" s="11"/>
      <c r="CS706" s="11"/>
      <c r="CT706" s="11"/>
      <c r="CU706" s="11"/>
      <c r="CV706" s="11"/>
      <c r="CW706" s="11"/>
      <c r="CX706" s="11"/>
      <c r="CY706" s="11"/>
      <c r="CZ706" s="11"/>
      <c r="DA706" s="11"/>
      <c r="DB706" s="11"/>
      <c r="DC706" s="11"/>
      <c r="DD706" s="11"/>
      <c r="DE706" s="11"/>
      <c r="DF706" s="11"/>
      <c r="DG706" s="11"/>
      <c r="DH706" s="11"/>
      <c r="DI706" s="11"/>
      <c r="DJ706" s="11"/>
      <c r="DK706" s="11"/>
      <c r="DL706" s="274"/>
      <c r="DM706" s="274"/>
      <c r="DN706" s="274"/>
      <c r="DO706" s="274"/>
      <c r="DP706" s="274"/>
      <c r="DQ706" s="274"/>
      <c r="DR706" s="274"/>
      <c r="DS706" s="274"/>
      <c r="DT706" s="274"/>
      <c r="DU706" s="274"/>
      <c r="DV706" s="274"/>
      <c r="DW706" s="274"/>
      <c r="DX706" s="274"/>
      <c r="DY706" s="274"/>
      <c r="DZ706" s="274"/>
      <c r="EA706" s="274"/>
      <c r="EB706" s="274"/>
      <c r="EC706" s="274"/>
      <c r="ED706" s="39">
        <f t="shared" si="218"/>
        <v>0</v>
      </c>
      <c r="EE706" s="30">
        <f t="shared" si="219"/>
        <v>0</v>
      </c>
      <c r="EF706" s="39" t="str">
        <f t="shared" si="220"/>
        <v xml:space="preserve"> </v>
      </c>
    </row>
    <row r="707" spans="1:136" ht="24" x14ac:dyDescent="0.25">
      <c r="A707" s="25" t="e">
        <f>#REF!</f>
        <v>#REF!</v>
      </c>
      <c r="B707" s="50" t="e">
        <f>#REF!</f>
        <v>#REF!</v>
      </c>
      <c r="C707" s="5" t="e">
        <f>#REF!</f>
        <v>#REF!</v>
      </c>
      <c r="D707" s="5" t="e">
        <f>#REF!</f>
        <v>#REF!</v>
      </c>
      <c r="E707" s="252">
        <v>1</v>
      </c>
      <c r="F707" s="249">
        <v>0</v>
      </c>
      <c r="G707" s="249">
        <v>0</v>
      </c>
      <c r="H707" s="249">
        <v>4805279.5</v>
      </c>
      <c r="I707" s="249">
        <v>4805220</v>
      </c>
      <c r="J707" s="249">
        <v>0</v>
      </c>
      <c r="K707" s="249">
        <v>0</v>
      </c>
      <c r="L707" s="274">
        <f>H707</f>
        <v>4805279.5</v>
      </c>
      <c r="M707" s="274">
        <f>I707*E1</f>
        <v>4949376.6000000006</v>
      </c>
      <c r="N707" s="255"/>
      <c r="O707" s="135"/>
      <c r="P707" s="135"/>
      <c r="Q707" s="131"/>
      <c r="R707" s="131"/>
      <c r="S707" s="11"/>
      <c r="T707" s="274"/>
      <c r="U707" s="274"/>
      <c r="V707" s="274"/>
      <c r="W707" s="39"/>
      <c r="X707" s="11"/>
      <c r="Y707" s="11"/>
      <c r="Z707" s="274"/>
      <c r="AA707" s="274"/>
      <c r="AB707" s="274"/>
      <c r="AC707" s="52"/>
      <c r="AD707" s="22"/>
      <c r="AE707" s="39"/>
      <c r="AF707" s="274"/>
      <c r="AG707" s="274"/>
      <c r="AH707" s="171"/>
      <c r="AI707" s="22"/>
      <c r="AJ707" s="39"/>
      <c r="AK707" s="39"/>
      <c r="AL707" s="118"/>
      <c r="AM707" s="152"/>
      <c r="AN707" s="181"/>
      <c r="AO707" s="131"/>
      <c r="AP707" s="131"/>
      <c r="AQ707" s="39"/>
      <c r="AR707" s="274"/>
      <c r="AS707" s="274"/>
      <c r="AT707" s="274"/>
      <c r="AU707" s="39"/>
      <c r="AV707" s="39"/>
      <c r="AW707" s="39"/>
      <c r="AX707" s="274"/>
      <c r="AY707" s="274"/>
      <c r="AZ707" s="274"/>
      <c r="BA707" s="39"/>
      <c r="BB707" s="62"/>
      <c r="BC707" s="39"/>
      <c r="BD707" s="274"/>
      <c r="BE707" s="274"/>
      <c r="BF707" s="274"/>
      <c r="BG707" s="39"/>
      <c r="BH707" s="39"/>
      <c r="BI707" s="39"/>
      <c r="BJ707" s="274">
        <v>6577900</v>
      </c>
      <c r="BK707" s="274">
        <f>+BJ707*0.19</f>
        <v>1249801</v>
      </c>
      <c r="BL707" s="274">
        <f>+BJ707+BK707</f>
        <v>7827701</v>
      </c>
      <c r="BM707" s="213" t="s">
        <v>5002</v>
      </c>
      <c r="BN707" s="213" t="s">
        <v>424</v>
      </c>
      <c r="BO707" s="39"/>
      <c r="BP707" s="274">
        <v>9850000</v>
      </c>
      <c r="BQ707" s="274">
        <f t="shared" ref="BQ707:BQ718" si="237">+BP707*19%</f>
        <v>1871500</v>
      </c>
      <c r="BR707" s="274">
        <f t="shared" ref="BR707:BR718" si="238">+BQ707+BP707</f>
        <v>11721500</v>
      </c>
      <c r="BS707" s="39"/>
      <c r="BT707" s="39"/>
      <c r="BU707" s="39"/>
      <c r="BV707" s="219">
        <v>7394493.6618000008</v>
      </c>
      <c r="BW707" s="219">
        <f>+BV707*0.19</f>
        <v>1404953.7957420002</v>
      </c>
      <c r="BX707" s="273">
        <f>+BV707+BW707</f>
        <v>8799447.4575420003</v>
      </c>
      <c r="BY707" s="213" t="s">
        <v>5002</v>
      </c>
      <c r="BZ707" s="213" t="s">
        <v>424</v>
      </c>
      <c r="CA707" s="213"/>
      <c r="CB707" s="274"/>
      <c r="CC707" s="274"/>
      <c r="CD707" s="274"/>
      <c r="CE707" s="39"/>
      <c r="CF707" s="39"/>
      <c r="CG707" s="39"/>
      <c r="CH707" s="274"/>
      <c r="CI707" s="274"/>
      <c r="CJ707" s="274"/>
      <c r="CK707" s="39"/>
      <c r="CL707" s="39"/>
      <c r="CM707" s="39"/>
      <c r="CN707" s="39"/>
      <c r="CO707" s="39"/>
      <c r="CP707" s="11"/>
      <c r="CQ707" s="11"/>
      <c r="CR707" s="11"/>
      <c r="CS707" s="11"/>
      <c r="CT707" s="11"/>
      <c r="CU707" s="11"/>
      <c r="CV707" s="11"/>
      <c r="CW707" s="11"/>
      <c r="CX707" s="11"/>
      <c r="CY707" s="11"/>
      <c r="CZ707" s="11"/>
      <c r="DA707" s="11"/>
      <c r="DB707" s="11"/>
      <c r="DC707" s="11"/>
      <c r="DD707" s="11"/>
      <c r="DE707" s="11"/>
      <c r="DF707" s="11"/>
      <c r="DG707" s="11"/>
      <c r="DH707" s="11"/>
      <c r="DI707" s="11"/>
      <c r="DJ707" s="11"/>
      <c r="DK707" s="11"/>
      <c r="DL707" s="274"/>
      <c r="DM707" s="274"/>
      <c r="DN707" s="274"/>
      <c r="DO707" s="274"/>
      <c r="DP707" s="274"/>
      <c r="DQ707" s="274"/>
      <c r="DR707" s="274"/>
      <c r="DS707" s="274"/>
      <c r="DT707" s="274"/>
      <c r="DU707" s="274"/>
      <c r="DV707" s="274"/>
      <c r="DW707" s="274"/>
      <c r="DX707" s="274"/>
      <c r="DY707" s="274"/>
      <c r="DZ707" s="274"/>
      <c r="EA707" s="274"/>
      <c r="EB707" s="274"/>
      <c r="EC707" s="274"/>
      <c r="ED707" s="39">
        <f t="shared" ref="ED707:ED770" si="239">SUM(M707,P707,V707,AB707,AH707,AN707,AT707,AZ707,BF707,BL707,BR707,BX707,CD707,CJ707,CP707,CV707,DB707,DH707,DN707,DT707,DZ707)</f>
        <v>33298025.057542004</v>
      </c>
      <c r="EE707" s="30">
        <f t="shared" ref="EE707:EE770" si="240">COUNTA(M707,N707,T707,Z707,AF707,AL707,AR707,AX707,BD707,BJ707,BP707,BV707,CB707,CH707,CN707,CT707,CZ707,DF707,DL707,DR707,DX707)</f>
        <v>4</v>
      </c>
      <c r="EF707" s="39">
        <f t="shared" ref="EF707:EF770" si="241">IFERROR(ED707/EE707," ")</f>
        <v>8324506.2643855009</v>
      </c>
    </row>
    <row r="708" spans="1:136" ht="114.75" x14ac:dyDescent="0.25">
      <c r="A708" s="25" t="e">
        <f>#REF!</f>
        <v>#REF!</v>
      </c>
      <c r="B708" s="50" t="e">
        <f>#REF!</f>
        <v>#REF!</v>
      </c>
      <c r="C708" s="5" t="e">
        <f>#REF!</f>
        <v>#REF!</v>
      </c>
      <c r="D708" s="5" t="e">
        <f>#REF!</f>
        <v>#REF!</v>
      </c>
      <c r="E708" s="252">
        <v>1</v>
      </c>
      <c r="F708" s="249">
        <v>783622.93333333335</v>
      </c>
      <c r="G708" s="249">
        <v>763980</v>
      </c>
      <c r="H708" s="249">
        <v>608760.71311743534</v>
      </c>
      <c r="I708" s="249">
        <v>0</v>
      </c>
      <c r="J708" s="249">
        <v>448383.27333333337</v>
      </c>
      <c r="K708" s="249">
        <v>0</v>
      </c>
      <c r="L708" s="274">
        <f>AVERAGE(F708,H708,J708)</f>
        <v>613588.97326136741</v>
      </c>
      <c r="M708" s="274">
        <f>G708*E1</f>
        <v>786899.4</v>
      </c>
      <c r="N708" s="255">
        <v>700000</v>
      </c>
      <c r="O708" s="135">
        <f>+N708*0.19</f>
        <v>133000</v>
      </c>
      <c r="P708" s="135">
        <f>+N708+O708</f>
        <v>833000</v>
      </c>
      <c r="Q708" s="131"/>
      <c r="R708" s="131"/>
      <c r="S708" s="11"/>
      <c r="T708" s="274"/>
      <c r="U708" s="274"/>
      <c r="V708" s="274"/>
      <c r="W708" s="39"/>
      <c r="X708" s="11"/>
      <c r="Y708" s="11"/>
      <c r="Z708" s="274">
        <f>53000*10</f>
        <v>530000</v>
      </c>
      <c r="AA708" s="274">
        <f>+Z708*0.19</f>
        <v>100700</v>
      </c>
      <c r="AB708" s="274">
        <f>+Z708+AA708</f>
        <v>630700</v>
      </c>
      <c r="AC708" s="153" t="s">
        <v>5003</v>
      </c>
      <c r="AD708" s="22" t="s">
        <v>4768</v>
      </c>
      <c r="AE708" s="39"/>
      <c r="AF708" s="274"/>
      <c r="AG708" s="274"/>
      <c r="AH708" s="171"/>
      <c r="AI708" s="4"/>
      <c r="AJ708" s="39"/>
      <c r="AK708" s="39"/>
      <c r="AL708" s="118"/>
      <c r="AM708" s="152"/>
      <c r="AN708" s="181"/>
      <c r="AO708" s="131"/>
      <c r="AP708" s="131"/>
      <c r="AQ708" s="39"/>
      <c r="AR708" s="274"/>
      <c r="AS708" s="274"/>
      <c r="AT708" s="274"/>
      <c r="AU708" s="39"/>
      <c r="AV708" s="39"/>
      <c r="AW708" s="39"/>
      <c r="AX708" s="274"/>
      <c r="AY708" s="274"/>
      <c r="AZ708" s="274"/>
      <c r="BA708" s="39"/>
      <c r="BB708" s="62"/>
      <c r="BC708" s="39"/>
      <c r="BD708" s="118">
        <v>404106</v>
      </c>
      <c r="BE708" s="274">
        <f>+BD708*0.19</f>
        <v>76780.14</v>
      </c>
      <c r="BF708" s="274">
        <f>+BD708+BE708</f>
        <v>480886.14</v>
      </c>
      <c r="BG708" s="25" t="s">
        <v>2966</v>
      </c>
      <c r="BH708" s="5" t="s">
        <v>5004</v>
      </c>
      <c r="BI708" s="5" t="s">
        <v>5005</v>
      </c>
      <c r="BJ708" s="275"/>
      <c r="BK708" s="275"/>
      <c r="BL708" s="275"/>
      <c r="BM708" s="213"/>
      <c r="BN708" s="213"/>
      <c r="BO708" s="39"/>
      <c r="BP708" s="274">
        <v>652000</v>
      </c>
      <c r="BQ708" s="274">
        <f t="shared" si="237"/>
        <v>123880</v>
      </c>
      <c r="BR708" s="274">
        <f t="shared" si="238"/>
        <v>775880</v>
      </c>
      <c r="BS708" s="39"/>
      <c r="BT708" s="39"/>
      <c r="BU708" s="39"/>
      <c r="BV708" s="219"/>
      <c r="BW708" s="219"/>
      <c r="BX708" s="273"/>
      <c r="BY708" s="213"/>
      <c r="BZ708" s="213"/>
      <c r="CA708" s="213"/>
      <c r="CB708" s="274"/>
      <c r="CC708" s="274"/>
      <c r="CD708" s="274"/>
      <c r="CE708" s="39"/>
      <c r="CF708" s="39"/>
      <c r="CG708" s="39"/>
      <c r="CH708" s="274"/>
      <c r="CI708" s="274"/>
      <c r="CJ708" s="274"/>
      <c r="CK708" s="39"/>
      <c r="CL708" s="39"/>
      <c r="CM708" s="39"/>
      <c r="CN708" s="39"/>
      <c r="CO708" s="39"/>
      <c r="CP708" s="11"/>
      <c r="CQ708" s="11"/>
      <c r="CR708" s="11"/>
      <c r="CS708" s="11"/>
      <c r="CT708" s="11"/>
      <c r="CU708" s="11"/>
      <c r="CV708" s="11"/>
      <c r="CW708" s="11"/>
      <c r="CX708" s="11"/>
      <c r="CY708" s="11"/>
      <c r="CZ708" s="11"/>
      <c r="DA708" s="11"/>
      <c r="DB708" s="11"/>
      <c r="DC708" s="11"/>
      <c r="DD708" s="11"/>
      <c r="DE708" s="11"/>
      <c r="DF708" s="11"/>
      <c r="DG708" s="11"/>
      <c r="DH708" s="11"/>
      <c r="DI708" s="11"/>
      <c r="DJ708" s="11"/>
      <c r="DK708" s="11"/>
      <c r="DL708" s="274"/>
      <c r="DM708" s="274"/>
      <c r="DN708" s="274"/>
      <c r="DO708" s="274"/>
      <c r="DP708" s="274"/>
      <c r="DQ708" s="274"/>
      <c r="DR708" s="274"/>
      <c r="DS708" s="274"/>
      <c r="DT708" s="274"/>
      <c r="DU708" s="274"/>
      <c r="DV708" s="274"/>
      <c r="DW708" s="274"/>
      <c r="DX708" s="274"/>
      <c r="DY708" s="274"/>
      <c r="DZ708" s="274"/>
      <c r="EA708" s="274"/>
      <c r="EB708" s="274"/>
      <c r="EC708" s="274"/>
      <c r="ED708" s="39">
        <f t="shared" si="239"/>
        <v>3507365.54</v>
      </c>
      <c r="EE708" s="30">
        <f t="shared" si="240"/>
        <v>5</v>
      </c>
      <c r="EF708" s="39">
        <f t="shared" si="241"/>
        <v>701473.10800000001</v>
      </c>
    </row>
    <row r="709" spans="1:136" ht="63.75" x14ac:dyDescent="0.25">
      <c r="A709" s="25" t="e">
        <f>#REF!</f>
        <v>#REF!</v>
      </c>
      <c r="B709" s="50" t="e">
        <f>#REF!</f>
        <v>#REF!</v>
      </c>
      <c r="C709" s="5" t="e">
        <f>#REF!</f>
        <v>#REF!</v>
      </c>
      <c r="D709" s="5" t="e">
        <f>#REF!</f>
        <v>#REF!</v>
      </c>
      <c r="E709" s="252">
        <v>1</v>
      </c>
      <c r="F709" s="249">
        <v>825146</v>
      </c>
      <c r="G709" s="249">
        <v>825146</v>
      </c>
      <c r="H709" s="249">
        <v>1156481.6666666667</v>
      </c>
      <c r="I709" s="249">
        <v>559300</v>
      </c>
      <c r="J709" s="249">
        <v>829609.58458710264</v>
      </c>
      <c r="K709" s="249">
        <v>0</v>
      </c>
      <c r="L709" s="274">
        <f>AVERAGE(F709,H709,J709)</f>
        <v>937079.08375125646</v>
      </c>
      <c r="M709" s="274">
        <f>AVERAGE(G709,I709)*E1</f>
        <v>712989.69000000006</v>
      </c>
      <c r="N709" s="255">
        <v>1300000</v>
      </c>
      <c r="O709" s="135">
        <f>+N709*0.19</f>
        <v>247000</v>
      </c>
      <c r="P709" s="135">
        <f>+N709+O709</f>
        <v>1547000</v>
      </c>
      <c r="Q709" s="131"/>
      <c r="R709" s="131"/>
      <c r="S709" s="11"/>
      <c r="T709" s="274">
        <f>101200*5</f>
        <v>506000</v>
      </c>
      <c r="U709" s="274">
        <f>+T709*0.19</f>
        <v>96140</v>
      </c>
      <c r="V709" s="274">
        <f>+T709+U709</f>
        <v>602140</v>
      </c>
      <c r="W709" s="39" t="s">
        <v>4988</v>
      </c>
      <c r="X709" s="11" t="s">
        <v>2948</v>
      </c>
      <c r="Y709" s="11"/>
      <c r="Z709" s="274"/>
      <c r="AA709" s="274"/>
      <c r="AB709" s="274"/>
      <c r="AC709" s="52"/>
      <c r="AD709" s="22"/>
      <c r="AE709" s="39"/>
      <c r="AF709" s="274"/>
      <c r="AG709" s="274"/>
      <c r="AH709" s="171"/>
      <c r="AI709" s="22"/>
      <c r="AJ709" s="39"/>
      <c r="AK709" s="39"/>
      <c r="AL709" s="118"/>
      <c r="AM709" s="152"/>
      <c r="AN709" s="181"/>
      <c r="AO709" s="131"/>
      <c r="AP709" s="131"/>
      <c r="AQ709" s="39"/>
      <c r="AR709" s="274"/>
      <c r="AS709" s="274"/>
      <c r="AT709" s="274"/>
      <c r="AU709" s="39"/>
      <c r="AV709" s="39"/>
      <c r="AW709" s="39"/>
      <c r="AX709" s="274"/>
      <c r="AY709" s="274"/>
      <c r="AZ709" s="274"/>
      <c r="BA709" s="39"/>
      <c r="BB709" s="62"/>
      <c r="BC709" s="39"/>
      <c r="BD709" s="118">
        <v>683284</v>
      </c>
      <c r="BE709" s="274">
        <f>+BD709*0.19</f>
        <v>129823.96</v>
      </c>
      <c r="BF709" s="274">
        <f>+BD709+BE709</f>
        <v>813107.96</v>
      </c>
      <c r="BG709" s="25" t="s">
        <v>2966</v>
      </c>
      <c r="BH709" s="5" t="s">
        <v>5006</v>
      </c>
      <c r="BI709" s="5" t="s">
        <v>5007</v>
      </c>
      <c r="BJ709" s="275"/>
      <c r="BK709" s="275"/>
      <c r="BL709" s="275"/>
      <c r="BM709" s="213"/>
      <c r="BN709" s="213"/>
      <c r="BO709" s="39"/>
      <c r="BP709" s="274">
        <v>1985000</v>
      </c>
      <c r="BQ709" s="274">
        <f t="shared" si="237"/>
        <v>377150</v>
      </c>
      <c r="BR709" s="274">
        <f t="shared" si="238"/>
        <v>2362150</v>
      </c>
      <c r="BS709" s="39"/>
      <c r="BT709" s="39"/>
      <c r="BU709" s="39"/>
      <c r="BV709" s="219"/>
      <c r="BW709" s="219"/>
      <c r="BX709" s="273"/>
      <c r="BY709" s="213"/>
      <c r="BZ709" s="213"/>
      <c r="CA709" s="213"/>
      <c r="CB709" s="274"/>
      <c r="CC709" s="274"/>
      <c r="CD709" s="274"/>
      <c r="CE709" s="39"/>
      <c r="CF709" s="39"/>
      <c r="CG709" s="39"/>
      <c r="CH709" s="274"/>
      <c r="CI709" s="274"/>
      <c r="CJ709" s="274"/>
      <c r="CK709" s="39"/>
      <c r="CL709" s="39"/>
      <c r="CM709" s="39"/>
      <c r="CN709" s="39"/>
      <c r="CO709" s="39"/>
      <c r="CP709" s="11"/>
      <c r="CQ709" s="11"/>
      <c r="CR709" s="11"/>
      <c r="CS709" s="11"/>
      <c r="CT709" s="11"/>
      <c r="CU709" s="11"/>
      <c r="CV709" s="11"/>
      <c r="CW709" s="11"/>
      <c r="CX709" s="11"/>
      <c r="CY709" s="11"/>
      <c r="CZ709" s="11"/>
      <c r="DA709" s="11"/>
      <c r="DB709" s="11"/>
      <c r="DC709" s="11"/>
      <c r="DD709" s="11"/>
      <c r="DE709" s="11"/>
      <c r="DF709" s="11"/>
      <c r="DG709" s="11"/>
      <c r="DH709" s="11"/>
      <c r="DI709" s="11"/>
      <c r="DJ709" s="11"/>
      <c r="DK709" s="11"/>
      <c r="DL709" s="274"/>
      <c r="DM709" s="274"/>
      <c r="DN709" s="274"/>
      <c r="DO709" s="274"/>
      <c r="DP709" s="274"/>
      <c r="DQ709" s="274"/>
      <c r="DR709" s="274"/>
      <c r="DS709" s="274"/>
      <c r="DT709" s="274"/>
      <c r="DU709" s="274"/>
      <c r="DV709" s="274"/>
      <c r="DW709" s="274"/>
      <c r="DX709" s="274"/>
      <c r="DY709" s="274"/>
      <c r="DZ709" s="274"/>
      <c r="EA709" s="274"/>
      <c r="EB709" s="274"/>
      <c r="EC709" s="274"/>
      <c r="ED709" s="39">
        <f t="shared" si="239"/>
        <v>6037387.6500000004</v>
      </c>
      <c r="EE709" s="30">
        <f t="shared" si="240"/>
        <v>5</v>
      </c>
      <c r="EF709" s="39">
        <f t="shared" si="241"/>
        <v>1207477.53</v>
      </c>
    </row>
    <row r="710" spans="1:136" ht="127.5" x14ac:dyDescent="0.25">
      <c r="A710" s="25" t="e">
        <f>#REF!</f>
        <v>#REF!</v>
      </c>
      <c r="B710" s="50" t="e">
        <f>#REF!</f>
        <v>#REF!</v>
      </c>
      <c r="C710" s="5" t="e">
        <f>#REF!</f>
        <v>#REF!</v>
      </c>
      <c r="D710" s="5" t="e">
        <f>#REF!</f>
        <v>#REF!</v>
      </c>
      <c r="E710" s="252">
        <v>1</v>
      </c>
      <c r="F710" s="249">
        <v>980639.33333333326</v>
      </c>
      <c r="G710" s="249">
        <v>965923</v>
      </c>
      <c r="H710" s="249">
        <v>900701.30716388614</v>
      </c>
      <c r="I710" s="249">
        <v>0</v>
      </c>
      <c r="J710" s="249">
        <v>563318.63</v>
      </c>
      <c r="K710" s="249">
        <v>0</v>
      </c>
      <c r="L710" s="274">
        <f>AVERAGE(F710,H710,J710)</f>
        <v>814886.42349907302</v>
      </c>
      <c r="M710" s="274">
        <f>G710*E1</f>
        <v>994900.69000000006</v>
      </c>
      <c r="N710" s="255">
        <v>1650000</v>
      </c>
      <c r="O710" s="135">
        <f>+N710*0.19</f>
        <v>313500</v>
      </c>
      <c r="P710" s="135">
        <f>+N710+O710</f>
        <v>1963500</v>
      </c>
      <c r="Q710" s="131"/>
      <c r="R710" s="131"/>
      <c r="S710" s="11"/>
      <c r="T710" s="274"/>
      <c r="U710" s="274"/>
      <c r="V710" s="274"/>
      <c r="W710" s="39"/>
      <c r="X710" s="11"/>
      <c r="Y710" s="11"/>
      <c r="Z710" s="274">
        <f>42000*20</f>
        <v>840000</v>
      </c>
      <c r="AA710" s="274">
        <f>+Z710*0.19</f>
        <v>159600</v>
      </c>
      <c r="AB710" s="274">
        <f>+Z710+AA710</f>
        <v>999600</v>
      </c>
      <c r="AC710" s="153" t="s">
        <v>5008</v>
      </c>
      <c r="AD710" s="22" t="s">
        <v>4768</v>
      </c>
      <c r="AE710" s="39"/>
      <c r="AF710" s="274"/>
      <c r="AG710" s="274"/>
      <c r="AH710" s="171"/>
      <c r="AI710" s="4"/>
      <c r="AJ710" s="39"/>
      <c r="AK710" s="39"/>
      <c r="AL710" s="118"/>
      <c r="AM710" s="152"/>
      <c r="AN710" s="181"/>
      <c r="AO710" s="131"/>
      <c r="AP710" s="131"/>
      <c r="AQ710" s="39"/>
      <c r="AR710" s="274"/>
      <c r="AS710" s="274"/>
      <c r="AT710" s="274"/>
      <c r="AU710" s="39"/>
      <c r="AV710" s="39"/>
      <c r="AW710" s="39"/>
      <c r="AX710" s="274"/>
      <c r="AY710" s="274"/>
      <c r="AZ710" s="274"/>
      <c r="BA710" s="39"/>
      <c r="BB710" s="62"/>
      <c r="BC710" s="39"/>
      <c r="BD710" s="118">
        <v>559630</v>
      </c>
      <c r="BE710" s="274">
        <f>+BD710*0.19</f>
        <v>106329.7</v>
      </c>
      <c r="BF710" s="274">
        <f>+BD710+BE710</f>
        <v>665959.69999999995</v>
      </c>
      <c r="BG710" s="25" t="s">
        <v>2966</v>
      </c>
      <c r="BH710" s="5" t="s">
        <v>5009</v>
      </c>
      <c r="BI710" s="5" t="s">
        <v>5010</v>
      </c>
      <c r="BJ710" s="275"/>
      <c r="BK710" s="275"/>
      <c r="BL710" s="275"/>
      <c r="BM710" s="213"/>
      <c r="BN710" s="213"/>
      <c r="BO710" s="39"/>
      <c r="BP710" s="274">
        <v>1985000</v>
      </c>
      <c r="BQ710" s="274">
        <f t="shared" si="237"/>
        <v>377150</v>
      </c>
      <c r="BR710" s="274">
        <f t="shared" si="238"/>
        <v>2362150</v>
      </c>
      <c r="BS710" s="39"/>
      <c r="BT710" s="39"/>
      <c r="BU710" s="39"/>
      <c r="BV710" s="219"/>
      <c r="BW710" s="219"/>
      <c r="BX710" s="273"/>
      <c r="BY710" s="213"/>
      <c r="BZ710" s="213"/>
      <c r="CA710" s="213"/>
      <c r="CB710" s="274"/>
      <c r="CC710" s="274"/>
      <c r="CD710" s="274"/>
      <c r="CE710" s="39"/>
      <c r="CF710" s="39"/>
      <c r="CG710" s="39"/>
      <c r="CH710" s="274"/>
      <c r="CI710" s="274"/>
      <c r="CJ710" s="274"/>
      <c r="CK710" s="39"/>
      <c r="CL710" s="39"/>
      <c r="CM710" s="39"/>
      <c r="CN710" s="39"/>
      <c r="CO710" s="39"/>
      <c r="CP710" s="11"/>
      <c r="CQ710" s="11"/>
      <c r="CR710" s="11"/>
      <c r="CS710" s="11"/>
      <c r="CT710" s="11"/>
      <c r="CU710" s="11"/>
      <c r="CV710" s="11"/>
      <c r="CW710" s="11"/>
      <c r="CX710" s="11"/>
      <c r="CY710" s="11"/>
      <c r="CZ710" s="11"/>
      <c r="DA710" s="11"/>
      <c r="DB710" s="11"/>
      <c r="DC710" s="11"/>
      <c r="DD710" s="11"/>
      <c r="DE710" s="11"/>
      <c r="DF710" s="11"/>
      <c r="DG710" s="11"/>
      <c r="DH710" s="11"/>
      <c r="DI710" s="11"/>
      <c r="DJ710" s="11"/>
      <c r="DK710" s="11"/>
      <c r="DL710" s="274"/>
      <c r="DM710" s="274"/>
      <c r="DN710" s="274"/>
      <c r="DO710" s="274"/>
      <c r="DP710" s="274"/>
      <c r="DQ710" s="274"/>
      <c r="DR710" s="274"/>
      <c r="DS710" s="274"/>
      <c r="DT710" s="274"/>
      <c r="DU710" s="274"/>
      <c r="DV710" s="274"/>
      <c r="DW710" s="274"/>
      <c r="DX710" s="274"/>
      <c r="DY710" s="274"/>
      <c r="DZ710" s="274"/>
      <c r="EA710" s="274"/>
      <c r="EB710" s="274"/>
      <c r="EC710" s="274"/>
      <c r="ED710" s="39">
        <f t="shared" si="239"/>
        <v>6986110.3899999997</v>
      </c>
      <c r="EE710" s="30">
        <f t="shared" si="240"/>
        <v>5</v>
      </c>
      <c r="EF710" s="39">
        <f t="shared" si="241"/>
        <v>1397222.078</v>
      </c>
    </row>
    <row r="711" spans="1:136" x14ac:dyDescent="0.25">
      <c r="A711" s="25" t="e">
        <f>#REF!</f>
        <v>#REF!</v>
      </c>
      <c r="B711" s="50" t="e">
        <f>#REF!</f>
        <v>#REF!</v>
      </c>
      <c r="C711" s="5" t="e">
        <f>#REF!</f>
        <v>#REF!</v>
      </c>
      <c r="D711" s="5" t="e">
        <f>#REF!</f>
        <v>#REF!</v>
      </c>
      <c r="E711" s="252">
        <v>1</v>
      </c>
      <c r="F711" s="249">
        <v>0</v>
      </c>
      <c r="G711" s="249">
        <v>0</v>
      </c>
      <c r="H711" s="249">
        <v>0</v>
      </c>
      <c r="I711" s="249">
        <v>0</v>
      </c>
      <c r="J711" s="249">
        <v>0</v>
      </c>
      <c r="K711" s="249">
        <v>0</v>
      </c>
      <c r="L711" s="274"/>
      <c r="M711" s="274"/>
      <c r="N711" s="255"/>
      <c r="O711" s="135"/>
      <c r="P711" s="135"/>
      <c r="Q711" s="131"/>
      <c r="R711" s="131"/>
      <c r="S711" s="11"/>
      <c r="T711" s="274"/>
      <c r="U711" s="274"/>
      <c r="V711" s="274"/>
      <c r="W711" s="39"/>
      <c r="X711" s="11"/>
      <c r="Y711" s="11"/>
      <c r="Z711" s="274"/>
      <c r="AA711" s="274"/>
      <c r="AB711" s="274"/>
      <c r="AC711" s="52"/>
      <c r="AD711" s="22"/>
      <c r="AE711" s="39"/>
      <c r="AF711" s="274"/>
      <c r="AG711" s="274"/>
      <c r="AH711" s="171"/>
      <c r="AI711" s="4"/>
      <c r="AJ711" s="39"/>
      <c r="AK711" s="39"/>
      <c r="AL711" s="118"/>
      <c r="AM711" s="152"/>
      <c r="AN711" s="181"/>
      <c r="AO711" s="131"/>
      <c r="AP711" s="131"/>
      <c r="AQ711" s="39"/>
      <c r="AR711" s="274"/>
      <c r="AS711" s="274"/>
      <c r="AT711" s="274"/>
      <c r="AU711" s="39"/>
      <c r="AV711" s="39"/>
      <c r="AW711" s="39"/>
      <c r="AX711" s="274"/>
      <c r="AY711" s="274"/>
      <c r="AZ711" s="274"/>
      <c r="BA711" s="39"/>
      <c r="BB711" s="62"/>
      <c r="BC711" s="39"/>
      <c r="BD711" s="118"/>
      <c r="BE711" s="274"/>
      <c r="BF711" s="274"/>
      <c r="BG711" s="25"/>
      <c r="BH711" s="5"/>
      <c r="BI711" s="5"/>
      <c r="BJ711" s="274">
        <v>1171000</v>
      </c>
      <c r="BK711" s="274">
        <f>+BJ711*0.19</f>
        <v>222490</v>
      </c>
      <c r="BL711" s="274">
        <f>+BJ711+BK711</f>
        <v>1393490</v>
      </c>
      <c r="BM711" s="214" t="s">
        <v>5011</v>
      </c>
      <c r="BN711" s="213" t="s">
        <v>3759</v>
      </c>
      <c r="BO711" s="39"/>
      <c r="BP711" s="274">
        <v>985600</v>
      </c>
      <c r="BQ711" s="274">
        <f t="shared" si="237"/>
        <v>187264</v>
      </c>
      <c r="BR711" s="274">
        <f t="shared" si="238"/>
        <v>1172864</v>
      </c>
      <c r="BS711" s="39"/>
      <c r="BT711" s="39"/>
      <c r="BU711" s="39"/>
      <c r="BV711" s="212">
        <v>1353966.4080000001</v>
      </c>
      <c r="BW711" s="219">
        <f>+BV711*0.19</f>
        <v>257253.61752</v>
      </c>
      <c r="BX711" s="273">
        <f>+BV711+BW711</f>
        <v>1611220.0255200001</v>
      </c>
      <c r="BY711" s="214" t="s">
        <v>5011</v>
      </c>
      <c r="BZ711" s="213" t="s">
        <v>3759</v>
      </c>
      <c r="CA711" s="213"/>
      <c r="CB711" s="274"/>
      <c r="CC711" s="274"/>
      <c r="CD711" s="274"/>
      <c r="CE711" s="39"/>
      <c r="CF711" s="39"/>
      <c r="CG711" s="39"/>
      <c r="CH711" s="274"/>
      <c r="CI711" s="274"/>
      <c r="CJ711" s="274"/>
      <c r="CK711" s="39"/>
      <c r="CL711" s="39"/>
      <c r="CM711" s="39"/>
      <c r="CN711" s="39"/>
      <c r="CO711" s="39"/>
      <c r="CP711" s="11"/>
      <c r="CQ711" s="11"/>
      <c r="CR711" s="11"/>
      <c r="CS711" s="11"/>
      <c r="CT711" s="11"/>
      <c r="CU711" s="11"/>
      <c r="CV711" s="11"/>
      <c r="CW711" s="11"/>
      <c r="CX711" s="11"/>
      <c r="CY711" s="11"/>
      <c r="CZ711" s="11"/>
      <c r="DA711" s="11"/>
      <c r="DB711" s="11"/>
      <c r="DC711" s="11"/>
      <c r="DD711" s="11"/>
      <c r="DE711" s="11"/>
      <c r="DF711" s="11"/>
      <c r="DG711" s="11"/>
      <c r="DH711" s="11"/>
      <c r="DI711" s="11"/>
      <c r="DJ711" s="11"/>
      <c r="DK711" s="11"/>
      <c r="DL711" s="274"/>
      <c r="DM711" s="274"/>
      <c r="DN711" s="274"/>
      <c r="DO711" s="274"/>
      <c r="DP711" s="274"/>
      <c r="DQ711" s="274"/>
      <c r="DR711" s="274"/>
      <c r="DS711" s="274"/>
      <c r="DT711" s="274"/>
      <c r="DU711" s="274"/>
      <c r="DV711" s="274"/>
      <c r="DW711" s="274"/>
      <c r="DX711" s="274"/>
      <c r="DY711" s="274"/>
      <c r="DZ711" s="274"/>
      <c r="EA711" s="274"/>
      <c r="EB711" s="274"/>
      <c r="EC711" s="274"/>
      <c r="ED711" s="39">
        <f t="shared" si="239"/>
        <v>4177574.0255200001</v>
      </c>
      <c r="EE711" s="30">
        <f t="shared" si="240"/>
        <v>3</v>
      </c>
      <c r="EF711" s="39">
        <f t="shared" si="241"/>
        <v>1392524.6751733334</v>
      </c>
    </row>
    <row r="712" spans="1:136" ht="24" x14ac:dyDescent="0.25">
      <c r="A712" s="25" t="e">
        <f>#REF!</f>
        <v>#REF!</v>
      </c>
      <c r="B712" s="50" t="e">
        <f>#REF!</f>
        <v>#REF!</v>
      </c>
      <c r="C712" s="5" t="e">
        <f>#REF!</f>
        <v>#REF!</v>
      </c>
      <c r="D712" s="5" t="e">
        <f>#REF!</f>
        <v>#REF!</v>
      </c>
      <c r="E712" s="252">
        <v>1</v>
      </c>
      <c r="F712" s="249">
        <v>0</v>
      </c>
      <c r="G712" s="249">
        <v>0</v>
      </c>
      <c r="H712" s="249">
        <v>95707.733333333337</v>
      </c>
      <c r="I712" s="249">
        <v>0</v>
      </c>
      <c r="J712" s="249">
        <v>317577.68</v>
      </c>
      <c r="K712" s="249">
        <v>197421</v>
      </c>
      <c r="L712" s="274">
        <f>AVERAGE(H712,J712)</f>
        <v>206642.70666666667</v>
      </c>
      <c r="M712" s="274">
        <f>K712*E1</f>
        <v>203343.63</v>
      </c>
      <c r="N712" s="255"/>
      <c r="O712" s="135"/>
      <c r="P712" s="135"/>
      <c r="Q712" s="131"/>
      <c r="R712" s="131"/>
      <c r="S712" s="11"/>
      <c r="T712" s="274"/>
      <c r="U712" s="274"/>
      <c r="V712" s="274"/>
      <c r="W712" s="39"/>
      <c r="X712" s="11"/>
      <c r="Y712" s="11"/>
      <c r="Z712" s="274"/>
      <c r="AA712" s="274"/>
      <c r="AB712" s="274"/>
      <c r="AC712" s="52"/>
      <c r="AD712" s="22"/>
      <c r="AE712" s="39"/>
      <c r="AF712" s="274"/>
      <c r="AG712" s="274"/>
      <c r="AH712" s="171"/>
      <c r="AI712" s="4"/>
      <c r="AJ712" s="39"/>
      <c r="AK712" s="39"/>
      <c r="AL712" s="118"/>
      <c r="AM712" s="152"/>
      <c r="AN712" s="181"/>
      <c r="AO712" s="131"/>
      <c r="AP712" s="131"/>
      <c r="AQ712" s="39"/>
      <c r="AR712" s="274"/>
      <c r="AS712" s="274"/>
      <c r="AT712" s="274"/>
      <c r="AU712" s="39"/>
      <c r="AV712" s="39"/>
      <c r="AW712" s="39"/>
      <c r="AX712" s="274"/>
      <c r="AY712" s="274"/>
      <c r="AZ712" s="274"/>
      <c r="BA712" s="39"/>
      <c r="BB712" s="62"/>
      <c r="BC712" s="39"/>
      <c r="BD712" s="274"/>
      <c r="BE712" s="274"/>
      <c r="BF712" s="274"/>
      <c r="BG712" s="39"/>
      <c r="BH712" s="39"/>
      <c r="BI712" s="39"/>
      <c r="BJ712" s="274">
        <f>+(403600/1000)*72</f>
        <v>29059.200000000001</v>
      </c>
      <c r="BK712" s="274">
        <f>+BJ712*0.19</f>
        <v>5521.2480000000005</v>
      </c>
      <c r="BL712" s="274">
        <f>+BJ712+BK712</f>
        <v>34580.448000000004</v>
      </c>
      <c r="BM712" s="213" t="s">
        <v>5012</v>
      </c>
      <c r="BN712" s="213" t="s">
        <v>5013</v>
      </c>
      <c r="BO712" s="39"/>
      <c r="BP712" s="274">
        <v>369000</v>
      </c>
      <c r="BQ712" s="274">
        <f t="shared" si="237"/>
        <v>70110</v>
      </c>
      <c r="BR712" s="274">
        <f t="shared" si="238"/>
        <v>439110</v>
      </c>
      <c r="BS712" s="39"/>
      <c r="BT712" s="39"/>
      <c r="BU712" s="39"/>
      <c r="BV712" s="219">
        <f>+(462683.004/1000)*72</f>
        <v>33313.176288000002</v>
      </c>
      <c r="BW712" s="219">
        <f>+BV712*0.19</f>
        <v>6329.5034947200002</v>
      </c>
      <c r="BX712" s="273">
        <f>+BV712+BW712</f>
        <v>39642.679782720006</v>
      </c>
      <c r="BY712" s="213" t="s">
        <v>5012</v>
      </c>
      <c r="BZ712" s="213" t="s">
        <v>5013</v>
      </c>
      <c r="CA712" s="213"/>
      <c r="CB712" s="274"/>
      <c r="CC712" s="274"/>
      <c r="CD712" s="274"/>
      <c r="CE712" s="39"/>
      <c r="CF712" s="39"/>
      <c r="CG712" s="39"/>
      <c r="CH712" s="274"/>
      <c r="CI712" s="274"/>
      <c r="CJ712" s="274"/>
      <c r="CK712" s="39"/>
      <c r="CL712" s="39"/>
      <c r="CM712" s="39"/>
      <c r="CN712" s="39"/>
      <c r="CO712" s="39"/>
      <c r="CP712" s="11"/>
      <c r="CQ712" s="11"/>
      <c r="CR712" s="11"/>
      <c r="CS712" s="11"/>
      <c r="CT712" s="11"/>
      <c r="CU712" s="11"/>
      <c r="CV712" s="11"/>
      <c r="CW712" s="11"/>
      <c r="CX712" s="11"/>
      <c r="CY712" s="11"/>
      <c r="CZ712" s="11"/>
      <c r="DA712" s="11"/>
      <c r="DB712" s="11"/>
      <c r="DC712" s="11"/>
      <c r="DD712" s="11"/>
      <c r="DE712" s="11"/>
      <c r="DF712" s="11"/>
      <c r="DG712" s="11"/>
      <c r="DH712" s="11"/>
      <c r="DI712" s="11"/>
      <c r="DJ712" s="11"/>
      <c r="DK712" s="11"/>
      <c r="DL712" s="274"/>
      <c r="DM712" s="274"/>
      <c r="DN712" s="274"/>
      <c r="DO712" s="274"/>
      <c r="DP712" s="274"/>
      <c r="DQ712" s="274"/>
      <c r="DR712" s="274"/>
      <c r="DS712" s="274"/>
      <c r="DT712" s="274"/>
      <c r="DU712" s="274"/>
      <c r="DV712" s="274"/>
      <c r="DW712" s="274"/>
      <c r="DX712" s="274"/>
      <c r="DY712" s="274"/>
      <c r="DZ712" s="274"/>
      <c r="EA712" s="274"/>
      <c r="EB712" s="274"/>
      <c r="EC712" s="274"/>
      <c r="ED712" s="39">
        <f t="shared" si="239"/>
        <v>716676.75778272003</v>
      </c>
      <c r="EE712" s="30">
        <f t="shared" si="240"/>
        <v>4</v>
      </c>
      <c r="EF712" s="39">
        <f t="shared" si="241"/>
        <v>179169.18944568001</v>
      </c>
    </row>
    <row r="713" spans="1:136" ht="24" x14ac:dyDescent="0.25">
      <c r="A713" s="25" t="e">
        <f>#REF!</f>
        <v>#REF!</v>
      </c>
      <c r="B713" s="50" t="e">
        <f>#REF!</f>
        <v>#REF!</v>
      </c>
      <c r="C713" s="5" t="e">
        <f>#REF!</f>
        <v>#REF!</v>
      </c>
      <c r="D713" s="5" t="e">
        <f>#REF!</f>
        <v>#REF!</v>
      </c>
      <c r="E713" s="252">
        <v>1</v>
      </c>
      <c r="F713" s="249">
        <v>0</v>
      </c>
      <c r="G713" s="249">
        <v>0</v>
      </c>
      <c r="H713" s="249">
        <v>584684.68333333335</v>
      </c>
      <c r="I713" s="249">
        <v>0</v>
      </c>
      <c r="J713" s="249">
        <v>612255</v>
      </c>
      <c r="K713" s="249">
        <v>593810</v>
      </c>
      <c r="L713" s="274">
        <f>AVERAGE(H713,J713)</f>
        <v>598469.84166666667</v>
      </c>
      <c r="M713" s="274">
        <f>K713*E1</f>
        <v>611624.30000000005</v>
      </c>
      <c r="N713" s="255"/>
      <c r="O713" s="135"/>
      <c r="P713" s="135"/>
      <c r="Q713" s="131"/>
      <c r="R713" s="131"/>
      <c r="S713" s="11"/>
      <c r="T713" s="274"/>
      <c r="U713" s="274"/>
      <c r="V713" s="274"/>
      <c r="W713" s="39"/>
      <c r="X713" s="11"/>
      <c r="Y713" s="11"/>
      <c r="Z713" s="274"/>
      <c r="AA713" s="274"/>
      <c r="AB713" s="274"/>
      <c r="AC713" s="52"/>
      <c r="AD713" s="22"/>
      <c r="AE713" s="39"/>
      <c r="AF713" s="274"/>
      <c r="AG713" s="274"/>
      <c r="AH713" s="171"/>
      <c r="AI713" s="4"/>
      <c r="AJ713" s="39"/>
      <c r="AK713" s="39"/>
      <c r="AL713" s="118"/>
      <c r="AM713" s="152"/>
      <c r="AN713" s="181"/>
      <c r="AO713" s="131"/>
      <c r="AP713" s="131"/>
      <c r="AQ713" s="39"/>
      <c r="AR713" s="274"/>
      <c r="AS713" s="274"/>
      <c r="AT713" s="274"/>
      <c r="AU713" s="39"/>
      <c r="AV713" s="39"/>
      <c r="AW713" s="39"/>
      <c r="AX713" s="274"/>
      <c r="AY713" s="274"/>
      <c r="AZ713" s="274"/>
      <c r="BA713" s="39"/>
      <c r="BB713" s="62"/>
      <c r="BC713" s="39"/>
      <c r="BD713" s="274"/>
      <c r="BE713" s="274"/>
      <c r="BF713" s="274"/>
      <c r="BG713" s="39"/>
      <c r="BH713" s="39"/>
      <c r="BI713" s="39"/>
      <c r="BJ713" s="274">
        <f>+(744300/576)*1000</f>
        <v>1292187.5</v>
      </c>
      <c r="BK713" s="274">
        <f>+BJ713*0.19</f>
        <v>245515.625</v>
      </c>
      <c r="BL713" s="274">
        <f>+BJ713+BK713</f>
        <v>1537703.125</v>
      </c>
      <c r="BM713" s="213" t="s">
        <v>5014</v>
      </c>
      <c r="BN713" s="213" t="s">
        <v>4809</v>
      </c>
      <c r="BO713" s="39"/>
      <c r="BP713" s="274">
        <v>1950000</v>
      </c>
      <c r="BQ713" s="274">
        <f t="shared" si="237"/>
        <v>370500</v>
      </c>
      <c r="BR713" s="274">
        <f t="shared" si="238"/>
        <v>2320500</v>
      </c>
      <c r="BS713" s="39"/>
      <c r="BT713" s="39"/>
      <c r="BU713" s="39"/>
      <c r="BV713" s="219">
        <f>+(869747.2992/576)*1000</f>
        <v>1509977.95</v>
      </c>
      <c r="BW713" s="219">
        <f>+BV713*0.19</f>
        <v>286895.81050000002</v>
      </c>
      <c r="BX713" s="273">
        <f>+BV713+BW713</f>
        <v>1796873.7604999999</v>
      </c>
      <c r="BY713" s="213" t="s">
        <v>5014</v>
      </c>
      <c r="BZ713" s="213" t="s">
        <v>4809</v>
      </c>
      <c r="CA713" s="213"/>
      <c r="CB713" s="274"/>
      <c r="CC713" s="274"/>
      <c r="CD713" s="274"/>
      <c r="CE713" s="39"/>
      <c r="CF713" s="39"/>
      <c r="CG713" s="39"/>
      <c r="CH713" s="274"/>
      <c r="CI713" s="274"/>
      <c r="CJ713" s="274"/>
      <c r="CK713" s="39"/>
      <c r="CL713" s="39"/>
      <c r="CM713" s="39"/>
      <c r="CN713" s="39"/>
      <c r="CO713" s="39"/>
      <c r="CP713" s="11"/>
      <c r="CQ713" s="11"/>
      <c r="CR713" s="11"/>
      <c r="CS713" s="11"/>
      <c r="CT713" s="11"/>
      <c r="CU713" s="11"/>
      <c r="CV713" s="11"/>
      <c r="CW713" s="11"/>
      <c r="CX713" s="11"/>
      <c r="CY713" s="11"/>
      <c r="CZ713" s="11"/>
      <c r="DA713" s="11"/>
      <c r="DB713" s="11"/>
      <c r="DC713" s="11"/>
      <c r="DD713" s="11"/>
      <c r="DE713" s="11"/>
      <c r="DF713" s="11"/>
      <c r="DG713" s="11"/>
      <c r="DH713" s="11"/>
      <c r="DI713" s="11"/>
      <c r="DJ713" s="11"/>
      <c r="DK713" s="11"/>
      <c r="DL713" s="274"/>
      <c r="DM713" s="274"/>
      <c r="DN713" s="274"/>
      <c r="DO713" s="274"/>
      <c r="DP713" s="274"/>
      <c r="DQ713" s="274"/>
      <c r="DR713" s="274"/>
      <c r="DS713" s="274"/>
      <c r="DT713" s="274"/>
      <c r="DU713" s="274"/>
      <c r="DV713" s="274"/>
      <c r="DW713" s="274"/>
      <c r="DX713" s="274"/>
      <c r="DY713" s="274"/>
      <c r="DZ713" s="274"/>
      <c r="EA713" s="274"/>
      <c r="EB713" s="274"/>
      <c r="EC713" s="274"/>
      <c r="ED713" s="39">
        <f t="shared" si="239"/>
        <v>6266701.1854999997</v>
      </c>
      <c r="EE713" s="30">
        <f t="shared" si="240"/>
        <v>4</v>
      </c>
      <c r="EF713" s="39">
        <f t="shared" si="241"/>
        <v>1566675.2963749999</v>
      </c>
    </row>
    <row r="714" spans="1:136" ht="24" x14ac:dyDescent="0.25">
      <c r="A714" s="25" t="e">
        <f>#REF!</f>
        <v>#REF!</v>
      </c>
      <c r="B714" s="50" t="e">
        <f>#REF!</f>
        <v>#REF!</v>
      </c>
      <c r="C714" s="5" t="e">
        <f>#REF!</f>
        <v>#REF!</v>
      </c>
      <c r="D714" s="5" t="e">
        <f>#REF!</f>
        <v>#REF!</v>
      </c>
      <c r="E714" s="252">
        <v>1</v>
      </c>
      <c r="F714" s="249">
        <v>595595</v>
      </c>
      <c r="G714" s="249">
        <v>577626</v>
      </c>
      <c r="H714" s="249">
        <v>760588.19059999997</v>
      </c>
      <c r="I714" s="249">
        <v>760410</v>
      </c>
      <c r="J714" s="249">
        <v>1004260.4366666666</v>
      </c>
      <c r="K714" s="249">
        <v>1003170</v>
      </c>
      <c r="L714" s="274">
        <f>AVERAGE(F714,H714,J714)</f>
        <v>786814.54242222209</v>
      </c>
      <c r="M714" s="274">
        <f>AVERAGE(G714,I714,K714)*E1</f>
        <v>803814.06</v>
      </c>
      <c r="N714" s="255"/>
      <c r="O714" s="135"/>
      <c r="P714" s="135"/>
      <c r="Q714" s="131"/>
      <c r="R714" s="131"/>
      <c r="S714" s="11"/>
      <c r="T714" s="274"/>
      <c r="U714" s="274"/>
      <c r="V714" s="274"/>
      <c r="W714" s="39"/>
      <c r="X714" s="11"/>
      <c r="Y714" s="11"/>
      <c r="Z714" s="274"/>
      <c r="AA714" s="274"/>
      <c r="AB714" s="274"/>
      <c r="AC714" s="52"/>
      <c r="AD714" s="22"/>
      <c r="AE714" s="39"/>
      <c r="AF714" s="274"/>
      <c r="AG714" s="274"/>
      <c r="AH714" s="171"/>
      <c r="AI714" s="4"/>
      <c r="AJ714" s="39"/>
      <c r="AK714" s="39"/>
      <c r="AL714" s="118"/>
      <c r="AM714" s="152"/>
      <c r="AN714" s="181"/>
      <c r="AO714" s="131"/>
      <c r="AP714" s="131"/>
      <c r="AQ714" s="39"/>
      <c r="AR714" s="274"/>
      <c r="AS714" s="274"/>
      <c r="AT714" s="274"/>
      <c r="AU714" s="39"/>
      <c r="AV714" s="39"/>
      <c r="AW714" s="39"/>
      <c r="AX714" s="274"/>
      <c r="AY714" s="274"/>
      <c r="AZ714" s="274"/>
      <c r="BA714" s="39"/>
      <c r="BB714" s="62"/>
      <c r="BC714" s="39"/>
      <c r="BD714" s="274"/>
      <c r="BE714" s="274"/>
      <c r="BF714" s="274"/>
      <c r="BG714" s="39"/>
      <c r="BH714" s="39"/>
      <c r="BI714" s="39"/>
      <c r="BJ714" s="274">
        <v>806700</v>
      </c>
      <c r="BK714" s="274">
        <f>+BJ714*0.19</f>
        <v>153273</v>
      </c>
      <c r="BL714" s="274">
        <f>+BJ714+BK714</f>
        <v>959973</v>
      </c>
      <c r="BM714" s="213" t="s">
        <v>5015</v>
      </c>
      <c r="BN714" s="213" t="s">
        <v>424</v>
      </c>
      <c r="BO714" s="39"/>
      <c r="BP714" s="274">
        <v>1365000</v>
      </c>
      <c r="BQ714" s="274">
        <f t="shared" si="237"/>
        <v>259350</v>
      </c>
      <c r="BR714" s="274">
        <f t="shared" si="238"/>
        <v>1624350</v>
      </c>
      <c r="BS714" s="39"/>
      <c r="BT714" s="39"/>
      <c r="BU714" s="39"/>
      <c r="BV714" s="219">
        <v>872615.45700000005</v>
      </c>
      <c r="BW714" s="219">
        <f>+BV714*0.19</f>
        <v>165796.93683000002</v>
      </c>
      <c r="BX714" s="273">
        <f>+BV714+BW714</f>
        <v>1038412.3938300001</v>
      </c>
      <c r="BY714" s="213" t="s">
        <v>5015</v>
      </c>
      <c r="BZ714" s="213" t="s">
        <v>424</v>
      </c>
      <c r="CA714" s="213"/>
      <c r="CB714" s="274"/>
      <c r="CC714" s="274"/>
      <c r="CD714" s="274"/>
      <c r="CE714" s="39"/>
      <c r="CF714" s="39"/>
      <c r="CG714" s="39"/>
      <c r="CH714" s="274"/>
      <c r="CI714" s="274"/>
      <c r="CJ714" s="274"/>
      <c r="CK714" s="39"/>
      <c r="CL714" s="39"/>
      <c r="CM714" s="39"/>
      <c r="CN714" s="39"/>
      <c r="CO714" s="39"/>
      <c r="CP714" s="11"/>
      <c r="CQ714" s="11"/>
      <c r="CR714" s="11"/>
      <c r="CS714" s="11"/>
      <c r="CT714" s="11"/>
      <c r="CU714" s="11"/>
      <c r="CV714" s="11"/>
      <c r="CW714" s="11"/>
      <c r="CX714" s="11"/>
      <c r="CY714" s="11"/>
      <c r="CZ714" s="11"/>
      <c r="DA714" s="11"/>
      <c r="DB714" s="11"/>
      <c r="DC714" s="11"/>
      <c r="DD714" s="11"/>
      <c r="DE714" s="11"/>
      <c r="DF714" s="11"/>
      <c r="DG714" s="11"/>
      <c r="DH714" s="11"/>
      <c r="DI714" s="11"/>
      <c r="DJ714" s="11"/>
      <c r="DK714" s="11"/>
      <c r="DL714" s="274"/>
      <c r="DM714" s="274"/>
      <c r="DN714" s="274"/>
      <c r="DO714" s="274"/>
      <c r="DP714" s="274"/>
      <c r="DQ714" s="274"/>
      <c r="DR714" s="274"/>
      <c r="DS714" s="274"/>
      <c r="DT714" s="274"/>
      <c r="DU714" s="274"/>
      <c r="DV714" s="274"/>
      <c r="DW714" s="274"/>
      <c r="DX714" s="274"/>
      <c r="DY714" s="274"/>
      <c r="DZ714" s="274"/>
      <c r="EA714" s="274"/>
      <c r="EB714" s="274"/>
      <c r="EC714" s="274"/>
      <c r="ED714" s="39">
        <f t="shared" si="239"/>
        <v>4426549.45383</v>
      </c>
      <c r="EE714" s="30">
        <f t="shared" si="240"/>
        <v>4</v>
      </c>
      <c r="EF714" s="39">
        <f t="shared" si="241"/>
        <v>1106637.3634575</v>
      </c>
    </row>
    <row r="715" spans="1:136" ht="24" x14ac:dyDescent="0.25">
      <c r="A715" s="25" t="e">
        <f>#REF!</f>
        <v>#REF!</v>
      </c>
      <c r="B715" s="50" t="e">
        <f>#REF!</f>
        <v>#REF!</v>
      </c>
      <c r="C715" s="5" t="e">
        <f>#REF!</f>
        <v>#REF!</v>
      </c>
      <c r="D715" s="5" t="e">
        <f>#REF!</f>
        <v>#REF!</v>
      </c>
      <c r="E715" s="252">
        <v>1</v>
      </c>
      <c r="F715" s="249">
        <v>286730.5</v>
      </c>
      <c r="G715" s="249">
        <v>278103</v>
      </c>
      <c r="H715" s="249">
        <v>146965</v>
      </c>
      <c r="I715" s="249">
        <v>0</v>
      </c>
      <c r="J715" s="249">
        <v>199147.16111111114</v>
      </c>
      <c r="K715" s="249">
        <v>176358</v>
      </c>
      <c r="L715" s="274">
        <f>AVERAGE(F715,H715,J715)</f>
        <v>210947.55370370371</v>
      </c>
      <c r="M715" s="274">
        <f>AVERAGE(G715,K715)*E1</f>
        <v>234047.41500000001</v>
      </c>
      <c r="N715" s="255">
        <v>260000</v>
      </c>
      <c r="O715" s="135">
        <f>+N715*0.19</f>
        <v>49400</v>
      </c>
      <c r="P715" s="135">
        <f>+N715+O715</f>
        <v>309400</v>
      </c>
      <c r="Q715" s="131"/>
      <c r="R715" s="131"/>
      <c r="S715" s="11"/>
      <c r="T715" s="274"/>
      <c r="U715" s="274"/>
      <c r="V715" s="274"/>
      <c r="W715" s="39"/>
      <c r="X715" s="11"/>
      <c r="Y715" s="11"/>
      <c r="Z715" s="274"/>
      <c r="AA715" s="274"/>
      <c r="AB715" s="274"/>
      <c r="AC715" s="52"/>
      <c r="AD715" s="22"/>
      <c r="AE715" s="39"/>
      <c r="AF715" s="274"/>
      <c r="AG715" s="274"/>
      <c r="AH715" s="171"/>
      <c r="AI715" s="22"/>
      <c r="AJ715" s="39"/>
      <c r="AK715" s="39"/>
      <c r="AL715" s="118"/>
      <c r="AM715" s="152"/>
      <c r="AN715" s="181"/>
      <c r="AO715" s="131"/>
      <c r="AP715" s="131"/>
      <c r="AQ715" s="39"/>
      <c r="AR715" s="274"/>
      <c r="AS715" s="274"/>
      <c r="AT715" s="274"/>
      <c r="AU715" s="39"/>
      <c r="AV715" s="39"/>
      <c r="AW715" s="39"/>
      <c r="AX715" s="274"/>
      <c r="AY715" s="274"/>
      <c r="AZ715" s="274"/>
      <c r="BA715" s="39"/>
      <c r="BB715" s="62"/>
      <c r="BC715" s="39"/>
      <c r="BD715" s="274"/>
      <c r="BE715" s="274"/>
      <c r="BF715" s="274"/>
      <c r="BG715" s="39"/>
      <c r="BH715" s="39"/>
      <c r="BI715" s="39"/>
      <c r="BJ715" s="274">
        <f>+(420000/576)*100</f>
        <v>72916.666666666657</v>
      </c>
      <c r="BK715" s="274">
        <f>+BJ715*0.19</f>
        <v>13854.166666666664</v>
      </c>
      <c r="BL715" s="274">
        <f>+BJ715+BK715</f>
        <v>86770.833333333314</v>
      </c>
      <c r="BM715" s="213" t="s">
        <v>5014</v>
      </c>
      <c r="BN715" s="213" t="s">
        <v>4809</v>
      </c>
      <c r="BO715" s="39"/>
      <c r="BP715" s="274">
        <v>280000</v>
      </c>
      <c r="BQ715" s="274">
        <f t="shared" si="237"/>
        <v>53200</v>
      </c>
      <c r="BR715" s="274">
        <f t="shared" si="238"/>
        <v>333200</v>
      </c>
      <c r="BS715" s="39"/>
      <c r="BT715" s="39"/>
      <c r="BU715" s="39"/>
      <c r="BV715" s="219">
        <f>+(467727.12/576)*100</f>
        <v>81202.625</v>
      </c>
      <c r="BW715" s="219">
        <f>+BV715*0.19</f>
        <v>15428.498750000001</v>
      </c>
      <c r="BX715" s="273">
        <f>+BV715+BW715</f>
        <v>96631.123749999999</v>
      </c>
      <c r="BY715" s="213" t="s">
        <v>5014</v>
      </c>
      <c r="BZ715" s="213" t="s">
        <v>4809</v>
      </c>
      <c r="CA715" s="213"/>
      <c r="CB715" s="274"/>
      <c r="CC715" s="274"/>
      <c r="CD715" s="274"/>
      <c r="CE715" s="39"/>
      <c r="CF715" s="39"/>
      <c r="CG715" s="39"/>
      <c r="CH715" s="274"/>
      <c r="CI715" s="274"/>
      <c r="CJ715" s="274"/>
      <c r="CK715" s="39"/>
      <c r="CL715" s="39"/>
      <c r="CM715" s="39"/>
      <c r="CN715" s="39"/>
      <c r="CO715" s="39"/>
      <c r="CP715" s="11"/>
      <c r="CQ715" s="11"/>
      <c r="CR715" s="11"/>
      <c r="CS715" s="11"/>
      <c r="CT715" s="11"/>
      <c r="CU715" s="11"/>
      <c r="CV715" s="11"/>
      <c r="CW715" s="11"/>
      <c r="CX715" s="11"/>
      <c r="CY715" s="11"/>
      <c r="CZ715" s="11"/>
      <c r="DA715" s="11"/>
      <c r="DB715" s="11"/>
      <c r="DC715" s="11"/>
      <c r="DD715" s="11"/>
      <c r="DE715" s="11"/>
      <c r="DF715" s="11"/>
      <c r="DG715" s="11"/>
      <c r="DH715" s="11"/>
      <c r="DI715" s="11"/>
      <c r="DJ715" s="11"/>
      <c r="DK715" s="11"/>
      <c r="DL715" s="274"/>
      <c r="DM715" s="274"/>
      <c r="DN715" s="274"/>
      <c r="DO715" s="274"/>
      <c r="DP715" s="274"/>
      <c r="DQ715" s="274"/>
      <c r="DR715" s="274"/>
      <c r="DS715" s="274"/>
      <c r="DT715" s="274"/>
      <c r="DU715" s="274"/>
      <c r="DV715" s="274"/>
      <c r="DW715" s="274"/>
      <c r="DX715" s="274"/>
      <c r="DY715" s="274"/>
      <c r="DZ715" s="274"/>
      <c r="EA715" s="274"/>
      <c r="EB715" s="274"/>
      <c r="EC715" s="274"/>
      <c r="ED715" s="39">
        <f t="shared" si="239"/>
        <v>1060049.3720833333</v>
      </c>
      <c r="EE715" s="30">
        <f t="shared" si="240"/>
        <v>5</v>
      </c>
      <c r="EF715" s="39">
        <f t="shared" si="241"/>
        <v>212009.87441666666</v>
      </c>
    </row>
    <row r="716" spans="1:136" x14ac:dyDescent="0.25">
      <c r="A716" s="25" t="e">
        <f>#REF!</f>
        <v>#REF!</v>
      </c>
      <c r="B716" s="50" t="e">
        <f>#REF!</f>
        <v>#REF!</v>
      </c>
      <c r="C716" s="5" t="e">
        <f>#REF!</f>
        <v>#REF!</v>
      </c>
      <c r="D716" s="5" t="e">
        <f>#REF!</f>
        <v>#REF!</v>
      </c>
      <c r="E716" s="252">
        <v>1</v>
      </c>
      <c r="F716" s="249">
        <v>0</v>
      </c>
      <c r="G716" s="249">
        <v>0</v>
      </c>
      <c r="H716" s="249">
        <v>0</v>
      </c>
      <c r="I716" s="249">
        <v>0</v>
      </c>
      <c r="J716" s="249">
        <v>353430</v>
      </c>
      <c r="K716" s="249">
        <v>0</v>
      </c>
      <c r="L716" s="274">
        <f>J716</f>
        <v>353430</v>
      </c>
      <c r="M716" s="274"/>
      <c r="N716" s="255">
        <v>300000</v>
      </c>
      <c r="O716" s="135">
        <f>+N716*0.19</f>
        <v>57000</v>
      </c>
      <c r="P716" s="135">
        <f>+N716+O716</f>
        <v>357000</v>
      </c>
      <c r="Q716" s="131"/>
      <c r="R716" s="131"/>
      <c r="S716" s="11"/>
      <c r="T716" s="274"/>
      <c r="U716" s="274"/>
      <c r="V716" s="274"/>
      <c r="W716" s="39"/>
      <c r="X716" s="11"/>
      <c r="Y716" s="11"/>
      <c r="Z716" s="274"/>
      <c r="AA716" s="274"/>
      <c r="AB716" s="274"/>
      <c r="AC716" s="52"/>
      <c r="AD716" s="22"/>
      <c r="AE716" s="39"/>
      <c r="AF716" s="274"/>
      <c r="AG716" s="274"/>
      <c r="AH716" s="171"/>
      <c r="AI716" s="4"/>
      <c r="AJ716" s="39"/>
      <c r="AK716" s="39"/>
      <c r="AL716" s="118"/>
      <c r="AM716" s="152"/>
      <c r="AN716" s="181"/>
      <c r="AO716" s="131"/>
      <c r="AP716" s="131"/>
      <c r="AQ716" s="39"/>
      <c r="AR716" s="274"/>
      <c r="AS716" s="274"/>
      <c r="AT716" s="274"/>
      <c r="AU716" s="39"/>
      <c r="AV716" s="39"/>
      <c r="AW716" s="39"/>
      <c r="AX716" s="274"/>
      <c r="AY716" s="274"/>
      <c r="AZ716" s="274"/>
      <c r="BA716" s="39"/>
      <c r="BB716" s="62"/>
      <c r="BC716" s="39"/>
      <c r="BD716" s="274"/>
      <c r="BE716" s="274"/>
      <c r="BF716" s="274"/>
      <c r="BG716" s="39"/>
      <c r="BH716" s="39"/>
      <c r="BI716" s="39"/>
      <c r="BJ716" s="274"/>
      <c r="BK716" s="274"/>
      <c r="BL716" s="274"/>
      <c r="BM716" s="213"/>
      <c r="BN716" s="213"/>
      <c r="BO716" s="39"/>
      <c r="BP716" s="274">
        <v>368000</v>
      </c>
      <c r="BQ716" s="274">
        <f t="shared" si="237"/>
        <v>69920</v>
      </c>
      <c r="BR716" s="274">
        <f t="shared" si="238"/>
        <v>437920</v>
      </c>
      <c r="BS716" s="39"/>
      <c r="BT716" s="39"/>
      <c r="BU716" s="39"/>
      <c r="BV716" s="212"/>
      <c r="BW716" s="220"/>
      <c r="BX716" s="273"/>
      <c r="BY716" s="213"/>
      <c r="BZ716" s="213"/>
      <c r="CA716" s="213"/>
      <c r="CB716" s="274"/>
      <c r="CC716" s="274"/>
      <c r="CD716" s="274"/>
      <c r="CE716" s="39"/>
      <c r="CF716" s="39"/>
      <c r="CG716" s="39"/>
      <c r="CH716" s="274"/>
      <c r="CI716" s="274"/>
      <c r="CJ716" s="274"/>
      <c r="CK716" s="39"/>
      <c r="CL716" s="39"/>
      <c r="CM716" s="39"/>
      <c r="CN716" s="39"/>
      <c r="CO716" s="39"/>
      <c r="CP716" s="11"/>
      <c r="CQ716" s="11"/>
      <c r="CR716" s="11"/>
      <c r="CS716" s="11"/>
      <c r="CT716" s="11"/>
      <c r="CU716" s="11"/>
      <c r="CV716" s="11"/>
      <c r="CW716" s="11"/>
      <c r="CX716" s="11"/>
      <c r="CY716" s="11"/>
      <c r="CZ716" s="11"/>
      <c r="DA716" s="11"/>
      <c r="DB716" s="11"/>
      <c r="DC716" s="11"/>
      <c r="DD716" s="11"/>
      <c r="DE716" s="11"/>
      <c r="DF716" s="11"/>
      <c r="DG716" s="11"/>
      <c r="DH716" s="11"/>
      <c r="DI716" s="11"/>
      <c r="DJ716" s="11"/>
      <c r="DK716" s="11"/>
      <c r="DL716" s="274"/>
      <c r="DM716" s="274"/>
      <c r="DN716" s="274"/>
      <c r="DO716" s="274"/>
      <c r="DP716" s="274"/>
      <c r="DQ716" s="274"/>
      <c r="DR716" s="274"/>
      <c r="DS716" s="274"/>
      <c r="DT716" s="274"/>
      <c r="DU716" s="274"/>
      <c r="DV716" s="274"/>
      <c r="DW716" s="274"/>
      <c r="DX716" s="274"/>
      <c r="DY716" s="274"/>
      <c r="DZ716" s="274"/>
      <c r="EA716" s="274"/>
      <c r="EB716" s="274"/>
      <c r="EC716" s="274"/>
      <c r="ED716" s="39">
        <f t="shared" si="239"/>
        <v>794920</v>
      </c>
      <c r="EE716" s="30">
        <f t="shared" si="240"/>
        <v>2</v>
      </c>
      <c r="EF716" s="39">
        <f t="shared" si="241"/>
        <v>397460</v>
      </c>
    </row>
    <row r="717" spans="1:136" x14ac:dyDescent="0.25">
      <c r="A717" s="25" t="e">
        <f>#REF!</f>
        <v>#REF!</v>
      </c>
      <c r="B717" s="50" t="e">
        <f>#REF!</f>
        <v>#REF!</v>
      </c>
      <c r="C717" s="5" t="e">
        <f>#REF!</f>
        <v>#REF!</v>
      </c>
      <c r="D717" s="5" t="e">
        <f>#REF!</f>
        <v>#REF!</v>
      </c>
      <c r="E717" s="252">
        <v>1</v>
      </c>
      <c r="F717" s="249">
        <v>2328.83</v>
      </c>
      <c r="G717" s="249">
        <v>2261</v>
      </c>
      <c r="H717" s="249">
        <v>1807.4881583251554</v>
      </c>
      <c r="I717" s="249">
        <v>1666</v>
      </c>
      <c r="J717" s="249">
        <v>10103.9925</v>
      </c>
      <c r="K717" s="249">
        <v>4046</v>
      </c>
      <c r="L717" s="274">
        <f>AVERAGE(F717,H717,J717)</f>
        <v>4746.7702194417188</v>
      </c>
      <c r="M717" s="274">
        <f>AVERAGE(G717,I717,K717)*E1</f>
        <v>2737.3966666666665</v>
      </c>
      <c r="N717" s="255">
        <v>2300</v>
      </c>
      <c r="O717" s="135">
        <f>+N717*0.19</f>
        <v>437</v>
      </c>
      <c r="P717" s="135">
        <f>+N717+O717</f>
        <v>2737</v>
      </c>
      <c r="Q717" s="131"/>
      <c r="R717" s="131"/>
      <c r="S717" s="11"/>
      <c r="T717" s="274">
        <v>1540.0000000000002</v>
      </c>
      <c r="U717" s="274">
        <f>+T717*0.19</f>
        <v>292.60000000000002</v>
      </c>
      <c r="V717" s="274">
        <f>+T717+U717</f>
        <v>1832.6000000000004</v>
      </c>
      <c r="W717" s="39" t="s">
        <v>445</v>
      </c>
      <c r="X717" s="11" t="s">
        <v>4859</v>
      </c>
      <c r="Y717" s="11"/>
      <c r="Z717" s="274"/>
      <c r="AA717" s="274"/>
      <c r="AB717" s="274"/>
      <c r="AC717" s="52"/>
      <c r="AD717" s="22"/>
      <c r="AE717" s="39"/>
      <c r="AF717" s="274"/>
      <c r="AG717" s="274"/>
      <c r="AH717" s="171"/>
      <c r="AI717" s="4"/>
      <c r="AJ717" s="39"/>
      <c r="AK717" s="39"/>
      <c r="AL717" s="118"/>
      <c r="AM717" s="152"/>
      <c r="AN717" s="181"/>
      <c r="AO717" s="131"/>
      <c r="AP717" s="131"/>
      <c r="AQ717" s="39"/>
      <c r="AR717" s="274"/>
      <c r="AS717" s="274"/>
      <c r="AT717" s="274"/>
      <c r="AU717" s="39"/>
      <c r="AV717" s="39"/>
      <c r="AW717" s="39"/>
      <c r="AX717" s="274"/>
      <c r="AY717" s="274"/>
      <c r="AZ717" s="274"/>
      <c r="BA717" s="39"/>
      <c r="BB717" s="62"/>
      <c r="BC717" s="39"/>
      <c r="BD717" s="274"/>
      <c r="BE717" s="274"/>
      <c r="BF717" s="274"/>
      <c r="BG717" s="39"/>
      <c r="BH717" s="39"/>
      <c r="BI717" s="39"/>
      <c r="BJ717" s="274">
        <v>1200</v>
      </c>
      <c r="BK717" s="274">
        <f>+BJ717*0.19</f>
        <v>228</v>
      </c>
      <c r="BL717" s="274">
        <f>+BJ717+BK717</f>
        <v>1428</v>
      </c>
      <c r="BM717" s="213" t="s">
        <v>196</v>
      </c>
      <c r="BN717" s="213" t="s">
        <v>5016</v>
      </c>
      <c r="BO717" s="39"/>
      <c r="BP717" s="274">
        <v>350000</v>
      </c>
      <c r="BQ717" s="274">
        <f t="shared" si="237"/>
        <v>66500</v>
      </c>
      <c r="BR717" s="274">
        <f t="shared" si="238"/>
        <v>416500</v>
      </c>
      <c r="BS717" s="39"/>
      <c r="BT717" s="39"/>
      <c r="BU717" s="39"/>
      <c r="BV717" s="219">
        <v>1360.7123999999999</v>
      </c>
      <c r="BW717" s="219">
        <f>+BV717*0.19</f>
        <v>258.53535599999998</v>
      </c>
      <c r="BX717" s="273">
        <f>+BV717+BW717</f>
        <v>1619.2477559999998</v>
      </c>
      <c r="BY717" s="213" t="s">
        <v>196</v>
      </c>
      <c r="BZ717" s="213" t="s">
        <v>5016</v>
      </c>
      <c r="CA717" s="213"/>
      <c r="CB717" s="274"/>
      <c r="CC717" s="274"/>
      <c r="CD717" s="274"/>
      <c r="CE717" s="39"/>
      <c r="CF717" s="39"/>
      <c r="CG717" s="39"/>
      <c r="CH717" s="274"/>
      <c r="CI717" s="274"/>
      <c r="CJ717" s="274"/>
      <c r="CK717" s="39"/>
      <c r="CL717" s="39"/>
      <c r="CM717" s="39"/>
      <c r="CN717" s="39"/>
      <c r="CO717" s="39"/>
      <c r="CP717" s="11"/>
      <c r="CQ717" s="11"/>
      <c r="CR717" s="11"/>
      <c r="CS717" s="11"/>
      <c r="CT717" s="11"/>
      <c r="CU717" s="11"/>
      <c r="CV717" s="11"/>
      <c r="CW717" s="11"/>
      <c r="CX717" s="11"/>
      <c r="CY717" s="11"/>
      <c r="CZ717" s="11"/>
      <c r="DA717" s="11"/>
      <c r="DB717" s="11"/>
      <c r="DC717" s="11"/>
      <c r="DD717" s="11"/>
      <c r="DE717" s="11"/>
      <c r="DF717" s="11"/>
      <c r="DG717" s="11"/>
      <c r="DH717" s="11"/>
      <c r="DI717" s="11"/>
      <c r="DJ717" s="11"/>
      <c r="DK717" s="11"/>
      <c r="DL717" s="274"/>
      <c r="DM717" s="274"/>
      <c r="DN717" s="274"/>
      <c r="DO717" s="274"/>
      <c r="DP717" s="274"/>
      <c r="DQ717" s="274"/>
      <c r="DR717" s="274"/>
      <c r="DS717" s="274"/>
      <c r="DT717" s="274"/>
      <c r="DU717" s="274"/>
      <c r="DV717" s="274"/>
      <c r="DW717" s="274"/>
      <c r="DX717" s="274"/>
      <c r="DY717" s="274"/>
      <c r="DZ717" s="274"/>
      <c r="EA717" s="274"/>
      <c r="EB717" s="274"/>
      <c r="EC717" s="274"/>
      <c r="ED717" s="39">
        <f t="shared" si="239"/>
        <v>426854.24442266667</v>
      </c>
      <c r="EE717" s="30">
        <f t="shared" si="240"/>
        <v>6</v>
      </c>
      <c r="EF717" s="39">
        <f t="shared" si="241"/>
        <v>71142.37407044445</v>
      </c>
    </row>
    <row r="718" spans="1:136" x14ac:dyDescent="0.25">
      <c r="A718" s="25" t="e">
        <f>#REF!</f>
        <v>#REF!</v>
      </c>
      <c r="B718" s="50" t="e">
        <f>#REF!</f>
        <v>#REF!</v>
      </c>
      <c r="C718" s="5" t="e">
        <f>#REF!</f>
        <v>#REF!</v>
      </c>
      <c r="D718" s="5" t="e">
        <f>#REF!</f>
        <v>#REF!</v>
      </c>
      <c r="E718" s="252">
        <v>1</v>
      </c>
      <c r="F718" s="249">
        <v>0</v>
      </c>
      <c r="G718" s="249">
        <v>0</v>
      </c>
      <c r="H718" s="249">
        <v>190400</v>
      </c>
      <c r="I718" s="249">
        <v>148750</v>
      </c>
      <c r="J718" s="249">
        <v>174189.80000000002</v>
      </c>
      <c r="K718" s="249">
        <v>0</v>
      </c>
      <c r="L718" s="274">
        <f>AVERAGE(H718,J718)</f>
        <v>182294.90000000002</v>
      </c>
      <c r="M718" s="274">
        <f>I718*E1</f>
        <v>153212.5</v>
      </c>
      <c r="N718" s="255">
        <v>220000</v>
      </c>
      <c r="O718" s="135">
        <f>+N718*0.19</f>
        <v>41800</v>
      </c>
      <c r="P718" s="135">
        <f>+N718+O718</f>
        <v>261800</v>
      </c>
      <c r="Q718" s="131"/>
      <c r="R718" s="131"/>
      <c r="S718" s="11"/>
      <c r="T718" s="274"/>
      <c r="U718" s="274"/>
      <c r="V718" s="274"/>
      <c r="W718" s="39"/>
      <c r="X718" s="11"/>
      <c r="Y718" s="11"/>
      <c r="Z718" s="274"/>
      <c r="AA718" s="274"/>
      <c r="AB718" s="274"/>
      <c r="AC718" s="52"/>
      <c r="AD718" s="22"/>
      <c r="AE718" s="39"/>
      <c r="AF718" s="274"/>
      <c r="AG718" s="274"/>
      <c r="AH718" s="171"/>
      <c r="AI718" s="4"/>
      <c r="AJ718" s="39"/>
      <c r="AK718" s="39"/>
      <c r="AL718" s="118"/>
      <c r="AM718" s="152"/>
      <c r="AN718" s="181"/>
      <c r="AO718" s="131"/>
      <c r="AP718" s="131"/>
      <c r="AQ718" s="39"/>
      <c r="AR718" s="274"/>
      <c r="AS718" s="274"/>
      <c r="AT718" s="274"/>
      <c r="AU718" s="39"/>
      <c r="AV718" s="39"/>
      <c r="AW718" s="39"/>
      <c r="AX718" s="274"/>
      <c r="AY718" s="274"/>
      <c r="AZ718" s="274"/>
      <c r="BA718" s="39"/>
      <c r="BB718" s="62"/>
      <c r="BC718" s="39"/>
      <c r="BD718" s="274"/>
      <c r="BE718" s="274"/>
      <c r="BF718" s="274"/>
      <c r="BG718" s="39"/>
      <c r="BH718" s="39"/>
      <c r="BI718" s="39"/>
      <c r="BJ718" s="274">
        <v>560000</v>
      </c>
      <c r="BK718" s="274">
        <f>+BJ718*0.19</f>
        <v>106400</v>
      </c>
      <c r="BL718" s="274">
        <f>+BJ718+BK718</f>
        <v>666400</v>
      </c>
      <c r="BM718" s="214" t="s">
        <v>2005</v>
      </c>
      <c r="BN718" s="213"/>
      <c r="BO718" s="39"/>
      <c r="BP718" s="274">
        <v>450000</v>
      </c>
      <c r="BQ718" s="274">
        <f t="shared" si="237"/>
        <v>85500</v>
      </c>
      <c r="BR718" s="274">
        <f t="shared" si="238"/>
        <v>535500</v>
      </c>
      <c r="BS718" s="39"/>
      <c r="BT718" s="39"/>
      <c r="BU718" s="39"/>
      <c r="BV718" s="212">
        <v>666789.76</v>
      </c>
      <c r="BW718" s="219">
        <f>+BV718*0.19</f>
        <v>126690.05440000001</v>
      </c>
      <c r="BX718" s="273">
        <f>+BV718+BW718</f>
        <v>793479.81440000003</v>
      </c>
      <c r="BY718" s="214" t="s">
        <v>2005</v>
      </c>
      <c r="BZ718" s="213"/>
      <c r="CA718" s="213"/>
      <c r="CB718" s="274"/>
      <c r="CC718" s="274"/>
      <c r="CD718" s="274"/>
      <c r="CE718" s="39"/>
      <c r="CF718" s="39"/>
      <c r="CG718" s="39"/>
      <c r="CH718" s="274"/>
      <c r="CI718" s="274"/>
      <c r="CJ718" s="274"/>
      <c r="CK718" s="39"/>
      <c r="CL718" s="39"/>
      <c r="CM718" s="39"/>
      <c r="CN718" s="39"/>
      <c r="CO718" s="39"/>
      <c r="CP718" s="11"/>
      <c r="CQ718" s="11"/>
      <c r="CR718" s="11"/>
      <c r="CS718" s="11"/>
      <c r="CT718" s="11"/>
      <c r="CU718" s="11"/>
      <c r="CV718" s="11"/>
      <c r="CW718" s="11"/>
      <c r="CX718" s="11"/>
      <c r="CY718" s="11"/>
      <c r="CZ718" s="11"/>
      <c r="DA718" s="32"/>
      <c r="DB718" s="67"/>
      <c r="DC718" s="67"/>
      <c r="DD718" s="65"/>
      <c r="DE718" s="65"/>
      <c r="DF718" s="65"/>
      <c r="DG718" s="65"/>
      <c r="DH718" s="65"/>
      <c r="DI718" s="65"/>
      <c r="DJ718" s="65"/>
      <c r="DK718" s="65"/>
      <c r="DL718" s="61"/>
      <c r="DM718" s="61"/>
      <c r="DN718" s="61"/>
      <c r="DO718" s="61"/>
      <c r="DP718" s="61"/>
      <c r="DQ718" s="61"/>
      <c r="DR718" s="61"/>
      <c r="DS718" s="61"/>
      <c r="DT718" s="61"/>
      <c r="DU718" s="61"/>
      <c r="DV718" s="61"/>
      <c r="DW718" s="61"/>
      <c r="DX718" s="61"/>
      <c r="DY718" s="61"/>
      <c r="DZ718" s="61"/>
      <c r="EA718" s="61"/>
      <c r="EB718" s="61"/>
      <c r="EC718" s="61"/>
      <c r="ED718" s="39">
        <f t="shared" si="239"/>
        <v>2410392.3144</v>
      </c>
      <c r="EE718" s="30">
        <f t="shared" si="240"/>
        <v>5</v>
      </c>
      <c r="EF718" s="39">
        <f t="shared" si="241"/>
        <v>482078.46288000001</v>
      </c>
    </row>
    <row r="719" spans="1:136" x14ac:dyDescent="0.25">
      <c r="A719" s="25" t="e">
        <f>#REF!</f>
        <v>#REF!</v>
      </c>
      <c r="B719" s="50" t="e">
        <f>#REF!</f>
        <v>#REF!</v>
      </c>
      <c r="C719" s="5" t="e">
        <f>#REF!</f>
        <v>#REF!</v>
      </c>
      <c r="D719" s="5" t="e">
        <f>#REF!</f>
        <v>#REF!</v>
      </c>
      <c r="E719" s="252">
        <v>1</v>
      </c>
      <c r="F719" s="249">
        <v>0</v>
      </c>
      <c r="G719" s="249">
        <v>0</v>
      </c>
      <c r="H719" s="249">
        <v>370982.5</v>
      </c>
      <c r="I719" s="249">
        <v>0</v>
      </c>
      <c r="J719" s="249">
        <v>7814.3333333333339</v>
      </c>
      <c r="K719" s="249">
        <v>0</v>
      </c>
      <c r="L719" s="274">
        <f>AVERAGE(H719,J719)</f>
        <v>189398.41666666666</v>
      </c>
      <c r="M719" s="274"/>
      <c r="N719" s="255">
        <v>3500</v>
      </c>
      <c r="O719" s="135">
        <f>+N719*0.19</f>
        <v>665</v>
      </c>
      <c r="P719" s="135">
        <f>+N719+O719</f>
        <v>4165</v>
      </c>
      <c r="Q719" s="131"/>
      <c r="R719" s="131"/>
      <c r="S719" s="11"/>
      <c r="T719" s="274"/>
      <c r="U719" s="274"/>
      <c r="V719" s="274"/>
      <c r="W719" s="39"/>
      <c r="X719" s="11"/>
      <c r="Y719" s="11"/>
      <c r="Z719" s="274"/>
      <c r="AA719" s="274"/>
      <c r="AB719" s="274"/>
      <c r="AC719" s="52"/>
      <c r="AD719" s="22"/>
      <c r="AE719" s="39"/>
      <c r="AF719" s="274"/>
      <c r="AG719" s="274"/>
      <c r="AH719" s="171"/>
      <c r="AI719" s="22"/>
      <c r="AJ719" s="39"/>
      <c r="AK719" s="39"/>
      <c r="AL719" s="118"/>
      <c r="AM719" s="152"/>
      <c r="AN719" s="181"/>
      <c r="AO719" s="131"/>
      <c r="AP719" s="131"/>
      <c r="AQ719" s="39"/>
      <c r="AR719" s="274"/>
      <c r="AS719" s="274"/>
      <c r="AT719" s="274"/>
      <c r="AU719" s="39"/>
      <c r="AV719" s="39"/>
      <c r="AW719" s="39"/>
      <c r="AX719" s="274"/>
      <c r="AY719" s="274"/>
      <c r="AZ719" s="274"/>
      <c r="BA719" s="39"/>
      <c r="BB719" s="62"/>
      <c r="BC719" s="39"/>
      <c r="BD719" s="274"/>
      <c r="BE719" s="274"/>
      <c r="BF719" s="274"/>
      <c r="BG719" s="39"/>
      <c r="BH719" s="39"/>
      <c r="BI719" s="39"/>
      <c r="BJ719" s="274"/>
      <c r="BK719" s="274"/>
      <c r="BL719" s="274"/>
      <c r="BM719" s="213"/>
      <c r="BN719" s="213"/>
      <c r="BO719" s="39"/>
      <c r="BP719" s="274"/>
      <c r="BQ719" s="274"/>
      <c r="BR719" s="274"/>
      <c r="BS719" s="39"/>
      <c r="BT719" s="39"/>
      <c r="BU719" s="39"/>
      <c r="BV719" s="212"/>
      <c r="BW719" s="220"/>
      <c r="BX719" s="273"/>
      <c r="BY719" s="213"/>
      <c r="BZ719" s="213"/>
      <c r="CA719" s="213"/>
      <c r="CB719" s="274"/>
      <c r="CC719" s="274"/>
      <c r="CD719" s="274"/>
      <c r="CE719" s="39"/>
      <c r="CF719" s="39"/>
      <c r="CG719" s="39"/>
      <c r="CH719" s="274"/>
      <c r="CI719" s="274"/>
      <c r="CJ719" s="274"/>
      <c r="CK719" s="39"/>
      <c r="CL719" s="39"/>
      <c r="CM719" s="39"/>
      <c r="CN719" s="39"/>
      <c r="CO719" s="39"/>
      <c r="CP719" s="11"/>
      <c r="CQ719" s="11"/>
      <c r="CR719" s="11"/>
      <c r="CS719" s="11"/>
      <c r="CT719" s="11"/>
      <c r="CU719" s="11"/>
      <c r="CV719" s="11"/>
      <c r="CW719" s="11"/>
      <c r="CX719" s="11"/>
      <c r="CY719" s="11"/>
      <c r="CZ719" s="11"/>
      <c r="DA719" s="11"/>
      <c r="DB719" s="11"/>
      <c r="DC719" s="11"/>
      <c r="DD719" s="11"/>
      <c r="DE719" s="11"/>
      <c r="DF719" s="11"/>
      <c r="DG719" s="11"/>
      <c r="DH719" s="11"/>
      <c r="DI719" s="11"/>
      <c r="DJ719" s="11"/>
      <c r="DK719" s="11"/>
      <c r="DL719" s="274"/>
      <c r="DM719" s="274"/>
      <c r="DN719" s="274"/>
      <c r="DO719" s="274"/>
      <c r="DP719" s="274"/>
      <c r="DQ719" s="274"/>
      <c r="DR719" s="274"/>
      <c r="DS719" s="274"/>
      <c r="DT719" s="274"/>
      <c r="DU719" s="274"/>
      <c r="DV719" s="274"/>
      <c r="DW719" s="274"/>
      <c r="DX719" s="274"/>
      <c r="DY719" s="274"/>
      <c r="DZ719" s="274"/>
      <c r="EA719" s="274"/>
      <c r="EB719" s="274"/>
      <c r="EC719" s="274"/>
      <c r="ED719" s="39">
        <f t="shared" si="239"/>
        <v>4165</v>
      </c>
      <c r="EE719" s="30">
        <f t="shared" si="240"/>
        <v>1</v>
      </c>
      <c r="EF719" s="39">
        <f t="shared" si="241"/>
        <v>4165</v>
      </c>
    </row>
    <row r="720" spans="1:136" x14ac:dyDescent="0.25">
      <c r="A720" s="25" t="e">
        <f>#REF!</f>
        <v>#REF!</v>
      </c>
      <c r="B720" s="50" t="e">
        <f>#REF!</f>
        <v>#REF!</v>
      </c>
      <c r="C720" s="5" t="e">
        <f>#REF!</f>
        <v>#REF!</v>
      </c>
      <c r="D720" s="5" t="e">
        <f>#REF!</f>
        <v>#REF!</v>
      </c>
      <c r="E720" s="252">
        <v>1</v>
      </c>
      <c r="F720" s="249">
        <v>0</v>
      </c>
      <c r="G720" s="249">
        <v>0</v>
      </c>
      <c r="H720" s="249">
        <v>289153.65063787985</v>
      </c>
      <c r="I720" s="249">
        <v>289051</v>
      </c>
      <c r="J720" s="249">
        <v>0</v>
      </c>
      <c r="K720" s="249">
        <v>0</v>
      </c>
      <c r="L720" s="274">
        <f>H720</f>
        <v>289153.65063787985</v>
      </c>
      <c r="M720" s="274">
        <f>I720*E1</f>
        <v>297722.53000000003</v>
      </c>
      <c r="N720" s="255"/>
      <c r="O720" s="135"/>
      <c r="P720" s="135"/>
      <c r="Q720" s="131"/>
      <c r="R720" s="131"/>
      <c r="S720" s="11"/>
      <c r="T720" s="274">
        <f>1430*144</f>
        <v>205920</v>
      </c>
      <c r="U720" s="274">
        <f>+T720*0.19</f>
        <v>39124.800000000003</v>
      </c>
      <c r="V720" s="274">
        <f>+T720+U720</f>
        <v>245044.8</v>
      </c>
      <c r="W720" s="39" t="s">
        <v>445</v>
      </c>
      <c r="X720" s="11" t="s">
        <v>4859</v>
      </c>
      <c r="Y720" s="11"/>
      <c r="Z720" s="274"/>
      <c r="AA720" s="274"/>
      <c r="AB720" s="274"/>
      <c r="AC720" s="52"/>
      <c r="AD720" s="22"/>
      <c r="AE720" s="39"/>
      <c r="AF720" s="274"/>
      <c r="AG720" s="274"/>
      <c r="AH720" s="171"/>
      <c r="AI720" s="4"/>
      <c r="AJ720" s="39"/>
      <c r="AK720" s="39"/>
      <c r="AL720" s="118"/>
      <c r="AM720" s="152"/>
      <c r="AN720" s="181"/>
      <c r="AO720" s="131"/>
      <c r="AP720" s="131"/>
      <c r="AQ720" s="39"/>
      <c r="AR720" s="274"/>
      <c r="AS720" s="274"/>
      <c r="AT720" s="274"/>
      <c r="AU720" s="39"/>
      <c r="AV720" s="39"/>
      <c r="AW720" s="39"/>
      <c r="AX720" s="274"/>
      <c r="AY720" s="274"/>
      <c r="AZ720" s="274"/>
      <c r="BA720" s="39"/>
      <c r="BB720" s="62"/>
      <c r="BC720" s="39"/>
      <c r="BD720" s="274"/>
      <c r="BE720" s="274"/>
      <c r="BF720" s="274"/>
      <c r="BG720" s="39"/>
      <c r="BH720" s="39"/>
      <c r="BI720" s="39"/>
      <c r="BJ720" s="274">
        <v>718400</v>
      </c>
      <c r="BK720" s="274">
        <f t="shared" ref="BK720:BK734" si="242">+BJ720*0.19</f>
        <v>136496</v>
      </c>
      <c r="BL720" s="274">
        <f t="shared" ref="BL720:BL734" si="243">+BJ720+BK720</f>
        <v>854896</v>
      </c>
      <c r="BM720" s="213" t="s">
        <v>5017</v>
      </c>
      <c r="BN720" s="213" t="s">
        <v>338</v>
      </c>
      <c r="BO720" s="39"/>
      <c r="BP720" s="274">
        <v>652000</v>
      </c>
      <c r="BQ720" s="274">
        <f t="shared" ref="BQ720:BQ725" si="244">+BP720*19%</f>
        <v>123880</v>
      </c>
      <c r="BR720" s="274">
        <f t="shared" ref="BR720:BR725" si="245">+BQ720+BP720</f>
        <v>775880</v>
      </c>
      <c r="BS720" s="39"/>
      <c r="BT720" s="39"/>
      <c r="BU720" s="39"/>
      <c r="BV720" s="219">
        <v>762371.82719999994</v>
      </c>
      <c r="BW720" s="219">
        <f>+BV720*0.19</f>
        <v>144850.647168</v>
      </c>
      <c r="BX720" s="273">
        <f>+BV720+BW720</f>
        <v>907222.47436799994</v>
      </c>
      <c r="BY720" s="213" t="s">
        <v>5017</v>
      </c>
      <c r="BZ720" s="213" t="s">
        <v>338</v>
      </c>
      <c r="CA720" s="213"/>
      <c r="CB720" s="275"/>
      <c r="CC720" s="274"/>
      <c r="CD720" s="274"/>
      <c r="CE720" s="39"/>
      <c r="CF720" s="39"/>
      <c r="CG720" s="39"/>
      <c r="CH720" s="274"/>
      <c r="CI720" s="274"/>
      <c r="CJ720" s="274"/>
      <c r="CK720" s="39"/>
      <c r="CL720" s="39"/>
      <c r="CM720" s="39"/>
      <c r="CN720" s="39"/>
      <c r="CO720" s="39"/>
      <c r="CP720" s="11"/>
      <c r="CQ720" s="11"/>
      <c r="CR720" s="11"/>
      <c r="CS720" s="11"/>
      <c r="CT720" s="11"/>
      <c r="CU720" s="11"/>
      <c r="CV720" s="11"/>
      <c r="CW720" s="11"/>
      <c r="CX720" s="11"/>
      <c r="CY720" s="11"/>
      <c r="CZ720" s="11"/>
      <c r="DA720" s="11"/>
      <c r="DB720" s="11"/>
      <c r="DC720" s="11"/>
      <c r="DD720" s="11"/>
      <c r="DE720" s="11"/>
      <c r="DF720" s="11"/>
      <c r="DG720" s="11"/>
      <c r="DH720" s="11"/>
      <c r="DI720" s="11"/>
      <c r="DJ720" s="11"/>
      <c r="DK720" s="11"/>
      <c r="DL720" s="274"/>
      <c r="DM720" s="274"/>
      <c r="DN720" s="274"/>
      <c r="DO720" s="274"/>
      <c r="DP720" s="274"/>
      <c r="DQ720" s="274"/>
      <c r="DR720" s="274"/>
      <c r="DS720" s="274"/>
      <c r="DT720" s="274"/>
      <c r="DU720" s="274"/>
      <c r="DV720" s="274"/>
      <c r="DW720" s="274"/>
      <c r="DX720" s="274"/>
      <c r="DY720" s="274"/>
      <c r="DZ720" s="274"/>
      <c r="EA720" s="274"/>
      <c r="EB720" s="274"/>
      <c r="EC720" s="274"/>
      <c r="ED720" s="39">
        <f t="shared" si="239"/>
        <v>3080765.804368</v>
      </c>
      <c r="EE720" s="30">
        <f t="shared" si="240"/>
        <v>5</v>
      </c>
      <c r="EF720" s="39">
        <f t="shared" si="241"/>
        <v>616153.16087360005</v>
      </c>
    </row>
    <row r="721" spans="1:136" x14ac:dyDescent="0.25">
      <c r="A721" s="25" t="e">
        <f>#REF!</f>
        <v>#REF!</v>
      </c>
      <c r="B721" s="50" t="e">
        <f>#REF!</f>
        <v>#REF!</v>
      </c>
      <c r="C721" s="5" t="e">
        <f>#REF!</f>
        <v>#REF!</v>
      </c>
      <c r="D721" s="5" t="e">
        <f>#REF!</f>
        <v>#REF!</v>
      </c>
      <c r="E721" s="252">
        <v>1</v>
      </c>
      <c r="F721" s="249">
        <v>16719.5</v>
      </c>
      <c r="G721" s="249">
        <v>0</v>
      </c>
      <c r="H721" s="249">
        <v>279377.57329999999</v>
      </c>
      <c r="I721" s="249">
        <v>0</v>
      </c>
      <c r="J721" s="249">
        <v>80325</v>
      </c>
      <c r="K721" s="249">
        <v>29988</v>
      </c>
      <c r="L721" s="274">
        <f>AVERAGE(F721,H721,J721)</f>
        <v>125474.02443333332</v>
      </c>
      <c r="M721" s="274">
        <f>K721*E1</f>
        <v>30887.64</v>
      </c>
      <c r="N721" s="256">
        <v>35000</v>
      </c>
      <c r="O721" s="135">
        <f>+N721*0.19</f>
        <v>6650</v>
      </c>
      <c r="P721" s="135">
        <f>+N721+O721</f>
        <v>41650</v>
      </c>
      <c r="Q721" s="131"/>
      <c r="R721" s="131"/>
      <c r="S721" s="11"/>
      <c r="T721" s="274"/>
      <c r="U721" s="274"/>
      <c r="V721" s="274"/>
      <c r="W721" s="39"/>
      <c r="X721" s="11"/>
      <c r="Y721" s="11"/>
      <c r="Z721" s="274"/>
      <c r="AA721" s="274"/>
      <c r="AB721" s="274"/>
      <c r="AC721" s="52"/>
      <c r="AD721" s="22"/>
      <c r="AE721" s="39"/>
      <c r="AF721" s="274"/>
      <c r="AG721" s="274"/>
      <c r="AH721" s="171"/>
      <c r="AI721" s="22"/>
      <c r="AJ721" s="39"/>
      <c r="AK721" s="39"/>
      <c r="AL721" s="118"/>
      <c r="AM721" s="152"/>
      <c r="AN721" s="181"/>
      <c r="AO721" s="131"/>
      <c r="AP721" s="131"/>
      <c r="AQ721" s="39"/>
      <c r="AR721" s="274"/>
      <c r="AS721" s="274"/>
      <c r="AT721" s="274"/>
      <c r="AU721" s="39"/>
      <c r="AV721" s="39"/>
      <c r="AW721" s="39"/>
      <c r="AX721" s="274"/>
      <c r="AY721" s="274"/>
      <c r="AZ721" s="274"/>
      <c r="BA721" s="39"/>
      <c r="BB721" s="62"/>
      <c r="BC721" s="39"/>
      <c r="BD721" s="274"/>
      <c r="BE721" s="274"/>
      <c r="BF721" s="274"/>
      <c r="BG721" s="39"/>
      <c r="BH721" s="39"/>
      <c r="BI721" s="39"/>
      <c r="BJ721" s="274">
        <v>38000</v>
      </c>
      <c r="BK721" s="274">
        <f t="shared" si="242"/>
        <v>7220</v>
      </c>
      <c r="BL721" s="274">
        <f t="shared" si="243"/>
        <v>45220</v>
      </c>
      <c r="BM721" s="213" t="s">
        <v>5018</v>
      </c>
      <c r="BN721" s="213" t="s">
        <v>4809</v>
      </c>
      <c r="BO721" s="39"/>
      <c r="BP721" s="274">
        <v>985600</v>
      </c>
      <c r="BQ721" s="274">
        <f t="shared" si="244"/>
        <v>187264</v>
      </c>
      <c r="BR721" s="274">
        <f t="shared" si="245"/>
        <v>1172864</v>
      </c>
      <c r="BS721" s="39"/>
      <c r="BT721" s="39"/>
      <c r="BU721" s="39"/>
      <c r="BV721" s="212">
        <v>41918.94</v>
      </c>
      <c r="BW721" s="219">
        <f>+BV721*0.19</f>
        <v>7964.5986000000003</v>
      </c>
      <c r="BX721" s="273">
        <f>+BV721+BW721</f>
        <v>49883.5386</v>
      </c>
      <c r="BY721" s="213" t="s">
        <v>5018</v>
      </c>
      <c r="BZ721" s="213" t="s">
        <v>4809</v>
      </c>
      <c r="CA721" s="213"/>
      <c r="CB721" s="274"/>
      <c r="CC721" s="274"/>
      <c r="CD721" s="274"/>
      <c r="CE721" s="39"/>
      <c r="CF721" s="39"/>
      <c r="CG721" s="39"/>
      <c r="CH721" s="275"/>
      <c r="CI721" s="275"/>
      <c r="CJ721" s="275"/>
      <c r="CK721" s="39"/>
      <c r="CL721" s="39"/>
      <c r="CM721" s="39"/>
      <c r="CN721" s="39"/>
      <c r="CO721" s="39"/>
      <c r="CP721" s="11"/>
      <c r="CQ721" s="11"/>
      <c r="CR721" s="11"/>
      <c r="CS721" s="11"/>
      <c r="CT721" s="11"/>
      <c r="CU721" s="11"/>
      <c r="CV721" s="11"/>
      <c r="CW721" s="11"/>
      <c r="CX721" s="11"/>
      <c r="CY721" s="11"/>
      <c r="CZ721" s="11"/>
      <c r="DA721" s="11"/>
      <c r="DB721" s="11"/>
      <c r="DC721" s="11"/>
      <c r="DD721" s="11"/>
      <c r="DE721" s="11"/>
      <c r="DF721" s="11"/>
      <c r="DG721" s="11"/>
      <c r="DH721" s="11"/>
      <c r="DI721" s="11"/>
      <c r="DJ721" s="11"/>
      <c r="DK721" s="11"/>
      <c r="DL721" s="274"/>
      <c r="DM721" s="274"/>
      <c r="DN721" s="274"/>
      <c r="DO721" s="274"/>
      <c r="DP721" s="274"/>
      <c r="DQ721" s="274"/>
      <c r="DR721" s="274"/>
      <c r="DS721" s="274"/>
      <c r="DT721" s="274"/>
      <c r="DU721" s="274"/>
      <c r="DV721" s="274"/>
      <c r="DW721" s="274"/>
      <c r="DX721" s="274"/>
      <c r="DY721" s="274"/>
      <c r="DZ721" s="274"/>
      <c r="EA721" s="274"/>
      <c r="EB721" s="274"/>
      <c r="EC721" s="274"/>
      <c r="ED721" s="39">
        <f t="shared" si="239"/>
        <v>1340505.1786</v>
      </c>
      <c r="EE721" s="30">
        <f t="shared" si="240"/>
        <v>5</v>
      </c>
      <c r="EF721" s="39">
        <f t="shared" si="241"/>
        <v>268101.03571999999</v>
      </c>
    </row>
    <row r="722" spans="1:136" x14ac:dyDescent="0.25">
      <c r="A722" s="25" t="e">
        <f>#REF!</f>
        <v>#REF!</v>
      </c>
      <c r="B722" s="50" t="e">
        <f>#REF!</f>
        <v>#REF!</v>
      </c>
      <c r="C722" s="5" t="e">
        <f>#REF!</f>
        <v>#REF!</v>
      </c>
      <c r="D722" s="5" t="e">
        <f>#REF!</f>
        <v>#REF!</v>
      </c>
      <c r="E722" s="252">
        <v>1</v>
      </c>
      <c r="F722" s="249">
        <v>0</v>
      </c>
      <c r="G722" s="249">
        <v>0</v>
      </c>
      <c r="H722" s="249">
        <v>1422050</v>
      </c>
      <c r="I722" s="249">
        <v>0</v>
      </c>
      <c r="J722" s="249">
        <v>2320500</v>
      </c>
      <c r="K722" s="249">
        <v>2249100</v>
      </c>
      <c r="L722" s="274">
        <f>AVERAGE(H722,J722)</f>
        <v>1871275</v>
      </c>
      <c r="M722" s="274">
        <f>K722*E1</f>
        <v>2316573</v>
      </c>
      <c r="N722" s="255"/>
      <c r="O722" s="135"/>
      <c r="P722" s="135"/>
      <c r="Q722" s="131"/>
      <c r="R722" s="131"/>
      <c r="S722" s="11"/>
      <c r="T722" s="274"/>
      <c r="U722" s="274"/>
      <c r="V722" s="274"/>
      <c r="W722" s="39"/>
      <c r="X722" s="11"/>
      <c r="Y722" s="11"/>
      <c r="Z722" s="274"/>
      <c r="AA722" s="274"/>
      <c r="AB722" s="274"/>
      <c r="AC722" s="52"/>
      <c r="AD722" s="22"/>
      <c r="AE722" s="39"/>
      <c r="AF722" s="274"/>
      <c r="AG722" s="274"/>
      <c r="AH722" s="171"/>
      <c r="AI722" s="4"/>
      <c r="AJ722" s="39"/>
      <c r="AK722" s="39"/>
      <c r="AL722" s="118"/>
      <c r="AM722" s="152"/>
      <c r="AN722" s="152"/>
      <c r="AO722" s="131"/>
      <c r="AP722" s="131"/>
      <c r="AQ722" s="39"/>
      <c r="AR722" s="274"/>
      <c r="AS722" s="274"/>
      <c r="AT722" s="274"/>
      <c r="AU722" s="39"/>
      <c r="AV722" s="39"/>
      <c r="AW722" s="39"/>
      <c r="AX722" s="274"/>
      <c r="AY722" s="274"/>
      <c r="AZ722" s="274"/>
      <c r="BA722" s="39"/>
      <c r="BB722" s="62"/>
      <c r="BC722" s="39"/>
      <c r="BD722" s="274"/>
      <c r="BE722" s="274"/>
      <c r="BF722" s="274"/>
      <c r="BG722" s="39"/>
      <c r="BH722" s="39"/>
      <c r="BI722" s="39"/>
      <c r="BJ722" s="275">
        <v>2800000</v>
      </c>
      <c r="BK722" s="274">
        <f t="shared" si="242"/>
        <v>532000</v>
      </c>
      <c r="BL722" s="274">
        <f t="shared" si="243"/>
        <v>3332000</v>
      </c>
      <c r="BM722" s="213" t="s">
        <v>4897</v>
      </c>
      <c r="BN722" s="213" t="s">
        <v>5019</v>
      </c>
      <c r="BO722" s="39"/>
      <c r="BP722" s="274">
        <v>2650000</v>
      </c>
      <c r="BQ722" s="274">
        <f t="shared" si="244"/>
        <v>503500</v>
      </c>
      <c r="BR722" s="274">
        <f t="shared" si="245"/>
        <v>3153500</v>
      </c>
      <c r="BS722" s="39"/>
      <c r="BT722" s="39"/>
      <c r="BU722" s="39"/>
      <c r="BV722" s="219"/>
      <c r="BW722" s="219"/>
      <c r="BX722" s="273"/>
      <c r="BY722" s="213"/>
      <c r="BZ722" s="213"/>
      <c r="CA722" s="213"/>
      <c r="CB722" s="274"/>
      <c r="CC722" s="274"/>
      <c r="CD722" s="274"/>
      <c r="CE722" s="39"/>
      <c r="CF722" s="39"/>
      <c r="CG722" s="39"/>
      <c r="CH722" s="274"/>
      <c r="CI722" s="274"/>
      <c r="CJ722" s="274"/>
      <c r="CK722" s="39"/>
      <c r="CL722" s="39"/>
      <c r="CM722" s="39"/>
      <c r="CN722" s="39"/>
      <c r="CO722" s="39"/>
      <c r="CP722" s="11"/>
      <c r="CQ722" s="11"/>
      <c r="CR722" s="11"/>
      <c r="CS722" s="11"/>
      <c r="CT722" s="11"/>
      <c r="CU722" s="11"/>
      <c r="CV722" s="11"/>
      <c r="CW722" s="11"/>
      <c r="CX722" s="11"/>
      <c r="CY722" s="11"/>
      <c r="CZ722" s="11"/>
      <c r="DA722" s="11"/>
      <c r="DB722" s="11"/>
      <c r="DC722" s="11"/>
      <c r="DD722" s="11"/>
      <c r="DE722" s="11"/>
      <c r="DF722" s="11"/>
      <c r="DG722" s="11"/>
      <c r="DH722" s="11"/>
      <c r="DI722" s="11"/>
      <c r="DJ722" s="11"/>
      <c r="DK722" s="11"/>
      <c r="DL722" s="274"/>
      <c r="DM722" s="274"/>
      <c r="DN722" s="274"/>
      <c r="DO722" s="274"/>
      <c r="DP722" s="274"/>
      <c r="DQ722" s="274"/>
      <c r="DR722" s="274"/>
      <c r="DS722" s="274"/>
      <c r="DT722" s="274"/>
      <c r="DU722" s="274"/>
      <c r="DV722" s="274"/>
      <c r="DW722" s="274"/>
      <c r="DX722" s="274"/>
      <c r="DY722" s="274"/>
      <c r="DZ722" s="274"/>
      <c r="EA722" s="274"/>
      <c r="EB722" s="274"/>
      <c r="EC722" s="274"/>
      <c r="ED722" s="39">
        <f t="shared" si="239"/>
        <v>8802073</v>
      </c>
      <c r="EE722" s="30">
        <f t="shared" si="240"/>
        <v>3</v>
      </c>
      <c r="EF722" s="39">
        <f t="shared" si="241"/>
        <v>2934024.3333333335</v>
      </c>
    </row>
    <row r="723" spans="1:136" ht="102" x14ac:dyDescent="0.25">
      <c r="A723" s="25" t="e">
        <f>#REF!</f>
        <v>#REF!</v>
      </c>
      <c r="B723" s="50" t="e">
        <f>#REF!</f>
        <v>#REF!</v>
      </c>
      <c r="C723" s="5" t="e">
        <f>#REF!</f>
        <v>#REF!</v>
      </c>
      <c r="D723" s="5" t="e">
        <f>#REF!</f>
        <v>#REF!</v>
      </c>
      <c r="E723" s="252">
        <v>1</v>
      </c>
      <c r="F723" s="249">
        <v>108986.15</v>
      </c>
      <c r="G723" s="249">
        <v>0</v>
      </c>
      <c r="H723" s="249">
        <v>94144.584056264313</v>
      </c>
      <c r="I723" s="249">
        <v>94010</v>
      </c>
      <c r="J723" s="249">
        <v>159787.57862330799</v>
      </c>
      <c r="K723" s="249">
        <v>117810</v>
      </c>
      <c r="L723" s="274">
        <f>AVERAGE(F723,H723,J723)</f>
        <v>120972.77089319075</v>
      </c>
      <c r="M723" s="274">
        <f>AVERAGE(I723,K723)*E1</f>
        <v>109087.3</v>
      </c>
      <c r="N723" s="255"/>
      <c r="O723" s="135"/>
      <c r="P723" s="135"/>
      <c r="Q723" s="131"/>
      <c r="R723" s="131"/>
      <c r="S723" s="11"/>
      <c r="T723" s="274"/>
      <c r="U723" s="274"/>
      <c r="V723" s="274"/>
      <c r="W723" s="39"/>
      <c r="X723" s="11"/>
      <c r="Y723" s="11"/>
      <c r="Z723" s="274"/>
      <c r="AA723" s="274"/>
      <c r="AB723" s="274"/>
      <c r="AC723" s="52"/>
      <c r="AD723" s="22"/>
      <c r="AE723" s="39"/>
      <c r="AF723" s="274"/>
      <c r="AG723" s="274"/>
      <c r="AH723" s="171"/>
      <c r="AI723" s="4"/>
      <c r="AJ723" s="39"/>
      <c r="AK723" s="39"/>
      <c r="AL723" s="118"/>
      <c r="AM723" s="152"/>
      <c r="AN723" s="152"/>
      <c r="AO723" s="131"/>
      <c r="AP723" s="131"/>
      <c r="AQ723" s="39"/>
      <c r="AR723" s="274"/>
      <c r="AS723" s="274"/>
      <c r="AT723" s="274"/>
      <c r="AU723" s="39"/>
      <c r="AV723" s="39"/>
      <c r="AW723" s="39"/>
      <c r="AX723" s="274"/>
      <c r="AY723" s="274"/>
      <c r="AZ723" s="274"/>
      <c r="BA723" s="39"/>
      <c r="BB723" s="62"/>
      <c r="BC723" s="39"/>
      <c r="BD723" s="118">
        <v>70352</v>
      </c>
      <c r="BE723" s="274">
        <f>+BD723*0.19</f>
        <v>13366.880000000001</v>
      </c>
      <c r="BF723" s="274">
        <f>+BD723+BE723</f>
        <v>83718.880000000005</v>
      </c>
      <c r="BG723" s="25" t="s">
        <v>2966</v>
      </c>
      <c r="BH723" s="207" t="s">
        <v>5020</v>
      </c>
      <c r="BI723" s="5" t="s">
        <v>5021</v>
      </c>
      <c r="BJ723" s="274">
        <v>204300</v>
      </c>
      <c r="BK723" s="274">
        <f t="shared" si="242"/>
        <v>38817</v>
      </c>
      <c r="BL723" s="274">
        <f t="shared" si="243"/>
        <v>243117</v>
      </c>
      <c r="BM723" s="213" t="s">
        <v>4754</v>
      </c>
      <c r="BN723" s="213" t="s">
        <v>2925</v>
      </c>
      <c r="BO723" s="39"/>
      <c r="BP723" s="274">
        <v>396000</v>
      </c>
      <c r="BQ723" s="274">
        <f t="shared" si="244"/>
        <v>75240</v>
      </c>
      <c r="BR723" s="274">
        <f t="shared" si="245"/>
        <v>471240</v>
      </c>
      <c r="BS723" s="39"/>
      <c r="BT723" s="39"/>
      <c r="BU723" s="39"/>
      <c r="BV723" s="219">
        <v>227163.00870000003</v>
      </c>
      <c r="BW723" s="219">
        <f>+BV723*0.19</f>
        <v>43160.971653000008</v>
      </c>
      <c r="BX723" s="273">
        <f>+BV723+BW723</f>
        <v>270323.98035300005</v>
      </c>
      <c r="BY723" s="213" t="s">
        <v>4754</v>
      </c>
      <c r="BZ723" s="213" t="s">
        <v>2925</v>
      </c>
      <c r="CA723" s="213"/>
      <c r="CB723" s="274"/>
      <c r="CC723" s="274"/>
      <c r="CD723" s="274"/>
      <c r="CE723" s="39"/>
      <c r="CF723" s="39"/>
      <c r="CG723" s="39"/>
      <c r="CH723" s="274"/>
      <c r="CI723" s="274"/>
      <c r="CJ723" s="274"/>
      <c r="CK723" s="39"/>
      <c r="CL723" s="39"/>
      <c r="CM723" s="39"/>
      <c r="CN723" s="39"/>
      <c r="CO723" s="39"/>
      <c r="CP723" s="11"/>
      <c r="CQ723" s="11"/>
      <c r="CR723" s="11"/>
      <c r="CS723" s="11"/>
      <c r="CT723" s="11"/>
      <c r="CU723" s="11"/>
      <c r="CV723" s="11"/>
      <c r="CW723" s="11"/>
      <c r="CX723" s="11"/>
      <c r="CY723" s="11"/>
      <c r="CZ723" s="11"/>
      <c r="DA723" s="11"/>
      <c r="DB723" s="11"/>
      <c r="DC723" s="11"/>
      <c r="DD723" s="11"/>
      <c r="DE723" s="11"/>
      <c r="DF723" s="11"/>
      <c r="DG723" s="11"/>
      <c r="DH723" s="11"/>
      <c r="DI723" s="11"/>
      <c r="DJ723" s="11"/>
      <c r="DK723" s="11"/>
      <c r="DL723" s="274"/>
      <c r="DM723" s="274"/>
      <c r="DN723" s="274"/>
      <c r="DO723" s="274"/>
      <c r="DP723" s="274"/>
      <c r="DQ723" s="274"/>
      <c r="DR723" s="274"/>
      <c r="DS723" s="274"/>
      <c r="DT723" s="274"/>
      <c r="DU723" s="274"/>
      <c r="DV723" s="274"/>
      <c r="DW723" s="274"/>
      <c r="DX723" s="274"/>
      <c r="DY723" s="274"/>
      <c r="DZ723" s="274"/>
      <c r="EA723" s="274"/>
      <c r="EB723" s="274"/>
      <c r="EC723" s="274"/>
      <c r="ED723" s="39">
        <f t="shared" si="239"/>
        <v>1177487.160353</v>
      </c>
      <c r="EE723" s="30">
        <f t="shared" si="240"/>
        <v>5</v>
      </c>
      <c r="EF723" s="39">
        <f t="shared" si="241"/>
        <v>235497.43207060001</v>
      </c>
    </row>
    <row r="724" spans="1:136" x14ac:dyDescent="0.25">
      <c r="A724" s="25" t="e">
        <f>#REF!</f>
        <v>#REF!</v>
      </c>
      <c r="B724" s="50" t="e">
        <f>#REF!</f>
        <v>#REF!</v>
      </c>
      <c r="C724" s="5" t="e">
        <f>#REF!</f>
        <v>#REF!</v>
      </c>
      <c r="D724" s="5" t="e">
        <f>#REF!</f>
        <v>#REF!</v>
      </c>
      <c r="E724" s="252">
        <v>1</v>
      </c>
      <c r="F724" s="249">
        <v>7973</v>
      </c>
      <c r="G724" s="249">
        <v>7973</v>
      </c>
      <c r="H724" s="249">
        <v>7707.1579666666667</v>
      </c>
      <c r="I724" s="249">
        <v>7616</v>
      </c>
      <c r="J724" s="249">
        <v>100326.2225</v>
      </c>
      <c r="K724" s="249">
        <v>99960</v>
      </c>
      <c r="L724" s="274">
        <f>AVERAGE(F724,H724,J724)</f>
        <v>38668.793488888892</v>
      </c>
      <c r="M724" s="274">
        <f>AVERAGE(G724,I724,K724)*E1</f>
        <v>39671.823333333334</v>
      </c>
      <c r="N724" s="255">
        <v>7500</v>
      </c>
      <c r="O724" s="135">
        <f>+N724*0.19</f>
        <v>1425</v>
      </c>
      <c r="P724" s="135">
        <f>+N724+O724</f>
        <v>8925</v>
      </c>
      <c r="Q724" s="131"/>
      <c r="R724" s="131"/>
      <c r="S724" s="11"/>
      <c r="T724" s="274"/>
      <c r="U724" s="274"/>
      <c r="V724" s="274"/>
      <c r="W724" s="39"/>
      <c r="X724" s="11"/>
      <c r="Y724" s="11"/>
      <c r="Z724" s="274"/>
      <c r="AA724" s="274"/>
      <c r="AB724" s="274"/>
      <c r="AC724" s="52"/>
      <c r="AD724" s="22"/>
      <c r="AE724" s="39"/>
      <c r="AF724" s="274"/>
      <c r="AG724" s="274"/>
      <c r="AH724" s="171"/>
      <c r="AI724" s="4"/>
      <c r="AJ724" s="39"/>
      <c r="AK724" s="39"/>
      <c r="AL724" s="118"/>
      <c r="AM724" s="152"/>
      <c r="AN724" s="181"/>
      <c r="AO724" s="131"/>
      <c r="AP724" s="131"/>
      <c r="AQ724" s="39"/>
      <c r="AR724" s="274"/>
      <c r="AS724" s="274"/>
      <c r="AT724" s="274"/>
      <c r="AU724" s="39"/>
      <c r="AV724" s="39"/>
      <c r="AW724" s="39"/>
      <c r="AX724" s="274"/>
      <c r="AY724" s="274"/>
      <c r="AZ724" s="274"/>
      <c r="BA724" s="39"/>
      <c r="BB724" s="62"/>
      <c r="BC724" s="39"/>
      <c r="BD724" s="274"/>
      <c r="BE724" s="274"/>
      <c r="BF724" s="274"/>
      <c r="BG724" s="39"/>
      <c r="BH724" s="39"/>
      <c r="BI724" s="39"/>
      <c r="BJ724" s="274">
        <v>11700</v>
      </c>
      <c r="BK724" s="274">
        <f t="shared" si="242"/>
        <v>2223</v>
      </c>
      <c r="BL724" s="274">
        <f t="shared" si="243"/>
        <v>13923</v>
      </c>
      <c r="BM724" s="213" t="s">
        <v>4738</v>
      </c>
      <c r="BN724" s="213" t="s">
        <v>5022</v>
      </c>
      <c r="BO724" s="39"/>
      <c r="BP724" s="274">
        <v>26500</v>
      </c>
      <c r="BQ724" s="274">
        <f t="shared" si="244"/>
        <v>5035</v>
      </c>
      <c r="BR724" s="274">
        <f t="shared" si="245"/>
        <v>31535</v>
      </c>
      <c r="BS724" s="39"/>
      <c r="BT724" s="39"/>
      <c r="BU724" s="39"/>
      <c r="BV724" s="219">
        <v>12907.814400000001</v>
      </c>
      <c r="BW724" s="219">
        <f>+BV724*0.19</f>
        <v>2452.4847360000003</v>
      </c>
      <c r="BX724" s="273">
        <f>+BV724+BW724</f>
        <v>15360.299136000001</v>
      </c>
      <c r="BY724" s="213" t="s">
        <v>4738</v>
      </c>
      <c r="BZ724" s="213" t="s">
        <v>5022</v>
      </c>
      <c r="CA724" s="213"/>
      <c r="CB724" s="274"/>
      <c r="CC724" s="274"/>
      <c r="CD724" s="274"/>
      <c r="CE724" s="39"/>
      <c r="CF724" s="39"/>
      <c r="CG724" s="39"/>
      <c r="CH724" s="274"/>
      <c r="CI724" s="274"/>
      <c r="CJ724" s="274"/>
      <c r="CK724" s="39"/>
      <c r="CL724" s="39"/>
      <c r="CM724" s="39"/>
      <c r="CN724" s="39"/>
      <c r="CO724" s="39"/>
      <c r="CP724" s="11"/>
      <c r="CQ724" s="11"/>
      <c r="CR724" s="11"/>
      <c r="CS724" s="11"/>
      <c r="CT724" s="11"/>
      <c r="CU724" s="11"/>
      <c r="CV724" s="11"/>
      <c r="CW724" s="11"/>
      <c r="CX724" s="11"/>
      <c r="CY724" s="11"/>
      <c r="CZ724" s="11"/>
      <c r="DA724" s="11"/>
      <c r="DB724" s="11"/>
      <c r="DC724" s="11"/>
      <c r="DD724" s="11"/>
      <c r="DE724" s="11"/>
      <c r="DF724" s="11"/>
      <c r="DG724" s="11"/>
      <c r="DH724" s="11"/>
      <c r="DI724" s="11"/>
      <c r="DJ724" s="11"/>
      <c r="DK724" s="11"/>
      <c r="DL724" s="274"/>
      <c r="DM724" s="274"/>
      <c r="DN724" s="274"/>
      <c r="DO724" s="274"/>
      <c r="DP724" s="274"/>
      <c r="DQ724" s="274"/>
      <c r="DR724" s="274"/>
      <c r="DS724" s="274"/>
      <c r="DT724" s="274"/>
      <c r="DU724" s="274"/>
      <c r="DV724" s="274"/>
      <c r="DW724" s="274"/>
      <c r="DX724" s="274"/>
      <c r="DY724" s="274"/>
      <c r="DZ724" s="274"/>
      <c r="EA724" s="274"/>
      <c r="EB724" s="274"/>
      <c r="EC724" s="274"/>
      <c r="ED724" s="39">
        <f t="shared" si="239"/>
        <v>109415.12246933334</v>
      </c>
      <c r="EE724" s="30">
        <f t="shared" si="240"/>
        <v>5</v>
      </c>
      <c r="EF724" s="39">
        <f t="shared" si="241"/>
        <v>21883.024493866666</v>
      </c>
    </row>
    <row r="725" spans="1:136" x14ac:dyDescent="0.25">
      <c r="A725" s="25" t="e">
        <f>#REF!</f>
        <v>#REF!</v>
      </c>
      <c r="B725" s="50" t="e">
        <f>#REF!</f>
        <v>#REF!</v>
      </c>
      <c r="C725" s="5" t="e">
        <f>#REF!</f>
        <v>#REF!</v>
      </c>
      <c r="D725" s="5" t="e">
        <f>#REF!</f>
        <v>#REF!</v>
      </c>
      <c r="E725" s="252">
        <v>1</v>
      </c>
      <c r="F725" s="249">
        <v>0</v>
      </c>
      <c r="G725" s="249">
        <v>0</v>
      </c>
      <c r="H725" s="249">
        <v>152450.9</v>
      </c>
      <c r="I725" s="249">
        <v>0</v>
      </c>
      <c r="J725" s="249">
        <v>0</v>
      </c>
      <c r="K725" s="249">
        <v>0</v>
      </c>
      <c r="L725" s="274">
        <f>H725</f>
        <v>152450.9</v>
      </c>
      <c r="M725" s="274"/>
      <c r="N725" s="255"/>
      <c r="O725" s="135"/>
      <c r="P725" s="135"/>
      <c r="Q725" s="131"/>
      <c r="R725" s="131"/>
      <c r="S725" s="11"/>
      <c r="T725" s="274"/>
      <c r="U725" s="274"/>
      <c r="V725" s="274"/>
      <c r="W725" s="39"/>
      <c r="X725" s="11"/>
      <c r="Y725" s="11"/>
      <c r="Z725" s="274"/>
      <c r="AA725" s="274"/>
      <c r="AB725" s="274"/>
      <c r="AC725" s="52"/>
      <c r="AD725" s="22"/>
      <c r="AE725" s="39"/>
      <c r="AF725" s="274"/>
      <c r="AG725" s="274"/>
      <c r="AH725" s="171"/>
      <c r="AI725" s="4"/>
      <c r="AJ725" s="39"/>
      <c r="AK725" s="39"/>
      <c r="AL725" s="118"/>
      <c r="AM725" s="152"/>
      <c r="AN725" s="181"/>
      <c r="AO725" s="131"/>
      <c r="AP725" s="131"/>
      <c r="AQ725" s="39"/>
      <c r="AR725" s="274"/>
      <c r="AS725" s="274"/>
      <c r="AT725" s="274"/>
      <c r="AU725" s="39"/>
      <c r="AV725" s="39"/>
      <c r="AW725" s="39"/>
      <c r="AX725" s="274"/>
      <c r="AY725" s="274"/>
      <c r="AZ725" s="274"/>
      <c r="BA725" s="39"/>
      <c r="BB725" s="62"/>
      <c r="BC725" s="39"/>
      <c r="BD725" s="274"/>
      <c r="BE725" s="274"/>
      <c r="BF725" s="274"/>
      <c r="BG725" s="39"/>
      <c r="BH725" s="39"/>
      <c r="BI725" s="39"/>
      <c r="BJ725" s="274">
        <v>347400</v>
      </c>
      <c r="BK725" s="274">
        <f t="shared" si="242"/>
        <v>66006</v>
      </c>
      <c r="BL725" s="274">
        <f t="shared" si="243"/>
        <v>413406</v>
      </c>
      <c r="BM725" s="213" t="s">
        <v>4754</v>
      </c>
      <c r="BN725" s="213" t="s">
        <v>338</v>
      </c>
      <c r="BO725" s="39"/>
      <c r="BP725" s="274">
        <v>465000</v>
      </c>
      <c r="BQ725" s="274">
        <f t="shared" si="244"/>
        <v>88350</v>
      </c>
      <c r="BR725" s="274">
        <f t="shared" si="245"/>
        <v>553350</v>
      </c>
      <c r="BS725" s="39"/>
      <c r="BT725" s="39"/>
      <c r="BU725" s="39"/>
      <c r="BV725" s="219">
        <v>394535.23200000002</v>
      </c>
      <c r="BW725" s="219">
        <f>+BV725*0.19</f>
        <v>74961.694080000001</v>
      </c>
      <c r="BX725" s="273">
        <f>+BV725+BW725</f>
        <v>469496.92608</v>
      </c>
      <c r="BY725" s="213" t="s">
        <v>4754</v>
      </c>
      <c r="BZ725" s="213" t="s">
        <v>338</v>
      </c>
      <c r="CA725" s="213"/>
      <c r="CB725" s="274"/>
      <c r="CC725" s="274"/>
      <c r="CD725" s="274"/>
      <c r="CE725" s="39"/>
      <c r="CF725" s="39"/>
      <c r="CG725" s="39"/>
      <c r="CH725" s="274"/>
      <c r="CI725" s="274"/>
      <c r="CJ725" s="274"/>
      <c r="CK725" s="39"/>
      <c r="CL725" s="39"/>
      <c r="CM725" s="39"/>
      <c r="CN725" s="39"/>
      <c r="CO725" s="39"/>
      <c r="CP725" s="11"/>
      <c r="CQ725" s="11"/>
      <c r="CR725" s="11"/>
      <c r="CS725" s="11"/>
      <c r="CT725" s="11"/>
      <c r="CU725" s="11"/>
      <c r="CV725" s="11"/>
      <c r="CW725" s="11"/>
      <c r="CX725" s="11"/>
      <c r="CY725" s="11"/>
      <c r="CZ725" s="11"/>
      <c r="DA725" s="11"/>
      <c r="DB725" s="11"/>
      <c r="DC725" s="11"/>
      <c r="DD725" s="11"/>
      <c r="DE725" s="11"/>
      <c r="DF725" s="11"/>
      <c r="DG725" s="11"/>
      <c r="DH725" s="11"/>
      <c r="DI725" s="11"/>
      <c r="DJ725" s="11"/>
      <c r="DK725" s="11"/>
      <c r="DL725" s="274"/>
      <c r="DM725" s="274"/>
      <c r="DN725" s="274"/>
      <c r="DO725" s="274"/>
      <c r="DP725" s="274"/>
      <c r="DQ725" s="274"/>
      <c r="DR725" s="274"/>
      <c r="DS725" s="274"/>
      <c r="DT725" s="274"/>
      <c r="DU725" s="274"/>
      <c r="DV725" s="274"/>
      <c r="DW725" s="274"/>
      <c r="DX725" s="274"/>
      <c r="DY725" s="274"/>
      <c r="DZ725" s="274"/>
      <c r="EA725" s="274"/>
      <c r="EB725" s="274"/>
      <c r="EC725" s="274"/>
      <c r="ED725" s="39">
        <f t="shared" si="239"/>
        <v>1436252.9260800001</v>
      </c>
      <c r="EE725" s="30">
        <f t="shared" si="240"/>
        <v>3</v>
      </c>
      <c r="EF725" s="39">
        <f t="shared" si="241"/>
        <v>478750.97536000004</v>
      </c>
    </row>
    <row r="726" spans="1:136" ht="102" x14ac:dyDescent="0.25">
      <c r="A726" s="25" t="e">
        <f>#REF!</f>
        <v>#REF!</v>
      </c>
      <c r="B726" s="50" t="e">
        <f>#REF!</f>
        <v>#REF!</v>
      </c>
      <c r="C726" s="5" t="e">
        <f>#REF!</f>
        <v>#REF!</v>
      </c>
      <c r="D726" s="5" t="e">
        <f>#REF!</f>
        <v>#REF!</v>
      </c>
      <c r="E726" s="252">
        <v>1</v>
      </c>
      <c r="F726" s="249">
        <v>108986.15</v>
      </c>
      <c r="G726" s="249">
        <v>105672</v>
      </c>
      <c r="H726" s="249">
        <v>143984.44666666666</v>
      </c>
      <c r="I726" s="249">
        <v>0</v>
      </c>
      <c r="J726" s="249">
        <v>109915.54195664132</v>
      </c>
      <c r="K726" s="249">
        <v>109480</v>
      </c>
      <c r="L726" s="274">
        <f>AVERAGE(F726,H726,J726)</f>
        <v>120962.04620776932</v>
      </c>
      <c r="M726" s="274">
        <f>AVERAGE(G726,K726)*E1</f>
        <v>110803.28</v>
      </c>
      <c r="N726" s="255"/>
      <c r="O726" s="135"/>
      <c r="P726" s="135"/>
      <c r="Q726" s="131"/>
      <c r="R726" s="131"/>
      <c r="S726" s="11"/>
      <c r="T726" s="274"/>
      <c r="U726" s="274"/>
      <c r="V726" s="274"/>
      <c r="W726" s="39"/>
      <c r="X726" s="11"/>
      <c r="Y726" s="11"/>
      <c r="Z726" s="274">
        <v>240000</v>
      </c>
      <c r="AA726" s="274">
        <f>+Z726*0.19</f>
        <v>45600</v>
      </c>
      <c r="AB726" s="274">
        <f>+Z726+AA726</f>
        <v>285600</v>
      </c>
      <c r="AC726" s="52" t="s">
        <v>5023</v>
      </c>
      <c r="AD726" s="22" t="s">
        <v>4795</v>
      </c>
      <c r="AE726" s="39"/>
      <c r="AF726" s="274"/>
      <c r="AG726" s="274"/>
      <c r="AH726" s="171"/>
      <c r="AI726" s="4"/>
      <c r="AJ726" s="39"/>
      <c r="AK726" s="39"/>
      <c r="AL726" s="118"/>
      <c r="AM726" s="152"/>
      <c r="AN726" s="152"/>
      <c r="AO726" s="131"/>
      <c r="AP726" s="131"/>
      <c r="AQ726" s="39"/>
      <c r="AR726" s="274"/>
      <c r="AS726" s="274"/>
      <c r="AT726" s="274"/>
      <c r="AU726" s="39"/>
      <c r="AV726" s="39"/>
      <c r="AW726" s="39"/>
      <c r="AX726" s="274"/>
      <c r="AY726" s="274"/>
      <c r="AZ726" s="274"/>
      <c r="BA726" s="39"/>
      <c r="BB726" s="62"/>
      <c r="BC726" s="39"/>
      <c r="BD726" s="118">
        <v>70352</v>
      </c>
      <c r="BE726" s="274">
        <f>+BD726*0.19</f>
        <v>13366.880000000001</v>
      </c>
      <c r="BF726" s="274">
        <f>+BD726+BE726</f>
        <v>83718.880000000005</v>
      </c>
      <c r="BG726" s="25" t="s">
        <v>2966</v>
      </c>
      <c r="BH726" s="207" t="s">
        <v>5024</v>
      </c>
      <c r="BI726" s="5" t="s">
        <v>5021</v>
      </c>
      <c r="BJ726" s="275">
        <v>694800</v>
      </c>
      <c r="BK726" s="274">
        <f t="shared" si="242"/>
        <v>132012</v>
      </c>
      <c r="BL726" s="274">
        <f t="shared" si="243"/>
        <v>826812</v>
      </c>
      <c r="BM726" s="213" t="s">
        <v>4754</v>
      </c>
      <c r="BN726" s="213" t="s">
        <v>338</v>
      </c>
      <c r="BO726" s="39"/>
      <c r="BP726" s="274"/>
      <c r="BQ726" s="274"/>
      <c r="BR726" s="274"/>
      <c r="BS726" s="39"/>
      <c r="BT726" s="39"/>
      <c r="BU726" s="39"/>
      <c r="BV726" s="219"/>
      <c r="BW726" s="219"/>
      <c r="BX726" s="273"/>
      <c r="BY726" s="213"/>
      <c r="BZ726" s="213"/>
      <c r="CA726" s="213"/>
      <c r="CB726" s="274"/>
      <c r="CC726" s="274"/>
      <c r="CD726" s="274"/>
      <c r="CE726" s="39"/>
      <c r="CF726" s="39"/>
      <c r="CG726" s="39"/>
      <c r="CH726" s="274"/>
      <c r="CI726" s="274"/>
      <c r="CJ726" s="274"/>
      <c r="CK726" s="39"/>
      <c r="CL726" s="39"/>
      <c r="CM726" s="39"/>
      <c r="CN726" s="39"/>
      <c r="CO726" s="39"/>
      <c r="CP726" s="11"/>
      <c r="CQ726" s="11"/>
      <c r="CR726" s="11"/>
      <c r="CS726" s="11"/>
      <c r="CT726" s="11"/>
      <c r="CU726" s="11"/>
      <c r="CV726" s="11"/>
      <c r="CW726" s="11"/>
      <c r="CX726" s="11"/>
      <c r="CY726" s="11"/>
      <c r="CZ726" s="11"/>
      <c r="DA726" s="11"/>
      <c r="DB726" s="11"/>
      <c r="DC726" s="11"/>
      <c r="DD726" s="11"/>
      <c r="DE726" s="11"/>
      <c r="DF726" s="11"/>
      <c r="DG726" s="11"/>
      <c r="DH726" s="11"/>
      <c r="DI726" s="11"/>
      <c r="DJ726" s="11"/>
      <c r="DK726" s="11"/>
      <c r="DL726" s="274"/>
      <c r="DM726" s="274"/>
      <c r="DN726" s="274"/>
      <c r="DO726" s="274"/>
      <c r="DP726" s="274"/>
      <c r="DQ726" s="274"/>
      <c r="DR726" s="274"/>
      <c r="DS726" s="274"/>
      <c r="DT726" s="274"/>
      <c r="DU726" s="274"/>
      <c r="DV726" s="274"/>
      <c r="DW726" s="274"/>
      <c r="DX726" s="274"/>
      <c r="DY726" s="274"/>
      <c r="DZ726" s="274"/>
      <c r="EA726" s="274"/>
      <c r="EB726" s="274"/>
      <c r="EC726" s="274"/>
      <c r="ED726" s="39">
        <f t="shared" si="239"/>
        <v>1306934.1600000001</v>
      </c>
      <c r="EE726" s="30">
        <f t="shared" si="240"/>
        <v>4</v>
      </c>
      <c r="EF726" s="39">
        <f t="shared" si="241"/>
        <v>326733.54000000004</v>
      </c>
    </row>
    <row r="727" spans="1:136" ht="63.75" x14ac:dyDescent="0.25">
      <c r="A727" s="25" t="e">
        <f>#REF!</f>
        <v>#REF!</v>
      </c>
      <c r="B727" s="50" t="e">
        <f>#REF!</f>
        <v>#REF!</v>
      </c>
      <c r="C727" s="5" t="e">
        <f>#REF!</f>
        <v>#REF!</v>
      </c>
      <c r="D727" s="5" t="e">
        <f>#REF!</f>
        <v>#REF!</v>
      </c>
      <c r="E727" s="252">
        <v>1</v>
      </c>
      <c r="F727" s="249">
        <v>282303.7</v>
      </c>
      <c r="G727" s="249">
        <v>277984</v>
      </c>
      <c r="H727" s="249">
        <v>306181.05</v>
      </c>
      <c r="I727" s="249">
        <v>306068</v>
      </c>
      <c r="J727" s="249">
        <v>319846.72560190002</v>
      </c>
      <c r="K727" s="249">
        <v>0</v>
      </c>
      <c r="L727" s="274">
        <f>AVERAGE(F727,H727,J727)</f>
        <v>302777.15853396669</v>
      </c>
      <c r="M727" s="274">
        <f>AVERAGE(G727,I727)*E1</f>
        <v>300786.78000000003</v>
      </c>
      <c r="N727" s="255">
        <v>350000</v>
      </c>
      <c r="O727" s="135">
        <f>+N727*0.19</f>
        <v>66500</v>
      </c>
      <c r="P727" s="135">
        <f>+N727+O727</f>
        <v>416500</v>
      </c>
      <c r="Q727" s="131"/>
      <c r="R727" s="131"/>
      <c r="S727" s="11"/>
      <c r="T727" s="274"/>
      <c r="U727" s="274"/>
      <c r="V727" s="274"/>
      <c r="W727" s="39"/>
      <c r="X727" s="11"/>
      <c r="Y727" s="11"/>
      <c r="Z727" s="274">
        <v>210000</v>
      </c>
      <c r="AA727" s="274">
        <f>+Z727*0.19</f>
        <v>39900</v>
      </c>
      <c r="AB727" s="274">
        <f>+Z727+AA727</f>
        <v>249900</v>
      </c>
      <c r="AC727" s="52" t="s">
        <v>3732</v>
      </c>
      <c r="AD727" s="22" t="s">
        <v>4795</v>
      </c>
      <c r="AE727" s="39"/>
      <c r="AF727" s="274"/>
      <c r="AG727" s="274"/>
      <c r="AH727" s="171"/>
      <c r="AI727" s="22"/>
      <c r="AJ727" s="39"/>
      <c r="AK727" s="39"/>
      <c r="AL727" s="118"/>
      <c r="AM727" s="152"/>
      <c r="AN727" s="152"/>
      <c r="AO727" s="131"/>
      <c r="AP727" s="131"/>
      <c r="AQ727" s="39"/>
      <c r="AR727" s="274"/>
      <c r="AS727" s="274"/>
      <c r="AT727" s="274"/>
      <c r="AU727" s="39"/>
      <c r="AV727" s="39"/>
      <c r="AW727" s="39"/>
      <c r="AX727" s="274"/>
      <c r="AY727" s="274"/>
      <c r="AZ727" s="274"/>
      <c r="BA727" s="39"/>
      <c r="BB727" s="62"/>
      <c r="BC727" s="39"/>
      <c r="BD727" s="118">
        <f>373720/2</f>
        <v>186860</v>
      </c>
      <c r="BE727" s="274">
        <f>+BD727*0.19</f>
        <v>35503.4</v>
      </c>
      <c r="BF727" s="274">
        <f>+BD727+BE727</f>
        <v>222363.4</v>
      </c>
      <c r="BG727" s="25" t="s">
        <v>5025</v>
      </c>
      <c r="BH727" s="207" t="s">
        <v>5026</v>
      </c>
      <c r="BI727" s="5" t="s">
        <v>5027</v>
      </c>
      <c r="BJ727" s="274">
        <v>353800</v>
      </c>
      <c r="BK727" s="274">
        <f t="shared" si="242"/>
        <v>67222</v>
      </c>
      <c r="BL727" s="274">
        <f t="shared" si="243"/>
        <v>421022</v>
      </c>
      <c r="BM727" s="213" t="s">
        <v>4792</v>
      </c>
      <c r="BN727" s="213" t="s">
        <v>2925</v>
      </c>
      <c r="BO727" s="39"/>
      <c r="BP727" s="274">
        <v>196000</v>
      </c>
      <c r="BQ727" s="274">
        <f t="shared" ref="BQ727:BQ735" si="246">+BP727*19%</f>
        <v>37240</v>
      </c>
      <c r="BR727" s="274">
        <f t="shared" ref="BR727:BR735" si="247">+BQ727+BP727</f>
        <v>233240</v>
      </c>
      <c r="BS727" s="39"/>
      <c r="BT727" s="39"/>
      <c r="BU727" s="39"/>
      <c r="BV727" s="219">
        <v>405519.89920000004</v>
      </c>
      <c r="BW727" s="219">
        <f>+BV727*0.19</f>
        <v>77048.780848000009</v>
      </c>
      <c r="BX727" s="273">
        <f>+BV727+BW727</f>
        <v>482568.68004800007</v>
      </c>
      <c r="BY727" s="213" t="s">
        <v>4792</v>
      </c>
      <c r="BZ727" s="213" t="s">
        <v>2925</v>
      </c>
      <c r="CA727" s="213"/>
      <c r="CB727" s="274"/>
      <c r="CC727" s="274"/>
      <c r="CD727" s="274"/>
      <c r="CE727" s="39"/>
      <c r="CF727" s="39"/>
      <c r="CG727" s="39"/>
      <c r="CH727" s="274"/>
      <c r="CI727" s="274"/>
      <c r="CJ727" s="274"/>
      <c r="CK727" s="39"/>
      <c r="CL727" s="39"/>
      <c r="CM727" s="39"/>
      <c r="CN727" s="39"/>
      <c r="CO727" s="39"/>
      <c r="CP727" s="11"/>
      <c r="CQ727" s="11"/>
      <c r="CR727" s="11"/>
      <c r="CS727" s="11"/>
      <c r="CT727" s="11"/>
      <c r="CU727" s="11"/>
      <c r="CV727" s="11"/>
      <c r="CW727" s="11"/>
      <c r="CX727" s="11"/>
      <c r="CY727" s="11"/>
      <c r="CZ727" s="11"/>
      <c r="DA727" s="11"/>
      <c r="DB727" s="11"/>
      <c r="DC727" s="11"/>
      <c r="DD727" s="11"/>
      <c r="DE727" s="11"/>
      <c r="DF727" s="11"/>
      <c r="DG727" s="11"/>
      <c r="DH727" s="11"/>
      <c r="DI727" s="11"/>
      <c r="DJ727" s="11"/>
      <c r="DK727" s="11"/>
      <c r="DL727" s="274"/>
      <c r="DM727" s="274"/>
      <c r="DN727" s="274"/>
      <c r="DO727" s="274"/>
      <c r="DP727" s="274"/>
      <c r="DQ727" s="274"/>
      <c r="DR727" s="274"/>
      <c r="DS727" s="274"/>
      <c r="DT727" s="274"/>
      <c r="DU727" s="274"/>
      <c r="DV727" s="274"/>
      <c r="DW727" s="274"/>
      <c r="DX727" s="274"/>
      <c r="DY727" s="274"/>
      <c r="DZ727" s="274"/>
      <c r="EA727" s="274"/>
      <c r="EB727" s="274"/>
      <c r="EC727" s="274"/>
      <c r="ED727" s="39">
        <f t="shared" si="239"/>
        <v>2326380.8600479998</v>
      </c>
      <c r="EE727" s="30">
        <f t="shared" si="240"/>
        <v>7</v>
      </c>
      <c r="EF727" s="39">
        <f t="shared" si="241"/>
        <v>332340.12286399998</v>
      </c>
    </row>
    <row r="728" spans="1:136" x14ac:dyDescent="0.25">
      <c r="A728" s="25" t="e">
        <f>#REF!</f>
        <v>#REF!</v>
      </c>
      <c r="B728" s="50" t="e">
        <f>#REF!</f>
        <v>#REF!</v>
      </c>
      <c r="C728" s="5" t="e">
        <f>#REF!</f>
        <v>#REF!</v>
      </c>
      <c r="D728" s="5" t="e">
        <f>#REF!</f>
        <v>#REF!</v>
      </c>
      <c r="E728" s="252">
        <v>1</v>
      </c>
      <c r="F728" s="249">
        <v>0</v>
      </c>
      <c r="G728" s="249">
        <v>0</v>
      </c>
      <c r="H728" s="249">
        <v>0</v>
      </c>
      <c r="I728" s="249">
        <v>0</v>
      </c>
      <c r="J728" s="249">
        <v>0</v>
      </c>
      <c r="K728" s="249">
        <v>0</v>
      </c>
      <c r="L728" s="274"/>
      <c r="M728" s="274"/>
      <c r="N728" s="255">
        <v>42000</v>
      </c>
      <c r="O728" s="135">
        <f>+N728*0.19</f>
        <v>7980</v>
      </c>
      <c r="P728" s="135">
        <f>+N728+O728</f>
        <v>49980</v>
      </c>
      <c r="Q728" s="131"/>
      <c r="R728" s="131"/>
      <c r="S728" s="11"/>
      <c r="T728" s="274"/>
      <c r="U728" s="274"/>
      <c r="V728" s="274"/>
      <c r="W728" s="39"/>
      <c r="X728" s="11"/>
      <c r="Y728" s="11"/>
      <c r="Z728" s="274"/>
      <c r="AA728" s="274"/>
      <c r="AB728" s="274"/>
      <c r="AC728" s="52"/>
      <c r="AD728" s="22"/>
      <c r="AE728" s="39"/>
      <c r="AF728" s="274"/>
      <c r="AG728" s="274"/>
      <c r="AH728" s="171"/>
      <c r="AI728" s="4"/>
      <c r="AJ728" s="39"/>
      <c r="AK728" s="39"/>
      <c r="AL728" s="118"/>
      <c r="AM728" s="152"/>
      <c r="AN728" s="152"/>
      <c r="AO728" s="131"/>
      <c r="AP728" s="131"/>
      <c r="AQ728" s="39"/>
      <c r="AR728" s="274"/>
      <c r="AS728" s="274"/>
      <c r="AT728" s="274"/>
      <c r="AU728" s="39"/>
      <c r="AV728" s="39"/>
      <c r="AW728" s="39"/>
      <c r="AX728" s="274"/>
      <c r="AY728" s="274"/>
      <c r="AZ728" s="274"/>
      <c r="BA728" s="39"/>
      <c r="BB728" s="62"/>
      <c r="BC728" s="39"/>
      <c r="BD728" s="274"/>
      <c r="BE728" s="274"/>
      <c r="BF728" s="274"/>
      <c r="BG728" s="39"/>
      <c r="BH728" s="39"/>
      <c r="BI728" s="39"/>
      <c r="BJ728" s="274">
        <v>89300</v>
      </c>
      <c r="BK728" s="274">
        <f t="shared" si="242"/>
        <v>16967</v>
      </c>
      <c r="BL728" s="274">
        <f t="shared" si="243"/>
        <v>106267</v>
      </c>
      <c r="BM728" s="213" t="s">
        <v>5028</v>
      </c>
      <c r="BN728" s="213" t="s">
        <v>4833</v>
      </c>
      <c r="BO728" s="39"/>
      <c r="BP728" s="274">
        <v>68560</v>
      </c>
      <c r="BQ728" s="274">
        <f t="shared" si="246"/>
        <v>13026.4</v>
      </c>
      <c r="BR728" s="274">
        <f t="shared" si="247"/>
        <v>81586.399999999994</v>
      </c>
      <c r="BS728" s="39"/>
      <c r="BT728" s="39"/>
      <c r="BU728" s="39"/>
      <c r="BV728" s="219">
        <v>103261.9657</v>
      </c>
      <c r="BW728" s="219">
        <f>+BV728*0.19</f>
        <v>19619.773483000001</v>
      </c>
      <c r="BX728" s="273">
        <f>+BV728+BW728</f>
        <v>122881.739183</v>
      </c>
      <c r="BY728" s="213" t="s">
        <v>5028</v>
      </c>
      <c r="BZ728" s="213" t="s">
        <v>4833</v>
      </c>
      <c r="CA728" s="213"/>
      <c r="CB728" s="274"/>
      <c r="CC728" s="274"/>
      <c r="CD728" s="274"/>
      <c r="CE728" s="39"/>
      <c r="CF728" s="39"/>
      <c r="CG728" s="39"/>
      <c r="CH728" s="274"/>
      <c r="CI728" s="274"/>
      <c r="CJ728" s="274"/>
      <c r="CK728" s="39"/>
      <c r="CL728" s="39"/>
      <c r="CM728" s="39"/>
      <c r="CN728" s="39"/>
      <c r="CO728" s="39"/>
      <c r="CP728" s="11"/>
      <c r="CQ728" s="11"/>
      <c r="CR728" s="11"/>
      <c r="CS728" s="11"/>
      <c r="CT728" s="11"/>
      <c r="CU728" s="11"/>
      <c r="CV728" s="11"/>
      <c r="CW728" s="11"/>
      <c r="CX728" s="11"/>
      <c r="CY728" s="11"/>
      <c r="CZ728" s="11"/>
      <c r="DA728" s="11"/>
      <c r="DB728" s="11"/>
      <c r="DC728" s="11"/>
      <c r="DD728" s="11"/>
      <c r="DE728" s="11"/>
      <c r="DF728" s="11"/>
      <c r="DG728" s="11"/>
      <c r="DH728" s="11"/>
      <c r="DI728" s="11"/>
      <c r="DJ728" s="11"/>
      <c r="DK728" s="11"/>
      <c r="DL728" s="274"/>
      <c r="DM728" s="274"/>
      <c r="DN728" s="274"/>
      <c r="DO728" s="274"/>
      <c r="DP728" s="274"/>
      <c r="DQ728" s="274"/>
      <c r="DR728" s="274"/>
      <c r="DS728" s="274"/>
      <c r="DT728" s="274"/>
      <c r="DU728" s="274"/>
      <c r="DV728" s="274"/>
      <c r="DW728" s="274"/>
      <c r="DX728" s="274"/>
      <c r="DY728" s="274"/>
      <c r="DZ728" s="274"/>
      <c r="EA728" s="274"/>
      <c r="EB728" s="274"/>
      <c r="EC728" s="274"/>
      <c r="ED728" s="39">
        <f t="shared" si="239"/>
        <v>360715.13918299996</v>
      </c>
      <c r="EE728" s="30">
        <f t="shared" si="240"/>
        <v>4</v>
      </c>
      <c r="EF728" s="39">
        <f t="shared" si="241"/>
        <v>90178.784795749991</v>
      </c>
    </row>
    <row r="729" spans="1:136" x14ac:dyDescent="0.25">
      <c r="A729" s="25" t="e">
        <f>#REF!</f>
        <v>#REF!</v>
      </c>
      <c r="B729" s="50" t="e">
        <f>#REF!</f>
        <v>#REF!</v>
      </c>
      <c r="C729" s="5" t="e">
        <f>#REF!</f>
        <v>#REF!</v>
      </c>
      <c r="D729" s="5" t="e">
        <f>#REF!</f>
        <v>#REF!</v>
      </c>
      <c r="E729" s="252">
        <v>1</v>
      </c>
      <c r="F729" s="249">
        <v>0</v>
      </c>
      <c r="G729" s="249">
        <v>0</v>
      </c>
      <c r="H729" s="249">
        <v>0</v>
      </c>
      <c r="I729" s="249">
        <v>0</v>
      </c>
      <c r="J729" s="249">
        <v>0</v>
      </c>
      <c r="K729" s="249">
        <v>0</v>
      </c>
      <c r="L729" s="274"/>
      <c r="M729" s="274"/>
      <c r="N729" s="255">
        <v>45000</v>
      </c>
      <c r="O729" s="135">
        <f>+N729*0.19</f>
        <v>8550</v>
      </c>
      <c r="P729" s="135">
        <f>+N729+O729</f>
        <v>53550</v>
      </c>
      <c r="Q729" s="131"/>
      <c r="R729" s="131"/>
      <c r="S729" s="11"/>
      <c r="T729" s="274"/>
      <c r="U729" s="274"/>
      <c r="V729" s="274"/>
      <c r="W729" s="39"/>
      <c r="X729" s="11"/>
      <c r="Y729" s="11"/>
      <c r="Z729" s="274"/>
      <c r="AA729" s="274"/>
      <c r="AB729" s="274"/>
      <c r="AC729" s="52"/>
      <c r="AD729" s="22"/>
      <c r="AE729" s="39"/>
      <c r="AF729" s="274"/>
      <c r="AG729" s="274"/>
      <c r="AH729" s="113"/>
      <c r="AI729" s="4"/>
      <c r="AJ729" s="39"/>
      <c r="AK729" s="39"/>
      <c r="AL729" s="118"/>
      <c r="AM729" s="152"/>
      <c r="AN729" s="181"/>
      <c r="AO729" s="131"/>
      <c r="AP729" s="131"/>
      <c r="AQ729" s="39"/>
      <c r="AR729" s="274"/>
      <c r="AS729" s="274"/>
      <c r="AT729" s="274"/>
      <c r="AU729" s="39"/>
      <c r="AV729" s="39"/>
      <c r="AW729" s="39"/>
      <c r="AX729" s="274"/>
      <c r="AY729" s="274"/>
      <c r="AZ729" s="274"/>
      <c r="BA729" s="39"/>
      <c r="BB729" s="62"/>
      <c r="BC729" s="39"/>
      <c r="BD729" s="274"/>
      <c r="BE729" s="274"/>
      <c r="BF729" s="274"/>
      <c r="BG729" s="39"/>
      <c r="BH729" s="39"/>
      <c r="BI729" s="39"/>
      <c r="BJ729" s="274">
        <v>104700</v>
      </c>
      <c r="BK729" s="274">
        <f t="shared" si="242"/>
        <v>19893</v>
      </c>
      <c r="BL729" s="274">
        <f t="shared" si="243"/>
        <v>124593</v>
      </c>
      <c r="BM729" s="213" t="s">
        <v>4738</v>
      </c>
      <c r="BN729" s="213" t="s">
        <v>131</v>
      </c>
      <c r="BO729" s="39"/>
      <c r="BP729" s="274">
        <v>68500</v>
      </c>
      <c r="BQ729" s="274">
        <f t="shared" si="246"/>
        <v>13015</v>
      </c>
      <c r="BR729" s="274">
        <f t="shared" si="247"/>
        <v>81515</v>
      </c>
      <c r="BS729" s="39"/>
      <c r="BT729" s="39"/>
      <c r="BU729" s="39"/>
      <c r="BV729" s="219">
        <v>113297.75460000001</v>
      </c>
      <c r="BW729" s="219">
        <f>+BV729*0.19</f>
        <v>21526.573374000003</v>
      </c>
      <c r="BX729" s="273">
        <f>+BV729+BW729</f>
        <v>134824.32797400001</v>
      </c>
      <c r="BY729" s="213" t="s">
        <v>4738</v>
      </c>
      <c r="BZ729" s="213" t="s">
        <v>131</v>
      </c>
      <c r="CA729" s="213"/>
      <c r="CB729" s="274"/>
      <c r="CC729" s="274"/>
      <c r="CD729" s="274"/>
      <c r="CE729" s="39"/>
      <c r="CF729" s="39"/>
      <c r="CG729" s="39"/>
      <c r="CH729" s="274"/>
      <c r="CI729" s="274"/>
      <c r="CJ729" s="274"/>
      <c r="CK729" s="39"/>
      <c r="CL729" s="39"/>
      <c r="CM729" s="39"/>
      <c r="CN729" s="39"/>
      <c r="CO729" s="39"/>
      <c r="CP729" s="11"/>
      <c r="CQ729" s="11"/>
      <c r="CR729" s="11"/>
      <c r="CS729" s="11"/>
      <c r="CT729" s="11"/>
      <c r="CU729" s="11"/>
      <c r="CV729" s="11"/>
      <c r="CW729" s="11"/>
      <c r="CX729" s="11"/>
      <c r="CY729" s="11"/>
      <c r="CZ729" s="11"/>
      <c r="DA729" s="11"/>
      <c r="DB729" s="11"/>
      <c r="DC729" s="11"/>
      <c r="DD729" s="11"/>
      <c r="DE729" s="11"/>
      <c r="DF729" s="11"/>
      <c r="DG729" s="11"/>
      <c r="DH729" s="11"/>
      <c r="DI729" s="11"/>
      <c r="DJ729" s="11"/>
      <c r="DK729" s="11"/>
      <c r="DL729" s="274"/>
      <c r="DM729" s="274"/>
      <c r="DN729" s="274"/>
      <c r="DO729" s="274"/>
      <c r="DP729" s="274"/>
      <c r="DQ729" s="274"/>
      <c r="DR729" s="274"/>
      <c r="DS729" s="274"/>
      <c r="DT729" s="274"/>
      <c r="DU729" s="274"/>
      <c r="DV729" s="274"/>
      <c r="DW729" s="274"/>
      <c r="DX729" s="274"/>
      <c r="DY729" s="274"/>
      <c r="DZ729" s="274"/>
      <c r="EA729" s="274"/>
      <c r="EB729" s="274"/>
      <c r="EC729" s="274"/>
      <c r="ED729" s="39">
        <f t="shared" si="239"/>
        <v>394482.32797400001</v>
      </c>
      <c r="EE729" s="30">
        <f t="shared" si="240"/>
        <v>4</v>
      </c>
      <c r="EF729" s="39">
        <f t="shared" si="241"/>
        <v>98620.581993500004</v>
      </c>
    </row>
    <row r="730" spans="1:136" ht="38.25" x14ac:dyDescent="0.25">
      <c r="A730" s="25" t="e">
        <f>#REF!</f>
        <v>#REF!</v>
      </c>
      <c r="B730" s="50" t="e">
        <f>#REF!</f>
        <v>#REF!</v>
      </c>
      <c r="C730" s="5" t="e">
        <f>#REF!</f>
        <v>#REF!</v>
      </c>
      <c r="D730" s="5" t="e">
        <f>#REF!</f>
        <v>#REF!</v>
      </c>
      <c r="E730" s="252">
        <v>1</v>
      </c>
      <c r="F730" s="249">
        <v>215663.7</v>
      </c>
      <c r="G730" s="249">
        <v>0</v>
      </c>
      <c r="H730" s="249">
        <v>317397.39500000002</v>
      </c>
      <c r="I730" s="249">
        <v>0</v>
      </c>
      <c r="J730" s="249">
        <v>293518.64310693397</v>
      </c>
      <c r="K730" s="249">
        <v>0</v>
      </c>
      <c r="L730" s="274">
        <f>AVERAGE(F730,H730,J730)</f>
        <v>275526.57936897798</v>
      </c>
      <c r="M730" s="274"/>
      <c r="N730" s="255">
        <v>220000</v>
      </c>
      <c r="O730" s="135">
        <f>+N730*0.19</f>
        <v>41800</v>
      </c>
      <c r="P730" s="135">
        <f>+N730+O730</f>
        <v>261800</v>
      </c>
      <c r="Q730" s="131"/>
      <c r="R730" s="131"/>
      <c r="S730" s="11"/>
      <c r="T730" s="274"/>
      <c r="U730" s="274"/>
      <c r="V730" s="274"/>
      <c r="W730" s="39"/>
      <c r="X730" s="11"/>
      <c r="Y730" s="11"/>
      <c r="Z730" s="274">
        <f>420000/2</f>
        <v>210000</v>
      </c>
      <c r="AA730" s="274">
        <f>+Z730*0.19</f>
        <v>39900</v>
      </c>
      <c r="AB730" s="274">
        <f>+Z730+AA730</f>
        <v>249900</v>
      </c>
      <c r="AC730" s="52" t="s">
        <v>5029</v>
      </c>
      <c r="AD730" s="22" t="s">
        <v>4795</v>
      </c>
      <c r="AE730" s="39"/>
      <c r="AF730" s="274"/>
      <c r="AG730" s="274"/>
      <c r="AH730" s="113"/>
      <c r="AI730" s="4"/>
      <c r="AJ730" s="39"/>
      <c r="AK730" s="39"/>
      <c r="AL730" s="118"/>
      <c r="AM730" s="152"/>
      <c r="AN730" s="181"/>
      <c r="AO730" s="131"/>
      <c r="AP730" s="131"/>
      <c r="AQ730" s="39"/>
      <c r="AR730" s="274"/>
      <c r="AS730" s="274"/>
      <c r="AT730" s="274"/>
      <c r="AU730" s="39"/>
      <c r="AV730" s="39"/>
      <c r="AW730" s="39"/>
      <c r="AX730" s="274"/>
      <c r="AY730" s="274"/>
      <c r="AZ730" s="274"/>
      <c r="BA730" s="39"/>
      <c r="BB730" s="62"/>
      <c r="BC730" s="39"/>
      <c r="BD730" s="118">
        <v>103000</v>
      </c>
      <c r="BE730" s="274">
        <f>+BD730*0.19</f>
        <v>19570</v>
      </c>
      <c r="BF730" s="274">
        <f>+BD730+BE730</f>
        <v>122570</v>
      </c>
      <c r="BG730" s="25" t="s">
        <v>3077</v>
      </c>
      <c r="BH730" s="5" t="s">
        <v>4793</v>
      </c>
      <c r="BI730" s="5" t="s">
        <v>5030</v>
      </c>
      <c r="BJ730" s="274">
        <v>204300</v>
      </c>
      <c r="BK730" s="274">
        <f t="shared" si="242"/>
        <v>38817</v>
      </c>
      <c r="BL730" s="274">
        <f t="shared" si="243"/>
        <v>243117</v>
      </c>
      <c r="BM730" s="213" t="s">
        <v>554</v>
      </c>
      <c r="BN730" s="213" t="s">
        <v>2925</v>
      </c>
      <c r="BO730" s="39"/>
      <c r="BP730" s="274">
        <v>136000</v>
      </c>
      <c r="BQ730" s="274">
        <f t="shared" si="246"/>
        <v>25840</v>
      </c>
      <c r="BR730" s="274">
        <f t="shared" si="247"/>
        <v>161840</v>
      </c>
      <c r="BS730" s="39"/>
      <c r="BT730" s="39"/>
      <c r="BU730" s="39"/>
      <c r="BV730" s="219">
        <v>229662.21060000002</v>
      </c>
      <c r="BW730" s="219">
        <f>+BV730*0.19</f>
        <v>43635.820014000004</v>
      </c>
      <c r="BX730" s="273">
        <f>+BV730+BW730</f>
        <v>273298.03061400005</v>
      </c>
      <c r="BY730" s="213" t="s">
        <v>554</v>
      </c>
      <c r="BZ730" s="213" t="s">
        <v>2925</v>
      </c>
      <c r="CA730" s="213"/>
      <c r="CB730" s="274"/>
      <c r="CC730" s="274"/>
      <c r="CD730" s="274"/>
      <c r="CE730" s="39"/>
      <c r="CF730" s="39"/>
      <c r="CG730" s="39"/>
      <c r="CH730" s="274"/>
      <c r="CI730" s="274"/>
      <c r="CJ730" s="274"/>
      <c r="CK730" s="39"/>
      <c r="CL730" s="39"/>
      <c r="CM730" s="39"/>
      <c r="CN730" s="39"/>
      <c r="CO730" s="39"/>
      <c r="CP730" s="11"/>
      <c r="CQ730" s="11"/>
      <c r="CR730" s="11"/>
      <c r="CS730" s="11"/>
      <c r="CT730" s="11"/>
      <c r="CU730" s="11"/>
      <c r="CV730" s="11"/>
      <c r="CW730" s="11"/>
      <c r="CX730" s="11"/>
      <c r="CY730" s="11"/>
      <c r="CZ730" s="11"/>
      <c r="DA730" s="11"/>
      <c r="DB730" s="11"/>
      <c r="DC730" s="11"/>
      <c r="DD730" s="11"/>
      <c r="DE730" s="11"/>
      <c r="DF730" s="11"/>
      <c r="DG730" s="11"/>
      <c r="DH730" s="11"/>
      <c r="DI730" s="11"/>
      <c r="DJ730" s="11"/>
      <c r="DK730" s="11"/>
      <c r="DL730" s="274"/>
      <c r="DM730" s="274"/>
      <c r="DN730" s="274"/>
      <c r="DO730" s="274"/>
      <c r="DP730" s="274"/>
      <c r="DQ730" s="274"/>
      <c r="DR730" s="274"/>
      <c r="DS730" s="274"/>
      <c r="DT730" s="274"/>
      <c r="DU730" s="274"/>
      <c r="DV730" s="274"/>
      <c r="DW730" s="274"/>
      <c r="DX730" s="274"/>
      <c r="DY730" s="274"/>
      <c r="DZ730" s="274"/>
      <c r="EA730" s="274"/>
      <c r="EB730" s="274"/>
      <c r="EC730" s="274"/>
      <c r="ED730" s="39">
        <f t="shared" si="239"/>
        <v>1312525.030614</v>
      </c>
      <c r="EE730" s="30">
        <f t="shared" si="240"/>
        <v>6</v>
      </c>
      <c r="EF730" s="39">
        <f t="shared" si="241"/>
        <v>218754.17176900001</v>
      </c>
    </row>
    <row r="731" spans="1:136" ht="114.75" x14ac:dyDescent="0.25">
      <c r="A731" s="25" t="e">
        <f>#REF!</f>
        <v>#REF!</v>
      </c>
      <c r="B731" s="50" t="e">
        <f>#REF!</f>
        <v>#REF!</v>
      </c>
      <c r="C731" s="5" t="e">
        <f>#REF!</f>
        <v>#REF!</v>
      </c>
      <c r="D731" s="5" t="e">
        <f>#REF!</f>
        <v>#REF!</v>
      </c>
      <c r="E731" s="252">
        <v>1</v>
      </c>
      <c r="F731" s="249">
        <v>182093.8</v>
      </c>
      <c r="G731" s="249">
        <v>0</v>
      </c>
      <c r="H731" s="249">
        <v>183421.76720641155</v>
      </c>
      <c r="I731" s="249">
        <v>0</v>
      </c>
      <c r="J731" s="249">
        <v>535011.37358736875</v>
      </c>
      <c r="K731" s="249">
        <v>0</v>
      </c>
      <c r="L731" s="274">
        <f>AVERAGE(F731,H731,J731)</f>
        <v>300175.64693126007</v>
      </c>
      <c r="M731" s="274"/>
      <c r="N731" s="255"/>
      <c r="O731" s="135"/>
      <c r="P731" s="135"/>
      <c r="Q731" s="131"/>
      <c r="R731" s="131"/>
      <c r="S731" s="11"/>
      <c r="T731" s="274"/>
      <c r="U731" s="274"/>
      <c r="V731" s="274"/>
      <c r="W731" s="39"/>
      <c r="X731" s="11"/>
      <c r="Y731" s="11"/>
      <c r="Z731" s="274">
        <f>210000/2</f>
        <v>105000</v>
      </c>
      <c r="AA731" s="274">
        <f>+Z731*0.19</f>
        <v>19950</v>
      </c>
      <c r="AB731" s="274">
        <f>+Z731+AA731</f>
        <v>124950</v>
      </c>
      <c r="AC731" s="52" t="s">
        <v>5031</v>
      </c>
      <c r="AD731" s="22" t="s">
        <v>4795</v>
      </c>
      <c r="AE731" s="39"/>
      <c r="AF731" s="274"/>
      <c r="AG731" s="274"/>
      <c r="AH731" s="113"/>
      <c r="AI731" s="4"/>
      <c r="AJ731" s="39"/>
      <c r="AK731" s="39"/>
      <c r="AL731" s="118"/>
      <c r="AM731" s="152"/>
      <c r="AN731" s="181"/>
      <c r="AO731" s="131"/>
      <c r="AP731" s="131"/>
      <c r="AQ731" s="39"/>
      <c r="AR731" s="274"/>
      <c r="AS731" s="274"/>
      <c r="AT731" s="274"/>
      <c r="AU731" s="39"/>
      <c r="AV731" s="39"/>
      <c r="AW731" s="39"/>
      <c r="AX731" s="274"/>
      <c r="AY731" s="274"/>
      <c r="AZ731" s="274"/>
      <c r="BA731" s="39"/>
      <c r="BB731" s="62"/>
      <c r="BC731" s="39"/>
      <c r="BD731" s="118">
        <f>113659/2</f>
        <v>56829.5</v>
      </c>
      <c r="BE731" s="274">
        <f>+BD731*0.19</f>
        <v>10797.605</v>
      </c>
      <c r="BF731" s="274">
        <f>+BD731+BE731</f>
        <v>67627.104999999996</v>
      </c>
      <c r="BG731" s="25" t="s">
        <v>4925</v>
      </c>
      <c r="BH731" s="5" t="s">
        <v>5032</v>
      </c>
      <c r="BI731" s="5" t="s">
        <v>5033</v>
      </c>
      <c r="BJ731" s="275">
        <v>600000</v>
      </c>
      <c r="BK731" s="274">
        <f t="shared" si="242"/>
        <v>114000</v>
      </c>
      <c r="BL731" s="274">
        <f t="shared" si="243"/>
        <v>714000</v>
      </c>
      <c r="BM731" s="213" t="s">
        <v>5034</v>
      </c>
      <c r="BN731" s="213" t="s">
        <v>5035</v>
      </c>
      <c r="BO731" s="39"/>
      <c r="BP731" s="274">
        <v>165000</v>
      </c>
      <c r="BQ731" s="274">
        <f t="shared" si="246"/>
        <v>31350</v>
      </c>
      <c r="BR731" s="274">
        <f t="shared" si="247"/>
        <v>196350</v>
      </c>
      <c r="BS731" s="39"/>
      <c r="BT731" s="39"/>
      <c r="BU731" s="39"/>
      <c r="BV731" s="219"/>
      <c r="BW731" s="219"/>
      <c r="BX731" s="273"/>
      <c r="BY731" s="213"/>
      <c r="BZ731" s="213"/>
      <c r="CA731" s="213"/>
      <c r="CB731" s="274"/>
      <c r="CC731" s="274"/>
      <c r="CD731" s="274"/>
      <c r="CE731" s="39"/>
      <c r="CF731" s="39"/>
      <c r="CG731" s="39"/>
      <c r="CH731" s="274"/>
      <c r="CI731" s="274"/>
      <c r="CJ731" s="274"/>
      <c r="CK731" s="39"/>
      <c r="CL731" s="39"/>
      <c r="CM731" s="39"/>
      <c r="CN731" s="39"/>
      <c r="CO731" s="39"/>
      <c r="CP731" s="11"/>
      <c r="CQ731" s="11"/>
      <c r="CR731" s="11"/>
      <c r="CS731" s="11"/>
      <c r="CT731" s="11"/>
      <c r="CU731" s="11"/>
      <c r="CV731" s="11"/>
      <c r="CW731" s="11"/>
      <c r="CX731" s="11"/>
      <c r="CY731" s="11"/>
      <c r="CZ731" s="11"/>
      <c r="DA731" s="11"/>
      <c r="DB731" s="11"/>
      <c r="DC731" s="11"/>
      <c r="DD731" s="11"/>
      <c r="DE731" s="11"/>
      <c r="DF731" s="11"/>
      <c r="DG731" s="11"/>
      <c r="DH731" s="11"/>
      <c r="DI731" s="11"/>
      <c r="DJ731" s="11"/>
      <c r="DK731" s="11"/>
      <c r="DL731" s="274"/>
      <c r="DM731" s="274"/>
      <c r="DN731" s="274"/>
      <c r="DO731" s="274"/>
      <c r="DP731" s="274"/>
      <c r="DQ731" s="274"/>
      <c r="DR731" s="274"/>
      <c r="DS731" s="274"/>
      <c r="DT731" s="274"/>
      <c r="DU731" s="274"/>
      <c r="DV731" s="274"/>
      <c r="DW731" s="274"/>
      <c r="DX731" s="274"/>
      <c r="DY731" s="274"/>
      <c r="DZ731" s="274"/>
      <c r="EA731" s="274"/>
      <c r="EB731" s="274"/>
      <c r="EC731" s="274"/>
      <c r="ED731" s="39">
        <f t="shared" si="239"/>
        <v>1102927.105</v>
      </c>
      <c r="EE731" s="30">
        <f t="shared" si="240"/>
        <v>4</v>
      </c>
      <c r="EF731" s="39">
        <f t="shared" si="241"/>
        <v>275731.77625</v>
      </c>
    </row>
    <row r="732" spans="1:136" ht="127.5" x14ac:dyDescent="0.25">
      <c r="A732" s="25" t="e">
        <f>#REF!</f>
        <v>#REF!</v>
      </c>
      <c r="B732" s="50" t="e">
        <f>#REF!</f>
        <v>#REF!</v>
      </c>
      <c r="C732" s="5" t="e">
        <f>#REF!</f>
        <v>#REF!</v>
      </c>
      <c r="D732" s="5" t="e">
        <f>#REF!</f>
        <v>#REF!</v>
      </c>
      <c r="E732" s="252">
        <v>1</v>
      </c>
      <c r="F732" s="249">
        <v>73887.100000000006</v>
      </c>
      <c r="G732" s="249">
        <v>72709</v>
      </c>
      <c r="H732" s="249">
        <v>71394.426327281646</v>
      </c>
      <c r="I732" s="249">
        <v>0</v>
      </c>
      <c r="J732" s="249">
        <v>90846.355294821871</v>
      </c>
      <c r="K732" s="249">
        <v>83181</v>
      </c>
      <c r="L732" s="274">
        <f>AVERAGE(F732,H732,J732)</f>
        <v>78709.293874034513</v>
      </c>
      <c r="M732" s="274">
        <f>AVERAGE(G732,K732)*E1</f>
        <v>80283.350000000006</v>
      </c>
      <c r="N732" s="255"/>
      <c r="O732" s="135"/>
      <c r="P732" s="135"/>
      <c r="Q732" s="131"/>
      <c r="R732" s="131"/>
      <c r="S732" s="11"/>
      <c r="T732" s="274"/>
      <c r="U732" s="274"/>
      <c r="V732" s="274"/>
      <c r="W732" s="39"/>
      <c r="X732" s="11"/>
      <c r="Y732" s="11"/>
      <c r="Z732" s="274"/>
      <c r="AA732" s="274"/>
      <c r="AB732" s="274"/>
      <c r="AC732" s="52"/>
      <c r="AD732" s="22"/>
      <c r="AE732" s="39"/>
      <c r="AF732" s="274"/>
      <c r="AG732" s="274"/>
      <c r="AH732" s="274"/>
      <c r="AI732" s="11"/>
      <c r="AJ732" s="39"/>
      <c r="AK732" s="39"/>
      <c r="AL732" s="118"/>
      <c r="AM732" s="152"/>
      <c r="AN732" s="181"/>
      <c r="AO732" s="131"/>
      <c r="AP732" s="131"/>
      <c r="AQ732" s="39"/>
      <c r="AR732" s="274"/>
      <c r="AS732" s="274"/>
      <c r="AT732" s="274"/>
      <c r="AU732" s="39"/>
      <c r="AV732" s="39"/>
      <c r="AW732" s="39"/>
      <c r="AX732" s="274"/>
      <c r="AY732" s="274"/>
      <c r="AZ732" s="274"/>
      <c r="BA732" s="39"/>
      <c r="BB732" s="62"/>
      <c r="BC732" s="39"/>
      <c r="BD732" s="118">
        <v>82400</v>
      </c>
      <c r="BE732" s="274">
        <f>+BD732*0.19</f>
        <v>15656</v>
      </c>
      <c r="BF732" s="274">
        <f>+BD732+BE732</f>
        <v>98056</v>
      </c>
      <c r="BG732" s="25" t="s">
        <v>5036</v>
      </c>
      <c r="BH732" s="5" t="s">
        <v>5037</v>
      </c>
      <c r="BI732" s="5" t="s">
        <v>5038</v>
      </c>
      <c r="BJ732" s="275">
        <v>600000</v>
      </c>
      <c r="BK732" s="274">
        <f t="shared" si="242"/>
        <v>114000</v>
      </c>
      <c r="BL732" s="274">
        <f t="shared" si="243"/>
        <v>714000</v>
      </c>
      <c r="BM732" s="213" t="s">
        <v>5034</v>
      </c>
      <c r="BN732" s="213" t="s">
        <v>5039</v>
      </c>
      <c r="BO732" s="39"/>
      <c r="BP732" s="274">
        <v>385000</v>
      </c>
      <c r="BQ732" s="274">
        <f t="shared" si="246"/>
        <v>73150</v>
      </c>
      <c r="BR732" s="274">
        <f t="shared" si="247"/>
        <v>458150</v>
      </c>
      <c r="BS732" s="39"/>
      <c r="BT732" s="39"/>
      <c r="BU732" s="39"/>
      <c r="BV732" s="219"/>
      <c r="BW732" s="219"/>
      <c r="BX732" s="273"/>
      <c r="BY732" s="213"/>
      <c r="BZ732" s="213"/>
      <c r="CA732" s="213"/>
      <c r="CB732" s="275"/>
      <c r="CC732" s="274"/>
      <c r="CD732" s="274"/>
      <c r="CE732" s="39"/>
      <c r="CF732" s="39"/>
      <c r="CG732" s="39"/>
      <c r="CH732" s="274"/>
      <c r="CI732" s="274"/>
      <c r="CJ732" s="274"/>
      <c r="CK732" s="39"/>
      <c r="CL732" s="39"/>
      <c r="CM732" s="39"/>
      <c r="CN732" s="39"/>
      <c r="CO732" s="39"/>
      <c r="CP732" s="11"/>
      <c r="CQ732" s="11"/>
      <c r="CR732" s="11"/>
      <c r="CS732" s="11"/>
      <c r="CT732" s="11"/>
      <c r="CU732" s="11"/>
      <c r="CV732" s="11"/>
      <c r="CW732" s="11"/>
      <c r="CX732" s="11"/>
      <c r="CY732" s="11"/>
      <c r="CZ732" s="11"/>
      <c r="DA732" s="11"/>
      <c r="DB732" s="11"/>
      <c r="DC732" s="11"/>
      <c r="DD732" s="11"/>
      <c r="DE732" s="11"/>
      <c r="DF732" s="11"/>
      <c r="DG732" s="11"/>
      <c r="DH732" s="11"/>
      <c r="DI732" s="11"/>
      <c r="DJ732" s="11"/>
      <c r="DK732" s="11"/>
      <c r="DL732" s="274"/>
      <c r="DM732" s="274"/>
      <c r="DN732" s="274"/>
      <c r="DO732" s="274"/>
      <c r="DP732" s="274"/>
      <c r="DQ732" s="274"/>
      <c r="DR732" s="274"/>
      <c r="DS732" s="274"/>
      <c r="DT732" s="274"/>
      <c r="DU732" s="274"/>
      <c r="DV732" s="274"/>
      <c r="DW732" s="274"/>
      <c r="DX732" s="274"/>
      <c r="DY732" s="274"/>
      <c r="DZ732" s="274"/>
      <c r="EA732" s="274"/>
      <c r="EB732" s="274"/>
      <c r="EC732" s="274"/>
      <c r="ED732" s="39">
        <f t="shared" si="239"/>
        <v>1350489.35</v>
      </c>
      <c r="EE732" s="30">
        <f t="shared" si="240"/>
        <v>4</v>
      </c>
      <c r="EF732" s="39">
        <f t="shared" si="241"/>
        <v>337622.33750000002</v>
      </c>
    </row>
    <row r="733" spans="1:136" ht="24" x14ac:dyDescent="0.25">
      <c r="A733" s="25" t="e">
        <f>#REF!</f>
        <v>#REF!</v>
      </c>
      <c r="B733" s="50" t="e">
        <f>#REF!</f>
        <v>#REF!</v>
      </c>
      <c r="C733" s="5" t="e">
        <f>#REF!</f>
        <v>#REF!</v>
      </c>
      <c r="D733" s="5" t="e">
        <f>#REF!</f>
        <v>#REF!</v>
      </c>
      <c r="E733" s="252">
        <v>1</v>
      </c>
      <c r="F733" s="249">
        <v>0</v>
      </c>
      <c r="G733" s="249">
        <v>0</v>
      </c>
      <c r="H733" s="249">
        <v>0</v>
      </c>
      <c r="I733" s="249">
        <v>0</v>
      </c>
      <c r="J733" s="249">
        <v>0</v>
      </c>
      <c r="K733" s="249">
        <v>0</v>
      </c>
      <c r="L733" s="274"/>
      <c r="M733" s="274"/>
      <c r="N733" s="256"/>
      <c r="O733" s="135"/>
      <c r="P733" s="135"/>
      <c r="Q733" s="131"/>
      <c r="R733" s="131"/>
      <c r="S733" s="11"/>
      <c r="T733" s="274"/>
      <c r="U733" s="274"/>
      <c r="V733" s="274"/>
      <c r="W733" s="39"/>
      <c r="X733" s="11"/>
      <c r="Y733" s="11"/>
      <c r="Z733" s="274"/>
      <c r="AA733" s="274"/>
      <c r="AB733" s="274"/>
      <c r="AC733" s="52"/>
      <c r="AD733" s="22"/>
      <c r="AE733" s="39"/>
      <c r="AF733" s="274"/>
      <c r="AG733" s="274"/>
      <c r="AH733" s="274"/>
      <c r="AI733" s="11"/>
      <c r="AJ733" s="39"/>
      <c r="AK733" s="39"/>
      <c r="AL733" s="118"/>
      <c r="AM733" s="152"/>
      <c r="AN733" s="181"/>
      <c r="AO733" s="131"/>
      <c r="AP733" s="131"/>
      <c r="AQ733" s="39"/>
      <c r="AR733" s="274"/>
      <c r="AS733" s="274"/>
      <c r="AT733" s="274"/>
      <c r="AU733" s="39"/>
      <c r="AV733" s="39"/>
      <c r="AW733" s="39"/>
      <c r="AX733" s="274"/>
      <c r="AY733" s="274"/>
      <c r="AZ733" s="274"/>
      <c r="BA733" s="39"/>
      <c r="BB733" s="62"/>
      <c r="BC733" s="39"/>
      <c r="BD733" s="274"/>
      <c r="BE733" s="274"/>
      <c r="BF733" s="274"/>
      <c r="BG733" s="39"/>
      <c r="BH733" s="39"/>
      <c r="BI733" s="39"/>
      <c r="BJ733" s="274">
        <v>126000</v>
      </c>
      <c r="BK733" s="274">
        <f t="shared" si="242"/>
        <v>23940</v>
      </c>
      <c r="BL733" s="274">
        <f t="shared" si="243"/>
        <v>149940</v>
      </c>
      <c r="BM733" s="213" t="s">
        <v>5040</v>
      </c>
      <c r="BN733" s="213" t="s">
        <v>5041</v>
      </c>
      <c r="BO733" s="39"/>
      <c r="BP733" s="274">
        <v>68000</v>
      </c>
      <c r="BQ733" s="274">
        <f t="shared" si="246"/>
        <v>12920</v>
      </c>
      <c r="BR733" s="274">
        <f t="shared" si="247"/>
        <v>80920</v>
      </c>
      <c r="BS733" s="39"/>
      <c r="BT733" s="39"/>
      <c r="BU733" s="39"/>
      <c r="BV733" s="212">
        <v>148599.36000000002</v>
      </c>
      <c r="BW733" s="219">
        <f>+BV733*0.19</f>
        <v>28233.878400000001</v>
      </c>
      <c r="BX733" s="273">
        <f>+BV733+BW733</f>
        <v>176833.23840000003</v>
      </c>
      <c r="BY733" s="213" t="s">
        <v>5040</v>
      </c>
      <c r="BZ733" s="213" t="s">
        <v>5041</v>
      </c>
      <c r="CA733" s="213"/>
      <c r="CB733" s="274"/>
      <c r="CC733" s="274"/>
      <c r="CD733" s="274"/>
      <c r="CE733" s="39"/>
      <c r="CF733" s="39"/>
      <c r="CG733" s="39"/>
      <c r="CH733" s="275"/>
      <c r="CI733" s="275"/>
      <c r="CJ733" s="275"/>
      <c r="CK733" s="39"/>
      <c r="CL733" s="39"/>
      <c r="CM733" s="39"/>
      <c r="CN733" s="39"/>
      <c r="CO733" s="39"/>
      <c r="CP733" s="11"/>
      <c r="CQ733" s="11"/>
      <c r="CR733" s="11"/>
      <c r="CS733" s="11"/>
      <c r="CT733" s="11"/>
      <c r="CU733" s="11"/>
      <c r="CV733" s="11"/>
      <c r="CW733" s="11"/>
      <c r="CX733" s="11"/>
      <c r="CY733" s="11"/>
      <c r="CZ733" s="11"/>
      <c r="DA733" s="11"/>
      <c r="DB733" s="11"/>
      <c r="DC733" s="11"/>
      <c r="DD733" s="11"/>
      <c r="DE733" s="11"/>
      <c r="DF733" s="11"/>
      <c r="DG733" s="11"/>
      <c r="DH733" s="11"/>
      <c r="DI733" s="11"/>
      <c r="DJ733" s="11"/>
      <c r="DK733" s="11"/>
      <c r="DL733" s="274"/>
      <c r="DM733" s="274"/>
      <c r="DN733" s="274"/>
      <c r="DO733" s="274"/>
      <c r="DP733" s="274"/>
      <c r="DQ733" s="274"/>
      <c r="DR733" s="274"/>
      <c r="DS733" s="274"/>
      <c r="DT733" s="274"/>
      <c r="DU733" s="274"/>
      <c r="DV733" s="274"/>
      <c r="DW733" s="274"/>
      <c r="DX733" s="274"/>
      <c r="DY733" s="274"/>
      <c r="DZ733" s="274"/>
      <c r="EA733" s="274"/>
      <c r="EB733" s="274"/>
      <c r="EC733" s="274"/>
      <c r="ED733" s="39">
        <f t="shared" si="239"/>
        <v>407693.23840000003</v>
      </c>
      <c r="EE733" s="30">
        <f t="shared" si="240"/>
        <v>3</v>
      </c>
      <c r="EF733" s="39">
        <f t="shared" si="241"/>
        <v>135897.74613333333</v>
      </c>
    </row>
    <row r="734" spans="1:136" ht="24" x14ac:dyDescent="0.25">
      <c r="A734" s="25" t="e">
        <f>#REF!</f>
        <v>#REF!</v>
      </c>
      <c r="B734" s="50" t="e">
        <f>#REF!</f>
        <v>#REF!</v>
      </c>
      <c r="C734" s="5" t="e">
        <f>#REF!</f>
        <v>#REF!</v>
      </c>
      <c r="D734" s="5" t="e">
        <f>#REF!</f>
        <v>#REF!</v>
      </c>
      <c r="E734" s="252">
        <v>1</v>
      </c>
      <c r="F734" s="249">
        <v>0</v>
      </c>
      <c r="G734" s="249">
        <v>0</v>
      </c>
      <c r="H734" s="249">
        <v>0</v>
      </c>
      <c r="I734" s="249">
        <v>0</v>
      </c>
      <c r="J734" s="249">
        <v>0</v>
      </c>
      <c r="K734" s="249">
        <v>0</v>
      </c>
      <c r="L734" s="274"/>
      <c r="M734" s="274"/>
      <c r="N734" s="255">
        <v>45000</v>
      </c>
      <c r="O734" s="135">
        <f>+N734*0.19</f>
        <v>8550</v>
      </c>
      <c r="P734" s="135">
        <f>+N734+O734</f>
        <v>53550</v>
      </c>
      <c r="Q734" s="131"/>
      <c r="R734" s="131"/>
      <c r="S734" s="11"/>
      <c r="T734" s="274"/>
      <c r="U734" s="274"/>
      <c r="V734" s="274"/>
      <c r="W734" s="39"/>
      <c r="X734" s="11"/>
      <c r="Y734" s="11"/>
      <c r="Z734" s="274"/>
      <c r="AA734" s="274"/>
      <c r="AB734" s="274"/>
      <c r="AC734" s="52"/>
      <c r="AD734" s="22"/>
      <c r="AE734" s="39"/>
      <c r="AF734" s="274"/>
      <c r="AG734" s="274"/>
      <c r="AH734" s="274"/>
      <c r="AI734" s="11"/>
      <c r="AJ734" s="39"/>
      <c r="AK734" s="39"/>
      <c r="AL734" s="118"/>
      <c r="AM734" s="152"/>
      <c r="AN734" s="181"/>
      <c r="AO734" s="131"/>
      <c r="AP734" s="131"/>
      <c r="AQ734" s="39"/>
      <c r="AR734" s="274"/>
      <c r="AS734" s="274"/>
      <c r="AT734" s="274"/>
      <c r="AU734" s="39"/>
      <c r="AV734" s="39"/>
      <c r="AW734" s="39"/>
      <c r="AX734" s="274"/>
      <c r="AY734" s="274"/>
      <c r="AZ734" s="274"/>
      <c r="BA734" s="39"/>
      <c r="BB734" s="62"/>
      <c r="BC734" s="39"/>
      <c r="BD734" s="274"/>
      <c r="BE734" s="274"/>
      <c r="BF734" s="274"/>
      <c r="BG734" s="39"/>
      <c r="BH734" s="39"/>
      <c r="BI734" s="39"/>
      <c r="BJ734" s="274">
        <v>104700</v>
      </c>
      <c r="BK734" s="274">
        <f t="shared" si="242"/>
        <v>19893</v>
      </c>
      <c r="BL734" s="274">
        <f t="shared" si="243"/>
        <v>124593</v>
      </c>
      <c r="BM734" s="213" t="s">
        <v>5042</v>
      </c>
      <c r="BN734" s="213" t="s">
        <v>131</v>
      </c>
      <c r="BO734" s="39"/>
      <c r="BP734" s="274">
        <v>68000</v>
      </c>
      <c r="BQ734" s="274">
        <f t="shared" si="246"/>
        <v>12920</v>
      </c>
      <c r="BR734" s="274">
        <f t="shared" si="247"/>
        <v>80920</v>
      </c>
      <c r="BS734" s="39"/>
      <c r="BT734" s="39"/>
      <c r="BU734" s="39"/>
      <c r="BV734" s="219">
        <v>112144.69350000001</v>
      </c>
      <c r="BW734" s="219">
        <f>+BV734*0.19</f>
        <v>21307.491765000002</v>
      </c>
      <c r="BX734" s="273">
        <f>+BV734+BW734</f>
        <v>133452.18526500001</v>
      </c>
      <c r="BY734" s="213" t="s">
        <v>5042</v>
      </c>
      <c r="BZ734" s="213" t="s">
        <v>131</v>
      </c>
      <c r="CA734" s="213"/>
      <c r="CB734" s="274"/>
      <c r="CC734" s="274"/>
      <c r="CD734" s="274"/>
      <c r="CE734" s="39"/>
      <c r="CF734" s="39"/>
      <c r="CG734" s="39"/>
      <c r="CH734" s="274"/>
      <c r="CI734" s="274"/>
      <c r="CJ734" s="274"/>
      <c r="CK734" s="39"/>
      <c r="CL734" s="39"/>
      <c r="CM734" s="39"/>
      <c r="CN734" s="39"/>
      <c r="CO734" s="39"/>
      <c r="CP734" s="11"/>
      <c r="CQ734" s="11"/>
      <c r="CR734" s="11"/>
      <c r="CS734" s="11"/>
      <c r="CT734" s="11"/>
      <c r="CU734" s="11"/>
      <c r="CV734" s="11"/>
      <c r="CW734" s="11"/>
      <c r="CX734" s="11"/>
      <c r="CY734" s="11"/>
      <c r="CZ734" s="11"/>
      <c r="DA734" s="11"/>
      <c r="DB734" s="11"/>
      <c r="DC734" s="11"/>
      <c r="DD734" s="11"/>
      <c r="DE734" s="11"/>
      <c r="DF734" s="11"/>
      <c r="DG734" s="11"/>
      <c r="DH734" s="11"/>
      <c r="DI734" s="11"/>
      <c r="DJ734" s="11"/>
      <c r="DK734" s="11"/>
      <c r="DL734" s="274"/>
      <c r="DM734" s="274"/>
      <c r="DN734" s="274"/>
      <c r="DO734" s="274"/>
      <c r="DP734" s="274"/>
      <c r="DQ734" s="274"/>
      <c r="DR734" s="274"/>
      <c r="DS734" s="274"/>
      <c r="DT734" s="274"/>
      <c r="DU734" s="274"/>
      <c r="DV734" s="274"/>
      <c r="DW734" s="274"/>
      <c r="DX734" s="274"/>
      <c r="DY734" s="274"/>
      <c r="DZ734" s="274"/>
      <c r="EA734" s="274"/>
      <c r="EB734" s="274"/>
      <c r="EC734" s="274"/>
      <c r="ED734" s="39">
        <f t="shared" si="239"/>
        <v>392515.18526499998</v>
      </c>
      <c r="EE734" s="30">
        <f t="shared" si="240"/>
        <v>4</v>
      </c>
      <c r="EF734" s="39">
        <f t="shared" si="241"/>
        <v>98128.796316249995</v>
      </c>
    </row>
    <row r="735" spans="1:136" x14ac:dyDescent="0.25">
      <c r="A735" s="25" t="e">
        <f>#REF!</f>
        <v>#REF!</v>
      </c>
      <c r="B735" s="50" t="e">
        <f>#REF!</f>
        <v>#REF!</v>
      </c>
      <c r="C735" s="5" t="e">
        <f>#REF!</f>
        <v>#REF!</v>
      </c>
      <c r="D735" s="5" t="e">
        <f>#REF!</f>
        <v>#REF!</v>
      </c>
      <c r="E735" s="252">
        <v>1</v>
      </c>
      <c r="F735" s="249">
        <v>0</v>
      </c>
      <c r="G735" s="249">
        <v>0</v>
      </c>
      <c r="H735" s="249">
        <v>0</v>
      </c>
      <c r="I735" s="249">
        <v>0</v>
      </c>
      <c r="J735" s="249">
        <v>0</v>
      </c>
      <c r="K735" s="249">
        <v>0</v>
      </c>
      <c r="L735" s="274"/>
      <c r="M735" s="274"/>
      <c r="N735" s="255">
        <v>45000</v>
      </c>
      <c r="O735" s="135">
        <f>+N735*0.19</f>
        <v>8550</v>
      </c>
      <c r="P735" s="135">
        <f>+N735+O735</f>
        <v>53550</v>
      </c>
      <c r="Q735" s="131"/>
      <c r="R735" s="131"/>
      <c r="S735" s="11"/>
      <c r="T735" s="274"/>
      <c r="U735" s="274"/>
      <c r="V735" s="274"/>
      <c r="W735" s="39"/>
      <c r="X735" s="11"/>
      <c r="Y735" s="11"/>
      <c r="Z735" s="274"/>
      <c r="AA735" s="274"/>
      <c r="AB735" s="274"/>
      <c r="AC735" s="33"/>
      <c r="AD735" s="22"/>
      <c r="AE735" s="39"/>
      <c r="AF735" s="274"/>
      <c r="AG735" s="274"/>
      <c r="AH735" s="274"/>
      <c r="AI735" s="11"/>
      <c r="AJ735" s="39"/>
      <c r="AK735" s="39"/>
      <c r="AL735" s="118"/>
      <c r="AM735" s="152"/>
      <c r="AN735" s="187"/>
      <c r="AO735" s="131"/>
      <c r="AP735" s="131"/>
      <c r="AQ735" s="39"/>
      <c r="AR735" s="152"/>
      <c r="AS735" s="184"/>
      <c r="AT735" s="274"/>
      <c r="AU735" s="39"/>
      <c r="AV735" s="39"/>
      <c r="AW735" s="39"/>
      <c r="AX735" s="274"/>
      <c r="AY735" s="274"/>
      <c r="AZ735" s="274"/>
      <c r="BA735" s="39"/>
      <c r="BB735" s="62"/>
      <c r="BC735" s="39"/>
      <c r="BD735" s="274"/>
      <c r="BE735" s="274"/>
      <c r="BF735" s="274"/>
      <c r="BG735" s="39"/>
      <c r="BH735" s="39"/>
      <c r="BI735" s="39"/>
      <c r="BJ735" s="274"/>
      <c r="BK735" s="274"/>
      <c r="BL735" s="274"/>
      <c r="BM735" s="213"/>
      <c r="BN735" s="213"/>
      <c r="BO735" s="39"/>
      <c r="BP735" s="274">
        <v>78500</v>
      </c>
      <c r="BQ735" s="274">
        <f t="shared" si="246"/>
        <v>14915</v>
      </c>
      <c r="BR735" s="274">
        <f t="shared" si="247"/>
        <v>93415</v>
      </c>
      <c r="BS735" s="39"/>
      <c r="BT735" s="39"/>
      <c r="BU735" s="39"/>
      <c r="BV735" s="212"/>
      <c r="BW735" s="221"/>
      <c r="BX735" s="273"/>
      <c r="BY735" s="213"/>
      <c r="BZ735" s="213"/>
      <c r="CA735" s="213"/>
      <c r="CB735" s="274"/>
      <c r="CC735" s="274"/>
      <c r="CD735" s="274"/>
      <c r="CE735" s="39"/>
      <c r="CF735" s="39"/>
      <c r="CG735" s="39"/>
      <c r="CH735" s="274"/>
      <c r="CI735" s="274"/>
      <c r="CJ735" s="274"/>
      <c r="CK735" s="39"/>
      <c r="CL735" s="39"/>
      <c r="CM735" s="39"/>
      <c r="CN735" s="39"/>
      <c r="CO735" s="39"/>
      <c r="CP735" s="11"/>
      <c r="CQ735" s="11"/>
      <c r="CR735" s="11"/>
      <c r="CS735" s="11"/>
      <c r="CT735" s="11"/>
      <c r="CU735" s="11"/>
      <c r="CV735" s="11"/>
      <c r="CW735" s="11"/>
      <c r="CX735" s="11"/>
      <c r="CY735" s="11"/>
      <c r="CZ735" s="11"/>
      <c r="DA735" s="11"/>
      <c r="DB735" s="11"/>
      <c r="DC735" s="11"/>
      <c r="DD735" s="11"/>
      <c r="DE735" s="11"/>
      <c r="DF735" s="11"/>
      <c r="DG735" s="11"/>
      <c r="DH735" s="11"/>
      <c r="DI735" s="11"/>
      <c r="DJ735" s="11"/>
      <c r="DK735" s="11"/>
      <c r="DL735" s="274"/>
      <c r="DM735" s="274"/>
      <c r="DN735" s="274"/>
      <c r="DO735" s="274"/>
      <c r="DP735" s="274"/>
      <c r="DQ735" s="274"/>
      <c r="DR735" s="274"/>
      <c r="DS735" s="274"/>
      <c r="DT735" s="274"/>
      <c r="DU735" s="274"/>
      <c r="DV735" s="274"/>
      <c r="DW735" s="274"/>
      <c r="DX735" s="274"/>
      <c r="DY735" s="274"/>
      <c r="DZ735" s="274"/>
      <c r="EA735" s="274"/>
      <c r="EB735" s="274"/>
      <c r="EC735" s="274"/>
      <c r="ED735" s="39">
        <f t="shared" si="239"/>
        <v>146965</v>
      </c>
      <c r="EE735" s="30">
        <f t="shared" si="240"/>
        <v>2</v>
      </c>
      <c r="EF735" s="39">
        <f t="shared" si="241"/>
        <v>73482.5</v>
      </c>
    </row>
    <row r="736" spans="1:136" ht="24" x14ac:dyDescent="0.25">
      <c r="A736" s="25" t="e">
        <f>#REF!</f>
        <v>#REF!</v>
      </c>
      <c r="B736" s="50" t="e">
        <f>#REF!</f>
        <v>#REF!</v>
      </c>
      <c r="C736" s="5" t="e">
        <f>#REF!</f>
        <v>#REF!</v>
      </c>
      <c r="D736" s="5" t="e">
        <f>#REF!</f>
        <v>#REF!</v>
      </c>
      <c r="E736" s="252">
        <v>1</v>
      </c>
      <c r="F736" s="249">
        <v>0</v>
      </c>
      <c r="G736" s="249">
        <v>0</v>
      </c>
      <c r="H736" s="249">
        <v>0</v>
      </c>
      <c r="I736" s="249">
        <v>0</v>
      </c>
      <c r="J736" s="249">
        <v>595000</v>
      </c>
      <c r="K736" s="249">
        <v>0</v>
      </c>
      <c r="L736" s="274">
        <f>J736</f>
        <v>595000</v>
      </c>
      <c r="M736" s="274"/>
      <c r="N736" s="255"/>
      <c r="O736" s="135"/>
      <c r="P736" s="135"/>
      <c r="Q736" s="131"/>
      <c r="R736" s="131"/>
      <c r="S736" s="11"/>
      <c r="T736" s="274"/>
      <c r="U736" s="274"/>
      <c r="V736" s="274"/>
      <c r="W736" s="39"/>
      <c r="X736" s="11"/>
      <c r="Y736" s="11"/>
      <c r="Z736" s="274"/>
      <c r="AA736" s="274"/>
      <c r="AB736" s="274"/>
      <c r="AC736" s="52"/>
      <c r="AD736" s="22"/>
      <c r="AE736" s="39"/>
      <c r="AF736" s="274"/>
      <c r="AG736" s="274"/>
      <c r="AH736" s="274"/>
      <c r="AI736" s="11"/>
      <c r="AJ736" s="39"/>
      <c r="AK736" s="39"/>
      <c r="AL736" s="118"/>
      <c r="AM736" s="152"/>
      <c r="AN736" s="181"/>
      <c r="AO736" s="131"/>
      <c r="AP736" s="131"/>
      <c r="AQ736" s="39"/>
      <c r="AR736" s="274"/>
      <c r="AS736" s="274"/>
      <c r="AT736" s="274"/>
      <c r="AU736" s="39"/>
      <c r="AV736" s="39"/>
      <c r="AW736" s="39"/>
      <c r="AX736" s="274"/>
      <c r="AY736" s="274"/>
      <c r="AZ736" s="274"/>
      <c r="BA736" s="39"/>
      <c r="BB736" s="62"/>
      <c r="BC736" s="39"/>
      <c r="BD736" s="274"/>
      <c r="BE736" s="274"/>
      <c r="BF736" s="274"/>
      <c r="BG736" s="39"/>
      <c r="BH736" s="39"/>
      <c r="BI736" s="39"/>
      <c r="BJ736" s="274">
        <v>1704600</v>
      </c>
      <c r="BK736" s="274">
        <f>+BJ736*0.19</f>
        <v>323874</v>
      </c>
      <c r="BL736" s="274">
        <f>+BJ736+BK736</f>
        <v>2028474</v>
      </c>
      <c r="BM736" s="213" t="s">
        <v>5043</v>
      </c>
      <c r="BN736" s="213" t="s">
        <v>5044</v>
      </c>
      <c r="BO736" s="39"/>
      <c r="BP736" s="274"/>
      <c r="BQ736" s="274"/>
      <c r="BR736" s="274"/>
      <c r="BS736" s="39"/>
      <c r="BT736" s="39"/>
      <c r="BU736" s="39"/>
      <c r="BV736" s="219">
        <v>1935164.1960000002</v>
      </c>
      <c r="BW736" s="219">
        <f>+BV736*0.19</f>
        <v>367681.19724000007</v>
      </c>
      <c r="BX736" s="273">
        <f>+BV736+BW736</f>
        <v>2302845.3932400001</v>
      </c>
      <c r="BY736" s="213" t="s">
        <v>5043</v>
      </c>
      <c r="BZ736" s="213" t="s">
        <v>5044</v>
      </c>
      <c r="CA736" s="213"/>
      <c r="CB736" s="275"/>
      <c r="CC736" s="274"/>
      <c r="CD736" s="274"/>
      <c r="CE736" s="39"/>
      <c r="CF736" s="39"/>
      <c r="CG736" s="39"/>
      <c r="CH736" s="274"/>
      <c r="CI736" s="274"/>
      <c r="CJ736" s="274"/>
      <c r="CK736" s="39"/>
      <c r="CL736" s="39"/>
      <c r="CM736" s="39"/>
      <c r="CN736" s="39"/>
      <c r="CO736" s="39"/>
      <c r="CP736" s="11"/>
      <c r="CQ736" s="11"/>
      <c r="CR736" s="11"/>
      <c r="CS736" s="11"/>
      <c r="CT736" s="11"/>
      <c r="CU736" s="11"/>
      <c r="CV736" s="11"/>
      <c r="CW736" s="11"/>
      <c r="CX736" s="11"/>
      <c r="CY736" s="11"/>
      <c r="CZ736" s="11"/>
      <c r="DA736" s="11"/>
      <c r="DB736" s="11"/>
      <c r="DC736" s="11"/>
      <c r="DD736" s="11"/>
      <c r="DE736" s="11"/>
      <c r="DF736" s="11"/>
      <c r="DG736" s="11"/>
      <c r="DH736" s="11"/>
      <c r="DI736" s="11"/>
      <c r="DJ736" s="11"/>
      <c r="DK736" s="11"/>
      <c r="DL736" s="274"/>
      <c r="DM736" s="274"/>
      <c r="DN736" s="274"/>
      <c r="DO736" s="274"/>
      <c r="DP736" s="274"/>
      <c r="DQ736" s="274"/>
      <c r="DR736" s="274"/>
      <c r="DS736" s="274"/>
      <c r="DT736" s="274"/>
      <c r="DU736" s="274"/>
      <c r="DV736" s="274"/>
      <c r="DW736" s="274"/>
      <c r="DX736" s="274"/>
      <c r="DY736" s="274"/>
      <c r="DZ736" s="274"/>
      <c r="EA736" s="274"/>
      <c r="EB736" s="274"/>
      <c r="EC736" s="274"/>
      <c r="ED736" s="39">
        <f t="shared" si="239"/>
        <v>4331319.3932400001</v>
      </c>
      <c r="EE736" s="30">
        <f t="shared" si="240"/>
        <v>2</v>
      </c>
      <c r="EF736" s="39">
        <f t="shared" si="241"/>
        <v>2165659.6966200001</v>
      </c>
    </row>
    <row r="737" spans="1:136" x14ac:dyDescent="0.25">
      <c r="A737" s="25" t="e">
        <f>#REF!</f>
        <v>#REF!</v>
      </c>
      <c r="B737" s="50" t="e">
        <f>#REF!</f>
        <v>#REF!</v>
      </c>
      <c r="C737" s="5" t="e">
        <f>#REF!</f>
        <v>#REF!</v>
      </c>
      <c r="D737" s="5" t="e">
        <f>#REF!</f>
        <v>#REF!</v>
      </c>
      <c r="E737" s="252">
        <v>1</v>
      </c>
      <c r="F737" s="249">
        <v>0</v>
      </c>
      <c r="G737" s="249">
        <v>0</v>
      </c>
      <c r="H737" s="249">
        <v>0</v>
      </c>
      <c r="I737" s="249">
        <v>0</v>
      </c>
      <c r="J737" s="249">
        <v>0</v>
      </c>
      <c r="K737" s="249">
        <v>0</v>
      </c>
      <c r="L737" s="274"/>
      <c r="M737" s="274"/>
      <c r="N737" s="256"/>
      <c r="O737" s="135"/>
      <c r="P737" s="135"/>
      <c r="Q737" s="131"/>
      <c r="R737" s="131"/>
      <c r="S737" s="11"/>
      <c r="T737" s="274"/>
      <c r="U737" s="274"/>
      <c r="V737" s="274"/>
      <c r="W737" s="39"/>
      <c r="X737" s="11"/>
      <c r="Y737" s="11"/>
      <c r="Z737" s="274"/>
      <c r="AA737" s="274"/>
      <c r="AB737" s="274"/>
      <c r="AC737" s="80"/>
      <c r="AD737" s="5"/>
      <c r="AE737" s="39"/>
      <c r="AF737" s="274"/>
      <c r="AG737" s="274"/>
      <c r="AH737" s="274"/>
      <c r="AI737" s="11"/>
      <c r="AJ737" s="39"/>
      <c r="AK737" s="39"/>
      <c r="AL737" s="118"/>
      <c r="AM737" s="152"/>
      <c r="AN737" s="181"/>
      <c r="AO737" s="131"/>
      <c r="AP737" s="131"/>
      <c r="AQ737" s="39"/>
      <c r="AR737" s="274"/>
      <c r="AS737" s="274"/>
      <c r="AT737" s="274"/>
      <c r="AU737" s="39"/>
      <c r="AV737" s="39"/>
      <c r="AW737" s="39"/>
      <c r="AX737" s="274"/>
      <c r="AY737" s="274"/>
      <c r="AZ737" s="274"/>
      <c r="BA737" s="39"/>
      <c r="BB737" s="62"/>
      <c r="BC737" s="39"/>
      <c r="BD737" s="274"/>
      <c r="BE737" s="274"/>
      <c r="BF737" s="274"/>
      <c r="BG737" s="39"/>
      <c r="BH737" s="39"/>
      <c r="BI737" s="39"/>
      <c r="BJ737" s="274"/>
      <c r="BK737" s="274"/>
      <c r="BL737" s="274"/>
      <c r="BM737" s="213"/>
      <c r="BN737" s="213"/>
      <c r="BO737" s="39"/>
      <c r="BP737" s="274"/>
      <c r="BQ737" s="274"/>
      <c r="BR737" s="274"/>
      <c r="BS737" s="39"/>
      <c r="BT737" s="39"/>
      <c r="BU737" s="39"/>
      <c r="BV737" s="212"/>
      <c r="BW737" s="221"/>
      <c r="BX737" s="273"/>
      <c r="BY737" s="213"/>
      <c r="BZ737" s="213"/>
      <c r="CA737" s="213"/>
      <c r="CB737" s="274"/>
      <c r="CC737" s="274"/>
      <c r="CD737" s="274"/>
      <c r="CE737" s="39"/>
      <c r="CF737" s="39"/>
      <c r="CG737" s="39"/>
      <c r="CH737" s="275"/>
      <c r="CI737" s="275"/>
      <c r="CJ737" s="275"/>
      <c r="CK737" s="39"/>
      <c r="CL737" s="39"/>
      <c r="CM737" s="39"/>
      <c r="CN737" s="39"/>
      <c r="CO737" s="39"/>
      <c r="CP737" s="11"/>
      <c r="CQ737" s="11"/>
      <c r="CR737" s="11"/>
      <c r="CS737" s="11"/>
      <c r="CT737" s="11"/>
      <c r="CU737" s="11"/>
      <c r="CV737" s="11"/>
      <c r="CW737" s="11"/>
      <c r="CX737" s="11"/>
      <c r="CY737" s="11"/>
      <c r="CZ737" s="11"/>
      <c r="DA737" s="11"/>
      <c r="DB737" s="11"/>
      <c r="DC737" s="11"/>
      <c r="DD737" s="11"/>
      <c r="DE737" s="11"/>
      <c r="DF737" s="11"/>
      <c r="DG737" s="11"/>
      <c r="DH737" s="11"/>
      <c r="DI737" s="11"/>
      <c r="DJ737" s="11"/>
      <c r="DK737" s="11"/>
      <c r="DL737" s="274"/>
      <c r="DM737" s="274"/>
      <c r="DN737" s="274"/>
      <c r="DO737" s="274"/>
      <c r="DP737" s="274"/>
      <c r="DQ737" s="274"/>
      <c r="DR737" s="274"/>
      <c r="DS737" s="274"/>
      <c r="DT737" s="274"/>
      <c r="DU737" s="274"/>
      <c r="DV737" s="274"/>
      <c r="DW737" s="274"/>
      <c r="DX737" s="274"/>
      <c r="DY737" s="274"/>
      <c r="DZ737" s="274"/>
      <c r="EA737" s="274"/>
      <c r="EB737" s="274"/>
      <c r="EC737" s="274"/>
      <c r="ED737" s="39">
        <f t="shared" si="239"/>
        <v>0</v>
      </c>
      <c r="EE737" s="30">
        <f t="shared" si="240"/>
        <v>0</v>
      </c>
      <c r="EF737" s="39" t="str">
        <f t="shared" si="241"/>
        <v xml:space="preserve"> </v>
      </c>
    </row>
    <row r="738" spans="1:136" ht="24" x14ac:dyDescent="0.25">
      <c r="A738" s="25" t="e">
        <f>#REF!</f>
        <v>#REF!</v>
      </c>
      <c r="B738" s="50" t="e">
        <f>#REF!</f>
        <v>#REF!</v>
      </c>
      <c r="C738" s="5" t="e">
        <f>#REF!</f>
        <v>#REF!</v>
      </c>
      <c r="D738" s="5" t="e">
        <f>#REF!</f>
        <v>#REF!</v>
      </c>
      <c r="E738" s="252">
        <v>1</v>
      </c>
      <c r="F738" s="249">
        <v>0</v>
      </c>
      <c r="G738" s="249">
        <v>0</v>
      </c>
      <c r="H738" s="249">
        <v>0</v>
      </c>
      <c r="I738" s="249">
        <v>0</v>
      </c>
      <c r="J738" s="249">
        <v>595000</v>
      </c>
      <c r="K738" s="249">
        <v>0</v>
      </c>
      <c r="L738" s="274">
        <f>J738</f>
        <v>595000</v>
      </c>
      <c r="M738" s="274"/>
      <c r="N738" s="255"/>
      <c r="O738" s="135"/>
      <c r="P738" s="135"/>
      <c r="Q738" s="131"/>
      <c r="R738" s="131"/>
      <c r="S738" s="11"/>
      <c r="T738" s="274"/>
      <c r="U738" s="274"/>
      <c r="V738" s="274"/>
      <c r="W738" s="39"/>
      <c r="X738" s="11"/>
      <c r="Y738" s="11"/>
      <c r="Z738" s="274"/>
      <c r="AA738" s="274"/>
      <c r="AB738" s="274"/>
      <c r="AC738" s="52"/>
      <c r="AD738" s="22"/>
      <c r="AE738" s="39"/>
      <c r="AF738" s="274"/>
      <c r="AG738" s="274"/>
      <c r="AH738" s="274"/>
      <c r="AI738" s="11"/>
      <c r="AJ738" s="39"/>
      <c r="AK738" s="39"/>
      <c r="AL738" s="118"/>
      <c r="AM738" s="152"/>
      <c r="AN738" s="152"/>
      <c r="AO738" s="131"/>
      <c r="AP738" s="131"/>
      <c r="AQ738" s="39"/>
      <c r="AR738" s="274"/>
      <c r="AS738" s="274"/>
      <c r="AT738" s="274"/>
      <c r="AU738" s="39"/>
      <c r="AV738" s="39"/>
      <c r="AW738" s="39"/>
      <c r="AX738" s="274"/>
      <c r="AY738" s="274"/>
      <c r="AZ738" s="274"/>
      <c r="BA738" s="39"/>
      <c r="BB738" s="62"/>
      <c r="BC738" s="39"/>
      <c r="BD738" s="274"/>
      <c r="BE738" s="274"/>
      <c r="BF738" s="274"/>
      <c r="BG738" s="39"/>
      <c r="BH738" s="39"/>
      <c r="BI738" s="39"/>
      <c r="BJ738" s="274">
        <v>1382400</v>
      </c>
      <c r="BK738" s="274">
        <f>+BJ738*0.19</f>
        <v>262656</v>
      </c>
      <c r="BL738" s="274">
        <f>+BJ738+BK738</f>
        <v>1645056</v>
      </c>
      <c r="BM738" s="213" t="s">
        <v>5043</v>
      </c>
      <c r="BN738" s="213" t="s">
        <v>5044</v>
      </c>
      <c r="BO738" s="39"/>
      <c r="BP738" s="274"/>
      <c r="BQ738" s="274"/>
      <c r="BR738" s="274"/>
      <c r="BS738" s="39"/>
      <c r="BT738" s="39"/>
      <c r="BU738" s="39"/>
      <c r="BV738" s="219">
        <v>1569383.4240000001</v>
      </c>
      <c r="BW738" s="219">
        <f>+BV738*0.19</f>
        <v>298182.85056000005</v>
      </c>
      <c r="BX738" s="273">
        <f>+BV738+BW738</f>
        <v>1867566.2745600003</v>
      </c>
      <c r="BY738" s="213" t="s">
        <v>5043</v>
      </c>
      <c r="BZ738" s="213" t="s">
        <v>5044</v>
      </c>
      <c r="CA738" s="213"/>
      <c r="CB738" s="274"/>
      <c r="CC738" s="274"/>
      <c r="CD738" s="274"/>
      <c r="CE738" s="39"/>
      <c r="CF738" s="39"/>
      <c r="CG738" s="39"/>
      <c r="CH738" s="274"/>
      <c r="CI738" s="274"/>
      <c r="CJ738" s="274"/>
      <c r="CK738" s="39"/>
      <c r="CL738" s="39"/>
      <c r="CM738" s="39"/>
      <c r="CN738" s="39"/>
      <c r="CO738" s="39"/>
      <c r="CP738" s="11"/>
      <c r="CQ738" s="11"/>
      <c r="CR738" s="11"/>
      <c r="CS738" s="11"/>
      <c r="CT738" s="11"/>
      <c r="CU738" s="11"/>
      <c r="CV738" s="11"/>
      <c r="CW738" s="11"/>
      <c r="CX738" s="11"/>
      <c r="CY738" s="11"/>
      <c r="CZ738" s="11"/>
      <c r="DA738" s="11"/>
      <c r="DB738" s="11"/>
      <c r="DC738" s="11"/>
      <c r="DD738" s="11"/>
      <c r="DE738" s="11"/>
      <c r="DF738" s="11"/>
      <c r="DG738" s="11"/>
      <c r="DH738" s="11"/>
      <c r="DI738" s="11"/>
      <c r="DJ738" s="11"/>
      <c r="DK738" s="11"/>
      <c r="DL738" s="274"/>
      <c r="DM738" s="274"/>
      <c r="DN738" s="274"/>
      <c r="DO738" s="274"/>
      <c r="DP738" s="274"/>
      <c r="DQ738" s="274"/>
      <c r="DR738" s="274"/>
      <c r="DS738" s="274"/>
      <c r="DT738" s="274"/>
      <c r="DU738" s="274"/>
      <c r="DV738" s="274"/>
      <c r="DW738" s="274"/>
      <c r="DX738" s="274"/>
      <c r="DY738" s="274"/>
      <c r="DZ738" s="274"/>
      <c r="EA738" s="274"/>
      <c r="EB738" s="274"/>
      <c r="EC738" s="274"/>
      <c r="ED738" s="39">
        <f t="shared" si="239"/>
        <v>3512622.2745600003</v>
      </c>
      <c r="EE738" s="30">
        <f t="shared" si="240"/>
        <v>2</v>
      </c>
      <c r="EF738" s="39">
        <f t="shared" si="241"/>
        <v>1756311.1372800001</v>
      </c>
    </row>
    <row r="739" spans="1:136" x14ac:dyDescent="0.25">
      <c r="A739" s="25" t="e">
        <f>#REF!</f>
        <v>#REF!</v>
      </c>
      <c r="B739" s="50" t="e">
        <f>#REF!</f>
        <v>#REF!</v>
      </c>
      <c r="C739" s="5" t="e">
        <f>#REF!</f>
        <v>#REF!</v>
      </c>
      <c r="D739" s="5" t="e">
        <f>#REF!</f>
        <v>#REF!</v>
      </c>
      <c r="E739" s="252">
        <v>1</v>
      </c>
      <c r="F739" s="249">
        <v>0</v>
      </c>
      <c r="G739" s="249">
        <v>0</v>
      </c>
      <c r="H739" s="249">
        <v>661360.35</v>
      </c>
      <c r="I739" s="249">
        <v>0</v>
      </c>
      <c r="J739" s="249">
        <v>0</v>
      </c>
      <c r="K739" s="249">
        <v>0</v>
      </c>
      <c r="L739" s="274">
        <f>H739</f>
        <v>661360.35</v>
      </c>
      <c r="M739" s="274"/>
      <c r="N739" s="255"/>
      <c r="O739" s="135"/>
      <c r="P739" s="135"/>
      <c r="Q739" s="131"/>
      <c r="R739" s="131"/>
      <c r="S739" s="11"/>
      <c r="T739" s="274"/>
      <c r="U739" s="274"/>
      <c r="V739" s="274"/>
      <c r="W739" s="39"/>
      <c r="X739" s="11"/>
      <c r="Y739" s="11"/>
      <c r="Z739" s="274"/>
      <c r="AA739" s="274"/>
      <c r="AB739" s="274"/>
      <c r="AC739" s="52"/>
      <c r="AD739" s="22"/>
      <c r="AE739" s="39"/>
      <c r="AF739" s="274"/>
      <c r="AG739" s="274"/>
      <c r="AH739" s="274"/>
      <c r="AI739" s="11"/>
      <c r="AJ739" s="39"/>
      <c r="AK739" s="39"/>
      <c r="AL739" s="118"/>
      <c r="AM739" s="152"/>
      <c r="AN739" s="181"/>
      <c r="AO739" s="131"/>
      <c r="AP739" s="131"/>
      <c r="AQ739" s="39"/>
      <c r="AR739" s="274"/>
      <c r="AS739" s="274"/>
      <c r="AT739" s="274"/>
      <c r="AU739" s="39"/>
      <c r="AV739" s="39"/>
      <c r="AW739" s="39"/>
      <c r="AX739" s="274"/>
      <c r="AY739" s="274"/>
      <c r="AZ739" s="274"/>
      <c r="BA739" s="39"/>
      <c r="BB739" s="62"/>
      <c r="BC739" s="39"/>
      <c r="BD739" s="274"/>
      <c r="BE739" s="274"/>
      <c r="BF739" s="274"/>
      <c r="BG739" s="39"/>
      <c r="BH739" s="39"/>
      <c r="BI739" s="39"/>
      <c r="BJ739" s="275">
        <v>2900000</v>
      </c>
      <c r="BK739" s="274">
        <f>+BJ739*0.19</f>
        <v>551000</v>
      </c>
      <c r="BL739" s="274">
        <f>+BJ739+BK739</f>
        <v>3451000</v>
      </c>
      <c r="BM739" s="213" t="s">
        <v>5045</v>
      </c>
      <c r="BN739" s="213" t="s">
        <v>4809</v>
      </c>
      <c r="BO739" s="39"/>
      <c r="BP739" s="274"/>
      <c r="BQ739" s="274"/>
      <c r="BR739" s="274"/>
      <c r="BS739" s="39"/>
      <c r="BT739" s="39"/>
      <c r="BU739" s="39"/>
      <c r="BV739" s="219">
        <v>6132672</v>
      </c>
      <c r="BW739" s="219">
        <f>+BV739*0.19</f>
        <v>1165207.68</v>
      </c>
      <c r="BX739" s="273">
        <f>+BV739+BW739</f>
        <v>7297879.6799999997</v>
      </c>
      <c r="BY739" s="213" t="s">
        <v>5045</v>
      </c>
      <c r="BZ739" s="213" t="s">
        <v>4809</v>
      </c>
      <c r="CA739" s="213"/>
      <c r="CB739" s="274"/>
      <c r="CC739" s="274"/>
      <c r="CD739" s="274"/>
      <c r="CE739" s="39"/>
      <c r="CF739" s="39"/>
      <c r="CG739" s="39"/>
      <c r="CH739" s="274"/>
      <c r="CI739" s="274"/>
      <c r="CJ739" s="274"/>
      <c r="CK739" s="39"/>
      <c r="CL739" s="39"/>
      <c r="CM739" s="39"/>
      <c r="CN739" s="39"/>
      <c r="CO739" s="39"/>
      <c r="CP739" s="11"/>
      <c r="CQ739" s="11"/>
      <c r="CR739" s="11"/>
      <c r="CS739" s="11"/>
      <c r="CT739" s="11"/>
      <c r="CU739" s="11"/>
      <c r="CV739" s="11"/>
      <c r="CW739" s="11"/>
      <c r="CX739" s="11"/>
      <c r="CY739" s="11"/>
      <c r="CZ739" s="11"/>
      <c r="DA739" s="11"/>
      <c r="DB739" s="11"/>
      <c r="DC739" s="11"/>
      <c r="DD739" s="11"/>
      <c r="DE739" s="11"/>
      <c r="DF739" s="11"/>
      <c r="DG739" s="11"/>
      <c r="DH739" s="11"/>
      <c r="DI739" s="11"/>
      <c r="DJ739" s="11"/>
      <c r="DK739" s="11"/>
      <c r="DL739" s="274"/>
      <c r="DM739" s="274"/>
      <c r="DN739" s="274"/>
      <c r="DO739" s="274"/>
      <c r="DP739" s="274"/>
      <c r="DQ739" s="274"/>
      <c r="DR739" s="274"/>
      <c r="DS739" s="274"/>
      <c r="DT739" s="274"/>
      <c r="DU739" s="274"/>
      <c r="DV739" s="274"/>
      <c r="DW739" s="274"/>
      <c r="DX739" s="274"/>
      <c r="DY739" s="274"/>
      <c r="DZ739" s="274"/>
      <c r="EA739" s="274"/>
      <c r="EB739" s="274"/>
      <c r="EC739" s="274"/>
      <c r="ED739" s="39">
        <f t="shared" si="239"/>
        <v>10748879.68</v>
      </c>
      <c r="EE739" s="30">
        <f t="shared" si="240"/>
        <v>2</v>
      </c>
      <c r="EF739" s="39">
        <f t="shared" si="241"/>
        <v>5374439.8399999999</v>
      </c>
    </row>
    <row r="740" spans="1:136" ht="24" x14ac:dyDescent="0.25">
      <c r="A740" s="25" t="e">
        <f>#REF!</f>
        <v>#REF!</v>
      </c>
      <c r="B740" s="50" t="e">
        <f>#REF!</f>
        <v>#REF!</v>
      </c>
      <c r="C740" s="5" t="e">
        <f>#REF!</f>
        <v>#REF!</v>
      </c>
      <c r="D740" s="5" t="e">
        <f>#REF!</f>
        <v>#REF!</v>
      </c>
      <c r="E740" s="252">
        <v>1</v>
      </c>
      <c r="F740" s="249">
        <v>0</v>
      </c>
      <c r="G740" s="249">
        <v>0</v>
      </c>
      <c r="H740" s="249">
        <v>0</v>
      </c>
      <c r="I740" s="249">
        <v>0</v>
      </c>
      <c r="J740" s="249">
        <v>363446.23</v>
      </c>
      <c r="K740" s="249">
        <v>0</v>
      </c>
      <c r="L740" s="274">
        <f>J740</f>
        <v>363446.23</v>
      </c>
      <c r="M740" s="274"/>
      <c r="N740" s="255"/>
      <c r="O740" s="135"/>
      <c r="P740" s="135"/>
      <c r="Q740" s="11"/>
      <c r="R740" s="11"/>
      <c r="S740" s="11"/>
      <c r="T740" s="274"/>
      <c r="U740" s="274"/>
      <c r="V740" s="274"/>
      <c r="W740" s="11"/>
      <c r="X740" s="11"/>
      <c r="Y740" s="11"/>
      <c r="Z740" s="274"/>
      <c r="AA740" s="274"/>
      <c r="AB740" s="274"/>
      <c r="AC740" s="11"/>
      <c r="AD740" s="11"/>
      <c r="AE740" s="11"/>
      <c r="AF740" s="274"/>
      <c r="AG740" s="274"/>
      <c r="AH740" s="274"/>
      <c r="AI740" s="11"/>
      <c r="AJ740" s="11"/>
      <c r="AK740" s="11"/>
      <c r="AL740" s="228">
        <v>828137</v>
      </c>
      <c r="AM740" s="152">
        <f>+AL740*0.19</f>
        <v>157346.03</v>
      </c>
      <c r="AN740" s="152">
        <f>+AL740+AM740</f>
        <v>985483.03</v>
      </c>
      <c r="AO740" s="52" t="s">
        <v>5046</v>
      </c>
      <c r="AP740" s="52" t="s">
        <v>2030</v>
      </c>
      <c r="AQ740" s="11"/>
      <c r="AR740" s="274"/>
      <c r="AS740" s="274"/>
      <c r="AT740" s="274"/>
      <c r="AU740" s="11"/>
      <c r="AV740" s="11"/>
      <c r="AW740" s="11"/>
      <c r="AX740" s="274"/>
      <c r="AY740" s="274"/>
      <c r="AZ740" s="274"/>
      <c r="BA740" s="11"/>
      <c r="BB740" s="11"/>
      <c r="BC740" s="11"/>
      <c r="BD740" s="274"/>
      <c r="BE740" s="274"/>
      <c r="BF740" s="274"/>
      <c r="BG740" s="11"/>
      <c r="BH740" s="11"/>
      <c r="BI740" s="11"/>
      <c r="BJ740" s="275">
        <v>773700</v>
      </c>
      <c r="BK740" s="274">
        <f>+BJ740*0.19</f>
        <v>147003</v>
      </c>
      <c r="BL740" s="274">
        <f>+BJ740+BK740</f>
        <v>920703</v>
      </c>
      <c r="BM740" s="213" t="s">
        <v>5040</v>
      </c>
      <c r="BN740" s="213" t="s">
        <v>5035</v>
      </c>
      <c r="BO740" s="11"/>
      <c r="BP740" s="274"/>
      <c r="BQ740" s="274"/>
      <c r="BR740" s="274"/>
      <c r="BS740" s="11"/>
      <c r="BT740" s="11"/>
      <c r="BU740" s="11"/>
      <c r="BV740" s="219">
        <v>869270.51879999996</v>
      </c>
      <c r="BW740" s="219">
        <f>+BV740*0.19</f>
        <v>165161.39857200001</v>
      </c>
      <c r="BX740" s="273">
        <f>+BV740+BW740</f>
        <v>1034431.9173719999</v>
      </c>
      <c r="BY740" s="213" t="s">
        <v>5040</v>
      </c>
      <c r="BZ740" s="213" t="s">
        <v>5035</v>
      </c>
      <c r="CA740" s="213"/>
      <c r="CB740" s="274"/>
      <c r="CC740" s="274"/>
      <c r="CD740" s="274"/>
      <c r="CE740" s="66"/>
      <c r="CF740" s="66"/>
      <c r="CG740" s="66"/>
      <c r="CH740" s="274"/>
      <c r="CI740" s="274"/>
      <c r="CJ740" s="274"/>
      <c r="CK740" s="11"/>
      <c r="CL740" s="11"/>
      <c r="CM740" s="11"/>
      <c r="CN740" s="11"/>
      <c r="CO740" s="11"/>
      <c r="CP740" s="11"/>
      <c r="CQ740" s="11"/>
      <c r="CR740" s="11"/>
      <c r="CS740" s="11"/>
      <c r="CT740" s="11"/>
      <c r="CU740" s="11"/>
      <c r="CV740" s="11"/>
      <c r="CW740" s="11"/>
      <c r="CX740" s="11"/>
      <c r="CY740" s="11"/>
      <c r="CZ740" s="11"/>
      <c r="DA740" s="11"/>
      <c r="DB740" s="11"/>
      <c r="DC740" s="11"/>
      <c r="DD740" s="11"/>
      <c r="DE740" s="11"/>
      <c r="DF740" s="11"/>
      <c r="DG740" s="11"/>
      <c r="DH740" s="11"/>
      <c r="DI740" s="11"/>
      <c r="DJ740" s="11"/>
      <c r="DK740" s="11"/>
      <c r="DL740" s="274"/>
      <c r="DM740" s="274"/>
      <c r="DN740" s="274"/>
      <c r="DO740" s="274"/>
      <c r="DP740" s="274"/>
      <c r="DQ740" s="274"/>
      <c r="DR740" s="274"/>
      <c r="DS740" s="274"/>
      <c r="DT740" s="274"/>
      <c r="DU740" s="274"/>
      <c r="DV740" s="274"/>
      <c r="DW740" s="274"/>
      <c r="DX740" s="274"/>
      <c r="DY740" s="274"/>
      <c r="DZ740" s="274"/>
      <c r="EA740" s="274"/>
      <c r="EB740" s="274"/>
      <c r="EC740" s="274"/>
      <c r="ED740" s="39">
        <f t="shared" si="239"/>
        <v>2940617.9473719997</v>
      </c>
      <c r="EE740" s="30">
        <f t="shared" si="240"/>
        <v>3</v>
      </c>
      <c r="EF740" s="39">
        <f t="shared" si="241"/>
        <v>980205.98245733324</v>
      </c>
    </row>
    <row r="741" spans="1:136" x14ac:dyDescent="0.25">
      <c r="A741" s="25" t="e">
        <f>#REF!</f>
        <v>#REF!</v>
      </c>
      <c r="B741" s="50" t="e">
        <f>#REF!</f>
        <v>#REF!</v>
      </c>
      <c r="C741" s="5" t="e">
        <f>#REF!</f>
        <v>#REF!</v>
      </c>
      <c r="D741" s="5" t="e">
        <f>#REF!</f>
        <v>#REF!</v>
      </c>
      <c r="E741" s="252">
        <v>1</v>
      </c>
      <c r="F741" s="249">
        <v>0</v>
      </c>
      <c r="G741" s="249">
        <v>0</v>
      </c>
      <c r="H741" s="249">
        <v>733955.11</v>
      </c>
      <c r="I741" s="249">
        <v>733873</v>
      </c>
      <c r="J741" s="249">
        <v>0</v>
      </c>
      <c r="K741" s="249">
        <v>0</v>
      </c>
      <c r="L741" s="274">
        <f>H741</f>
        <v>733955.11</v>
      </c>
      <c r="M741" s="274">
        <f>I741*E1</f>
        <v>755889.19000000006</v>
      </c>
      <c r="N741" s="255"/>
      <c r="O741" s="135"/>
      <c r="P741" s="135"/>
      <c r="Q741" s="131"/>
      <c r="R741" s="131"/>
      <c r="S741" s="11"/>
      <c r="T741" s="274"/>
      <c r="U741" s="274"/>
      <c r="V741" s="274"/>
      <c r="W741" s="39"/>
      <c r="X741" s="11"/>
      <c r="Y741" s="11"/>
      <c r="Z741" s="274"/>
      <c r="AA741" s="274"/>
      <c r="AB741" s="274"/>
      <c r="AC741" s="52"/>
      <c r="AD741" s="22"/>
      <c r="AE741" s="39"/>
      <c r="AF741" s="274"/>
      <c r="AG741" s="274"/>
      <c r="AH741" s="274"/>
      <c r="AI741" s="11"/>
      <c r="AJ741" s="39"/>
      <c r="AK741" s="39"/>
      <c r="AL741" s="118"/>
      <c r="AM741" s="152"/>
      <c r="AN741" s="181"/>
      <c r="AO741" s="131"/>
      <c r="AP741" s="131"/>
      <c r="AQ741" s="39"/>
      <c r="AR741" s="274"/>
      <c r="AS741" s="274"/>
      <c r="AT741" s="274"/>
      <c r="AU741" s="39"/>
      <c r="AV741" s="39"/>
      <c r="AW741" s="39"/>
      <c r="AX741" s="274"/>
      <c r="AY741" s="274"/>
      <c r="AZ741" s="274"/>
      <c r="BA741" s="39"/>
      <c r="BB741" s="62"/>
      <c r="BC741" s="39"/>
      <c r="BD741" s="274"/>
      <c r="BE741" s="274"/>
      <c r="BF741" s="274"/>
      <c r="BG741" s="39"/>
      <c r="BH741" s="39"/>
      <c r="BI741" s="39"/>
      <c r="BJ741" s="274">
        <v>1730900</v>
      </c>
      <c r="BK741" s="274">
        <f>+BJ741*0.19</f>
        <v>328871</v>
      </c>
      <c r="BL741" s="274">
        <f>+BJ741+BK741</f>
        <v>2059771</v>
      </c>
      <c r="BM741" s="213" t="s">
        <v>4778</v>
      </c>
      <c r="BN741" s="213" t="s">
        <v>2030</v>
      </c>
      <c r="BO741" s="39"/>
      <c r="BP741" s="274"/>
      <c r="BQ741" s="274"/>
      <c r="BR741" s="274"/>
      <c r="BS741" s="39"/>
      <c r="BT741" s="39"/>
      <c r="BU741" s="39"/>
      <c r="BV741" s="219">
        <v>2003551.3680000002</v>
      </c>
      <c r="BW741" s="219">
        <f>+BV741*0.19</f>
        <v>380674.75992000004</v>
      </c>
      <c r="BX741" s="273">
        <f>+BV741+BW741</f>
        <v>2384226.1279200003</v>
      </c>
      <c r="BY741" s="213" t="s">
        <v>4778</v>
      </c>
      <c r="BZ741" s="213" t="s">
        <v>2030</v>
      </c>
      <c r="CA741" s="213"/>
      <c r="CB741" s="274"/>
      <c r="CC741" s="274"/>
      <c r="CD741" s="274"/>
      <c r="CE741" s="39"/>
      <c r="CF741" s="39"/>
      <c r="CG741" s="39"/>
      <c r="CH741" s="274"/>
      <c r="CI741" s="274"/>
      <c r="CJ741" s="274"/>
      <c r="CK741" s="39"/>
      <c r="CL741" s="39"/>
      <c r="CM741" s="39"/>
      <c r="CN741" s="39"/>
      <c r="CO741" s="39"/>
      <c r="CP741" s="11"/>
      <c r="CQ741" s="11"/>
      <c r="CR741" s="11"/>
      <c r="CS741" s="11"/>
      <c r="CT741" s="11"/>
      <c r="CU741" s="11"/>
      <c r="CV741" s="11"/>
      <c r="CW741" s="11"/>
      <c r="CX741" s="11"/>
      <c r="CY741" s="11"/>
      <c r="CZ741" s="11"/>
      <c r="DA741" s="11"/>
      <c r="DB741" s="11"/>
      <c r="DC741" s="11"/>
      <c r="DD741" s="11"/>
      <c r="DE741" s="11"/>
      <c r="DF741" s="11"/>
      <c r="DG741" s="11"/>
      <c r="DH741" s="11"/>
      <c r="DI741" s="11"/>
      <c r="DJ741" s="11"/>
      <c r="DK741" s="11"/>
      <c r="DL741" s="274"/>
      <c r="DM741" s="274"/>
      <c r="DN741" s="274"/>
      <c r="DO741" s="274"/>
      <c r="DP741" s="274"/>
      <c r="DQ741" s="274"/>
      <c r="DR741" s="274"/>
      <c r="DS741" s="274"/>
      <c r="DT741" s="274"/>
      <c r="DU741" s="274"/>
      <c r="DV741" s="274"/>
      <c r="DW741" s="274"/>
      <c r="DX741" s="274"/>
      <c r="DY741" s="274"/>
      <c r="DZ741" s="274"/>
      <c r="EA741" s="274"/>
      <c r="EB741" s="274"/>
      <c r="EC741" s="274"/>
      <c r="ED741" s="39">
        <f t="shared" si="239"/>
        <v>5199886.3179200003</v>
      </c>
      <c r="EE741" s="30">
        <f t="shared" si="240"/>
        <v>3</v>
      </c>
      <c r="EF741" s="39">
        <f t="shared" si="241"/>
        <v>1733295.4393066668</v>
      </c>
    </row>
    <row r="742" spans="1:136" ht="51" x14ac:dyDescent="0.25">
      <c r="A742" s="25" t="e">
        <f>#REF!</f>
        <v>#REF!</v>
      </c>
      <c r="B742" s="50" t="e">
        <f>#REF!</f>
        <v>#REF!</v>
      </c>
      <c r="C742" s="5" t="e">
        <f>#REF!</f>
        <v>#REF!</v>
      </c>
      <c r="D742" s="5" t="e">
        <f>#REF!</f>
        <v>#REF!</v>
      </c>
      <c r="E742" s="252">
        <v>1</v>
      </c>
      <c r="F742" s="249">
        <v>0</v>
      </c>
      <c r="G742" s="249">
        <v>0</v>
      </c>
      <c r="H742" s="249">
        <v>0</v>
      </c>
      <c r="I742" s="249">
        <v>0</v>
      </c>
      <c r="J742" s="249">
        <v>342434.64997812052</v>
      </c>
      <c r="K742" s="249">
        <v>0</v>
      </c>
      <c r="L742" s="274">
        <f>J742</f>
        <v>342434.64997812052</v>
      </c>
      <c r="M742" s="274"/>
      <c r="N742" s="255"/>
      <c r="O742" s="135"/>
      <c r="P742" s="135"/>
      <c r="Q742" s="131"/>
      <c r="R742" s="131"/>
      <c r="S742" s="11"/>
      <c r="T742" s="274"/>
      <c r="U742" s="274"/>
      <c r="V742" s="274"/>
      <c r="W742" s="39"/>
      <c r="X742" s="11"/>
      <c r="Y742" s="11"/>
      <c r="Z742" s="274">
        <f>+(396000/30)*50</f>
        <v>660000</v>
      </c>
      <c r="AA742" s="274">
        <f>+Z742*0.19</f>
        <v>125400</v>
      </c>
      <c r="AB742" s="274">
        <f>+Z742+AA742</f>
        <v>785400</v>
      </c>
      <c r="AC742" s="5" t="s">
        <v>5047</v>
      </c>
      <c r="AD742" s="22" t="s">
        <v>35</v>
      </c>
      <c r="AE742" s="39"/>
      <c r="AF742" s="274"/>
      <c r="AG742" s="274"/>
      <c r="AH742" s="274"/>
      <c r="AI742" s="11"/>
      <c r="AJ742" s="39"/>
      <c r="AK742" s="39"/>
      <c r="AL742" s="118"/>
      <c r="AM742" s="152"/>
      <c r="AN742" s="181"/>
      <c r="AO742" s="131"/>
      <c r="AP742" s="131"/>
      <c r="AQ742" s="39"/>
      <c r="AR742" s="274"/>
      <c r="AS742" s="274"/>
      <c r="AT742" s="274"/>
      <c r="AU742" s="39"/>
      <c r="AV742" s="39"/>
      <c r="AW742" s="39"/>
      <c r="AX742" s="274"/>
      <c r="AY742" s="274"/>
      <c r="AZ742" s="274"/>
      <c r="BA742" s="39"/>
      <c r="BB742" s="62"/>
      <c r="BC742" s="39"/>
      <c r="BD742" s="118">
        <f>3994760/10</f>
        <v>399476</v>
      </c>
      <c r="BE742" s="274">
        <f>+BD742*0.19</f>
        <v>75900.44</v>
      </c>
      <c r="BF742" s="274">
        <f>+BD742+BE742</f>
        <v>475376.44</v>
      </c>
      <c r="BG742" s="25" t="s">
        <v>5036</v>
      </c>
      <c r="BH742" s="5" t="s">
        <v>5048</v>
      </c>
      <c r="BI742" s="5" t="s">
        <v>5049</v>
      </c>
      <c r="BJ742" s="274"/>
      <c r="BK742" s="274"/>
      <c r="BL742" s="274"/>
      <c r="BM742" s="213"/>
      <c r="BN742" s="213"/>
      <c r="BO742" s="39"/>
      <c r="BP742" s="274">
        <v>1865000</v>
      </c>
      <c r="BQ742" s="274">
        <f t="shared" ref="BQ742:BQ752" si="248">+BP742*19%</f>
        <v>354350</v>
      </c>
      <c r="BR742" s="274">
        <f t="shared" ref="BR742:BR752" si="249">+BQ742+BP742</f>
        <v>2219350</v>
      </c>
      <c r="BS742" s="39"/>
      <c r="BT742" s="39"/>
      <c r="BU742" s="39"/>
      <c r="BV742" s="212"/>
      <c r="BW742" s="221"/>
      <c r="BX742" s="273"/>
      <c r="BY742" s="213"/>
      <c r="BZ742" s="213"/>
      <c r="CA742" s="213"/>
      <c r="CB742" s="274"/>
      <c r="CC742" s="274"/>
      <c r="CD742" s="274"/>
      <c r="CE742" s="39"/>
      <c r="CF742" s="39"/>
      <c r="CG742" s="39"/>
      <c r="CH742" s="274"/>
      <c r="CI742" s="274"/>
      <c r="CJ742" s="274"/>
      <c r="CK742" s="39"/>
      <c r="CL742" s="39"/>
      <c r="CM742" s="39"/>
      <c r="CN742" s="39"/>
      <c r="CO742" s="39"/>
      <c r="CP742" s="11"/>
      <c r="CQ742" s="11"/>
      <c r="CR742" s="11"/>
      <c r="CS742" s="11"/>
      <c r="CT742" s="11"/>
      <c r="CU742" s="11"/>
      <c r="CV742" s="11"/>
      <c r="CW742" s="11"/>
      <c r="CX742" s="11"/>
      <c r="CY742" s="11"/>
      <c r="CZ742" s="11"/>
      <c r="DA742" s="11"/>
      <c r="DB742" s="11"/>
      <c r="DC742" s="11"/>
      <c r="DD742" s="11"/>
      <c r="DE742" s="11"/>
      <c r="DF742" s="11"/>
      <c r="DG742" s="11"/>
      <c r="DH742" s="11"/>
      <c r="DI742" s="11"/>
      <c r="DJ742" s="11"/>
      <c r="DK742" s="11"/>
      <c r="DL742" s="274"/>
      <c r="DM742" s="274"/>
      <c r="DN742" s="274"/>
      <c r="DO742" s="274"/>
      <c r="DP742" s="274"/>
      <c r="DQ742" s="274"/>
      <c r="DR742" s="274"/>
      <c r="DS742" s="274"/>
      <c r="DT742" s="274"/>
      <c r="DU742" s="274"/>
      <c r="DV742" s="274"/>
      <c r="DW742" s="274"/>
      <c r="DX742" s="274"/>
      <c r="DY742" s="274"/>
      <c r="DZ742" s="274"/>
      <c r="EA742" s="274"/>
      <c r="EB742" s="274"/>
      <c r="EC742" s="274"/>
      <c r="ED742" s="39">
        <f t="shared" si="239"/>
        <v>3480126.44</v>
      </c>
      <c r="EE742" s="30">
        <f t="shared" si="240"/>
        <v>3</v>
      </c>
      <c r="EF742" s="39">
        <f t="shared" si="241"/>
        <v>1160042.1466666667</v>
      </c>
    </row>
    <row r="743" spans="1:136" x14ac:dyDescent="0.25">
      <c r="A743" s="25" t="e">
        <f>#REF!</f>
        <v>#REF!</v>
      </c>
      <c r="B743" s="50" t="e">
        <f>#REF!</f>
        <v>#REF!</v>
      </c>
      <c r="C743" s="5" t="e">
        <f>#REF!</f>
        <v>#REF!</v>
      </c>
      <c r="D743" s="5" t="e">
        <f>#REF!</f>
        <v>#REF!</v>
      </c>
      <c r="E743" s="252">
        <v>1</v>
      </c>
      <c r="F743" s="249">
        <v>129831.38</v>
      </c>
      <c r="G743" s="249">
        <v>125902</v>
      </c>
      <c r="H743" s="249">
        <v>100396.33333333333</v>
      </c>
      <c r="I743" s="249">
        <v>100317</v>
      </c>
      <c r="J743" s="249">
        <v>141859.10666666669</v>
      </c>
      <c r="K743" s="249">
        <v>136850</v>
      </c>
      <c r="L743" s="274">
        <f>AVERAGE(F743,H743,J743)</f>
        <v>124028.94</v>
      </c>
      <c r="M743" s="274">
        <f>AVERAGE(G743,I743,K743)*E1</f>
        <v>124653.69</v>
      </c>
      <c r="N743" s="255">
        <v>60000</v>
      </c>
      <c r="O743" s="135">
        <f>+N743*0.19</f>
        <v>11400</v>
      </c>
      <c r="P743" s="135">
        <f>+N743+O743</f>
        <v>71400</v>
      </c>
      <c r="Q743" s="131"/>
      <c r="R743" s="131"/>
      <c r="S743" s="11"/>
      <c r="T743" s="274"/>
      <c r="U743" s="274"/>
      <c r="V743" s="274"/>
      <c r="W743" s="39"/>
      <c r="X743" s="11"/>
      <c r="Y743" s="11"/>
      <c r="Z743" s="274"/>
      <c r="AA743" s="274"/>
      <c r="AB743" s="274"/>
      <c r="AC743" s="52"/>
      <c r="AD743" s="22"/>
      <c r="AE743" s="39"/>
      <c r="AF743" s="274"/>
      <c r="AG743" s="274"/>
      <c r="AH743" s="274"/>
      <c r="AI743" s="11"/>
      <c r="AJ743" s="39"/>
      <c r="AK743" s="39"/>
      <c r="AL743" s="118"/>
      <c r="AM743" s="152"/>
      <c r="AN743" s="181"/>
      <c r="AO743" s="131"/>
      <c r="AP743" s="131"/>
      <c r="AQ743" s="39"/>
      <c r="AR743" s="274"/>
      <c r="AS743" s="274"/>
      <c r="AT743" s="274"/>
      <c r="AU743" s="39"/>
      <c r="AV743" s="39"/>
      <c r="AW743" s="39"/>
      <c r="AX743" s="274"/>
      <c r="AY743" s="274"/>
      <c r="AZ743" s="274"/>
      <c r="BA743" s="39"/>
      <c r="BB743" s="62"/>
      <c r="BC743" s="39"/>
      <c r="BD743" s="274"/>
      <c r="BE743" s="274"/>
      <c r="BF743" s="274"/>
      <c r="BG743" s="39"/>
      <c r="BH743" s="39"/>
      <c r="BI743" s="39"/>
      <c r="BJ743" s="274">
        <v>176200</v>
      </c>
      <c r="BK743" s="274">
        <f t="shared" ref="BK743:BK782" si="250">+BJ743*0.19</f>
        <v>33478</v>
      </c>
      <c r="BL743" s="274">
        <f t="shared" ref="BL743:BL782" si="251">+BJ743+BK743</f>
        <v>209678</v>
      </c>
      <c r="BM743" s="213" t="s">
        <v>196</v>
      </c>
      <c r="BN743" s="213" t="s">
        <v>2925</v>
      </c>
      <c r="BO743" s="39"/>
      <c r="BP743" s="274">
        <v>58600</v>
      </c>
      <c r="BQ743" s="274">
        <f t="shared" si="248"/>
        <v>11134</v>
      </c>
      <c r="BR743" s="274">
        <f t="shared" si="249"/>
        <v>69734</v>
      </c>
      <c r="BS743" s="39"/>
      <c r="BT743" s="39"/>
      <c r="BU743" s="39"/>
      <c r="BV743" s="219">
        <v>196258.60800000001</v>
      </c>
      <c r="BW743" s="219">
        <f t="shared" ref="BW743:BW762" si="252">+BV743*0.19</f>
        <v>37289.135520000003</v>
      </c>
      <c r="BX743" s="273">
        <f t="shared" ref="BX743:BX762" si="253">+BV743+BW743</f>
        <v>233547.74352000002</v>
      </c>
      <c r="BY743" s="213" t="s">
        <v>196</v>
      </c>
      <c r="BZ743" s="213" t="s">
        <v>2925</v>
      </c>
      <c r="CA743" s="213"/>
      <c r="CB743" s="274"/>
      <c r="CC743" s="274"/>
      <c r="CD743" s="274"/>
      <c r="CE743" s="39"/>
      <c r="CF743" s="39"/>
      <c r="CG743" s="39"/>
      <c r="CH743" s="274"/>
      <c r="CI743" s="274"/>
      <c r="CJ743" s="274"/>
      <c r="CK743" s="39"/>
      <c r="CL743" s="39"/>
      <c r="CM743" s="39"/>
      <c r="CN743" s="39"/>
      <c r="CO743" s="39"/>
      <c r="CP743" s="11"/>
      <c r="CQ743" s="11"/>
      <c r="CR743" s="11"/>
      <c r="CS743" s="11"/>
      <c r="CT743" s="11"/>
      <c r="CU743" s="11"/>
      <c r="CV743" s="11"/>
      <c r="CW743" s="11"/>
      <c r="CX743" s="11"/>
      <c r="CY743" s="11"/>
      <c r="CZ743" s="11"/>
      <c r="DA743" s="11"/>
      <c r="DB743" s="11"/>
      <c r="DC743" s="11"/>
      <c r="DD743" s="11"/>
      <c r="DE743" s="11"/>
      <c r="DF743" s="11"/>
      <c r="DG743" s="11"/>
      <c r="DH743" s="11"/>
      <c r="DI743" s="11"/>
      <c r="DJ743" s="11"/>
      <c r="DK743" s="11"/>
      <c r="DL743" s="274"/>
      <c r="DM743" s="274"/>
      <c r="DN743" s="274"/>
      <c r="DO743" s="274"/>
      <c r="DP743" s="274"/>
      <c r="DQ743" s="274"/>
      <c r="DR743" s="274"/>
      <c r="DS743" s="274"/>
      <c r="DT743" s="274"/>
      <c r="DU743" s="274"/>
      <c r="DV743" s="274"/>
      <c r="DW743" s="274"/>
      <c r="DX743" s="274"/>
      <c r="DY743" s="274"/>
      <c r="DZ743" s="274"/>
      <c r="EA743" s="274"/>
      <c r="EB743" s="274"/>
      <c r="EC743" s="274"/>
      <c r="ED743" s="39">
        <f t="shared" si="239"/>
        <v>709013.43351999996</v>
      </c>
      <c r="EE743" s="30">
        <f t="shared" si="240"/>
        <v>5</v>
      </c>
      <c r="EF743" s="39">
        <f t="shared" si="241"/>
        <v>141802.68670399999</v>
      </c>
    </row>
    <row r="744" spans="1:136" x14ac:dyDescent="0.25">
      <c r="A744" s="25" t="e">
        <f>#REF!</f>
        <v>#REF!</v>
      </c>
      <c r="B744" s="50" t="e">
        <f>#REF!</f>
        <v>#REF!</v>
      </c>
      <c r="C744" s="5" t="e">
        <f>#REF!</f>
        <v>#REF!</v>
      </c>
      <c r="D744" s="5" t="e">
        <f>#REF!</f>
        <v>#REF!</v>
      </c>
      <c r="E744" s="252">
        <v>1</v>
      </c>
      <c r="F744" s="249">
        <v>0</v>
      </c>
      <c r="G744" s="249">
        <v>0</v>
      </c>
      <c r="H744" s="249">
        <v>0</v>
      </c>
      <c r="I744" s="249">
        <v>0</v>
      </c>
      <c r="J744" s="249">
        <v>2618</v>
      </c>
      <c r="K744" s="249">
        <v>2618</v>
      </c>
      <c r="L744" s="274">
        <f>J744</f>
        <v>2618</v>
      </c>
      <c r="M744" s="274">
        <f>K744*E1</f>
        <v>2696.54</v>
      </c>
      <c r="N744" s="255"/>
      <c r="O744" s="135"/>
      <c r="P744" s="135"/>
      <c r="Q744" s="131"/>
      <c r="R744" s="131"/>
      <c r="S744" s="11"/>
      <c r="T744" s="274"/>
      <c r="U744" s="274"/>
      <c r="V744" s="274"/>
      <c r="W744" s="39"/>
      <c r="X744" s="11"/>
      <c r="Y744" s="11"/>
      <c r="Z744" s="274"/>
      <c r="AA744" s="274"/>
      <c r="AB744" s="274"/>
      <c r="AC744" s="52"/>
      <c r="AD744" s="22"/>
      <c r="AE744" s="39"/>
      <c r="AF744" s="274"/>
      <c r="AG744" s="274"/>
      <c r="AH744" s="274"/>
      <c r="AI744" s="11"/>
      <c r="AJ744" s="39"/>
      <c r="AK744" s="39"/>
      <c r="AL744" s="118"/>
      <c r="AM744" s="152"/>
      <c r="AN744" s="181"/>
      <c r="AO744" s="131"/>
      <c r="AP744" s="131"/>
      <c r="AQ744" s="39"/>
      <c r="AR744" s="274"/>
      <c r="AS744" s="274"/>
      <c r="AT744" s="274"/>
      <c r="AU744" s="39"/>
      <c r="AV744" s="39"/>
      <c r="AW744" s="39"/>
      <c r="AX744" s="274"/>
      <c r="AY744" s="274"/>
      <c r="AZ744" s="274"/>
      <c r="BA744" s="39"/>
      <c r="BB744" s="62"/>
      <c r="BC744" s="39"/>
      <c r="BD744" s="274"/>
      <c r="BE744" s="274"/>
      <c r="BF744" s="274"/>
      <c r="BG744" s="39"/>
      <c r="BH744" s="39"/>
      <c r="BI744" s="39"/>
      <c r="BJ744" s="274">
        <v>7200</v>
      </c>
      <c r="BK744" s="274">
        <f t="shared" si="250"/>
        <v>1368</v>
      </c>
      <c r="BL744" s="274">
        <f t="shared" si="251"/>
        <v>8568</v>
      </c>
      <c r="BM744" s="213" t="s">
        <v>196</v>
      </c>
      <c r="BN744" s="213" t="s">
        <v>2925</v>
      </c>
      <c r="BO744" s="39"/>
      <c r="BP744" s="274">
        <v>54000</v>
      </c>
      <c r="BQ744" s="274">
        <f t="shared" si="248"/>
        <v>10260</v>
      </c>
      <c r="BR744" s="274">
        <f t="shared" si="249"/>
        <v>64260</v>
      </c>
      <c r="BS744" s="39"/>
      <c r="BT744" s="39"/>
      <c r="BU744" s="39"/>
      <c r="BV744" s="219">
        <v>7858.8504000000012</v>
      </c>
      <c r="BW744" s="219">
        <f t="shared" si="252"/>
        <v>1493.1815760000002</v>
      </c>
      <c r="BX744" s="273">
        <f t="shared" si="253"/>
        <v>9352.031976000002</v>
      </c>
      <c r="BY744" s="213" t="s">
        <v>196</v>
      </c>
      <c r="BZ744" s="213" t="s">
        <v>2925</v>
      </c>
      <c r="CA744" s="213"/>
      <c r="CB744" s="274"/>
      <c r="CC744" s="274"/>
      <c r="CD744" s="274"/>
      <c r="CE744" s="39"/>
      <c r="CF744" s="39"/>
      <c r="CG744" s="39"/>
      <c r="CH744" s="274"/>
      <c r="CI744" s="274"/>
      <c r="CJ744" s="274"/>
      <c r="CK744" s="39"/>
      <c r="CL744" s="39"/>
      <c r="CM744" s="39"/>
      <c r="CN744" s="39"/>
      <c r="CO744" s="39"/>
      <c r="CP744" s="11"/>
      <c r="CQ744" s="11"/>
      <c r="CR744" s="11"/>
      <c r="CS744" s="11"/>
      <c r="CT744" s="11"/>
      <c r="CU744" s="11"/>
      <c r="CV744" s="11"/>
      <c r="CW744" s="11"/>
      <c r="CX744" s="11"/>
      <c r="CY744" s="11"/>
      <c r="CZ744" s="11"/>
      <c r="DA744" s="11"/>
      <c r="DB744" s="11"/>
      <c r="DC744" s="11"/>
      <c r="DD744" s="11"/>
      <c r="DE744" s="11"/>
      <c r="DF744" s="11"/>
      <c r="DG744" s="11"/>
      <c r="DH744" s="11"/>
      <c r="DI744" s="11"/>
      <c r="DJ744" s="11"/>
      <c r="DK744" s="11"/>
      <c r="DL744" s="274"/>
      <c r="DM744" s="274"/>
      <c r="DN744" s="274"/>
      <c r="DO744" s="274"/>
      <c r="DP744" s="274"/>
      <c r="DQ744" s="274"/>
      <c r="DR744" s="274"/>
      <c r="DS744" s="274"/>
      <c r="DT744" s="274"/>
      <c r="DU744" s="274"/>
      <c r="DV744" s="274"/>
      <c r="DW744" s="274"/>
      <c r="DX744" s="274"/>
      <c r="DY744" s="274"/>
      <c r="DZ744" s="274"/>
      <c r="EA744" s="274"/>
      <c r="EB744" s="274"/>
      <c r="EC744" s="274"/>
      <c r="ED744" s="39">
        <f t="shared" si="239"/>
        <v>84876.571976000007</v>
      </c>
      <c r="EE744" s="30">
        <f t="shared" si="240"/>
        <v>4</v>
      </c>
      <c r="EF744" s="39">
        <f t="shared" si="241"/>
        <v>21219.142994000002</v>
      </c>
    </row>
    <row r="745" spans="1:136" x14ac:dyDescent="0.25">
      <c r="A745" s="25" t="e">
        <f>#REF!</f>
        <v>#REF!</v>
      </c>
      <c r="B745" s="50" t="e">
        <f>#REF!</f>
        <v>#REF!</v>
      </c>
      <c r="C745" s="5" t="e">
        <f>#REF!</f>
        <v>#REF!</v>
      </c>
      <c r="D745" s="5" t="e">
        <f>#REF!</f>
        <v>#REF!</v>
      </c>
      <c r="E745" s="252">
        <v>1</v>
      </c>
      <c r="F745" s="249">
        <v>0</v>
      </c>
      <c r="G745" s="249">
        <v>0</v>
      </c>
      <c r="H745" s="249">
        <v>71400</v>
      </c>
      <c r="I745" s="249">
        <v>0</v>
      </c>
      <c r="J745" s="249">
        <v>56525</v>
      </c>
      <c r="K745" s="249">
        <v>0</v>
      </c>
      <c r="L745" s="274">
        <f>AVERAGE(H745,J745)</f>
        <v>63962.5</v>
      </c>
      <c r="M745" s="274"/>
      <c r="N745" s="255">
        <v>42500</v>
      </c>
      <c r="O745" s="135">
        <f>+N745*0.19</f>
        <v>8075</v>
      </c>
      <c r="P745" s="135">
        <f>+N745+O745</f>
        <v>50575</v>
      </c>
      <c r="Q745" s="11"/>
      <c r="R745" s="11"/>
      <c r="S745" s="11"/>
      <c r="T745" s="274"/>
      <c r="U745" s="274"/>
      <c r="V745" s="274"/>
      <c r="W745" s="11"/>
      <c r="X745" s="11"/>
      <c r="Y745" s="11"/>
      <c r="Z745" s="274"/>
      <c r="AA745" s="274"/>
      <c r="AB745" s="274"/>
      <c r="AC745" s="11"/>
      <c r="AD745" s="11"/>
      <c r="AE745" s="11"/>
      <c r="AF745" s="274"/>
      <c r="AG745" s="274"/>
      <c r="AH745" s="274"/>
      <c r="AI745" s="11"/>
      <c r="AJ745" s="11"/>
      <c r="AK745" s="11"/>
      <c r="AL745" s="118"/>
      <c r="AM745" s="118"/>
      <c r="AN745" s="118"/>
      <c r="AO745" s="52"/>
      <c r="AP745" s="52"/>
      <c r="AQ745" s="11"/>
      <c r="AR745" s="274"/>
      <c r="AS745" s="274"/>
      <c r="AT745" s="274"/>
      <c r="AU745" s="11"/>
      <c r="AV745" s="11"/>
      <c r="AW745" s="11"/>
      <c r="AX745" s="274"/>
      <c r="AY745" s="274"/>
      <c r="AZ745" s="274"/>
      <c r="BA745" s="11"/>
      <c r="BB745" s="11"/>
      <c r="BC745" s="11"/>
      <c r="BD745" s="274"/>
      <c r="BE745" s="274"/>
      <c r="BF745" s="274"/>
      <c r="BG745" s="11"/>
      <c r="BH745" s="11"/>
      <c r="BI745" s="11"/>
      <c r="BJ745" s="274">
        <v>145000</v>
      </c>
      <c r="BK745" s="274">
        <f t="shared" si="250"/>
        <v>27550</v>
      </c>
      <c r="BL745" s="274">
        <f t="shared" si="251"/>
        <v>172550</v>
      </c>
      <c r="BM745" s="213" t="s">
        <v>196</v>
      </c>
      <c r="BN745" s="213" t="s">
        <v>338</v>
      </c>
      <c r="BO745" s="11"/>
      <c r="BP745" s="274">
        <v>45200</v>
      </c>
      <c r="BQ745" s="274">
        <f t="shared" si="248"/>
        <v>8588</v>
      </c>
      <c r="BR745" s="274">
        <f t="shared" si="249"/>
        <v>53788</v>
      </c>
      <c r="BS745" s="11"/>
      <c r="BT745" s="11"/>
      <c r="BU745" s="11"/>
      <c r="BV745" s="219">
        <v>167794.72500000001</v>
      </c>
      <c r="BW745" s="219">
        <f t="shared" si="252"/>
        <v>31880.997750000002</v>
      </c>
      <c r="BX745" s="273">
        <f t="shared" si="253"/>
        <v>199675.72275000002</v>
      </c>
      <c r="BY745" s="213" t="s">
        <v>196</v>
      </c>
      <c r="BZ745" s="213" t="s">
        <v>338</v>
      </c>
      <c r="CA745" s="213"/>
      <c r="CB745" s="274"/>
      <c r="CC745" s="274"/>
      <c r="CD745" s="274"/>
      <c r="CE745" s="11"/>
      <c r="CF745" s="11"/>
      <c r="CG745" s="11"/>
      <c r="CH745" s="274"/>
      <c r="CI745" s="274"/>
      <c r="CJ745" s="274"/>
      <c r="CK745" s="11"/>
      <c r="CL745" s="11"/>
      <c r="CM745" s="11"/>
      <c r="CN745" s="11"/>
      <c r="CO745" s="11"/>
      <c r="CP745" s="11"/>
      <c r="CQ745" s="11"/>
      <c r="CR745" s="11"/>
      <c r="CS745" s="11"/>
      <c r="CT745" s="11"/>
      <c r="CU745" s="11"/>
      <c r="CV745" s="11"/>
      <c r="CW745" s="11"/>
      <c r="CX745" s="11"/>
      <c r="CY745" s="11"/>
      <c r="CZ745" s="11"/>
      <c r="DA745" s="11"/>
      <c r="DB745" s="11"/>
      <c r="DC745" s="11"/>
      <c r="DD745" s="11"/>
      <c r="DE745" s="11"/>
      <c r="DF745" s="11"/>
      <c r="DG745" s="11"/>
      <c r="DH745" s="11"/>
      <c r="DI745" s="11"/>
      <c r="DJ745" s="11"/>
      <c r="DK745" s="11"/>
      <c r="DL745" s="274"/>
      <c r="DM745" s="274"/>
      <c r="DN745" s="274"/>
      <c r="DO745" s="274"/>
      <c r="DP745" s="274"/>
      <c r="DQ745" s="274"/>
      <c r="DR745" s="274"/>
      <c r="DS745" s="274"/>
      <c r="DT745" s="274"/>
      <c r="DU745" s="274"/>
      <c r="DV745" s="274"/>
      <c r="DW745" s="274"/>
      <c r="DX745" s="274"/>
      <c r="DY745" s="274"/>
      <c r="DZ745" s="274"/>
      <c r="EA745" s="274"/>
      <c r="EB745" s="274"/>
      <c r="EC745" s="274"/>
      <c r="ED745" s="39">
        <f t="shared" si="239"/>
        <v>476588.72275000002</v>
      </c>
      <c r="EE745" s="30">
        <f t="shared" si="240"/>
        <v>4</v>
      </c>
      <c r="EF745" s="39">
        <f t="shared" si="241"/>
        <v>119147.1806875</v>
      </c>
    </row>
    <row r="746" spans="1:136" x14ac:dyDescent="0.25">
      <c r="A746" s="25" t="e">
        <f>#REF!</f>
        <v>#REF!</v>
      </c>
      <c r="B746" s="50" t="e">
        <f>#REF!</f>
        <v>#REF!</v>
      </c>
      <c r="C746" s="5" t="e">
        <f>#REF!</f>
        <v>#REF!</v>
      </c>
      <c r="D746" s="5" t="e">
        <f>#REF!</f>
        <v>#REF!</v>
      </c>
      <c r="E746" s="252">
        <v>1</v>
      </c>
      <c r="F746" s="249">
        <v>0</v>
      </c>
      <c r="G746" s="249">
        <v>0</v>
      </c>
      <c r="H746" s="249">
        <v>43792</v>
      </c>
      <c r="I746" s="249">
        <v>43673</v>
      </c>
      <c r="J746" s="249">
        <v>245475.18333333332</v>
      </c>
      <c r="K746" s="249">
        <v>0</v>
      </c>
      <c r="L746" s="274">
        <f>AVERAGE(H746,J746)</f>
        <v>144633.59166666667</v>
      </c>
      <c r="M746" s="274">
        <f>I746*E1</f>
        <v>44983.19</v>
      </c>
      <c r="N746" s="255">
        <v>15000</v>
      </c>
      <c r="O746" s="135">
        <f>+N746*0.19</f>
        <v>2850</v>
      </c>
      <c r="P746" s="135">
        <f>+N746+O746</f>
        <v>17850</v>
      </c>
      <c r="Q746" s="131"/>
      <c r="R746" s="131"/>
      <c r="S746" s="11"/>
      <c r="T746" s="274"/>
      <c r="U746" s="274"/>
      <c r="V746" s="274"/>
      <c r="W746" s="39"/>
      <c r="X746" s="11"/>
      <c r="Y746" s="11"/>
      <c r="Z746" s="274"/>
      <c r="AA746" s="274"/>
      <c r="AB746" s="274"/>
      <c r="AC746" s="52"/>
      <c r="AD746" s="22"/>
      <c r="AE746" s="39"/>
      <c r="AF746" s="274"/>
      <c r="AG746" s="274"/>
      <c r="AH746" s="274"/>
      <c r="AI746" s="11"/>
      <c r="AJ746" s="39"/>
      <c r="AK746" s="39"/>
      <c r="AL746" s="118"/>
      <c r="AM746" s="152"/>
      <c r="AN746" s="181"/>
      <c r="AO746" s="131"/>
      <c r="AP746" s="131"/>
      <c r="AQ746" s="39"/>
      <c r="AR746" s="274"/>
      <c r="AS746" s="274"/>
      <c r="AT746" s="274"/>
      <c r="AU746" s="39"/>
      <c r="AV746" s="39"/>
      <c r="AW746" s="39"/>
      <c r="AX746" s="274"/>
      <c r="AY746" s="274"/>
      <c r="AZ746" s="274"/>
      <c r="BA746" s="39"/>
      <c r="BB746" s="62"/>
      <c r="BC746" s="39"/>
      <c r="BD746" s="274"/>
      <c r="BE746" s="274"/>
      <c r="BF746" s="274"/>
      <c r="BG746" s="39"/>
      <c r="BH746" s="39"/>
      <c r="BI746" s="39"/>
      <c r="BJ746" s="274">
        <v>16400</v>
      </c>
      <c r="BK746" s="274">
        <f t="shared" si="250"/>
        <v>3116</v>
      </c>
      <c r="BL746" s="274">
        <f t="shared" si="251"/>
        <v>19516</v>
      </c>
      <c r="BM746" s="213" t="s">
        <v>196</v>
      </c>
      <c r="BN746" s="213" t="s">
        <v>4809</v>
      </c>
      <c r="BO746" s="39"/>
      <c r="BP746" s="274">
        <v>15500</v>
      </c>
      <c r="BQ746" s="274">
        <f t="shared" si="248"/>
        <v>2945</v>
      </c>
      <c r="BR746" s="274">
        <f t="shared" si="249"/>
        <v>18445</v>
      </c>
      <c r="BS746" s="39"/>
      <c r="BT746" s="39"/>
      <c r="BU746" s="39"/>
      <c r="BV746" s="219">
        <v>18973.094400000002</v>
      </c>
      <c r="BW746" s="219">
        <f t="shared" si="252"/>
        <v>3604.8879360000005</v>
      </c>
      <c r="BX746" s="273">
        <f t="shared" si="253"/>
        <v>22577.982336000001</v>
      </c>
      <c r="BY746" s="213" t="s">
        <v>196</v>
      </c>
      <c r="BZ746" s="213" t="s">
        <v>4809</v>
      </c>
      <c r="CA746" s="213"/>
      <c r="CB746" s="274"/>
      <c r="CC746" s="274"/>
      <c r="CD746" s="274"/>
      <c r="CE746" s="39"/>
      <c r="CF746" s="39"/>
      <c r="CG746" s="39"/>
      <c r="CH746" s="274"/>
      <c r="CI746" s="274"/>
      <c r="CJ746" s="274"/>
      <c r="CK746" s="39"/>
      <c r="CL746" s="39"/>
      <c r="CM746" s="39"/>
      <c r="CN746" s="39"/>
      <c r="CO746" s="39"/>
      <c r="CP746" s="11"/>
      <c r="CQ746" s="11"/>
      <c r="CR746" s="11"/>
      <c r="CS746" s="11"/>
      <c r="CT746" s="11"/>
      <c r="CU746" s="11"/>
      <c r="CV746" s="11"/>
      <c r="CW746" s="11"/>
      <c r="CX746" s="11"/>
      <c r="CY746" s="11"/>
      <c r="CZ746" s="11"/>
      <c r="DA746" s="11"/>
      <c r="DB746" s="11"/>
      <c r="DC746" s="11"/>
      <c r="DD746" s="11"/>
      <c r="DE746" s="11"/>
      <c r="DF746" s="11"/>
      <c r="DG746" s="11"/>
      <c r="DH746" s="11"/>
      <c r="DI746" s="11"/>
      <c r="DJ746" s="11"/>
      <c r="DK746" s="11"/>
      <c r="DL746" s="274"/>
      <c r="DM746" s="274"/>
      <c r="DN746" s="274"/>
      <c r="DO746" s="274"/>
      <c r="DP746" s="274"/>
      <c r="DQ746" s="274"/>
      <c r="DR746" s="274"/>
      <c r="DS746" s="274"/>
      <c r="DT746" s="274"/>
      <c r="DU746" s="274"/>
      <c r="DV746" s="274"/>
      <c r="DW746" s="274"/>
      <c r="DX746" s="274"/>
      <c r="DY746" s="274"/>
      <c r="DZ746" s="274"/>
      <c r="EA746" s="274"/>
      <c r="EB746" s="274"/>
      <c r="EC746" s="274"/>
      <c r="ED746" s="39">
        <f t="shared" si="239"/>
        <v>123372.172336</v>
      </c>
      <c r="EE746" s="30">
        <f t="shared" si="240"/>
        <v>5</v>
      </c>
      <c r="EF746" s="39">
        <f t="shared" si="241"/>
        <v>24674.434467200001</v>
      </c>
    </row>
    <row r="747" spans="1:136" x14ac:dyDescent="0.25">
      <c r="A747" s="25" t="e">
        <f>#REF!</f>
        <v>#REF!</v>
      </c>
      <c r="B747" s="50" t="e">
        <f>#REF!</f>
        <v>#REF!</v>
      </c>
      <c r="C747" s="5" t="e">
        <f>#REF!</f>
        <v>#REF!</v>
      </c>
      <c r="D747" s="5" t="e">
        <f>#REF!</f>
        <v>#REF!</v>
      </c>
      <c r="E747" s="252">
        <v>1</v>
      </c>
      <c r="F747" s="249">
        <v>0</v>
      </c>
      <c r="G747" s="249">
        <v>0</v>
      </c>
      <c r="H747" s="249">
        <v>0</v>
      </c>
      <c r="I747" s="249">
        <v>0</v>
      </c>
      <c r="J747" s="249">
        <v>65450</v>
      </c>
      <c r="K747" s="249">
        <v>0</v>
      </c>
      <c r="L747" s="274">
        <f>J747</f>
        <v>65450</v>
      </c>
      <c r="M747" s="274"/>
      <c r="N747" s="255">
        <v>55000</v>
      </c>
      <c r="O747" s="135">
        <f>+N747*0.19</f>
        <v>10450</v>
      </c>
      <c r="P747" s="135">
        <f>+N747+O747</f>
        <v>65450</v>
      </c>
      <c r="Q747" s="131"/>
      <c r="R747" s="131"/>
      <c r="S747" s="11"/>
      <c r="T747" s="274"/>
      <c r="U747" s="274"/>
      <c r="V747" s="274"/>
      <c r="W747" s="39"/>
      <c r="X747" s="11"/>
      <c r="Y747" s="11"/>
      <c r="Z747" s="274"/>
      <c r="AA747" s="274"/>
      <c r="AB747" s="274"/>
      <c r="AC747" s="52"/>
      <c r="AD747" s="22"/>
      <c r="AE747" s="39"/>
      <c r="AF747" s="274"/>
      <c r="AG747" s="274"/>
      <c r="AH747" s="274"/>
      <c r="AI747" s="11"/>
      <c r="AJ747" s="39"/>
      <c r="AK747" s="39"/>
      <c r="AL747" s="118"/>
      <c r="AM747" s="152"/>
      <c r="AN747" s="181"/>
      <c r="AO747" s="131"/>
      <c r="AP747" s="131"/>
      <c r="AQ747" s="39"/>
      <c r="AR747" s="274"/>
      <c r="AS747" s="274"/>
      <c r="AT747" s="274"/>
      <c r="AU747" s="39"/>
      <c r="AV747" s="39"/>
      <c r="AW747" s="39"/>
      <c r="AX747" s="274"/>
      <c r="AY747" s="274"/>
      <c r="AZ747" s="274"/>
      <c r="BA747" s="39"/>
      <c r="BB747" s="62"/>
      <c r="BC747" s="39"/>
      <c r="BD747" s="274"/>
      <c r="BE747" s="274"/>
      <c r="BF747" s="274"/>
      <c r="BG747" s="39"/>
      <c r="BH747" s="39"/>
      <c r="BI747" s="39"/>
      <c r="BJ747" s="274">
        <v>166200</v>
      </c>
      <c r="BK747" s="274">
        <f t="shared" si="250"/>
        <v>31578</v>
      </c>
      <c r="BL747" s="274">
        <f t="shared" si="251"/>
        <v>197778</v>
      </c>
      <c r="BM747" s="213" t="s">
        <v>196</v>
      </c>
      <c r="BN747" s="213" t="s">
        <v>338</v>
      </c>
      <c r="BO747" s="39"/>
      <c r="BP747" s="274">
        <v>265000</v>
      </c>
      <c r="BQ747" s="274">
        <f t="shared" si="248"/>
        <v>50350</v>
      </c>
      <c r="BR747" s="274">
        <f t="shared" si="249"/>
        <v>315350</v>
      </c>
      <c r="BS747" s="39"/>
      <c r="BT747" s="39"/>
      <c r="BU747" s="39"/>
      <c r="BV747" s="219">
        <v>186830.40600000002</v>
      </c>
      <c r="BW747" s="219">
        <f t="shared" si="252"/>
        <v>35497.777140000006</v>
      </c>
      <c r="BX747" s="273">
        <f t="shared" si="253"/>
        <v>222328.18314000004</v>
      </c>
      <c r="BY747" s="213" t="s">
        <v>196</v>
      </c>
      <c r="BZ747" s="213" t="s">
        <v>338</v>
      </c>
      <c r="CA747" s="213"/>
      <c r="CB747" s="274"/>
      <c r="CC747" s="274"/>
      <c r="CD747" s="274"/>
      <c r="CE747" s="39"/>
      <c r="CF747" s="39"/>
      <c r="CG747" s="39"/>
      <c r="CH747" s="274"/>
      <c r="CI747" s="274"/>
      <c r="CJ747" s="274"/>
      <c r="CK747" s="39"/>
      <c r="CL747" s="39"/>
      <c r="CM747" s="39"/>
      <c r="CN747" s="39"/>
      <c r="CO747" s="39"/>
      <c r="CP747" s="11"/>
      <c r="CQ747" s="11"/>
      <c r="CR747" s="11"/>
      <c r="CS747" s="11"/>
      <c r="CT747" s="11"/>
      <c r="CU747" s="11"/>
      <c r="CV747" s="11"/>
      <c r="CW747" s="11"/>
      <c r="CX747" s="11"/>
      <c r="CY747" s="11"/>
      <c r="CZ747" s="11"/>
      <c r="DA747" s="11"/>
      <c r="DB747" s="11"/>
      <c r="DC747" s="11"/>
      <c r="DD747" s="11"/>
      <c r="DE747" s="11"/>
      <c r="DF747" s="11"/>
      <c r="DG747" s="11"/>
      <c r="DH747" s="11"/>
      <c r="DI747" s="11"/>
      <c r="DJ747" s="11"/>
      <c r="DK747" s="11"/>
      <c r="DL747" s="274"/>
      <c r="DM747" s="274"/>
      <c r="DN747" s="274"/>
      <c r="DO747" s="274"/>
      <c r="DP747" s="274"/>
      <c r="DQ747" s="274"/>
      <c r="DR747" s="274"/>
      <c r="DS747" s="274"/>
      <c r="DT747" s="274"/>
      <c r="DU747" s="274"/>
      <c r="DV747" s="274"/>
      <c r="DW747" s="274"/>
      <c r="DX747" s="274"/>
      <c r="DY747" s="274"/>
      <c r="DZ747" s="274"/>
      <c r="EA747" s="274"/>
      <c r="EB747" s="274"/>
      <c r="EC747" s="274"/>
      <c r="ED747" s="39">
        <f t="shared" si="239"/>
        <v>800906.1831400001</v>
      </c>
      <c r="EE747" s="30">
        <f t="shared" si="240"/>
        <v>4</v>
      </c>
      <c r="EF747" s="39">
        <f t="shared" si="241"/>
        <v>200226.54578500002</v>
      </c>
    </row>
    <row r="748" spans="1:136" x14ac:dyDescent="0.25">
      <c r="A748" s="25" t="e">
        <f>#REF!</f>
        <v>#REF!</v>
      </c>
      <c r="B748" s="50" t="e">
        <f>#REF!</f>
        <v>#REF!</v>
      </c>
      <c r="C748" s="5" t="e">
        <f>#REF!</f>
        <v>#REF!</v>
      </c>
      <c r="D748" s="5" t="e">
        <f>#REF!</f>
        <v>#REF!</v>
      </c>
      <c r="E748" s="252">
        <v>1</v>
      </c>
      <c r="F748" s="249">
        <v>147394.72222222225</v>
      </c>
      <c r="G748" s="249">
        <v>139944</v>
      </c>
      <c r="H748" s="249">
        <v>0</v>
      </c>
      <c r="I748" s="249">
        <v>0</v>
      </c>
      <c r="J748" s="249">
        <v>62278.570666666681</v>
      </c>
      <c r="K748" s="249">
        <v>56049</v>
      </c>
      <c r="L748" s="274">
        <f>AVERAGE(F748,J748)</f>
        <v>104836.64644444446</v>
      </c>
      <c r="M748" s="274">
        <f>AVERAGE(G748,K748)*E1</f>
        <v>100936.395</v>
      </c>
      <c r="N748" s="255">
        <v>75000</v>
      </c>
      <c r="O748" s="135">
        <f>+N748*0.19</f>
        <v>14250</v>
      </c>
      <c r="P748" s="135">
        <f>+N748+O748</f>
        <v>89250</v>
      </c>
      <c r="Q748" s="131"/>
      <c r="R748" s="131"/>
      <c r="S748" s="11"/>
      <c r="T748" s="274">
        <f>5940*6</f>
        <v>35640</v>
      </c>
      <c r="U748" s="274">
        <f>+T748*0.19</f>
        <v>6771.6</v>
      </c>
      <c r="V748" s="274">
        <f>+T748+U748</f>
        <v>42411.6</v>
      </c>
      <c r="W748" s="39" t="s">
        <v>3209</v>
      </c>
      <c r="X748" s="11" t="s">
        <v>4842</v>
      </c>
      <c r="Y748" s="11"/>
      <c r="Z748" s="274"/>
      <c r="AA748" s="274"/>
      <c r="AB748" s="274"/>
      <c r="AC748" s="52"/>
      <c r="AD748" s="22"/>
      <c r="AE748" s="39"/>
      <c r="AF748" s="274"/>
      <c r="AG748" s="274"/>
      <c r="AH748" s="274"/>
      <c r="AI748" s="11"/>
      <c r="AJ748" s="39"/>
      <c r="AK748" s="39"/>
      <c r="AL748" s="118"/>
      <c r="AM748" s="152"/>
      <c r="AN748" s="181"/>
      <c r="AO748" s="131"/>
      <c r="AP748" s="131"/>
      <c r="AQ748" s="39"/>
      <c r="AR748" s="274"/>
      <c r="AS748" s="274"/>
      <c r="AT748" s="274"/>
      <c r="AU748" s="39"/>
      <c r="AV748" s="39"/>
      <c r="AW748" s="39"/>
      <c r="AX748" s="274"/>
      <c r="AY748" s="274"/>
      <c r="AZ748" s="274"/>
      <c r="BA748" s="39"/>
      <c r="BB748" s="62"/>
      <c r="BC748" s="39"/>
      <c r="BD748" s="274"/>
      <c r="BE748" s="274"/>
      <c r="BF748" s="274"/>
      <c r="BG748" s="39"/>
      <c r="BH748" s="39"/>
      <c r="BI748" s="39"/>
      <c r="BJ748" s="274">
        <v>81600</v>
      </c>
      <c r="BK748" s="274">
        <f t="shared" si="250"/>
        <v>15504</v>
      </c>
      <c r="BL748" s="274">
        <f t="shared" si="251"/>
        <v>97104</v>
      </c>
      <c r="BM748" s="213" t="s">
        <v>5050</v>
      </c>
      <c r="BN748" s="213" t="s">
        <v>2925</v>
      </c>
      <c r="BO748" s="39"/>
      <c r="BP748" s="274">
        <f>6500*6</f>
        <v>39000</v>
      </c>
      <c r="BQ748" s="274">
        <f t="shared" si="248"/>
        <v>7410</v>
      </c>
      <c r="BR748" s="274">
        <f t="shared" si="249"/>
        <v>46410</v>
      </c>
      <c r="BS748" s="39"/>
      <c r="BT748" s="39"/>
      <c r="BU748" s="39"/>
      <c r="BV748" s="219">
        <v>93545.424000000014</v>
      </c>
      <c r="BW748" s="219">
        <f t="shared" si="252"/>
        <v>17773.630560000001</v>
      </c>
      <c r="BX748" s="273">
        <f t="shared" si="253"/>
        <v>111319.05456000002</v>
      </c>
      <c r="BY748" s="213" t="s">
        <v>5050</v>
      </c>
      <c r="BZ748" s="213" t="s">
        <v>2925</v>
      </c>
      <c r="CA748" s="213"/>
      <c r="CB748" s="274"/>
      <c r="CC748" s="274"/>
      <c r="CD748" s="274"/>
      <c r="CE748" s="39"/>
      <c r="CF748" s="39"/>
      <c r="CG748" s="39"/>
      <c r="CH748" s="274"/>
      <c r="CI748" s="274"/>
      <c r="CJ748" s="274"/>
      <c r="CK748" s="39"/>
      <c r="CL748" s="39"/>
      <c r="CM748" s="39"/>
      <c r="CN748" s="39"/>
      <c r="CO748" s="39"/>
      <c r="CP748" s="11"/>
      <c r="CQ748" s="11"/>
      <c r="CR748" s="11"/>
      <c r="CS748" s="11"/>
      <c r="CT748" s="11"/>
      <c r="CU748" s="11"/>
      <c r="CV748" s="11"/>
      <c r="CW748" s="11"/>
      <c r="CX748" s="11"/>
      <c r="CY748" s="11"/>
      <c r="CZ748" s="11"/>
      <c r="DA748" s="11"/>
      <c r="DB748" s="11"/>
      <c r="DC748" s="11"/>
      <c r="DD748" s="11"/>
      <c r="DE748" s="11"/>
      <c r="DF748" s="11"/>
      <c r="DG748" s="11"/>
      <c r="DH748" s="11"/>
      <c r="DI748" s="11"/>
      <c r="DJ748" s="11"/>
      <c r="DK748" s="11"/>
      <c r="DL748" s="274"/>
      <c r="DM748" s="274"/>
      <c r="DN748" s="274"/>
      <c r="DO748" s="274"/>
      <c r="DP748" s="274"/>
      <c r="DQ748" s="274"/>
      <c r="DR748" s="274"/>
      <c r="DS748" s="274"/>
      <c r="DT748" s="274"/>
      <c r="DU748" s="274"/>
      <c r="DV748" s="274"/>
      <c r="DW748" s="274"/>
      <c r="DX748" s="274"/>
      <c r="DY748" s="274"/>
      <c r="DZ748" s="274"/>
      <c r="EA748" s="274"/>
      <c r="EB748" s="274"/>
      <c r="EC748" s="274"/>
      <c r="ED748" s="39">
        <f t="shared" si="239"/>
        <v>487431.04956000001</v>
      </c>
      <c r="EE748" s="30">
        <f t="shared" si="240"/>
        <v>6</v>
      </c>
      <c r="EF748" s="39">
        <f t="shared" si="241"/>
        <v>81238.508260000002</v>
      </c>
    </row>
    <row r="749" spans="1:136" x14ac:dyDescent="0.25">
      <c r="A749" s="25" t="e">
        <f>#REF!</f>
        <v>#REF!</v>
      </c>
      <c r="B749" s="50" t="e">
        <f>#REF!</f>
        <v>#REF!</v>
      </c>
      <c r="C749" s="5" t="e">
        <f>#REF!</f>
        <v>#REF!</v>
      </c>
      <c r="D749" s="5" t="e">
        <f>#REF!</f>
        <v>#REF!</v>
      </c>
      <c r="E749" s="252">
        <v>1</v>
      </c>
      <c r="F749" s="249">
        <v>0</v>
      </c>
      <c r="G749" s="249">
        <v>0</v>
      </c>
      <c r="H749" s="249">
        <v>0</v>
      </c>
      <c r="I749" s="249">
        <v>0</v>
      </c>
      <c r="J749" s="249">
        <v>4879</v>
      </c>
      <c r="K749" s="249">
        <v>0</v>
      </c>
      <c r="L749" s="274">
        <f>J749</f>
        <v>4879</v>
      </c>
      <c r="M749" s="274"/>
      <c r="N749" s="255"/>
      <c r="O749" s="135"/>
      <c r="P749" s="135"/>
      <c r="Q749" s="131"/>
      <c r="R749" s="131"/>
      <c r="S749" s="11"/>
      <c r="T749" s="274"/>
      <c r="U749" s="274"/>
      <c r="V749" s="274"/>
      <c r="W749" s="39"/>
      <c r="X749" s="11"/>
      <c r="Y749" s="11"/>
      <c r="Z749" s="274"/>
      <c r="AA749" s="274"/>
      <c r="AB749" s="274"/>
      <c r="AC749" s="5"/>
      <c r="AD749" s="22"/>
      <c r="AE749" s="39"/>
      <c r="AF749" s="274"/>
      <c r="AG749" s="274"/>
      <c r="AH749" s="274"/>
      <c r="AI749" s="11"/>
      <c r="AJ749" s="39"/>
      <c r="AK749" s="39"/>
      <c r="AL749" s="118"/>
      <c r="AM749" s="152"/>
      <c r="AN749" s="181"/>
      <c r="AO749" s="131"/>
      <c r="AP749" s="131"/>
      <c r="AQ749" s="39"/>
      <c r="AR749" s="274"/>
      <c r="AS749" s="274"/>
      <c r="AT749" s="274"/>
      <c r="AU749" s="39"/>
      <c r="AV749" s="39"/>
      <c r="AW749" s="39"/>
      <c r="AX749" s="274"/>
      <c r="AY749" s="274"/>
      <c r="AZ749" s="274"/>
      <c r="BA749" s="39"/>
      <c r="BB749" s="62"/>
      <c r="BC749" s="39"/>
      <c r="BD749" s="274"/>
      <c r="BE749" s="274"/>
      <c r="BF749" s="274"/>
      <c r="BG749" s="39"/>
      <c r="BH749" s="39"/>
      <c r="BI749" s="39"/>
      <c r="BJ749" s="274">
        <v>9100</v>
      </c>
      <c r="BK749" s="274">
        <f t="shared" si="250"/>
        <v>1729</v>
      </c>
      <c r="BL749" s="274">
        <f t="shared" si="251"/>
        <v>10829</v>
      </c>
      <c r="BM749" s="213" t="s">
        <v>196</v>
      </c>
      <c r="BN749" s="213" t="s">
        <v>2925</v>
      </c>
      <c r="BO749" s="39"/>
      <c r="BP749" s="274">
        <v>2800</v>
      </c>
      <c r="BQ749" s="274">
        <f t="shared" si="248"/>
        <v>532</v>
      </c>
      <c r="BR749" s="274">
        <f t="shared" si="249"/>
        <v>3332</v>
      </c>
      <c r="BS749" s="39"/>
      <c r="BT749" s="39"/>
      <c r="BU749" s="39"/>
      <c r="BV749" s="219">
        <v>10136.8995</v>
      </c>
      <c r="BW749" s="219">
        <f t="shared" si="252"/>
        <v>1926.0109049999999</v>
      </c>
      <c r="BX749" s="273">
        <f t="shared" si="253"/>
        <v>12062.910404999999</v>
      </c>
      <c r="BY749" s="213" t="s">
        <v>196</v>
      </c>
      <c r="BZ749" s="213" t="s">
        <v>2925</v>
      </c>
      <c r="CA749" s="213"/>
      <c r="CB749" s="274"/>
      <c r="CC749" s="274"/>
      <c r="CD749" s="274"/>
      <c r="CE749" s="39"/>
      <c r="CF749" s="39"/>
      <c r="CG749" s="39"/>
      <c r="CH749" s="274"/>
      <c r="CI749" s="274"/>
      <c r="CJ749" s="274"/>
      <c r="CK749" s="39"/>
      <c r="CL749" s="39"/>
      <c r="CM749" s="39"/>
      <c r="CN749" s="39"/>
      <c r="CO749" s="39"/>
      <c r="CP749" s="11"/>
      <c r="CQ749" s="11"/>
      <c r="CR749" s="11"/>
      <c r="CS749" s="11"/>
      <c r="CT749" s="11"/>
      <c r="CU749" s="11"/>
      <c r="CV749" s="11"/>
      <c r="CW749" s="11"/>
      <c r="CX749" s="11"/>
      <c r="CY749" s="11"/>
      <c r="CZ749" s="11"/>
      <c r="DA749" s="11"/>
      <c r="DB749" s="11"/>
      <c r="DC749" s="11"/>
      <c r="DD749" s="11"/>
      <c r="DE749" s="11"/>
      <c r="DF749" s="11"/>
      <c r="DG749" s="11"/>
      <c r="DH749" s="11"/>
      <c r="DI749" s="11"/>
      <c r="DJ749" s="11"/>
      <c r="DK749" s="11"/>
      <c r="DL749" s="274"/>
      <c r="DM749" s="274"/>
      <c r="DN749" s="274"/>
      <c r="DO749" s="274"/>
      <c r="DP749" s="274"/>
      <c r="DQ749" s="274"/>
      <c r="DR749" s="274"/>
      <c r="DS749" s="274"/>
      <c r="DT749" s="274"/>
      <c r="DU749" s="274"/>
      <c r="DV749" s="274"/>
      <c r="DW749" s="274"/>
      <c r="DX749" s="274"/>
      <c r="DY749" s="274"/>
      <c r="DZ749" s="274"/>
      <c r="EA749" s="274"/>
      <c r="EB749" s="274"/>
      <c r="EC749" s="274"/>
      <c r="ED749" s="39">
        <f t="shared" si="239"/>
        <v>26223.910404999999</v>
      </c>
      <c r="EE749" s="30">
        <f t="shared" si="240"/>
        <v>3</v>
      </c>
      <c r="EF749" s="39">
        <f t="shared" si="241"/>
        <v>8741.3034683333335</v>
      </c>
    </row>
    <row r="750" spans="1:136" x14ac:dyDescent="0.25">
      <c r="A750" s="25" t="e">
        <f>#REF!</f>
        <v>#REF!</v>
      </c>
      <c r="B750" s="50" t="e">
        <f>#REF!</f>
        <v>#REF!</v>
      </c>
      <c r="C750" s="5" t="e">
        <f>#REF!</f>
        <v>#REF!</v>
      </c>
      <c r="D750" s="5" t="e">
        <f>#REF!</f>
        <v>#REF!</v>
      </c>
      <c r="E750" s="252">
        <v>1</v>
      </c>
      <c r="F750" s="249">
        <v>186597.95</v>
      </c>
      <c r="G750" s="249">
        <v>179095</v>
      </c>
      <c r="H750" s="249">
        <v>28964.407336303226</v>
      </c>
      <c r="I750" s="249">
        <v>28798</v>
      </c>
      <c r="J750" s="249">
        <v>89440.955333333332</v>
      </c>
      <c r="K750" s="249">
        <v>83300</v>
      </c>
      <c r="L750" s="274">
        <f>AVERAGE(F750,H750,J750)</f>
        <v>101667.77088987886</v>
      </c>
      <c r="M750" s="274">
        <f>AVERAGE(G750,I750,K750)*E1</f>
        <v>99976.263333333336</v>
      </c>
      <c r="N750" s="255">
        <v>100000</v>
      </c>
      <c r="O750" s="135">
        <f t="shared" ref="O750:O762" si="254">+N750*0.19</f>
        <v>19000</v>
      </c>
      <c r="P750" s="135">
        <f t="shared" ref="P750:P762" si="255">+N750+O750</f>
        <v>119000</v>
      </c>
      <c r="Q750" s="131"/>
      <c r="R750" s="131"/>
      <c r="S750" s="11"/>
      <c r="T750" s="274">
        <f>5720*5</f>
        <v>28600</v>
      </c>
      <c r="U750" s="274">
        <f>+T750*0.19</f>
        <v>5434</v>
      </c>
      <c r="V750" s="274">
        <f>+T750+U750</f>
        <v>34034</v>
      </c>
      <c r="W750" s="39" t="s">
        <v>445</v>
      </c>
      <c r="X750" s="11" t="s">
        <v>5051</v>
      </c>
      <c r="Y750" s="11"/>
      <c r="Z750" s="274"/>
      <c r="AA750" s="274"/>
      <c r="AB750" s="274"/>
      <c r="AC750" s="5"/>
      <c r="AD750" s="22"/>
      <c r="AE750" s="39"/>
      <c r="AF750" s="274"/>
      <c r="AG750" s="274"/>
      <c r="AH750" s="274"/>
      <c r="AI750" s="11"/>
      <c r="AJ750" s="39"/>
      <c r="AK750" s="39"/>
      <c r="AL750" s="118"/>
      <c r="AM750" s="152"/>
      <c r="AN750" s="181"/>
      <c r="AO750" s="131"/>
      <c r="AP750" s="131"/>
      <c r="AQ750" s="39"/>
      <c r="AR750" s="274"/>
      <c r="AS750" s="274"/>
      <c r="AT750" s="274"/>
      <c r="AU750" s="39"/>
      <c r="AV750" s="39"/>
      <c r="AW750" s="39"/>
      <c r="AX750" s="274"/>
      <c r="AY750" s="274"/>
      <c r="AZ750" s="274"/>
      <c r="BA750" s="39"/>
      <c r="BB750" s="62"/>
      <c r="BC750" s="39"/>
      <c r="BD750" s="274"/>
      <c r="BE750" s="274"/>
      <c r="BF750" s="274"/>
      <c r="BG750" s="39"/>
      <c r="BH750" s="39"/>
      <c r="BI750" s="39"/>
      <c r="BJ750" s="274">
        <v>96000</v>
      </c>
      <c r="BK750" s="274">
        <f t="shared" si="250"/>
        <v>18240</v>
      </c>
      <c r="BL750" s="274">
        <f t="shared" si="251"/>
        <v>114240</v>
      </c>
      <c r="BM750" s="213" t="s">
        <v>4843</v>
      </c>
      <c r="BN750" s="213" t="s">
        <v>2925</v>
      </c>
      <c r="BO750" s="39"/>
      <c r="BP750" s="274">
        <v>15500</v>
      </c>
      <c r="BQ750" s="274">
        <f t="shared" si="248"/>
        <v>2945</v>
      </c>
      <c r="BR750" s="274">
        <f t="shared" si="249"/>
        <v>18445</v>
      </c>
      <c r="BS750" s="39"/>
      <c r="BT750" s="39"/>
      <c r="BU750" s="39"/>
      <c r="BV750" s="219">
        <v>107956.8</v>
      </c>
      <c r="BW750" s="219">
        <f t="shared" si="252"/>
        <v>20511.792000000001</v>
      </c>
      <c r="BX750" s="273">
        <f t="shared" si="253"/>
        <v>128468.592</v>
      </c>
      <c r="BY750" s="213" t="s">
        <v>4843</v>
      </c>
      <c r="BZ750" s="213" t="s">
        <v>2925</v>
      </c>
      <c r="CA750" s="213"/>
      <c r="CB750" s="274"/>
      <c r="CC750" s="274"/>
      <c r="CD750" s="274"/>
      <c r="CE750" s="39"/>
      <c r="CF750" s="39"/>
      <c r="CG750" s="39"/>
      <c r="CH750" s="274"/>
      <c r="CI750" s="274"/>
      <c r="CJ750" s="274"/>
      <c r="CK750" s="39"/>
      <c r="CL750" s="39"/>
      <c r="CM750" s="39"/>
      <c r="CN750" s="39"/>
      <c r="CO750" s="39"/>
      <c r="CP750" s="11"/>
      <c r="CQ750" s="11"/>
      <c r="CR750" s="11"/>
      <c r="CS750" s="11"/>
      <c r="CT750" s="11"/>
      <c r="CU750" s="11"/>
      <c r="CV750" s="11"/>
      <c r="CW750" s="11"/>
      <c r="CX750" s="11"/>
      <c r="CY750" s="11"/>
      <c r="CZ750" s="11"/>
      <c r="DA750" s="11"/>
      <c r="DB750" s="11"/>
      <c r="DC750" s="11"/>
      <c r="DD750" s="11"/>
      <c r="DE750" s="11"/>
      <c r="DF750" s="11"/>
      <c r="DG750" s="11"/>
      <c r="DH750" s="11"/>
      <c r="DI750" s="11"/>
      <c r="DJ750" s="11"/>
      <c r="DK750" s="11"/>
      <c r="DL750" s="274"/>
      <c r="DM750" s="274"/>
      <c r="DN750" s="274"/>
      <c r="DO750" s="274"/>
      <c r="DP750" s="274"/>
      <c r="DQ750" s="274"/>
      <c r="DR750" s="274"/>
      <c r="DS750" s="274"/>
      <c r="DT750" s="274"/>
      <c r="DU750" s="274"/>
      <c r="DV750" s="274"/>
      <c r="DW750" s="274"/>
      <c r="DX750" s="274"/>
      <c r="DY750" s="274"/>
      <c r="DZ750" s="274"/>
      <c r="EA750" s="274"/>
      <c r="EB750" s="274"/>
      <c r="EC750" s="274"/>
      <c r="ED750" s="39">
        <f t="shared" si="239"/>
        <v>514163.85533333331</v>
      </c>
      <c r="EE750" s="30">
        <f t="shared" si="240"/>
        <v>6</v>
      </c>
      <c r="EF750" s="39">
        <f t="shared" si="241"/>
        <v>85693.97588888889</v>
      </c>
    </row>
    <row r="751" spans="1:136" x14ac:dyDescent="0.25">
      <c r="A751" s="25" t="e">
        <f>#REF!</f>
        <v>#REF!</v>
      </c>
      <c r="B751" s="50" t="e">
        <f>#REF!</f>
        <v>#REF!</v>
      </c>
      <c r="C751" s="5" t="e">
        <f>#REF!</f>
        <v>#REF!</v>
      </c>
      <c r="D751" s="5" t="e">
        <f>#REF!</f>
        <v>#REF!</v>
      </c>
      <c r="E751" s="252">
        <v>1</v>
      </c>
      <c r="F751" s="249">
        <v>0</v>
      </c>
      <c r="G751" s="249">
        <v>0</v>
      </c>
      <c r="H751" s="249">
        <v>271000.62383333332</v>
      </c>
      <c r="I751" s="249">
        <v>270844</v>
      </c>
      <c r="J751" s="249">
        <v>141356.36083333334</v>
      </c>
      <c r="K751" s="249">
        <v>93534</v>
      </c>
      <c r="L751" s="274">
        <f>AVERAGE(H751,J751)</f>
        <v>206178.49233333333</v>
      </c>
      <c r="M751" s="274">
        <f>AVERAGE(I751,K751)*E1</f>
        <v>187654.67</v>
      </c>
      <c r="N751" s="255">
        <v>75000</v>
      </c>
      <c r="O751" s="135">
        <f t="shared" si="254"/>
        <v>14250</v>
      </c>
      <c r="P751" s="135">
        <f t="shared" si="255"/>
        <v>89250</v>
      </c>
      <c r="Q751" s="131"/>
      <c r="R751" s="131"/>
      <c r="S751" s="11"/>
      <c r="T751" s="274"/>
      <c r="U751" s="274"/>
      <c r="V751" s="274"/>
      <c r="W751" s="39"/>
      <c r="X751" s="11"/>
      <c r="Y751" s="11"/>
      <c r="Z751" s="274"/>
      <c r="AA751" s="274"/>
      <c r="AB751" s="274"/>
      <c r="AC751" s="5"/>
      <c r="AD751" s="22"/>
      <c r="AE751" s="39"/>
      <c r="AF751" s="274"/>
      <c r="AG751" s="274"/>
      <c r="AH751" s="274"/>
      <c r="AI751" s="11"/>
      <c r="AJ751" s="39"/>
      <c r="AK751" s="39"/>
      <c r="AL751" s="118"/>
      <c r="AM751" s="152"/>
      <c r="AN751" s="181"/>
      <c r="AO751" s="131"/>
      <c r="AP751" s="131"/>
      <c r="AQ751" s="39"/>
      <c r="AR751" s="274"/>
      <c r="AS751" s="274"/>
      <c r="AT751" s="274"/>
      <c r="AU751" s="39"/>
      <c r="AV751" s="39"/>
      <c r="AW751" s="39"/>
      <c r="AX751" s="274"/>
      <c r="AY751" s="274"/>
      <c r="AZ751" s="274"/>
      <c r="BA751" s="39"/>
      <c r="BB751" s="62"/>
      <c r="BC751" s="39"/>
      <c r="BD751" s="274"/>
      <c r="BE751" s="274"/>
      <c r="BF751" s="274"/>
      <c r="BG751" s="39"/>
      <c r="BH751" s="39"/>
      <c r="BI751" s="39"/>
      <c r="BJ751" s="274">
        <v>141900</v>
      </c>
      <c r="BK751" s="274">
        <f t="shared" si="250"/>
        <v>26961</v>
      </c>
      <c r="BL751" s="274">
        <f t="shared" si="251"/>
        <v>168861</v>
      </c>
      <c r="BM751" s="213" t="s">
        <v>196</v>
      </c>
      <c r="BN751" s="213" t="s">
        <v>2925</v>
      </c>
      <c r="BO751" s="39"/>
      <c r="BP751" s="274">
        <v>85600</v>
      </c>
      <c r="BQ751" s="274">
        <f t="shared" si="248"/>
        <v>16264</v>
      </c>
      <c r="BR751" s="274">
        <f t="shared" si="249"/>
        <v>101864</v>
      </c>
      <c r="BS751" s="39"/>
      <c r="BT751" s="39"/>
      <c r="BU751" s="39"/>
      <c r="BV751" s="219">
        <v>162643.50959999999</v>
      </c>
      <c r="BW751" s="219">
        <f t="shared" si="252"/>
        <v>30902.266823999998</v>
      </c>
      <c r="BX751" s="273">
        <f t="shared" si="253"/>
        <v>193545.77642399998</v>
      </c>
      <c r="BY751" s="213" t="s">
        <v>196</v>
      </c>
      <c r="BZ751" s="213" t="s">
        <v>2925</v>
      </c>
      <c r="CA751" s="213"/>
      <c r="CB751" s="274"/>
      <c r="CC751" s="274"/>
      <c r="CD751" s="274"/>
      <c r="CE751" s="39"/>
      <c r="CF751" s="39"/>
      <c r="CG751" s="39"/>
      <c r="CH751" s="274"/>
      <c r="CI751" s="274"/>
      <c r="CJ751" s="274"/>
      <c r="CK751" s="39"/>
      <c r="CL751" s="39"/>
      <c r="CM751" s="39"/>
      <c r="CN751" s="39"/>
      <c r="CO751" s="39"/>
      <c r="CP751" s="11"/>
      <c r="CQ751" s="11"/>
      <c r="CR751" s="11"/>
      <c r="CS751" s="11"/>
      <c r="CT751" s="11"/>
      <c r="CU751" s="11"/>
      <c r="CV751" s="11"/>
      <c r="CW751" s="11"/>
      <c r="CX751" s="11"/>
      <c r="CY751" s="11"/>
      <c r="CZ751" s="11"/>
      <c r="DA751" s="11"/>
      <c r="DB751" s="11"/>
      <c r="DC751" s="11"/>
      <c r="DD751" s="11"/>
      <c r="DE751" s="11"/>
      <c r="DF751" s="11"/>
      <c r="DG751" s="11"/>
      <c r="DH751" s="11"/>
      <c r="DI751" s="11"/>
      <c r="DJ751" s="11"/>
      <c r="DK751" s="11"/>
      <c r="DL751" s="274"/>
      <c r="DM751" s="274"/>
      <c r="DN751" s="274"/>
      <c r="DO751" s="274"/>
      <c r="DP751" s="274"/>
      <c r="DQ751" s="274"/>
      <c r="DR751" s="274"/>
      <c r="DS751" s="274"/>
      <c r="DT751" s="274"/>
      <c r="DU751" s="274"/>
      <c r="DV751" s="274"/>
      <c r="DW751" s="274"/>
      <c r="DX751" s="274"/>
      <c r="DY751" s="274"/>
      <c r="DZ751" s="274"/>
      <c r="EA751" s="274"/>
      <c r="EB751" s="274"/>
      <c r="EC751" s="274"/>
      <c r="ED751" s="39">
        <f t="shared" si="239"/>
        <v>741175.44642399997</v>
      </c>
      <c r="EE751" s="30">
        <f t="shared" si="240"/>
        <v>5</v>
      </c>
      <c r="EF751" s="39">
        <f t="shared" si="241"/>
        <v>148235.08928479999</v>
      </c>
    </row>
    <row r="752" spans="1:136" x14ac:dyDescent="0.25">
      <c r="A752" s="25" t="e">
        <f>#REF!</f>
        <v>#REF!</v>
      </c>
      <c r="B752" s="50" t="e">
        <f>#REF!</f>
        <v>#REF!</v>
      </c>
      <c r="C752" s="5" t="e">
        <f>#REF!</f>
        <v>#REF!</v>
      </c>
      <c r="D752" s="5" t="e">
        <f>#REF!</f>
        <v>#REF!</v>
      </c>
      <c r="E752" s="252">
        <v>1</v>
      </c>
      <c r="F752" s="249">
        <v>161324.33333333331</v>
      </c>
      <c r="G752" s="249">
        <v>154819</v>
      </c>
      <c r="H752" s="249">
        <v>31375.938248962699</v>
      </c>
      <c r="I752" s="249">
        <v>13518</v>
      </c>
      <c r="J752" s="249">
        <v>72331.472500000003</v>
      </c>
      <c r="K752" s="249">
        <v>59500</v>
      </c>
      <c r="L752" s="274">
        <f>AVERAGE(F752,H752,J752)</f>
        <v>88343.914694098683</v>
      </c>
      <c r="M752" s="274">
        <f>AVERAGE(G752,I752,K752)*E1</f>
        <v>78224.036666666667</v>
      </c>
      <c r="N752" s="255">
        <v>45000</v>
      </c>
      <c r="O752" s="135">
        <f t="shared" si="254"/>
        <v>8550</v>
      </c>
      <c r="P752" s="135">
        <f t="shared" si="255"/>
        <v>53550</v>
      </c>
      <c r="Q752" s="131"/>
      <c r="R752" s="131"/>
      <c r="S752" s="11"/>
      <c r="T752" s="274"/>
      <c r="U752" s="274"/>
      <c r="V752" s="274"/>
      <c r="W752" s="39"/>
      <c r="X752" s="11"/>
      <c r="Y752" s="11"/>
      <c r="Z752" s="274"/>
      <c r="AA752" s="274"/>
      <c r="AB752" s="274"/>
      <c r="AC752" s="5"/>
      <c r="AD752" s="22"/>
      <c r="AE752" s="39"/>
      <c r="AF752" s="274"/>
      <c r="AG752" s="274"/>
      <c r="AH752" s="274"/>
      <c r="AI752" s="11"/>
      <c r="AJ752" s="39"/>
      <c r="AK752" s="39"/>
      <c r="AL752" s="118"/>
      <c r="AM752" s="152"/>
      <c r="AN752" s="181"/>
      <c r="AO752" s="131"/>
      <c r="AP752" s="131"/>
      <c r="AQ752" s="39"/>
      <c r="AR752" s="274"/>
      <c r="AS752" s="274"/>
      <c r="AT752" s="274"/>
      <c r="AU752" s="39"/>
      <c r="AV752" s="39"/>
      <c r="AW752" s="39"/>
      <c r="AX752" s="274"/>
      <c r="AY752" s="274"/>
      <c r="AZ752" s="274"/>
      <c r="BA752" s="39"/>
      <c r="BB752" s="62"/>
      <c r="BC752" s="39"/>
      <c r="BD752" s="274"/>
      <c r="BE752" s="274"/>
      <c r="BF752" s="274"/>
      <c r="BG752" s="39"/>
      <c r="BH752" s="39"/>
      <c r="BI752" s="39"/>
      <c r="BJ752" s="274">
        <v>80800</v>
      </c>
      <c r="BK752" s="274">
        <f t="shared" si="250"/>
        <v>15352</v>
      </c>
      <c r="BL752" s="274">
        <f t="shared" si="251"/>
        <v>96152</v>
      </c>
      <c r="BM752" s="213" t="s">
        <v>4905</v>
      </c>
      <c r="BN752" s="213" t="s">
        <v>2925</v>
      </c>
      <c r="BO752" s="39"/>
      <c r="BP752" s="274">
        <f>4500*6</f>
        <v>27000</v>
      </c>
      <c r="BQ752" s="274">
        <f t="shared" si="248"/>
        <v>5130</v>
      </c>
      <c r="BR752" s="274">
        <f t="shared" si="249"/>
        <v>32130</v>
      </c>
      <c r="BS752" s="39"/>
      <c r="BT752" s="39"/>
      <c r="BU752" s="39"/>
      <c r="BV752" s="219">
        <v>90880.607999999993</v>
      </c>
      <c r="BW752" s="219">
        <f t="shared" si="252"/>
        <v>17267.31552</v>
      </c>
      <c r="BX752" s="273">
        <f t="shared" si="253"/>
        <v>108147.92352</v>
      </c>
      <c r="BY752" s="213" t="s">
        <v>4905</v>
      </c>
      <c r="BZ752" s="213" t="s">
        <v>2925</v>
      </c>
      <c r="CA752" s="213"/>
      <c r="CB752" s="274"/>
      <c r="CC752" s="274"/>
      <c r="CD752" s="274"/>
      <c r="CE752" s="39"/>
      <c r="CF752" s="39"/>
      <c r="CG752" s="39"/>
      <c r="CH752" s="274"/>
      <c r="CI752" s="274"/>
      <c r="CJ752" s="274"/>
      <c r="CK752" s="39"/>
      <c r="CL752" s="39"/>
      <c r="CM752" s="39"/>
      <c r="CN752" s="39"/>
      <c r="CO752" s="39"/>
      <c r="CP752" s="11"/>
      <c r="CQ752" s="11"/>
      <c r="CR752" s="11"/>
      <c r="CS752" s="11"/>
      <c r="CT752" s="11"/>
      <c r="CU752" s="11"/>
      <c r="CV752" s="11"/>
      <c r="CW752" s="11"/>
      <c r="CX752" s="11"/>
      <c r="CY752" s="11"/>
      <c r="CZ752" s="11"/>
      <c r="DA752" s="11"/>
      <c r="DB752" s="11"/>
      <c r="DC752" s="11"/>
      <c r="DD752" s="11"/>
      <c r="DE752" s="11"/>
      <c r="DF752" s="11"/>
      <c r="DG752" s="11"/>
      <c r="DH752" s="11"/>
      <c r="DI752" s="11"/>
      <c r="DJ752" s="11"/>
      <c r="DK752" s="11"/>
      <c r="DL752" s="274"/>
      <c r="DM752" s="274"/>
      <c r="DN752" s="274"/>
      <c r="DO752" s="274"/>
      <c r="DP752" s="274"/>
      <c r="DQ752" s="274"/>
      <c r="DR752" s="274"/>
      <c r="DS752" s="274"/>
      <c r="DT752" s="274"/>
      <c r="DU752" s="274"/>
      <c r="DV752" s="274"/>
      <c r="DW752" s="274"/>
      <c r="DX752" s="274"/>
      <c r="DY752" s="274"/>
      <c r="DZ752" s="274"/>
      <c r="EA752" s="274"/>
      <c r="EB752" s="274"/>
      <c r="EC752" s="274"/>
      <c r="ED752" s="39">
        <f t="shared" si="239"/>
        <v>368203.96018666669</v>
      </c>
      <c r="EE752" s="30">
        <f t="shared" si="240"/>
        <v>5</v>
      </c>
      <c r="EF752" s="39">
        <f t="shared" si="241"/>
        <v>73640.792037333333</v>
      </c>
    </row>
    <row r="753" spans="1:136" x14ac:dyDescent="0.25">
      <c r="A753" s="25" t="e">
        <f>#REF!</f>
        <v>#REF!</v>
      </c>
      <c r="B753" s="50" t="e">
        <f>#REF!</f>
        <v>#REF!</v>
      </c>
      <c r="C753" s="5" t="e">
        <f>#REF!</f>
        <v>#REF!</v>
      </c>
      <c r="D753" s="5" t="e">
        <f>#REF!</f>
        <v>#REF!</v>
      </c>
      <c r="E753" s="252">
        <v>1</v>
      </c>
      <c r="F753" s="249">
        <v>0</v>
      </c>
      <c r="G753" s="249">
        <v>0</v>
      </c>
      <c r="H753" s="249">
        <v>0</v>
      </c>
      <c r="I753" s="249">
        <v>0</v>
      </c>
      <c r="J753" s="249">
        <v>23908.527999999998</v>
      </c>
      <c r="K753" s="249">
        <v>0</v>
      </c>
      <c r="L753" s="274">
        <f t="shared" ref="L753:L762" si="256">J753</f>
        <v>23908.527999999998</v>
      </c>
      <c r="M753" s="274"/>
      <c r="N753" s="255">
        <v>22000</v>
      </c>
      <c r="O753" s="135">
        <f t="shared" si="254"/>
        <v>4180</v>
      </c>
      <c r="P753" s="135">
        <f t="shared" si="255"/>
        <v>26180</v>
      </c>
      <c r="Q753" s="131"/>
      <c r="R753" s="131"/>
      <c r="S753" s="11"/>
      <c r="T753" s="274">
        <v>18370</v>
      </c>
      <c r="U753" s="274">
        <f>+T753*0.19</f>
        <v>3490.3</v>
      </c>
      <c r="V753" s="274">
        <f>+T753+U753</f>
        <v>21860.3</v>
      </c>
      <c r="W753" s="39" t="s">
        <v>445</v>
      </c>
      <c r="X753" s="11" t="s">
        <v>4859</v>
      </c>
      <c r="Y753" s="11"/>
      <c r="Z753" s="274"/>
      <c r="AA753" s="274"/>
      <c r="AB753" s="274"/>
      <c r="AC753" s="5"/>
      <c r="AD753" s="22"/>
      <c r="AE753" s="39"/>
      <c r="AF753" s="274"/>
      <c r="AG753" s="274"/>
      <c r="AH753" s="274"/>
      <c r="AI753" s="11"/>
      <c r="AJ753" s="39"/>
      <c r="AK753" s="39"/>
      <c r="AL753" s="118"/>
      <c r="AM753" s="152"/>
      <c r="AN753" s="181"/>
      <c r="AO753" s="131"/>
      <c r="AP753" s="131"/>
      <c r="AQ753" s="39"/>
      <c r="AR753" s="274"/>
      <c r="AS753" s="274"/>
      <c r="AT753" s="274"/>
      <c r="AU753" s="39"/>
      <c r="AV753" s="39"/>
      <c r="AW753" s="39"/>
      <c r="AX753" s="274"/>
      <c r="AY753" s="274"/>
      <c r="AZ753" s="274"/>
      <c r="BA753" s="39"/>
      <c r="BB753" s="62"/>
      <c r="BC753" s="39"/>
      <c r="BD753" s="274"/>
      <c r="BE753" s="274"/>
      <c r="BF753" s="274"/>
      <c r="BG753" s="39"/>
      <c r="BH753" s="39"/>
      <c r="BI753" s="39"/>
      <c r="BJ753" s="274">
        <v>72500</v>
      </c>
      <c r="BK753" s="274">
        <f t="shared" si="250"/>
        <v>13775</v>
      </c>
      <c r="BL753" s="274">
        <f t="shared" si="251"/>
        <v>86275</v>
      </c>
      <c r="BM753" s="213" t="s">
        <v>196</v>
      </c>
      <c r="BN753" s="213" t="s">
        <v>4809</v>
      </c>
      <c r="BO753" s="39"/>
      <c r="BP753" s="274"/>
      <c r="BQ753" s="274"/>
      <c r="BR753" s="274"/>
      <c r="BS753" s="39"/>
      <c r="BT753" s="39"/>
      <c r="BU753" s="39"/>
      <c r="BV753" s="219">
        <v>86295.3</v>
      </c>
      <c r="BW753" s="219">
        <f t="shared" si="252"/>
        <v>16396.107</v>
      </c>
      <c r="BX753" s="273">
        <f t="shared" si="253"/>
        <v>102691.40700000001</v>
      </c>
      <c r="BY753" s="213" t="s">
        <v>196</v>
      </c>
      <c r="BZ753" s="213" t="s">
        <v>4809</v>
      </c>
      <c r="CA753" s="213"/>
      <c r="CB753" s="274"/>
      <c r="CC753" s="274"/>
      <c r="CD753" s="274"/>
      <c r="CE753" s="39"/>
      <c r="CF753" s="39"/>
      <c r="CG753" s="39"/>
      <c r="CH753" s="274"/>
      <c r="CI753" s="274"/>
      <c r="CJ753" s="274"/>
      <c r="CK753" s="39"/>
      <c r="CL753" s="39"/>
      <c r="CM753" s="39"/>
      <c r="CN753" s="39"/>
      <c r="CO753" s="39"/>
      <c r="CP753" s="11"/>
      <c r="CQ753" s="11"/>
      <c r="CR753" s="11"/>
      <c r="CS753" s="11"/>
      <c r="CT753" s="11"/>
      <c r="CU753" s="11"/>
      <c r="CV753" s="11"/>
      <c r="CW753" s="11"/>
      <c r="CX753" s="11"/>
      <c r="CY753" s="11"/>
      <c r="CZ753" s="11"/>
      <c r="DA753" s="11"/>
      <c r="DB753" s="11"/>
      <c r="DC753" s="11"/>
      <c r="DD753" s="11"/>
      <c r="DE753" s="11"/>
      <c r="DF753" s="11"/>
      <c r="DG753" s="11"/>
      <c r="DH753" s="11"/>
      <c r="DI753" s="11"/>
      <c r="DJ753" s="11"/>
      <c r="DK753" s="11"/>
      <c r="DL753" s="274"/>
      <c r="DM753" s="274"/>
      <c r="DN753" s="274"/>
      <c r="DO753" s="274"/>
      <c r="DP753" s="274"/>
      <c r="DQ753" s="274"/>
      <c r="DR753" s="274"/>
      <c r="DS753" s="274"/>
      <c r="DT753" s="274"/>
      <c r="DU753" s="274"/>
      <c r="DV753" s="274"/>
      <c r="DW753" s="274"/>
      <c r="DX753" s="274"/>
      <c r="DY753" s="274"/>
      <c r="DZ753" s="274"/>
      <c r="EA753" s="274"/>
      <c r="EB753" s="274"/>
      <c r="EC753" s="274"/>
      <c r="ED753" s="39">
        <f t="shared" si="239"/>
        <v>237006.70699999999</v>
      </c>
      <c r="EE753" s="30">
        <f t="shared" si="240"/>
        <v>4</v>
      </c>
      <c r="EF753" s="39">
        <f t="shared" si="241"/>
        <v>59251.676749999999</v>
      </c>
    </row>
    <row r="754" spans="1:136" x14ac:dyDescent="0.25">
      <c r="A754" s="25" t="e">
        <f>#REF!</f>
        <v>#REF!</v>
      </c>
      <c r="B754" s="50" t="e">
        <f>#REF!</f>
        <v>#REF!</v>
      </c>
      <c r="C754" s="5" t="e">
        <f>#REF!</f>
        <v>#REF!</v>
      </c>
      <c r="D754" s="5" t="e">
        <f>#REF!</f>
        <v>#REF!</v>
      </c>
      <c r="E754" s="252">
        <v>1</v>
      </c>
      <c r="F754" s="249">
        <v>0</v>
      </c>
      <c r="G754" s="249">
        <v>0</v>
      </c>
      <c r="H754" s="249">
        <v>0</v>
      </c>
      <c r="I754" s="249">
        <v>0</v>
      </c>
      <c r="J754" s="249">
        <v>43536.219999999994</v>
      </c>
      <c r="K754" s="249">
        <v>43435</v>
      </c>
      <c r="L754" s="274">
        <f t="shared" si="256"/>
        <v>43536.219999999994</v>
      </c>
      <c r="M754" s="274">
        <f>K754*E1</f>
        <v>44738.05</v>
      </c>
      <c r="N754" s="255">
        <v>45000</v>
      </c>
      <c r="O754" s="135">
        <f t="shared" si="254"/>
        <v>8550</v>
      </c>
      <c r="P754" s="135">
        <f t="shared" si="255"/>
        <v>53550</v>
      </c>
      <c r="Q754" s="131"/>
      <c r="R754" s="131"/>
      <c r="S754" s="11"/>
      <c r="T754" s="274">
        <v>30800.000000000004</v>
      </c>
      <c r="U754" s="274">
        <f>+T754*0.19</f>
        <v>5852.0000000000009</v>
      </c>
      <c r="V754" s="274">
        <f>+T754+U754</f>
        <v>36652.000000000007</v>
      </c>
      <c r="W754" s="39" t="s">
        <v>445</v>
      </c>
      <c r="X754" s="11" t="s">
        <v>4859</v>
      </c>
      <c r="Y754" s="11"/>
      <c r="Z754" s="274"/>
      <c r="AA754" s="274"/>
      <c r="AB754" s="274"/>
      <c r="AC754" s="5"/>
      <c r="AD754" s="22"/>
      <c r="AE754" s="39"/>
      <c r="AF754" s="274"/>
      <c r="AG754" s="274"/>
      <c r="AH754" s="274"/>
      <c r="AI754" s="11"/>
      <c r="AJ754" s="39"/>
      <c r="AK754" s="39"/>
      <c r="AL754" s="118"/>
      <c r="AM754" s="152"/>
      <c r="AN754" s="181"/>
      <c r="AO754" s="131"/>
      <c r="AP754" s="131"/>
      <c r="AQ754" s="39"/>
      <c r="AR754" s="274"/>
      <c r="AS754" s="274"/>
      <c r="AT754" s="274"/>
      <c r="AU754" s="39"/>
      <c r="AV754" s="39"/>
      <c r="AW754" s="39"/>
      <c r="AX754" s="274"/>
      <c r="AY754" s="274"/>
      <c r="AZ754" s="274"/>
      <c r="BA754" s="39"/>
      <c r="BB754" s="62"/>
      <c r="BC754" s="39"/>
      <c r="BD754" s="274"/>
      <c r="BE754" s="274"/>
      <c r="BF754" s="274"/>
      <c r="BG754" s="39"/>
      <c r="BH754" s="39"/>
      <c r="BI754" s="39"/>
      <c r="BJ754" s="274">
        <v>142100</v>
      </c>
      <c r="BK754" s="274">
        <f t="shared" si="250"/>
        <v>26999</v>
      </c>
      <c r="BL754" s="274">
        <f t="shared" si="251"/>
        <v>169099</v>
      </c>
      <c r="BM754" s="213" t="s">
        <v>196</v>
      </c>
      <c r="BN754" s="213" t="s">
        <v>4809</v>
      </c>
      <c r="BO754" s="39"/>
      <c r="BP754" s="274"/>
      <c r="BQ754" s="274"/>
      <c r="BR754" s="274"/>
      <c r="BS754" s="39"/>
      <c r="BT754" s="39"/>
      <c r="BU754" s="39"/>
      <c r="BV754" s="219">
        <v>162695.4056</v>
      </c>
      <c r="BW754" s="219">
        <f t="shared" si="252"/>
        <v>30912.127064</v>
      </c>
      <c r="BX754" s="273">
        <f t="shared" si="253"/>
        <v>193607.532664</v>
      </c>
      <c r="BY754" s="213" t="s">
        <v>196</v>
      </c>
      <c r="BZ754" s="213" t="s">
        <v>4809</v>
      </c>
      <c r="CA754" s="213"/>
      <c r="CB754" s="274"/>
      <c r="CC754" s="274"/>
      <c r="CD754" s="274"/>
      <c r="CE754" s="39"/>
      <c r="CF754" s="39"/>
      <c r="CG754" s="39"/>
      <c r="CH754" s="274"/>
      <c r="CI754" s="274"/>
      <c r="CJ754" s="274"/>
      <c r="CK754" s="39"/>
      <c r="CL754" s="39"/>
      <c r="CM754" s="39"/>
      <c r="CN754" s="39"/>
      <c r="CO754" s="39"/>
      <c r="CP754" s="11"/>
      <c r="CQ754" s="11"/>
      <c r="CR754" s="11"/>
      <c r="CS754" s="11"/>
      <c r="CT754" s="11"/>
      <c r="CU754" s="11"/>
      <c r="CV754" s="11"/>
      <c r="CW754" s="11"/>
      <c r="CX754" s="11"/>
      <c r="CY754" s="11"/>
      <c r="CZ754" s="11"/>
      <c r="DA754" s="11"/>
      <c r="DB754" s="11"/>
      <c r="DC754" s="11"/>
      <c r="DD754" s="11"/>
      <c r="DE754" s="11"/>
      <c r="DF754" s="11"/>
      <c r="DG754" s="11"/>
      <c r="DH754" s="11"/>
      <c r="DI754" s="11"/>
      <c r="DJ754" s="11"/>
      <c r="DK754" s="11"/>
      <c r="DL754" s="274"/>
      <c r="DM754" s="274"/>
      <c r="DN754" s="274"/>
      <c r="DO754" s="274"/>
      <c r="DP754" s="274"/>
      <c r="DQ754" s="274"/>
      <c r="DR754" s="274"/>
      <c r="DS754" s="274"/>
      <c r="DT754" s="274"/>
      <c r="DU754" s="274"/>
      <c r="DV754" s="274"/>
      <c r="DW754" s="274"/>
      <c r="DX754" s="274"/>
      <c r="DY754" s="274"/>
      <c r="DZ754" s="274"/>
      <c r="EA754" s="274"/>
      <c r="EB754" s="274"/>
      <c r="EC754" s="274"/>
      <c r="ED754" s="39">
        <f t="shared" si="239"/>
        <v>497646.58266400005</v>
      </c>
      <c r="EE754" s="30">
        <f t="shared" si="240"/>
        <v>5</v>
      </c>
      <c r="EF754" s="39">
        <f t="shared" si="241"/>
        <v>99529.316532800003</v>
      </c>
    </row>
    <row r="755" spans="1:136" x14ac:dyDescent="0.25">
      <c r="A755" s="25" t="e">
        <f>#REF!</f>
        <v>#REF!</v>
      </c>
      <c r="B755" s="50" t="e">
        <f>#REF!</f>
        <v>#REF!</v>
      </c>
      <c r="C755" s="5" t="e">
        <f>#REF!</f>
        <v>#REF!</v>
      </c>
      <c r="D755" s="5" t="e">
        <f>#REF!</f>
        <v>#REF!</v>
      </c>
      <c r="E755" s="252">
        <v>1</v>
      </c>
      <c r="F755" s="249">
        <v>0</v>
      </c>
      <c r="G755" s="249">
        <v>0</v>
      </c>
      <c r="H755" s="249">
        <v>0</v>
      </c>
      <c r="I755" s="249">
        <v>0</v>
      </c>
      <c r="J755" s="249">
        <v>15567.103999999998</v>
      </c>
      <c r="K755" s="249">
        <v>9282</v>
      </c>
      <c r="L755" s="274">
        <f t="shared" si="256"/>
        <v>15567.103999999998</v>
      </c>
      <c r="M755" s="274">
        <f>K755*E1</f>
        <v>9560.4600000000009</v>
      </c>
      <c r="N755" s="255">
        <v>15000</v>
      </c>
      <c r="O755" s="135">
        <f t="shared" si="254"/>
        <v>2850</v>
      </c>
      <c r="P755" s="135">
        <f t="shared" si="255"/>
        <v>17850</v>
      </c>
      <c r="Q755" s="131"/>
      <c r="R755" s="131"/>
      <c r="S755" s="11"/>
      <c r="T755" s="274"/>
      <c r="U755" s="274"/>
      <c r="V755" s="274"/>
      <c r="W755" s="39"/>
      <c r="X755" s="11"/>
      <c r="Y755" s="11"/>
      <c r="Z755" s="274"/>
      <c r="AA755" s="274"/>
      <c r="AB755" s="274"/>
      <c r="AC755" s="5"/>
      <c r="AD755" s="22"/>
      <c r="AE755" s="39"/>
      <c r="AF755" s="274"/>
      <c r="AG755" s="274"/>
      <c r="AH755" s="274"/>
      <c r="AI755" s="11"/>
      <c r="AJ755" s="39"/>
      <c r="AK755" s="39"/>
      <c r="AL755" s="118"/>
      <c r="AM755" s="152"/>
      <c r="AN755" s="181"/>
      <c r="AO755" s="131"/>
      <c r="AP755" s="131"/>
      <c r="AQ755" s="39"/>
      <c r="AR755" s="274"/>
      <c r="AS755" s="274"/>
      <c r="AT755" s="274"/>
      <c r="AU755" s="39"/>
      <c r="AV755" s="39"/>
      <c r="AW755" s="39"/>
      <c r="AX755" s="274"/>
      <c r="AY755" s="274"/>
      <c r="AZ755" s="274"/>
      <c r="BA755" s="39"/>
      <c r="BB755" s="62"/>
      <c r="BC755" s="39"/>
      <c r="BD755" s="274"/>
      <c r="BE755" s="274"/>
      <c r="BF755" s="274"/>
      <c r="BG755" s="39"/>
      <c r="BH755" s="39"/>
      <c r="BI755" s="39"/>
      <c r="BJ755" s="274">
        <v>16400</v>
      </c>
      <c r="BK755" s="274">
        <f t="shared" si="250"/>
        <v>3116</v>
      </c>
      <c r="BL755" s="274">
        <f t="shared" si="251"/>
        <v>19516</v>
      </c>
      <c r="BM755" s="213" t="s">
        <v>196</v>
      </c>
      <c r="BN755" s="213" t="s">
        <v>4809</v>
      </c>
      <c r="BO755" s="39"/>
      <c r="BP755" s="274"/>
      <c r="BQ755" s="274"/>
      <c r="BR755" s="274"/>
      <c r="BS755" s="39"/>
      <c r="BT755" s="39"/>
      <c r="BU755" s="39"/>
      <c r="BV755" s="219">
        <v>18442.685600000001</v>
      </c>
      <c r="BW755" s="219">
        <f t="shared" si="252"/>
        <v>3504.1102640000004</v>
      </c>
      <c r="BX755" s="273">
        <f t="shared" si="253"/>
        <v>21946.795864</v>
      </c>
      <c r="BY755" s="213" t="s">
        <v>196</v>
      </c>
      <c r="BZ755" s="213" t="s">
        <v>4809</v>
      </c>
      <c r="CA755" s="213"/>
      <c r="CB755" s="274"/>
      <c r="CC755" s="274"/>
      <c r="CD755" s="274"/>
      <c r="CE755" s="39"/>
      <c r="CF755" s="39"/>
      <c r="CG755" s="39"/>
      <c r="CH755" s="274"/>
      <c r="CI755" s="274"/>
      <c r="CJ755" s="274"/>
      <c r="CK755" s="39"/>
      <c r="CL755" s="39"/>
      <c r="CM755" s="39"/>
      <c r="CN755" s="39"/>
      <c r="CO755" s="39"/>
      <c r="CP755" s="11"/>
      <c r="CQ755" s="11"/>
      <c r="CR755" s="11"/>
      <c r="CS755" s="11"/>
      <c r="CT755" s="11"/>
      <c r="CU755" s="11"/>
      <c r="CV755" s="11"/>
      <c r="CW755" s="11"/>
      <c r="CX755" s="11"/>
      <c r="CY755" s="11"/>
      <c r="CZ755" s="11"/>
      <c r="DA755" s="11"/>
      <c r="DB755" s="11"/>
      <c r="DC755" s="11"/>
      <c r="DD755" s="11"/>
      <c r="DE755" s="11"/>
      <c r="DF755" s="11"/>
      <c r="DG755" s="11"/>
      <c r="DH755" s="11"/>
      <c r="DI755" s="11"/>
      <c r="DJ755" s="11"/>
      <c r="DK755" s="11"/>
      <c r="DL755" s="274"/>
      <c r="DM755" s="274"/>
      <c r="DN755" s="274"/>
      <c r="DO755" s="274"/>
      <c r="DP755" s="274"/>
      <c r="DQ755" s="274"/>
      <c r="DR755" s="274"/>
      <c r="DS755" s="274"/>
      <c r="DT755" s="274"/>
      <c r="DU755" s="274"/>
      <c r="DV755" s="274"/>
      <c r="DW755" s="274"/>
      <c r="DX755" s="274"/>
      <c r="DY755" s="274"/>
      <c r="DZ755" s="274"/>
      <c r="EA755" s="274"/>
      <c r="EB755" s="274"/>
      <c r="EC755" s="274"/>
      <c r="ED755" s="39">
        <f t="shared" si="239"/>
        <v>68873.255864000006</v>
      </c>
      <c r="EE755" s="30">
        <f t="shared" si="240"/>
        <v>4</v>
      </c>
      <c r="EF755" s="39">
        <f t="shared" si="241"/>
        <v>17218.313966000002</v>
      </c>
    </row>
    <row r="756" spans="1:136" x14ac:dyDescent="0.25">
      <c r="A756" s="25" t="e">
        <f>#REF!</f>
        <v>#REF!</v>
      </c>
      <c r="B756" s="50" t="e">
        <f>#REF!</f>
        <v>#REF!</v>
      </c>
      <c r="C756" s="5" t="e">
        <f>#REF!</f>
        <v>#REF!</v>
      </c>
      <c r="D756" s="5" t="e">
        <f>#REF!</f>
        <v>#REF!</v>
      </c>
      <c r="E756" s="252">
        <v>1</v>
      </c>
      <c r="F756" s="249">
        <v>0</v>
      </c>
      <c r="G756" s="249">
        <v>0</v>
      </c>
      <c r="H756" s="249">
        <v>0</v>
      </c>
      <c r="I756" s="249">
        <v>0</v>
      </c>
      <c r="J756" s="249">
        <v>13628.356</v>
      </c>
      <c r="K756" s="249">
        <v>11186</v>
      </c>
      <c r="L756" s="274">
        <f t="shared" si="256"/>
        <v>13628.356</v>
      </c>
      <c r="M756" s="274">
        <f>K756*E1</f>
        <v>11521.58</v>
      </c>
      <c r="N756" s="255">
        <v>10000</v>
      </c>
      <c r="O756" s="135">
        <f t="shared" si="254"/>
        <v>1900</v>
      </c>
      <c r="P756" s="135">
        <f t="shared" si="255"/>
        <v>11900</v>
      </c>
      <c r="Q756" s="131"/>
      <c r="R756" s="131"/>
      <c r="S756" s="11"/>
      <c r="T756" s="274">
        <v>6270.0000000000009</v>
      </c>
      <c r="U756" s="274">
        <f>+T756*0.19</f>
        <v>1191.3000000000002</v>
      </c>
      <c r="V756" s="274">
        <f>+T756+U756</f>
        <v>7461.3000000000011</v>
      </c>
      <c r="W756" s="39" t="s">
        <v>445</v>
      </c>
      <c r="X756" s="11" t="s">
        <v>4859</v>
      </c>
      <c r="Y756" s="11"/>
      <c r="Z756" s="274"/>
      <c r="AA756" s="274"/>
      <c r="AB756" s="274"/>
      <c r="AC756" s="5"/>
      <c r="AD756" s="22"/>
      <c r="AE756" s="39"/>
      <c r="AF756" s="274"/>
      <c r="AG756" s="274"/>
      <c r="AH756" s="274"/>
      <c r="AI756" s="11"/>
      <c r="AJ756" s="39"/>
      <c r="AK756" s="39"/>
      <c r="AL756" s="118"/>
      <c r="AM756" s="152"/>
      <c r="AN756" s="181"/>
      <c r="AO756" s="131"/>
      <c r="AP756" s="131"/>
      <c r="AQ756" s="39"/>
      <c r="AR756" s="274"/>
      <c r="AS756" s="274"/>
      <c r="AT756" s="274"/>
      <c r="AU756" s="39"/>
      <c r="AV756" s="39"/>
      <c r="AW756" s="39"/>
      <c r="AX756" s="274"/>
      <c r="AY756" s="274"/>
      <c r="AZ756" s="274"/>
      <c r="BA756" s="39"/>
      <c r="BB756" s="62"/>
      <c r="BC756" s="39"/>
      <c r="BD756" s="274"/>
      <c r="BE756" s="274"/>
      <c r="BF756" s="274"/>
      <c r="BG756" s="39"/>
      <c r="BH756" s="39"/>
      <c r="BI756" s="39"/>
      <c r="BJ756" s="274">
        <v>19800</v>
      </c>
      <c r="BK756" s="274">
        <f t="shared" si="250"/>
        <v>3762</v>
      </c>
      <c r="BL756" s="274">
        <f t="shared" si="251"/>
        <v>23562</v>
      </c>
      <c r="BM756" s="213" t="s">
        <v>196</v>
      </c>
      <c r="BN756" s="213" t="s">
        <v>4809</v>
      </c>
      <c r="BO756" s="39"/>
      <c r="BP756" s="274"/>
      <c r="BQ756" s="274"/>
      <c r="BR756" s="274"/>
      <c r="BS756" s="39"/>
      <c r="BT756" s="39"/>
      <c r="BU756" s="39"/>
      <c r="BV756" s="219">
        <v>21843.993600000002</v>
      </c>
      <c r="BW756" s="219">
        <f t="shared" si="252"/>
        <v>4150.358784</v>
      </c>
      <c r="BX756" s="273">
        <f t="shared" si="253"/>
        <v>25994.352384000002</v>
      </c>
      <c r="BY756" s="213" t="s">
        <v>196</v>
      </c>
      <c r="BZ756" s="213" t="s">
        <v>4809</v>
      </c>
      <c r="CA756" s="213"/>
      <c r="CB756" s="274"/>
      <c r="CC756" s="274"/>
      <c r="CD756" s="274"/>
      <c r="CE756" s="39"/>
      <c r="CF756" s="39"/>
      <c r="CG756" s="39"/>
      <c r="CH756" s="274"/>
      <c r="CI756" s="274"/>
      <c r="CJ756" s="274"/>
      <c r="CK756" s="39"/>
      <c r="CL756" s="39"/>
      <c r="CM756" s="39"/>
      <c r="CN756" s="39"/>
      <c r="CO756" s="39"/>
      <c r="CP756" s="11"/>
      <c r="CQ756" s="11"/>
      <c r="CR756" s="11"/>
      <c r="CS756" s="11"/>
      <c r="CT756" s="11"/>
      <c r="CU756" s="11"/>
      <c r="CV756" s="11"/>
      <c r="CW756" s="11"/>
      <c r="CX756" s="11"/>
      <c r="CY756" s="11"/>
      <c r="CZ756" s="11"/>
      <c r="DA756" s="11"/>
      <c r="DB756" s="11"/>
      <c r="DC756" s="11"/>
      <c r="DD756" s="11"/>
      <c r="DE756" s="11"/>
      <c r="DF756" s="11"/>
      <c r="DG756" s="11"/>
      <c r="DH756" s="11"/>
      <c r="DI756" s="11"/>
      <c r="DJ756" s="11"/>
      <c r="DK756" s="11"/>
      <c r="DL756" s="274"/>
      <c r="DM756" s="274"/>
      <c r="DN756" s="274"/>
      <c r="DO756" s="274"/>
      <c r="DP756" s="274"/>
      <c r="DQ756" s="274"/>
      <c r="DR756" s="274"/>
      <c r="DS756" s="274"/>
      <c r="DT756" s="274"/>
      <c r="DU756" s="274"/>
      <c r="DV756" s="274"/>
      <c r="DW756" s="274"/>
      <c r="DX756" s="274"/>
      <c r="DY756" s="274"/>
      <c r="DZ756" s="274"/>
      <c r="EA756" s="274"/>
      <c r="EB756" s="274"/>
      <c r="EC756" s="274"/>
      <c r="ED756" s="39">
        <f t="shared" si="239"/>
        <v>80439.232384000003</v>
      </c>
      <c r="EE756" s="30">
        <f t="shared" si="240"/>
        <v>5</v>
      </c>
      <c r="EF756" s="39">
        <f t="shared" si="241"/>
        <v>16087.846476800001</v>
      </c>
    </row>
    <row r="757" spans="1:136" x14ac:dyDescent="0.25">
      <c r="A757" s="25" t="e">
        <f>#REF!</f>
        <v>#REF!</v>
      </c>
      <c r="B757" s="50" t="e">
        <f>#REF!</f>
        <v>#REF!</v>
      </c>
      <c r="C757" s="5" t="e">
        <f>#REF!</f>
        <v>#REF!</v>
      </c>
      <c r="D757" s="5" t="e">
        <f>#REF!</f>
        <v>#REF!</v>
      </c>
      <c r="E757" s="252">
        <v>1</v>
      </c>
      <c r="F757" s="249">
        <v>0</v>
      </c>
      <c r="G757" s="249">
        <v>0</v>
      </c>
      <c r="H757" s="249">
        <v>0</v>
      </c>
      <c r="I757" s="249">
        <v>0</v>
      </c>
      <c r="J757" s="249">
        <v>25775.71733333333</v>
      </c>
      <c r="K757" s="249">
        <v>25585</v>
      </c>
      <c r="L757" s="274">
        <f t="shared" si="256"/>
        <v>25775.71733333333</v>
      </c>
      <c r="M757" s="274">
        <f>K757*E1</f>
        <v>26352.55</v>
      </c>
      <c r="N757" s="255">
        <v>10000</v>
      </c>
      <c r="O757" s="135">
        <f t="shared" si="254"/>
        <v>1900</v>
      </c>
      <c r="P757" s="135">
        <f t="shared" si="255"/>
        <v>11900</v>
      </c>
      <c r="Q757" s="131"/>
      <c r="R757" s="131"/>
      <c r="S757" s="11"/>
      <c r="T757" s="274">
        <v>6160.0000000000009</v>
      </c>
      <c r="U757" s="274">
        <f>+T757*0.19</f>
        <v>1170.4000000000001</v>
      </c>
      <c r="V757" s="274">
        <f>+T757+U757</f>
        <v>7330.4000000000015</v>
      </c>
      <c r="W757" s="39" t="s">
        <v>445</v>
      </c>
      <c r="X757" s="11" t="s">
        <v>4859</v>
      </c>
      <c r="Y757" s="11"/>
      <c r="Z757" s="274"/>
      <c r="AA757" s="274"/>
      <c r="AB757" s="274"/>
      <c r="AC757" s="5"/>
      <c r="AD757" s="22"/>
      <c r="AE757" s="39"/>
      <c r="AF757" s="274"/>
      <c r="AG757" s="274"/>
      <c r="AH757" s="274"/>
      <c r="AI757" s="11"/>
      <c r="AJ757" s="39"/>
      <c r="AK757" s="39"/>
      <c r="AL757" s="118"/>
      <c r="AM757" s="152"/>
      <c r="AN757" s="181"/>
      <c r="AO757" s="131"/>
      <c r="AP757" s="131"/>
      <c r="AQ757" s="39"/>
      <c r="AR757" s="274"/>
      <c r="AS757" s="274"/>
      <c r="AT757" s="274"/>
      <c r="AU757" s="39"/>
      <c r="AV757" s="39"/>
      <c r="AW757" s="39"/>
      <c r="AX757" s="274"/>
      <c r="AY757" s="274"/>
      <c r="AZ757" s="274"/>
      <c r="BA757" s="39"/>
      <c r="BB757" s="62"/>
      <c r="BC757" s="39"/>
      <c r="BD757" s="274"/>
      <c r="BE757" s="274"/>
      <c r="BF757" s="274"/>
      <c r="BG757" s="39"/>
      <c r="BH757" s="39"/>
      <c r="BI757" s="39"/>
      <c r="BJ757" s="274">
        <v>19300</v>
      </c>
      <c r="BK757" s="274">
        <f t="shared" si="250"/>
        <v>3667</v>
      </c>
      <c r="BL757" s="274">
        <f t="shared" si="251"/>
        <v>22967</v>
      </c>
      <c r="BM757" s="213" t="s">
        <v>196</v>
      </c>
      <c r="BN757" s="213" t="s">
        <v>4809</v>
      </c>
      <c r="BO757" s="39"/>
      <c r="BP757" s="274"/>
      <c r="BQ757" s="274"/>
      <c r="BR757" s="274"/>
      <c r="BS757" s="39"/>
      <c r="BT757" s="39"/>
      <c r="BU757" s="39"/>
      <c r="BV757" s="219">
        <v>21684.013199999998</v>
      </c>
      <c r="BW757" s="219">
        <f t="shared" si="252"/>
        <v>4119.9625079999996</v>
      </c>
      <c r="BX757" s="273">
        <f t="shared" si="253"/>
        <v>25803.975707999998</v>
      </c>
      <c r="BY757" s="213" t="s">
        <v>196</v>
      </c>
      <c r="BZ757" s="213" t="s">
        <v>4809</v>
      </c>
      <c r="CA757" s="213"/>
      <c r="CB757" s="274"/>
      <c r="CC757" s="274"/>
      <c r="CD757" s="274"/>
      <c r="CE757" s="39"/>
      <c r="CF757" s="39"/>
      <c r="CG757" s="39"/>
      <c r="CH757" s="274"/>
      <c r="CI757" s="274"/>
      <c r="CJ757" s="274"/>
      <c r="CK757" s="39"/>
      <c r="CL757" s="39"/>
      <c r="CM757" s="39"/>
      <c r="CN757" s="39"/>
      <c r="CO757" s="39"/>
      <c r="CP757" s="11"/>
      <c r="CQ757" s="11"/>
      <c r="CR757" s="11"/>
      <c r="CS757" s="11"/>
      <c r="CT757" s="11"/>
      <c r="CU757" s="11"/>
      <c r="CV757" s="11"/>
      <c r="CW757" s="11"/>
      <c r="CX757" s="11"/>
      <c r="CY757" s="11"/>
      <c r="CZ757" s="11"/>
      <c r="DA757" s="11"/>
      <c r="DB757" s="11"/>
      <c r="DC757" s="11"/>
      <c r="DD757" s="11"/>
      <c r="DE757" s="11"/>
      <c r="DF757" s="11"/>
      <c r="DG757" s="11"/>
      <c r="DH757" s="11"/>
      <c r="DI757" s="11"/>
      <c r="DJ757" s="11"/>
      <c r="DK757" s="11"/>
      <c r="DL757" s="274"/>
      <c r="DM757" s="274"/>
      <c r="DN757" s="274"/>
      <c r="DO757" s="274"/>
      <c r="DP757" s="274"/>
      <c r="DQ757" s="274"/>
      <c r="DR757" s="274"/>
      <c r="DS757" s="274"/>
      <c r="DT757" s="274"/>
      <c r="DU757" s="274"/>
      <c r="DV757" s="274"/>
      <c r="DW757" s="274"/>
      <c r="DX757" s="274"/>
      <c r="DY757" s="274"/>
      <c r="DZ757" s="274"/>
      <c r="EA757" s="274"/>
      <c r="EB757" s="274"/>
      <c r="EC757" s="274"/>
      <c r="ED757" s="39">
        <f t="shared" si="239"/>
        <v>94353.92570800001</v>
      </c>
      <c r="EE757" s="30">
        <f t="shared" si="240"/>
        <v>5</v>
      </c>
      <c r="EF757" s="39">
        <f t="shared" si="241"/>
        <v>18870.785141600001</v>
      </c>
    </row>
    <row r="758" spans="1:136" x14ac:dyDescent="0.25">
      <c r="A758" s="25" t="e">
        <f>#REF!</f>
        <v>#REF!</v>
      </c>
      <c r="B758" s="50" t="e">
        <f>#REF!</f>
        <v>#REF!</v>
      </c>
      <c r="C758" s="5" t="e">
        <f>#REF!</f>
        <v>#REF!</v>
      </c>
      <c r="D758" s="5" t="e">
        <f>#REF!</f>
        <v>#REF!</v>
      </c>
      <c r="E758" s="252">
        <v>1</v>
      </c>
      <c r="F758" s="249">
        <v>0</v>
      </c>
      <c r="G758" s="249">
        <v>0</v>
      </c>
      <c r="H758" s="249">
        <v>0</v>
      </c>
      <c r="I758" s="249">
        <v>0</v>
      </c>
      <c r="J758" s="249">
        <v>19907.034</v>
      </c>
      <c r="K758" s="249">
        <v>12733</v>
      </c>
      <c r="L758" s="274">
        <f t="shared" si="256"/>
        <v>19907.034</v>
      </c>
      <c r="M758" s="274">
        <f>K758*E1</f>
        <v>13114.99</v>
      </c>
      <c r="N758" s="255">
        <v>10000</v>
      </c>
      <c r="O758" s="135">
        <f t="shared" si="254"/>
        <v>1900</v>
      </c>
      <c r="P758" s="135">
        <f t="shared" si="255"/>
        <v>11900</v>
      </c>
      <c r="Q758" s="131"/>
      <c r="R758" s="131"/>
      <c r="S758" s="11"/>
      <c r="T758" s="274">
        <v>7150.0000000000009</v>
      </c>
      <c r="U758" s="274">
        <f>+T758*0.19</f>
        <v>1358.5000000000002</v>
      </c>
      <c r="V758" s="274">
        <f>+T758+U758</f>
        <v>8508.5000000000018</v>
      </c>
      <c r="W758" s="39" t="s">
        <v>445</v>
      </c>
      <c r="X758" s="11" t="s">
        <v>4859</v>
      </c>
      <c r="Y758" s="11"/>
      <c r="Z758" s="274"/>
      <c r="AA758" s="274"/>
      <c r="AB758" s="274"/>
      <c r="AC758" s="5"/>
      <c r="AD758" s="22"/>
      <c r="AE758" s="39"/>
      <c r="AF758" s="274"/>
      <c r="AG758" s="274"/>
      <c r="AH758" s="274"/>
      <c r="AI758" s="11"/>
      <c r="AJ758" s="39"/>
      <c r="AK758" s="39"/>
      <c r="AL758" s="118"/>
      <c r="AM758" s="152"/>
      <c r="AN758" s="181"/>
      <c r="AO758" s="131"/>
      <c r="AP758" s="131"/>
      <c r="AQ758" s="39"/>
      <c r="AR758" s="274"/>
      <c r="AS758" s="274"/>
      <c r="AT758" s="274"/>
      <c r="AU758" s="39"/>
      <c r="AV758" s="39"/>
      <c r="AW758" s="39"/>
      <c r="AX758" s="274"/>
      <c r="AY758" s="274"/>
      <c r="AZ758" s="274"/>
      <c r="BA758" s="39"/>
      <c r="BB758" s="62"/>
      <c r="BC758" s="39"/>
      <c r="BD758" s="274"/>
      <c r="BE758" s="274"/>
      <c r="BF758" s="274"/>
      <c r="BG758" s="39"/>
      <c r="BH758" s="39"/>
      <c r="BI758" s="39"/>
      <c r="BJ758" s="274">
        <v>22600</v>
      </c>
      <c r="BK758" s="274">
        <f t="shared" si="250"/>
        <v>4294</v>
      </c>
      <c r="BL758" s="274">
        <f t="shared" si="251"/>
        <v>26894</v>
      </c>
      <c r="BM758" s="213" t="s">
        <v>196</v>
      </c>
      <c r="BN758" s="213" t="s">
        <v>4809</v>
      </c>
      <c r="BO758" s="39"/>
      <c r="BP758" s="274"/>
      <c r="BQ758" s="274"/>
      <c r="BR758" s="274"/>
      <c r="BS758" s="39"/>
      <c r="BT758" s="39"/>
      <c r="BU758" s="39"/>
      <c r="BV758" s="219">
        <v>25666.368000000002</v>
      </c>
      <c r="BW758" s="219">
        <f t="shared" si="252"/>
        <v>4876.6099200000008</v>
      </c>
      <c r="BX758" s="273">
        <f t="shared" si="253"/>
        <v>30542.977920000005</v>
      </c>
      <c r="BY758" s="213" t="s">
        <v>196</v>
      </c>
      <c r="BZ758" s="213" t="s">
        <v>4809</v>
      </c>
      <c r="CA758" s="213"/>
      <c r="CB758" s="274"/>
      <c r="CC758" s="274"/>
      <c r="CD758" s="274"/>
      <c r="CE758" s="39"/>
      <c r="CF758" s="39"/>
      <c r="CG758" s="39"/>
      <c r="CH758" s="274"/>
      <c r="CI758" s="274"/>
      <c r="CJ758" s="274"/>
      <c r="CK758" s="39"/>
      <c r="CL758" s="39"/>
      <c r="CM758" s="39"/>
      <c r="CN758" s="39"/>
      <c r="CO758" s="39"/>
      <c r="CP758" s="11"/>
      <c r="CQ758" s="11"/>
      <c r="CR758" s="11"/>
      <c r="CS758" s="11"/>
      <c r="CT758" s="11"/>
      <c r="CU758" s="11"/>
      <c r="CV758" s="11"/>
      <c r="CW758" s="11"/>
      <c r="CX758" s="11"/>
      <c r="CY758" s="11"/>
      <c r="CZ758" s="11"/>
      <c r="DA758" s="11"/>
      <c r="DB758" s="11"/>
      <c r="DC758" s="11"/>
      <c r="DD758" s="11"/>
      <c r="DE758" s="11"/>
      <c r="DF758" s="11"/>
      <c r="DG758" s="11"/>
      <c r="DH758" s="11"/>
      <c r="DI758" s="11"/>
      <c r="DJ758" s="11"/>
      <c r="DK758" s="11"/>
      <c r="DL758" s="274"/>
      <c r="DM758" s="274"/>
      <c r="DN758" s="274"/>
      <c r="DO758" s="274"/>
      <c r="DP758" s="274"/>
      <c r="DQ758" s="274"/>
      <c r="DR758" s="274"/>
      <c r="DS758" s="274"/>
      <c r="DT758" s="274"/>
      <c r="DU758" s="274"/>
      <c r="DV758" s="274"/>
      <c r="DW758" s="274"/>
      <c r="DX758" s="274"/>
      <c r="DY758" s="274"/>
      <c r="DZ758" s="274"/>
      <c r="EA758" s="274"/>
      <c r="EB758" s="274"/>
      <c r="EC758" s="274"/>
      <c r="ED758" s="39">
        <f t="shared" si="239"/>
        <v>90960.467919999996</v>
      </c>
      <c r="EE758" s="30">
        <f t="shared" si="240"/>
        <v>5</v>
      </c>
      <c r="EF758" s="39">
        <f t="shared" si="241"/>
        <v>18192.093583999998</v>
      </c>
    </row>
    <row r="759" spans="1:136" x14ac:dyDescent="0.25">
      <c r="A759" s="25" t="e">
        <f>#REF!</f>
        <v>#REF!</v>
      </c>
      <c r="B759" s="50" t="e">
        <f>#REF!</f>
        <v>#REF!</v>
      </c>
      <c r="C759" s="5" t="e">
        <f>#REF!</f>
        <v>#REF!</v>
      </c>
      <c r="D759" s="5" t="e">
        <f>#REF!</f>
        <v>#REF!</v>
      </c>
      <c r="E759" s="252">
        <v>1</v>
      </c>
      <c r="F759" s="249">
        <v>0</v>
      </c>
      <c r="G759" s="249">
        <v>0</v>
      </c>
      <c r="H759" s="249">
        <v>0</v>
      </c>
      <c r="I759" s="249">
        <v>0</v>
      </c>
      <c r="J759" s="249">
        <v>21943.124</v>
      </c>
      <c r="K759" s="249">
        <v>16660</v>
      </c>
      <c r="L759" s="274">
        <f t="shared" si="256"/>
        <v>21943.124</v>
      </c>
      <c r="M759" s="274">
        <f>K759*E1</f>
        <v>17159.8</v>
      </c>
      <c r="N759" s="255">
        <v>10000</v>
      </c>
      <c r="O759" s="135">
        <f t="shared" si="254"/>
        <v>1900</v>
      </c>
      <c r="P759" s="135">
        <f t="shared" si="255"/>
        <v>11900</v>
      </c>
      <c r="Q759" s="131"/>
      <c r="R759" s="131"/>
      <c r="S759" s="11"/>
      <c r="T759" s="274">
        <v>9900</v>
      </c>
      <c r="U759" s="274">
        <f>+T759*0.19</f>
        <v>1881</v>
      </c>
      <c r="V759" s="274">
        <f>+T759+U759</f>
        <v>11781</v>
      </c>
      <c r="W759" s="39" t="s">
        <v>445</v>
      </c>
      <c r="X759" s="11" t="s">
        <v>4859</v>
      </c>
      <c r="Y759" s="11"/>
      <c r="Z759" s="274"/>
      <c r="AA759" s="274"/>
      <c r="AB759" s="274"/>
      <c r="AC759" s="5"/>
      <c r="AD759" s="23"/>
      <c r="AE759" s="39"/>
      <c r="AF759" s="274"/>
      <c r="AG759" s="274"/>
      <c r="AH759" s="274"/>
      <c r="AI759" s="11"/>
      <c r="AJ759" s="39"/>
      <c r="AK759" s="39"/>
      <c r="AL759" s="118"/>
      <c r="AM759" s="152"/>
      <c r="AN759" s="181"/>
      <c r="AO759" s="131"/>
      <c r="AP759" s="131"/>
      <c r="AQ759" s="39"/>
      <c r="AR759" s="274"/>
      <c r="AS759" s="274"/>
      <c r="AT759" s="274"/>
      <c r="AU759" s="39"/>
      <c r="AV759" s="39"/>
      <c r="AW759" s="39"/>
      <c r="AX759" s="274"/>
      <c r="AY759" s="274"/>
      <c r="AZ759" s="274"/>
      <c r="BA759" s="39"/>
      <c r="BB759" s="39"/>
      <c r="BC759" s="39"/>
      <c r="BD759" s="274"/>
      <c r="BE759" s="274"/>
      <c r="BF759" s="274"/>
      <c r="BG759" s="39"/>
      <c r="BH759" s="39"/>
      <c r="BI759" s="39"/>
      <c r="BJ759" s="274">
        <v>31000</v>
      </c>
      <c r="BK759" s="274">
        <f t="shared" si="250"/>
        <v>5890</v>
      </c>
      <c r="BL759" s="274">
        <f t="shared" si="251"/>
        <v>36890</v>
      </c>
      <c r="BM759" s="213" t="s">
        <v>196</v>
      </c>
      <c r="BN759" s="213" t="s">
        <v>4809</v>
      </c>
      <c r="BO759" s="39"/>
      <c r="BP759" s="274"/>
      <c r="BQ759" s="274"/>
      <c r="BR759" s="274"/>
      <c r="BS759" s="39"/>
      <c r="BT759" s="39"/>
      <c r="BU759" s="39"/>
      <c r="BV759" s="219">
        <v>36543.885000000009</v>
      </c>
      <c r="BW759" s="219">
        <f t="shared" si="252"/>
        <v>6943.3381500000014</v>
      </c>
      <c r="BX759" s="273">
        <f t="shared" si="253"/>
        <v>43487.223150000013</v>
      </c>
      <c r="BY759" s="213" t="s">
        <v>196</v>
      </c>
      <c r="BZ759" s="213" t="s">
        <v>4809</v>
      </c>
      <c r="CA759" s="213"/>
      <c r="CB759" s="275"/>
      <c r="CC759" s="274"/>
      <c r="CD759" s="274"/>
      <c r="CE759" s="39"/>
      <c r="CF759" s="39"/>
      <c r="CG759" s="39"/>
      <c r="CH759" s="274"/>
      <c r="CI759" s="274"/>
      <c r="CJ759" s="274"/>
      <c r="CK759" s="39"/>
      <c r="CL759" s="39"/>
      <c r="CM759" s="39"/>
      <c r="CN759" s="39"/>
      <c r="CO759" s="39"/>
      <c r="CP759" s="11"/>
      <c r="CQ759" s="11"/>
      <c r="CR759" s="11"/>
      <c r="CS759" s="11"/>
      <c r="CT759" s="11"/>
      <c r="CU759" s="11"/>
      <c r="CV759" s="11"/>
      <c r="CW759" s="11"/>
      <c r="CX759" s="11"/>
      <c r="CY759" s="11"/>
      <c r="CZ759" s="11"/>
      <c r="DA759" s="11"/>
      <c r="DB759" s="11"/>
      <c r="DC759" s="11"/>
      <c r="DD759" s="11"/>
      <c r="DE759" s="11"/>
      <c r="DF759" s="11"/>
      <c r="DG759" s="11"/>
      <c r="DH759" s="11"/>
      <c r="DI759" s="11"/>
      <c r="DJ759" s="11"/>
      <c r="DK759" s="11"/>
      <c r="DL759" s="274"/>
      <c r="DM759" s="274"/>
      <c r="DN759" s="274"/>
      <c r="DO759" s="274"/>
      <c r="DP759" s="274"/>
      <c r="DQ759" s="274"/>
      <c r="DR759" s="274"/>
      <c r="DS759" s="274"/>
      <c r="DT759" s="274"/>
      <c r="DU759" s="274"/>
      <c r="DV759" s="274"/>
      <c r="DW759" s="274"/>
      <c r="DX759" s="274"/>
      <c r="DY759" s="274"/>
      <c r="DZ759" s="274"/>
      <c r="EA759" s="274"/>
      <c r="EB759" s="274"/>
      <c r="EC759" s="274"/>
      <c r="ED759" s="39">
        <f t="shared" si="239"/>
        <v>121218.02315000002</v>
      </c>
      <c r="EE759" s="30">
        <f t="shared" si="240"/>
        <v>5</v>
      </c>
      <c r="EF759" s="39">
        <f t="shared" si="241"/>
        <v>24243.604630000005</v>
      </c>
    </row>
    <row r="760" spans="1:136" x14ac:dyDescent="0.25">
      <c r="A760" s="25" t="e">
        <f>#REF!</f>
        <v>#REF!</v>
      </c>
      <c r="B760" s="50" t="e">
        <f>#REF!</f>
        <v>#REF!</v>
      </c>
      <c r="C760" s="5" t="e">
        <f>#REF!</f>
        <v>#REF!</v>
      </c>
      <c r="D760" s="5" t="e">
        <f>#REF!</f>
        <v>#REF!</v>
      </c>
      <c r="E760" s="252">
        <v>1</v>
      </c>
      <c r="F760" s="249">
        <v>0</v>
      </c>
      <c r="G760" s="249">
        <v>0</v>
      </c>
      <c r="H760" s="249">
        <v>0</v>
      </c>
      <c r="I760" s="249">
        <v>0</v>
      </c>
      <c r="J760" s="249">
        <v>11602.976000000001</v>
      </c>
      <c r="K760" s="249">
        <v>11186</v>
      </c>
      <c r="L760" s="274">
        <f t="shared" si="256"/>
        <v>11602.976000000001</v>
      </c>
      <c r="M760" s="274">
        <f>K760*E1</f>
        <v>11521.58</v>
      </c>
      <c r="N760" s="255">
        <v>10000</v>
      </c>
      <c r="O760" s="135">
        <f t="shared" si="254"/>
        <v>1900</v>
      </c>
      <c r="P760" s="135">
        <f t="shared" si="255"/>
        <v>11900</v>
      </c>
      <c r="Q760" s="131"/>
      <c r="R760" s="131"/>
      <c r="S760" s="11"/>
      <c r="T760" s="274">
        <v>6050.0000000000009</v>
      </c>
      <c r="U760" s="274">
        <f>+T760*0.19</f>
        <v>1149.5000000000002</v>
      </c>
      <c r="V760" s="274">
        <f>+T760+U760</f>
        <v>7199.5000000000009</v>
      </c>
      <c r="W760" s="39" t="s">
        <v>445</v>
      </c>
      <c r="X760" s="11" t="s">
        <v>4859</v>
      </c>
      <c r="Y760" s="11"/>
      <c r="Z760" s="274"/>
      <c r="AA760" s="274"/>
      <c r="AB760" s="274"/>
      <c r="AC760" s="52"/>
      <c r="AD760" s="22"/>
      <c r="AE760" s="39"/>
      <c r="AF760" s="274"/>
      <c r="AG760" s="274"/>
      <c r="AH760" s="274"/>
      <c r="AI760" s="11"/>
      <c r="AJ760" s="39"/>
      <c r="AK760" s="39"/>
      <c r="AL760" s="118"/>
      <c r="AM760" s="152"/>
      <c r="AN760" s="181"/>
      <c r="AO760" s="131"/>
      <c r="AP760" s="131"/>
      <c r="AQ760" s="39"/>
      <c r="AR760" s="274"/>
      <c r="AS760" s="274"/>
      <c r="AT760" s="274"/>
      <c r="AU760" s="39"/>
      <c r="AV760" s="39"/>
      <c r="AW760" s="39"/>
      <c r="AX760" s="274"/>
      <c r="AY760" s="274"/>
      <c r="AZ760" s="274"/>
      <c r="BA760" s="39"/>
      <c r="BB760" s="39"/>
      <c r="BC760" s="39"/>
      <c r="BD760" s="274"/>
      <c r="BE760" s="274"/>
      <c r="BF760" s="274"/>
      <c r="BG760" s="39"/>
      <c r="BH760" s="39"/>
      <c r="BI760" s="39"/>
      <c r="BJ760" s="274">
        <v>20100</v>
      </c>
      <c r="BK760" s="274">
        <f t="shared" si="250"/>
        <v>3819</v>
      </c>
      <c r="BL760" s="274">
        <f t="shared" si="251"/>
        <v>23919</v>
      </c>
      <c r="BM760" s="213" t="s">
        <v>196</v>
      </c>
      <c r="BN760" s="213" t="s">
        <v>4809</v>
      </c>
      <c r="BO760" s="39"/>
      <c r="BP760" s="274"/>
      <c r="BQ760" s="274"/>
      <c r="BR760" s="274"/>
      <c r="BS760" s="39"/>
      <c r="BT760" s="39"/>
      <c r="BU760" s="39"/>
      <c r="BV760" s="212">
        <v>21748.521600000004</v>
      </c>
      <c r="BW760" s="219">
        <f t="shared" si="252"/>
        <v>4132.2191040000007</v>
      </c>
      <c r="BX760" s="273">
        <f t="shared" si="253"/>
        <v>25880.740704000003</v>
      </c>
      <c r="BY760" s="213" t="s">
        <v>196</v>
      </c>
      <c r="BZ760" s="213" t="s">
        <v>4809</v>
      </c>
      <c r="CA760" s="213"/>
      <c r="CB760" s="274"/>
      <c r="CC760" s="274"/>
      <c r="CD760" s="274"/>
      <c r="CE760" s="39"/>
      <c r="CF760" s="39"/>
      <c r="CG760" s="39"/>
      <c r="CH760" s="275"/>
      <c r="CI760" s="275"/>
      <c r="CJ760" s="275"/>
      <c r="CK760" s="39"/>
      <c r="CL760" s="39"/>
      <c r="CM760" s="39"/>
      <c r="CN760" s="39"/>
      <c r="CO760" s="39"/>
      <c r="CP760" s="11"/>
      <c r="CQ760" s="11"/>
      <c r="CR760" s="11"/>
      <c r="CS760" s="11"/>
      <c r="CT760" s="11"/>
      <c r="CU760" s="11"/>
      <c r="CV760" s="11"/>
      <c r="CW760" s="11"/>
      <c r="CX760" s="11"/>
      <c r="CY760" s="11"/>
      <c r="CZ760" s="11"/>
      <c r="DA760" s="11"/>
      <c r="DB760" s="11"/>
      <c r="DC760" s="11"/>
      <c r="DD760" s="11"/>
      <c r="DE760" s="11"/>
      <c r="DF760" s="11"/>
      <c r="DG760" s="11"/>
      <c r="DH760" s="11"/>
      <c r="DI760" s="11"/>
      <c r="DJ760" s="11"/>
      <c r="DK760" s="11"/>
      <c r="DL760" s="274"/>
      <c r="DM760" s="274"/>
      <c r="DN760" s="274"/>
      <c r="DO760" s="274"/>
      <c r="DP760" s="274"/>
      <c r="DQ760" s="274"/>
      <c r="DR760" s="274"/>
      <c r="DS760" s="274"/>
      <c r="DT760" s="274"/>
      <c r="DU760" s="274"/>
      <c r="DV760" s="274"/>
      <c r="DW760" s="274"/>
      <c r="DX760" s="274"/>
      <c r="DY760" s="274"/>
      <c r="DZ760" s="274"/>
      <c r="EA760" s="274"/>
      <c r="EB760" s="274"/>
      <c r="EC760" s="274"/>
      <c r="ED760" s="39">
        <f t="shared" si="239"/>
        <v>80420.820704000012</v>
      </c>
      <c r="EE760" s="30">
        <f t="shared" si="240"/>
        <v>5</v>
      </c>
      <c r="EF760" s="39">
        <f t="shared" si="241"/>
        <v>16084.164140800003</v>
      </c>
    </row>
    <row r="761" spans="1:136" x14ac:dyDescent="0.25">
      <c r="A761" s="25" t="e">
        <f>#REF!</f>
        <v>#REF!</v>
      </c>
      <c r="B761" s="50" t="e">
        <f>#REF!</f>
        <v>#REF!</v>
      </c>
      <c r="C761" s="5" t="e">
        <f>#REF!</f>
        <v>#REF!</v>
      </c>
      <c r="D761" s="5" t="e">
        <f>#REF!</f>
        <v>#REF!</v>
      </c>
      <c r="E761" s="252">
        <v>1</v>
      </c>
      <c r="F761" s="249">
        <v>0</v>
      </c>
      <c r="G761" s="249">
        <v>0</v>
      </c>
      <c r="H761" s="249">
        <v>0</v>
      </c>
      <c r="I761" s="249">
        <v>0</v>
      </c>
      <c r="J761" s="249">
        <v>14519.516666666668</v>
      </c>
      <c r="K761" s="249">
        <v>14518</v>
      </c>
      <c r="L761" s="274">
        <f t="shared" si="256"/>
        <v>14519.516666666668</v>
      </c>
      <c r="M761" s="274">
        <f>K761*E1</f>
        <v>14953.54</v>
      </c>
      <c r="N761" s="255">
        <v>13000</v>
      </c>
      <c r="O761" s="135">
        <f t="shared" si="254"/>
        <v>2470</v>
      </c>
      <c r="P761" s="135">
        <f t="shared" si="255"/>
        <v>15470</v>
      </c>
      <c r="Q761" s="131"/>
      <c r="R761" s="131"/>
      <c r="S761" s="11"/>
      <c r="T761" s="274"/>
      <c r="U761" s="274"/>
      <c r="V761" s="274"/>
      <c r="W761" s="39"/>
      <c r="X761" s="11"/>
      <c r="Y761" s="11"/>
      <c r="Z761" s="274"/>
      <c r="AA761" s="274"/>
      <c r="AB761" s="274"/>
      <c r="AC761" s="52"/>
      <c r="AD761" s="22"/>
      <c r="AE761" s="39"/>
      <c r="AF761" s="274"/>
      <c r="AG761" s="274"/>
      <c r="AH761" s="274"/>
      <c r="AI761" s="11"/>
      <c r="AJ761" s="39"/>
      <c r="AK761" s="39"/>
      <c r="AL761" s="118"/>
      <c r="AM761" s="152"/>
      <c r="AN761" s="181"/>
      <c r="AO761" s="131"/>
      <c r="AP761" s="131"/>
      <c r="AQ761" s="39"/>
      <c r="AR761" s="274"/>
      <c r="AS761" s="274"/>
      <c r="AT761" s="274"/>
      <c r="AU761" s="39"/>
      <c r="AV761" s="39"/>
      <c r="AW761" s="39"/>
      <c r="AX761" s="274"/>
      <c r="AY761" s="274"/>
      <c r="AZ761" s="274"/>
      <c r="BA761" s="39"/>
      <c r="BB761" s="39"/>
      <c r="BC761" s="39"/>
      <c r="BD761" s="274"/>
      <c r="BE761" s="274"/>
      <c r="BF761" s="274"/>
      <c r="BG761" s="39"/>
      <c r="BH761" s="39"/>
      <c r="BI761" s="39"/>
      <c r="BJ761" s="274">
        <v>33600</v>
      </c>
      <c r="BK761" s="274">
        <f t="shared" si="250"/>
        <v>6384</v>
      </c>
      <c r="BL761" s="274">
        <f t="shared" si="251"/>
        <v>39984</v>
      </c>
      <c r="BM761" s="213" t="s">
        <v>196</v>
      </c>
      <c r="BN761" s="213" t="s">
        <v>4809</v>
      </c>
      <c r="BO761" s="39"/>
      <c r="BP761" s="274"/>
      <c r="BQ761" s="274"/>
      <c r="BR761" s="274"/>
      <c r="BS761" s="39"/>
      <c r="BT761" s="39"/>
      <c r="BU761" s="39"/>
      <c r="BV761" s="219">
        <v>39604.723200000008</v>
      </c>
      <c r="BW761" s="219">
        <f t="shared" si="252"/>
        <v>7524.8974080000016</v>
      </c>
      <c r="BX761" s="273">
        <f t="shared" si="253"/>
        <v>47129.620608000012</v>
      </c>
      <c r="BY761" s="213" t="s">
        <v>196</v>
      </c>
      <c r="BZ761" s="213" t="s">
        <v>4809</v>
      </c>
      <c r="CA761" s="213"/>
      <c r="CB761" s="274"/>
      <c r="CC761" s="274"/>
      <c r="CD761" s="274"/>
      <c r="CE761" s="39"/>
      <c r="CF761" s="39"/>
      <c r="CG761" s="39"/>
      <c r="CH761" s="274"/>
      <c r="CI761" s="274"/>
      <c r="CJ761" s="274"/>
      <c r="CK761" s="39"/>
      <c r="CL761" s="39"/>
      <c r="CM761" s="39"/>
      <c r="CN761" s="39"/>
      <c r="CO761" s="39"/>
      <c r="CP761" s="11"/>
      <c r="CQ761" s="11"/>
      <c r="CR761" s="11"/>
      <c r="CS761" s="11"/>
      <c r="CT761" s="11"/>
      <c r="CU761" s="11"/>
      <c r="CV761" s="11"/>
      <c r="CW761" s="11"/>
      <c r="CX761" s="11"/>
      <c r="CY761" s="11"/>
      <c r="CZ761" s="11"/>
      <c r="DA761" s="11"/>
      <c r="DB761" s="11"/>
      <c r="DC761" s="11"/>
      <c r="DD761" s="11"/>
      <c r="DE761" s="11"/>
      <c r="DF761" s="11"/>
      <c r="DG761" s="11"/>
      <c r="DH761" s="11"/>
      <c r="DI761" s="11"/>
      <c r="DJ761" s="11"/>
      <c r="DK761" s="11"/>
      <c r="DL761" s="274"/>
      <c r="DM761" s="274"/>
      <c r="DN761" s="274"/>
      <c r="DO761" s="274"/>
      <c r="DP761" s="274"/>
      <c r="DQ761" s="274"/>
      <c r="DR761" s="274"/>
      <c r="DS761" s="274"/>
      <c r="DT761" s="274"/>
      <c r="DU761" s="274"/>
      <c r="DV761" s="274"/>
      <c r="DW761" s="274"/>
      <c r="DX761" s="274"/>
      <c r="DY761" s="274"/>
      <c r="DZ761" s="274"/>
      <c r="EA761" s="274"/>
      <c r="EB761" s="274"/>
      <c r="EC761" s="274"/>
      <c r="ED761" s="39">
        <f t="shared" si="239"/>
        <v>117537.16060800002</v>
      </c>
      <c r="EE761" s="30">
        <f t="shared" si="240"/>
        <v>4</v>
      </c>
      <c r="EF761" s="39">
        <f t="shared" si="241"/>
        <v>29384.290152000005</v>
      </c>
    </row>
    <row r="762" spans="1:136" x14ac:dyDescent="0.25">
      <c r="A762" s="25" t="e">
        <f>#REF!</f>
        <v>#REF!</v>
      </c>
      <c r="B762" s="50" t="e">
        <f>#REF!</f>
        <v>#REF!</v>
      </c>
      <c r="C762" s="5" t="e">
        <f>#REF!</f>
        <v>#REF!</v>
      </c>
      <c r="D762" s="5" t="e">
        <f>#REF!</f>
        <v>#REF!</v>
      </c>
      <c r="E762" s="252">
        <v>1</v>
      </c>
      <c r="F762" s="249">
        <v>0</v>
      </c>
      <c r="G762" s="249">
        <v>0</v>
      </c>
      <c r="H762" s="249">
        <v>0</v>
      </c>
      <c r="I762" s="249">
        <v>0</v>
      </c>
      <c r="J762" s="249">
        <v>24993.094000000001</v>
      </c>
      <c r="K762" s="249">
        <v>19516</v>
      </c>
      <c r="L762" s="274">
        <f t="shared" si="256"/>
        <v>24993.094000000001</v>
      </c>
      <c r="M762" s="274">
        <f>K762*E1</f>
        <v>20101.48</v>
      </c>
      <c r="N762" s="255">
        <v>15000</v>
      </c>
      <c r="O762" s="135">
        <f t="shared" si="254"/>
        <v>2850</v>
      </c>
      <c r="P762" s="135">
        <f t="shared" si="255"/>
        <v>17850</v>
      </c>
      <c r="Q762" s="131"/>
      <c r="R762" s="131"/>
      <c r="S762" s="11"/>
      <c r="T762" s="274">
        <v>12100.000000000002</v>
      </c>
      <c r="U762" s="274">
        <f>+T762*0.19</f>
        <v>2299.0000000000005</v>
      </c>
      <c r="V762" s="274">
        <f>+T762+U762</f>
        <v>14399.000000000002</v>
      </c>
      <c r="W762" s="39" t="s">
        <v>445</v>
      </c>
      <c r="X762" s="11" t="s">
        <v>4859</v>
      </c>
      <c r="Y762" s="11"/>
      <c r="Z762" s="274"/>
      <c r="AA762" s="274"/>
      <c r="AB762" s="274"/>
      <c r="AC762" s="54"/>
      <c r="AD762" s="22"/>
      <c r="AE762" s="39"/>
      <c r="AF762" s="274"/>
      <c r="AG762" s="274"/>
      <c r="AH762" s="274"/>
      <c r="AI762" s="11"/>
      <c r="AJ762" s="39"/>
      <c r="AK762" s="39"/>
      <c r="AL762" s="118"/>
      <c r="AM762" s="152"/>
      <c r="AN762" s="181"/>
      <c r="AO762" s="131"/>
      <c r="AP762" s="131"/>
      <c r="AQ762" s="39"/>
      <c r="AR762" s="274"/>
      <c r="AS762" s="274"/>
      <c r="AT762" s="274"/>
      <c r="AU762" s="39"/>
      <c r="AV762" s="39"/>
      <c r="AW762" s="39"/>
      <c r="AX762" s="274"/>
      <c r="AY762" s="274"/>
      <c r="AZ762" s="274"/>
      <c r="BA762" s="39"/>
      <c r="BB762" s="39"/>
      <c r="BC762" s="39"/>
      <c r="BD762" s="274"/>
      <c r="BE762" s="274"/>
      <c r="BF762" s="274"/>
      <c r="BG762" s="39"/>
      <c r="BH762" s="39"/>
      <c r="BI762" s="39"/>
      <c r="BJ762" s="274">
        <v>33600</v>
      </c>
      <c r="BK762" s="274">
        <f t="shared" si="250"/>
        <v>6384</v>
      </c>
      <c r="BL762" s="274">
        <f t="shared" si="251"/>
        <v>39984</v>
      </c>
      <c r="BM762" s="213" t="s">
        <v>196</v>
      </c>
      <c r="BN762" s="213" t="s">
        <v>4809</v>
      </c>
      <c r="BO762" s="39"/>
      <c r="BP762" s="274"/>
      <c r="BQ762" s="274"/>
      <c r="BR762" s="274"/>
      <c r="BS762" s="39"/>
      <c r="BT762" s="39"/>
      <c r="BU762" s="39"/>
      <c r="BV762" s="219">
        <v>38518.704000000005</v>
      </c>
      <c r="BW762" s="219">
        <f t="shared" si="252"/>
        <v>7318.5537600000007</v>
      </c>
      <c r="BX762" s="273">
        <f t="shared" si="253"/>
        <v>45837.257760000008</v>
      </c>
      <c r="BY762" s="213" t="s">
        <v>196</v>
      </c>
      <c r="BZ762" s="213" t="s">
        <v>4809</v>
      </c>
      <c r="CA762" s="213"/>
      <c r="CB762" s="274"/>
      <c r="CC762" s="274"/>
      <c r="CD762" s="274"/>
      <c r="CE762" s="39"/>
      <c r="CF762" s="39"/>
      <c r="CG762" s="39"/>
      <c r="CH762" s="274"/>
      <c r="CI762" s="274"/>
      <c r="CJ762" s="274"/>
      <c r="CK762" s="39"/>
      <c r="CL762" s="39"/>
      <c r="CM762" s="39"/>
      <c r="CN762" s="39"/>
      <c r="CO762" s="39"/>
      <c r="CP762" s="11"/>
      <c r="CQ762" s="11"/>
      <c r="CR762" s="11"/>
      <c r="CS762" s="11"/>
      <c r="CT762" s="11"/>
      <c r="CU762" s="11"/>
      <c r="CV762" s="11"/>
      <c r="CW762" s="11"/>
      <c r="CX762" s="11"/>
      <c r="CY762" s="11"/>
      <c r="CZ762" s="11"/>
      <c r="DA762" s="11"/>
      <c r="DB762" s="11"/>
      <c r="DC762" s="11"/>
      <c r="DD762" s="11"/>
      <c r="DE762" s="11"/>
      <c r="DF762" s="11"/>
      <c r="DG762" s="11"/>
      <c r="DH762" s="11"/>
      <c r="DI762" s="11"/>
      <c r="DJ762" s="11"/>
      <c r="DK762" s="11"/>
      <c r="DL762" s="274"/>
      <c r="DM762" s="274"/>
      <c r="DN762" s="274"/>
      <c r="DO762" s="274"/>
      <c r="DP762" s="274"/>
      <c r="DQ762" s="274"/>
      <c r="DR762" s="274"/>
      <c r="DS762" s="274"/>
      <c r="DT762" s="274"/>
      <c r="DU762" s="274"/>
      <c r="DV762" s="274"/>
      <c r="DW762" s="274"/>
      <c r="DX762" s="274"/>
      <c r="DY762" s="274"/>
      <c r="DZ762" s="274"/>
      <c r="EA762" s="274"/>
      <c r="EB762" s="274"/>
      <c r="EC762" s="274"/>
      <c r="ED762" s="39">
        <f t="shared" si="239"/>
        <v>138171.73775999999</v>
      </c>
      <c r="EE762" s="30">
        <f t="shared" si="240"/>
        <v>5</v>
      </c>
      <c r="EF762" s="39">
        <f t="shared" si="241"/>
        <v>27634.347551999999</v>
      </c>
    </row>
    <row r="763" spans="1:136" x14ac:dyDescent="0.25">
      <c r="A763" s="25" t="e">
        <f>#REF!</f>
        <v>#REF!</v>
      </c>
      <c r="B763" s="50" t="e">
        <f>#REF!</f>
        <v>#REF!</v>
      </c>
      <c r="C763" s="5" t="e">
        <f>#REF!</f>
        <v>#REF!</v>
      </c>
      <c r="D763" s="5" t="e">
        <f>#REF!</f>
        <v>#REF!</v>
      </c>
      <c r="E763" s="252">
        <v>1</v>
      </c>
      <c r="F763" s="249">
        <v>0</v>
      </c>
      <c r="G763" s="249">
        <v>0</v>
      </c>
      <c r="H763" s="249">
        <v>1071000</v>
      </c>
      <c r="I763" s="249">
        <v>0</v>
      </c>
      <c r="J763" s="249">
        <v>0</v>
      </c>
      <c r="K763" s="249">
        <v>0</v>
      </c>
      <c r="L763" s="274">
        <f>H763</f>
        <v>1071000</v>
      </c>
      <c r="M763" s="274"/>
      <c r="N763" s="255"/>
      <c r="O763" s="135"/>
      <c r="P763" s="135"/>
      <c r="Q763" s="131"/>
      <c r="R763" s="131"/>
      <c r="S763" s="11"/>
      <c r="T763" s="274"/>
      <c r="U763" s="274"/>
      <c r="V763" s="274"/>
      <c r="W763" s="39"/>
      <c r="X763" s="11"/>
      <c r="Y763" s="11"/>
      <c r="Z763" s="274"/>
      <c r="AA763" s="274"/>
      <c r="AB763" s="274"/>
      <c r="AC763" s="54"/>
      <c r="AD763" s="23"/>
      <c r="AE763" s="39"/>
      <c r="AF763" s="274"/>
      <c r="AG763" s="274"/>
      <c r="AH763" s="274"/>
      <c r="AI763" s="11"/>
      <c r="AJ763" s="39"/>
      <c r="AK763" s="39"/>
      <c r="AL763" s="118"/>
      <c r="AM763" s="152"/>
      <c r="AN763" s="181"/>
      <c r="AO763" s="131"/>
      <c r="AP763" s="131"/>
      <c r="AQ763" s="39"/>
      <c r="AR763" s="274"/>
      <c r="AS763" s="274"/>
      <c r="AT763" s="274"/>
      <c r="AU763" s="39"/>
      <c r="AV763" s="39"/>
      <c r="AW763" s="39"/>
      <c r="AX763" s="274"/>
      <c r="AY763" s="274"/>
      <c r="AZ763" s="274"/>
      <c r="BA763" s="39"/>
      <c r="BB763" s="39"/>
      <c r="BC763" s="39"/>
      <c r="BD763" s="274"/>
      <c r="BE763" s="274"/>
      <c r="BF763" s="274"/>
      <c r="BG763" s="39"/>
      <c r="BH763" s="39"/>
      <c r="BI763" s="39"/>
      <c r="BJ763" s="275">
        <v>9400000</v>
      </c>
      <c r="BK763" s="274">
        <f t="shared" si="250"/>
        <v>1786000</v>
      </c>
      <c r="BL763" s="274">
        <f t="shared" si="251"/>
        <v>11186000</v>
      </c>
      <c r="BM763" s="213" t="s">
        <v>196</v>
      </c>
      <c r="BN763" s="213" t="s">
        <v>4985</v>
      </c>
      <c r="BO763" s="39"/>
      <c r="BP763" s="274">
        <v>1356000</v>
      </c>
      <c r="BQ763" s="274">
        <f>+BP763*19%</f>
        <v>257640</v>
      </c>
      <c r="BR763" s="274">
        <f>+BQ763+BP763</f>
        <v>1613640</v>
      </c>
      <c r="BS763" s="39"/>
      <c r="BT763" s="39"/>
      <c r="BU763" s="39"/>
      <c r="BV763" s="219"/>
      <c r="BW763" s="219"/>
      <c r="BX763" s="273"/>
      <c r="BY763" s="213"/>
      <c r="BZ763" s="213"/>
      <c r="CA763" s="213"/>
      <c r="CB763" s="274"/>
      <c r="CC763" s="274"/>
      <c r="CD763" s="274"/>
      <c r="CE763" s="39"/>
      <c r="CF763" s="39"/>
      <c r="CG763" s="39"/>
      <c r="CH763" s="274"/>
      <c r="CI763" s="274"/>
      <c r="CJ763" s="274"/>
      <c r="CK763" s="39"/>
      <c r="CL763" s="39"/>
      <c r="CM763" s="39"/>
      <c r="CN763" s="39"/>
      <c r="CO763" s="39"/>
      <c r="CP763" s="11"/>
      <c r="CQ763" s="11"/>
      <c r="CR763" s="11"/>
      <c r="CS763" s="11"/>
      <c r="CT763" s="11"/>
      <c r="CU763" s="11"/>
      <c r="CV763" s="11"/>
      <c r="CW763" s="11"/>
      <c r="CX763" s="11"/>
      <c r="CY763" s="11"/>
      <c r="CZ763" s="11"/>
      <c r="DA763" s="11"/>
      <c r="DB763" s="11"/>
      <c r="DC763" s="11"/>
      <c r="DD763" s="11"/>
      <c r="DE763" s="11"/>
      <c r="DF763" s="11"/>
      <c r="DG763" s="11"/>
      <c r="DH763" s="11"/>
      <c r="DI763" s="11"/>
      <c r="DJ763" s="11"/>
      <c r="DK763" s="11"/>
      <c r="DL763" s="274"/>
      <c r="DM763" s="274"/>
      <c r="DN763" s="274"/>
      <c r="DO763" s="274"/>
      <c r="DP763" s="274"/>
      <c r="DQ763" s="274"/>
      <c r="DR763" s="274"/>
      <c r="DS763" s="274"/>
      <c r="DT763" s="274"/>
      <c r="DU763" s="274"/>
      <c r="DV763" s="274"/>
      <c r="DW763" s="274"/>
      <c r="DX763" s="274"/>
      <c r="DY763" s="274"/>
      <c r="DZ763" s="274"/>
      <c r="EA763" s="274"/>
      <c r="EB763" s="274"/>
      <c r="EC763" s="274"/>
      <c r="ED763" s="39">
        <f t="shared" si="239"/>
        <v>12799640</v>
      </c>
      <c r="EE763" s="30">
        <f t="shared" si="240"/>
        <v>2</v>
      </c>
      <c r="EF763" s="39">
        <f t="shared" si="241"/>
        <v>6399820</v>
      </c>
    </row>
    <row r="764" spans="1:136" x14ac:dyDescent="0.25">
      <c r="A764" s="25" t="e">
        <f>#REF!</f>
        <v>#REF!</v>
      </c>
      <c r="B764" s="50" t="e">
        <f>#REF!</f>
        <v>#REF!</v>
      </c>
      <c r="C764" s="5" t="e">
        <f>#REF!</f>
        <v>#REF!</v>
      </c>
      <c r="D764" s="5" t="e">
        <f>#REF!</f>
        <v>#REF!</v>
      </c>
      <c r="E764" s="252">
        <v>1</v>
      </c>
      <c r="F764" s="249">
        <v>0</v>
      </c>
      <c r="G764" s="249">
        <v>0</v>
      </c>
      <c r="H764" s="249">
        <v>1785000</v>
      </c>
      <c r="I764" s="249">
        <v>0</v>
      </c>
      <c r="J764" s="249">
        <v>0</v>
      </c>
      <c r="K764" s="249">
        <v>0</v>
      </c>
      <c r="L764" s="274">
        <f>H764</f>
        <v>1785000</v>
      </c>
      <c r="M764" s="274"/>
      <c r="N764" s="255"/>
      <c r="O764" s="135"/>
      <c r="P764" s="135"/>
      <c r="Q764" s="131"/>
      <c r="R764" s="131"/>
      <c r="S764" s="11"/>
      <c r="T764" s="274"/>
      <c r="U764" s="274"/>
      <c r="V764" s="274"/>
      <c r="W764" s="39"/>
      <c r="X764" s="11"/>
      <c r="Y764" s="11"/>
      <c r="Z764" s="274"/>
      <c r="AA764" s="274"/>
      <c r="AB764" s="274"/>
      <c r="AC764" s="52"/>
      <c r="AD764" s="23"/>
      <c r="AE764" s="39"/>
      <c r="AF764" s="274"/>
      <c r="AG764" s="274"/>
      <c r="AH764" s="274"/>
      <c r="AI764" s="11"/>
      <c r="AJ764" s="39"/>
      <c r="AK764" s="39"/>
      <c r="AL764" s="118"/>
      <c r="AM764" s="152"/>
      <c r="AN764" s="181"/>
      <c r="AO764" s="131"/>
      <c r="AP764" s="131"/>
      <c r="AQ764" s="39"/>
      <c r="AR764" s="274"/>
      <c r="AS764" s="274"/>
      <c r="AT764" s="274"/>
      <c r="AU764" s="39"/>
      <c r="AV764" s="39"/>
      <c r="AW764" s="39"/>
      <c r="AX764" s="274"/>
      <c r="AY764" s="274"/>
      <c r="AZ764" s="274"/>
      <c r="BA764" s="39"/>
      <c r="BB764" s="39"/>
      <c r="BC764" s="39"/>
      <c r="BD764" s="274"/>
      <c r="BE764" s="274"/>
      <c r="BF764" s="274"/>
      <c r="BG764" s="39"/>
      <c r="BH764" s="39"/>
      <c r="BI764" s="39"/>
      <c r="BJ764" s="275">
        <v>1748200</v>
      </c>
      <c r="BK764" s="274">
        <f t="shared" si="250"/>
        <v>332158</v>
      </c>
      <c r="BL764" s="274">
        <f t="shared" si="251"/>
        <v>2080358</v>
      </c>
      <c r="BM764" s="213" t="s">
        <v>196</v>
      </c>
      <c r="BN764" s="213" t="s">
        <v>5052</v>
      </c>
      <c r="BO764" s="39"/>
      <c r="BP764" s="274"/>
      <c r="BQ764" s="274"/>
      <c r="BR764" s="274"/>
      <c r="BS764" s="39"/>
      <c r="BT764" s="39"/>
      <c r="BU764" s="39"/>
      <c r="BV764" s="219">
        <v>2003038.6104000004</v>
      </c>
      <c r="BW764" s="219">
        <f>+BV764*0.19</f>
        <v>380577.33597600006</v>
      </c>
      <c r="BX764" s="273">
        <f>+BV764+BW764</f>
        <v>2383615.9463760005</v>
      </c>
      <c r="BY764" s="213" t="s">
        <v>196</v>
      </c>
      <c r="BZ764" s="213" t="s">
        <v>5052</v>
      </c>
      <c r="CA764" s="213"/>
      <c r="CB764" s="274"/>
      <c r="CC764" s="274"/>
      <c r="CD764" s="274"/>
      <c r="CE764" s="39"/>
      <c r="CF764" s="39"/>
      <c r="CG764" s="39"/>
      <c r="CH764" s="274"/>
      <c r="CI764" s="274"/>
      <c r="CJ764" s="274"/>
      <c r="CK764" s="39"/>
      <c r="CL764" s="39"/>
      <c r="CM764" s="39"/>
      <c r="CN764" s="39"/>
      <c r="CO764" s="39"/>
      <c r="CP764" s="11"/>
      <c r="CQ764" s="11"/>
      <c r="CR764" s="11"/>
      <c r="CS764" s="11"/>
      <c r="CT764" s="11"/>
      <c r="CU764" s="11"/>
      <c r="CV764" s="11"/>
      <c r="CW764" s="11"/>
      <c r="CX764" s="11"/>
      <c r="CY764" s="11"/>
      <c r="CZ764" s="11"/>
      <c r="DA764" s="11"/>
      <c r="DB764" s="11"/>
      <c r="DC764" s="11"/>
      <c r="DD764" s="11"/>
      <c r="DE764" s="11"/>
      <c r="DF764" s="11"/>
      <c r="DG764" s="11"/>
      <c r="DH764" s="11"/>
      <c r="DI764" s="11"/>
      <c r="DJ764" s="11"/>
      <c r="DK764" s="11"/>
      <c r="DL764" s="274"/>
      <c r="DM764" s="274"/>
      <c r="DN764" s="274"/>
      <c r="DO764" s="274"/>
      <c r="DP764" s="274"/>
      <c r="DQ764" s="274"/>
      <c r="DR764" s="274"/>
      <c r="DS764" s="274"/>
      <c r="DT764" s="274"/>
      <c r="DU764" s="274"/>
      <c r="DV764" s="274"/>
      <c r="DW764" s="274"/>
      <c r="DX764" s="274"/>
      <c r="DY764" s="274"/>
      <c r="DZ764" s="274"/>
      <c r="EA764" s="274"/>
      <c r="EB764" s="274"/>
      <c r="EC764" s="274"/>
      <c r="ED764" s="39">
        <f t="shared" si="239"/>
        <v>4463973.9463760005</v>
      </c>
      <c r="EE764" s="30">
        <f t="shared" si="240"/>
        <v>2</v>
      </c>
      <c r="EF764" s="39">
        <f t="shared" si="241"/>
        <v>2231986.9731880003</v>
      </c>
    </row>
    <row r="765" spans="1:136" x14ac:dyDescent="0.25">
      <c r="A765" s="25" t="e">
        <f>#REF!</f>
        <v>#REF!</v>
      </c>
      <c r="B765" s="50" t="e">
        <f>#REF!</f>
        <v>#REF!</v>
      </c>
      <c r="C765" s="5" t="e">
        <f>#REF!</f>
        <v>#REF!</v>
      </c>
      <c r="D765" s="5" t="e">
        <f>#REF!</f>
        <v>#REF!</v>
      </c>
      <c r="E765" s="252">
        <v>1</v>
      </c>
      <c r="F765" s="249">
        <v>0</v>
      </c>
      <c r="G765" s="249">
        <v>0</v>
      </c>
      <c r="H765" s="249">
        <v>9460.5</v>
      </c>
      <c r="I765" s="249">
        <v>9401</v>
      </c>
      <c r="J765" s="249">
        <v>10245.9</v>
      </c>
      <c r="K765" s="249">
        <v>8092</v>
      </c>
      <c r="L765" s="274">
        <f>AVERAGE(H765,J765)</f>
        <v>9853.2000000000007</v>
      </c>
      <c r="M765" s="274">
        <f>AVERAGE(I765,K765)*E1</f>
        <v>9008.8950000000004</v>
      </c>
      <c r="N765" s="255">
        <v>5000</v>
      </c>
      <c r="O765" s="135">
        <f>+N765*0.19</f>
        <v>950</v>
      </c>
      <c r="P765" s="135">
        <f>+N765+O765</f>
        <v>5950</v>
      </c>
      <c r="Q765" s="131"/>
      <c r="R765" s="131"/>
      <c r="S765" s="11"/>
      <c r="T765" s="274"/>
      <c r="U765" s="274"/>
      <c r="V765" s="274"/>
      <c r="W765" s="39"/>
      <c r="X765" s="11"/>
      <c r="Y765" s="11"/>
      <c r="Z765" s="274"/>
      <c r="AA765" s="274"/>
      <c r="AB765" s="274"/>
      <c r="AC765" s="52"/>
      <c r="AD765" s="22"/>
      <c r="AE765" s="39"/>
      <c r="AF765" s="274"/>
      <c r="AG765" s="274"/>
      <c r="AH765" s="274"/>
      <c r="AI765" s="11"/>
      <c r="AJ765" s="39"/>
      <c r="AK765" s="39"/>
      <c r="AL765" s="118"/>
      <c r="AM765" s="152"/>
      <c r="AN765" s="152"/>
      <c r="AO765" s="131"/>
      <c r="AP765" s="131"/>
      <c r="AQ765" s="39"/>
      <c r="AR765" s="274"/>
      <c r="AS765" s="274"/>
      <c r="AT765" s="274"/>
      <c r="AU765" s="39"/>
      <c r="AV765" s="39"/>
      <c r="AW765" s="39"/>
      <c r="AX765" s="274"/>
      <c r="AY765" s="274"/>
      <c r="AZ765" s="274"/>
      <c r="BA765" s="39"/>
      <c r="BB765" s="39"/>
      <c r="BC765" s="39"/>
      <c r="BD765" s="274"/>
      <c r="BE765" s="274"/>
      <c r="BF765" s="274"/>
      <c r="BG765" s="39"/>
      <c r="BH765" s="39"/>
      <c r="BI765" s="39"/>
      <c r="BJ765" s="274">
        <v>33300</v>
      </c>
      <c r="BK765" s="274">
        <f t="shared" si="250"/>
        <v>6327</v>
      </c>
      <c r="BL765" s="274">
        <f t="shared" si="251"/>
        <v>39627</v>
      </c>
      <c r="BM765" s="213" t="s">
        <v>196</v>
      </c>
      <c r="BN765" s="213" t="s">
        <v>164</v>
      </c>
      <c r="BO765" s="39"/>
      <c r="BP765" s="274">
        <v>250</v>
      </c>
      <c r="BQ765" s="274">
        <f>+BP765*19%</f>
        <v>47.5</v>
      </c>
      <c r="BR765" s="274">
        <f>+BQ765+BP765</f>
        <v>297.5</v>
      </c>
      <c r="BS765" s="39"/>
      <c r="BT765" s="39"/>
      <c r="BU765" s="39"/>
      <c r="BV765" s="219">
        <v>37433.928600000007</v>
      </c>
      <c r="BW765" s="219">
        <f>+BV765*0.19</f>
        <v>7112.4464340000013</v>
      </c>
      <c r="BX765" s="273">
        <f>+BV765+BW765</f>
        <v>44546.375034000012</v>
      </c>
      <c r="BY765" s="213" t="s">
        <v>196</v>
      </c>
      <c r="BZ765" s="213" t="s">
        <v>164</v>
      </c>
      <c r="CA765" s="213"/>
      <c r="CB765" s="274"/>
      <c r="CC765" s="274"/>
      <c r="CD765" s="274"/>
      <c r="CE765" s="39"/>
      <c r="CF765" s="39"/>
      <c r="CG765" s="39"/>
      <c r="CH765" s="274"/>
      <c r="CI765" s="274"/>
      <c r="CJ765" s="274"/>
      <c r="CK765" s="39"/>
      <c r="CL765" s="39"/>
      <c r="CM765" s="39"/>
      <c r="CN765" s="39"/>
      <c r="CO765" s="39"/>
      <c r="CP765" s="11"/>
      <c r="CQ765" s="11"/>
      <c r="CR765" s="11"/>
      <c r="CS765" s="11"/>
      <c r="CT765" s="11"/>
      <c r="CU765" s="11"/>
      <c r="CV765" s="11"/>
      <c r="CW765" s="11"/>
      <c r="CX765" s="11"/>
      <c r="CY765" s="11"/>
      <c r="CZ765" s="11"/>
      <c r="DA765" s="11"/>
      <c r="DB765" s="11"/>
      <c r="DC765" s="11"/>
      <c r="DD765" s="11"/>
      <c r="DE765" s="11"/>
      <c r="DF765" s="11"/>
      <c r="DG765" s="11"/>
      <c r="DH765" s="11"/>
      <c r="DI765" s="11"/>
      <c r="DJ765" s="11"/>
      <c r="DK765" s="11"/>
      <c r="DL765" s="274"/>
      <c r="DM765" s="274"/>
      <c r="DN765" s="274"/>
      <c r="DO765" s="274"/>
      <c r="DP765" s="274"/>
      <c r="DQ765" s="274"/>
      <c r="DR765" s="274"/>
      <c r="DS765" s="274"/>
      <c r="DT765" s="274"/>
      <c r="DU765" s="274"/>
      <c r="DV765" s="274"/>
      <c r="DW765" s="274"/>
      <c r="DX765" s="274"/>
      <c r="DY765" s="274"/>
      <c r="DZ765" s="274"/>
      <c r="EA765" s="274"/>
      <c r="EB765" s="274"/>
      <c r="EC765" s="274"/>
      <c r="ED765" s="39">
        <f t="shared" si="239"/>
        <v>99429.770034000016</v>
      </c>
      <c r="EE765" s="30">
        <f t="shared" si="240"/>
        <v>5</v>
      </c>
      <c r="EF765" s="39">
        <f t="shared" si="241"/>
        <v>19885.954006800002</v>
      </c>
    </row>
    <row r="766" spans="1:136" x14ac:dyDescent="0.25">
      <c r="A766" s="25" t="e">
        <f>#REF!</f>
        <v>#REF!</v>
      </c>
      <c r="B766" s="50" t="e">
        <f>#REF!</f>
        <v>#REF!</v>
      </c>
      <c r="C766" s="5" t="e">
        <f>#REF!</f>
        <v>#REF!</v>
      </c>
      <c r="D766" s="5" t="e">
        <f>#REF!</f>
        <v>#REF!</v>
      </c>
      <c r="E766" s="252">
        <v>1</v>
      </c>
      <c r="F766" s="249">
        <v>0</v>
      </c>
      <c r="G766" s="249">
        <v>0</v>
      </c>
      <c r="H766" s="249">
        <v>233835</v>
      </c>
      <c r="I766" s="249">
        <v>233716</v>
      </c>
      <c r="J766" s="249">
        <v>0</v>
      </c>
      <c r="K766" s="249">
        <v>0</v>
      </c>
      <c r="L766" s="274">
        <f>H766</f>
        <v>233835</v>
      </c>
      <c r="M766" s="274">
        <f>I766*E1</f>
        <v>240727.48</v>
      </c>
      <c r="N766" s="255">
        <v>15000</v>
      </c>
      <c r="O766" s="135">
        <f>+N766*0.19</f>
        <v>2850</v>
      </c>
      <c r="P766" s="135">
        <f>+N766+O766</f>
        <v>17850</v>
      </c>
      <c r="Q766" s="131"/>
      <c r="R766" s="131"/>
      <c r="S766" s="11"/>
      <c r="T766" s="274"/>
      <c r="U766" s="274"/>
      <c r="V766" s="274"/>
      <c r="W766" s="39"/>
      <c r="X766" s="11"/>
      <c r="Y766" s="11"/>
      <c r="Z766" s="274"/>
      <c r="AA766" s="274"/>
      <c r="AB766" s="274"/>
      <c r="AC766" s="52"/>
      <c r="AD766" s="22"/>
      <c r="AE766" s="39"/>
      <c r="AF766" s="274"/>
      <c r="AG766" s="274"/>
      <c r="AH766" s="274"/>
      <c r="AI766" s="11"/>
      <c r="AJ766" s="39"/>
      <c r="AK766" s="39"/>
      <c r="AL766" s="118"/>
      <c r="AM766" s="118"/>
      <c r="AN766" s="118"/>
      <c r="AO766" s="131"/>
      <c r="AP766" s="131"/>
      <c r="AQ766" s="39"/>
      <c r="AR766" s="274"/>
      <c r="AS766" s="274"/>
      <c r="AT766" s="274"/>
      <c r="AU766" s="39"/>
      <c r="AV766" s="39"/>
      <c r="AW766" s="39"/>
      <c r="AX766" s="274"/>
      <c r="AY766" s="274"/>
      <c r="AZ766" s="274"/>
      <c r="BA766" s="39"/>
      <c r="BB766" s="39"/>
      <c r="BC766" s="39"/>
      <c r="BD766" s="274"/>
      <c r="BE766" s="274"/>
      <c r="BF766" s="274"/>
      <c r="BG766" s="39"/>
      <c r="BH766" s="39"/>
      <c r="BI766" s="39"/>
      <c r="BJ766" s="274">
        <v>45800</v>
      </c>
      <c r="BK766" s="274">
        <f t="shared" si="250"/>
        <v>8702</v>
      </c>
      <c r="BL766" s="274">
        <f t="shared" si="251"/>
        <v>54502</v>
      </c>
      <c r="BM766" s="213" t="s">
        <v>5053</v>
      </c>
      <c r="BN766" s="213" t="s">
        <v>164</v>
      </c>
      <c r="BO766" s="39"/>
      <c r="BP766" s="274">
        <f>2500*25</f>
        <v>62500</v>
      </c>
      <c r="BQ766" s="274">
        <f>+BP766*19%</f>
        <v>11875</v>
      </c>
      <c r="BR766" s="274">
        <f>+BQ766+BP766</f>
        <v>74375</v>
      </c>
      <c r="BS766" s="39"/>
      <c r="BT766" s="39"/>
      <c r="BU766" s="39"/>
      <c r="BV766" s="219">
        <v>53990.643000000011</v>
      </c>
      <c r="BW766" s="219">
        <f>+BV766*0.19</f>
        <v>10258.222170000003</v>
      </c>
      <c r="BX766" s="273">
        <f>+BV766+BW766</f>
        <v>64248.865170000012</v>
      </c>
      <c r="BY766" s="213" t="s">
        <v>5053</v>
      </c>
      <c r="BZ766" s="213" t="s">
        <v>164</v>
      </c>
      <c r="CA766" s="213"/>
      <c r="CB766" s="275">
        <v>546789</v>
      </c>
      <c r="CC766" s="274">
        <f t="shared" ref="CC766:CC776" si="257">+CB766*0.19</f>
        <v>103889.91</v>
      </c>
      <c r="CD766" s="274">
        <f t="shared" ref="CD766:CD776" si="258">+CB766+CC766</f>
        <v>650678.91</v>
      </c>
      <c r="CE766" s="39"/>
      <c r="CF766" s="39"/>
      <c r="CG766" s="39"/>
      <c r="CH766" s="274"/>
      <c r="CI766" s="274"/>
      <c r="CJ766" s="274"/>
      <c r="CK766" s="39"/>
      <c r="CL766" s="39"/>
      <c r="CM766" s="39"/>
      <c r="CN766" s="39"/>
      <c r="CO766" s="39"/>
      <c r="CP766" s="11"/>
      <c r="CQ766" s="11"/>
      <c r="CR766" s="11"/>
      <c r="CS766" s="11"/>
      <c r="CT766" s="11"/>
      <c r="CU766" s="11"/>
      <c r="CV766" s="11"/>
      <c r="CW766" s="11"/>
      <c r="CX766" s="11"/>
      <c r="CY766" s="11"/>
      <c r="CZ766" s="11"/>
      <c r="DA766" s="11"/>
      <c r="DB766" s="11"/>
      <c r="DC766" s="11"/>
      <c r="DD766" s="11"/>
      <c r="DE766" s="11"/>
      <c r="DF766" s="11"/>
      <c r="DG766" s="11"/>
      <c r="DH766" s="11"/>
      <c r="DI766" s="11"/>
      <c r="DJ766" s="11"/>
      <c r="DK766" s="11"/>
      <c r="DL766" s="274"/>
      <c r="DM766" s="274"/>
      <c r="DN766" s="274"/>
      <c r="DO766" s="274"/>
      <c r="DP766" s="274"/>
      <c r="DQ766" s="274"/>
      <c r="DR766" s="274"/>
      <c r="DS766" s="274"/>
      <c r="DT766" s="274"/>
      <c r="DU766" s="274"/>
      <c r="DV766" s="274"/>
      <c r="DW766" s="274"/>
      <c r="DX766" s="274"/>
      <c r="DY766" s="274"/>
      <c r="DZ766" s="274"/>
      <c r="EA766" s="274"/>
      <c r="EB766" s="274"/>
      <c r="EC766" s="274"/>
      <c r="ED766" s="39">
        <f t="shared" si="239"/>
        <v>1102382.25517</v>
      </c>
      <c r="EE766" s="30">
        <f t="shared" si="240"/>
        <v>6</v>
      </c>
      <c r="EF766" s="39">
        <f t="shared" si="241"/>
        <v>183730.37586166666</v>
      </c>
    </row>
    <row r="767" spans="1:136" x14ac:dyDescent="0.25">
      <c r="A767" s="25" t="e">
        <f>#REF!</f>
        <v>#REF!</v>
      </c>
      <c r="B767" s="50" t="e">
        <f>#REF!</f>
        <v>#REF!</v>
      </c>
      <c r="C767" s="5" t="e">
        <f>#REF!</f>
        <v>#REF!</v>
      </c>
      <c r="D767" s="5" t="e">
        <f>#REF!</f>
        <v>#REF!</v>
      </c>
      <c r="E767" s="252">
        <v>1</v>
      </c>
      <c r="F767" s="249">
        <v>0</v>
      </c>
      <c r="G767" s="249">
        <v>0</v>
      </c>
      <c r="H767" s="249">
        <v>0</v>
      </c>
      <c r="I767" s="249">
        <v>0</v>
      </c>
      <c r="J767" s="249">
        <v>0</v>
      </c>
      <c r="K767" s="249">
        <v>0</v>
      </c>
      <c r="L767" s="274"/>
      <c r="M767" s="274"/>
      <c r="N767" s="256"/>
      <c r="O767" s="135"/>
      <c r="P767" s="135"/>
      <c r="Q767" s="11"/>
      <c r="R767" s="11"/>
      <c r="S767" s="11"/>
      <c r="T767" s="274"/>
      <c r="U767" s="274"/>
      <c r="V767" s="274"/>
      <c r="W767" s="11"/>
      <c r="X767" s="11"/>
      <c r="Y767" s="11"/>
      <c r="Z767" s="274"/>
      <c r="AA767" s="274"/>
      <c r="AB767" s="274"/>
      <c r="AC767" s="11"/>
      <c r="AD767" s="11"/>
      <c r="AE767" s="11"/>
      <c r="AF767" s="274"/>
      <c r="AG767" s="274"/>
      <c r="AH767" s="274"/>
      <c r="AI767" s="11"/>
      <c r="AJ767" s="11"/>
      <c r="AK767" s="11"/>
      <c r="AL767" s="118"/>
      <c r="AM767" s="118"/>
      <c r="AN767" s="118"/>
      <c r="AO767" s="52"/>
      <c r="AP767" s="52"/>
      <c r="AQ767" s="11"/>
      <c r="AR767" s="274"/>
      <c r="AS767" s="274"/>
      <c r="AT767" s="274"/>
      <c r="AU767" s="11"/>
      <c r="AV767" s="11"/>
      <c r="AW767" s="11"/>
      <c r="AX767" s="274"/>
      <c r="AY767" s="274"/>
      <c r="AZ767" s="274"/>
      <c r="BA767" s="11"/>
      <c r="BB767" s="11"/>
      <c r="BC767" s="11"/>
      <c r="BD767" s="274"/>
      <c r="BE767" s="274"/>
      <c r="BF767" s="274"/>
      <c r="BG767" s="11"/>
      <c r="BH767" s="11"/>
      <c r="BI767" s="11"/>
      <c r="BJ767" s="275">
        <f>670000/72</f>
        <v>9305.5555555555547</v>
      </c>
      <c r="BK767" s="274">
        <f t="shared" si="250"/>
        <v>1768.0555555555554</v>
      </c>
      <c r="BL767" s="274">
        <f t="shared" si="251"/>
        <v>11073.611111111109</v>
      </c>
      <c r="BM767" s="213" t="s">
        <v>5054</v>
      </c>
      <c r="BN767" s="213" t="s">
        <v>4995</v>
      </c>
      <c r="BO767" s="11"/>
      <c r="BP767" s="274">
        <v>2950</v>
      </c>
      <c r="BQ767" s="274">
        <f>+BP767*19%</f>
        <v>560.5</v>
      </c>
      <c r="BR767" s="274">
        <f>+BQ767+BP767</f>
        <v>3510.5</v>
      </c>
      <c r="BS767" s="11"/>
      <c r="BT767" s="11"/>
      <c r="BU767" s="11"/>
      <c r="BV767" s="212"/>
      <c r="BW767" s="219"/>
      <c r="BX767" s="273"/>
      <c r="BY767" s="213"/>
      <c r="BZ767" s="213"/>
      <c r="CA767" s="213"/>
      <c r="CB767" s="274">
        <v>60046</v>
      </c>
      <c r="CC767" s="274">
        <f t="shared" si="257"/>
        <v>11408.74</v>
      </c>
      <c r="CD767" s="274">
        <f t="shared" si="258"/>
        <v>71454.740000000005</v>
      </c>
      <c r="CE767" s="11"/>
      <c r="CF767" s="11"/>
      <c r="CG767" s="11"/>
      <c r="CH767" s="275"/>
      <c r="CI767" s="275"/>
      <c r="CJ767" s="275"/>
      <c r="CK767" s="11"/>
      <c r="CL767" s="11"/>
      <c r="CM767" s="39"/>
      <c r="CN767" s="39"/>
      <c r="CO767" s="39"/>
      <c r="CP767" s="11"/>
      <c r="CQ767" s="11"/>
      <c r="CR767" s="11"/>
      <c r="CS767" s="11"/>
      <c r="CT767" s="11"/>
      <c r="CU767" s="11"/>
      <c r="CV767" s="11"/>
      <c r="CW767" s="11"/>
      <c r="CX767" s="11"/>
      <c r="CY767" s="11"/>
      <c r="CZ767" s="11"/>
      <c r="DA767" s="11"/>
      <c r="DB767" s="11"/>
      <c r="DC767" s="11"/>
      <c r="DD767" s="11"/>
      <c r="DE767" s="11"/>
      <c r="DF767" s="11"/>
      <c r="DG767" s="11"/>
      <c r="DH767" s="11"/>
      <c r="DI767" s="11"/>
      <c r="DJ767" s="11"/>
      <c r="DK767" s="11"/>
      <c r="DL767" s="274"/>
      <c r="DM767" s="274"/>
      <c r="DN767" s="274"/>
      <c r="DO767" s="274"/>
      <c r="DP767" s="274"/>
      <c r="DQ767" s="274"/>
      <c r="DR767" s="274"/>
      <c r="DS767" s="274"/>
      <c r="DT767" s="274"/>
      <c r="DU767" s="274"/>
      <c r="DV767" s="274"/>
      <c r="DW767" s="274"/>
      <c r="DX767" s="274"/>
      <c r="DY767" s="274"/>
      <c r="DZ767" s="274"/>
      <c r="EA767" s="274"/>
      <c r="EB767" s="274"/>
      <c r="EC767" s="274"/>
      <c r="ED767" s="39">
        <f t="shared" si="239"/>
        <v>86038.851111111115</v>
      </c>
      <c r="EE767" s="30">
        <f t="shared" si="240"/>
        <v>3</v>
      </c>
      <c r="EF767" s="39">
        <f t="shared" si="241"/>
        <v>28679.617037037038</v>
      </c>
    </row>
    <row r="768" spans="1:136" ht="25.5" x14ac:dyDescent="0.25">
      <c r="A768" s="25" t="e">
        <f>#REF!</f>
        <v>#REF!</v>
      </c>
      <c r="B768" s="50" t="e">
        <f>#REF!</f>
        <v>#REF!</v>
      </c>
      <c r="C768" s="5" t="e">
        <f>#REF!</f>
        <v>#REF!</v>
      </c>
      <c r="D768" s="5" t="e">
        <f>#REF!</f>
        <v>#REF!</v>
      </c>
      <c r="E768" s="252">
        <v>1</v>
      </c>
      <c r="F768" s="249">
        <v>140069.74333333335</v>
      </c>
      <c r="G768" s="249">
        <v>135779</v>
      </c>
      <c r="H768" s="249">
        <v>0</v>
      </c>
      <c r="I768" s="249">
        <v>0</v>
      </c>
      <c r="J768" s="249">
        <v>169784.73749999999</v>
      </c>
      <c r="K768" s="249">
        <v>157080</v>
      </c>
      <c r="L768" s="274">
        <f>AVERAGE(F768,J768)</f>
        <v>154927.24041666667</v>
      </c>
      <c r="M768" s="274">
        <f>AVERAGE(G768,K768)*E1</f>
        <v>150822.38500000001</v>
      </c>
      <c r="N768" s="255">
        <v>155000</v>
      </c>
      <c r="O768" s="135">
        <f>+N768*0.19</f>
        <v>29450</v>
      </c>
      <c r="P768" s="135">
        <f>+N768+O768</f>
        <v>184450</v>
      </c>
      <c r="Q768" s="131"/>
      <c r="R768" s="131"/>
      <c r="S768" s="11"/>
      <c r="T768" s="274"/>
      <c r="U768" s="274"/>
      <c r="V768" s="274"/>
      <c r="W768" s="39"/>
      <c r="X768" s="11"/>
      <c r="Y768" s="11"/>
      <c r="Z768" s="274">
        <f>162000/5</f>
        <v>32400</v>
      </c>
      <c r="AA768" s="274">
        <f>+Z768*0.19</f>
        <v>6156</v>
      </c>
      <c r="AB768" s="274">
        <f>+Z768+AA768</f>
        <v>38556</v>
      </c>
      <c r="AC768" s="52" t="s">
        <v>5055</v>
      </c>
      <c r="AD768" s="22" t="s">
        <v>4795</v>
      </c>
      <c r="AE768" s="39"/>
      <c r="AF768" s="274"/>
      <c r="AG768" s="274"/>
      <c r="AH768" s="274"/>
      <c r="AI768" s="11"/>
      <c r="AJ768" s="39"/>
      <c r="AK768" s="39"/>
      <c r="AL768" s="118"/>
      <c r="AM768" s="118"/>
      <c r="AN768" s="118"/>
      <c r="AO768" s="131"/>
      <c r="AP768" s="131"/>
      <c r="AQ768" s="39"/>
      <c r="AR768" s="274"/>
      <c r="AS768" s="274"/>
      <c r="AT768" s="274"/>
      <c r="AU768" s="39"/>
      <c r="AV768" s="39"/>
      <c r="AW768" s="39"/>
      <c r="AX768" s="274"/>
      <c r="AY768" s="274"/>
      <c r="AZ768" s="274"/>
      <c r="BA768" s="39"/>
      <c r="BB768" s="39"/>
      <c r="BC768" s="39"/>
      <c r="BD768" s="274"/>
      <c r="BE768" s="274"/>
      <c r="BF768" s="274"/>
      <c r="BG768" s="39"/>
      <c r="BH768" s="39"/>
      <c r="BI768" s="39"/>
      <c r="BJ768" s="274">
        <v>490600</v>
      </c>
      <c r="BK768" s="274">
        <f t="shared" si="250"/>
        <v>93214</v>
      </c>
      <c r="BL768" s="274">
        <f t="shared" si="251"/>
        <v>583814</v>
      </c>
      <c r="BM768" s="213" t="s">
        <v>4738</v>
      </c>
      <c r="BN768" s="213" t="s">
        <v>4995</v>
      </c>
      <c r="BO768" s="39"/>
      <c r="BP768" s="274">
        <v>265000</v>
      </c>
      <c r="BQ768" s="274">
        <f>+BP768*19%</f>
        <v>50350</v>
      </c>
      <c r="BR768" s="274">
        <f>+BQ768+BP768</f>
        <v>315350</v>
      </c>
      <c r="BS768" s="39"/>
      <c r="BT768" s="39"/>
      <c r="BU768" s="39"/>
      <c r="BV768" s="219">
        <v>545849.40960000001</v>
      </c>
      <c r="BW768" s="219">
        <f>+BV768*0.19</f>
        <v>103711.387824</v>
      </c>
      <c r="BX768" s="273">
        <f>+BV768+BW768</f>
        <v>649560.79742399999</v>
      </c>
      <c r="BY768" s="213" t="s">
        <v>4738</v>
      </c>
      <c r="BZ768" s="213" t="s">
        <v>4995</v>
      </c>
      <c r="CA768" s="213"/>
      <c r="CB768" s="275">
        <v>258391</v>
      </c>
      <c r="CC768" s="274">
        <f t="shared" si="257"/>
        <v>49094.29</v>
      </c>
      <c r="CD768" s="274">
        <f t="shared" si="258"/>
        <v>307485.28999999998</v>
      </c>
      <c r="CE768" s="39"/>
      <c r="CF768" s="39"/>
      <c r="CG768" s="39"/>
      <c r="CH768" s="274"/>
      <c r="CI768" s="274"/>
      <c r="CJ768" s="274"/>
      <c r="CK768" s="39"/>
      <c r="CL768" s="39"/>
      <c r="CM768" s="39"/>
      <c r="CN768" s="39"/>
      <c r="CO768" s="39"/>
      <c r="CP768" s="11"/>
      <c r="CQ768" s="11"/>
      <c r="CR768" s="11"/>
      <c r="CS768" s="11"/>
      <c r="CT768" s="11"/>
      <c r="CU768" s="11"/>
      <c r="CV768" s="11"/>
      <c r="CW768" s="11"/>
      <c r="CX768" s="11"/>
      <c r="CY768" s="11"/>
      <c r="CZ768" s="11"/>
      <c r="DA768" s="11"/>
      <c r="DB768" s="11"/>
      <c r="DC768" s="11"/>
      <c r="DD768" s="11"/>
      <c r="DE768" s="11"/>
      <c r="DF768" s="11"/>
      <c r="DG768" s="11"/>
      <c r="DH768" s="11"/>
      <c r="DI768" s="11"/>
      <c r="DJ768" s="11"/>
      <c r="DK768" s="11"/>
      <c r="DL768" s="274"/>
      <c r="DM768" s="274"/>
      <c r="DN768" s="274"/>
      <c r="DO768" s="274"/>
      <c r="DP768" s="274"/>
      <c r="DQ768" s="274"/>
      <c r="DR768" s="274"/>
      <c r="DS768" s="274"/>
      <c r="DT768" s="274"/>
      <c r="DU768" s="274"/>
      <c r="DV768" s="274"/>
      <c r="DW768" s="274"/>
      <c r="DX768" s="274"/>
      <c r="DY768" s="274"/>
      <c r="DZ768" s="274"/>
      <c r="EA768" s="274"/>
      <c r="EB768" s="274"/>
      <c r="EC768" s="274"/>
      <c r="ED768" s="39">
        <f t="shared" si="239"/>
        <v>2230038.472424</v>
      </c>
      <c r="EE768" s="30">
        <f t="shared" si="240"/>
        <v>7</v>
      </c>
      <c r="EF768" s="39">
        <f t="shared" si="241"/>
        <v>318576.92463199998</v>
      </c>
    </row>
    <row r="769" spans="1:136" x14ac:dyDescent="0.25">
      <c r="A769" s="25" t="e">
        <f>#REF!</f>
        <v>#REF!</v>
      </c>
      <c r="B769" s="50" t="e">
        <f>#REF!</f>
        <v>#REF!</v>
      </c>
      <c r="C769" s="5" t="e">
        <f>#REF!</f>
        <v>#REF!</v>
      </c>
      <c r="D769" s="5" t="e">
        <f>#REF!</f>
        <v>#REF!</v>
      </c>
      <c r="E769" s="252">
        <v>1</v>
      </c>
      <c r="F769" s="249">
        <v>0</v>
      </c>
      <c r="G769" s="249">
        <v>0</v>
      </c>
      <c r="H769" s="249">
        <v>0</v>
      </c>
      <c r="I769" s="249">
        <v>0</v>
      </c>
      <c r="J769" s="249">
        <v>146210.87145000001</v>
      </c>
      <c r="K769" s="249">
        <v>0</v>
      </c>
      <c r="L769" s="274">
        <f>J769</f>
        <v>146210.87145000001</v>
      </c>
      <c r="M769" s="274"/>
      <c r="N769" s="256">
        <v>155000</v>
      </c>
      <c r="O769" s="135">
        <f>+N769*0.19</f>
        <v>29450</v>
      </c>
      <c r="P769" s="135">
        <f>+N769+O769</f>
        <v>184450</v>
      </c>
      <c r="Q769" s="11"/>
      <c r="R769" s="11"/>
      <c r="S769" s="11"/>
      <c r="T769" s="274"/>
      <c r="U769" s="274"/>
      <c r="V769" s="274"/>
      <c r="W769" s="11"/>
      <c r="X769" s="11"/>
      <c r="Y769" s="11"/>
      <c r="Z769" s="274"/>
      <c r="AA769" s="274"/>
      <c r="AB769" s="274"/>
      <c r="AC769" s="11"/>
      <c r="AD769" s="11"/>
      <c r="AE769" s="11"/>
      <c r="AF769" s="274"/>
      <c r="AG769" s="274"/>
      <c r="AH769" s="274"/>
      <c r="AI769" s="11"/>
      <c r="AJ769" s="11"/>
      <c r="AK769" s="11"/>
      <c r="AL769" s="118"/>
      <c r="AM769" s="118"/>
      <c r="AN769" s="118"/>
      <c r="AO769" s="52"/>
      <c r="AP769" s="52"/>
      <c r="AQ769" s="11"/>
      <c r="AR769" s="274"/>
      <c r="AS769" s="274"/>
      <c r="AT769" s="274"/>
      <c r="AU769" s="11"/>
      <c r="AV769" s="11"/>
      <c r="AW769" s="11"/>
      <c r="AX769" s="274"/>
      <c r="AY769" s="274"/>
      <c r="AZ769" s="274"/>
      <c r="BA769" s="11"/>
      <c r="BB769" s="11"/>
      <c r="BC769" s="11"/>
      <c r="BD769" s="274"/>
      <c r="BE769" s="274"/>
      <c r="BF769" s="274"/>
      <c r="BG769" s="11"/>
      <c r="BH769" s="11"/>
      <c r="BI769" s="11"/>
      <c r="BJ769" s="275">
        <f>+(4150400/288)*100</f>
        <v>1441111.1111111112</v>
      </c>
      <c r="BK769" s="275">
        <f t="shared" si="250"/>
        <v>273811.11111111112</v>
      </c>
      <c r="BL769" s="275">
        <f t="shared" si="251"/>
        <v>1714922.2222222225</v>
      </c>
      <c r="BM769" s="213" t="s">
        <v>5056</v>
      </c>
      <c r="BN769" s="213" t="s">
        <v>4995</v>
      </c>
      <c r="BO769" s="11"/>
      <c r="BP769" s="274">
        <v>285000</v>
      </c>
      <c r="BQ769" s="274">
        <f>+BP769*19%</f>
        <v>54150</v>
      </c>
      <c r="BR769" s="274">
        <f>+BQ769+BP769</f>
        <v>339150</v>
      </c>
      <c r="BS769" s="11"/>
      <c r="BT769" s="11"/>
      <c r="BU769" s="11"/>
      <c r="BV769" s="212"/>
      <c r="BW769" s="219"/>
      <c r="BX769" s="273"/>
      <c r="BY769" s="213"/>
      <c r="BZ769" s="213"/>
      <c r="CA769" s="213"/>
      <c r="CB769" s="275">
        <v>495883</v>
      </c>
      <c r="CC769" s="274">
        <f t="shared" si="257"/>
        <v>94217.77</v>
      </c>
      <c r="CD769" s="274">
        <f t="shared" si="258"/>
        <v>590100.77</v>
      </c>
      <c r="CE769" s="11"/>
      <c r="CF769" s="11"/>
      <c r="CG769" s="11"/>
      <c r="CH769" s="275"/>
      <c r="CI769" s="275"/>
      <c r="CJ769" s="275"/>
      <c r="CK769" s="11"/>
      <c r="CL769" s="11"/>
      <c r="CM769" s="39"/>
      <c r="CN769" s="39"/>
      <c r="CO769" s="39"/>
      <c r="CP769" s="11"/>
      <c r="CQ769" s="11"/>
      <c r="CR769" s="11"/>
      <c r="CS769" s="11"/>
      <c r="CT769" s="11"/>
      <c r="CU769" s="11"/>
      <c r="CV769" s="11"/>
      <c r="CW769" s="11"/>
      <c r="CX769" s="11"/>
      <c r="CY769" s="11"/>
      <c r="CZ769" s="11"/>
      <c r="DA769" s="11"/>
      <c r="DB769" s="11"/>
      <c r="DC769" s="11"/>
      <c r="DD769" s="11"/>
      <c r="DE769" s="11"/>
      <c r="DF769" s="11"/>
      <c r="DG769" s="11"/>
      <c r="DH769" s="11"/>
      <c r="DI769" s="11"/>
      <c r="DJ769" s="11"/>
      <c r="DK769" s="11"/>
      <c r="DL769" s="274"/>
      <c r="DM769" s="274"/>
      <c r="DN769" s="274"/>
      <c r="DO769" s="274"/>
      <c r="DP769" s="274"/>
      <c r="DQ769" s="274"/>
      <c r="DR769" s="274"/>
      <c r="DS769" s="274"/>
      <c r="DT769" s="274"/>
      <c r="DU769" s="274"/>
      <c r="DV769" s="274"/>
      <c r="DW769" s="274"/>
      <c r="DX769" s="274"/>
      <c r="DY769" s="274"/>
      <c r="DZ769" s="274"/>
      <c r="EA769" s="274"/>
      <c r="EB769" s="274"/>
      <c r="EC769" s="274"/>
      <c r="ED769" s="39">
        <f t="shared" si="239"/>
        <v>2828622.9922222225</v>
      </c>
      <c r="EE769" s="30">
        <f t="shared" si="240"/>
        <v>4</v>
      </c>
      <c r="EF769" s="39">
        <f t="shared" si="241"/>
        <v>707155.74805555562</v>
      </c>
    </row>
    <row r="770" spans="1:136" x14ac:dyDescent="0.25">
      <c r="A770" s="25" t="e">
        <f>#REF!</f>
        <v>#REF!</v>
      </c>
      <c r="B770" s="50" t="e">
        <f>#REF!</f>
        <v>#REF!</v>
      </c>
      <c r="C770" s="5" t="e">
        <f>#REF!</f>
        <v>#REF!</v>
      </c>
      <c r="D770" s="5" t="e">
        <f>#REF!</f>
        <v>#REF!</v>
      </c>
      <c r="E770" s="252">
        <v>1</v>
      </c>
      <c r="F770" s="249">
        <v>0</v>
      </c>
      <c r="G770" s="249">
        <v>0</v>
      </c>
      <c r="H770" s="249">
        <v>0</v>
      </c>
      <c r="I770" s="249">
        <v>0</v>
      </c>
      <c r="J770" s="249">
        <v>466231</v>
      </c>
      <c r="K770" s="249">
        <v>0</v>
      </c>
      <c r="L770" s="274">
        <f>J770</f>
        <v>466231</v>
      </c>
      <c r="M770" s="274"/>
      <c r="N770" s="256">
        <v>300000</v>
      </c>
      <c r="O770" s="135">
        <f>+N770*0.19</f>
        <v>57000</v>
      </c>
      <c r="P770" s="135">
        <f>+N770+O770</f>
        <v>357000</v>
      </c>
      <c r="Q770" s="131"/>
      <c r="R770" s="131"/>
      <c r="S770" s="11"/>
      <c r="T770" s="274"/>
      <c r="U770" s="274"/>
      <c r="V770" s="274"/>
      <c r="W770" s="39"/>
      <c r="X770" s="11"/>
      <c r="Y770" s="11"/>
      <c r="Z770" s="274"/>
      <c r="AA770" s="274"/>
      <c r="AB770" s="274"/>
      <c r="AC770" s="52"/>
      <c r="AD770" s="22"/>
      <c r="AE770" s="39"/>
      <c r="AF770" s="274"/>
      <c r="AG770" s="274"/>
      <c r="AH770" s="274"/>
      <c r="AI770" s="11"/>
      <c r="AJ770" s="39"/>
      <c r="AK770" s="39"/>
      <c r="AL770" s="118"/>
      <c r="AM770" s="118"/>
      <c r="AN770" s="118"/>
      <c r="AO770" s="131"/>
      <c r="AP770" s="131"/>
      <c r="AQ770" s="39"/>
      <c r="AR770" s="274"/>
      <c r="AS770" s="274"/>
      <c r="AT770" s="274"/>
      <c r="AU770" s="39"/>
      <c r="AV770" s="39"/>
      <c r="AW770" s="39"/>
      <c r="AX770" s="274"/>
      <c r="AY770" s="274"/>
      <c r="AZ770" s="274"/>
      <c r="BA770" s="39"/>
      <c r="BB770" s="39"/>
      <c r="BC770" s="39"/>
      <c r="BD770" s="274"/>
      <c r="BE770" s="274"/>
      <c r="BF770" s="274"/>
      <c r="BG770" s="39"/>
      <c r="BH770" s="39"/>
      <c r="BI770" s="39"/>
      <c r="BJ770" s="275">
        <v>2223800</v>
      </c>
      <c r="BK770" s="275">
        <f t="shared" si="250"/>
        <v>422522</v>
      </c>
      <c r="BL770" s="275">
        <f t="shared" si="251"/>
        <v>2646322</v>
      </c>
      <c r="BM770" s="213" t="s">
        <v>4738</v>
      </c>
      <c r="BN770" s="213" t="s">
        <v>4995</v>
      </c>
      <c r="BO770" s="39"/>
      <c r="BP770" s="274"/>
      <c r="BQ770" s="274"/>
      <c r="BR770" s="274"/>
      <c r="BS770" s="39"/>
      <c r="BT770" s="39"/>
      <c r="BU770" s="39"/>
      <c r="BV770" s="212"/>
      <c r="BW770" s="219"/>
      <c r="BX770" s="273"/>
      <c r="BY770" s="213"/>
      <c r="BZ770" s="213"/>
      <c r="CA770" s="213"/>
      <c r="CB770" s="274">
        <v>495883</v>
      </c>
      <c r="CC770" s="274">
        <f t="shared" si="257"/>
        <v>94217.77</v>
      </c>
      <c r="CD770" s="274">
        <f t="shared" si="258"/>
        <v>590100.77</v>
      </c>
      <c r="CE770" s="39"/>
      <c r="CF770" s="39"/>
      <c r="CG770" s="39"/>
      <c r="CH770" s="275"/>
      <c r="CI770" s="275"/>
      <c r="CJ770" s="275"/>
      <c r="CK770" s="39"/>
      <c r="CL770" s="39"/>
      <c r="CM770" s="39"/>
      <c r="CN770" s="39"/>
      <c r="CO770" s="39"/>
      <c r="CP770" s="11"/>
      <c r="CQ770" s="11"/>
      <c r="CR770" s="11"/>
      <c r="CS770" s="11"/>
      <c r="CT770" s="11"/>
      <c r="CU770" s="11"/>
      <c r="CV770" s="11"/>
      <c r="CW770" s="11"/>
      <c r="CX770" s="11"/>
      <c r="CY770" s="11"/>
      <c r="CZ770" s="11"/>
      <c r="DA770" s="11"/>
      <c r="DB770" s="11"/>
      <c r="DC770" s="11"/>
      <c r="DD770" s="11"/>
      <c r="DE770" s="11"/>
      <c r="DF770" s="11"/>
      <c r="DG770" s="11"/>
      <c r="DH770" s="11"/>
      <c r="DI770" s="11"/>
      <c r="DJ770" s="11"/>
      <c r="DK770" s="11"/>
      <c r="DL770" s="274"/>
      <c r="DM770" s="274"/>
      <c r="DN770" s="274"/>
      <c r="DO770" s="274"/>
      <c r="DP770" s="274"/>
      <c r="DQ770" s="274"/>
      <c r="DR770" s="274"/>
      <c r="DS770" s="274"/>
      <c r="DT770" s="274"/>
      <c r="DU770" s="274"/>
      <c r="DV770" s="274"/>
      <c r="DW770" s="274"/>
      <c r="DX770" s="274"/>
      <c r="DY770" s="274"/>
      <c r="DZ770" s="274"/>
      <c r="EA770" s="274"/>
      <c r="EB770" s="274"/>
      <c r="EC770" s="274"/>
      <c r="ED770" s="39">
        <f t="shared" si="239"/>
        <v>3593422.77</v>
      </c>
      <c r="EE770" s="30">
        <f t="shared" si="240"/>
        <v>3</v>
      </c>
      <c r="EF770" s="39">
        <f t="shared" si="241"/>
        <v>1197807.5900000001</v>
      </c>
    </row>
    <row r="771" spans="1:136" x14ac:dyDescent="0.25">
      <c r="A771" s="25" t="e">
        <f>#REF!</f>
        <v>#REF!</v>
      </c>
      <c r="B771" s="50" t="e">
        <f>#REF!</f>
        <v>#REF!</v>
      </c>
      <c r="C771" s="5" t="e">
        <f>#REF!</f>
        <v>#REF!</v>
      </c>
      <c r="D771" s="5" t="e">
        <f>#REF!</f>
        <v>#REF!</v>
      </c>
      <c r="E771" s="252">
        <v>1</v>
      </c>
      <c r="F771" s="249">
        <v>0</v>
      </c>
      <c r="G771" s="249">
        <v>0</v>
      </c>
      <c r="H771" s="249">
        <v>0</v>
      </c>
      <c r="I771" s="249">
        <v>0</v>
      </c>
      <c r="J771" s="249">
        <v>0</v>
      </c>
      <c r="K771" s="249">
        <v>0</v>
      </c>
      <c r="L771" s="274"/>
      <c r="M771" s="274"/>
      <c r="N771" s="255"/>
      <c r="O771" s="135"/>
      <c r="P771" s="135"/>
      <c r="Q771" s="131"/>
      <c r="R771" s="131"/>
      <c r="S771" s="11"/>
      <c r="T771" s="274"/>
      <c r="U771" s="274"/>
      <c r="V771" s="274"/>
      <c r="W771" s="39"/>
      <c r="X771" s="11"/>
      <c r="Y771" s="11"/>
      <c r="Z771" s="274"/>
      <c r="AA771" s="274"/>
      <c r="AB771" s="274"/>
      <c r="AC771" s="52"/>
      <c r="AD771" s="22"/>
      <c r="AE771" s="39"/>
      <c r="AF771" s="274"/>
      <c r="AG771" s="274"/>
      <c r="AH771" s="274"/>
      <c r="AI771" s="11"/>
      <c r="AJ771" s="39"/>
      <c r="AK771" s="39"/>
      <c r="AL771" s="118"/>
      <c r="AM771" s="118"/>
      <c r="AN771" s="118"/>
      <c r="AO771" s="131"/>
      <c r="AP771" s="131"/>
      <c r="AQ771" s="39"/>
      <c r="AR771" s="274"/>
      <c r="AS771" s="274"/>
      <c r="AT771" s="274"/>
      <c r="AU771" s="39"/>
      <c r="AV771" s="39"/>
      <c r="AW771" s="39"/>
      <c r="AX771" s="274"/>
      <c r="AY771" s="274"/>
      <c r="AZ771" s="274"/>
      <c r="BA771" s="39"/>
      <c r="BB771" s="39"/>
      <c r="BC771" s="39"/>
      <c r="BD771" s="274"/>
      <c r="BE771" s="274"/>
      <c r="BF771" s="274"/>
      <c r="BG771" s="39"/>
      <c r="BH771" s="39"/>
      <c r="BI771" s="39"/>
      <c r="BJ771" s="275">
        <f>3415000/2</f>
        <v>1707500</v>
      </c>
      <c r="BK771" s="275">
        <f t="shared" si="250"/>
        <v>324425</v>
      </c>
      <c r="BL771" s="275">
        <f t="shared" si="251"/>
        <v>2031925</v>
      </c>
      <c r="BM771" s="213" t="s">
        <v>4738</v>
      </c>
      <c r="BN771" s="213" t="s">
        <v>4995</v>
      </c>
      <c r="BO771" s="39"/>
      <c r="BP771" s="274"/>
      <c r="BQ771" s="274"/>
      <c r="BR771" s="274"/>
      <c r="BS771" s="39"/>
      <c r="BT771" s="39"/>
      <c r="BU771" s="39"/>
      <c r="BV771" s="219">
        <v>3876912.9000000004</v>
      </c>
      <c r="BW771" s="219">
        <f>+BV771*0.19</f>
        <v>736613.45100000012</v>
      </c>
      <c r="BX771" s="273">
        <f>+BV771+BW771</f>
        <v>4613526.3510000007</v>
      </c>
      <c r="BY771" s="213" t="s">
        <v>4738</v>
      </c>
      <c r="BZ771" s="213" t="s">
        <v>4995</v>
      </c>
      <c r="CA771" s="213"/>
      <c r="CB771" s="274">
        <v>281475</v>
      </c>
      <c r="CC771" s="274">
        <f t="shared" si="257"/>
        <v>53480.25</v>
      </c>
      <c r="CD771" s="274">
        <f t="shared" si="258"/>
        <v>334955.25</v>
      </c>
      <c r="CE771" s="39"/>
      <c r="CF771" s="39"/>
      <c r="CG771" s="39"/>
      <c r="CH771" s="274"/>
      <c r="CI771" s="274"/>
      <c r="CJ771" s="274"/>
      <c r="CK771" s="39"/>
      <c r="CL771" s="39"/>
      <c r="CM771" s="39"/>
      <c r="CN771" s="39"/>
      <c r="CO771" s="39"/>
      <c r="CP771" s="11"/>
      <c r="CQ771" s="11"/>
      <c r="CR771" s="11"/>
      <c r="CS771" s="11"/>
      <c r="CT771" s="11"/>
      <c r="CU771" s="11"/>
      <c r="CV771" s="11"/>
      <c r="CW771" s="11"/>
      <c r="CX771" s="11"/>
      <c r="CY771" s="11"/>
      <c r="CZ771" s="11"/>
      <c r="DA771" s="11"/>
      <c r="DB771" s="11"/>
      <c r="DC771" s="11"/>
      <c r="DD771" s="11"/>
      <c r="DE771" s="11"/>
      <c r="DF771" s="11"/>
      <c r="DG771" s="11"/>
      <c r="DH771" s="11"/>
      <c r="DI771" s="11"/>
      <c r="DJ771" s="11"/>
      <c r="DK771" s="11"/>
      <c r="DL771" s="274"/>
      <c r="DM771" s="274"/>
      <c r="DN771" s="274"/>
      <c r="DO771" s="274"/>
      <c r="DP771" s="274"/>
      <c r="DQ771" s="274"/>
      <c r="DR771" s="274"/>
      <c r="DS771" s="274"/>
      <c r="DT771" s="274"/>
      <c r="DU771" s="274"/>
      <c r="DV771" s="274"/>
      <c r="DW771" s="274"/>
      <c r="DX771" s="274"/>
      <c r="DY771" s="274"/>
      <c r="DZ771" s="274"/>
      <c r="EA771" s="274"/>
      <c r="EB771" s="274"/>
      <c r="EC771" s="274"/>
      <c r="ED771" s="39">
        <f t="shared" ref="ED771:ED831" si="259">SUM(M771,P771,V771,AB771,AH771,AN771,AT771,AZ771,BF771,BL771,BR771,BX771,CD771,CJ771,CP771,CV771,DB771,DH771,DN771,DT771,DZ771)</f>
        <v>6980406.6010000007</v>
      </c>
      <c r="EE771" s="30">
        <f t="shared" ref="EE771:EE831" si="260">COUNTA(M771,N771,T771,Z771,AF771,AL771,AR771,AX771,BD771,BJ771,BP771,BV771,CB771,CH771,CN771,CT771,CZ771,DF771,DL771,DR771,DX771)</f>
        <v>3</v>
      </c>
      <c r="EF771" s="39">
        <f t="shared" ref="EF771:EF831" si="261">IFERROR(ED771/EE771," ")</f>
        <v>2326802.2003333336</v>
      </c>
    </row>
    <row r="772" spans="1:136" x14ac:dyDescent="0.25">
      <c r="A772" s="25" t="e">
        <f>#REF!</f>
        <v>#REF!</v>
      </c>
      <c r="B772" s="50" t="e">
        <f>#REF!</f>
        <v>#REF!</v>
      </c>
      <c r="C772" s="5" t="e">
        <f>#REF!</f>
        <v>#REF!</v>
      </c>
      <c r="D772" s="5" t="e">
        <f>#REF!</f>
        <v>#REF!</v>
      </c>
      <c r="E772" s="252">
        <v>1</v>
      </c>
      <c r="F772" s="249">
        <v>0</v>
      </c>
      <c r="G772" s="249">
        <v>0</v>
      </c>
      <c r="H772" s="249">
        <v>0</v>
      </c>
      <c r="I772" s="249">
        <v>0</v>
      </c>
      <c r="J772" s="249">
        <v>0</v>
      </c>
      <c r="K772" s="249">
        <v>0</v>
      </c>
      <c r="L772" s="274"/>
      <c r="M772" s="274"/>
      <c r="N772" s="255">
        <v>175000</v>
      </c>
      <c r="O772" s="135">
        <f>+N772*0.19</f>
        <v>33250</v>
      </c>
      <c r="P772" s="135">
        <f>+N772+O772</f>
        <v>208250</v>
      </c>
      <c r="Q772" s="131"/>
      <c r="R772" s="131"/>
      <c r="S772" s="11"/>
      <c r="T772" s="274"/>
      <c r="U772" s="274"/>
      <c r="V772" s="274"/>
      <c r="W772" s="39"/>
      <c r="X772" s="11"/>
      <c r="Y772" s="11"/>
      <c r="Z772" s="274"/>
      <c r="AA772" s="274"/>
      <c r="AB772" s="274"/>
      <c r="AC772" s="52"/>
      <c r="AD772" s="22"/>
      <c r="AE772" s="39"/>
      <c r="AF772" s="274"/>
      <c r="AG772" s="274"/>
      <c r="AH772" s="274"/>
      <c r="AI772" s="11"/>
      <c r="AJ772" s="39"/>
      <c r="AK772" s="39"/>
      <c r="AL772" s="118"/>
      <c r="AM772" s="118"/>
      <c r="AN772" s="118"/>
      <c r="AO772" s="131"/>
      <c r="AP772" s="131"/>
      <c r="AQ772" s="39"/>
      <c r="AR772" s="274"/>
      <c r="AS772" s="274"/>
      <c r="AT772" s="274"/>
      <c r="AU772" s="39"/>
      <c r="AV772" s="39"/>
      <c r="AW772" s="39"/>
      <c r="AX772" s="274"/>
      <c r="AY772" s="274"/>
      <c r="AZ772" s="274"/>
      <c r="BA772" s="39"/>
      <c r="BB772" s="39"/>
      <c r="BC772" s="39"/>
      <c r="BD772" s="274"/>
      <c r="BE772" s="274"/>
      <c r="BF772" s="274"/>
      <c r="BG772" s="39"/>
      <c r="BH772" s="39"/>
      <c r="BI772" s="39"/>
      <c r="BJ772" s="275">
        <v>1103500</v>
      </c>
      <c r="BK772" s="275">
        <f t="shared" si="250"/>
        <v>209665</v>
      </c>
      <c r="BL772" s="275">
        <f t="shared" si="251"/>
        <v>1313165</v>
      </c>
      <c r="BM772" s="213" t="s">
        <v>5028</v>
      </c>
      <c r="BN772" s="213" t="s">
        <v>4995</v>
      </c>
      <c r="BO772" s="39"/>
      <c r="BP772" s="274">
        <v>365000</v>
      </c>
      <c r="BQ772" s="274">
        <f>+BP772*19%</f>
        <v>69350</v>
      </c>
      <c r="BR772" s="274">
        <f>+BQ772+BP772</f>
        <v>434350</v>
      </c>
      <c r="BS772" s="39"/>
      <c r="BT772" s="39"/>
      <c r="BU772" s="39"/>
      <c r="BV772" s="219"/>
      <c r="BW772" s="219"/>
      <c r="BX772" s="273"/>
      <c r="BY772" s="213"/>
      <c r="BZ772" s="213"/>
      <c r="CA772" s="213"/>
      <c r="CB772" s="274">
        <v>281475</v>
      </c>
      <c r="CC772" s="274">
        <f t="shared" si="257"/>
        <v>53480.25</v>
      </c>
      <c r="CD772" s="274">
        <f t="shared" si="258"/>
        <v>334955.25</v>
      </c>
      <c r="CE772" s="39"/>
      <c r="CF772" s="39"/>
      <c r="CG772" s="39"/>
      <c r="CH772" s="274"/>
      <c r="CI772" s="274"/>
      <c r="CJ772" s="274"/>
      <c r="CK772" s="39"/>
      <c r="CL772" s="39"/>
      <c r="CM772" s="39"/>
      <c r="CN772" s="39"/>
      <c r="CO772" s="39"/>
      <c r="CP772" s="11"/>
      <c r="CQ772" s="11"/>
      <c r="CR772" s="11"/>
      <c r="CS772" s="11"/>
      <c r="CT772" s="11"/>
      <c r="CU772" s="11"/>
      <c r="CV772" s="11"/>
      <c r="CW772" s="11"/>
      <c r="CX772" s="11"/>
      <c r="CY772" s="11"/>
      <c r="CZ772" s="11"/>
      <c r="DA772" s="11"/>
      <c r="DB772" s="11"/>
      <c r="DC772" s="11"/>
      <c r="DD772" s="11"/>
      <c r="DE772" s="11"/>
      <c r="DF772" s="11"/>
      <c r="DG772" s="11"/>
      <c r="DH772" s="11"/>
      <c r="DI772" s="11"/>
      <c r="DJ772" s="11"/>
      <c r="DK772" s="11"/>
      <c r="DL772" s="274"/>
      <c r="DM772" s="274"/>
      <c r="DN772" s="274"/>
      <c r="DO772" s="274"/>
      <c r="DP772" s="274"/>
      <c r="DQ772" s="274"/>
      <c r="DR772" s="274"/>
      <c r="DS772" s="274"/>
      <c r="DT772" s="274"/>
      <c r="DU772" s="274"/>
      <c r="DV772" s="274"/>
      <c r="DW772" s="274"/>
      <c r="DX772" s="274"/>
      <c r="DY772" s="274"/>
      <c r="DZ772" s="274"/>
      <c r="EA772" s="274"/>
      <c r="EB772" s="274"/>
      <c r="EC772" s="274"/>
      <c r="ED772" s="39">
        <f t="shared" si="259"/>
        <v>2290720.25</v>
      </c>
      <c r="EE772" s="30">
        <f t="shared" si="260"/>
        <v>4</v>
      </c>
      <c r="EF772" s="39">
        <f t="shared" si="261"/>
        <v>572680.0625</v>
      </c>
    </row>
    <row r="773" spans="1:136" x14ac:dyDescent="0.25">
      <c r="A773" s="25" t="e">
        <f>#REF!</f>
        <v>#REF!</v>
      </c>
      <c r="B773" s="50" t="e">
        <f>#REF!</f>
        <v>#REF!</v>
      </c>
      <c r="C773" s="5" t="e">
        <f>#REF!</f>
        <v>#REF!</v>
      </c>
      <c r="D773" s="5" t="e">
        <f>#REF!</f>
        <v>#REF!</v>
      </c>
      <c r="E773" s="252">
        <v>1</v>
      </c>
      <c r="F773" s="249">
        <v>0</v>
      </c>
      <c r="G773" s="249">
        <v>0</v>
      </c>
      <c r="H773" s="249">
        <v>0</v>
      </c>
      <c r="I773" s="249">
        <v>0</v>
      </c>
      <c r="J773" s="249">
        <v>0</v>
      </c>
      <c r="K773" s="249">
        <v>0</v>
      </c>
      <c r="L773" s="274"/>
      <c r="M773" s="274"/>
      <c r="N773" s="255"/>
      <c r="O773" s="135"/>
      <c r="P773" s="135"/>
      <c r="Q773" s="131"/>
      <c r="R773" s="131"/>
      <c r="S773" s="11"/>
      <c r="T773" s="274"/>
      <c r="U773" s="274"/>
      <c r="V773" s="274"/>
      <c r="W773" s="39"/>
      <c r="X773" s="11"/>
      <c r="Y773" s="11"/>
      <c r="Z773" s="274"/>
      <c r="AA773" s="274"/>
      <c r="AB773" s="274"/>
      <c r="AC773" s="52"/>
      <c r="AD773" s="22"/>
      <c r="AE773" s="39"/>
      <c r="AF773" s="274"/>
      <c r="AG773" s="274"/>
      <c r="AH773" s="274"/>
      <c r="AI773" s="11"/>
      <c r="AJ773" s="39"/>
      <c r="AK773" s="39"/>
      <c r="AL773" s="118"/>
      <c r="AM773" s="118"/>
      <c r="AN773" s="118"/>
      <c r="AO773" s="131"/>
      <c r="AP773" s="131"/>
      <c r="AQ773" s="39"/>
      <c r="AR773" s="274"/>
      <c r="AS773" s="274"/>
      <c r="AT773" s="274"/>
      <c r="AU773" s="39"/>
      <c r="AV773" s="39"/>
      <c r="AW773" s="39"/>
      <c r="AX773" s="274"/>
      <c r="AY773" s="274"/>
      <c r="AZ773" s="274"/>
      <c r="BA773" s="39"/>
      <c r="BB773" s="39"/>
      <c r="BC773" s="39"/>
      <c r="BD773" s="274"/>
      <c r="BE773" s="274"/>
      <c r="BF773" s="274"/>
      <c r="BG773" s="39"/>
      <c r="BH773" s="39"/>
      <c r="BI773" s="39"/>
      <c r="BJ773" s="275">
        <v>4600000</v>
      </c>
      <c r="BK773" s="275">
        <f t="shared" si="250"/>
        <v>874000</v>
      </c>
      <c r="BL773" s="275">
        <f t="shared" si="251"/>
        <v>5474000</v>
      </c>
      <c r="BM773" s="213" t="s">
        <v>4757</v>
      </c>
      <c r="BN773" s="213" t="s">
        <v>4995</v>
      </c>
      <c r="BO773" s="39"/>
      <c r="BP773" s="274"/>
      <c r="BQ773" s="274"/>
      <c r="BR773" s="274"/>
      <c r="BS773" s="39"/>
      <c r="BT773" s="39"/>
      <c r="BU773" s="39"/>
      <c r="BV773" s="219"/>
      <c r="BW773" s="219"/>
      <c r="BX773" s="273"/>
      <c r="BY773" s="213"/>
      <c r="BZ773" s="213"/>
      <c r="CA773" s="213"/>
      <c r="CB773" s="274"/>
      <c r="CC773" s="274">
        <f t="shared" si="257"/>
        <v>0</v>
      </c>
      <c r="CD773" s="274">
        <f t="shared" si="258"/>
        <v>0</v>
      </c>
      <c r="CE773" s="39"/>
      <c r="CF773" s="39"/>
      <c r="CG773" s="39"/>
      <c r="CH773" s="274"/>
      <c r="CI773" s="274"/>
      <c r="CJ773" s="274"/>
      <c r="CK773" s="39"/>
      <c r="CL773" s="39"/>
      <c r="CM773" s="39"/>
      <c r="CN773" s="39"/>
      <c r="CO773" s="39"/>
      <c r="CP773" s="11"/>
      <c r="CQ773" s="11"/>
      <c r="CR773" s="11"/>
      <c r="CS773" s="11"/>
      <c r="CT773" s="11"/>
      <c r="CU773" s="11"/>
      <c r="CV773" s="11"/>
      <c r="CW773" s="11"/>
      <c r="CX773" s="11"/>
      <c r="CY773" s="11"/>
      <c r="CZ773" s="11"/>
      <c r="DA773" s="11"/>
      <c r="DB773" s="11"/>
      <c r="DC773" s="11"/>
      <c r="DD773" s="11"/>
      <c r="DE773" s="11"/>
      <c r="DF773" s="11"/>
      <c r="DG773" s="11"/>
      <c r="DH773" s="11"/>
      <c r="DI773" s="11"/>
      <c r="DJ773" s="11"/>
      <c r="DK773" s="11"/>
      <c r="DL773" s="274"/>
      <c r="DM773" s="274"/>
      <c r="DN773" s="274"/>
      <c r="DO773" s="274"/>
      <c r="DP773" s="274"/>
      <c r="DQ773" s="274"/>
      <c r="DR773" s="274"/>
      <c r="DS773" s="274"/>
      <c r="DT773" s="274"/>
      <c r="DU773" s="274"/>
      <c r="DV773" s="274"/>
      <c r="DW773" s="274"/>
      <c r="DX773" s="274"/>
      <c r="DY773" s="274"/>
      <c r="DZ773" s="274"/>
      <c r="EA773" s="274"/>
      <c r="EB773" s="274"/>
      <c r="EC773" s="274"/>
      <c r="ED773" s="39">
        <f t="shared" si="259"/>
        <v>5474000</v>
      </c>
      <c r="EE773" s="30">
        <f t="shared" si="260"/>
        <v>1</v>
      </c>
      <c r="EF773" s="39">
        <f t="shared" si="261"/>
        <v>5474000</v>
      </c>
    </row>
    <row r="774" spans="1:136" x14ac:dyDescent="0.25">
      <c r="A774" s="25" t="e">
        <f>#REF!</f>
        <v>#REF!</v>
      </c>
      <c r="B774" s="50" t="e">
        <f>#REF!</f>
        <v>#REF!</v>
      </c>
      <c r="C774" s="5" t="e">
        <f>#REF!</f>
        <v>#REF!</v>
      </c>
      <c r="D774" s="5" t="e">
        <f>#REF!</f>
        <v>#REF!</v>
      </c>
      <c r="E774" s="252">
        <v>1</v>
      </c>
      <c r="F774" s="249">
        <v>0</v>
      </c>
      <c r="G774" s="249">
        <v>0</v>
      </c>
      <c r="H774" s="249">
        <v>0</v>
      </c>
      <c r="I774" s="249">
        <v>0</v>
      </c>
      <c r="J774" s="249">
        <v>0</v>
      </c>
      <c r="K774" s="249">
        <v>0</v>
      </c>
      <c r="L774" s="274"/>
      <c r="M774" s="274"/>
      <c r="N774" s="255"/>
      <c r="O774" s="135"/>
      <c r="P774" s="135"/>
      <c r="Q774" s="131"/>
      <c r="R774" s="131"/>
      <c r="S774" s="11"/>
      <c r="T774" s="274"/>
      <c r="U774" s="274"/>
      <c r="V774" s="274"/>
      <c r="W774" s="39"/>
      <c r="X774" s="11"/>
      <c r="Y774" s="11"/>
      <c r="Z774" s="274"/>
      <c r="AA774" s="274"/>
      <c r="AB774" s="274"/>
      <c r="AC774" s="52"/>
      <c r="AD774" s="22"/>
      <c r="AE774" s="39"/>
      <c r="AF774" s="274"/>
      <c r="AG774" s="274"/>
      <c r="AH774" s="274"/>
      <c r="AI774" s="11"/>
      <c r="AJ774" s="39"/>
      <c r="AK774" s="39"/>
      <c r="AL774" s="118"/>
      <c r="AM774" s="118"/>
      <c r="AN774" s="118"/>
      <c r="AO774" s="131"/>
      <c r="AP774" s="131"/>
      <c r="AQ774" s="39"/>
      <c r="AR774" s="274"/>
      <c r="AS774" s="274"/>
      <c r="AT774" s="274"/>
      <c r="AU774" s="39"/>
      <c r="AV774" s="39"/>
      <c r="AW774" s="39"/>
      <c r="AX774" s="274"/>
      <c r="AY774" s="274"/>
      <c r="AZ774" s="274"/>
      <c r="BA774" s="39"/>
      <c r="BB774" s="39"/>
      <c r="BC774" s="39"/>
      <c r="BD774" s="274"/>
      <c r="BE774" s="274"/>
      <c r="BF774" s="274"/>
      <c r="BG774" s="39"/>
      <c r="BH774" s="39"/>
      <c r="BI774" s="39"/>
      <c r="BJ774" s="274">
        <v>1001000</v>
      </c>
      <c r="BK774" s="274">
        <f t="shared" si="250"/>
        <v>190190</v>
      </c>
      <c r="BL774" s="274">
        <f t="shared" si="251"/>
        <v>1191190</v>
      </c>
      <c r="BM774" s="213" t="s">
        <v>5017</v>
      </c>
      <c r="BN774" s="213" t="s">
        <v>4995</v>
      </c>
      <c r="BO774" s="39"/>
      <c r="BP774" s="274"/>
      <c r="BQ774" s="274"/>
      <c r="BR774" s="274"/>
      <c r="BS774" s="39"/>
      <c r="BT774" s="39"/>
      <c r="BU774" s="39"/>
      <c r="BV774" s="219">
        <v>1062167.1060000001</v>
      </c>
      <c r="BW774" s="219">
        <f t="shared" ref="BW774:BW782" si="262">+BV774*0.19</f>
        <v>201811.75014000002</v>
      </c>
      <c r="BX774" s="273">
        <f t="shared" ref="BX774:BX782" si="263">+BV774+BW774</f>
        <v>1263978.8561400003</v>
      </c>
      <c r="BY774" s="213" t="s">
        <v>5017</v>
      </c>
      <c r="BZ774" s="213" t="s">
        <v>4995</v>
      </c>
      <c r="CA774" s="213"/>
      <c r="CB774" s="274"/>
      <c r="CC774" s="274">
        <f t="shared" si="257"/>
        <v>0</v>
      </c>
      <c r="CD774" s="274">
        <f t="shared" si="258"/>
        <v>0</v>
      </c>
      <c r="CE774" s="39"/>
      <c r="CF774" s="39"/>
      <c r="CG774" s="39"/>
      <c r="CH774" s="274"/>
      <c r="CI774" s="274"/>
      <c r="CJ774" s="274"/>
      <c r="CK774" s="39"/>
      <c r="CL774" s="39"/>
      <c r="CM774" s="39"/>
      <c r="CN774" s="39"/>
      <c r="CO774" s="39"/>
      <c r="CP774" s="11"/>
      <c r="CQ774" s="11"/>
      <c r="CR774" s="11"/>
      <c r="CS774" s="11"/>
      <c r="CT774" s="11"/>
      <c r="CU774" s="11"/>
      <c r="CV774" s="11"/>
      <c r="CW774" s="11"/>
      <c r="CX774" s="11"/>
      <c r="CY774" s="11"/>
      <c r="CZ774" s="11"/>
      <c r="DA774" s="11"/>
      <c r="DB774" s="11"/>
      <c r="DC774" s="11"/>
      <c r="DD774" s="11"/>
      <c r="DE774" s="11"/>
      <c r="DF774" s="11"/>
      <c r="DG774" s="11"/>
      <c r="DH774" s="11"/>
      <c r="DI774" s="11"/>
      <c r="DJ774" s="11"/>
      <c r="DK774" s="11"/>
      <c r="DL774" s="274"/>
      <c r="DM774" s="274"/>
      <c r="DN774" s="274"/>
      <c r="DO774" s="274"/>
      <c r="DP774" s="274"/>
      <c r="DQ774" s="274"/>
      <c r="DR774" s="274"/>
      <c r="DS774" s="274"/>
      <c r="DT774" s="274"/>
      <c r="DU774" s="274"/>
      <c r="DV774" s="274"/>
      <c r="DW774" s="274"/>
      <c r="DX774" s="274"/>
      <c r="DY774" s="274"/>
      <c r="DZ774" s="274"/>
      <c r="EA774" s="274"/>
      <c r="EB774" s="274"/>
      <c r="EC774" s="274"/>
      <c r="ED774" s="39">
        <f t="shared" si="259"/>
        <v>2455168.8561400003</v>
      </c>
      <c r="EE774" s="30">
        <f t="shared" si="260"/>
        <v>2</v>
      </c>
      <c r="EF774" s="39">
        <f t="shared" si="261"/>
        <v>1227584.4280700001</v>
      </c>
    </row>
    <row r="775" spans="1:136" x14ac:dyDescent="0.25">
      <c r="A775" s="25" t="e">
        <f>#REF!</f>
        <v>#REF!</v>
      </c>
      <c r="B775" s="50" t="e">
        <f>#REF!</f>
        <v>#REF!</v>
      </c>
      <c r="C775" s="5" t="e">
        <f>#REF!</f>
        <v>#REF!</v>
      </c>
      <c r="D775" s="5" t="e">
        <f>#REF!</f>
        <v>#REF!</v>
      </c>
      <c r="E775" s="252">
        <v>1</v>
      </c>
      <c r="F775" s="249">
        <v>0</v>
      </c>
      <c r="G775" s="249">
        <v>0</v>
      </c>
      <c r="H775" s="249">
        <v>0</v>
      </c>
      <c r="I775" s="249">
        <v>0</v>
      </c>
      <c r="J775" s="249">
        <v>0</v>
      </c>
      <c r="K775" s="249">
        <v>0</v>
      </c>
      <c r="L775" s="274"/>
      <c r="M775" s="274"/>
      <c r="N775" s="255">
        <v>1000</v>
      </c>
      <c r="O775" s="135">
        <f t="shared" ref="O775:O783" si="264">+N775*0.19</f>
        <v>190</v>
      </c>
      <c r="P775" s="135">
        <f t="shared" ref="P775:P783" si="265">+N775+O775</f>
        <v>1190</v>
      </c>
      <c r="Q775" s="131"/>
      <c r="R775" s="131"/>
      <c r="S775" s="11"/>
      <c r="T775" s="274"/>
      <c r="U775" s="274"/>
      <c r="V775" s="274"/>
      <c r="W775" s="39"/>
      <c r="X775" s="11"/>
      <c r="Y775" s="11"/>
      <c r="Z775" s="274"/>
      <c r="AA775" s="274"/>
      <c r="AB775" s="274"/>
      <c r="AC775" s="52"/>
      <c r="AD775" s="22"/>
      <c r="AE775" s="39"/>
      <c r="AF775" s="274"/>
      <c r="AG775" s="274"/>
      <c r="AH775" s="274"/>
      <c r="AI775" s="11"/>
      <c r="AJ775" s="39"/>
      <c r="AK775" s="39"/>
      <c r="AL775" s="118"/>
      <c r="AM775" s="118"/>
      <c r="AN775" s="118"/>
      <c r="AO775" s="131"/>
      <c r="AP775" s="131"/>
      <c r="AQ775" s="39"/>
      <c r="AR775" s="274"/>
      <c r="AS775" s="274"/>
      <c r="AT775" s="274"/>
      <c r="AU775" s="39"/>
      <c r="AV775" s="39"/>
      <c r="AW775" s="39"/>
      <c r="AX775" s="274"/>
      <c r="AY775" s="274"/>
      <c r="AZ775" s="274"/>
      <c r="BA775" s="39"/>
      <c r="BB775" s="39"/>
      <c r="BC775" s="39"/>
      <c r="BD775" s="274"/>
      <c r="BE775" s="274"/>
      <c r="BF775" s="274"/>
      <c r="BG775" s="39"/>
      <c r="BH775" s="39"/>
      <c r="BI775" s="39"/>
      <c r="BJ775" s="274">
        <f>1359500/145</f>
        <v>9375.8620689655181</v>
      </c>
      <c r="BK775" s="274">
        <f t="shared" si="250"/>
        <v>1781.4137931034484</v>
      </c>
      <c r="BL775" s="274">
        <f t="shared" si="251"/>
        <v>11157.275862068967</v>
      </c>
      <c r="BM775" s="213" t="s">
        <v>5057</v>
      </c>
      <c r="BN775" s="213" t="s">
        <v>4995</v>
      </c>
      <c r="BO775" s="39"/>
      <c r="BP775" s="274">
        <v>350</v>
      </c>
      <c r="BQ775" s="274">
        <f t="shared" ref="BQ775:BQ786" si="266">+BP775*19%</f>
        <v>66.5</v>
      </c>
      <c r="BR775" s="274">
        <f t="shared" ref="BR775:BR786" si="267">+BQ775+BP775</f>
        <v>416.5</v>
      </c>
      <c r="BS775" s="39"/>
      <c r="BT775" s="39"/>
      <c r="BU775" s="39"/>
      <c r="BV775" s="219">
        <v>1558802.7</v>
      </c>
      <c r="BW775" s="219">
        <f t="shared" si="262"/>
        <v>296172.51299999998</v>
      </c>
      <c r="BX775" s="273">
        <f t="shared" si="263"/>
        <v>1854975.213</v>
      </c>
      <c r="BY775" s="213" t="s">
        <v>5057</v>
      </c>
      <c r="BZ775" s="213" t="s">
        <v>4995</v>
      </c>
      <c r="CA775" s="213"/>
      <c r="CB775" s="274"/>
      <c r="CC775" s="274">
        <f t="shared" si="257"/>
        <v>0</v>
      </c>
      <c r="CD775" s="274">
        <f t="shared" si="258"/>
        <v>0</v>
      </c>
      <c r="CE775" s="39"/>
      <c r="CF775" s="39"/>
      <c r="CG775" s="39"/>
      <c r="CH775" s="274"/>
      <c r="CI775" s="274"/>
      <c r="CJ775" s="274"/>
      <c r="CK775" s="39"/>
      <c r="CL775" s="39"/>
      <c r="CM775" s="39"/>
      <c r="CN775" s="39"/>
      <c r="CO775" s="39"/>
      <c r="CP775" s="11"/>
      <c r="CQ775" s="11"/>
      <c r="CR775" s="11"/>
      <c r="CS775" s="11"/>
      <c r="CT775" s="11"/>
      <c r="CU775" s="11"/>
      <c r="CV775" s="11"/>
      <c r="CW775" s="11"/>
      <c r="CX775" s="11"/>
      <c r="CY775" s="11"/>
      <c r="CZ775" s="11"/>
      <c r="DA775" s="11"/>
      <c r="DB775" s="11"/>
      <c r="DC775" s="11"/>
      <c r="DD775" s="11"/>
      <c r="DE775" s="11"/>
      <c r="DF775" s="11"/>
      <c r="DG775" s="11"/>
      <c r="DH775" s="11"/>
      <c r="DI775" s="11"/>
      <c r="DJ775" s="11"/>
      <c r="DK775" s="11"/>
      <c r="DL775" s="274"/>
      <c r="DM775" s="274"/>
      <c r="DN775" s="274"/>
      <c r="DO775" s="274"/>
      <c r="DP775" s="274"/>
      <c r="DQ775" s="274"/>
      <c r="DR775" s="274"/>
      <c r="DS775" s="274"/>
      <c r="DT775" s="274"/>
      <c r="DU775" s="274"/>
      <c r="DV775" s="274"/>
      <c r="DW775" s="274"/>
      <c r="DX775" s="274"/>
      <c r="DY775" s="274"/>
      <c r="DZ775" s="274"/>
      <c r="EA775" s="274"/>
      <c r="EB775" s="274"/>
      <c r="EC775" s="274"/>
      <c r="ED775" s="39">
        <f t="shared" si="259"/>
        <v>1867738.9888620689</v>
      </c>
      <c r="EE775" s="30">
        <f t="shared" si="260"/>
        <v>4</v>
      </c>
      <c r="EF775" s="39">
        <f t="shared" si="261"/>
        <v>466934.74721551721</v>
      </c>
    </row>
    <row r="776" spans="1:136" x14ac:dyDescent="0.25">
      <c r="A776" s="25" t="e">
        <f>#REF!</f>
        <v>#REF!</v>
      </c>
      <c r="B776" s="50" t="e">
        <f>#REF!</f>
        <v>#REF!</v>
      </c>
      <c r="C776" s="5" t="e">
        <f>#REF!</f>
        <v>#REF!</v>
      </c>
      <c r="D776" s="5" t="e">
        <f>#REF!</f>
        <v>#REF!</v>
      </c>
      <c r="E776" s="252">
        <v>1</v>
      </c>
      <c r="F776" s="249">
        <v>0</v>
      </c>
      <c r="G776" s="249">
        <v>0</v>
      </c>
      <c r="H776" s="249">
        <v>0</v>
      </c>
      <c r="I776" s="249">
        <v>0</v>
      </c>
      <c r="J776" s="249">
        <v>0</v>
      </c>
      <c r="K776" s="249">
        <v>0</v>
      </c>
      <c r="L776" s="274"/>
      <c r="M776" s="274"/>
      <c r="N776" s="255">
        <v>180000</v>
      </c>
      <c r="O776" s="135">
        <f t="shared" si="264"/>
        <v>34200</v>
      </c>
      <c r="P776" s="135">
        <f t="shared" si="265"/>
        <v>214200</v>
      </c>
      <c r="Q776" s="131"/>
      <c r="R776" s="131"/>
      <c r="S776" s="11"/>
      <c r="T776" s="274"/>
      <c r="U776" s="274"/>
      <c r="V776" s="274"/>
      <c r="W776" s="39"/>
      <c r="X776" s="11"/>
      <c r="Y776" s="11"/>
      <c r="Z776" s="274"/>
      <c r="AA776" s="274"/>
      <c r="AB776" s="274"/>
      <c r="AC776" s="52"/>
      <c r="AD776" s="22"/>
      <c r="AE776" s="39"/>
      <c r="AF776" s="274"/>
      <c r="AG776" s="274"/>
      <c r="AH776" s="274"/>
      <c r="AI776" s="11"/>
      <c r="AJ776" s="39"/>
      <c r="AK776" s="39"/>
      <c r="AL776" s="118"/>
      <c r="AM776" s="118"/>
      <c r="AN776" s="118"/>
      <c r="AO776" s="131"/>
      <c r="AP776" s="131"/>
      <c r="AQ776" s="39"/>
      <c r="AR776" s="274"/>
      <c r="AS776" s="274"/>
      <c r="AT776" s="274"/>
      <c r="AU776" s="39"/>
      <c r="AV776" s="39"/>
      <c r="AW776" s="39"/>
      <c r="AX776" s="274"/>
      <c r="AY776" s="274"/>
      <c r="AZ776" s="274"/>
      <c r="BA776" s="39"/>
      <c r="BB776" s="39"/>
      <c r="BC776" s="39"/>
      <c r="BD776" s="274"/>
      <c r="BE776" s="274"/>
      <c r="BF776" s="274"/>
      <c r="BG776" s="39"/>
      <c r="BH776" s="39"/>
      <c r="BI776" s="39"/>
      <c r="BJ776" s="274">
        <v>294400</v>
      </c>
      <c r="BK776" s="274">
        <f t="shared" si="250"/>
        <v>55936</v>
      </c>
      <c r="BL776" s="274">
        <f t="shared" si="251"/>
        <v>350336</v>
      </c>
      <c r="BM776" s="213" t="s">
        <v>5058</v>
      </c>
      <c r="BN776" s="213" t="s">
        <v>4995</v>
      </c>
      <c r="BO776" s="39"/>
      <c r="BP776" s="274">
        <v>365000</v>
      </c>
      <c r="BQ776" s="274">
        <f t="shared" si="266"/>
        <v>69350</v>
      </c>
      <c r="BR776" s="274">
        <f t="shared" si="267"/>
        <v>434350</v>
      </c>
      <c r="BS776" s="39"/>
      <c r="BT776" s="39"/>
      <c r="BU776" s="39"/>
      <c r="BV776" s="219">
        <v>324699.64800000004</v>
      </c>
      <c r="BW776" s="219">
        <f t="shared" si="262"/>
        <v>61692.933120000009</v>
      </c>
      <c r="BX776" s="273">
        <f t="shared" si="263"/>
        <v>386392.58112000005</v>
      </c>
      <c r="BY776" s="213" t="s">
        <v>5058</v>
      </c>
      <c r="BZ776" s="213" t="s">
        <v>4995</v>
      </c>
      <c r="CA776" s="213"/>
      <c r="CB776" s="274">
        <v>285765</v>
      </c>
      <c r="CC776" s="274">
        <f t="shared" si="257"/>
        <v>54295.35</v>
      </c>
      <c r="CD776" s="274">
        <f t="shared" si="258"/>
        <v>340060.35</v>
      </c>
      <c r="CE776" s="39"/>
      <c r="CF776" s="39"/>
      <c r="CG776" s="39"/>
      <c r="CH776" s="274"/>
      <c r="CI776" s="274"/>
      <c r="CJ776" s="274"/>
      <c r="CK776" s="39"/>
      <c r="CL776" s="39"/>
      <c r="CM776" s="39"/>
      <c r="CN776" s="39"/>
      <c r="CO776" s="39"/>
      <c r="CP776" s="11"/>
      <c r="CQ776" s="11"/>
      <c r="CR776" s="11"/>
      <c r="CS776" s="11"/>
      <c r="CT776" s="11"/>
      <c r="CU776" s="11"/>
      <c r="CV776" s="11"/>
      <c r="CW776" s="11"/>
      <c r="CX776" s="11"/>
      <c r="CY776" s="11"/>
      <c r="CZ776" s="11"/>
      <c r="DA776" s="11"/>
      <c r="DB776" s="11"/>
      <c r="DC776" s="11"/>
      <c r="DD776" s="11"/>
      <c r="DE776" s="11"/>
      <c r="DF776" s="11"/>
      <c r="DG776" s="11"/>
      <c r="DH776" s="11"/>
      <c r="DI776" s="11"/>
      <c r="DJ776" s="11"/>
      <c r="DK776" s="11"/>
      <c r="DL776" s="274"/>
      <c r="DM776" s="274"/>
      <c r="DN776" s="274"/>
      <c r="DO776" s="274"/>
      <c r="DP776" s="274"/>
      <c r="DQ776" s="274"/>
      <c r="DR776" s="274"/>
      <c r="DS776" s="274"/>
      <c r="DT776" s="274"/>
      <c r="DU776" s="274"/>
      <c r="DV776" s="274"/>
      <c r="DW776" s="274"/>
      <c r="DX776" s="274"/>
      <c r="DY776" s="274"/>
      <c r="DZ776" s="274"/>
      <c r="EA776" s="274"/>
      <c r="EB776" s="274"/>
      <c r="EC776" s="274"/>
      <c r="ED776" s="39">
        <f t="shared" si="259"/>
        <v>1725338.9311199998</v>
      </c>
      <c r="EE776" s="30">
        <f t="shared" si="260"/>
        <v>5</v>
      </c>
      <c r="EF776" s="39">
        <f t="shared" si="261"/>
        <v>345067.78622399998</v>
      </c>
    </row>
    <row r="777" spans="1:136" ht="36" x14ac:dyDescent="0.25">
      <c r="A777" s="25" t="e">
        <f>#REF!</f>
        <v>#REF!</v>
      </c>
      <c r="B777" s="50" t="e">
        <f>#REF!</f>
        <v>#REF!</v>
      </c>
      <c r="C777" s="5" t="e">
        <f>#REF!</f>
        <v>#REF!</v>
      </c>
      <c r="D777" s="5" t="e">
        <f>#REF!</f>
        <v>#REF!</v>
      </c>
      <c r="E777" s="252">
        <v>1</v>
      </c>
      <c r="F777" s="249">
        <v>0</v>
      </c>
      <c r="G777" s="249">
        <v>0</v>
      </c>
      <c r="H777" s="249">
        <v>0</v>
      </c>
      <c r="I777" s="249">
        <v>0</v>
      </c>
      <c r="J777" s="249">
        <v>173740</v>
      </c>
      <c r="K777" s="249">
        <v>0</v>
      </c>
      <c r="L777" s="274">
        <f>J777</f>
        <v>173740</v>
      </c>
      <c r="M777" s="274"/>
      <c r="N777" s="255">
        <v>155000</v>
      </c>
      <c r="O777" s="135">
        <f t="shared" si="264"/>
        <v>29450</v>
      </c>
      <c r="P777" s="135">
        <f t="shared" si="265"/>
        <v>184450</v>
      </c>
      <c r="Q777" s="11"/>
      <c r="R777" s="11"/>
      <c r="S777" s="11"/>
      <c r="T777" s="274"/>
      <c r="U777" s="274"/>
      <c r="V777" s="274"/>
      <c r="W777" s="11"/>
      <c r="X777" s="11"/>
      <c r="Y777" s="11"/>
      <c r="Z777" s="274"/>
      <c r="AA777" s="274"/>
      <c r="AB777" s="274"/>
      <c r="AC777" s="11"/>
      <c r="AD777" s="11"/>
      <c r="AE777" s="11"/>
      <c r="AF777" s="274"/>
      <c r="AG777" s="274"/>
      <c r="AH777" s="274"/>
      <c r="AI777" s="11"/>
      <c r="AJ777" s="11"/>
      <c r="AK777" s="11"/>
      <c r="AL777" s="118"/>
      <c r="AM777" s="118"/>
      <c r="AN777" s="118"/>
      <c r="AO777" s="52"/>
      <c r="AP777" s="52"/>
      <c r="AQ777" s="11"/>
      <c r="AR777" s="274"/>
      <c r="AS777" s="274"/>
      <c r="AT777" s="274"/>
      <c r="AU777" s="11"/>
      <c r="AV777" s="11"/>
      <c r="AW777" s="11"/>
      <c r="AX777" s="274"/>
      <c r="AY777" s="274"/>
      <c r="AZ777" s="274"/>
      <c r="BA777" s="11"/>
      <c r="BB777" s="11"/>
      <c r="BC777" s="11"/>
      <c r="BD777" s="274"/>
      <c r="BE777" s="274"/>
      <c r="BF777" s="274"/>
      <c r="BG777" s="11"/>
      <c r="BH777" s="11"/>
      <c r="BI777" s="11"/>
      <c r="BJ777" s="274">
        <v>205900</v>
      </c>
      <c r="BK777" s="274">
        <f t="shared" si="250"/>
        <v>39121</v>
      </c>
      <c r="BL777" s="274">
        <f t="shared" si="251"/>
        <v>245021</v>
      </c>
      <c r="BM777" s="213" t="s">
        <v>5058</v>
      </c>
      <c r="BN777" s="213" t="s">
        <v>5059</v>
      </c>
      <c r="BO777" s="11"/>
      <c r="BP777" s="274">
        <v>165000</v>
      </c>
      <c r="BQ777" s="274">
        <f t="shared" si="266"/>
        <v>31350</v>
      </c>
      <c r="BR777" s="274">
        <f t="shared" si="267"/>
        <v>196350</v>
      </c>
      <c r="BS777" s="11"/>
      <c r="BT777" s="11"/>
      <c r="BU777" s="11"/>
      <c r="BV777" s="219">
        <v>229274.79750000002</v>
      </c>
      <c r="BW777" s="219">
        <f t="shared" si="262"/>
        <v>43562.211525000006</v>
      </c>
      <c r="BX777" s="273">
        <f t="shared" si="263"/>
        <v>272837.00902500004</v>
      </c>
      <c r="BY777" s="213" t="s">
        <v>5058</v>
      </c>
      <c r="BZ777" s="213" t="s">
        <v>5059</v>
      </c>
      <c r="CA777" s="213"/>
      <c r="CB777" s="274"/>
      <c r="CC777" s="274"/>
      <c r="CD777" s="274"/>
      <c r="CE777" s="11"/>
      <c r="CF777" s="11"/>
      <c r="CG777" s="11"/>
      <c r="CH777" s="274"/>
      <c r="CI777" s="274"/>
      <c r="CJ777" s="274"/>
      <c r="CK777" s="11"/>
      <c r="CL777" s="11"/>
      <c r="CM777" s="11"/>
      <c r="CN777" s="11"/>
      <c r="CO777" s="11"/>
      <c r="CP777" s="11"/>
      <c r="CQ777" s="11"/>
      <c r="CR777" s="11"/>
      <c r="CS777" s="11"/>
      <c r="CT777" s="11"/>
      <c r="CU777" s="11"/>
      <c r="CV777" s="11"/>
      <c r="CW777" s="11"/>
      <c r="CX777" s="11"/>
      <c r="CY777" s="11"/>
      <c r="CZ777" s="11"/>
      <c r="DA777" s="11"/>
      <c r="DB777" s="11"/>
      <c r="DC777" s="11"/>
      <c r="DD777" s="11"/>
      <c r="DE777" s="11"/>
      <c r="DF777" s="11"/>
      <c r="DG777" s="11"/>
      <c r="DH777" s="11"/>
      <c r="DI777" s="11"/>
      <c r="DJ777" s="11"/>
      <c r="DK777" s="11"/>
      <c r="DL777" s="274"/>
      <c r="DM777" s="274"/>
      <c r="DN777" s="274"/>
      <c r="DO777" s="274"/>
      <c r="DP777" s="274"/>
      <c r="DQ777" s="274"/>
      <c r="DR777" s="274"/>
      <c r="DS777" s="274"/>
      <c r="DT777" s="274"/>
      <c r="DU777" s="274"/>
      <c r="DV777" s="274"/>
      <c r="DW777" s="274"/>
      <c r="DX777" s="274"/>
      <c r="DY777" s="274"/>
      <c r="DZ777" s="274"/>
      <c r="EA777" s="274"/>
      <c r="EB777" s="274"/>
      <c r="EC777" s="274"/>
      <c r="ED777" s="39">
        <f t="shared" si="259"/>
        <v>898658.00902500004</v>
      </c>
      <c r="EE777" s="30">
        <f t="shared" si="260"/>
        <v>4</v>
      </c>
      <c r="EF777" s="39">
        <f t="shared" si="261"/>
        <v>224664.50225625001</v>
      </c>
    </row>
    <row r="778" spans="1:136" x14ac:dyDescent="0.25">
      <c r="A778" s="25" t="e">
        <f>#REF!</f>
        <v>#REF!</v>
      </c>
      <c r="B778" s="50" t="e">
        <f>#REF!</f>
        <v>#REF!</v>
      </c>
      <c r="C778" s="5" t="e">
        <f>#REF!</f>
        <v>#REF!</v>
      </c>
      <c r="D778" s="5" t="e">
        <f>#REF!</f>
        <v>#REF!</v>
      </c>
      <c r="E778" s="252">
        <v>1</v>
      </c>
      <c r="F778" s="249">
        <v>5950</v>
      </c>
      <c r="G778" s="249">
        <v>2666</v>
      </c>
      <c r="H778" s="249">
        <v>7132.5563689892051</v>
      </c>
      <c r="I778" s="249">
        <v>0</v>
      </c>
      <c r="J778" s="249">
        <v>73141.763333333321</v>
      </c>
      <c r="K778" s="249">
        <v>0</v>
      </c>
      <c r="L778" s="274">
        <f>AVERAGE(F778,H778,J778)</f>
        <v>28741.439900774174</v>
      </c>
      <c r="M778" s="274">
        <f>G778*E1</f>
        <v>2745.98</v>
      </c>
      <c r="N778" s="255">
        <v>5000</v>
      </c>
      <c r="O778" s="135">
        <f t="shared" si="264"/>
        <v>950</v>
      </c>
      <c r="P778" s="135">
        <f t="shared" si="265"/>
        <v>5950</v>
      </c>
      <c r="Q778" s="11"/>
      <c r="R778" s="11"/>
      <c r="S778" s="11"/>
      <c r="T778" s="274">
        <v>2420</v>
      </c>
      <c r="U778" s="274">
        <f>+T778*0.19</f>
        <v>459.8</v>
      </c>
      <c r="V778" s="274">
        <f>+T778+U778</f>
        <v>2879.8</v>
      </c>
      <c r="W778" s="39" t="s">
        <v>445</v>
      </c>
      <c r="X778" s="11" t="s">
        <v>3180</v>
      </c>
      <c r="Y778" s="11"/>
      <c r="Z778" s="274"/>
      <c r="AA778" s="274"/>
      <c r="AB778" s="274"/>
      <c r="AC778" s="11"/>
      <c r="AD778" s="11"/>
      <c r="AE778" s="11"/>
      <c r="AF778" s="274"/>
      <c r="AG778" s="274"/>
      <c r="AH778" s="274"/>
      <c r="AI778" s="11"/>
      <c r="AJ778" s="11"/>
      <c r="AK778" s="11"/>
      <c r="AL778" s="118"/>
      <c r="AM778" s="118"/>
      <c r="AN778" s="118"/>
      <c r="AO778" s="52"/>
      <c r="AP778" s="52"/>
      <c r="AQ778" s="11"/>
      <c r="AR778" s="274"/>
      <c r="AS778" s="274"/>
      <c r="AT778" s="274"/>
      <c r="AU778" s="11"/>
      <c r="AV778" s="11"/>
      <c r="AW778" s="11"/>
      <c r="AX778" s="274"/>
      <c r="AY778" s="274"/>
      <c r="AZ778" s="274"/>
      <c r="BA778" s="11"/>
      <c r="BB778" s="11"/>
      <c r="BC778" s="11"/>
      <c r="BD778" s="274"/>
      <c r="BE778" s="274"/>
      <c r="BF778" s="274"/>
      <c r="BG778" s="11"/>
      <c r="BH778" s="11"/>
      <c r="BI778" s="11"/>
      <c r="BJ778" s="274">
        <v>10900</v>
      </c>
      <c r="BK778" s="274">
        <f t="shared" si="250"/>
        <v>2071</v>
      </c>
      <c r="BL778" s="274">
        <f t="shared" si="251"/>
        <v>12971</v>
      </c>
      <c r="BM778" s="215" t="s">
        <v>445</v>
      </c>
      <c r="BN778" s="213" t="s">
        <v>2925</v>
      </c>
      <c r="BO778" s="11"/>
      <c r="BP778" s="274">
        <v>4500</v>
      </c>
      <c r="BQ778" s="274">
        <f t="shared" si="266"/>
        <v>855</v>
      </c>
      <c r="BR778" s="274">
        <f t="shared" si="267"/>
        <v>5355</v>
      </c>
      <c r="BS778" s="11"/>
      <c r="BT778" s="11"/>
      <c r="BU778" s="11"/>
      <c r="BV778" s="219">
        <v>12980.919</v>
      </c>
      <c r="BW778" s="219">
        <f t="shared" si="262"/>
        <v>2466.3746099999998</v>
      </c>
      <c r="BX778" s="273">
        <f t="shared" si="263"/>
        <v>15447.293610000001</v>
      </c>
      <c r="BY778" s="215" t="s">
        <v>445</v>
      </c>
      <c r="BZ778" s="213" t="s">
        <v>2925</v>
      </c>
      <c r="CA778" s="213"/>
      <c r="CB778" s="274"/>
      <c r="CC778" s="274"/>
      <c r="CD778" s="274"/>
      <c r="CE778" s="11"/>
      <c r="CF778" s="11"/>
      <c r="CG778" s="11"/>
      <c r="CH778" s="274"/>
      <c r="CI778" s="274"/>
      <c r="CJ778" s="274"/>
      <c r="CK778" s="11"/>
      <c r="CL778" s="11"/>
      <c r="CM778" s="11"/>
      <c r="CN778" s="11"/>
      <c r="CO778" s="11"/>
      <c r="CP778" s="11"/>
      <c r="CQ778" s="11"/>
      <c r="CR778" s="11"/>
      <c r="CS778" s="11"/>
      <c r="CT778" s="11"/>
      <c r="CU778" s="11"/>
      <c r="CV778" s="11"/>
      <c r="CW778" s="11"/>
      <c r="CX778" s="11"/>
      <c r="CY778" s="11"/>
      <c r="CZ778" s="11"/>
      <c r="DA778" s="11"/>
      <c r="DB778" s="11"/>
      <c r="DC778" s="11"/>
      <c r="DD778" s="11"/>
      <c r="DE778" s="11"/>
      <c r="DF778" s="11"/>
      <c r="DG778" s="11"/>
      <c r="DH778" s="11"/>
      <c r="DI778" s="11"/>
      <c r="DJ778" s="11"/>
      <c r="DK778" s="11"/>
      <c r="DL778" s="274"/>
      <c r="DM778" s="274"/>
      <c r="DN778" s="274"/>
      <c r="DO778" s="274"/>
      <c r="DP778" s="274"/>
      <c r="DQ778" s="274"/>
      <c r="DR778" s="274"/>
      <c r="DS778" s="274"/>
      <c r="DT778" s="274"/>
      <c r="DU778" s="274"/>
      <c r="DV778" s="274"/>
      <c r="DW778" s="274"/>
      <c r="DX778" s="274"/>
      <c r="DY778" s="274"/>
      <c r="DZ778" s="274"/>
      <c r="EA778" s="274"/>
      <c r="EB778" s="274"/>
      <c r="EC778" s="274"/>
      <c r="ED778" s="39">
        <f t="shared" si="259"/>
        <v>45349.073609999999</v>
      </c>
      <c r="EE778" s="30">
        <f t="shared" si="260"/>
        <v>6</v>
      </c>
      <c r="EF778" s="39">
        <f t="shared" si="261"/>
        <v>7558.1789349999999</v>
      </c>
    </row>
    <row r="779" spans="1:136" ht="24" x14ac:dyDescent="0.25">
      <c r="A779" s="25" t="e">
        <f>#REF!</f>
        <v>#REF!</v>
      </c>
      <c r="B779" s="50" t="e">
        <f>#REF!</f>
        <v>#REF!</v>
      </c>
      <c r="C779" s="5" t="e">
        <f>#REF!</f>
        <v>#REF!</v>
      </c>
      <c r="D779" s="5" t="e">
        <f>#REF!</f>
        <v>#REF!</v>
      </c>
      <c r="E779" s="252">
        <v>1</v>
      </c>
      <c r="F779" s="249">
        <v>45041.5</v>
      </c>
      <c r="G779" s="249">
        <v>43911</v>
      </c>
      <c r="H779" s="249">
        <v>62950</v>
      </c>
      <c r="I779" s="249">
        <v>62832</v>
      </c>
      <c r="J779" s="249">
        <v>62307.738888888889</v>
      </c>
      <c r="K779" s="249">
        <v>59500</v>
      </c>
      <c r="L779" s="274">
        <f>AVERAGE(F779,H779,J779)</f>
        <v>56766.412962962961</v>
      </c>
      <c r="M779" s="274">
        <f>AVERAGE(G779,I779,K779)*E1</f>
        <v>57076.763333333336</v>
      </c>
      <c r="N779" s="255">
        <v>30000</v>
      </c>
      <c r="O779" s="135">
        <f t="shared" si="264"/>
        <v>5700</v>
      </c>
      <c r="P779" s="135">
        <f t="shared" si="265"/>
        <v>35700</v>
      </c>
      <c r="Q779" s="11"/>
      <c r="R779" s="11"/>
      <c r="S779" s="11"/>
      <c r="T779" s="274"/>
      <c r="U779" s="274"/>
      <c r="V779" s="274"/>
      <c r="W779" s="11"/>
      <c r="X779" s="11"/>
      <c r="Y779" s="11"/>
      <c r="Z779" s="274"/>
      <c r="AA779" s="274"/>
      <c r="AB779" s="274"/>
      <c r="AC779" s="11"/>
      <c r="AD779" s="11"/>
      <c r="AE779" s="11"/>
      <c r="AF779" s="274"/>
      <c r="AG779" s="274"/>
      <c r="AH779" s="274"/>
      <c r="AI779" s="11"/>
      <c r="AJ779" s="11"/>
      <c r="AK779" s="11"/>
      <c r="AL779" s="118"/>
      <c r="AM779" s="118"/>
      <c r="AN779" s="118"/>
      <c r="AO779" s="52"/>
      <c r="AP779" s="52"/>
      <c r="AQ779" s="11"/>
      <c r="AR779" s="274"/>
      <c r="AS779" s="274"/>
      <c r="AT779" s="274"/>
      <c r="AU779" s="11"/>
      <c r="AV779" s="11"/>
      <c r="AW779" s="11"/>
      <c r="AX779" s="274"/>
      <c r="AY779" s="274"/>
      <c r="AZ779" s="274"/>
      <c r="BA779" s="11"/>
      <c r="BB779" s="11"/>
      <c r="BC779" s="11"/>
      <c r="BD779" s="274"/>
      <c r="BE779" s="274"/>
      <c r="BF779" s="274"/>
      <c r="BG779" s="11"/>
      <c r="BH779" s="11"/>
      <c r="BI779" s="11"/>
      <c r="BJ779" s="274">
        <v>86000</v>
      </c>
      <c r="BK779" s="274">
        <f t="shared" si="250"/>
        <v>16340</v>
      </c>
      <c r="BL779" s="274">
        <f t="shared" si="251"/>
        <v>102340</v>
      </c>
      <c r="BM779" s="213" t="s">
        <v>5060</v>
      </c>
      <c r="BN779" s="213" t="s">
        <v>164</v>
      </c>
      <c r="BO779" s="11"/>
      <c r="BP779" s="274">
        <v>46000</v>
      </c>
      <c r="BQ779" s="274">
        <f t="shared" si="266"/>
        <v>8740</v>
      </c>
      <c r="BR779" s="274">
        <f t="shared" si="267"/>
        <v>54740</v>
      </c>
      <c r="BS779" s="11"/>
      <c r="BT779" s="11"/>
      <c r="BU779" s="11"/>
      <c r="BV779" s="219">
        <v>97668.48000000001</v>
      </c>
      <c r="BW779" s="219">
        <f t="shared" si="262"/>
        <v>18557.011200000001</v>
      </c>
      <c r="BX779" s="273">
        <f t="shared" si="263"/>
        <v>116225.49120000002</v>
      </c>
      <c r="BY779" s="213" t="s">
        <v>5060</v>
      </c>
      <c r="BZ779" s="213" t="s">
        <v>164</v>
      </c>
      <c r="CA779" s="213"/>
      <c r="CB779" s="274"/>
      <c r="CC779" s="274"/>
      <c r="CD779" s="274"/>
      <c r="CE779" s="11"/>
      <c r="CF779" s="11"/>
      <c r="CG779" s="11"/>
      <c r="CH779" s="274"/>
      <c r="CI779" s="274"/>
      <c r="CJ779" s="274"/>
      <c r="CK779" s="11"/>
      <c r="CL779" s="11"/>
      <c r="CM779" s="11"/>
      <c r="CN779" s="11"/>
      <c r="CO779" s="11"/>
      <c r="CP779" s="11"/>
      <c r="CQ779" s="11"/>
      <c r="CR779" s="11"/>
      <c r="CS779" s="11"/>
      <c r="CT779" s="11"/>
      <c r="CU779" s="11"/>
      <c r="CV779" s="11"/>
      <c r="CW779" s="11"/>
      <c r="CX779" s="11"/>
      <c r="CY779" s="11"/>
      <c r="CZ779" s="11"/>
      <c r="DA779" s="11"/>
      <c r="DB779" s="11"/>
      <c r="DC779" s="11"/>
      <c r="DD779" s="11"/>
      <c r="DE779" s="11"/>
      <c r="DF779" s="11"/>
      <c r="DG779" s="11"/>
      <c r="DH779" s="11"/>
      <c r="DI779" s="11"/>
      <c r="DJ779" s="11"/>
      <c r="DK779" s="11"/>
      <c r="DL779" s="274"/>
      <c r="DM779" s="274"/>
      <c r="DN779" s="274"/>
      <c r="DO779" s="274"/>
      <c r="DP779" s="274"/>
      <c r="DQ779" s="274"/>
      <c r="DR779" s="274"/>
      <c r="DS779" s="274"/>
      <c r="DT779" s="274"/>
      <c r="DU779" s="274"/>
      <c r="DV779" s="274"/>
      <c r="DW779" s="274"/>
      <c r="DX779" s="274"/>
      <c r="DY779" s="274"/>
      <c r="DZ779" s="274"/>
      <c r="EA779" s="274"/>
      <c r="EB779" s="274"/>
      <c r="EC779" s="274"/>
      <c r="ED779" s="39">
        <f t="shared" si="259"/>
        <v>366082.25453333335</v>
      </c>
      <c r="EE779" s="30">
        <f t="shared" si="260"/>
        <v>5</v>
      </c>
      <c r="EF779" s="39">
        <f t="shared" si="261"/>
        <v>73216.450906666665</v>
      </c>
    </row>
    <row r="780" spans="1:136" x14ac:dyDescent="0.25">
      <c r="A780" s="25" t="e">
        <f>#REF!</f>
        <v>#REF!</v>
      </c>
      <c r="B780" s="50" t="e">
        <f>#REF!</f>
        <v>#REF!</v>
      </c>
      <c r="C780" s="5" t="e">
        <f>#REF!</f>
        <v>#REF!</v>
      </c>
      <c r="D780" s="5" t="e">
        <f>#REF!</f>
        <v>#REF!</v>
      </c>
      <c r="E780" s="252">
        <v>1</v>
      </c>
      <c r="F780" s="249">
        <v>0</v>
      </c>
      <c r="G780" s="249">
        <v>0</v>
      </c>
      <c r="H780" s="249">
        <v>0</v>
      </c>
      <c r="I780" s="249">
        <v>0</v>
      </c>
      <c r="J780" s="249">
        <v>0</v>
      </c>
      <c r="K780" s="249">
        <v>0</v>
      </c>
      <c r="L780" s="274"/>
      <c r="M780" s="274"/>
      <c r="N780" s="255">
        <v>150000</v>
      </c>
      <c r="O780" s="135">
        <f t="shared" si="264"/>
        <v>28500</v>
      </c>
      <c r="P780" s="135">
        <f t="shared" si="265"/>
        <v>178500</v>
      </c>
      <c r="Q780" s="11"/>
      <c r="R780" s="11"/>
      <c r="S780" s="11"/>
      <c r="T780" s="274"/>
      <c r="U780" s="274"/>
      <c r="V780" s="274"/>
      <c r="W780" s="11"/>
      <c r="X780" s="11"/>
      <c r="Y780" s="11"/>
      <c r="Z780" s="274"/>
      <c r="AA780" s="274"/>
      <c r="AB780" s="274"/>
      <c r="AC780" s="11"/>
      <c r="AD780" s="11"/>
      <c r="AE780" s="11"/>
      <c r="AF780" s="274"/>
      <c r="AG780" s="274"/>
      <c r="AH780" s="274"/>
      <c r="AI780" s="11"/>
      <c r="AJ780" s="11"/>
      <c r="AK780" s="11"/>
      <c r="AL780" s="118"/>
      <c r="AM780" s="118"/>
      <c r="AN780" s="118"/>
      <c r="AO780" s="52"/>
      <c r="AP780" s="52"/>
      <c r="AQ780" s="11"/>
      <c r="AR780" s="274"/>
      <c r="AS780" s="274"/>
      <c r="AT780" s="274"/>
      <c r="AU780" s="11"/>
      <c r="AV780" s="11"/>
      <c r="AW780" s="11"/>
      <c r="AX780" s="274"/>
      <c r="AY780" s="274"/>
      <c r="AZ780" s="274"/>
      <c r="BA780" s="11"/>
      <c r="BB780" s="11"/>
      <c r="BC780" s="11"/>
      <c r="BD780" s="274"/>
      <c r="BE780" s="274"/>
      <c r="BF780" s="274"/>
      <c r="BG780" s="11"/>
      <c r="BH780" s="11"/>
      <c r="BI780" s="11"/>
      <c r="BJ780" s="275">
        <f>(200000/400)*100</f>
        <v>50000</v>
      </c>
      <c r="BK780" s="274">
        <f t="shared" si="250"/>
        <v>9500</v>
      </c>
      <c r="BL780" s="274">
        <f t="shared" si="251"/>
        <v>59500</v>
      </c>
      <c r="BM780" s="213" t="s">
        <v>5061</v>
      </c>
      <c r="BN780" s="213" t="s">
        <v>338</v>
      </c>
      <c r="BO780" s="11"/>
      <c r="BP780" s="274">
        <v>350000</v>
      </c>
      <c r="BQ780" s="274">
        <f t="shared" si="266"/>
        <v>66500</v>
      </c>
      <c r="BR780" s="274">
        <f t="shared" si="267"/>
        <v>416500</v>
      </c>
      <c r="BS780" s="11"/>
      <c r="BT780" s="11"/>
      <c r="BU780" s="11"/>
      <c r="BV780" s="219">
        <f>619416.044/4</f>
        <v>154854.011</v>
      </c>
      <c r="BW780" s="219">
        <f t="shared" si="262"/>
        <v>29422.26209</v>
      </c>
      <c r="BX780" s="273">
        <f t="shared" si="263"/>
        <v>184276.27309</v>
      </c>
      <c r="BY780" s="213" t="s">
        <v>5061</v>
      </c>
      <c r="BZ780" s="213" t="s">
        <v>338</v>
      </c>
      <c r="CA780" s="213"/>
      <c r="CB780" s="274"/>
      <c r="CC780" s="274"/>
      <c r="CD780" s="274"/>
      <c r="CE780" s="11"/>
      <c r="CF780" s="11"/>
      <c r="CG780" s="11"/>
      <c r="CH780" s="274"/>
      <c r="CI780" s="274"/>
      <c r="CJ780" s="274"/>
      <c r="CK780" s="11"/>
      <c r="CL780" s="11"/>
      <c r="CM780" s="11"/>
      <c r="CN780" s="11"/>
      <c r="CO780" s="11"/>
      <c r="CP780" s="11"/>
      <c r="CQ780" s="11"/>
      <c r="CR780" s="11"/>
      <c r="CS780" s="11"/>
      <c r="CT780" s="11"/>
      <c r="CU780" s="11"/>
      <c r="CV780" s="11"/>
      <c r="CW780" s="11"/>
      <c r="CX780" s="11"/>
      <c r="CY780" s="11"/>
      <c r="CZ780" s="11"/>
      <c r="DA780" s="11"/>
      <c r="DB780" s="11"/>
      <c r="DC780" s="11"/>
      <c r="DD780" s="11"/>
      <c r="DE780" s="11"/>
      <c r="DF780" s="11"/>
      <c r="DG780" s="11"/>
      <c r="DH780" s="11"/>
      <c r="DI780" s="11"/>
      <c r="DJ780" s="11"/>
      <c r="DK780" s="11"/>
      <c r="DL780" s="274"/>
      <c r="DM780" s="274"/>
      <c r="DN780" s="274"/>
      <c r="DO780" s="274"/>
      <c r="DP780" s="274"/>
      <c r="DQ780" s="274"/>
      <c r="DR780" s="274"/>
      <c r="DS780" s="274"/>
      <c r="DT780" s="274"/>
      <c r="DU780" s="274"/>
      <c r="DV780" s="274"/>
      <c r="DW780" s="274"/>
      <c r="DX780" s="274"/>
      <c r="DY780" s="274"/>
      <c r="DZ780" s="274"/>
      <c r="EA780" s="274"/>
      <c r="EB780" s="274"/>
      <c r="EC780" s="274"/>
      <c r="ED780" s="39">
        <f t="shared" si="259"/>
        <v>838776.27309000003</v>
      </c>
      <c r="EE780" s="30">
        <f t="shared" si="260"/>
        <v>4</v>
      </c>
      <c r="EF780" s="39">
        <f t="shared" si="261"/>
        <v>209694.06827250001</v>
      </c>
    </row>
    <row r="781" spans="1:136" x14ac:dyDescent="0.25">
      <c r="A781" s="25" t="e">
        <f>#REF!</f>
        <v>#REF!</v>
      </c>
      <c r="B781" s="50" t="e">
        <f>#REF!</f>
        <v>#REF!</v>
      </c>
      <c r="C781" s="5" t="e">
        <f>#REF!</f>
        <v>#REF!</v>
      </c>
      <c r="D781" s="5" t="e">
        <f>#REF!</f>
        <v>#REF!</v>
      </c>
      <c r="E781" s="252">
        <v>1</v>
      </c>
      <c r="F781" s="249">
        <v>0</v>
      </c>
      <c r="G781" s="249">
        <v>0</v>
      </c>
      <c r="H781" s="249">
        <v>0</v>
      </c>
      <c r="I781" s="249">
        <v>0</v>
      </c>
      <c r="J781" s="249">
        <v>0</v>
      </c>
      <c r="K781" s="249">
        <v>0</v>
      </c>
      <c r="L781" s="274"/>
      <c r="M781" s="274"/>
      <c r="N781" s="255">
        <v>220000</v>
      </c>
      <c r="O781" s="135">
        <f t="shared" si="264"/>
        <v>41800</v>
      </c>
      <c r="P781" s="135">
        <f t="shared" si="265"/>
        <v>261800</v>
      </c>
      <c r="Q781" s="11"/>
      <c r="R781" s="11"/>
      <c r="S781" s="11"/>
      <c r="T781" s="274"/>
      <c r="U781" s="274"/>
      <c r="V781" s="274"/>
      <c r="W781" s="11"/>
      <c r="X781" s="11"/>
      <c r="Y781" s="11"/>
      <c r="Z781" s="274"/>
      <c r="AA781" s="274"/>
      <c r="AB781" s="274"/>
      <c r="AC781" s="11"/>
      <c r="AD781" s="11"/>
      <c r="AE781" s="11"/>
      <c r="AF781" s="274"/>
      <c r="AG781" s="274"/>
      <c r="AH781" s="274"/>
      <c r="AI781" s="11"/>
      <c r="AJ781" s="11"/>
      <c r="AK781" s="11"/>
      <c r="AL781" s="118"/>
      <c r="AM781" s="118"/>
      <c r="AN781" s="118"/>
      <c r="AO781" s="52"/>
      <c r="AP781" s="52"/>
      <c r="AQ781" s="11"/>
      <c r="AR781" s="274"/>
      <c r="AS781" s="274"/>
      <c r="AT781" s="274"/>
      <c r="AU781" s="11"/>
      <c r="AV781" s="11"/>
      <c r="AW781" s="11"/>
      <c r="AX781" s="274"/>
      <c r="AY781" s="274"/>
      <c r="AZ781" s="274"/>
      <c r="BA781" s="11"/>
      <c r="BB781" s="11"/>
      <c r="BC781" s="11"/>
      <c r="BD781" s="274"/>
      <c r="BE781" s="274"/>
      <c r="BF781" s="274"/>
      <c r="BG781" s="11"/>
      <c r="BH781" s="11"/>
      <c r="BI781" s="11"/>
      <c r="BJ781" s="275">
        <f>400000/2</f>
        <v>200000</v>
      </c>
      <c r="BK781" s="274">
        <f t="shared" si="250"/>
        <v>38000</v>
      </c>
      <c r="BL781" s="274">
        <f t="shared" si="251"/>
        <v>238000</v>
      </c>
      <c r="BM781" s="213" t="s">
        <v>5062</v>
      </c>
      <c r="BN781" s="213" t="s">
        <v>338</v>
      </c>
      <c r="BO781" s="11"/>
      <c r="BP781" s="274">
        <v>385000</v>
      </c>
      <c r="BQ781" s="274">
        <f t="shared" si="266"/>
        <v>73150</v>
      </c>
      <c r="BR781" s="274">
        <f t="shared" si="267"/>
        <v>458150</v>
      </c>
      <c r="BS781" s="11"/>
      <c r="BT781" s="11"/>
      <c r="BU781" s="11"/>
      <c r="BV781" s="219">
        <f>2310055.02/2</f>
        <v>1155027.51</v>
      </c>
      <c r="BW781" s="219">
        <f t="shared" si="262"/>
        <v>219455.22690000001</v>
      </c>
      <c r="BX781" s="273">
        <f t="shared" si="263"/>
        <v>1374482.7368999999</v>
      </c>
      <c r="BY781" s="213" t="s">
        <v>5062</v>
      </c>
      <c r="BZ781" s="213" t="s">
        <v>338</v>
      </c>
      <c r="CA781" s="213"/>
      <c r="CB781" s="274"/>
      <c r="CC781" s="274"/>
      <c r="CD781" s="274"/>
      <c r="CE781" s="11"/>
      <c r="CF781" s="11"/>
      <c r="CG781" s="11"/>
      <c r="CH781" s="274"/>
      <c r="CI781" s="274"/>
      <c r="CJ781" s="274"/>
      <c r="CK781" s="11"/>
      <c r="CL781" s="11"/>
      <c r="CM781" s="11"/>
      <c r="CN781" s="11"/>
      <c r="CO781" s="11"/>
      <c r="CP781" s="11"/>
      <c r="CQ781" s="11"/>
      <c r="CR781" s="11"/>
      <c r="CS781" s="11"/>
      <c r="CT781" s="11"/>
      <c r="CU781" s="11"/>
      <c r="CV781" s="11"/>
      <c r="CW781" s="11"/>
      <c r="CX781" s="11"/>
      <c r="CY781" s="11"/>
      <c r="CZ781" s="11"/>
      <c r="DA781" s="11"/>
      <c r="DB781" s="11"/>
      <c r="DC781" s="11"/>
      <c r="DD781" s="11"/>
      <c r="DE781" s="11"/>
      <c r="DF781" s="11"/>
      <c r="DG781" s="11"/>
      <c r="DH781" s="11"/>
      <c r="DI781" s="11"/>
      <c r="DJ781" s="11"/>
      <c r="DK781" s="11"/>
      <c r="DL781" s="274"/>
      <c r="DM781" s="274"/>
      <c r="DN781" s="274"/>
      <c r="DO781" s="274"/>
      <c r="DP781" s="274"/>
      <c r="DQ781" s="274"/>
      <c r="DR781" s="274"/>
      <c r="DS781" s="274"/>
      <c r="DT781" s="274"/>
      <c r="DU781" s="274"/>
      <c r="DV781" s="274"/>
      <c r="DW781" s="274"/>
      <c r="DX781" s="274"/>
      <c r="DY781" s="274"/>
      <c r="DZ781" s="274"/>
      <c r="EA781" s="274"/>
      <c r="EB781" s="274"/>
      <c r="EC781" s="274"/>
      <c r="ED781" s="39">
        <f t="shared" si="259"/>
        <v>2332432.7368999999</v>
      </c>
      <c r="EE781" s="30">
        <f t="shared" si="260"/>
        <v>4</v>
      </c>
      <c r="EF781" s="39">
        <f t="shared" si="261"/>
        <v>583108.18422499998</v>
      </c>
    </row>
    <row r="782" spans="1:136" x14ac:dyDescent="0.25">
      <c r="A782" s="25" t="e">
        <f>#REF!</f>
        <v>#REF!</v>
      </c>
      <c r="B782" s="50" t="e">
        <f>#REF!</f>
        <v>#REF!</v>
      </c>
      <c r="C782" s="5" t="e">
        <f>#REF!</f>
        <v>#REF!</v>
      </c>
      <c r="D782" s="5" t="e">
        <f>#REF!</f>
        <v>#REF!</v>
      </c>
      <c r="E782" s="252">
        <v>1</v>
      </c>
      <c r="F782" s="249">
        <v>0</v>
      </c>
      <c r="G782" s="249">
        <v>0</v>
      </c>
      <c r="H782" s="249">
        <v>0</v>
      </c>
      <c r="I782" s="249">
        <v>0</v>
      </c>
      <c r="J782" s="249">
        <v>0</v>
      </c>
      <c r="K782" s="249">
        <v>0</v>
      </c>
      <c r="L782" s="274"/>
      <c r="M782" s="274"/>
      <c r="N782" s="255">
        <v>170000</v>
      </c>
      <c r="O782" s="135">
        <f t="shared" si="264"/>
        <v>32300</v>
      </c>
      <c r="P782" s="135">
        <f t="shared" si="265"/>
        <v>202300</v>
      </c>
      <c r="Q782" s="11"/>
      <c r="R782" s="11"/>
      <c r="S782" s="11"/>
      <c r="T782" s="274"/>
      <c r="U782" s="274"/>
      <c r="V782" s="274"/>
      <c r="W782" s="11"/>
      <c r="X782" s="11"/>
      <c r="Y782" s="11"/>
      <c r="Z782" s="274"/>
      <c r="AA782" s="274"/>
      <c r="AB782" s="274"/>
      <c r="AC782" s="11"/>
      <c r="AD782" s="11"/>
      <c r="AE782" s="11"/>
      <c r="AF782" s="274"/>
      <c r="AG782" s="274"/>
      <c r="AH782" s="274"/>
      <c r="AI782" s="11"/>
      <c r="AJ782" s="11"/>
      <c r="AK782" s="11"/>
      <c r="AL782" s="118"/>
      <c r="AM782" s="118"/>
      <c r="AN782" s="118"/>
      <c r="AO782" s="52"/>
      <c r="AP782" s="52"/>
      <c r="AQ782" s="11"/>
      <c r="AR782" s="274"/>
      <c r="AS782" s="274"/>
      <c r="AT782" s="274"/>
      <c r="AU782" s="11"/>
      <c r="AV782" s="11"/>
      <c r="AW782" s="11"/>
      <c r="AX782" s="274"/>
      <c r="AY782" s="274"/>
      <c r="AZ782" s="274"/>
      <c r="BA782" s="11"/>
      <c r="BB782" s="11"/>
      <c r="BC782" s="11"/>
      <c r="BD782" s="274"/>
      <c r="BE782" s="274"/>
      <c r="BF782" s="274"/>
      <c r="BG782" s="11"/>
      <c r="BH782" s="11"/>
      <c r="BI782" s="11"/>
      <c r="BJ782" s="275">
        <f>600000/2</f>
        <v>300000</v>
      </c>
      <c r="BK782" s="274">
        <f t="shared" si="250"/>
        <v>57000</v>
      </c>
      <c r="BL782" s="274">
        <f t="shared" si="251"/>
        <v>357000</v>
      </c>
      <c r="BM782" s="213" t="s">
        <v>5062</v>
      </c>
      <c r="BN782" s="213" t="s">
        <v>338</v>
      </c>
      <c r="BO782" s="11"/>
      <c r="BP782" s="274">
        <v>395000</v>
      </c>
      <c r="BQ782" s="274">
        <f t="shared" si="266"/>
        <v>75050</v>
      </c>
      <c r="BR782" s="274">
        <f t="shared" si="267"/>
        <v>470050</v>
      </c>
      <c r="BS782" s="11"/>
      <c r="BT782" s="11"/>
      <c r="BU782" s="11"/>
      <c r="BV782" s="219">
        <f>1870343.0512/2</f>
        <v>935171.52560000005</v>
      </c>
      <c r="BW782" s="219">
        <f t="shared" si="262"/>
        <v>177682.58986400001</v>
      </c>
      <c r="BX782" s="273">
        <f t="shared" si="263"/>
        <v>1112854.115464</v>
      </c>
      <c r="BY782" s="213" t="s">
        <v>5062</v>
      </c>
      <c r="BZ782" s="213" t="s">
        <v>338</v>
      </c>
      <c r="CA782" s="213"/>
      <c r="CB782" s="274"/>
      <c r="CC782" s="274"/>
      <c r="CD782" s="274"/>
      <c r="CE782" s="11"/>
      <c r="CF782" s="11"/>
      <c r="CG782" s="11"/>
      <c r="CH782" s="274"/>
      <c r="CI782" s="274"/>
      <c r="CJ782" s="274"/>
      <c r="CK782" s="11"/>
      <c r="CL782" s="11"/>
      <c r="CM782" s="11"/>
      <c r="CN782" s="11"/>
      <c r="CO782" s="11"/>
      <c r="CP782" s="11"/>
      <c r="CQ782" s="11"/>
      <c r="CR782" s="11"/>
      <c r="CS782" s="11"/>
      <c r="CT782" s="11"/>
      <c r="CU782" s="11"/>
      <c r="CV782" s="11"/>
      <c r="CW782" s="11"/>
      <c r="CX782" s="11"/>
      <c r="CY782" s="11"/>
      <c r="CZ782" s="11"/>
      <c r="DA782" s="11"/>
      <c r="DB782" s="11"/>
      <c r="DC782" s="11"/>
      <c r="DD782" s="11"/>
      <c r="DE782" s="11"/>
      <c r="DF782" s="11"/>
      <c r="DG782" s="11"/>
      <c r="DH782" s="11"/>
      <c r="DI782" s="11"/>
      <c r="DJ782" s="11"/>
      <c r="DK782" s="11"/>
      <c r="DL782" s="274"/>
      <c r="DM782" s="274"/>
      <c r="DN782" s="274"/>
      <c r="DO782" s="274"/>
      <c r="DP782" s="274"/>
      <c r="DQ782" s="274"/>
      <c r="DR782" s="274"/>
      <c r="DS782" s="274"/>
      <c r="DT782" s="274"/>
      <c r="DU782" s="274"/>
      <c r="DV782" s="274"/>
      <c r="DW782" s="274"/>
      <c r="DX782" s="274"/>
      <c r="DY782" s="274"/>
      <c r="DZ782" s="274"/>
      <c r="EA782" s="274"/>
      <c r="EB782" s="274"/>
      <c r="EC782" s="274"/>
      <c r="ED782" s="39">
        <f t="shared" si="259"/>
        <v>2142204.115464</v>
      </c>
      <c r="EE782" s="30">
        <f t="shared" si="260"/>
        <v>4</v>
      </c>
      <c r="EF782" s="39">
        <f t="shared" si="261"/>
        <v>535551.02886600001</v>
      </c>
    </row>
    <row r="783" spans="1:136" x14ac:dyDescent="0.25">
      <c r="A783" s="25" t="e">
        <f>#REF!</f>
        <v>#REF!</v>
      </c>
      <c r="B783" s="50" t="e">
        <f>#REF!</f>
        <v>#REF!</v>
      </c>
      <c r="C783" s="5" t="e">
        <f>#REF!</f>
        <v>#REF!</v>
      </c>
      <c r="D783" s="5" t="e">
        <f>#REF!</f>
        <v>#REF!</v>
      </c>
      <c r="E783" s="252">
        <v>1</v>
      </c>
      <c r="F783" s="249">
        <v>0</v>
      </c>
      <c r="G783" s="249">
        <v>0</v>
      </c>
      <c r="H783" s="249">
        <v>0</v>
      </c>
      <c r="I783" s="249">
        <v>0</v>
      </c>
      <c r="J783" s="249">
        <v>0</v>
      </c>
      <c r="K783" s="249">
        <v>0</v>
      </c>
      <c r="L783" s="274"/>
      <c r="M783" s="274"/>
      <c r="N783" s="255">
        <v>45000</v>
      </c>
      <c r="O783" s="135">
        <f t="shared" si="264"/>
        <v>8550</v>
      </c>
      <c r="P783" s="135">
        <f t="shared" si="265"/>
        <v>53550</v>
      </c>
      <c r="Q783" s="11"/>
      <c r="R783" s="11"/>
      <c r="S783" s="11"/>
      <c r="T783" s="274"/>
      <c r="U783" s="274"/>
      <c r="V783" s="274"/>
      <c r="W783" s="11"/>
      <c r="X783" s="11"/>
      <c r="Y783" s="11"/>
      <c r="Z783" s="274"/>
      <c r="AA783" s="274"/>
      <c r="AB783" s="274"/>
      <c r="AC783" s="11"/>
      <c r="AD783" s="11"/>
      <c r="AE783" s="11"/>
      <c r="AF783" s="274"/>
      <c r="AG783" s="274"/>
      <c r="AH783" s="274"/>
      <c r="AI783" s="11"/>
      <c r="AJ783" s="11"/>
      <c r="AK783" s="11"/>
      <c r="AL783" s="118"/>
      <c r="AM783" s="118"/>
      <c r="AN783" s="118"/>
      <c r="AO783" s="52"/>
      <c r="AP783" s="52"/>
      <c r="AQ783" s="11"/>
      <c r="AR783" s="274"/>
      <c r="AS783" s="274"/>
      <c r="AT783" s="274"/>
      <c r="AU783" s="11"/>
      <c r="AV783" s="11"/>
      <c r="AW783" s="11"/>
      <c r="AX783" s="274"/>
      <c r="AY783" s="274"/>
      <c r="AZ783" s="274"/>
      <c r="BA783" s="11"/>
      <c r="BB783" s="11"/>
      <c r="BC783" s="11"/>
      <c r="BD783" s="274"/>
      <c r="BE783" s="274"/>
      <c r="BF783" s="274"/>
      <c r="BG783" s="11"/>
      <c r="BH783" s="11"/>
      <c r="BI783" s="11"/>
      <c r="BJ783" s="275"/>
      <c r="BK783" s="274"/>
      <c r="BL783" s="274"/>
      <c r="BM783" s="213"/>
      <c r="BN783" s="213"/>
      <c r="BO783" s="11"/>
      <c r="BP783" s="274">
        <v>68000</v>
      </c>
      <c r="BQ783" s="274">
        <f t="shared" si="266"/>
        <v>12920</v>
      </c>
      <c r="BR783" s="274">
        <f t="shared" si="267"/>
        <v>80920</v>
      </c>
      <c r="BS783" s="11"/>
      <c r="BT783" s="11"/>
      <c r="BU783" s="11"/>
      <c r="BV783" s="219"/>
      <c r="BW783" s="219"/>
      <c r="BX783" s="273"/>
      <c r="BY783" s="213"/>
      <c r="BZ783" s="213"/>
      <c r="CA783" s="213"/>
      <c r="CB783" s="274"/>
      <c r="CC783" s="274"/>
      <c r="CD783" s="274"/>
      <c r="CE783" s="11"/>
      <c r="CF783" s="11"/>
      <c r="CG783" s="11"/>
      <c r="CH783" s="274"/>
      <c r="CI783" s="274"/>
      <c r="CJ783" s="274"/>
      <c r="CK783" s="11"/>
      <c r="CL783" s="11"/>
      <c r="CM783" s="11"/>
      <c r="CN783" s="11"/>
      <c r="CO783" s="11"/>
      <c r="CP783" s="11"/>
      <c r="CQ783" s="11"/>
      <c r="CR783" s="11"/>
      <c r="CS783" s="11"/>
      <c r="CT783" s="11"/>
      <c r="CU783" s="11"/>
      <c r="CV783" s="11"/>
      <c r="CW783" s="11"/>
      <c r="CX783" s="11"/>
      <c r="CY783" s="11"/>
      <c r="CZ783" s="11"/>
      <c r="DA783" s="11"/>
      <c r="DB783" s="11"/>
      <c r="DC783" s="11"/>
      <c r="DD783" s="11"/>
      <c r="DE783" s="11"/>
      <c r="DF783" s="11"/>
      <c r="DG783" s="11"/>
      <c r="DH783" s="11"/>
      <c r="DI783" s="11"/>
      <c r="DJ783" s="11"/>
      <c r="DK783" s="11"/>
      <c r="DL783" s="274"/>
      <c r="DM783" s="274"/>
      <c r="DN783" s="274"/>
      <c r="DO783" s="274"/>
      <c r="DP783" s="274"/>
      <c r="DQ783" s="274"/>
      <c r="DR783" s="274"/>
      <c r="DS783" s="274"/>
      <c r="DT783" s="274"/>
      <c r="DU783" s="274"/>
      <c r="DV783" s="274"/>
      <c r="DW783" s="274"/>
      <c r="DX783" s="274"/>
      <c r="DY783" s="274"/>
      <c r="DZ783" s="274"/>
      <c r="EA783" s="274"/>
      <c r="EB783" s="274"/>
      <c r="EC783" s="274"/>
      <c r="ED783" s="39">
        <f t="shared" si="259"/>
        <v>134470</v>
      </c>
      <c r="EE783" s="30">
        <f t="shared" si="260"/>
        <v>2</v>
      </c>
      <c r="EF783" s="39">
        <f t="shared" si="261"/>
        <v>67235</v>
      </c>
    </row>
    <row r="784" spans="1:136" x14ac:dyDescent="0.25">
      <c r="A784" s="25" t="e">
        <f>#REF!</f>
        <v>#REF!</v>
      </c>
      <c r="B784" s="50" t="e">
        <f>#REF!</f>
        <v>#REF!</v>
      </c>
      <c r="C784" s="5" t="e">
        <f>#REF!</f>
        <v>#REF!</v>
      </c>
      <c r="D784" s="5" t="e">
        <f>#REF!</f>
        <v>#REF!</v>
      </c>
      <c r="E784" s="252">
        <v>1</v>
      </c>
      <c r="F784" s="249">
        <v>0</v>
      </c>
      <c r="G784" s="249">
        <v>0</v>
      </c>
      <c r="H784" s="249">
        <v>0</v>
      </c>
      <c r="I784" s="249">
        <v>0</v>
      </c>
      <c r="J784" s="249">
        <v>0</v>
      </c>
      <c r="K784" s="249">
        <v>0</v>
      </c>
      <c r="L784" s="274"/>
      <c r="M784" s="274"/>
      <c r="N784" s="255"/>
      <c r="O784" s="135"/>
      <c r="P784" s="135"/>
      <c r="Q784" s="11"/>
      <c r="R784" s="11"/>
      <c r="S784" s="11"/>
      <c r="T784" s="274"/>
      <c r="U784" s="274"/>
      <c r="V784" s="274"/>
      <c r="W784" s="11"/>
      <c r="X784" s="11"/>
      <c r="Y784" s="11"/>
      <c r="Z784" s="274"/>
      <c r="AA784" s="274"/>
      <c r="AB784" s="274"/>
      <c r="AC784" s="11"/>
      <c r="AD784" s="11"/>
      <c r="AE784" s="11"/>
      <c r="AF784" s="274"/>
      <c r="AG784" s="274"/>
      <c r="AH784" s="274"/>
      <c r="AI784" s="11"/>
      <c r="AJ784" s="11"/>
      <c r="AK784" s="11"/>
      <c r="AL784" s="118"/>
      <c r="AM784" s="118"/>
      <c r="AN784" s="118"/>
      <c r="AO784" s="52"/>
      <c r="AP784" s="52"/>
      <c r="AQ784" s="11"/>
      <c r="AR784" s="274"/>
      <c r="AS784" s="274"/>
      <c r="AT784" s="274"/>
      <c r="AU784" s="11"/>
      <c r="AV784" s="11"/>
      <c r="AW784" s="11"/>
      <c r="AX784" s="274"/>
      <c r="AY784" s="274"/>
      <c r="AZ784" s="274"/>
      <c r="BA784" s="11"/>
      <c r="BB784" s="11"/>
      <c r="BC784" s="11"/>
      <c r="BD784" s="274"/>
      <c r="BE784" s="274"/>
      <c r="BF784" s="274"/>
      <c r="BG784" s="11"/>
      <c r="BH784" s="11"/>
      <c r="BI784" s="11"/>
      <c r="BJ784" s="274">
        <v>500</v>
      </c>
      <c r="BK784" s="274">
        <f>+BJ784*0.19</f>
        <v>95</v>
      </c>
      <c r="BL784" s="274">
        <f>+BJ784+BK784</f>
        <v>595</v>
      </c>
      <c r="BM784" s="213" t="s">
        <v>196</v>
      </c>
      <c r="BN784" s="213" t="s">
        <v>164</v>
      </c>
      <c r="BO784" s="11"/>
      <c r="BP784" s="274">
        <v>35000</v>
      </c>
      <c r="BQ784" s="274">
        <f t="shared" si="266"/>
        <v>6650</v>
      </c>
      <c r="BR784" s="274">
        <f t="shared" si="267"/>
        <v>41650</v>
      </c>
      <c r="BS784" s="11"/>
      <c r="BT784" s="11"/>
      <c r="BU784" s="11"/>
      <c r="BV784" s="219"/>
      <c r="BW784" s="219"/>
      <c r="BX784" s="273"/>
      <c r="BY784" s="213"/>
      <c r="BZ784" s="213"/>
      <c r="CA784" s="213"/>
      <c r="CB784" s="274"/>
      <c r="CC784" s="274"/>
      <c r="CD784" s="274"/>
      <c r="CE784" s="11"/>
      <c r="CF784" s="11"/>
      <c r="CG784" s="11"/>
      <c r="CH784" s="274"/>
      <c r="CI784" s="274"/>
      <c r="CJ784" s="274"/>
      <c r="CK784" s="11"/>
      <c r="CL784" s="11"/>
      <c r="CM784" s="11"/>
      <c r="CN784" s="11"/>
      <c r="CO784" s="11"/>
      <c r="CP784" s="11"/>
      <c r="CQ784" s="11"/>
      <c r="CR784" s="11"/>
      <c r="CS784" s="11"/>
      <c r="CT784" s="11"/>
      <c r="CU784" s="11"/>
      <c r="CV784" s="11"/>
      <c r="CW784" s="11"/>
      <c r="CX784" s="11"/>
      <c r="CY784" s="11"/>
      <c r="CZ784" s="11"/>
      <c r="DA784" s="11"/>
      <c r="DB784" s="11"/>
      <c r="DC784" s="11"/>
      <c r="DD784" s="11"/>
      <c r="DE784" s="11"/>
      <c r="DF784" s="11"/>
      <c r="DG784" s="11"/>
      <c r="DH784" s="11"/>
      <c r="DI784" s="11"/>
      <c r="DJ784" s="11"/>
      <c r="DK784" s="11"/>
      <c r="DL784" s="274"/>
      <c r="DM784" s="274"/>
      <c r="DN784" s="274"/>
      <c r="DO784" s="274"/>
      <c r="DP784" s="274"/>
      <c r="DQ784" s="274"/>
      <c r="DR784" s="274"/>
      <c r="DS784" s="274"/>
      <c r="DT784" s="274"/>
      <c r="DU784" s="274"/>
      <c r="DV784" s="274"/>
      <c r="DW784" s="274"/>
      <c r="DX784" s="274"/>
      <c r="DY784" s="274"/>
      <c r="DZ784" s="274"/>
      <c r="EA784" s="274"/>
      <c r="EB784" s="274"/>
      <c r="EC784" s="274"/>
      <c r="ED784" s="39">
        <f t="shared" si="259"/>
        <v>42245</v>
      </c>
      <c r="EE784" s="30">
        <f t="shared" si="260"/>
        <v>2</v>
      </c>
      <c r="EF784" s="39">
        <f t="shared" si="261"/>
        <v>21122.5</v>
      </c>
    </row>
    <row r="785" spans="1:136" ht="36" x14ac:dyDescent="0.25">
      <c r="A785" s="25" t="e">
        <f>#REF!</f>
        <v>#REF!</v>
      </c>
      <c r="B785" s="50" t="e">
        <f>#REF!</f>
        <v>#REF!</v>
      </c>
      <c r="C785" s="5" t="e">
        <f>#REF!</f>
        <v>#REF!</v>
      </c>
      <c r="D785" s="5" t="e">
        <f>#REF!</f>
        <v>#REF!</v>
      </c>
      <c r="E785" s="252">
        <v>1</v>
      </c>
      <c r="F785" s="249">
        <v>0</v>
      </c>
      <c r="G785" s="249">
        <v>0</v>
      </c>
      <c r="H785" s="249">
        <v>0</v>
      </c>
      <c r="I785" s="249">
        <v>0</v>
      </c>
      <c r="J785" s="249">
        <v>0</v>
      </c>
      <c r="K785" s="249">
        <v>0</v>
      </c>
      <c r="L785" s="274"/>
      <c r="M785" s="274"/>
      <c r="N785" s="255">
        <v>75000</v>
      </c>
      <c r="O785" s="135">
        <f>+N785*0.19</f>
        <v>14250</v>
      </c>
      <c r="P785" s="135">
        <f>+N785+O785</f>
        <v>89250</v>
      </c>
      <c r="Q785" s="11"/>
      <c r="R785" s="11"/>
      <c r="S785" s="11"/>
      <c r="T785" s="274"/>
      <c r="U785" s="274"/>
      <c r="V785" s="274"/>
      <c r="W785" s="11"/>
      <c r="X785" s="11"/>
      <c r="Y785" s="11"/>
      <c r="Z785" s="274"/>
      <c r="AA785" s="274"/>
      <c r="AB785" s="274"/>
      <c r="AC785" s="11"/>
      <c r="AD785" s="11"/>
      <c r="AE785" s="11"/>
      <c r="AF785" s="274"/>
      <c r="AG785" s="274"/>
      <c r="AH785" s="274"/>
      <c r="AI785" s="11"/>
      <c r="AJ785" s="11"/>
      <c r="AK785" s="11"/>
      <c r="AL785" s="118"/>
      <c r="AM785" s="118"/>
      <c r="AN785" s="118"/>
      <c r="AO785" s="52"/>
      <c r="AP785" s="52"/>
      <c r="AQ785" s="11"/>
      <c r="AR785" s="274"/>
      <c r="AS785" s="274"/>
      <c r="AT785" s="274"/>
      <c r="AU785" s="11"/>
      <c r="AV785" s="11"/>
      <c r="AW785" s="11"/>
      <c r="AX785" s="274"/>
      <c r="AY785" s="274"/>
      <c r="AZ785" s="274"/>
      <c r="BA785" s="11"/>
      <c r="BB785" s="11"/>
      <c r="BC785" s="11"/>
      <c r="BD785" s="274"/>
      <c r="BE785" s="274"/>
      <c r="BF785" s="274"/>
      <c r="BG785" s="11"/>
      <c r="BH785" s="11"/>
      <c r="BI785" s="11"/>
      <c r="BJ785" s="274">
        <v>460900</v>
      </c>
      <c r="BK785" s="274">
        <f>+BJ785*0.19</f>
        <v>87571</v>
      </c>
      <c r="BL785" s="274">
        <f>+BJ785+BK785</f>
        <v>548471</v>
      </c>
      <c r="BM785" s="213" t="s">
        <v>196</v>
      </c>
      <c r="BN785" s="213" t="s">
        <v>469</v>
      </c>
      <c r="BO785" s="11"/>
      <c r="BP785" s="274">
        <v>65000</v>
      </c>
      <c r="BQ785" s="274">
        <f t="shared" si="266"/>
        <v>12350</v>
      </c>
      <c r="BR785" s="274">
        <f t="shared" si="267"/>
        <v>77350</v>
      </c>
      <c r="BS785" s="11"/>
      <c r="BT785" s="11"/>
      <c r="BU785" s="11"/>
      <c r="BV785" s="219">
        <v>508527.5624</v>
      </c>
      <c r="BW785" s="219">
        <f>+BV785*0.19</f>
        <v>96620.236856000003</v>
      </c>
      <c r="BX785" s="273">
        <f>+BV785+BW785</f>
        <v>605147.79925599997</v>
      </c>
      <c r="BY785" s="213" t="s">
        <v>196</v>
      </c>
      <c r="BZ785" s="213" t="s">
        <v>469</v>
      </c>
      <c r="CA785" s="213"/>
      <c r="CB785" s="274"/>
      <c r="CC785" s="274"/>
      <c r="CD785" s="274"/>
      <c r="CE785" s="11"/>
      <c r="CF785" s="11"/>
      <c r="CG785" s="11"/>
      <c r="CH785" s="274"/>
      <c r="CI785" s="274"/>
      <c r="CJ785" s="274"/>
      <c r="CK785" s="11"/>
      <c r="CL785" s="11"/>
      <c r="CM785" s="11"/>
      <c r="CN785" s="11"/>
      <c r="CO785" s="11"/>
      <c r="CP785" s="11"/>
      <c r="CQ785" s="11"/>
      <c r="CR785" s="11"/>
      <c r="CS785" s="11"/>
      <c r="CT785" s="11"/>
      <c r="CU785" s="11"/>
      <c r="CV785" s="11"/>
      <c r="CW785" s="11"/>
      <c r="CX785" s="11"/>
      <c r="CY785" s="11"/>
      <c r="CZ785" s="11"/>
      <c r="DA785" s="11"/>
      <c r="DB785" s="11"/>
      <c r="DC785" s="11"/>
      <c r="DD785" s="11"/>
      <c r="DE785" s="11"/>
      <c r="DF785" s="11"/>
      <c r="DG785" s="11"/>
      <c r="DH785" s="11"/>
      <c r="DI785" s="11"/>
      <c r="DJ785" s="11"/>
      <c r="DK785" s="11"/>
      <c r="DL785" s="274"/>
      <c r="DM785" s="274"/>
      <c r="DN785" s="274"/>
      <c r="DO785" s="274"/>
      <c r="DP785" s="274"/>
      <c r="DQ785" s="274"/>
      <c r="DR785" s="274"/>
      <c r="DS785" s="274"/>
      <c r="DT785" s="274"/>
      <c r="DU785" s="274"/>
      <c r="DV785" s="274"/>
      <c r="DW785" s="274"/>
      <c r="DX785" s="274"/>
      <c r="DY785" s="274"/>
      <c r="DZ785" s="274"/>
      <c r="EA785" s="274"/>
      <c r="EB785" s="274"/>
      <c r="EC785" s="274"/>
      <c r="ED785" s="39">
        <f t="shared" si="259"/>
        <v>1320218.799256</v>
      </c>
      <c r="EE785" s="30">
        <f t="shared" si="260"/>
        <v>4</v>
      </c>
      <c r="EF785" s="39">
        <f t="shared" si="261"/>
        <v>330054.69981399999</v>
      </c>
    </row>
    <row r="786" spans="1:136" x14ac:dyDescent="0.25">
      <c r="A786" s="25" t="e">
        <f>#REF!</f>
        <v>#REF!</v>
      </c>
      <c r="B786" s="50" t="e">
        <f>#REF!</f>
        <v>#REF!</v>
      </c>
      <c r="C786" s="5" t="e">
        <f>#REF!</f>
        <v>#REF!</v>
      </c>
      <c r="D786" s="5" t="e">
        <f>#REF!</f>
        <v>#REF!</v>
      </c>
      <c r="E786" s="252">
        <v>1</v>
      </c>
      <c r="F786" s="249">
        <v>0</v>
      </c>
      <c r="G786" s="249">
        <v>0</v>
      </c>
      <c r="H786" s="249">
        <v>0</v>
      </c>
      <c r="I786" s="249">
        <v>0</v>
      </c>
      <c r="J786" s="249">
        <v>0</v>
      </c>
      <c r="K786" s="249">
        <v>0</v>
      </c>
      <c r="L786" s="274"/>
      <c r="M786" s="274"/>
      <c r="N786" s="255"/>
      <c r="O786" s="135"/>
      <c r="P786" s="135"/>
      <c r="Q786" s="11"/>
      <c r="R786" s="11"/>
      <c r="S786" s="11"/>
      <c r="T786" s="274"/>
      <c r="U786" s="274"/>
      <c r="V786" s="274"/>
      <c r="W786" s="11"/>
      <c r="X786" s="11"/>
      <c r="Y786" s="11"/>
      <c r="Z786" s="274"/>
      <c r="AA786" s="274"/>
      <c r="AB786" s="274"/>
      <c r="AC786" s="11"/>
      <c r="AD786" s="11"/>
      <c r="AE786" s="11"/>
      <c r="AF786" s="274"/>
      <c r="AG786" s="274"/>
      <c r="AH786" s="274"/>
      <c r="AI786" s="11"/>
      <c r="AJ786" s="11"/>
      <c r="AK786" s="11"/>
      <c r="AL786" s="118"/>
      <c r="AM786" s="118"/>
      <c r="AN786" s="118"/>
      <c r="AO786" s="52"/>
      <c r="AP786" s="52"/>
      <c r="AQ786" s="11"/>
      <c r="AR786" s="274"/>
      <c r="AS786" s="274"/>
      <c r="AT786" s="274"/>
      <c r="AU786" s="11"/>
      <c r="AV786" s="11"/>
      <c r="AW786" s="11"/>
      <c r="AX786" s="274"/>
      <c r="AY786" s="274"/>
      <c r="AZ786" s="274"/>
      <c r="BA786" s="11"/>
      <c r="BB786" s="11"/>
      <c r="BC786" s="11"/>
      <c r="BD786" s="274"/>
      <c r="BE786" s="274"/>
      <c r="BF786" s="274"/>
      <c r="BG786" s="11"/>
      <c r="BH786" s="11"/>
      <c r="BI786" s="11"/>
      <c r="BJ786" s="275">
        <v>604900</v>
      </c>
      <c r="BK786" s="275">
        <f>+BJ786*0.19</f>
        <v>114931</v>
      </c>
      <c r="BL786" s="275">
        <f>+BJ786+BK786</f>
        <v>719831</v>
      </c>
      <c r="BM786" s="213" t="s">
        <v>196</v>
      </c>
      <c r="BN786" s="213" t="s">
        <v>338</v>
      </c>
      <c r="BO786" s="11"/>
      <c r="BP786" s="274">
        <v>495000</v>
      </c>
      <c r="BQ786" s="274">
        <f t="shared" si="266"/>
        <v>94050</v>
      </c>
      <c r="BR786" s="274">
        <f t="shared" si="267"/>
        <v>589050</v>
      </c>
      <c r="BS786" s="11"/>
      <c r="BT786" s="11"/>
      <c r="BU786" s="11"/>
      <c r="BV786" s="219">
        <v>667283.33700000006</v>
      </c>
      <c r="BW786" s="219">
        <f>+BV786*0.19</f>
        <v>126783.83403000001</v>
      </c>
      <c r="BX786" s="273">
        <f>+BV786+BW786</f>
        <v>794067.17103000009</v>
      </c>
      <c r="BY786" s="213" t="s">
        <v>196</v>
      </c>
      <c r="BZ786" s="213" t="s">
        <v>338</v>
      </c>
      <c r="CA786" s="213"/>
      <c r="CB786" s="274"/>
      <c r="CC786" s="274"/>
      <c r="CD786" s="274"/>
      <c r="CE786" s="11"/>
      <c r="CF786" s="11"/>
      <c r="CG786" s="11"/>
      <c r="CH786" s="274"/>
      <c r="CI786" s="274"/>
      <c r="CJ786" s="274"/>
      <c r="CK786" s="11"/>
      <c r="CL786" s="11"/>
      <c r="CM786" s="11"/>
      <c r="CN786" s="11"/>
      <c r="CO786" s="11"/>
      <c r="CP786" s="11"/>
      <c r="CQ786" s="11"/>
      <c r="CR786" s="11"/>
      <c r="CS786" s="11"/>
      <c r="CT786" s="11"/>
      <c r="CU786" s="11"/>
      <c r="CV786" s="11"/>
      <c r="CW786" s="11"/>
      <c r="CX786" s="11"/>
      <c r="CY786" s="11"/>
      <c r="CZ786" s="11"/>
      <c r="DA786" s="11"/>
      <c r="DB786" s="11"/>
      <c r="DC786" s="11"/>
      <c r="DD786" s="11"/>
      <c r="DE786" s="11"/>
      <c r="DF786" s="11"/>
      <c r="DG786" s="11"/>
      <c r="DH786" s="11"/>
      <c r="DI786" s="11"/>
      <c r="DJ786" s="11"/>
      <c r="DK786" s="11"/>
      <c r="DL786" s="274"/>
      <c r="DM786" s="274"/>
      <c r="DN786" s="274"/>
      <c r="DO786" s="274"/>
      <c r="DP786" s="274"/>
      <c r="DQ786" s="274"/>
      <c r="DR786" s="274"/>
      <c r="DS786" s="274"/>
      <c r="DT786" s="274"/>
      <c r="DU786" s="274"/>
      <c r="DV786" s="274"/>
      <c r="DW786" s="274"/>
      <c r="DX786" s="274"/>
      <c r="DY786" s="274"/>
      <c r="DZ786" s="274"/>
      <c r="EA786" s="274"/>
      <c r="EB786" s="274"/>
      <c r="EC786" s="274"/>
      <c r="ED786" s="39">
        <f t="shared" si="259"/>
        <v>2102948.1710299999</v>
      </c>
      <c r="EE786" s="30">
        <f t="shared" si="260"/>
        <v>3</v>
      </c>
      <c r="EF786" s="39">
        <f t="shared" si="261"/>
        <v>700982.72367666662</v>
      </c>
    </row>
    <row r="787" spans="1:136" x14ac:dyDescent="0.25">
      <c r="A787" s="25" t="e">
        <f>#REF!</f>
        <v>#REF!</v>
      </c>
      <c r="B787" s="50" t="e">
        <f>#REF!</f>
        <v>#REF!</v>
      </c>
      <c r="C787" s="5" t="e">
        <f>#REF!</f>
        <v>#REF!</v>
      </c>
      <c r="D787" s="5" t="e">
        <f>#REF!</f>
        <v>#REF!</v>
      </c>
      <c r="E787" s="252">
        <v>1</v>
      </c>
      <c r="F787" s="249">
        <v>0</v>
      </c>
      <c r="G787" s="249">
        <v>0</v>
      </c>
      <c r="H787" s="249">
        <v>0</v>
      </c>
      <c r="I787" s="249">
        <v>0</v>
      </c>
      <c r="J787" s="249">
        <v>0</v>
      </c>
      <c r="K787" s="249">
        <v>0</v>
      </c>
      <c r="L787" s="274"/>
      <c r="M787" s="274"/>
      <c r="N787" s="255">
        <v>950000</v>
      </c>
      <c r="O787" s="135">
        <f>+N787*0.19</f>
        <v>180500</v>
      </c>
      <c r="P787" s="135">
        <f>+N787+O787</f>
        <v>1130500</v>
      </c>
      <c r="Q787" s="11"/>
      <c r="R787" s="11"/>
      <c r="S787" s="11"/>
      <c r="T787" s="274"/>
      <c r="U787" s="274"/>
      <c r="V787" s="274"/>
      <c r="W787" s="11"/>
      <c r="X787" s="11"/>
      <c r="Y787" s="11"/>
      <c r="Z787" s="274"/>
      <c r="AA787" s="274"/>
      <c r="AB787" s="274"/>
      <c r="AC787" s="11"/>
      <c r="AD787" s="11"/>
      <c r="AE787" s="11"/>
      <c r="AF787" s="274"/>
      <c r="AG787" s="274"/>
      <c r="AH787" s="274"/>
      <c r="AI787" s="11"/>
      <c r="AJ787" s="11"/>
      <c r="AK787" s="11"/>
      <c r="AL787" s="118"/>
      <c r="AM787" s="118"/>
      <c r="AN787" s="118"/>
      <c r="AO787" s="52"/>
      <c r="AP787" s="52"/>
      <c r="AQ787" s="11"/>
      <c r="AR787" s="274"/>
      <c r="AS787" s="274"/>
      <c r="AT787" s="274"/>
      <c r="AU787" s="11"/>
      <c r="AV787" s="11"/>
      <c r="AW787" s="11"/>
      <c r="AX787" s="274"/>
      <c r="AY787" s="274"/>
      <c r="AZ787" s="274"/>
      <c r="BA787" s="11"/>
      <c r="BB787" s="11"/>
      <c r="BC787" s="11"/>
      <c r="BD787" s="274"/>
      <c r="BE787" s="274"/>
      <c r="BF787" s="274"/>
      <c r="BG787" s="11"/>
      <c r="BH787" s="11"/>
      <c r="BI787" s="11"/>
      <c r="BJ787" s="274"/>
      <c r="BK787" s="274"/>
      <c r="BL787" s="274"/>
      <c r="BM787" s="213"/>
      <c r="BN787" s="213"/>
      <c r="BO787" s="11"/>
      <c r="BP787" s="274"/>
      <c r="BQ787" s="274"/>
      <c r="BR787" s="274"/>
      <c r="BS787" s="11"/>
      <c r="BT787" s="11"/>
      <c r="BU787" s="11"/>
      <c r="BV787" s="212"/>
      <c r="BW787" s="220"/>
      <c r="BX787" s="273"/>
      <c r="BY787" s="213"/>
      <c r="BZ787" s="213"/>
      <c r="CA787" s="213"/>
      <c r="CB787" s="274"/>
      <c r="CC787" s="274"/>
      <c r="CD787" s="274"/>
      <c r="CE787" s="11"/>
      <c r="CF787" s="11"/>
      <c r="CG787" s="11"/>
      <c r="CH787" s="274"/>
      <c r="CI787" s="274"/>
      <c r="CJ787" s="274"/>
      <c r="CK787" s="11"/>
      <c r="CL787" s="11"/>
      <c r="CM787" s="11"/>
      <c r="CN787" s="11"/>
      <c r="CO787" s="11"/>
      <c r="CP787" s="11"/>
      <c r="CQ787" s="11"/>
      <c r="CR787" s="11"/>
      <c r="CS787" s="11"/>
      <c r="CT787" s="11"/>
      <c r="CU787" s="11"/>
      <c r="CV787" s="11"/>
      <c r="CW787" s="11"/>
      <c r="CX787" s="11"/>
      <c r="CY787" s="11"/>
      <c r="CZ787" s="11"/>
      <c r="DA787" s="11"/>
      <c r="DB787" s="11"/>
      <c r="DC787" s="11"/>
      <c r="DD787" s="11"/>
      <c r="DE787" s="11"/>
      <c r="DF787" s="11"/>
      <c r="DG787" s="11"/>
      <c r="DH787" s="11"/>
      <c r="DI787" s="11"/>
      <c r="DJ787" s="11"/>
      <c r="DK787" s="11"/>
      <c r="DL787" s="274"/>
      <c r="DM787" s="274"/>
      <c r="DN787" s="274"/>
      <c r="DO787" s="274"/>
      <c r="DP787" s="274"/>
      <c r="DQ787" s="274"/>
      <c r="DR787" s="274"/>
      <c r="DS787" s="274"/>
      <c r="DT787" s="274"/>
      <c r="DU787" s="274"/>
      <c r="DV787" s="274"/>
      <c r="DW787" s="274"/>
      <c r="DX787" s="274"/>
      <c r="DY787" s="274"/>
      <c r="DZ787" s="274"/>
      <c r="EA787" s="274"/>
      <c r="EB787" s="274"/>
      <c r="EC787" s="274"/>
      <c r="ED787" s="39">
        <f t="shared" si="259"/>
        <v>1130500</v>
      </c>
      <c r="EE787" s="30">
        <f t="shared" si="260"/>
        <v>1</v>
      </c>
      <c r="EF787" s="39">
        <f t="shared" si="261"/>
        <v>1130500</v>
      </c>
    </row>
    <row r="788" spans="1:136" x14ac:dyDescent="0.25">
      <c r="A788" s="25" t="e">
        <f>#REF!</f>
        <v>#REF!</v>
      </c>
      <c r="B788" s="50" t="e">
        <f>#REF!</f>
        <v>#REF!</v>
      </c>
      <c r="C788" s="5" t="e">
        <f>#REF!</f>
        <v>#REF!</v>
      </c>
      <c r="D788" s="5" t="e">
        <f>#REF!</f>
        <v>#REF!</v>
      </c>
      <c r="E788" s="252">
        <v>1</v>
      </c>
      <c r="F788" s="249">
        <v>0</v>
      </c>
      <c r="G788" s="249">
        <v>0</v>
      </c>
      <c r="H788" s="249">
        <v>0</v>
      </c>
      <c r="I788" s="249">
        <v>0</v>
      </c>
      <c r="J788" s="249">
        <v>0</v>
      </c>
      <c r="K788" s="249">
        <v>0</v>
      </c>
      <c r="L788" s="274"/>
      <c r="M788" s="274"/>
      <c r="N788" s="255">
        <v>14000</v>
      </c>
      <c r="O788" s="135">
        <f>+N788*0.19</f>
        <v>2660</v>
      </c>
      <c r="P788" s="135">
        <f>+N788+O788</f>
        <v>16660</v>
      </c>
      <c r="Q788" s="11"/>
      <c r="R788" s="11"/>
      <c r="S788" s="11"/>
      <c r="T788" s="274"/>
      <c r="U788" s="274"/>
      <c r="V788" s="274"/>
      <c r="W788" s="11"/>
      <c r="X788" s="11"/>
      <c r="Y788" s="11"/>
      <c r="Z788" s="274"/>
      <c r="AA788" s="274"/>
      <c r="AB788" s="274"/>
      <c r="AC788" s="11"/>
      <c r="AD788" s="11"/>
      <c r="AE788" s="11"/>
      <c r="AF788" s="274"/>
      <c r="AG788" s="274"/>
      <c r="AH788" s="274"/>
      <c r="AI788" s="11"/>
      <c r="AJ788" s="11"/>
      <c r="AK788" s="11"/>
      <c r="AL788" s="118"/>
      <c r="AM788" s="118"/>
      <c r="AN788" s="118"/>
      <c r="AO788" s="52"/>
      <c r="AP788" s="52"/>
      <c r="AQ788" s="11"/>
      <c r="AR788" s="274"/>
      <c r="AS788" s="274"/>
      <c r="AT788" s="274"/>
      <c r="AU788" s="11"/>
      <c r="AV788" s="11"/>
      <c r="AW788" s="11"/>
      <c r="AX788" s="274"/>
      <c r="AY788" s="274"/>
      <c r="AZ788" s="274"/>
      <c r="BA788" s="11"/>
      <c r="BB788" s="11"/>
      <c r="BC788" s="11"/>
      <c r="BD788" s="274"/>
      <c r="BE788" s="274"/>
      <c r="BF788" s="274"/>
      <c r="BG788" s="11"/>
      <c r="BH788" s="11"/>
      <c r="BI788" s="11"/>
      <c r="BJ788" s="275">
        <v>6000</v>
      </c>
      <c r="BK788" s="275">
        <f t="shared" ref="BK788:BK813" si="268">+BJ788*0.19</f>
        <v>1140</v>
      </c>
      <c r="BL788" s="275">
        <f t="shared" ref="BL788:BL813" si="269">+BJ788+BK788</f>
        <v>7140</v>
      </c>
      <c r="BM788" s="213" t="s">
        <v>554</v>
      </c>
      <c r="BN788" s="213" t="s">
        <v>338</v>
      </c>
      <c r="BO788" s="11"/>
      <c r="BP788" s="274">
        <v>2800</v>
      </c>
      <c r="BQ788" s="274">
        <f>+BP788*19%</f>
        <v>532</v>
      </c>
      <c r="BR788" s="274">
        <f>+BQ788+BP788</f>
        <v>3332</v>
      </c>
      <c r="BS788" s="11"/>
      <c r="BT788" s="11"/>
      <c r="BU788" s="11"/>
      <c r="BV788" s="223"/>
      <c r="BW788" s="219"/>
      <c r="BX788" s="273"/>
      <c r="BY788" s="213"/>
      <c r="BZ788" s="213"/>
      <c r="CA788" s="213"/>
      <c r="CB788" s="274"/>
      <c r="CC788" s="274"/>
      <c r="CD788" s="274"/>
      <c r="CE788" s="11"/>
      <c r="CF788" s="11"/>
      <c r="CG788" s="11"/>
      <c r="CH788" s="274"/>
      <c r="CI788" s="274"/>
      <c r="CJ788" s="274"/>
      <c r="CK788" s="11"/>
      <c r="CL788" s="11"/>
      <c r="CM788" s="11"/>
      <c r="CN788" s="11"/>
      <c r="CO788" s="11"/>
      <c r="CP788" s="11"/>
      <c r="CQ788" s="11"/>
      <c r="CR788" s="11"/>
      <c r="CS788" s="11"/>
      <c r="CT788" s="11"/>
      <c r="CU788" s="11"/>
      <c r="CV788" s="11"/>
      <c r="CW788" s="11"/>
      <c r="CX788" s="11"/>
      <c r="CY788" s="11"/>
      <c r="CZ788" s="11"/>
      <c r="DA788" s="11"/>
      <c r="DB788" s="11"/>
      <c r="DC788" s="11"/>
      <c r="DD788" s="11"/>
      <c r="DE788" s="11"/>
      <c r="DF788" s="11"/>
      <c r="DG788" s="11"/>
      <c r="DH788" s="11"/>
      <c r="DI788" s="11"/>
      <c r="DJ788" s="11"/>
      <c r="DK788" s="11"/>
      <c r="DL788" s="274"/>
      <c r="DM788" s="274"/>
      <c r="DN788" s="274"/>
      <c r="DO788" s="274"/>
      <c r="DP788" s="274"/>
      <c r="DQ788" s="274"/>
      <c r="DR788" s="274"/>
      <c r="DS788" s="274"/>
      <c r="DT788" s="274"/>
      <c r="DU788" s="274"/>
      <c r="DV788" s="274"/>
      <c r="DW788" s="274"/>
      <c r="DX788" s="274"/>
      <c r="DY788" s="274"/>
      <c r="DZ788" s="274"/>
      <c r="EA788" s="274"/>
      <c r="EB788" s="274"/>
      <c r="EC788" s="274"/>
      <c r="ED788" s="39">
        <f t="shared" si="259"/>
        <v>27132</v>
      </c>
      <c r="EE788" s="30">
        <f t="shared" si="260"/>
        <v>3</v>
      </c>
      <c r="EF788" s="39">
        <f t="shared" si="261"/>
        <v>9044</v>
      </c>
    </row>
    <row r="789" spans="1:136" x14ac:dyDescent="0.25">
      <c r="A789" s="25" t="e">
        <f>#REF!</f>
        <v>#REF!</v>
      </c>
      <c r="B789" s="50" t="e">
        <f>#REF!</f>
        <v>#REF!</v>
      </c>
      <c r="C789" s="5" t="e">
        <f>#REF!</f>
        <v>#REF!</v>
      </c>
      <c r="D789" s="5" t="e">
        <f>#REF!</f>
        <v>#REF!</v>
      </c>
      <c r="E789" s="252">
        <v>1</v>
      </c>
      <c r="F789" s="249">
        <v>0</v>
      </c>
      <c r="G789" s="249">
        <v>0</v>
      </c>
      <c r="H789" s="249">
        <v>0</v>
      </c>
      <c r="I789" s="249">
        <v>0</v>
      </c>
      <c r="J789" s="249">
        <v>0</v>
      </c>
      <c r="K789" s="249">
        <v>0</v>
      </c>
      <c r="L789" s="274"/>
      <c r="M789" s="274"/>
      <c r="N789" s="255"/>
      <c r="O789" s="135"/>
      <c r="P789" s="135"/>
      <c r="Q789" s="11"/>
      <c r="R789" s="11"/>
      <c r="S789" s="11"/>
      <c r="T789" s="274">
        <v>41800</v>
      </c>
      <c r="U789" s="274">
        <f>+T789*0.19</f>
        <v>7942</v>
      </c>
      <c r="V789" s="274">
        <f>+T789+U789</f>
        <v>49742</v>
      </c>
      <c r="W789" s="11" t="s">
        <v>445</v>
      </c>
      <c r="X789" s="11" t="s">
        <v>2976</v>
      </c>
      <c r="Y789" s="11"/>
      <c r="Z789" s="274"/>
      <c r="AA789" s="274"/>
      <c r="AB789" s="274"/>
      <c r="AC789" s="11"/>
      <c r="AD789" s="11"/>
      <c r="AE789" s="11"/>
      <c r="AF789" s="274"/>
      <c r="AG789" s="274"/>
      <c r="AH789" s="274"/>
      <c r="AI789" s="11"/>
      <c r="AJ789" s="11"/>
      <c r="AK789" s="11"/>
      <c r="AL789" s="118"/>
      <c r="AM789" s="118"/>
      <c r="AN789" s="118"/>
      <c r="AO789" s="52"/>
      <c r="AP789" s="52"/>
      <c r="AQ789" s="11"/>
      <c r="AR789" s="274"/>
      <c r="AS789" s="274"/>
      <c r="AT789" s="274"/>
      <c r="AU789" s="11"/>
      <c r="AV789" s="11"/>
      <c r="AW789" s="11"/>
      <c r="AX789" s="274"/>
      <c r="AY789" s="274"/>
      <c r="AZ789" s="274"/>
      <c r="BA789" s="11"/>
      <c r="BB789" s="11"/>
      <c r="BC789" s="11"/>
      <c r="BD789" s="274"/>
      <c r="BE789" s="274"/>
      <c r="BF789" s="274"/>
      <c r="BG789" s="11"/>
      <c r="BH789" s="11"/>
      <c r="BI789" s="11"/>
      <c r="BJ789" s="275">
        <v>42000</v>
      </c>
      <c r="BK789" s="275">
        <f t="shared" si="268"/>
        <v>7980</v>
      </c>
      <c r="BL789" s="275">
        <f t="shared" si="269"/>
        <v>49980</v>
      </c>
      <c r="BM789" s="213" t="s">
        <v>196</v>
      </c>
      <c r="BN789" s="213" t="s">
        <v>2925</v>
      </c>
      <c r="BO789" s="11"/>
      <c r="BP789" s="274"/>
      <c r="BQ789" s="274"/>
      <c r="BR789" s="274"/>
      <c r="BS789" s="11"/>
      <c r="BT789" s="11"/>
      <c r="BU789" s="11"/>
      <c r="BV789" s="219">
        <v>47213.964000000007</v>
      </c>
      <c r="BW789" s="219">
        <f t="shared" ref="BW789:BW813" si="270">+BV789*0.19</f>
        <v>8970.6531600000017</v>
      </c>
      <c r="BX789" s="273">
        <f t="shared" ref="BX789:BX813" si="271">+BV789+BW789</f>
        <v>56184.617160000009</v>
      </c>
      <c r="BY789" s="213" t="s">
        <v>196</v>
      </c>
      <c r="BZ789" s="213" t="s">
        <v>2925</v>
      </c>
      <c r="CA789" s="213"/>
      <c r="CB789" s="274"/>
      <c r="CC789" s="274"/>
      <c r="CD789" s="274"/>
      <c r="CE789" s="11"/>
      <c r="CF789" s="11"/>
      <c r="CG789" s="11"/>
      <c r="CH789" s="274"/>
      <c r="CI789" s="274"/>
      <c r="CJ789" s="274"/>
      <c r="CK789" s="11"/>
      <c r="CL789" s="11"/>
      <c r="CM789" s="11"/>
      <c r="CN789" s="11"/>
      <c r="CO789" s="11"/>
      <c r="CP789" s="11"/>
      <c r="CQ789" s="11"/>
      <c r="CR789" s="11"/>
      <c r="CS789" s="11"/>
      <c r="CT789" s="11"/>
      <c r="CU789" s="11"/>
      <c r="CV789" s="11"/>
      <c r="CW789" s="11"/>
      <c r="CX789" s="11"/>
      <c r="CY789" s="11"/>
      <c r="CZ789" s="11"/>
      <c r="DA789" s="11"/>
      <c r="DB789" s="11"/>
      <c r="DC789" s="11"/>
      <c r="DD789" s="11"/>
      <c r="DE789" s="11"/>
      <c r="DF789" s="11"/>
      <c r="DG789" s="11"/>
      <c r="DH789" s="11"/>
      <c r="DI789" s="11"/>
      <c r="DJ789" s="11"/>
      <c r="DK789" s="11"/>
      <c r="DL789" s="274"/>
      <c r="DM789" s="274"/>
      <c r="DN789" s="274"/>
      <c r="DO789" s="274"/>
      <c r="DP789" s="274"/>
      <c r="DQ789" s="274"/>
      <c r="DR789" s="274"/>
      <c r="DS789" s="274"/>
      <c r="DT789" s="274"/>
      <c r="DU789" s="274"/>
      <c r="DV789" s="274"/>
      <c r="DW789" s="274"/>
      <c r="DX789" s="274"/>
      <c r="DY789" s="274"/>
      <c r="DZ789" s="274"/>
      <c r="EA789" s="274"/>
      <c r="EB789" s="274"/>
      <c r="EC789" s="274"/>
      <c r="ED789" s="39">
        <f t="shared" si="259"/>
        <v>155906.61716000002</v>
      </c>
      <c r="EE789" s="30">
        <f t="shared" si="260"/>
        <v>3</v>
      </c>
      <c r="EF789" s="39">
        <f t="shared" si="261"/>
        <v>51968.872386666677</v>
      </c>
    </row>
    <row r="790" spans="1:136" x14ac:dyDescent="0.25">
      <c r="A790" s="25" t="e">
        <f>#REF!</f>
        <v>#REF!</v>
      </c>
      <c r="B790" s="50" t="e">
        <f>#REF!</f>
        <v>#REF!</v>
      </c>
      <c r="C790" s="5" t="e">
        <f>#REF!</f>
        <v>#REF!</v>
      </c>
      <c r="D790" s="5" t="e">
        <f>#REF!</f>
        <v>#REF!</v>
      </c>
      <c r="E790" s="252">
        <v>1</v>
      </c>
      <c r="F790" s="249">
        <v>0</v>
      </c>
      <c r="G790" s="249">
        <v>0</v>
      </c>
      <c r="H790" s="249">
        <v>0</v>
      </c>
      <c r="I790" s="249">
        <v>0</v>
      </c>
      <c r="J790" s="249">
        <v>0</v>
      </c>
      <c r="K790" s="249">
        <v>0</v>
      </c>
      <c r="L790" s="274"/>
      <c r="M790" s="274"/>
      <c r="N790" s="255"/>
      <c r="O790" s="135"/>
      <c r="P790" s="135"/>
      <c r="Q790" s="11"/>
      <c r="R790" s="11"/>
      <c r="S790" s="11"/>
      <c r="T790" s="274">
        <v>43780</v>
      </c>
      <c r="U790" s="274">
        <f>+T790*0.19</f>
        <v>8318.2000000000007</v>
      </c>
      <c r="V790" s="274">
        <f>+T790+U790</f>
        <v>52098.2</v>
      </c>
      <c r="W790" s="11" t="s">
        <v>445</v>
      </c>
      <c r="X790" s="11" t="s">
        <v>2976</v>
      </c>
      <c r="Y790" s="11"/>
      <c r="Z790" s="274"/>
      <c r="AA790" s="274"/>
      <c r="AB790" s="274"/>
      <c r="AC790" s="11"/>
      <c r="AD790" s="11"/>
      <c r="AE790" s="11"/>
      <c r="AF790" s="274"/>
      <c r="AG790" s="274"/>
      <c r="AH790" s="274"/>
      <c r="AI790" s="11"/>
      <c r="AJ790" s="11"/>
      <c r="AK790" s="11"/>
      <c r="AL790" s="118"/>
      <c r="AM790" s="118"/>
      <c r="AN790" s="118"/>
      <c r="AO790" s="52"/>
      <c r="AP790" s="52"/>
      <c r="AQ790" s="11"/>
      <c r="AR790" s="274"/>
      <c r="AS790" s="274"/>
      <c r="AT790" s="274"/>
      <c r="AU790" s="11"/>
      <c r="AV790" s="11"/>
      <c r="AW790" s="11"/>
      <c r="AX790" s="274"/>
      <c r="AY790" s="274"/>
      <c r="AZ790" s="274"/>
      <c r="BA790" s="11"/>
      <c r="BB790" s="11"/>
      <c r="BC790" s="11"/>
      <c r="BD790" s="274"/>
      <c r="BE790" s="274"/>
      <c r="BF790" s="274"/>
      <c r="BG790" s="11"/>
      <c r="BH790" s="11"/>
      <c r="BI790" s="11"/>
      <c r="BJ790" s="274">
        <v>48500</v>
      </c>
      <c r="BK790" s="274">
        <f t="shared" si="268"/>
        <v>9215</v>
      </c>
      <c r="BL790" s="274">
        <f t="shared" si="269"/>
        <v>57715</v>
      </c>
      <c r="BM790" s="213" t="s">
        <v>196</v>
      </c>
      <c r="BN790" s="213" t="s">
        <v>2925</v>
      </c>
      <c r="BO790" s="11"/>
      <c r="BP790" s="274"/>
      <c r="BQ790" s="274"/>
      <c r="BR790" s="274"/>
      <c r="BS790" s="11"/>
      <c r="BT790" s="11"/>
      <c r="BU790" s="11"/>
      <c r="BV790" s="219">
        <v>54995.459500000012</v>
      </c>
      <c r="BW790" s="219">
        <f t="shared" si="270"/>
        <v>10449.137305000002</v>
      </c>
      <c r="BX790" s="273">
        <f t="shared" si="271"/>
        <v>65444.596805000016</v>
      </c>
      <c r="BY790" s="213" t="s">
        <v>196</v>
      </c>
      <c r="BZ790" s="213" t="s">
        <v>2925</v>
      </c>
      <c r="CA790" s="213"/>
      <c r="CB790" s="274">
        <v>2000423</v>
      </c>
      <c r="CC790" s="274">
        <f>+CB790*0.19</f>
        <v>380080.37</v>
      </c>
      <c r="CD790" s="274">
        <f>+CB790+CC790</f>
        <v>2380503.37</v>
      </c>
      <c r="CE790" s="11"/>
      <c r="CF790" s="11"/>
      <c r="CG790" s="11"/>
      <c r="CH790" s="274"/>
      <c r="CI790" s="274"/>
      <c r="CJ790" s="274"/>
      <c r="CK790" s="11"/>
      <c r="CL790" s="11"/>
      <c r="CM790" s="11"/>
      <c r="CN790" s="11"/>
      <c r="CO790" s="11"/>
      <c r="CP790" s="11"/>
      <c r="CQ790" s="11"/>
      <c r="CR790" s="11"/>
      <c r="CS790" s="11"/>
      <c r="CT790" s="11"/>
      <c r="CU790" s="11"/>
      <c r="CV790" s="11"/>
      <c r="CW790" s="11"/>
      <c r="CX790" s="11"/>
      <c r="CY790" s="11"/>
      <c r="CZ790" s="11"/>
      <c r="DA790" s="11"/>
      <c r="DB790" s="11"/>
      <c r="DC790" s="11"/>
      <c r="DD790" s="11"/>
      <c r="DE790" s="11"/>
      <c r="DF790" s="11"/>
      <c r="DG790" s="11"/>
      <c r="DH790" s="11"/>
      <c r="DI790" s="11"/>
      <c r="DJ790" s="11"/>
      <c r="DK790" s="11"/>
      <c r="DL790" s="274"/>
      <c r="DM790" s="274"/>
      <c r="DN790" s="274"/>
      <c r="DO790" s="274"/>
      <c r="DP790" s="274"/>
      <c r="DQ790" s="274"/>
      <c r="DR790" s="274"/>
      <c r="DS790" s="274"/>
      <c r="DT790" s="274"/>
      <c r="DU790" s="274"/>
      <c r="DV790" s="274"/>
      <c r="DW790" s="274"/>
      <c r="DX790" s="274"/>
      <c r="DY790" s="274"/>
      <c r="DZ790" s="274"/>
      <c r="EA790" s="274"/>
      <c r="EB790" s="274"/>
      <c r="EC790" s="274"/>
      <c r="ED790" s="39">
        <f t="shared" si="259"/>
        <v>2555761.166805</v>
      </c>
      <c r="EE790" s="30">
        <f t="shared" si="260"/>
        <v>4</v>
      </c>
      <c r="EF790" s="39">
        <f t="shared" si="261"/>
        <v>638940.29170125001</v>
      </c>
    </row>
    <row r="791" spans="1:136" ht="24" x14ac:dyDescent="0.25">
      <c r="A791" s="25" t="e">
        <f>#REF!</f>
        <v>#REF!</v>
      </c>
      <c r="B791" s="50" t="e">
        <f>#REF!</f>
        <v>#REF!</v>
      </c>
      <c r="C791" s="5" t="e">
        <f>#REF!</f>
        <v>#REF!</v>
      </c>
      <c r="D791" s="5" t="e">
        <f>#REF!</f>
        <v>#REF!</v>
      </c>
      <c r="E791" s="252">
        <v>1</v>
      </c>
      <c r="F791" s="249">
        <v>0</v>
      </c>
      <c r="G791" s="249">
        <v>0</v>
      </c>
      <c r="H791" s="249">
        <v>0</v>
      </c>
      <c r="I791" s="249">
        <v>0</v>
      </c>
      <c r="J791" s="249">
        <v>0</v>
      </c>
      <c r="K791" s="249">
        <v>0</v>
      </c>
      <c r="L791" s="274"/>
      <c r="M791" s="274"/>
      <c r="N791" s="255"/>
      <c r="O791" s="135"/>
      <c r="P791" s="135"/>
      <c r="Q791" s="11"/>
      <c r="R791" s="11"/>
      <c r="S791" s="11"/>
      <c r="T791" s="274"/>
      <c r="U791" s="274"/>
      <c r="V791" s="274"/>
      <c r="W791" s="11"/>
      <c r="X791" s="11"/>
      <c r="Y791" s="11"/>
      <c r="Z791" s="274"/>
      <c r="AA791" s="274"/>
      <c r="AB791" s="274"/>
      <c r="AC791" s="11"/>
      <c r="AD791" s="11"/>
      <c r="AE791" s="11"/>
      <c r="AF791" s="274"/>
      <c r="AG791" s="274"/>
      <c r="AH791" s="274"/>
      <c r="AI791" s="11"/>
      <c r="AJ791" s="11"/>
      <c r="AK791" s="11"/>
      <c r="AL791" s="118"/>
      <c r="AM791" s="118"/>
      <c r="AN791" s="118"/>
      <c r="AO791" s="52"/>
      <c r="AP791" s="52"/>
      <c r="AQ791" s="11"/>
      <c r="AR791" s="274"/>
      <c r="AS791" s="274"/>
      <c r="AT791" s="274"/>
      <c r="AU791" s="11"/>
      <c r="AV791" s="11"/>
      <c r="AW791" s="11"/>
      <c r="AX791" s="274"/>
      <c r="AY791" s="274"/>
      <c r="AZ791" s="274"/>
      <c r="BA791" s="11"/>
      <c r="BB791" s="11"/>
      <c r="BC791" s="11"/>
      <c r="BD791" s="274"/>
      <c r="BE791" s="274"/>
      <c r="BF791" s="274"/>
      <c r="BG791" s="11"/>
      <c r="BH791" s="11"/>
      <c r="BI791" s="11"/>
      <c r="BJ791" s="274">
        <v>5591500</v>
      </c>
      <c r="BK791" s="274">
        <f t="shared" si="268"/>
        <v>1062385</v>
      </c>
      <c r="BL791" s="274">
        <f t="shared" si="269"/>
        <v>6653885</v>
      </c>
      <c r="BM791" s="213" t="s">
        <v>196</v>
      </c>
      <c r="BN791" s="213" t="s">
        <v>424</v>
      </c>
      <c r="BO791" s="11"/>
      <c r="BP791" s="274">
        <v>3856000</v>
      </c>
      <c r="BQ791" s="274">
        <f>+BP791*19%</f>
        <v>732640</v>
      </c>
      <c r="BR791" s="274">
        <f>+BQ791+BP791</f>
        <v>4588640</v>
      </c>
      <c r="BS791" s="11"/>
      <c r="BT791" s="11"/>
      <c r="BU791" s="11"/>
      <c r="BV791" s="219">
        <v>6657776.6840000004</v>
      </c>
      <c r="BW791" s="219">
        <f t="shared" si="270"/>
        <v>1264977.56996</v>
      </c>
      <c r="BX791" s="273">
        <f t="shared" si="271"/>
        <v>7922754.2539600004</v>
      </c>
      <c r="BY791" s="213" t="s">
        <v>196</v>
      </c>
      <c r="BZ791" s="213" t="s">
        <v>424</v>
      </c>
      <c r="CA791" s="213"/>
      <c r="CB791" s="274"/>
      <c r="CC791" s="274"/>
      <c r="CD791" s="274"/>
      <c r="CE791" s="11"/>
      <c r="CF791" s="11"/>
      <c r="CG791" s="11"/>
      <c r="CH791" s="274"/>
      <c r="CI791" s="274"/>
      <c r="CJ791" s="274"/>
      <c r="CK791" s="11"/>
      <c r="CL791" s="11"/>
      <c r="CM791" s="11"/>
      <c r="CN791" s="11"/>
      <c r="CO791" s="11"/>
      <c r="CP791" s="11"/>
      <c r="CQ791" s="11"/>
      <c r="CR791" s="11"/>
      <c r="CS791" s="11"/>
      <c r="CT791" s="11"/>
      <c r="CU791" s="11"/>
      <c r="CV791" s="11"/>
      <c r="CW791" s="11"/>
      <c r="CX791" s="11"/>
      <c r="CY791" s="11"/>
      <c r="CZ791" s="11"/>
      <c r="DA791" s="11"/>
      <c r="DB791" s="11"/>
      <c r="DC791" s="11"/>
      <c r="DD791" s="11"/>
      <c r="DE791" s="11"/>
      <c r="DF791" s="11"/>
      <c r="DG791" s="11"/>
      <c r="DH791" s="11"/>
      <c r="DI791" s="11"/>
      <c r="DJ791" s="11"/>
      <c r="DK791" s="11"/>
      <c r="DL791" s="274"/>
      <c r="DM791" s="274"/>
      <c r="DN791" s="274"/>
      <c r="DO791" s="274"/>
      <c r="DP791" s="274"/>
      <c r="DQ791" s="274"/>
      <c r="DR791" s="274"/>
      <c r="DS791" s="274"/>
      <c r="DT791" s="274"/>
      <c r="DU791" s="274"/>
      <c r="DV791" s="274"/>
      <c r="DW791" s="274"/>
      <c r="DX791" s="274"/>
      <c r="DY791" s="274"/>
      <c r="DZ791" s="274"/>
      <c r="EA791" s="274"/>
      <c r="EB791" s="274"/>
      <c r="EC791" s="274"/>
      <c r="ED791" s="39">
        <f t="shared" si="259"/>
        <v>19165279.253959998</v>
      </c>
      <c r="EE791" s="30">
        <f t="shared" si="260"/>
        <v>3</v>
      </c>
      <c r="EF791" s="39">
        <f t="shared" si="261"/>
        <v>6388426.4179866659</v>
      </c>
    </row>
    <row r="792" spans="1:136" x14ac:dyDescent="0.25">
      <c r="A792" s="25" t="e">
        <f>#REF!</f>
        <v>#REF!</v>
      </c>
      <c r="B792" s="50" t="e">
        <f>#REF!</f>
        <v>#REF!</v>
      </c>
      <c r="C792" s="5" t="e">
        <f>#REF!</f>
        <v>#REF!</v>
      </c>
      <c r="D792" s="5" t="e">
        <f>#REF!</f>
        <v>#REF!</v>
      </c>
      <c r="E792" s="252">
        <v>1</v>
      </c>
      <c r="F792" s="249">
        <v>0</v>
      </c>
      <c r="G792" s="249">
        <v>0</v>
      </c>
      <c r="H792" s="249">
        <v>0</v>
      </c>
      <c r="I792" s="249">
        <v>0</v>
      </c>
      <c r="J792" s="249">
        <v>0</v>
      </c>
      <c r="K792" s="249">
        <v>0</v>
      </c>
      <c r="L792" s="274"/>
      <c r="M792" s="274"/>
      <c r="N792" s="255"/>
      <c r="O792" s="135"/>
      <c r="P792" s="135"/>
      <c r="Q792" s="11"/>
      <c r="R792" s="11"/>
      <c r="S792" s="11"/>
      <c r="T792" s="274"/>
      <c r="U792" s="274"/>
      <c r="V792" s="274"/>
      <c r="W792" s="11"/>
      <c r="X792" s="11"/>
      <c r="Y792" s="11"/>
      <c r="Z792" s="274"/>
      <c r="AA792" s="274"/>
      <c r="AB792" s="274"/>
      <c r="AC792" s="11"/>
      <c r="AD792" s="11"/>
      <c r="AE792" s="11"/>
      <c r="AF792" s="274"/>
      <c r="AG792" s="274"/>
      <c r="AH792" s="274"/>
      <c r="AI792" s="11"/>
      <c r="AJ792" s="11"/>
      <c r="AK792" s="11"/>
      <c r="AL792" s="118"/>
      <c r="AM792" s="118"/>
      <c r="AN792" s="118"/>
      <c r="AO792" s="52"/>
      <c r="AP792" s="52"/>
      <c r="AQ792" s="11"/>
      <c r="AR792" s="274"/>
      <c r="AS792" s="274"/>
      <c r="AT792" s="274"/>
      <c r="AU792" s="11"/>
      <c r="AV792" s="11"/>
      <c r="AW792" s="11"/>
      <c r="AX792" s="274"/>
      <c r="AY792" s="274"/>
      <c r="AZ792" s="274"/>
      <c r="BA792" s="11"/>
      <c r="BB792" s="11"/>
      <c r="BC792" s="11"/>
      <c r="BD792" s="274"/>
      <c r="BE792" s="274"/>
      <c r="BF792" s="274"/>
      <c r="BG792" s="11"/>
      <c r="BH792" s="11"/>
      <c r="BI792" s="11"/>
      <c r="BJ792" s="274">
        <v>1440200</v>
      </c>
      <c r="BK792" s="274">
        <f t="shared" si="268"/>
        <v>273638</v>
      </c>
      <c r="BL792" s="274">
        <f t="shared" si="269"/>
        <v>1713838</v>
      </c>
      <c r="BM792" s="213" t="s">
        <v>196</v>
      </c>
      <c r="BN792" s="213" t="s">
        <v>5063</v>
      </c>
      <c r="BO792" s="11"/>
      <c r="BP792" s="274"/>
      <c r="BQ792" s="274"/>
      <c r="BR792" s="274"/>
      <c r="BS792" s="11"/>
      <c r="BT792" s="11"/>
      <c r="BU792" s="11"/>
      <c r="BV792" s="219">
        <v>1620029.1328</v>
      </c>
      <c r="BW792" s="219">
        <f t="shared" si="270"/>
        <v>307805.53523199999</v>
      </c>
      <c r="BX792" s="273">
        <f t="shared" si="271"/>
        <v>1927834.6680320001</v>
      </c>
      <c r="BY792" s="213" t="s">
        <v>196</v>
      </c>
      <c r="BZ792" s="213" t="s">
        <v>5063</v>
      </c>
      <c r="CA792" s="213"/>
      <c r="CB792" s="274"/>
      <c r="CC792" s="274"/>
      <c r="CD792" s="274"/>
      <c r="CE792" s="11"/>
      <c r="CF792" s="11"/>
      <c r="CG792" s="11"/>
      <c r="CH792" s="274"/>
      <c r="CI792" s="274"/>
      <c r="CJ792" s="274"/>
      <c r="CK792" s="11"/>
      <c r="CL792" s="11"/>
      <c r="CM792" s="11"/>
      <c r="CN792" s="11"/>
      <c r="CO792" s="11"/>
      <c r="CP792" s="11"/>
      <c r="CQ792" s="11"/>
      <c r="CR792" s="11"/>
      <c r="CS792" s="11"/>
      <c r="CT792" s="11"/>
      <c r="CU792" s="11"/>
      <c r="CV792" s="11"/>
      <c r="CW792" s="11"/>
      <c r="CX792" s="11"/>
      <c r="CY792" s="11"/>
      <c r="CZ792" s="11"/>
      <c r="DA792" s="11"/>
      <c r="DB792" s="11"/>
      <c r="DC792" s="11"/>
      <c r="DD792" s="11"/>
      <c r="DE792" s="11"/>
      <c r="DF792" s="11"/>
      <c r="DG792" s="11"/>
      <c r="DH792" s="11"/>
      <c r="DI792" s="11"/>
      <c r="DJ792" s="11"/>
      <c r="DK792" s="11"/>
      <c r="DL792" s="274"/>
      <c r="DM792" s="274"/>
      <c r="DN792" s="274"/>
      <c r="DO792" s="274"/>
      <c r="DP792" s="274"/>
      <c r="DQ792" s="274"/>
      <c r="DR792" s="274"/>
      <c r="DS792" s="274"/>
      <c r="DT792" s="274"/>
      <c r="DU792" s="274"/>
      <c r="DV792" s="274"/>
      <c r="DW792" s="274"/>
      <c r="DX792" s="274"/>
      <c r="DY792" s="274"/>
      <c r="DZ792" s="274"/>
      <c r="EA792" s="274"/>
      <c r="EB792" s="274"/>
      <c r="EC792" s="274"/>
      <c r="ED792" s="39">
        <f t="shared" si="259"/>
        <v>3641672.6680319998</v>
      </c>
      <c r="EE792" s="30">
        <f t="shared" si="260"/>
        <v>2</v>
      </c>
      <c r="EF792" s="39">
        <f t="shared" si="261"/>
        <v>1820836.3340159999</v>
      </c>
    </row>
    <row r="793" spans="1:136" x14ac:dyDescent="0.25">
      <c r="A793" s="25" t="e">
        <f>#REF!</f>
        <v>#REF!</v>
      </c>
      <c r="B793" s="50" t="e">
        <f>#REF!</f>
        <v>#REF!</v>
      </c>
      <c r="C793" s="5" t="e">
        <f>#REF!</f>
        <v>#REF!</v>
      </c>
      <c r="D793" s="5" t="e">
        <f>#REF!</f>
        <v>#REF!</v>
      </c>
      <c r="E793" s="252">
        <v>1</v>
      </c>
      <c r="F793" s="249">
        <v>0</v>
      </c>
      <c r="G793" s="249">
        <v>0</v>
      </c>
      <c r="H793" s="249">
        <v>0</v>
      </c>
      <c r="I793" s="249">
        <v>0</v>
      </c>
      <c r="J793" s="249">
        <v>0</v>
      </c>
      <c r="K793" s="249">
        <v>0</v>
      </c>
      <c r="L793" s="274"/>
      <c r="M793" s="274"/>
      <c r="N793" s="255"/>
      <c r="O793" s="135"/>
      <c r="P793" s="135"/>
      <c r="Q793" s="11"/>
      <c r="R793" s="11"/>
      <c r="S793" s="11"/>
      <c r="T793" s="274"/>
      <c r="U793" s="274"/>
      <c r="V793" s="274"/>
      <c r="W793" s="11"/>
      <c r="X793" s="11"/>
      <c r="Y793" s="11"/>
      <c r="Z793" s="274"/>
      <c r="AA793" s="274"/>
      <c r="AB793" s="274"/>
      <c r="AC793" s="11"/>
      <c r="AD793" s="11"/>
      <c r="AE793" s="11"/>
      <c r="AF793" s="274"/>
      <c r="AG793" s="274"/>
      <c r="AH793" s="274"/>
      <c r="AI793" s="11"/>
      <c r="AJ793" s="11"/>
      <c r="AK793" s="11"/>
      <c r="AL793" s="118"/>
      <c r="AM793" s="118"/>
      <c r="AN793" s="118"/>
      <c r="AO793" s="52"/>
      <c r="AP793" s="52"/>
      <c r="AQ793" s="11"/>
      <c r="AR793" s="274"/>
      <c r="AS793" s="274"/>
      <c r="AT793" s="274"/>
      <c r="AU793" s="11"/>
      <c r="AV793" s="11"/>
      <c r="AW793" s="11"/>
      <c r="AX793" s="274"/>
      <c r="AY793" s="274"/>
      <c r="AZ793" s="274"/>
      <c r="BA793" s="11"/>
      <c r="BB793" s="11"/>
      <c r="BC793" s="11"/>
      <c r="BD793" s="274"/>
      <c r="BE793" s="274"/>
      <c r="BF793" s="274"/>
      <c r="BG793" s="11"/>
      <c r="BH793" s="11"/>
      <c r="BI793" s="11"/>
      <c r="BJ793" s="274">
        <v>3385500</v>
      </c>
      <c r="BK793" s="274">
        <f t="shared" si="268"/>
        <v>643245</v>
      </c>
      <c r="BL793" s="274">
        <f t="shared" si="269"/>
        <v>4028745</v>
      </c>
      <c r="BM793" s="213" t="s">
        <v>196</v>
      </c>
      <c r="BN793" s="213" t="s">
        <v>5063</v>
      </c>
      <c r="BO793" s="11"/>
      <c r="BP793" s="274"/>
      <c r="BQ793" s="274"/>
      <c r="BR793" s="274"/>
      <c r="BS793" s="11"/>
      <c r="BT793" s="11"/>
      <c r="BU793" s="11"/>
      <c r="BV793" s="219">
        <v>3807874.98</v>
      </c>
      <c r="BW793" s="219">
        <f t="shared" si="270"/>
        <v>723496.24620000005</v>
      </c>
      <c r="BX793" s="273">
        <f t="shared" si="271"/>
        <v>4531371.2262000004</v>
      </c>
      <c r="BY793" s="213" t="s">
        <v>196</v>
      </c>
      <c r="BZ793" s="213" t="s">
        <v>5063</v>
      </c>
      <c r="CA793" s="213"/>
      <c r="CB793" s="274"/>
      <c r="CC793" s="274"/>
      <c r="CD793" s="274"/>
      <c r="CE793" s="11"/>
      <c r="CF793" s="11"/>
      <c r="CG793" s="11"/>
      <c r="CH793" s="274"/>
      <c r="CI793" s="274"/>
      <c r="CJ793" s="274"/>
      <c r="CK793" s="11"/>
      <c r="CL793" s="11"/>
      <c r="CM793" s="11"/>
      <c r="CN793" s="11"/>
      <c r="CO793" s="11"/>
      <c r="CP793" s="11"/>
      <c r="CQ793" s="11"/>
      <c r="CR793" s="11"/>
      <c r="CS793" s="11"/>
      <c r="CT793" s="11"/>
      <c r="CU793" s="11"/>
      <c r="CV793" s="11"/>
      <c r="CW793" s="11"/>
      <c r="CX793" s="11"/>
      <c r="CY793" s="11"/>
      <c r="CZ793" s="11"/>
      <c r="DA793" s="11"/>
      <c r="DB793" s="11"/>
      <c r="DC793" s="11"/>
      <c r="DD793" s="11"/>
      <c r="DE793" s="11"/>
      <c r="DF793" s="11"/>
      <c r="DG793" s="11"/>
      <c r="DH793" s="11"/>
      <c r="DI793" s="11"/>
      <c r="DJ793" s="11"/>
      <c r="DK793" s="11"/>
      <c r="DL793" s="274"/>
      <c r="DM793" s="274"/>
      <c r="DN793" s="274"/>
      <c r="DO793" s="274"/>
      <c r="DP793" s="274"/>
      <c r="DQ793" s="274"/>
      <c r="DR793" s="274"/>
      <c r="DS793" s="274"/>
      <c r="DT793" s="274"/>
      <c r="DU793" s="274"/>
      <c r="DV793" s="274"/>
      <c r="DW793" s="274"/>
      <c r="DX793" s="274"/>
      <c r="DY793" s="274"/>
      <c r="DZ793" s="274"/>
      <c r="EA793" s="274"/>
      <c r="EB793" s="274"/>
      <c r="EC793" s="274"/>
      <c r="ED793" s="39">
        <f t="shared" si="259"/>
        <v>8560116.2261999995</v>
      </c>
      <c r="EE793" s="30">
        <f t="shared" si="260"/>
        <v>2</v>
      </c>
      <c r="EF793" s="39">
        <f t="shared" si="261"/>
        <v>4280058.1130999997</v>
      </c>
    </row>
    <row r="794" spans="1:136" x14ac:dyDescent="0.25">
      <c r="A794" s="25" t="e">
        <f>#REF!</f>
        <v>#REF!</v>
      </c>
      <c r="B794" s="50" t="e">
        <f>#REF!</f>
        <v>#REF!</v>
      </c>
      <c r="C794" s="5" t="e">
        <f>#REF!</f>
        <v>#REF!</v>
      </c>
      <c r="D794" s="5" t="e">
        <f>#REF!</f>
        <v>#REF!</v>
      </c>
      <c r="E794" s="252">
        <v>1</v>
      </c>
      <c r="F794" s="249">
        <v>0</v>
      </c>
      <c r="G794" s="249">
        <v>0</v>
      </c>
      <c r="H794" s="249">
        <v>0</v>
      </c>
      <c r="I794" s="249">
        <v>0</v>
      </c>
      <c r="J794" s="249">
        <v>0</v>
      </c>
      <c r="K794" s="249">
        <v>0</v>
      </c>
      <c r="L794" s="274"/>
      <c r="M794" s="274"/>
      <c r="N794" s="255"/>
      <c r="O794" s="135"/>
      <c r="P794" s="135"/>
      <c r="Q794" s="11"/>
      <c r="R794" s="11"/>
      <c r="S794" s="11"/>
      <c r="T794" s="274"/>
      <c r="U794" s="274"/>
      <c r="V794" s="274"/>
      <c r="W794" s="11"/>
      <c r="X794" s="11"/>
      <c r="Y794" s="11"/>
      <c r="Z794" s="274"/>
      <c r="AA794" s="274"/>
      <c r="AB794" s="274"/>
      <c r="AC794" s="11"/>
      <c r="AD794" s="11"/>
      <c r="AE794" s="11"/>
      <c r="AF794" s="274"/>
      <c r="AG794" s="274"/>
      <c r="AH794" s="274"/>
      <c r="AI794" s="11"/>
      <c r="AJ794" s="11"/>
      <c r="AK794" s="11"/>
      <c r="AL794" s="118"/>
      <c r="AM794" s="118"/>
      <c r="AN794" s="118"/>
      <c r="AO794" s="52"/>
      <c r="AP794" s="52"/>
      <c r="AQ794" s="11"/>
      <c r="AR794" s="274"/>
      <c r="AS794" s="274"/>
      <c r="AT794" s="274"/>
      <c r="AU794" s="11"/>
      <c r="AV794" s="11"/>
      <c r="AW794" s="11"/>
      <c r="AX794" s="274"/>
      <c r="AY794" s="274"/>
      <c r="AZ794" s="274"/>
      <c r="BA794" s="11"/>
      <c r="BB794" s="11"/>
      <c r="BC794" s="11"/>
      <c r="BD794" s="274"/>
      <c r="BE794" s="274"/>
      <c r="BF794" s="274"/>
      <c r="BG794" s="11"/>
      <c r="BH794" s="11"/>
      <c r="BI794" s="11"/>
      <c r="BJ794" s="274">
        <v>1470000</v>
      </c>
      <c r="BK794" s="274">
        <f t="shared" si="268"/>
        <v>279300</v>
      </c>
      <c r="BL794" s="274">
        <f t="shared" si="269"/>
        <v>1749300</v>
      </c>
      <c r="BM794" s="213" t="s">
        <v>196</v>
      </c>
      <c r="BN794" s="213" t="s">
        <v>5063</v>
      </c>
      <c r="BO794" s="11"/>
      <c r="BP794" s="274"/>
      <c r="BQ794" s="274"/>
      <c r="BR794" s="274"/>
      <c r="BS794" s="11"/>
      <c r="BT794" s="11"/>
      <c r="BU794" s="11"/>
      <c r="BV794" s="219">
        <v>1637344.8</v>
      </c>
      <c r="BW794" s="219">
        <f t="shared" si="270"/>
        <v>311095.51199999999</v>
      </c>
      <c r="BX794" s="273">
        <f t="shared" si="271"/>
        <v>1948440.3119999999</v>
      </c>
      <c r="BY794" s="213" t="s">
        <v>196</v>
      </c>
      <c r="BZ794" s="213" t="s">
        <v>5063</v>
      </c>
      <c r="CA794" s="213"/>
      <c r="CB794" s="274"/>
      <c r="CC794" s="274"/>
      <c r="CD794" s="274"/>
      <c r="CE794" s="11"/>
      <c r="CF794" s="11"/>
      <c r="CG794" s="11"/>
      <c r="CH794" s="274"/>
      <c r="CI794" s="274"/>
      <c r="CJ794" s="274"/>
      <c r="CK794" s="11"/>
      <c r="CL794" s="11"/>
      <c r="CM794" s="11"/>
      <c r="CN794" s="11"/>
      <c r="CO794" s="11"/>
      <c r="CP794" s="11"/>
      <c r="CQ794" s="11"/>
      <c r="CR794" s="11"/>
      <c r="CS794" s="11"/>
      <c r="CT794" s="11"/>
      <c r="CU794" s="11"/>
      <c r="CV794" s="11"/>
      <c r="CW794" s="11"/>
      <c r="CX794" s="11"/>
      <c r="CY794" s="11"/>
      <c r="CZ794" s="11"/>
      <c r="DA794" s="11"/>
      <c r="DB794" s="11"/>
      <c r="DC794" s="11"/>
      <c r="DD794" s="11"/>
      <c r="DE794" s="11"/>
      <c r="DF794" s="11"/>
      <c r="DG794" s="11"/>
      <c r="DH794" s="11"/>
      <c r="DI794" s="11"/>
      <c r="DJ794" s="11"/>
      <c r="DK794" s="11"/>
      <c r="DL794" s="274"/>
      <c r="DM794" s="274"/>
      <c r="DN794" s="274"/>
      <c r="DO794" s="274"/>
      <c r="DP794" s="274"/>
      <c r="DQ794" s="274"/>
      <c r="DR794" s="274"/>
      <c r="DS794" s="274"/>
      <c r="DT794" s="274"/>
      <c r="DU794" s="274"/>
      <c r="DV794" s="274"/>
      <c r="DW794" s="274"/>
      <c r="DX794" s="274"/>
      <c r="DY794" s="274"/>
      <c r="DZ794" s="274"/>
      <c r="EA794" s="274"/>
      <c r="EB794" s="274"/>
      <c r="EC794" s="274"/>
      <c r="ED794" s="39">
        <f t="shared" si="259"/>
        <v>3697740.3119999999</v>
      </c>
      <c r="EE794" s="30">
        <f t="shared" si="260"/>
        <v>2</v>
      </c>
      <c r="EF794" s="39">
        <f t="shared" si="261"/>
        <v>1848870.156</v>
      </c>
    </row>
    <row r="795" spans="1:136" x14ac:dyDescent="0.25">
      <c r="A795" s="25" t="e">
        <f>#REF!</f>
        <v>#REF!</v>
      </c>
      <c r="B795" s="50" t="e">
        <f>#REF!</f>
        <v>#REF!</v>
      </c>
      <c r="C795" s="5" t="e">
        <f>#REF!</f>
        <v>#REF!</v>
      </c>
      <c r="D795" s="5" t="e">
        <f>#REF!</f>
        <v>#REF!</v>
      </c>
      <c r="E795" s="252">
        <v>1</v>
      </c>
      <c r="F795" s="249">
        <v>0</v>
      </c>
      <c r="G795" s="249">
        <v>0</v>
      </c>
      <c r="H795" s="249">
        <v>0</v>
      </c>
      <c r="I795" s="249">
        <v>0</v>
      </c>
      <c r="J795" s="249">
        <v>0</v>
      </c>
      <c r="K795" s="249">
        <v>0</v>
      </c>
      <c r="L795" s="274"/>
      <c r="M795" s="274"/>
      <c r="N795" s="255"/>
      <c r="O795" s="135"/>
      <c r="P795" s="135"/>
      <c r="Q795" s="11"/>
      <c r="R795" s="11"/>
      <c r="S795" s="11"/>
      <c r="T795" s="274"/>
      <c r="U795" s="274"/>
      <c r="V795" s="274"/>
      <c r="W795" s="11"/>
      <c r="X795" s="11"/>
      <c r="Y795" s="11"/>
      <c r="Z795" s="274"/>
      <c r="AA795" s="274"/>
      <c r="AB795" s="274"/>
      <c r="AC795" s="11"/>
      <c r="AD795" s="11"/>
      <c r="AE795" s="11"/>
      <c r="AF795" s="274"/>
      <c r="AG795" s="274"/>
      <c r="AH795" s="274"/>
      <c r="AI795" s="11"/>
      <c r="AJ795" s="11"/>
      <c r="AK795" s="11"/>
      <c r="AL795" s="118"/>
      <c r="AM795" s="118"/>
      <c r="AN795" s="118"/>
      <c r="AO795" s="52"/>
      <c r="AP795" s="52"/>
      <c r="AQ795" s="11"/>
      <c r="AR795" s="274"/>
      <c r="AS795" s="274"/>
      <c r="AT795" s="274"/>
      <c r="AU795" s="11"/>
      <c r="AV795" s="11"/>
      <c r="AW795" s="11"/>
      <c r="AX795" s="274"/>
      <c r="AY795" s="274"/>
      <c r="AZ795" s="274"/>
      <c r="BA795" s="11"/>
      <c r="BB795" s="11"/>
      <c r="BC795" s="11"/>
      <c r="BD795" s="274"/>
      <c r="BE795" s="274"/>
      <c r="BF795" s="274"/>
      <c r="BG795" s="11"/>
      <c r="BH795" s="11"/>
      <c r="BI795" s="11"/>
      <c r="BJ795" s="274">
        <v>1400000</v>
      </c>
      <c r="BK795" s="274">
        <f t="shared" si="268"/>
        <v>266000</v>
      </c>
      <c r="BL795" s="274">
        <f t="shared" si="269"/>
        <v>1666000</v>
      </c>
      <c r="BM795" s="213" t="s">
        <v>196</v>
      </c>
      <c r="BN795" s="213" t="s">
        <v>5064</v>
      </c>
      <c r="BO795" s="11"/>
      <c r="BP795" s="274"/>
      <c r="BQ795" s="274"/>
      <c r="BR795" s="274"/>
      <c r="BS795" s="11"/>
      <c r="BT795" s="11"/>
      <c r="BU795" s="11"/>
      <c r="BV795" s="219">
        <v>1666375.2000000002</v>
      </c>
      <c r="BW795" s="219">
        <f t="shared" si="270"/>
        <v>316611.28800000006</v>
      </c>
      <c r="BX795" s="273">
        <f t="shared" si="271"/>
        <v>1982986.4880000004</v>
      </c>
      <c r="BY795" s="213" t="s">
        <v>196</v>
      </c>
      <c r="BZ795" s="213" t="s">
        <v>5064</v>
      </c>
      <c r="CA795" s="213"/>
      <c r="CB795" s="274"/>
      <c r="CC795" s="274"/>
      <c r="CD795" s="274"/>
      <c r="CE795" s="11"/>
      <c r="CF795" s="11"/>
      <c r="CG795" s="11"/>
      <c r="CH795" s="274"/>
      <c r="CI795" s="274"/>
      <c r="CJ795" s="274"/>
      <c r="CK795" s="11"/>
      <c r="CL795" s="11"/>
      <c r="CM795" s="11"/>
      <c r="CN795" s="11"/>
      <c r="CO795" s="11"/>
      <c r="CP795" s="11"/>
      <c r="CQ795" s="11"/>
      <c r="CR795" s="11"/>
      <c r="CS795" s="11"/>
      <c r="CT795" s="11"/>
      <c r="CU795" s="11"/>
      <c r="CV795" s="11"/>
      <c r="CW795" s="11"/>
      <c r="CX795" s="11"/>
      <c r="CY795" s="11"/>
      <c r="CZ795" s="11"/>
      <c r="DA795" s="11"/>
      <c r="DB795" s="11"/>
      <c r="DC795" s="11"/>
      <c r="DD795" s="11"/>
      <c r="DE795" s="11"/>
      <c r="DF795" s="11"/>
      <c r="DG795" s="11"/>
      <c r="DH795" s="11"/>
      <c r="DI795" s="11"/>
      <c r="DJ795" s="11"/>
      <c r="DK795" s="11"/>
      <c r="DL795" s="274"/>
      <c r="DM795" s="274"/>
      <c r="DN795" s="274"/>
      <c r="DO795" s="274"/>
      <c r="DP795" s="274"/>
      <c r="DQ795" s="274"/>
      <c r="DR795" s="274"/>
      <c r="DS795" s="274"/>
      <c r="DT795" s="274"/>
      <c r="DU795" s="274"/>
      <c r="DV795" s="274"/>
      <c r="DW795" s="274"/>
      <c r="DX795" s="274"/>
      <c r="DY795" s="274"/>
      <c r="DZ795" s="274"/>
      <c r="EA795" s="274"/>
      <c r="EB795" s="274"/>
      <c r="EC795" s="274"/>
      <c r="ED795" s="39">
        <f t="shared" si="259"/>
        <v>3648986.4880000004</v>
      </c>
      <c r="EE795" s="30">
        <f t="shared" si="260"/>
        <v>2</v>
      </c>
      <c r="EF795" s="39">
        <f t="shared" si="261"/>
        <v>1824493.2440000002</v>
      </c>
    </row>
    <row r="796" spans="1:136" x14ac:dyDescent="0.25">
      <c r="A796" s="25" t="e">
        <f>#REF!</f>
        <v>#REF!</v>
      </c>
      <c r="B796" s="50" t="e">
        <f>#REF!</f>
        <v>#REF!</v>
      </c>
      <c r="C796" s="5" t="e">
        <f>#REF!</f>
        <v>#REF!</v>
      </c>
      <c r="D796" s="5" t="e">
        <f>#REF!</f>
        <v>#REF!</v>
      </c>
      <c r="E796" s="252">
        <v>1</v>
      </c>
      <c r="F796" s="249">
        <v>0</v>
      </c>
      <c r="G796" s="249">
        <v>0</v>
      </c>
      <c r="H796" s="249">
        <v>0</v>
      </c>
      <c r="I796" s="249">
        <v>0</v>
      </c>
      <c r="J796" s="249">
        <v>0</v>
      </c>
      <c r="K796" s="249">
        <v>0</v>
      </c>
      <c r="L796" s="274"/>
      <c r="M796" s="274"/>
      <c r="N796" s="255"/>
      <c r="O796" s="135"/>
      <c r="P796" s="135"/>
      <c r="Q796" s="11"/>
      <c r="R796" s="11"/>
      <c r="S796" s="11"/>
      <c r="T796" s="274"/>
      <c r="U796" s="274"/>
      <c r="V796" s="274"/>
      <c r="W796" s="11"/>
      <c r="X796" s="11"/>
      <c r="Y796" s="11"/>
      <c r="Z796" s="274"/>
      <c r="AA796" s="274"/>
      <c r="AB796" s="274"/>
      <c r="AC796" s="11"/>
      <c r="AD796" s="11"/>
      <c r="AE796" s="11"/>
      <c r="AF796" s="274"/>
      <c r="AG796" s="274"/>
      <c r="AH796" s="274"/>
      <c r="AI796" s="11"/>
      <c r="AJ796" s="11"/>
      <c r="AK796" s="11"/>
      <c r="AL796" s="118"/>
      <c r="AM796" s="118"/>
      <c r="AN796" s="118"/>
      <c r="AO796" s="52"/>
      <c r="AP796" s="52"/>
      <c r="AQ796" s="11"/>
      <c r="AR796" s="274"/>
      <c r="AS796" s="274"/>
      <c r="AT796" s="274"/>
      <c r="AU796" s="11"/>
      <c r="AV796" s="11"/>
      <c r="AW796" s="11"/>
      <c r="AX796" s="274"/>
      <c r="AY796" s="274"/>
      <c r="AZ796" s="274"/>
      <c r="BA796" s="11"/>
      <c r="BB796" s="11"/>
      <c r="BC796" s="11"/>
      <c r="BD796" s="274"/>
      <c r="BE796" s="274"/>
      <c r="BF796" s="274"/>
      <c r="BG796" s="11"/>
      <c r="BH796" s="11"/>
      <c r="BI796" s="11"/>
      <c r="BJ796" s="274">
        <v>3501000</v>
      </c>
      <c r="BK796" s="274">
        <f t="shared" si="268"/>
        <v>665190</v>
      </c>
      <c r="BL796" s="274">
        <f t="shared" si="269"/>
        <v>4166190</v>
      </c>
      <c r="BM796" s="213" t="s">
        <v>196</v>
      </c>
      <c r="BN796" s="213" t="s">
        <v>5063</v>
      </c>
      <c r="BO796" s="11"/>
      <c r="BP796" s="274"/>
      <c r="BQ796" s="274"/>
      <c r="BR796" s="274"/>
      <c r="BS796" s="11"/>
      <c r="BT796" s="11"/>
      <c r="BU796" s="11"/>
      <c r="BV796" s="219">
        <v>3862058.13</v>
      </c>
      <c r="BW796" s="219">
        <f t="shared" si="270"/>
        <v>733791.04469999997</v>
      </c>
      <c r="BX796" s="273">
        <f t="shared" si="271"/>
        <v>4595849.1746999994</v>
      </c>
      <c r="BY796" s="213" t="s">
        <v>196</v>
      </c>
      <c r="BZ796" s="213" t="s">
        <v>5063</v>
      </c>
      <c r="CA796" s="213"/>
      <c r="CB796" s="274"/>
      <c r="CC796" s="274"/>
      <c r="CD796" s="274"/>
      <c r="CE796" s="11"/>
      <c r="CF796" s="11"/>
      <c r="CG796" s="11"/>
      <c r="CH796" s="274"/>
      <c r="CI796" s="274"/>
      <c r="CJ796" s="274"/>
      <c r="CK796" s="11"/>
      <c r="CL796" s="11"/>
      <c r="CM796" s="11"/>
      <c r="CN796" s="11"/>
      <c r="CO796" s="11"/>
      <c r="CP796" s="11"/>
      <c r="CQ796" s="11"/>
      <c r="CR796" s="11"/>
      <c r="CS796" s="11"/>
      <c r="CT796" s="11"/>
      <c r="CU796" s="11"/>
      <c r="CV796" s="11"/>
      <c r="CW796" s="11"/>
      <c r="CX796" s="11"/>
      <c r="CY796" s="11"/>
      <c r="CZ796" s="11"/>
      <c r="DA796" s="11"/>
      <c r="DB796" s="11"/>
      <c r="DC796" s="11"/>
      <c r="DD796" s="11"/>
      <c r="DE796" s="11"/>
      <c r="DF796" s="11"/>
      <c r="DG796" s="11"/>
      <c r="DH796" s="11"/>
      <c r="DI796" s="11"/>
      <c r="DJ796" s="11"/>
      <c r="DK796" s="11"/>
      <c r="DL796" s="274"/>
      <c r="DM796" s="274"/>
      <c r="DN796" s="274"/>
      <c r="DO796" s="274"/>
      <c r="DP796" s="274"/>
      <c r="DQ796" s="274"/>
      <c r="DR796" s="274"/>
      <c r="DS796" s="274"/>
      <c r="DT796" s="274"/>
      <c r="DU796" s="274"/>
      <c r="DV796" s="274"/>
      <c r="DW796" s="274"/>
      <c r="DX796" s="274"/>
      <c r="DY796" s="274"/>
      <c r="DZ796" s="274"/>
      <c r="EA796" s="274"/>
      <c r="EB796" s="274"/>
      <c r="EC796" s="274"/>
      <c r="ED796" s="39">
        <f t="shared" si="259"/>
        <v>8762039.1746999994</v>
      </c>
      <c r="EE796" s="30">
        <f t="shared" si="260"/>
        <v>2</v>
      </c>
      <c r="EF796" s="39">
        <f t="shared" si="261"/>
        <v>4381019.5873499997</v>
      </c>
    </row>
    <row r="797" spans="1:136" x14ac:dyDescent="0.25">
      <c r="A797" s="25" t="e">
        <f>#REF!</f>
        <v>#REF!</v>
      </c>
      <c r="B797" s="50" t="e">
        <f>#REF!</f>
        <v>#REF!</v>
      </c>
      <c r="C797" s="5" t="e">
        <f>#REF!</f>
        <v>#REF!</v>
      </c>
      <c r="D797" s="5" t="e">
        <f>#REF!</f>
        <v>#REF!</v>
      </c>
      <c r="E797" s="252">
        <v>1</v>
      </c>
      <c r="F797" s="249">
        <v>0</v>
      </c>
      <c r="G797" s="249">
        <v>0</v>
      </c>
      <c r="H797" s="249">
        <v>0</v>
      </c>
      <c r="I797" s="249">
        <v>0</v>
      </c>
      <c r="J797" s="249">
        <v>0</v>
      </c>
      <c r="K797" s="249">
        <v>0</v>
      </c>
      <c r="L797" s="274"/>
      <c r="M797" s="274"/>
      <c r="N797" s="255"/>
      <c r="O797" s="135"/>
      <c r="P797" s="135"/>
      <c r="Q797" s="11"/>
      <c r="R797" s="11"/>
      <c r="S797" s="11"/>
      <c r="T797" s="274"/>
      <c r="U797" s="274"/>
      <c r="V797" s="274"/>
      <c r="W797" s="11"/>
      <c r="X797" s="11"/>
      <c r="Y797" s="11"/>
      <c r="Z797" s="274"/>
      <c r="AA797" s="274"/>
      <c r="AB797" s="274"/>
      <c r="AC797" s="11"/>
      <c r="AD797" s="11"/>
      <c r="AE797" s="11"/>
      <c r="AF797" s="274"/>
      <c r="AG797" s="274"/>
      <c r="AH797" s="274"/>
      <c r="AI797" s="11"/>
      <c r="AJ797" s="11"/>
      <c r="AK797" s="11"/>
      <c r="AL797" s="118"/>
      <c r="AM797" s="118"/>
      <c r="AN797" s="118"/>
      <c r="AO797" s="52"/>
      <c r="AP797" s="52"/>
      <c r="AQ797" s="11"/>
      <c r="AR797" s="274"/>
      <c r="AS797" s="274"/>
      <c r="AT797" s="274"/>
      <c r="AU797" s="11"/>
      <c r="AV797" s="11"/>
      <c r="AW797" s="11"/>
      <c r="AX797" s="274"/>
      <c r="AY797" s="274"/>
      <c r="AZ797" s="274"/>
      <c r="BA797" s="11"/>
      <c r="BB797" s="11"/>
      <c r="BC797" s="11"/>
      <c r="BD797" s="274"/>
      <c r="BE797" s="274"/>
      <c r="BF797" s="274"/>
      <c r="BG797" s="11"/>
      <c r="BH797" s="11"/>
      <c r="BI797" s="11"/>
      <c r="BJ797" s="274">
        <v>876700</v>
      </c>
      <c r="BK797" s="274">
        <f t="shared" si="268"/>
        <v>166573</v>
      </c>
      <c r="BL797" s="274">
        <f t="shared" si="269"/>
        <v>1043273</v>
      </c>
      <c r="BM797" s="213" t="s">
        <v>196</v>
      </c>
      <c r="BN797" s="213" t="s">
        <v>5063</v>
      </c>
      <c r="BO797" s="11"/>
      <c r="BP797" s="274"/>
      <c r="BQ797" s="274"/>
      <c r="BR797" s="274"/>
      <c r="BS797" s="11"/>
      <c r="BT797" s="11"/>
      <c r="BU797" s="11"/>
      <c r="BV797" s="219">
        <v>903264.88670000003</v>
      </c>
      <c r="BW797" s="219">
        <f t="shared" si="270"/>
        <v>171620.328473</v>
      </c>
      <c r="BX797" s="273">
        <f t="shared" si="271"/>
        <v>1074885.215173</v>
      </c>
      <c r="BY797" s="213" t="s">
        <v>196</v>
      </c>
      <c r="BZ797" s="213" t="s">
        <v>5063</v>
      </c>
      <c r="CA797" s="213"/>
      <c r="CB797" s="274"/>
      <c r="CC797" s="274"/>
      <c r="CD797" s="274"/>
      <c r="CE797" s="11"/>
      <c r="CF797" s="11"/>
      <c r="CG797" s="11"/>
      <c r="CH797" s="274"/>
      <c r="CI797" s="274"/>
      <c r="CJ797" s="274"/>
      <c r="CK797" s="11"/>
      <c r="CL797" s="11"/>
      <c r="CM797" s="11"/>
      <c r="CN797" s="11"/>
      <c r="CO797" s="11"/>
      <c r="CP797" s="11"/>
      <c r="CQ797" s="11"/>
      <c r="CR797" s="11"/>
      <c r="CS797" s="11"/>
      <c r="CT797" s="11"/>
      <c r="CU797" s="11"/>
      <c r="CV797" s="11"/>
      <c r="CW797" s="11"/>
      <c r="CX797" s="11"/>
      <c r="CY797" s="11"/>
      <c r="CZ797" s="11"/>
      <c r="DA797" s="11"/>
      <c r="DB797" s="11"/>
      <c r="DC797" s="11"/>
      <c r="DD797" s="11"/>
      <c r="DE797" s="11"/>
      <c r="DF797" s="11"/>
      <c r="DG797" s="11"/>
      <c r="DH797" s="11"/>
      <c r="DI797" s="11"/>
      <c r="DJ797" s="11"/>
      <c r="DK797" s="11"/>
      <c r="DL797" s="274"/>
      <c r="DM797" s="274"/>
      <c r="DN797" s="274"/>
      <c r="DO797" s="274"/>
      <c r="DP797" s="274"/>
      <c r="DQ797" s="274"/>
      <c r="DR797" s="274"/>
      <c r="DS797" s="274"/>
      <c r="DT797" s="274"/>
      <c r="DU797" s="274"/>
      <c r="DV797" s="274"/>
      <c r="DW797" s="274"/>
      <c r="DX797" s="274"/>
      <c r="DY797" s="274"/>
      <c r="DZ797" s="274"/>
      <c r="EA797" s="274"/>
      <c r="EB797" s="274"/>
      <c r="EC797" s="274"/>
      <c r="ED797" s="39">
        <f t="shared" si="259"/>
        <v>2118158.215173</v>
      </c>
      <c r="EE797" s="30">
        <f t="shared" si="260"/>
        <v>2</v>
      </c>
      <c r="EF797" s="39">
        <f t="shared" si="261"/>
        <v>1059079.1075865</v>
      </c>
    </row>
    <row r="798" spans="1:136" x14ac:dyDescent="0.25">
      <c r="A798" s="25" t="e">
        <f>#REF!</f>
        <v>#REF!</v>
      </c>
      <c r="B798" s="50" t="e">
        <f>#REF!</f>
        <v>#REF!</v>
      </c>
      <c r="C798" s="5" t="e">
        <f>#REF!</f>
        <v>#REF!</v>
      </c>
      <c r="D798" s="5" t="e">
        <f>#REF!</f>
        <v>#REF!</v>
      </c>
      <c r="E798" s="252">
        <v>1</v>
      </c>
      <c r="F798" s="249">
        <v>0</v>
      </c>
      <c r="G798" s="249">
        <v>0</v>
      </c>
      <c r="H798" s="249">
        <v>0</v>
      </c>
      <c r="I798" s="249">
        <v>0</v>
      </c>
      <c r="J798" s="249">
        <v>0</v>
      </c>
      <c r="K798" s="249">
        <v>0</v>
      </c>
      <c r="L798" s="274"/>
      <c r="M798" s="274"/>
      <c r="N798" s="255"/>
      <c r="O798" s="135"/>
      <c r="P798" s="135"/>
      <c r="Q798" s="11"/>
      <c r="R798" s="11"/>
      <c r="S798" s="11"/>
      <c r="T798" s="274"/>
      <c r="U798" s="274"/>
      <c r="V798" s="274"/>
      <c r="W798" s="11"/>
      <c r="X798" s="11"/>
      <c r="Y798" s="11"/>
      <c r="Z798" s="274"/>
      <c r="AA798" s="274"/>
      <c r="AB798" s="274"/>
      <c r="AC798" s="11"/>
      <c r="AD798" s="11"/>
      <c r="AE798" s="11"/>
      <c r="AF798" s="274"/>
      <c r="AG798" s="274"/>
      <c r="AH798" s="274"/>
      <c r="AI798" s="11"/>
      <c r="AJ798" s="11"/>
      <c r="AK798" s="11"/>
      <c r="AL798" s="118"/>
      <c r="AM798" s="118"/>
      <c r="AN798" s="118"/>
      <c r="AO798" s="52"/>
      <c r="AP798" s="52"/>
      <c r="AQ798" s="11"/>
      <c r="AR798" s="274"/>
      <c r="AS798" s="274"/>
      <c r="AT798" s="274"/>
      <c r="AU798" s="11"/>
      <c r="AV798" s="11"/>
      <c r="AW798" s="11"/>
      <c r="AX798" s="274"/>
      <c r="AY798" s="274"/>
      <c r="AZ798" s="274"/>
      <c r="BA798" s="11"/>
      <c r="BB798" s="11"/>
      <c r="BC798" s="11"/>
      <c r="BD798" s="274"/>
      <c r="BE798" s="274"/>
      <c r="BF798" s="274"/>
      <c r="BG798" s="11"/>
      <c r="BH798" s="11"/>
      <c r="BI798" s="11"/>
      <c r="BJ798" s="274">
        <v>702400</v>
      </c>
      <c r="BK798" s="274">
        <f t="shared" si="268"/>
        <v>133456</v>
      </c>
      <c r="BL798" s="274">
        <f t="shared" si="269"/>
        <v>835856</v>
      </c>
      <c r="BM798" s="213" t="s">
        <v>196</v>
      </c>
      <c r="BN798" s="213" t="s">
        <v>5063</v>
      </c>
      <c r="BO798" s="11"/>
      <c r="BP798" s="274"/>
      <c r="BQ798" s="274"/>
      <c r="BR798" s="274"/>
      <c r="BS798" s="11"/>
      <c r="BT798" s="11"/>
      <c r="BU798" s="11"/>
      <c r="BV798" s="219">
        <v>774691.00800000003</v>
      </c>
      <c r="BW798" s="219">
        <f t="shared" si="270"/>
        <v>147191.29152</v>
      </c>
      <c r="BX798" s="273">
        <f t="shared" si="271"/>
        <v>921882.29952</v>
      </c>
      <c r="BY798" s="213" t="s">
        <v>196</v>
      </c>
      <c r="BZ798" s="213" t="s">
        <v>5063</v>
      </c>
      <c r="CA798" s="213"/>
      <c r="CB798" s="274"/>
      <c r="CC798" s="274"/>
      <c r="CD798" s="274"/>
      <c r="CE798" s="11"/>
      <c r="CF798" s="11"/>
      <c r="CG798" s="11"/>
      <c r="CH798" s="274"/>
      <c r="CI798" s="274"/>
      <c r="CJ798" s="274"/>
      <c r="CK798" s="11"/>
      <c r="CL798" s="11"/>
      <c r="CM798" s="11"/>
      <c r="CN798" s="11"/>
      <c r="CO798" s="11"/>
      <c r="CP798" s="11"/>
      <c r="CQ798" s="11"/>
      <c r="CR798" s="11"/>
      <c r="CS798" s="11"/>
      <c r="CT798" s="11"/>
      <c r="CU798" s="11"/>
      <c r="CV798" s="11"/>
      <c r="CW798" s="11"/>
      <c r="CX798" s="11"/>
      <c r="CY798" s="11"/>
      <c r="CZ798" s="11"/>
      <c r="DA798" s="11"/>
      <c r="DB798" s="11"/>
      <c r="DC798" s="11"/>
      <c r="DD798" s="11"/>
      <c r="DE798" s="11"/>
      <c r="DF798" s="11"/>
      <c r="DG798" s="11"/>
      <c r="DH798" s="11"/>
      <c r="DI798" s="11"/>
      <c r="DJ798" s="11"/>
      <c r="DK798" s="11"/>
      <c r="DL798" s="274"/>
      <c r="DM798" s="274"/>
      <c r="DN798" s="274"/>
      <c r="DO798" s="274"/>
      <c r="DP798" s="274"/>
      <c r="DQ798" s="274"/>
      <c r="DR798" s="274"/>
      <c r="DS798" s="274"/>
      <c r="DT798" s="274"/>
      <c r="DU798" s="274"/>
      <c r="DV798" s="274"/>
      <c r="DW798" s="274"/>
      <c r="DX798" s="274"/>
      <c r="DY798" s="274"/>
      <c r="DZ798" s="274"/>
      <c r="EA798" s="274"/>
      <c r="EB798" s="274"/>
      <c r="EC798" s="274"/>
      <c r="ED798" s="39">
        <f t="shared" si="259"/>
        <v>1757738.2995199999</v>
      </c>
      <c r="EE798" s="30">
        <f t="shared" si="260"/>
        <v>2</v>
      </c>
      <c r="EF798" s="39">
        <f t="shared" si="261"/>
        <v>878869.14975999994</v>
      </c>
    </row>
    <row r="799" spans="1:136" x14ac:dyDescent="0.25">
      <c r="A799" s="25" t="e">
        <f>#REF!</f>
        <v>#REF!</v>
      </c>
      <c r="B799" s="50" t="e">
        <f>#REF!</f>
        <v>#REF!</v>
      </c>
      <c r="C799" s="5" t="e">
        <f>#REF!</f>
        <v>#REF!</v>
      </c>
      <c r="D799" s="5" t="e">
        <f>#REF!</f>
        <v>#REF!</v>
      </c>
      <c r="E799" s="252">
        <v>1</v>
      </c>
      <c r="F799" s="249">
        <v>0</v>
      </c>
      <c r="G799" s="249">
        <v>0</v>
      </c>
      <c r="H799" s="249">
        <v>0</v>
      </c>
      <c r="I799" s="249">
        <v>0</v>
      </c>
      <c r="J799" s="249">
        <v>0</v>
      </c>
      <c r="K799" s="249">
        <v>0</v>
      </c>
      <c r="L799" s="274"/>
      <c r="M799" s="274"/>
      <c r="N799" s="255"/>
      <c r="O799" s="135"/>
      <c r="P799" s="135"/>
      <c r="Q799" s="11"/>
      <c r="R799" s="11"/>
      <c r="S799" s="11"/>
      <c r="T799" s="274"/>
      <c r="U799" s="274"/>
      <c r="V799" s="274"/>
      <c r="W799" s="11"/>
      <c r="X799" s="11"/>
      <c r="Y799" s="11"/>
      <c r="Z799" s="274"/>
      <c r="AA799" s="274"/>
      <c r="AB799" s="274"/>
      <c r="AC799" s="11"/>
      <c r="AD799" s="11"/>
      <c r="AE799" s="11"/>
      <c r="AF799" s="274"/>
      <c r="AG799" s="274"/>
      <c r="AH799" s="274"/>
      <c r="AI799" s="11"/>
      <c r="AJ799" s="11"/>
      <c r="AK799" s="11"/>
      <c r="AL799" s="118"/>
      <c r="AM799" s="118"/>
      <c r="AN799" s="118"/>
      <c r="AO799" s="52"/>
      <c r="AP799" s="52"/>
      <c r="AQ799" s="11"/>
      <c r="AR799" s="274"/>
      <c r="AS799" s="274"/>
      <c r="AT799" s="274"/>
      <c r="AU799" s="11"/>
      <c r="AV799" s="11"/>
      <c r="AW799" s="11"/>
      <c r="AX799" s="274"/>
      <c r="AY799" s="274"/>
      <c r="AZ799" s="274"/>
      <c r="BA799" s="11"/>
      <c r="BB799" s="11"/>
      <c r="BC799" s="11"/>
      <c r="BD799" s="274"/>
      <c r="BE799" s="274"/>
      <c r="BF799" s="274"/>
      <c r="BG799" s="11"/>
      <c r="BH799" s="11"/>
      <c r="BI799" s="11"/>
      <c r="BJ799" s="274">
        <v>1702000</v>
      </c>
      <c r="BK799" s="274">
        <f t="shared" si="268"/>
        <v>323380</v>
      </c>
      <c r="BL799" s="274">
        <f t="shared" si="269"/>
        <v>2025380</v>
      </c>
      <c r="BM799" s="213" t="s">
        <v>196</v>
      </c>
      <c r="BN799" s="213" t="s">
        <v>5065</v>
      </c>
      <c r="BO799" s="11"/>
      <c r="BP799" s="274"/>
      <c r="BQ799" s="274"/>
      <c r="BR799" s="274"/>
      <c r="BS799" s="11"/>
      <c r="BT799" s="11"/>
      <c r="BU799" s="11"/>
      <c r="BV799" s="219">
        <v>2045872.0800000003</v>
      </c>
      <c r="BW799" s="219">
        <f t="shared" si="270"/>
        <v>388715.69520000007</v>
      </c>
      <c r="BX799" s="273">
        <f t="shared" si="271"/>
        <v>2434587.7752000005</v>
      </c>
      <c r="BY799" s="213" t="s">
        <v>196</v>
      </c>
      <c r="BZ799" s="213" t="s">
        <v>5065</v>
      </c>
      <c r="CA799" s="213"/>
      <c r="CB799" s="274"/>
      <c r="CC799" s="274"/>
      <c r="CD799" s="274"/>
      <c r="CE799" s="11"/>
      <c r="CF799" s="11"/>
      <c r="CG799" s="11"/>
      <c r="CH799" s="274"/>
      <c r="CI799" s="274"/>
      <c r="CJ799" s="274"/>
      <c r="CK799" s="11"/>
      <c r="CL799" s="11"/>
      <c r="CM799" s="11"/>
      <c r="CN799" s="11"/>
      <c r="CO799" s="11"/>
      <c r="CP799" s="11"/>
      <c r="CQ799" s="11"/>
      <c r="CR799" s="11"/>
      <c r="CS799" s="11"/>
      <c r="CT799" s="11"/>
      <c r="CU799" s="11"/>
      <c r="CV799" s="11"/>
      <c r="CW799" s="11"/>
      <c r="CX799" s="11"/>
      <c r="CY799" s="11"/>
      <c r="CZ799" s="11"/>
      <c r="DA799" s="11"/>
      <c r="DB799" s="11"/>
      <c r="DC799" s="11"/>
      <c r="DD799" s="11"/>
      <c r="DE799" s="11"/>
      <c r="DF799" s="11"/>
      <c r="DG799" s="11"/>
      <c r="DH799" s="11"/>
      <c r="DI799" s="11"/>
      <c r="DJ799" s="11"/>
      <c r="DK799" s="11"/>
      <c r="DL799" s="274"/>
      <c r="DM799" s="274"/>
      <c r="DN799" s="274"/>
      <c r="DO799" s="274"/>
      <c r="DP799" s="274"/>
      <c r="DQ799" s="274"/>
      <c r="DR799" s="274"/>
      <c r="DS799" s="274"/>
      <c r="DT799" s="274"/>
      <c r="DU799" s="274"/>
      <c r="DV799" s="274"/>
      <c r="DW799" s="274"/>
      <c r="DX799" s="274"/>
      <c r="DY799" s="274"/>
      <c r="DZ799" s="274"/>
      <c r="EA799" s="274"/>
      <c r="EB799" s="274"/>
      <c r="EC799" s="274"/>
      <c r="ED799" s="39">
        <f t="shared" si="259"/>
        <v>4459967.7752</v>
      </c>
      <c r="EE799" s="30">
        <f t="shared" si="260"/>
        <v>2</v>
      </c>
      <c r="EF799" s="39">
        <f t="shared" si="261"/>
        <v>2229983.8876</v>
      </c>
    </row>
    <row r="800" spans="1:136" x14ac:dyDescent="0.25">
      <c r="A800" s="25" t="e">
        <f>#REF!</f>
        <v>#REF!</v>
      </c>
      <c r="B800" s="50" t="e">
        <f>#REF!</f>
        <v>#REF!</v>
      </c>
      <c r="C800" s="5" t="e">
        <f>#REF!</f>
        <v>#REF!</v>
      </c>
      <c r="D800" s="5" t="e">
        <f>#REF!</f>
        <v>#REF!</v>
      </c>
      <c r="E800" s="252">
        <v>1</v>
      </c>
      <c r="F800" s="249">
        <v>0</v>
      </c>
      <c r="G800" s="249">
        <v>0</v>
      </c>
      <c r="H800" s="249">
        <v>0</v>
      </c>
      <c r="I800" s="249">
        <v>0</v>
      </c>
      <c r="J800" s="249">
        <v>0</v>
      </c>
      <c r="K800" s="249">
        <v>0</v>
      </c>
      <c r="L800" s="274"/>
      <c r="M800" s="274"/>
      <c r="N800" s="255"/>
      <c r="O800" s="135"/>
      <c r="P800" s="135"/>
      <c r="Q800" s="11"/>
      <c r="R800" s="11"/>
      <c r="S800" s="11"/>
      <c r="T800" s="274">
        <v>39820</v>
      </c>
      <c r="U800" s="274">
        <f>+T800*0.19</f>
        <v>7565.8</v>
      </c>
      <c r="V800" s="274">
        <f>+T800+U800</f>
        <v>47385.8</v>
      </c>
      <c r="W800" s="11" t="s">
        <v>445</v>
      </c>
      <c r="X800" s="11" t="s">
        <v>2976</v>
      </c>
      <c r="Y800" s="11"/>
      <c r="Z800" s="274"/>
      <c r="AA800" s="274"/>
      <c r="AB800" s="274"/>
      <c r="AC800" s="11"/>
      <c r="AD800" s="11"/>
      <c r="AE800" s="11"/>
      <c r="AF800" s="274"/>
      <c r="AG800" s="274"/>
      <c r="AH800" s="274"/>
      <c r="AI800" s="11"/>
      <c r="AJ800" s="11"/>
      <c r="AK800" s="11"/>
      <c r="AL800" s="118"/>
      <c r="AM800" s="118"/>
      <c r="AN800" s="118"/>
      <c r="AO800" s="52"/>
      <c r="AP800" s="52"/>
      <c r="AQ800" s="11"/>
      <c r="AR800" s="274"/>
      <c r="AS800" s="274"/>
      <c r="AT800" s="274"/>
      <c r="AU800" s="11"/>
      <c r="AV800" s="11"/>
      <c r="AW800" s="11"/>
      <c r="AX800" s="274"/>
      <c r="AY800" s="274"/>
      <c r="AZ800" s="274"/>
      <c r="BA800" s="11"/>
      <c r="BB800" s="11"/>
      <c r="BC800" s="11"/>
      <c r="BD800" s="274"/>
      <c r="BE800" s="274"/>
      <c r="BF800" s="274"/>
      <c r="BG800" s="11"/>
      <c r="BH800" s="11"/>
      <c r="BI800" s="11"/>
      <c r="BJ800" s="274">
        <v>60700</v>
      </c>
      <c r="BK800" s="274">
        <f t="shared" si="268"/>
        <v>11533</v>
      </c>
      <c r="BL800" s="274">
        <f t="shared" si="269"/>
        <v>72233</v>
      </c>
      <c r="BM800" s="213" t="s">
        <v>196</v>
      </c>
      <c r="BN800" s="213" t="s">
        <v>2925</v>
      </c>
      <c r="BO800" s="11"/>
      <c r="BP800" s="274"/>
      <c r="BQ800" s="274"/>
      <c r="BR800" s="274"/>
      <c r="BS800" s="11"/>
      <c r="BT800" s="11"/>
      <c r="BU800" s="11"/>
      <c r="BV800" s="219">
        <v>65684.562600000005</v>
      </c>
      <c r="BW800" s="219">
        <f t="shared" si="270"/>
        <v>12480.066894000001</v>
      </c>
      <c r="BX800" s="273">
        <f t="shared" si="271"/>
        <v>78164.629494000008</v>
      </c>
      <c r="BY800" s="213" t="s">
        <v>196</v>
      </c>
      <c r="BZ800" s="213" t="s">
        <v>2925</v>
      </c>
      <c r="CA800" s="213"/>
      <c r="CB800" s="274"/>
      <c r="CC800" s="274"/>
      <c r="CD800" s="274"/>
      <c r="CE800" s="11"/>
      <c r="CF800" s="11"/>
      <c r="CG800" s="11"/>
      <c r="CH800" s="274"/>
      <c r="CI800" s="274"/>
      <c r="CJ800" s="274"/>
      <c r="CK800" s="11"/>
      <c r="CL800" s="11"/>
      <c r="CM800" s="11"/>
      <c r="CN800" s="11"/>
      <c r="CO800" s="11"/>
      <c r="CP800" s="11"/>
      <c r="CQ800" s="11"/>
      <c r="CR800" s="11"/>
      <c r="CS800" s="11"/>
      <c r="CT800" s="11"/>
      <c r="CU800" s="11"/>
      <c r="CV800" s="11"/>
      <c r="CW800" s="11"/>
      <c r="CX800" s="11"/>
      <c r="CY800" s="11"/>
      <c r="CZ800" s="11"/>
      <c r="DA800" s="11"/>
      <c r="DB800" s="11"/>
      <c r="DC800" s="11"/>
      <c r="DD800" s="11"/>
      <c r="DE800" s="11"/>
      <c r="DF800" s="11"/>
      <c r="DG800" s="11"/>
      <c r="DH800" s="11"/>
      <c r="DI800" s="11"/>
      <c r="DJ800" s="11"/>
      <c r="DK800" s="11"/>
      <c r="DL800" s="274"/>
      <c r="DM800" s="274"/>
      <c r="DN800" s="274"/>
      <c r="DO800" s="274"/>
      <c r="DP800" s="274"/>
      <c r="DQ800" s="274"/>
      <c r="DR800" s="274"/>
      <c r="DS800" s="274"/>
      <c r="DT800" s="274"/>
      <c r="DU800" s="274"/>
      <c r="DV800" s="274"/>
      <c r="DW800" s="274"/>
      <c r="DX800" s="274"/>
      <c r="DY800" s="274"/>
      <c r="DZ800" s="274"/>
      <c r="EA800" s="274"/>
      <c r="EB800" s="274"/>
      <c r="EC800" s="274"/>
      <c r="ED800" s="39">
        <f t="shared" si="259"/>
        <v>197783.42949400001</v>
      </c>
      <c r="EE800" s="30">
        <f t="shared" si="260"/>
        <v>3</v>
      </c>
      <c r="EF800" s="39">
        <f t="shared" si="261"/>
        <v>65927.809831333332</v>
      </c>
    </row>
    <row r="801" spans="1:136" x14ac:dyDescent="0.25">
      <c r="A801" s="25" t="e">
        <f>#REF!</f>
        <v>#REF!</v>
      </c>
      <c r="B801" s="50" t="e">
        <f>#REF!</f>
        <v>#REF!</v>
      </c>
      <c r="C801" s="5" t="e">
        <f>#REF!</f>
        <v>#REF!</v>
      </c>
      <c r="D801" s="5" t="e">
        <f>#REF!</f>
        <v>#REF!</v>
      </c>
      <c r="E801" s="252">
        <v>1</v>
      </c>
      <c r="F801" s="249">
        <v>0</v>
      </c>
      <c r="G801" s="249">
        <v>0</v>
      </c>
      <c r="H801" s="249">
        <v>0</v>
      </c>
      <c r="I801" s="249">
        <v>0</v>
      </c>
      <c r="J801" s="249">
        <v>0</v>
      </c>
      <c r="K801" s="249">
        <v>0</v>
      </c>
      <c r="L801" s="274"/>
      <c r="M801" s="274"/>
      <c r="N801" s="255">
        <v>4000</v>
      </c>
      <c r="O801" s="135">
        <f>+N801*0.19</f>
        <v>760</v>
      </c>
      <c r="P801" s="135">
        <f>+N801+O801</f>
        <v>4760</v>
      </c>
      <c r="Q801" s="11"/>
      <c r="R801" s="11"/>
      <c r="S801" s="11"/>
      <c r="T801" s="274">
        <v>1760.0000000000002</v>
      </c>
      <c r="U801" s="274">
        <f>+T801*0.19</f>
        <v>334.40000000000003</v>
      </c>
      <c r="V801" s="274">
        <f>+T801+U801</f>
        <v>2094.4</v>
      </c>
      <c r="W801" s="11" t="s">
        <v>445</v>
      </c>
      <c r="X801" s="11" t="s">
        <v>4859</v>
      </c>
      <c r="Y801" s="11"/>
      <c r="Z801" s="274"/>
      <c r="AA801" s="274"/>
      <c r="AB801" s="274"/>
      <c r="AC801" s="11"/>
      <c r="AD801" s="11"/>
      <c r="AE801" s="11"/>
      <c r="AF801" s="274"/>
      <c r="AG801" s="274"/>
      <c r="AH801" s="274"/>
      <c r="AI801" s="11"/>
      <c r="AJ801" s="11"/>
      <c r="AK801" s="11"/>
      <c r="AL801" s="118"/>
      <c r="AM801" s="118"/>
      <c r="AN801" s="118"/>
      <c r="AO801" s="52"/>
      <c r="AP801" s="52"/>
      <c r="AQ801" s="11"/>
      <c r="AR801" s="274"/>
      <c r="AS801" s="274"/>
      <c r="AT801" s="274"/>
      <c r="AU801" s="11"/>
      <c r="AV801" s="11"/>
      <c r="AW801" s="11"/>
      <c r="AX801" s="274"/>
      <c r="AY801" s="274"/>
      <c r="AZ801" s="274"/>
      <c r="BA801" s="11"/>
      <c r="BB801" s="11"/>
      <c r="BC801" s="11"/>
      <c r="BD801" s="274"/>
      <c r="BE801" s="274"/>
      <c r="BF801" s="274"/>
      <c r="BG801" s="11"/>
      <c r="BH801" s="11"/>
      <c r="BI801" s="11"/>
      <c r="BJ801" s="274">
        <v>5000</v>
      </c>
      <c r="BK801" s="274">
        <f t="shared" si="268"/>
        <v>950</v>
      </c>
      <c r="BL801" s="274">
        <f t="shared" si="269"/>
        <v>5950</v>
      </c>
      <c r="BM801" s="213" t="s">
        <v>196</v>
      </c>
      <c r="BN801" s="213" t="s">
        <v>2925</v>
      </c>
      <c r="BO801" s="11"/>
      <c r="BP801" s="274">
        <v>4500</v>
      </c>
      <c r="BQ801" s="274">
        <f>+BP801*19%</f>
        <v>855</v>
      </c>
      <c r="BR801" s="274">
        <f>+BQ801+BP801</f>
        <v>5355</v>
      </c>
      <c r="BS801" s="11"/>
      <c r="BT801" s="11"/>
      <c r="BU801" s="11"/>
      <c r="BV801" s="219">
        <v>5669.6350000000002</v>
      </c>
      <c r="BW801" s="219">
        <f t="shared" si="270"/>
        <v>1077.23065</v>
      </c>
      <c r="BX801" s="273">
        <f t="shared" si="271"/>
        <v>6746.8656499999997</v>
      </c>
      <c r="BY801" s="213" t="s">
        <v>196</v>
      </c>
      <c r="BZ801" s="213" t="s">
        <v>2925</v>
      </c>
      <c r="CA801" s="213"/>
      <c r="CB801" s="274"/>
      <c r="CC801" s="274"/>
      <c r="CD801" s="274"/>
      <c r="CE801" s="11"/>
      <c r="CF801" s="11"/>
      <c r="CG801" s="11"/>
      <c r="CH801" s="274"/>
      <c r="CI801" s="274"/>
      <c r="CJ801" s="274"/>
      <c r="CK801" s="11"/>
      <c r="CL801" s="11"/>
      <c r="CM801" s="11"/>
      <c r="CN801" s="11"/>
      <c r="CO801" s="11"/>
      <c r="CP801" s="11"/>
      <c r="CQ801" s="11"/>
      <c r="CR801" s="11"/>
      <c r="CS801" s="11"/>
      <c r="CT801" s="11"/>
      <c r="CU801" s="11"/>
      <c r="CV801" s="11"/>
      <c r="CW801" s="11"/>
      <c r="CX801" s="11"/>
      <c r="CY801" s="11"/>
      <c r="CZ801" s="11"/>
      <c r="DA801" s="11"/>
      <c r="DB801" s="11"/>
      <c r="DC801" s="11"/>
      <c r="DD801" s="11"/>
      <c r="DE801" s="11"/>
      <c r="DF801" s="11"/>
      <c r="DG801" s="11"/>
      <c r="DH801" s="11"/>
      <c r="DI801" s="11"/>
      <c r="DJ801" s="11"/>
      <c r="DK801" s="11"/>
      <c r="DL801" s="274"/>
      <c r="DM801" s="274"/>
      <c r="DN801" s="274"/>
      <c r="DO801" s="274"/>
      <c r="DP801" s="274"/>
      <c r="DQ801" s="274"/>
      <c r="DR801" s="274"/>
      <c r="DS801" s="274"/>
      <c r="DT801" s="274"/>
      <c r="DU801" s="274"/>
      <c r="DV801" s="274"/>
      <c r="DW801" s="274"/>
      <c r="DX801" s="274"/>
      <c r="DY801" s="274"/>
      <c r="DZ801" s="274"/>
      <c r="EA801" s="274"/>
      <c r="EB801" s="274"/>
      <c r="EC801" s="274"/>
      <c r="ED801" s="39">
        <f t="shared" si="259"/>
        <v>24906.265650000001</v>
      </c>
      <c r="EE801" s="30">
        <f t="shared" si="260"/>
        <v>5</v>
      </c>
      <c r="EF801" s="39">
        <f t="shared" si="261"/>
        <v>4981.2531300000001</v>
      </c>
    </row>
    <row r="802" spans="1:136" x14ac:dyDescent="0.25">
      <c r="A802" s="25" t="e">
        <f>#REF!</f>
        <v>#REF!</v>
      </c>
      <c r="B802" s="50" t="e">
        <f>#REF!</f>
        <v>#REF!</v>
      </c>
      <c r="C802" s="5" t="e">
        <f>#REF!</f>
        <v>#REF!</v>
      </c>
      <c r="D802" s="5" t="e">
        <f>#REF!</f>
        <v>#REF!</v>
      </c>
      <c r="E802" s="252">
        <v>1</v>
      </c>
      <c r="F802" s="249">
        <v>0</v>
      </c>
      <c r="G802" s="249">
        <v>0</v>
      </c>
      <c r="H802" s="249">
        <v>0</v>
      </c>
      <c r="I802" s="249">
        <v>0</v>
      </c>
      <c r="J802" s="249">
        <v>0</v>
      </c>
      <c r="K802" s="249">
        <v>0</v>
      </c>
      <c r="L802" s="274"/>
      <c r="M802" s="274"/>
      <c r="N802" s="255">
        <v>6500</v>
      </c>
      <c r="O802" s="135">
        <f>+N802*0.19</f>
        <v>1235</v>
      </c>
      <c r="P802" s="135">
        <f>+N802+O802</f>
        <v>7735</v>
      </c>
      <c r="Q802" s="11"/>
      <c r="R802" s="11"/>
      <c r="S802" s="11"/>
      <c r="T802" s="274"/>
      <c r="U802" s="274"/>
      <c r="V802" s="274"/>
      <c r="W802" s="11"/>
      <c r="X802" s="11"/>
      <c r="Y802" s="11"/>
      <c r="Z802" s="274"/>
      <c r="AA802" s="274"/>
      <c r="AB802" s="274"/>
      <c r="AC802" s="11"/>
      <c r="AD802" s="11"/>
      <c r="AE802" s="11"/>
      <c r="AF802" s="274"/>
      <c r="AG802" s="274"/>
      <c r="AH802" s="274"/>
      <c r="AI802" s="11"/>
      <c r="AJ802" s="11"/>
      <c r="AK802" s="11"/>
      <c r="AL802" s="118"/>
      <c r="AM802" s="118"/>
      <c r="AN802" s="118"/>
      <c r="AO802" s="52"/>
      <c r="AP802" s="52"/>
      <c r="AQ802" s="11"/>
      <c r="AR802" s="274"/>
      <c r="AS802" s="274"/>
      <c r="AT802" s="274"/>
      <c r="AU802" s="11"/>
      <c r="AV802" s="11"/>
      <c r="AW802" s="11"/>
      <c r="AX802" s="274"/>
      <c r="AY802" s="274"/>
      <c r="AZ802" s="274"/>
      <c r="BA802" s="11"/>
      <c r="BB802" s="11"/>
      <c r="BC802" s="11"/>
      <c r="BD802" s="274"/>
      <c r="BE802" s="274"/>
      <c r="BF802" s="274"/>
      <c r="BG802" s="11"/>
      <c r="BH802" s="11"/>
      <c r="BI802" s="11"/>
      <c r="BJ802" s="274">
        <v>23800</v>
      </c>
      <c r="BK802" s="274">
        <f t="shared" si="268"/>
        <v>4522</v>
      </c>
      <c r="BL802" s="274">
        <f t="shared" si="269"/>
        <v>28322</v>
      </c>
      <c r="BM802" s="213" t="s">
        <v>196</v>
      </c>
      <c r="BN802" s="213" t="s">
        <v>164</v>
      </c>
      <c r="BO802" s="11"/>
      <c r="BP802" s="274">
        <v>16500</v>
      </c>
      <c r="BQ802" s="274">
        <f>+BP802*19%</f>
        <v>3135</v>
      </c>
      <c r="BR802" s="274">
        <f>+BQ802+BP802</f>
        <v>19635</v>
      </c>
      <c r="BS802" s="11"/>
      <c r="BT802" s="11"/>
      <c r="BU802" s="11"/>
      <c r="BV802" s="219">
        <v>27274.086000000003</v>
      </c>
      <c r="BW802" s="219">
        <f t="shared" si="270"/>
        <v>5182.0763400000005</v>
      </c>
      <c r="BX802" s="273">
        <f t="shared" si="271"/>
        <v>32456.162340000003</v>
      </c>
      <c r="BY802" s="213" t="s">
        <v>196</v>
      </c>
      <c r="BZ802" s="213" t="s">
        <v>164</v>
      </c>
      <c r="CA802" s="213"/>
      <c r="CB802" s="274"/>
      <c r="CC802" s="274"/>
      <c r="CD802" s="274"/>
      <c r="CE802" s="11"/>
      <c r="CF802" s="11"/>
      <c r="CG802" s="11"/>
      <c r="CH802" s="274"/>
      <c r="CI802" s="274"/>
      <c r="CJ802" s="274"/>
      <c r="CK802" s="11"/>
      <c r="CL802" s="11"/>
      <c r="CM802" s="11"/>
      <c r="CN802" s="11"/>
      <c r="CO802" s="11"/>
      <c r="CP802" s="11"/>
      <c r="CQ802" s="11"/>
      <c r="CR802" s="11"/>
      <c r="CS802" s="11"/>
      <c r="CT802" s="11"/>
      <c r="CU802" s="11"/>
      <c r="CV802" s="11"/>
      <c r="CW802" s="11"/>
      <c r="CX802" s="11"/>
      <c r="CY802" s="11"/>
      <c r="CZ802" s="11"/>
      <c r="DA802" s="11"/>
      <c r="DB802" s="11"/>
      <c r="DC802" s="11"/>
      <c r="DD802" s="11"/>
      <c r="DE802" s="11"/>
      <c r="DF802" s="11"/>
      <c r="DG802" s="11"/>
      <c r="DH802" s="11"/>
      <c r="DI802" s="11"/>
      <c r="DJ802" s="11"/>
      <c r="DK802" s="11"/>
      <c r="DL802" s="274"/>
      <c r="DM802" s="274"/>
      <c r="DN802" s="274"/>
      <c r="DO802" s="274"/>
      <c r="DP802" s="274"/>
      <c r="DQ802" s="274"/>
      <c r="DR802" s="274"/>
      <c r="DS802" s="274"/>
      <c r="DT802" s="274"/>
      <c r="DU802" s="274"/>
      <c r="DV802" s="274"/>
      <c r="DW802" s="274"/>
      <c r="DX802" s="274"/>
      <c r="DY802" s="274"/>
      <c r="DZ802" s="274"/>
      <c r="EA802" s="274"/>
      <c r="EB802" s="274"/>
      <c r="EC802" s="274"/>
      <c r="ED802" s="39">
        <f t="shared" si="259"/>
        <v>88148.16234000001</v>
      </c>
      <c r="EE802" s="30">
        <f t="shared" si="260"/>
        <v>4</v>
      </c>
      <c r="EF802" s="39">
        <f t="shared" si="261"/>
        <v>22037.040585000002</v>
      </c>
    </row>
    <row r="803" spans="1:136" ht="24" x14ac:dyDescent="0.25">
      <c r="A803" s="25" t="e">
        <f>#REF!</f>
        <v>#REF!</v>
      </c>
      <c r="B803" s="50" t="e">
        <f>#REF!</f>
        <v>#REF!</v>
      </c>
      <c r="C803" s="5" t="e">
        <f>#REF!</f>
        <v>#REF!</v>
      </c>
      <c r="D803" s="5" t="e">
        <f>#REF!</f>
        <v>#REF!</v>
      </c>
      <c r="E803" s="252">
        <v>1</v>
      </c>
      <c r="F803" s="249">
        <v>0</v>
      </c>
      <c r="G803" s="249">
        <v>0</v>
      </c>
      <c r="H803" s="249">
        <v>0</v>
      </c>
      <c r="I803" s="249">
        <v>0</v>
      </c>
      <c r="J803" s="249">
        <v>0</v>
      </c>
      <c r="K803" s="249">
        <v>0</v>
      </c>
      <c r="L803" s="274"/>
      <c r="M803" s="274"/>
      <c r="N803" s="255"/>
      <c r="O803" s="135"/>
      <c r="P803" s="135"/>
      <c r="Q803" s="11"/>
      <c r="R803" s="11"/>
      <c r="S803" s="11"/>
      <c r="T803" s="274"/>
      <c r="U803" s="274"/>
      <c r="V803" s="274"/>
      <c r="W803" s="11"/>
      <c r="X803" s="11"/>
      <c r="Y803" s="11"/>
      <c r="Z803" s="274"/>
      <c r="AA803" s="274"/>
      <c r="AB803" s="274"/>
      <c r="AC803" s="11"/>
      <c r="AD803" s="11"/>
      <c r="AE803" s="11"/>
      <c r="AF803" s="274"/>
      <c r="AG803" s="274"/>
      <c r="AH803" s="274"/>
      <c r="AI803" s="11"/>
      <c r="AJ803" s="11"/>
      <c r="AK803" s="11"/>
      <c r="AL803" s="118"/>
      <c r="AM803" s="118"/>
      <c r="AN803" s="118"/>
      <c r="AO803" s="52"/>
      <c r="AP803" s="52"/>
      <c r="AQ803" s="11"/>
      <c r="AR803" s="274"/>
      <c r="AS803" s="274"/>
      <c r="AT803" s="274"/>
      <c r="AU803" s="11"/>
      <c r="AV803" s="11"/>
      <c r="AW803" s="11"/>
      <c r="AX803" s="274"/>
      <c r="AY803" s="274"/>
      <c r="AZ803" s="274"/>
      <c r="BA803" s="11"/>
      <c r="BB803" s="11"/>
      <c r="BC803" s="11"/>
      <c r="BD803" s="274"/>
      <c r="BE803" s="274"/>
      <c r="BF803" s="274"/>
      <c r="BG803" s="11"/>
      <c r="BH803" s="11"/>
      <c r="BI803" s="11"/>
      <c r="BJ803" s="275">
        <v>14688600</v>
      </c>
      <c r="BK803" s="275">
        <f t="shared" si="268"/>
        <v>2790834</v>
      </c>
      <c r="BL803" s="275">
        <f t="shared" si="269"/>
        <v>17479434</v>
      </c>
      <c r="BM803" s="214" t="s">
        <v>5066</v>
      </c>
      <c r="BN803" s="213" t="s">
        <v>5035</v>
      </c>
      <c r="BO803" s="11"/>
      <c r="BP803" s="274"/>
      <c r="BQ803" s="274"/>
      <c r="BR803" s="274"/>
      <c r="BS803" s="11"/>
      <c r="BT803" s="11"/>
      <c r="BU803" s="11"/>
      <c r="BV803" s="223">
        <v>16672383.561600002</v>
      </c>
      <c r="BW803" s="219">
        <f t="shared" si="270"/>
        <v>3167752.8767040004</v>
      </c>
      <c r="BX803" s="273">
        <f t="shared" si="271"/>
        <v>19840136.438304003</v>
      </c>
      <c r="BY803" s="214" t="s">
        <v>5066</v>
      </c>
      <c r="BZ803" s="213" t="s">
        <v>5035</v>
      </c>
      <c r="CA803" s="213"/>
      <c r="CB803" s="274"/>
      <c r="CC803" s="274"/>
      <c r="CD803" s="274"/>
      <c r="CE803" s="11"/>
      <c r="CF803" s="11"/>
      <c r="CG803" s="11"/>
      <c r="CH803" s="274"/>
      <c r="CI803" s="274"/>
      <c r="CJ803" s="274"/>
      <c r="CK803" s="11"/>
      <c r="CL803" s="11"/>
      <c r="CM803" s="11"/>
      <c r="CN803" s="11"/>
      <c r="CO803" s="11"/>
      <c r="CP803" s="11"/>
      <c r="CQ803" s="11"/>
      <c r="CR803" s="11"/>
      <c r="CS803" s="11"/>
      <c r="CT803" s="11"/>
      <c r="CU803" s="11"/>
      <c r="CV803" s="11"/>
      <c r="CW803" s="11"/>
      <c r="CX803" s="11"/>
      <c r="CY803" s="11"/>
      <c r="CZ803" s="11"/>
      <c r="DA803" s="11"/>
      <c r="DB803" s="11"/>
      <c r="DC803" s="11"/>
      <c r="DD803" s="11"/>
      <c r="DE803" s="11"/>
      <c r="DF803" s="11"/>
      <c r="DG803" s="11"/>
      <c r="DH803" s="11"/>
      <c r="DI803" s="11"/>
      <c r="DJ803" s="11"/>
      <c r="DK803" s="11"/>
      <c r="DL803" s="274"/>
      <c r="DM803" s="274"/>
      <c r="DN803" s="274"/>
      <c r="DO803" s="274"/>
      <c r="DP803" s="274"/>
      <c r="DQ803" s="274"/>
      <c r="DR803" s="274"/>
      <c r="DS803" s="274"/>
      <c r="DT803" s="274"/>
      <c r="DU803" s="274"/>
      <c r="DV803" s="274"/>
      <c r="DW803" s="274"/>
      <c r="DX803" s="274"/>
      <c r="DY803" s="274"/>
      <c r="DZ803" s="274"/>
      <c r="EA803" s="274"/>
      <c r="EB803" s="274"/>
      <c r="EC803" s="274"/>
      <c r="ED803" s="39">
        <f t="shared" si="259"/>
        <v>37319570.438304007</v>
      </c>
      <c r="EE803" s="30">
        <f t="shared" si="260"/>
        <v>2</v>
      </c>
      <c r="EF803" s="39">
        <f t="shared" si="261"/>
        <v>18659785.219152004</v>
      </c>
    </row>
    <row r="804" spans="1:136" x14ac:dyDescent="0.25">
      <c r="A804" s="25" t="e">
        <f>#REF!</f>
        <v>#REF!</v>
      </c>
      <c r="B804" s="50" t="e">
        <f>#REF!</f>
        <v>#REF!</v>
      </c>
      <c r="C804" s="5" t="e">
        <f>#REF!</f>
        <v>#REF!</v>
      </c>
      <c r="D804" s="5" t="e">
        <f>#REF!</f>
        <v>#REF!</v>
      </c>
      <c r="E804" s="252">
        <v>1</v>
      </c>
      <c r="F804" s="249">
        <v>0</v>
      </c>
      <c r="G804" s="249">
        <v>0</v>
      </c>
      <c r="H804" s="249">
        <v>0</v>
      </c>
      <c r="I804" s="249">
        <v>0</v>
      </c>
      <c r="J804" s="249">
        <v>0</v>
      </c>
      <c r="K804" s="249">
        <v>0</v>
      </c>
      <c r="L804" s="274"/>
      <c r="M804" s="274"/>
      <c r="N804" s="255"/>
      <c r="O804" s="135"/>
      <c r="P804" s="135"/>
      <c r="Q804" s="11"/>
      <c r="R804" s="11"/>
      <c r="S804" s="11"/>
      <c r="T804" s="274"/>
      <c r="U804" s="274"/>
      <c r="V804" s="274"/>
      <c r="W804" s="11"/>
      <c r="X804" s="11"/>
      <c r="Y804" s="11"/>
      <c r="Z804" s="274"/>
      <c r="AA804" s="274"/>
      <c r="AB804" s="274"/>
      <c r="AC804" s="11"/>
      <c r="AD804" s="11"/>
      <c r="AE804" s="11"/>
      <c r="AF804" s="274"/>
      <c r="AG804" s="274"/>
      <c r="AH804" s="274"/>
      <c r="AI804" s="11"/>
      <c r="AJ804" s="11"/>
      <c r="AK804" s="11"/>
      <c r="AL804" s="118"/>
      <c r="AM804" s="118"/>
      <c r="AN804" s="118"/>
      <c r="AO804" s="52"/>
      <c r="AP804" s="52"/>
      <c r="AQ804" s="11"/>
      <c r="AR804" s="274"/>
      <c r="AS804" s="274"/>
      <c r="AT804" s="274"/>
      <c r="AU804" s="11"/>
      <c r="AV804" s="11"/>
      <c r="AW804" s="11"/>
      <c r="AX804" s="274"/>
      <c r="AY804" s="274"/>
      <c r="AZ804" s="274"/>
      <c r="BA804" s="11"/>
      <c r="BB804" s="11"/>
      <c r="BC804" s="11"/>
      <c r="BD804" s="274"/>
      <c r="BE804" s="274"/>
      <c r="BF804" s="274"/>
      <c r="BG804" s="11"/>
      <c r="BH804" s="11"/>
      <c r="BI804" s="11"/>
      <c r="BJ804" s="274">
        <v>50000</v>
      </c>
      <c r="BK804" s="274">
        <f t="shared" si="268"/>
        <v>9500</v>
      </c>
      <c r="BL804" s="274">
        <f t="shared" si="269"/>
        <v>59500</v>
      </c>
      <c r="BM804" s="213" t="s">
        <v>4738</v>
      </c>
      <c r="BN804" s="213" t="s">
        <v>338</v>
      </c>
      <c r="BO804" s="11"/>
      <c r="BP804" s="274"/>
      <c r="BQ804" s="274"/>
      <c r="BR804" s="274"/>
      <c r="BS804" s="11"/>
      <c r="BT804" s="11"/>
      <c r="BU804" s="11"/>
      <c r="BV804" s="219">
        <v>55135.9</v>
      </c>
      <c r="BW804" s="219">
        <f t="shared" si="270"/>
        <v>10475.821</v>
      </c>
      <c r="BX804" s="273">
        <f t="shared" si="271"/>
        <v>65611.721000000005</v>
      </c>
      <c r="BY804" s="213" t="s">
        <v>4738</v>
      </c>
      <c r="BZ804" s="213" t="s">
        <v>338</v>
      </c>
      <c r="CA804" s="213"/>
      <c r="CB804" s="274"/>
      <c r="CC804" s="274"/>
      <c r="CD804" s="274"/>
      <c r="CE804" s="11"/>
      <c r="CF804" s="11"/>
      <c r="CG804" s="11"/>
      <c r="CH804" s="274"/>
      <c r="CI804" s="274"/>
      <c r="CJ804" s="274"/>
      <c r="CK804" s="11"/>
      <c r="CL804" s="11"/>
      <c r="CM804" s="11"/>
      <c r="CN804" s="11"/>
      <c r="CO804" s="11"/>
      <c r="CP804" s="11"/>
      <c r="CQ804" s="11"/>
      <c r="CR804" s="11"/>
      <c r="CS804" s="11"/>
      <c r="CT804" s="11"/>
      <c r="CU804" s="11"/>
      <c r="CV804" s="11"/>
      <c r="CW804" s="11"/>
      <c r="CX804" s="11"/>
      <c r="CY804" s="11"/>
      <c r="CZ804" s="11"/>
      <c r="DA804" s="11"/>
      <c r="DB804" s="11"/>
      <c r="DC804" s="11"/>
      <c r="DD804" s="11"/>
      <c r="DE804" s="11"/>
      <c r="DF804" s="11"/>
      <c r="DG804" s="11"/>
      <c r="DH804" s="11"/>
      <c r="DI804" s="11"/>
      <c r="DJ804" s="11"/>
      <c r="DK804" s="11"/>
      <c r="DL804" s="274"/>
      <c r="DM804" s="274"/>
      <c r="DN804" s="274"/>
      <c r="DO804" s="274"/>
      <c r="DP804" s="274"/>
      <c r="DQ804" s="274"/>
      <c r="DR804" s="274"/>
      <c r="DS804" s="274"/>
      <c r="DT804" s="274"/>
      <c r="DU804" s="274"/>
      <c r="DV804" s="274"/>
      <c r="DW804" s="274"/>
      <c r="DX804" s="274"/>
      <c r="DY804" s="274"/>
      <c r="DZ804" s="274"/>
      <c r="EA804" s="274"/>
      <c r="EB804" s="274"/>
      <c r="EC804" s="274"/>
      <c r="ED804" s="39">
        <f t="shared" si="259"/>
        <v>125111.72100000001</v>
      </c>
      <c r="EE804" s="30">
        <f t="shared" si="260"/>
        <v>2</v>
      </c>
      <c r="EF804" s="39">
        <f t="shared" si="261"/>
        <v>62555.860500000003</v>
      </c>
    </row>
    <row r="805" spans="1:136" x14ac:dyDescent="0.25">
      <c r="A805" s="25" t="e">
        <f>#REF!</f>
        <v>#REF!</v>
      </c>
      <c r="B805" s="50" t="e">
        <f>#REF!</f>
        <v>#REF!</v>
      </c>
      <c r="C805" s="5" t="e">
        <f>#REF!</f>
        <v>#REF!</v>
      </c>
      <c r="D805" s="5" t="e">
        <f>#REF!</f>
        <v>#REF!</v>
      </c>
      <c r="E805" s="252">
        <v>1</v>
      </c>
      <c r="F805" s="249">
        <v>0</v>
      </c>
      <c r="G805" s="249">
        <v>0</v>
      </c>
      <c r="H805" s="249">
        <v>0</v>
      </c>
      <c r="I805" s="249">
        <v>0</v>
      </c>
      <c r="J805" s="249">
        <v>0</v>
      </c>
      <c r="K805" s="249">
        <v>0</v>
      </c>
      <c r="L805" s="274"/>
      <c r="M805" s="274"/>
      <c r="N805" s="255">
        <v>60000</v>
      </c>
      <c r="O805" s="135">
        <f>+N805*0.19</f>
        <v>11400</v>
      </c>
      <c r="P805" s="135">
        <f>+N805+O805</f>
        <v>71400</v>
      </c>
      <c r="Q805" s="11"/>
      <c r="R805" s="11"/>
      <c r="S805" s="11"/>
      <c r="T805" s="274">
        <v>36300</v>
      </c>
      <c r="U805" s="274">
        <f>+T805*0.19</f>
        <v>6897</v>
      </c>
      <c r="V805" s="274">
        <f>+T805+U805</f>
        <v>43197</v>
      </c>
      <c r="W805" s="11" t="s">
        <v>445</v>
      </c>
      <c r="X805" s="11" t="s">
        <v>4859</v>
      </c>
      <c r="Y805" s="11"/>
      <c r="Z805" s="274"/>
      <c r="AA805" s="274"/>
      <c r="AB805" s="274"/>
      <c r="AC805" s="11"/>
      <c r="AD805" s="11"/>
      <c r="AE805" s="11"/>
      <c r="AF805" s="274"/>
      <c r="AG805" s="274"/>
      <c r="AH805" s="274"/>
      <c r="AI805" s="11"/>
      <c r="AJ805" s="11"/>
      <c r="AK805" s="11"/>
      <c r="AL805" s="118"/>
      <c r="AM805" s="118"/>
      <c r="AN805" s="118"/>
      <c r="AO805" s="52"/>
      <c r="AP805" s="52"/>
      <c r="AQ805" s="11"/>
      <c r="AR805" s="274"/>
      <c r="AS805" s="274"/>
      <c r="AT805" s="274"/>
      <c r="AU805" s="11"/>
      <c r="AV805" s="11"/>
      <c r="AW805" s="11"/>
      <c r="AX805" s="274"/>
      <c r="AY805" s="274"/>
      <c r="AZ805" s="274"/>
      <c r="BA805" s="11"/>
      <c r="BB805" s="11"/>
      <c r="BC805" s="11"/>
      <c r="BD805" s="274"/>
      <c r="BE805" s="274"/>
      <c r="BF805" s="274"/>
      <c r="BG805" s="11"/>
      <c r="BH805" s="11"/>
      <c r="BI805" s="11"/>
      <c r="BJ805" s="274">
        <v>187200</v>
      </c>
      <c r="BK805" s="274">
        <f t="shared" si="268"/>
        <v>35568</v>
      </c>
      <c r="BL805" s="274">
        <f t="shared" si="269"/>
        <v>222768</v>
      </c>
      <c r="BM805" s="213" t="s">
        <v>196</v>
      </c>
      <c r="BN805" s="213" t="s">
        <v>2956</v>
      </c>
      <c r="BO805" s="11"/>
      <c r="BP805" s="274">
        <v>26500</v>
      </c>
      <c r="BQ805" s="274">
        <f t="shared" ref="BQ805:BQ813" si="272">+BP805*19%</f>
        <v>5035</v>
      </c>
      <c r="BR805" s="274">
        <f t="shared" ref="BR805:BR813" si="273">+BQ805+BP805</f>
        <v>31535</v>
      </c>
      <c r="BS805" s="11"/>
      <c r="BT805" s="11"/>
      <c r="BU805" s="11"/>
      <c r="BV805" s="219">
        <v>220654.88639999999</v>
      </c>
      <c r="BW805" s="219">
        <f t="shared" si="270"/>
        <v>41924.428415999995</v>
      </c>
      <c r="BX805" s="273">
        <f t="shared" si="271"/>
        <v>262579.314816</v>
      </c>
      <c r="BY805" s="213" t="s">
        <v>196</v>
      </c>
      <c r="BZ805" s="213" t="s">
        <v>2956</v>
      </c>
      <c r="CA805" s="213"/>
      <c r="CB805" s="274"/>
      <c r="CC805" s="274"/>
      <c r="CD805" s="274"/>
      <c r="CE805" s="11"/>
      <c r="CF805" s="11"/>
      <c r="CG805" s="11"/>
      <c r="CH805" s="274"/>
      <c r="CI805" s="274"/>
      <c r="CJ805" s="274"/>
      <c r="CK805" s="11"/>
      <c r="CL805" s="11"/>
      <c r="CM805" s="11"/>
      <c r="CN805" s="11"/>
      <c r="CO805" s="11"/>
      <c r="CP805" s="11"/>
      <c r="CQ805" s="11"/>
      <c r="CR805" s="11"/>
      <c r="CS805" s="11"/>
      <c r="CT805" s="11"/>
      <c r="CU805" s="11"/>
      <c r="CV805" s="11"/>
      <c r="CW805" s="11"/>
      <c r="CX805" s="11"/>
      <c r="CY805" s="11"/>
      <c r="CZ805" s="11"/>
      <c r="DA805" s="11"/>
      <c r="DB805" s="11"/>
      <c r="DC805" s="11"/>
      <c r="DD805" s="11"/>
      <c r="DE805" s="11"/>
      <c r="DF805" s="11"/>
      <c r="DG805" s="11"/>
      <c r="DH805" s="11"/>
      <c r="DI805" s="11"/>
      <c r="DJ805" s="11"/>
      <c r="DK805" s="11"/>
      <c r="DL805" s="274"/>
      <c r="DM805" s="274"/>
      <c r="DN805" s="274"/>
      <c r="DO805" s="274"/>
      <c r="DP805" s="274"/>
      <c r="DQ805" s="274"/>
      <c r="DR805" s="274"/>
      <c r="DS805" s="274"/>
      <c r="DT805" s="274"/>
      <c r="DU805" s="274"/>
      <c r="DV805" s="274"/>
      <c r="DW805" s="274"/>
      <c r="DX805" s="274"/>
      <c r="DY805" s="274"/>
      <c r="DZ805" s="274"/>
      <c r="EA805" s="274"/>
      <c r="EB805" s="274"/>
      <c r="EC805" s="274"/>
      <c r="ED805" s="39">
        <f t="shared" si="259"/>
        <v>631479.31481599994</v>
      </c>
      <c r="EE805" s="30">
        <f t="shared" si="260"/>
        <v>5</v>
      </c>
      <c r="EF805" s="39">
        <f t="shared" si="261"/>
        <v>126295.86296319999</v>
      </c>
    </row>
    <row r="806" spans="1:136" x14ac:dyDescent="0.25">
      <c r="A806" s="25" t="e">
        <f>#REF!</f>
        <v>#REF!</v>
      </c>
      <c r="B806" s="50" t="e">
        <f>#REF!</f>
        <v>#REF!</v>
      </c>
      <c r="C806" s="5" t="e">
        <f>#REF!</f>
        <v>#REF!</v>
      </c>
      <c r="D806" s="5" t="e">
        <f>#REF!</f>
        <v>#REF!</v>
      </c>
      <c r="E806" s="252">
        <v>1</v>
      </c>
      <c r="F806" s="249">
        <v>0</v>
      </c>
      <c r="G806" s="249">
        <v>0</v>
      </c>
      <c r="H806" s="249">
        <v>0</v>
      </c>
      <c r="I806" s="249">
        <v>0</v>
      </c>
      <c r="J806" s="249">
        <v>0</v>
      </c>
      <c r="K806" s="249">
        <v>0</v>
      </c>
      <c r="L806" s="274"/>
      <c r="M806" s="274"/>
      <c r="N806" s="255">
        <v>55000</v>
      </c>
      <c r="O806" s="135">
        <f>+N806*0.19</f>
        <v>10450</v>
      </c>
      <c r="P806" s="135">
        <f>+N806+O806</f>
        <v>65450</v>
      </c>
      <c r="Q806" s="11"/>
      <c r="R806" s="11"/>
      <c r="S806" s="11"/>
      <c r="T806" s="274"/>
      <c r="U806" s="274"/>
      <c r="V806" s="274"/>
      <c r="W806" s="11"/>
      <c r="X806" s="11"/>
      <c r="Y806" s="11"/>
      <c r="Z806" s="274"/>
      <c r="AA806" s="274"/>
      <c r="AB806" s="274"/>
      <c r="AC806" s="11"/>
      <c r="AD806" s="11"/>
      <c r="AE806" s="11"/>
      <c r="AF806" s="274"/>
      <c r="AG806" s="274"/>
      <c r="AH806" s="274"/>
      <c r="AI806" s="11"/>
      <c r="AJ806" s="11"/>
      <c r="AK806" s="11"/>
      <c r="AL806" s="118"/>
      <c r="AM806" s="118"/>
      <c r="AN806" s="118"/>
      <c r="AO806" s="52"/>
      <c r="AP806" s="52"/>
      <c r="AQ806" s="11"/>
      <c r="AR806" s="274"/>
      <c r="AS806" s="274"/>
      <c r="AT806" s="274"/>
      <c r="AU806" s="11"/>
      <c r="AV806" s="11"/>
      <c r="AW806" s="11"/>
      <c r="AX806" s="274"/>
      <c r="AY806" s="274"/>
      <c r="AZ806" s="274"/>
      <c r="BA806" s="11"/>
      <c r="BB806" s="11"/>
      <c r="BC806" s="11"/>
      <c r="BD806" s="274"/>
      <c r="BE806" s="274"/>
      <c r="BF806" s="274"/>
      <c r="BG806" s="11"/>
      <c r="BH806" s="11"/>
      <c r="BI806" s="11"/>
      <c r="BJ806" s="274">
        <v>112000</v>
      </c>
      <c r="BK806" s="274">
        <f t="shared" si="268"/>
        <v>21280</v>
      </c>
      <c r="BL806" s="274">
        <f t="shared" si="269"/>
        <v>133280</v>
      </c>
      <c r="BM806" s="213" t="s">
        <v>196</v>
      </c>
      <c r="BN806" s="213" t="s">
        <v>3228</v>
      </c>
      <c r="BO806" s="11"/>
      <c r="BP806" s="274">
        <v>28500</v>
      </c>
      <c r="BQ806" s="274">
        <f t="shared" si="272"/>
        <v>5415</v>
      </c>
      <c r="BR806" s="274">
        <f t="shared" si="273"/>
        <v>33915</v>
      </c>
      <c r="BS806" s="11"/>
      <c r="BT806" s="11"/>
      <c r="BU806" s="11"/>
      <c r="BV806" s="219">
        <v>124773.376</v>
      </c>
      <c r="BW806" s="219">
        <f t="shared" si="270"/>
        <v>23706.941440000002</v>
      </c>
      <c r="BX806" s="273">
        <f t="shared" si="271"/>
        <v>148480.31744000001</v>
      </c>
      <c r="BY806" s="213" t="s">
        <v>196</v>
      </c>
      <c r="BZ806" s="213" t="s">
        <v>3228</v>
      </c>
      <c r="CA806" s="213"/>
      <c r="CB806" s="274"/>
      <c r="CC806" s="274"/>
      <c r="CD806" s="274"/>
      <c r="CE806" s="11"/>
      <c r="CF806" s="11"/>
      <c r="CG806" s="11"/>
      <c r="CH806" s="274"/>
      <c r="CI806" s="274"/>
      <c r="CJ806" s="274"/>
      <c r="CK806" s="11"/>
      <c r="CL806" s="11"/>
      <c r="CM806" s="11"/>
      <c r="CN806" s="11"/>
      <c r="CO806" s="11"/>
      <c r="CP806" s="11"/>
      <c r="CQ806" s="11"/>
      <c r="CR806" s="11"/>
      <c r="CS806" s="11"/>
      <c r="CT806" s="11"/>
      <c r="CU806" s="11"/>
      <c r="CV806" s="11"/>
      <c r="CW806" s="11"/>
      <c r="CX806" s="11"/>
      <c r="CY806" s="11"/>
      <c r="CZ806" s="11"/>
      <c r="DA806" s="11"/>
      <c r="DB806" s="11"/>
      <c r="DC806" s="11"/>
      <c r="DD806" s="11"/>
      <c r="DE806" s="11"/>
      <c r="DF806" s="11"/>
      <c r="DG806" s="11"/>
      <c r="DH806" s="11"/>
      <c r="DI806" s="11"/>
      <c r="DJ806" s="11"/>
      <c r="DK806" s="11"/>
      <c r="DL806" s="274"/>
      <c r="DM806" s="274"/>
      <c r="DN806" s="274"/>
      <c r="DO806" s="274"/>
      <c r="DP806" s="274"/>
      <c r="DQ806" s="274"/>
      <c r="DR806" s="274"/>
      <c r="DS806" s="274"/>
      <c r="DT806" s="274"/>
      <c r="DU806" s="274"/>
      <c r="DV806" s="274"/>
      <c r="DW806" s="274"/>
      <c r="DX806" s="274"/>
      <c r="DY806" s="274"/>
      <c r="DZ806" s="274"/>
      <c r="EA806" s="274"/>
      <c r="EB806" s="274"/>
      <c r="EC806" s="274"/>
      <c r="ED806" s="39">
        <f t="shared" si="259"/>
        <v>381125.31744000001</v>
      </c>
      <c r="EE806" s="30">
        <f t="shared" si="260"/>
        <v>4</v>
      </c>
      <c r="EF806" s="39">
        <f t="shared" si="261"/>
        <v>95281.329360000003</v>
      </c>
    </row>
    <row r="807" spans="1:136" x14ac:dyDescent="0.25">
      <c r="A807" s="25" t="e">
        <f>#REF!</f>
        <v>#REF!</v>
      </c>
      <c r="B807" s="50" t="e">
        <f>#REF!</f>
        <v>#REF!</v>
      </c>
      <c r="C807" s="5" t="e">
        <f>#REF!</f>
        <v>#REF!</v>
      </c>
      <c r="D807" s="5" t="e">
        <f>#REF!</f>
        <v>#REF!</v>
      </c>
      <c r="E807" s="252">
        <v>1</v>
      </c>
      <c r="F807" s="249">
        <v>0</v>
      </c>
      <c r="G807" s="249">
        <v>0</v>
      </c>
      <c r="H807" s="249">
        <v>0</v>
      </c>
      <c r="I807" s="249">
        <v>0</v>
      </c>
      <c r="J807" s="249">
        <v>0</v>
      </c>
      <c r="K807" s="249">
        <v>0</v>
      </c>
      <c r="L807" s="274"/>
      <c r="M807" s="274"/>
      <c r="N807" s="255">
        <v>57000</v>
      </c>
      <c r="O807" s="135">
        <f>+N807*0.19</f>
        <v>10830</v>
      </c>
      <c r="P807" s="135">
        <f>+N807+O807</f>
        <v>67830</v>
      </c>
      <c r="Q807" s="11"/>
      <c r="R807" s="11"/>
      <c r="S807" s="11"/>
      <c r="T807" s="274"/>
      <c r="U807" s="274"/>
      <c r="V807" s="274"/>
      <c r="W807" s="11"/>
      <c r="X807" s="11"/>
      <c r="Y807" s="11"/>
      <c r="Z807" s="274"/>
      <c r="AA807" s="274"/>
      <c r="AB807" s="274"/>
      <c r="AC807" s="11"/>
      <c r="AD807" s="11"/>
      <c r="AE807" s="11"/>
      <c r="AF807" s="274"/>
      <c r="AG807" s="274"/>
      <c r="AH807" s="274"/>
      <c r="AI807" s="11"/>
      <c r="AJ807" s="11"/>
      <c r="AK807" s="11"/>
      <c r="AL807" s="118"/>
      <c r="AM807" s="118"/>
      <c r="AN807" s="118"/>
      <c r="AO807" s="52"/>
      <c r="AP807" s="52"/>
      <c r="AQ807" s="11"/>
      <c r="AR807" s="274"/>
      <c r="AS807" s="274"/>
      <c r="AT807" s="274"/>
      <c r="AU807" s="11"/>
      <c r="AV807" s="11"/>
      <c r="AW807" s="11"/>
      <c r="AX807" s="274"/>
      <c r="AY807" s="274"/>
      <c r="AZ807" s="274"/>
      <c r="BA807" s="11"/>
      <c r="BB807" s="11"/>
      <c r="BC807" s="11"/>
      <c r="BD807" s="274"/>
      <c r="BE807" s="274"/>
      <c r="BF807" s="274"/>
      <c r="BG807" s="11"/>
      <c r="BH807" s="11"/>
      <c r="BI807" s="11"/>
      <c r="BJ807" s="274">
        <v>45200</v>
      </c>
      <c r="BK807" s="274">
        <f t="shared" si="268"/>
        <v>8588</v>
      </c>
      <c r="BL807" s="274">
        <f t="shared" si="269"/>
        <v>53788</v>
      </c>
      <c r="BM807" s="213" t="s">
        <v>196</v>
      </c>
      <c r="BN807" s="213" t="s">
        <v>338</v>
      </c>
      <c r="BO807" s="11"/>
      <c r="BP807" s="274">
        <v>16500</v>
      </c>
      <c r="BQ807" s="274">
        <f t="shared" si="272"/>
        <v>3135</v>
      </c>
      <c r="BR807" s="274">
        <f t="shared" si="273"/>
        <v>19635</v>
      </c>
      <c r="BS807" s="11"/>
      <c r="BT807" s="11"/>
      <c r="BU807" s="11"/>
      <c r="BV807" s="219">
        <v>48893.292000000001</v>
      </c>
      <c r="BW807" s="219">
        <f t="shared" si="270"/>
        <v>9289.725480000001</v>
      </c>
      <c r="BX807" s="273">
        <f t="shared" si="271"/>
        <v>58183.017480000002</v>
      </c>
      <c r="BY807" s="213" t="s">
        <v>196</v>
      </c>
      <c r="BZ807" s="213" t="s">
        <v>338</v>
      </c>
      <c r="CA807" s="213"/>
      <c r="CB807" s="274"/>
      <c r="CC807" s="274"/>
      <c r="CD807" s="274"/>
      <c r="CE807" s="11"/>
      <c r="CF807" s="11"/>
      <c r="CG807" s="11"/>
      <c r="CH807" s="274"/>
      <c r="CI807" s="274"/>
      <c r="CJ807" s="274"/>
      <c r="CK807" s="11"/>
      <c r="CL807" s="11"/>
      <c r="CM807" s="11"/>
      <c r="CN807" s="11"/>
      <c r="CO807" s="11"/>
      <c r="CP807" s="11"/>
      <c r="CQ807" s="11"/>
      <c r="CR807" s="11"/>
      <c r="CS807" s="11"/>
      <c r="CT807" s="11"/>
      <c r="CU807" s="11"/>
      <c r="CV807" s="11"/>
      <c r="CW807" s="11"/>
      <c r="CX807" s="11"/>
      <c r="CY807" s="11"/>
      <c r="CZ807" s="11"/>
      <c r="DA807" s="11"/>
      <c r="DB807" s="11"/>
      <c r="DC807" s="11"/>
      <c r="DD807" s="11"/>
      <c r="DE807" s="11"/>
      <c r="DF807" s="11"/>
      <c r="DG807" s="11"/>
      <c r="DH807" s="11"/>
      <c r="DI807" s="11"/>
      <c r="DJ807" s="11"/>
      <c r="DK807" s="11"/>
      <c r="DL807" s="274"/>
      <c r="DM807" s="274"/>
      <c r="DN807" s="274"/>
      <c r="DO807" s="274"/>
      <c r="DP807" s="274"/>
      <c r="DQ807" s="274"/>
      <c r="DR807" s="274"/>
      <c r="DS807" s="274"/>
      <c r="DT807" s="274"/>
      <c r="DU807" s="274"/>
      <c r="DV807" s="274"/>
      <c r="DW807" s="274"/>
      <c r="DX807" s="274"/>
      <c r="DY807" s="274"/>
      <c r="DZ807" s="274"/>
      <c r="EA807" s="274"/>
      <c r="EB807" s="274"/>
      <c r="EC807" s="274"/>
      <c r="ED807" s="39">
        <f t="shared" si="259"/>
        <v>199436.01748000001</v>
      </c>
      <c r="EE807" s="30">
        <f t="shared" si="260"/>
        <v>4</v>
      </c>
      <c r="EF807" s="39">
        <f t="shared" si="261"/>
        <v>49859.004370000002</v>
      </c>
    </row>
    <row r="808" spans="1:136" x14ac:dyDescent="0.25">
      <c r="A808" s="25" t="e">
        <f>#REF!</f>
        <v>#REF!</v>
      </c>
      <c r="B808" s="50" t="e">
        <f>#REF!</f>
        <v>#REF!</v>
      </c>
      <c r="C808" s="5" t="e">
        <f>#REF!</f>
        <v>#REF!</v>
      </c>
      <c r="D808" s="5" t="e">
        <f>#REF!</f>
        <v>#REF!</v>
      </c>
      <c r="E808" s="252">
        <v>1</v>
      </c>
      <c r="F808" s="249">
        <v>0</v>
      </c>
      <c r="G808" s="249">
        <v>0</v>
      </c>
      <c r="H808" s="249">
        <v>0</v>
      </c>
      <c r="I808" s="249">
        <v>0</v>
      </c>
      <c r="J808" s="249">
        <v>0</v>
      </c>
      <c r="K808" s="249">
        <v>0</v>
      </c>
      <c r="L808" s="274"/>
      <c r="M808" s="274"/>
      <c r="N808" s="255">
        <v>47000</v>
      </c>
      <c r="O808" s="135">
        <f>+N808*0.19</f>
        <v>8930</v>
      </c>
      <c r="P808" s="135">
        <f>+N808+O808</f>
        <v>55930</v>
      </c>
      <c r="Q808" s="11"/>
      <c r="R808" s="11"/>
      <c r="S808" s="11"/>
      <c r="T808" s="274"/>
      <c r="U808" s="274"/>
      <c r="V808" s="274"/>
      <c r="W808" s="11"/>
      <c r="X808" s="11"/>
      <c r="Y808" s="11"/>
      <c r="Z808" s="274"/>
      <c r="AA808" s="274"/>
      <c r="AB808" s="274"/>
      <c r="AC808" s="11"/>
      <c r="AD808" s="11"/>
      <c r="AE808" s="11"/>
      <c r="AF808" s="274"/>
      <c r="AG808" s="274"/>
      <c r="AH808" s="274"/>
      <c r="AI808" s="11"/>
      <c r="AJ808" s="11"/>
      <c r="AK808" s="11"/>
      <c r="AL808" s="118"/>
      <c r="AM808" s="118"/>
      <c r="AN808" s="118"/>
      <c r="AO808" s="52"/>
      <c r="AP808" s="52"/>
      <c r="AQ808" s="11"/>
      <c r="AR808" s="274"/>
      <c r="AS808" s="274"/>
      <c r="AT808" s="274"/>
      <c r="AU808" s="11"/>
      <c r="AV808" s="11"/>
      <c r="AW808" s="11"/>
      <c r="AX808" s="274"/>
      <c r="AY808" s="274"/>
      <c r="AZ808" s="274"/>
      <c r="BA808" s="11"/>
      <c r="BB808" s="11"/>
      <c r="BC808" s="11"/>
      <c r="BD808" s="274"/>
      <c r="BE808" s="274"/>
      <c r="BF808" s="274"/>
      <c r="BG808" s="11"/>
      <c r="BH808" s="11"/>
      <c r="BI808" s="11"/>
      <c r="BJ808" s="274">
        <f>177700/6</f>
        <v>29616.666666666668</v>
      </c>
      <c r="BK808" s="274">
        <f t="shared" si="268"/>
        <v>5627.166666666667</v>
      </c>
      <c r="BL808" s="274">
        <f t="shared" si="269"/>
        <v>35243.833333333336</v>
      </c>
      <c r="BM808" s="213" t="s">
        <v>5067</v>
      </c>
      <c r="BN808" s="213" t="s">
        <v>3670</v>
      </c>
      <c r="BO808" s="11"/>
      <c r="BP808" s="274">
        <v>22000</v>
      </c>
      <c r="BQ808" s="274">
        <f t="shared" si="272"/>
        <v>4180</v>
      </c>
      <c r="BR808" s="274">
        <f t="shared" si="273"/>
        <v>26180</v>
      </c>
      <c r="BS808" s="11"/>
      <c r="BT808" s="11"/>
      <c r="BU808" s="11"/>
      <c r="BV808" s="219">
        <f>194122.3232/6</f>
        <v>32353.720533333337</v>
      </c>
      <c r="BW808" s="219">
        <f t="shared" si="270"/>
        <v>6147.2069013333339</v>
      </c>
      <c r="BX808" s="273">
        <f t="shared" si="271"/>
        <v>38500.927434666672</v>
      </c>
      <c r="BY808" s="213" t="s">
        <v>5067</v>
      </c>
      <c r="BZ808" s="213" t="s">
        <v>3670</v>
      </c>
      <c r="CA808" s="213"/>
      <c r="CB808" s="274"/>
      <c r="CC808" s="274"/>
      <c r="CD808" s="274"/>
      <c r="CE808" s="11"/>
      <c r="CF808" s="11"/>
      <c r="CG808" s="11"/>
      <c r="CH808" s="274"/>
      <c r="CI808" s="274"/>
      <c r="CJ808" s="274"/>
      <c r="CK808" s="11"/>
      <c r="CL808" s="11"/>
      <c r="CM808" s="11"/>
      <c r="CN808" s="11"/>
      <c r="CO808" s="11"/>
      <c r="CP808" s="11"/>
      <c r="CQ808" s="11"/>
      <c r="CR808" s="11"/>
      <c r="CS808" s="11"/>
      <c r="CT808" s="11"/>
      <c r="CU808" s="11"/>
      <c r="CV808" s="11"/>
      <c r="CW808" s="11"/>
      <c r="CX808" s="11"/>
      <c r="CY808" s="11"/>
      <c r="CZ808" s="11"/>
      <c r="DA808" s="11"/>
      <c r="DB808" s="11"/>
      <c r="DC808" s="11"/>
      <c r="DD808" s="11"/>
      <c r="DE808" s="11"/>
      <c r="DF808" s="11"/>
      <c r="DG808" s="11"/>
      <c r="DH808" s="11"/>
      <c r="DI808" s="11"/>
      <c r="DJ808" s="11"/>
      <c r="DK808" s="11"/>
      <c r="DL808" s="274"/>
      <c r="DM808" s="274"/>
      <c r="DN808" s="274"/>
      <c r="DO808" s="274"/>
      <c r="DP808" s="274"/>
      <c r="DQ808" s="274"/>
      <c r="DR808" s="274"/>
      <c r="DS808" s="274"/>
      <c r="DT808" s="274"/>
      <c r="DU808" s="274"/>
      <c r="DV808" s="274"/>
      <c r="DW808" s="274"/>
      <c r="DX808" s="274"/>
      <c r="DY808" s="274"/>
      <c r="DZ808" s="274"/>
      <c r="EA808" s="274"/>
      <c r="EB808" s="274"/>
      <c r="EC808" s="274"/>
      <c r="ED808" s="39">
        <f t="shared" si="259"/>
        <v>155854.76076800001</v>
      </c>
      <c r="EE808" s="30">
        <f t="shared" si="260"/>
        <v>4</v>
      </c>
      <c r="EF808" s="39">
        <f t="shared" si="261"/>
        <v>38963.690192000002</v>
      </c>
    </row>
    <row r="809" spans="1:136" x14ac:dyDescent="0.25">
      <c r="A809" s="25" t="e">
        <f>#REF!</f>
        <v>#REF!</v>
      </c>
      <c r="B809" s="50" t="e">
        <f>#REF!</f>
        <v>#REF!</v>
      </c>
      <c r="C809" s="5" t="e">
        <f>#REF!</f>
        <v>#REF!</v>
      </c>
      <c r="D809" s="5" t="e">
        <f>#REF!</f>
        <v>#REF!</v>
      </c>
      <c r="E809" s="252">
        <v>1</v>
      </c>
      <c r="F809" s="249">
        <v>0</v>
      </c>
      <c r="G809" s="249">
        <v>0</v>
      </c>
      <c r="H809" s="249">
        <v>0</v>
      </c>
      <c r="I809" s="249">
        <v>0</v>
      </c>
      <c r="J809" s="249">
        <v>0</v>
      </c>
      <c r="K809" s="249">
        <v>0</v>
      </c>
      <c r="L809" s="274"/>
      <c r="M809" s="274"/>
      <c r="N809" s="255">
        <v>200000</v>
      </c>
      <c r="O809" s="135">
        <f>+N809*0.19</f>
        <v>38000</v>
      </c>
      <c r="P809" s="135">
        <f>+N809+O809</f>
        <v>238000</v>
      </c>
      <c r="Q809" s="11"/>
      <c r="R809" s="11"/>
      <c r="S809" s="11"/>
      <c r="T809" s="274"/>
      <c r="U809" s="274"/>
      <c r="V809" s="274"/>
      <c r="W809" s="11"/>
      <c r="X809" s="11"/>
      <c r="Y809" s="11"/>
      <c r="Z809" s="274"/>
      <c r="AA809" s="274"/>
      <c r="AB809" s="274"/>
      <c r="AC809" s="11"/>
      <c r="AD809" s="11"/>
      <c r="AE809" s="11"/>
      <c r="AF809" s="274"/>
      <c r="AG809" s="274"/>
      <c r="AH809" s="274"/>
      <c r="AI809" s="11"/>
      <c r="AJ809" s="11"/>
      <c r="AK809" s="11"/>
      <c r="AL809" s="118"/>
      <c r="AM809" s="118"/>
      <c r="AN809" s="118"/>
      <c r="AO809" s="52"/>
      <c r="AP809" s="52"/>
      <c r="AQ809" s="11"/>
      <c r="AR809" s="274"/>
      <c r="AS809" s="274"/>
      <c r="AT809" s="274"/>
      <c r="AU809" s="11"/>
      <c r="AV809" s="11"/>
      <c r="AW809" s="11"/>
      <c r="AX809" s="274"/>
      <c r="AY809" s="274"/>
      <c r="AZ809" s="274"/>
      <c r="BA809" s="11"/>
      <c r="BB809" s="11"/>
      <c r="BC809" s="11"/>
      <c r="BD809" s="274"/>
      <c r="BE809" s="274"/>
      <c r="BF809" s="274"/>
      <c r="BG809" s="11"/>
      <c r="BH809" s="11"/>
      <c r="BI809" s="11"/>
      <c r="BJ809" s="275">
        <v>300000</v>
      </c>
      <c r="BK809" s="274">
        <f t="shared" si="268"/>
        <v>57000</v>
      </c>
      <c r="BL809" s="274">
        <f t="shared" si="269"/>
        <v>357000</v>
      </c>
      <c r="BM809" s="213" t="s">
        <v>5068</v>
      </c>
      <c r="BN809" s="213" t="s">
        <v>3336</v>
      </c>
      <c r="BO809" s="11"/>
      <c r="BP809" s="274">
        <v>165000</v>
      </c>
      <c r="BQ809" s="274">
        <f t="shared" si="272"/>
        <v>31350</v>
      </c>
      <c r="BR809" s="274">
        <f t="shared" si="273"/>
        <v>196350</v>
      </c>
      <c r="BS809" s="11"/>
      <c r="BT809" s="11"/>
      <c r="BU809" s="11"/>
      <c r="BV809" s="219">
        <f>+(592130.6598/45)*100</f>
        <v>1315845.9106666667</v>
      </c>
      <c r="BW809" s="219">
        <f t="shared" si="270"/>
        <v>250010.72302666667</v>
      </c>
      <c r="BX809" s="273">
        <f t="shared" si="271"/>
        <v>1565856.6336933332</v>
      </c>
      <c r="BY809" s="213" t="s">
        <v>5068</v>
      </c>
      <c r="BZ809" s="213" t="s">
        <v>3336</v>
      </c>
      <c r="CA809" s="213"/>
      <c r="CB809" s="274"/>
      <c r="CC809" s="274"/>
      <c r="CD809" s="274"/>
      <c r="CE809" s="11"/>
      <c r="CF809" s="11"/>
      <c r="CG809" s="11"/>
      <c r="CH809" s="274"/>
      <c r="CI809" s="274"/>
      <c r="CJ809" s="274"/>
      <c r="CK809" s="11"/>
      <c r="CL809" s="11"/>
      <c r="CM809" s="11"/>
      <c r="CN809" s="11"/>
      <c r="CO809" s="11"/>
      <c r="CP809" s="11"/>
      <c r="CQ809" s="11"/>
      <c r="CR809" s="11"/>
      <c r="CS809" s="11"/>
      <c r="CT809" s="11"/>
      <c r="CU809" s="11"/>
      <c r="CV809" s="11"/>
      <c r="CW809" s="11"/>
      <c r="CX809" s="11"/>
      <c r="CY809" s="11"/>
      <c r="CZ809" s="11"/>
      <c r="DA809" s="11"/>
      <c r="DB809" s="11"/>
      <c r="DC809" s="11"/>
      <c r="DD809" s="11"/>
      <c r="DE809" s="11"/>
      <c r="DF809" s="11"/>
      <c r="DG809" s="11"/>
      <c r="DH809" s="11"/>
      <c r="DI809" s="11"/>
      <c r="DJ809" s="11"/>
      <c r="DK809" s="11"/>
      <c r="DL809" s="274"/>
      <c r="DM809" s="274"/>
      <c r="DN809" s="274"/>
      <c r="DO809" s="274"/>
      <c r="DP809" s="274"/>
      <c r="DQ809" s="274"/>
      <c r="DR809" s="274"/>
      <c r="DS809" s="274"/>
      <c r="DT809" s="274"/>
      <c r="DU809" s="274"/>
      <c r="DV809" s="274"/>
      <c r="DW809" s="274"/>
      <c r="DX809" s="274"/>
      <c r="DY809" s="274"/>
      <c r="DZ809" s="274"/>
      <c r="EA809" s="274"/>
      <c r="EB809" s="274"/>
      <c r="EC809" s="274"/>
      <c r="ED809" s="39">
        <f t="shared" si="259"/>
        <v>2357206.6336933332</v>
      </c>
      <c r="EE809" s="30">
        <f t="shared" si="260"/>
        <v>4</v>
      </c>
      <c r="EF809" s="39">
        <f t="shared" si="261"/>
        <v>589301.65842333331</v>
      </c>
    </row>
    <row r="810" spans="1:136" x14ac:dyDescent="0.25">
      <c r="A810" s="25" t="e">
        <f>#REF!</f>
        <v>#REF!</v>
      </c>
      <c r="B810" s="50" t="e">
        <f>#REF!</f>
        <v>#REF!</v>
      </c>
      <c r="C810" s="5" t="e">
        <f>#REF!</f>
        <v>#REF!</v>
      </c>
      <c r="D810" s="5" t="e">
        <f>#REF!</f>
        <v>#REF!</v>
      </c>
      <c r="E810" s="252">
        <v>1</v>
      </c>
      <c r="F810" s="249">
        <v>0</v>
      </c>
      <c r="G810" s="249">
        <v>0</v>
      </c>
      <c r="H810" s="249">
        <v>0</v>
      </c>
      <c r="I810" s="249">
        <v>0</v>
      </c>
      <c r="J810" s="249">
        <v>0</v>
      </c>
      <c r="K810" s="249">
        <v>0</v>
      </c>
      <c r="L810" s="274"/>
      <c r="M810" s="274"/>
      <c r="N810" s="255"/>
      <c r="O810" s="135"/>
      <c r="P810" s="135"/>
      <c r="Q810" s="11"/>
      <c r="R810" s="11"/>
      <c r="S810" s="11"/>
      <c r="T810" s="274"/>
      <c r="U810" s="274"/>
      <c r="V810" s="274"/>
      <c r="W810" s="11"/>
      <c r="X810" s="11"/>
      <c r="Y810" s="11"/>
      <c r="Z810" s="274"/>
      <c r="AA810" s="274"/>
      <c r="AB810" s="274"/>
      <c r="AC810" s="11"/>
      <c r="AD810" s="11"/>
      <c r="AE810" s="11"/>
      <c r="AF810" s="274"/>
      <c r="AG810" s="274"/>
      <c r="AH810" s="274"/>
      <c r="AI810" s="11"/>
      <c r="AJ810" s="11"/>
      <c r="AK810" s="11"/>
      <c r="AL810" s="118"/>
      <c r="AM810" s="118"/>
      <c r="AN810" s="118"/>
      <c r="AO810" s="52"/>
      <c r="AP810" s="52"/>
      <c r="AQ810" s="11"/>
      <c r="AR810" s="274"/>
      <c r="AS810" s="274"/>
      <c r="AT810" s="274"/>
      <c r="AU810" s="11"/>
      <c r="AV810" s="11"/>
      <c r="AW810" s="11"/>
      <c r="AX810" s="274"/>
      <c r="AY810" s="274"/>
      <c r="AZ810" s="274"/>
      <c r="BA810" s="11"/>
      <c r="BB810" s="11"/>
      <c r="BC810" s="11"/>
      <c r="BD810" s="274"/>
      <c r="BE810" s="274"/>
      <c r="BF810" s="274"/>
      <c r="BG810" s="11"/>
      <c r="BH810" s="11"/>
      <c r="BI810" s="11"/>
      <c r="BJ810" s="274">
        <v>68000</v>
      </c>
      <c r="BK810" s="274">
        <f t="shared" si="268"/>
        <v>12920</v>
      </c>
      <c r="BL810" s="274">
        <f t="shared" si="269"/>
        <v>80920</v>
      </c>
      <c r="BM810" s="213" t="s">
        <v>196</v>
      </c>
      <c r="BN810" s="213" t="s">
        <v>2925</v>
      </c>
      <c r="BO810" s="11"/>
      <c r="BP810" s="274">
        <v>165000</v>
      </c>
      <c r="BQ810" s="274">
        <f t="shared" si="272"/>
        <v>31350</v>
      </c>
      <c r="BR810" s="274">
        <f t="shared" si="273"/>
        <v>196350</v>
      </c>
      <c r="BS810" s="11"/>
      <c r="BT810" s="11"/>
      <c r="BU810" s="11"/>
      <c r="BV810" s="219">
        <v>76469.400000000009</v>
      </c>
      <c r="BW810" s="219">
        <f t="shared" si="270"/>
        <v>14529.186000000002</v>
      </c>
      <c r="BX810" s="273">
        <f t="shared" si="271"/>
        <v>90998.58600000001</v>
      </c>
      <c r="BY810" s="213" t="s">
        <v>196</v>
      </c>
      <c r="BZ810" s="213" t="s">
        <v>2925</v>
      </c>
      <c r="CA810" s="213"/>
      <c r="CB810" s="274"/>
      <c r="CC810" s="274"/>
      <c r="CD810" s="274"/>
      <c r="CE810" s="11"/>
      <c r="CF810" s="11"/>
      <c r="CG810" s="11"/>
      <c r="CH810" s="274"/>
      <c r="CI810" s="274"/>
      <c r="CJ810" s="274"/>
      <c r="CK810" s="11"/>
      <c r="CL810" s="11"/>
      <c r="CM810" s="11"/>
      <c r="CN810" s="11"/>
      <c r="CO810" s="11"/>
      <c r="CP810" s="11"/>
      <c r="CQ810" s="11"/>
      <c r="CR810" s="11"/>
      <c r="CS810" s="11"/>
      <c r="CT810" s="11"/>
      <c r="CU810" s="11"/>
      <c r="CV810" s="11"/>
      <c r="CW810" s="11"/>
      <c r="CX810" s="11"/>
      <c r="CY810" s="11"/>
      <c r="CZ810" s="11"/>
      <c r="DA810" s="11"/>
      <c r="DB810" s="11"/>
      <c r="DC810" s="11"/>
      <c r="DD810" s="11"/>
      <c r="DE810" s="11"/>
      <c r="DF810" s="11"/>
      <c r="DG810" s="11"/>
      <c r="DH810" s="11"/>
      <c r="DI810" s="11"/>
      <c r="DJ810" s="11"/>
      <c r="DK810" s="11"/>
      <c r="DL810" s="274"/>
      <c r="DM810" s="274"/>
      <c r="DN810" s="274"/>
      <c r="DO810" s="274"/>
      <c r="DP810" s="274"/>
      <c r="DQ810" s="274"/>
      <c r="DR810" s="274"/>
      <c r="DS810" s="274"/>
      <c r="DT810" s="274"/>
      <c r="DU810" s="274"/>
      <c r="DV810" s="274"/>
      <c r="DW810" s="274"/>
      <c r="DX810" s="274"/>
      <c r="DY810" s="274"/>
      <c r="DZ810" s="274"/>
      <c r="EA810" s="274"/>
      <c r="EB810" s="274"/>
      <c r="EC810" s="274"/>
      <c r="ED810" s="39">
        <f t="shared" si="259"/>
        <v>368268.58600000001</v>
      </c>
      <c r="EE810" s="30">
        <f t="shared" si="260"/>
        <v>3</v>
      </c>
      <c r="EF810" s="39">
        <f t="shared" si="261"/>
        <v>122756.19533333334</v>
      </c>
    </row>
    <row r="811" spans="1:136" x14ac:dyDescent="0.25">
      <c r="A811" s="25" t="e">
        <f>#REF!</f>
        <v>#REF!</v>
      </c>
      <c r="B811" s="50" t="e">
        <f>#REF!</f>
        <v>#REF!</v>
      </c>
      <c r="C811" s="5" t="e">
        <f>#REF!</f>
        <v>#REF!</v>
      </c>
      <c r="D811" s="5" t="e">
        <f>#REF!</f>
        <v>#REF!</v>
      </c>
      <c r="E811" s="252">
        <v>1</v>
      </c>
      <c r="F811" s="249">
        <v>0</v>
      </c>
      <c r="G811" s="249">
        <v>0</v>
      </c>
      <c r="H811" s="249">
        <v>0</v>
      </c>
      <c r="I811" s="249">
        <v>0</v>
      </c>
      <c r="J811" s="249">
        <v>0</v>
      </c>
      <c r="K811" s="249">
        <v>0</v>
      </c>
      <c r="L811" s="274"/>
      <c r="M811" s="274"/>
      <c r="N811" s="255">
        <v>10000</v>
      </c>
      <c r="O811" s="135">
        <f>+N811*0.19</f>
        <v>1900</v>
      </c>
      <c r="P811" s="135">
        <f>+N811+O811</f>
        <v>11900</v>
      </c>
      <c r="Q811" s="11"/>
      <c r="R811" s="11"/>
      <c r="S811" s="11"/>
      <c r="T811" s="274"/>
      <c r="U811" s="274"/>
      <c r="V811" s="274"/>
      <c r="W811" s="11"/>
      <c r="X811" s="11"/>
      <c r="Y811" s="11"/>
      <c r="Z811" s="274"/>
      <c r="AA811" s="274"/>
      <c r="AB811" s="274"/>
      <c r="AC811" s="11"/>
      <c r="AD811" s="11"/>
      <c r="AE811" s="11"/>
      <c r="AF811" s="274"/>
      <c r="AG811" s="274"/>
      <c r="AH811" s="274"/>
      <c r="AI811" s="11"/>
      <c r="AJ811" s="11"/>
      <c r="AK811" s="11"/>
      <c r="AL811" s="118"/>
      <c r="AM811" s="118"/>
      <c r="AN811" s="118"/>
      <c r="AO811" s="52"/>
      <c r="AP811" s="52"/>
      <c r="AQ811" s="11"/>
      <c r="AR811" s="274"/>
      <c r="AS811" s="274"/>
      <c r="AT811" s="274"/>
      <c r="AU811" s="11"/>
      <c r="AV811" s="11"/>
      <c r="AW811" s="11"/>
      <c r="AX811" s="274"/>
      <c r="AY811" s="274"/>
      <c r="AZ811" s="274"/>
      <c r="BA811" s="11"/>
      <c r="BB811" s="11"/>
      <c r="BC811" s="11"/>
      <c r="BD811" s="274"/>
      <c r="BE811" s="274"/>
      <c r="BF811" s="274"/>
      <c r="BG811" s="11"/>
      <c r="BH811" s="11"/>
      <c r="BI811" s="11"/>
      <c r="BJ811" s="274">
        <v>113500</v>
      </c>
      <c r="BK811" s="274">
        <f t="shared" si="268"/>
        <v>21565</v>
      </c>
      <c r="BL811" s="274">
        <f t="shared" si="269"/>
        <v>135065</v>
      </c>
      <c r="BM811" s="213" t="s">
        <v>196</v>
      </c>
      <c r="BN811" s="213" t="s">
        <v>5069</v>
      </c>
      <c r="BO811" s="11"/>
      <c r="BP811" s="274">
        <v>6500</v>
      </c>
      <c r="BQ811" s="274">
        <f t="shared" si="272"/>
        <v>1235</v>
      </c>
      <c r="BR811" s="274">
        <f t="shared" si="273"/>
        <v>7735</v>
      </c>
      <c r="BS811" s="11"/>
      <c r="BT811" s="11"/>
      <c r="BU811" s="11"/>
      <c r="BV811" s="219">
        <v>132641.77499999999</v>
      </c>
      <c r="BW811" s="219">
        <f t="shared" si="270"/>
        <v>25201.937249999999</v>
      </c>
      <c r="BX811" s="273">
        <f t="shared" si="271"/>
        <v>157843.71224999998</v>
      </c>
      <c r="BY811" s="213" t="s">
        <v>196</v>
      </c>
      <c r="BZ811" s="213" t="s">
        <v>5069</v>
      </c>
      <c r="CA811" s="213"/>
      <c r="CB811" s="274"/>
      <c r="CC811" s="274"/>
      <c r="CD811" s="274"/>
      <c r="CE811" s="11"/>
      <c r="CF811" s="11"/>
      <c r="CG811" s="11"/>
      <c r="CH811" s="274"/>
      <c r="CI811" s="274"/>
      <c r="CJ811" s="274"/>
      <c r="CK811" s="11"/>
      <c r="CL811" s="11"/>
      <c r="CM811" s="11"/>
      <c r="CN811" s="11"/>
      <c r="CO811" s="11"/>
      <c r="CP811" s="11"/>
      <c r="CQ811" s="11"/>
      <c r="CR811" s="11"/>
      <c r="CS811" s="11"/>
      <c r="CT811" s="11"/>
      <c r="CU811" s="11"/>
      <c r="CV811" s="11"/>
      <c r="CW811" s="11"/>
      <c r="CX811" s="11"/>
      <c r="CY811" s="11"/>
      <c r="CZ811" s="11"/>
      <c r="DA811" s="11"/>
      <c r="DB811" s="11"/>
      <c r="DC811" s="11"/>
      <c r="DD811" s="11"/>
      <c r="DE811" s="11"/>
      <c r="DF811" s="11"/>
      <c r="DG811" s="11"/>
      <c r="DH811" s="11"/>
      <c r="DI811" s="11"/>
      <c r="DJ811" s="11"/>
      <c r="DK811" s="11"/>
      <c r="DL811" s="274"/>
      <c r="DM811" s="274"/>
      <c r="DN811" s="274"/>
      <c r="DO811" s="274"/>
      <c r="DP811" s="274"/>
      <c r="DQ811" s="274"/>
      <c r="DR811" s="274"/>
      <c r="DS811" s="274"/>
      <c r="DT811" s="274"/>
      <c r="DU811" s="274"/>
      <c r="DV811" s="274"/>
      <c r="DW811" s="274"/>
      <c r="DX811" s="274"/>
      <c r="DY811" s="274"/>
      <c r="DZ811" s="274"/>
      <c r="EA811" s="274"/>
      <c r="EB811" s="274"/>
      <c r="EC811" s="274"/>
      <c r="ED811" s="39">
        <f t="shared" si="259"/>
        <v>312543.71224999998</v>
      </c>
      <c r="EE811" s="30">
        <f t="shared" si="260"/>
        <v>4</v>
      </c>
      <c r="EF811" s="39">
        <f t="shared" si="261"/>
        <v>78135.928062499996</v>
      </c>
    </row>
    <row r="812" spans="1:136" x14ac:dyDescent="0.25">
      <c r="A812" s="25" t="e">
        <f>#REF!</f>
        <v>#REF!</v>
      </c>
      <c r="B812" s="50" t="e">
        <f>#REF!</f>
        <v>#REF!</v>
      </c>
      <c r="C812" s="5" t="e">
        <f>#REF!</f>
        <v>#REF!</v>
      </c>
      <c r="D812" s="5" t="e">
        <f>#REF!</f>
        <v>#REF!</v>
      </c>
      <c r="E812" s="252">
        <v>1</v>
      </c>
      <c r="F812" s="249">
        <v>0</v>
      </c>
      <c r="G812" s="249">
        <v>0</v>
      </c>
      <c r="H812" s="249">
        <v>0</v>
      </c>
      <c r="I812" s="249">
        <v>0</v>
      </c>
      <c r="J812" s="249">
        <v>0</v>
      </c>
      <c r="K812" s="249">
        <v>0</v>
      </c>
      <c r="L812" s="274"/>
      <c r="M812" s="274"/>
      <c r="N812" s="255">
        <v>40000</v>
      </c>
      <c r="O812" s="135">
        <f>+N812*0.19</f>
        <v>7600</v>
      </c>
      <c r="P812" s="135">
        <f>+N812+O812</f>
        <v>47600</v>
      </c>
      <c r="Q812" s="11"/>
      <c r="R812" s="11"/>
      <c r="S812" s="11"/>
      <c r="T812" s="274"/>
      <c r="U812" s="274"/>
      <c r="V812" s="274"/>
      <c r="W812" s="11"/>
      <c r="X812" s="11"/>
      <c r="Y812" s="11"/>
      <c r="Z812" s="274"/>
      <c r="AA812" s="274"/>
      <c r="AB812" s="274"/>
      <c r="AC812" s="11"/>
      <c r="AD812" s="11"/>
      <c r="AE812" s="11"/>
      <c r="AF812" s="274"/>
      <c r="AG812" s="274"/>
      <c r="AH812" s="274"/>
      <c r="AI812" s="11"/>
      <c r="AJ812" s="11"/>
      <c r="AK812" s="11"/>
      <c r="AL812" s="118"/>
      <c r="AM812" s="118"/>
      <c r="AN812" s="118"/>
      <c r="AO812" s="52"/>
      <c r="AP812" s="52"/>
      <c r="AQ812" s="11"/>
      <c r="AR812" s="274"/>
      <c r="AS812" s="274"/>
      <c r="AT812" s="274"/>
      <c r="AU812" s="11"/>
      <c r="AV812" s="11"/>
      <c r="AW812" s="11"/>
      <c r="AX812" s="274"/>
      <c r="AY812" s="274"/>
      <c r="AZ812" s="274"/>
      <c r="BA812" s="11"/>
      <c r="BB812" s="11"/>
      <c r="BC812" s="11"/>
      <c r="BD812" s="274"/>
      <c r="BE812" s="274"/>
      <c r="BF812" s="274"/>
      <c r="BG812" s="11"/>
      <c r="BH812" s="11"/>
      <c r="BI812" s="11"/>
      <c r="BJ812" s="274">
        <v>67700</v>
      </c>
      <c r="BK812" s="274">
        <f t="shared" si="268"/>
        <v>12863</v>
      </c>
      <c r="BL812" s="274">
        <f t="shared" si="269"/>
        <v>80563</v>
      </c>
      <c r="BM812" s="213" t="s">
        <v>196</v>
      </c>
      <c r="BN812" s="213" t="s">
        <v>2925</v>
      </c>
      <c r="BO812" s="11"/>
      <c r="BP812" s="274">
        <v>45200</v>
      </c>
      <c r="BQ812" s="274">
        <f t="shared" si="272"/>
        <v>8588</v>
      </c>
      <c r="BR812" s="274">
        <f t="shared" si="273"/>
        <v>53788</v>
      </c>
      <c r="BS812" s="11"/>
      <c r="BT812" s="11"/>
      <c r="BU812" s="11"/>
      <c r="BV812" s="219">
        <v>78277.989600000001</v>
      </c>
      <c r="BW812" s="219">
        <f t="shared" si="270"/>
        <v>14872.818024</v>
      </c>
      <c r="BX812" s="273">
        <f t="shared" si="271"/>
        <v>93150.807624000008</v>
      </c>
      <c r="BY812" s="213" t="s">
        <v>196</v>
      </c>
      <c r="BZ812" s="213" t="s">
        <v>2925</v>
      </c>
      <c r="CA812" s="213"/>
      <c r="CB812" s="274"/>
      <c r="CC812" s="274"/>
      <c r="CD812" s="274"/>
      <c r="CE812" s="11"/>
      <c r="CF812" s="11"/>
      <c r="CG812" s="11"/>
      <c r="CH812" s="274"/>
      <c r="CI812" s="274"/>
      <c r="CJ812" s="274"/>
      <c r="CK812" s="11"/>
      <c r="CL812" s="11"/>
      <c r="CM812" s="11"/>
      <c r="CN812" s="11"/>
      <c r="CO812" s="11"/>
      <c r="CP812" s="11"/>
      <c r="CQ812" s="11"/>
      <c r="CR812" s="11"/>
      <c r="CS812" s="11"/>
      <c r="CT812" s="11"/>
      <c r="CU812" s="11"/>
      <c r="CV812" s="11"/>
      <c r="CW812" s="11"/>
      <c r="CX812" s="11"/>
      <c r="CY812" s="11"/>
      <c r="CZ812" s="11"/>
      <c r="DA812" s="11"/>
      <c r="DB812" s="11"/>
      <c r="DC812" s="11"/>
      <c r="DD812" s="11"/>
      <c r="DE812" s="11"/>
      <c r="DF812" s="11"/>
      <c r="DG812" s="11"/>
      <c r="DH812" s="11"/>
      <c r="DI812" s="11"/>
      <c r="DJ812" s="11"/>
      <c r="DK812" s="11"/>
      <c r="DL812" s="274"/>
      <c r="DM812" s="274"/>
      <c r="DN812" s="274"/>
      <c r="DO812" s="274"/>
      <c r="DP812" s="274"/>
      <c r="DQ812" s="274"/>
      <c r="DR812" s="274"/>
      <c r="DS812" s="274"/>
      <c r="DT812" s="274"/>
      <c r="DU812" s="274"/>
      <c r="DV812" s="274"/>
      <c r="DW812" s="274"/>
      <c r="DX812" s="274"/>
      <c r="DY812" s="274"/>
      <c r="DZ812" s="274"/>
      <c r="EA812" s="274"/>
      <c r="EB812" s="274"/>
      <c r="EC812" s="274"/>
      <c r="ED812" s="39">
        <f t="shared" si="259"/>
        <v>275101.80762400001</v>
      </c>
      <c r="EE812" s="30">
        <f t="shared" si="260"/>
        <v>4</v>
      </c>
      <c r="EF812" s="39">
        <f t="shared" si="261"/>
        <v>68775.451906000002</v>
      </c>
    </row>
    <row r="813" spans="1:136" x14ac:dyDescent="0.25">
      <c r="A813" s="25" t="e">
        <f>#REF!</f>
        <v>#REF!</v>
      </c>
      <c r="B813" s="50" t="e">
        <f>#REF!</f>
        <v>#REF!</v>
      </c>
      <c r="C813" s="5" t="e">
        <f>#REF!</f>
        <v>#REF!</v>
      </c>
      <c r="D813" s="5" t="e">
        <f>#REF!</f>
        <v>#REF!</v>
      </c>
      <c r="E813" s="252">
        <v>1</v>
      </c>
      <c r="F813" s="249">
        <v>0</v>
      </c>
      <c r="G813" s="249">
        <v>0</v>
      </c>
      <c r="H813" s="249">
        <v>0</v>
      </c>
      <c r="I813" s="249">
        <v>0</v>
      </c>
      <c r="J813" s="249">
        <v>0</v>
      </c>
      <c r="K813" s="249">
        <v>0</v>
      </c>
      <c r="L813" s="274"/>
      <c r="M813" s="274"/>
      <c r="N813" s="255"/>
      <c r="O813" s="135"/>
      <c r="P813" s="135"/>
      <c r="Q813" s="11"/>
      <c r="R813" s="11"/>
      <c r="S813" s="11"/>
      <c r="T813" s="274"/>
      <c r="U813" s="274"/>
      <c r="V813" s="274"/>
      <c r="W813" s="11"/>
      <c r="X813" s="11"/>
      <c r="Y813" s="11"/>
      <c r="Z813" s="274"/>
      <c r="AA813" s="274"/>
      <c r="AB813" s="274"/>
      <c r="AC813" s="11"/>
      <c r="AD813" s="11"/>
      <c r="AE813" s="11"/>
      <c r="AF813" s="274"/>
      <c r="AG813" s="274"/>
      <c r="AH813" s="274"/>
      <c r="AI813" s="11"/>
      <c r="AJ813" s="11"/>
      <c r="AK813" s="11"/>
      <c r="AL813" s="118"/>
      <c r="AM813" s="118"/>
      <c r="AN813" s="118"/>
      <c r="AO813" s="52"/>
      <c r="AP813" s="52"/>
      <c r="AQ813" s="11"/>
      <c r="AR813" s="274"/>
      <c r="AS813" s="274"/>
      <c r="AT813" s="274"/>
      <c r="AU813" s="11"/>
      <c r="AV813" s="11"/>
      <c r="AW813" s="11"/>
      <c r="AX813" s="274"/>
      <c r="AY813" s="274"/>
      <c r="AZ813" s="274"/>
      <c r="BA813" s="11"/>
      <c r="BB813" s="11"/>
      <c r="BC813" s="11"/>
      <c r="BD813" s="274"/>
      <c r="BE813" s="274"/>
      <c r="BF813" s="274"/>
      <c r="BG813" s="11"/>
      <c r="BH813" s="11"/>
      <c r="BI813" s="11"/>
      <c r="BJ813" s="274">
        <v>437000</v>
      </c>
      <c r="BK813" s="274">
        <f t="shared" si="268"/>
        <v>83030</v>
      </c>
      <c r="BL813" s="274">
        <f t="shared" si="269"/>
        <v>520030</v>
      </c>
      <c r="BM813" s="213" t="s">
        <v>196</v>
      </c>
      <c r="BN813" s="213" t="s">
        <v>5070</v>
      </c>
      <c r="BO813" s="11"/>
      <c r="BP813" s="274">
        <v>265000</v>
      </c>
      <c r="BQ813" s="274">
        <f t="shared" si="272"/>
        <v>50350</v>
      </c>
      <c r="BR813" s="274">
        <f t="shared" si="273"/>
        <v>315350</v>
      </c>
      <c r="BS813" s="11"/>
      <c r="BT813" s="11"/>
      <c r="BU813" s="11"/>
      <c r="BV813" s="219">
        <v>477209.24400000006</v>
      </c>
      <c r="BW813" s="219">
        <f t="shared" si="270"/>
        <v>90669.756360000014</v>
      </c>
      <c r="BX813" s="273">
        <f t="shared" si="271"/>
        <v>567879.00036000006</v>
      </c>
      <c r="BY813" s="213" t="s">
        <v>196</v>
      </c>
      <c r="BZ813" s="213" t="s">
        <v>5070</v>
      </c>
      <c r="CA813" s="213"/>
      <c r="CB813" s="274"/>
      <c r="CC813" s="274"/>
      <c r="CD813" s="274"/>
      <c r="CE813" s="11"/>
      <c r="CF813" s="11"/>
      <c r="CG813" s="11"/>
      <c r="CH813" s="274"/>
      <c r="CI813" s="274"/>
      <c r="CJ813" s="274"/>
      <c r="CK813" s="11"/>
      <c r="CL813" s="11"/>
      <c r="CM813" s="11"/>
      <c r="CN813" s="11"/>
      <c r="CO813" s="11"/>
      <c r="CP813" s="11"/>
      <c r="CQ813" s="11"/>
      <c r="CR813" s="11"/>
      <c r="CS813" s="11"/>
      <c r="CT813" s="11"/>
      <c r="CU813" s="11"/>
      <c r="CV813" s="11"/>
      <c r="CW813" s="11"/>
      <c r="CX813" s="11"/>
      <c r="CY813" s="11"/>
      <c r="CZ813" s="11"/>
      <c r="DA813" s="11"/>
      <c r="DB813" s="11"/>
      <c r="DC813" s="11"/>
      <c r="DD813" s="11"/>
      <c r="DE813" s="11"/>
      <c r="DF813" s="11"/>
      <c r="DG813" s="11"/>
      <c r="DH813" s="11"/>
      <c r="DI813" s="11"/>
      <c r="DJ813" s="11"/>
      <c r="DK813" s="11"/>
      <c r="DL813" s="274"/>
      <c r="DM813" s="274"/>
      <c r="DN813" s="274"/>
      <c r="DO813" s="274"/>
      <c r="DP813" s="274"/>
      <c r="DQ813" s="274"/>
      <c r="DR813" s="274"/>
      <c r="DS813" s="274"/>
      <c r="DT813" s="274"/>
      <c r="DU813" s="274"/>
      <c r="DV813" s="274"/>
      <c r="DW813" s="274"/>
      <c r="DX813" s="274"/>
      <c r="DY813" s="274"/>
      <c r="DZ813" s="274"/>
      <c r="EA813" s="274"/>
      <c r="EB813" s="274"/>
      <c r="EC813" s="274"/>
      <c r="ED813" s="39">
        <f t="shared" si="259"/>
        <v>1403259.0003599999</v>
      </c>
      <c r="EE813" s="30">
        <f t="shared" si="260"/>
        <v>3</v>
      </c>
      <c r="EF813" s="39">
        <f t="shared" si="261"/>
        <v>467753.00011999998</v>
      </c>
    </row>
    <row r="814" spans="1:136" x14ac:dyDescent="0.25">
      <c r="A814" s="25" t="e">
        <f>#REF!</f>
        <v>#REF!</v>
      </c>
      <c r="B814" s="50" t="e">
        <f>#REF!</f>
        <v>#REF!</v>
      </c>
      <c r="C814" s="5" t="e">
        <f>#REF!</f>
        <v>#REF!</v>
      </c>
      <c r="D814" s="5" t="e">
        <f>#REF!</f>
        <v>#REF!</v>
      </c>
      <c r="E814" s="252">
        <v>1</v>
      </c>
      <c r="F814" s="249">
        <v>0</v>
      </c>
      <c r="G814" s="249">
        <v>0</v>
      </c>
      <c r="H814" s="249">
        <v>0</v>
      </c>
      <c r="I814" s="249">
        <v>0</v>
      </c>
      <c r="J814" s="249">
        <v>0</v>
      </c>
      <c r="K814" s="249">
        <v>0</v>
      </c>
      <c r="L814" s="274"/>
      <c r="M814" s="274"/>
      <c r="N814" s="255"/>
      <c r="O814" s="135"/>
      <c r="P814" s="135"/>
      <c r="Q814" s="11"/>
      <c r="R814" s="11"/>
      <c r="S814" s="11"/>
      <c r="T814" s="274"/>
      <c r="U814" s="274"/>
      <c r="V814" s="274"/>
      <c r="W814" s="11"/>
      <c r="X814" s="11"/>
      <c r="Y814" s="11"/>
      <c r="Z814" s="274"/>
      <c r="AA814" s="274"/>
      <c r="AB814" s="274"/>
      <c r="AC814" s="11"/>
      <c r="AD814" s="11"/>
      <c r="AE814" s="11"/>
      <c r="AF814" s="274"/>
      <c r="AG814" s="274"/>
      <c r="AH814" s="274"/>
      <c r="AI814" s="11"/>
      <c r="AJ814" s="11"/>
      <c r="AK814" s="11"/>
      <c r="AL814" s="118"/>
      <c r="AM814" s="118"/>
      <c r="AN814" s="118"/>
      <c r="AO814" s="52"/>
      <c r="AP814" s="52"/>
      <c r="AQ814" s="11"/>
      <c r="AR814" s="274"/>
      <c r="AS814" s="274"/>
      <c r="AT814" s="274"/>
      <c r="AU814" s="11"/>
      <c r="AV814" s="11"/>
      <c r="AW814" s="11"/>
      <c r="AX814" s="274"/>
      <c r="AY814" s="274"/>
      <c r="AZ814" s="274"/>
      <c r="BA814" s="11"/>
      <c r="BB814" s="11"/>
      <c r="BC814" s="11"/>
      <c r="BD814" s="274"/>
      <c r="BE814" s="274"/>
      <c r="BF814" s="274"/>
      <c r="BG814" s="11"/>
      <c r="BH814" s="11"/>
      <c r="BI814" s="11"/>
      <c r="BJ814" s="274"/>
      <c r="BK814" s="274"/>
      <c r="BL814" s="274"/>
      <c r="BM814" s="213"/>
      <c r="BN814" s="213"/>
      <c r="BO814" s="11"/>
      <c r="BP814" s="274"/>
      <c r="BQ814" s="274"/>
      <c r="BR814" s="274"/>
      <c r="BS814" s="11"/>
      <c r="BT814" s="11"/>
      <c r="BU814" s="11"/>
      <c r="BV814" s="212"/>
      <c r="BW814" s="221"/>
      <c r="BX814" s="273"/>
      <c r="BY814" s="213"/>
      <c r="BZ814" s="213"/>
      <c r="CA814" s="213"/>
      <c r="CB814" s="274"/>
      <c r="CC814" s="274"/>
      <c r="CD814" s="274"/>
      <c r="CE814" s="11"/>
      <c r="CF814" s="11"/>
      <c r="CG814" s="11"/>
      <c r="CH814" s="274"/>
      <c r="CI814" s="274"/>
      <c r="CJ814" s="274"/>
      <c r="CK814" s="11"/>
      <c r="CL814" s="11"/>
      <c r="CM814" s="11"/>
      <c r="CN814" s="11"/>
      <c r="CO814" s="11"/>
      <c r="CP814" s="11"/>
      <c r="CQ814" s="11"/>
      <c r="CR814" s="11"/>
      <c r="CS814" s="11"/>
      <c r="CT814" s="11"/>
      <c r="CU814" s="11"/>
      <c r="CV814" s="11"/>
      <c r="CW814" s="11"/>
      <c r="CX814" s="11"/>
      <c r="CY814" s="11"/>
      <c r="CZ814" s="11"/>
      <c r="DA814" s="11"/>
      <c r="DB814" s="11"/>
      <c r="DC814" s="11"/>
      <c r="DD814" s="11"/>
      <c r="DE814" s="11"/>
      <c r="DF814" s="11"/>
      <c r="DG814" s="11"/>
      <c r="DH814" s="11"/>
      <c r="DI814" s="11"/>
      <c r="DJ814" s="11"/>
      <c r="DK814" s="11"/>
      <c r="DL814" s="274"/>
      <c r="DM814" s="274"/>
      <c r="DN814" s="274"/>
      <c r="DO814" s="274"/>
      <c r="DP814" s="274"/>
      <c r="DQ814" s="274"/>
      <c r="DR814" s="274"/>
      <c r="DS814" s="274"/>
      <c r="DT814" s="274"/>
      <c r="DU814" s="274"/>
      <c r="DV814" s="274"/>
      <c r="DW814" s="274"/>
      <c r="DX814" s="274"/>
      <c r="DY814" s="274"/>
      <c r="DZ814" s="274"/>
      <c r="EA814" s="274"/>
      <c r="EB814" s="274"/>
      <c r="EC814" s="274"/>
      <c r="ED814" s="39">
        <f t="shared" si="259"/>
        <v>0</v>
      </c>
      <c r="EE814" s="30">
        <f t="shared" si="260"/>
        <v>0</v>
      </c>
      <c r="EF814" s="39" t="str">
        <f t="shared" si="261"/>
        <v xml:space="preserve"> </v>
      </c>
    </row>
    <row r="815" spans="1:136" x14ac:dyDescent="0.25">
      <c r="A815" s="25" t="e">
        <f>#REF!</f>
        <v>#REF!</v>
      </c>
      <c r="B815" s="50" t="e">
        <f>#REF!</f>
        <v>#REF!</v>
      </c>
      <c r="C815" s="5" t="e">
        <f>#REF!</f>
        <v>#REF!</v>
      </c>
      <c r="D815" s="5" t="e">
        <f>#REF!</f>
        <v>#REF!</v>
      </c>
      <c r="E815" s="252">
        <v>1</v>
      </c>
      <c r="F815" s="249">
        <v>0</v>
      </c>
      <c r="G815" s="249">
        <v>0</v>
      </c>
      <c r="H815" s="249">
        <v>0</v>
      </c>
      <c r="I815" s="249">
        <v>0</v>
      </c>
      <c r="J815" s="249">
        <v>0</v>
      </c>
      <c r="K815" s="249">
        <v>0</v>
      </c>
      <c r="L815" s="274"/>
      <c r="M815" s="274"/>
      <c r="N815" s="255"/>
      <c r="O815" s="135"/>
      <c r="P815" s="135"/>
      <c r="Q815" s="11"/>
      <c r="R815" s="11"/>
      <c r="S815" s="11"/>
      <c r="T815" s="274"/>
      <c r="U815" s="274"/>
      <c r="V815" s="274"/>
      <c r="W815" s="11"/>
      <c r="X815" s="11"/>
      <c r="Y815" s="11"/>
      <c r="Z815" s="274"/>
      <c r="AA815" s="274"/>
      <c r="AB815" s="274"/>
      <c r="AC815" s="11"/>
      <c r="AD815" s="11"/>
      <c r="AE815" s="11"/>
      <c r="AF815" s="274"/>
      <c r="AG815" s="274"/>
      <c r="AH815" s="274"/>
      <c r="AI815" s="11"/>
      <c r="AJ815" s="11"/>
      <c r="AK815" s="11"/>
      <c r="AL815" s="118"/>
      <c r="AM815" s="118"/>
      <c r="AN815" s="118"/>
      <c r="AO815" s="52"/>
      <c r="AP815" s="52"/>
      <c r="AQ815" s="11"/>
      <c r="AR815" s="274"/>
      <c r="AS815" s="274"/>
      <c r="AT815" s="274"/>
      <c r="AU815" s="11"/>
      <c r="AV815" s="11"/>
      <c r="AW815" s="11"/>
      <c r="AX815" s="274"/>
      <c r="AY815" s="274"/>
      <c r="AZ815" s="274"/>
      <c r="BA815" s="11"/>
      <c r="BB815" s="11"/>
      <c r="BC815" s="11"/>
      <c r="BD815" s="274"/>
      <c r="BE815" s="274"/>
      <c r="BF815" s="274"/>
      <c r="BG815" s="11"/>
      <c r="BH815" s="11"/>
      <c r="BI815" s="11"/>
      <c r="BJ815" s="274"/>
      <c r="BK815" s="274"/>
      <c r="BL815" s="274"/>
      <c r="BM815" s="213"/>
      <c r="BN815" s="213"/>
      <c r="BO815" s="11"/>
      <c r="BP815" s="274"/>
      <c r="BQ815" s="274"/>
      <c r="BR815" s="274"/>
      <c r="BS815" s="11"/>
      <c r="BT815" s="11"/>
      <c r="BU815" s="11"/>
      <c r="BV815" s="212"/>
      <c r="BW815" s="221"/>
      <c r="BX815" s="273"/>
      <c r="BY815" s="213"/>
      <c r="BZ815" s="213"/>
      <c r="CA815" s="213"/>
      <c r="CB815" s="274"/>
      <c r="CC815" s="274"/>
      <c r="CD815" s="274"/>
      <c r="CE815" s="11"/>
      <c r="CF815" s="11"/>
      <c r="CG815" s="11"/>
      <c r="CH815" s="274"/>
      <c r="CI815" s="274"/>
      <c r="CJ815" s="274"/>
      <c r="CK815" s="11"/>
      <c r="CL815" s="11"/>
      <c r="CM815" s="11"/>
      <c r="CN815" s="11"/>
      <c r="CO815" s="11"/>
      <c r="CP815" s="11"/>
      <c r="CQ815" s="11"/>
      <c r="CR815" s="11"/>
      <c r="CS815" s="11"/>
      <c r="CT815" s="11"/>
      <c r="CU815" s="11"/>
      <c r="CV815" s="11"/>
      <c r="CW815" s="11"/>
      <c r="CX815" s="11"/>
      <c r="CY815" s="11"/>
      <c r="CZ815" s="11"/>
      <c r="DA815" s="11"/>
      <c r="DB815" s="11"/>
      <c r="DC815" s="11"/>
      <c r="DD815" s="11"/>
      <c r="DE815" s="11"/>
      <c r="DF815" s="11"/>
      <c r="DG815" s="11"/>
      <c r="DH815" s="11"/>
      <c r="DI815" s="11"/>
      <c r="DJ815" s="11"/>
      <c r="DK815" s="11"/>
      <c r="DL815" s="274"/>
      <c r="DM815" s="274"/>
      <c r="DN815" s="274"/>
      <c r="DO815" s="274"/>
      <c r="DP815" s="274"/>
      <c r="DQ815" s="274"/>
      <c r="DR815" s="274"/>
      <c r="DS815" s="274"/>
      <c r="DT815" s="274"/>
      <c r="DU815" s="274"/>
      <c r="DV815" s="274"/>
      <c r="DW815" s="274"/>
      <c r="DX815" s="274"/>
      <c r="DY815" s="274"/>
      <c r="DZ815" s="274"/>
      <c r="EA815" s="274"/>
      <c r="EB815" s="274"/>
      <c r="EC815" s="274"/>
      <c r="ED815" s="39">
        <f t="shared" si="259"/>
        <v>0</v>
      </c>
      <c r="EE815" s="30">
        <f t="shared" si="260"/>
        <v>0</v>
      </c>
      <c r="EF815" s="39" t="str">
        <f t="shared" si="261"/>
        <v xml:space="preserve"> </v>
      </c>
    </row>
    <row r="816" spans="1:136" x14ac:dyDescent="0.25">
      <c r="A816" s="25" t="e">
        <f>#REF!</f>
        <v>#REF!</v>
      </c>
      <c r="B816" s="50" t="e">
        <f>#REF!</f>
        <v>#REF!</v>
      </c>
      <c r="C816" s="5" t="e">
        <f>#REF!</f>
        <v>#REF!</v>
      </c>
      <c r="D816" s="5" t="e">
        <f>#REF!</f>
        <v>#REF!</v>
      </c>
      <c r="E816" s="252">
        <v>1</v>
      </c>
      <c r="F816" s="249">
        <v>0</v>
      </c>
      <c r="G816" s="249">
        <v>0</v>
      </c>
      <c r="H816" s="249">
        <v>0</v>
      </c>
      <c r="I816" s="249">
        <v>0</v>
      </c>
      <c r="J816" s="249">
        <v>0</v>
      </c>
      <c r="K816" s="249">
        <v>0</v>
      </c>
      <c r="L816" s="274"/>
      <c r="M816" s="274"/>
      <c r="N816" s="255">
        <v>50000</v>
      </c>
      <c r="O816" s="135">
        <f>+N816*0.19</f>
        <v>9500</v>
      </c>
      <c r="P816" s="135">
        <f>+N816+O816</f>
        <v>59500</v>
      </c>
      <c r="Q816" s="11"/>
      <c r="R816" s="11"/>
      <c r="S816" s="11"/>
      <c r="T816" s="274"/>
      <c r="U816" s="274"/>
      <c r="V816" s="274"/>
      <c r="W816" s="11"/>
      <c r="X816" s="11"/>
      <c r="Y816" s="11"/>
      <c r="Z816" s="274"/>
      <c r="AA816" s="274"/>
      <c r="AB816" s="274"/>
      <c r="AC816" s="11"/>
      <c r="AD816" s="11"/>
      <c r="AE816" s="11"/>
      <c r="AF816" s="274"/>
      <c r="AG816" s="274"/>
      <c r="AH816" s="274"/>
      <c r="AI816" s="11"/>
      <c r="AJ816" s="11"/>
      <c r="AK816" s="11"/>
      <c r="AL816" s="118"/>
      <c r="AM816" s="118"/>
      <c r="AN816" s="118"/>
      <c r="AO816" s="52"/>
      <c r="AP816" s="52"/>
      <c r="AQ816" s="11"/>
      <c r="AR816" s="274"/>
      <c r="AS816" s="274"/>
      <c r="AT816" s="274"/>
      <c r="AU816" s="11"/>
      <c r="AV816" s="11"/>
      <c r="AW816" s="11"/>
      <c r="AX816" s="274"/>
      <c r="AY816" s="274"/>
      <c r="AZ816" s="274"/>
      <c r="BA816" s="11"/>
      <c r="BB816" s="11"/>
      <c r="BC816" s="11"/>
      <c r="BD816" s="274"/>
      <c r="BE816" s="274"/>
      <c r="BF816" s="274"/>
      <c r="BG816" s="11"/>
      <c r="BH816" s="11"/>
      <c r="BI816" s="11"/>
      <c r="BJ816" s="274">
        <v>35900</v>
      </c>
      <c r="BK816" s="274">
        <f>+BJ816*0.19</f>
        <v>6821</v>
      </c>
      <c r="BL816" s="274">
        <f>+BJ816+BK816</f>
        <v>42721</v>
      </c>
      <c r="BM816" s="213" t="s">
        <v>4843</v>
      </c>
      <c r="BN816" s="213" t="s">
        <v>2925</v>
      </c>
      <c r="BO816" s="11"/>
      <c r="BP816" s="274">
        <f>18500*5</f>
        <v>92500</v>
      </c>
      <c r="BQ816" s="274">
        <f>+BP816*19%</f>
        <v>17575</v>
      </c>
      <c r="BR816" s="274">
        <f>+BQ816+BP816</f>
        <v>110075</v>
      </c>
      <c r="BS816" s="11"/>
      <c r="BT816" s="11"/>
      <c r="BU816" s="11"/>
      <c r="BV816" s="219">
        <v>41920.286400000005</v>
      </c>
      <c r="BW816" s="219">
        <f>+BV816*0.19</f>
        <v>7964.854416000001</v>
      </c>
      <c r="BX816" s="273">
        <f>+BV816+BW816</f>
        <v>49885.140816000006</v>
      </c>
      <c r="BY816" s="213" t="s">
        <v>4843</v>
      </c>
      <c r="BZ816" s="213" t="s">
        <v>2925</v>
      </c>
      <c r="CA816" s="213"/>
      <c r="CB816" s="274"/>
      <c r="CC816" s="274"/>
      <c r="CD816" s="274"/>
      <c r="CE816" s="11"/>
      <c r="CF816" s="11"/>
      <c r="CG816" s="11"/>
      <c r="CH816" s="274"/>
      <c r="CI816" s="274"/>
      <c r="CJ816" s="274"/>
      <c r="CK816" s="11"/>
      <c r="CL816" s="11"/>
      <c r="CM816" s="11"/>
      <c r="CN816" s="11"/>
      <c r="CO816" s="11"/>
      <c r="CP816" s="11"/>
      <c r="CQ816" s="11"/>
      <c r="CR816" s="11"/>
      <c r="CS816" s="11"/>
      <c r="CT816" s="11"/>
      <c r="CU816" s="11"/>
      <c r="CV816" s="11"/>
      <c r="CW816" s="11"/>
      <c r="CX816" s="11"/>
      <c r="CY816" s="11"/>
      <c r="CZ816" s="11"/>
      <c r="DA816" s="11"/>
      <c r="DB816" s="11"/>
      <c r="DC816" s="11"/>
      <c r="DD816" s="11"/>
      <c r="DE816" s="11"/>
      <c r="DF816" s="11"/>
      <c r="DG816" s="11"/>
      <c r="DH816" s="11"/>
      <c r="DI816" s="11"/>
      <c r="DJ816" s="11"/>
      <c r="DK816" s="11"/>
      <c r="DL816" s="274"/>
      <c r="DM816" s="274"/>
      <c r="DN816" s="274"/>
      <c r="DO816" s="274"/>
      <c r="DP816" s="274"/>
      <c r="DQ816" s="274"/>
      <c r="DR816" s="274"/>
      <c r="DS816" s="274"/>
      <c r="DT816" s="274"/>
      <c r="DU816" s="274"/>
      <c r="DV816" s="274"/>
      <c r="DW816" s="274"/>
      <c r="DX816" s="274"/>
      <c r="DY816" s="274"/>
      <c r="DZ816" s="274"/>
      <c r="EA816" s="274"/>
      <c r="EB816" s="274"/>
      <c r="EC816" s="274"/>
      <c r="ED816" s="39">
        <f t="shared" si="259"/>
        <v>262181.140816</v>
      </c>
      <c r="EE816" s="30">
        <f t="shared" si="260"/>
        <v>4</v>
      </c>
      <c r="EF816" s="39">
        <f t="shared" si="261"/>
        <v>65545.285204</v>
      </c>
    </row>
    <row r="817" spans="1:136" x14ac:dyDescent="0.25">
      <c r="A817" s="25" t="e">
        <f>#REF!</f>
        <v>#REF!</v>
      </c>
      <c r="B817" s="50" t="e">
        <f>#REF!</f>
        <v>#REF!</v>
      </c>
      <c r="C817" s="5" t="e">
        <f>#REF!</f>
        <v>#REF!</v>
      </c>
      <c r="D817" s="5" t="e">
        <f>#REF!</f>
        <v>#REF!</v>
      </c>
      <c r="E817" s="252">
        <v>1</v>
      </c>
      <c r="F817" s="249">
        <v>0</v>
      </c>
      <c r="G817" s="249">
        <v>0</v>
      </c>
      <c r="H817" s="249">
        <v>0</v>
      </c>
      <c r="I817" s="249">
        <v>0</v>
      </c>
      <c r="J817" s="249">
        <v>0</v>
      </c>
      <c r="K817" s="249">
        <v>0</v>
      </c>
      <c r="L817" s="274"/>
      <c r="M817" s="274"/>
      <c r="N817" s="255"/>
      <c r="O817" s="135"/>
      <c r="P817" s="135"/>
      <c r="Q817" s="11"/>
      <c r="R817" s="11"/>
      <c r="S817" s="11"/>
      <c r="T817" s="274"/>
      <c r="U817" s="274"/>
      <c r="V817" s="274"/>
      <c r="W817" s="11"/>
      <c r="X817" s="11"/>
      <c r="Y817" s="11"/>
      <c r="Z817" s="274"/>
      <c r="AA817" s="274"/>
      <c r="AB817" s="274"/>
      <c r="AC817" s="11"/>
      <c r="AD817" s="11"/>
      <c r="AE817" s="11"/>
      <c r="AF817" s="274"/>
      <c r="AG817" s="274"/>
      <c r="AH817" s="274"/>
      <c r="AI817" s="11"/>
      <c r="AJ817" s="11"/>
      <c r="AK817" s="11"/>
      <c r="AL817" s="118"/>
      <c r="AM817" s="118"/>
      <c r="AN817" s="118"/>
      <c r="AO817" s="52"/>
      <c r="AP817" s="52"/>
      <c r="AQ817" s="11"/>
      <c r="AR817" s="274"/>
      <c r="AS817" s="274"/>
      <c r="AT817" s="274"/>
      <c r="AU817" s="11"/>
      <c r="AV817" s="11"/>
      <c r="AW817" s="11"/>
      <c r="AX817" s="274"/>
      <c r="AY817" s="274"/>
      <c r="AZ817" s="274"/>
      <c r="BA817" s="11"/>
      <c r="BB817" s="11"/>
      <c r="BC817" s="11"/>
      <c r="BD817" s="274"/>
      <c r="BE817" s="274"/>
      <c r="BF817" s="274"/>
      <c r="BG817" s="11"/>
      <c r="BH817" s="11"/>
      <c r="BI817" s="11"/>
      <c r="BJ817" s="274"/>
      <c r="BK817" s="274"/>
      <c r="BL817" s="274"/>
      <c r="BM817" s="213"/>
      <c r="BN817" s="213"/>
      <c r="BO817" s="11"/>
      <c r="BP817" s="274"/>
      <c r="BQ817" s="274"/>
      <c r="BR817" s="274"/>
      <c r="BS817" s="11"/>
      <c r="BT817" s="11"/>
      <c r="BU817" s="11"/>
      <c r="BV817" s="212"/>
      <c r="BW817" s="221"/>
      <c r="BX817" s="273"/>
      <c r="BY817" s="213"/>
      <c r="BZ817" s="213"/>
      <c r="CA817" s="213"/>
      <c r="CB817" s="274"/>
      <c r="CC817" s="274"/>
      <c r="CD817" s="274"/>
      <c r="CE817" s="11"/>
      <c r="CF817" s="11"/>
      <c r="CG817" s="11"/>
      <c r="CH817" s="274"/>
      <c r="CI817" s="274"/>
      <c r="CJ817" s="274"/>
      <c r="CK817" s="11"/>
      <c r="CL817" s="11"/>
      <c r="CM817" s="11"/>
      <c r="CN817" s="11"/>
      <c r="CO817" s="11"/>
      <c r="CP817" s="11"/>
      <c r="CQ817" s="11"/>
      <c r="CR817" s="11"/>
      <c r="CS817" s="11"/>
      <c r="CT817" s="11"/>
      <c r="CU817" s="11"/>
      <c r="CV817" s="11"/>
      <c r="CW817" s="11"/>
      <c r="CX817" s="11"/>
      <c r="CY817" s="11"/>
      <c r="CZ817" s="11"/>
      <c r="DA817" s="11"/>
      <c r="DB817" s="11"/>
      <c r="DC817" s="11"/>
      <c r="DD817" s="11"/>
      <c r="DE817" s="11"/>
      <c r="DF817" s="11"/>
      <c r="DG817" s="11"/>
      <c r="DH817" s="11"/>
      <c r="DI817" s="11"/>
      <c r="DJ817" s="11"/>
      <c r="DK817" s="11"/>
      <c r="DL817" s="274"/>
      <c r="DM817" s="274"/>
      <c r="DN817" s="274"/>
      <c r="DO817" s="274"/>
      <c r="DP817" s="274"/>
      <c r="DQ817" s="274"/>
      <c r="DR817" s="274"/>
      <c r="DS817" s="274"/>
      <c r="DT817" s="274"/>
      <c r="DU817" s="274"/>
      <c r="DV817" s="274"/>
      <c r="DW817" s="274"/>
      <c r="DX817" s="274"/>
      <c r="DY817" s="274"/>
      <c r="DZ817" s="274"/>
      <c r="EA817" s="274"/>
      <c r="EB817" s="274"/>
      <c r="EC817" s="274"/>
      <c r="ED817" s="39">
        <f t="shared" si="259"/>
        <v>0</v>
      </c>
      <c r="EE817" s="30">
        <f t="shared" si="260"/>
        <v>0</v>
      </c>
      <c r="EF817" s="39" t="str">
        <f t="shared" si="261"/>
        <v xml:space="preserve"> </v>
      </c>
    </row>
    <row r="818" spans="1:136" x14ac:dyDescent="0.25">
      <c r="A818" s="25" t="e">
        <f>#REF!</f>
        <v>#REF!</v>
      </c>
      <c r="B818" s="50" t="e">
        <f>#REF!</f>
        <v>#REF!</v>
      </c>
      <c r="C818" s="5" t="e">
        <f>#REF!</f>
        <v>#REF!</v>
      </c>
      <c r="D818" s="5" t="e">
        <f>#REF!</f>
        <v>#REF!</v>
      </c>
      <c r="E818" s="252">
        <v>1</v>
      </c>
      <c r="F818" s="249">
        <v>0</v>
      </c>
      <c r="G818" s="249">
        <v>0</v>
      </c>
      <c r="H818" s="249">
        <v>0</v>
      </c>
      <c r="I818" s="249">
        <v>0</v>
      </c>
      <c r="J818" s="249">
        <v>0</v>
      </c>
      <c r="K818" s="249">
        <v>0</v>
      </c>
      <c r="L818" s="274"/>
      <c r="M818" s="274"/>
      <c r="N818" s="255">
        <v>13000</v>
      </c>
      <c r="O818" s="135">
        <f>+N818*0.19</f>
        <v>2470</v>
      </c>
      <c r="P818" s="135">
        <f>+N818+O818</f>
        <v>15470</v>
      </c>
      <c r="Q818" s="11"/>
      <c r="R818" s="11"/>
      <c r="S818" s="11"/>
      <c r="T818" s="274">
        <v>3960.0000000000005</v>
      </c>
      <c r="U818" s="274">
        <f>+T818*0.19</f>
        <v>752.40000000000009</v>
      </c>
      <c r="V818" s="274">
        <f>+T818+U818</f>
        <v>4712.4000000000005</v>
      </c>
      <c r="W818" s="11" t="s">
        <v>3431</v>
      </c>
      <c r="X818" s="11" t="s">
        <v>4851</v>
      </c>
      <c r="Y818" s="11"/>
      <c r="Z818" s="274"/>
      <c r="AA818" s="274"/>
      <c r="AB818" s="274"/>
      <c r="AC818" s="11"/>
      <c r="AD818" s="11"/>
      <c r="AE818" s="11"/>
      <c r="AF818" s="274"/>
      <c r="AG818" s="274"/>
      <c r="AH818" s="274"/>
      <c r="AI818" s="11"/>
      <c r="AJ818" s="11"/>
      <c r="AK818" s="11"/>
      <c r="AL818" s="118"/>
      <c r="AM818" s="118"/>
      <c r="AN818" s="118"/>
      <c r="AO818" s="52"/>
      <c r="AP818" s="52"/>
      <c r="AQ818" s="11"/>
      <c r="AR818" s="274"/>
      <c r="AS818" s="274"/>
      <c r="AT818" s="274"/>
      <c r="AU818" s="11"/>
      <c r="AV818" s="11"/>
      <c r="AW818" s="11"/>
      <c r="AX818" s="274"/>
      <c r="AY818" s="274"/>
      <c r="AZ818" s="274"/>
      <c r="BA818" s="11"/>
      <c r="BB818" s="11"/>
      <c r="BC818" s="11"/>
      <c r="BD818" s="274"/>
      <c r="BE818" s="274"/>
      <c r="BF818" s="274"/>
      <c r="BG818" s="11"/>
      <c r="BH818" s="11"/>
      <c r="BI818" s="11"/>
      <c r="BJ818" s="274">
        <v>15400</v>
      </c>
      <c r="BK818" s="274">
        <f>+BJ818*0.19</f>
        <v>2926</v>
      </c>
      <c r="BL818" s="274">
        <f>+BJ818+BK818</f>
        <v>18326</v>
      </c>
      <c r="BM818" s="213" t="s">
        <v>4831</v>
      </c>
      <c r="BN818" s="213" t="s">
        <v>161</v>
      </c>
      <c r="BO818" s="11"/>
      <c r="BP818" s="274">
        <v>65800</v>
      </c>
      <c r="BQ818" s="274">
        <f>+BP818*19%</f>
        <v>12502</v>
      </c>
      <c r="BR818" s="274">
        <f>+BQ818+BP818</f>
        <v>78302</v>
      </c>
      <c r="BS818" s="11"/>
      <c r="BT818" s="11"/>
      <c r="BU818" s="11"/>
      <c r="BV818" s="219">
        <v>18154.059000000001</v>
      </c>
      <c r="BW818" s="219">
        <f>+BV818*0.19</f>
        <v>3449.2712100000003</v>
      </c>
      <c r="BX818" s="273">
        <f>+BV818+BW818</f>
        <v>21603.33021</v>
      </c>
      <c r="BY818" s="213" t="s">
        <v>4831</v>
      </c>
      <c r="BZ818" s="213" t="s">
        <v>161</v>
      </c>
      <c r="CA818" s="213"/>
      <c r="CB818" s="274">
        <v>288426</v>
      </c>
      <c r="CC818" s="274">
        <f>+CB818*0.19</f>
        <v>54800.94</v>
      </c>
      <c r="CD818" s="274">
        <f>+CB818+CC818</f>
        <v>343226.94</v>
      </c>
      <c r="CE818" s="11"/>
      <c r="CF818" s="11"/>
      <c r="CG818" s="11"/>
      <c r="CH818" s="274"/>
      <c r="CI818" s="274"/>
      <c r="CJ818" s="274"/>
      <c r="CK818" s="11"/>
      <c r="CL818" s="11"/>
      <c r="CM818" s="11"/>
      <c r="CN818" s="11"/>
      <c r="CO818" s="11"/>
      <c r="CP818" s="11"/>
      <c r="CQ818" s="11"/>
      <c r="CR818" s="11"/>
      <c r="CS818" s="11"/>
      <c r="CT818" s="11"/>
      <c r="CU818" s="11"/>
      <c r="CV818" s="11"/>
      <c r="CW818" s="11"/>
      <c r="CX818" s="11"/>
      <c r="CY818" s="11"/>
      <c r="CZ818" s="11"/>
      <c r="DA818" s="11"/>
      <c r="DB818" s="11"/>
      <c r="DC818" s="11"/>
      <c r="DD818" s="11"/>
      <c r="DE818" s="11"/>
      <c r="DF818" s="11"/>
      <c r="DG818" s="11"/>
      <c r="DH818" s="11"/>
      <c r="DI818" s="11"/>
      <c r="DJ818" s="11"/>
      <c r="DK818" s="11"/>
      <c r="DL818" s="274"/>
      <c r="DM818" s="274"/>
      <c r="DN818" s="274"/>
      <c r="DO818" s="274"/>
      <c r="DP818" s="274"/>
      <c r="DQ818" s="274"/>
      <c r="DR818" s="274"/>
      <c r="DS818" s="274"/>
      <c r="DT818" s="274"/>
      <c r="DU818" s="274"/>
      <c r="DV818" s="274"/>
      <c r="DW818" s="274"/>
      <c r="DX818" s="274"/>
      <c r="DY818" s="274"/>
      <c r="DZ818" s="274"/>
      <c r="EA818" s="274"/>
      <c r="EB818" s="274"/>
      <c r="EC818" s="274"/>
      <c r="ED818" s="39">
        <f t="shared" si="259"/>
        <v>481640.67021000001</v>
      </c>
      <c r="EE818" s="30">
        <f t="shared" si="260"/>
        <v>6</v>
      </c>
      <c r="EF818" s="39">
        <f t="shared" si="261"/>
        <v>80273.445034999997</v>
      </c>
    </row>
    <row r="819" spans="1:136" x14ac:dyDescent="0.25">
      <c r="A819" s="25" t="e">
        <f>#REF!</f>
        <v>#REF!</v>
      </c>
      <c r="B819" s="50" t="e">
        <f>#REF!</f>
        <v>#REF!</v>
      </c>
      <c r="C819" s="5" t="e">
        <f>#REF!</f>
        <v>#REF!</v>
      </c>
      <c r="D819" s="5" t="e">
        <f>#REF!</f>
        <v>#REF!</v>
      </c>
      <c r="E819" s="252">
        <v>1</v>
      </c>
      <c r="F819" s="249">
        <v>0</v>
      </c>
      <c r="G819" s="249">
        <v>0</v>
      </c>
      <c r="H819" s="249">
        <v>0</v>
      </c>
      <c r="I819" s="249">
        <v>0</v>
      </c>
      <c r="J819" s="249">
        <v>0</v>
      </c>
      <c r="K819" s="249">
        <v>0</v>
      </c>
      <c r="L819" s="274"/>
      <c r="M819" s="274"/>
      <c r="N819" s="255"/>
      <c r="O819" s="135"/>
      <c r="P819" s="135"/>
      <c r="Q819" s="11"/>
      <c r="R819" s="11"/>
      <c r="S819" s="11"/>
      <c r="T819" s="274"/>
      <c r="U819" s="274"/>
      <c r="V819" s="274"/>
      <c r="W819" s="11"/>
      <c r="X819" s="11"/>
      <c r="Y819" s="11"/>
      <c r="Z819" s="274"/>
      <c r="AA819" s="274"/>
      <c r="AB819" s="274"/>
      <c r="AC819" s="11"/>
      <c r="AD819" s="11"/>
      <c r="AE819" s="11"/>
      <c r="AF819" s="274"/>
      <c r="AG819" s="274"/>
      <c r="AH819" s="274"/>
      <c r="AI819" s="11"/>
      <c r="AJ819" s="11"/>
      <c r="AK819" s="11"/>
      <c r="AL819" s="118"/>
      <c r="AM819" s="118"/>
      <c r="AN819" s="118"/>
      <c r="AO819" s="52"/>
      <c r="AP819" s="52"/>
      <c r="AQ819" s="11"/>
      <c r="AR819" s="274"/>
      <c r="AS819" s="274"/>
      <c r="AT819" s="274"/>
      <c r="AU819" s="11"/>
      <c r="AV819" s="11"/>
      <c r="AW819" s="11"/>
      <c r="AX819" s="274"/>
      <c r="AY819" s="274"/>
      <c r="AZ819" s="274"/>
      <c r="BA819" s="11"/>
      <c r="BB819" s="11"/>
      <c r="BC819" s="11"/>
      <c r="BD819" s="274"/>
      <c r="BE819" s="274"/>
      <c r="BF819" s="274"/>
      <c r="BG819" s="11"/>
      <c r="BH819" s="11"/>
      <c r="BI819" s="11"/>
      <c r="BJ819" s="274"/>
      <c r="BK819" s="274"/>
      <c r="BL819" s="274"/>
      <c r="BM819" s="213"/>
      <c r="BN819" s="213"/>
      <c r="BO819" s="11"/>
      <c r="BP819" s="274">
        <v>465000</v>
      </c>
      <c r="BQ819" s="274">
        <f>+BP819*19%</f>
        <v>88350</v>
      </c>
      <c r="BR819" s="274">
        <f>+BQ819+BP819</f>
        <v>553350</v>
      </c>
      <c r="BS819" s="11"/>
      <c r="BT819" s="11"/>
      <c r="BU819" s="11"/>
      <c r="BV819" s="212"/>
      <c r="BW819" s="221"/>
      <c r="BX819" s="273"/>
      <c r="BY819" s="213"/>
      <c r="BZ819" s="213"/>
      <c r="CA819" s="213"/>
      <c r="CB819" s="274">
        <v>433908</v>
      </c>
      <c r="CC819" s="274">
        <f>+CB819*0.19</f>
        <v>82442.52</v>
      </c>
      <c r="CD819" s="274">
        <f>+CB819+CC819</f>
        <v>516350.52</v>
      </c>
      <c r="CE819" s="11"/>
      <c r="CF819" s="11"/>
      <c r="CG819" s="11"/>
      <c r="CH819" s="274">
        <v>258000</v>
      </c>
      <c r="CI819" s="274">
        <f>CH819*19%</f>
        <v>49020</v>
      </c>
      <c r="CJ819" s="274">
        <f>CH819+CI819</f>
        <v>307020</v>
      </c>
      <c r="CK819" s="11"/>
      <c r="CL819" s="11"/>
      <c r="CM819" s="11"/>
      <c r="CN819" s="11"/>
      <c r="CO819" s="11"/>
      <c r="CP819" s="11"/>
      <c r="CQ819" s="11"/>
      <c r="CR819" s="11"/>
      <c r="CS819" s="11"/>
      <c r="CT819" s="11"/>
      <c r="CU819" s="11"/>
      <c r="CV819" s="11"/>
      <c r="CW819" s="11"/>
      <c r="CX819" s="11"/>
      <c r="CY819" s="11"/>
      <c r="CZ819" s="11"/>
      <c r="DA819" s="11"/>
      <c r="DB819" s="11"/>
      <c r="DC819" s="11"/>
      <c r="DD819" s="11"/>
      <c r="DE819" s="11"/>
      <c r="DF819" s="11"/>
      <c r="DG819" s="11"/>
      <c r="DH819" s="11"/>
      <c r="DI819" s="11"/>
      <c r="DJ819" s="11"/>
      <c r="DK819" s="11"/>
      <c r="DL819" s="274"/>
      <c r="DM819" s="274"/>
      <c r="DN819" s="274"/>
      <c r="DO819" s="274"/>
      <c r="DP819" s="274"/>
      <c r="DQ819" s="274"/>
      <c r="DR819" s="274"/>
      <c r="DS819" s="274"/>
      <c r="DT819" s="274"/>
      <c r="DU819" s="274"/>
      <c r="DV819" s="274"/>
      <c r="DW819" s="274"/>
      <c r="DX819" s="274"/>
      <c r="DY819" s="274"/>
      <c r="DZ819" s="274"/>
      <c r="EA819" s="274"/>
      <c r="EB819" s="274"/>
      <c r="EC819" s="274"/>
      <c r="ED819" s="39">
        <f t="shared" si="259"/>
        <v>1376720.52</v>
      </c>
      <c r="EE819" s="30">
        <f t="shared" si="260"/>
        <v>3</v>
      </c>
      <c r="EF819" s="39">
        <f t="shared" si="261"/>
        <v>458906.84</v>
      </c>
    </row>
    <row r="820" spans="1:136" x14ac:dyDescent="0.25">
      <c r="A820" s="25" t="e">
        <f>#REF!</f>
        <v>#REF!</v>
      </c>
      <c r="B820" s="50" t="e">
        <f>#REF!</f>
        <v>#REF!</v>
      </c>
      <c r="C820" s="5" t="e">
        <f>#REF!</f>
        <v>#REF!</v>
      </c>
      <c r="D820" s="5" t="e">
        <f>#REF!</f>
        <v>#REF!</v>
      </c>
      <c r="E820" s="252">
        <v>1</v>
      </c>
      <c r="F820" s="249">
        <v>0</v>
      </c>
      <c r="G820" s="249">
        <v>0</v>
      </c>
      <c r="H820" s="249">
        <v>0</v>
      </c>
      <c r="I820" s="249">
        <v>0</v>
      </c>
      <c r="J820" s="249">
        <v>0</v>
      </c>
      <c r="K820" s="249">
        <v>0</v>
      </c>
      <c r="L820" s="274"/>
      <c r="M820" s="274"/>
      <c r="N820" s="255"/>
      <c r="O820" s="135"/>
      <c r="P820" s="135"/>
      <c r="Q820" s="11"/>
      <c r="R820" s="11"/>
      <c r="S820" s="11"/>
      <c r="T820" s="274"/>
      <c r="U820" s="274"/>
      <c r="V820" s="274"/>
      <c r="W820" s="11"/>
      <c r="X820" s="11"/>
      <c r="Y820" s="11"/>
      <c r="Z820" s="274"/>
      <c r="AA820" s="274"/>
      <c r="AB820" s="274"/>
      <c r="AC820" s="11"/>
      <c r="AD820" s="11"/>
      <c r="AE820" s="11"/>
      <c r="AF820" s="274"/>
      <c r="AG820" s="274"/>
      <c r="AH820" s="274"/>
      <c r="AI820" s="11"/>
      <c r="AJ820" s="11"/>
      <c r="AK820" s="11"/>
      <c r="AL820" s="118">
        <v>338238</v>
      </c>
      <c r="AM820" s="152">
        <f>+AL820*0.19</f>
        <v>64265.22</v>
      </c>
      <c r="AN820" s="152">
        <f>+AL820+AM820</f>
        <v>402503.22</v>
      </c>
      <c r="AO820" s="52" t="s">
        <v>5071</v>
      </c>
      <c r="AP820" s="52" t="s">
        <v>2030</v>
      </c>
      <c r="AQ820" s="11"/>
      <c r="AR820" s="274"/>
      <c r="AS820" s="274"/>
      <c r="AT820" s="274"/>
      <c r="AU820" s="11"/>
      <c r="AV820" s="11"/>
      <c r="AW820" s="11"/>
      <c r="AX820" s="274"/>
      <c r="AY820" s="274"/>
      <c r="AZ820" s="274"/>
      <c r="BA820" s="11"/>
      <c r="BB820" s="11"/>
      <c r="BC820" s="11"/>
      <c r="BD820" s="274"/>
      <c r="BE820" s="274"/>
      <c r="BF820" s="274"/>
      <c r="BG820" s="11"/>
      <c r="BH820" s="11"/>
      <c r="BI820" s="11"/>
      <c r="BJ820" s="274"/>
      <c r="BK820" s="274"/>
      <c r="BL820" s="274"/>
      <c r="BM820" s="213"/>
      <c r="BN820" s="213"/>
      <c r="BO820" s="11"/>
      <c r="BP820" s="274"/>
      <c r="BQ820" s="274"/>
      <c r="BR820" s="274"/>
      <c r="BS820" s="11"/>
      <c r="BT820" s="11"/>
      <c r="BU820" s="11"/>
      <c r="BV820" s="212"/>
      <c r="BW820" s="221"/>
      <c r="BX820" s="273"/>
      <c r="BY820" s="213"/>
      <c r="BZ820" s="213"/>
      <c r="CA820" s="213"/>
      <c r="CB820" s="11"/>
      <c r="CC820" s="11"/>
      <c r="CD820" s="11"/>
      <c r="CE820" s="11"/>
      <c r="CF820" s="11"/>
      <c r="CG820" s="11"/>
      <c r="CH820" s="274"/>
      <c r="CI820" s="274">
        <f>CH820*19%</f>
        <v>0</v>
      </c>
      <c r="CJ820" s="274">
        <f>CH820+CI820</f>
        <v>0</v>
      </c>
      <c r="CK820" s="11"/>
      <c r="CL820" s="11"/>
      <c r="CM820" s="11"/>
      <c r="CN820" s="11"/>
      <c r="CO820" s="11"/>
      <c r="CP820" s="11"/>
      <c r="CQ820" s="11"/>
      <c r="CR820" s="11"/>
      <c r="CS820" s="11"/>
      <c r="CT820" s="11"/>
      <c r="CU820" s="11"/>
      <c r="CV820" s="11"/>
      <c r="CW820" s="11"/>
      <c r="CX820" s="11"/>
      <c r="CY820" s="11"/>
      <c r="CZ820" s="11"/>
      <c r="DA820" s="11"/>
      <c r="DB820" s="11"/>
      <c r="DC820" s="11"/>
      <c r="DD820" s="11"/>
      <c r="DE820" s="11"/>
      <c r="DF820" s="11"/>
      <c r="DG820" s="11"/>
      <c r="DH820" s="11"/>
      <c r="DI820" s="11"/>
      <c r="DJ820" s="11"/>
      <c r="DK820" s="11"/>
      <c r="DL820" s="274"/>
      <c r="DM820" s="274"/>
      <c r="DN820" s="274"/>
      <c r="DO820" s="274"/>
      <c r="DP820" s="274"/>
      <c r="DQ820" s="274"/>
      <c r="DR820" s="274"/>
      <c r="DS820" s="274"/>
      <c r="DT820" s="274"/>
      <c r="DU820" s="274"/>
      <c r="DV820" s="274"/>
      <c r="DW820" s="274"/>
      <c r="DX820" s="274"/>
      <c r="DY820" s="274"/>
      <c r="DZ820" s="274"/>
      <c r="EA820" s="274"/>
      <c r="EB820" s="274"/>
      <c r="EC820" s="274"/>
      <c r="ED820" s="39">
        <f t="shared" si="259"/>
        <v>402503.22</v>
      </c>
      <c r="EE820" s="30">
        <f t="shared" si="260"/>
        <v>1</v>
      </c>
      <c r="EF820" s="39">
        <f t="shared" si="261"/>
        <v>402503.22</v>
      </c>
    </row>
    <row r="821" spans="1:136" x14ac:dyDescent="0.25">
      <c r="A821" s="25" t="e">
        <f>#REF!</f>
        <v>#REF!</v>
      </c>
      <c r="B821" s="50" t="e">
        <f>#REF!</f>
        <v>#REF!</v>
      </c>
      <c r="C821" s="5" t="e">
        <f>#REF!</f>
        <v>#REF!</v>
      </c>
      <c r="D821" s="5" t="e">
        <f>#REF!</f>
        <v>#REF!</v>
      </c>
      <c r="E821" s="252">
        <v>1</v>
      </c>
      <c r="F821" s="249">
        <v>0</v>
      </c>
      <c r="G821" s="249">
        <v>0</v>
      </c>
      <c r="H821" s="249">
        <v>0</v>
      </c>
      <c r="I821" s="249">
        <v>0</v>
      </c>
      <c r="J821" s="249">
        <v>0</v>
      </c>
      <c r="K821" s="249">
        <v>0</v>
      </c>
      <c r="L821" s="274"/>
      <c r="M821" s="274"/>
      <c r="N821" s="255"/>
      <c r="O821" s="135"/>
      <c r="P821" s="135"/>
      <c r="Q821" s="11"/>
      <c r="R821" s="11"/>
      <c r="S821" s="11"/>
      <c r="T821" s="274"/>
      <c r="U821" s="274"/>
      <c r="V821" s="274"/>
      <c r="W821" s="11"/>
      <c r="X821" s="11"/>
      <c r="Y821" s="11"/>
      <c r="Z821" s="274"/>
      <c r="AA821" s="274"/>
      <c r="AB821" s="274"/>
      <c r="AC821" s="11"/>
      <c r="AD821" s="11"/>
      <c r="AE821" s="11"/>
      <c r="AF821" s="274"/>
      <c r="AG821" s="274"/>
      <c r="AH821" s="274"/>
      <c r="AI821" s="11"/>
      <c r="AJ821" s="11"/>
      <c r="AK821" s="11"/>
      <c r="AL821" s="118"/>
      <c r="AM821" s="118"/>
      <c r="AN821" s="118"/>
      <c r="AO821" s="52"/>
      <c r="AP821" s="52"/>
      <c r="AQ821" s="11"/>
      <c r="AR821" s="274"/>
      <c r="AS821" s="274"/>
      <c r="AT821" s="274"/>
      <c r="AU821" s="11"/>
      <c r="AV821" s="11"/>
      <c r="AW821" s="11"/>
      <c r="AX821" s="274"/>
      <c r="AY821" s="274"/>
      <c r="AZ821" s="274"/>
      <c r="BA821" s="11"/>
      <c r="BB821" s="11"/>
      <c r="BC821" s="11"/>
      <c r="BD821" s="274"/>
      <c r="BE821" s="274"/>
      <c r="BF821" s="274"/>
      <c r="BG821" s="11"/>
      <c r="BH821" s="11"/>
      <c r="BI821" s="11"/>
      <c r="BJ821" s="274"/>
      <c r="BK821" s="274"/>
      <c r="BL821" s="274"/>
      <c r="BM821" s="213"/>
      <c r="BN821" s="213"/>
      <c r="BO821" s="11"/>
      <c r="BP821" s="274"/>
      <c r="BQ821" s="274"/>
      <c r="BR821" s="274"/>
      <c r="BS821" s="11"/>
      <c r="BT821" s="11"/>
      <c r="BU821" s="11"/>
      <c r="BV821" s="212"/>
      <c r="BW821" s="221"/>
      <c r="BX821" s="273"/>
      <c r="BY821" s="213"/>
      <c r="BZ821" s="213"/>
      <c r="CA821" s="213"/>
      <c r="CB821" s="11"/>
      <c r="CC821" s="11"/>
      <c r="CD821" s="11"/>
      <c r="CE821" s="11"/>
      <c r="CF821" s="11"/>
      <c r="CG821" s="11"/>
      <c r="CH821" s="274">
        <v>238000</v>
      </c>
      <c r="CI821" s="274">
        <f>CH821*19%</f>
        <v>45220</v>
      </c>
      <c r="CJ821" s="274">
        <f>CH821+CI821</f>
        <v>283220</v>
      </c>
      <c r="CK821" s="11"/>
      <c r="CL821" s="11"/>
      <c r="CM821" s="11"/>
      <c r="CN821" s="11"/>
      <c r="CO821" s="11"/>
      <c r="CP821" s="11"/>
      <c r="CQ821" s="11"/>
      <c r="CR821" s="11"/>
      <c r="CS821" s="11"/>
      <c r="CT821" s="11"/>
      <c r="CU821" s="11"/>
      <c r="CV821" s="11"/>
      <c r="CW821" s="11"/>
      <c r="CX821" s="11"/>
      <c r="CY821" s="11"/>
      <c r="CZ821" s="11"/>
      <c r="DA821" s="11"/>
      <c r="DB821" s="11"/>
      <c r="DC821" s="11"/>
      <c r="DD821" s="11"/>
      <c r="DE821" s="11"/>
      <c r="DF821" s="11"/>
      <c r="DG821" s="11"/>
      <c r="DH821" s="11"/>
      <c r="DI821" s="11"/>
      <c r="DJ821" s="11"/>
      <c r="DK821" s="11"/>
      <c r="DL821" s="274"/>
      <c r="DM821" s="274"/>
      <c r="DN821" s="274"/>
      <c r="DO821" s="274"/>
      <c r="DP821" s="274"/>
      <c r="DQ821" s="274"/>
      <c r="DR821" s="274"/>
      <c r="DS821" s="274"/>
      <c r="DT821" s="274"/>
      <c r="DU821" s="274"/>
      <c r="DV821" s="274"/>
      <c r="DW821" s="274"/>
      <c r="DX821" s="274"/>
      <c r="DY821" s="274"/>
      <c r="DZ821" s="274"/>
      <c r="EA821" s="274"/>
      <c r="EB821" s="274"/>
      <c r="EC821" s="274"/>
      <c r="ED821" s="39">
        <f t="shared" si="259"/>
        <v>283220</v>
      </c>
      <c r="EE821" s="30">
        <f t="shared" si="260"/>
        <v>1</v>
      </c>
      <c r="EF821" s="39">
        <f t="shared" si="261"/>
        <v>283220</v>
      </c>
    </row>
    <row r="822" spans="1:136" x14ac:dyDescent="0.25">
      <c r="A822" s="25" t="e">
        <f>#REF!</f>
        <v>#REF!</v>
      </c>
      <c r="B822" s="50" t="e">
        <f>#REF!</f>
        <v>#REF!</v>
      </c>
      <c r="C822" s="5" t="e">
        <f>#REF!</f>
        <v>#REF!</v>
      </c>
      <c r="D822" s="5" t="e">
        <f>#REF!</f>
        <v>#REF!</v>
      </c>
      <c r="E822" s="252">
        <v>1</v>
      </c>
      <c r="F822" s="249">
        <v>0</v>
      </c>
      <c r="G822" s="249">
        <v>0</v>
      </c>
      <c r="H822" s="249">
        <v>0</v>
      </c>
      <c r="I822" s="249">
        <v>0</v>
      </c>
      <c r="J822" s="249">
        <v>0</v>
      </c>
      <c r="K822" s="249">
        <v>0</v>
      </c>
      <c r="L822" s="274"/>
      <c r="M822" s="274"/>
      <c r="N822" s="255"/>
      <c r="O822" s="135"/>
      <c r="P822" s="135"/>
      <c r="Q822" s="11"/>
      <c r="R822" s="11"/>
      <c r="S822" s="11"/>
      <c r="T822" s="274"/>
      <c r="U822" s="274"/>
      <c r="V822" s="274"/>
      <c r="W822" s="11"/>
      <c r="X822" s="11"/>
      <c r="Y822" s="11"/>
      <c r="Z822" s="274"/>
      <c r="AA822" s="274"/>
      <c r="AB822" s="274"/>
      <c r="AC822" s="11"/>
      <c r="AD822" s="11"/>
      <c r="AE822" s="11"/>
      <c r="AF822" s="274"/>
      <c r="AG822" s="274"/>
      <c r="AH822" s="274"/>
      <c r="AI822" s="11"/>
      <c r="AJ822" s="11"/>
      <c r="AK822" s="11"/>
      <c r="AL822" s="118"/>
      <c r="AM822" s="118"/>
      <c r="AN822" s="118"/>
      <c r="AO822" s="52"/>
      <c r="AP822" s="52"/>
      <c r="AQ822" s="11"/>
      <c r="AR822" s="274"/>
      <c r="AS822" s="274"/>
      <c r="AT822" s="274"/>
      <c r="AU822" s="11"/>
      <c r="AV822" s="11"/>
      <c r="AW822" s="11"/>
      <c r="AX822" s="274"/>
      <c r="AY822" s="274"/>
      <c r="AZ822" s="274"/>
      <c r="BA822" s="11"/>
      <c r="BB822" s="11"/>
      <c r="BC822" s="11"/>
      <c r="BD822" s="274"/>
      <c r="BE822" s="274"/>
      <c r="BF822" s="274"/>
      <c r="BG822" s="11"/>
      <c r="BH822" s="11"/>
      <c r="BI822" s="11"/>
      <c r="BJ822" s="274"/>
      <c r="BK822" s="274"/>
      <c r="BL822" s="274"/>
      <c r="BM822" s="213"/>
      <c r="BN822" s="213"/>
      <c r="BO822" s="11"/>
      <c r="BP822" s="274"/>
      <c r="BQ822" s="274"/>
      <c r="BR822" s="274"/>
      <c r="BS822" s="11"/>
      <c r="BT822" s="11"/>
      <c r="BU822" s="11"/>
      <c r="BV822" s="212"/>
      <c r="BW822" s="221"/>
      <c r="BX822" s="273"/>
      <c r="BY822" s="213"/>
      <c r="BZ822" s="213"/>
      <c r="CA822" s="213"/>
      <c r="CB822" s="11"/>
      <c r="CC822" s="11"/>
      <c r="CD822" s="11"/>
      <c r="CE822" s="11"/>
      <c r="CF822" s="11"/>
      <c r="CG822" s="11"/>
      <c r="CH822" s="274">
        <v>238000</v>
      </c>
      <c r="CI822" s="274">
        <f>CH822*19%</f>
        <v>45220</v>
      </c>
      <c r="CJ822" s="274">
        <f>CH822+CI822</f>
        <v>283220</v>
      </c>
      <c r="CK822" s="11"/>
      <c r="CL822" s="11"/>
      <c r="CM822" s="11"/>
      <c r="CN822" s="11"/>
      <c r="CO822" s="11"/>
      <c r="CP822" s="11"/>
      <c r="CQ822" s="11"/>
      <c r="CR822" s="11"/>
      <c r="CS822" s="11"/>
      <c r="CT822" s="11"/>
      <c r="CU822" s="11"/>
      <c r="CV822" s="11"/>
      <c r="CW822" s="11"/>
      <c r="CX822" s="11"/>
      <c r="CY822" s="11"/>
      <c r="CZ822" s="11"/>
      <c r="DA822" s="11"/>
      <c r="DB822" s="11"/>
      <c r="DC822" s="11"/>
      <c r="DD822" s="11"/>
      <c r="DE822" s="11"/>
      <c r="DF822" s="11"/>
      <c r="DG822" s="11"/>
      <c r="DH822" s="11"/>
      <c r="DI822" s="11"/>
      <c r="DJ822" s="11"/>
      <c r="DK822" s="11"/>
      <c r="DL822" s="274"/>
      <c r="DM822" s="274"/>
      <c r="DN822" s="274"/>
      <c r="DO822" s="274"/>
      <c r="DP822" s="274"/>
      <c r="DQ822" s="274"/>
      <c r="DR822" s="274"/>
      <c r="DS822" s="274"/>
      <c r="DT822" s="274"/>
      <c r="DU822" s="274"/>
      <c r="DV822" s="274"/>
      <c r="DW822" s="274"/>
      <c r="DX822" s="274"/>
      <c r="DY822" s="274"/>
      <c r="DZ822" s="274"/>
      <c r="EA822" s="274"/>
      <c r="EB822" s="274"/>
      <c r="EC822" s="274"/>
      <c r="ED822" s="39">
        <f t="shared" si="259"/>
        <v>283220</v>
      </c>
      <c r="EE822" s="30">
        <f t="shared" si="260"/>
        <v>1</v>
      </c>
      <c r="EF822" s="39">
        <f t="shared" si="261"/>
        <v>283220</v>
      </c>
    </row>
    <row r="823" spans="1:136" x14ac:dyDescent="0.25">
      <c r="A823" s="25" t="e">
        <f>#REF!</f>
        <v>#REF!</v>
      </c>
      <c r="B823" s="50" t="e">
        <f>#REF!</f>
        <v>#REF!</v>
      </c>
      <c r="C823" s="5" t="e">
        <f>#REF!</f>
        <v>#REF!</v>
      </c>
      <c r="D823" s="5" t="e">
        <f>#REF!</f>
        <v>#REF!</v>
      </c>
      <c r="E823" s="252">
        <v>1</v>
      </c>
      <c r="F823" s="249">
        <v>0</v>
      </c>
      <c r="G823" s="249">
        <v>0</v>
      </c>
      <c r="H823" s="249">
        <v>0</v>
      </c>
      <c r="I823" s="249">
        <v>0</v>
      </c>
      <c r="J823" s="249">
        <v>0</v>
      </c>
      <c r="K823" s="249">
        <v>0</v>
      </c>
      <c r="L823" s="274"/>
      <c r="M823" s="274"/>
      <c r="N823" s="255"/>
      <c r="O823" s="135"/>
      <c r="P823" s="135"/>
      <c r="Q823" s="11"/>
      <c r="R823" s="11"/>
      <c r="S823" s="11"/>
      <c r="T823" s="274"/>
      <c r="U823" s="274"/>
      <c r="V823" s="274"/>
      <c r="W823" s="11"/>
      <c r="X823" s="11"/>
      <c r="Y823" s="11"/>
      <c r="Z823" s="274"/>
      <c r="AA823" s="274"/>
      <c r="AB823" s="274"/>
      <c r="AC823" s="11"/>
      <c r="AD823" s="11"/>
      <c r="AE823" s="11"/>
      <c r="AF823" s="274"/>
      <c r="AG823" s="274"/>
      <c r="AH823" s="274"/>
      <c r="AI823" s="11"/>
      <c r="AJ823" s="11"/>
      <c r="AK823" s="11"/>
      <c r="AL823" s="118"/>
      <c r="AM823" s="118"/>
      <c r="AN823" s="118"/>
      <c r="AO823" s="52"/>
      <c r="AP823" s="52"/>
      <c r="AQ823" s="11"/>
      <c r="AR823" s="274"/>
      <c r="AS823" s="274"/>
      <c r="AT823" s="274"/>
      <c r="AU823" s="11"/>
      <c r="AV823" s="11"/>
      <c r="AW823" s="11"/>
      <c r="AX823" s="274"/>
      <c r="AY823" s="274"/>
      <c r="AZ823" s="274"/>
      <c r="BA823" s="11"/>
      <c r="BB823" s="11"/>
      <c r="BC823" s="11"/>
      <c r="BD823" s="274"/>
      <c r="BE823" s="274"/>
      <c r="BF823" s="274"/>
      <c r="BG823" s="11"/>
      <c r="BH823" s="11"/>
      <c r="BI823" s="11"/>
      <c r="BJ823" s="274"/>
      <c r="BK823" s="274"/>
      <c r="BL823" s="274"/>
      <c r="BM823" s="213"/>
      <c r="BN823" s="213"/>
      <c r="BO823" s="11"/>
      <c r="BP823" s="274">
        <v>652000</v>
      </c>
      <c r="BQ823" s="274">
        <f>+BP823*19%</f>
        <v>123880</v>
      </c>
      <c r="BR823" s="274">
        <f>+BQ823+BP823</f>
        <v>775880</v>
      </c>
      <c r="BS823" s="11"/>
      <c r="BT823" s="11"/>
      <c r="BU823" s="11"/>
      <c r="BV823" s="212"/>
      <c r="BW823" s="221"/>
      <c r="BX823" s="273"/>
      <c r="BY823" s="213"/>
      <c r="BZ823" s="213"/>
      <c r="CA823" s="213"/>
      <c r="CB823" s="11"/>
      <c r="CC823" s="11"/>
      <c r="CD823" s="11"/>
      <c r="CE823" s="11"/>
      <c r="CF823" s="11"/>
      <c r="CG823" s="11"/>
      <c r="CH823" s="274"/>
      <c r="CI823" s="274"/>
      <c r="CJ823" s="274"/>
      <c r="CK823" s="11"/>
      <c r="CL823" s="11"/>
      <c r="CM823" s="11"/>
      <c r="CN823" s="11"/>
      <c r="CO823" s="11"/>
      <c r="CP823" s="11"/>
      <c r="CQ823" s="11"/>
      <c r="CR823" s="11"/>
      <c r="CS823" s="11"/>
      <c r="CT823" s="11"/>
      <c r="CU823" s="11"/>
      <c r="CV823" s="11"/>
      <c r="CW823" s="11"/>
      <c r="CX823" s="11"/>
      <c r="CY823" s="11"/>
      <c r="CZ823" s="11"/>
      <c r="DA823" s="11"/>
      <c r="DB823" s="11"/>
      <c r="DC823" s="11"/>
      <c r="DD823" s="11"/>
      <c r="DE823" s="11"/>
      <c r="DF823" s="11"/>
      <c r="DG823" s="11"/>
      <c r="DH823" s="11"/>
      <c r="DI823" s="11"/>
      <c r="DJ823" s="11"/>
      <c r="DK823" s="11"/>
      <c r="DL823" s="274"/>
      <c r="DM823" s="274"/>
      <c r="DN823" s="274"/>
      <c r="DO823" s="274"/>
      <c r="DP823" s="274"/>
      <c r="DQ823" s="274"/>
      <c r="DR823" s="274"/>
      <c r="DS823" s="274"/>
      <c r="DT823" s="274"/>
      <c r="DU823" s="274"/>
      <c r="DV823" s="274"/>
      <c r="DW823" s="274"/>
      <c r="DX823" s="274"/>
      <c r="DY823" s="274"/>
      <c r="DZ823" s="274"/>
      <c r="EA823" s="274"/>
      <c r="EB823" s="274"/>
      <c r="EC823" s="274"/>
      <c r="ED823" s="39">
        <f t="shared" si="259"/>
        <v>775880</v>
      </c>
      <c r="EE823" s="30">
        <f t="shared" si="260"/>
        <v>1</v>
      </c>
      <c r="EF823" s="39">
        <f t="shared" si="261"/>
        <v>775880</v>
      </c>
    </row>
    <row r="824" spans="1:136" ht="24" x14ac:dyDescent="0.25">
      <c r="A824" s="25" t="e">
        <f>#REF!</f>
        <v>#REF!</v>
      </c>
      <c r="B824" s="50" t="e">
        <f>#REF!</f>
        <v>#REF!</v>
      </c>
      <c r="C824" s="5" t="e">
        <f>#REF!</f>
        <v>#REF!</v>
      </c>
      <c r="D824" s="5" t="e">
        <f>#REF!</f>
        <v>#REF!</v>
      </c>
      <c r="E824" s="252">
        <v>1</v>
      </c>
      <c r="F824" s="249">
        <v>0</v>
      </c>
      <c r="G824" s="249">
        <v>0</v>
      </c>
      <c r="H824" s="249">
        <v>0</v>
      </c>
      <c r="I824" s="249">
        <v>0</v>
      </c>
      <c r="J824" s="249">
        <v>0</v>
      </c>
      <c r="K824" s="249">
        <v>0</v>
      </c>
      <c r="L824" s="274"/>
      <c r="M824" s="274"/>
      <c r="N824" s="255"/>
      <c r="O824" s="135"/>
      <c r="P824" s="135"/>
      <c r="Q824" s="11"/>
      <c r="R824" s="11"/>
      <c r="S824" s="11"/>
      <c r="T824" s="274"/>
      <c r="U824" s="274"/>
      <c r="V824" s="274"/>
      <c r="W824" s="11"/>
      <c r="X824" s="11"/>
      <c r="Y824" s="11"/>
      <c r="Z824" s="274"/>
      <c r="AA824" s="274"/>
      <c r="AB824" s="274"/>
      <c r="AC824" s="11"/>
      <c r="AD824" s="11"/>
      <c r="AE824" s="11"/>
      <c r="AF824" s="274"/>
      <c r="AG824" s="274"/>
      <c r="AH824" s="274"/>
      <c r="AI824" s="11"/>
      <c r="AJ824" s="11"/>
      <c r="AK824" s="11"/>
      <c r="AL824" s="118"/>
      <c r="AM824" s="118"/>
      <c r="AN824" s="118"/>
      <c r="AO824" s="52"/>
      <c r="AP824" s="52"/>
      <c r="AQ824" s="11"/>
      <c r="AR824" s="274"/>
      <c r="AS824" s="274"/>
      <c r="AT824" s="274"/>
      <c r="AU824" s="11"/>
      <c r="AV824" s="11"/>
      <c r="AW824" s="11"/>
      <c r="AX824" s="274"/>
      <c r="AY824" s="274"/>
      <c r="AZ824" s="274"/>
      <c r="BA824" s="11"/>
      <c r="BB824" s="11"/>
      <c r="BC824" s="11"/>
      <c r="BD824" s="274"/>
      <c r="BE824" s="274"/>
      <c r="BF824" s="274"/>
      <c r="BG824" s="11"/>
      <c r="BH824" s="11"/>
      <c r="BI824" s="11"/>
      <c r="BJ824" s="274">
        <v>1575500</v>
      </c>
      <c r="BK824" s="274">
        <f>+BJ824*0.19</f>
        <v>299345</v>
      </c>
      <c r="BL824" s="274">
        <f>+BJ824+BK824</f>
        <v>1874845</v>
      </c>
      <c r="BM824" s="213" t="s">
        <v>5072</v>
      </c>
      <c r="BN824" s="213" t="s">
        <v>5073</v>
      </c>
      <c r="BO824" s="11"/>
      <c r="BP824" s="274">
        <v>785000</v>
      </c>
      <c r="BQ824" s="274">
        <f>+BP824*19%</f>
        <v>149150</v>
      </c>
      <c r="BR824" s="274">
        <f>+BQ824+BP824</f>
        <v>934150</v>
      </c>
      <c r="BS824" s="11"/>
      <c r="BT824" s="11"/>
      <c r="BU824" s="11"/>
      <c r="BV824" s="219">
        <v>1704552.3560000001</v>
      </c>
      <c r="BW824" s="219">
        <f>+BV824*0.19</f>
        <v>323864.94764000003</v>
      </c>
      <c r="BX824" s="273">
        <f>+BV824+BW824</f>
        <v>2028417.3036400001</v>
      </c>
      <c r="BY824" s="213" t="s">
        <v>5072</v>
      </c>
      <c r="BZ824" s="213" t="s">
        <v>5073</v>
      </c>
      <c r="CA824" s="213"/>
      <c r="CB824" s="11"/>
      <c r="CC824" s="11"/>
      <c r="CD824" s="11"/>
      <c r="CE824" s="11"/>
      <c r="CF824" s="11"/>
      <c r="CG824" s="11"/>
      <c r="CH824" s="274"/>
      <c r="CI824" s="274"/>
      <c r="CJ824" s="274"/>
      <c r="CK824" s="11"/>
      <c r="CL824" s="11"/>
      <c r="CM824" s="11"/>
      <c r="CN824" s="11"/>
      <c r="CO824" s="11"/>
      <c r="CP824" s="11"/>
      <c r="CQ824" s="11"/>
      <c r="CR824" s="11"/>
      <c r="CS824" s="11"/>
      <c r="CT824" s="11"/>
      <c r="CU824" s="11"/>
      <c r="CV824" s="11"/>
      <c r="CW824" s="11"/>
      <c r="CX824" s="11"/>
      <c r="CY824" s="11"/>
      <c r="CZ824" s="11"/>
      <c r="DA824" s="11"/>
      <c r="DB824" s="11"/>
      <c r="DC824" s="11"/>
      <c r="DD824" s="11"/>
      <c r="DE824" s="11"/>
      <c r="DF824" s="11"/>
      <c r="DG824" s="11"/>
      <c r="DH824" s="11"/>
      <c r="DI824" s="11"/>
      <c r="DJ824" s="11"/>
      <c r="DK824" s="11"/>
      <c r="DL824" s="274"/>
      <c r="DM824" s="274"/>
      <c r="DN824" s="274"/>
      <c r="DO824" s="274"/>
      <c r="DP824" s="274"/>
      <c r="DQ824" s="274"/>
      <c r="DR824" s="274"/>
      <c r="DS824" s="274"/>
      <c r="DT824" s="274"/>
      <c r="DU824" s="274"/>
      <c r="DV824" s="274"/>
      <c r="DW824" s="274"/>
      <c r="DX824" s="274"/>
      <c r="DY824" s="274"/>
      <c r="DZ824" s="274"/>
      <c r="EA824" s="274"/>
      <c r="EB824" s="274"/>
      <c r="EC824" s="274"/>
      <c r="ED824" s="39">
        <f t="shared" si="259"/>
        <v>4837412.3036400005</v>
      </c>
      <c r="EE824" s="30">
        <f t="shared" si="260"/>
        <v>3</v>
      </c>
      <c r="EF824" s="39">
        <f t="shared" si="261"/>
        <v>1612470.7678800002</v>
      </c>
    </row>
    <row r="825" spans="1:136" x14ac:dyDescent="0.25">
      <c r="A825" s="25" t="e">
        <f>#REF!</f>
        <v>#REF!</v>
      </c>
      <c r="B825" s="50" t="e">
        <f>#REF!</f>
        <v>#REF!</v>
      </c>
      <c r="C825" s="5" t="e">
        <f>#REF!</f>
        <v>#REF!</v>
      </c>
      <c r="D825" s="5" t="e">
        <f>#REF!</f>
        <v>#REF!</v>
      </c>
      <c r="E825" s="252">
        <v>1</v>
      </c>
      <c r="F825" s="249">
        <v>0</v>
      </c>
      <c r="G825" s="249">
        <v>0</v>
      </c>
      <c r="H825" s="249">
        <v>0</v>
      </c>
      <c r="I825" s="249">
        <v>0</v>
      </c>
      <c r="J825" s="249">
        <v>0</v>
      </c>
      <c r="K825" s="249">
        <v>0</v>
      </c>
      <c r="L825" s="274"/>
      <c r="M825" s="274"/>
      <c r="N825" s="255"/>
      <c r="O825" s="135"/>
      <c r="P825" s="135"/>
      <c r="Q825" s="11"/>
      <c r="R825" s="11"/>
      <c r="S825" s="11"/>
      <c r="T825" s="274"/>
      <c r="U825" s="274"/>
      <c r="V825" s="274"/>
      <c r="W825" s="11"/>
      <c r="X825" s="11"/>
      <c r="Y825" s="11"/>
      <c r="Z825" s="274"/>
      <c r="AA825" s="274"/>
      <c r="AB825" s="274"/>
      <c r="AC825" s="11"/>
      <c r="AD825" s="11"/>
      <c r="AE825" s="11"/>
      <c r="AF825" s="274"/>
      <c r="AG825" s="274"/>
      <c r="AH825" s="274"/>
      <c r="AI825" s="11"/>
      <c r="AJ825" s="11"/>
      <c r="AK825" s="11"/>
      <c r="AL825" s="118"/>
      <c r="AM825" s="118"/>
      <c r="AN825" s="118"/>
      <c r="AO825" s="52"/>
      <c r="AP825" s="52"/>
      <c r="AQ825" s="11"/>
      <c r="AR825" s="274"/>
      <c r="AS825" s="274"/>
      <c r="AT825" s="274"/>
      <c r="AU825" s="11"/>
      <c r="AV825" s="11"/>
      <c r="AW825" s="11"/>
      <c r="AX825" s="274"/>
      <c r="AY825" s="274"/>
      <c r="AZ825" s="274"/>
      <c r="BA825" s="11"/>
      <c r="BB825" s="11"/>
      <c r="BC825" s="11"/>
      <c r="BD825" s="274"/>
      <c r="BE825" s="274"/>
      <c r="BF825" s="274"/>
      <c r="BG825" s="11"/>
      <c r="BH825" s="11"/>
      <c r="BI825" s="11"/>
      <c r="BJ825" s="274">
        <v>300000</v>
      </c>
      <c r="BK825" s="274">
        <f>+BJ825*0.19</f>
        <v>57000</v>
      </c>
      <c r="BL825" s="274">
        <f>+BJ825+BK825</f>
        <v>357000</v>
      </c>
      <c r="BM825" s="213" t="s">
        <v>5074</v>
      </c>
      <c r="BN825" s="213" t="s">
        <v>4809</v>
      </c>
      <c r="BO825" s="11"/>
      <c r="BP825" s="274">
        <v>1980000</v>
      </c>
      <c r="BQ825" s="274">
        <f>+BP825*19%</f>
        <v>376200</v>
      </c>
      <c r="BR825" s="274">
        <f>+BQ825+BP825</f>
        <v>2356200</v>
      </c>
      <c r="BS825" s="11"/>
      <c r="BT825" s="11"/>
      <c r="BU825" s="11"/>
      <c r="BV825" s="219">
        <v>327726</v>
      </c>
      <c r="BW825" s="219">
        <f>+BV825*0.19</f>
        <v>62267.94</v>
      </c>
      <c r="BX825" s="273">
        <f>+BV825+BW825</f>
        <v>389993.94</v>
      </c>
      <c r="BY825" s="213" t="s">
        <v>5074</v>
      </c>
      <c r="BZ825" s="213" t="s">
        <v>4809</v>
      </c>
      <c r="CA825" s="213"/>
      <c r="CB825" s="11"/>
      <c r="CC825" s="11"/>
      <c r="CD825" s="11"/>
      <c r="CE825" s="11"/>
      <c r="CF825" s="11"/>
      <c r="CG825" s="11"/>
      <c r="CH825" s="274"/>
      <c r="CI825" s="274"/>
      <c r="CJ825" s="274"/>
      <c r="CK825" s="11"/>
      <c r="CL825" s="11"/>
      <c r="CM825" s="11"/>
      <c r="CN825" s="11"/>
      <c r="CO825" s="11"/>
      <c r="CP825" s="11"/>
      <c r="CQ825" s="11"/>
      <c r="CR825" s="11"/>
      <c r="CS825" s="11"/>
      <c r="CT825" s="11"/>
      <c r="CU825" s="11"/>
      <c r="CV825" s="11"/>
      <c r="CW825" s="11"/>
      <c r="CX825" s="11"/>
      <c r="CY825" s="11"/>
      <c r="CZ825" s="11"/>
      <c r="DA825" s="11"/>
      <c r="DB825" s="11"/>
      <c r="DC825" s="11"/>
      <c r="DD825" s="11"/>
      <c r="DE825" s="11"/>
      <c r="DF825" s="11"/>
      <c r="DG825" s="11"/>
      <c r="DH825" s="11"/>
      <c r="DI825" s="11"/>
      <c r="DJ825" s="11"/>
      <c r="DK825" s="11"/>
      <c r="DL825" s="274"/>
      <c r="DM825" s="274"/>
      <c r="DN825" s="274"/>
      <c r="DO825" s="274"/>
      <c r="DP825" s="274"/>
      <c r="DQ825" s="274"/>
      <c r="DR825" s="274"/>
      <c r="DS825" s="274"/>
      <c r="DT825" s="274"/>
      <c r="DU825" s="274"/>
      <c r="DV825" s="274"/>
      <c r="DW825" s="274"/>
      <c r="DX825" s="274"/>
      <c r="DY825" s="274"/>
      <c r="DZ825" s="274"/>
      <c r="EA825" s="274"/>
      <c r="EB825" s="274"/>
      <c r="EC825" s="274"/>
      <c r="ED825" s="39">
        <f t="shared" si="259"/>
        <v>3103193.94</v>
      </c>
      <c r="EE825" s="30">
        <f t="shared" si="260"/>
        <v>3</v>
      </c>
      <c r="EF825" s="39">
        <f t="shared" si="261"/>
        <v>1034397.98</v>
      </c>
    </row>
    <row r="826" spans="1:136" x14ac:dyDescent="0.25">
      <c r="A826" s="25" t="e">
        <f>#REF!</f>
        <v>#REF!</v>
      </c>
      <c r="B826" s="50" t="e">
        <f>#REF!</f>
        <v>#REF!</v>
      </c>
      <c r="C826" s="5" t="e">
        <f>#REF!</f>
        <v>#REF!</v>
      </c>
      <c r="D826" s="5" t="e">
        <f>#REF!</f>
        <v>#REF!</v>
      </c>
      <c r="E826" s="252">
        <v>1</v>
      </c>
      <c r="F826" s="249">
        <v>0</v>
      </c>
      <c r="G826" s="249">
        <v>0</v>
      </c>
      <c r="H826" s="249">
        <v>0</v>
      </c>
      <c r="I826" s="249">
        <v>0</v>
      </c>
      <c r="J826" s="249">
        <v>0</v>
      </c>
      <c r="K826" s="249">
        <v>0</v>
      </c>
      <c r="L826" s="274"/>
      <c r="M826" s="274"/>
      <c r="N826" s="255"/>
      <c r="O826" s="135"/>
      <c r="P826" s="135"/>
      <c r="Q826" s="11"/>
      <c r="R826" s="11"/>
      <c r="S826" s="11"/>
      <c r="T826" s="274"/>
      <c r="U826" s="274"/>
      <c r="V826" s="274"/>
      <c r="W826" s="11"/>
      <c r="X826" s="11"/>
      <c r="Y826" s="11"/>
      <c r="Z826" s="274"/>
      <c r="AA826" s="274"/>
      <c r="AB826" s="274"/>
      <c r="AC826" s="11"/>
      <c r="AD826" s="11"/>
      <c r="AE826" s="11"/>
      <c r="AF826" s="274"/>
      <c r="AG826" s="274"/>
      <c r="AH826" s="274"/>
      <c r="AI826" s="11"/>
      <c r="AJ826" s="11"/>
      <c r="AK826" s="11"/>
      <c r="AL826" s="118"/>
      <c r="AM826" s="118"/>
      <c r="AN826" s="118"/>
      <c r="AO826" s="52"/>
      <c r="AP826" s="52"/>
      <c r="AQ826" s="11"/>
      <c r="AR826" s="274"/>
      <c r="AS826" s="274"/>
      <c r="AT826" s="274"/>
      <c r="AU826" s="11"/>
      <c r="AV826" s="11"/>
      <c r="AW826" s="11"/>
      <c r="AX826" s="274"/>
      <c r="AY826" s="274"/>
      <c r="AZ826" s="274"/>
      <c r="BA826" s="11"/>
      <c r="BB826" s="11"/>
      <c r="BC826" s="11"/>
      <c r="BD826" s="274"/>
      <c r="BE826" s="274"/>
      <c r="BF826" s="274"/>
      <c r="BG826" s="11"/>
      <c r="BH826" s="11"/>
      <c r="BI826" s="11"/>
      <c r="BJ826" s="274">
        <v>293700</v>
      </c>
      <c r="BK826" s="274">
        <f>+BJ826*0.19</f>
        <v>55803</v>
      </c>
      <c r="BL826" s="274">
        <f>+BJ826+BK826</f>
        <v>349503</v>
      </c>
      <c r="BM826" s="213" t="s">
        <v>196</v>
      </c>
      <c r="BN826" s="213" t="s">
        <v>3670</v>
      </c>
      <c r="BO826" s="11"/>
      <c r="BP826" s="274">
        <v>165000</v>
      </c>
      <c r="BQ826" s="274">
        <f>+BP826*19%</f>
        <v>31350</v>
      </c>
      <c r="BR826" s="274">
        <f>+BQ826+BP826</f>
        <v>196350</v>
      </c>
      <c r="BS826" s="11"/>
      <c r="BT826" s="11"/>
      <c r="BU826" s="11"/>
      <c r="BV826" s="219">
        <v>320723.92440000002</v>
      </c>
      <c r="BW826" s="219">
        <f>+BV826*0.19</f>
        <v>60937.545636000003</v>
      </c>
      <c r="BX826" s="273">
        <f>+BV826+BW826</f>
        <v>381661.47003600001</v>
      </c>
      <c r="BY826" s="213" t="s">
        <v>196</v>
      </c>
      <c r="BZ826" s="213" t="s">
        <v>3670</v>
      </c>
      <c r="CA826" s="213"/>
      <c r="CB826" s="11"/>
      <c r="CC826" s="11"/>
      <c r="CD826" s="11"/>
      <c r="CE826" s="11"/>
      <c r="CF826" s="11"/>
      <c r="CG826" s="11"/>
      <c r="CH826" s="274"/>
      <c r="CI826" s="274"/>
      <c r="CJ826" s="274"/>
      <c r="CK826" s="11"/>
      <c r="CL826" s="11"/>
      <c r="CM826" s="11"/>
      <c r="CN826" s="11"/>
      <c r="CO826" s="11"/>
      <c r="CP826" s="11"/>
      <c r="CQ826" s="11"/>
      <c r="CR826" s="11"/>
      <c r="CS826" s="11"/>
      <c r="CT826" s="11"/>
      <c r="CU826" s="11"/>
      <c r="CV826" s="11"/>
      <c r="CW826" s="11"/>
      <c r="CX826" s="11"/>
      <c r="CY826" s="11"/>
      <c r="CZ826" s="11"/>
      <c r="DA826" s="11"/>
      <c r="DB826" s="11"/>
      <c r="DC826" s="11"/>
      <c r="DD826" s="11"/>
      <c r="DE826" s="11"/>
      <c r="DF826" s="11"/>
      <c r="DG826" s="11"/>
      <c r="DH826" s="11"/>
      <c r="DI826" s="11"/>
      <c r="DJ826" s="11"/>
      <c r="DK826" s="11"/>
      <c r="DL826" s="274"/>
      <c r="DM826" s="274"/>
      <c r="DN826" s="274"/>
      <c r="DO826" s="274"/>
      <c r="DP826" s="274"/>
      <c r="DQ826" s="274"/>
      <c r="DR826" s="274"/>
      <c r="DS826" s="274"/>
      <c r="DT826" s="274"/>
      <c r="DU826" s="274"/>
      <c r="DV826" s="274"/>
      <c r="DW826" s="274"/>
      <c r="DX826" s="274"/>
      <c r="DY826" s="274"/>
      <c r="DZ826" s="274"/>
      <c r="EA826" s="274"/>
      <c r="EB826" s="274"/>
      <c r="EC826" s="274"/>
      <c r="ED826" s="39">
        <f t="shared" si="259"/>
        <v>927514.47003600001</v>
      </c>
      <c r="EE826" s="30">
        <f t="shared" si="260"/>
        <v>3</v>
      </c>
      <c r="EF826" s="39">
        <f t="shared" si="261"/>
        <v>309171.49001200002</v>
      </c>
    </row>
    <row r="827" spans="1:136" x14ac:dyDescent="0.25">
      <c r="A827" s="25" t="e">
        <f>#REF!</f>
        <v>#REF!</v>
      </c>
      <c r="B827" s="50" t="e">
        <f>#REF!</f>
        <v>#REF!</v>
      </c>
      <c r="C827" s="5" t="e">
        <f>#REF!</f>
        <v>#REF!</v>
      </c>
      <c r="D827" s="5" t="e">
        <f>#REF!</f>
        <v>#REF!</v>
      </c>
      <c r="E827" s="252">
        <v>1</v>
      </c>
      <c r="F827" s="249">
        <v>0</v>
      </c>
      <c r="G827" s="249">
        <v>0</v>
      </c>
      <c r="H827" s="249">
        <v>0</v>
      </c>
      <c r="I827" s="249">
        <v>0</v>
      </c>
      <c r="J827" s="249">
        <v>0</v>
      </c>
      <c r="K827" s="249">
        <v>0</v>
      </c>
      <c r="L827" s="274"/>
      <c r="M827" s="274"/>
      <c r="N827" s="255"/>
      <c r="O827" s="135"/>
      <c r="P827" s="135"/>
      <c r="Q827" s="11"/>
      <c r="R827" s="11"/>
      <c r="S827" s="11"/>
      <c r="T827" s="274"/>
      <c r="U827" s="274"/>
      <c r="V827" s="274"/>
      <c r="W827" s="11"/>
      <c r="X827" s="11"/>
      <c r="Y827" s="11"/>
      <c r="Z827" s="274"/>
      <c r="AA827" s="274"/>
      <c r="AB827" s="274"/>
      <c r="AC827" s="11"/>
      <c r="AD827" s="11"/>
      <c r="AE827" s="11"/>
      <c r="AF827" s="274"/>
      <c r="AG827" s="274"/>
      <c r="AH827" s="274"/>
      <c r="AI827" s="11"/>
      <c r="AJ827" s="11"/>
      <c r="AK827" s="11"/>
      <c r="AL827" s="118"/>
      <c r="AM827" s="118"/>
      <c r="AN827" s="118"/>
      <c r="AO827" s="52"/>
      <c r="AP827" s="52"/>
      <c r="AQ827" s="11"/>
      <c r="AR827" s="274"/>
      <c r="AS827" s="274"/>
      <c r="AT827" s="274"/>
      <c r="AU827" s="11"/>
      <c r="AV827" s="11"/>
      <c r="AW827" s="11"/>
      <c r="AX827" s="274"/>
      <c r="AY827" s="274"/>
      <c r="AZ827" s="274"/>
      <c r="BA827" s="11"/>
      <c r="BB827" s="11"/>
      <c r="BC827" s="11"/>
      <c r="BD827" s="274"/>
      <c r="BE827" s="274"/>
      <c r="BF827" s="274"/>
      <c r="BG827" s="11"/>
      <c r="BH827" s="11"/>
      <c r="BI827" s="11"/>
      <c r="BJ827" s="274">
        <v>514300</v>
      </c>
      <c r="BK827" s="274">
        <f>+BJ827*0.19</f>
        <v>97717</v>
      </c>
      <c r="BL827" s="274">
        <f>+BJ827+BK827</f>
        <v>612017</v>
      </c>
      <c r="BM827" s="213" t="s">
        <v>4792</v>
      </c>
      <c r="BN827" s="213" t="s">
        <v>3670</v>
      </c>
      <c r="BO827" s="11"/>
      <c r="BP827" s="274">
        <v>870000</v>
      </c>
      <c r="BQ827" s="274">
        <f>+BP827*19%</f>
        <v>165300</v>
      </c>
      <c r="BR827" s="274">
        <f>+BQ827+BP827</f>
        <v>1035300</v>
      </c>
      <c r="BS827" s="11"/>
      <c r="BT827" s="11"/>
      <c r="BU827" s="11"/>
      <c r="BV827" s="219">
        <v>589048.36200000008</v>
      </c>
      <c r="BW827" s="219">
        <f>+BV827*0.19</f>
        <v>111919.18878000001</v>
      </c>
      <c r="BX827" s="273">
        <f>+BV827+BW827</f>
        <v>700967.55078000005</v>
      </c>
      <c r="BY827" s="213" t="s">
        <v>4792</v>
      </c>
      <c r="BZ827" s="213" t="s">
        <v>3670</v>
      </c>
      <c r="CA827" s="213"/>
      <c r="CB827" s="11"/>
      <c r="CC827" s="11"/>
      <c r="CD827" s="11"/>
      <c r="CE827" s="11"/>
      <c r="CF827" s="11"/>
      <c r="CG827" s="11"/>
      <c r="CH827" s="274"/>
      <c r="CI827" s="274"/>
      <c r="CJ827" s="274"/>
      <c r="CK827" s="11"/>
      <c r="CL827" s="11"/>
      <c r="CM827" s="11"/>
      <c r="CN827" s="11"/>
      <c r="CO827" s="11"/>
      <c r="CP827" s="11"/>
      <c r="CQ827" s="11"/>
      <c r="CR827" s="11"/>
      <c r="CS827" s="11"/>
      <c r="CT827" s="11"/>
      <c r="CU827" s="11"/>
      <c r="CV827" s="11"/>
      <c r="CW827" s="11"/>
      <c r="CX827" s="11"/>
      <c r="CY827" s="11"/>
      <c r="CZ827" s="11"/>
      <c r="DA827" s="11"/>
      <c r="DB827" s="11"/>
      <c r="DC827" s="11"/>
      <c r="DD827" s="11"/>
      <c r="DE827" s="11"/>
      <c r="DF827" s="11"/>
      <c r="DG827" s="11"/>
      <c r="DH827" s="11"/>
      <c r="DI827" s="11"/>
      <c r="DJ827" s="11"/>
      <c r="DK827" s="11"/>
      <c r="DL827" s="274"/>
      <c r="DM827" s="274"/>
      <c r="DN827" s="274"/>
      <c r="DO827" s="274"/>
      <c r="DP827" s="274"/>
      <c r="DQ827" s="274"/>
      <c r="DR827" s="274"/>
      <c r="DS827" s="274"/>
      <c r="DT827" s="274"/>
      <c r="DU827" s="274"/>
      <c r="DV827" s="274"/>
      <c r="DW827" s="274"/>
      <c r="DX827" s="274"/>
      <c r="DY827" s="274"/>
      <c r="DZ827" s="274"/>
      <c r="EA827" s="274"/>
      <c r="EB827" s="274"/>
      <c r="EC827" s="274"/>
      <c r="ED827" s="39">
        <f t="shared" si="259"/>
        <v>2348284.5507800002</v>
      </c>
      <c r="EE827" s="30">
        <f t="shared" si="260"/>
        <v>3</v>
      </c>
      <c r="EF827" s="39">
        <f t="shared" si="261"/>
        <v>782761.51692666672</v>
      </c>
    </row>
    <row r="828" spans="1:136" x14ac:dyDescent="0.25">
      <c r="A828" s="25" t="e">
        <f>#REF!</f>
        <v>#REF!</v>
      </c>
      <c r="B828" s="50" t="e">
        <f>#REF!</f>
        <v>#REF!</v>
      </c>
      <c r="C828" s="5" t="e">
        <f>#REF!</f>
        <v>#REF!</v>
      </c>
      <c r="D828" s="5" t="e">
        <f>#REF!</f>
        <v>#REF!</v>
      </c>
      <c r="E828" s="252">
        <v>1</v>
      </c>
      <c r="F828" s="249">
        <v>0</v>
      </c>
      <c r="G828" s="249">
        <v>0</v>
      </c>
      <c r="H828" s="249">
        <v>0</v>
      </c>
      <c r="I828" s="249">
        <v>0</v>
      </c>
      <c r="J828" s="249">
        <v>0</v>
      </c>
      <c r="K828" s="249">
        <v>0</v>
      </c>
      <c r="L828" s="274"/>
      <c r="M828" s="274"/>
      <c r="N828" s="255"/>
      <c r="O828" s="135"/>
      <c r="P828" s="135"/>
      <c r="Q828" s="11"/>
      <c r="R828" s="11"/>
      <c r="S828" s="11"/>
      <c r="T828" s="274"/>
      <c r="U828" s="274"/>
      <c r="V828" s="274"/>
      <c r="W828" s="11"/>
      <c r="X828" s="11"/>
      <c r="Y828" s="11"/>
      <c r="Z828" s="274"/>
      <c r="AA828" s="274"/>
      <c r="AB828" s="274"/>
      <c r="AC828" s="11"/>
      <c r="AD828" s="11"/>
      <c r="AE828" s="11"/>
      <c r="AF828" s="274"/>
      <c r="AG828" s="274"/>
      <c r="AH828" s="274"/>
      <c r="AI828" s="11"/>
      <c r="AJ828" s="11"/>
      <c r="AK828" s="11"/>
      <c r="AL828" s="118"/>
      <c r="AM828" s="118"/>
      <c r="AN828" s="118"/>
      <c r="AO828" s="52"/>
      <c r="AP828" s="52"/>
      <c r="AQ828" s="11"/>
      <c r="AR828" s="274"/>
      <c r="AS828" s="274"/>
      <c r="AT828" s="274"/>
      <c r="AU828" s="11"/>
      <c r="AV828" s="11"/>
      <c r="AW828" s="11"/>
      <c r="AX828" s="274"/>
      <c r="AY828" s="274"/>
      <c r="AZ828" s="274"/>
      <c r="BA828" s="11"/>
      <c r="BB828" s="11"/>
      <c r="BC828" s="11"/>
      <c r="BD828" s="274"/>
      <c r="BE828" s="274"/>
      <c r="BF828" s="274"/>
      <c r="BG828" s="11"/>
      <c r="BH828" s="11"/>
      <c r="BI828" s="11"/>
      <c r="BJ828" s="274"/>
      <c r="BK828" s="274"/>
      <c r="BL828" s="274"/>
      <c r="BM828" s="213"/>
      <c r="BN828" s="213"/>
      <c r="BO828" s="11"/>
      <c r="BP828" s="274"/>
      <c r="BQ828" s="274"/>
      <c r="BR828" s="274"/>
      <c r="BS828" s="11"/>
      <c r="BT828" s="11"/>
      <c r="BU828" s="11"/>
      <c r="BV828" s="212"/>
      <c r="BW828" s="221"/>
      <c r="BX828" s="273"/>
      <c r="BY828" s="213"/>
      <c r="BZ828" s="213"/>
      <c r="CA828" s="213"/>
      <c r="CB828" s="11"/>
      <c r="CC828" s="11"/>
      <c r="CD828" s="11"/>
      <c r="CE828" s="11"/>
      <c r="CF828" s="11"/>
      <c r="CG828" s="11"/>
      <c r="CH828" s="274"/>
      <c r="CI828" s="274"/>
      <c r="CJ828" s="274"/>
      <c r="CK828" s="11"/>
      <c r="CL828" s="11"/>
      <c r="CM828" s="11"/>
      <c r="CN828" s="11"/>
      <c r="CO828" s="11"/>
      <c r="CP828" s="11"/>
      <c r="CQ828" s="11"/>
      <c r="CR828" s="11"/>
      <c r="CS828" s="11"/>
      <c r="CT828" s="11"/>
      <c r="CU828" s="11"/>
      <c r="CV828" s="11"/>
      <c r="CW828" s="11"/>
      <c r="CX828" s="11"/>
      <c r="CY828" s="11"/>
      <c r="CZ828" s="11"/>
      <c r="DA828" s="11"/>
      <c r="DB828" s="11"/>
      <c r="DC828" s="11"/>
      <c r="DD828" s="11"/>
      <c r="DE828" s="11"/>
      <c r="DF828" s="11"/>
      <c r="DG828" s="11"/>
      <c r="DH828" s="11"/>
      <c r="DI828" s="11"/>
      <c r="DJ828" s="11"/>
      <c r="DK828" s="11"/>
      <c r="DL828" s="274"/>
      <c r="DM828" s="274"/>
      <c r="DN828" s="274"/>
      <c r="DO828" s="274"/>
      <c r="DP828" s="274"/>
      <c r="DQ828" s="274"/>
      <c r="DR828" s="274"/>
      <c r="DS828" s="274"/>
      <c r="DT828" s="274"/>
      <c r="DU828" s="274"/>
      <c r="DV828" s="274"/>
      <c r="DW828" s="274"/>
      <c r="DX828" s="274"/>
      <c r="DY828" s="274"/>
      <c r="DZ828" s="274"/>
      <c r="EA828" s="274"/>
      <c r="EB828" s="274"/>
      <c r="EC828" s="274"/>
      <c r="ED828" s="39">
        <f t="shared" si="259"/>
        <v>0</v>
      </c>
      <c r="EE828" s="30">
        <f t="shared" si="260"/>
        <v>0</v>
      </c>
      <c r="EF828" s="39" t="str">
        <f t="shared" si="261"/>
        <v xml:space="preserve"> </v>
      </c>
    </row>
    <row r="829" spans="1:136" ht="24" x14ac:dyDescent="0.25">
      <c r="A829" s="25" t="e">
        <f>#REF!</f>
        <v>#REF!</v>
      </c>
      <c r="B829" s="50" t="e">
        <f>#REF!</f>
        <v>#REF!</v>
      </c>
      <c r="C829" s="5" t="e">
        <f>#REF!</f>
        <v>#REF!</v>
      </c>
      <c r="D829" s="5" t="e">
        <f>#REF!</f>
        <v>#REF!</v>
      </c>
      <c r="E829" s="252">
        <v>1</v>
      </c>
      <c r="F829" s="249">
        <v>0</v>
      </c>
      <c r="G829" s="249">
        <v>0</v>
      </c>
      <c r="H829" s="249">
        <v>0</v>
      </c>
      <c r="I829" s="249">
        <v>0</v>
      </c>
      <c r="J829" s="249">
        <v>0</v>
      </c>
      <c r="K829" s="249">
        <v>0</v>
      </c>
      <c r="L829" s="274"/>
      <c r="M829" s="274"/>
      <c r="N829" s="255">
        <v>47000</v>
      </c>
      <c r="O829" s="135">
        <f>+N829*0.19</f>
        <v>8930</v>
      </c>
      <c r="P829" s="135">
        <f>+N829+O829</f>
        <v>55930</v>
      </c>
      <c r="Q829" s="11"/>
      <c r="R829" s="11"/>
      <c r="S829" s="11"/>
      <c r="T829" s="274"/>
      <c r="U829" s="274"/>
      <c r="V829" s="274"/>
      <c r="W829" s="11"/>
      <c r="X829" s="11"/>
      <c r="Y829" s="11"/>
      <c r="Z829" s="274"/>
      <c r="AA829" s="274"/>
      <c r="AB829" s="274"/>
      <c r="AC829" s="11"/>
      <c r="AD829" s="11"/>
      <c r="AE829" s="11"/>
      <c r="AF829" s="274"/>
      <c r="AG829" s="274"/>
      <c r="AH829" s="274"/>
      <c r="AI829" s="11"/>
      <c r="AJ829" s="11"/>
      <c r="AK829" s="11"/>
      <c r="AL829" s="118"/>
      <c r="AM829" s="118"/>
      <c r="AN829" s="118"/>
      <c r="AO829" s="52"/>
      <c r="AP829" s="52"/>
      <c r="AQ829" s="11"/>
      <c r="AR829" s="274"/>
      <c r="AS829" s="274"/>
      <c r="AT829" s="274"/>
      <c r="AU829" s="11"/>
      <c r="AV829" s="11"/>
      <c r="AW829" s="11"/>
      <c r="AX829" s="274"/>
      <c r="AY829" s="274"/>
      <c r="AZ829" s="274"/>
      <c r="BA829" s="11"/>
      <c r="BB829" s="11"/>
      <c r="BC829" s="11"/>
      <c r="BD829" s="274"/>
      <c r="BE829" s="274"/>
      <c r="BF829" s="274"/>
      <c r="BG829" s="11"/>
      <c r="BH829" s="11"/>
      <c r="BI829" s="11"/>
      <c r="BJ829" s="274">
        <v>84700</v>
      </c>
      <c r="BK829" s="274">
        <f>+BJ829*0.19</f>
        <v>16093</v>
      </c>
      <c r="BL829" s="274">
        <f>+BJ829+BK829</f>
        <v>100793</v>
      </c>
      <c r="BM829" s="213" t="s">
        <v>4738</v>
      </c>
      <c r="BN829" s="213" t="s">
        <v>5075</v>
      </c>
      <c r="BO829" s="11"/>
      <c r="BP829" s="274"/>
      <c r="BQ829" s="274"/>
      <c r="BR829" s="274"/>
      <c r="BS829" s="11"/>
      <c r="BT829" s="11"/>
      <c r="BU829" s="11"/>
      <c r="BV829" s="219">
        <v>92450.642899999992</v>
      </c>
      <c r="BW829" s="219">
        <f>+BV829*0.19</f>
        <v>17565.622151</v>
      </c>
      <c r="BX829" s="273">
        <f>+BV829+BW829</f>
        <v>110016.26505099999</v>
      </c>
      <c r="BY829" s="213" t="s">
        <v>4738</v>
      </c>
      <c r="BZ829" s="213" t="s">
        <v>5075</v>
      </c>
      <c r="CA829" s="213"/>
      <c r="CB829" s="11"/>
      <c r="CC829" s="11"/>
      <c r="CD829" s="11"/>
      <c r="CE829" s="11"/>
      <c r="CF829" s="11"/>
      <c r="CG829" s="11"/>
      <c r="CH829" s="274"/>
      <c r="CI829" s="274"/>
      <c r="CJ829" s="274"/>
      <c r="CK829" s="11"/>
      <c r="CL829" s="11"/>
      <c r="CM829" s="11"/>
      <c r="CN829" s="11"/>
      <c r="CO829" s="11"/>
      <c r="CP829" s="11"/>
      <c r="CQ829" s="11"/>
      <c r="CR829" s="11"/>
      <c r="CS829" s="11"/>
      <c r="CT829" s="11"/>
      <c r="CU829" s="11"/>
      <c r="CV829" s="11"/>
      <c r="CW829" s="11"/>
      <c r="CX829" s="11"/>
      <c r="CY829" s="11"/>
      <c r="CZ829" s="11"/>
      <c r="DA829" s="11"/>
      <c r="DB829" s="11"/>
      <c r="DC829" s="11"/>
      <c r="DD829" s="11"/>
      <c r="DE829" s="11"/>
      <c r="DF829" s="11"/>
      <c r="DG829" s="11"/>
      <c r="DH829" s="11"/>
      <c r="DI829" s="11"/>
      <c r="DJ829" s="11"/>
      <c r="DK829" s="11"/>
      <c r="DL829" s="274"/>
      <c r="DM829" s="274"/>
      <c r="DN829" s="274"/>
      <c r="DO829" s="274"/>
      <c r="DP829" s="274"/>
      <c r="DQ829" s="274"/>
      <c r="DR829" s="274"/>
      <c r="DS829" s="274"/>
      <c r="DT829" s="274"/>
      <c r="DU829" s="274"/>
      <c r="DV829" s="274"/>
      <c r="DW829" s="274"/>
      <c r="DX829" s="274"/>
      <c r="DY829" s="274"/>
      <c r="DZ829" s="274"/>
      <c r="EA829" s="274"/>
      <c r="EB829" s="274"/>
      <c r="EC829" s="274"/>
      <c r="ED829" s="39">
        <f t="shared" si="259"/>
        <v>266739.26505099999</v>
      </c>
      <c r="EE829" s="30">
        <f t="shared" si="260"/>
        <v>3</v>
      </c>
      <c r="EF829" s="39">
        <f t="shared" si="261"/>
        <v>88913.088350333332</v>
      </c>
    </row>
    <row r="830" spans="1:136" x14ac:dyDescent="0.25">
      <c r="A830" s="25" t="e">
        <f>#REF!</f>
        <v>#REF!</v>
      </c>
      <c r="B830" s="50" t="e">
        <f>#REF!</f>
        <v>#REF!</v>
      </c>
      <c r="C830" s="5" t="e">
        <f>#REF!</f>
        <v>#REF!</v>
      </c>
      <c r="D830" s="5" t="e">
        <f>#REF!</f>
        <v>#REF!</v>
      </c>
      <c r="E830" s="252">
        <v>1</v>
      </c>
      <c r="F830" s="249">
        <v>0</v>
      </c>
      <c r="G830" s="249">
        <v>0</v>
      </c>
      <c r="H830" s="249">
        <v>0</v>
      </c>
      <c r="I830" s="249">
        <v>0</v>
      </c>
      <c r="J830" s="249">
        <v>0</v>
      </c>
      <c r="K830" s="249">
        <v>0</v>
      </c>
      <c r="L830" s="274"/>
      <c r="M830" s="274"/>
      <c r="N830" s="255">
        <v>75000</v>
      </c>
      <c r="O830" s="135">
        <f>+N830*0.19</f>
        <v>14250</v>
      </c>
      <c r="P830" s="135">
        <f>+N830+O830</f>
        <v>89250</v>
      </c>
      <c r="Q830" s="11"/>
      <c r="R830" s="11"/>
      <c r="S830" s="11"/>
      <c r="T830" s="274"/>
      <c r="U830" s="274"/>
      <c r="V830" s="274"/>
      <c r="W830" s="11"/>
      <c r="X830" s="11"/>
      <c r="Y830" s="11"/>
      <c r="Z830" s="274"/>
      <c r="AA830" s="274"/>
      <c r="AB830" s="274"/>
      <c r="AC830" s="11"/>
      <c r="AD830" s="11"/>
      <c r="AE830" s="11"/>
      <c r="AF830" s="274"/>
      <c r="AG830" s="274"/>
      <c r="AH830" s="274"/>
      <c r="AI830" s="11"/>
      <c r="AJ830" s="11"/>
      <c r="AK830" s="11"/>
      <c r="AL830" s="118"/>
      <c r="AM830" s="118"/>
      <c r="AN830" s="118"/>
      <c r="AO830" s="52"/>
      <c r="AP830" s="52"/>
      <c r="AQ830" s="11"/>
      <c r="AR830" s="274"/>
      <c r="AS830" s="274"/>
      <c r="AT830" s="274"/>
      <c r="AU830" s="11"/>
      <c r="AV830" s="11"/>
      <c r="AW830" s="11"/>
      <c r="AX830" s="274"/>
      <c r="AY830" s="274"/>
      <c r="AZ830" s="274"/>
      <c r="BA830" s="11"/>
      <c r="BB830" s="11"/>
      <c r="BC830" s="11"/>
      <c r="BD830" s="274"/>
      <c r="BE830" s="274"/>
      <c r="BF830" s="274"/>
      <c r="BG830" s="11"/>
      <c r="BH830" s="11"/>
      <c r="BI830" s="11"/>
      <c r="BJ830" s="274"/>
      <c r="BK830" s="274"/>
      <c r="BL830" s="274"/>
      <c r="BM830" s="213"/>
      <c r="BN830" s="213"/>
      <c r="BO830" s="11"/>
      <c r="BP830" s="274"/>
      <c r="BQ830" s="274"/>
      <c r="BR830" s="274"/>
      <c r="BS830" s="11"/>
      <c r="BT830" s="11"/>
      <c r="BU830" s="11"/>
      <c r="BV830" s="219"/>
      <c r="BW830" s="220"/>
      <c r="BX830" s="273"/>
      <c r="BY830" s="213"/>
      <c r="BZ830" s="213"/>
      <c r="CA830" s="213"/>
      <c r="CB830" s="11"/>
      <c r="CC830" s="11"/>
      <c r="CD830" s="11"/>
      <c r="CE830" s="11"/>
      <c r="CF830" s="11"/>
      <c r="CG830" s="11"/>
      <c r="CH830" s="274"/>
      <c r="CI830" s="274"/>
      <c r="CJ830" s="274"/>
      <c r="CK830" s="11"/>
      <c r="CL830" s="11"/>
      <c r="CM830" s="11"/>
      <c r="CN830" s="11"/>
      <c r="CO830" s="11"/>
      <c r="CP830" s="11"/>
      <c r="CQ830" s="11"/>
      <c r="CR830" s="11"/>
      <c r="CS830" s="11"/>
      <c r="CT830" s="11"/>
      <c r="CU830" s="11"/>
      <c r="CV830" s="11"/>
      <c r="CW830" s="11"/>
      <c r="CX830" s="11"/>
      <c r="CY830" s="11"/>
      <c r="CZ830" s="11"/>
      <c r="DA830" s="11"/>
      <c r="DB830" s="11"/>
      <c r="DC830" s="11"/>
      <c r="DD830" s="11"/>
      <c r="DE830" s="11"/>
      <c r="DF830" s="11"/>
      <c r="DG830" s="11"/>
      <c r="DH830" s="11"/>
      <c r="DI830" s="11"/>
      <c r="DJ830" s="11"/>
      <c r="DK830" s="11"/>
      <c r="DL830" s="274"/>
      <c r="DM830" s="274"/>
      <c r="DN830" s="274"/>
      <c r="DO830" s="274"/>
      <c r="DP830" s="274"/>
      <c r="DQ830" s="274"/>
      <c r="DR830" s="274"/>
      <c r="DS830" s="274"/>
      <c r="DT830" s="274"/>
      <c r="DU830" s="274"/>
      <c r="DV830" s="274"/>
      <c r="DW830" s="274"/>
      <c r="DX830" s="274"/>
      <c r="DY830" s="274"/>
      <c r="DZ830" s="274"/>
      <c r="EA830" s="274"/>
      <c r="EB830" s="274"/>
      <c r="EC830" s="274"/>
      <c r="ED830" s="39">
        <f t="shared" si="259"/>
        <v>89250</v>
      </c>
      <c r="EE830" s="30">
        <f t="shared" si="260"/>
        <v>1</v>
      </c>
      <c r="EF830" s="39">
        <f t="shared" si="261"/>
        <v>89250</v>
      </c>
    </row>
    <row r="831" spans="1:136" x14ac:dyDescent="0.25">
      <c r="A831" s="25" t="e">
        <f>#REF!</f>
        <v>#REF!</v>
      </c>
      <c r="B831" s="50" t="e">
        <f>#REF!</f>
        <v>#REF!</v>
      </c>
      <c r="C831" s="5" t="e">
        <f>#REF!</f>
        <v>#REF!</v>
      </c>
      <c r="D831" s="5" t="e">
        <f>#REF!</f>
        <v>#REF!</v>
      </c>
      <c r="E831" s="252">
        <v>1</v>
      </c>
      <c r="F831" s="249">
        <v>0</v>
      </c>
      <c r="G831" s="249">
        <v>0</v>
      </c>
      <c r="H831" s="249">
        <v>0</v>
      </c>
      <c r="I831" s="249">
        <v>0</v>
      </c>
      <c r="J831" s="249">
        <v>0</v>
      </c>
      <c r="K831" s="249">
        <v>0</v>
      </c>
      <c r="L831" s="274"/>
      <c r="M831" s="274"/>
      <c r="N831" s="255"/>
      <c r="O831" s="135"/>
      <c r="P831" s="135"/>
      <c r="Q831" s="11"/>
      <c r="R831" s="11"/>
      <c r="S831" s="11"/>
      <c r="T831" s="274"/>
      <c r="U831" s="274"/>
      <c r="V831" s="274"/>
      <c r="W831" s="11"/>
      <c r="X831" s="11"/>
      <c r="Y831" s="11"/>
      <c r="Z831" s="274"/>
      <c r="AA831" s="274"/>
      <c r="AB831" s="274"/>
      <c r="AC831" s="11"/>
      <c r="AD831" s="11"/>
      <c r="AE831" s="11"/>
      <c r="AF831" s="274"/>
      <c r="AG831" s="274"/>
      <c r="AH831" s="274"/>
      <c r="AI831" s="11"/>
      <c r="AJ831" s="11"/>
      <c r="AK831" s="11"/>
      <c r="AL831" s="118"/>
      <c r="AM831" s="118"/>
      <c r="AN831" s="118"/>
      <c r="AO831" s="52"/>
      <c r="AP831" s="52"/>
      <c r="AQ831" s="11"/>
      <c r="AR831" s="274"/>
      <c r="AS831" s="274"/>
      <c r="AT831" s="274"/>
      <c r="AU831" s="11"/>
      <c r="AV831" s="11"/>
      <c r="AW831" s="11"/>
      <c r="AX831" s="274"/>
      <c r="AY831" s="274"/>
      <c r="AZ831" s="274"/>
      <c r="BA831" s="11"/>
      <c r="BB831" s="11"/>
      <c r="BC831" s="11"/>
      <c r="BD831" s="274"/>
      <c r="BE831" s="274"/>
      <c r="BF831" s="274"/>
      <c r="BG831" s="11"/>
      <c r="BH831" s="11"/>
      <c r="BI831" s="11"/>
      <c r="BJ831" s="274">
        <v>4120400</v>
      </c>
      <c r="BK831" s="274">
        <f>+BJ831*0.19</f>
        <v>782876</v>
      </c>
      <c r="BL831" s="274">
        <f>+BJ831+BK831</f>
        <v>4903276</v>
      </c>
      <c r="BM831" s="213" t="s">
        <v>196</v>
      </c>
      <c r="BN831" s="213" t="s">
        <v>88</v>
      </c>
      <c r="BO831" s="11"/>
      <c r="BP831" s="274"/>
      <c r="BQ831" s="274"/>
      <c r="BR831" s="274"/>
      <c r="BS831" s="11"/>
      <c r="BT831" s="11"/>
      <c r="BU831" s="11"/>
      <c r="BV831" s="219">
        <v>4860291.9872000003</v>
      </c>
      <c r="BW831" s="219">
        <f>+BV831*0.19</f>
        <v>923455.47756800009</v>
      </c>
      <c r="BX831" s="273">
        <f>+BV831+BW831</f>
        <v>5783747.4647679999</v>
      </c>
      <c r="BY831" s="213" t="s">
        <v>196</v>
      </c>
      <c r="BZ831" s="213" t="s">
        <v>88</v>
      </c>
      <c r="CA831" s="213"/>
      <c r="CB831" s="11"/>
      <c r="CC831" s="11"/>
      <c r="CD831" s="11"/>
      <c r="CE831" s="11"/>
      <c r="CF831" s="11"/>
      <c r="CG831" s="11"/>
      <c r="CH831" s="274"/>
      <c r="CI831" s="274"/>
      <c r="CJ831" s="274"/>
      <c r="CK831" s="11"/>
      <c r="CL831" s="11"/>
      <c r="CM831" s="11"/>
      <c r="CN831" s="11"/>
      <c r="CO831" s="11"/>
      <c r="CP831" s="11"/>
      <c r="CQ831" s="11"/>
      <c r="CR831" s="11"/>
      <c r="CS831" s="11"/>
      <c r="CT831" s="11"/>
      <c r="CU831" s="11"/>
      <c r="CV831" s="11"/>
      <c r="CW831" s="11"/>
      <c r="CX831" s="11"/>
      <c r="CY831" s="11"/>
      <c r="CZ831" s="11"/>
      <c r="DA831" s="11"/>
      <c r="DB831" s="11"/>
      <c r="DC831" s="11"/>
      <c r="DD831" s="11"/>
      <c r="DE831" s="11"/>
      <c r="DF831" s="11"/>
      <c r="DG831" s="11"/>
      <c r="DH831" s="11"/>
      <c r="DI831" s="11"/>
      <c r="DJ831" s="11"/>
      <c r="DK831" s="11"/>
      <c r="DL831" s="274"/>
      <c r="DM831" s="274"/>
      <c r="DN831" s="274"/>
      <c r="DO831" s="274"/>
      <c r="DP831" s="274"/>
      <c r="DQ831" s="274"/>
      <c r="DR831" s="274"/>
      <c r="DS831" s="274"/>
      <c r="DT831" s="274"/>
      <c r="DU831" s="274"/>
      <c r="DV831" s="274"/>
      <c r="DW831" s="274"/>
      <c r="DX831" s="274"/>
      <c r="DY831" s="274"/>
      <c r="DZ831" s="274"/>
      <c r="EA831" s="274"/>
      <c r="EB831" s="274"/>
      <c r="EC831" s="274"/>
      <c r="ED831" s="39">
        <f t="shared" si="259"/>
        <v>10687023.464768</v>
      </c>
      <c r="EE831" s="30">
        <f t="shared" si="260"/>
        <v>2</v>
      </c>
      <c r="EF831" s="39">
        <f t="shared" si="261"/>
        <v>5343511.732384</v>
      </c>
    </row>
    <row r="832" spans="1:136" x14ac:dyDescent="0.25">
      <c r="P832" s="141">
        <f>SUM(P3:P831)</f>
        <v>116770255.5</v>
      </c>
      <c r="T832" s="141"/>
      <c r="V832" s="141">
        <f>SUM(V3:V831)</f>
        <v>20431706.487500004</v>
      </c>
      <c r="AB832" s="141">
        <f>SUM(AB3:AB831)</f>
        <v>51671228</v>
      </c>
      <c r="AF832" s="72"/>
      <c r="AG832" s="72"/>
      <c r="AH832" s="141">
        <f>SUM(AH3:AH831)</f>
        <v>2481277.3300000005</v>
      </c>
      <c r="AI832" s="28"/>
      <c r="AJ832" s="28"/>
      <c r="AN832" s="141">
        <f>SUM(AN3:AN831)</f>
        <v>21200956.2478</v>
      </c>
      <c r="AR832" s="141"/>
      <c r="AS832" s="141"/>
      <c r="AT832" s="141">
        <f>SUM(AT3:AT831)</f>
        <v>14921291</v>
      </c>
      <c r="AZ832" s="141">
        <f>SUM(AZ3:AZ831)</f>
        <v>5312160</v>
      </c>
      <c r="BF832" s="141">
        <f>SUM(BF3:BF831)</f>
        <v>84939429.084999919</v>
      </c>
      <c r="BL832" s="141">
        <f>SUM(BL3:BL831)</f>
        <v>618897541.44441783</v>
      </c>
      <c r="BR832" s="141">
        <f>SUM(BR3:BR831)</f>
        <v>181009072.40000001</v>
      </c>
      <c r="BV832" s="141"/>
      <c r="BW832" s="28"/>
      <c r="BX832" s="141">
        <f>SUM(BX3:BX831)</f>
        <v>564846817.85573113</v>
      </c>
      <c r="CD832" s="141">
        <f>SUM(CD3:CD831)</f>
        <v>29864142.420000002</v>
      </c>
      <c r="CJ832" s="141">
        <f>SUM(CJ3:CJ831)</f>
        <v>45753120</v>
      </c>
    </row>
    <row r="1048563" spans="58:58" x14ac:dyDescent="0.25">
      <c r="BF1048563" s="274"/>
    </row>
  </sheetData>
  <autoFilter ref="A2:EH2">
    <sortState ref="A4:EH832">
      <sortCondition ref="B2"/>
    </sortState>
  </autoFilter>
  <sortState ref="A4:CP775">
    <sortCondition ref="B3:B775"/>
  </sortState>
  <mergeCells count="31">
    <mergeCell ref="F1:G1"/>
    <mergeCell ref="H1:I1"/>
    <mergeCell ref="J1:K1"/>
    <mergeCell ref="L1:M1"/>
    <mergeCell ref="EF1:EF2"/>
    <mergeCell ref="ED1:ED2"/>
    <mergeCell ref="DF1:DK1"/>
    <mergeCell ref="DL1:DQ1"/>
    <mergeCell ref="DR1:DW1"/>
    <mergeCell ref="DX1:EC1"/>
    <mergeCell ref="CB1:CG1"/>
    <mergeCell ref="CH1:CM1"/>
    <mergeCell ref="CN1:CS1"/>
    <mergeCell ref="CT1:CY1"/>
    <mergeCell ref="CZ1:DE1"/>
    <mergeCell ref="A1:A2"/>
    <mergeCell ref="B1:B2"/>
    <mergeCell ref="C1:C2"/>
    <mergeCell ref="D1:D2"/>
    <mergeCell ref="EE1:EE2"/>
    <mergeCell ref="N1:S1"/>
    <mergeCell ref="T1:Y1"/>
    <mergeCell ref="Z1:AE1"/>
    <mergeCell ref="AF1:AK1"/>
    <mergeCell ref="AL1:AQ1"/>
    <mergeCell ref="AR1:AW1"/>
    <mergeCell ref="AX1:BC1"/>
    <mergeCell ref="BD1:BI1"/>
    <mergeCell ref="BJ1:BO1"/>
    <mergeCell ref="BP1:BU1"/>
    <mergeCell ref="BV1:CA1"/>
  </mergeCells>
  <conditionalFormatting sqref="O581">
    <cfRule type="containsErrors" dxfId="145" priority="30">
      <formula>ISERROR(O581)</formula>
    </cfRule>
  </conditionalFormatting>
  <conditionalFormatting sqref="O583">
    <cfRule type="containsErrors" dxfId="144" priority="29">
      <formula>ISERROR(O583)</formula>
    </cfRule>
  </conditionalFormatting>
  <conditionalFormatting sqref="AD552:AD553">
    <cfRule type="containsErrors" dxfId="143" priority="28">
      <formula>ISERROR(AD552)</formula>
    </cfRule>
  </conditionalFormatting>
  <conditionalFormatting sqref="AD579">
    <cfRule type="containsErrors" dxfId="142" priority="27">
      <formula>ISERROR(AD579)</formula>
    </cfRule>
  </conditionalFormatting>
  <conditionalFormatting sqref="AD581">
    <cfRule type="containsErrors" dxfId="141" priority="25">
      <formula>ISERROR(AD581)</formula>
    </cfRule>
  </conditionalFormatting>
  <conditionalFormatting sqref="AD583">
    <cfRule type="containsErrors" dxfId="140" priority="23">
      <formula>ISERROR(AD583)</formula>
    </cfRule>
  </conditionalFormatting>
  <conditionalFormatting sqref="AD584">
    <cfRule type="containsErrors" dxfId="139" priority="22">
      <formula>ISERROR(AD584)</formula>
    </cfRule>
  </conditionalFormatting>
  <conditionalFormatting sqref="AI552:AI553">
    <cfRule type="containsErrors" dxfId="138" priority="21">
      <formula>ISERROR(AI552)</formula>
    </cfRule>
  </conditionalFormatting>
  <conditionalFormatting sqref="AI578:AI579">
    <cfRule type="containsErrors" dxfId="137" priority="20">
      <formula>ISERROR(AI578)</formula>
    </cfRule>
  </conditionalFormatting>
  <conditionalFormatting sqref="AI580">
    <cfRule type="containsErrors" dxfId="136" priority="19">
      <formula>ISERROR(AI580)</formula>
    </cfRule>
  </conditionalFormatting>
  <conditionalFormatting sqref="AI581">
    <cfRule type="containsErrors" dxfId="135" priority="18">
      <formula>ISERROR(AI581)</formula>
    </cfRule>
  </conditionalFormatting>
  <conditionalFormatting sqref="AI582">
    <cfRule type="containsErrors" dxfId="134" priority="17">
      <formula>ISERROR(AI582)</formula>
    </cfRule>
  </conditionalFormatting>
  <conditionalFormatting sqref="AI583">
    <cfRule type="containsErrors" dxfId="133" priority="16">
      <formula>ISERROR(AI583)</formula>
    </cfRule>
  </conditionalFormatting>
  <conditionalFormatting sqref="AI584">
    <cfRule type="containsErrors" dxfId="132" priority="15">
      <formula>ISERROR(AI584)</formula>
    </cfRule>
  </conditionalFormatting>
  <conditionalFormatting sqref="BM578">
    <cfRule type="containsErrors" dxfId="131" priority="14">
      <formula>ISERROR(BM578)</formula>
    </cfRule>
  </conditionalFormatting>
  <conditionalFormatting sqref="BM579">
    <cfRule type="containsErrors" dxfId="130" priority="13">
      <formula>ISERROR(BM579)</formula>
    </cfRule>
  </conditionalFormatting>
  <conditionalFormatting sqref="BM580">
    <cfRule type="containsErrors" dxfId="129" priority="12">
      <formula>ISERROR(BM580)</formula>
    </cfRule>
  </conditionalFormatting>
  <conditionalFormatting sqref="BM581">
    <cfRule type="containsErrors" dxfId="128" priority="11">
      <formula>ISERROR(BM581)</formula>
    </cfRule>
  </conditionalFormatting>
  <conditionalFormatting sqref="BM582">
    <cfRule type="containsErrors" dxfId="127" priority="10">
      <formula>ISERROR(BM582)</formula>
    </cfRule>
  </conditionalFormatting>
  <conditionalFormatting sqref="BM583">
    <cfRule type="containsErrors" dxfId="126" priority="9">
      <formula>ISERROR(BM583)</formula>
    </cfRule>
  </conditionalFormatting>
  <conditionalFormatting sqref="BM584">
    <cfRule type="containsErrors" dxfId="125" priority="8">
      <formula>ISERROR(BM584)</formula>
    </cfRule>
  </conditionalFormatting>
  <conditionalFormatting sqref="BY578">
    <cfRule type="containsErrors" dxfId="124" priority="7">
      <formula>ISERROR(BY578)</formula>
    </cfRule>
  </conditionalFormatting>
  <conditionalFormatting sqref="BY579">
    <cfRule type="containsErrors" dxfId="123" priority="6">
      <formula>ISERROR(BY579)</formula>
    </cfRule>
  </conditionalFormatting>
  <conditionalFormatting sqref="BY580">
    <cfRule type="containsErrors" dxfId="122" priority="5">
      <formula>ISERROR(BY580)</formula>
    </cfRule>
  </conditionalFormatting>
  <conditionalFormatting sqref="BY581">
    <cfRule type="containsErrors" dxfId="121" priority="4">
      <formula>ISERROR(BY581)</formula>
    </cfRule>
  </conditionalFormatting>
  <conditionalFormatting sqref="BY582">
    <cfRule type="containsErrors" dxfId="120" priority="3">
      <formula>ISERROR(BY582)</formula>
    </cfRule>
  </conditionalFormatting>
  <conditionalFormatting sqref="BY583">
    <cfRule type="containsErrors" dxfId="119" priority="2">
      <formula>ISERROR(BY583)</formula>
    </cfRule>
  </conditionalFormatting>
  <conditionalFormatting sqref="BY584">
    <cfRule type="containsErrors" dxfId="118" priority="1">
      <formula>ISERROR(BY584)</formula>
    </cfRule>
  </conditionalFormatting>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5:H29"/>
  <sheetViews>
    <sheetView topLeftCell="A2" workbookViewId="0">
      <selection activeCell="A2" sqref="A2:B2"/>
    </sheetView>
  </sheetViews>
  <sheetFormatPr baseColWidth="10" defaultColWidth="11.42578125" defaultRowHeight="15" x14ac:dyDescent="0.25"/>
  <cols>
    <col min="1" max="1" width="5.140625" customWidth="1"/>
    <col min="2" max="2" width="21.7109375" customWidth="1"/>
    <col min="5" max="5" width="7.42578125" customWidth="1"/>
    <col min="6" max="6" width="18.85546875" customWidth="1"/>
  </cols>
  <sheetData>
    <row r="5" spans="1:8" x14ac:dyDescent="0.25">
      <c r="B5" s="558" t="s">
        <v>5076</v>
      </c>
      <c r="C5" s="558"/>
      <c r="D5" s="558"/>
      <c r="F5" s="558" t="s">
        <v>5077</v>
      </c>
      <c r="G5" s="558"/>
      <c r="H5" s="558"/>
    </row>
    <row r="6" spans="1:8" x14ac:dyDescent="0.25">
      <c r="B6" s="2" t="s">
        <v>5078</v>
      </c>
      <c r="C6" s="166" t="e">
        <f>Elementos!A831</f>
        <v>#REF!</v>
      </c>
      <c r="D6" s="1" t="s">
        <v>5079</v>
      </c>
      <c r="F6" s="3" t="s">
        <v>5078</v>
      </c>
      <c r="G6" s="165" t="e">
        <f>Reactivos!A805</f>
        <v>#REF!</v>
      </c>
      <c r="H6" s="1" t="s">
        <v>5079</v>
      </c>
    </row>
    <row r="7" spans="1:8" x14ac:dyDescent="0.25">
      <c r="B7" s="1" t="s">
        <v>5080</v>
      </c>
      <c r="C7" s="166">
        <f>COUNTIF(Elementos!$EE$3:$EE$831,"0")</f>
        <v>44</v>
      </c>
      <c r="D7" s="18" t="e">
        <f>(C7/$C$6)</f>
        <v>#REF!</v>
      </c>
      <c r="F7" s="1" t="s">
        <v>5080</v>
      </c>
      <c r="G7" s="165">
        <f>COUNTIF(Reactivos!$FI$3:$FI$805,"0")</f>
        <v>109</v>
      </c>
      <c r="H7" s="20" t="e">
        <f>(G7/$G$6)</f>
        <v>#REF!</v>
      </c>
    </row>
    <row r="8" spans="1:8" x14ac:dyDescent="0.25">
      <c r="B8" s="1" t="s">
        <v>5081</v>
      </c>
      <c r="C8" s="166">
        <f>COUNTIF(Elementos!$EE$3:$EE$831,"1")</f>
        <v>65</v>
      </c>
      <c r="D8" s="18" t="e">
        <f>(C8/$C$6)</f>
        <v>#REF!</v>
      </c>
      <c r="F8" s="1" t="s">
        <v>5081</v>
      </c>
      <c r="G8" s="165">
        <f>COUNTIF(Reactivos!$FI$3:$FI$805,"1")</f>
        <v>59</v>
      </c>
      <c r="H8" s="20" t="e">
        <f>(G8/$G$6)</f>
        <v>#REF!</v>
      </c>
    </row>
    <row r="9" spans="1:8" x14ac:dyDescent="0.25">
      <c r="B9" s="1" t="s">
        <v>5082</v>
      </c>
      <c r="C9" s="166">
        <f>COUNTIF(Elementos!$EE$3:$EE$831,"2")</f>
        <v>137</v>
      </c>
      <c r="D9" s="18" t="e">
        <f>(C9/$C$6)</f>
        <v>#REF!</v>
      </c>
      <c r="F9" s="1" t="s">
        <v>5082</v>
      </c>
      <c r="G9" s="165">
        <f>COUNTIF(Reactivos!$FI$3:$FI$805,"2")</f>
        <v>173</v>
      </c>
      <c r="H9" s="20" t="e">
        <f>(G9/$G$6)</f>
        <v>#REF!</v>
      </c>
    </row>
    <row r="10" spans="1:8" x14ac:dyDescent="0.25">
      <c r="B10" s="1" t="s">
        <v>5083</v>
      </c>
      <c r="C10" s="166" t="e">
        <f>+C6-(C7+C8+C9)</f>
        <v>#REF!</v>
      </c>
      <c r="D10" s="18" t="e">
        <f>(C10/$C$6)</f>
        <v>#REF!</v>
      </c>
      <c r="F10" s="1" t="s">
        <v>5083</v>
      </c>
      <c r="G10" s="165" t="e">
        <f>+G6-(G7+G8+G9)</f>
        <v>#REF!</v>
      </c>
      <c r="H10" s="20" t="e">
        <f>(G10/$G$6)</f>
        <v>#REF!</v>
      </c>
    </row>
    <row r="11" spans="1:8" x14ac:dyDescent="0.25">
      <c r="C11" s="165" t="e">
        <f>+C8+C9+C10</f>
        <v>#REF!</v>
      </c>
      <c r="D11" s="19" t="e">
        <f>SUM(D7:D10)</f>
        <v>#REF!</v>
      </c>
      <c r="G11" s="165" t="e">
        <f>+G8+G9+G10</f>
        <v>#REF!</v>
      </c>
      <c r="H11" s="21" t="e">
        <f>SUM(H7:H10)</f>
        <v>#REF!</v>
      </c>
    </row>
    <row r="12" spans="1:8" x14ac:dyDescent="0.25">
      <c r="C12" s="167" t="e">
        <f>+C11/C6</f>
        <v>#REF!</v>
      </c>
      <c r="G12" s="167" t="e">
        <f>+G11/G6</f>
        <v>#REF!</v>
      </c>
    </row>
    <row r="14" spans="1:8" x14ac:dyDescent="0.25">
      <c r="A14" t="s">
        <v>5084</v>
      </c>
      <c r="B14" t="s">
        <v>5085</v>
      </c>
      <c r="E14" t="s">
        <v>5084</v>
      </c>
      <c r="F14" t="s">
        <v>5085</v>
      </c>
    </row>
    <row r="15" spans="1:8" ht="41.25" customHeight="1" x14ac:dyDescent="0.25">
      <c r="A15">
        <v>1</v>
      </c>
      <c r="B15" t="s">
        <v>5086</v>
      </c>
      <c r="C15" s="559" t="s">
        <v>5087</v>
      </c>
      <c r="D15" s="559"/>
      <c r="E15">
        <v>1</v>
      </c>
      <c r="F15" t="s">
        <v>5088</v>
      </c>
    </row>
    <row r="16" spans="1:8" x14ac:dyDescent="0.25">
      <c r="A16">
        <v>2</v>
      </c>
      <c r="B16" t="s">
        <v>5089</v>
      </c>
      <c r="E16">
        <v>2</v>
      </c>
      <c r="F16" t="s">
        <v>5090</v>
      </c>
    </row>
    <row r="17" spans="1:6" x14ac:dyDescent="0.25">
      <c r="A17">
        <v>3</v>
      </c>
      <c r="B17" t="s">
        <v>13</v>
      </c>
      <c r="E17">
        <v>3</v>
      </c>
      <c r="F17" t="s">
        <v>10</v>
      </c>
    </row>
    <row r="18" spans="1:6" x14ac:dyDescent="0.25">
      <c r="A18">
        <v>4</v>
      </c>
      <c r="B18" t="s">
        <v>14</v>
      </c>
      <c r="E18">
        <v>4</v>
      </c>
      <c r="F18" t="s">
        <v>5086</v>
      </c>
    </row>
    <row r="19" spans="1:6" x14ac:dyDescent="0.25">
      <c r="A19">
        <v>5</v>
      </c>
      <c r="B19" t="s">
        <v>5091</v>
      </c>
      <c r="E19">
        <v>5</v>
      </c>
      <c r="F19" t="s">
        <v>5089</v>
      </c>
    </row>
    <row r="20" spans="1:6" x14ac:dyDescent="0.25">
      <c r="A20">
        <v>6</v>
      </c>
      <c r="B20" t="s">
        <v>5092</v>
      </c>
      <c r="E20">
        <v>6</v>
      </c>
      <c r="F20" t="s">
        <v>13</v>
      </c>
    </row>
    <row r="21" spans="1:6" x14ac:dyDescent="0.25">
      <c r="A21">
        <v>7</v>
      </c>
      <c r="B21" t="s">
        <v>5093</v>
      </c>
      <c r="E21">
        <v>7</v>
      </c>
      <c r="F21" t="s">
        <v>14</v>
      </c>
    </row>
    <row r="22" spans="1:6" x14ac:dyDescent="0.25">
      <c r="A22">
        <v>8</v>
      </c>
      <c r="B22" t="s">
        <v>5094</v>
      </c>
      <c r="E22">
        <v>8</v>
      </c>
      <c r="F22" t="s">
        <v>5093</v>
      </c>
    </row>
    <row r="23" spans="1:6" x14ac:dyDescent="0.25">
      <c r="A23">
        <v>9</v>
      </c>
      <c r="B23" t="s">
        <v>5095</v>
      </c>
      <c r="E23">
        <v>9</v>
      </c>
      <c r="F23" t="s">
        <v>5096</v>
      </c>
    </row>
    <row r="24" spans="1:6" x14ac:dyDescent="0.25">
      <c r="A24">
        <v>10</v>
      </c>
      <c r="B24" t="s">
        <v>5097</v>
      </c>
      <c r="E24">
        <v>10</v>
      </c>
      <c r="F24" t="s">
        <v>5094</v>
      </c>
    </row>
    <row r="25" spans="1:6" x14ac:dyDescent="0.25">
      <c r="A25">
        <v>11</v>
      </c>
      <c r="B25" t="s">
        <v>20</v>
      </c>
      <c r="E25">
        <v>11</v>
      </c>
      <c r="F25" t="s">
        <v>5095</v>
      </c>
    </row>
    <row r="26" spans="1:6" x14ac:dyDescent="0.25">
      <c r="A26">
        <v>12</v>
      </c>
      <c r="B26" t="s">
        <v>21</v>
      </c>
      <c r="E26">
        <v>12</v>
      </c>
      <c r="F26" t="s">
        <v>5097</v>
      </c>
    </row>
    <row r="27" spans="1:6" ht="15" customHeight="1" x14ac:dyDescent="0.25">
      <c r="A27">
        <v>13</v>
      </c>
      <c r="B27" t="s">
        <v>5098</v>
      </c>
      <c r="E27">
        <v>13</v>
      </c>
      <c r="F27" t="s">
        <v>20</v>
      </c>
    </row>
    <row r="28" spans="1:6" x14ac:dyDescent="0.25">
      <c r="A28">
        <v>14</v>
      </c>
      <c r="B28" t="s">
        <v>5099</v>
      </c>
      <c r="E28">
        <v>14</v>
      </c>
      <c r="F28" t="s">
        <v>5100</v>
      </c>
    </row>
    <row r="29" spans="1:6" x14ac:dyDescent="0.25">
      <c r="E29">
        <v>15</v>
      </c>
      <c r="F29" t="s">
        <v>5091</v>
      </c>
    </row>
  </sheetData>
  <mergeCells count="3">
    <mergeCell ref="B5:D5"/>
    <mergeCell ref="F5:H5"/>
    <mergeCell ref="C15:D1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22C3A7DFE7F8408A04AD505E2707B9" ma:contentTypeVersion="13" ma:contentTypeDescription="Crear nuevo documento." ma:contentTypeScope="" ma:versionID="4770984f8b5cb3d6201ce5370f7d28d7">
  <xsd:schema xmlns:xsd="http://www.w3.org/2001/XMLSchema" xmlns:xs="http://www.w3.org/2001/XMLSchema" xmlns:p="http://schemas.microsoft.com/office/2006/metadata/properties" xmlns:ns3="82b5fb6b-42bc-42ca-99eb-a6c5ab229118" xmlns:ns4="85785490-0752-4b9b-be63-3fe7660bf79f" targetNamespace="http://schemas.microsoft.com/office/2006/metadata/properties" ma:root="true" ma:fieldsID="534210ed82896a3749b2eb85070f5a48" ns3:_="" ns4:_="">
    <xsd:import namespace="82b5fb6b-42bc-42ca-99eb-a6c5ab229118"/>
    <xsd:import namespace="85785490-0752-4b9b-be63-3fe7660bf79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b5fb6b-42bc-42ca-99eb-a6c5ab2291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785490-0752-4b9b-be63-3fe7660bf79f"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AF7988-A9F2-498A-A0B7-3570FADA65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b5fb6b-42bc-42ca-99eb-a6c5ab229118"/>
    <ds:schemaRef ds:uri="85785490-0752-4b9b-be63-3fe7660bf7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A4D8C42-6EA4-48CF-AD7D-D5E978D1DB9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C36F11B-D923-45ED-BF90-1CF6ECFCD0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Reactivos</vt:lpstr>
      <vt:lpstr>LP Reactivos</vt:lpstr>
      <vt:lpstr>Análisis Estadistico Reactivos</vt:lpstr>
      <vt:lpstr>LP Elementos</vt:lpstr>
      <vt:lpstr>Análisis estadístico elementos</vt:lpstr>
      <vt:lpstr>Elementos</vt:lpstr>
      <vt:lpstr>ESTADO proceso </vt:lpstr>
      <vt:lpstr>agricola</vt:lpstr>
      <vt:lpstr>EURO</vt:lpstr>
      <vt:lpstr>TRM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Familia</dc:creator>
  <cp:keywords/>
  <dc:description/>
  <cp:lastModifiedBy>Daniel David Romero Jara</cp:lastModifiedBy>
  <cp:revision/>
  <dcterms:created xsi:type="dcterms:W3CDTF">2020-03-30T21:59:00Z</dcterms:created>
  <dcterms:modified xsi:type="dcterms:W3CDTF">2022-06-30T22:25:50Z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0x0101007B22C3A7DFE7F8408A04AD505E2707B9</vt:lpwstr>
  </property>
</Properties>
</file>